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r/Desktop/"/>
    </mc:Choice>
  </mc:AlternateContent>
  <xr:revisionPtr revIDLastSave="0" documentId="8_{052A7C75-53C6-F746-BFC2-6DCC95A6B4E5}" xr6:coauthVersionLast="47" xr6:coauthVersionMax="47" xr10:uidLastSave="{00000000-0000-0000-0000-000000000000}"/>
  <bookViews>
    <workbookView xWindow="1100" yWindow="900" windowWidth="28040" windowHeight="17180" xr2:uid="{71F6F859-2672-9D46-92AE-FCE531505E96}"/>
  </bookViews>
  <sheets>
    <sheet name="Advanced Report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  <c r="A53" i="1"/>
  <c r="B53" i="1"/>
  <c r="C53" i="1"/>
  <c r="D53" i="1"/>
  <c r="E53" i="1"/>
  <c r="F53" i="1"/>
  <c r="G53" i="1"/>
  <c r="H53" i="1"/>
  <c r="A54" i="1"/>
  <c r="B54" i="1"/>
  <c r="C54" i="1"/>
  <c r="D54" i="1"/>
  <c r="E54" i="1"/>
  <c r="F54" i="1"/>
  <c r="G54" i="1"/>
  <c r="H54" i="1"/>
  <c r="A55" i="1"/>
  <c r="B55" i="1"/>
  <c r="C55" i="1"/>
  <c r="D55" i="1"/>
  <c r="E55" i="1"/>
  <c r="F55" i="1"/>
  <c r="G55" i="1"/>
  <c r="H55" i="1"/>
  <c r="A56" i="1"/>
  <c r="B56" i="1"/>
  <c r="C56" i="1"/>
  <c r="D56" i="1"/>
  <c r="E56" i="1"/>
  <c r="F56" i="1"/>
  <c r="G56" i="1"/>
  <c r="H56" i="1"/>
  <c r="A57" i="1"/>
  <c r="B57" i="1"/>
  <c r="C57" i="1"/>
  <c r="D57" i="1"/>
  <c r="E57" i="1"/>
  <c r="F57" i="1"/>
  <c r="G57" i="1"/>
  <c r="H57" i="1"/>
  <c r="A58" i="1"/>
  <c r="B58" i="1"/>
  <c r="C58" i="1"/>
  <c r="D58" i="1"/>
  <c r="E58" i="1"/>
  <c r="F58" i="1"/>
  <c r="G58" i="1"/>
  <c r="H58" i="1"/>
  <c r="A59" i="1"/>
  <c r="B59" i="1"/>
  <c r="C59" i="1"/>
  <c r="D59" i="1"/>
  <c r="E59" i="1"/>
  <c r="F59" i="1"/>
  <c r="G59" i="1"/>
  <c r="H59" i="1"/>
  <c r="A60" i="1"/>
  <c r="B60" i="1"/>
  <c r="C60" i="1"/>
  <c r="D60" i="1"/>
  <c r="E60" i="1"/>
  <c r="F60" i="1"/>
  <c r="G60" i="1"/>
  <c r="H60" i="1"/>
  <c r="A61" i="1"/>
  <c r="B61" i="1"/>
  <c r="C61" i="1"/>
  <c r="D61" i="1"/>
  <c r="E61" i="1"/>
  <c r="F61" i="1"/>
  <c r="G61" i="1"/>
  <c r="H61" i="1"/>
  <c r="A62" i="1"/>
  <c r="B62" i="1"/>
  <c r="C62" i="1"/>
  <c r="D62" i="1"/>
  <c r="E62" i="1"/>
  <c r="F62" i="1"/>
  <c r="G62" i="1"/>
  <c r="H62" i="1"/>
  <c r="A63" i="1"/>
  <c r="B63" i="1"/>
  <c r="C63" i="1"/>
  <c r="D63" i="1"/>
  <c r="E63" i="1"/>
  <c r="F63" i="1"/>
  <c r="G63" i="1"/>
  <c r="H63" i="1"/>
  <c r="A64" i="1"/>
  <c r="B64" i="1"/>
  <c r="C64" i="1"/>
  <c r="D64" i="1"/>
  <c r="E64" i="1"/>
  <c r="F64" i="1"/>
  <c r="G64" i="1"/>
  <c r="H64" i="1"/>
  <c r="A65" i="1"/>
  <c r="B65" i="1"/>
  <c r="C65" i="1"/>
  <c r="D65" i="1"/>
  <c r="E65" i="1"/>
  <c r="F65" i="1"/>
  <c r="G65" i="1"/>
  <c r="H65" i="1"/>
  <c r="A66" i="1"/>
  <c r="B66" i="1"/>
  <c r="C66" i="1"/>
  <c r="D66" i="1"/>
  <c r="E66" i="1"/>
  <c r="F66" i="1"/>
  <c r="G66" i="1"/>
  <c r="H66" i="1"/>
  <c r="A67" i="1"/>
  <c r="B67" i="1"/>
  <c r="C67" i="1"/>
  <c r="D67" i="1"/>
  <c r="E67" i="1"/>
  <c r="F67" i="1"/>
  <c r="G67" i="1"/>
  <c r="H67" i="1"/>
  <c r="A68" i="1"/>
  <c r="B68" i="1"/>
  <c r="C68" i="1"/>
  <c r="D68" i="1"/>
  <c r="E68" i="1"/>
  <c r="F68" i="1"/>
  <c r="G68" i="1"/>
  <c r="H68" i="1"/>
  <c r="A69" i="1"/>
  <c r="B69" i="1"/>
  <c r="C69" i="1"/>
  <c r="D69" i="1"/>
  <c r="E69" i="1"/>
  <c r="F69" i="1"/>
  <c r="G69" i="1"/>
  <c r="H69" i="1"/>
  <c r="A70" i="1"/>
  <c r="B70" i="1"/>
  <c r="C70" i="1"/>
  <c r="D70" i="1"/>
  <c r="E70" i="1"/>
  <c r="F70" i="1"/>
  <c r="G70" i="1"/>
  <c r="H70" i="1"/>
  <c r="A71" i="1"/>
  <c r="B71" i="1"/>
  <c r="C71" i="1"/>
  <c r="D71" i="1"/>
  <c r="E71" i="1"/>
  <c r="F71" i="1"/>
  <c r="G71" i="1"/>
  <c r="H71" i="1"/>
  <c r="A72" i="1"/>
  <c r="B72" i="1"/>
  <c r="C72" i="1"/>
  <c r="D72" i="1"/>
  <c r="E72" i="1"/>
  <c r="F72" i="1"/>
  <c r="G72" i="1"/>
  <c r="H72" i="1"/>
  <c r="A73" i="1"/>
  <c r="B73" i="1"/>
  <c r="C73" i="1"/>
  <c r="D73" i="1"/>
  <c r="E73" i="1"/>
  <c r="F73" i="1"/>
  <c r="G73" i="1"/>
  <c r="H73" i="1"/>
  <c r="A74" i="1"/>
  <c r="B74" i="1"/>
  <c r="C74" i="1"/>
  <c r="D74" i="1"/>
  <c r="E74" i="1"/>
  <c r="F74" i="1"/>
  <c r="G74" i="1"/>
  <c r="H74" i="1"/>
  <c r="A75" i="1"/>
  <c r="B75" i="1"/>
  <c r="C75" i="1"/>
  <c r="D75" i="1"/>
  <c r="E75" i="1"/>
  <c r="F75" i="1"/>
  <c r="G75" i="1"/>
  <c r="H75" i="1"/>
  <c r="A76" i="1"/>
  <c r="B76" i="1"/>
  <c r="C76" i="1"/>
  <c r="D76" i="1"/>
  <c r="E76" i="1"/>
  <c r="F76" i="1"/>
  <c r="G76" i="1"/>
  <c r="H76" i="1"/>
  <c r="A77" i="1"/>
  <c r="B77" i="1"/>
  <c r="C77" i="1"/>
  <c r="D77" i="1"/>
  <c r="E77" i="1"/>
  <c r="F77" i="1"/>
  <c r="G77" i="1"/>
  <c r="H77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H79" i="1"/>
  <c r="A80" i="1"/>
  <c r="B80" i="1"/>
  <c r="C80" i="1"/>
  <c r="D80" i="1"/>
  <c r="E80" i="1"/>
  <c r="F80" i="1"/>
  <c r="G80" i="1"/>
  <c r="H80" i="1"/>
  <c r="A81" i="1"/>
  <c r="B81" i="1"/>
  <c r="C81" i="1"/>
  <c r="D81" i="1"/>
  <c r="E81" i="1"/>
  <c r="F81" i="1"/>
  <c r="G81" i="1"/>
  <c r="H81" i="1"/>
  <c r="A82" i="1"/>
  <c r="B82" i="1"/>
  <c r="C82" i="1"/>
  <c r="D82" i="1"/>
  <c r="E82" i="1"/>
  <c r="F82" i="1"/>
  <c r="G82" i="1"/>
  <c r="H82" i="1"/>
  <c r="A83" i="1"/>
  <c r="B83" i="1"/>
  <c r="C83" i="1"/>
  <c r="D83" i="1"/>
  <c r="E83" i="1"/>
  <c r="F83" i="1"/>
  <c r="G83" i="1"/>
  <c r="H83" i="1"/>
  <c r="A84" i="1"/>
  <c r="B84" i="1"/>
  <c r="C84" i="1"/>
  <c r="D84" i="1"/>
  <c r="E84" i="1"/>
  <c r="F84" i="1"/>
  <c r="G84" i="1"/>
  <c r="H84" i="1"/>
  <c r="A85" i="1"/>
  <c r="B85" i="1"/>
  <c r="C85" i="1"/>
  <c r="D85" i="1"/>
  <c r="E85" i="1"/>
  <c r="F85" i="1"/>
  <c r="G85" i="1"/>
  <c r="H85" i="1"/>
  <c r="A86" i="1"/>
  <c r="B86" i="1"/>
  <c r="C86" i="1"/>
  <c r="D86" i="1"/>
  <c r="E86" i="1"/>
  <c r="F86" i="1"/>
  <c r="G86" i="1"/>
  <c r="H86" i="1"/>
  <c r="A87" i="1"/>
  <c r="B87" i="1"/>
  <c r="C87" i="1"/>
  <c r="D87" i="1"/>
  <c r="E87" i="1"/>
  <c r="F87" i="1"/>
  <c r="G87" i="1"/>
  <c r="H87" i="1"/>
  <c r="A88" i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H89" i="1"/>
  <c r="A90" i="1"/>
  <c r="B90" i="1"/>
  <c r="C90" i="1"/>
  <c r="D90" i="1"/>
  <c r="E90" i="1"/>
  <c r="F90" i="1"/>
  <c r="G90" i="1"/>
  <c r="H90" i="1"/>
  <c r="A91" i="1"/>
  <c r="B91" i="1"/>
  <c r="C91" i="1"/>
  <c r="D91" i="1"/>
  <c r="E91" i="1"/>
  <c r="F91" i="1"/>
  <c r="G91" i="1"/>
  <c r="H91" i="1"/>
  <c r="A92" i="1"/>
  <c r="B92" i="1"/>
  <c r="C92" i="1"/>
  <c r="D92" i="1"/>
  <c r="E92" i="1"/>
  <c r="F92" i="1"/>
  <c r="G92" i="1"/>
  <c r="H92" i="1"/>
  <c r="A93" i="1"/>
  <c r="B93" i="1"/>
  <c r="C93" i="1"/>
  <c r="D93" i="1"/>
  <c r="E93" i="1"/>
  <c r="F93" i="1"/>
  <c r="G93" i="1"/>
  <c r="H93" i="1"/>
  <c r="A94" i="1"/>
  <c r="B94" i="1"/>
  <c r="C94" i="1"/>
  <c r="D94" i="1"/>
  <c r="E94" i="1"/>
  <c r="F94" i="1"/>
  <c r="G94" i="1"/>
  <c r="H94" i="1"/>
  <c r="A95" i="1"/>
  <c r="B95" i="1"/>
  <c r="C95" i="1"/>
  <c r="D95" i="1"/>
  <c r="E95" i="1"/>
  <c r="F95" i="1"/>
  <c r="G95" i="1"/>
  <c r="H95" i="1"/>
  <c r="A96" i="1"/>
  <c r="B96" i="1"/>
  <c r="C96" i="1"/>
  <c r="D96" i="1"/>
  <c r="E96" i="1"/>
  <c r="F96" i="1"/>
  <c r="G96" i="1"/>
  <c r="H96" i="1"/>
  <c r="A97" i="1"/>
  <c r="B97" i="1"/>
  <c r="C97" i="1"/>
  <c r="D97" i="1"/>
  <c r="E97" i="1"/>
  <c r="F97" i="1"/>
  <c r="G97" i="1"/>
  <c r="H97" i="1"/>
  <c r="A98" i="1"/>
  <c r="B98" i="1"/>
  <c r="C98" i="1"/>
  <c r="D98" i="1"/>
  <c r="E98" i="1"/>
  <c r="F98" i="1"/>
  <c r="G98" i="1"/>
  <c r="H98" i="1"/>
  <c r="A99" i="1"/>
  <c r="B99" i="1"/>
  <c r="C99" i="1"/>
  <c r="D99" i="1"/>
  <c r="E99" i="1"/>
  <c r="F99" i="1"/>
  <c r="G99" i="1"/>
  <c r="H99" i="1"/>
  <c r="A100" i="1"/>
  <c r="B100" i="1"/>
  <c r="C100" i="1"/>
  <c r="D100" i="1"/>
  <c r="E100" i="1"/>
  <c r="F100" i="1"/>
  <c r="G100" i="1"/>
  <c r="H100" i="1"/>
  <c r="A101" i="1"/>
  <c r="B101" i="1"/>
  <c r="C101" i="1"/>
  <c r="D101" i="1"/>
  <c r="E101" i="1"/>
  <c r="F101" i="1"/>
  <c r="G101" i="1"/>
  <c r="H101" i="1"/>
  <c r="A102" i="1"/>
  <c r="B102" i="1"/>
  <c r="C102" i="1"/>
  <c r="D102" i="1"/>
  <c r="E102" i="1"/>
  <c r="F102" i="1"/>
  <c r="G102" i="1"/>
  <c r="H102" i="1"/>
  <c r="A103" i="1"/>
  <c r="B103" i="1"/>
  <c r="C103" i="1"/>
  <c r="D103" i="1"/>
  <c r="E103" i="1"/>
  <c r="F103" i="1"/>
  <c r="G103" i="1"/>
  <c r="H103" i="1"/>
  <c r="A104" i="1"/>
  <c r="B104" i="1"/>
  <c r="C104" i="1"/>
  <c r="D104" i="1"/>
  <c r="E104" i="1"/>
  <c r="F104" i="1"/>
  <c r="G104" i="1"/>
  <c r="H104" i="1"/>
  <c r="A105" i="1"/>
  <c r="B105" i="1"/>
  <c r="C105" i="1"/>
  <c r="D105" i="1"/>
  <c r="E105" i="1"/>
  <c r="F105" i="1"/>
  <c r="G105" i="1"/>
  <c r="H105" i="1"/>
  <c r="A106" i="1"/>
  <c r="B106" i="1"/>
  <c r="C106" i="1"/>
  <c r="D106" i="1"/>
  <c r="E106" i="1"/>
  <c r="F106" i="1"/>
  <c r="G106" i="1"/>
  <c r="H106" i="1"/>
  <c r="A107" i="1"/>
  <c r="B107" i="1"/>
  <c r="C107" i="1"/>
  <c r="D107" i="1"/>
  <c r="E107" i="1"/>
  <c r="F107" i="1"/>
  <c r="G107" i="1"/>
  <c r="H107" i="1"/>
  <c r="A108" i="1"/>
  <c r="B108" i="1"/>
  <c r="C108" i="1"/>
  <c r="D108" i="1"/>
  <c r="E108" i="1"/>
  <c r="F108" i="1"/>
  <c r="G108" i="1"/>
  <c r="H108" i="1"/>
  <c r="A109" i="1"/>
  <c r="B109" i="1"/>
  <c r="C109" i="1"/>
  <c r="D109" i="1"/>
  <c r="E109" i="1"/>
  <c r="F109" i="1"/>
  <c r="G109" i="1"/>
  <c r="H109" i="1"/>
  <c r="A110" i="1"/>
  <c r="B110" i="1"/>
  <c r="C110" i="1"/>
  <c r="D110" i="1"/>
  <c r="E110" i="1"/>
  <c r="F110" i="1"/>
  <c r="G110" i="1"/>
  <c r="H110" i="1"/>
  <c r="A111" i="1"/>
  <c r="B111" i="1"/>
  <c r="C111" i="1"/>
  <c r="D111" i="1"/>
  <c r="E111" i="1"/>
  <c r="F111" i="1"/>
  <c r="G111" i="1"/>
  <c r="H111" i="1"/>
  <c r="A112" i="1"/>
  <c r="B112" i="1"/>
  <c r="C112" i="1"/>
  <c r="D112" i="1"/>
  <c r="E112" i="1"/>
  <c r="F112" i="1"/>
  <c r="G112" i="1"/>
  <c r="H112" i="1"/>
  <c r="A113" i="1"/>
  <c r="B113" i="1"/>
  <c r="C113" i="1"/>
  <c r="D113" i="1"/>
  <c r="E113" i="1"/>
  <c r="F113" i="1"/>
  <c r="G113" i="1"/>
  <c r="H113" i="1"/>
  <c r="A114" i="1"/>
  <c r="B114" i="1"/>
  <c r="C114" i="1"/>
  <c r="D114" i="1"/>
  <c r="E114" i="1"/>
  <c r="F114" i="1"/>
  <c r="G114" i="1"/>
  <c r="H114" i="1"/>
  <c r="A115" i="1"/>
  <c r="B115" i="1"/>
  <c r="C115" i="1"/>
  <c r="D115" i="1"/>
  <c r="E115" i="1"/>
  <c r="F115" i="1"/>
  <c r="G115" i="1"/>
  <c r="H115" i="1"/>
  <c r="A116" i="1"/>
  <c r="B116" i="1"/>
  <c r="C116" i="1"/>
  <c r="D116" i="1"/>
  <c r="E116" i="1"/>
  <c r="F116" i="1"/>
  <c r="G116" i="1"/>
  <c r="H116" i="1"/>
  <c r="A117" i="1"/>
  <c r="B117" i="1"/>
  <c r="C117" i="1"/>
  <c r="D117" i="1"/>
  <c r="E117" i="1"/>
  <c r="F117" i="1"/>
  <c r="G117" i="1"/>
  <c r="H117" i="1"/>
  <c r="A118" i="1"/>
  <c r="B118" i="1"/>
  <c r="C118" i="1"/>
  <c r="D118" i="1"/>
  <c r="E118" i="1"/>
  <c r="F118" i="1"/>
  <c r="G118" i="1"/>
  <c r="H118" i="1"/>
  <c r="A119" i="1"/>
  <c r="B119" i="1"/>
  <c r="C119" i="1"/>
  <c r="D119" i="1"/>
  <c r="E119" i="1"/>
  <c r="F119" i="1"/>
  <c r="G119" i="1"/>
  <c r="H119" i="1"/>
  <c r="A120" i="1"/>
  <c r="B120" i="1"/>
  <c r="C120" i="1"/>
  <c r="D120" i="1"/>
  <c r="E120" i="1"/>
  <c r="F120" i="1"/>
  <c r="G120" i="1"/>
  <c r="H120" i="1"/>
  <c r="A121" i="1"/>
  <c r="B121" i="1"/>
  <c r="C121" i="1"/>
  <c r="D121" i="1"/>
  <c r="E121" i="1"/>
  <c r="F121" i="1"/>
  <c r="G121" i="1"/>
  <c r="H121" i="1"/>
  <c r="A122" i="1"/>
  <c r="B122" i="1"/>
  <c r="C122" i="1"/>
  <c r="D122" i="1"/>
  <c r="E122" i="1"/>
  <c r="F122" i="1"/>
  <c r="G122" i="1"/>
  <c r="H122" i="1"/>
  <c r="A123" i="1"/>
  <c r="B123" i="1"/>
  <c r="C123" i="1"/>
  <c r="D123" i="1"/>
  <c r="E123" i="1"/>
  <c r="F123" i="1"/>
  <c r="G123" i="1"/>
  <c r="H123" i="1"/>
  <c r="A124" i="1"/>
  <c r="B124" i="1"/>
  <c r="C124" i="1"/>
  <c r="D124" i="1"/>
  <c r="E124" i="1"/>
  <c r="F124" i="1"/>
  <c r="G124" i="1"/>
  <c r="H124" i="1"/>
  <c r="A125" i="1"/>
  <c r="B125" i="1"/>
  <c r="C125" i="1"/>
  <c r="D125" i="1"/>
  <c r="E125" i="1"/>
  <c r="F125" i="1"/>
  <c r="G125" i="1"/>
  <c r="H125" i="1"/>
  <c r="A126" i="1"/>
  <c r="B126" i="1"/>
  <c r="C126" i="1"/>
  <c r="D126" i="1"/>
  <c r="E126" i="1"/>
  <c r="F126" i="1"/>
  <c r="G126" i="1"/>
  <c r="H126" i="1"/>
  <c r="A127" i="1"/>
  <c r="B127" i="1"/>
  <c r="C127" i="1"/>
  <c r="D127" i="1"/>
  <c r="E127" i="1"/>
  <c r="F127" i="1"/>
  <c r="G127" i="1"/>
  <c r="H127" i="1"/>
  <c r="A128" i="1"/>
  <c r="B128" i="1"/>
  <c r="C128" i="1"/>
  <c r="D128" i="1"/>
  <c r="E128" i="1"/>
  <c r="F128" i="1"/>
  <c r="G128" i="1"/>
  <c r="H128" i="1"/>
  <c r="A129" i="1"/>
  <c r="B129" i="1"/>
  <c r="C129" i="1"/>
  <c r="D129" i="1"/>
  <c r="E129" i="1"/>
  <c r="F129" i="1"/>
  <c r="G129" i="1"/>
  <c r="H129" i="1"/>
  <c r="A130" i="1"/>
  <c r="B130" i="1"/>
  <c r="C130" i="1"/>
  <c r="D130" i="1"/>
  <c r="E130" i="1"/>
  <c r="F130" i="1"/>
  <c r="G130" i="1"/>
  <c r="H130" i="1"/>
  <c r="A131" i="1"/>
  <c r="B131" i="1"/>
  <c r="C131" i="1"/>
  <c r="D131" i="1"/>
  <c r="E131" i="1"/>
  <c r="F131" i="1"/>
  <c r="G131" i="1"/>
  <c r="H131" i="1"/>
  <c r="A132" i="1"/>
  <c r="B132" i="1"/>
  <c r="C132" i="1"/>
  <c r="D132" i="1"/>
  <c r="E132" i="1"/>
  <c r="F132" i="1"/>
  <c r="G132" i="1"/>
  <c r="H132" i="1"/>
  <c r="A133" i="1"/>
  <c r="B133" i="1"/>
  <c r="C133" i="1"/>
  <c r="D133" i="1"/>
  <c r="E133" i="1"/>
  <c r="F133" i="1"/>
  <c r="G133" i="1"/>
  <c r="H133" i="1"/>
  <c r="A134" i="1"/>
  <c r="B134" i="1"/>
  <c r="C134" i="1"/>
  <c r="D134" i="1"/>
  <c r="E134" i="1"/>
  <c r="F134" i="1"/>
  <c r="G134" i="1"/>
  <c r="H134" i="1"/>
  <c r="A135" i="1"/>
  <c r="B135" i="1"/>
  <c r="C135" i="1"/>
  <c r="D135" i="1"/>
  <c r="E135" i="1"/>
  <c r="F135" i="1"/>
  <c r="G135" i="1"/>
  <c r="H135" i="1"/>
  <c r="A136" i="1"/>
  <c r="B136" i="1"/>
  <c r="C136" i="1"/>
  <c r="D136" i="1"/>
  <c r="E136" i="1"/>
  <c r="F136" i="1"/>
  <c r="G136" i="1"/>
  <c r="H136" i="1"/>
  <c r="A137" i="1"/>
  <c r="B137" i="1"/>
  <c r="C137" i="1"/>
  <c r="D137" i="1"/>
  <c r="E137" i="1"/>
  <c r="F137" i="1"/>
  <c r="G137" i="1"/>
  <c r="H137" i="1"/>
  <c r="A138" i="1"/>
  <c r="B138" i="1"/>
  <c r="C138" i="1"/>
  <c r="D138" i="1"/>
  <c r="E138" i="1"/>
  <c r="F138" i="1"/>
  <c r="G138" i="1"/>
  <c r="H138" i="1"/>
  <c r="A139" i="1"/>
  <c r="B139" i="1"/>
  <c r="C139" i="1"/>
  <c r="D139" i="1"/>
  <c r="E139" i="1"/>
  <c r="F139" i="1"/>
  <c r="G139" i="1"/>
  <c r="H139" i="1"/>
  <c r="A140" i="1"/>
  <c r="B140" i="1"/>
  <c r="C140" i="1"/>
  <c r="D140" i="1"/>
  <c r="E140" i="1"/>
  <c r="F140" i="1"/>
  <c r="G140" i="1"/>
  <c r="H140" i="1"/>
  <c r="A141" i="1"/>
  <c r="B141" i="1"/>
  <c r="C141" i="1"/>
  <c r="D141" i="1"/>
  <c r="E141" i="1"/>
  <c r="F141" i="1"/>
  <c r="G141" i="1"/>
  <c r="H141" i="1"/>
  <c r="A142" i="1"/>
  <c r="B142" i="1"/>
  <c r="C142" i="1"/>
  <c r="D142" i="1"/>
  <c r="E142" i="1"/>
  <c r="F142" i="1"/>
  <c r="G142" i="1"/>
  <c r="H142" i="1"/>
  <c r="A143" i="1"/>
  <c r="B143" i="1"/>
  <c r="C143" i="1"/>
  <c r="D143" i="1"/>
  <c r="E143" i="1"/>
  <c r="F143" i="1"/>
  <c r="G143" i="1"/>
  <c r="H143" i="1"/>
  <c r="A144" i="1"/>
  <c r="B144" i="1"/>
  <c r="C144" i="1"/>
  <c r="D144" i="1"/>
  <c r="E144" i="1"/>
  <c r="F144" i="1"/>
  <c r="G144" i="1"/>
  <c r="H144" i="1"/>
  <c r="A145" i="1"/>
  <c r="B145" i="1"/>
  <c r="C145" i="1"/>
  <c r="D145" i="1"/>
  <c r="E145" i="1"/>
  <c r="F145" i="1"/>
  <c r="G145" i="1"/>
  <c r="H145" i="1"/>
  <c r="A146" i="1"/>
  <c r="B146" i="1"/>
  <c r="C146" i="1"/>
  <c r="D146" i="1"/>
  <c r="E146" i="1"/>
  <c r="F146" i="1"/>
  <c r="G146" i="1"/>
  <c r="H146" i="1"/>
  <c r="A147" i="1"/>
  <c r="B147" i="1"/>
  <c r="C147" i="1"/>
  <c r="D147" i="1"/>
  <c r="E147" i="1"/>
  <c r="F147" i="1"/>
  <c r="G147" i="1"/>
  <c r="H147" i="1"/>
  <c r="A148" i="1"/>
  <c r="B148" i="1"/>
  <c r="C148" i="1"/>
  <c r="D148" i="1"/>
  <c r="E148" i="1"/>
  <c r="F148" i="1"/>
  <c r="G148" i="1"/>
  <c r="H148" i="1"/>
  <c r="A149" i="1"/>
  <c r="B149" i="1"/>
  <c r="C149" i="1"/>
  <c r="D149" i="1"/>
  <c r="E149" i="1"/>
  <c r="F149" i="1"/>
  <c r="G149" i="1"/>
  <c r="H149" i="1"/>
  <c r="A150" i="1"/>
  <c r="B150" i="1"/>
  <c r="C150" i="1"/>
  <c r="D150" i="1"/>
  <c r="E150" i="1"/>
  <c r="F150" i="1"/>
  <c r="G150" i="1"/>
  <c r="H150" i="1"/>
  <c r="A151" i="1"/>
  <c r="B151" i="1"/>
  <c r="C151" i="1"/>
  <c r="D151" i="1"/>
  <c r="E151" i="1"/>
  <c r="F151" i="1"/>
  <c r="G151" i="1"/>
  <c r="H151" i="1"/>
  <c r="A152" i="1"/>
  <c r="B152" i="1"/>
  <c r="C152" i="1"/>
  <c r="D152" i="1"/>
  <c r="E152" i="1"/>
  <c r="F152" i="1"/>
  <c r="G152" i="1"/>
  <c r="H152" i="1"/>
  <c r="A153" i="1"/>
  <c r="B153" i="1"/>
  <c r="C153" i="1"/>
  <c r="D153" i="1"/>
  <c r="E153" i="1"/>
  <c r="F153" i="1"/>
  <c r="G153" i="1"/>
  <c r="H153" i="1"/>
  <c r="A154" i="1"/>
  <c r="B154" i="1"/>
  <c r="C154" i="1"/>
  <c r="D154" i="1"/>
  <c r="E154" i="1"/>
  <c r="F154" i="1"/>
  <c r="G154" i="1"/>
  <c r="H154" i="1"/>
  <c r="A155" i="1"/>
  <c r="B155" i="1"/>
  <c r="C155" i="1"/>
  <c r="D155" i="1"/>
  <c r="E155" i="1"/>
  <c r="F155" i="1"/>
  <c r="G155" i="1"/>
  <c r="H155" i="1"/>
  <c r="A156" i="1"/>
  <c r="B156" i="1"/>
  <c r="C156" i="1"/>
  <c r="D156" i="1"/>
  <c r="E156" i="1"/>
  <c r="F156" i="1"/>
  <c r="G156" i="1"/>
  <c r="H156" i="1"/>
  <c r="A157" i="1"/>
  <c r="B157" i="1"/>
  <c r="C157" i="1"/>
  <c r="D157" i="1"/>
  <c r="E157" i="1"/>
  <c r="F157" i="1"/>
  <c r="G157" i="1"/>
  <c r="H157" i="1"/>
  <c r="A158" i="1"/>
  <c r="B158" i="1"/>
  <c r="C158" i="1"/>
  <c r="D158" i="1"/>
  <c r="E158" i="1"/>
  <c r="F158" i="1"/>
  <c r="G158" i="1"/>
  <c r="H158" i="1"/>
  <c r="A159" i="1"/>
  <c r="B159" i="1"/>
  <c r="C159" i="1"/>
  <c r="D159" i="1"/>
  <c r="E159" i="1"/>
  <c r="F159" i="1"/>
  <c r="G159" i="1"/>
  <c r="H159" i="1"/>
  <c r="A160" i="1"/>
  <c r="B160" i="1"/>
  <c r="C160" i="1"/>
  <c r="D160" i="1"/>
  <c r="E160" i="1"/>
  <c r="F160" i="1"/>
  <c r="G160" i="1"/>
  <c r="H160" i="1"/>
  <c r="A161" i="1"/>
  <c r="B161" i="1"/>
  <c r="C161" i="1"/>
  <c r="D161" i="1"/>
  <c r="E161" i="1"/>
  <c r="F161" i="1"/>
  <c r="G161" i="1"/>
  <c r="H161" i="1"/>
  <c r="A162" i="1"/>
  <c r="B162" i="1"/>
  <c r="C162" i="1"/>
  <c r="D162" i="1"/>
  <c r="E162" i="1"/>
  <c r="F162" i="1"/>
  <c r="G162" i="1"/>
  <c r="H162" i="1"/>
  <c r="A163" i="1"/>
  <c r="B163" i="1"/>
  <c r="C163" i="1"/>
  <c r="D163" i="1"/>
  <c r="E163" i="1"/>
  <c r="F163" i="1"/>
  <c r="G163" i="1"/>
  <c r="H163" i="1"/>
  <c r="A164" i="1"/>
  <c r="B164" i="1"/>
  <c r="C164" i="1"/>
  <c r="D164" i="1"/>
  <c r="E164" i="1"/>
  <c r="F164" i="1"/>
  <c r="G164" i="1"/>
  <c r="H164" i="1"/>
  <c r="A165" i="1"/>
  <c r="B165" i="1"/>
  <c r="C165" i="1"/>
  <c r="D165" i="1"/>
  <c r="E165" i="1"/>
  <c r="F165" i="1"/>
  <c r="G165" i="1"/>
  <c r="H165" i="1"/>
  <c r="A166" i="1"/>
  <c r="B166" i="1"/>
  <c r="C166" i="1"/>
  <c r="D166" i="1"/>
  <c r="E166" i="1"/>
  <c r="F166" i="1"/>
  <c r="G166" i="1"/>
  <c r="H166" i="1"/>
  <c r="A167" i="1"/>
  <c r="B167" i="1"/>
  <c r="C167" i="1"/>
  <c r="D167" i="1"/>
  <c r="E167" i="1"/>
  <c r="F167" i="1"/>
  <c r="G167" i="1"/>
  <c r="H167" i="1"/>
  <c r="A168" i="1"/>
  <c r="B168" i="1"/>
  <c r="C168" i="1"/>
  <c r="D168" i="1"/>
  <c r="E168" i="1"/>
  <c r="F168" i="1"/>
  <c r="G168" i="1"/>
  <c r="H168" i="1"/>
  <c r="A169" i="1"/>
  <c r="B169" i="1"/>
  <c r="C169" i="1"/>
  <c r="D169" i="1"/>
  <c r="E169" i="1"/>
  <c r="F169" i="1"/>
  <c r="G169" i="1"/>
  <c r="H169" i="1"/>
  <c r="A170" i="1"/>
  <c r="B170" i="1"/>
  <c r="C170" i="1"/>
  <c r="D170" i="1"/>
  <c r="E170" i="1"/>
  <c r="F170" i="1"/>
  <c r="G170" i="1"/>
  <c r="H170" i="1"/>
  <c r="A171" i="1"/>
  <c r="B171" i="1"/>
  <c r="C171" i="1"/>
  <c r="D171" i="1"/>
  <c r="E171" i="1"/>
  <c r="F171" i="1"/>
  <c r="G171" i="1"/>
  <c r="H171" i="1"/>
  <c r="A172" i="1"/>
  <c r="B172" i="1"/>
  <c r="C172" i="1"/>
  <c r="D172" i="1"/>
  <c r="E172" i="1"/>
  <c r="F172" i="1"/>
  <c r="G172" i="1"/>
  <c r="H172" i="1"/>
  <c r="A173" i="1"/>
  <c r="B173" i="1"/>
  <c r="C173" i="1"/>
  <c r="D173" i="1"/>
  <c r="E173" i="1"/>
  <c r="F173" i="1"/>
  <c r="G173" i="1"/>
  <c r="H173" i="1"/>
  <c r="A174" i="1"/>
  <c r="B174" i="1"/>
  <c r="C174" i="1"/>
  <c r="D174" i="1"/>
  <c r="E174" i="1"/>
  <c r="F174" i="1"/>
  <c r="G174" i="1"/>
  <c r="H174" i="1"/>
  <c r="A175" i="1"/>
  <c r="B175" i="1"/>
  <c r="C175" i="1"/>
  <c r="D175" i="1"/>
  <c r="E175" i="1"/>
  <c r="F175" i="1"/>
  <c r="G175" i="1"/>
  <c r="H175" i="1"/>
  <c r="A176" i="1"/>
  <c r="B176" i="1"/>
  <c r="C176" i="1"/>
  <c r="D176" i="1"/>
  <c r="E176" i="1"/>
  <c r="F176" i="1"/>
  <c r="G176" i="1"/>
  <c r="H176" i="1"/>
  <c r="A177" i="1"/>
  <c r="B177" i="1"/>
  <c r="C177" i="1"/>
  <c r="D177" i="1"/>
  <c r="E177" i="1"/>
  <c r="F177" i="1"/>
  <c r="G177" i="1"/>
  <c r="H177" i="1"/>
  <c r="A178" i="1"/>
  <c r="B178" i="1"/>
  <c r="C178" i="1"/>
  <c r="D178" i="1"/>
  <c r="E178" i="1"/>
  <c r="F178" i="1"/>
  <c r="G178" i="1"/>
  <c r="H178" i="1"/>
  <c r="A179" i="1"/>
  <c r="B179" i="1"/>
  <c r="C179" i="1"/>
  <c r="D179" i="1"/>
  <c r="E179" i="1"/>
  <c r="F179" i="1"/>
  <c r="G179" i="1"/>
  <c r="H179" i="1"/>
  <c r="A180" i="1"/>
  <c r="B180" i="1"/>
  <c r="C180" i="1"/>
  <c r="D180" i="1"/>
  <c r="E180" i="1"/>
  <c r="F180" i="1"/>
  <c r="G180" i="1"/>
  <c r="H180" i="1"/>
  <c r="A181" i="1"/>
  <c r="B181" i="1"/>
  <c r="C181" i="1"/>
  <c r="D181" i="1"/>
  <c r="E181" i="1"/>
  <c r="F181" i="1"/>
  <c r="G181" i="1"/>
  <c r="H181" i="1"/>
  <c r="A182" i="1"/>
  <c r="B182" i="1"/>
  <c r="C182" i="1"/>
  <c r="D182" i="1"/>
  <c r="E182" i="1"/>
  <c r="F182" i="1"/>
  <c r="G182" i="1"/>
  <c r="H182" i="1"/>
  <c r="A183" i="1"/>
  <c r="B183" i="1"/>
  <c r="C183" i="1"/>
  <c r="D183" i="1"/>
  <c r="E183" i="1"/>
  <c r="F183" i="1"/>
  <c r="G183" i="1"/>
  <c r="H183" i="1"/>
  <c r="A184" i="1"/>
  <c r="B184" i="1"/>
  <c r="C184" i="1"/>
  <c r="D184" i="1"/>
  <c r="E184" i="1"/>
  <c r="F184" i="1"/>
  <c r="G184" i="1"/>
  <c r="H184" i="1"/>
  <c r="A185" i="1"/>
  <c r="B185" i="1"/>
  <c r="C185" i="1"/>
  <c r="D185" i="1"/>
  <c r="E185" i="1"/>
  <c r="F185" i="1"/>
  <c r="G185" i="1"/>
  <c r="H185" i="1"/>
  <c r="A186" i="1"/>
  <c r="B186" i="1"/>
  <c r="C186" i="1"/>
  <c r="D186" i="1"/>
  <c r="E186" i="1"/>
  <c r="F186" i="1"/>
  <c r="G186" i="1"/>
  <c r="H186" i="1"/>
  <c r="A187" i="1"/>
  <c r="B187" i="1"/>
  <c r="C187" i="1"/>
  <c r="D187" i="1"/>
  <c r="E187" i="1"/>
  <c r="F187" i="1"/>
  <c r="G187" i="1"/>
  <c r="H187" i="1"/>
  <c r="A188" i="1"/>
  <c r="B188" i="1"/>
  <c r="C188" i="1"/>
  <c r="D188" i="1"/>
  <c r="E188" i="1"/>
  <c r="F188" i="1"/>
  <c r="G188" i="1"/>
  <c r="H188" i="1"/>
  <c r="A189" i="1"/>
  <c r="B189" i="1"/>
  <c r="C189" i="1"/>
  <c r="D189" i="1"/>
  <c r="E189" i="1"/>
  <c r="F189" i="1"/>
  <c r="G189" i="1"/>
  <c r="H189" i="1"/>
  <c r="A190" i="1"/>
  <c r="B190" i="1"/>
  <c r="C190" i="1"/>
  <c r="D190" i="1"/>
  <c r="E190" i="1"/>
  <c r="F190" i="1"/>
  <c r="G190" i="1"/>
  <c r="H190" i="1"/>
  <c r="A191" i="1"/>
  <c r="B191" i="1"/>
  <c r="C191" i="1"/>
  <c r="D191" i="1"/>
  <c r="E191" i="1"/>
  <c r="F191" i="1"/>
  <c r="G191" i="1"/>
  <c r="H191" i="1"/>
  <c r="A192" i="1"/>
  <c r="B192" i="1"/>
  <c r="C192" i="1"/>
  <c r="D192" i="1"/>
  <c r="E192" i="1"/>
  <c r="F192" i="1"/>
  <c r="G192" i="1"/>
  <c r="H192" i="1"/>
  <c r="A193" i="1"/>
  <c r="B193" i="1"/>
  <c r="C193" i="1"/>
  <c r="D193" i="1"/>
  <c r="E193" i="1"/>
  <c r="F193" i="1"/>
  <c r="G193" i="1"/>
  <c r="H193" i="1"/>
  <c r="A194" i="1"/>
  <c r="B194" i="1"/>
  <c r="C194" i="1"/>
  <c r="D194" i="1"/>
  <c r="E194" i="1"/>
  <c r="F194" i="1"/>
  <c r="G194" i="1"/>
  <c r="H194" i="1"/>
  <c r="A195" i="1"/>
  <c r="B195" i="1"/>
  <c r="C195" i="1"/>
  <c r="D195" i="1"/>
  <c r="E195" i="1"/>
  <c r="F195" i="1"/>
  <c r="G195" i="1"/>
  <c r="H195" i="1"/>
  <c r="A196" i="1"/>
  <c r="B196" i="1"/>
  <c r="C196" i="1"/>
  <c r="D196" i="1"/>
  <c r="E196" i="1"/>
  <c r="F196" i="1"/>
  <c r="G196" i="1"/>
  <c r="H196" i="1"/>
  <c r="A197" i="1"/>
  <c r="B197" i="1"/>
  <c r="C197" i="1"/>
  <c r="D197" i="1"/>
  <c r="E197" i="1"/>
  <c r="F197" i="1"/>
  <c r="G197" i="1"/>
  <c r="H197" i="1"/>
  <c r="A198" i="1"/>
  <c r="B198" i="1"/>
  <c r="C198" i="1"/>
  <c r="D198" i="1"/>
  <c r="E198" i="1"/>
  <c r="F198" i="1"/>
  <c r="G198" i="1"/>
  <c r="H198" i="1"/>
  <c r="A199" i="1"/>
  <c r="B199" i="1"/>
  <c r="C199" i="1"/>
  <c r="D199" i="1"/>
  <c r="E199" i="1"/>
  <c r="F199" i="1"/>
  <c r="G199" i="1"/>
  <c r="H199" i="1"/>
  <c r="A200" i="1"/>
  <c r="B200" i="1"/>
  <c r="C200" i="1"/>
  <c r="D200" i="1"/>
  <c r="E200" i="1"/>
  <c r="F200" i="1"/>
  <c r="G200" i="1"/>
  <c r="H200" i="1"/>
  <c r="A201" i="1"/>
  <c r="B201" i="1"/>
  <c r="C201" i="1"/>
  <c r="D201" i="1"/>
  <c r="E201" i="1"/>
  <c r="F201" i="1"/>
  <c r="G201" i="1"/>
  <c r="H201" i="1"/>
  <c r="A202" i="1"/>
  <c r="B202" i="1"/>
  <c r="C202" i="1"/>
  <c r="D202" i="1"/>
  <c r="E202" i="1"/>
  <c r="F202" i="1"/>
  <c r="G202" i="1"/>
  <c r="H202" i="1"/>
  <c r="A203" i="1"/>
  <c r="B203" i="1"/>
  <c r="C203" i="1"/>
  <c r="D203" i="1"/>
  <c r="E203" i="1"/>
  <c r="F203" i="1"/>
  <c r="G203" i="1"/>
  <c r="H203" i="1"/>
  <c r="A204" i="1"/>
  <c r="B204" i="1"/>
  <c r="C204" i="1"/>
  <c r="D204" i="1"/>
  <c r="E204" i="1"/>
  <c r="F204" i="1"/>
  <c r="G204" i="1"/>
  <c r="H204" i="1"/>
  <c r="A205" i="1"/>
  <c r="B205" i="1"/>
  <c r="C205" i="1"/>
  <c r="D205" i="1"/>
  <c r="E205" i="1"/>
  <c r="F205" i="1"/>
  <c r="G205" i="1"/>
  <c r="H205" i="1"/>
  <c r="A206" i="1"/>
  <c r="B206" i="1"/>
  <c r="C206" i="1"/>
  <c r="D206" i="1"/>
  <c r="E206" i="1"/>
  <c r="F206" i="1"/>
  <c r="G206" i="1"/>
  <c r="H206" i="1"/>
  <c r="A207" i="1"/>
  <c r="B207" i="1"/>
  <c r="C207" i="1"/>
  <c r="D207" i="1"/>
  <c r="E207" i="1"/>
  <c r="F207" i="1"/>
  <c r="G207" i="1"/>
  <c r="H207" i="1"/>
  <c r="A208" i="1"/>
  <c r="B208" i="1"/>
  <c r="C208" i="1"/>
  <c r="D208" i="1"/>
  <c r="E208" i="1"/>
  <c r="F208" i="1"/>
  <c r="G208" i="1"/>
  <c r="H208" i="1"/>
  <c r="A209" i="1"/>
  <c r="B209" i="1"/>
  <c r="C209" i="1"/>
  <c r="D209" i="1"/>
  <c r="E209" i="1"/>
  <c r="F209" i="1"/>
  <c r="G209" i="1"/>
  <c r="H209" i="1"/>
  <c r="A210" i="1"/>
  <c r="B210" i="1"/>
  <c r="C210" i="1"/>
  <c r="D210" i="1"/>
  <c r="E210" i="1"/>
  <c r="F210" i="1"/>
  <c r="G210" i="1"/>
  <c r="H210" i="1"/>
  <c r="A211" i="1"/>
  <c r="B211" i="1"/>
  <c r="C211" i="1"/>
  <c r="D211" i="1"/>
  <c r="E211" i="1"/>
  <c r="F211" i="1"/>
  <c r="G211" i="1"/>
  <c r="H211" i="1"/>
  <c r="A212" i="1"/>
  <c r="B212" i="1"/>
  <c r="C212" i="1"/>
  <c r="D212" i="1"/>
  <c r="E212" i="1"/>
  <c r="F212" i="1"/>
  <c r="G212" i="1"/>
  <c r="H212" i="1"/>
  <c r="A213" i="1"/>
  <c r="B213" i="1"/>
  <c r="C213" i="1"/>
  <c r="D213" i="1"/>
  <c r="E213" i="1"/>
  <c r="F213" i="1"/>
  <c r="G213" i="1"/>
  <c r="H213" i="1"/>
  <c r="A214" i="1"/>
  <c r="B214" i="1"/>
  <c r="C214" i="1"/>
  <c r="D214" i="1"/>
  <c r="E214" i="1"/>
  <c r="F214" i="1"/>
  <c r="G214" i="1"/>
  <c r="H214" i="1"/>
  <c r="A215" i="1"/>
  <c r="B215" i="1"/>
  <c r="C215" i="1"/>
  <c r="D215" i="1"/>
  <c r="E215" i="1"/>
  <c r="F215" i="1"/>
  <c r="G215" i="1"/>
  <c r="H215" i="1"/>
  <c r="A216" i="1"/>
  <c r="B216" i="1"/>
  <c r="C216" i="1"/>
  <c r="D216" i="1"/>
  <c r="E216" i="1"/>
  <c r="F216" i="1"/>
  <c r="G216" i="1"/>
  <c r="H216" i="1"/>
  <c r="A217" i="1"/>
  <c r="B217" i="1"/>
  <c r="C217" i="1"/>
  <c r="D217" i="1"/>
  <c r="E217" i="1"/>
  <c r="F217" i="1"/>
  <c r="G217" i="1"/>
  <c r="H217" i="1"/>
  <c r="A218" i="1"/>
  <c r="B218" i="1"/>
  <c r="C218" i="1"/>
  <c r="D218" i="1"/>
  <c r="E218" i="1"/>
  <c r="F218" i="1"/>
  <c r="G218" i="1"/>
  <c r="H218" i="1"/>
  <c r="A219" i="1"/>
  <c r="B219" i="1"/>
  <c r="C219" i="1"/>
  <c r="D219" i="1"/>
  <c r="E219" i="1"/>
  <c r="F219" i="1"/>
  <c r="G219" i="1"/>
  <c r="H219" i="1"/>
  <c r="A220" i="1"/>
  <c r="B220" i="1"/>
  <c r="C220" i="1"/>
  <c r="D220" i="1"/>
  <c r="E220" i="1"/>
  <c r="F220" i="1"/>
  <c r="G220" i="1"/>
  <c r="H220" i="1"/>
  <c r="A221" i="1"/>
  <c r="B221" i="1"/>
  <c r="C221" i="1"/>
  <c r="D221" i="1"/>
  <c r="E221" i="1"/>
  <c r="F221" i="1"/>
  <c r="G221" i="1"/>
  <c r="H221" i="1"/>
  <c r="A222" i="1"/>
  <c r="B222" i="1"/>
  <c r="C222" i="1"/>
  <c r="D222" i="1"/>
  <c r="E222" i="1"/>
  <c r="F222" i="1"/>
  <c r="G222" i="1"/>
  <c r="H222" i="1"/>
  <c r="A223" i="1"/>
  <c r="B223" i="1"/>
  <c r="C223" i="1"/>
  <c r="D223" i="1"/>
  <c r="E223" i="1"/>
  <c r="F223" i="1"/>
  <c r="G223" i="1"/>
  <c r="H223" i="1"/>
  <c r="A224" i="1"/>
  <c r="B224" i="1"/>
  <c r="C224" i="1"/>
  <c r="D224" i="1"/>
  <c r="E224" i="1"/>
  <c r="F224" i="1"/>
  <c r="G224" i="1"/>
  <c r="H224" i="1"/>
  <c r="A225" i="1"/>
  <c r="B225" i="1"/>
  <c r="C225" i="1"/>
  <c r="D225" i="1"/>
  <c r="E225" i="1"/>
  <c r="F225" i="1"/>
  <c r="G225" i="1"/>
  <c r="H225" i="1"/>
  <c r="A226" i="1"/>
  <c r="B226" i="1"/>
  <c r="C226" i="1"/>
  <c r="D226" i="1"/>
  <c r="E226" i="1"/>
  <c r="F226" i="1"/>
  <c r="G226" i="1"/>
  <c r="H226" i="1"/>
  <c r="A227" i="1"/>
  <c r="B227" i="1"/>
  <c r="C227" i="1"/>
  <c r="D227" i="1"/>
  <c r="E227" i="1"/>
  <c r="F227" i="1"/>
  <c r="G227" i="1"/>
  <c r="H227" i="1"/>
  <c r="A228" i="1"/>
  <c r="B228" i="1"/>
  <c r="C228" i="1"/>
  <c r="D228" i="1"/>
  <c r="E228" i="1"/>
  <c r="F228" i="1"/>
  <c r="G228" i="1"/>
  <c r="H228" i="1"/>
  <c r="A229" i="1"/>
  <c r="B229" i="1"/>
  <c r="C229" i="1"/>
  <c r="D229" i="1"/>
  <c r="E229" i="1"/>
  <c r="F229" i="1"/>
  <c r="G229" i="1"/>
  <c r="H229" i="1"/>
  <c r="A230" i="1"/>
  <c r="B230" i="1"/>
  <c r="C230" i="1"/>
  <c r="D230" i="1"/>
  <c r="E230" i="1"/>
  <c r="F230" i="1"/>
  <c r="G230" i="1"/>
  <c r="H230" i="1"/>
  <c r="A231" i="1"/>
  <c r="B231" i="1"/>
  <c r="C231" i="1"/>
  <c r="D231" i="1"/>
  <c r="E231" i="1"/>
  <c r="F231" i="1"/>
  <c r="G231" i="1"/>
  <c r="H231" i="1"/>
  <c r="A232" i="1"/>
  <c r="B232" i="1"/>
  <c r="C232" i="1"/>
  <c r="D232" i="1"/>
  <c r="E232" i="1"/>
  <c r="F232" i="1"/>
  <c r="G232" i="1"/>
  <c r="H232" i="1"/>
  <c r="A233" i="1"/>
  <c r="B233" i="1"/>
  <c r="C233" i="1"/>
  <c r="D233" i="1"/>
  <c r="E233" i="1"/>
  <c r="F233" i="1"/>
  <c r="G233" i="1"/>
  <c r="H233" i="1"/>
  <c r="A234" i="1"/>
  <c r="B234" i="1"/>
  <c r="C234" i="1"/>
  <c r="D234" i="1"/>
  <c r="E234" i="1"/>
  <c r="F234" i="1"/>
  <c r="G234" i="1"/>
  <c r="H234" i="1"/>
  <c r="A235" i="1"/>
  <c r="B235" i="1"/>
  <c r="C235" i="1"/>
  <c r="D235" i="1"/>
  <c r="E235" i="1"/>
  <c r="F235" i="1"/>
  <c r="G235" i="1"/>
  <c r="H235" i="1"/>
  <c r="A236" i="1"/>
  <c r="B236" i="1"/>
  <c r="C236" i="1"/>
  <c r="D236" i="1"/>
  <c r="E236" i="1"/>
  <c r="F236" i="1"/>
  <c r="G236" i="1"/>
  <c r="H236" i="1"/>
  <c r="A237" i="1"/>
  <c r="B237" i="1"/>
  <c r="C237" i="1"/>
  <c r="D237" i="1"/>
  <c r="E237" i="1"/>
  <c r="F237" i="1"/>
  <c r="G237" i="1"/>
  <c r="H237" i="1"/>
  <c r="A238" i="1"/>
  <c r="B238" i="1"/>
  <c r="C238" i="1"/>
  <c r="D238" i="1"/>
  <c r="E238" i="1"/>
  <c r="F238" i="1"/>
  <c r="G238" i="1"/>
  <c r="H238" i="1"/>
  <c r="A239" i="1"/>
  <c r="B239" i="1"/>
  <c r="C239" i="1"/>
  <c r="D239" i="1"/>
  <c r="E239" i="1"/>
  <c r="F239" i="1"/>
  <c r="G239" i="1"/>
  <c r="H239" i="1"/>
  <c r="A240" i="1"/>
  <c r="B240" i="1"/>
  <c r="C240" i="1"/>
  <c r="D240" i="1"/>
  <c r="E240" i="1"/>
  <c r="F240" i="1"/>
  <c r="G240" i="1"/>
  <c r="H240" i="1"/>
  <c r="A241" i="1"/>
  <c r="B241" i="1"/>
  <c r="C241" i="1"/>
  <c r="D241" i="1"/>
  <c r="E241" i="1"/>
  <c r="F241" i="1"/>
  <c r="G241" i="1"/>
  <c r="H241" i="1"/>
  <c r="A242" i="1"/>
  <c r="B242" i="1"/>
  <c r="C242" i="1"/>
  <c r="D242" i="1"/>
  <c r="E242" i="1"/>
  <c r="F242" i="1"/>
  <c r="G242" i="1"/>
  <c r="H242" i="1"/>
  <c r="A243" i="1"/>
  <c r="B243" i="1"/>
  <c r="C243" i="1"/>
  <c r="D243" i="1"/>
  <c r="E243" i="1"/>
  <c r="F243" i="1"/>
  <c r="G243" i="1"/>
  <c r="H243" i="1"/>
  <c r="A244" i="1"/>
  <c r="B244" i="1"/>
  <c r="C244" i="1"/>
  <c r="D244" i="1"/>
  <c r="E244" i="1"/>
  <c r="F244" i="1"/>
  <c r="G244" i="1"/>
  <c r="H244" i="1"/>
  <c r="A245" i="1"/>
  <c r="B245" i="1"/>
  <c r="C245" i="1"/>
  <c r="D245" i="1"/>
  <c r="E245" i="1"/>
  <c r="F245" i="1"/>
  <c r="G245" i="1"/>
  <c r="H245" i="1"/>
  <c r="A246" i="1"/>
  <c r="B246" i="1"/>
  <c r="C246" i="1"/>
  <c r="D246" i="1"/>
  <c r="E246" i="1"/>
  <c r="F246" i="1"/>
  <c r="G246" i="1"/>
  <c r="H246" i="1"/>
  <c r="A247" i="1"/>
  <c r="B247" i="1"/>
  <c r="C247" i="1"/>
  <c r="D247" i="1"/>
  <c r="E247" i="1"/>
  <c r="F247" i="1"/>
  <c r="G247" i="1"/>
  <c r="H247" i="1"/>
  <c r="A248" i="1"/>
  <c r="B248" i="1"/>
  <c r="C248" i="1"/>
  <c r="D248" i="1"/>
  <c r="E248" i="1"/>
  <c r="F248" i="1"/>
  <c r="G248" i="1"/>
  <c r="H248" i="1"/>
  <c r="A249" i="1"/>
  <c r="B249" i="1"/>
  <c r="C249" i="1"/>
  <c r="D249" i="1"/>
  <c r="E249" i="1"/>
  <c r="F249" i="1"/>
  <c r="G249" i="1"/>
  <c r="H249" i="1"/>
  <c r="A250" i="1"/>
  <c r="B250" i="1"/>
  <c r="C250" i="1"/>
  <c r="D250" i="1"/>
  <c r="E250" i="1"/>
  <c r="F250" i="1"/>
  <c r="G250" i="1"/>
  <c r="H250" i="1"/>
  <c r="A251" i="1"/>
  <c r="B251" i="1"/>
  <c r="C251" i="1"/>
  <c r="D251" i="1"/>
  <c r="E251" i="1"/>
  <c r="F251" i="1"/>
  <c r="G251" i="1"/>
  <c r="H251" i="1"/>
  <c r="A252" i="1"/>
  <c r="B252" i="1"/>
  <c r="C252" i="1"/>
  <c r="D252" i="1"/>
  <c r="E252" i="1"/>
  <c r="F252" i="1"/>
  <c r="G252" i="1"/>
  <c r="H252" i="1"/>
  <c r="A253" i="1"/>
  <c r="B253" i="1"/>
  <c r="C253" i="1"/>
  <c r="D253" i="1"/>
  <c r="E253" i="1"/>
  <c r="F253" i="1"/>
  <c r="G253" i="1"/>
  <c r="H253" i="1"/>
  <c r="A254" i="1"/>
  <c r="B254" i="1"/>
  <c r="C254" i="1"/>
  <c r="D254" i="1"/>
  <c r="E254" i="1"/>
  <c r="F254" i="1"/>
  <c r="G254" i="1"/>
  <c r="H254" i="1"/>
  <c r="A255" i="1"/>
  <c r="B255" i="1"/>
  <c r="C255" i="1"/>
  <c r="D255" i="1"/>
  <c r="E255" i="1"/>
  <c r="F255" i="1"/>
  <c r="G255" i="1"/>
  <c r="H255" i="1"/>
  <c r="A256" i="1"/>
  <c r="B256" i="1"/>
  <c r="C256" i="1"/>
  <c r="D256" i="1"/>
  <c r="E256" i="1"/>
  <c r="F256" i="1"/>
  <c r="G256" i="1"/>
  <c r="H256" i="1"/>
  <c r="A257" i="1"/>
  <c r="B257" i="1"/>
  <c r="C257" i="1"/>
  <c r="D257" i="1"/>
  <c r="E257" i="1"/>
  <c r="F257" i="1"/>
  <c r="G257" i="1"/>
  <c r="H257" i="1"/>
  <c r="A258" i="1"/>
  <c r="B258" i="1"/>
  <c r="C258" i="1"/>
  <c r="D258" i="1"/>
  <c r="E258" i="1"/>
  <c r="F258" i="1"/>
  <c r="G258" i="1"/>
  <c r="H258" i="1"/>
  <c r="A259" i="1"/>
  <c r="B259" i="1"/>
  <c r="C259" i="1"/>
  <c r="D259" i="1"/>
  <c r="E259" i="1"/>
  <c r="F259" i="1"/>
  <c r="G259" i="1"/>
  <c r="H259" i="1"/>
  <c r="A260" i="1"/>
  <c r="B260" i="1"/>
  <c r="C260" i="1"/>
  <c r="D260" i="1"/>
  <c r="E260" i="1"/>
  <c r="F260" i="1"/>
  <c r="G260" i="1"/>
  <c r="H260" i="1"/>
  <c r="A261" i="1"/>
  <c r="B261" i="1"/>
  <c r="C261" i="1"/>
  <c r="D261" i="1"/>
  <c r="E261" i="1"/>
  <c r="F261" i="1"/>
  <c r="G261" i="1"/>
  <c r="H261" i="1"/>
  <c r="A262" i="1"/>
  <c r="B262" i="1"/>
  <c r="C262" i="1"/>
  <c r="D262" i="1"/>
  <c r="E262" i="1"/>
  <c r="F262" i="1"/>
  <c r="G262" i="1"/>
  <c r="H262" i="1"/>
  <c r="A263" i="1"/>
  <c r="B263" i="1"/>
  <c r="C263" i="1"/>
  <c r="D263" i="1"/>
  <c r="E263" i="1"/>
  <c r="F263" i="1"/>
  <c r="G263" i="1"/>
  <c r="H263" i="1"/>
  <c r="A264" i="1"/>
  <c r="B264" i="1"/>
  <c r="C264" i="1"/>
  <c r="D264" i="1"/>
  <c r="E264" i="1"/>
  <c r="F264" i="1"/>
  <c r="G264" i="1"/>
  <c r="H264" i="1"/>
  <c r="A265" i="1"/>
  <c r="B265" i="1"/>
  <c r="C265" i="1"/>
  <c r="D265" i="1"/>
  <c r="E265" i="1"/>
  <c r="F265" i="1"/>
  <c r="G265" i="1"/>
  <c r="H265" i="1"/>
  <c r="A266" i="1"/>
  <c r="B266" i="1"/>
  <c r="C266" i="1"/>
  <c r="D266" i="1"/>
  <c r="E266" i="1"/>
  <c r="F266" i="1"/>
  <c r="G266" i="1"/>
  <c r="H266" i="1"/>
  <c r="A267" i="1"/>
  <c r="B267" i="1"/>
  <c r="C267" i="1"/>
  <c r="D267" i="1"/>
  <c r="E267" i="1"/>
  <c r="F267" i="1"/>
  <c r="G267" i="1"/>
  <c r="H267" i="1"/>
  <c r="A268" i="1"/>
  <c r="B268" i="1"/>
  <c r="C268" i="1"/>
  <c r="D268" i="1"/>
  <c r="E268" i="1"/>
  <c r="F268" i="1"/>
  <c r="G268" i="1"/>
  <c r="H268" i="1"/>
  <c r="A269" i="1"/>
  <c r="B269" i="1"/>
  <c r="C269" i="1"/>
  <c r="D269" i="1"/>
  <c r="E269" i="1"/>
  <c r="F269" i="1"/>
  <c r="G269" i="1"/>
  <c r="H269" i="1"/>
  <c r="A270" i="1"/>
  <c r="B270" i="1"/>
  <c r="C270" i="1"/>
  <c r="D270" i="1"/>
  <c r="E270" i="1"/>
  <c r="F270" i="1"/>
  <c r="G270" i="1"/>
  <c r="H270" i="1"/>
  <c r="A271" i="1"/>
  <c r="B271" i="1"/>
  <c r="C271" i="1"/>
  <c r="D271" i="1"/>
  <c r="E271" i="1"/>
  <c r="F271" i="1"/>
  <c r="G271" i="1"/>
  <c r="H271" i="1"/>
  <c r="A272" i="1"/>
  <c r="B272" i="1"/>
  <c r="C272" i="1"/>
  <c r="D272" i="1"/>
  <c r="E272" i="1"/>
  <c r="F272" i="1"/>
  <c r="G272" i="1"/>
  <c r="H272" i="1"/>
  <c r="A273" i="1"/>
  <c r="B273" i="1"/>
  <c r="C273" i="1"/>
  <c r="D273" i="1"/>
  <c r="E273" i="1"/>
  <c r="F273" i="1"/>
  <c r="G273" i="1"/>
  <c r="H273" i="1"/>
  <c r="A274" i="1"/>
  <c r="B274" i="1"/>
  <c r="C274" i="1"/>
  <c r="D274" i="1"/>
  <c r="E274" i="1"/>
  <c r="F274" i="1"/>
  <c r="G274" i="1"/>
  <c r="H274" i="1"/>
  <c r="A275" i="1"/>
  <c r="B275" i="1"/>
  <c r="C275" i="1"/>
  <c r="D275" i="1"/>
  <c r="E275" i="1"/>
  <c r="F275" i="1"/>
  <c r="G275" i="1"/>
  <c r="H275" i="1"/>
  <c r="A276" i="1"/>
  <c r="B276" i="1"/>
  <c r="C276" i="1"/>
  <c r="D276" i="1"/>
  <c r="E276" i="1"/>
  <c r="F276" i="1"/>
  <c r="G276" i="1"/>
  <c r="H276" i="1"/>
  <c r="A277" i="1"/>
  <c r="B277" i="1"/>
  <c r="C277" i="1"/>
  <c r="D277" i="1"/>
  <c r="E277" i="1"/>
  <c r="F277" i="1"/>
  <c r="G277" i="1"/>
  <c r="H277" i="1"/>
  <c r="A278" i="1"/>
  <c r="B278" i="1"/>
  <c r="C278" i="1"/>
  <c r="D278" i="1"/>
  <c r="E278" i="1"/>
  <c r="F278" i="1"/>
  <c r="G278" i="1"/>
  <c r="H278" i="1"/>
  <c r="A279" i="1"/>
  <c r="B279" i="1"/>
  <c r="C279" i="1"/>
  <c r="D279" i="1"/>
  <c r="E279" i="1"/>
  <c r="F279" i="1"/>
  <c r="G279" i="1"/>
  <c r="H279" i="1"/>
  <c r="A280" i="1"/>
  <c r="B280" i="1"/>
  <c r="C280" i="1"/>
  <c r="D280" i="1"/>
  <c r="E280" i="1"/>
  <c r="F280" i="1"/>
  <c r="G280" i="1"/>
  <c r="H280" i="1"/>
  <c r="A281" i="1"/>
  <c r="B281" i="1"/>
  <c r="C281" i="1"/>
  <c r="D281" i="1"/>
  <c r="E281" i="1"/>
  <c r="F281" i="1"/>
  <c r="G281" i="1"/>
  <c r="H281" i="1"/>
  <c r="A282" i="1"/>
  <c r="B282" i="1"/>
  <c r="C282" i="1"/>
  <c r="D282" i="1"/>
  <c r="E282" i="1"/>
  <c r="F282" i="1"/>
  <c r="G282" i="1"/>
  <c r="H282" i="1"/>
  <c r="A283" i="1"/>
  <c r="B283" i="1"/>
  <c r="C283" i="1"/>
  <c r="D283" i="1"/>
  <c r="E283" i="1"/>
  <c r="F283" i="1"/>
  <c r="G283" i="1"/>
  <c r="H283" i="1"/>
  <c r="A284" i="1"/>
  <c r="B284" i="1"/>
  <c r="C284" i="1"/>
  <c r="D284" i="1"/>
  <c r="E284" i="1"/>
  <c r="F284" i="1"/>
  <c r="G284" i="1"/>
  <c r="H284" i="1"/>
  <c r="A285" i="1"/>
  <c r="B285" i="1"/>
  <c r="C285" i="1"/>
  <c r="D285" i="1"/>
  <c r="E285" i="1"/>
  <c r="F285" i="1"/>
  <c r="G285" i="1"/>
  <c r="H285" i="1"/>
  <c r="A286" i="1"/>
  <c r="B286" i="1"/>
  <c r="C286" i="1"/>
  <c r="D286" i="1"/>
  <c r="E286" i="1"/>
  <c r="F286" i="1"/>
  <c r="G286" i="1"/>
  <c r="H286" i="1"/>
  <c r="A287" i="1"/>
  <c r="B287" i="1"/>
  <c r="C287" i="1"/>
  <c r="D287" i="1"/>
  <c r="E287" i="1"/>
  <c r="F287" i="1"/>
  <c r="G287" i="1"/>
  <c r="H287" i="1"/>
  <c r="A288" i="1"/>
  <c r="B288" i="1"/>
  <c r="C288" i="1"/>
  <c r="D288" i="1"/>
  <c r="E288" i="1"/>
  <c r="F288" i="1"/>
  <c r="G288" i="1"/>
  <c r="H288" i="1"/>
  <c r="A289" i="1"/>
  <c r="B289" i="1"/>
  <c r="C289" i="1"/>
  <c r="D289" i="1"/>
  <c r="E289" i="1"/>
  <c r="F289" i="1"/>
  <c r="G289" i="1"/>
  <c r="H289" i="1"/>
  <c r="A290" i="1"/>
  <c r="B290" i="1"/>
  <c r="C290" i="1"/>
  <c r="D290" i="1"/>
  <c r="E290" i="1"/>
  <c r="F290" i="1"/>
  <c r="G290" i="1"/>
  <c r="H290" i="1"/>
  <c r="A291" i="1"/>
  <c r="B291" i="1"/>
  <c r="C291" i="1"/>
  <c r="D291" i="1"/>
  <c r="E291" i="1"/>
  <c r="F291" i="1"/>
  <c r="G291" i="1"/>
  <c r="H291" i="1"/>
  <c r="A292" i="1"/>
  <c r="B292" i="1"/>
  <c r="C292" i="1"/>
  <c r="D292" i="1"/>
  <c r="E292" i="1"/>
  <c r="F292" i="1"/>
  <c r="G292" i="1"/>
  <c r="H292" i="1"/>
  <c r="A293" i="1"/>
  <c r="B293" i="1"/>
  <c r="C293" i="1"/>
  <c r="D293" i="1"/>
  <c r="E293" i="1"/>
  <c r="F293" i="1"/>
  <c r="G293" i="1"/>
  <c r="H293" i="1"/>
  <c r="A294" i="1"/>
  <c r="B294" i="1"/>
  <c r="C294" i="1"/>
  <c r="D294" i="1"/>
  <c r="E294" i="1"/>
  <c r="F294" i="1"/>
  <c r="G294" i="1"/>
  <c r="H294" i="1"/>
  <c r="A295" i="1"/>
  <c r="B295" i="1"/>
  <c r="C295" i="1"/>
  <c r="D295" i="1"/>
  <c r="E295" i="1"/>
  <c r="F295" i="1"/>
  <c r="G295" i="1"/>
  <c r="H295" i="1"/>
  <c r="A296" i="1"/>
  <c r="B296" i="1"/>
  <c r="C296" i="1"/>
  <c r="D296" i="1"/>
  <c r="E296" i="1"/>
  <c r="F296" i="1"/>
  <c r="G296" i="1"/>
  <c r="H296" i="1"/>
  <c r="A297" i="1"/>
  <c r="B297" i="1"/>
  <c r="C297" i="1"/>
  <c r="D297" i="1"/>
  <c r="E297" i="1"/>
  <c r="F297" i="1"/>
  <c r="G297" i="1"/>
  <c r="H297" i="1"/>
  <c r="A298" i="1"/>
  <c r="B298" i="1"/>
  <c r="C298" i="1"/>
  <c r="D298" i="1"/>
  <c r="E298" i="1"/>
  <c r="F298" i="1"/>
  <c r="G298" i="1"/>
  <c r="H298" i="1"/>
  <c r="A299" i="1"/>
  <c r="B299" i="1"/>
  <c r="C299" i="1"/>
  <c r="D299" i="1"/>
  <c r="E299" i="1"/>
  <c r="F299" i="1"/>
  <c r="G299" i="1"/>
  <c r="H299" i="1"/>
  <c r="A300" i="1"/>
  <c r="B300" i="1"/>
  <c r="C300" i="1"/>
  <c r="D300" i="1"/>
  <c r="E300" i="1"/>
  <c r="F300" i="1"/>
  <c r="G300" i="1"/>
  <c r="H300" i="1"/>
  <c r="A301" i="1"/>
  <c r="B301" i="1"/>
  <c r="C301" i="1"/>
  <c r="D301" i="1"/>
  <c r="E301" i="1"/>
  <c r="F301" i="1"/>
  <c r="G301" i="1"/>
  <c r="H301" i="1"/>
  <c r="A302" i="1"/>
  <c r="B302" i="1"/>
  <c r="C302" i="1"/>
  <c r="D302" i="1"/>
  <c r="E302" i="1"/>
  <c r="F302" i="1"/>
  <c r="G302" i="1"/>
  <c r="H302" i="1"/>
  <c r="A303" i="1"/>
  <c r="B303" i="1"/>
  <c r="C303" i="1"/>
  <c r="D303" i="1"/>
  <c r="E303" i="1"/>
  <c r="F303" i="1"/>
  <c r="G303" i="1"/>
  <c r="H303" i="1"/>
  <c r="A304" i="1"/>
  <c r="B304" i="1"/>
  <c r="C304" i="1"/>
  <c r="D304" i="1"/>
  <c r="E304" i="1"/>
  <c r="F304" i="1"/>
  <c r="G304" i="1"/>
  <c r="H304" i="1"/>
  <c r="A305" i="1"/>
  <c r="B305" i="1"/>
  <c r="C305" i="1"/>
  <c r="D305" i="1"/>
  <c r="E305" i="1"/>
  <c r="F305" i="1"/>
  <c r="G305" i="1"/>
  <c r="H305" i="1"/>
  <c r="A306" i="1"/>
  <c r="B306" i="1"/>
  <c r="C306" i="1"/>
  <c r="D306" i="1"/>
  <c r="E306" i="1"/>
  <c r="F306" i="1"/>
  <c r="G306" i="1"/>
  <c r="H306" i="1"/>
  <c r="A307" i="1"/>
  <c r="B307" i="1"/>
  <c r="C307" i="1"/>
  <c r="D307" i="1"/>
  <c r="E307" i="1"/>
  <c r="F307" i="1"/>
  <c r="G307" i="1"/>
  <c r="H307" i="1"/>
  <c r="A308" i="1"/>
  <c r="B308" i="1"/>
  <c r="C308" i="1"/>
  <c r="D308" i="1"/>
  <c r="E308" i="1"/>
  <c r="F308" i="1"/>
  <c r="G308" i="1"/>
  <c r="H308" i="1"/>
  <c r="A309" i="1"/>
  <c r="B309" i="1"/>
  <c r="C309" i="1"/>
  <c r="D309" i="1"/>
  <c r="E309" i="1"/>
  <c r="F309" i="1"/>
  <c r="G309" i="1"/>
  <c r="H309" i="1"/>
  <c r="A310" i="1"/>
  <c r="B310" i="1"/>
  <c r="C310" i="1"/>
  <c r="D310" i="1"/>
  <c r="E310" i="1"/>
  <c r="F310" i="1"/>
  <c r="G310" i="1"/>
  <c r="H310" i="1"/>
  <c r="A311" i="1"/>
  <c r="B311" i="1"/>
  <c r="C311" i="1"/>
  <c r="D311" i="1"/>
  <c r="E311" i="1"/>
  <c r="F311" i="1"/>
  <c r="G311" i="1"/>
  <c r="H311" i="1"/>
  <c r="A312" i="1"/>
  <c r="B312" i="1"/>
  <c r="C312" i="1"/>
  <c r="D312" i="1"/>
  <c r="E312" i="1"/>
  <c r="F312" i="1"/>
  <c r="G312" i="1"/>
  <c r="H312" i="1"/>
  <c r="A313" i="1"/>
  <c r="B313" i="1"/>
  <c r="C313" i="1"/>
  <c r="D313" i="1"/>
  <c r="E313" i="1"/>
  <c r="F313" i="1"/>
  <c r="G313" i="1"/>
  <c r="H313" i="1"/>
  <c r="A314" i="1"/>
  <c r="B314" i="1"/>
  <c r="C314" i="1"/>
  <c r="D314" i="1"/>
  <c r="E314" i="1"/>
  <c r="F314" i="1"/>
  <c r="G314" i="1"/>
  <c r="H314" i="1"/>
  <c r="A315" i="1"/>
  <c r="B315" i="1"/>
  <c r="C315" i="1"/>
  <c r="D315" i="1"/>
  <c r="E315" i="1"/>
  <c r="F315" i="1"/>
  <c r="G315" i="1"/>
  <c r="H315" i="1"/>
  <c r="A316" i="1"/>
  <c r="B316" i="1"/>
  <c r="C316" i="1"/>
  <c r="D316" i="1"/>
  <c r="E316" i="1"/>
  <c r="F316" i="1"/>
  <c r="G316" i="1"/>
  <c r="H316" i="1"/>
  <c r="A317" i="1"/>
  <c r="B317" i="1"/>
  <c r="C317" i="1"/>
  <c r="D317" i="1"/>
  <c r="E317" i="1"/>
  <c r="F317" i="1"/>
  <c r="G317" i="1"/>
  <c r="H317" i="1"/>
  <c r="A318" i="1"/>
  <c r="B318" i="1"/>
  <c r="C318" i="1"/>
  <c r="D318" i="1"/>
  <c r="E318" i="1"/>
  <c r="F318" i="1"/>
  <c r="G318" i="1"/>
  <c r="H318" i="1"/>
  <c r="A319" i="1"/>
  <c r="B319" i="1"/>
  <c r="C319" i="1"/>
  <c r="D319" i="1"/>
  <c r="E319" i="1"/>
  <c r="F319" i="1"/>
  <c r="G319" i="1"/>
  <c r="H319" i="1"/>
  <c r="A320" i="1"/>
  <c r="B320" i="1"/>
  <c r="C320" i="1"/>
  <c r="D320" i="1"/>
  <c r="E320" i="1"/>
  <c r="F320" i="1"/>
  <c r="G320" i="1"/>
  <c r="H320" i="1"/>
  <c r="A321" i="1"/>
  <c r="B321" i="1"/>
  <c r="C321" i="1"/>
  <c r="D321" i="1"/>
  <c r="E321" i="1"/>
  <c r="F321" i="1"/>
  <c r="G321" i="1"/>
  <c r="H321" i="1"/>
  <c r="A322" i="1"/>
  <c r="B322" i="1"/>
  <c r="C322" i="1"/>
  <c r="D322" i="1"/>
  <c r="E322" i="1"/>
  <c r="F322" i="1"/>
  <c r="G322" i="1"/>
  <c r="H322" i="1"/>
  <c r="A323" i="1"/>
  <c r="B323" i="1"/>
  <c r="C323" i="1"/>
  <c r="D323" i="1"/>
  <c r="E323" i="1"/>
  <c r="F323" i="1"/>
  <c r="G323" i="1"/>
  <c r="H323" i="1"/>
  <c r="A324" i="1"/>
  <c r="B324" i="1"/>
  <c r="C324" i="1"/>
  <c r="D324" i="1"/>
  <c r="E324" i="1"/>
  <c r="F324" i="1"/>
  <c r="G324" i="1"/>
  <c r="H324" i="1"/>
  <c r="A325" i="1"/>
  <c r="B325" i="1"/>
  <c r="C325" i="1"/>
  <c r="D325" i="1"/>
  <c r="E325" i="1"/>
  <c r="F325" i="1"/>
  <c r="G325" i="1"/>
  <c r="H325" i="1"/>
  <c r="A326" i="1"/>
  <c r="B326" i="1"/>
  <c r="C326" i="1"/>
  <c r="D326" i="1"/>
  <c r="E326" i="1"/>
  <c r="F326" i="1"/>
  <c r="G326" i="1"/>
  <c r="H326" i="1"/>
  <c r="A327" i="1"/>
  <c r="B327" i="1"/>
  <c r="C327" i="1"/>
  <c r="D327" i="1"/>
  <c r="E327" i="1"/>
  <c r="F327" i="1"/>
  <c r="G327" i="1"/>
  <c r="H327" i="1"/>
  <c r="A328" i="1"/>
  <c r="B328" i="1"/>
  <c r="C328" i="1"/>
  <c r="D328" i="1"/>
  <c r="E328" i="1"/>
  <c r="F328" i="1"/>
  <c r="G328" i="1"/>
  <c r="H328" i="1"/>
  <c r="A329" i="1"/>
  <c r="B329" i="1"/>
  <c r="C329" i="1"/>
  <c r="D329" i="1"/>
  <c r="E329" i="1"/>
  <c r="F329" i="1"/>
  <c r="G329" i="1"/>
  <c r="H329" i="1"/>
  <c r="A330" i="1"/>
  <c r="B330" i="1"/>
  <c r="C330" i="1"/>
  <c r="D330" i="1"/>
  <c r="E330" i="1"/>
  <c r="F330" i="1"/>
  <c r="G330" i="1"/>
  <c r="H330" i="1"/>
  <c r="A331" i="1"/>
  <c r="B331" i="1"/>
  <c r="C331" i="1"/>
  <c r="D331" i="1"/>
  <c r="E331" i="1"/>
  <c r="F331" i="1"/>
  <c r="G331" i="1"/>
  <c r="H331" i="1"/>
  <c r="A332" i="1"/>
  <c r="B332" i="1"/>
  <c r="C332" i="1"/>
  <c r="D332" i="1"/>
  <c r="E332" i="1"/>
  <c r="F332" i="1"/>
  <c r="G332" i="1"/>
  <c r="H332" i="1"/>
  <c r="A333" i="1"/>
  <c r="B333" i="1"/>
  <c r="C333" i="1"/>
  <c r="D333" i="1"/>
  <c r="E333" i="1"/>
  <c r="F333" i="1"/>
  <c r="G333" i="1"/>
  <c r="H333" i="1"/>
  <c r="A334" i="1"/>
  <c r="B334" i="1"/>
  <c r="C334" i="1"/>
  <c r="D334" i="1"/>
  <c r="E334" i="1"/>
  <c r="F334" i="1"/>
  <c r="G334" i="1"/>
  <c r="H334" i="1"/>
  <c r="A335" i="1"/>
  <c r="B335" i="1"/>
  <c r="C335" i="1"/>
  <c r="D335" i="1"/>
  <c r="E335" i="1"/>
  <c r="F335" i="1"/>
  <c r="G335" i="1"/>
  <c r="H335" i="1"/>
  <c r="A336" i="1"/>
  <c r="B336" i="1"/>
  <c r="C336" i="1"/>
  <c r="D336" i="1"/>
  <c r="E336" i="1"/>
  <c r="F336" i="1"/>
  <c r="G336" i="1"/>
  <c r="H336" i="1"/>
  <c r="A337" i="1"/>
  <c r="B337" i="1"/>
  <c r="C337" i="1"/>
  <c r="D337" i="1"/>
  <c r="E337" i="1"/>
  <c r="F337" i="1"/>
  <c r="G337" i="1"/>
  <c r="H337" i="1"/>
  <c r="A338" i="1"/>
  <c r="B338" i="1"/>
  <c r="C338" i="1"/>
  <c r="D338" i="1"/>
  <c r="E338" i="1"/>
  <c r="F338" i="1"/>
  <c r="G338" i="1"/>
  <c r="H338" i="1"/>
  <c r="A339" i="1"/>
  <c r="B339" i="1"/>
  <c r="C339" i="1"/>
  <c r="D339" i="1"/>
  <c r="E339" i="1"/>
  <c r="F339" i="1"/>
  <c r="G339" i="1"/>
  <c r="H339" i="1"/>
  <c r="A340" i="1"/>
  <c r="B340" i="1"/>
  <c r="C340" i="1"/>
  <c r="D340" i="1"/>
  <c r="E340" i="1"/>
  <c r="F340" i="1"/>
  <c r="G340" i="1"/>
  <c r="H340" i="1"/>
  <c r="A341" i="1"/>
  <c r="B341" i="1"/>
  <c r="C341" i="1"/>
  <c r="D341" i="1"/>
  <c r="E341" i="1"/>
  <c r="F341" i="1"/>
  <c r="G341" i="1"/>
  <c r="H341" i="1"/>
  <c r="A342" i="1"/>
  <c r="B342" i="1"/>
  <c r="C342" i="1"/>
  <c r="D342" i="1"/>
  <c r="E342" i="1"/>
  <c r="F342" i="1"/>
  <c r="G342" i="1"/>
  <c r="H342" i="1"/>
  <c r="A343" i="1"/>
  <c r="B343" i="1"/>
  <c r="C343" i="1"/>
  <c r="D343" i="1"/>
  <c r="E343" i="1"/>
  <c r="F343" i="1"/>
  <c r="G343" i="1"/>
  <c r="H343" i="1"/>
  <c r="A344" i="1"/>
  <c r="B344" i="1"/>
  <c r="C344" i="1"/>
  <c r="D344" i="1"/>
  <c r="E344" i="1"/>
  <c r="F344" i="1"/>
  <c r="G344" i="1"/>
  <c r="H344" i="1"/>
  <c r="A345" i="1"/>
  <c r="B345" i="1"/>
  <c r="C345" i="1"/>
  <c r="D345" i="1"/>
  <c r="E345" i="1"/>
  <c r="F345" i="1"/>
  <c r="G345" i="1"/>
  <c r="H345" i="1"/>
  <c r="A346" i="1"/>
  <c r="B346" i="1"/>
  <c r="C346" i="1"/>
  <c r="D346" i="1"/>
  <c r="E346" i="1"/>
  <c r="F346" i="1"/>
  <c r="G346" i="1"/>
  <c r="H346" i="1"/>
  <c r="A347" i="1"/>
  <c r="B347" i="1"/>
  <c r="C347" i="1"/>
  <c r="D347" i="1"/>
  <c r="E347" i="1"/>
  <c r="F347" i="1"/>
  <c r="G347" i="1"/>
  <c r="H347" i="1"/>
  <c r="A348" i="1"/>
  <c r="B348" i="1"/>
  <c r="C348" i="1"/>
  <c r="D348" i="1"/>
  <c r="E348" i="1"/>
  <c r="F348" i="1"/>
  <c r="G348" i="1"/>
  <c r="H348" i="1"/>
  <c r="A349" i="1"/>
  <c r="B349" i="1"/>
  <c r="C349" i="1"/>
  <c r="D349" i="1"/>
  <c r="E349" i="1"/>
  <c r="F349" i="1"/>
  <c r="G349" i="1"/>
  <c r="H349" i="1"/>
  <c r="A350" i="1"/>
  <c r="B350" i="1"/>
  <c r="C350" i="1"/>
  <c r="D350" i="1"/>
  <c r="E350" i="1"/>
  <c r="F350" i="1"/>
  <c r="G350" i="1"/>
  <c r="H350" i="1"/>
  <c r="A351" i="1"/>
  <c r="B351" i="1"/>
  <c r="C351" i="1"/>
  <c r="D351" i="1"/>
  <c r="E351" i="1"/>
  <c r="F351" i="1"/>
  <c r="G351" i="1"/>
  <c r="H351" i="1"/>
  <c r="A352" i="1"/>
  <c r="B352" i="1"/>
  <c r="C352" i="1"/>
  <c r="D352" i="1"/>
  <c r="E352" i="1"/>
  <c r="F352" i="1"/>
  <c r="G352" i="1"/>
  <c r="H352" i="1"/>
  <c r="A353" i="1"/>
  <c r="B353" i="1"/>
  <c r="C353" i="1"/>
  <c r="D353" i="1"/>
  <c r="E353" i="1"/>
  <c r="F353" i="1"/>
  <c r="G353" i="1"/>
  <c r="H353" i="1"/>
  <c r="A354" i="1"/>
  <c r="B354" i="1"/>
  <c r="C354" i="1"/>
  <c r="D354" i="1"/>
  <c r="E354" i="1"/>
  <c r="F354" i="1"/>
  <c r="G354" i="1"/>
  <c r="H354" i="1"/>
  <c r="A355" i="1"/>
  <c r="B355" i="1"/>
  <c r="C355" i="1"/>
  <c r="D355" i="1"/>
  <c r="E355" i="1"/>
  <c r="F355" i="1"/>
  <c r="G355" i="1"/>
  <c r="H355" i="1"/>
  <c r="A356" i="1"/>
  <c r="B356" i="1"/>
  <c r="C356" i="1"/>
  <c r="D356" i="1"/>
  <c r="E356" i="1"/>
  <c r="F356" i="1"/>
  <c r="G356" i="1"/>
  <c r="H356" i="1"/>
  <c r="A357" i="1"/>
  <c r="B357" i="1"/>
  <c r="C357" i="1"/>
  <c r="D357" i="1"/>
  <c r="E357" i="1"/>
  <c r="F357" i="1"/>
  <c r="G357" i="1"/>
  <c r="H357" i="1"/>
  <c r="A358" i="1"/>
  <c r="B358" i="1"/>
  <c r="C358" i="1"/>
  <c r="D358" i="1"/>
  <c r="E358" i="1"/>
  <c r="F358" i="1"/>
  <c r="G358" i="1"/>
  <c r="H358" i="1"/>
  <c r="A359" i="1"/>
  <c r="B359" i="1"/>
  <c r="C359" i="1"/>
  <c r="D359" i="1"/>
  <c r="E359" i="1"/>
  <c r="F359" i="1"/>
  <c r="G359" i="1"/>
  <c r="H359" i="1"/>
  <c r="A360" i="1"/>
  <c r="B360" i="1"/>
  <c r="C360" i="1"/>
  <c r="D360" i="1"/>
  <c r="E360" i="1"/>
  <c r="F360" i="1"/>
  <c r="G360" i="1"/>
  <c r="H360" i="1"/>
  <c r="A361" i="1"/>
  <c r="B361" i="1"/>
  <c r="C361" i="1"/>
  <c r="D361" i="1"/>
  <c r="E361" i="1"/>
  <c r="F361" i="1"/>
  <c r="G361" i="1"/>
  <c r="H361" i="1"/>
  <c r="A362" i="1"/>
  <c r="B362" i="1"/>
  <c r="C362" i="1"/>
  <c r="D362" i="1"/>
  <c r="E362" i="1"/>
  <c r="F362" i="1"/>
  <c r="G362" i="1"/>
  <c r="H362" i="1"/>
  <c r="A363" i="1"/>
  <c r="B363" i="1"/>
  <c r="C363" i="1"/>
  <c r="D363" i="1"/>
  <c r="E363" i="1"/>
  <c r="F363" i="1"/>
  <c r="G363" i="1"/>
  <c r="H363" i="1"/>
  <c r="A364" i="1"/>
  <c r="B364" i="1"/>
  <c r="C364" i="1"/>
  <c r="D364" i="1"/>
  <c r="E364" i="1"/>
  <c r="F364" i="1"/>
  <c r="G364" i="1"/>
  <c r="H364" i="1"/>
  <c r="A365" i="1"/>
  <c r="B365" i="1"/>
  <c r="C365" i="1"/>
  <c r="D365" i="1"/>
  <c r="E365" i="1"/>
  <c r="F365" i="1"/>
  <c r="G365" i="1"/>
  <c r="H365" i="1"/>
  <c r="A366" i="1"/>
  <c r="B366" i="1"/>
  <c r="C366" i="1"/>
  <c r="D366" i="1"/>
  <c r="E366" i="1"/>
  <c r="F366" i="1"/>
  <c r="G366" i="1"/>
  <c r="H366" i="1"/>
  <c r="A367" i="1"/>
  <c r="B367" i="1"/>
  <c r="C367" i="1"/>
  <c r="D367" i="1"/>
  <c r="E367" i="1"/>
  <c r="F367" i="1"/>
  <c r="G367" i="1"/>
  <c r="H367" i="1"/>
  <c r="A368" i="1"/>
  <c r="B368" i="1"/>
  <c r="C368" i="1"/>
  <c r="D368" i="1"/>
  <c r="E368" i="1"/>
  <c r="F368" i="1"/>
  <c r="G368" i="1"/>
  <c r="H368" i="1"/>
  <c r="A369" i="1"/>
  <c r="B369" i="1"/>
  <c r="C369" i="1"/>
  <c r="D369" i="1"/>
  <c r="E369" i="1"/>
  <c r="F369" i="1"/>
  <c r="G369" i="1"/>
  <c r="H369" i="1"/>
  <c r="A370" i="1"/>
  <c r="B370" i="1"/>
  <c r="C370" i="1"/>
  <c r="D370" i="1"/>
  <c r="E370" i="1"/>
  <c r="F370" i="1"/>
  <c r="G370" i="1"/>
  <c r="H370" i="1"/>
  <c r="A371" i="1"/>
  <c r="B371" i="1"/>
  <c r="C371" i="1"/>
  <c r="D371" i="1"/>
  <c r="E371" i="1"/>
  <c r="F371" i="1"/>
  <c r="G371" i="1"/>
  <c r="H371" i="1"/>
  <c r="A372" i="1"/>
  <c r="B372" i="1"/>
  <c r="C372" i="1"/>
  <c r="D372" i="1"/>
  <c r="E372" i="1"/>
  <c r="F372" i="1"/>
  <c r="G372" i="1"/>
  <c r="H372" i="1"/>
  <c r="A373" i="1"/>
  <c r="B373" i="1"/>
  <c r="C373" i="1"/>
  <c r="D373" i="1"/>
  <c r="E373" i="1"/>
  <c r="F373" i="1"/>
  <c r="G373" i="1"/>
  <c r="H373" i="1"/>
  <c r="A374" i="1"/>
  <c r="B374" i="1"/>
  <c r="C374" i="1"/>
  <c r="D374" i="1"/>
  <c r="E374" i="1"/>
  <c r="F374" i="1"/>
  <c r="G374" i="1"/>
  <c r="H374" i="1"/>
  <c r="A375" i="1"/>
  <c r="B375" i="1"/>
  <c r="C375" i="1"/>
  <c r="D375" i="1"/>
  <c r="E375" i="1"/>
  <c r="F375" i="1"/>
  <c r="G375" i="1"/>
  <c r="H375" i="1"/>
  <c r="A376" i="1"/>
  <c r="B376" i="1"/>
  <c r="C376" i="1"/>
  <c r="D376" i="1"/>
  <c r="E376" i="1"/>
  <c r="F376" i="1"/>
  <c r="G376" i="1"/>
  <c r="H376" i="1"/>
  <c r="A377" i="1"/>
  <c r="B377" i="1"/>
  <c r="C377" i="1"/>
  <c r="D377" i="1"/>
  <c r="E377" i="1"/>
  <c r="F377" i="1"/>
  <c r="G377" i="1"/>
  <c r="H377" i="1"/>
  <c r="A378" i="1"/>
  <c r="B378" i="1"/>
  <c r="C378" i="1"/>
  <c r="D378" i="1"/>
  <c r="E378" i="1"/>
  <c r="F378" i="1"/>
  <c r="G378" i="1"/>
  <c r="H378" i="1"/>
  <c r="A379" i="1"/>
  <c r="B379" i="1"/>
  <c r="C379" i="1"/>
  <c r="D379" i="1"/>
  <c r="E379" i="1"/>
  <c r="F379" i="1"/>
  <c r="G379" i="1"/>
  <c r="H379" i="1"/>
  <c r="A380" i="1"/>
  <c r="B380" i="1"/>
  <c r="C380" i="1"/>
  <c r="D380" i="1"/>
  <c r="E380" i="1"/>
  <c r="F380" i="1"/>
  <c r="G380" i="1"/>
  <c r="H380" i="1"/>
  <c r="A381" i="1"/>
  <c r="B381" i="1"/>
  <c r="C381" i="1"/>
  <c r="D381" i="1"/>
  <c r="E381" i="1"/>
  <c r="F381" i="1"/>
  <c r="G381" i="1"/>
  <c r="H381" i="1"/>
  <c r="A382" i="1"/>
  <c r="B382" i="1"/>
  <c r="C382" i="1"/>
  <c r="D382" i="1"/>
  <c r="E382" i="1"/>
  <c r="F382" i="1"/>
  <c r="G382" i="1"/>
  <c r="H382" i="1"/>
  <c r="A383" i="1"/>
  <c r="B383" i="1"/>
  <c r="C383" i="1"/>
  <c r="D383" i="1"/>
  <c r="E383" i="1"/>
  <c r="F383" i="1"/>
  <c r="G383" i="1"/>
  <c r="H383" i="1"/>
  <c r="A384" i="1"/>
  <c r="B384" i="1"/>
  <c r="C384" i="1"/>
  <c r="D384" i="1"/>
  <c r="E384" i="1"/>
  <c r="F384" i="1"/>
  <c r="G384" i="1"/>
  <c r="H384" i="1"/>
  <c r="A385" i="1"/>
  <c r="B385" i="1"/>
  <c r="C385" i="1"/>
  <c r="D385" i="1"/>
  <c r="E385" i="1"/>
  <c r="F385" i="1"/>
  <c r="G385" i="1"/>
  <c r="H385" i="1"/>
  <c r="A386" i="1"/>
  <c r="B386" i="1"/>
  <c r="C386" i="1"/>
  <c r="D386" i="1"/>
  <c r="E386" i="1"/>
  <c r="F386" i="1"/>
  <c r="G386" i="1"/>
  <c r="H386" i="1"/>
  <c r="A387" i="1"/>
  <c r="B387" i="1"/>
  <c r="C387" i="1"/>
  <c r="D387" i="1"/>
  <c r="E387" i="1"/>
  <c r="F387" i="1"/>
  <c r="G387" i="1"/>
  <c r="H387" i="1"/>
  <c r="A388" i="1"/>
  <c r="B388" i="1"/>
  <c r="C388" i="1"/>
  <c r="D388" i="1"/>
  <c r="E388" i="1"/>
  <c r="F388" i="1"/>
  <c r="G388" i="1"/>
  <c r="H388" i="1"/>
  <c r="A389" i="1"/>
  <c r="B389" i="1"/>
  <c r="C389" i="1"/>
  <c r="D389" i="1"/>
  <c r="E389" i="1"/>
  <c r="F389" i="1"/>
  <c r="G389" i="1"/>
  <c r="H389" i="1"/>
  <c r="A390" i="1"/>
  <c r="B390" i="1"/>
  <c r="C390" i="1"/>
  <c r="D390" i="1"/>
  <c r="E390" i="1"/>
  <c r="F390" i="1"/>
  <c r="G390" i="1"/>
  <c r="H390" i="1"/>
  <c r="A391" i="1"/>
  <c r="B391" i="1"/>
  <c r="C391" i="1"/>
  <c r="D391" i="1"/>
  <c r="E391" i="1"/>
  <c r="F391" i="1"/>
  <c r="G391" i="1"/>
  <c r="H391" i="1"/>
  <c r="A392" i="1"/>
  <c r="B392" i="1"/>
  <c r="C392" i="1"/>
  <c r="D392" i="1"/>
  <c r="E392" i="1"/>
  <c r="F392" i="1"/>
  <c r="G392" i="1"/>
  <c r="H392" i="1"/>
  <c r="A393" i="1"/>
  <c r="B393" i="1"/>
  <c r="C393" i="1"/>
  <c r="D393" i="1"/>
  <c r="E393" i="1"/>
  <c r="F393" i="1"/>
  <c r="G393" i="1"/>
  <c r="H393" i="1"/>
  <c r="A394" i="1"/>
  <c r="B394" i="1"/>
  <c r="C394" i="1"/>
  <c r="D394" i="1"/>
  <c r="E394" i="1"/>
  <c r="F394" i="1"/>
  <c r="G394" i="1"/>
  <c r="H394" i="1"/>
  <c r="A395" i="1"/>
  <c r="B395" i="1"/>
  <c r="C395" i="1"/>
  <c r="D395" i="1"/>
  <c r="E395" i="1"/>
  <c r="F395" i="1"/>
  <c r="G395" i="1"/>
  <c r="H395" i="1"/>
  <c r="A396" i="1"/>
  <c r="B396" i="1"/>
  <c r="C396" i="1"/>
  <c r="D396" i="1"/>
  <c r="E396" i="1"/>
  <c r="F396" i="1"/>
  <c r="G396" i="1"/>
  <c r="H396" i="1"/>
  <c r="A397" i="1"/>
  <c r="B397" i="1"/>
  <c r="C397" i="1"/>
  <c r="D397" i="1"/>
  <c r="E397" i="1"/>
  <c r="F397" i="1"/>
  <c r="G397" i="1"/>
  <c r="H397" i="1"/>
  <c r="A398" i="1"/>
  <c r="B398" i="1"/>
  <c r="C398" i="1"/>
  <c r="D398" i="1"/>
  <c r="E398" i="1"/>
  <c r="F398" i="1"/>
  <c r="G398" i="1"/>
  <c r="H398" i="1"/>
  <c r="A399" i="1"/>
  <c r="B399" i="1"/>
  <c r="C399" i="1"/>
  <c r="D399" i="1"/>
  <c r="E399" i="1"/>
  <c r="F399" i="1"/>
  <c r="G399" i="1"/>
  <c r="H399" i="1"/>
  <c r="A400" i="1"/>
  <c r="B400" i="1"/>
  <c r="C400" i="1"/>
  <c r="D400" i="1"/>
  <c r="E400" i="1"/>
  <c r="F400" i="1"/>
  <c r="G400" i="1"/>
  <c r="H400" i="1"/>
  <c r="A401" i="1"/>
  <c r="B401" i="1"/>
  <c r="C401" i="1"/>
  <c r="D401" i="1"/>
  <c r="E401" i="1"/>
  <c r="F401" i="1"/>
  <c r="G401" i="1"/>
  <c r="H401" i="1"/>
  <c r="A402" i="1"/>
  <c r="B402" i="1"/>
  <c r="C402" i="1"/>
  <c r="D402" i="1"/>
  <c r="E402" i="1"/>
  <c r="F402" i="1"/>
  <c r="G402" i="1"/>
  <c r="H402" i="1"/>
  <c r="A403" i="1"/>
  <c r="B403" i="1"/>
  <c r="C403" i="1"/>
  <c r="D403" i="1"/>
  <c r="E403" i="1"/>
  <c r="F403" i="1"/>
  <c r="G403" i="1"/>
  <c r="H403" i="1"/>
  <c r="A404" i="1"/>
  <c r="B404" i="1"/>
  <c r="C404" i="1"/>
  <c r="D404" i="1"/>
  <c r="E404" i="1"/>
  <c r="F404" i="1"/>
  <c r="G404" i="1"/>
  <c r="H404" i="1"/>
  <c r="A405" i="1"/>
  <c r="B405" i="1"/>
  <c r="C405" i="1"/>
  <c r="D405" i="1"/>
  <c r="E405" i="1"/>
  <c r="F405" i="1"/>
  <c r="G405" i="1"/>
  <c r="H405" i="1"/>
  <c r="A406" i="1"/>
  <c r="B406" i="1"/>
  <c r="C406" i="1"/>
  <c r="D406" i="1"/>
  <c r="E406" i="1"/>
  <c r="F406" i="1"/>
  <c r="G406" i="1"/>
  <c r="H406" i="1"/>
  <c r="A407" i="1"/>
  <c r="B407" i="1"/>
  <c r="C407" i="1"/>
  <c r="D407" i="1"/>
  <c r="E407" i="1"/>
  <c r="F407" i="1"/>
  <c r="G407" i="1"/>
  <c r="H407" i="1"/>
  <c r="A408" i="1"/>
  <c r="B408" i="1"/>
  <c r="C408" i="1"/>
  <c r="D408" i="1"/>
  <c r="E408" i="1"/>
  <c r="F408" i="1"/>
  <c r="G408" i="1"/>
  <c r="H408" i="1"/>
  <c r="A409" i="1"/>
  <c r="B409" i="1"/>
  <c r="C409" i="1"/>
  <c r="D409" i="1"/>
  <c r="E409" i="1"/>
  <c r="F409" i="1"/>
  <c r="G409" i="1"/>
  <c r="H409" i="1"/>
  <c r="A410" i="1"/>
  <c r="B410" i="1"/>
  <c r="C410" i="1"/>
  <c r="D410" i="1"/>
  <c r="E410" i="1"/>
  <c r="F410" i="1"/>
  <c r="G410" i="1"/>
  <c r="H410" i="1"/>
  <c r="A411" i="1"/>
  <c r="B411" i="1"/>
  <c r="C411" i="1"/>
  <c r="D411" i="1"/>
  <c r="E411" i="1"/>
  <c r="F411" i="1"/>
  <c r="G411" i="1"/>
  <c r="H411" i="1"/>
  <c r="A412" i="1"/>
  <c r="B412" i="1"/>
  <c r="C412" i="1"/>
  <c r="D412" i="1"/>
  <c r="E412" i="1"/>
  <c r="F412" i="1"/>
  <c r="G412" i="1"/>
  <c r="H412" i="1"/>
  <c r="A413" i="1"/>
  <c r="B413" i="1"/>
  <c r="C413" i="1"/>
  <c r="D413" i="1"/>
  <c r="E413" i="1"/>
  <c r="F413" i="1"/>
  <c r="G413" i="1"/>
  <c r="H413" i="1"/>
  <c r="A414" i="1"/>
  <c r="B414" i="1"/>
  <c r="C414" i="1"/>
  <c r="D414" i="1"/>
  <c r="E414" i="1"/>
  <c r="F414" i="1"/>
  <c r="G414" i="1"/>
  <c r="H414" i="1"/>
  <c r="A415" i="1"/>
  <c r="B415" i="1"/>
  <c r="C415" i="1"/>
  <c r="D415" i="1"/>
  <c r="E415" i="1"/>
  <c r="F415" i="1"/>
  <c r="G415" i="1"/>
  <c r="H415" i="1"/>
  <c r="A416" i="1"/>
  <c r="B416" i="1"/>
  <c r="C416" i="1"/>
  <c r="D416" i="1"/>
  <c r="E416" i="1"/>
  <c r="F416" i="1"/>
  <c r="G416" i="1"/>
  <c r="H416" i="1"/>
  <c r="A417" i="1"/>
  <c r="B417" i="1"/>
  <c r="C417" i="1"/>
  <c r="D417" i="1"/>
  <c r="E417" i="1"/>
  <c r="F417" i="1"/>
  <c r="G417" i="1"/>
  <c r="H417" i="1"/>
  <c r="A418" i="1"/>
  <c r="B418" i="1"/>
  <c r="C418" i="1"/>
  <c r="D418" i="1"/>
  <c r="E418" i="1"/>
  <c r="F418" i="1"/>
  <c r="G418" i="1"/>
  <c r="H418" i="1"/>
  <c r="A419" i="1"/>
  <c r="B419" i="1"/>
  <c r="C419" i="1"/>
  <c r="D419" i="1"/>
  <c r="E419" i="1"/>
  <c r="F419" i="1"/>
  <c r="G419" i="1"/>
  <c r="H419" i="1"/>
  <c r="A420" i="1"/>
  <c r="B420" i="1"/>
  <c r="C420" i="1"/>
  <c r="D420" i="1"/>
  <c r="E420" i="1"/>
  <c r="F420" i="1"/>
  <c r="G420" i="1"/>
  <c r="H420" i="1"/>
  <c r="A421" i="1"/>
  <c r="B421" i="1"/>
  <c r="C421" i="1"/>
  <c r="D421" i="1"/>
  <c r="E421" i="1"/>
  <c r="F421" i="1"/>
  <c r="G421" i="1"/>
  <c r="H421" i="1"/>
  <c r="A422" i="1"/>
  <c r="B422" i="1"/>
  <c r="C422" i="1"/>
  <c r="D422" i="1"/>
  <c r="E422" i="1"/>
  <c r="F422" i="1"/>
  <c r="G422" i="1"/>
  <c r="H422" i="1"/>
  <c r="A423" i="1"/>
  <c r="B423" i="1"/>
  <c r="C423" i="1"/>
  <c r="D423" i="1"/>
  <c r="E423" i="1"/>
  <c r="F423" i="1"/>
  <c r="G423" i="1"/>
  <c r="H423" i="1"/>
  <c r="A424" i="1"/>
  <c r="B424" i="1"/>
  <c r="C424" i="1"/>
  <c r="D424" i="1"/>
  <c r="E424" i="1"/>
  <c r="F424" i="1"/>
  <c r="G424" i="1"/>
  <c r="H424" i="1"/>
  <c r="A425" i="1"/>
  <c r="B425" i="1"/>
  <c r="C425" i="1"/>
  <c r="D425" i="1"/>
  <c r="E425" i="1"/>
  <c r="F425" i="1"/>
  <c r="G425" i="1"/>
  <c r="H425" i="1"/>
  <c r="A426" i="1"/>
  <c r="B426" i="1"/>
  <c r="C426" i="1"/>
  <c r="D426" i="1"/>
  <c r="E426" i="1"/>
  <c r="F426" i="1"/>
  <c r="G426" i="1"/>
  <c r="H426" i="1"/>
  <c r="A427" i="1"/>
  <c r="B427" i="1"/>
  <c r="C427" i="1"/>
  <c r="D427" i="1"/>
  <c r="E427" i="1"/>
  <c r="F427" i="1"/>
  <c r="G427" i="1"/>
  <c r="H427" i="1"/>
  <c r="A428" i="1"/>
  <c r="B428" i="1"/>
  <c r="C428" i="1"/>
  <c r="D428" i="1"/>
  <c r="E428" i="1"/>
  <c r="F428" i="1"/>
  <c r="G428" i="1"/>
  <c r="H428" i="1"/>
  <c r="A429" i="1"/>
  <c r="B429" i="1"/>
  <c r="C429" i="1"/>
  <c r="D429" i="1"/>
  <c r="E429" i="1"/>
  <c r="F429" i="1"/>
  <c r="G429" i="1"/>
  <c r="H429" i="1"/>
  <c r="A430" i="1"/>
  <c r="B430" i="1"/>
  <c r="C430" i="1"/>
  <c r="D430" i="1"/>
  <c r="E430" i="1"/>
  <c r="F430" i="1"/>
  <c r="G430" i="1"/>
  <c r="H430" i="1"/>
  <c r="A431" i="1"/>
  <c r="B431" i="1"/>
  <c r="C431" i="1"/>
  <c r="D431" i="1"/>
  <c r="E431" i="1"/>
  <c r="F431" i="1"/>
  <c r="G431" i="1"/>
  <c r="H431" i="1"/>
  <c r="A432" i="1"/>
  <c r="B432" i="1"/>
  <c r="C432" i="1"/>
  <c r="D432" i="1"/>
  <c r="E432" i="1"/>
  <c r="F432" i="1"/>
  <c r="G432" i="1"/>
  <c r="H432" i="1"/>
  <c r="A433" i="1"/>
  <c r="B433" i="1"/>
  <c r="C433" i="1"/>
  <c r="D433" i="1"/>
  <c r="E433" i="1"/>
  <c r="F433" i="1"/>
  <c r="G433" i="1"/>
  <c r="H433" i="1"/>
  <c r="A434" i="1"/>
  <c r="B434" i="1"/>
  <c r="C434" i="1"/>
  <c r="D434" i="1"/>
  <c r="E434" i="1"/>
  <c r="F434" i="1"/>
  <c r="G434" i="1"/>
  <c r="H434" i="1"/>
  <c r="A435" i="1"/>
  <c r="B435" i="1"/>
  <c r="C435" i="1"/>
  <c r="D435" i="1"/>
  <c r="E435" i="1"/>
  <c r="F435" i="1"/>
  <c r="G435" i="1"/>
  <c r="H435" i="1"/>
  <c r="A436" i="1"/>
  <c r="B436" i="1"/>
  <c r="C436" i="1"/>
  <c r="D436" i="1"/>
  <c r="E436" i="1"/>
  <c r="F436" i="1"/>
  <c r="G436" i="1"/>
  <c r="H436" i="1"/>
  <c r="A437" i="1"/>
  <c r="B437" i="1"/>
  <c r="C437" i="1"/>
  <c r="D437" i="1"/>
  <c r="E437" i="1"/>
  <c r="F437" i="1"/>
  <c r="G437" i="1"/>
  <c r="H437" i="1"/>
  <c r="A438" i="1"/>
  <c r="B438" i="1"/>
  <c r="C438" i="1"/>
  <c r="D438" i="1"/>
  <c r="E438" i="1"/>
  <c r="F438" i="1"/>
  <c r="G438" i="1"/>
  <c r="H438" i="1"/>
  <c r="A439" i="1"/>
  <c r="B439" i="1"/>
  <c r="C439" i="1"/>
  <c r="D439" i="1"/>
  <c r="E439" i="1"/>
  <c r="F439" i="1"/>
  <c r="G439" i="1"/>
  <c r="H439" i="1"/>
  <c r="A440" i="1"/>
  <c r="B440" i="1"/>
  <c r="C440" i="1"/>
  <c r="D440" i="1"/>
  <c r="E440" i="1"/>
  <c r="F440" i="1"/>
  <c r="G440" i="1"/>
  <c r="H440" i="1"/>
  <c r="A441" i="1"/>
  <c r="B441" i="1"/>
  <c r="C441" i="1"/>
  <c r="D441" i="1"/>
  <c r="E441" i="1"/>
  <c r="F441" i="1"/>
  <c r="G441" i="1"/>
  <c r="H441" i="1"/>
  <c r="A442" i="1"/>
  <c r="B442" i="1"/>
  <c r="C442" i="1"/>
  <c r="D442" i="1"/>
  <c r="E442" i="1"/>
  <c r="F442" i="1"/>
  <c r="G442" i="1"/>
  <c r="H442" i="1"/>
  <c r="A443" i="1"/>
  <c r="B443" i="1"/>
  <c r="C443" i="1"/>
  <c r="D443" i="1"/>
  <c r="E443" i="1"/>
  <c r="F443" i="1"/>
  <c r="G443" i="1"/>
  <c r="H443" i="1"/>
  <c r="A444" i="1"/>
  <c r="B444" i="1"/>
  <c r="C444" i="1"/>
  <c r="D444" i="1"/>
  <c r="E444" i="1"/>
  <c r="F444" i="1"/>
  <c r="G444" i="1"/>
  <c r="H444" i="1"/>
  <c r="A445" i="1"/>
  <c r="B445" i="1"/>
  <c r="C445" i="1"/>
  <c r="D445" i="1"/>
  <c r="E445" i="1"/>
  <c r="F445" i="1"/>
  <c r="G445" i="1"/>
  <c r="H445" i="1"/>
  <c r="A446" i="1"/>
  <c r="B446" i="1"/>
  <c r="C446" i="1"/>
  <c r="D446" i="1"/>
  <c r="E446" i="1"/>
  <c r="F446" i="1"/>
  <c r="G446" i="1"/>
  <c r="H446" i="1"/>
  <c r="A447" i="1"/>
  <c r="B447" i="1"/>
  <c r="C447" i="1"/>
  <c r="D447" i="1"/>
  <c r="E447" i="1"/>
  <c r="F447" i="1"/>
  <c r="G447" i="1"/>
  <c r="H447" i="1"/>
  <c r="A448" i="1"/>
  <c r="B448" i="1"/>
  <c r="C448" i="1"/>
  <c r="D448" i="1"/>
  <c r="E448" i="1"/>
  <c r="F448" i="1"/>
  <c r="G448" i="1"/>
  <c r="H448" i="1"/>
  <c r="A449" i="1"/>
  <c r="B449" i="1"/>
  <c r="C449" i="1"/>
  <c r="D449" i="1"/>
  <c r="E449" i="1"/>
  <c r="F449" i="1"/>
  <c r="G449" i="1"/>
  <c r="H449" i="1"/>
  <c r="A450" i="1"/>
  <c r="B450" i="1"/>
  <c r="C450" i="1"/>
  <c r="D450" i="1"/>
  <c r="E450" i="1"/>
  <c r="F450" i="1"/>
  <c r="G450" i="1"/>
  <c r="H450" i="1"/>
  <c r="A451" i="1"/>
  <c r="B451" i="1"/>
  <c r="C451" i="1"/>
  <c r="D451" i="1"/>
  <c r="E451" i="1"/>
  <c r="F451" i="1"/>
  <c r="G451" i="1"/>
  <c r="H451" i="1"/>
  <c r="A452" i="1"/>
  <c r="B452" i="1"/>
  <c r="C452" i="1"/>
  <c r="D452" i="1"/>
  <c r="E452" i="1"/>
  <c r="F452" i="1"/>
  <c r="G452" i="1"/>
  <c r="H452" i="1"/>
  <c r="A453" i="1"/>
  <c r="B453" i="1"/>
  <c r="C453" i="1"/>
  <c r="D453" i="1"/>
  <c r="E453" i="1"/>
  <c r="F453" i="1"/>
  <c r="G453" i="1"/>
  <c r="H453" i="1"/>
  <c r="A454" i="1"/>
  <c r="B454" i="1"/>
  <c r="C454" i="1"/>
  <c r="D454" i="1"/>
  <c r="E454" i="1"/>
  <c r="F454" i="1"/>
  <c r="G454" i="1"/>
  <c r="H454" i="1"/>
  <c r="A455" i="1"/>
  <c r="B455" i="1"/>
  <c r="C455" i="1"/>
  <c r="D455" i="1"/>
  <c r="E455" i="1"/>
  <c r="F455" i="1"/>
  <c r="G455" i="1"/>
  <c r="H455" i="1"/>
  <c r="A456" i="1"/>
  <c r="B456" i="1"/>
  <c r="C456" i="1"/>
  <c r="D456" i="1"/>
  <c r="E456" i="1"/>
  <c r="F456" i="1"/>
  <c r="G456" i="1"/>
  <c r="H456" i="1"/>
  <c r="A457" i="1"/>
  <c r="B457" i="1"/>
  <c r="C457" i="1"/>
  <c r="D457" i="1"/>
  <c r="E457" i="1"/>
  <c r="F457" i="1"/>
  <c r="G457" i="1"/>
  <c r="H457" i="1"/>
  <c r="A458" i="1"/>
  <c r="B458" i="1"/>
  <c r="C458" i="1"/>
  <c r="D458" i="1"/>
  <c r="E458" i="1"/>
  <c r="F458" i="1"/>
  <c r="G458" i="1"/>
  <c r="H458" i="1"/>
  <c r="A459" i="1"/>
  <c r="B459" i="1"/>
  <c r="C459" i="1"/>
  <c r="D459" i="1"/>
  <c r="E459" i="1"/>
  <c r="F459" i="1"/>
  <c r="G459" i="1"/>
  <c r="H459" i="1"/>
  <c r="A460" i="1"/>
  <c r="B460" i="1"/>
  <c r="C460" i="1"/>
  <c r="D460" i="1"/>
  <c r="E460" i="1"/>
  <c r="F460" i="1"/>
  <c r="G460" i="1"/>
  <c r="H460" i="1"/>
  <c r="A461" i="1"/>
  <c r="B461" i="1"/>
  <c r="C461" i="1"/>
  <c r="D461" i="1"/>
  <c r="E461" i="1"/>
  <c r="F461" i="1"/>
  <c r="G461" i="1"/>
  <c r="H461" i="1"/>
  <c r="A462" i="1"/>
  <c r="B462" i="1"/>
  <c r="C462" i="1"/>
  <c r="D462" i="1"/>
  <c r="E462" i="1"/>
  <c r="F462" i="1"/>
  <c r="G462" i="1"/>
  <c r="H462" i="1"/>
  <c r="A463" i="1"/>
  <c r="B463" i="1"/>
  <c r="C463" i="1"/>
  <c r="D463" i="1"/>
  <c r="E463" i="1"/>
  <c r="F463" i="1"/>
  <c r="G463" i="1"/>
  <c r="H463" i="1"/>
  <c r="A464" i="1"/>
  <c r="B464" i="1"/>
  <c r="C464" i="1"/>
  <c r="D464" i="1"/>
  <c r="E464" i="1"/>
  <c r="F464" i="1"/>
  <c r="G464" i="1"/>
  <c r="H464" i="1"/>
  <c r="A465" i="1"/>
  <c r="B465" i="1"/>
  <c r="C465" i="1"/>
  <c r="D465" i="1"/>
  <c r="E465" i="1"/>
  <c r="F465" i="1"/>
  <c r="G465" i="1"/>
  <c r="H465" i="1"/>
  <c r="A466" i="1"/>
  <c r="B466" i="1"/>
  <c r="C466" i="1"/>
  <c r="D466" i="1"/>
  <c r="E466" i="1"/>
  <c r="F466" i="1"/>
  <c r="G466" i="1"/>
  <c r="H466" i="1"/>
  <c r="A467" i="1"/>
  <c r="B467" i="1"/>
  <c r="C467" i="1"/>
  <c r="D467" i="1"/>
  <c r="E467" i="1"/>
  <c r="F467" i="1"/>
  <c r="G467" i="1"/>
  <c r="H467" i="1"/>
  <c r="A468" i="1"/>
  <c r="B468" i="1"/>
  <c r="C468" i="1"/>
  <c r="D468" i="1"/>
  <c r="E468" i="1"/>
  <c r="F468" i="1"/>
  <c r="G468" i="1"/>
  <c r="H468" i="1"/>
  <c r="A469" i="1"/>
  <c r="B469" i="1"/>
  <c r="C469" i="1"/>
  <c r="D469" i="1"/>
  <c r="E469" i="1"/>
  <c r="F469" i="1"/>
  <c r="G469" i="1"/>
  <c r="H469" i="1"/>
  <c r="A470" i="1"/>
  <c r="B470" i="1"/>
  <c r="C470" i="1"/>
  <c r="D470" i="1"/>
  <c r="E470" i="1"/>
  <c r="F470" i="1"/>
  <c r="G470" i="1"/>
  <c r="H470" i="1"/>
  <c r="A471" i="1"/>
  <c r="B471" i="1"/>
  <c r="C471" i="1"/>
  <c r="D471" i="1"/>
  <c r="E471" i="1"/>
  <c r="F471" i="1"/>
  <c r="G471" i="1"/>
  <c r="H471" i="1"/>
  <c r="A472" i="1"/>
  <c r="B472" i="1"/>
  <c r="C472" i="1"/>
  <c r="D472" i="1"/>
  <c r="E472" i="1"/>
  <c r="F472" i="1"/>
  <c r="G472" i="1"/>
  <c r="H472" i="1"/>
  <c r="A473" i="1"/>
  <c r="B473" i="1"/>
  <c r="C473" i="1"/>
  <c r="D473" i="1"/>
  <c r="E473" i="1"/>
  <c r="F473" i="1"/>
  <c r="G473" i="1"/>
  <c r="H473" i="1"/>
  <c r="A474" i="1"/>
  <c r="B474" i="1"/>
  <c r="C474" i="1"/>
  <c r="D474" i="1"/>
  <c r="E474" i="1"/>
  <c r="F474" i="1"/>
  <c r="G474" i="1"/>
  <c r="H474" i="1"/>
  <c r="A475" i="1"/>
  <c r="B475" i="1"/>
  <c r="C475" i="1"/>
  <c r="D475" i="1"/>
  <c r="E475" i="1"/>
  <c r="F475" i="1"/>
  <c r="G475" i="1"/>
  <c r="H475" i="1"/>
  <c r="A476" i="1"/>
  <c r="B476" i="1"/>
  <c r="C476" i="1"/>
  <c r="D476" i="1"/>
  <c r="E476" i="1"/>
  <c r="F476" i="1"/>
  <c r="G476" i="1"/>
  <c r="H476" i="1"/>
  <c r="A477" i="1"/>
  <c r="B477" i="1"/>
  <c r="C477" i="1"/>
  <c r="D477" i="1"/>
  <c r="E477" i="1"/>
  <c r="F477" i="1"/>
  <c r="G477" i="1"/>
  <c r="H477" i="1"/>
  <c r="A478" i="1"/>
  <c r="B478" i="1"/>
  <c r="C478" i="1"/>
  <c r="D478" i="1"/>
  <c r="E478" i="1"/>
  <c r="F478" i="1"/>
  <c r="G478" i="1"/>
  <c r="H478" i="1"/>
  <c r="A479" i="1"/>
  <c r="B479" i="1"/>
  <c r="C479" i="1"/>
  <c r="D479" i="1"/>
  <c r="E479" i="1"/>
  <c r="F479" i="1"/>
  <c r="G479" i="1"/>
  <c r="H479" i="1"/>
  <c r="A480" i="1"/>
  <c r="B480" i="1"/>
  <c r="C480" i="1"/>
  <c r="D480" i="1"/>
  <c r="E480" i="1"/>
  <c r="F480" i="1"/>
  <c r="G480" i="1"/>
  <c r="H480" i="1"/>
  <c r="A481" i="1"/>
  <c r="B481" i="1"/>
  <c r="C481" i="1"/>
  <c r="D481" i="1"/>
  <c r="E481" i="1"/>
  <c r="F481" i="1"/>
  <c r="G481" i="1"/>
  <c r="H481" i="1"/>
  <c r="A482" i="1"/>
  <c r="B482" i="1"/>
  <c r="C482" i="1"/>
  <c r="D482" i="1"/>
  <c r="E482" i="1"/>
  <c r="F482" i="1"/>
  <c r="G482" i="1"/>
  <c r="H482" i="1"/>
  <c r="A483" i="1"/>
  <c r="B483" i="1"/>
  <c r="C483" i="1"/>
  <c r="D483" i="1"/>
  <c r="E483" i="1"/>
  <c r="F483" i="1"/>
  <c r="G483" i="1"/>
  <c r="H483" i="1"/>
  <c r="A484" i="1"/>
  <c r="B484" i="1"/>
  <c r="C484" i="1"/>
  <c r="D484" i="1"/>
  <c r="E484" i="1"/>
  <c r="F484" i="1"/>
  <c r="G484" i="1"/>
  <c r="H484" i="1"/>
  <c r="A485" i="1"/>
  <c r="B485" i="1"/>
  <c r="C485" i="1"/>
  <c r="D485" i="1"/>
  <c r="E485" i="1"/>
  <c r="F485" i="1"/>
  <c r="G485" i="1"/>
  <c r="H485" i="1"/>
  <c r="A486" i="1"/>
  <c r="B486" i="1"/>
  <c r="C486" i="1"/>
  <c r="D486" i="1"/>
  <c r="E486" i="1"/>
  <c r="F486" i="1"/>
  <c r="G486" i="1"/>
  <c r="H486" i="1"/>
  <c r="A487" i="1"/>
  <c r="B487" i="1"/>
  <c r="C487" i="1"/>
  <c r="D487" i="1"/>
  <c r="E487" i="1"/>
  <c r="F487" i="1"/>
  <c r="G487" i="1"/>
  <c r="H487" i="1"/>
  <c r="A488" i="1"/>
  <c r="B488" i="1"/>
  <c r="C488" i="1"/>
  <c r="D488" i="1"/>
  <c r="E488" i="1"/>
  <c r="F488" i="1"/>
  <c r="G488" i="1"/>
  <c r="H488" i="1"/>
  <c r="A489" i="1"/>
  <c r="B489" i="1"/>
  <c r="C489" i="1"/>
  <c r="D489" i="1"/>
  <c r="E489" i="1"/>
  <c r="F489" i="1"/>
  <c r="G489" i="1"/>
  <c r="H489" i="1"/>
  <c r="A490" i="1"/>
  <c r="B490" i="1"/>
  <c r="C490" i="1"/>
  <c r="D490" i="1"/>
  <c r="E490" i="1"/>
  <c r="F490" i="1"/>
  <c r="G490" i="1"/>
  <c r="H490" i="1"/>
  <c r="A491" i="1"/>
  <c r="B491" i="1"/>
  <c r="C491" i="1"/>
  <c r="D491" i="1"/>
  <c r="E491" i="1"/>
  <c r="F491" i="1"/>
  <c r="G491" i="1"/>
  <c r="H491" i="1"/>
  <c r="A492" i="1"/>
  <c r="B492" i="1"/>
  <c r="C492" i="1"/>
  <c r="D492" i="1"/>
  <c r="E492" i="1"/>
  <c r="F492" i="1"/>
  <c r="G492" i="1"/>
  <c r="H492" i="1"/>
  <c r="A493" i="1"/>
  <c r="B493" i="1"/>
  <c r="C493" i="1"/>
  <c r="D493" i="1"/>
  <c r="E493" i="1"/>
  <c r="F493" i="1"/>
  <c r="G493" i="1"/>
  <c r="H493" i="1"/>
  <c r="A494" i="1"/>
  <c r="B494" i="1"/>
  <c r="C494" i="1"/>
  <c r="D494" i="1"/>
  <c r="E494" i="1"/>
  <c r="F494" i="1"/>
  <c r="G494" i="1"/>
  <c r="H494" i="1"/>
  <c r="A495" i="1"/>
  <c r="B495" i="1"/>
  <c r="C495" i="1"/>
  <c r="D495" i="1"/>
  <c r="E495" i="1"/>
  <c r="F495" i="1"/>
  <c r="G495" i="1"/>
  <c r="H495" i="1"/>
  <c r="A496" i="1"/>
  <c r="B496" i="1"/>
  <c r="C496" i="1"/>
  <c r="D496" i="1"/>
  <c r="E496" i="1"/>
  <c r="F496" i="1"/>
  <c r="G496" i="1"/>
  <c r="H496" i="1"/>
  <c r="A497" i="1"/>
  <c r="B497" i="1"/>
  <c r="C497" i="1"/>
  <c r="D497" i="1"/>
  <c r="E497" i="1"/>
  <c r="F497" i="1"/>
  <c r="G497" i="1"/>
  <c r="H497" i="1"/>
  <c r="A498" i="1"/>
  <c r="B498" i="1"/>
  <c r="C498" i="1"/>
  <c r="D498" i="1"/>
  <c r="E498" i="1"/>
  <c r="F498" i="1"/>
  <c r="G498" i="1"/>
  <c r="H498" i="1"/>
  <c r="A499" i="1"/>
  <c r="B499" i="1"/>
  <c r="C499" i="1"/>
  <c r="D499" i="1"/>
  <c r="E499" i="1"/>
  <c r="F499" i="1"/>
  <c r="G499" i="1"/>
  <c r="H499" i="1"/>
  <c r="A500" i="1"/>
  <c r="B500" i="1"/>
  <c r="C500" i="1"/>
  <c r="D500" i="1"/>
  <c r="E500" i="1"/>
  <c r="F500" i="1"/>
  <c r="G500" i="1"/>
  <c r="H500" i="1"/>
  <c r="A501" i="1"/>
  <c r="B501" i="1"/>
  <c r="C501" i="1"/>
  <c r="D501" i="1"/>
  <c r="E501" i="1"/>
  <c r="F501" i="1"/>
  <c r="G501" i="1"/>
  <c r="H501" i="1"/>
  <c r="A502" i="1"/>
  <c r="B502" i="1"/>
  <c r="C502" i="1"/>
  <c r="D502" i="1"/>
  <c r="E502" i="1"/>
  <c r="F502" i="1"/>
  <c r="G502" i="1"/>
  <c r="H502" i="1"/>
  <c r="A503" i="1"/>
  <c r="B503" i="1"/>
  <c r="C503" i="1"/>
  <c r="D503" i="1"/>
  <c r="E503" i="1"/>
  <c r="F503" i="1"/>
  <c r="G503" i="1"/>
  <c r="H503" i="1"/>
  <c r="A504" i="1"/>
  <c r="B504" i="1"/>
  <c r="C504" i="1"/>
  <c r="D504" i="1"/>
  <c r="E504" i="1"/>
  <c r="F504" i="1"/>
  <c r="G504" i="1"/>
  <c r="H504" i="1"/>
  <c r="A505" i="1"/>
  <c r="B505" i="1"/>
  <c r="C505" i="1"/>
  <c r="D505" i="1"/>
  <c r="E505" i="1"/>
  <c r="F505" i="1"/>
  <c r="G505" i="1"/>
  <c r="H505" i="1"/>
  <c r="A506" i="1"/>
  <c r="B506" i="1"/>
  <c r="C506" i="1"/>
  <c r="D506" i="1"/>
  <c r="E506" i="1"/>
  <c r="F506" i="1"/>
  <c r="G506" i="1"/>
  <c r="H506" i="1"/>
  <c r="A507" i="1"/>
  <c r="B507" i="1"/>
  <c r="C507" i="1"/>
  <c r="D507" i="1"/>
  <c r="E507" i="1"/>
  <c r="F507" i="1"/>
  <c r="G507" i="1"/>
  <c r="H507" i="1"/>
  <c r="A508" i="1"/>
  <c r="B508" i="1"/>
  <c r="C508" i="1"/>
  <c r="D508" i="1"/>
  <c r="E508" i="1"/>
  <c r="F508" i="1"/>
  <c r="G508" i="1"/>
  <c r="H508" i="1"/>
  <c r="A509" i="1"/>
  <c r="B509" i="1"/>
  <c r="C509" i="1"/>
  <c r="D509" i="1"/>
  <c r="E509" i="1"/>
  <c r="F509" i="1"/>
  <c r="G509" i="1"/>
  <c r="H509" i="1"/>
  <c r="A510" i="1"/>
  <c r="B510" i="1"/>
  <c r="C510" i="1"/>
  <c r="D510" i="1"/>
  <c r="E510" i="1"/>
  <c r="F510" i="1"/>
  <c r="G510" i="1"/>
  <c r="H510" i="1"/>
  <c r="A511" i="1"/>
  <c r="B511" i="1"/>
  <c r="C511" i="1"/>
  <c r="D511" i="1"/>
  <c r="E511" i="1"/>
  <c r="F511" i="1"/>
  <c r="G511" i="1"/>
  <c r="H511" i="1"/>
  <c r="A512" i="1"/>
  <c r="B512" i="1"/>
  <c r="C512" i="1"/>
  <c r="D512" i="1"/>
  <c r="E512" i="1"/>
  <c r="F512" i="1"/>
  <c r="G512" i="1"/>
  <c r="H512" i="1"/>
  <c r="A513" i="1"/>
  <c r="B513" i="1"/>
  <c r="C513" i="1"/>
  <c r="D513" i="1"/>
  <c r="E513" i="1"/>
  <c r="F513" i="1"/>
  <c r="G513" i="1"/>
  <c r="H513" i="1"/>
  <c r="A514" i="1"/>
  <c r="B514" i="1"/>
  <c r="C514" i="1"/>
  <c r="D514" i="1"/>
  <c r="E514" i="1"/>
  <c r="F514" i="1"/>
  <c r="G514" i="1"/>
  <c r="H514" i="1"/>
  <c r="A515" i="1"/>
  <c r="B515" i="1"/>
  <c r="C515" i="1"/>
  <c r="D515" i="1"/>
  <c r="E515" i="1"/>
  <c r="F515" i="1"/>
  <c r="G515" i="1"/>
  <c r="H515" i="1"/>
  <c r="A516" i="1"/>
  <c r="B516" i="1"/>
  <c r="C516" i="1"/>
  <c r="D516" i="1"/>
  <c r="E516" i="1"/>
  <c r="F516" i="1"/>
  <c r="G516" i="1"/>
  <c r="H516" i="1"/>
  <c r="A517" i="1"/>
  <c r="B517" i="1"/>
  <c r="C517" i="1"/>
  <c r="D517" i="1"/>
  <c r="E517" i="1"/>
  <c r="F517" i="1"/>
  <c r="G517" i="1"/>
  <c r="H517" i="1"/>
  <c r="A518" i="1"/>
  <c r="B518" i="1"/>
  <c r="C518" i="1"/>
  <c r="D518" i="1"/>
  <c r="E518" i="1"/>
  <c r="F518" i="1"/>
  <c r="G518" i="1"/>
  <c r="H518" i="1"/>
  <c r="A519" i="1"/>
  <c r="B519" i="1"/>
  <c r="C519" i="1"/>
  <c r="D519" i="1"/>
  <c r="E519" i="1"/>
  <c r="F519" i="1"/>
  <c r="G519" i="1"/>
  <c r="H519" i="1"/>
  <c r="A520" i="1"/>
  <c r="B520" i="1"/>
  <c r="C520" i="1"/>
  <c r="D520" i="1"/>
  <c r="E520" i="1"/>
  <c r="F520" i="1"/>
  <c r="G520" i="1"/>
  <c r="H520" i="1"/>
  <c r="A521" i="1"/>
  <c r="B521" i="1"/>
  <c r="C521" i="1"/>
  <c r="D521" i="1"/>
  <c r="E521" i="1"/>
  <c r="F521" i="1"/>
  <c r="G521" i="1"/>
  <c r="H521" i="1"/>
  <c r="A522" i="1"/>
  <c r="B522" i="1"/>
  <c r="C522" i="1"/>
  <c r="D522" i="1"/>
  <c r="E522" i="1"/>
  <c r="F522" i="1"/>
  <c r="G522" i="1"/>
  <c r="H522" i="1"/>
  <c r="A523" i="1"/>
  <c r="B523" i="1"/>
  <c r="C523" i="1"/>
  <c r="D523" i="1"/>
  <c r="E523" i="1"/>
  <c r="F523" i="1"/>
  <c r="G523" i="1"/>
  <c r="H523" i="1"/>
  <c r="A524" i="1"/>
  <c r="B524" i="1"/>
  <c r="C524" i="1"/>
  <c r="D524" i="1"/>
  <c r="E524" i="1"/>
  <c r="F524" i="1"/>
  <c r="G524" i="1"/>
  <c r="H524" i="1"/>
  <c r="A525" i="1"/>
  <c r="B525" i="1"/>
  <c r="C525" i="1"/>
  <c r="D525" i="1"/>
  <c r="E525" i="1"/>
  <c r="F525" i="1"/>
  <c r="G525" i="1"/>
  <c r="H525" i="1"/>
  <c r="A526" i="1"/>
  <c r="B526" i="1"/>
  <c r="C526" i="1"/>
  <c r="D526" i="1"/>
  <c r="E526" i="1"/>
  <c r="F526" i="1"/>
  <c r="G526" i="1"/>
  <c r="H526" i="1"/>
  <c r="A527" i="1"/>
  <c r="B527" i="1"/>
  <c r="C527" i="1"/>
  <c r="D527" i="1"/>
  <c r="E527" i="1"/>
  <c r="F527" i="1"/>
  <c r="G527" i="1"/>
  <c r="H527" i="1"/>
  <c r="A528" i="1"/>
  <c r="B528" i="1"/>
  <c r="C528" i="1"/>
  <c r="D528" i="1"/>
  <c r="E528" i="1"/>
  <c r="F528" i="1"/>
  <c r="G528" i="1"/>
  <c r="H528" i="1"/>
  <c r="A529" i="1"/>
  <c r="B529" i="1"/>
  <c r="C529" i="1"/>
  <c r="D529" i="1"/>
  <c r="E529" i="1"/>
  <c r="F529" i="1"/>
  <c r="G529" i="1"/>
  <c r="H529" i="1"/>
  <c r="A530" i="1"/>
  <c r="B530" i="1"/>
  <c r="C530" i="1"/>
  <c r="D530" i="1"/>
  <c r="E530" i="1"/>
  <c r="F530" i="1"/>
  <c r="G530" i="1"/>
  <c r="H530" i="1"/>
  <c r="A531" i="1"/>
  <c r="B531" i="1"/>
  <c r="C531" i="1"/>
  <c r="D531" i="1"/>
  <c r="E531" i="1"/>
  <c r="F531" i="1"/>
  <c r="G531" i="1"/>
  <c r="H531" i="1"/>
  <c r="A532" i="1"/>
  <c r="B532" i="1"/>
  <c r="C532" i="1"/>
  <c r="D532" i="1"/>
  <c r="E532" i="1"/>
  <c r="F532" i="1"/>
  <c r="G532" i="1"/>
  <c r="H532" i="1"/>
  <c r="A533" i="1"/>
  <c r="B533" i="1"/>
  <c r="C533" i="1"/>
  <c r="D533" i="1"/>
  <c r="E533" i="1"/>
  <c r="F533" i="1"/>
  <c r="G533" i="1"/>
  <c r="H533" i="1"/>
  <c r="A534" i="1"/>
  <c r="B534" i="1"/>
  <c r="C534" i="1"/>
  <c r="D534" i="1"/>
  <c r="E534" i="1"/>
  <c r="F534" i="1"/>
  <c r="G534" i="1"/>
  <c r="H534" i="1"/>
  <c r="A535" i="1"/>
  <c r="B535" i="1"/>
  <c r="C535" i="1"/>
  <c r="D535" i="1"/>
  <c r="E535" i="1"/>
  <c r="F535" i="1"/>
  <c r="G535" i="1"/>
  <c r="H535" i="1"/>
  <c r="A536" i="1"/>
  <c r="B536" i="1"/>
  <c r="C536" i="1"/>
  <c r="D536" i="1"/>
  <c r="E536" i="1"/>
  <c r="F536" i="1"/>
  <c r="G536" i="1"/>
  <c r="H536" i="1"/>
  <c r="A537" i="1"/>
  <c r="B537" i="1"/>
  <c r="C537" i="1"/>
  <c r="D537" i="1"/>
  <c r="E537" i="1"/>
  <c r="F537" i="1"/>
  <c r="G537" i="1"/>
  <c r="H537" i="1"/>
  <c r="A538" i="1"/>
  <c r="B538" i="1"/>
  <c r="C538" i="1"/>
  <c r="D538" i="1"/>
  <c r="E538" i="1"/>
  <c r="F538" i="1"/>
  <c r="G538" i="1"/>
  <c r="H538" i="1"/>
  <c r="A539" i="1"/>
  <c r="B539" i="1"/>
  <c r="C539" i="1"/>
  <c r="D539" i="1"/>
  <c r="E539" i="1"/>
  <c r="F539" i="1"/>
  <c r="G539" i="1"/>
  <c r="H539" i="1"/>
  <c r="A540" i="1"/>
  <c r="B540" i="1"/>
  <c r="C540" i="1"/>
  <c r="D540" i="1"/>
  <c r="E540" i="1"/>
  <c r="F540" i="1"/>
  <c r="G540" i="1"/>
  <c r="H540" i="1"/>
  <c r="A541" i="1"/>
  <c r="B541" i="1"/>
  <c r="C541" i="1"/>
  <c r="D541" i="1"/>
  <c r="E541" i="1"/>
  <c r="F541" i="1"/>
  <c r="G541" i="1"/>
  <c r="H541" i="1"/>
  <c r="A542" i="1"/>
  <c r="B542" i="1"/>
  <c r="C542" i="1"/>
  <c r="D542" i="1"/>
  <c r="E542" i="1"/>
  <c r="F542" i="1"/>
  <c r="G542" i="1"/>
  <c r="H542" i="1"/>
  <c r="A543" i="1"/>
  <c r="B543" i="1"/>
  <c r="C543" i="1"/>
  <c r="D543" i="1"/>
  <c r="E543" i="1"/>
  <c r="F543" i="1"/>
  <c r="G543" i="1"/>
  <c r="H543" i="1"/>
  <c r="A544" i="1"/>
  <c r="B544" i="1"/>
  <c r="C544" i="1"/>
  <c r="D544" i="1"/>
  <c r="E544" i="1"/>
  <c r="F544" i="1"/>
  <c r="G544" i="1"/>
  <c r="H544" i="1"/>
  <c r="A545" i="1"/>
  <c r="B545" i="1"/>
  <c r="C545" i="1"/>
  <c r="D545" i="1"/>
  <c r="E545" i="1"/>
  <c r="F545" i="1"/>
  <c r="G545" i="1"/>
  <c r="H545" i="1"/>
  <c r="A546" i="1"/>
  <c r="B546" i="1"/>
  <c r="C546" i="1"/>
  <c r="D546" i="1"/>
  <c r="E546" i="1"/>
  <c r="F546" i="1"/>
  <c r="G546" i="1"/>
  <c r="H546" i="1"/>
  <c r="A547" i="1"/>
  <c r="B547" i="1"/>
  <c r="C547" i="1"/>
  <c r="D547" i="1"/>
  <c r="E547" i="1"/>
  <c r="F547" i="1"/>
  <c r="G547" i="1"/>
  <c r="H547" i="1"/>
  <c r="A548" i="1"/>
  <c r="B548" i="1"/>
  <c r="C548" i="1"/>
  <c r="D548" i="1"/>
  <c r="E548" i="1"/>
  <c r="F548" i="1"/>
  <c r="G548" i="1"/>
  <c r="H548" i="1"/>
  <c r="A549" i="1"/>
  <c r="B549" i="1"/>
  <c r="C549" i="1"/>
  <c r="D549" i="1"/>
  <c r="E549" i="1"/>
  <c r="F549" i="1"/>
  <c r="G549" i="1"/>
  <c r="H549" i="1"/>
  <c r="A550" i="1"/>
  <c r="B550" i="1"/>
  <c r="C550" i="1"/>
  <c r="D550" i="1"/>
  <c r="E550" i="1"/>
  <c r="F550" i="1"/>
  <c r="G550" i="1"/>
  <c r="H550" i="1"/>
  <c r="A551" i="1"/>
  <c r="B551" i="1"/>
  <c r="C551" i="1"/>
  <c r="D551" i="1"/>
  <c r="E551" i="1"/>
  <c r="F551" i="1"/>
  <c r="G551" i="1"/>
  <c r="H551" i="1"/>
  <c r="A552" i="1"/>
  <c r="B552" i="1"/>
  <c r="C552" i="1"/>
  <c r="D552" i="1"/>
  <c r="E552" i="1"/>
  <c r="F552" i="1"/>
  <c r="G552" i="1"/>
  <c r="H552" i="1"/>
  <c r="A553" i="1"/>
  <c r="B553" i="1"/>
  <c r="C553" i="1"/>
  <c r="D553" i="1"/>
  <c r="E553" i="1"/>
  <c r="F553" i="1"/>
  <c r="G553" i="1"/>
  <c r="H553" i="1"/>
  <c r="A554" i="1"/>
  <c r="B554" i="1"/>
  <c r="C554" i="1"/>
  <c r="D554" i="1"/>
  <c r="E554" i="1"/>
  <c r="F554" i="1"/>
  <c r="G554" i="1"/>
  <c r="H554" i="1"/>
  <c r="A555" i="1"/>
  <c r="B555" i="1"/>
  <c r="C555" i="1"/>
  <c r="D555" i="1"/>
  <c r="E555" i="1"/>
  <c r="F555" i="1"/>
  <c r="G555" i="1"/>
  <c r="H555" i="1"/>
  <c r="A556" i="1"/>
  <c r="B556" i="1"/>
  <c r="C556" i="1"/>
  <c r="D556" i="1"/>
  <c r="E556" i="1"/>
  <c r="F556" i="1"/>
  <c r="G556" i="1"/>
  <c r="H556" i="1"/>
  <c r="A557" i="1"/>
  <c r="B557" i="1"/>
  <c r="C557" i="1"/>
  <c r="D557" i="1"/>
  <c r="E557" i="1"/>
  <c r="F557" i="1"/>
  <c r="G557" i="1"/>
  <c r="H557" i="1"/>
  <c r="A558" i="1"/>
  <c r="B558" i="1"/>
  <c r="C558" i="1"/>
  <c r="D558" i="1"/>
  <c r="E558" i="1"/>
  <c r="F558" i="1"/>
  <c r="G558" i="1"/>
  <c r="H558" i="1"/>
  <c r="A559" i="1"/>
  <c r="B559" i="1"/>
  <c r="C559" i="1"/>
  <c r="D559" i="1"/>
  <c r="E559" i="1"/>
  <c r="F559" i="1"/>
  <c r="G559" i="1"/>
  <c r="H559" i="1"/>
  <c r="A560" i="1"/>
  <c r="B560" i="1"/>
  <c r="C560" i="1"/>
  <c r="D560" i="1"/>
  <c r="E560" i="1"/>
  <c r="F560" i="1"/>
  <c r="G560" i="1"/>
  <c r="H560" i="1"/>
  <c r="A561" i="1"/>
  <c r="B561" i="1"/>
  <c r="C561" i="1"/>
  <c r="D561" i="1"/>
  <c r="E561" i="1"/>
  <c r="F561" i="1"/>
  <c r="G561" i="1"/>
  <c r="H561" i="1"/>
  <c r="A562" i="1"/>
  <c r="B562" i="1"/>
  <c r="C562" i="1"/>
  <c r="D562" i="1"/>
  <c r="E562" i="1"/>
  <c r="F562" i="1"/>
  <c r="G562" i="1"/>
  <c r="H562" i="1"/>
  <c r="A563" i="1"/>
  <c r="B563" i="1"/>
  <c r="C563" i="1"/>
  <c r="D563" i="1"/>
  <c r="E563" i="1"/>
  <c r="F563" i="1"/>
  <c r="G563" i="1"/>
  <c r="H563" i="1"/>
  <c r="A564" i="1"/>
  <c r="B564" i="1"/>
  <c r="C564" i="1"/>
  <c r="D564" i="1"/>
  <c r="E564" i="1"/>
  <c r="F564" i="1"/>
  <c r="G564" i="1"/>
  <c r="H564" i="1"/>
  <c r="A565" i="1"/>
  <c r="B565" i="1"/>
  <c r="C565" i="1"/>
  <c r="D565" i="1"/>
  <c r="E565" i="1"/>
  <c r="F565" i="1"/>
  <c r="G565" i="1"/>
  <c r="H565" i="1"/>
  <c r="A566" i="1"/>
  <c r="B566" i="1"/>
  <c r="C566" i="1"/>
  <c r="D566" i="1"/>
  <c r="E566" i="1"/>
  <c r="F566" i="1"/>
  <c r="G566" i="1"/>
  <c r="H566" i="1"/>
  <c r="A567" i="1"/>
  <c r="B567" i="1"/>
  <c r="C567" i="1"/>
  <c r="D567" i="1"/>
  <c r="E567" i="1"/>
  <c r="F567" i="1"/>
  <c r="G567" i="1"/>
  <c r="H567" i="1"/>
  <c r="A568" i="1"/>
  <c r="B568" i="1"/>
  <c r="C568" i="1"/>
  <c r="D568" i="1"/>
  <c r="E568" i="1"/>
  <c r="F568" i="1"/>
  <c r="G568" i="1"/>
  <c r="H568" i="1"/>
  <c r="A569" i="1"/>
  <c r="B569" i="1"/>
  <c r="C569" i="1"/>
  <c r="D569" i="1"/>
  <c r="E569" i="1"/>
  <c r="F569" i="1"/>
  <c r="G569" i="1"/>
  <c r="H569" i="1"/>
  <c r="A570" i="1"/>
  <c r="B570" i="1"/>
  <c r="C570" i="1"/>
  <c r="D570" i="1"/>
  <c r="E570" i="1"/>
  <c r="F570" i="1"/>
  <c r="G570" i="1"/>
  <c r="H570" i="1"/>
  <c r="A571" i="1"/>
  <c r="B571" i="1"/>
  <c r="C571" i="1"/>
  <c r="D571" i="1"/>
  <c r="E571" i="1"/>
  <c r="F571" i="1"/>
  <c r="G571" i="1"/>
  <c r="H571" i="1"/>
  <c r="A572" i="1"/>
  <c r="B572" i="1"/>
  <c r="C572" i="1"/>
  <c r="D572" i="1"/>
  <c r="E572" i="1"/>
  <c r="F572" i="1"/>
  <c r="G572" i="1"/>
  <c r="H572" i="1"/>
  <c r="A573" i="1"/>
  <c r="B573" i="1"/>
  <c r="C573" i="1"/>
  <c r="D573" i="1"/>
  <c r="E573" i="1"/>
  <c r="F573" i="1"/>
  <c r="G573" i="1"/>
  <c r="H573" i="1"/>
  <c r="A574" i="1"/>
  <c r="B574" i="1"/>
  <c r="C574" i="1"/>
  <c r="D574" i="1"/>
  <c r="E574" i="1"/>
  <c r="F574" i="1"/>
  <c r="G574" i="1"/>
  <c r="H574" i="1"/>
  <c r="A575" i="1"/>
  <c r="B575" i="1"/>
  <c r="C575" i="1"/>
  <c r="D575" i="1"/>
  <c r="E575" i="1"/>
  <c r="F575" i="1"/>
  <c r="G575" i="1"/>
  <c r="H575" i="1"/>
  <c r="A576" i="1"/>
  <c r="B576" i="1"/>
  <c r="C576" i="1"/>
  <c r="D576" i="1"/>
  <c r="E576" i="1"/>
  <c r="F576" i="1"/>
  <c r="G576" i="1"/>
  <c r="H576" i="1"/>
  <c r="A577" i="1"/>
  <c r="B577" i="1"/>
  <c r="C577" i="1"/>
  <c r="D577" i="1"/>
  <c r="E577" i="1"/>
  <c r="F577" i="1"/>
  <c r="G577" i="1"/>
  <c r="H577" i="1"/>
  <c r="A578" i="1"/>
  <c r="B578" i="1"/>
  <c r="C578" i="1"/>
  <c r="D578" i="1"/>
  <c r="E578" i="1"/>
  <c r="F578" i="1"/>
  <c r="G578" i="1"/>
  <c r="H578" i="1"/>
  <c r="A579" i="1"/>
  <c r="B579" i="1"/>
  <c r="C579" i="1"/>
  <c r="D579" i="1"/>
  <c r="E579" i="1"/>
  <c r="F579" i="1"/>
  <c r="G579" i="1"/>
  <c r="H579" i="1"/>
  <c r="A580" i="1"/>
  <c r="B580" i="1"/>
  <c r="C580" i="1"/>
  <c r="D580" i="1"/>
  <c r="E580" i="1"/>
  <c r="F580" i="1"/>
  <c r="G580" i="1"/>
  <c r="H580" i="1"/>
  <c r="A581" i="1"/>
  <c r="B581" i="1"/>
  <c r="C581" i="1"/>
  <c r="D581" i="1"/>
  <c r="E581" i="1"/>
  <c r="F581" i="1"/>
  <c r="G581" i="1"/>
  <c r="H581" i="1"/>
  <c r="A582" i="1"/>
  <c r="B582" i="1"/>
  <c r="C582" i="1"/>
  <c r="D582" i="1"/>
  <c r="E582" i="1"/>
  <c r="F582" i="1"/>
  <c r="G582" i="1"/>
  <c r="H582" i="1"/>
  <c r="A583" i="1"/>
  <c r="B583" i="1"/>
  <c r="C583" i="1"/>
  <c r="D583" i="1"/>
  <c r="E583" i="1"/>
  <c r="F583" i="1"/>
  <c r="G583" i="1"/>
  <c r="H583" i="1"/>
  <c r="A584" i="1"/>
  <c r="B584" i="1"/>
  <c r="C584" i="1"/>
  <c r="D584" i="1"/>
  <c r="E584" i="1"/>
  <c r="F584" i="1"/>
  <c r="G584" i="1"/>
  <c r="H584" i="1"/>
  <c r="A585" i="1"/>
  <c r="B585" i="1"/>
  <c r="C585" i="1"/>
  <c r="D585" i="1"/>
  <c r="E585" i="1"/>
  <c r="F585" i="1"/>
  <c r="G585" i="1"/>
  <c r="H585" i="1"/>
  <c r="A586" i="1"/>
  <c r="B586" i="1"/>
  <c r="C586" i="1"/>
  <c r="D586" i="1"/>
  <c r="E586" i="1"/>
  <c r="F586" i="1"/>
  <c r="G586" i="1"/>
  <c r="H586" i="1"/>
  <c r="A587" i="1"/>
  <c r="B587" i="1"/>
  <c r="C587" i="1"/>
  <c r="D587" i="1"/>
  <c r="E587" i="1"/>
  <c r="F587" i="1"/>
  <c r="G587" i="1"/>
  <c r="H587" i="1"/>
  <c r="A588" i="1"/>
  <c r="B588" i="1"/>
  <c r="C588" i="1"/>
  <c r="D588" i="1"/>
  <c r="E588" i="1"/>
  <c r="F588" i="1"/>
  <c r="G588" i="1"/>
  <c r="H588" i="1"/>
  <c r="A589" i="1"/>
  <c r="B589" i="1"/>
  <c r="C589" i="1"/>
  <c r="D589" i="1"/>
  <c r="E589" i="1"/>
  <c r="F589" i="1"/>
  <c r="G589" i="1"/>
  <c r="H589" i="1"/>
  <c r="A590" i="1"/>
  <c r="B590" i="1"/>
  <c r="C590" i="1"/>
  <c r="D590" i="1"/>
  <c r="E590" i="1"/>
  <c r="F590" i="1"/>
  <c r="G590" i="1"/>
  <c r="H590" i="1"/>
  <c r="A591" i="1"/>
  <c r="B591" i="1"/>
  <c r="C591" i="1"/>
  <c r="D591" i="1"/>
  <c r="E591" i="1"/>
  <c r="F591" i="1"/>
  <c r="G591" i="1"/>
  <c r="H591" i="1"/>
  <c r="A592" i="1"/>
  <c r="B592" i="1"/>
  <c r="C592" i="1"/>
  <c r="D592" i="1"/>
  <c r="E592" i="1"/>
  <c r="F592" i="1"/>
  <c r="G592" i="1"/>
  <c r="H592" i="1"/>
  <c r="A593" i="1"/>
  <c r="B593" i="1"/>
  <c r="C593" i="1"/>
  <c r="D593" i="1"/>
  <c r="E593" i="1"/>
  <c r="F593" i="1"/>
  <c r="G593" i="1"/>
  <c r="H593" i="1"/>
  <c r="A594" i="1"/>
  <c r="B594" i="1"/>
  <c r="C594" i="1"/>
  <c r="D594" i="1"/>
  <c r="E594" i="1"/>
  <c r="F594" i="1"/>
  <c r="G594" i="1"/>
  <c r="H594" i="1"/>
  <c r="A595" i="1"/>
  <c r="B595" i="1"/>
  <c r="C595" i="1"/>
  <c r="D595" i="1"/>
  <c r="E595" i="1"/>
  <c r="F595" i="1"/>
  <c r="G595" i="1"/>
  <c r="H595" i="1"/>
  <c r="A596" i="1"/>
  <c r="B596" i="1"/>
  <c r="C596" i="1"/>
  <c r="D596" i="1"/>
  <c r="E596" i="1"/>
  <c r="F596" i="1"/>
  <c r="G596" i="1"/>
  <c r="H596" i="1"/>
  <c r="A597" i="1"/>
  <c r="B597" i="1"/>
  <c r="C597" i="1"/>
  <c r="D597" i="1"/>
  <c r="E597" i="1"/>
  <c r="F597" i="1"/>
  <c r="G597" i="1"/>
  <c r="H597" i="1"/>
  <c r="A598" i="1"/>
  <c r="B598" i="1"/>
  <c r="C598" i="1"/>
  <c r="D598" i="1"/>
  <c r="E598" i="1"/>
  <c r="F598" i="1"/>
  <c r="G598" i="1"/>
  <c r="H598" i="1"/>
  <c r="A599" i="1"/>
  <c r="B599" i="1"/>
  <c r="C599" i="1"/>
  <c r="D599" i="1"/>
  <c r="E599" i="1"/>
  <c r="F599" i="1"/>
  <c r="G599" i="1"/>
  <c r="H599" i="1"/>
  <c r="A600" i="1"/>
  <c r="B600" i="1"/>
  <c r="C600" i="1"/>
  <c r="D600" i="1"/>
  <c r="E600" i="1"/>
  <c r="F600" i="1"/>
  <c r="G600" i="1"/>
  <c r="H600" i="1"/>
  <c r="A601" i="1"/>
  <c r="B601" i="1"/>
  <c r="C601" i="1"/>
  <c r="D601" i="1"/>
  <c r="E601" i="1"/>
  <c r="F601" i="1"/>
  <c r="G601" i="1"/>
  <c r="H601" i="1"/>
  <c r="A602" i="1"/>
  <c r="B602" i="1"/>
  <c r="C602" i="1"/>
  <c r="D602" i="1"/>
  <c r="E602" i="1"/>
  <c r="F602" i="1"/>
  <c r="G602" i="1"/>
  <c r="H602" i="1"/>
  <c r="A603" i="1"/>
  <c r="B603" i="1"/>
  <c r="C603" i="1"/>
  <c r="D603" i="1"/>
  <c r="E603" i="1"/>
  <c r="F603" i="1"/>
  <c r="G603" i="1"/>
  <c r="H603" i="1"/>
  <c r="A604" i="1"/>
  <c r="B604" i="1"/>
  <c r="C604" i="1"/>
  <c r="D604" i="1"/>
  <c r="E604" i="1"/>
  <c r="F604" i="1"/>
  <c r="G604" i="1"/>
  <c r="H604" i="1"/>
  <c r="A605" i="1"/>
  <c r="B605" i="1"/>
  <c r="C605" i="1"/>
  <c r="D605" i="1"/>
  <c r="E605" i="1"/>
  <c r="F605" i="1"/>
  <c r="G605" i="1"/>
  <c r="H605" i="1"/>
  <c r="A606" i="1"/>
  <c r="B606" i="1"/>
  <c r="C606" i="1"/>
  <c r="D606" i="1"/>
  <c r="E606" i="1"/>
  <c r="F606" i="1"/>
  <c r="G606" i="1"/>
  <c r="H606" i="1"/>
  <c r="A607" i="1"/>
  <c r="B607" i="1"/>
  <c r="C607" i="1"/>
  <c r="D607" i="1"/>
  <c r="E607" i="1"/>
  <c r="F607" i="1"/>
  <c r="G607" i="1"/>
  <c r="H607" i="1"/>
  <c r="A608" i="1"/>
  <c r="B608" i="1"/>
  <c r="C608" i="1"/>
  <c r="D608" i="1"/>
  <c r="E608" i="1"/>
  <c r="F608" i="1"/>
  <c r="G608" i="1"/>
  <c r="H608" i="1"/>
  <c r="A609" i="1"/>
  <c r="B609" i="1"/>
  <c r="C609" i="1"/>
  <c r="D609" i="1"/>
  <c r="E609" i="1"/>
  <c r="F609" i="1"/>
  <c r="G609" i="1"/>
  <c r="H609" i="1"/>
  <c r="A610" i="1"/>
  <c r="B610" i="1"/>
  <c r="C610" i="1"/>
  <c r="D610" i="1"/>
  <c r="E610" i="1"/>
  <c r="F610" i="1"/>
  <c r="G610" i="1"/>
  <c r="H610" i="1"/>
  <c r="A611" i="1"/>
  <c r="B611" i="1"/>
  <c r="C611" i="1"/>
  <c r="D611" i="1"/>
  <c r="E611" i="1"/>
  <c r="F611" i="1"/>
  <c r="G611" i="1"/>
  <c r="H611" i="1"/>
  <c r="A612" i="1"/>
  <c r="B612" i="1"/>
  <c r="C612" i="1"/>
  <c r="D612" i="1"/>
  <c r="E612" i="1"/>
  <c r="F612" i="1"/>
  <c r="G612" i="1"/>
  <c r="H612" i="1"/>
  <c r="A613" i="1"/>
  <c r="B613" i="1"/>
  <c r="C613" i="1"/>
  <c r="D613" i="1"/>
  <c r="E613" i="1"/>
  <c r="F613" i="1"/>
  <c r="G613" i="1"/>
  <c r="H613" i="1"/>
  <c r="A614" i="1"/>
  <c r="B614" i="1"/>
  <c r="C614" i="1"/>
  <c r="D614" i="1"/>
  <c r="E614" i="1"/>
  <c r="F614" i="1"/>
  <c r="G614" i="1"/>
  <c r="H614" i="1"/>
  <c r="A615" i="1"/>
  <c r="B615" i="1"/>
  <c r="C615" i="1"/>
  <c r="D615" i="1"/>
  <c r="E615" i="1"/>
  <c r="F615" i="1"/>
  <c r="G615" i="1"/>
  <c r="H615" i="1"/>
  <c r="A616" i="1"/>
  <c r="B616" i="1"/>
  <c r="C616" i="1"/>
  <c r="D616" i="1"/>
  <c r="E616" i="1"/>
  <c r="F616" i="1"/>
  <c r="G616" i="1"/>
  <c r="H616" i="1"/>
  <c r="A617" i="1"/>
  <c r="B617" i="1"/>
  <c r="C617" i="1"/>
  <c r="D617" i="1"/>
  <c r="E617" i="1"/>
  <c r="F617" i="1"/>
  <c r="G617" i="1"/>
  <c r="H617" i="1"/>
  <c r="A618" i="1"/>
  <c r="B618" i="1"/>
  <c r="C618" i="1"/>
  <c r="D618" i="1"/>
  <c r="E618" i="1"/>
  <c r="F618" i="1"/>
  <c r="G618" i="1"/>
  <c r="H618" i="1"/>
  <c r="A619" i="1"/>
  <c r="B619" i="1"/>
  <c r="C619" i="1"/>
  <c r="D619" i="1"/>
  <c r="E619" i="1"/>
  <c r="F619" i="1"/>
  <c r="G619" i="1"/>
  <c r="H619" i="1"/>
  <c r="A620" i="1"/>
  <c r="B620" i="1"/>
  <c r="C620" i="1"/>
  <c r="D620" i="1"/>
  <c r="E620" i="1"/>
  <c r="F620" i="1"/>
  <c r="G620" i="1"/>
  <c r="H620" i="1"/>
  <c r="A621" i="1"/>
  <c r="B621" i="1"/>
  <c r="C621" i="1"/>
  <c r="D621" i="1"/>
  <c r="E621" i="1"/>
  <c r="F621" i="1"/>
  <c r="G621" i="1"/>
  <c r="H621" i="1"/>
  <c r="A622" i="1"/>
  <c r="B622" i="1"/>
  <c r="C622" i="1"/>
  <c r="D622" i="1"/>
  <c r="E622" i="1"/>
  <c r="F622" i="1"/>
  <c r="G622" i="1"/>
  <c r="H622" i="1"/>
  <c r="A623" i="1"/>
  <c r="B623" i="1"/>
  <c r="C623" i="1"/>
  <c r="D623" i="1"/>
  <c r="E623" i="1"/>
  <c r="F623" i="1"/>
  <c r="G623" i="1"/>
  <c r="H623" i="1"/>
  <c r="A624" i="1"/>
  <c r="B624" i="1"/>
  <c r="C624" i="1"/>
  <c r="D624" i="1"/>
  <c r="E624" i="1"/>
  <c r="F624" i="1"/>
  <c r="G624" i="1"/>
  <c r="H624" i="1"/>
  <c r="A625" i="1"/>
  <c r="B625" i="1"/>
  <c r="C625" i="1"/>
  <c r="D625" i="1"/>
  <c r="E625" i="1"/>
  <c r="F625" i="1"/>
  <c r="G625" i="1"/>
  <c r="H625" i="1"/>
  <c r="A626" i="1"/>
  <c r="B626" i="1"/>
  <c r="C626" i="1"/>
  <c r="D626" i="1"/>
  <c r="E626" i="1"/>
  <c r="F626" i="1"/>
  <c r="G626" i="1"/>
  <c r="H626" i="1"/>
  <c r="A627" i="1"/>
  <c r="B627" i="1"/>
  <c r="C627" i="1"/>
  <c r="D627" i="1"/>
  <c r="E627" i="1"/>
  <c r="F627" i="1"/>
  <c r="G627" i="1"/>
  <c r="H627" i="1"/>
  <c r="A628" i="1"/>
  <c r="B628" i="1"/>
  <c r="C628" i="1"/>
  <c r="D628" i="1"/>
  <c r="E628" i="1"/>
  <c r="F628" i="1"/>
  <c r="G628" i="1"/>
  <c r="H628" i="1"/>
  <c r="A629" i="1"/>
  <c r="B629" i="1"/>
  <c r="C629" i="1"/>
  <c r="D629" i="1"/>
  <c r="E629" i="1"/>
  <c r="F629" i="1"/>
  <c r="G629" i="1"/>
  <c r="H629" i="1"/>
  <c r="A630" i="1"/>
  <c r="B630" i="1"/>
  <c r="C630" i="1"/>
  <c r="D630" i="1"/>
  <c r="E630" i="1"/>
  <c r="F630" i="1"/>
  <c r="G630" i="1"/>
  <c r="H630" i="1"/>
  <c r="A631" i="1"/>
  <c r="B631" i="1"/>
  <c r="C631" i="1"/>
  <c r="D631" i="1"/>
  <c r="E631" i="1"/>
  <c r="F631" i="1"/>
  <c r="G631" i="1"/>
  <c r="H631" i="1"/>
  <c r="A632" i="1"/>
  <c r="B632" i="1"/>
  <c r="C632" i="1"/>
  <c r="D632" i="1"/>
  <c r="E632" i="1"/>
  <c r="F632" i="1"/>
  <c r="G632" i="1"/>
  <c r="H632" i="1"/>
  <c r="A633" i="1"/>
  <c r="B633" i="1"/>
  <c r="C633" i="1"/>
  <c r="D633" i="1"/>
  <c r="E633" i="1"/>
  <c r="F633" i="1"/>
  <c r="G633" i="1"/>
  <c r="H633" i="1"/>
  <c r="A634" i="1"/>
  <c r="B634" i="1"/>
  <c r="C634" i="1"/>
  <c r="D634" i="1"/>
  <c r="E634" i="1"/>
  <c r="F634" i="1"/>
  <c r="G634" i="1"/>
  <c r="H634" i="1"/>
  <c r="A635" i="1"/>
  <c r="B635" i="1"/>
  <c r="C635" i="1"/>
  <c r="D635" i="1"/>
  <c r="E635" i="1"/>
  <c r="F635" i="1"/>
  <c r="G635" i="1"/>
  <c r="H635" i="1"/>
  <c r="A636" i="1"/>
  <c r="B636" i="1"/>
  <c r="C636" i="1"/>
  <c r="D636" i="1"/>
  <c r="E636" i="1"/>
  <c r="F636" i="1"/>
  <c r="G636" i="1"/>
  <c r="H636" i="1"/>
  <c r="A637" i="1"/>
  <c r="B637" i="1"/>
  <c r="C637" i="1"/>
  <c r="D637" i="1"/>
  <c r="E637" i="1"/>
  <c r="F637" i="1"/>
  <c r="G637" i="1"/>
  <c r="H637" i="1"/>
  <c r="A638" i="1"/>
  <c r="B638" i="1"/>
  <c r="C638" i="1"/>
  <c r="D638" i="1"/>
  <c r="E638" i="1"/>
  <c r="F638" i="1"/>
  <c r="G638" i="1"/>
  <c r="H638" i="1"/>
  <c r="A639" i="1"/>
  <c r="B639" i="1"/>
  <c r="C639" i="1"/>
  <c r="D639" i="1"/>
  <c r="E639" i="1"/>
  <c r="F639" i="1"/>
  <c r="G639" i="1"/>
  <c r="H639" i="1"/>
  <c r="A640" i="1"/>
  <c r="B640" i="1"/>
  <c r="C640" i="1"/>
  <c r="D640" i="1"/>
  <c r="E640" i="1"/>
  <c r="F640" i="1"/>
  <c r="G640" i="1"/>
  <c r="H640" i="1"/>
  <c r="A641" i="1"/>
  <c r="B641" i="1"/>
  <c r="C641" i="1"/>
  <c r="D641" i="1"/>
  <c r="E641" i="1"/>
  <c r="F641" i="1"/>
  <c r="G641" i="1"/>
  <c r="H641" i="1"/>
  <c r="A642" i="1"/>
  <c r="B642" i="1"/>
  <c r="C642" i="1"/>
  <c r="D642" i="1"/>
  <c r="E642" i="1"/>
  <c r="F642" i="1"/>
  <c r="G642" i="1"/>
  <c r="H642" i="1"/>
  <c r="A643" i="1"/>
  <c r="B643" i="1"/>
  <c r="C643" i="1"/>
  <c r="D643" i="1"/>
  <c r="E643" i="1"/>
  <c r="F643" i="1"/>
  <c r="G643" i="1"/>
  <c r="H643" i="1"/>
  <c r="A644" i="1"/>
  <c r="B644" i="1"/>
  <c r="C644" i="1"/>
  <c r="D644" i="1"/>
  <c r="E644" i="1"/>
  <c r="F644" i="1"/>
  <c r="G644" i="1"/>
  <c r="H644" i="1"/>
  <c r="A645" i="1"/>
  <c r="B645" i="1"/>
  <c r="C645" i="1"/>
  <c r="D645" i="1"/>
  <c r="E645" i="1"/>
  <c r="F645" i="1"/>
  <c r="G645" i="1"/>
  <c r="H645" i="1"/>
  <c r="A646" i="1"/>
  <c r="B646" i="1"/>
  <c r="C646" i="1"/>
  <c r="D646" i="1"/>
  <c r="E646" i="1"/>
  <c r="F646" i="1"/>
  <c r="G646" i="1"/>
  <c r="H646" i="1"/>
  <c r="A647" i="1"/>
  <c r="B647" i="1"/>
  <c r="C647" i="1"/>
  <c r="D647" i="1"/>
  <c r="E647" i="1"/>
  <c r="F647" i="1"/>
  <c r="G647" i="1"/>
  <c r="H647" i="1"/>
  <c r="A648" i="1"/>
  <c r="B648" i="1"/>
  <c r="C648" i="1"/>
  <c r="D648" i="1"/>
  <c r="E648" i="1"/>
  <c r="F648" i="1"/>
  <c r="G648" i="1"/>
  <c r="H648" i="1"/>
  <c r="A649" i="1"/>
  <c r="B649" i="1"/>
  <c r="C649" i="1"/>
  <c r="D649" i="1"/>
  <c r="E649" i="1"/>
  <c r="F649" i="1"/>
  <c r="G649" i="1"/>
  <c r="H649" i="1"/>
  <c r="A650" i="1"/>
  <c r="B650" i="1"/>
  <c r="C650" i="1"/>
  <c r="D650" i="1"/>
  <c r="E650" i="1"/>
  <c r="F650" i="1"/>
  <c r="G650" i="1"/>
  <c r="H650" i="1"/>
  <c r="A651" i="1"/>
  <c r="B651" i="1"/>
  <c r="C651" i="1"/>
  <c r="D651" i="1"/>
  <c r="E651" i="1"/>
  <c r="F651" i="1"/>
  <c r="G651" i="1"/>
  <c r="H651" i="1"/>
  <c r="A652" i="1"/>
  <c r="B652" i="1"/>
  <c r="C652" i="1"/>
  <c r="D652" i="1"/>
  <c r="E652" i="1"/>
  <c r="F652" i="1"/>
  <c r="G652" i="1"/>
  <c r="H652" i="1"/>
  <c r="A653" i="1"/>
  <c r="B653" i="1"/>
  <c r="C653" i="1"/>
  <c r="D653" i="1"/>
  <c r="E653" i="1"/>
  <c r="F653" i="1"/>
  <c r="G653" i="1"/>
  <c r="H653" i="1"/>
  <c r="A654" i="1"/>
  <c r="B654" i="1"/>
  <c r="C654" i="1"/>
  <c r="D654" i="1"/>
  <c r="E654" i="1"/>
  <c r="F654" i="1"/>
  <c r="G654" i="1"/>
  <c r="H654" i="1"/>
  <c r="A655" i="1"/>
  <c r="B655" i="1"/>
  <c r="C655" i="1"/>
  <c r="D655" i="1"/>
  <c r="E655" i="1"/>
  <c r="F655" i="1"/>
  <c r="G655" i="1"/>
  <c r="H655" i="1"/>
  <c r="A656" i="1"/>
  <c r="B656" i="1"/>
  <c r="C656" i="1"/>
  <c r="D656" i="1"/>
  <c r="E656" i="1"/>
  <c r="F656" i="1"/>
  <c r="G656" i="1"/>
  <c r="H656" i="1"/>
  <c r="A657" i="1"/>
  <c r="B657" i="1"/>
  <c r="C657" i="1"/>
  <c r="D657" i="1"/>
  <c r="E657" i="1"/>
  <c r="F657" i="1"/>
  <c r="G657" i="1"/>
  <c r="H657" i="1"/>
  <c r="A658" i="1"/>
  <c r="B658" i="1"/>
  <c r="C658" i="1"/>
  <c r="D658" i="1"/>
  <c r="E658" i="1"/>
  <c r="F658" i="1"/>
  <c r="G658" i="1"/>
  <c r="H658" i="1"/>
  <c r="A659" i="1"/>
  <c r="B659" i="1"/>
  <c r="C659" i="1"/>
  <c r="D659" i="1"/>
  <c r="E659" i="1"/>
  <c r="F659" i="1"/>
  <c r="G659" i="1"/>
  <c r="H659" i="1"/>
  <c r="A660" i="1"/>
  <c r="B660" i="1"/>
  <c r="C660" i="1"/>
  <c r="D660" i="1"/>
  <c r="E660" i="1"/>
  <c r="F660" i="1"/>
  <c r="G660" i="1"/>
  <c r="H660" i="1"/>
  <c r="A661" i="1"/>
  <c r="B661" i="1"/>
  <c r="C661" i="1"/>
  <c r="D661" i="1"/>
  <c r="E661" i="1"/>
  <c r="F661" i="1"/>
  <c r="G661" i="1"/>
  <c r="H661" i="1"/>
  <c r="A662" i="1"/>
  <c r="B662" i="1"/>
  <c r="C662" i="1"/>
  <c r="D662" i="1"/>
  <c r="E662" i="1"/>
  <c r="F662" i="1"/>
  <c r="G662" i="1"/>
  <c r="H662" i="1"/>
  <c r="A663" i="1"/>
  <c r="B663" i="1"/>
  <c r="C663" i="1"/>
  <c r="D663" i="1"/>
  <c r="E663" i="1"/>
  <c r="F663" i="1"/>
  <c r="G663" i="1"/>
  <c r="H663" i="1"/>
  <c r="A664" i="1"/>
  <c r="B664" i="1"/>
  <c r="C664" i="1"/>
  <c r="D664" i="1"/>
  <c r="E664" i="1"/>
  <c r="F664" i="1"/>
  <c r="G664" i="1"/>
  <c r="H664" i="1"/>
  <c r="A665" i="1"/>
  <c r="B665" i="1"/>
  <c r="C665" i="1"/>
  <c r="D665" i="1"/>
  <c r="E665" i="1"/>
  <c r="F665" i="1"/>
  <c r="G665" i="1"/>
  <c r="H665" i="1"/>
  <c r="A666" i="1"/>
  <c r="B666" i="1"/>
  <c r="C666" i="1"/>
  <c r="D666" i="1"/>
  <c r="E666" i="1"/>
  <c r="F666" i="1"/>
  <c r="G666" i="1"/>
  <c r="H666" i="1"/>
  <c r="A667" i="1"/>
  <c r="B667" i="1"/>
  <c r="C667" i="1"/>
  <c r="D667" i="1"/>
  <c r="E667" i="1"/>
  <c r="F667" i="1"/>
  <c r="G667" i="1"/>
  <c r="H667" i="1"/>
  <c r="A668" i="1"/>
  <c r="B668" i="1"/>
  <c r="C668" i="1"/>
  <c r="D668" i="1"/>
  <c r="E668" i="1"/>
  <c r="F668" i="1"/>
  <c r="G668" i="1"/>
  <c r="H668" i="1"/>
  <c r="A669" i="1"/>
  <c r="B669" i="1"/>
  <c r="C669" i="1"/>
  <c r="D669" i="1"/>
  <c r="E669" i="1"/>
  <c r="F669" i="1"/>
  <c r="G669" i="1"/>
  <c r="H669" i="1"/>
  <c r="A670" i="1"/>
  <c r="B670" i="1"/>
  <c r="C670" i="1"/>
  <c r="D670" i="1"/>
  <c r="E670" i="1"/>
  <c r="F670" i="1"/>
  <c r="G670" i="1"/>
  <c r="H670" i="1"/>
  <c r="A671" i="1"/>
  <c r="B671" i="1"/>
  <c r="C671" i="1"/>
  <c r="D671" i="1"/>
  <c r="E671" i="1"/>
  <c r="F671" i="1"/>
  <c r="G671" i="1"/>
  <c r="H671" i="1"/>
  <c r="A672" i="1"/>
  <c r="B672" i="1"/>
  <c r="C672" i="1"/>
  <c r="D672" i="1"/>
  <c r="E672" i="1"/>
  <c r="F672" i="1"/>
  <c r="G672" i="1"/>
  <c r="H672" i="1"/>
  <c r="A673" i="1"/>
  <c r="B673" i="1"/>
  <c r="C673" i="1"/>
  <c r="D673" i="1"/>
  <c r="E673" i="1"/>
  <c r="F673" i="1"/>
  <c r="G673" i="1"/>
  <c r="H673" i="1"/>
  <c r="A674" i="1"/>
  <c r="B674" i="1"/>
  <c r="C674" i="1"/>
  <c r="D674" i="1"/>
  <c r="E674" i="1"/>
  <c r="F674" i="1"/>
  <c r="G674" i="1"/>
  <c r="H674" i="1"/>
  <c r="A675" i="1"/>
  <c r="B675" i="1"/>
  <c r="C675" i="1"/>
  <c r="D675" i="1"/>
  <c r="E675" i="1"/>
  <c r="F675" i="1"/>
  <c r="G675" i="1"/>
  <c r="H675" i="1"/>
  <c r="A676" i="1"/>
  <c r="B676" i="1"/>
  <c r="C676" i="1"/>
  <c r="D676" i="1"/>
  <c r="E676" i="1"/>
  <c r="F676" i="1"/>
  <c r="G676" i="1"/>
  <c r="H676" i="1"/>
  <c r="A677" i="1"/>
  <c r="B677" i="1"/>
  <c r="C677" i="1"/>
  <c r="D677" i="1"/>
  <c r="E677" i="1"/>
  <c r="F677" i="1"/>
  <c r="G677" i="1"/>
  <c r="H677" i="1"/>
  <c r="A678" i="1"/>
  <c r="B678" i="1"/>
  <c r="C678" i="1"/>
  <c r="D678" i="1"/>
  <c r="E678" i="1"/>
  <c r="F678" i="1"/>
  <c r="G678" i="1"/>
  <c r="H678" i="1"/>
  <c r="A679" i="1"/>
  <c r="B679" i="1"/>
  <c r="C679" i="1"/>
  <c r="D679" i="1"/>
  <c r="E679" i="1"/>
  <c r="F679" i="1"/>
  <c r="G679" i="1"/>
  <c r="H679" i="1"/>
  <c r="A680" i="1"/>
  <c r="B680" i="1"/>
  <c r="C680" i="1"/>
  <c r="D680" i="1"/>
  <c r="E680" i="1"/>
  <c r="F680" i="1"/>
  <c r="G680" i="1"/>
  <c r="H680" i="1"/>
  <c r="A681" i="1"/>
  <c r="B681" i="1"/>
  <c r="C681" i="1"/>
  <c r="D681" i="1"/>
  <c r="E681" i="1"/>
  <c r="F681" i="1"/>
  <c r="G681" i="1"/>
  <c r="H681" i="1"/>
  <c r="A682" i="1"/>
  <c r="B682" i="1"/>
  <c r="C682" i="1"/>
  <c r="D682" i="1"/>
  <c r="E682" i="1"/>
  <c r="F682" i="1"/>
  <c r="G682" i="1"/>
  <c r="H682" i="1"/>
  <c r="A683" i="1"/>
  <c r="B683" i="1"/>
  <c r="C683" i="1"/>
  <c r="D683" i="1"/>
  <c r="E683" i="1"/>
  <c r="F683" i="1"/>
  <c r="G683" i="1"/>
  <c r="H683" i="1"/>
  <c r="A684" i="1"/>
  <c r="B684" i="1"/>
  <c r="C684" i="1"/>
  <c r="D684" i="1"/>
  <c r="E684" i="1"/>
  <c r="F684" i="1"/>
  <c r="G684" i="1"/>
  <c r="H684" i="1"/>
  <c r="A685" i="1"/>
  <c r="B685" i="1"/>
  <c r="C685" i="1"/>
  <c r="D685" i="1"/>
  <c r="E685" i="1"/>
  <c r="F685" i="1"/>
  <c r="G685" i="1"/>
  <c r="H685" i="1"/>
  <c r="A686" i="1"/>
  <c r="B686" i="1"/>
  <c r="C686" i="1"/>
  <c r="D686" i="1"/>
  <c r="E686" i="1"/>
  <c r="F686" i="1"/>
  <c r="G686" i="1"/>
  <c r="H686" i="1"/>
  <c r="A687" i="1"/>
  <c r="B687" i="1"/>
  <c r="C687" i="1"/>
  <c r="D687" i="1"/>
  <c r="E687" i="1"/>
  <c r="F687" i="1"/>
  <c r="G687" i="1"/>
  <c r="H687" i="1"/>
  <c r="A688" i="1"/>
  <c r="B688" i="1"/>
  <c r="C688" i="1"/>
  <c r="D688" i="1"/>
  <c r="E688" i="1"/>
  <c r="F688" i="1"/>
  <c r="G688" i="1"/>
  <c r="H688" i="1"/>
  <c r="A689" i="1"/>
  <c r="B689" i="1"/>
  <c r="C689" i="1"/>
  <c r="D689" i="1"/>
  <c r="E689" i="1"/>
  <c r="F689" i="1"/>
  <c r="G689" i="1"/>
  <c r="H689" i="1"/>
  <c r="A690" i="1"/>
  <c r="B690" i="1"/>
  <c r="C690" i="1"/>
  <c r="D690" i="1"/>
  <c r="E690" i="1"/>
  <c r="F690" i="1"/>
  <c r="G690" i="1"/>
  <c r="H690" i="1"/>
  <c r="A691" i="1"/>
  <c r="B691" i="1"/>
  <c r="C691" i="1"/>
  <c r="D691" i="1"/>
  <c r="E691" i="1"/>
  <c r="F691" i="1"/>
  <c r="G691" i="1"/>
  <c r="H691" i="1"/>
  <c r="A692" i="1"/>
  <c r="B692" i="1"/>
  <c r="C692" i="1"/>
  <c r="D692" i="1"/>
  <c r="E692" i="1"/>
  <c r="F692" i="1"/>
  <c r="G692" i="1"/>
  <c r="H692" i="1"/>
  <c r="A693" i="1"/>
  <c r="B693" i="1"/>
  <c r="C693" i="1"/>
  <c r="D693" i="1"/>
  <c r="E693" i="1"/>
  <c r="F693" i="1"/>
  <c r="G693" i="1"/>
  <c r="H693" i="1"/>
  <c r="A694" i="1"/>
  <c r="B694" i="1"/>
  <c r="C694" i="1"/>
  <c r="D694" i="1"/>
  <c r="E694" i="1"/>
  <c r="F694" i="1"/>
  <c r="G694" i="1"/>
  <c r="H694" i="1"/>
  <c r="A695" i="1"/>
  <c r="B695" i="1"/>
  <c r="C695" i="1"/>
  <c r="D695" i="1"/>
  <c r="E695" i="1"/>
  <c r="F695" i="1"/>
  <c r="G695" i="1"/>
  <c r="H695" i="1"/>
  <c r="A696" i="1"/>
  <c r="B696" i="1"/>
  <c r="C696" i="1"/>
  <c r="D696" i="1"/>
  <c r="E696" i="1"/>
  <c r="F696" i="1"/>
  <c r="G696" i="1"/>
  <c r="H696" i="1"/>
  <c r="A697" i="1"/>
  <c r="B697" i="1"/>
  <c r="C697" i="1"/>
  <c r="D697" i="1"/>
  <c r="E697" i="1"/>
  <c r="F697" i="1"/>
  <c r="G697" i="1"/>
  <c r="H697" i="1"/>
  <c r="A698" i="1"/>
  <c r="B698" i="1"/>
  <c r="C698" i="1"/>
  <c r="D698" i="1"/>
  <c r="E698" i="1"/>
  <c r="F698" i="1"/>
  <c r="G698" i="1"/>
  <c r="H698" i="1"/>
  <c r="A699" i="1"/>
  <c r="B699" i="1"/>
  <c r="C699" i="1"/>
  <c r="D699" i="1"/>
  <c r="E699" i="1"/>
  <c r="F699" i="1"/>
  <c r="G699" i="1"/>
  <c r="H699" i="1"/>
  <c r="A700" i="1"/>
  <c r="B700" i="1"/>
  <c r="C700" i="1"/>
  <c r="D700" i="1"/>
  <c r="E700" i="1"/>
  <c r="F700" i="1"/>
  <c r="G700" i="1"/>
  <c r="H700" i="1"/>
  <c r="A701" i="1"/>
  <c r="B701" i="1"/>
  <c r="C701" i="1"/>
  <c r="D701" i="1"/>
  <c r="E701" i="1"/>
  <c r="F701" i="1"/>
  <c r="G701" i="1"/>
  <c r="H701" i="1"/>
  <c r="A702" i="1"/>
  <c r="B702" i="1"/>
  <c r="C702" i="1"/>
  <c r="D702" i="1"/>
  <c r="E702" i="1"/>
  <c r="F702" i="1"/>
  <c r="G702" i="1"/>
  <c r="H702" i="1"/>
  <c r="A703" i="1"/>
  <c r="B703" i="1"/>
  <c r="C703" i="1"/>
  <c r="D703" i="1"/>
  <c r="E703" i="1"/>
  <c r="F703" i="1"/>
  <c r="G703" i="1"/>
  <c r="H703" i="1"/>
  <c r="A704" i="1"/>
  <c r="B704" i="1"/>
  <c r="C704" i="1"/>
  <c r="D704" i="1"/>
  <c r="E704" i="1"/>
  <c r="F704" i="1"/>
  <c r="G704" i="1"/>
  <c r="H704" i="1"/>
  <c r="A705" i="1"/>
  <c r="B705" i="1"/>
  <c r="C705" i="1"/>
  <c r="D705" i="1"/>
  <c r="E705" i="1"/>
  <c r="F705" i="1"/>
  <c r="G705" i="1"/>
  <c r="H705" i="1"/>
  <c r="A706" i="1"/>
  <c r="B706" i="1"/>
  <c r="C706" i="1"/>
  <c r="D706" i="1"/>
  <c r="E706" i="1"/>
  <c r="F706" i="1"/>
  <c r="G706" i="1"/>
  <c r="H706" i="1"/>
  <c r="A707" i="1"/>
  <c r="B707" i="1"/>
  <c r="C707" i="1"/>
  <c r="D707" i="1"/>
  <c r="E707" i="1"/>
  <c r="F707" i="1"/>
  <c r="G707" i="1"/>
  <c r="H707" i="1"/>
  <c r="A708" i="1"/>
  <c r="B708" i="1"/>
  <c r="C708" i="1"/>
  <c r="D708" i="1"/>
  <c r="E708" i="1"/>
  <c r="F708" i="1"/>
  <c r="G708" i="1"/>
  <c r="H708" i="1"/>
  <c r="A709" i="1"/>
  <c r="B709" i="1"/>
  <c r="C709" i="1"/>
  <c r="D709" i="1"/>
  <c r="E709" i="1"/>
  <c r="F709" i="1"/>
  <c r="G709" i="1"/>
  <c r="H709" i="1"/>
  <c r="A710" i="1"/>
  <c r="B710" i="1"/>
  <c r="C710" i="1"/>
  <c r="D710" i="1"/>
  <c r="E710" i="1"/>
  <c r="F710" i="1"/>
  <c r="G710" i="1"/>
  <c r="H710" i="1"/>
  <c r="A711" i="1"/>
  <c r="B711" i="1"/>
  <c r="C711" i="1"/>
  <c r="D711" i="1"/>
  <c r="E711" i="1"/>
  <c r="F711" i="1"/>
  <c r="G711" i="1"/>
  <c r="H711" i="1"/>
  <c r="A712" i="1"/>
  <c r="B712" i="1"/>
  <c r="C712" i="1"/>
  <c r="D712" i="1"/>
  <c r="E712" i="1"/>
  <c r="F712" i="1"/>
  <c r="G712" i="1"/>
  <c r="H712" i="1"/>
  <c r="A713" i="1"/>
  <c r="B713" i="1"/>
  <c r="C713" i="1"/>
  <c r="D713" i="1"/>
  <c r="E713" i="1"/>
  <c r="F713" i="1"/>
  <c r="G713" i="1"/>
  <c r="H713" i="1"/>
  <c r="A714" i="1"/>
  <c r="B714" i="1"/>
  <c r="C714" i="1"/>
  <c r="D714" i="1"/>
  <c r="E714" i="1"/>
  <c r="F714" i="1"/>
  <c r="G714" i="1"/>
  <c r="H714" i="1"/>
  <c r="A715" i="1"/>
  <c r="B715" i="1"/>
  <c r="C715" i="1"/>
  <c r="D715" i="1"/>
  <c r="E715" i="1"/>
  <c r="F715" i="1"/>
  <c r="G715" i="1"/>
  <c r="H715" i="1"/>
  <c r="A716" i="1"/>
  <c r="B716" i="1"/>
  <c r="C716" i="1"/>
  <c r="D716" i="1"/>
  <c r="E716" i="1"/>
  <c r="F716" i="1"/>
  <c r="G716" i="1"/>
  <c r="H716" i="1"/>
  <c r="A717" i="1"/>
  <c r="B717" i="1"/>
  <c r="C717" i="1"/>
  <c r="D717" i="1"/>
  <c r="E717" i="1"/>
  <c r="F717" i="1"/>
  <c r="G717" i="1"/>
  <c r="H717" i="1"/>
  <c r="A718" i="1"/>
  <c r="B718" i="1"/>
  <c r="C718" i="1"/>
  <c r="D718" i="1"/>
  <c r="E718" i="1"/>
  <c r="F718" i="1"/>
  <c r="G718" i="1"/>
  <c r="H718" i="1"/>
  <c r="A719" i="1"/>
  <c r="B719" i="1"/>
  <c r="C719" i="1"/>
  <c r="D719" i="1"/>
  <c r="E719" i="1"/>
  <c r="F719" i="1"/>
  <c r="G719" i="1"/>
  <c r="H719" i="1"/>
  <c r="A720" i="1"/>
  <c r="B720" i="1"/>
  <c r="C720" i="1"/>
  <c r="D720" i="1"/>
  <c r="E720" i="1"/>
  <c r="F720" i="1"/>
  <c r="G720" i="1"/>
  <c r="H720" i="1"/>
  <c r="A721" i="1"/>
  <c r="B721" i="1"/>
  <c r="C721" i="1"/>
  <c r="D721" i="1"/>
  <c r="E721" i="1"/>
  <c r="F721" i="1"/>
  <c r="G721" i="1"/>
  <c r="H721" i="1"/>
  <c r="A722" i="1"/>
  <c r="B722" i="1"/>
  <c r="C722" i="1"/>
  <c r="D722" i="1"/>
  <c r="E722" i="1"/>
  <c r="F722" i="1"/>
  <c r="G722" i="1"/>
  <c r="H722" i="1"/>
  <c r="A723" i="1"/>
  <c r="B723" i="1"/>
  <c r="C723" i="1"/>
  <c r="D723" i="1"/>
  <c r="E723" i="1"/>
  <c r="F723" i="1"/>
  <c r="G723" i="1"/>
  <c r="H723" i="1"/>
  <c r="A724" i="1"/>
  <c r="B724" i="1"/>
  <c r="C724" i="1"/>
  <c r="D724" i="1"/>
  <c r="E724" i="1"/>
  <c r="F724" i="1"/>
  <c r="G724" i="1"/>
  <c r="H724" i="1"/>
  <c r="A725" i="1"/>
  <c r="B725" i="1"/>
  <c r="C725" i="1"/>
  <c r="D725" i="1"/>
  <c r="E725" i="1"/>
  <c r="F725" i="1"/>
  <c r="G725" i="1"/>
  <c r="H725" i="1"/>
  <c r="A726" i="1"/>
  <c r="B726" i="1"/>
  <c r="C726" i="1"/>
  <c r="D726" i="1"/>
  <c r="E726" i="1"/>
  <c r="F726" i="1"/>
  <c r="G726" i="1"/>
  <c r="H726" i="1"/>
  <c r="A727" i="1"/>
  <c r="B727" i="1"/>
  <c r="C727" i="1"/>
  <c r="D727" i="1"/>
  <c r="E727" i="1"/>
  <c r="F727" i="1"/>
  <c r="G727" i="1"/>
  <c r="H727" i="1"/>
  <c r="A728" i="1"/>
  <c r="B728" i="1"/>
  <c r="C728" i="1"/>
  <c r="D728" i="1"/>
  <c r="E728" i="1"/>
  <c r="F728" i="1"/>
  <c r="G728" i="1"/>
  <c r="H728" i="1"/>
  <c r="A729" i="1"/>
  <c r="B729" i="1"/>
  <c r="C729" i="1"/>
  <c r="D729" i="1"/>
  <c r="E729" i="1"/>
  <c r="F729" i="1"/>
  <c r="G729" i="1"/>
  <c r="H729" i="1"/>
  <c r="A730" i="1"/>
  <c r="B730" i="1"/>
  <c r="C730" i="1"/>
  <c r="D730" i="1"/>
  <c r="E730" i="1"/>
  <c r="F730" i="1"/>
  <c r="G730" i="1"/>
  <c r="H730" i="1"/>
  <c r="A731" i="1"/>
  <c r="B731" i="1"/>
  <c r="C731" i="1"/>
  <c r="D731" i="1"/>
  <c r="E731" i="1"/>
  <c r="F731" i="1"/>
  <c r="G731" i="1"/>
  <c r="H731" i="1"/>
  <c r="A732" i="1"/>
  <c r="B732" i="1"/>
  <c r="C732" i="1"/>
  <c r="D732" i="1"/>
  <c r="E732" i="1"/>
  <c r="F732" i="1"/>
  <c r="G732" i="1"/>
  <c r="H732" i="1"/>
  <c r="A733" i="1"/>
  <c r="B733" i="1"/>
  <c r="C733" i="1"/>
  <c r="D733" i="1"/>
  <c r="E733" i="1"/>
  <c r="F733" i="1"/>
  <c r="G733" i="1"/>
  <c r="H733" i="1"/>
  <c r="A734" i="1"/>
  <c r="B734" i="1"/>
  <c r="C734" i="1"/>
  <c r="D734" i="1"/>
  <c r="E734" i="1"/>
  <c r="F734" i="1"/>
  <c r="G734" i="1"/>
  <c r="H734" i="1"/>
  <c r="A735" i="1"/>
  <c r="B735" i="1"/>
  <c r="C735" i="1"/>
  <c r="D735" i="1"/>
  <c r="E735" i="1"/>
  <c r="F735" i="1"/>
  <c r="G735" i="1"/>
  <c r="H735" i="1"/>
  <c r="A736" i="1"/>
  <c r="B736" i="1"/>
  <c r="C736" i="1"/>
  <c r="D736" i="1"/>
  <c r="E736" i="1"/>
  <c r="F736" i="1"/>
  <c r="G736" i="1"/>
  <c r="H736" i="1"/>
  <c r="A737" i="1"/>
  <c r="B737" i="1"/>
  <c r="C737" i="1"/>
  <c r="D737" i="1"/>
  <c r="E737" i="1"/>
  <c r="F737" i="1"/>
  <c r="G737" i="1"/>
  <c r="H737" i="1"/>
  <c r="A738" i="1"/>
  <c r="B738" i="1"/>
  <c r="C738" i="1"/>
  <c r="D738" i="1"/>
  <c r="E738" i="1"/>
  <c r="F738" i="1"/>
  <c r="G738" i="1"/>
  <c r="H738" i="1"/>
  <c r="A739" i="1"/>
  <c r="B739" i="1"/>
  <c r="C739" i="1"/>
  <c r="D739" i="1"/>
  <c r="E739" i="1"/>
  <c r="F739" i="1"/>
  <c r="G739" i="1"/>
  <c r="H739" i="1"/>
  <c r="A740" i="1"/>
  <c r="B740" i="1"/>
  <c r="C740" i="1"/>
  <c r="D740" i="1"/>
  <c r="E740" i="1"/>
  <c r="F740" i="1"/>
  <c r="G740" i="1"/>
  <c r="H740" i="1"/>
  <c r="A741" i="1"/>
  <c r="B741" i="1"/>
  <c r="C741" i="1"/>
  <c r="D741" i="1"/>
  <c r="E741" i="1"/>
  <c r="F741" i="1"/>
  <c r="G741" i="1"/>
  <c r="H741" i="1"/>
  <c r="A742" i="1"/>
  <c r="B742" i="1"/>
  <c r="C742" i="1"/>
  <c r="D742" i="1"/>
  <c r="E742" i="1"/>
  <c r="F742" i="1"/>
  <c r="G742" i="1"/>
  <c r="H742" i="1"/>
  <c r="A743" i="1"/>
  <c r="B743" i="1"/>
  <c r="C743" i="1"/>
  <c r="D743" i="1"/>
  <c r="E743" i="1"/>
  <c r="F743" i="1"/>
  <c r="G743" i="1"/>
  <c r="H743" i="1"/>
  <c r="A744" i="1"/>
  <c r="B744" i="1"/>
  <c r="C744" i="1"/>
  <c r="D744" i="1"/>
  <c r="E744" i="1"/>
  <c r="F744" i="1"/>
  <c r="G744" i="1"/>
  <c r="H744" i="1"/>
  <c r="A745" i="1"/>
  <c r="B745" i="1"/>
  <c r="C745" i="1"/>
  <c r="D745" i="1"/>
  <c r="E745" i="1"/>
  <c r="F745" i="1"/>
  <c r="G745" i="1"/>
  <c r="H745" i="1"/>
  <c r="A746" i="1"/>
  <c r="B746" i="1"/>
  <c r="C746" i="1"/>
  <c r="D746" i="1"/>
  <c r="E746" i="1"/>
  <c r="F746" i="1"/>
  <c r="G746" i="1"/>
  <c r="H746" i="1"/>
  <c r="A747" i="1"/>
  <c r="B747" i="1"/>
  <c r="C747" i="1"/>
  <c r="D747" i="1"/>
  <c r="E747" i="1"/>
  <c r="F747" i="1"/>
  <c r="G747" i="1"/>
  <c r="H747" i="1"/>
  <c r="A748" i="1"/>
  <c r="B748" i="1"/>
  <c r="C748" i="1"/>
  <c r="D748" i="1"/>
  <c r="E748" i="1"/>
  <c r="F748" i="1"/>
  <c r="G748" i="1"/>
  <c r="H748" i="1"/>
  <c r="A749" i="1"/>
  <c r="B749" i="1"/>
  <c r="C749" i="1"/>
  <c r="D749" i="1"/>
  <c r="E749" i="1"/>
  <c r="F749" i="1"/>
  <c r="G749" i="1"/>
  <c r="H749" i="1"/>
  <c r="A750" i="1"/>
  <c r="B750" i="1"/>
  <c r="C750" i="1"/>
  <c r="D750" i="1"/>
  <c r="E750" i="1"/>
  <c r="F750" i="1"/>
  <c r="G750" i="1"/>
  <c r="H750" i="1"/>
  <c r="A751" i="1"/>
  <c r="B751" i="1"/>
  <c r="C751" i="1"/>
  <c r="D751" i="1"/>
  <c r="E751" i="1"/>
  <c r="F751" i="1"/>
  <c r="G751" i="1"/>
  <c r="H751" i="1"/>
  <c r="A752" i="1"/>
  <c r="B752" i="1"/>
  <c r="C752" i="1"/>
  <c r="D752" i="1"/>
  <c r="E752" i="1"/>
  <c r="F752" i="1"/>
  <c r="G752" i="1"/>
  <c r="H752" i="1"/>
  <c r="A753" i="1"/>
  <c r="B753" i="1"/>
  <c r="C753" i="1"/>
  <c r="D753" i="1"/>
  <c r="E753" i="1"/>
  <c r="F753" i="1"/>
  <c r="G753" i="1"/>
  <c r="H753" i="1"/>
  <c r="A754" i="1"/>
  <c r="B754" i="1"/>
  <c r="C754" i="1"/>
  <c r="D754" i="1"/>
  <c r="E754" i="1"/>
  <c r="F754" i="1"/>
  <c r="G754" i="1"/>
  <c r="H754" i="1"/>
  <c r="A755" i="1"/>
  <c r="B755" i="1"/>
  <c r="C755" i="1"/>
  <c r="D755" i="1"/>
  <c r="E755" i="1"/>
  <c r="F755" i="1"/>
  <c r="G755" i="1"/>
  <c r="H755" i="1"/>
  <c r="A756" i="1"/>
  <c r="B756" i="1"/>
  <c r="C756" i="1"/>
  <c r="D756" i="1"/>
  <c r="E756" i="1"/>
  <c r="F756" i="1"/>
  <c r="G756" i="1"/>
  <c r="H756" i="1"/>
  <c r="A757" i="1"/>
  <c r="B757" i="1"/>
  <c r="C757" i="1"/>
  <c r="D757" i="1"/>
  <c r="E757" i="1"/>
  <c r="F757" i="1"/>
  <c r="G757" i="1"/>
  <c r="H757" i="1"/>
  <c r="A758" i="1"/>
  <c r="B758" i="1"/>
  <c r="C758" i="1"/>
  <c r="D758" i="1"/>
  <c r="E758" i="1"/>
  <c r="F758" i="1"/>
  <c r="G758" i="1"/>
  <c r="H758" i="1"/>
  <c r="A759" i="1"/>
  <c r="B759" i="1"/>
  <c r="C759" i="1"/>
  <c r="D759" i="1"/>
  <c r="E759" i="1"/>
  <c r="F759" i="1"/>
  <c r="G759" i="1"/>
  <c r="H759" i="1"/>
  <c r="A760" i="1"/>
  <c r="B760" i="1"/>
  <c r="C760" i="1"/>
  <c r="D760" i="1"/>
  <c r="E760" i="1"/>
  <c r="F760" i="1"/>
  <c r="G760" i="1"/>
  <c r="H760" i="1"/>
  <c r="A761" i="1"/>
  <c r="B761" i="1"/>
  <c r="C761" i="1"/>
  <c r="D761" i="1"/>
  <c r="E761" i="1"/>
  <c r="F761" i="1"/>
  <c r="G761" i="1"/>
  <c r="H761" i="1"/>
  <c r="A762" i="1"/>
  <c r="B762" i="1"/>
  <c r="C762" i="1"/>
  <c r="D762" i="1"/>
  <c r="E762" i="1"/>
  <c r="F762" i="1"/>
  <c r="G762" i="1"/>
  <c r="H762" i="1"/>
  <c r="A763" i="1"/>
  <c r="B763" i="1"/>
  <c r="C763" i="1"/>
  <c r="D763" i="1"/>
  <c r="E763" i="1"/>
  <c r="F763" i="1"/>
  <c r="G763" i="1"/>
  <c r="H763" i="1"/>
  <c r="A764" i="1"/>
  <c r="B764" i="1"/>
  <c r="C764" i="1"/>
  <c r="D764" i="1"/>
  <c r="E764" i="1"/>
  <c r="F764" i="1"/>
  <c r="G764" i="1"/>
  <c r="H764" i="1"/>
  <c r="A765" i="1"/>
  <c r="B765" i="1"/>
  <c r="C765" i="1"/>
  <c r="D765" i="1"/>
  <c r="E765" i="1"/>
  <c r="F765" i="1"/>
  <c r="G765" i="1"/>
  <c r="H765" i="1"/>
  <c r="A766" i="1"/>
  <c r="B766" i="1"/>
  <c r="C766" i="1"/>
  <c r="D766" i="1"/>
  <c r="E766" i="1"/>
  <c r="F766" i="1"/>
  <c r="G766" i="1"/>
  <c r="H766" i="1"/>
  <c r="A767" i="1"/>
  <c r="B767" i="1"/>
  <c r="C767" i="1"/>
  <c r="D767" i="1"/>
  <c r="E767" i="1"/>
  <c r="F767" i="1"/>
  <c r="G767" i="1"/>
  <c r="H767" i="1"/>
  <c r="A768" i="1"/>
  <c r="B768" i="1"/>
  <c r="C768" i="1"/>
  <c r="D768" i="1"/>
  <c r="E768" i="1"/>
  <c r="F768" i="1"/>
  <c r="G768" i="1"/>
  <c r="H768" i="1"/>
  <c r="A769" i="1"/>
  <c r="B769" i="1"/>
  <c r="C769" i="1"/>
  <c r="D769" i="1"/>
  <c r="E769" i="1"/>
  <c r="F769" i="1"/>
  <c r="G769" i="1"/>
  <c r="H769" i="1"/>
  <c r="A770" i="1"/>
  <c r="B770" i="1"/>
  <c r="C770" i="1"/>
  <c r="D770" i="1"/>
  <c r="E770" i="1"/>
  <c r="F770" i="1"/>
  <c r="G770" i="1"/>
  <c r="H770" i="1"/>
  <c r="A771" i="1"/>
  <c r="B771" i="1"/>
  <c r="C771" i="1"/>
  <c r="D771" i="1"/>
  <c r="E771" i="1"/>
  <c r="F771" i="1"/>
  <c r="G771" i="1"/>
  <c r="H771" i="1"/>
  <c r="A772" i="1"/>
  <c r="B772" i="1"/>
  <c r="C772" i="1"/>
  <c r="D772" i="1"/>
  <c r="E772" i="1"/>
  <c r="F772" i="1"/>
  <c r="G772" i="1"/>
  <c r="H772" i="1"/>
  <c r="A773" i="1"/>
  <c r="B773" i="1"/>
  <c r="C773" i="1"/>
  <c r="D773" i="1"/>
  <c r="E773" i="1"/>
  <c r="F773" i="1"/>
  <c r="G773" i="1"/>
  <c r="H773" i="1"/>
  <c r="A774" i="1"/>
  <c r="B774" i="1"/>
  <c r="C774" i="1"/>
  <c r="D774" i="1"/>
  <c r="E774" i="1"/>
  <c r="F774" i="1"/>
  <c r="G774" i="1"/>
  <c r="H774" i="1"/>
  <c r="A775" i="1"/>
  <c r="B775" i="1"/>
  <c r="C775" i="1"/>
  <c r="D775" i="1"/>
  <c r="E775" i="1"/>
  <c r="F775" i="1"/>
  <c r="G775" i="1"/>
  <c r="H775" i="1"/>
  <c r="A776" i="1"/>
  <c r="B776" i="1"/>
  <c r="C776" i="1"/>
  <c r="D776" i="1"/>
  <c r="E776" i="1"/>
  <c r="F776" i="1"/>
  <c r="G776" i="1"/>
  <c r="H776" i="1"/>
  <c r="A777" i="1"/>
  <c r="B777" i="1"/>
  <c r="C777" i="1"/>
  <c r="D777" i="1"/>
  <c r="E777" i="1"/>
  <c r="F777" i="1"/>
  <c r="G777" i="1"/>
  <c r="H777" i="1"/>
  <c r="A778" i="1"/>
  <c r="B778" i="1"/>
  <c r="C778" i="1"/>
  <c r="D778" i="1"/>
  <c r="E778" i="1"/>
  <c r="F778" i="1"/>
  <c r="G778" i="1"/>
  <c r="H778" i="1"/>
  <c r="A779" i="1"/>
  <c r="B779" i="1"/>
  <c r="C779" i="1"/>
  <c r="D779" i="1"/>
  <c r="E779" i="1"/>
  <c r="F779" i="1"/>
  <c r="G779" i="1"/>
  <c r="H779" i="1"/>
  <c r="A780" i="1"/>
  <c r="B780" i="1"/>
  <c r="C780" i="1"/>
  <c r="D780" i="1"/>
  <c r="E780" i="1"/>
  <c r="F780" i="1"/>
  <c r="G780" i="1"/>
  <c r="H780" i="1"/>
  <c r="A781" i="1"/>
  <c r="B781" i="1"/>
  <c r="C781" i="1"/>
  <c r="D781" i="1"/>
  <c r="E781" i="1"/>
  <c r="F781" i="1"/>
  <c r="G781" i="1"/>
  <c r="H781" i="1"/>
  <c r="A782" i="1"/>
  <c r="B782" i="1"/>
  <c r="C782" i="1"/>
  <c r="D782" i="1"/>
  <c r="E782" i="1"/>
  <c r="F782" i="1"/>
  <c r="G782" i="1"/>
  <c r="H782" i="1"/>
  <c r="A783" i="1"/>
  <c r="B783" i="1"/>
  <c r="C783" i="1"/>
  <c r="D783" i="1"/>
  <c r="E783" i="1"/>
  <c r="F783" i="1"/>
  <c r="G783" i="1"/>
  <c r="H783" i="1"/>
  <c r="A784" i="1"/>
  <c r="B784" i="1"/>
  <c r="C784" i="1"/>
  <c r="D784" i="1"/>
  <c r="E784" i="1"/>
  <c r="F784" i="1"/>
  <c r="G784" i="1"/>
  <c r="H784" i="1"/>
  <c r="A785" i="1"/>
  <c r="B785" i="1"/>
  <c r="C785" i="1"/>
  <c r="D785" i="1"/>
  <c r="E785" i="1"/>
  <c r="F785" i="1"/>
  <c r="G785" i="1"/>
  <c r="H785" i="1"/>
  <c r="A786" i="1"/>
  <c r="B786" i="1"/>
  <c r="C786" i="1"/>
  <c r="D786" i="1"/>
  <c r="E786" i="1"/>
  <c r="F786" i="1"/>
  <c r="G786" i="1"/>
  <c r="H786" i="1"/>
  <c r="A787" i="1"/>
  <c r="B787" i="1"/>
  <c r="C787" i="1"/>
  <c r="D787" i="1"/>
  <c r="E787" i="1"/>
  <c r="F787" i="1"/>
  <c r="G787" i="1"/>
  <c r="H787" i="1"/>
  <c r="A788" i="1"/>
  <c r="B788" i="1"/>
  <c r="C788" i="1"/>
  <c r="D788" i="1"/>
  <c r="E788" i="1"/>
  <c r="F788" i="1"/>
  <c r="G788" i="1"/>
  <c r="H788" i="1"/>
  <c r="A789" i="1"/>
  <c r="B789" i="1"/>
  <c r="C789" i="1"/>
  <c r="D789" i="1"/>
  <c r="E789" i="1"/>
  <c r="F789" i="1"/>
  <c r="G789" i="1"/>
  <c r="H789" i="1"/>
  <c r="A790" i="1"/>
  <c r="B790" i="1"/>
  <c r="C790" i="1"/>
  <c r="D790" i="1"/>
  <c r="E790" i="1"/>
  <c r="F790" i="1"/>
  <c r="G790" i="1"/>
  <c r="H790" i="1"/>
  <c r="A791" i="1"/>
  <c r="B791" i="1"/>
  <c r="C791" i="1"/>
  <c r="D791" i="1"/>
  <c r="E791" i="1"/>
  <c r="F791" i="1"/>
  <c r="G791" i="1"/>
  <c r="H791" i="1"/>
  <c r="A792" i="1"/>
  <c r="B792" i="1"/>
  <c r="C792" i="1"/>
  <c r="D792" i="1"/>
  <c r="E792" i="1"/>
  <c r="F792" i="1"/>
  <c r="G792" i="1"/>
  <c r="H792" i="1"/>
  <c r="A793" i="1"/>
  <c r="B793" i="1"/>
  <c r="C793" i="1"/>
  <c r="D793" i="1"/>
  <c r="E793" i="1"/>
  <c r="F793" i="1"/>
  <c r="G793" i="1"/>
  <c r="H793" i="1"/>
  <c r="A794" i="1"/>
  <c r="B794" i="1"/>
  <c r="C794" i="1"/>
  <c r="D794" i="1"/>
  <c r="E794" i="1"/>
  <c r="F794" i="1"/>
  <c r="G794" i="1"/>
  <c r="H794" i="1"/>
  <c r="A795" i="1"/>
  <c r="B795" i="1"/>
  <c r="C795" i="1"/>
  <c r="D795" i="1"/>
  <c r="E795" i="1"/>
  <c r="F795" i="1"/>
  <c r="G795" i="1"/>
  <c r="H795" i="1"/>
  <c r="A796" i="1"/>
  <c r="B796" i="1"/>
  <c r="C796" i="1"/>
  <c r="D796" i="1"/>
  <c r="E796" i="1"/>
  <c r="F796" i="1"/>
  <c r="G796" i="1"/>
  <c r="H796" i="1"/>
  <c r="A797" i="1"/>
  <c r="B797" i="1"/>
  <c r="C797" i="1"/>
  <c r="D797" i="1"/>
  <c r="E797" i="1"/>
  <c r="F797" i="1"/>
  <c r="G797" i="1"/>
  <c r="H797" i="1"/>
  <c r="A798" i="1"/>
  <c r="B798" i="1"/>
  <c r="C798" i="1"/>
  <c r="D798" i="1"/>
  <c r="E798" i="1"/>
  <c r="F798" i="1"/>
  <c r="G798" i="1"/>
  <c r="H798" i="1"/>
  <c r="A799" i="1"/>
  <c r="B799" i="1"/>
  <c r="C799" i="1"/>
  <c r="D799" i="1"/>
  <c r="E799" i="1"/>
  <c r="F799" i="1"/>
  <c r="G799" i="1"/>
  <c r="H799" i="1"/>
  <c r="A800" i="1"/>
  <c r="B800" i="1"/>
  <c r="C800" i="1"/>
  <c r="D800" i="1"/>
  <c r="E800" i="1"/>
  <c r="F800" i="1"/>
  <c r="G800" i="1"/>
  <c r="H800" i="1"/>
  <c r="A801" i="1"/>
  <c r="B801" i="1"/>
  <c r="C801" i="1"/>
  <c r="D801" i="1"/>
  <c r="E801" i="1"/>
  <c r="F801" i="1"/>
  <c r="G801" i="1"/>
  <c r="H801" i="1"/>
  <c r="A802" i="1"/>
  <c r="B802" i="1"/>
  <c r="C802" i="1"/>
  <c r="D802" i="1"/>
  <c r="E802" i="1"/>
  <c r="F802" i="1"/>
  <c r="G802" i="1"/>
  <c r="H802" i="1"/>
  <c r="A803" i="1"/>
  <c r="B803" i="1"/>
  <c r="C803" i="1"/>
  <c r="D803" i="1"/>
  <c r="E803" i="1"/>
  <c r="F803" i="1"/>
  <c r="G803" i="1"/>
  <c r="H803" i="1"/>
  <c r="A804" i="1"/>
  <c r="B804" i="1"/>
  <c r="C804" i="1"/>
  <c r="D804" i="1"/>
  <c r="E804" i="1"/>
  <c r="F804" i="1"/>
  <c r="G804" i="1"/>
  <c r="H804" i="1"/>
  <c r="A805" i="1"/>
  <c r="B805" i="1"/>
  <c r="C805" i="1"/>
  <c r="D805" i="1"/>
  <c r="E805" i="1"/>
  <c r="F805" i="1"/>
  <c r="G805" i="1"/>
  <c r="H805" i="1"/>
  <c r="A806" i="1"/>
  <c r="B806" i="1"/>
  <c r="C806" i="1"/>
  <c r="D806" i="1"/>
  <c r="E806" i="1"/>
  <c r="F806" i="1"/>
  <c r="G806" i="1"/>
  <c r="H806" i="1"/>
  <c r="A807" i="1"/>
  <c r="B807" i="1"/>
  <c r="C807" i="1"/>
  <c r="D807" i="1"/>
  <c r="E807" i="1"/>
  <c r="F807" i="1"/>
  <c r="G807" i="1"/>
  <c r="H807" i="1"/>
  <c r="A808" i="1"/>
  <c r="B808" i="1"/>
  <c r="C808" i="1"/>
  <c r="D808" i="1"/>
  <c r="E808" i="1"/>
  <c r="F808" i="1"/>
  <c r="G808" i="1"/>
  <c r="H808" i="1"/>
  <c r="A809" i="1"/>
  <c r="B809" i="1"/>
  <c r="C809" i="1"/>
  <c r="D809" i="1"/>
  <c r="E809" i="1"/>
  <c r="F809" i="1"/>
  <c r="G809" i="1"/>
  <c r="H809" i="1"/>
  <c r="A810" i="1"/>
  <c r="B810" i="1"/>
  <c r="C810" i="1"/>
  <c r="D810" i="1"/>
  <c r="E810" i="1"/>
  <c r="F810" i="1"/>
  <c r="G810" i="1"/>
  <c r="H810" i="1"/>
  <c r="A811" i="1"/>
  <c r="B811" i="1"/>
  <c r="C811" i="1"/>
  <c r="D811" i="1"/>
  <c r="E811" i="1"/>
  <c r="F811" i="1"/>
  <c r="G811" i="1"/>
  <c r="H811" i="1"/>
  <c r="A812" i="1"/>
  <c r="B812" i="1"/>
  <c r="C812" i="1"/>
  <c r="D812" i="1"/>
  <c r="E812" i="1"/>
  <c r="F812" i="1"/>
  <c r="G812" i="1"/>
  <c r="H812" i="1"/>
  <c r="A813" i="1"/>
  <c r="B813" i="1"/>
  <c r="C813" i="1"/>
  <c r="D813" i="1"/>
  <c r="E813" i="1"/>
  <c r="F813" i="1"/>
  <c r="G813" i="1"/>
  <c r="H813" i="1"/>
  <c r="A814" i="1"/>
  <c r="B814" i="1"/>
  <c r="C814" i="1"/>
  <c r="D814" i="1"/>
  <c r="E814" i="1"/>
  <c r="F814" i="1"/>
  <c r="G814" i="1"/>
  <c r="H814" i="1"/>
  <c r="A815" i="1"/>
  <c r="B815" i="1"/>
  <c r="C815" i="1"/>
  <c r="D815" i="1"/>
  <c r="E815" i="1"/>
  <c r="F815" i="1"/>
  <c r="G815" i="1"/>
  <c r="H815" i="1"/>
  <c r="A816" i="1"/>
  <c r="B816" i="1"/>
  <c r="C816" i="1"/>
  <c r="D816" i="1"/>
  <c r="E816" i="1"/>
  <c r="F816" i="1"/>
  <c r="G816" i="1"/>
  <c r="H816" i="1"/>
  <c r="A817" i="1"/>
  <c r="B817" i="1"/>
  <c r="C817" i="1"/>
  <c r="D817" i="1"/>
  <c r="E817" i="1"/>
  <c r="F817" i="1"/>
  <c r="G817" i="1"/>
  <c r="H817" i="1"/>
  <c r="A818" i="1"/>
  <c r="B818" i="1"/>
  <c r="C818" i="1"/>
  <c r="D818" i="1"/>
  <c r="E818" i="1"/>
  <c r="F818" i="1"/>
  <c r="G818" i="1"/>
  <c r="H818" i="1"/>
  <c r="A819" i="1"/>
  <c r="B819" i="1"/>
  <c r="C819" i="1"/>
  <c r="D819" i="1"/>
  <c r="E819" i="1"/>
  <c r="F819" i="1"/>
  <c r="G819" i="1"/>
  <c r="H819" i="1"/>
  <c r="A820" i="1"/>
  <c r="B820" i="1"/>
  <c r="C820" i="1"/>
  <c r="D820" i="1"/>
  <c r="E820" i="1"/>
  <c r="F820" i="1"/>
  <c r="G820" i="1"/>
  <c r="H820" i="1"/>
  <c r="A821" i="1"/>
  <c r="B821" i="1"/>
  <c r="C821" i="1"/>
  <c r="D821" i="1"/>
  <c r="E821" i="1"/>
  <c r="F821" i="1"/>
  <c r="G821" i="1"/>
  <c r="H821" i="1"/>
  <c r="A822" i="1"/>
  <c r="B822" i="1"/>
  <c r="C822" i="1"/>
  <c r="D822" i="1"/>
  <c r="E822" i="1"/>
  <c r="F822" i="1"/>
  <c r="G822" i="1"/>
  <c r="H822" i="1"/>
  <c r="A823" i="1"/>
  <c r="B823" i="1"/>
  <c r="C823" i="1"/>
  <c r="D823" i="1"/>
  <c r="E823" i="1"/>
  <c r="F823" i="1"/>
  <c r="G823" i="1"/>
  <c r="H823" i="1"/>
  <c r="A824" i="1"/>
  <c r="B824" i="1"/>
  <c r="C824" i="1"/>
  <c r="D824" i="1"/>
  <c r="E824" i="1"/>
  <c r="F824" i="1"/>
  <c r="G824" i="1"/>
  <c r="H824" i="1"/>
  <c r="A825" i="1"/>
  <c r="B825" i="1"/>
  <c r="C825" i="1"/>
  <c r="D825" i="1"/>
  <c r="E825" i="1"/>
  <c r="F825" i="1"/>
  <c r="G825" i="1"/>
  <c r="H825" i="1"/>
  <c r="A826" i="1"/>
  <c r="B826" i="1"/>
  <c r="C826" i="1"/>
  <c r="D826" i="1"/>
  <c r="E826" i="1"/>
  <c r="F826" i="1"/>
  <c r="G826" i="1"/>
  <c r="H826" i="1"/>
  <c r="A827" i="1"/>
  <c r="B827" i="1"/>
  <c r="C827" i="1"/>
  <c r="D827" i="1"/>
  <c r="E827" i="1"/>
  <c r="F827" i="1"/>
  <c r="G827" i="1"/>
  <c r="H827" i="1"/>
  <c r="A828" i="1"/>
  <c r="B828" i="1"/>
  <c r="C828" i="1"/>
  <c r="D828" i="1"/>
  <c r="E828" i="1"/>
  <c r="F828" i="1"/>
  <c r="G828" i="1"/>
  <c r="H828" i="1"/>
  <c r="A829" i="1"/>
  <c r="B829" i="1"/>
  <c r="C829" i="1"/>
  <c r="D829" i="1"/>
  <c r="E829" i="1"/>
  <c r="F829" i="1"/>
  <c r="G829" i="1"/>
  <c r="H829" i="1"/>
  <c r="A830" i="1"/>
  <c r="B830" i="1"/>
  <c r="C830" i="1"/>
  <c r="D830" i="1"/>
  <c r="E830" i="1"/>
  <c r="F830" i="1"/>
  <c r="G830" i="1"/>
  <c r="H830" i="1"/>
  <c r="A831" i="1"/>
  <c r="B831" i="1"/>
  <c r="C831" i="1"/>
  <c r="D831" i="1"/>
  <c r="E831" i="1"/>
  <c r="F831" i="1"/>
  <c r="G831" i="1"/>
  <c r="H831" i="1"/>
  <c r="A832" i="1"/>
  <c r="B832" i="1"/>
  <c r="C832" i="1"/>
  <c r="D832" i="1"/>
  <c r="E832" i="1"/>
  <c r="F832" i="1"/>
  <c r="G832" i="1"/>
  <c r="H832" i="1"/>
  <c r="A833" i="1"/>
  <c r="B833" i="1"/>
  <c r="C833" i="1"/>
  <c r="D833" i="1"/>
  <c r="E833" i="1"/>
  <c r="F833" i="1"/>
  <c r="G833" i="1"/>
  <c r="H833" i="1"/>
  <c r="A834" i="1"/>
  <c r="B834" i="1"/>
  <c r="C834" i="1"/>
  <c r="D834" i="1"/>
  <c r="E834" i="1"/>
  <c r="F834" i="1"/>
  <c r="G834" i="1"/>
  <c r="H834" i="1"/>
  <c r="A835" i="1"/>
  <c r="B835" i="1"/>
  <c r="C835" i="1"/>
  <c r="D835" i="1"/>
  <c r="E835" i="1"/>
  <c r="F835" i="1"/>
  <c r="G835" i="1"/>
  <c r="H835" i="1"/>
  <c r="A836" i="1"/>
  <c r="B836" i="1"/>
  <c r="C836" i="1"/>
  <c r="D836" i="1"/>
  <c r="E836" i="1"/>
  <c r="F836" i="1"/>
  <c r="G836" i="1"/>
  <c r="H836" i="1"/>
  <c r="A837" i="1"/>
  <c r="B837" i="1"/>
  <c r="C837" i="1"/>
  <c r="D837" i="1"/>
  <c r="E837" i="1"/>
  <c r="F837" i="1"/>
  <c r="G837" i="1"/>
  <c r="H837" i="1"/>
  <c r="A838" i="1"/>
  <c r="B838" i="1"/>
  <c r="C838" i="1"/>
  <c r="D838" i="1"/>
  <c r="E838" i="1"/>
  <c r="F838" i="1"/>
  <c r="G838" i="1"/>
  <c r="H838" i="1"/>
  <c r="A839" i="1"/>
  <c r="B839" i="1"/>
  <c r="C839" i="1"/>
  <c r="D839" i="1"/>
  <c r="E839" i="1"/>
  <c r="F839" i="1"/>
  <c r="G839" i="1"/>
  <c r="H839" i="1"/>
  <c r="A840" i="1"/>
  <c r="B840" i="1"/>
  <c r="C840" i="1"/>
  <c r="D840" i="1"/>
  <c r="E840" i="1"/>
  <c r="F840" i="1"/>
  <c r="G840" i="1"/>
  <c r="H840" i="1"/>
  <c r="A841" i="1"/>
  <c r="B841" i="1"/>
  <c r="C841" i="1"/>
  <c r="D841" i="1"/>
  <c r="E841" i="1"/>
  <c r="F841" i="1"/>
  <c r="G841" i="1"/>
  <c r="H841" i="1"/>
  <c r="A842" i="1"/>
  <c r="B842" i="1"/>
  <c r="C842" i="1"/>
  <c r="D842" i="1"/>
  <c r="E842" i="1"/>
  <c r="F842" i="1"/>
  <c r="G842" i="1"/>
  <c r="H842" i="1"/>
  <c r="A843" i="1"/>
  <c r="B843" i="1"/>
  <c r="C843" i="1"/>
  <c r="D843" i="1"/>
  <c r="E843" i="1"/>
  <c r="F843" i="1"/>
  <c r="G843" i="1"/>
  <c r="H843" i="1"/>
  <c r="A844" i="1"/>
  <c r="B844" i="1"/>
  <c r="C844" i="1"/>
  <c r="D844" i="1"/>
  <c r="E844" i="1"/>
  <c r="F844" i="1"/>
  <c r="G844" i="1"/>
  <c r="H844" i="1"/>
  <c r="A845" i="1"/>
  <c r="B845" i="1"/>
  <c r="C845" i="1"/>
  <c r="D845" i="1"/>
  <c r="E845" i="1"/>
  <c r="F845" i="1"/>
  <c r="G845" i="1"/>
  <c r="H845" i="1"/>
  <c r="A846" i="1"/>
  <c r="B846" i="1"/>
  <c r="C846" i="1"/>
  <c r="D846" i="1"/>
  <c r="E846" i="1"/>
  <c r="F846" i="1"/>
  <c r="G846" i="1"/>
  <c r="H846" i="1"/>
  <c r="A847" i="1"/>
  <c r="B847" i="1"/>
  <c r="C847" i="1"/>
  <c r="D847" i="1"/>
  <c r="E847" i="1"/>
  <c r="F847" i="1"/>
  <c r="G847" i="1"/>
  <c r="H847" i="1"/>
  <c r="A848" i="1"/>
  <c r="B848" i="1"/>
  <c r="C848" i="1"/>
  <c r="D848" i="1"/>
  <c r="E848" i="1"/>
  <c r="F848" i="1"/>
  <c r="G848" i="1"/>
  <c r="H848" i="1"/>
  <c r="A849" i="1"/>
  <c r="B849" i="1"/>
  <c r="C849" i="1"/>
  <c r="D849" i="1"/>
  <c r="E849" i="1"/>
  <c r="F849" i="1"/>
  <c r="G849" i="1"/>
  <c r="H849" i="1"/>
  <c r="A850" i="1"/>
  <c r="B850" i="1"/>
  <c r="C850" i="1"/>
  <c r="D850" i="1"/>
  <c r="E850" i="1"/>
  <c r="F850" i="1"/>
  <c r="G850" i="1"/>
  <c r="H850" i="1"/>
  <c r="A851" i="1"/>
  <c r="B851" i="1"/>
  <c r="C851" i="1"/>
  <c r="D851" i="1"/>
  <c r="E851" i="1"/>
  <c r="F851" i="1"/>
  <c r="G851" i="1"/>
  <c r="H851" i="1"/>
  <c r="A852" i="1"/>
  <c r="B852" i="1"/>
  <c r="C852" i="1"/>
  <c r="D852" i="1"/>
  <c r="E852" i="1"/>
  <c r="F852" i="1"/>
  <c r="G852" i="1"/>
  <c r="H852" i="1"/>
  <c r="A853" i="1"/>
  <c r="B853" i="1"/>
  <c r="C853" i="1"/>
  <c r="D853" i="1"/>
  <c r="E853" i="1"/>
  <c r="F853" i="1"/>
  <c r="G853" i="1"/>
  <c r="H853" i="1"/>
  <c r="A854" i="1"/>
  <c r="B854" i="1"/>
  <c r="C854" i="1"/>
  <c r="D854" i="1"/>
  <c r="E854" i="1"/>
  <c r="F854" i="1"/>
  <c r="G854" i="1"/>
  <c r="H854" i="1"/>
  <c r="A855" i="1"/>
  <c r="B855" i="1"/>
  <c r="C855" i="1"/>
  <c r="D855" i="1"/>
  <c r="E855" i="1"/>
  <c r="F855" i="1"/>
  <c r="G855" i="1"/>
  <c r="H855" i="1"/>
  <c r="A856" i="1"/>
  <c r="B856" i="1"/>
  <c r="C856" i="1"/>
  <c r="D856" i="1"/>
  <c r="E856" i="1"/>
  <c r="F856" i="1"/>
  <c r="G856" i="1"/>
  <c r="H856" i="1"/>
  <c r="A857" i="1"/>
  <c r="B857" i="1"/>
  <c r="C857" i="1"/>
  <c r="D857" i="1"/>
  <c r="E857" i="1"/>
  <c r="F857" i="1"/>
  <c r="G857" i="1"/>
  <c r="H857" i="1"/>
  <c r="A858" i="1"/>
  <c r="B858" i="1"/>
  <c r="C858" i="1"/>
  <c r="D858" i="1"/>
  <c r="E858" i="1"/>
  <c r="F858" i="1"/>
  <c r="G858" i="1"/>
  <c r="H858" i="1"/>
  <c r="A859" i="1"/>
  <c r="B859" i="1"/>
  <c r="C859" i="1"/>
  <c r="D859" i="1"/>
  <c r="E859" i="1"/>
  <c r="F859" i="1"/>
  <c r="G859" i="1"/>
  <c r="H859" i="1"/>
  <c r="A860" i="1"/>
  <c r="B860" i="1"/>
  <c r="C860" i="1"/>
  <c r="D860" i="1"/>
  <c r="E860" i="1"/>
  <c r="F860" i="1"/>
  <c r="G860" i="1"/>
  <c r="H860" i="1"/>
  <c r="A861" i="1"/>
  <c r="B861" i="1"/>
  <c r="C861" i="1"/>
  <c r="D861" i="1"/>
  <c r="E861" i="1"/>
  <c r="F861" i="1"/>
  <c r="G861" i="1"/>
  <c r="H861" i="1"/>
  <c r="A862" i="1"/>
  <c r="B862" i="1"/>
  <c r="C862" i="1"/>
  <c r="D862" i="1"/>
  <c r="E862" i="1"/>
  <c r="F862" i="1"/>
  <c r="G862" i="1"/>
  <c r="H862" i="1"/>
  <c r="A863" i="1"/>
  <c r="B863" i="1"/>
  <c r="C863" i="1"/>
  <c r="D863" i="1"/>
  <c r="E863" i="1"/>
  <c r="F863" i="1"/>
  <c r="G863" i="1"/>
  <c r="H863" i="1"/>
  <c r="A864" i="1"/>
  <c r="B864" i="1"/>
  <c r="C864" i="1"/>
  <c r="D864" i="1"/>
  <c r="E864" i="1"/>
  <c r="F864" i="1"/>
  <c r="G864" i="1"/>
  <c r="H864" i="1"/>
  <c r="A865" i="1"/>
  <c r="B865" i="1"/>
  <c r="C865" i="1"/>
  <c r="D865" i="1"/>
  <c r="E865" i="1"/>
  <c r="F865" i="1"/>
  <c r="G865" i="1"/>
  <c r="H865" i="1"/>
  <c r="A866" i="1"/>
  <c r="B866" i="1"/>
  <c r="C866" i="1"/>
  <c r="D866" i="1"/>
  <c r="E866" i="1"/>
  <c r="F866" i="1"/>
  <c r="G866" i="1"/>
  <c r="H866" i="1"/>
  <c r="A867" i="1"/>
  <c r="B867" i="1"/>
  <c r="C867" i="1"/>
  <c r="D867" i="1"/>
  <c r="E867" i="1"/>
  <c r="F867" i="1"/>
  <c r="G867" i="1"/>
  <c r="H867" i="1"/>
  <c r="A868" i="1"/>
  <c r="B868" i="1"/>
  <c r="C868" i="1"/>
  <c r="D868" i="1"/>
  <c r="E868" i="1"/>
  <c r="F868" i="1"/>
  <c r="G868" i="1"/>
  <c r="H868" i="1"/>
  <c r="A869" i="1"/>
  <c r="B869" i="1"/>
  <c r="C869" i="1"/>
  <c r="D869" i="1"/>
  <c r="E869" i="1"/>
  <c r="F869" i="1"/>
  <c r="G869" i="1"/>
  <c r="H869" i="1"/>
  <c r="A870" i="1"/>
  <c r="B870" i="1"/>
  <c r="C870" i="1"/>
  <c r="D870" i="1"/>
  <c r="E870" i="1"/>
  <c r="F870" i="1"/>
  <c r="G870" i="1"/>
  <c r="H870" i="1"/>
  <c r="A871" i="1"/>
  <c r="B871" i="1"/>
  <c r="C871" i="1"/>
  <c r="D871" i="1"/>
  <c r="E871" i="1"/>
  <c r="F871" i="1"/>
  <c r="G871" i="1"/>
  <c r="H871" i="1"/>
  <c r="A872" i="1"/>
  <c r="B872" i="1"/>
  <c r="C872" i="1"/>
  <c r="D872" i="1"/>
  <c r="E872" i="1"/>
  <c r="F872" i="1"/>
  <c r="G872" i="1"/>
  <c r="H872" i="1"/>
  <c r="A873" i="1"/>
  <c r="B873" i="1"/>
  <c r="C873" i="1"/>
  <c r="D873" i="1"/>
  <c r="E873" i="1"/>
  <c r="F873" i="1"/>
  <c r="G873" i="1"/>
  <c r="H873" i="1"/>
  <c r="A874" i="1"/>
  <c r="B874" i="1"/>
  <c r="C874" i="1"/>
  <c r="D874" i="1"/>
  <c r="E874" i="1"/>
  <c r="F874" i="1"/>
  <c r="G874" i="1"/>
  <c r="H874" i="1"/>
  <c r="A875" i="1"/>
  <c r="B875" i="1"/>
  <c r="C875" i="1"/>
  <c r="D875" i="1"/>
  <c r="E875" i="1"/>
  <c r="F875" i="1"/>
  <c r="G875" i="1"/>
  <c r="H875" i="1"/>
  <c r="A876" i="1"/>
  <c r="B876" i="1"/>
  <c r="C876" i="1"/>
  <c r="D876" i="1"/>
  <c r="E876" i="1"/>
  <c r="F876" i="1"/>
  <c r="G876" i="1"/>
  <c r="H876" i="1"/>
  <c r="A877" i="1"/>
  <c r="B877" i="1"/>
  <c r="C877" i="1"/>
  <c r="D877" i="1"/>
  <c r="E877" i="1"/>
  <c r="F877" i="1"/>
  <c r="G877" i="1"/>
  <c r="H877" i="1"/>
  <c r="A878" i="1"/>
  <c r="B878" i="1"/>
  <c r="C878" i="1"/>
  <c r="D878" i="1"/>
  <c r="E878" i="1"/>
  <c r="F878" i="1"/>
  <c r="G878" i="1"/>
  <c r="H878" i="1"/>
  <c r="A879" i="1"/>
  <c r="B879" i="1"/>
  <c r="C879" i="1"/>
  <c r="D879" i="1"/>
  <c r="E879" i="1"/>
  <c r="F879" i="1"/>
  <c r="G879" i="1"/>
  <c r="H879" i="1"/>
  <c r="A880" i="1"/>
  <c r="B880" i="1"/>
  <c r="C880" i="1"/>
  <c r="D880" i="1"/>
  <c r="E880" i="1"/>
  <c r="F880" i="1"/>
  <c r="G880" i="1"/>
  <c r="H880" i="1"/>
  <c r="A881" i="1"/>
  <c r="B881" i="1"/>
  <c r="C881" i="1"/>
  <c r="D881" i="1"/>
  <c r="E881" i="1"/>
  <c r="F881" i="1"/>
  <c r="G881" i="1"/>
  <c r="H881" i="1"/>
  <c r="A882" i="1"/>
  <c r="B882" i="1"/>
  <c r="C882" i="1"/>
  <c r="D882" i="1"/>
  <c r="E882" i="1"/>
  <c r="F882" i="1"/>
  <c r="G882" i="1"/>
  <c r="H882" i="1"/>
  <c r="A883" i="1"/>
  <c r="B883" i="1"/>
  <c r="C883" i="1"/>
  <c r="D883" i="1"/>
  <c r="E883" i="1"/>
  <c r="F883" i="1"/>
  <c r="G883" i="1"/>
  <c r="H883" i="1"/>
  <c r="A884" i="1"/>
  <c r="B884" i="1"/>
  <c r="C884" i="1"/>
  <c r="D884" i="1"/>
  <c r="E884" i="1"/>
  <c r="F884" i="1"/>
  <c r="G884" i="1"/>
  <c r="H884" i="1"/>
  <c r="A885" i="1"/>
  <c r="B885" i="1"/>
  <c r="C885" i="1"/>
  <c r="D885" i="1"/>
  <c r="E885" i="1"/>
  <c r="F885" i="1"/>
  <c r="G885" i="1"/>
  <c r="H885" i="1"/>
  <c r="A886" i="1"/>
  <c r="B886" i="1"/>
  <c r="C886" i="1"/>
  <c r="D886" i="1"/>
  <c r="E886" i="1"/>
  <c r="F886" i="1"/>
  <c r="G886" i="1"/>
  <c r="H886" i="1"/>
  <c r="A887" i="1"/>
  <c r="B887" i="1"/>
  <c r="C887" i="1"/>
  <c r="D887" i="1"/>
  <c r="E887" i="1"/>
  <c r="F887" i="1"/>
  <c r="G887" i="1"/>
  <c r="H887" i="1"/>
  <c r="A888" i="1"/>
  <c r="B888" i="1"/>
  <c r="C888" i="1"/>
  <c r="D888" i="1"/>
  <c r="E888" i="1"/>
  <c r="F888" i="1"/>
  <c r="G888" i="1"/>
  <c r="H888" i="1"/>
  <c r="A889" i="1"/>
  <c r="B889" i="1"/>
  <c r="C889" i="1"/>
  <c r="D889" i="1"/>
  <c r="E889" i="1"/>
  <c r="F889" i="1"/>
  <c r="G889" i="1"/>
  <c r="H889" i="1"/>
  <c r="A890" i="1"/>
  <c r="B890" i="1"/>
  <c r="C890" i="1"/>
  <c r="D890" i="1"/>
  <c r="E890" i="1"/>
  <c r="F890" i="1"/>
  <c r="G890" i="1"/>
  <c r="H890" i="1"/>
  <c r="A891" i="1"/>
  <c r="B891" i="1"/>
  <c r="C891" i="1"/>
  <c r="D891" i="1"/>
  <c r="E891" i="1"/>
  <c r="F891" i="1"/>
  <c r="G891" i="1"/>
  <c r="H891" i="1"/>
  <c r="A892" i="1"/>
  <c r="B892" i="1"/>
  <c r="C892" i="1"/>
  <c r="D892" i="1"/>
  <c r="E892" i="1"/>
  <c r="F892" i="1"/>
  <c r="G892" i="1"/>
  <c r="H892" i="1"/>
  <c r="A893" i="1"/>
  <c r="B893" i="1"/>
  <c r="C893" i="1"/>
  <c r="D893" i="1"/>
  <c r="E893" i="1"/>
  <c r="F893" i="1"/>
  <c r="G893" i="1"/>
  <c r="H893" i="1"/>
  <c r="A894" i="1"/>
  <c r="B894" i="1"/>
  <c r="C894" i="1"/>
  <c r="D894" i="1"/>
  <c r="E894" i="1"/>
  <c r="F894" i="1"/>
  <c r="G894" i="1"/>
  <c r="H894" i="1"/>
  <c r="A895" i="1"/>
  <c r="B895" i="1"/>
  <c r="C895" i="1"/>
  <c r="D895" i="1"/>
  <c r="E895" i="1"/>
  <c r="F895" i="1"/>
  <c r="G895" i="1"/>
  <c r="H895" i="1"/>
  <c r="A896" i="1"/>
  <c r="B896" i="1"/>
  <c r="C896" i="1"/>
  <c r="D896" i="1"/>
  <c r="E896" i="1"/>
  <c r="F896" i="1"/>
  <c r="G896" i="1"/>
  <c r="H896" i="1"/>
  <c r="A897" i="1"/>
  <c r="B897" i="1"/>
  <c r="C897" i="1"/>
  <c r="D897" i="1"/>
  <c r="E897" i="1"/>
  <c r="F897" i="1"/>
  <c r="G897" i="1"/>
  <c r="H897" i="1"/>
  <c r="A898" i="1"/>
  <c r="B898" i="1"/>
  <c r="C898" i="1"/>
  <c r="D898" i="1"/>
  <c r="E898" i="1"/>
  <c r="F898" i="1"/>
  <c r="G898" i="1"/>
  <c r="H898" i="1"/>
  <c r="A899" i="1"/>
  <c r="B899" i="1"/>
  <c r="C899" i="1"/>
  <c r="D899" i="1"/>
  <c r="E899" i="1"/>
  <c r="F899" i="1"/>
  <c r="G899" i="1"/>
  <c r="H899" i="1"/>
  <c r="A900" i="1"/>
  <c r="B900" i="1"/>
  <c r="C900" i="1"/>
  <c r="D900" i="1"/>
  <c r="E900" i="1"/>
  <c r="F900" i="1"/>
  <c r="G900" i="1"/>
  <c r="H900" i="1"/>
  <c r="A901" i="1"/>
  <c r="B901" i="1"/>
  <c r="C901" i="1"/>
  <c r="D901" i="1"/>
  <c r="E901" i="1"/>
  <c r="F901" i="1"/>
  <c r="G901" i="1"/>
  <c r="H901" i="1"/>
  <c r="A902" i="1"/>
  <c r="B902" i="1"/>
  <c r="C902" i="1"/>
  <c r="D902" i="1"/>
  <c r="E902" i="1"/>
  <c r="F902" i="1"/>
  <c r="G902" i="1"/>
  <c r="H902" i="1"/>
  <c r="A903" i="1"/>
  <c r="B903" i="1"/>
  <c r="C903" i="1"/>
  <c r="D903" i="1"/>
  <c r="E903" i="1"/>
  <c r="F903" i="1"/>
  <c r="G903" i="1"/>
  <c r="H903" i="1"/>
  <c r="A904" i="1"/>
  <c r="B904" i="1"/>
  <c r="C904" i="1"/>
  <c r="D904" i="1"/>
  <c r="E904" i="1"/>
  <c r="F904" i="1"/>
  <c r="G904" i="1"/>
  <c r="H904" i="1"/>
  <c r="A905" i="1"/>
  <c r="B905" i="1"/>
  <c r="C905" i="1"/>
  <c r="D905" i="1"/>
  <c r="E905" i="1"/>
  <c r="F905" i="1"/>
  <c r="G905" i="1"/>
  <c r="H905" i="1"/>
  <c r="A906" i="1"/>
  <c r="B906" i="1"/>
  <c r="C906" i="1"/>
  <c r="D906" i="1"/>
  <c r="E906" i="1"/>
  <c r="F906" i="1"/>
  <c r="G906" i="1"/>
  <c r="H906" i="1"/>
  <c r="A907" i="1"/>
  <c r="B907" i="1"/>
  <c r="C907" i="1"/>
  <c r="D907" i="1"/>
  <c r="E907" i="1"/>
  <c r="F907" i="1"/>
  <c r="G907" i="1"/>
  <c r="H907" i="1"/>
  <c r="A908" i="1"/>
  <c r="B908" i="1"/>
  <c r="C908" i="1"/>
  <c r="D908" i="1"/>
  <c r="E908" i="1"/>
  <c r="F908" i="1"/>
  <c r="G908" i="1"/>
  <c r="H908" i="1"/>
  <c r="A909" i="1"/>
  <c r="B909" i="1"/>
  <c r="C909" i="1"/>
  <c r="D909" i="1"/>
  <c r="E909" i="1"/>
  <c r="F909" i="1"/>
  <c r="G909" i="1"/>
  <c r="H909" i="1"/>
  <c r="A910" i="1"/>
  <c r="B910" i="1"/>
  <c r="C910" i="1"/>
  <c r="D910" i="1"/>
  <c r="E910" i="1"/>
  <c r="F910" i="1"/>
  <c r="G910" i="1"/>
  <c r="H910" i="1"/>
  <c r="A911" i="1"/>
  <c r="B911" i="1"/>
  <c r="C911" i="1"/>
  <c r="D911" i="1"/>
  <c r="E911" i="1"/>
  <c r="F911" i="1"/>
  <c r="G911" i="1"/>
  <c r="H911" i="1"/>
  <c r="A912" i="1"/>
  <c r="B912" i="1"/>
  <c r="C912" i="1"/>
  <c r="D912" i="1"/>
  <c r="E912" i="1"/>
  <c r="F912" i="1"/>
  <c r="G912" i="1"/>
  <c r="H912" i="1"/>
  <c r="A913" i="1"/>
  <c r="B913" i="1"/>
  <c r="C913" i="1"/>
  <c r="D913" i="1"/>
  <c r="E913" i="1"/>
  <c r="F913" i="1"/>
  <c r="G913" i="1"/>
  <c r="H913" i="1"/>
  <c r="A914" i="1"/>
  <c r="B914" i="1"/>
  <c r="C914" i="1"/>
  <c r="D914" i="1"/>
  <c r="E914" i="1"/>
  <c r="F914" i="1"/>
  <c r="G914" i="1"/>
  <c r="H914" i="1"/>
  <c r="A915" i="1"/>
  <c r="B915" i="1"/>
  <c r="C915" i="1"/>
  <c r="D915" i="1"/>
  <c r="E915" i="1"/>
  <c r="F915" i="1"/>
  <c r="G915" i="1"/>
  <c r="H915" i="1"/>
  <c r="A916" i="1"/>
  <c r="B916" i="1"/>
  <c r="C916" i="1"/>
  <c r="D916" i="1"/>
  <c r="E916" i="1"/>
  <c r="F916" i="1"/>
  <c r="G916" i="1"/>
  <c r="H916" i="1"/>
  <c r="A917" i="1"/>
  <c r="B917" i="1"/>
  <c r="C917" i="1"/>
  <c r="D917" i="1"/>
  <c r="E917" i="1"/>
  <c r="F917" i="1"/>
  <c r="G917" i="1"/>
  <c r="H917" i="1"/>
  <c r="A918" i="1"/>
  <c r="B918" i="1"/>
  <c r="C918" i="1"/>
  <c r="D918" i="1"/>
  <c r="E918" i="1"/>
  <c r="F918" i="1"/>
  <c r="G918" i="1"/>
  <c r="H918" i="1"/>
  <c r="A919" i="1"/>
  <c r="B919" i="1"/>
  <c r="C919" i="1"/>
  <c r="D919" i="1"/>
  <c r="E919" i="1"/>
  <c r="F919" i="1"/>
  <c r="G919" i="1"/>
  <c r="H919" i="1"/>
  <c r="A920" i="1"/>
  <c r="B920" i="1"/>
  <c r="C920" i="1"/>
  <c r="D920" i="1"/>
  <c r="E920" i="1"/>
  <c r="F920" i="1"/>
  <c r="G920" i="1"/>
  <c r="H920" i="1"/>
  <c r="A921" i="1"/>
  <c r="B921" i="1"/>
  <c r="C921" i="1"/>
  <c r="D921" i="1"/>
  <c r="E921" i="1"/>
  <c r="F921" i="1"/>
  <c r="G921" i="1"/>
  <c r="H921" i="1"/>
  <c r="A922" i="1"/>
  <c r="B922" i="1"/>
  <c r="C922" i="1"/>
  <c r="D922" i="1"/>
  <c r="E922" i="1"/>
  <c r="F922" i="1"/>
  <c r="G922" i="1"/>
  <c r="H922" i="1"/>
  <c r="A923" i="1"/>
  <c r="B923" i="1"/>
  <c r="C923" i="1"/>
  <c r="D923" i="1"/>
  <c r="E923" i="1"/>
  <c r="F923" i="1"/>
  <c r="G923" i="1"/>
  <c r="H923" i="1"/>
  <c r="A924" i="1"/>
  <c r="B924" i="1"/>
  <c r="C924" i="1"/>
  <c r="D924" i="1"/>
  <c r="E924" i="1"/>
  <c r="F924" i="1"/>
  <c r="G924" i="1"/>
  <c r="H924" i="1"/>
  <c r="A925" i="1"/>
  <c r="B925" i="1"/>
  <c r="C925" i="1"/>
  <c r="D925" i="1"/>
  <c r="E925" i="1"/>
  <c r="F925" i="1"/>
  <c r="G925" i="1"/>
  <c r="H925" i="1"/>
  <c r="A926" i="1"/>
  <c r="B926" i="1"/>
  <c r="C926" i="1"/>
  <c r="D926" i="1"/>
  <c r="E926" i="1"/>
  <c r="F926" i="1"/>
  <c r="G926" i="1"/>
  <c r="H926" i="1"/>
  <c r="A927" i="1"/>
  <c r="B927" i="1"/>
  <c r="C927" i="1"/>
  <c r="D927" i="1"/>
  <c r="E927" i="1"/>
  <c r="F927" i="1"/>
  <c r="G927" i="1"/>
  <c r="H927" i="1"/>
  <c r="A928" i="1"/>
  <c r="B928" i="1"/>
  <c r="C928" i="1"/>
  <c r="D928" i="1"/>
  <c r="E928" i="1"/>
  <c r="F928" i="1"/>
  <c r="G928" i="1"/>
  <c r="H928" i="1"/>
  <c r="A929" i="1"/>
  <c r="B929" i="1"/>
  <c r="C929" i="1"/>
  <c r="D929" i="1"/>
  <c r="E929" i="1"/>
  <c r="F929" i="1"/>
  <c r="G929" i="1"/>
  <c r="H929" i="1"/>
  <c r="A930" i="1"/>
  <c r="B930" i="1"/>
  <c r="C930" i="1"/>
  <c r="D930" i="1"/>
  <c r="E930" i="1"/>
  <c r="F930" i="1"/>
  <c r="G930" i="1"/>
  <c r="H930" i="1"/>
  <c r="A931" i="1"/>
  <c r="B931" i="1"/>
  <c r="C931" i="1"/>
  <c r="D931" i="1"/>
  <c r="E931" i="1"/>
  <c r="F931" i="1"/>
  <c r="G931" i="1"/>
  <c r="H931" i="1"/>
  <c r="A932" i="1"/>
  <c r="B932" i="1"/>
  <c r="C932" i="1"/>
  <c r="D932" i="1"/>
  <c r="E932" i="1"/>
  <c r="F932" i="1"/>
  <c r="G932" i="1"/>
  <c r="H932" i="1"/>
  <c r="A933" i="1"/>
  <c r="B933" i="1"/>
  <c r="C933" i="1"/>
  <c r="D933" i="1"/>
  <c r="E933" i="1"/>
  <c r="F933" i="1"/>
  <c r="G933" i="1"/>
  <c r="H933" i="1"/>
  <c r="A934" i="1"/>
  <c r="B934" i="1"/>
  <c r="C934" i="1"/>
  <c r="D934" i="1"/>
  <c r="E934" i="1"/>
  <c r="F934" i="1"/>
  <c r="G934" i="1"/>
  <c r="H934" i="1"/>
  <c r="A935" i="1"/>
  <c r="B935" i="1"/>
  <c r="C935" i="1"/>
  <c r="D935" i="1"/>
  <c r="E935" i="1"/>
  <c r="F935" i="1"/>
  <c r="G935" i="1"/>
  <c r="H935" i="1"/>
  <c r="A936" i="1"/>
  <c r="B936" i="1"/>
  <c r="C936" i="1"/>
  <c r="D936" i="1"/>
  <c r="E936" i="1"/>
  <c r="F936" i="1"/>
  <c r="G936" i="1"/>
  <c r="H936" i="1"/>
  <c r="A937" i="1"/>
  <c r="B937" i="1"/>
  <c r="C937" i="1"/>
  <c r="D937" i="1"/>
  <c r="E937" i="1"/>
  <c r="F937" i="1"/>
  <c r="G937" i="1"/>
  <c r="H937" i="1"/>
  <c r="A938" i="1"/>
  <c r="B938" i="1"/>
  <c r="C938" i="1"/>
  <c r="D938" i="1"/>
  <c r="E938" i="1"/>
  <c r="F938" i="1"/>
  <c r="G938" i="1"/>
  <c r="H938" i="1"/>
  <c r="A939" i="1"/>
  <c r="B939" i="1"/>
  <c r="C939" i="1"/>
  <c r="D939" i="1"/>
  <c r="E939" i="1"/>
  <c r="F939" i="1"/>
  <c r="G939" i="1"/>
  <c r="H939" i="1"/>
  <c r="A940" i="1"/>
  <c r="B940" i="1"/>
  <c r="C940" i="1"/>
  <c r="D940" i="1"/>
  <c r="E940" i="1"/>
  <c r="F940" i="1"/>
  <c r="G940" i="1"/>
  <c r="H940" i="1"/>
  <c r="A941" i="1"/>
  <c r="B941" i="1"/>
  <c r="C941" i="1"/>
  <c r="D941" i="1"/>
  <c r="E941" i="1"/>
  <c r="F941" i="1"/>
  <c r="G941" i="1"/>
  <c r="H941" i="1"/>
  <c r="A942" i="1"/>
  <c r="B942" i="1"/>
  <c r="C942" i="1"/>
  <c r="D942" i="1"/>
  <c r="E942" i="1"/>
  <c r="F942" i="1"/>
  <c r="G942" i="1"/>
  <c r="H942" i="1"/>
  <c r="A943" i="1"/>
  <c r="B943" i="1"/>
  <c r="C943" i="1"/>
  <c r="D943" i="1"/>
  <c r="E943" i="1"/>
  <c r="F943" i="1"/>
  <c r="G943" i="1"/>
  <c r="H943" i="1"/>
  <c r="A944" i="1"/>
  <c r="B944" i="1"/>
  <c r="C944" i="1"/>
  <c r="D944" i="1"/>
  <c r="E944" i="1"/>
  <c r="F944" i="1"/>
  <c r="G944" i="1"/>
  <c r="H944" i="1"/>
  <c r="A945" i="1"/>
  <c r="B945" i="1"/>
  <c r="C945" i="1"/>
  <c r="D945" i="1"/>
  <c r="E945" i="1"/>
  <c r="F945" i="1"/>
  <c r="G945" i="1"/>
  <c r="H945" i="1"/>
  <c r="A946" i="1"/>
  <c r="B946" i="1"/>
  <c r="C946" i="1"/>
  <c r="D946" i="1"/>
  <c r="E946" i="1"/>
  <c r="F946" i="1"/>
  <c r="G946" i="1"/>
  <c r="H946" i="1"/>
  <c r="A947" i="1"/>
  <c r="B947" i="1"/>
  <c r="C947" i="1"/>
  <c r="D947" i="1"/>
  <c r="E947" i="1"/>
  <c r="F947" i="1"/>
  <c r="G947" i="1"/>
  <c r="H947" i="1"/>
  <c r="A948" i="1"/>
  <c r="B948" i="1"/>
  <c r="C948" i="1"/>
  <c r="D948" i="1"/>
  <c r="E948" i="1"/>
  <c r="F948" i="1"/>
  <c r="G948" i="1"/>
  <c r="H948" i="1"/>
  <c r="A949" i="1"/>
  <c r="B949" i="1"/>
  <c r="C949" i="1"/>
  <c r="D949" i="1"/>
  <c r="E949" i="1"/>
  <c r="F949" i="1"/>
  <c r="G949" i="1"/>
  <c r="H949" i="1"/>
  <c r="A950" i="1"/>
  <c r="B950" i="1"/>
  <c r="C950" i="1"/>
  <c r="D950" i="1"/>
  <c r="E950" i="1"/>
  <c r="F950" i="1"/>
  <c r="G950" i="1"/>
  <c r="H950" i="1"/>
  <c r="A951" i="1"/>
  <c r="B951" i="1"/>
  <c r="C951" i="1"/>
  <c r="D951" i="1"/>
  <c r="E951" i="1"/>
  <c r="F951" i="1"/>
  <c r="G951" i="1"/>
  <c r="H951" i="1"/>
  <c r="A952" i="1"/>
  <c r="B952" i="1"/>
  <c r="C952" i="1"/>
  <c r="D952" i="1"/>
  <c r="E952" i="1"/>
  <c r="F952" i="1"/>
  <c r="G952" i="1"/>
  <c r="H952" i="1"/>
  <c r="A953" i="1"/>
  <c r="B953" i="1"/>
  <c r="C953" i="1"/>
  <c r="D953" i="1"/>
  <c r="E953" i="1"/>
  <c r="F953" i="1"/>
  <c r="G953" i="1"/>
  <c r="H953" i="1"/>
  <c r="A954" i="1"/>
  <c r="B954" i="1"/>
  <c r="C954" i="1"/>
  <c r="D954" i="1"/>
  <c r="E954" i="1"/>
  <c r="F954" i="1"/>
  <c r="G954" i="1"/>
  <c r="H954" i="1"/>
  <c r="A955" i="1"/>
  <c r="B955" i="1"/>
  <c r="C955" i="1"/>
  <c r="D955" i="1"/>
  <c r="E955" i="1"/>
  <c r="F955" i="1"/>
  <c r="G955" i="1"/>
  <c r="H955" i="1"/>
  <c r="A956" i="1"/>
  <c r="B956" i="1"/>
  <c r="C956" i="1"/>
  <c r="D956" i="1"/>
  <c r="E956" i="1"/>
  <c r="F956" i="1"/>
  <c r="G956" i="1"/>
  <c r="H956" i="1"/>
  <c r="A957" i="1"/>
  <c r="B957" i="1"/>
  <c r="C957" i="1"/>
  <c r="D957" i="1"/>
  <c r="E957" i="1"/>
  <c r="F957" i="1"/>
  <c r="G957" i="1"/>
  <c r="H957" i="1"/>
  <c r="A958" i="1"/>
  <c r="B958" i="1"/>
  <c r="C958" i="1"/>
  <c r="D958" i="1"/>
  <c r="E958" i="1"/>
  <c r="F958" i="1"/>
  <c r="G958" i="1"/>
  <c r="H958" i="1"/>
  <c r="A959" i="1"/>
  <c r="B959" i="1"/>
  <c r="C959" i="1"/>
  <c r="D959" i="1"/>
  <c r="E959" i="1"/>
  <c r="F959" i="1"/>
  <c r="G959" i="1"/>
  <c r="H959" i="1"/>
  <c r="A960" i="1"/>
  <c r="B960" i="1"/>
  <c r="C960" i="1"/>
  <c r="D960" i="1"/>
  <c r="E960" i="1"/>
  <c r="F960" i="1"/>
  <c r="G960" i="1"/>
  <c r="H960" i="1"/>
  <c r="A961" i="1"/>
  <c r="B961" i="1"/>
  <c r="C961" i="1"/>
  <c r="D961" i="1"/>
  <c r="E961" i="1"/>
  <c r="F961" i="1"/>
  <c r="G961" i="1"/>
  <c r="H961" i="1"/>
  <c r="A962" i="1"/>
  <c r="B962" i="1"/>
  <c r="C962" i="1"/>
  <c r="D962" i="1"/>
  <c r="E962" i="1"/>
  <c r="F962" i="1"/>
  <c r="G962" i="1"/>
  <c r="H962" i="1"/>
  <c r="A963" i="1"/>
  <c r="B963" i="1"/>
  <c r="C963" i="1"/>
  <c r="D963" i="1"/>
  <c r="E963" i="1"/>
  <c r="F963" i="1"/>
  <c r="G963" i="1"/>
  <c r="H963" i="1"/>
  <c r="A964" i="1"/>
  <c r="B964" i="1"/>
  <c r="C964" i="1"/>
  <c r="D964" i="1"/>
  <c r="E964" i="1"/>
  <c r="F964" i="1"/>
  <c r="G964" i="1"/>
  <c r="H964" i="1"/>
  <c r="A965" i="1"/>
  <c r="B965" i="1"/>
  <c r="C965" i="1"/>
  <c r="D965" i="1"/>
  <c r="E965" i="1"/>
  <c r="F965" i="1"/>
  <c r="G965" i="1"/>
  <c r="H965" i="1"/>
  <c r="A966" i="1"/>
  <c r="B966" i="1"/>
  <c r="C966" i="1"/>
  <c r="D966" i="1"/>
  <c r="E966" i="1"/>
  <c r="F966" i="1"/>
  <c r="G966" i="1"/>
  <c r="H966" i="1"/>
  <c r="A967" i="1"/>
  <c r="B967" i="1"/>
  <c r="C967" i="1"/>
  <c r="D967" i="1"/>
  <c r="E967" i="1"/>
  <c r="F967" i="1"/>
  <c r="G967" i="1"/>
  <c r="H967" i="1"/>
  <c r="A968" i="1"/>
  <c r="B968" i="1"/>
  <c r="C968" i="1"/>
  <c r="D968" i="1"/>
  <c r="E968" i="1"/>
  <c r="F968" i="1"/>
  <c r="G968" i="1"/>
  <c r="H968" i="1"/>
  <c r="A969" i="1"/>
  <c r="B969" i="1"/>
  <c r="C969" i="1"/>
  <c r="D969" i="1"/>
  <c r="E969" i="1"/>
  <c r="F969" i="1"/>
  <c r="G969" i="1"/>
  <c r="H969" i="1"/>
  <c r="A970" i="1"/>
  <c r="B970" i="1"/>
  <c r="C970" i="1"/>
  <c r="D970" i="1"/>
  <c r="E970" i="1"/>
  <c r="F970" i="1"/>
  <c r="G970" i="1"/>
  <c r="H970" i="1"/>
  <c r="A971" i="1"/>
  <c r="B971" i="1"/>
  <c r="C971" i="1"/>
  <c r="D971" i="1"/>
  <c r="E971" i="1"/>
  <c r="F971" i="1"/>
  <c r="G971" i="1"/>
  <c r="H971" i="1"/>
  <c r="A972" i="1"/>
  <c r="B972" i="1"/>
  <c r="C972" i="1"/>
  <c r="D972" i="1"/>
  <c r="E972" i="1"/>
  <c r="F972" i="1"/>
  <c r="G972" i="1"/>
  <c r="H972" i="1"/>
  <c r="A973" i="1"/>
  <c r="B973" i="1"/>
  <c r="C973" i="1"/>
  <c r="D973" i="1"/>
  <c r="E973" i="1"/>
  <c r="F973" i="1"/>
  <c r="G973" i="1"/>
  <c r="H973" i="1"/>
  <c r="A974" i="1"/>
  <c r="B974" i="1"/>
  <c r="C974" i="1"/>
  <c r="D974" i="1"/>
  <c r="E974" i="1"/>
  <c r="F974" i="1"/>
  <c r="G974" i="1"/>
  <c r="H974" i="1"/>
  <c r="A975" i="1"/>
  <c r="B975" i="1"/>
  <c r="C975" i="1"/>
  <c r="D975" i="1"/>
  <c r="E975" i="1"/>
  <c r="F975" i="1"/>
  <c r="G975" i="1"/>
  <c r="H975" i="1"/>
  <c r="A976" i="1"/>
  <c r="B976" i="1"/>
  <c r="C976" i="1"/>
  <c r="D976" i="1"/>
  <c r="E976" i="1"/>
  <c r="F976" i="1"/>
  <c r="G976" i="1"/>
  <c r="H976" i="1"/>
  <c r="A977" i="1"/>
  <c r="B977" i="1"/>
  <c r="C977" i="1"/>
  <c r="D977" i="1"/>
  <c r="E977" i="1"/>
  <c r="F977" i="1"/>
  <c r="G977" i="1"/>
  <c r="H977" i="1"/>
  <c r="A978" i="1"/>
  <c r="B978" i="1"/>
  <c r="C978" i="1"/>
  <c r="D978" i="1"/>
  <c r="E978" i="1"/>
  <c r="F978" i="1"/>
  <c r="G978" i="1"/>
  <c r="H978" i="1"/>
  <c r="A979" i="1"/>
  <c r="B979" i="1"/>
  <c r="C979" i="1"/>
  <c r="D979" i="1"/>
  <c r="E979" i="1"/>
  <c r="F979" i="1"/>
  <c r="G979" i="1"/>
  <c r="H979" i="1"/>
  <c r="A980" i="1"/>
  <c r="B980" i="1"/>
  <c r="C980" i="1"/>
  <c r="D980" i="1"/>
  <c r="E980" i="1"/>
  <c r="F980" i="1"/>
  <c r="G980" i="1"/>
  <c r="H980" i="1"/>
  <c r="A981" i="1"/>
  <c r="B981" i="1"/>
  <c r="C981" i="1"/>
  <c r="D981" i="1"/>
  <c r="E981" i="1"/>
  <c r="F981" i="1"/>
  <c r="G981" i="1"/>
  <c r="H981" i="1"/>
  <c r="A982" i="1"/>
  <c r="B982" i="1"/>
  <c r="C982" i="1"/>
  <c r="D982" i="1"/>
  <c r="E982" i="1"/>
  <c r="F982" i="1"/>
  <c r="G982" i="1"/>
  <c r="H982" i="1"/>
  <c r="A983" i="1"/>
  <c r="B983" i="1"/>
  <c r="C983" i="1"/>
  <c r="D983" i="1"/>
  <c r="E983" i="1"/>
  <c r="F983" i="1"/>
  <c r="G983" i="1"/>
  <c r="H983" i="1"/>
  <c r="A984" i="1"/>
  <c r="B984" i="1"/>
  <c r="C984" i="1"/>
  <c r="D984" i="1"/>
  <c r="E984" i="1"/>
  <c r="F984" i="1"/>
  <c r="G984" i="1"/>
  <c r="H984" i="1"/>
  <c r="A985" i="1"/>
  <c r="B985" i="1"/>
  <c r="C985" i="1"/>
  <c r="D985" i="1"/>
  <c r="E985" i="1"/>
  <c r="F985" i="1"/>
  <c r="G985" i="1"/>
  <c r="H985" i="1"/>
  <c r="A986" i="1"/>
  <c r="B986" i="1"/>
  <c r="C986" i="1"/>
  <c r="D986" i="1"/>
  <c r="E986" i="1"/>
  <c r="F986" i="1"/>
  <c r="G986" i="1"/>
  <c r="H986" i="1"/>
  <c r="A987" i="1"/>
  <c r="B987" i="1"/>
  <c r="C987" i="1"/>
  <c r="D987" i="1"/>
  <c r="E987" i="1"/>
  <c r="F987" i="1"/>
  <c r="G987" i="1"/>
  <c r="H987" i="1"/>
  <c r="A988" i="1"/>
  <c r="B988" i="1"/>
  <c r="C988" i="1"/>
  <c r="D988" i="1"/>
  <c r="E988" i="1"/>
  <c r="F988" i="1"/>
  <c r="G988" i="1"/>
  <c r="H988" i="1"/>
  <c r="A989" i="1"/>
  <c r="B989" i="1"/>
  <c r="C989" i="1"/>
  <c r="D989" i="1"/>
  <c r="E989" i="1"/>
  <c r="F989" i="1"/>
  <c r="G989" i="1"/>
  <c r="H989" i="1"/>
  <c r="A990" i="1"/>
  <c r="B990" i="1"/>
  <c r="C990" i="1"/>
  <c r="D990" i="1"/>
  <c r="E990" i="1"/>
  <c r="F990" i="1"/>
  <c r="G990" i="1"/>
  <c r="H990" i="1"/>
  <c r="A991" i="1"/>
  <c r="B991" i="1"/>
  <c r="C991" i="1"/>
  <c r="D991" i="1"/>
  <c r="E991" i="1"/>
  <c r="F991" i="1"/>
  <c r="G991" i="1"/>
  <c r="H991" i="1"/>
  <c r="A992" i="1"/>
  <c r="B992" i="1"/>
  <c r="C992" i="1"/>
  <c r="D992" i="1"/>
  <c r="E992" i="1"/>
  <c r="F992" i="1"/>
  <c r="G992" i="1"/>
  <c r="H992" i="1"/>
  <c r="A993" i="1"/>
  <c r="B993" i="1"/>
  <c r="C993" i="1"/>
  <c r="D993" i="1"/>
  <c r="E993" i="1"/>
  <c r="F993" i="1"/>
  <c r="G993" i="1"/>
  <c r="H993" i="1"/>
  <c r="A994" i="1"/>
  <c r="B994" i="1"/>
  <c r="C994" i="1"/>
  <c r="D994" i="1"/>
  <c r="E994" i="1"/>
  <c r="F994" i="1"/>
  <c r="G994" i="1"/>
  <c r="H994" i="1"/>
  <c r="A995" i="1"/>
  <c r="B995" i="1"/>
  <c r="C995" i="1"/>
  <c r="D995" i="1"/>
  <c r="E995" i="1"/>
  <c r="F995" i="1"/>
  <c r="G995" i="1"/>
  <c r="H995" i="1"/>
  <c r="A996" i="1"/>
  <c r="B996" i="1"/>
  <c r="C996" i="1"/>
  <c r="D996" i="1"/>
  <c r="E996" i="1"/>
  <c r="F996" i="1"/>
  <c r="G996" i="1"/>
  <c r="H996" i="1"/>
  <c r="A997" i="1"/>
  <c r="B997" i="1"/>
  <c r="C997" i="1"/>
  <c r="D997" i="1"/>
  <c r="E997" i="1"/>
  <c r="F997" i="1"/>
  <c r="G997" i="1"/>
  <c r="H997" i="1"/>
  <c r="A998" i="1"/>
  <c r="B998" i="1"/>
  <c r="C998" i="1"/>
  <c r="D998" i="1"/>
  <c r="E998" i="1"/>
  <c r="F998" i="1"/>
  <c r="G998" i="1"/>
  <c r="H998" i="1"/>
  <c r="A999" i="1"/>
  <c r="B999" i="1"/>
  <c r="C999" i="1"/>
  <c r="D999" i="1"/>
  <c r="E999" i="1"/>
  <c r="F999" i="1"/>
  <c r="G999" i="1"/>
  <c r="H999" i="1"/>
  <c r="A1000" i="1"/>
  <c r="B1000" i="1"/>
  <c r="C1000" i="1"/>
  <c r="D1000" i="1"/>
  <c r="E1000" i="1"/>
  <c r="F1000" i="1"/>
  <c r="G1000" i="1"/>
  <c r="H1000" i="1"/>
  <c r="A1001" i="1"/>
  <c r="B1001" i="1"/>
  <c r="C1001" i="1"/>
  <c r="D1001" i="1"/>
  <c r="E1001" i="1"/>
  <c r="F1001" i="1"/>
  <c r="G1001" i="1"/>
  <c r="H1001" i="1"/>
  <c r="A1002" i="1"/>
  <c r="B1002" i="1"/>
  <c r="C1002" i="1"/>
  <c r="D1002" i="1"/>
  <c r="E1002" i="1"/>
  <c r="F1002" i="1"/>
  <c r="G1002" i="1"/>
  <c r="H1002" i="1"/>
  <c r="A1003" i="1"/>
  <c r="B1003" i="1"/>
  <c r="C1003" i="1"/>
  <c r="D1003" i="1"/>
  <c r="E1003" i="1"/>
  <c r="F1003" i="1"/>
  <c r="G1003" i="1"/>
  <c r="H1003" i="1"/>
  <c r="A1004" i="1"/>
  <c r="B1004" i="1"/>
  <c r="C1004" i="1"/>
  <c r="D1004" i="1"/>
  <c r="E1004" i="1"/>
  <c r="F1004" i="1"/>
  <c r="G1004" i="1"/>
  <c r="H1004" i="1"/>
  <c r="A1005" i="1"/>
  <c r="B1005" i="1"/>
  <c r="C1005" i="1"/>
  <c r="D1005" i="1"/>
  <c r="E1005" i="1"/>
  <c r="F1005" i="1"/>
  <c r="G1005" i="1"/>
  <c r="H1005" i="1"/>
  <c r="A1006" i="1"/>
  <c r="B1006" i="1"/>
  <c r="C1006" i="1"/>
  <c r="D1006" i="1"/>
  <c r="E1006" i="1"/>
  <c r="F1006" i="1"/>
  <c r="G1006" i="1"/>
  <c r="H1006" i="1"/>
  <c r="A1007" i="1"/>
  <c r="B1007" i="1"/>
  <c r="C1007" i="1"/>
  <c r="D1007" i="1"/>
  <c r="E1007" i="1"/>
  <c r="F1007" i="1"/>
  <c r="G1007" i="1"/>
  <c r="H1007" i="1"/>
  <c r="A1008" i="1"/>
  <c r="B1008" i="1"/>
  <c r="C1008" i="1"/>
  <c r="D1008" i="1"/>
  <c r="E1008" i="1"/>
  <c r="F1008" i="1"/>
  <c r="G1008" i="1"/>
  <c r="H1008" i="1"/>
  <c r="A1009" i="1"/>
  <c r="B1009" i="1"/>
  <c r="C1009" i="1"/>
  <c r="D1009" i="1"/>
  <c r="E1009" i="1"/>
  <c r="F1009" i="1"/>
  <c r="G1009" i="1"/>
  <c r="H1009" i="1"/>
  <c r="A1010" i="1"/>
  <c r="B1010" i="1"/>
  <c r="C1010" i="1"/>
  <c r="D1010" i="1"/>
  <c r="E1010" i="1"/>
  <c r="F1010" i="1"/>
  <c r="G1010" i="1"/>
  <c r="H1010" i="1"/>
  <c r="A1011" i="1"/>
  <c r="B1011" i="1"/>
  <c r="C1011" i="1"/>
  <c r="D1011" i="1"/>
  <c r="E1011" i="1"/>
  <c r="F1011" i="1"/>
  <c r="G1011" i="1"/>
  <c r="H1011" i="1"/>
  <c r="A1012" i="1"/>
  <c r="B1012" i="1"/>
  <c r="C1012" i="1"/>
  <c r="D1012" i="1"/>
  <c r="E1012" i="1"/>
  <c r="F1012" i="1"/>
  <c r="G1012" i="1"/>
  <c r="H1012" i="1"/>
  <c r="A1013" i="1"/>
  <c r="B1013" i="1"/>
  <c r="C1013" i="1"/>
  <c r="D1013" i="1"/>
  <c r="E1013" i="1"/>
  <c r="F1013" i="1"/>
  <c r="G1013" i="1"/>
  <c r="H1013" i="1"/>
  <c r="A1014" i="1"/>
  <c r="B1014" i="1"/>
  <c r="C1014" i="1"/>
  <c r="D1014" i="1"/>
  <c r="E1014" i="1"/>
  <c r="F1014" i="1"/>
  <c r="G1014" i="1"/>
  <c r="H1014" i="1"/>
  <c r="A1015" i="1"/>
  <c r="B1015" i="1"/>
  <c r="C1015" i="1"/>
  <c r="D1015" i="1"/>
  <c r="E1015" i="1"/>
  <c r="F1015" i="1"/>
  <c r="G1015" i="1"/>
  <c r="H1015" i="1"/>
  <c r="A1016" i="1"/>
  <c r="B1016" i="1"/>
  <c r="C1016" i="1"/>
  <c r="D1016" i="1"/>
  <c r="E1016" i="1"/>
  <c r="F1016" i="1"/>
  <c r="G1016" i="1"/>
  <c r="H1016" i="1"/>
  <c r="A1017" i="1"/>
  <c r="B1017" i="1"/>
  <c r="C1017" i="1"/>
  <c r="D1017" i="1"/>
  <c r="E1017" i="1"/>
  <c r="F1017" i="1"/>
  <c r="G1017" i="1"/>
  <c r="H1017" i="1"/>
  <c r="A1018" i="1"/>
  <c r="B1018" i="1"/>
  <c r="C1018" i="1"/>
  <c r="D1018" i="1"/>
  <c r="E1018" i="1"/>
  <c r="F1018" i="1"/>
  <c r="G1018" i="1"/>
  <c r="H1018" i="1"/>
  <c r="A1019" i="1"/>
  <c r="B1019" i="1"/>
  <c r="C1019" i="1"/>
  <c r="D1019" i="1"/>
  <c r="E1019" i="1"/>
  <c r="F1019" i="1"/>
  <c r="G1019" i="1"/>
  <c r="H1019" i="1"/>
  <c r="A1020" i="1"/>
  <c r="B1020" i="1"/>
  <c r="C1020" i="1"/>
  <c r="D1020" i="1"/>
  <c r="E1020" i="1"/>
  <c r="F1020" i="1"/>
  <c r="G1020" i="1"/>
  <c r="H1020" i="1"/>
  <c r="A1021" i="1"/>
  <c r="B1021" i="1"/>
  <c r="C1021" i="1"/>
  <c r="D1021" i="1"/>
  <c r="E1021" i="1"/>
  <c r="F1021" i="1"/>
  <c r="G1021" i="1"/>
  <c r="H1021" i="1"/>
  <c r="A1022" i="1"/>
  <c r="B1022" i="1"/>
  <c r="C1022" i="1"/>
  <c r="D1022" i="1"/>
  <c r="E1022" i="1"/>
  <c r="F1022" i="1"/>
  <c r="G1022" i="1"/>
  <c r="H1022" i="1"/>
  <c r="A1023" i="1"/>
  <c r="B1023" i="1"/>
  <c r="C1023" i="1"/>
  <c r="D1023" i="1"/>
  <c r="E1023" i="1"/>
  <c r="F1023" i="1"/>
  <c r="G1023" i="1"/>
  <c r="H1023" i="1"/>
  <c r="A1024" i="1"/>
  <c r="B1024" i="1"/>
  <c r="C1024" i="1"/>
  <c r="D1024" i="1"/>
  <c r="E1024" i="1"/>
  <c r="F1024" i="1"/>
  <c r="G1024" i="1"/>
  <c r="H1024" i="1"/>
  <c r="A1025" i="1"/>
  <c r="B1025" i="1"/>
  <c r="C1025" i="1"/>
  <c r="D1025" i="1"/>
  <c r="E1025" i="1"/>
  <c r="F1025" i="1"/>
  <c r="G1025" i="1"/>
  <c r="H1025" i="1"/>
  <c r="A1026" i="1"/>
  <c r="B1026" i="1"/>
  <c r="C1026" i="1"/>
  <c r="D1026" i="1"/>
  <c r="E1026" i="1"/>
  <c r="F1026" i="1"/>
  <c r="G1026" i="1"/>
  <c r="H1026" i="1"/>
  <c r="A1027" i="1"/>
  <c r="B1027" i="1"/>
  <c r="C1027" i="1"/>
  <c r="D1027" i="1"/>
  <c r="E1027" i="1"/>
  <c r="F1027" i="1"/>
  <c r="G1027" i="1"/>
  <c r="H1027" i="1"/>
  <c r="A1028" i="1"/>
  <c r="B1028" i="1"/>
  <c r="C1028" i="1"/>
  <c r="D1028" i="1"/>
  <c r="E1028" i="1"/>
  <c r="F1028" i="1"/>
  <c r="G1028" i="1"/>
  <c r="H1028" i="1"/>
  <c r="A1029" i="1"/>
  <c r="B1029" i="1"/>
  <c r="C1029" i="1"/>
  <c r="D1029" i="1"/>
  <c r="E1029" i="1"/>
  <c r="F1029" i="1"/>
  <c r="G1029" i="1"/>
  <c r="H1029" i="1"/>
  <c r="A1030" i="1"/>
  <c r="B1030" i="1"/>
  <c r="C1030" i="1"/>
  <c r="D1030" i="1"/>
  <c r="E1030" i="1"/>
  <c r="F1030" i="1"/>
  <c r="G1030" i="1"/>
  <c r="H1030" i="1"/>
  <c r="A1031" i="1"/>
  <c r="B1031" i="1"/>
  <c r="C1031" i="1"/>
  <c r="D1031" i="1"/>
  <c r="E1031" i="1"/>
  <c r="F1031" i="1"/>
  <c r="G1031" i="1"/>
  <c r="H1031" i="1"/>
  <c r="A1032" i="1"/>
  <c r="B1032" i="1"/>
  <c r="C1032" i="1"/>
  <c r="D1032" i="1"/>
  <c r="E1032" i="1"/>
  <c r="F1032" i="1"/>
  <c r="G1032" i="1"/>
  <c r="H1032" i="1"/>
  <c r="A1033" i="1"/>
  <c r="B1033" i="1"/>
  <c r="C1033" i="1"/>
  <c r="D1033" i="1"/>
  <c r="E1033" i="1"/>
  <c r="F1033" i="1"/>
  <c r="G1033" i="1"/>
  <c r="H1033" i="1"/>
  <c r="A1034" i="1"/>
  <c r="B1034" i="1"/>
  <c r="C1034" i="1"/>
  <c r="D1034" i="1"/>
  <c r="E1034" i="1"/>
  <c r="F1034" i="1"/>
  <c r="G1034" i="1"/>
  <c r="H1034" i="1"/>
  <c r="A1035" i="1"/>
  <c r="B1035" i="1"/>
  <c r="C1035" i="1"/>
  <c r="D1035" i="1"/>
  <c r="E1035" i="1"/>
  <c r="F1035" i="1"/>
  <c r="G1035" i="1"/>
  <c r="H1035" i="1"/>
  <c r="A1036" i="1"/>
  <c r="B1036" i="1"/>
  <c r="C1036" i="1"/>
  <c r="D1036" i="1"/>
  <c r="E1036" i="1"/>
  <c r="F1036" i="1"/>
  <c r="G1036" i="1"/>
  <c r="H1036" i="1"/>
  <c r="A1037" i="1"/>
  <c r="B1037" i="1"/>
  <c r="C1037" i="1"/>
  <c r="D1037" i="1"/>
  <c r="E1037" i="1"/>
  <c r="F1037" i="1"/>
  <c r="G1037" i="1"/>
  <c r="H1037" i="1"/>
  <c r="A1038" i="1"/>
  <c r="B1038" i="1"/>
  <c r="C1038" i="1"/>
  <c r="D1038" i="1"/>
  <c r="E1038" i="1"/>
  <c r="F1038" i="1"/>
  <c r="G1038" i="1"/>
  <c r="H1038" i="1"/>
  <c r="A1039" i="1"/>
  <c r="B1039" i="1"/>
  <c r="C1039" i="1"/>
  <c r="D1039" i="1"/>
  <c r="E1039" i="1"/>
  <c r="F1039" i="1"/>
  <c r="G1039" i="1"/>
  <c r="H1039" i="1"/>
  <c r="A1040" i="1"/>
  <c r="B1040" i="1"/>
  <c r="C1040" i="1"/>
  <c r="D1040" i="1"/>
  <c r="E1040" i="1"/>
  <c r="F1040" i="1"/>
  <c r="G1040" i="1"/>
  <c r="H1040" i="1"/>
  <c r="A1041" i="1"/>
  <c r="B1041" i="1"/>
  <c r="C1041" i="1"/>
  <c r="D1041" i="1"/>
  <c r="E1041" i="1"/>
  <c r="F1041" i="1"/>
  <c r="G1041" i="1"/>
  <c r="H1041" i="1"/>
  <c r="A1042" i="1"/>
  <c r="B1042" i="1"/>
  <c r="C1042" i="1"/>
  <c r="D1042" i="1"/>
  <c r="E1042" i="1"/>
  <c r="F1042" i="1"/>
  <c r="G1042" i="1"/>
  <c r="H1042" i="1"/>
  <c r="A1043" i="1"/>
  <c r="B1043" i="1"/>
  <c r="C1043" i="1"/>
  <c r="D1043" i="1"/>
  <c r="E1043" i="1"/>
  <c r="F1043" i="1"/>
  <c r="G1043" i="1"/>
  <c r="H1043" i="1"/>
  <c r="A1044" i="1"/>
  <c r="B1044" i="1"/>
  <c r="C1044" i="1"/>
  <c r="D1044" i="1"/>
  <c r="E1044" i="1"/>
  <c r="F1044" i="1"/>
  <c r="G1044" i="1"/>
  <c r="H1044" i="1"/>
  <c r="A1045" i="1"/>
  <c r="B1045" i="1"/>
  <c r="C1045" i="1"/>
  <c r="D1045" i="1"/>
  <c r="E1045" i="1"/>
  <c r="F1045" i="1"/>
  <c r="G1045" i="1"/>
  <c r="H1045" i="1"/>
  <c r="A1046" i="1"/>
  <c r="B1046" i="1"/>
  <c r="C1046" i="1"/>
  <c r="D1046" i="1"/>
  <c r="E1046" i="1"/>
  <c r="F1046" i="1"/>
  <c r="G1046" i="1"/>
  <c r="H1046" i="1"/>
  <c r="A1047" i="1"/>
  <c r="B1047" i="1"/>
  <c r="C1047" i="1"/>
  <c r="D1047" i="1"/>
  <c r="E1047" i="1"/>
  <c r="F1047" i="1"/>
  <c r="G1047" i="1"/>
  <c r="H1047" i="1"/>
  <c r="A1048" i="1"/>
  <c r="B1048" i="1"/>
  <c r="C1048" i="1"/>
  <c r="D1048" i="1"/>
  <c r="E1048" i="1"/>
  <c r="F1048" i="1"/>
  <c r="G1048" i="1"/>
  <c r="H1048" i="1"/>
  <c r="A1049" i="1"/>
  <c r="B1049" i="1"/>
  <c r="C1049" i="1"/>
  <c r="D1049" i="1"/>
  <c r="E1049" i="1"/>
  <c r="F1049" i="1"/>
  <c r="G1049" i="1"/>
  <c r="H1049" i="1"/>
  <c r="A1050" i="1"/>
  <c r="B1050" i="1"/>
  <c r="C1050" i="1"/>
  <c r="D1050" i="1"/>
  <c r="E1050" i="1"/>
  <c r="F1050" i="1"/>
  <c r="G1050" i="1"/>
  <c r="H1050" i="1"/>
  <c r="A1051" i="1"/>
  <c r="B1051" i="1"/>
  <c r="C1051" i="1"/>
  <c r="D1051" i="1"/>
  <c r="E1051" i="1"/>
  <c r="F1051" i="1"/>
  <c r="G1051" i="1"/>
  <c r="H1051" i="1"/>
  <c r="A1052" i="1"/>
  <c r="B1052" i="1"/>
  <c r="C1052" i="1"/>
  <c r="D1052" i="1"/>
  <c r="E1052" i="1"/>
  <c r="F1052" i="1"/>
  <c r="G1052" i="1"/>
  <c r="H1052" i="1"/>
  <c r="A1053" i="1"/>
  <c r="B1053" i="1"/>
  <c r="C1053" i="1"/>
  <c r="D1053" i="1"/>
  <c r="E1053" i="1"/>
  <c r="F1053" i="1"/>
  <c r="G1053" i="1"/>
  <c r="H1053" i="1"/>
  <c r="A1054" i="1"/>
  <c r="B1054" i="1"/>
  <c r="C1054" i="1"/>
  <c r="D1054" i="1"/>
  <c r="E1054" i="1"/>
  <c r="F1054" i="1"/>
  <c r="G1054" i="1"/>
  <c r="H1054" i="1"/>
  <c r="A1055" i="1"/>
  <c r="B1055" i="1"/>
  <c r="C1055" i="1"/>
  <c r="D1055" i="1"/>
  <c r="E1055" i="1"/>
  <c r="F1055" i="1"/>
  <c r="G1055" i="1"/>
  <c r="H1055" i="1"/>
  <c r="A1056" i="1"/>
  <c r="B1056" i="1"/>
  <c r="C1056" i="1"/>
  <c r="D1056" i="1"/>
  <c r="E1056" i="1"/>
  <c r="F1056" i="1"/>
  <c r="G1056" i="1"/>
  <c r="H1056" i="1"/>
  <c r="A1057" i="1"/>
  <c r="B1057" i="1"/>
  <c r="C1057" i="1"/>
  <c r="D1057" i="1"/>
  <c r="E1057" i="1"/>
  <c r="F1057" i="1"/>
  <c r="G1057" i="1"/>
  <c r="H1057" i="1"/>
  <c r="A1058" i="1"/>
  <c r="B1058" i="1"/>
  <c r="C1058" i="1"/>
  <c r="D1058" i="1"/>
  <c r="E1058" i="1"/>
  <c r="F1058" i="1"/>
  <c r="G1058" i="1"/>
  <c r="H1058" i="1"/>
  <c r="A1059" i="1"/>
  <c r="B1059" i="1"/>
  <c r="C1059" i="1"/>
  <c r="D1059" i="1"/>
  <c r="E1059" i="1"/>
  <c r="F1059" i="1"/>
  <c r="G1059" i="1"/>
  <c r="H1059" i="1"/>
  <c r="A1060" i="1"/>
  <c r="B1060" i="1"/>
  <c r="C1060" i="1"/>
  <c r="D1060" i="1"/>
  <c r="E1060" i="1"/>
  <c r="F1060" i="1"/>
  <c r="G1060" i="1"/>
  <c r="H1060" i="1"/>
  <c r="A1061" i="1"/>
  <c r="B1061" i="1"/>
  <c r="C1061" i="1"/>
  <c r="D1061" i="1"/>
  <c r="E1061" i="1"/>
  <c r="F1061" i="1"/>
  <c r="G1061" i="1"/>
  <c r="H1061" i="1"/>
  <c r="A1062" i="1"/>
  <c r="B1062" i="1"/>
  <c r="C1062" i="1"/>
  <c r="D1062" i="1"/>
  <c r="E1062" i="1"/>
  <c r="F1062" i="1"/>
  <c r="G1062" i="1"/>
  <c r="H1062" i="1"/>
  <c r="A1063" i="1"/>
  <c r="B1063" i="1"/>
  <c r="C1063" i="1"/>
  <c r="D1063" i="1"/>
  <c r="E1063" i="1"/>
  <c r="F1063" i="1"/>
  <c r="G1063" i="1"/>
  <c r="H1063" i="1"/>
  <c r="A1064" i="1"/>
  <c r="B1064" i="1"/>
  <c r="C1064" i="1"/>
  <c r="D1064" i="1"/>
  <c r="E1064" i="1"/>
  <c r="F1064" i="1"/>
  <c r="G1064" i="1"/>
  <c r="H1064" i="1"/>
  <c r="A1065" i="1"/>
  <c r="B1065" i="1"/>
  <c r="C1065" i="1"/>
  <c r="D1065" i="1"/>
  <c r="E1065" i="1"/>
  <c r="F1065" i="1"/>
  <c r="G1065" i="1"/>
  <c r="H1065" i="1"/>
  <c r="A1066" i="1"/>
  <c r="B1066" i="1"/>
  <c r="C1066" i="1"/>
  <c r="D1066" i="1"/>
  <c r="E1066" i="1"/>
  <c r="F1066" i="1"/>
  <c r="G1066" i="1"/>
  <c r="H1066" i="1"/>
  <c r="A1067" i="1"/>
  <c r="B1067" i="1"/>
  <c r="C1067" i="1"/>
  <c r="D1067" i="1"/>
  <c r="E1067" i="1"/>
  <c r="F1067" i="1"/>
  <c r="G1067" i="1"/>
  <c r="H1067" i="1"/>
  <c r="A1068" i="1"/>
  <c r="B1068" i="1"/>
  <c r="C1068" i="1"/>
  <c r="D1068" i="1"/>
  <c r="E1068" i="1"/>
  <c r="F1068" i="1"/>
  <c r="G1068" i="1"/>
  <c r="H1068" i="1"/>
  <c r="A1069" i="1"/>
  <c r="B1069" i="1"/>
  <c r="C1069" i="1"/>
  <c r="D1069" i="1"/>
  <c r="E1069" i="1"/>
  <c r="F1069" i="1"/>
  <c r="G1069" i="1"/>
  <c r="H1069" i="1"/>
  <c r="A1070" i="1"/>
  <c r="B1070" i="1"/>
  <c r="C1070" i="1"/>
  <c r="D1070" i="1"/>
  <c r="E1070" i="1"/>
  <c r="F1070" i="1"/>
  <c r="G1070" i="1"/>
  <c r="H1070" i="1"/>
  <c r="A1071" i="1"/>
  <c r="B1071" i="1"/>
  <c r="C1071" i="1"/>
  <c r="D1071" i="1"/>
  <c r="E1071" i="1"/>
  <c r="F1071" i="1"/>
  <c r="G1071" i="1"/>
  <c r="H1071" i="1"/>
  <c r="A1072" i="1"/>
  <c r="B1072" i="1"/>
  <c r="C1072" i="1"/>
  <c r="D1072" i="1"/>
  <c r="E1072" i="1"/>
  <c r="F1072" i="1"/>
  <c r="G1072" i="1"/>
  <c r="H1072" i="1"/>
  <c r="A1073" i="1"/>
  <c r="B1073" i="1"/>
  <c r="C1073" i="1"/>
  <c r="D1073" i="1"/>
  <c r="E1073" i="1"/>
  <c r="F1073" i="1"/>
  <c r="G1073" i="1"/>
  <c r="H1073" i="1"/>
  <c r="A1074" i="1"/>
  <c r="B1074" i="1"/>
  <c r="C1074" i="1"/>
  <c r="D1074" i="1"/>
  <c r="E1074" i="1"/>
  <c r="F1074" i="1"/>
  <c r="G1074" i="1"/>
  <c r="H1074" i="1"/>
  <c r="A1075" i="1"/>
  <c r="B1075" i="1"/>
  <c r="C1075" i="1"/>
  <c r="D1075" i="1"/>
  <c r="E1075" i="1"/>
  <c r="F1075" i="1"/>
  <c r="G1075" i="1"/>
  <c r="H1075" i="1"/>
  <c r="A1076" i="1"/>
  <c r="B1076" i="1"/>
  <c r="C1076" i="1"/>
  <c r="D1076" i="1"/>
  <c r="E1076" i="1"/>
  <c r="F1076" i="1"/>
  <c r="G1076" i="1"/>
  <c r="H1076" i="1"/>
  <c r="A1077" i="1"/>
  <c r="B1077" i="1"/>
  <c r="C1077" i="1"/>
  <c r="D1077" i="1"/>
  <c r="E1077" i="1"/>
  <c r="F1077" i="1"/>
  <c r="G1077" i="1"/>
  <c r="H1077" i="1"/>
  <c r="A1078" i="1"/>
  <c r="B1078" i="1"/>
  <c r="C1078" i="1"/>
  <c r="D1078" i="1"/>
  <c r="E1078" i="1"/>
  <c r="F1078" i="1"/>
  <c r="G1078" i="1"/>
  <c r="H1078" i="1"/>
  <c r="A1079" i="1"/>
  <c r="B1079" i="1"/>
  <c r="C1079" i="1"/>
  <c r="D1079" i="1"/>
  <c r="E1079" i="1"/>
  <c r="F1079" i="1"/>
  <c r="G1079" i="1"/>
  <c r="H1079" i="1"/>
  <c r="A1080" i="1"/>
  <c r="B1080" i="1"/>
  <c r="C1080" i="1"/>
  <c r="D1080" i="1"/>
  <c r="E1080" i="1"/>
  <c r="F1080" i="1"/>
  <c r="G1080" i="1"/>
  <c r="H1080" i="1"/>
  <c r="A1081" i="1"/>
  <c r="B1081" i="1"/>
  <c r="C1081" i="1"/>
  <c r="D1081" i="1"/>
  <c r="E1081" i="1"/>
  <c r="F1081" i="1"/>
  <c r="G1081" i="1"/>
  <c r="H1081" i="1"/>
  <c r="A1082" i="1"/>
  <c r="B1082" i="1"/>
  <c r="C1082" i="1"/>
  <c r="D1082" i="1"/>
  <c r="E1082" i="1"/>
  <c r="F1082" i="1"/>
  <c r="G1082" i="1"/>
  <c r="H1082" i="1"/>
  <c r="A1083" i="1"/>
  <c r="B1083" i="1"/>
  <c r="C1083" i="1"/>
  <c r="D1083" i="1"/>
  <c r="E1083" i="1"/>
  <c r="F1083" i="1"/>
  <c r="G1083" i="1"/>
  <c r="H1083" i="1"/>
  <c r="A1084" i="1"/>
  <c r="B1084" i="1"/>
  <c r="C1084" i="1"/>
  <c r="D1084" i="1"/>
  <c r="E1084" i="1"/>
  <c r="F1084" i="1"/>
  <c r="G1084" i="1"/>
  <c r="H1084" i="1"/>
  <c r="A1085" i="1"/>
  <c r="B1085" i="1"/>
  <c r="C1085" i="1"/>
  <c r="D1085" i="1"/>
  <c r="E1085" i="1"/>
  <c r="F1085" i="1"/>
  <c r="G1085" i="1"/>
  <c r="H1085" i="1"/>
  <c r="A1086" i="1"/>
  <c r="B1086" i="1"/>
  <c r="C1086" i="1"/>
  <c r="D1086" i="1"/>
  <c r="E1086" i="1"/>
  <c r="F1086" i="1"/>
  <c r="G1086" i="1"/>
  <c r="H1086" i="1"/>
  <c r="A1087" i="1"/>
  <c r="B1087" i="1"/>
  <c r="C1087" i="1"/>
  <c r="D1087" i="1"/>
  <c r="E1087" i="1"/>
  <c r="F1087" i="1"/>
  <c r="G1087" i="1"/>
  <c r="H1087" i="1"/>
  <c r="A1088" i="1"/>
  <c r="B1088" i="1"/>
  <c r="C1088" i="1"/>
  <c r="D1088" i="1"/>
  <c r="E1088" i="1"/>
  <c r="F1088" i="1"/>
  <c r="G1088" i="1"/>
  <c r="H1088" i="1"/>
  <c r="A1089" i="1"/>
  <c r="B1089" i="1"/>
  <c r="C1089" i="1"/>
  <c r="D1089" i="1"/>
  <c r="E1089" i="1"/>
  <c r="F1089" i="1"/>
  <c r="G1089" i="1"/>
  <c r="H1089" i="1"/>
  <c r="A1090" i="1"/>
  <c r="B1090" i="1"/>
  <c r="C1090" i="1"/>
  <c r="D1090" i="1"/>
  <c r="E1090" i="1"/>
  <c r="F1090" i="1"/>
  <c r="G1090" i="1"/>
  <c r="H1090" i="1"/>
  <c r="A1091" i="1"/>
  <c r="B1091" i="1"/>
  <c r="C1091" i="1"/>
  <c r="D1091" i="1"/>
  <c r="E1091" i="1"/>
  <c r="F1091" i="1"/>
  <c r="G1091" i="1"/>
  <c r="H1091" i="1"/>
  <c r="A1092" i="1"/>
  <c r="B1092" i="1"/>
  <c r="C1092" i="1"/>
  <c r="D1092" i="1"/>
  <c r="E1092" i="1"/>
  <c r="F1092" i="1"/>
  <c r="G1092" i="1"/>
  <c r="H1092" i="1"/>
  <c r="A1093" i="1"/>
  <c r="B1093" i="1"/>
  <c r="C1093" i="1"/>
  <c r="D1093" i="1"/>
  <c r="E1093" i="1"/>
  <c r="F1093" i="1"/>
  <c r="G1093" i="1"/>
  <c r="H1093" i="1"/>
  <c r="A1094" i="1"/>
  <c r="B1094" i="1"/>
  <c r="C1094" i="1"/>
  <c r="D1094" i="1"/>
  <c r="E1094" i="1"/>
  <c r="F1094" i="1"/>
  <c r="G1094" i="1"/>
  <c r="H1094" i="1"/>
  <c r="A1095" i="1"/>
  <c r="B1095" i="1"/>
  <c r="C1095" i="1"/>
  <c r="D1095" i="1"/>
  <c r="E1095" i="1"/>
  <c r="F1095" i="1"/>
  <c r="G1095" i="1"/>
  <c r="H1095" i="1"/>
  <c r="A1096" i="1"/>
  <c r="B1096" i="1"/>
  <c r="C1096" i="1"/>
  <c r="D1096" i="1"/>
  <c r="E1096" i="1"/>
  <c r="F1096" i="1"/>
  <c r="G1096" i="1"/>
  <c r="H1096" i="1"/>
  <c r="A1097" i="1"/>
  <c r="B1097" i="1"/>
  <c r="C1097" i="1"/>
  <c r="D1097" i="1"/>
  <c r="E1097" i="1"/>
  <c r="F1097" i="1"/>
  <c r="G1097" i="1"/>
  <c r="H1097" i="1"/>
  <c r="A1098" i="1"/>
  <c r="B1098" i="1"/>
  <c r="C1098" i="1"/>
  <c r="D1098" i="1"/>
  <c r="E1098" i="1"/>
  <c r="F1098" i="1"/>
  <c r="G1098" i="1"/>
  <c r="H1098" i="1"/>
  <c r="A1099" i="1"/>
  <c r="B1099" i="1"/>
  <c r="C1099" i="1"/>
  <c r="D1099" i="1"/>
  <c r="E1099" i="1"/>
  <c r="F1099" i="1"/>
  <c r="G1099" i="1"/>
  <c r="H1099" i="1"/>
  <c r="A1100" i="1"/>
  <c r="B1100" i="1"/>
  <c r="C1100" i="1"/>
  <c r="D1100" i="1"/>
  <c r="E1100" i="1"/>
  <c r="F1100" i="1"/>
  <c r="G1100" i="1"/>
  <c r="H1100" i="1"/>
  <c r="A1101" i="1"/>
  <c r="B1101" i="1"/>
  <c r="C1101" i="1"/>
  <c r="D1101" i="1"/>
  <c r="E1101" i="1"/>
  <c r="F1101" i="1"/>
  <c r="G1101" i="1"/>
  <c r="H1101" i="1"/>
  <c r="A1102" i="1"/>
  <c r="B1102" i="1"/>
  <c r="C1102" i="1"/>
  <c r="D1102" i="1"/>
  <c r="E1102" i="1"/>
  <c r="F1102" i="1"/>
  <c r="G1102" i="1"/>
  <c r="H1102" i="1"/>
  <c r="A1103" i="1"/>
  <c r="B1103" i="1"/>
  <c r="C1103" i="1"/>
  <c r="D1103" i="1"/>
  <c r="E1103" i="1"/>
  <c r="F1103" i="1"/>
  <c r="G1103" i="1"/>
  <c r="H1103" i="1"/>
  <c r="A1104" i="1"/>
  <c r="B1104" i="1"/>
  <c r="C1104" i="1"/>
  <c r="D1104" i="1"/>
  <c r="E1104" i="1"/>
  <c r="F1104" i="1"/>
  <c r="G1104" i="1"/>
  <c r="H1104" i="1"/>
  <c r="A1105" i="1"/>
  <c r="B1105" i="1"/>
  <c r="C1105" i="1"/>
  <c r="D1105" i="1"/>
  <c r="E1105" i="1"/>
  <c r="F1105" i="1"/>
  <c r="G1105" i="1"/>
  <c r="H1105" i="1"/>
  <c r="A1106" i="1"/>
  <c r="B1106" i="1"/>
  <c r="C1106" i="1"/>
  <c r="D1106" i="1"/>
  <c r="E1106" i="1"/>
  <c r="F1106" i="1"/>
  <c r="G1106" i="1"/>
  <c r="H1106" i="1"/>
  <c r="A1107" i="1"/>
  <c r="B1107" i="1"/>
  <c r="C1107" i="1"/>
  <c r="D1107" i="1"/>
  <c r="E1107" i="1"/>
  <c r="F1107" i="1"/>
  <c r="G1107" i="1"/>
  <c r="H1107" i="1"/>
  <c r="A1108" i="1"/>
  <c r="B1108" i="1"/>
  <c r="C1108" i="1"/>
  <c r="D1108" i="1"/>
  <c r="E1108" i="1"/>
  <c r="F1108" i="1"/>
  <c r="G1108" i="1"/>
  <c r="H1108" i="1"/>
  <c r="A1109" i="1"/>
  <c r="B1109" i="1"/>
  <c r="C1109" i="1"/>
  <c r="D1109" i="1"/>
  <c r="E1109" i="1"/>
  <c r="F1109" i="1"/>
  <c r="G1109" i="1"/>
  <c r="H1109" i="1"/>
  <c r="A1110" i="1"/>
  <c r="B1110" i="1"/>
  <c r="C1110" i="1"/>
  <c r="D1110" i="1"/>
  <c r="E1110" i="1"/>
  <c r="F1110" i="1"/>
  <c r="G1110" i="1"/>
  <c r="H1110" i="1"/>
  <c r="A1111" i="1"/>
  <c r="B1111" i="1"/>
  <c r="C1111" i="1"/>
  <c r="D1111" i="1"/>
  <c r="E1111" i="1"/>
  <c r="F1111" i="1"/>
  <c r="G1111" i="1"/>
  <c r="H1111" i="1"/>
  <c r="A1112" i="1"/>
  <c r="B1112" i="1"/>
  <c r="C1112" i="1"/>
  <c r="D1112" i="1"/>
  <c r="E1112" i="1"/>
  <c r="F1112" i="1"/>
  <c r="G1112" i="1"/>
  <c r="H1112" i="1"/>
  <c r="A1113" i="1"/>
  <c r="B1113" i="1"/>
  <c r="C1113" i="1"/>
  <c r="D1113" i="1"/>
  <c r="E1113" i="1"/>
  <c r="F1113" i="1"/>
  <c r="G1113" i="1"/>
  <c r="H1113" i="1"/>
  <c r="A1114" i="1"/>
  <c r="B1114" i="1"/>
  <c r="C1114" i="1"/>
  <c r="D1114" i="1"/>
  <c r="E1114" i="1"/>
  <c r="F1114" i="1"/>
  <c r="G1114" i="1"/>
  <c r="H1114" i="1"/>
  <c r="A1115" i="1"/>
  <c r="B1115" i="1"/>
  <c r="C1115" i="1"/>
  <c r="D1115" i="1"/>
  <c r="E1115" i="1"/>
  <c r="F1115" i="1"/>
  <c r="G1115" i="1"/>
  <c r="H1115" i="1"/>
  <c r="A1116" i="1"/>
  <c r="B1116" i="1"/>
  <c r="C1116" i="1"/>
  <c r="D1116" i="1"/>
  <c r="E1116" i="1"/>
  <c r="F1116" i="1"/>
  <c r="G1116" i="1"/>
  <c r="H1116" i="1"/>
  <c r="A1117" i="1"/>
  <c r="B1117" i="1"/>
  <c r="C1117" i="1"/>
  <c r="D1117" i="1"/>
  <c r="E1117" i="1"/>
  <c r="F1117" i="1"/>
  <c r="G1117" i="1"/>
  <c r="H1117" i="1"/>
  <c r="A1118" i="1"/>
  <c r="B1118" i="1"/>
  <c r="C1118" i="1"/>
  <c r="D1118" i="1"/>
  <c r="E1118" i="1"/>
  <c r="F1118" i="1"/>
  <c r="G1118" i="1"/>
  <c r="H1118" i="1"/>
  <c r="A1119" i="1"/>
  <c r="B1119" i="1"/>
  <c r="C1119" i="1"/>
  <c r="D1119" i="1"/>
  <c r="E1119" i="1"/>
  <c r="F1119" i="1"/>
  <c r="G1119" i="1"/>
  <c r="H1119" i="1"/>
  <c r="A1120" i="1"/>
  <c r="B1120" i="1"/>
  <c r="C1120" i="1"/>
  <c r="D1120" i="1"/>
  <c r="E1120" i="1"/>
  <c r="F1120" i="1"/>
  <c r="G1120" i="1"/>
  <c r="H1120" i="1"/>
  <c r="A1121" i="1"/>
  <c r="B1121" i="1"/>
  <c r="C1121" i="1"/>
  <c r="D1121" i="1"/>
  <c r="E1121" i="1"/>
  <c r="F1121" i="1"/>
  <c r="G1121" i="1"/>
  <c r="H1121" i="1"/>
  <c r="A1122" i="1"/>
  <c r="B1122" i="1"/>
  <c r="C1122" i="1"/>
  <c r="D1122" i="1"/>
  <c r="E1122" i="1"/>
  <c r="F1122" i="1"/>
  <c r="G1122" i="1"/>
  <c r="H1122" i="1"/>
  <c r="A1123" i="1"/>
  <c r="B1123" i="1"/>
  <c r="C1123" i="1"/>
  <c r="D1123" i="1"/>
  <c r="E1123" i="1"/>
  <c r="F1123" i="1"/>
  <c r="G1123" i="1"/>
  <c r="H1123" i="1"/>
  <c r="A1124" i="1"/>
  <c r="B1124" i="1"/>
  <c r="C1124" i="1"/>
  <c r="D1124" i="1"/>
  <c r="E1124" i="1"/>
  <c r="F1124" i="1"/>
  <c r="G1124" i="1"/>
  <c r="H1124" i="1"/>
  <c r="A1125" i="1"/>
  <c r="B1125" i="1"/>
  <c r="C1125" i="1"/>
  <c r="D1125" i="1"/>
  <c r="E1125" i="1"/>
  <c r="F1125" i="1"/>
  <c r="G1125" i="1"/>
  <c r="H1125" i="1"/>
  <c r="A1126" i="1"/>
  <c r="B1126" i="1"/>
  <c r="C1126" i="1"/>
  <c r="D1126" i="1"/>
  <c r="E1126" i="1"/>
  <c r="F1126" i="1"/>
  <c r="G1126" i="1"/>
  <c r="H1126" i="1"/>
  <c r="A1127" i="1"/>
  <c r="B1127" i="1"/>
  <c r="C1127" i="1"/>
  <c r="D1127" i="1"/>
  <c r="E1127" i="1"/>
  <c r="F1127" i="1"/>
  <c r="G1127" i="1"/>
  <c r="H1127" i="1"/>
  <c r="A1128" i="1"/>
  <c r="B1128" i="1"/>
  <c r="C1128" i="1"/>
  <c r="D1128" i="1"/>
  <c r="E1128" i="1"/>
  <c r="F1128" i="1"/>
  <c r="G1128" i="1"/>
  <c r="H1128" i="1"/>
  <c r="A1129" i="1"/>
  <c r="B1129" i="1"/>
  <c r="C1129" i="1"/>
  <c r="D1129" i="1"/>
  <c r="E1129" i="1"/>
  <c r="F1129" i="1"/>
  <c r="G1129" i="1"/>
  <c r="H1129" i="1"/>
  <c r="A1130" i="1"/>
  <c r="B1130" i="1"/>
  <c r="C1130" i="1"/>
  <c r="D1130" i="1"/>
  <c r="E1130" i="1"/>
  <c r="F1130" i="1"/>
  <c r="G1130" i="1"/>
  <c r="H1130" i="1"/>
  <c r="A1131" i="1"/>
  <c r="B1131" i="1"/>
  <c r="C1131" i="1"/>
  <c r="D1131" i="1"/>
  <c r="E1131" i="1"/>
  <c r="F1131" i="1"/>
  <c r="G1131" i="1"/>
  <c r="H1131" i="1"/>
  <c r="A1132" i="1"/>
  <c r="B1132" i="1"/>
  <c r="C1132" i="1"/>
  <c r="D1132" i="1"/>
  <c r="E1132" i="1"/>
  <c r="F1132" i="1"/>
  <c r="G1132" i="1"/>
  <c r="H1132" i="1"/>
  <c r="A1133" i="1"/>
  <c r="B1133" i="1"/>
  <c r="C1133" i="1"/>
  <c r="D1133" i="1"/>
  <c r="E1133" i="1"/>
  <c r="F1133" i="1"/>
  <c r="G1133" i="1"/>
  <c r="H1133" i="1"/>
  <c r="A1134" i="1"/>
  <c r="B1134" i="1"/>
  <c r="C1134" i="1"/>
  <c r="D1134" i="1"/>
  <c r="E1134" i="1"/>
  <c r="F1134" i="1"/>
  <c r="G1134" i="1"/>
  <c r="H1134" i="1"/>
  <c r="A1135" i="1"/>
  <c r="B1135" i="1"/>
  <c r="C1135" i="1"/>
  <c r="D1135" i="1"/>
  <c r="E1135" i="1"/>
  <c r="F1135" i="1"/>
  <c r="G1135" i="1"/>
  <c r="H1135" i="1"/>
  <c r="A1136" i="1"/>
  <c r="B1136" i="1"/>
  <c r="C1136" i="1"/>
  <c r="D1136" i="1"/>
  <c r="E1136" i="1"/>
  <c r="F1136" i="1"/>
  <c r="G1136" i="1"/>
  <c r="H1136" i="1"/>
  <c r="A1137" i="1"/>
  <c r="B1137" i="1"/>
  <c r="C1137" i="1"/>
  <c r="D1137" i="1"/>
  <c r="E1137" i="1"/>
  <c r="F1137" i="1"/>
  <c r="G1137" i="1"/>
  <c r="H1137" i="1"/>
  <c r="A1138" i="1"/>
  <c r="B1138" i="1"/>
  <c r="C1138" i="1"/>
  <c r="D1138" i="1"/>
  <c r="E1138" i="1"/>
  <c r="F1138" i="1"/>
  <c r="G1138" i="1"/>
  <c r="H1138" i="1"/>
  <c r="A1139" i="1"/>
  <c r="B1139" i="1"/>
  <c r="C1139" i="1"/>
  <c r="D1139" i="1"/>
  <c r="E1139" i="1"/>
  <c r="F1139" i="1"/>
  <c r="G1139" i="1"/>
  <c r="H1139" i="1"/>
  <c r="A1140" i="1"/>
  <c r="B1140" i="1"/>
  <c r="C1140" i="1"/>
  <c r="D1140" i="1"/>
  <c r="E1140" i="1"/>
  <c r="F1140" i="1"/>
  <c r="G1140" i="1"/>
  <c r="H1140" i="1"/>
  <c r="A1141" i="1"/>
  <c r="B1141" i="1"/>
  <c r="C1141" i="1"/>
  <c r="D1141" i="1"/>
  <c r="E1141" i="1"/>
  <c r="F1141" i="1"/>
  <c r="G1141" i="1"/>
  <c r="H1141" i="1"/>
  <c r="A1142" i="1"/>
  <c r="B1142" i="1"/>
  <c r="C1142" i="1"/>
  <c r="D1142" i="1"/>
  <c r="E1142" i="1"/>
  <c r="F1142" i="1"/>
  <c r="G1142" i="1"/>
  <c r="H1142" i="1"/>
  <c r="A1143" i="1"/>
  <c r="B1143" i="1"/>
  <c r="C1143" i="1"/>
  <c r="D1143" i="1"/>
  <c r="E1143" i="1"/>
  <c r="F1143" i="1"/>
  <c r="G1143" i="1"/>
  <c r="H1143" i="1"/>
  <c r="A1144" i="1"/>
  <c r="B1144" i="1"/>
  <c r="C1144" i="1"/>
  <c r="D1144" i="1"/>
  <c r="E1144" i="1"/>
  <c r="F1144" i="1"/>
  <c r="G1144" i="1"/>
  <c r="H1144" i="1"/>
  <c r="A1145" i="1"/>
  <c r="B1145" i="1"/>
  <c r="C1145" i="1"/>
  <c r="D1145" i="1"/>
  <c r="E1145" i="1"/>
  <c r="F1145" i="1"/>
  <c r="G1145" i="1"/>
  <c r="H1145" i="1"/>
  <c r="A1146" i="1"/>
  <c r="B1146" i="1"/>
  <c r="C1146" i="1"/>
  <c r="D1146" i="1"/>
  <c r="E1146" i="1"/>
  <c r="F1146" i="1"/>
  <c r="G1146" i="1"/>
  <c r="H1146" i="1"/>
  <c r="A1147" i="1"/>
  <c r="B1147" i="1"/>
  <c r="C1147" i="1"/>
  <c r="D1147" i="1"/>
  <c r="E1147" i="1"/>
  <c r="F1147" i="1"/>
  <c r="G1147" i="1"/>
  <c r="H1147" i="1"/>
  <c r="A1148" i="1"/>
  <c r="B1148" i="1"/>
  <c r="C1148" i="1"/>
  <c r="D1148" i="1"/>
  <c r="E1148" i="1"/>
  <c r="F1148" i="1"/>
  <c r="G1148" i="1"/>
  <c r="H1148" i="1"/>
  <c r="A1149" i="1"/>
  <c r="B1149" i="1"/>
  <c r="C1149" i="1"/>
  <c r="D1149" i="1"/>
  <c r="E1149" i="1"/>
  <c r="F1149" i="1"/>
  <c r="G1149" i="1"/>
  <c r="H1149" i="1"/>
  <c r="A1150" i="1"/>
  <c r="B1150" i="1"/>
  <c r="C1150" i="1"/>
  <c r="D1150" i="1"/>
  <c r="E1150" i="1"/>
  <c r="F1150" i="1"/>
  <c r="G1150" i="1"/>
  <c r="H1150" i="1"/>
  <c r="A1151" i="1"/>
  <c r="B1151" i="1"/>
  <c r="C1151" i="1"/>
  <c r="D1151" i="1"/>
  <c r="E1151" i="1"/>
  <c r="F1151" i="1"/>
  <c r="G1151" i="1"/>
  <c r="H1151" i="1"/>
  <c r="A1152" i="1"/>
  <c r="B1152" i="1"/>
  <c r="C1152" i="1"/>
  <c r="D1152" i="1"/>
  <c r="E1152" i="1"/>
  <c r="F1152" i="1"/>
  <c r="G1152" i="1"/>
  <c r="H1152" i="1"/>
  <c r="A1153" i="1"/>
  <c r="B1153" i="1"/>
  <c r="C1153" i="1"/>
  <c r="D1153" i="1"/>
  <c r="E1153" i="1"/>
  <c r="F1153" i="1"/>
  <c r="G1153" i="1"/>
  <c r="H1153" i="1"/>
  <c r="A1154" i="1"/>
  <c r="B1154" i="1"/>
  <c r="C1154" i="1"/>
  <c r="D1154" i="1"/>
  <c r="E1154" i="1"/>
  <c r="F1154" i="1"/>
  <c r="G1154" i="1"/>
  <c r="H1154" i="1"/>
  <c r="A1155" i="1"/>
  <c r="B1155" i="1"/>
  <c r="C1155" i="1"/>
  <c r="D1155" i="1"/>
  <c r="E1155" i="1"/>
  <c r="F1155" i="1"/>
  <c r="G1155" i="1"/>
  <c r="H1155" i="1"/>
  <c r="A1156" i="1"/>
  <c r="B1156" i="1"/>
  <c r="C1156" i="1"/>
  <c r="D1156" i="1"/>
  <c r="E1156" i="1"/>
  <c r="F1156" i="1"/>
  <c r="G1156" i="1"/>
  <c r="H1156" i="1"/>
  <c r="A1157" i="1"/>
  <c r="B1157" i="1"/>
  <c r="C1157" i="1"/>
  <c r="D1157" i="1"/>
  <c r="E1157" i="1"/>
  <c r="F1157" i="1"/>
  <c r="G1157" i="1"/>
  <c r="H1157" i="1"/>
  <c r="A1158" i="1"/>
  <c r="B1158" i="1"/>
  <c r="C1158" i="1"/>
  <c r="D1158" i="1"/>
  <c r="E1158" i="1"/>
  <c r="F1158" i="1"/>
  <c r="G1158" i="1"/>
  <c r="H1158" i="1"/>
  <c r="A1159" i="1"/>
  <c r="B1159" i="1"/>
  <c r="C1159" i="1"/>
  <c r="D1159" i="1"/>
  <c r="E1159" i="1"/>
  <c r="F1159" i="1"/>
  <c r="G1159" i="1"/>
  <c r="H1159" i="1"/>
  <c r="A1160" i="1"/>
  <c r="B1160" i="1"/>
  <c r="C1160" i="1"/>
  <c r="D1160" i="1"/>
  <c r="E1160" i="1"/>
  <c r="F1160" i="1"/>
  <c r="G1160" i="1"/>
  <c r="H1160" i="1"/>
  <c r="A1161" i="1"/>
  <c r="B1161" i="1"/>
  <c r="C1161" i="1"/>
  <c r="D1161" i="1"/>
  <c r="E1161" i="1"/>
  <c r="F1161" i="1"/>
  <c r="G1161" i="1"/>
  <c r="H1161" i="1"/>
  <c r="A1162" i="1"/>
  <c r="B1162" i="1"/>
  <c r="C1162" i="1"/>
  <c r="D1162" i="1"/>
  <c r="E1162" i="1"/>
  <c r="F1162" i="1"/>
  <c r="G1162" i="1"/>
  <c r="H1162" i="1"/>
  <c r="A1163" i="1"/>
  <c r="B1163" i="1"/>
  <c r="C1163" i="1"/>
  <c r="D1163" i="1"/>
  <c r="E1163" i="1"/>
  <c r="F1163" i="1"/>
  <c r="G1163" i="1"/>
  <c r="H1163" i="1"/>
  <c r="A1164" i="1"/>
  <c r="B1164" i="1"/>
  <c r="C1164" i="1"/>
  <c r="D1164" i="1"/>
  <c r="E1164" i="1"/>
  <c r="F1164" i="1"/>
  <c r="G1164" i="1"/>
  <c r="H1164" i="1"/>
  <c r="A1165" i="1"/>
  <c r="B1165" i="1"/>
  <c r="C1165" i="1"/>
  <c r="D1165" i="1"/>
  <c r="E1165" i="1"/>
  <c r="F1165" i="1"/>
  <c r="G1165" i="1"/>
  <c r="H1165" i="1"/>
  <c r="A1166" i="1"/>
  <c r="B1166" i="1"/>
  <c r="C1166" i="1"/>
  <c r="D1166" i="1"/>
  <c r="E1166" i="1"/>
  <c r="F1166" i="1"/>
  <c r="G1166" i="1"/>
  <c r="H1166" i="1"/>
  <c r="A1167" i="1"/>
  <c r="B1167" i="1"/>
  <c r="C1167" i="1"/>
  <c r="D1167" i="1"/>
  <c r="E1167" i="1"/>
  <c r="F1167" i="1"/>
  <c r="G1167" i="1"/>
  <c r="H1167" i="1"/>
  <c r="A1168" i="1"/>
  <c r="B1168" i="1"/>
  <c r="C1168" i="1"/>
  <c r="D1168" i="1"/>
  <c r="E1168" i="1"/>
  <c r="F1168" i="1"/>
  <c r="G1168" i="1"/>
  <c r="H1168" i="1"/>
  <c r="A1169" i="1"/>
  <c r="B1169" i="1"/>
  <c r="C1169" i="1"/>
  <c r="D1169" i="1"/>
  <c r="E1169" i="1"/>
  <c r="F1169" i="1"/>
  <c r="G1169" i="1"/>
  <c r="H1169" i="1"/>
  <c r="A1170" i="1"/>
  <c r="B1170" i="1"/>
  <c r="C1170" i="1"/>
  <c r="D1170" i="1"/>
  <c r="E1170" i="1"/>
  <c r="F1170" i="1"/>
  <c r="G1170" i="1"/>
  <c r="H1170" i="1"/>
  <c r="A1171" i="1"/>
  <c r="B1171" i="1"/>
  <c r="C1171" i="1"/>
  <c r="D1171" i="1"/>
  <c r="E1171" i="1"/>
  <c r="F1171" i="1"/>
  <c r="G1171" i="1"/>
  <c r="H1171" i="1"/>
  <c r="A1172" i="1"/>
  <c r="B1172" i="1"/>
  <c r="C1172" i="1"/>
  <c r="D1172" i="1"/>
  <c r="E1172" i="1"/>
  <c r="F1172" i="1"/>
  <c r="G1172" i="1"/>
  <c r="H1172" i="1"/>
  <c r="A1173" i="1"/>
  <c r="B1173" i="1"/>
  <c r="C1173" i="1"/>
  <c r="D1173" i="1"/>
  <c r="E1173" i="1"/>
  <c r="F1173" i="1"/>
  <c r="G1173" i="1"/>
  <c r="H1173" i="1"/>
  <c r="A1174" i="1"/>
  <c r="B1174" i="1"/>
  <c r="C1174" i="1"/>
  <c r="D1174" i="1"/>
  <c r="E1174" i="1"/>
  <c r="F1174" i="1"/>
  <c r="G1174" i="1"/>
  <c r="H1174" i="1"/>
  <c r="A1175" i="1"/>
  <c r="B1175" i="1"/>
  <c r="C1175" i="1"/>
  <c r="D1175" i="1"/>
  <c r="E1175" i="1"/>
  <c r="F1175" i="1"/>
  <c r="G1175" i="1"/>
  <c r="H1175" i="1"/>
  <c r="A1176" i="1"/>
  <c r="B1176" i="1"/>
  <c r="C1176" i="1"/>
  <c r="D1176" i="1"/>
  <c r="E1176" i="1"/>
  <c r="F1176" i="1"/>
  <c r="G1176" i="1"/>
  <c r="H1176" i="1"/>
  <c r="A1177" i="1"/>
  <c r="B1177" i="1"/>
  <c r="C1177" i="1"/>
  <c r="D1177" i="1"/>
  <c r="E1177" i="1"/>
  <c r="F1177" i="1"/>
  <c r="G1177" i="1"/>
  <c r="H1177" i="1"/>
  <c r="A1178" i="1"/>
  <c r="B1178" i="1"/>
  <c r="C1178" i="1"/>
  <c r="D1178" i="1"/>
  <c r="E1178" i="1"/>
  <c r="F1178" i="1"/>
  <c r="G1178" i="1"/>
  <c r="H1178" i="1"/>
  <c r="A1179" i="1"/>
  <c r="B1179" i="1"/>
  <c r="C1179" i="1"/>
  <c r="D1179" i="1"/>
  <c r="E1179" i="1"/>
  <c r="F1179" i="1"/>
  <c r="G1179" i="1"/>
  <c r="H1179" i="1"/>
  <c r="A1180" i="1"/>
  <c r="B1180" i="1"/>
  <c r="C1180" i="1"/>
  <c r="D1180" i="1"/>
  <c r="E1180" i="1"/>
  <c r="F1180" i="1"/>
  <c r="G1180" i="1"/>
  <c r="H1180" i="1"/>
  <c r="A1181" i="1"/>
  <c r="B1181" i="1"/>
  <c r="C1181" i="1"/>
  <c r="D1181" i="1"/>
  <c r="E1181" i="1"/>
  <c r="F1181" i="1"/>
  <c r="G1181" i="1"/>
  <c r="H1181" i="1"/>
  <c r="A1182" i="1"/>
  <c r="B1182" i="1"/>
  <c r="C1182" i="1"/>
  <c r="D1182" i="1"/>
  <c r="E1182" i="1"/>
  <c r="F1182" i="1"/>
  <c r="G1182" i="1"/>
  <c r="H1182" i="1"/>
  <c r="A1183" i="1"/>
  <c r="B1183" i="1"/>
  <c r="C1183" i="1"/>
  <c r="D1183" i="1"/>
  <c r="E1183" i="1"/>
  <c r="F1183" i="1"/>
  <c r="G1183" i="1"/>
  <c r="H1183" i="1"/>
  <c r="A1184" i="1"/>
  <c r="B1184" i="1"/>
  <c r="C1184" i="1"/>
  <c r="D1184" i="1"/>
  <c r="E1184" i="1"/>
  <c r="F1184" i="1"/>
  <c r="G1184" i="1"/>
  <c r="H1184" i="1"/>
  <c r="A1185" i="1"/>
  <c r="B1185" i="1"/>
  <c r="C1185" i="1"/>
  <c r="D1185" i="1"/>
  <c r="E1185" i="1"/>
  <c r="F1185" i="1"/>
  <c r="G1185" i="1"/>
  <c r="H1185" i="1"/>
  <c r="A1186" i="1"/>
  <c r="B1186" i="1"/>
  <c r="C1186" i="1"/>
  <c r="D1186" i="1"/>
  <c r="E1186" i="1"/>
  <c r="F1186" i="1"/>
  <c r="G1186" i="1"/>
  <c r="H1186" i="1"/>
  <c r="A1187" i="1"/>
  <c r="B1187" i="1"/>
  <c r="C1187" i="1"/>
  <c r="D1187" i="1"/>
  <c r="E1187" i="1"/>
  <c r="F1187" i="1"/>
  <c r="G1187" i="1"/>
  <c r="H1187" i="1"/>
  <c r="A1188" i="1"/>
  <c r="B1188" i="1"/>
  <c r="C1188" i="1"/>
  <c r="D1188" i="1"/>
  <c r="E1188" i="1"/>
  <c r="F1188" i="1"/>
  <c r="G1188" i="1"/>
  <c r="H1188" i="1"/>
  <c r="A1189" i="1"/>
  <c r="B1189" i="1"/>
  <c r="C1189" i="1"/>
  <c r="D1189" i="1"/>
  <c r="E1189" i="1"/>
  <c r="F1189" i="1"/>
  <c r="G1189" i="1"/>
  <c r="H1189" i="1"/>
  <c r="A1190" i="1"/>
  <c r="B1190" i="1"/>
  <c r="C1190" i="1"/>
  <c r="D1190" i="1"/>
  <c r="E1190" i="1"/>
  <c r="F1190" i="1"/>
  <c r="G1190" i="1"/>
  <c r="H1190" i="1"/>
  <c r="A1191" i="1"/>
  <c r="B1191" i="1"/>
  <c r="C1191" i="1"/>
  <c r="D1191" i="1"/>
  <c r="E1191" i="1"/>
  <c r="F1191" i="1"/>
  <c r="G1191" i="1"/>
  <c r="H1191" i="1"/>
  <c r="A1192" i="1"/>
  <c r="B1192" i="1"/>
  <c r="C1192" i="1"/>
  <c r="D1192" i="1"/>
  <c r="E1192" i="1"/>
  <c r="F1192" i="1"/>
  <c r="G1192" i="1"/>
  <c r="H1192" i="1"/>
  <c r="A1193" i="1"/>
  <c r="B1193" i="1"/>
  <c r="C1193" i="1"/>
  <c r="D1193" i="1"/>
  <c r="E1193" i="1"/>
  <c r="F1193" i="1"/>
  <c r="G1193" i="1"/>
  <c r="H1193" i="1"/>
  <c r="A1194" i="1"/>
  <c r="B1194" i="1"/>
  <c r="C1194" i="1"/>
  <c r="D1194" i="1"/>
  <c r="E1194" i="1"/>
  <c r="F1194" i="1"/>
  <c r="G1194" i="1"/>
  <c r="H1194" i="1"/>
  <c r="A1195" i="1"/>
  <c r="B1195" i="1"/>
  <c r="C1195" i="1"/>
  <c r="D1195" i="1"/>
  <c r="E1195" i="1"/>
  <c r="F1195" i="1"/>
  <c r="G1195" i="1"/>
  <c r="H1195" i="1"/>
  <c r="A1196" i="1"/>
  <c r="B1196" i="1"/>
  <c r="C1196" i="1"/>
  <c r="D1196" i="1"/>
  <c r="E1196" i="1"/>
  <c r="F1196" i="1"/>
  <c r="G1196" i="1"/>
  <c r="H1196" i="1"/>
  <c r="A1197" i="1"/>
  <c r="B1197" i="1"/>
  <c r="C1197" i="1"/>
  <c r="D1197" i="1"/>
  <c r="E1197" i="1"/>
  <c r="F1197" i="1"/>
  <c r="G1197" i="1"/>
  <c r="H1197" i="1"/>
  <c r="A1198" i="1"/>
  <c r="B1198" i="1"/>
  <c r="C1198" i="1"/>
  <c r="D1198" i="1"/>
  <c r="E1198" i="1"/>
  <c r="F1198" i="1"/>
  <c r="G1198" i="1"/>
  <c r="H1198" i="1"/>
  <c r="A1199" i="1"/>
  <c r="B1199" i="1"/>
  <c r="C1199" i="1"/>
  <c r="D1199" i="1"/>
  <c r="E1199" i="1"/>
  <c r="F1199" i="1"/>
  <c r="G1199" i="1"/>
  <c r="H1199" i="1"/>
  <c r="A1200" i="1"/>
  <c r="B1200" i="1"/>
  <c r="C1200" i="1"/>
  <c r="D1200" i="1"/>
  <c r="E1200" i="1"/>
  <c r="F1200" i="1"/>
  <c r="G1200" i="1"/>
  <c r="H1200" i="1"/>
  <c r="A1201" i="1"/>
  <c r="B1201" i="1"/>
  <c r="C1201" i="1"/>
  <c r="D1201" i="1"/>
  <c r="E1201" i="1"/>
  <c r="F1201" i="1"/>
  <c r="G1201" i="1"/>
  <c r="H1201" i="1"/>
  <c r="A1202" i="1"/>
  <c r="B1202" i="1"/>
  <c r="C1202" i="1"/>
  <c r="D1202" i="1"/>
  <c r="E1202" i="1"/>
  <c r="F1202" i="1"/>
  <c r="G1202" i="1"/>
  <c r="H1202" i="1"/>
  <c r="A1203" i="1"/>
  <c r="B1203" i="1"/>
  <c r="C1203" i="1"/>
  <c r="D1203" i="1"/>
  <c r="E1203" i="1"/>
  <c r="F1203" i="1"/>
  <c r="G1203" i="1"/>
  <c r="H1203" i="1"/>
  <c r="A1204" i="1"/>
  <c r="B1204" i="1"/>
  <c r="C1204" i="1"/>
  <c r="D1204" i="1"/>
  <c r="E1204" i="1"/>
  <c r="F1204" i="1"/>
  <c r="G1204" i="1"/>
  <c r="H1204" i="1"/>
  <c r="A1205" i="1"/>
  <c r="B1205" i="1"/>
  <c r="C1205" i="1"/>
  <c r="D1205" i="1"/>
  <c r="E1205" i="1"/>
  <c r="F1205" i="1"/>
  <c r="G1205" i="1"/>
  <c r="H1205" i="1"/>
  <c r="A1206" i="1"/>
  <c r="B1206" i="1"/>
  <c r="C1206" i="1"/>
  <c r="D1206" i="1"/>
  <c r="E1206" i="1"/>
  <c r="F1206" i="1"/>
  <c r="G1206" i="1"/>
  <c r="H1206" i="1"/>
  <c r="A1207" i="1"/>
  <c r="B1207" i="1"/>
  <c r="C1207" i="1"/>
  <c r="D1207" i="1"/>
  <c r="E1207" i="1"/>
  <c r="F1207" i="1"/>
  <c r="G1207" i="1"/>
  <c r="H1207" i="1"/>
  <c r="A1208" i="1"/>
  <c r="B1208" i="1"/>
  <c r="C1208" i="1"/>
  <c r="D1208" i="1"/>
  <c r="E1208" i="1"/>
  <c r="F1208" i="1"/>
  <c r="G1208" i="1"/>
  <c r="H1208" i="1"/>
  <c r="A1209" i="1"/>
  <c r="B1209" i="1"/>
  <c r="C1209" i="1"/>
  <c r="D1209" i="1"/>
  <c r="E1209" i="1"/>
  <c r="F1209" i="1"/>
  <c r="G1209" i="1"/>
  <c r="H1209" i="1"/>
  <c r="A1210" i="1"/>
  <c r="B1210" i="1"/>
  <c r="C1210" i="1"/>
  <c r="D1210" i="1"/>
  <c r="E1210" i="1"/>
  <c r="F1210" i="1"/>
  <c r="G1210" i="1"/>
  <c r="H1210" i="1"/>
  <c r="A1211" i="1"/>
  <c r="B1211" i="1"/>
  <c r="C1211" i="1"/>
  <c r="D1211" i="1"/>
  <c r="E1211" i="1"/>
  <c r="F1211" i="1"/>
  <c r="G1211" i="1"/>
  <c r="H1211" i="1"/>
  <c r="A1212" i="1"/>
  <c r="B1212" i="1"/>
  <c r="C1212" i="1"/>
  <c r="D1212" i="1"/>
  <c r="E1212" i="1"/>
  <c r="F1212" i="1"/>
  <c r="G1212" i="1"/>
  <c r="H1212" i="1"/>
  <c r="A1213" i="1"/>
  <c r="B1213" i="1"/>
  <c r="C1213" i="1"/>
  <c r="D1213" i="1"/>
  <c r="E1213" i="1"/>
  <c r="F1213" i="1"/>
  <c r="G1213" i="1"/>
  <c r="H1213" i="1"/>
  <c r="A1214" i="1"/>
  <c r="B1214" i="1"/>
  <c r="C1214" i="1"/>
  <c r="D1214" i="1"/>
  <c r="E1214" i="1"/>
  <c r="F1214" i="1"/>
  <c r="G1214" i="1"/>
  <c r="H1214" i="1"/>
  <c r="A1215" i="1"/>
  <c r="B1215" i="1"/>
  <c r="C1215" i="1"/>
  <c r="D1215" i="1"/>
  <c r="E1215" i="1"/>
  <c r="F1215" i="1"/>
  <c r="G1215" i="1"/>
  <c r="H1215" i="1"/>
  <c r="A1216" i="1"/>
  <c r="B1216" i="1"/>
  <c r="C1216" i="1"/>
  <c r="D1216" i="1"/>
  <c r="E1216" i="1"/>
  <c r="F1216" i="1"/>
  <c r="G1216" i="1"/>
  <c r="H1216" i="1"/>
  <c r="A1217" i="1"/>
  <c r="B1217" i="1"/>
  <c r="C1217" i="1"/>
  <c r="D1217" i="1"/>
  <c r="E1217" i="1"/>
  <c r="F1217" i="1"/>
  <c r="G1217" i="1"/>
  <c r="H1217" i="1"/>
  <c r="A1218" i="1"/>
  <c r="B1218" i="1"/>
  <c r="C1218" i="1"/>
  <c r="D1218" i="1"/>
  <c r="E1218" i="1"/>
  <c r="F1218" i="1"/>
  <c r="G1218" i="1"/>
  <c r="H1218" i="1"/>
  <c r="A1219" i="1"/>
  <c r="B1219" i="1"/>
  <c r="C1219" i="1"/>
  <c r="D1219" i="1"/>
  <c r="E1219" i="1"/>
  <c r="F1219" i="1"/>
  <c r="G1219" i="1"/>
  <c r="H1219" i="1"/>
  <c r="A1220" i="1"/>
  <c r="B1220" i="1"/>
  <c r="C1220" i="1"/>
  <c r="D1220" i="1"/>
  <c r="E1220" i="1"/>
  <c r="F1220" i="1"/>
  <c r="G1220" i="1"/>
  <c r="H1220" i="1"/>
  <c r="A1221" i="1"/>
  <c r="B1221" i="1"/>
  <c r="C1221" i="1"/>
  <c r="D1221" i="1"/>
  <c r="E1221" i="1"/>
  <c r="F1221" i="1"/>
  <c r="G1221" i="1"/>
  <c r="H1221" i="1"/>
  <c r="A1222" i="1"/>
  <c r="B1222" i="1"/>
  <c r="C1222" i="1"/>
  <c r="D1222" i="1"/>
  <c r="E1222" i="1"/>
  <c r="F1222" i="1"/>
  <c r="G1222" i="1"/>
  <c r="H1222" i="1"/>
  <c r="A1223" i="1"/>
  <c r="B1223" i="1"/>
  <c r="C1223" i="1"/>
  <c r="D1223" i="1"/>
  <c r="E1223" i="1"/>
  <c r="F1223" i="1"/>
  <c r="G1223" i="1"/>
  <c r="H1223" i="1"/>
  <c r="A1224" i="1"/>
  <c r="B1224" i="1"/>
  <c r="C1224" i="1"/>
  <c r="D1224" i="1"/>
  <c r="E1224" i="1"/>
  <c r="F1224" i="1"/>
  <c r="G1224" i="1"/>
  <c r="H1224" i="1"/>
  <c r="A1225" i="1"/>
  <c r="B1225" i="1"/>
  <c r="C1225" i="1"/>
  <c r="D1225" i="1"/>
  <c r="E1225" i="1"/>
  <c r="F1225" i="1"/>
  <c r="G1225" i="1"/>
  <c r="H1225" i="1"/>
  <c r="A1226" i="1"/>
  <c r="B1226" i="1"/>
  <c r="C1226" i="1"/>
  <c r="D1226" i="1"/>
  <c r="E1226" i="1"/>
  <c r="F1226" i="1"/>
  <c r="G1226" i="1"/>
  <c r="H1226" i="1"/>
  <c r="A1227" i="1"/>
  <c r="B1227" i="1"/>
  <c r="C1227" i="1"/>
  <c r="D1227" i="1"/>
  <c r="E1227" i="1"/>
  <c r="F1227" i="1"/>
  <c r="G1227" i="1"/>
  <c r="H1227" i="1"/>
  <c r="A1228" i="1"/>
  <c r="B1228" i="1"/>
  <c r="C1228" i="1"/>
  <c r="D1228" i="1"/>
  <c r="E1228" i="1"/>
  <c r="F1228" i="1"/>
  <c r="G1228" i="1"/>
  <c r="H1228" i="1"/>
  <c r="A1229" i="1"/>
  <c r="B1229" i="1"/>
  <c r="C1229" i="1"/>
  <c r="D1229" i="1"/>
  <c r="E1229" i="1"/>
  <c r="F1229" i="1"/>
  <c r="G1229" i="1"/>
  <c r="H1229" i="1"/>
  <c r="A1230" i="1"/>
  <c r="B1230" i="1"/>
  <c r="C1230" i="1"/>
  <c r="D1230" i="1"/>
  <c r="E1230" i="1"/>
  <c r="F1230" i="1"/>
  <c r="G1230" i="1"/>
  <c r="H1230" i="1"/>
  <c r="A1231" i="1"/>
  <c r="B1231" i="1"/>
  <c r="C1231" i="1"/>
  <c r="D1231" i="1"/>
  <c r="E1231" i="1"/>
  <c r="F1231" i="1"/>
  <c r="G1231" i="1"/>
  <c r="H1231" i="1"/>
  <c r="A1232" i="1"/>
  <c r="B1232" i="1"/>
  <c r="C1232" i="1"/>
  <c r="D1232" i="1"/>
  <c r="E1232" i="1"/>
  <c r="F1232" i="1"/>
  <c r="G1232" i="1"/>
  <c r="H1232" i="1"/>
  <c r="A1233" i="1"/>
  <c r="B1233" i="1"/>
  <c r="C1233" i="1"/>
  <c r="D1233" i="1"/>
  <c r="E1233" i="1"/>
  <c r="F1233" i="1"/>
  <c r="G1233" i="1"/>
  <c r="H1233" i="1"/>
  <c r="A1234" i="1"/>
  <c r="B1234" i="1"/>
  <c r="C1234" i="1"/>
  <c r="D1234" i="1"/>
  <c r="E1234" i="1"/>
  <c r="F1234" i="1"/>
  <c r="G1234" i="1"/>
  <c r="H1234" i="1"/>
  <c r="A1235" i="1"/>
  <c r="B1235" i="1"/>
  <c r="C1235" i="1"/>
  <c r="D1235" i="1"/>
  <c r="E1235" i="1"/>
  <c r="F1235" i="1"/>
  <c r="G1235" i="1"/>
  <c r="H1235" i="1"/>
  <c r="A1236" i="1"/>
  <c r="B1236" i="1"/>
  <c r="C1236" i="1"/>
  <c r="D1236" i="1"/>
  <c r="E1236" i="1"/>
  <c r="F1236" i="1"/>
  <c r="G1236" i="1"/>
  <c r="H1236" i="1"/>
  <c r="A1237" i="1"/>
  <c r="B1237" i="1"/>
  <c r="C1237" i="1"/>
  <c r="D1237" i="1"/>
  <c r="E1237" i="1"/>
  <c r="F1237" i="1"/>
  <c r="G1237" i="1"/>
  <c r="H1237" i="1"/>
  <c r="A1238" i="1"/>
  <c r="B1238" i="1"/>
  <c r="C1238" i="1"/>
  <c r="D1238" i="1"/>
  <c r="E1238" i="1"/>
  <c r="F1238" i="1"/>
  <c r="G1238" i="1"/>
  <c r="H1238" i="1"/>
  <c r="A1239" i="1"/>
  <c r="B1239" i="1"/>
  <c r="C1239" i="1"/>
  <c r="D1239" i="1"/>
  <c r="E1239" i="1"/>
  <c r="F1239" i="1"/>
  <c r="G1239" i="1"/>
  <c r="H1239" i="1"/>
  <c r="A1240" i="1"/>
  <c r="B1240" i="1"/>
  <c r="C1240" i="1"/>
  <c r="D1240" i="1"/>
  <c r="E1240" i="1"/>
  <c r="F1240" i="1"/>
  <c r="G1240" i="1"/>
  <c r="H1240" i="1"/>
  <c r="A1241" i="1"/>
  <c r="B1241" i="1"/>
  <c r="C1241" i="1"/>
  <c r="D1241" i="1"/>
  <c r="E1241" i="1"/>
  <c r="F1241" i="1"/>
  <c r="G1241" i="1"/>
  <c r="H1241" i="1"/>
  <c r="A1242" i="1"/>
  <c r="B1242" i="1"/>
  <c r="C1242" i="1"/>
  <c r="D1242" i="1"/>
  <c r="E1242" i="1"/>
  <c r="F1242" i="1"/>
  <c r="G1242" i="1"/>
  <c r="H1242" i="1"/>
  <c r="A1243" i="1"/>
  <c r="B1243" i="1"/>
  <c r="C1243" i="1"/>
  <c r="D1243" i="1"/>
  <c r="E1243" i="1"/>
  <c r="F1243" i="1"/>
  <c r="G1243" i="1"/>
  <c r="H1243" i="1"/>
  <c r="A1244" i="1"/>
  <c r="B1244" i="1"/>
  <c r="C1244" i="1"/>
  <c r="D1244" i="1"/>
  <c r="E1244" i="1"/>
  <c r="F1244" i="1"/>
  <c r="G1244" i="1"/>
  <c r="H1244" i="1"/>
  <c r="A1245" i="1"/>
  <c r="B1245" i="1"/>
  <c r="C1245" i="1"/>
  <c r="D1245" i="1"/>
  <c r="E1245" i="1"/>
  <c r="F1245" i="1"/>
  <c r="G1245" i="1"/>
  <c r="H1245" i="1"/>
  <c r="A1246" i="1"/>
  <c r="B1246" i="1"/>
  <c r="C1246" i="1"/>
  <c r="D1246" i="1"/>
  <c r="E1246" i="1"/>
  <c r="F1246" i="1"/>
  <c r="G1246" i="1"/>
  <c r="H1246" i="1"/>
  <c r="A1247" i="1"/>
  <c r="B1247" i="1"/>
  <c r="C1247" i="1"/>
  <c r="D1247" i="1"/>
  <c r="E1247" i="1"/>
  <c r="F1247" i="1"/>
  <c r="G1247" i="1"/>
  <c r="H1247" i="1"/>
  <c r="A1248" i="1"/>
  <c r="B1248" i="1"/>
  <c r="C1248" i="1"/>
  <c r="D1248" i="1"/>
  <c r="E1248" i="1"/>
  <c r="F1248" i="1"/>
  <c r="G1248" i="1"/>
  <c r="H1248" i="1"/>
  <c r="A1249" i="1"/>
  <c r="B1249" i="1"/>
  <c r="C1249" i="1"/>
  <c r="D1249" i="1"/>
  <c r="E1249" i="1"/>
  <c r="F1249" i="1"/>
  <c r="G1249" i="1"/>
  <c r="H1249" i="1"/>
  <c r="A1250" i="1"/>
  <c r="B1250" i="1"/>
  <c r="C1250" i="1"/>
  <c r="D1250" i="1"/>
  <c r="E1250" i="1"/>
  <c r="F1250" i="1"/>
  <c r="G1250" i="1"/>
  <c r="H1250" i="1"/>
  <c r="A1251" i="1"/>
  <c r="B1251" i="1"/>
  <c r="C1251" i="1"/>
  <c r="D1251" i="1"/>
  <c r="E1251" i="1"/>
  <c r="F1251" i="1"/>
  <c r="G1251" i="1"/>
  <c r="H1251" i="1"/>
  <c r="A1252" i="1"/>
  <c r="B1252" i="1"/>
  <c r="C1252" i="1"/>
  <c r="D1252" i="1"/>
  <c r="E1252" i="1"/>
  <c r="F1252" i="1"/>
  <c r="G1252" i="1"/>
  <c r="H1252" i="1"/>
  <c r="A1253" i="1"/>
  <c r="B1253" i="1"/>
  <c r="C1253" i="1"/>
  <c r="D1253" i="1"/>
  <c r="E1253" i="1"/>
  <c r="F1253" i="1"/>
  <c r="G1253" i="1"/>
  <c r="H1253" i="1"/>
  <c r="A1254" i="1"/>
  <c r="B1254" i="1"/>
  <c r="C1254" i="1"/>
  <c r="D1254" i="1"/>
  <c r="E1254" i="1"/>
  <c r="F1254" i="1"/>
  <c r="G1254" i="1"/>
  <c r="H1254" i="1"/>
  <c r="A1255" i="1"/>
  <c r="B1255" i="1"/>
  <c r="C1255" i="1"/>
  <c r="D1255" i="1"/>
  <c r="E1255" i="1"/>
  <c r="F1255" i="1"/>
  <c r="G1255" i="1"/>
  <c r="H1255" i="1"/>
  <c r="A1256" i="1"/>
  <c r="B1256" i="1"/>
  <c r="C1256" i="1"/>
  <c r="D1256" i="1"/>
  <c r="E1256" i="1"/>
  <c r="F1256" i="1"/>
  <c r="G1256" i="1"/>
  <c r="H1256" i="1"/>
  <c r="A1257" i="1"/>
  <c r="B1257" i="1"/>
  <c r="C1257" i="1"/>
  <c r="D1257" i="1"/>
  <c r="E1257" i="1"/>
  <c r="F1257" i="1"/>
  <c r="G1257" i="1"/>
  <c r="H1257" i="1"/>
  <c r="A1258" i="1"/>
  <c r="B1258" i="1"/>
  <c r="C1258" i="1"/>
  <c r="D1258" i="1"/>
  <c r="E1258" i="1"/>
  <c r="F1258" i="1"/>
  <c r="G1258" i="1"/>
  <c r="H1258" i="1"/>
  <c r="A1259" i="1"/>
  <c r="B1259" i="1"/>
  <c r="C1259" i="1"/>
  <c r="D1259" i="1"/>
  <c r="E1259" i="1"/>
  <c r="F1259" i="1"/>
  <c r="G1259" i="1"/>
  <c r="H1259" i="1"/>
  <c r="A1260" i="1"/>
  <c r="B1260" i="1"/>
  <c r="C1260" i="1"/>
  <c r="D1260" i="1"/>
  <c r="E1260" i="1"/>
  <c r="F1260" i="1"/>
  <c r="G1260" i="1"/>
  <c r="H1260" i="1"/>
  <c r="A1261" i="1"/>
  <c r="B1261" i="1"/>
  <c r="C1261" i="1"/>
  <c r="D1261" i="1"/>
  <c r="E1261" i="1"/>
  <c r="F1261" i="1"/>
  <c r="G1261" i="1"/>
  <c r="H1261" i="1"/>
  <c r="A1262" i="1"/>
  <c r="B1262" i="1"/>
  <c r="C1262" i="1"/>
  <c r="D1262" i="1"/>
  <c r="E1262" i="1"/>
  <c r="F1262" i="1"/>
  <c r="G1262" i="1"/>
  <c r="H1262" i="1"/>
  <c r="A1263" i="1"/>
  <c r="B1263" i="1"/>
  <c r="C1263" i="1"/>
  <c r="D1263" i="1"/>
  <c r="E1263" i="1"/>
  <c r="F1263" i="1"/>
  <c r="G1263" i="1"/>
  <c r="H1263" i="1"/>
  <c r="A1264" i="1"/>
  <c r="B1264" i="1"/>
  <c r="C1264" i="1"/>
  <c r="D1264" i="1"/>
  <c r="E1264" i="1"/>
  <c r="F1264" i="1"/>
  <c r="G1264" i="1"/>
  <c r="H1264" i="1"/>
  <c r="A1265" i="1"/>
  <c r="B1265" i="1"/>
  <c r="C1265" i="1"/>
  <c r="D1265" i="1"/>
  <c r="E1265" i="1"/>
  <c r="F1265" i="1"/>
  <c r="G1265" i="1"/>
  <c r="H1265" i="1"/>
  <c r="A1266" i="1"/>
  <c r="B1266" i="1"/>
  <c r="C1266" i="1"/>
  <c r="D1266" i="1"/>
  <c r="E1266" i="1"/>
  <c r="F1266" i="1"/>
  <c r="G1266" i="1"/>
  <c r="H1266" i="1"/>
  <c r="A1267" i="1"/>
  <c r="B1267" i="1"/>
  <c r="C1267" i="1"/>
  <c r="D1267" i="1"/>
  <c r="E1267" i="1"/>
  <c r="F1267" i="1"/>
  <c r="G1267" i="1"/>
  <c r="H1267" i="1"/>
  <c r="A1268" i="1"/>
  <c r="B1268" i="1"/>
  <c r="C1268" i="1"/>
  <c r="D1268" i="1"/>
  <c r="E1268" i="1"/>
  <c r="F1268" i="1"/>
  <c r="G1268" i="1"/>
  <c r="H1268" i="1"/>
  <c r="A1269" i="1"/>
  <c r="B1269" i="1"/>
  <c r="C1269" i="1"/>
  <c r="D1269" i="1"/>
  <c r="E1269" i="1"/>
  <c r="F1269" i="1"/>
  <c r="G1269" i="1"/>
  <c r="H1269" i="1"/>
  <c r="A1270" i="1"/>
  <c r="B1270" i="1"/>
  <c r="C1270" i="1"/>
  <c r="D1270" i="1"/>
  <c r="E1270" i="1"/>
  <c r="F1270" i="1"/>
  <c r="G1270" i="1"/>
  <c r="H1270" i="1"/>
  <c r="A1271" i="1"/>
  <c r="B1271" i="1"/>
  <c r="C1271" i="1"/>
  <c r="D1271" i="1"/>
  <c r="E1271" i="1"/>
  <c r="F1271" i="1"/>
  <c r="G1271" i="1"/>
  <c r="H1271" i="1"/>
  <c r="A1272" i="1"/>
  <c r="B1272" i="1"/>
  <c r="C1272" i="1"/>
  <c r="D1272" i="1"/>
  <c r="E1272" i="1"/>
  <c r="F1272" i="1"/>
  <c r="G1272" i="1"/>
  <c r="H1272" i="1"/>
  <c r="A1273" i="1"/>
  <c r="B1273" i="1"/>
  <c r="C1273" i="1"/>
  <c r="D1273" i="1"/>
  <c r="E1273" i="1"/>
  <c r="F1273" i="1"/>
  <c r="G1273" i="1"/>
  <c r="H1273" i="1"/>
  <c r="A1274" i="1"/>
  <c r="B1274" i="1"/>
  <c r="C1274" i="1"/>
  <c r="D1274" i="1"/>
  <c r="E1274" i="1"/>
  <c r="F1274" i="1"/>
  <c r="G1274" i="1"/>
  <c r="H1274" i="1"/>
  <c r="A1275" i="1"/>
  <c r="B1275" i="1"/>
  <c r="C1275" i="1"/>
  <c r="D1275" i="1"/>
  <c r="E1275" i="1"/>
  <c r="F1275" i="1"/>
  <c r="G1275" i="1"/>
  <c r="H1275" i="1"/>
  <c r="A1276" i="1"/>
  <c r="B1276" i="1"/>
  <c r="C1276" i="1"/>
  <c r="D1276" i="1"/>
  <c r="E1276" i="1"/>
  <c r="F1276" i="1"/>
  <c r="G1276" i="1"/>
  <c r="H1276" i="1"/>
  <c r="A1277" i="1"/>
  <c r="B1277" i="1"/>
  <c r="C1277" i="1"/>
  <c r="D1277" i="1"/>
  <c r="E1277" i="1"/>
  <c r="F1277" i="1"/>
  <c r="G1277" i="1"/>
  <c r="H1277" i="1"/>
  <c r="A1278" i="1"/>
  <c r="B1278" i="1"/>
  <c r="C1278" i="1"/>
  <c r="D1278" i="1"/>
  <c r="E1278" i="1"/>
  <c r="F1278" i="1"/>
  <c r="G1278" i="1"/>
  <c r="H1278" i="1"/>
  <c r="A1279" i="1"/>
  <c r="B1279" i="1"/>
  <c r="C1279" i="1"/>
  <c r="D1279" i="1"/>
  <c r="E1279" i="1"/>
  <c r="F1279" i="1"/>
  <c r="G1279" i="1"/>
  <c r="H1279" i="1"/>
  <c r="A1280" i="1"/>
  <c r="B1280" i="1"/>
  <c r="C1280" i="1"/>
  <c r="D1280" i="1"/>
  <c r="E1280" i="1"/>
  <c r="F1280" i="1"/>
  <c r="G1280" i="1"/>
  <c r="H1280" i="1"/>
  <c r="A1281" i="1"/>
  <c r="B1281" i="1"/>
  <c r="C1281" i="1"/>
  <c r="D1281" i="1"/>
  <c r="E1281" i="1"/>
  <c r="F1281" i="1"/>
  <c r="G1281" i="1"/>
  <c r="H1281" i="1"/>
  <c r="A1282" i="1"/>
  <c r="B1282" i="1"/>
  <c r="C1282" i="1"/>
  <c r="D1282" i="1"/>
  <c r="E1282" i="1"/>
  <c r="F1282" i="1"/>
  <c r="G1282" i="1"/>
  <c r="H1282" i="1"/>
  <c r="A1283" i="1"/>
  <c r="B1283" i="1"/>
  <c r="C1283" i="1"/>
  <c r="D1283" i="1"/>
  <c r="E1283" i="1"/>
  <c r="F1283" i="1"/>
  <c r="G1283" i="1"/>
  <c r="H1283" i="1"/>
  <c r="A1284" i="1"/>
  <c r="B1284" i="1"/>
  <c r="C1284" i="1"/>
  <c r="D1284" i="1"/>
  <c r="E1284" i="1"/>
  <c r="F1284" i="1"/>
  <c r="G1284" i="1"/>
  <c r="H1284" i="1"/>
  <c r="A1285" i="1"/>
  <c r="B1285" i="1"/>
  <c r="C1285" i="1"/>
  <c r="D1285" i="1"/>
  <c r="E1285" i="1"/>
  <c r="F1285" i="1"/>
  <c r="G1285" i="1"/>
  <c r="H1285" i="1"/>
  <c r="A1286" i="1"/>
  <c r="B1286" i="1"/>
  <c r="C1286" i="1"/>
  <c r="D1286" i="1"/>
  <c r="E1286" i="1"/>
  <c r="F1286" i="1"/>
  <c r="G1286" i="1"/>
  <c r="H1286" i="1"/>
  <c r="A1287" i="1"/>
  <c r="B1287" i="1"/>
  <c r="C1287" i="1"/>
  <c r="D1287" i="1"/>
  <c r="E1287" i="1"/>
  <c r="F1287" i="1"/>
  <c r="G1287" i="1"/>
  <c r="H1287" i="1"/>
  <c r="A1288" i="1"/>
  <c r="B1288" i="1"/>
  <c r="C1288" i="1"/>
  <c r="D1288" i="1"/>
  <c r="E1288" i="1"/>
  <c r="F1288" i="1"/>
  <c r="G1288" i="1"/>
  <c r="H1288" i="1"/>
  <c r="A1289" i="1"/>
  <c r="B1289" i="1"/>
  <c r="C1289" i="1"/>
  <c r="D1289" i="1"/>
  <c r="E1289" i="1"/>
  <c r="F1289" i="1"/>
  <c r="G1289" i="1"/>
  <c r="H1289" i="1"/>
  <c r="A1290" i="1"/>
  <c r="B1290" i="1"/>
  <c r="C1290" i="1"/>
  <c r="D1290" i="1"/>
  <c r="E1290" i="1"/>
  <c r="F1290" i="1"/>
  <c r="G1290" i="1"/>
  <c r="H1290" i="1"/>
  <c r="A1291" i="1"/>
  <c r="B1291" i="1"/>
  <c r="C1291" i="1"/>
  <c r="D1291" i="1"/>
  <c r="E1291" i="1"/>
  <c r="F1291" i="1"/>
  <c r="G1291" i="1"/>
  <c r="H1291" i="1"/>
  <c r="A1292" i="1"/>
  <c r="B1292" i="1"/>
  <c r="C1292" i="1"/>
  <c r="D1292" i="1"/>
  <c r="E1292" i="1"/>
  <c r="F1292" i="1"/>
  <c r="G1292" i="1"/>
  <c r="H1292" i="1"/>
  <c r="A1293" i="1"/>
  <c r="B1293" i="1"/>
  <c r="C1293" i="1"/>
  <c r="D1293" i="1"/>
  <c r="E1293" i="1"/>
  <c r="F1293" i="1"/>
  <c r="G1293" i="1"/>
  <c r="H1293" i="1"/>
  <c r="A1294" i="1"/>
  <c r="B1294" i="1"/>
  <c r="C1294" i="1"/>
  <c r="D1294" i="1"/>
  <c r="E1294" i="1"/>
  <c r="F1294" i="1"/>
  <c r="G1294" i="1"/>
  <c r="H1294" i="1"/>
  <c r="A1295" i="1"/>
  <c r="B1295" i="1"/>
  <c r="C1295" i="1"/>
  <c r="D1295" i="1"/>
  <c r="E1295" i="1"/>
  <c r="F1295" i="1"/>
  <c r="G1295" i="1"/>
  <c r="H1295" i="1"/>
  <c r="A1296" i="1"/>
  <c r="B1296" i="1"/>
  <c r="C1296" i="1"/>
  <c r="D1296" i="1"/>
  <c r="E1296" i="1"/>
  <c r="F1296" i="1"/>
  <c r="G1296" i="1"/>
  <c r="H1296" i="1"/>
  <c r="A1297" i="1"/>
  <c r="B1297" i="1"/>
  <c r="C1297" i="1"/>
  <c r="D1297" i="1"/>
  <c r="E1297" i="1"/>
  <c r="F1297" i="1"/>
  <c r="G1297" i="1"/>
  <c r="H1297" i="1"/>
  <c r="A1298" i="1"/>
  <c r="B1298" i="1"/>
  <c r="C1298" i="1"/>
  <c r="D1298" i="1"/>
  <c r="E1298" i="1"/>
  <c r="F1298" i="1"/>
  <c r="G1298" i="1"/>
  <c r="H1298" i="1"/>
  <c r="A1299" i="1"/>
  <c r="B1299" i="1"/>
  <c r="C1299" i="1"/>
  <c r="D1299" i="1"/>
  <c r="E1299" i="1"/>
  <c r="F1299" i="1"/>
  <c r="G1299" i="1"/>
  <c r="H1299" i="1"/>
  <c r="A1300" i="1"/>
  <c r="B1300" i="1"/>
  <c r="C1300" i="1"/>
  <c r="D1300" i="1"/>
  <c r="E1300" i="1"/>
  <c r="F1300" i="1"/>
  <c r="G1300" i="1"/>
  <c r="H1300" i="1"/>
  <c r="A1301" i="1"/>
  <c r="B1301" i="1"/>
  <c r="C1301" i="1"/>
  <c r="D1301" i="1"/>
  <c r="E1301" i="1"/>
  <c r="F1301" i="1"/>
  <c r="G1301" i="1"/>
  <c r="H1301" i="1"/>
  <c r="A1302" i="1"/>
  <c r="B1302" i="1"/>
  <c r="C1302" i="1"/>
  <c r="D1302" i="1"/>
  <c r="E1302" i="1"/>
  <c r="F1302" i="1"/>
  <c r="G1302" i="1"/>
  <c r="H1302" i="1"/>
  <c r="A1303" i="1"/>
  <c r="B1303" i="1"/>
  <c r="C1303" i="1"/>
  <c r="D1303" i="1"/>
  <c r="E1303" i="1"/>
  <c r="F1303" i="1"/>
  <c r="G1303" i="1"/>
  <c r="H1303" i="1"/>
  <c r="A1304" i="1"/>
  <c r="B1304" i="1"/>
  <c r="C1304" i="1"/>
  <c r="D1304" i="1"/>
  <c r="E1304" i="1"/>
  <c r="F1304" i="1"/>
  <c r="G1304" i="1"/>
  <c r="H1304" i="1"/>
  <c r="A1305" i="1"/>
  <c r="B1305" i="1"/>
  <c r="C1305" i="1"/>
  <c r="D1305" i="1"/>
  <c r="E1305" i="1"/>
  <c r="F1305" i="1"/>
  <c r="G1305" i="1"/>
  <c r="H1305" i="1"/>
  <c r="A1306" i="1"/>
  <c r="B1306" i="1"/>
  <c r="C1306" i="1"/>
  <c r="D1306" i="1"/>
  <c r="E1306" i="1"/>
  <c r="F1306" i="1"/>
  <c r="G1306" i="1"/>
  <c r="H1306" i="1"/>
  <c r="A1307" i="1"/>
  <c r="B1307" i="1"/>
  <c r="C1307" i="1"/>
  <c r="D1307" i="1"/>
  <c r="E1307" i="1"/>
  <c r="F1307" i="1"/>
  <c r="G1307" i="1"/>
  <c r="H1307" i="1"/>
  <c r="A1308" i="1"/>
  <c r="B1308" i="1"/>
  <c r="C1308" i="1"/>
  <c r="D1308" i="1"/>
  <c r="E1308" i="1"/>
  <c r="F1308" i="1"/>
  <c r="G1308" i="1"/>
  <c r="H1308" i="1"/>
  <c r="A1309" i="1"/>
  <c r="B1309" i="1"/>
  <c r="C1309" i="1"/>
  <c r="D1309" i="1"/>
  <c r="E1309" i="1"/>
  <c r="F1309" i="1"/>
  <c r="G1309" i="1"/>
  <c r="H1309" i="1"/>
  <c r="A1310" i="1"/>
  <c r="B1310" i="1"/>
  <c r="C1310" i="1"/>
  <c r="D1310" i="1"/>
  <c r="E1310" i="1"/>
  <c r="F1310" i="1"/>
  <c r="G1310" i="1"/>
  <c r="H1310" i="1"/>
  <c r="A1311" i="1"/>
  <c r="B1311" i="1"/>
  <c r="C1311" i="1"/>
  <c r="D1311" i="1"/>
  <c r="E1311" i="1"/>
  <c r="F1311" i="1"/>
  <c r="G1311" i="1"/>
  <c r="H1311" i="1"/>
  <c r="A1312" i="1"/>
  <c r="B1312" i="1"/>
  <c r="C1312" i="1"/>
  <c r="D1312" i="1"/>
  <c r="E1312" i="1"/>
  <c r="F1312" i="1"/>
  <c r="G1312" i="1"/>
  <c r="H1312" i="1"/>
  <c r="A1313" i="1"/>
  <c r="B1313" i="1"/>
  <c r="C1313" i="1"/>
  <c r="D1313" i="1"/>
  <c r="E1313" i="1"/>
  <c r="F1313" i="1"/>
  <c r="G1313" i="1"/>
  <c r="H1313" i="1"/>
  <c r="A1314" i="1"/>
  <c r="B1314" i="1"/>
  <c r="C1314" i="1"/>
  <c r="D1314" i="1"/>
  <c r="E1314" i="1"/>
  <c r="F1314" i="1"/>
  <c r="G1314" i="1"/>
  <c r="H1314" i="1"/>
  <c r="A1315" i="1"/>
  <c r="B1315" i="1"/>
  <c r="C1315" i="1"/>
  <c r="D1315" i="1"/>
  <c r="E1315" i="1"/>
  <c r="F1315" i="1"/>
  <c r="G1315" i="1"/>
  <c r="H1315" i="1"/>
  <c r="A1316" i="1"/>
  <c r="B1316" i="1"/>
  <c r="C1316" i="1"/>
  <c r="D1316" i="1"/>
  <c r="E1316" i="1"/>
  <c r="F1316" i="1"/>
  <c r="G1316" i="1"/>
  <c r="H1316" i="1"/>
  <c r="A1317" i="1"/>
  <c r="B1317" i="1"/>
  <c r="C1317" i="1"/>
  <c r="D1317" i="1"/>
  <c r="E1317" i="1"/>
  <c r="F1317" i="1"/>
  <c r="G1317" i="1"/>
  <c r="H1317" i="1"/>
  <c r="A1318" i="1"/>
  <c r="B1318" i="1"/>
  <c r="C1318" i="1"/>
  <c r="D1318" i="1"/>
  <c r="E1318" i="1"/>
  <c r="F1318" i="1"/>
  <c r="G1318" i="1"/>
  <c r="H1318" i="1"/>
  <c r="A1319" i="1"/>
  <c r="B1319" i="1"/>
  <c r="C1319" i="1"/>
  <c r="D1319" i="1"/>
  <c r="E1319" i="1"/>
  <c r="F1319" i="1"/>
  <c r="G1319" i="1"/>
  <c r="H1319" i="1"/>
  <c r="A1320" i="1"/>
  <c r="B1320" i="1"/>
  <c r="C1320" i="1"/>
  <c r="D1320" i="1"/>
  <c r="E1320" i="1"/>
  <c r="F1320" i="1"/>
  <c r="G1320" i="1"/>
  <c r="H1320" i="1"/>
  <c r="A1321" i="1"/>
  <c r="B1321" i="1"/>
  <c r="C1321" i="1"/>
  <c r="D1321" i="1"/>
  <c r="E1321" i="1"/>
  <c r="F1321" i="1"/>
  <c r="G1321" i="1"/>
  <c r="H1321" i="1"/>
  <c r="A1322" i="1"/>
  <c r="B1322" i="1"/>
  <c r="C1322" i="1"/>
  <c r="D1322" i="1"/>
  <c r="E1322" i="1"/>
  <c r="F1322" i="1"/>
  <c r="G1322" i="1"/>
  <c r="H1322" i="1"/>
  <c r="A1323" i="1"/>
  <c r="B1323" i="1"/>
  <c r="C1323" i="1"/>
  <c r="D1323" i="1"/>
  <c r="E1323" i="1"/>
  <c r="F1323" i="1"/>
  <c r="G1323" i="1"/>
  <c r="H1323" i="1"/>
  <c r="A1324" i="1"/>
  <c r="B1324" i="1"/>
  <c r="C1324" i="1"/>
  <c r="D1324" i="1"/>
  <c r="E1324" i="1"/>
  <c r="F1324" i="1"/>
  <c r="G1324" i="1"/>
  <c r="H1324" i="1"/>
  <c r="A1325" i="1"/>
  <c r="B1325" i="1"/>
  <c r="C1325" i="1"/>
  <c r="D1325" i="1"/>
  <c r="E1325" i="1"/>
  <c r="F1325" i="1"/>
  <c r="G1325" i="1"/>
  <c r="H1325" i="1"/>
  <c r="A1326" i="1"/>
  <c r="B1326" i="1"/>
  <c r="C1326" i="1"/>
  <c r="D1326" i="1"/>
  <c r="E1326" i="1"/>
  <c r="F1326" i="1"/>
  <c r="G1326" i="1"/>
  <c r="H1326" i="1"/>
  <c r="A1327" i="1"/>
  <c r="B1327" i="1"/>
  <c r="C1327" i="1"/>
  <c r="D1327" i="1"/>
  <c r="E1327" i="1"/>
  <c r="F1327" i="1"/>
  <c r="G1327" i="1"/>
  <c r="H1327" i="1"/>
  <c r="A1328" i="1"/>
  <c r="B1328" i="1"/>
  <c r="C1328" i="1"/>
  <c r="D1328" i="1"/>
  <c r="E1328" i="1"/>
  <c r="F1328" i="1"/>
  <c r="G1328" i="1"/>
  <c r="H1328" i="1"/>
  <c r="A1329" i="1"/>
  <c r="B1329" i="1"/>
  <c r="C1329" i="1"/>
  <c r="D1329" i="1"/>
  <c r="E1329" i="1"/>
  <c r="F1329" i="1"/>
  <c r="G1329" i="1"/>
  <c r="H1329" i="1"/>
  <c r="A1330" i="1"/>
  <c r="B1330" i="1"/>
  <c r="C1330" i="1"/>
  <c r="D1330" i="1"/>
  <c r="E1330" i="1"/>
  <c r="F1330" i="1"/>
  <c r="G1330" i="1"/>
  <c r="H1330" i="1"/>
  <c r="A1331" i="1"/>
  <c r="B1331" i="1"/>
  <c r="C1331" i="1"/>
  <c r="D1331" i="1"/>
  <c r="E1331" i="1"/>
  <c r="F1331" i="1"/>
  <c r="G1331" i="1"/>
  <c r="H1331" i="1"/>
  <c r="A1332" i="1"/>
  <c r="B1332" i="1"/>
  <c r="C1332" i="1"/>
  <c r="D1332" i="1"/>
  <c r="E1332" i="1"/>
  <c r="F1332" i="1"/>
  <c r="G1332" i="1"/>
  <c r="H1332" i="1"/>
  <c r="A1333" i="1"/>
  <c r="B1333" i="1"/>
  <c r="C1333" i="1"/>
  <c r="D1333" i="1"/>
  <c r="E1333" i="1"/>
  <c r="F1333" i="1"/>
  <c r="G1333" i="1"/>
  <c r="H1333" i="1"/>
  <c r="A1334" i="1"/>
  <c r="B1334" i="1"/>
  <c r="C1334" i="1"/>
  <c r="D1334" i="1"/>
  <c r="E1334" i="1"/>
  <c r="F1334" i="1"/>
  <c r="G1334" i="1"/>
  <c r="H1334" i="1"/>
  <c r="A1335" i="1"/>
  <c r="B1335" i="1"/>
  <c r="C1335" i="1"/>
  <c r="D1335" i="1"/>
  <c r="E1335" i="1"/>
  <c r="F1335" i="1"/>
  <c r="G1335" i="1"/>
  <c r="H1335" i="1"/>
  <c r="A1336" i="1"/>
  <c r="B1336" i="1"/>
  <c r="C1336" i="1"/>
  <c r="D1336" i="1"/>
  <c r="E1336" i="1"/>
  <c r="F1336" i="1"/>
  <c r="G1336" i="1"/>
  <c r="H1336" i="1"/>
  <c r="A1337" i="1"/>
  <c r="B1337" i="1"/>
  <c r="C1337" i="1"/>
  <c r="D1337" i="1"/>
  <c r="E1337" i="1"/>
  <c r="F1337" i="1"/>
  <c r="G1337" i="1"/>
  <c r="H1337" i="1"/>
  <c r="A1338" i="1"/>
  <c r="B1338" i="1"/>
  <c r="C1338" i="1"/>
  <c r="D1338" i="1"/>
  <c r="E1338" i="1"/>
  <c r="F1338" i="1"/>
  <c r="G1338" i="1"/>
  <c r="H1338" i="1"/>
  <c r="A1339" i="1"/>
  <c r="B1339" i="1"/>
  <c r="C1339" i="1"/>
  <c r="D1339" i="1"/>
  <c r="E1339" i="1"/>
  <c r="F1339" i="1"/>
  <c r="G1339" i="1"/>
  <c r="H1339" i="1"/>
  <c r="A1340" i="1"/>
  <c r="B1340" i="1"/>
  <c r="C1340" i="1"/>
  <c r="D1340" i="1"/>
  <c r="E1340" i="1"/>
  <c r="F1340" i="1"/>
  <c r="G1340" i="1"/>
  <c r="H1340" i="1"/>
  <c r="A1341" i="1"/>
  <c r="B1341" i="1"/>
  <c r="C1341" i="1"/>
  <c r="D1341" i="1"/>
  <c r="E1341" i="1"/>
  <c r="F1341" i="1"/>
  <c r="G1341" i="1"/>
  <c r="H1341" i="1"/>
  <c r="A1342" i="1"/>
  <c r="B1342" i="1"/>
  <c r="C1342" i="1"/>
  <c r="D1342" i="1"/>
  <c r="E1342" i="1"/>
  <c r="F1342" i="1"/>
  <c r="G1342" i="1"/>
  <c r="H1342" i="1"/>
  <c r="A1343" i="1"/>
  <c r="B1343" i="1"/>
  <c r="C1343" i="1"/>
  <c r="D1343" i="1"/>
  <c r="E1343" i="1"/>
  <c r="F1343" i="1"/>
  <c r="G1343" i="1"/>
  <c r="H1343" i="1"/>
  <c r="A1344" i="1"/>
  <c r="B1344" i="1"/>
  <c r="C1344" i="1"/>
  <c r="D1344" i="1"/>
  <c r="E1344" i="1"/>
  <c r="F1344" i="1"/>
  <c r="G1344" i="1"/>
  <c r="H1344" i="1"/>
  <c r="A1345" i="1"/>
  <c r="B1345" i="1"/>
  <c r="C1345" i="1"/>
  <c r="D1345" i="1"/>
  <c r="E1345" i="1"/>
  <c r="F1345" i="1"/>
  <c r="G1345" i="1"/>
  <c r="H1345" i="1"/>
  <c r="A1346" i="1"/>
  <c r="B1346" i="1"/>
  <c r="C1346" i="1"/>
  <c r="D1346" i="1"/>
  <c r="E1346" i="1"/>
  <c r="F1346" i="1"/>
  <c r="G1346" i="1"/>
  <c r="H1346" i="1"/>
  <c r="A1347" i="1"/>
  <c r="B1347" i="1"/>
  <c r="C1347" i="1"/>
  <c r="D1347" i="1"/>
  <c r="E1347" i="1"/>
  <c r="F1347" i="1"/>
  <c r="G1347" i="1"/>
  <c r="H1347" i="1"/>
  <c r="A1348" i="1"/>
  <c r="B1348" i="1"/>
  <c r="C1348" i="1"/>
  <c r="D1348" i="1"/>
  <c r="E1348" i="1"/>
  <c r="F1348" i="1"/>
  <c r="G1348" i="1"/>
  <c r="H1348" i="1"/>
  <c r="A1349" i="1"/>
  <c r="B1349" i="1"/>
  <c r="C1349" i="1"/>
  <c r="D1349" i="1"/>
  <c r="E1349" i="1"/>
  <c r="F1349" i="1"/>
  <c r="G1349" i="1"/>
  <c r="H1349" i="1"/>
  <c r="A1350" i="1"/>
  <c r="B1350" i="1"/>
  <c r="C1350" i="1"/>
  <c r="D1350" i="1"/>
  <c r="E1350" i="1"/>
  <c r="F1350" i="1"/>
  <c r="G1350" i="1"/>
  <c r="H1350" i="1"/>
  <c r="A1351" i="1"/>
  <c r="B1351" i="1"/>
  <c r="C1351" i="1"/>
  <c r="D1351" i="1"/>
  <c r="E1351" i="1"/>
  <c r="F1351" i="1"/>
  <c r="G1351" i="1"/>
  <c r="H1351" i="1"/>
  <c r="A1352" i="1"/>
  <c r="B1352" i="1"/>
  <c r="C1352" i="1"/>
  <c r="D1352" i="1"/>
  <c r="E1352" i="1"/>
  <c r="F1352" i="1"/>
  <c r="G1352" i="1"/>
  <c r="H1352" i="1"/>
  <c r="A1353" i="1"/>
  <c r="B1353" i="1"/>
  <c r="C1353" i="1"/>
  <c r="D1353" i="1"/>
  <c r="E1353" i="1"/>
  <c r="F1353" i="1"/>
  <c r="G1353" i="1"/>
  <c r="H1353" i="1"/>
  <c r="A1354" i="1"/>
  <c r="B1354" i="1"/>
  <c r="C1354" i="1"/>
  <c r="D1354" i="1"/>
  <c r="E1354" i="1"/>
  <c r="F1354" i="1"/>
  <c r="G1354" i="1"/>
  <c r="H1354" i="1"/>
  <c r="A1355" i="1"/>
  <c r="B1355" i="1"/>
  <c r="C1355" i="1"/>
  <c r="D1355" i="1"/>
  <c r="E1355" i="1"/>
  <c r="F1355" i="1"/>
  <c r="G1355" i="1"/>
  <c r="H1355" i="1"/>
  <c r="A1356" i="1"/>
  <c r="B1356" i="1"/>
  <c r="C1356" i="1"/>
  <c r="D1356" i="1"/>
  <c r="E1356" i="1"/>
  <c r="F1356" i="1"/>
  <c r="G1356" i="1"/>
  <c r="H1356" i="1"/>
  <c r="A1357" i="1"/>
  <c r="B1357" i="1"/>
  <c r="C1357" i="1"/>
  <c r="D1357" i="1"/>
  <c r="E1357" i="1"/>
  <c r="F1357" i="1"/>
  <c r="G1357" i="1"/>
  <c r="H1357" i="1"/>
  <c r="A1358" i="1"/>
  <c r="B1358" i="1"/>
  <c r="C1358" i="1"/>
  <c r="D1358" i="1"/>
  <c r="E1358" i="1"/>
  <c r="F1358" i="1"/>
  <c r="G1358" i="1"/>
  <c r="H1358" i="1"/>
  <c r="A1359" i="1"/>
  <c r="B1359" i="1"/>
  <c r="C1359" i="1"/>
  <c r="D1359" i="1"/>
  <c r="E1359" i="1"/>
  <c r="F1359" i="1"/>
  <c r="G1359" i="1"/>
  <c r="H1359" i="1"/>
  <c r="A1360" i="1"/>
  <c r="B1360" i="1"/>
  <c r="C1360" i="1"/>
  <c r="D1360" i="1"/>
  <c r="E1360" i="1"/>
  <c r="F1360" i="1"/>
  <c r="G1360" i="1"/>
  <c r="H1360" i="1"/>
  <c r="A1361" i="1"/>
  <c r="B1361" i="1"/>
  <c r="C1361" i="1"/>
  <c r="D1361" i="1"/>
  <c r="E1361" i="1"/>
  <c r="F1361" i="1"/>
  <c r="G1361" i="1"/>
  <c r="H1361" i="1"/>
  <c r="A1362" i="1"/>
  <c r="B1362" i="1"/>
  <c r="C1362" i="1"/>
  <c r="D1362" i="1"/>
  <c r="E1362" i="1"/>
  <c r="F1362" i="1"/>
  <c r="G1362" i="1"/>
  <c r="H1362" i="1"/>
  <c r="A1363" i="1"/>
  <c r="B1363" i="1"/>
  <c r="C1363" i="1"/>
  <c r="D1363" i="1"/>
  <c r="E1363" i="1"/>
  <c r="F1363" i="1"/>
  <c r="G1363" i="1"/>
  <c r="H1363" i="1"/>
  <c r="A1364" i="1"/>
  <c r="B1364" i="1"/>
  <c r="C1364" i="1"/>
  <c r="D1364" i="1"/>
  <c r="E1364" i="1"/>
  <c r="F1364" i="1"/>
  <c r="G1364" i="1"/>
  <c r="H1364" i="1"/>
  <c r="A1365" i="1"/>
  <c r="B1365" i="1"/>
  <c r="C1365" i="1"/>
  <c r="D1365" i="1"/>
  <c r="E1365" i="1"/>
  <c r="F1365" i="1"/>
  <c r="G1365" i="1"/>
  <c r="H1365" i="1"/>
  <c r="A1366" i="1"/>
  <c r="B1366" i="1"/>
  <c r="C1366" i="1"/>
  <c r="D1366" i="1"/>
  <c r="E1366" i="1"/>
  <c r="F1366" i="1"/>
  <c r="G1366" i="1"/>
  <c r="H1366" i="1"/>
  <c r="A1367" i="1"/>
  <c r="B1367" i="1"/>
  <c r="C1367" i="1"/>
  <c r="D1367" i="1"/>
  <c r="E1367" i="1"/>
  <c r="F1367" i="1"/>
  <c r="G1367" i="1"/>
  <c r="H1367" i="1"/>
  <c r="A1368" i="1"/>
  <c r="B1368" i="1"/>
  <c r="C1368" i="1"/>
  <c r="D1368" i="1"/>
  <c r="E1368" i="1"/>
  <c r="F1368" i="1"/>
  <c r="G1368" i="1"/>
  <c r="H1368" i="1"/>
  <c r="A1369" i="1"/>
  <c r="B1369" i="1"/>
  <c r="C1369" i="1"/>
  <c r="D1369" i="1"/>
  <c r="E1369" i="1"/>
  <c r="F1369" i="1"/>
  <c r="G1369" i="1"/>
  <c r="H1369" i="1"/>
  <c r="A1370" i="1"/>
  <c r="B1370" i="1"/>
  <c r="C1370" i="1"/>
  <c r="D1370" i="1"/>
  <c r="E1370" i="1"/>
  <c r="F1370" i="1"/>
  <c r="G1370" i="1"/>
  <c r="H1370" i="1"/>
  <c r="A1371" i="1"/>
  <c r="B1371" i="1"/>
  <c r="C1371" i="1"/>
  <c r="D1371" i="1"/>
  <c r="E1371" i="1"/>
  <c r="F1371" i="1"/>
  <c r="G1371" i="1"/>
  <c r="H1371" i="1"/>
  <c r="A1372" i="1"/>
  <c r="B1372" i="1"/>
  <c r="C1372" i="1"/>
  <c r="D1372" i="1"/>
  <c r="E1372" i="1"/>
  <c r="F1372" i="1"/>
  <c r="G1372" i="1"/>
  <c r="H1372" i="1"/>
  <c r="A1373" i="1"/>
  <c r="B1373" i="1"/>
  <c r="C1373" i="1"/>
  <c r="D1373" i="1"/>
  <c r="E1373" i="1"/>
  <c r="F1373" i="1"/>
  <c r="G1373" i="1"/>
  <c r="H1373" i="1"/>
  <c r="A1374" i="1"/>
  <c r="B1374" i="1"/>
  <c r="C1374" i="1"/>
  <c r="D1374" i="1"/>
  <c r="E1374" i="1"/>
  <c r="F1374" i="1"/>
  <c r="G1374" i="1"/>
  <c r="H1374" i="1"/>
  <c r="A1375" i="1"/>
  <c r="B1375" i="1"/>
  <c r="C1375" i="1"/>
  <c r="D1375" i="1"/>
  <c r="E1375" i="1"/>
  <c r="F1375" i="1"/>
  <c r="G1375" i="1"/>
  <c r="H1375" i="1"/>
  <c r="A1376" i="1"/>
  <c r="B1376" i="1"/>
  <c r="C1376" i="1"/>
  <c r="D1376" i="1"/>
  <c r="E1376" i="1"/>
  <c r="F1376" i="1"/>
  <c r="G1376" i="1"/>
  <c r="H1376" i="1"/>
  <c r="A1377" i="1"/>
  <c r="B1377" i="1"/>
  <c r="C1377" i="1"/>
  <c r="D1377" i="1"/>
  <c r="E1377" i="1"/>
  <c r="F1377" i="1"/>
  <c r="G1377" i="1"/>
  <c r="H1377" i="1"/>
  <c r="A1378" i="1"/>
  <c r="B1378" i="1"/>
  <c r="C1378" i="1"/>
  <c r="D1378" i="1"/>
  <c r="E1378" i="1"/>
  <c r="F1378" i="1"/>
  <c r="G1378" i="1"/>
  <c r="H1378" i="1"/>
  <c r="A1379" i="1"/>
  <c r="B1379" i="1"/>
  <c r="C1379" i="1"/>
  <c r="D1379" i="1"/>
  <c r="E1379" i="1"/>
  <c r="F1379" i="1"/>
  <c r="G1379" i="1"/>
  <c r="H1379" i="1"/>
  <c r="A1380" i="1"/>
  <c r="B1380" i="1"/>
  <c r="C1380" i="1"/>
  <c r="D1380" i="1"/>
  <c r="E1380" i="1"/>
  <c r="F1380" i="1"/>
  <c r="G1380" i="1"/>
  <c r="H1380" i="1"/>
  <c r="A1381" i="1"/>
  <c r="B1381" i="1"/>
  <c r="C1381" i="1"/>
  <c r="D1381" i="1"/>
  <c r="E1381" i="1"/>
  <c r="F1381" i="1"/>
  <c r="G1381" i="1"/>
  <c r="H1381" i="1"/>
  <c r="A1382" i="1"/>
  <c r="B1382" i="1"/>
  <c r="C1382" i="1"/>
  <c r="D1382" i="1"/>
  <c r="E1382" i="1"/>
  <c r="F1382" i="1"/>
  <c r="G1382" i="1"/>
  <c r="H1382" i="1"/>
  <c r="A1383" i="1"/>
  <c r="B1383" i="1"/>
  <c r="C1383" i="1"/>
  <c r="D1383" i="1"/>
  <c r="E1383" i="1"/>
  <c r="F1383" i="1"/>
  <c r="G1383" i="1"/>
  <c r="H1383" i="1"/>
  <c r="A1384" i="1"/>
  <c r="B1384" i="1"/>
  <c r="C1384" i="1"/>
  <c r="D1384" i="1"/>
  <c r="E1384" i="1"/>
  <c r="F1384" i="1"/>
  <c r="G1384" i="1"/>
  <c r="H1384" i="1"/>
  <c r="A1385" i="1"/>
  <c r="B1385" i="1"/>
  <c r="C1385" i="1"/>
  <c r="D1385" i="1"/>
  <c r="E1385" i="1"/>
  <c r="F1385" i="1"/>
  <c r="G1385" i="1"/>
  <c r="H1385" i="1"/>
  <c r="A1386" i="1"/>
  <c r="B1386" i="1"/>
  <c r="C1386" i="1"/>
  <c r="D1386" i="1"/>
  <c r="E1386" i="1"/>
  <c r="F1386" i="1"/>
  <c r="G1386" i="1"/>
  <c r="H1386" i="1"/>
  <c r="A1387" i="1"/>
  <c r="B1387" i="1"/>
  <c r="C1387" i="1"/>
  <c r="D1387" i="1"/>
  <c r="E1387" i="1"/>
  <c r="F1387" i="1"/>
  <c r="G1387" i="1"/>
  <c r="H1387" i="1"/>
  <c r="A1388" i="1"/>
  <c r="B1388" i="1"/>
  <c r="C1388" i="1"/>
  <c r="D1388" i="1"/>
  <c r="E1388" i="1"/>
  <c r="F1388" i="1"/>
  <c r="G1388" i="1"/>
  <c r="H1388" i="1"/>
  <c r="A1389" i="1"/>
  <c r="B1389" i="1"/>
  <c r="C1389" i="1"/>
  <c r="D1389" i="1"/>
  <c r="E1389" i="1"/>
  <c r="F1389" i="1"/>
  <c r="G1389" i="1"/>
  <c r="H1389" i="1"/>
  <c r="A1390" i="1"/>
  <c r="B1390" i="1"/>
  <c r="C1390" i="1"/>
  <c r="D1390" i="1"/>
  <c r="E1390" i="1"/>
  <c r="F1390" i="1"/>
  <c r="G1390" i="1"/>
  <c r="H1390" i="1"/>
  <c r="A1391" i="1"/>
  <c r="B1391" i="1"/>
  <c r="C1391" i="1"/>
  <c r="D1391" i="1"/>
  <c r="E1391" i="1"/>
  <c r="F1391" i="1"/>
  <c r="G1391" i="1"/>
  <c r="H1391" i="1"/>
  <c r="A1392" i="1"/>
  <c r="B1392" i="1"/>
  <c r="C1392" i="1"/>
  <c r="D1392" i="1"/>
  <c r="E1392" i="1"/>
  <c r="F1392" i="1"/>
  <c r="G1392" i="1"/>
  <c r="H1392" i="1"/>
  <c r="A1393" i="1"/>
  <c r="B1393" i="1"/>
  <c r="C1393" i="1"/>
  <c r="D1393" i="1"/>
  <c r="E1393" i="1"/>
  <c r="F1393" i="1"/>
  <c r="G1393" i="1"/>
  <c r="H1393" i="1"/>
  <c r="A1394" i="1"/>
  <c r="B1394" i="1"/>
  <c r="C1394" i="1"/>
  <c r="D1394" i="1"/>
  <c r="E1394" i="1"/>
  <c r="F1394" i="1"/>
  <c r="G1394" i="1"/>
  <c r="H1394" i="1"/>
  <c r="A1395" i="1"/>
  <c r="B1395" i="1"/>
  <c r="C1395" i="1"/>
  <c r="D1395" i="1"/>
  <c r="E1395" i="1"/>
  <c r="F1395" i="1"/>
  <c r="G1395" i="1"/>
  <c r="H1395" i="1"/>
  <c r="A1396" i="1"/>
  <c r="B1396" i="1"/>
  <c r="C1396" i="1"/>
  <c r="D1396" i="1"/>
  <c r="E1396" i="1"/>
  <c r="F1396" i="1"/>
  <c r="G1396" i="1"/>
  <c r="H1396" i="1"/>
  <c r="A1397" i="1"/>
  <c r="B1397" i="1"/>
  <c r="C1397" i="1"/>
  <c r="D1397" i="1"/>
  <c r="E1397" i="1"/>
  <c r="F1397" i="1"/>
  <c r="G1397" i="1"/>
  <c r="H1397" i="1"/>
  <c r="A1398" i="1"/>
  <c r="B1398" i="1"/>
  <c r="C1398" i="1"/>
  <c r="D1398" i="1"/>
  <c r="E1398" i="1"/>
  <c r="F1398" i="1"/>
  <c r="G1398" i="1"/>
  <c r="H1398" i="1"/>
  <c r="A1399" i="1"/>
  <c r="B1399" i="1"/>
  <c r="C1399" i="1"/>
  <c r="D1399" i="1"/>
  <c r="E1399" i="1"/>
  <c r="F1399" i="1"/>
  <c r="G1399" i="1"/>
  <c r="H1399" i="1"/>
  <c r="A1400" i="1"/>
  <c r="B1400" i="1"/>
  <c r="C1400" i="1"/>
  <c r="D1400" i="1"/>
  <c r="E1400" i="1"/>
  <c r="F1400" i="1"/>
  <c r="G1400" i="1"/>
  <c r="H1400" i="1"/>
  <c r="A1401" i="1"/>
  <c r="B1401" i="1"/>
  <c r="C1401" i="1"/>
  <c r="D1401" i="1"/>
  <c r="E1401" i="1"/>
  <c r="F1401" i="1"/>
  <c r="G1401" i="1"/>
  <c r="H1401" i="1"/>
  <c r="A1402" i="1"/>
  <c r="B1402" i="1"/>
  <c r="C1402" i="1"/>
  <c r="D1402" i="1"/>
  <c r="E1402" i="1"/>
  <c r="F1402" i="1"/>
  <c r="G1402" i="1"/>
  <c r="H1402" i="1"/>
  <c r="A1403" i="1"/>
  <c r="B1403" i="1"/>
  <c r="C1403" i="1"/>
  <c r="D1403" i="1"/>
  <c r="E1403" i="1"/>
  <c r="F1403" i="1"/>
  <c r="G1403" i="1"/>
  <c r="H1403" i="1"/>
  <c r="A1404" i="1"/>
  <c r="B1404" i="1"/>
  <c r="C1404" i="1"/>
  <c r="D1404" i="1"/>
  <c r="E1404" i="1"/>
  <c r="F1404" i="1"/>
  <c r="G1404" i="1"/>
  <c r="H1404" i="1"/>
  <c r="A1405" i="1"/>
  <c r="B1405" i="1"/>
  <c r="C1405" i="1"/>
  <c r="D1405" i="1"/>
  <c r="E1405" i="1"/>
  <c r="F1405" i="1"/>
  <c r="G1405" i="1"/>
  <c r="H1405" i="1"/>
  <c r="A1406" i="1"/>
  <c r="B1406" i="1"/>
  <c r="C1406" i="1"/>
  <c r="D1406" i="1"/>
  <c r="E1406" i="1"/>
  <c r="F1406" i="1"/>
  <c r="G1406" i="1"/>
  <c r="H1406" i="1"/>
  <c r="A1407" i="1"/>
  <c r="B1407" i="1"/>
  <c r="C1407" i="1"/>
  <c r="D1407" i="1"/>
  <c r="E1407" i="1"/>
  <c r="F1407" i="1"/>
  <c r="G1407" i="1"/>
  <c r="H1407" i="1"/>
  <c r="A1408" i="1"/>
  <c r="B1408" i="1"/>
  <c r="C1408" i="1"/>
  <c r="D1408" i="1"/>
  <c r="E1408" i="1"/>
  <c r="F1408" i="1"/>
  <c r="G1408" i="1"/>
  <c r="H1408" i="1"/>
  <c r="A1409" i="1"/>
  <c r="B1409" i="1"/>
  <c r="C1409" i="1"/>
  <c r="D1409" i="1"/>
  <c r="E1409" i="1"/>
  <c r="F1409" i="1"/>
  <c r="G1409" i="1"/>
  <c r="H1409" i="1"/>
  <c r="A1410" i="1"/>
  <c r="B1410" i="1"/>
  <c r="C1410" i="1"/>
  <c r="D1410" i="1"/>
  <c r="E1410" i="1"/>
  <c r="F1410" i="1"/>
  <c r="G1410" i="1"/>
  <c r="H1410" i="1"/>
  <c r="A1411" i="1"/>
  <c r="B1411" i="1"/>
  <c r="C1411" i="1"/>
  <c r="D1411" i="1"/>
  <c r="E1411" i="1"/>
  <c r="F1411" i="1"/>
  <c r="G1411" i="1"/>
  <c r="H1411" i="1"/>
  <c r="A1412" i="1"/>
  <c r="B1412" i="1"/>
  <c r="C1412" i="1"/>
  <c r="D1412" i="1"/>
  <c r="E1412" i="1"/>
  <c r="F1412" i="1"/>
  <c r="G1412" i="1"/>
  <c r="H1412" i="1"/>
  <c r="A1413" i="1"/>
  <c r="B1413" i="1"/>
  <c r="C1413" i="1"/>
  <c r="D1413" i="1"/>
  <c r="E1413" i="1"/>
  <c r="F1413" i="1"/>
  <c r="G1413" i="1"/>
  <c r="H1413" i="1"/>
  <c r="A1414" i="1"/>
  <c r="B1414" i="1"/>
  <c r="C1414" i="1"/>
  <c r="D1414" i="1"/>
  <c r="E1414" i="1"/>
  <c r="F1414" i="1"/>
  <c r="G1414" i="1"/>
  <c r="H1414" i="1"/>
  <c r="A1415" i="1"/>
  <c r="B1415" i="1"/>
  <c r="C1415" i="1"/>
  <c r="D1415" i="1"/>
  <c r="E1415" i="1"/>
  <c r="F1415" i="1"/>
  <c r="G1415" i="1"/>
  <c r="H1415" i="1"/>
  <c r="A1416" i="1"/>
  <c r="B1416" i="1"/>
  <c r="C1416" i="1"/>
  <c r="D1416" i="1"/>
  <c r="E1416" i="1"/>
  <c r="F1416" i="1"/>
  <c r="G1416" i="1"/>
  <c r="H1416" i="1"/>
  <c r="A1417" i="1"/>
  <c r="B1417" i="1"/>
  <c r="C1417" i="1"/>
  <c r="D1417" i="1"/>
  <c r="E1417" i="1"/>
  <c r="F1417" i="1"/>
  <c r="G1417" i="1"/>
  <c r="H1417" i="1"/>
  <c r="A1418" i="1"/>
  <c r="B1418" i="1"/>
  <c r="C1418" i="1"/>
  <c r="D1418" i="1"/>
  <c r="E1418" i="1"/>
  <c r="F1418" i="1"/>
  <c r="G1418" i="1"/>
  <c r="H1418" i="1"/>
  <c r="A1419" i="1"/>
  <c r="B1419" i="1"/>
  <c r="C1419" i="1"/>
  <c r="D1419" i="1"/>
  <c r="E1419" i="1"/>
  <c r="F1419" i="1"/>
  <c r="G1419" i="1"/>
  <c r="H1419" i="1"/>
  <c r="A1420" i="1"/>
  <c r="B1420" i="1"/>
  <c r="C1420" i="1"/>
  <c r="D1420" i="1"/>
  <c r="E1420" i="1"/>
  <c r="F1420" i="1"/>
  <c r="G1420" i="1"/>
  <c r="H1420" i="1"/>
  <c r="A1421" i="1"/>
  <c r="B1421" i="1"/>
  <c r="C1421" i="1"/>
  <c r="D1421" i="1"/>
  <c r="E1421" i="1"/>
  <c r="F1421" i="1"/>
  <c r="G1421" i="1"/>
  <c r="H1421" i="1"/>
  <c r="A1422" i="1"/>
  <c r="B1422" i="1"/>
  <c r="C1422" i="1"/>
  <c r="D1422" i="1"/>
  <c r="E1422" i="1"/>
  <c r="F1422" i="1"/>
  <c r="G1422" i="1"/>
  <c r="H1422" i="1"/>
  <c r="A1423" i="1"/>
  <c r="B1423" i="1"/>
  <c r="C1423" i="1"/>
  <c r="D1423" i="1"/>
  <c r="E1423" i="1"/>
  <c r="F1423" i="1"/>
  <c r="G1423" i="1"/>
  <c r="H1423" i="1"/>
  <c r="A1424" i="1"/>
  <c r="B1424" i="1"/>
  <c r="C1424" i="1"/>
  <c r="D1424" i="1"/>
  <c r="E1424" i="1"/>
  <c r="F1424" i="1"/>
  <c r="G1424" i="1"/>
  <c r="H1424" i="1"/>
  <c r="A1425" i="1"/>
  <c r="B1425" i="1"/>
  <c r="C1425" i="1"/>
  <c r="D1425" i="1"/>
  <c r="E1425" i="1"/>
  <c r="F1425" i="1"/>
  <c r="G1425" i="1"/>
  <c r="H1425" i="1"/>
  <c r="A1426" i="1"/>
  <c r="B1426" i="1"/>
  <c r="C1426" i="1"/>
  <c r="D1426" i="1"/>
  <c r="E1426" i="1"/>
  <c r="F1426" i="1"/>
  <c r="G1426" i="1"/>
  <c r="H1426" i="1"/>
  <c r="A1427" i="1"/>
  <c r="B1427" i="1"/>
  <c r="C1427" i="1"/>
  <c r="D1427" i="1"/>
  <c r="E1427" i="1"/>
  <c r="F1427" i="1"/>
  <c r="G1427" i="1"/>
  <c r="H1427" i="1"/>
  <c r="A1428" i="1"/>
  <c r="B1428" i="1"/>
  <c r="C1428" i="1"/>
  <c r="D1428" i="1"/>
  <c r="E1428" i="1"/>
  <c r="F1428" i="1"/>
  <c r="G1428" i="1"/>
  <c r="H1428" i="1"/>
  <c r="A1429" i="1"/>
  <c r="B1429" i="1"/>
  <c r="C1429" i="1"/>
  <c r="D1429" i="1"/>
  <c r="E1429" i="1"/>
  <c r="F1429" i="1"/>
  <c r="G1429" i="1"/>
  <c r="H1429" i="1"/>
  <c r="A1430" i="1"/>
  <c r="B1430" i="1"/>
  <c r="C1430" i="1"/>
  <c r="D1430" i="1"/>
  <c r="E1430" i="1"/>
  <c r="F1430" i="1"/>
  <c r="G1430" i="1"/>
  <c r="H1430" i="1"/>
  <c r="A1431" i="1"/>
  <c r="B1431" i="1"/>
  <c r="C1431" i="1"/>
  <c r="D1431" i="1"/>
  <c r="E1431" i="1"/>
  <c r="F1431" i="1"/>
  <c r="G1431" i="1"/>
  <c r="H1431" i="1"/>
  <c r="A1432" i="1"/>
  <c r="B1432" i="1"/>
  <c r="C1432" i="1"/>
  <c r="D1432" i="1"/>
  <c r="E1432" i="1"/>
  <c r="F1432" i="1"/>
  <c r="G1432" i="1"/>
  <c r="H1432" i="1"/>
  <c r="A1433" i="1"/>
  <c r="B1433" i="1"/>
  <c r="C1433" i="1"/>
  <c r="D1433" i="1"/>
  <c r="E1433" i="1"/>
  <c r="F1433" i="1"/>
  <c r="G1433" i="1"/>
  <c r="H1433" i="1"/>
  <c r="A1434" i="1"/>
  <c r="B1434" i="1"/>
  <c r="C1434" i="1"/>
  <c r="D1434" i="1"/>
  <c r="E1434" i="1"/>
  <c r="F1434" i="1"/>
  <c r="G1434" i="1"/>
  <c r="H1434" i="1"/>
  <c r="A1435" i="1"/>
  <c r="B1435" i="1"/>
  <c r="C1435" i="1"/>
  <c r="D1435" i="1"/>
  <c r="E1435" i="1"/>
  <c r="F1435" i="1"/>
  <c r="G1435" i="1"/>
  <c r="H1435" i="1"/>
  <c r="A1436" i="1"/>
  <c r="B1436" i="1"/>
  <c r="C1436" i="1"/>
  <c r="D1436" i="1"/>
  <c r="E1436" i="1"/>
  <c r="F1436" i="1"/>
  <c r="G1436" i="1"/>
  <c r="H1436" i="1"/>
  <c r="A1437" i="1"/>
  <c r="B1437" i="1"/>
  <c r="C1437" i="1"/>
  <c r="D1437" i="1"/>
  <c r="E1437" i="1"/>
  <c r="F1437" i="1"/>
  <c r="G1437" i="1"/>
  <c r="H1437" i="1"/>
  <c r="A1438" i="1"/>
  <c r="B1438" i="1"/>
  <c r="C1438" i="1"/>
  <c r="D1438" i="1"/>
  <c r="E1438" i="1"/>
  <c r="F1438" i="1"/>
  <c r="G1438" i="1"/>
  <c r="H1438" i="1"/>
  <c r="A1439" i="1"/>
  <c r="B1439" i="1"/>
  <c r="C1439" i="1"/>
  <c r="D1439" i="1"/>
  <c r="E1439" i="1"/>
  <c r="F1439" i="1"/>
  <c r="G1439" i="1"/>
  <c r="H1439" i="1"/>
  <c r="A1440" i="1"/>
  <c r="B1440" i="1"/>
  <c r="C1440" i="1"/>
  <c r="D1440" i="1"/>
  <c r="E1440" i="1"/>
  <c r="F1440" i="1"/>
  <c r="G1440" i="1"/>
  <c r="H1440" i="1"/>
  <c r="A1441" i="1"/>
  <c r="B1441" i="1"/>
  <c r="C1441" i="1"/>
  <c r="D1441" i="1"/>
  <c r="E1441" i="1"/>
  <c r="F1441" i="1"/>
  <c r="G1441" i="1"/>
  <c r="H1441" i="1"/>
  <c r="A1442" i="1"/>
  <c r="B1442" i="1"/>
  <c r="C1442" i="1"/>
  <c r="D1442" i="1"/>
  <c r="E1442" i="1"/>
  <c r="F1442" i="1"/>
  <c r="G1442" i="1"/>
  <c r="H1442" i="1"/>
  <c r="A1443" i="1"/>
  <c r="B1443" i="1"/>
  <c r="C1443" i="1"/>
  <c r="D1443" i="1"/>
  <c r="E1443" i="1"/>
  <c r="F1443" i="1"/>
  <c r="G1443" i="1"/>
  <c r="H1443" i="1"/>
  <c r="A1444" i="1"/>
  <c r="B1444" i="1"/>
  <c r="C1444" i="1"/>
  <c r="D1444" i="1"/>
  <c r="E1444" i="1"/>
  <c r="F1444" i="1"/>
  <c r="G1444" i="1"/>
  <c r="H1444" i="1"/>
  <c r="A1445" i="1"/>
  <c r="B1445" i="1"/>
  <c r="C1445" i="1"/>
  <c r="D1445" i="1"/>
  <c r="E1445" i="1"/>
  <c r="F1445" i="1"/>
  <c r="G1445" i="1"/>
  <c r="H1445" i="1"/>
  <c r="A1446" i="1"/>
  <c r="B1446" i="1"/>
  <c r="C1446" i="1"/>
  <c r="D1446" i="1"/>
  <c r="E1446" i="1"/>
  <c r="F1446" i="1"/>
  <c r="G1446" i="1"/>
  <c r="H1446" i="1"/>
  <c r="A1447" i="1"/>
  <c r="B1447" i="1"/>
  <c r="C1447" i="1"/>
  <c r="D1447" i="1"/>
  <c r="E1447" i="1"/>
  <c r="F1447" i="1"/>
  <c r="G1447" i="1"/>
  <c r="H1447" i="1"/>
  <c r="A1448" i="1"/>
  <c r="B1448" i="1"/>
  <c r="C1448" i="1"/>
  <c r="D1448" i="1"/>
  <c r="E1448" i="1"/>
  <c r="F1448" i="1"/>
  <c r="G1448" i="1"/>
  <c r="H1448" i="1"/>
  <c r="A1449" i="1"/>
  <c r="B1449" i="1"/>
  <c r="C1449" i="1"/>
  <c r="D1449" i="1"/>
  <c r="E1449" i="1"/>
  <c r="F1449" i="1"/>
  <c r="G1449" i="1"/>
  <c r="H1449" i="1"/>
  <c r="A1450" i="1"/>
  <c r="B1450" i="1"/>
  <c r="C1450" i="1"/>
  <c r="D1450" i="1"/>
  <c r="E1450" i="1"/>
  <c r="F1450" i="1"/>
  <c r="G1450" i="1"/>
  <c r="H1450" i="1"/>
  <c r="A1451" i="1"/>
  <c r="B1451" i="1"/>
  <c r="C1451" i="1"/>
  <c r="D1451" i="1"/>
  <c r="E1451" i="1"/>
  <c r="F1451" i="1"/>
  <c r="G1451" i="1"/>
  <c r="H1451" i="1"/>
  <c r="A1452" i="1"/>
  <c r="B1452" i="1"/>
  <c r="C1452" i="1"/>
  <c r="D1452" i="1"/>
  <c r="E1452" i="1"/>
  <c r="F1452" i="1"/>
  <c r="G1452" i="1"/>
  <c r="H1452" i="1"/>
  <c r="A1453" i="1"/>
  <c r="B1453" i="1"/>
  <c r="C1453" i="1"/>
  <c r="D1453" i="1"/>
  <c r="E1453" i="1"/>
  <c r="F1453" i="1"/>
  <c r="G1453" i="1"/>
  <c r="H1453" i="1"/>
  <c r="A1454" i="1"/>
  <c r="B1454" i="1"/>
  <c r="C1454" i="1"/>
  <c r="D1454" i="1"/>
  <c r="E1454" i="1"/>
  <c r="F1454" i="1"/>
  <c r="G1454" i="1"/>
  <c r="H1454" i="1"/>
  <c r="A1455" i="1"/>
  <c r="B1455" i="1"/>
  <c r="C1455" i="1"/>
  <c r="D1455" i="1"/>
  <c r="E1455" i="1"/>
  <c r="F1455" i="1"/>
  <c r="G1455" i="1"/>
  <c r="H1455" i="1"/>
  <c r="A1456" i="1"/>
  <c r="B1456" i="1"/>
  <c r="C1456" i="1"/>
  <c r="D1456" i="1"/>
  <c r="E1456" i="1"/>
  <c r="F1456" i="1"/>
  <c r="G1456" i="1"/>
  <c r="H1456" i="1"/>
  <c r="A1457" i="1"/>
  <c r="B1457" i="1"/>
  <c r="C1457" i="1"/>
  <c r="D1457" i="1"/>
  <c r="E1457" i="1"/>
  <c r="F1457" i="1"/>
  <c r="G1457" i="1"/>
  <c r="H1457" i="1"/>
  <c r="A1458" i="1"/>
  <c r="B1458" i="1"/>
  <c r="C1458" i="1"/>
  <c r="D1458" i="1"/>
  <c r="E1458" i="1"/>
  <c r="F1458" i="1"/>
  <c r="G1458" i="1"/>
  <c r="H1458" i="1"/>
  <c r="A1459" i="1"/>
  <c r="B1459" i="1"/>
  <c r="C1459" i="1"/>
  <c r="D1459" i="1"/>
  <c r="E1459" i="1"/>
  <c r="F1459" i="1"/>
  <c r="G1459" i="1"/>
  <c r="H1459" i="1"/>
  <c r="A1460" i="1"/>
  <c r="B1460" i="1"/>
  <c r="C1460" i="1"/>
  <c r="D1460" i="1"/>
  <c r="E1460" i="1"/>
  <c r="F1460" i="1"/>
  <c r="G1460" i="1"/>
  <c r="H1460" i="1"/>
  <c r="A1461" i="1"/>
  <c r="B1461" i="1"/>
  <c r="C1461" i="1"/>
  <c r="D1461" i="1"/>
  <c r="E1461" i="1"/>
  <c r="F1461" i="1"/>
  <c r="G1461" i="1"/>
  <c r="H1461" i="1"/>
  <c r="A1462" i="1"/>
  <c r="B1462" i="1"/>
  <c r="C1462" i="1"/>
  <c r="D1462" i="1"/>
  <c r="E1462" i="1"/>
  <c r="F1462" i="1"/>
  <c r="G1462" i="1"/>
  <c r="H1462" i="1"/>
  <c r="A1463" i="1"/>
  <c r="B1463" i="1"/>
  <c r="C1463" i="1"/>
  <c r="D1463" i="1"/>
  <c r="E1463" i="1"/>
  <c r="F1463" i="1"/>
  <c r="G1463" i="1"/>
  <c r="H1463" i="1"/>
  <c r="A1464" i="1"/>
  <c r="B1464" i="1"/>
  <c r="C1464" i="1"/>
  <c r="D1464" i="1"/>
  <c r="E1464" i="1"/>
  <c r="F1464" i="1"/>
  <c r="G1464" i="1"/>
  <c r="H1464" i="1"/>
  <c r="A1465" i="1"/>
  <c r="B1465" i="1"/>
  <c r="C1465" i="1"/>
  <c r="D1465" i="1"/>
  <c r="E1465" i="1"/>
  <c r="F1465" i="1"/>
  <c r="G1465" i="1"/>
  <c r="H1465" i="1"/>
  <c r="A1466" i="1"/>
  <c r="B1466" i="1"/>
  <c r="C1466" i="1"/>
  <c r="D1466" i="1"/>
  <c r="E1466" i="1"/>
  <c r="F1466" i="1"/>
  <c r="G1466" i="1"/>
  <c r="H1466" i="1"/>
  <c r="A1467" i="1"/>
  <c r="B1467" i="1"/>
  <c r="C1467" i="1"/>
  <c r="D1467" i="1"/>
  <c r="E1467" i="1"/>
  <c r="F1467" i="1"/>
  <c r="G1467" i="1"/>
  <c r="H1467" i="1"/>
  <c r="A1468" i="1"/>
  <c r="B1468" i="1"/>
  <c r="C1468" i="1"/>
  <c r="D1468" i="1"/>
  <c r="E1468" i="1"/>
  <c r="F1468" i="1"/>
  <c r="G1468" i="1"/>
  <c r="H1468" i="1"/>
  <c r="A1469" i="1"/>
  <c r="B1469" i="1"/>
  <c r="C1469" i="1"/>
  <c r="D1469" i="1"/>
  <c r="E1469" i="1"/>
  <c r="F1469" i="1"/>
  <c r="G1469" i="1"/>
  <c r="H1469" i="1"/>
  <c r="A1470" i="1"/>
  <c r="B1470" i="1"/>
  <c r="C1470" i="1"/>
  <c r="D1470" i="1"/>
  <c r="E1470" i="1"/>
  <c r="F1470" i="1"/>
  <c r="G1470" i="1"/>
  <c r="H1470" i="1"/>
  <c r="A1471" i="1"/>
  <c r="B1471" i="1"/>
  <c r="C1471" i="1"/>
  <c r="D1471" i="1"/>
  <c r="E1471" i="1"/>
  <c r="F1471" i="1"/>
  <c r="G1471" i="1"/>
  <c r="H1471" i="1"/>
  <c r="A1472" i="1"/>
  <c r="B1472" i="1"/>
  <c r="C1472" i="1"/>
  <c r="D1472" i="1"/>
  <c r="E1472" i="1"/>
  <c r="F1472" i="1"/>
  <c r="G1472" i="1"/>
  <c r="H1472" i="1"/>
  <c r="A1473" i="1"/>
  <c r="B1473" i="1"/>
  <c r="C1473" i="1"/>
  <c r="D1473" i="1"/>
  <c r="E1473" i="1"/>
  <c r="F1473" i="1"/>
  <c r="G1473" i="1"/>
  <c r="H1473" i="1"/>
  <c r="A1474" i="1"/>
  <c r="B1474" i="1"/>
  <c r="C1474" i="1"/>
  <c r="D1474" i="1"/>
  <c r="E1474" i="1"/>
  <c r="F1474" i="1"/>
  <c r="G1474" i="1"/>
  <c r="H1474" i="1"/>
  <c r="A1475" i="1"/>
  <c r="B1475" i="1"/>
  <c r="C1475" i="1"/>
  <c r="D1475" i="1"/>
  <c r="E1475" i="1"/>
  <c r="F1475" i="1"/>
  <c r="G1475" i="1"/>
  <c r="H1475" i="1"/>
  <c r="A1476" i="1"/>
  <c r="B1476" i="1"/>
  <c r="C1476" i="1"/>
  <c r="D1476" i="1"/>
  <c r="E1476" i="1"/>
  <c r="F1476" i="1"/>
  <c r="G1476" i="1"/>
  <c r="H1476" i="1"/>
  <c r="A1477" i="1"/>
  <c r="B1477" i="1"/>
  <c r="C1477" i="1"/>
  <c r="D1477" i="1"/>
  <c r="E1477" i="1"/>
  <c r="F1477" i="1"/>
  <c r="G1477" i="1"/>
  <c r="H1477" i="1"/>
  <c r="A1478" i="1"/>
  <c r="B1478" i="1"/>
  <c r="C1478" i="1"/>
  <c r="D1478" i="1"/>
  <c r="E1478" i="1"/>
  <c r="F1478" i="1"/>
  <c r="G1478" i="1"/>
  <c r="H1478" i="1"/>
  <c r="A1479" i="1"/>
  <c r="B1479" i="1"/>
  <c r="C1479" i="1"/>
  <c r="D1479" i="1"/>
  <c r="E1479" i="1"/>
  <c r="F1479" i="1"/>
  <c r="G1479" i="1"/>
  <c r="H1479" i="1"/>
  <c r="A1480" i="1"/>
  <c r="B1480" i="1"/>
  <c r="C1480" i="1"/>
  <c r="D1480" i="1"/>
  <c r="E1480" i="1"/>
  <c r="F1480" i="1"/>
  <c r="G1480" i="1"/>
  <c r="H1480" i="1"/>
  <c r="A1481" i="1"/>
  <c r="B1481" i="1"/>
  <c r="C1481" i="1"/>
  <c r="D1481" i="1"/>
  <c r="E1481" i="1"/>
  <c r="F1481" i="1"/>
  <c r="G1481" i="1"/>
  <c r="H1481" i="1"/>
  <c r="A1482" i="1"/>
  <c r="B1482" i="1"/>
  <c r="C1482" i="1"/>
  <c r="D1482" i="1"/>
  <c r="E1482" i="1"/>
  <c r="F1482" i="1"/>
  <c r="G1482" i="1"/>
  <c r="H1482" i="1"/>
  <c r="A1483" i="1"/>
  <c r="B1483" i="1"/>
  <c r="C1483" i="1"/>
  <c r="D1483" i="1"/>
  <c r="E1483" i="1"/>
  <c r="F1483" i="1"/>
  <c r="G1483" i="1"/>
  <c r="H1483" i="1"/>
  <c r="A1484" i="1"/>
  <c r="B1484" i="1"/>
  <c r="C1484" i="1"/>
  <c r="D1484" i="1"/>
  <c r="E1484" i="1"/>
  <c r="F1484" i="1"/>
  <c r="G1484" i="1"/>
  <c r="H1484" i="1"/>
  <c r="A1485" i="1"/>
  <c r="B1485" i="1"/>
  <c r="C1485" i="1"/>
  <c r="D1485" i="1"/>
  <c r="E1485" i="1"/>
  <c r="F1485" i="1"/>
  <c r="G1485" i="1"/>
  <c r="H1485" i="1"/>
  <c r="A1486" i="1"/>
  <c r="B1486" i="1"/>
  <c r="C1486" i="1"/>
  <c r="D1486" i="1"/>
  <c r="E1486" i="1"/>
  <c r="F1486" i="1"/>
  <c r="G1486" i="1"/>
  <c r="H1486" i="1"/>
  <c r="A1487" i="1"/>
  <c r="B1487" i="1"/>
  <c r="C1487" i="1"/>
  <c r="D1487" i="1"/>
  <c r="E1487" i="1"/>
  <c r="F1487" i="1"/>
  <c r="G1487" i="1"/>
  <c r="H1487" i="1"/>
  <c r="A1488" i="1"/>
  <c r="B1488" i="1"/>
  <c r="C1488" i="1"/>
  <c r="D1488" i="1"/>
  <c r="E1488" i="1"/>
  <c r="F1488" i="1"/>
  <c r="G1488" i="1"/>
  <c r="H1488" i="1"/>
  <c r="A1489" i="1"/>
  <c r="B1489" i="1"/>
  <c r="C1489" i="1"/>
  <c r="D1489" i="1"/>
  <c r="E1489" i="1"/>
  <c r="F1489" i="1"/>
  <c r="G1489" i="1"/>
  <c r="H1489" i="1"/>
  <c r="A1490" i="1"/>
  <c r="B1490" i="1"/>
  <c r="C1490" i="1"/>
  <c r="D1490" i="1"/>
  <c r="E1490" i="1"/>
  <c r="F1490" i="1"/>
  <c r="G1490" i="1"/>
  <c r="H1490" i="1"/>
  <c r="A1491" i="1"/>
  <c r="B1491" i="1"/>
  <c r="C1491" i="1"/>
  <c r="D1491" i="1"/>
  <c r="E1491" i="1"/>
  <c r="F1491" i="1"/>
  <c r="G1491" i="1"/>
  <c r="H1491" i="1"/>
  <c r="A1492" i="1"/>
  <c r="B1492" i="1"/>
  <c r="C1492" i="1"/>
  <c r="D1492" i="1"/>
  <c r="E1492" i="1"/>
  <c r="F1492" i="1"/>
  <c r="G1492" i="1"/>
  <c r="H1492" i="1"/>
  <c r="A1493" i="1"/>
  <c r="B1493" i="1"/>
  <c r="C1493" i="1"/>
  <c r="D1493" i="1"/>
  <c r="E1493" i="1"/>
  <c r="F1493" i="1"/>
  <c r="G1493" i="1"/>
  <c r="H1493" i="1"/>
  <c r="A1494" i="1"/>
  <c r="B1494" i="1"/>
  <c r="C1494" i="1"/>
  <c r="D1494" i="1"/>
  <c r="E1494" i="1"/>
  <c r="F1494" i="1"/>
  <c r="G1494" i="1"/>
  <c r="H1494" i="1"/>
  <c r="A1495" i="1"/>
  <c r="B1495" i="1"/>
  <c r="C1495" i="1"/>
  <c r="D1495" i="1"/>
  <c r="E1495" i="1"/>
  <c r="F1495" i="1"/>
  <c r="G1495" i="1"/>
  <c r="H1495" i="1"/>
  <c r="A1496" i="1"/>
  <c r="B1496" i="1"/>
  <c r="C1496" i="1"/>
  <c r="D1496" i="1"/>
  <c r="E1496" i="1"/>
  <c r="F1496" i="1"/>
  <c r="G1496" i="1"/>
  <c r="H1496" i="1"/>
  <c r="A1497" i="1"/>
  <c r="B1497" i="1"/>
  <c r="C1497" i="1"/>
  <c r="D1497" i="1"/>
  <c r="E1497" i="1"/>
  <c r="F1497" i="1"/>
  <c r="G1497" i="1"/>
  <c r="H1497" i="1"/>
  <c r="A1498" i="1"/>
  <c r="B1498" i="1"/>
  <c r="C1498" i="1"/>
  <c r="D1498" i="1"/>
  <c r="E1498" i="1"/>
  <c r="F1498" i="1"/>
  <c r="G1498" i="1"/>
  <c r="H1498" i="1"/>
  <c r="A1499" i="1"/>
  <c r="B1499" i="1"/>
  <c r="C1499" i="1"/>
  <c r="D1499" i="1"/>
  <c r="E1499" i="1"/>
  <c r="F1499" i="1"/>
  <c r="G1499" i="1"/>
  <c r="H1499" i="1"/>
  <c r="A1500" i="1"/>
  <c r="B1500" i="1"/>
  <c r="C1500" i="1"/>
  <c r="D1500" i="1"/>
  <c r="E1500" i="1"/>
  <c r="F1500" i="1"/>
  <c r="G1500" i="1"/>
  <c r="H1500" i="1"/>
  <c r="A1501" i="1"/>
  <c r="B1501" i="1"/>
  <c r="C1501" i="1"/>
  <c r="D1501" i="1"/>
  <c r="E1501" i="1"/>
  <c r="F1501" i="1"/>
  <c r="G1501" i="1"/>
  <c r="H1501" i="1"/>
  <c r="A1502" i="1"/>
  <c r="B1502" i="1"/>
  <c r="C1502" i="1"/>
  <c r="D1502" i="1"/>
  <c r="E1502" i="1"/>
  <c r="F1502" i="1"/>
  <c r="G1502" i="1"/>
  <c r="H1502" i="1"/>
  <c r="A1503" i="1"/>
  <c r="B1503" i="1"/>
  <c r="C1503" i="1"/>
  <c r="D1503" i="1"/>
  <c r="E1503" i="1"/>
  <c r="F1503" i="1"/>
  <c r="G1503" i="1"/>
  <c r="H1503" i="1"/>
  <c r="A1504" i="1"/>
  <c r="B1504" i="1"/>
  <c r="C1504" i="1"/>
  <c r="D1504" i="1"/>
  <c r="E1504" i="1"/>
  <c r="F1504" i="1"/>
  <c r="G1504" i="1"/>
  <c r="H1504" i="1"/>
  <c r="A1505" i="1"/>
  <c r="B1505" i="1"/>
  <c r="C1505" i="1"/>
  <c r="D1505" i="1"/>
  <c r="E1505" i="1"/>
  <c r="F1505" i="1"/>
  <c r="G1505" i="1"/>
  <c r="H1505" i="1"/>
  <c r="A1506" i="1"/>
  <c r="B1506" i="1"/>
  <c r="C1506" i="1"/>
  <c r="D1506" i="1"/>
  <c r="E1506" i="1"/>
  <c r="F1506" i="1"/>
  <c r="G1506" i="1"/>
  <c r="H1506" i="1"/>
  <c r="A1507" i="1"/>
  <c r="B1507" i="1"/>
  <c r="C1507" i="1"/>
  <c r="D1507" i="1"/>
  <c r="E1507" i="1"/>
  <c r="F1507" i="1"/>
  <c r="G1507" i="1"/>
  <c r="H1507" i="1"/>
  <c r="A1508" i="1"/>
  <c r="B1508" i="1"/>
  <c r="C1508" i="1"/>
  <c r="D1508" i="1"/>
  <c r="E1508" i="1"/>
  <c r="F1508" i="1"/>
  <c r="G1508" i="1"/>
  <c r="H1508" i="1"/>
  <c r="A1509" i="1"/>
  <c r="B1509" i="1"/>
  <c r="C1509" i="1"/>
  <c r="D1509" i="1"/>
  <c r="E1509" i="1"/>
  <c r="F1509" i="1"/>
  <c r="G1509" i="1"/>
  <c r="H1509" i="1"/>
  <c r="A1510" i="1"/>
  <c r="B1510" i="1"/>
  <c r="C1510" i="1"/>
  <c r="D1510" i="1"/>
  <c r="E1510" i="1"/>
  <c r="F1510" i="1"/>
  <c r="G1510" i="1"/>
  <c r="H1510" i="1"/>
  <c r="A1511" i="1"/>
  <c r="B1511" i="1"/>
  <c r="C1511" i="1"/>
  <c r="D1511" i="1"/>
  <c r="E1511" i="1"/>
  <c r="F1511" i="1"/>
  <c r="G1511" i="1"/>
  <c r="H1511" i="1"/>
  <c r="A1512" i="1"/>
  <c r="B1512" i="1"/>
  <c r="C1512" i="1"/>
  <c r="D1512" i="1"/>
  <c r="E1512" i="1"/>
  <c r="F1512" i="1"/>
  <c r="G1512" i="1"/>
  <c r="H1512" i="1"/>
  <c r="A1513" i="1"/>
  <c r="B1513" i="1"/>
  <c r="C1513" i="1"/>
  <c r="D1513" i="1"/>
  <c r="E1513" i="1"/>
  <c r="F1513" i="1"/>
  <c r="G1513" i="1"/>
  <c r="H1513" i="1"/>
  <c r="A1514" i="1"/>
  <c r="B1514" i="1"/>
  <c r="C1514" i="1"/>
  <c r="D1514" i="1"/>
  <c r="E1514" i="1"/>
  <c r="F1514" i="1"/>
  <c r="G1514" i="1"/>
  <c r="H1514" i="1"/>
  <c r="A1515" i="1"/>
  <c r="B1515" i="1"/>
  <c r="C1515" i="1"/>
  <c r="D1515" i="1"/>
  <c r="E1515" i="1"/>
  <c r="F1515" i="1"/>
  <c r="G1515" i="1"/>
  <c r="H1515" i="1"/>
  <c r="A1516" i="1"/>
  <c r="B1516" i="1"/>
  <c r="C1516" i="1"/>
  <c r="D1516" i="1"/>
  <c r="E1516" i="1"/>
  <c r="F1516" i="1"/>
  <c r="G1516" i="1"/>
  <c r="H1516" i="1"/>
  <c r="A1517" i="1"/>
  <c r="B1517" i="1"/>
  <c r="C1517" i="1"/>
  <c r="D1517" i="1"/>
  <c r="E1517" i="1"/>
  <c r="F1517" i="1"/>
  <c r="G1517" i="1"/>
  <c r="H1517" i="1"/>
  <c r="A1518" i="1"/>
  <c r="B1518" i="1"/>
  <c r="C1518" i="1"/>
  <c r="D1518" i="1"/>
  <c r="E1518" i="1"/>
  <c r="F1518" i="1"/>
  <c r="G1518" i="1"/>
  <c r="H1518" i="1"/>
  <c r="A1519" i="1"/>
  <c r="B1519" i="1"/>
  <c r="C1519" i="1"/>
  <c r="D1519" i="1"/>
  <c r="E1519" i="1"/>
  <c r="F1519" i="1"/>
  <c r="G1519" i="1"/>
  <c r="H1519" i="1"/>
  <c r="A1520" i="1"/>
  <c r="B1520" i="1"/>
  <c r="C1520" i="1"/>
  <c r="D1520" i="1"/>
  <c r="E1520" i="1"/>
  <c r="F1520" i="1"/>
  <c r="G1520" i="1"/>
  <c r="H1520" i="1"/>
  <c r="A1521" i="1"/>
  <c r="B1521" i="1"/>
  <c r="C1521" i="1"/>
  <c r="D1521" i="1"/>
  <c r="E1521" i="1"/>
  <c r="F1521" i="1"/>
  <c r="G1521" i="1"/>
  <c r="H1521" i="1"/>
  <c r="A1522" i="1"/>
  <c r="B1522" i="1"/>
  <c r="C1522" i="1"/>
  <c r="D1522" i="1"/>
  <c r="E1522" i="1"/>
  <c r="F1522" i="1"/>
  <c r="G1522" i="1"/>
  <c r="H1522" i="1"/>
  <c r="A1523" i="1"/>
  <c r="B1523" i="1"/>
  <c r="C1523" i="1"/>
  <c r="D1523" i="1"/>
  <c r="E1523" i="1"/>
  <c r="F1523" i="1"/>
  <c r="G1523" i="1"/>
  <c r="H1523" i="1"/>
  <c r="A1524" i="1"/>
  <c r="B1524" i="1"/>
  <c r="C1524" i="1"/>
  <c r="D1524" i="1"/>
  <c r="E1524" i="1"/>
  <c r="F1524" i="1"/>
  <c r="G1524" i="1"/>
  <c r="H1524" i="1"/>
  <c r="A1525" i="1"/>
  <c r="B1525" i="1"/>
  <c r="C1525" i="1"/>
  <c r="D1525" i="1"/>
  <c r="E1525" i="1"/>
  <c r="F1525" i="1"/>
  <c r="G1525" i="1"/>
  <c r="H1525" i="1"/>
  <c r="A1526" i="1"/>
  <c r="B1526" i="1"/>
  <c r="C1526" i="1"/>
  <c r="D1526" i="1"/>
  <c r="E1526" i="1"/>
  <c r="F1526" i="1"/>
  <c r="G1526" i="1"/>
  <c r="H1526" i="1"/>
  <c r="A1527" i="1"/>
  <c r="B1527" i="1"/>
  <c r="C1527" i="1"/>
  <c r="D1527" i="1"/>
  <c r="E1527" i="1"/>
  <c r="F1527" i="1"/>
  <c r="G1527" i="1"/>
  <c r="H1527" i="1"/>
  <c r="A1528" i="1"/>
  <c r="B1528" i="1"/>
  <c r="C1528" i="1"/>
  <c r="D1528" i="1"/>
  <c r="E1528" i="1"/>
  <c r="F1528" i="1"/>
  <c r="G1528" i="1"/>
  <c r="H1528" i="1"/>
  <c r="A1529" i="1"/>
  <c r="B1529" i="1"/>
  <c r="C1529" i="1"/>
  <c r="D1529" i="1"/>
  <c r="E1529" i="1"/>
  <c r="F1529" i="1"/>
  <c r="G1529" i="1"/>
  <c r="H1529" i="1"/>
  <c r="A1530" i="1"/>
  <c r="B1530" i="1"/>
  <c r="C1530" i="1"/>
  <c r="D1530" i="1"/>
  <c r="E1530" i="1"/>
  <c r="F1530" i="1"/>
  <c r="G1530" i="1"/>
  <c r="H1530" i="1"/>
  <c r="A1531" i="1"/>
  <c r="B1531" i="1"/>
  <c r="C1531" i="1"/>
  <c r="D1531" i="1"/>
  <c r="E1531" i="1"/>
  <c r="F1531" i="1"/>
  <c r="G1531" i="1"/>
  <c r="H1531" i="1"/>
  <c r="A1532" i="1"/>
  <c r="B1532" i="1"/>
  <c r="C1532" i="1"/>
  <c r="D1532" i="1"/>
  <c r="E1532" i="1"/>
  <c r="F1532" i="1"/>
  <c r="G1532" i="1"/>
  <c r="H1532" i="1"/>
  <c r="A1533" i="1"/>
  <c r="B1533" i="1"/>
  <c r="C1533" i="1"/>
  <c r="D1533" i="1"/>
  <c r="E1533" i="1"/>
  <c r="F1533" i="1"/>
  <c r="G1533" i="1"/>
  <c r="H1533" i="1"/>
  <c r="A1534" i="1"/>
  <c r="B1534" i="1"/>
  <c r="C1534" i="1"/>
  <c r="D1534" i="1"/>
  <c r="E1534" i="1"/>
  <c r="F1534" i="1"/>
  <c r="G1534" i="1"/>
  <c r="H1534" i="1"/>
  <c r="A1535" i="1"/>
  <c r="B1535" i="1"/>
  <c r="C1535" i="1"/>
  <c r="D1535" i="1"/>
  <c r="E1535" i="1"/>
  <c r="F1535" i="1"/>
  <c r="G1535" i="1"/>
  <c r="H1535" i="1"/>
  <c r="A1536" i="1"/>
  <c r="B1536" i="1"/>
  <c r="C1536" i="1"/>
  <c r="D1536" i="1"/>
  <c r="E1536" i="1"/>
  <c r="F1536" i="1"/>
  <c r="G1536" i="1"/>
  <c r="H1536" i="1"/>
  <c r="A1537" i="1"/>
  <c r="B1537" i="1"/>
  <c r="C1537" i="1"/>
  <c r="D1537" i="1"/>
  <c r="E1537" i="1"/>
  <c r="F1537" i="1"/>
  <c r="G1537" i="1"/>
  <c r="H1537" i="1"/>
  <c r="A1538" i="1"/>
  <c r="B1538" i="1"/>
  <c r="C1538" i="1"/>
  <c r="D1538" i="1"/>
  <c r="E1538" i="1"/>
  <c r="F1538" i="1"/>
  <c r="G1538" i="1"/>
  <c r="H1538" i="1"/>
  <c r="A1539" i="1"/>
  <c r="B1539" i="1"/>
  <c r="C1539" i="1"/>
  <c r="D1539" i="1"/>
  <c r="E1539" i="1"/>
  <c r="F1539" i="1"/>
  <c r="G1539" i="1"/>
  <c r="H1539" i="1"/>
  <c r="A1540" i="1"/>
  <c r="B1540" i="1"/>
  <c r="C1540" i="1"/>
  <c r="D1540" i="1"/>
  <c r="E1540" i="1"/>
  <c r="F1540" i="1"/>
  <c r="G1540" i="1"/>
  <c r="H1540" i="1"/>
  <c r="A1541" i="1"/>
  <c r="B1541" i="1"/>
  <c r="C1541" i="1"/>
  <c r="D1541" i="1"/>
  <c r="E1541" i="1"/>
  <c r="F1541" i="1"/>
  <c r="G1541" i="1"/>
  <c r="H1541" i="1"/>
  <c r="A1542" i="1"/>
  <c r="B1542" i="1"/>
  <c r="C1542" i="1"/>
  <c r="D1542" i="1"/>
  <c r="E1542" i="1"/>
  <c r="F1542" i="1"/>
  <c r="G1542" i="1"/>
  <c r="H1542" i="1"/>
  <c r="A1543" i="1"/>
  <c r="B1543" i="1"/>
  <c r="C1543" i="1"/>
  <c r="D1543" i="1"/>
  <c r="E1543" i="1"/>
  <c r="F1543" i="1"/>
  <c r="G1543" i="1"/>
  <c r="H1543" i="1"/>
  <c r="A1544" i="1"/>
  <c r="B1544" i="1"/>
  <c r="C1544" i="1"/>
  <c r="D1544" i="1"/>
  <c r="E1544" i="1"/>
  <c r="F1544" i="1"/>
  <c r="G1544" i="1"/>
  <c r="H1544" i="1"/>
  <c r="A1545" i="1"/>
  <c r="B1545" i="1"/>
  <c r="C1545" i="1"/>
  <c r="D1545" i="1"/>
  <c r="E1545" i="1"/>
  <c r="F1545" i="1"/>
  <c r="G1545" i="1"/>
  <c r="H1545" i="1"/>
  <c r="A1546" i="1"/>
  <c r="B1546" i="1"/>
  <c r="C1546" i="1"/>
  <c r="D1546" i="1"/>
  <c r="E1546" i="1"/>
  <c r="F1546" i="1"/>
  <c r="G1546" i="1"/>
  <c r="H1546" i="1"/>
  <c r="A1547" i="1"/>
  <c r="B1547" i="1"/>
  <c r="C1547" i="1"/>
  <c r="D1547" i="1"/>
  <c r="E1547" i="1"/>
  <c r="F1547" i="1"/>
  <c r="G1547" i="1"/>
  <c r="H1547" i="1"/>
  <c r="A1548" i="1"/>
  <c r="B1548" i="1"/>
  <c r="C1548" i="1"/>
  <c r="D1548" i="1"/>
  <c r="E1548" i="1"/>
  <c r="F1548" i="1"/>
  <c r="G1548" i="1"/>
  <c r="H1548" i="1"/>
  <c r="A1549" i="1"/>
  <c r="B1549" i="1"/>
  <c r="C1549" i="1"/>
  <c r="D1549" i="1"/>
  <c r="E1549" i="1"/>
  <c r="F1549" i="1"/>
  <c r="G1549" i="1"/>
  <c r="H1549" i="1"/>
  <c r="A1550" i="1"/>
  <c r="B1550" i="1"/>
  <c r="C1550" i="1"/>
  <c r="D1550" i="1"/>
  <c r="E1550" i="1"/>
  <c r="F1550" i="1"/>
  <c r="G1550" i="1"/>
  <c r="H1550" i="1"/>
  <c r="A1551" i="1"/>
  <c r="B1551" i="1"/>
  <c r="C1551" i="1"/>
  <c r="D1551" i="1"/>
  <c r="E1551" i="1"/>
  <c r="F1551" i="1"/>
  <c r="G1551" i="1"/>
  <c r="H1551" i="1"/>
  <c r="A1552" i="1"/>
  <c r="B1552" i="1"/>
  <c r="C1552" i="1"/>
  <c r="D1552" i="1"/>
  <c r="E1552" i="1"/>
  <c r="F1552" i="1"/>
  <c r="G1552" i="1"/>
  <c r="H1552" i="1"/>
  <c r="A1553" i="1"/>
  <c r="B1553" i="1"/>
  <c r="C1553" i="1"/>
  <c r="D1553" i="1"/>
  <c r="E1553" i="1"/>
  <c r="F1553" i="1"/>
  <c r="G1553" i="1"/>
  <c r="H1553" i="1"/>
  <c r="A1554" i="1"/>
  <c r="B1554" i="1"/>
  <c r="C1554" i="1"/>
  <c r="D1554" i="1"/>
  <c r="E1554" i="1"/>
  <c r="F1554" i="1"/>
  <c r="G1554" i="1"/>
  <c r="H1554" i="1"/>
  <c r="A1555" i="1"/>
  <c r="B1555" i="1"/>
  <c r="C1555" i="1"/>
  <c r="D1555" i="1"/>
  <c r="E1555" i="1"/>
  <c r="F1555" i="1"/>
  <c r="G1555" i="1"/>
  <c r="H1555" i="1"/>
  <c r="A1556" i="1"/>
  <c r="B1556" i="1"/>
  <c r="C1556" i="1"/>
  <c r="D1556" i="1"/>
  <c r="E1556" i="1"/>
  <c r="F1556" i="1"/>
  <c r="G1556" i="1"/>
  <c r="H1556" i="1"/>
  <c r="A1557" i="1"/>
  <c r="B1557" i="1"/>
  <c r="C1557" i="1"/>
  <c r="D1557" i="1"/>
  <c r="E1557" i="1"/>
  <c r="F1557" i="1"/>
  <c r="G1557" i="1"/>
  <c r="H1557" i="1"/>
  <c r="A1558" i="1"/>
  <c r="B1558" i="1"/>
  <c r="C1558" i="1"/>
  <c r="D1558" i="1"/>
  <c r="E1558" i="1"/>
  <c r="F1558" i="1"/>
  <c r="G1558" i="1"/>
  <c r="H1558" i="1"/>
  <c r="A1559" i="1"/>
  <c r="B1559" i="1"/>
  <c r="C1559" i="1"/>
  <c r="D1559" i="1"/>
  <c r="E1559" i="1"/>
  <c r="F1559" i="1"/>
  <c r="G1559" i="1"/>
  <c r="H1559" i="1"/>
  <c r="A1560" i="1"/>
  <c r="B1560" i="1"/>
  <c r="C1560" i="1"/>
  <c r="D1560" i="1"/>
  <c r="E1560" i="1"/>
  <c r="F1560" i="1"/>
  <c r="G1560" i="1"/>
  <c r="H1560" i="1"/>
  <c r="A1561" i="1"/>
  <c r="B1561" i="1"/>
  <c r="C1561" i="1"/>
  <c r="D1561" i="1"/>
  <c r="E1561" i="1"/>
  <c r="F1561" i="1"/>
  <c r="G1561" i="1"/>
  <c r="H1561" i="1"/>
  <c r="A1562" i="1"/>
  <c r="B1562" i="1"/>
  <c r="C1562" i="1"/>
  <c r="D1562" i="1"/>
  <c r="E1562" i="1"/>
  <c r="F1562" i="1"/>
  <c r="G1562" i="1"/>
  <c r="H1562" i="1"/>
  <c r="A1563" i="1"/>
  <c r="B1563" i="1"/>
  <c r="C1563" i="1"/>
  <c r="D1563" i="1"/>
  <c r="E1563" i="1"/>
  <c r="F1563" i="1"/>
  <c r="G1563" i="1"/>
  <c r="H1563" i="1"/>
  <c r="A1564" i="1"/>
  <c r="B1564" i="1"/>
  <c r="C1564" i="1"/>
  <c r="D1564" i="1"/>
  <c r="E1564" i="1"/>
  <c r="F1564" i="1"/>
  <c r="G1564" i="1"/>
  <c r="H1564" i="1"/>
  <c r="A1565" i="1"/>
  <c r="B1565" i="1"/>
  <c r="C1565" i="1"/>
  <c r="D1565" i="1"/>
  <c r="E1565" i="1"/>
  <c r="F1565" i="1"/>
  <c r="G1565" i="1"/>
  <c r="H1565" i="1"/>
  <c r="A1566" i="1"/>
  <c r="B1566" i="1"/>
  <c r="C1566" i="1"/>
  <c r="D1566" i="1"/>
  <c r="E1566" i="1"/>
  <c r="F1566" i="1"/>
  <c r="G1566" i="1"/>
  <c r="H1566" i="1"/>
  <c r="A1567" i="1"/>
  <c r="B1567" i="1"/>
  <c r="C1567" i="1"/>
  <c r="D1567" i="1"/>
  <c r="E1567" i="1"/>
  <c r="F1567" i="1"/>
  <c r="G1567" i="1"/>
  <c r="H1567" i="1"/>
  <c r="A1568" i="1"/>
  <c r="B1568" i="1"/>
  <c r="C1568" i="1"/>
  <c r="D1568" i="1"/>
  <c r="E1568" i="1"/>
  <c r="F1568" i="1"/>
  <c r="G1568" i="1"/>
  <c r="H1568" i="1"/>
  <c r="A1569" i="1"/>
  <c r="B1569" i="1"/>
  <c r="C1569" i="1"/>
  <c r="D1569" i="1"/>
  <c r="E1569" i="1"/>
  <c r="F1569" i="1"/>
  <c r="G1569" i="1"/>
  <c r="H1569" i="1"/>
  <c r="A1570" i="1"/>
  <c r="B1570" i="1"/>
  <c r="C1570" i="1"/>
  <c r="D1570" i="1"/>
  <c r="E1570" i="1"/>
  <c r="F1570" i="1"/>
  <c r="G1570" i="1"/>
  <c r="H1570" i="1"/>
  <c r="A1571" i="1"/>
  <c r="B1571" i="1"/>
  <c r="C1571" i="1"/>
  <c r="D1571" i="1"/>
  <c r="E1571" i="1"/>
  <c r="F1571" i="1"/>
  <c r="G1571" i="1"/>
  <c r="H1571" i="1"/>
  <c r="A1572" i="1"/>
  <c r="B1572" i="1"/>
  <c r="C1572" i="1"/>
  <c r="D1572" i="1"/>
  <c r="E1572" i="1"/>
  <c r="F1572" i="1"/>
  <c r="G1572" i="1"/>
  <c r="H1572" i="1"/>
  <c r="A1573" i="1"/>
  <c r="B1573" i="1"/>
  <c r="C1573" i="1"/>
  <c r="D1573" i="1"/>
  <c r="E1573" i="1"/>
  <c r="F1573" i="1"/>
  <c r="G1573" i="1"/>
  <c r="H1573" i="1"/>
  <c r="A1574" i="1"/>
  <c r="B1574" i="1"/>
  <c r="C1574" i="1"/>
  <c r="D1574" i="1"/>
  <c r="E1574" i="1"/>
  <c r="F1574" i="1"/>
  <c r="G1574" i="1"/>
  <c r="H1574" i="1"/>
  <c r="A1575" i="1"/>
  <c r="B1575" i="1"/>
  <c r="C1575" i="1"/>
  <c r="D1575" i="1"/>
  <c r="E1575" i="1"/>
  <c r="F1575" i="1"/>
  <c r="G1575" i="1"/>
  <c r="H1575" i="1"/>
  <c r="A1576" i="1"/>
  <c r="B1576" i="1"/>
  <c r="C1576" i="1"/>
  <c r="D1576" i="1"/>
  <c r="E1576" i="1"/>
  <c r="F1576" i="1"/>
  <c r="G1576" i="1"/>
  <c r="H1576" i="1"/>
  <c r="A1577" i="1"/>
  <c r="B1577" i="1"/>
  <c r="C1577" i="1"/>
  <c r="D1577" i="1"/>
  <c r="E1577" i="1"/>
  <c r="F1577" i="1"/>
  <c r="G1577" i="1"/>
  <c r="H1577" i="1"/>
  <c r="A1578" i="1"/>
  <c r="B1578" i="1"/>
  <c r="C1578" i="1"/>
  <c r="D1578" i="1"/>
  <c r="E1578" i="1"/>
  <c r="F1578" i="1"/>
  <c r="G1578" i="1"/>
  <c r="H1578" i="1"/>
  <c r="A1579" i="1"/>
  <c r="B1579" i="1"/>
  <c r="C1579" i="1"/>
  <c r="D1579" i="1"/>
  <c r="E1579" i="1"/>
  <c r="F1579" i="1"/>
  <c r="G1579" i="1"/>
  <c r="H1579" i="1"/>
  <c r="A1580" i="1"/>
  <c r="B1580" i="1"/>
  <c r="C1580" i="1"/>
  <c r="D1580" i="1"/>
  <c r="E1580" i="1"/>
  <c r="F1580" i="1"/>
  <c r="G1580" i="1"/>
  <c r="H1580" i="1"/>
  <c r="A1581" i="1"/>
  <c r="B1581" i="1"/>
  <c r="C1581" i="1"/>
  <c r="D1581" i="1"/>
  <c r="E1581" i="1"/>
  <c r="F1581" i="1"/>
  <c r="G1581" i="1"/>
  <c r="H1581" i="1"/>
  <c r="A1582" i="1"/>
  <c r="B1582" i="1"/>
  <c r="C1582" i="1"/>
  <c r="D1582" i="1"/>
  <c r="E1582" i="1"/>
  <c r="F1582" i="1"/>
  <c r="G1582" i="1"/>
  <c r="H1582" i="1"/>
  <c r="A1583" i="1"/>
  <c r="B1583" i="1"/>
  <c r="C1583" i="1"/>
  <c r="D1583" i="1"/>
  <c r="E1583" i="1"/>
  <c r="F1583" i="1"/>
  <c r="G1583" i="1"/>
  <c r="H1583" i="1"/>
  <c r="A1584" i="1"/>
  <c r="B1584" i="1"/>
  <c r="C1584" i="1"/>
  <c r="D1584" i="1"/>
  <c r="E1584" i="1"/>
  <c r="F1584" i="1"/>
  <c r="G1584" i="1"/>
  <c r="H1584" i="1"/>
  <c r="A1585" i="1"/>
  <c r="B1585" i="1"/>
  <c r="C1585" i="1"/>
  <c r="D1585" i="1"/>
  <c r="E1585" i="1"/>
  <c r="F1585" i="1"/>
  <c r="G1585" i="1"/>
  <c r="H1585" i="1"/>
  <c r="A1586" i="1"/>
  <c r="B1586" i="1"/>
  <c r="C1586" i="1"/>
  <c r="D1586" i="1"/>
  <c r="E1586" i="1"/>
  <c r="F1586" i="1"/>
  <c r="G1586" i="1"/>
  <c r="H1586" i="1"/>
  <c r="A1587" i="1"/>
  <c r="B1587" i="1"/>
  <c r="C1587" i="1"/>
  <c r="D1587" i="1"/>
  <c r="E1587" i="1"/>
  <c r="F1587" i="1"/>
  <c r="G1587" i="1"/>
  <c r="H1587" i="1"/>
  <c r="A1588" i="1"/>
  <c r="B1588" i="1"/>
  <c r="C1588" i="1"/>
  <c r="D1588" i="1"/>
  <c r="E1588" i="1"/>
  <c r="F1588" i="1"/>
  <c r="G1588" i="1"/>
  <c r="H1588" i="1"/>
  <c r="A1589" i="1"/>
  <c r="B1589" i="1"/>
  <c r="C1589" i="1"/>
  <c r="D1589" i="1"/>
  <c r="E1589" i="1"/>
  <c r="F1589" i="1"/>
  <c r="G1589" i="1"/>
  <c r="H1589" i="1"/>
  <c r="A1590" i="1"/>
  <c r="B1590" i="1"/>
  <c r="C1590" i="1"/>
  <c r="D1590" i="1"/>
  <c r="E1590" i="1"/>
  <c r="F1590" i="1"/>
  <c r="G1590" i="1"/>
  <c r="H1590" i="1"/>
  <c r="A1591" i="1"/>
  <c r="B1591" i="1"/>
  <c r="C1591" i="1"/>
  <c r="D1591" i="1"/>
  <c r="E1591" i="1"/>
  <c r="F1591" i="1"/>
  <c r="G1591" i="1"/>
  <c r="H1591" i="1"/>
  <c r="A1592" i="1"/>
  <c r="B1592" i="1"/>
  <c r="C1592" i="1"/>
  <c r="D1592" i="1"/>
  <c r="E1592" i="1"/>
  <c r="F1592" i="1"/>
  <c r="G1592" i="1"/>
  <c r="H1592" i="1"/>
  <c r="A1593" i="1"/>
  <c r="B1593" i="1"/>
  <c r="C1593" i="1"/>
  <c r="D1593" i="1"/>
  <c r="E1593" i="1"/>
  <c r="F1593" i="1"/>
  <c r="G1593" i="1"/>
  <c r="H1593" i="1"/>
  <c r="A1594" i="1"/>
  <c r="B1594" i="1"/>
  <c r="C1594" i="1"/>
  <c r="D1594" i="1"/>
  <c r="E1594" i="1"/>
  <c r="F1594" i="1"/>
  <c r="G1594" i="1"/>
  <c r="H1594" i="1"/>
  <c r="A1595" i="1"/>
  <c r="B1595" i="1"/>
  <c r="C1595" i="1"/>
  <c r="D1595" i="1"/>
  <c r="E1595" i="1"/>
  <c r="F1595" i="1"/>
  <c r="G1595" i="1"/>
  <c r="H1595" i="1"/>
  <c r="A1596" i="1"/>
  <c r="B1596" i="1"/>
  <c r="C1596" i="1"/>
  <c r="D1596" i="1"/>
  <c r="E1596" i="1"/>
  <c r="F1596" i="1"/>
  <c r="G1596" i="1"/>
  <c r="H1596" i="1"/>
  <c r="A1597" i="1"/>
  <c r="B1597" i="1"/>
  <c r="C1597" i="1"/>
  <c r="D1597" i="1"/>
  <c r="E1597" i="1"/>
  <c r="F1597" i="1"/>
  <c r="G1597" i="1"/>
  <c r="H1597" i="1"/>
  <c r="A1598" i="1"/>
  <c r="B1598" i="1"/>
  <c r="C1598" i="1"/>
  <c r="D1598" i="1"/>
  <c r="E1598" i="1"/>
  <c r="F1598" i="1"/>
  <c r="G1598" i="1"/>
  <c r="H1598" i="1"/>
  <c r="A1599" i="1"/>
  <c r="B1599" i="1"/>
  <c r="C1599" i="1"/>
  <c r="D1599" i="1"/>
  <c r="E1599" i="1"/>
  <c r="F1599" i="1"/>
  <c r="G1599" i="1"/>
  <c r="H1599" i="1"/>
  <c r="A1600" i="1"/>
  <c r="B1600" i="1"/>
  <c r="C1600" i="1"/>
  <c r="D1600" i="1"/>
  <c r="E1600" i="1"/>
  <c r="F1600" i="1"/>
  <c r="G1600" i="1"/>
  <c r="H1600" i="1"/>
  <c r="A1601" i="1"/>
  <c r="B1601" i="1"/>
  <c r="C1601" i="1"/>
  <c r="D1601" i="1"/>
  <c r="E1601" i="1"/>
  <c r="F1601" i="1"/>
  <c r="G1601" i="1"/>
  <c r="H1601" i="1"/>
  <c r="A1602" i="1"/>
  <c r="B1602" i="1"/>
  <c r="C1602" i="1"/>
  <c r="D1602" i="1"/>
  <c r="E1602" i="1"/>
  <c r="F1602" i="1"/>
  <c r="G1602" i="1"/>
  <c r="H1602" i="1"/>
  <c r="A1603" i="1"/>
  <c r="B1603" i="1"/>
  <c r="C1603" i="1"/>
  <c r="D1603" i="1"/>
  <c r="E1603" i="1"/>
  <c r="F1603" i="1"/>
  <c r="G1603" i="1"/>
  <c r="H1603" i="1"/>
  <c r="A1604" i="1"/>
  <c r="B1604" i="1"/>
  <c r="C1604" i="1"/>
  <c r="D1604" i="1"/>
  <c r="E1604" i="1"/>
  <c r="F1604" i="1"/>
  <c r="G1604" i="1"/>
  <c r="H1604" i="1"/>
  <c r="A1605" i="1"/>
  <c r="B1605" i="1"/>
  <c r="C1605" i="1"/>
  <c r="D1605" i="1"/>
  <c r="E1605" i="1"/>
  <c r="F1605" i="1"/>
  <c r="G1605" i="1"/>
  <c r="H1605" i="1"/>
  <c r="A1606" i="1"/>
  <c r="B1606" i="1"/>
  <c r="C1606" i="1"/>
  <c r="D1606" i="1"/>
  <c r="E1606" i="1"/>
  <c r="F1606" i="1"/>
  <c r="G1606" i="1"/>
  <c r="H1606" i="1"/>
  <c r="A1607" i="1"/>
  <c r="B1607" i="1"/>
  <c r="C1607" i="1"/>
  <c r="D1607" i="1"/>
  <c r="E1607" i="1"/>
  <c r="F1607" i="1"/>
  <c r="G1607" i="1"/>
  <c r="H1607" i="1"/>
  <c r="A1608" i="1"/>
  <c r="B1608" i="1"/>
  <c r="C1608" i="1"/>
  <c r="D1608" i="1"/>
  <c r="E1608" i="1"/>
  <c r="F1608" i="1"/>
  <c r="G1608" i="1"/>
  <c r="H1608" i="1"/>
  <c r="A1609" i="1"/>
  <c r="B1609" i="1"/>
  <c r="C1609" i="1"/>
  <c r="D1609" i="1"/>
  <c r="E1609" i="1"/>
  <c r="F1609" i="1"/>
  <c r="G1609" i="1"/>
  <c r="H1609" i="1"/>
  <c r="A1610" i="1"/>
  <c r="B1610" i="1"/>
  <c r="C1610" i="1"/>
  <c r="D1610" i="1"/>
  <c r="E1610" i="1"/>
  <c r="F1610" i="1"/>
  <c r="G1610" i="1"/>
  <c r="H1610" i="1"/>
  <c r="A1611" i="1"/>
  <c r="B1611" i="1"/>
  <c r="C1611" i="1"/>
  <c r="D1611" i="1"/>
  <c r="E1611" i="1"/>
  <c r="F1611" i="1"/>
  <c r="G1611" i="1"/>
  <c r="H1611" i="1"/>
  <c r="A1612" i="1"/>
  <c r="B1612" i="1"/>
  <c r="C1612" i="1"/>
  <c r="D1612" i="1"/>
  <c r="E1612" i="1"/>
  <c r="F1612" i="1"/>
  <c r="G1612" i="1"/>
  <c r="H1612" i="1"/>
  <c r="A1613" i="1"/>
  <c r="B1613" i="1"/>
  <c r="C1613" i="1"/>
  <c r="D1613" i="1"/>
  <c r="E1613" i="1"/>
  <c r="F1613" i="1"/>
  <c r="G1613" i="1"/>
  <c r="H1613" i="1"/>
  <c r="A1614" i="1"/>
  <c r="B1614" i="1"/>
  <c r="C1614" i="1"/>
  <c r="D1614" i="1"/>
  <c r="E1614" i="1"/>
  <c r="F1614" i="1"/>
  <c r="G1614" i="1"/>
  <c r="H1614" i="1"/>
  <c r="A1615" i="1"/>
  <c r="B1615" i="1"/>
  <c r="C1615" i="1"/>
  <c r="D1615" i="1"/>
  <c r="E1615" i="1"/>
  <c r="F1615" i="1"/>
  <c r="G1615" i="1"/>
  <c r="H1615" i="1"/>
  <c r="A1616" i="1"/>
  <c r="B1616" i="1"/>
  <c r="C1616" i="1"/>
  <c r="D1616" i="1"/>
  <c r="E1616" i="1"/>
  <c r="F1616" i="1"/>
  <c r="G1616" i="1"/>
  <c r="H1616" i="1"/>
  <c r="A1617" i="1"/>
  <c r="B1617" i="1"/>
  <c r="C1617" i="1"/>
  <c r="D1617" i="1"/>
  <c r="E1617" i="1"/>
  <c r="F1617" i="1"/>
  <c r="G1617" i="1"/>
  <c r="H1617" i="1"/>
  <c r="A1618" i="1"/>
  <c r="B1618" i="1"/>
  <c r="C1618" i="1"/>
  <c r="D1618" i="1"/>
  <c r="E1618" i="1"/>
  <c r="F1618" i="1"/>
  <c r="G1618" i="1"/>
  <c r="H1618" i="1"/>
  <c r="A1619" i="1"/>
  <c r="B1619" i="1"/>
  <c r="C1619" i="1"/>
  <c r="D1619" i="1"/>
  <c r="E1619" i="1"/>
  <c r="F1619" i="1"/>
  <c r="G1619" i="1"/>
  <c r="H1619" i="1"/>
  <c r="A1620" i="1"/>
  <c r="B1620" i="1"/>
  <c r="C1620" i="1"/>
  <c r="D1620" i="1"/>
  <c r="E1620" i="1"/>
  <c r="F1620" i="1"/>
  <c r="G1620" i="1"/>
  <c r="H1620" i="1"/>
  <c r="A1621" i="1"/>
  <c r="B1621" i="1"/>
  <c r="C1621" i="1"/>
  <c r="D1621" i="1"/>
  <c r="E1621" i="1"/>
  <c r="F1621" i="1"/>
  <c r="G1621" i="1"/>
  <c r="H1621" i="1"/>
  <c r="A1622" i="1"/>
  <c r="B1622" i="1"/>
  <c r="C1622" i="1"/>
  <c r="D1622" i="1"/>
  <c r="E1622" i="1"/>
  <c r="F1622" i="1"/>
  <c r="G1622" i="1"/>
  <c r="H1622" i="1"/>
  <c r="A1623" i="1"/>
  <c r="B1623" i="1"/>
  <c r="C1623" i="1"/>
  <c r="D1623" i="1"/>
  <c r="E1623" i="1"/>
  <c r="F1623" i="1"/>
  <c r="G1623" i="1"/>
  <c r="H1623" i="1"/>
  <c r="A1624" i="1"/>
  <c r="B1624" i="1"/>
  <c r="C1624" i="1"/>
  <c r="D1624" i="1"/>
  <c r="E1624" i="1"/>
  <c r="F1624" i="1"/>
  <c r="G1624" i="1"/>
  <c r="H1624" i="1"/>
  <c r="A1625" i="1"/>
  <c r="B1625" i="1"/>
  <c r="C1625" i="1"/>
  <c r="D1625" i="1"/>
  <c r="E1625" i="1"/>
  <c r="F1625" i="1"/>
  <c r="G1625" i="1"/>
  <c r="H1625" i="1"/>
  <c r="A1626" i="1"/>
  <c r="B1626" i="1"/>
  <c r="C1626" i="1"/>
  <c r="D1626" i="1"/>
  <c r="E1626" i="1"/>
  <c r="F1626" i="1"/>
  <c r="G1626" i="1"/>
  <c r="H1626" i="1"/>
  <c r="A1627" i="1"/>
  <c r="B1627" i="1"/>
  <c r="C1627" i="1"/>
  <c r="D1627" i="1"/>
  <c r="E1627" i="1"/>
  <c r="F1627" i="1"/>
  <c r="G1627" i="1"/>
  <c r="H1627" i="1"/>
  <c r="A1628" i="1"/>
  <c r="B1628" i="1"/>
  <c r="C1628" i="1"/>
  <c r="D1628" i="1"/>
  <c r="E1628" i="1"/>
  <c r="F1628" i="1"/>
  <c r="G1628" i="1"/>
  <c r="H1628" i="1"/>
  <c r="A1629" i="1"/>
  <c r="B1629" i="1"/>
  <c r="C1629" i="1"/>
  <c r="D1629" i="1"/>
  <c r="E1629" i="1"/>
  <c r="F1629" i="1"/>
  <c r="G1629" i="1"/>
  <c r="H1629" i="1"/>
  <c r="A1630" i="1"/>
  <c r="B1630" i="1"/>
  <c r="C1630" i="1"/>
  <c r="D1630" i="1"/>
  <c r="E1630" i="1"/>
  <c r="F1630" i="1"/>
  <c r="G1630" i="1"/>
  <c r="H1630" i="1"/>
  <c r="A1631" i="1"/>
  <c r="B1631" i="1"/>
  <c r="C1631" i="1"/>
  <c r="D1631" i="1"/>
  <c r="E1631" i="1"/>
  <c r="F1631" i="1"/>
  <c r="G1631" i="1"/>
  <c r="H1631" i="1"/>
  <c r="A1632" i="1"/>
  <c r="B1632" i="1"/>
  <c r="C1632" i="1"/>
  <c r="D1632" i="1"/>
  <c r="E1632" i="1"/>
  <c r="F1632" i="1"/>
  <c r="G1632" i="1"/>
  <c r="H1632" i="1"/>
  <c r="A1633" i="1"/>
  <c r="B1633" i="1"/>
  <c r="C1633" i="1"/>
  <c r="D1633" i="1"/>
  <c r="E1633" i="1"/>
  <c r="F1633" i="1"/>
  <c r="G1633" i="1"/>
  <c r="H1633" i="1"/>
  <c r="A1634" i="1"/>
  <c r="B1634" i="1"/>
  <c r="C1634" i="1"/>
  <c r="D1634" i="1"/>
  <c r="E1634" i="1"/>
  <c r="F1634" i="1"/>
  <c r="G1634" i="1"/>
  <c r="H1634" i="1"/>
  <c r="A1635" i="1"/>
  <c r="B1635" i="1"/>
  <c r="C1635" i="1"/>
  <c r="D1635" i="1"/>
  <c r="E1635" i="1"/>
  <c r="F1635" i="1"/>
  <c r="G1635" i="1"/>
  <c r="H1635" i="1"/>
  <c r="A1636" i="1"/>
  <c r="B1636" i="1"/>
  <c r="C1636" i="1"/>
  <c r="D1636" i="1"/>
  <c r="E1636" i="1"/>
  <c r="F1636" i="1"/>
  <c r="G1636" i="1"/>
  <c r="H1636" i="1"/>
  <c r="A1637" i="1"/>
  <c r="B1637" i="1"/>
  <c r="C1637" i="1"/>
  <c r="D1637" i="1"/>
  <c r="E1637" i="1"/>
  <c r="F1637" i="1"/>
  <c r="G1637" i="1"/>
  <c r="H1637" i="1"/>
  <c r="A1638" i="1"/>
  <c r="B1638" i="1"/>
  <c r="C1638" i="1"/>
  <c r="D1638" i="1"/>
  <c r="E1638" i="1"/>
  <c r="F1638" i="1"/>
  <c r="G1638" i="1"/>
  <c r="H1638" i="1"/>
  <c r="A1639" i="1"/>
  <c r="B1639" i="1"/>
  <c r="C1639" i="1"/>
  <c r="D1639" i="1"/>
  <c r="E1639" i="1"/>
  <c r="F1639" i="1"/>
  <c r="G1639" i="1"/>
  <c r="H1639" i="1"/>
  <c r="A1640" i="1"/>
  <c r="B1640" i="1"/>
  <c r="C1640" i="1"/>
  <c r="D1640" i="1"/>
  <c r="E1640" i="1"/>
  <c r="F1640" i="1"/>
  <c r="G1640" i="1"/>
  <c r="H1640" i="1"/>
  <c r="A1641" i="1"/>
  <c r="B1641" i="1"/>
  <c r="C1641" i="1"/>
  <c r="D1641" i="1"/>
  <c r="E1641" i="1"/>
  <c r="F1641" i="1"/>
  <c r="G1641" i="1"/>
  <c r="H1641" i="1"/>
  <c r="A1642" i="1"/>
  <c r="B1642" i="1"/>
  <c r="C1642" i="1"/>
  <c r="D1642" i="1"/>
  <c r="E1642" i="1"/>
  <c r="F1642" i="1"/>
  <c r="G1642" i="1"/>
  <c r="H1642" i="1"/>
  <c r="A1643" i="1"/>
  <c r="B1643" i="1"/>
  <c r="C1643" i="1"/>
  <c r="D1643" i="1"/>
  <c r="E1643" i="1"/>
  <c r="F1643" i="1"/>
  <c r="G1643" i="1"/>
  <c r="H1643" i="1"/>
  <c r="A1644" i="1"/>
  <c r="B1644" i="1"/>
  <c r="C1644" i="1"/>
  <c r="D1644" i="1"/>
  <c r="E1644" i="1"/>
  <c r="F1644" i="1"/>
  <c r="G1644" i="1"/>
  <c r="H1644" i="1"/>
  <c r="A1645" i="1"/>
  <c r="B1645" i="1"/>
  <c r="C1645" i="1"/>
  <c r="D1645" i="1"/>
  <c r="E1645" i="1"/>
  <c r="F1645" i="1"/>
  <c r="G1645" i="1"/>
  <c r="H1645" i="1"/>
  <c r="A1646" i="1"/>
  <c r="B1646" i="1"/>
  <c r="C1646" i="1"/>
  <c r="D1646" i="1"/>
  <c r="E1646" i="1"/>
  <c r="F1646" i="1"/>
  <c r="G1646" i="1"/>
  <c r="H1646" i="1"/>
  <c r="A1647" i="1"/>
  <c r="B1647" i="1"/>
  <c r="C1647" i="1"/>
  <c r="D1647" i="1"/>
  <c r="E1647" i="1"/>
  <c r="F1647" i="1"/>
  <c r="G1647" i="1"/>
  <c r="H1647" i="1"/>
  <c r="A1648" i="1"/>
  <c r="B1648" i="1"/>
  <c r="C1648" i="1"/>
  <c r="D1648" i="1"/>
  <c r="E1648" i="1"/>
  <c r="F1648" i="1"/>
  <c r="G1648" i="1"/>
  <c r="H1648" i="1"/>
  <c r="A1649" i="1"/>
  <c r="B1649" i="1"/>
  <c r="C1649" i="1"/>
  <c r="D1649" i="1"/>
  <c r="E1649" i="1"/>
  <c r="F1649" i="1"/>
  <c r="G1649" i="1"/>
  <c r="H1649" i="1"/>
  <c r="A1650" i="1"/>
  <c r="B1650" i="1"/>
  <c r="C1650" i="1"/>
  <c r="D1650" i="1"/>
  <c r="E1650" i="1"/>
  <c r="F1650" i="1"/>
  <c r="G1650" i="1"/>
  <c r="H1650" i="1"/>
  <c r="A1651" i="1"/>
  <c r="B1651" i="1"/>
  <c r="C1651" i="1"/>
  <c r="D1651" i="1"/>
  <c r="E1651" i="1"/>
  <c r="F1651" i="1"/>
  <c r="G1651" i="1"/>
  <c r="H1651" i="1"/>
  <c r="A1652" i="1"/>
  <c r="B1652" i="1"/>
  <c r="C1652" i="1"/>
  <c r="D1652" i="1"/>
  <c r="E1652" i="1"/>
  <c r="F1652" i="1"/>
  <c r="G1652" i="1"/>
  <c r="H1652" i="1"/>
  <c r="A1653" i="1"/>
  <c r="B1653" i="1"/>
  <c r="C1653" i="1"/>
  <c r="D1653" i="1"/>
  <c r="E1653" i="1"/>
  <c r="F1653" i="1"/>
  <c r="G1653" i="1"/>
  <c r="H1653" i="1"/>
  <c r="A1654" i="1"/>
  <c r="B1654" i="1"/>
  <c r="C1654" i="1"/>
  <c r="D1654" i="1"/>
  <c r="E1654" i="1"/>
  <c r="F1654" i="1"/>
  <c r="G1654" i="1"/>
  <c r="H1654" i="1"/>
  <c r="A1655" i="1"/>
  <c r="B1655" i="1"/>
  <c r="C1655" i="1"/>
  <c r="D1655" i="1"/>
  <c r="E1655" i="1"/>
  <c r="F1655" i="1"/>
  <c r="G1655" i="1"/>
  <c r="H1655" i="1"/>
  <c r="A1656" i="1"/>
  <c r="B1656" i="1"/>
  <c r="C1656" i="1"/>
  <c r="D1656" i="1"/>
  <c r="E1656" i="1"/>
  <c r="F1656" i="1"/>
  <c r="G1656" i="1"/>
  <c r="H1656" i="1"/>
  <c r="A1657" i="1"/>
  <c r="B1657" i="1"/>
  <c r="C1657" i="1"/>
  <c r="D1657" i="1"/>
  <c r="E1657" i="1"/>
  <c r="F1657" i="1"/>
  <c r="G1657" i="1"/>
  <c r="H1657" i="1"/>
  <c r="A1658" i="1"/>
  <c r="B1658" i="1"/>
  <c r="C1658" i="1"/>
  <c r="D1658" i="1"/>
  <c r="E1658" i="1"/>
  <c r="F1658" i="1"/>
  <c r="G1658" i="1"/>
  <c r="H1658" i="1"/>
  <c r="A1659" i="1"/>
  <c r="B1659" i="1"/>
  <c r="C1659" i="1"/>
  <c r="D1659" i="1"/>
  <c r="E1659" i="1"/>
  <c r="F1659" i="1"/>
  <c r="G1659" i="1"/>
  <c r="H1659" i="1"/>
  <c r="A1660" i="1"/>
  <c r="B1660" i="1"/>
  <c r="C1660" i="1"/>
  <c r="D1660" i="1"/>
  <c r="E1660" i="1"/>
  <c r="F1660" i="1"/>
  <c r="G1660" i="1"/>
  <c r="H1660" i="1"/>
  <c r="A1661" i="1"/>
  <c r="B1661" i="1"/>
  <c r="C1661" i="1"/>
  <c r="D1661" i="1"/>
  <c r="E1661" i="1"/>
  <c r="F1661" i="1"/>
  <c r="G1661" i="1"/>
  <c r="H1661" i="1"/>
  <c r="A1662" i="1"/>
  <c r="B1662" i="1"/>
  <c r="C1662" i="1"/>
  <c r="D1662" i="1"/>
  <c r="E1662" i="1"/>
  <c r="F1662" i="1"/>
  <c r="G1662" i="1"/>
  <c r="H1662" i="1"/>
  <c r="A1663" i="1"/>
  <c r="B1663" i="1"/>
  <c r="C1663" i="1"/>
  <c r="D1663" i="1"/>
  <c r="E1663" i="1"/>
  <c r="F1663" i="1"/>
  <c r="G1663" i="1"/>
  <c r="H1663" i="1"/>
  <c r="A1664" i="1"/>
  <c r="B1664" i="1"/>
  <c r="C1664" i="1"/>
  <c r="D1664" i="1"/>
  <c r="E1664" i="1"/>
  <c r="F1664" i="1"/>
  <c r="G1664" i="1"/>
  <c r="H1664" i="1"/>
  <c r="A1665" i="1"/>
  <c r="B1665" i="1"/>
  <c r="C1665" i="1"/>
  <c r="D1665" i="1"/>
  <c r="E1665" i="1"/>
  <c r="F1665" i="1"/>
  <c r="G1665" i="1"/>
  <c r="H1665" i="1"/>
  <c r="A1666" i="1"/>
  <c r="B1666" i="1"/>
  <c r="C1666" i="1"/>
  <c r="D1666" i="1"/>
  <c r="E1666" i="1"/>
  <c r="F1666" i="1"/>
  <c r="G1666" i="1"/>
  <c r="H1666" i="1"/>
  <c r="A1667" i="1"/>
  <c r="B1667" i="1"/>
  <c r="C1667" i="1"/>
  <c r="D1667" i="1"/>
  <c r="E1667" i="1"/>
  <c r="F1667" i="1"/>
  <c r="G1667" i="1"/>
  <c r="H1667" i="1"/>
  <c r="A1668" i="1"/>
  <c r="B1668" i="1"/>
  <c r="C1668" i="1"/>
  <c r="D1668" i="1"/>
  <c r="E1668" i="1"/>
  <c r="F1668" i="1"/>
  <c r="G1668" i="1"/>
  <c r="H1668" i="1"/>
  <c r="A1669" i="1"/>
  <c r="B1669" i="1"/>
  <c r="C1669" i="1"/>
  <c r="D1669" i="1"/>
  <c r="E1669" i="1"/>
  <c r="F1669" i="1"/>
  <c r="G1669" i="1"/>
  <c r="H1669" i="1"/>
  <c r="A1670" i="1"/>
  <c r="B1670" i="1"/>
  <c r="C1670" i="1"/>
  <c r="D1670" i="1"/>
  <c r="E1670" i="1"/>
  <c r="F1670" i="1"/>
  <c r="G1670" i="1"/>
  <c r="H1670" i="1"/>
  <c r="A1671" i="1"/>
  <c r="B1671" i="1"/>
  <c r="C1671" i="1"/>
  <c r="D1671" i="1"/>
  <c r="E1671" i="1"/>
  <c r="F1671" i="1"/>
  <c r="G1671" i="1"/>
  <c r="H1671" i="1"/>
  <c r="A1672" i="1"/>
  <c r="B1672" i="1"/>
  <c r="C1672" i="1"/>
  <c r="D1672" i="1"/>
  <c r="E1672" i="1"/>
  <c r="F1672" i="1"/>
  <c r="G1672" i="1"/>
  <c r="H1672" i="1"/>
  <c r="A1673" i="1"/>
  <c r="B1673" i="1"/>
  <c r="C1673" i="1"/>
  <c r="D1673" i="1"/>
  <c r="E1673" i="1"/>
  <c r="F1673" i="1"/>
  <c r="G1673" i="1"/>
  <c r="H1673" i="1"/>
  <c r="A1674" i="1"/>
  <c r="B1674" i="1"/>
  <c r="C1674" i="1"/>
  <c r="D1674" i="1"/>
  <c r="E1674" i="1"/>
  <c r="F1674" i="1"/>
  <c r="G1674" i="1"/>
  <c r="H1674" i="1"/>
  <c r="A1675" i="1"/>
  <c r="B1675" i="1"/>
  <c r="C1675" i="1"/>
  <c r="D1675" i="1"/>
  <c r="E1675" i="1"/>
  <c r="F1675" i="1"/>
  <c r="G1675" i="1"/>
  <c r="H1675" i="1"/>
  <c r="A1676" i="1"/>
  <c r="B1676" i="1"/>
  <c r="C1676" i="1"/>
  <c r="D1676" i="1"/>
  <c r="E1676" i="1"/>
  <c r="F1676" i="1"/>
  <c r="G1676" i="1"/>
  <c r="H1676" i="1"/>
  <c r="A1677" i="1"/>
  <c r="B1677" i="1"/>
  <c r="C1677" i="1"/>
  <c r="D1677" i="1"/>
  <c r="E1677" i="1"/>
  <c r="F1677" i="1"/>
  <c r="G1677" i="1"/>
  <c r="H1677" i="1"/>
  <c r="A1678" i="1"/>
  <c r="B1678" i="1"/>
  <c r="C1678" i="1"/>
  <c r="D1678" i="1"/>
  <c r="E1678" i="1"/>
  <c r="F1678" i="1"/>
  <c r="G1678" i="1"/>
  <c r="H1678" i="1"/>
  <c r="A1679" i="1"/>
  <c r="B1679" i="1"/>
  <c r="C1679" i="1"/>
  <c r="D1679" i="1"/>
  <c r="E1679" i="1"/>
  <c r="F1679" i="1"/>
  <c r="G1679" i="1"/>
  <c r="H1679" i="1"/>
  <c r="A1680" i="1"/>
  <c r="B1680" i="1"/>
  <c r="C1680" i="1"/>
  <c r="D1680" i="1"/>
  <c r="E1680" i="1"/>
  <c r="F1680" i="1"/>
  <c r="G1680" i="1"/>
  <c r="H1680" i="1"/>
  <c r="A1681" i="1"/>
  <c r="B1681" i="1"/>
  <c r="C1681" i="1"/>
  <c r="D1681" i="1"/>
  <c r="E1681" i="1"/>
  <c r="F1681" i="1"/>
  <c r="G1681" i="1"/>
  <c r="H1681" i="1"/>
  <c r="A1682" i="1"/>
  <c r="B1682" i="1"/>
  <c r="C1682" i="1"/>
  <c r="D1682" i="1"/>
  <c r="E1682" i="1"/>
  <c r="F1682" i="1"/>
  <c r="G1682" i="1"/>
  <c r="H1682" i="1"/>
  <c r="A1683" i="1"/>
  <c r="B1683" i="1"/>
  <c r="C1683" i="1"/>
  <c r="D1683" i="1"/>
  <c r="E1683" i="1"/>
  <c r="F1683" i="1"/>
  <c r="G1683" i="1"/>
  <c r="H1683" i="1"/>
  <c r="A1684" i="1"/>
  <c r="B1684" i="1"/>
  <c r="C1684" i="1"/>
  <c r="D1684" i="1"/>
  <c r="E1684" i="1"/>
  <c r="F1684" i="1"/>
  <c r="G1684" i="1"/>
  <c r="H1684" i="1"/>
  <c r="A1685" i="1"/>
  <c r="B1685" i="1"/>
  <c r="C1685" i="1"/>
  <c r="D1685" i="1"/>
  <c r="E1685" i="1"/>
  <c r="F1685" i="1"/>
  <c r="G1685" i="1"/>
  <c r="H1685" i="1"/>
  <c r="A1686" i="1"/>
  <c r="B1686" i="1"/>
  <c r="C1686" i="1"/>
  <c r="D1686" i="1"/>
  <c r="E1686" i="1"/>
  <c r="F1686" i="1"/>
  <c r="G1686" i="1"/>
  <c r="H1686" i="1"/>
  <c r="A1687" i="1"/>
  <c r="B1687" i="1"/>
  <c r="C1687" i="1"/>
  <c r="D1687" i="1"/>
  <c r="E1687" i="1"/>
  <c r="F1687" i="1"/>
  <c r="G1687" i="1"/>
  <c r="H1687" i="1"/>
  <c r="A1688" i="1"/>
  <c r="B1688" i="1"/>
  <c r="C1688" i="1"/>
  <c r="D1688" i="1"/>
  <c r="E1688" i="1"/>
  <c r="F1688" i="1"/>
  <c r="G1688" i="1"/>
  <c r="H1688" i="1"/>
  <c r="A1689" i="1"/>
  <c r="B1689" i="1"/>
  <c r="C1689" i="1"/>
  <c r="D1689" i="1"/>
  <c r="E1689" i="1"/>
  <c r="F1689" i="1"/>
  <c r="G1689" i="1"/>
  <c r="H1689" i="1"/>
  <c r="A1690" i="1"/>
  <c r="B1690" i="1"/>
  <c r="C1690" i="1"/>
  <c r="D1690" i="1"/>
  <c r="E1690" i="1"/>
  <c r="F1690" i="1"/>
  <c r="G1690" i="1"/>
  <c r="H1690" i="1"/>
  <c r="A1691" i="1"/>
  <c r="B1691" i="1"/>
  <c r="C1691" i="1"/>
  <c r="D1691" i="1"/>
  <c r="E1691" i="1"/>
  <c r="F1691" i="1"/>
  <c r="G1691" i="1"/>
  <c r="H1691" i="1"/>
  <c r="A1692" i="1"/>
  <c r="B1692" i="1"/>
  <c r="C1692" i="1"/>
  <c r="D1692" i="1"/>
  <c r="E1692" i="1"/>
  <c r="F1692" i="1"/>
  <c r="G1692" i="1"/>
  <c r="H1692" i="1"/>
  <c r="A1693" i="1"/>
  <c r="B1693" i="1"/>
  <c r="C1693" i="1"/>
  <c r="D1693" i="1"/>
  <c r="E1693" i="1"/>
  <c r="F1693" i="1"/>
  <c r="G1693" i="1"/>
  <c r="H1693" i="1"/>
  <c r="A1694" i="1"/>
  <c r="B1694" i="1"/>
  <c r="C1694" i="1"/>
  <c r="D1694" i="1"/>
  <c r="E1694" i="1"/>
  <c r="F1694" i="1"/>
  <c r="G1694" i="1"/>
  <c r="H1694" i="1"/>
  <c r="A1695" i="1"/>
  <c r="B1695" i="1"/>
  <c r="C1695" i="1"/>
  <c r="D1695" i="1"/>
  <c r="E1695" i="1"/>
  <c r="F1695" i="1"/>
  <c r="G1695" i="1"/>
  <c r="H1695" i="1"/>
  <c r="A1696" i="1"/>
  <c r="B1696" i="1"/>
  <c r="C1696" i="1"/>
  <c r="D1696" i="1"/>
  <c r="E1696" i="1"/>
  <c r="F1696" i="1"/>
  <c r="G1696" i="1"/>
  <c r="H1696" i="1"/>
  <c r="A1697" i="1"/>
  <c r="B1697" i="1"/>
  <c r="C1697" i="1"/>
  <c r="D1697" i="1"/>
  <c r="E1697" i="1"/>
  <c r="F1697" i="1"/>
  <c r="G1697" i="1"/>
  <c r="H1697" i="1"/>
  <c r="A1698" i="1"/>
  <c r="B1698" i="1"/>
  <c r="C1698" i="1"/>
  <c r="D1698" i="1"/>
  <c r="E1698" i="1"/>
  <c r="F1698" i="1"/>
  <c r="G1698" i="1"/>
  <c r="H1698" i="1"/>
  <c r="A1699" i="1"/>
  <c r="B1699" i="1"/>
  <c r="C1699" i="1"/>
  <c r="D1699" i="1"/>
  <c r="E1699" i="1"/>
  <c r="F1699" i="1"/>
  <c r="G1699" i="1"/>
  <c r="H1699" i="1"/>
  <c r="A1700" i="1"/>
  <c r="B1700" i="1"/>
  <c r="C1700" i="1"/>
  <c r="D1700" i="1"/>
  <c r="E1700" i="1"/>
  <c r="F1700" i="1"/>
  <c r="G1700" i="1"/>
  <c r="H1700" i="1"/>
  <c r="A1701" i="1"/>
  <c r="B1701" i="1"/>
  <c r="C1701" i="1"/>
  <c r="D1701" i="1"/>
  <c r="E1701" i="1"/>
  <c r="F1701" i="1"/>
  <c r="G1701" i="1"/>
  <c r="H1701" i="1"/>
  <c r="A1702" i="1"/>
  <c r="B1702" i="1"/>
  <c r="C1702" i="1"/>
  <c r="D1702" i="1"/>
  <c r="E1702" i="1"/>
  <c r="F1702" i="1"/>
  <c r="G1702" i="1"/>
  <c r="H1702" i="1"/>
  <c r="A1703" i="1"/>
  <c r="B1703" i="1"/>
  <c r="C1703" i="1"/>
  <c r="D1703" i="1"/>
  <c r="E1703" i="1"/>
  <c r="F1703" i="1"/>
  <c r="G1703" i="1"/>
  <c r="H1703" i="1"/>
  <c r="A1704" i="1"/>
  <c r="B1704" i="1"/>
  <c r="C1704" i="1"/>
  <c r="D1704" i="1"/>
  <c r="E1704" i="1"/>
  <c r="F1704" i="1"/>
  <c r="G1704" i="1"/>
  <c r="H1704" i="1"/>
  <c r="A1705" i="1"/>
  <c r="B1705" i="1"/>
  <c r="C1705" i="1"/>
  <c r="D1705" i="1"/>
  <c r="E1705" i="1"/>
  <c r="F1705" i="1"/>
  <c r="G1705" i="1"/>
  <c r="H1705" i="1"/>
  <c r="A1706" i="1"/>
  <c r="B1706" i="1"/>
  <c r="C1706" i="1"/>
  <c r="D1706" i="1"/>
  <c r="E1706" i="1"/>
  <c r="F1706" i="1"/>
  <c r="G1706" i="1"/>
  <c r="H1706" i="1"/>
  <c r="A1707" i="1"/>
  <c r="B1707" i="1"/>
  <c r="C1707" i="1"/>
  <c r="D1707" i="1"/>
  <c r="E1707" i="1"/>
  <c r="F1707" i="1"/>
  <c r="G1707" i="1"/>
  <c r="H1707" i="1"/>
  <c r="A1708" i="1"/>
  <c r="B1708" i="1"/>
  <c r="C1708" i="1"/>
  <c r="D1708" i="1"/>
  <c r="E1708" i="1"/>
  <c r="F1708" i="1"/>
  <c r="G1708" i="1"/>
  <c r="H1708" i="1"/>
  <c r="A1709" i="1"/>
  <c r="B1709" i="1"/>
  <c r="C1709" i="1"/>
  <c r="D1709" i="1"/>
  <c r="E1709" i="1"/>
  <c r="F1709" i="1"/>
  <c r="G1709" i="1"/>
  <c r="H1709" i="1"/>
  <c r="A1710" i="1"/>
  <c r="B1710" i="1"/>
  <c r="C1710" i="1"/>
  <c r="D1710" i="1"/>
  <c r="E1710" i="1"/>
  <c r="F1710" i="1"/>
  <c r="G1710" i="1"/>
  <c r="H1710" i="1"/>
  <c r="A1711" i="1"/>
  <c r="B1711" i="1"/>
  <c r="C1711" i="1"/>
  <c r="D1711" i="1"/>
  <c r="E1711" i="1"/>
  <c r="F1711" i="1"/>
  <c r="G1711" i="1"/>
  <c r="H1711" i="1"/>
  <c r="A1712" i="1"/>
  <c r="B1712" i="1"/>
  <c r="C1712" i="1"/>
  <c r="D1712" i="1"/>
  <c r="E1712" i="1"/>
  <c r="F1712" i="1"/>
  <c r="G1712" i="1"/>
  <c r="H1712" i="1"/>
  <c r="A1713" i="1"/>
  <c r="B1713" i="1"/>
  <c r="C1713" i="1"/>
  <c r="D1713" i="1"/>
  <c r="E1713" i="1"/>
  <c r="F1713" i="1"/>
  <c r="G1713" i="1"/>
  <c r="H1713" i="1"/>
  <c r="A1714" i="1"/>
  <c r="B1714" i="1"/>
  <c r="C1714" i="1"/>
  <c r="D1714" i="1"/>
  <c r="E1714" i="1"/>
  <c r="F1714" i="1"/>
  <c r="G1714" i="1"/>
  <c r="H1714" i="1"/>
  <c r="A1715" i="1"/>
  <c r="B1715" i="1"/>
  <c r="C1715" i="1"/>
  <c r="D1715" i="1"/>
  <c r="E1715" i="1"/>
  <c r="F1715" i="1"/>
  <c r="G1715" i="1"/>
  <c r="H1715" i="1"/>
  <c r="A1716" i="1"/>
  <c r="B1716" i="1"/>
  <c r="C1716" i="1"/>
  <c r="D1716" i="1"/>
  <c r="E1716" i="1"/>
  <c r="F1716" i="1"/>
  <c r="G1716" i="1"/>
  <c r="H1716" i="1"/>
  <c r="A1717" i="1"/>
  <c r="B1717" i="1"/>
  <c r="C1717" i="1"/>
  <c r="D1717" i="1"/>
  <c r="E1717" i="1"/>
  <c r="F1717" i="1"/>
  <c r="G1717" i="1"/>
  <c r="H1717" i="1"/>
  <c r="A1718" i="1"/>
  <c r="B1718" i="1"/>
  <c r="C1718" i="1"/>
  <c r="D1718" i="1"/>
  <c r="E1718" i="1"/>
  <c r="F1718" i="1"/>
  <c r="G1718" i="1"/>
  <c r="H1718" i="1"/>
  <c r="A1719" i="1"/>
  <c r="B1719" i="1"/>
  <c r="C1719" i="1"/>
  <c r="D1719" i="1"/>
  <c r="E1719" i="1"/>
  <c r="F1719" i="1"/>
  <c r="G1719" i="1"/>
  <c r="H1719" i="1"/>
  <c r="A1720" i="1"/>
  <c r="B1720" i="1"/>
  <c r="C1720" i="1"/>
  <c r="D1720" i="1"/>
  <c r="E1720" i="1"/>
  <c r="F1720" i="1"/>
  <c r="G1720" i="1"/>
  <c r="H1720" i="1"/>
  <c r="A1721" i="1"/>
  <c r="B1721" i="1"/>
  <c r="C1721" i="1"/>
  <c r="D1721" i="1"/>
  <c r="E1721" i="1"/>
  <c r="F1721" i="1"/>
  <c r="G1721" i="1"/>
  <c r="H1721" i="1"/>
  <c r="A1722" i="1"/>
  <c r="B1722" i="1"/>
  <c r="C1722" i="1"/>
  <c r="D1722" i="1"/>
  <c r="E1722" i="1"/>
  <c r="F1722" i="1"/>
  <c r="G1722" i="1"/>
  <c r="H1722" i="1"/>
  <c r="A1723" i="1"/>
  <c r="B1723" i="1"/>
  <c r="C1723" i="1"/>
  <c r="D1723" i="1"/>
  <c r="E1723" i="1"/>
  <c r="F1723" i="1"/>
  <c r="G1723" i="1"/>
  <c r="H1723" i="1"/>
  <c r="A1724" i="1"/>
  <c r="B1724" i="1"/>
  <c r="C1724" i="1"/>
  <c r="D1724" i="1"/>
  <c r="E1724" i="1"/>
  <c r="F1724" i="1"/>
  <c r="G1724" i="1"/>
  <c r="H1724" i="1"/>
  <c r="A1725" i="1"/>
  <c r="B1725" i="1"/>
  <c r="C1725" i="1"/>
  <c r="D1725" i="1"/>
  <c r="E1725" i="1"/>
  <c r="F1725" i="1"/>
  <c r="G1725" i="1"/>
  <c r="H1725" i="1"/>
  <c r="A1726" i="1"/>
  <c r="B1726" i="1"/>
  <c r="C1726" i="1"/>
  <c r="D1726" i="1"/>
  <c r="E1726" i="1"/>
  <c r="F1726" i="1"/>
  <c r="G1726" i="1"/>
  <c r="H1726" i="1"/>
  <c r="A1727" i="1"/>
  <c r="B1727" i="1"/>
  <c r="C1727" i="1"/>
  <c r="D1727" i="1"/>
  <c r="E1727" i="1"/>
  <c r="F1727" i="1"/>
  <c r="G1727" i="1"/>
  <c r="H1727" i="1"/>
  <c r="A1728" i="1"/>
  <c r="B1728" i="1"/>
  <c r="C1728" i="1"/>
  <c r="D1728" i="1"/>
  <c r="E1728" i="1"/>
  <c r="F1728" i="1"/>
  <c r="G1728" i="1"/>
  <c r="H1728" i="1"/>
  <c r="A1729" i="1"/>
  <c r="B1729" i="1"/>
  <c r="C1729" i="1"/>
  <c r="D1729" i="1"/>
  <c r="E1729" i="1"/>
  <c r="F1729" i="1"/>
  <c r="G1729" i="1"/>
  <c r="H1729" i="1"/>
  <c r="A1730" i="1"/>
  <c r="B1730" i="1"/>
  <c r="C1730" i="1"/>
  <c r="D1730" i="1"/>
  <c r="E1730" i="1"/>
  <c r="F1730" i="1"/>
  <c r="G1730" i="1"/>
  <c r="H1730" i="1"/>
  <c r="A1731" i="1"/>
  <c r="B1731" i="1"/>
  <c r="C1731" i="1"/>
  <c r="D1731" i="1"/>
  <c r="E1731" i="1"/>
  <c r="F1731" i="1"/>
  <c r="G1731" i="1"/>
  <c r="H1731" i="1"/>
  <c r="A1732" i="1"/>
  <c r="B1732" i="1"/>
  <c r="C1732" i="1"/>
  <c r="D1732" i="1"/>
  <c r="E1732" i="1"/>
  <c r="F1732" i="1"/>
  <c r="G1732" i="1"/>
  <c r="H1732" i="1"/>
  <c r="A1733" i="1"/>
  <c r="B1733" i="1"/>
  <c r="C1733" i="1"/>
  <c r="D1733" i="1"/>
  <c r="E1733" i="1"/>
  <c r="F1733" i="1"/>
  <c r="G1733" i="1"/>
  <c r="H1733" i="1"/>
  <c r="A1734" i="1"/>
  <c r="B1734" i="1"/>
  <c r="C1734" i="1"/>
  <c r="D1734" i="1"/>
  <c r="E1734" i="1"/>
  <c r="F1734" i="1"/>
  <c r="G1734" i="1"/>
  <c r="H1734" i="1"/>
  <c r="A1735" i="1"/>
  <c r="B1735" i="1"/>
  <c r="C1735" i="1"/>
  <c r="D1735" i="1"/>
  <c r="E1735" i="1"/>
  <c r="F1735" i="1"/>
  <c r="G1735" i="1"/>
  <c r="H1735" i="1"/>
  <c r="A1736" i="1"/>
  <c r="B1736" i="1"/>
  <c r="C1736" i="1"/>
  <c r="D1736" i="1"/>
  <c r="E1736" i="1"/>
  <c r="F1736" i="1"/>
  <c r="G1736" i="1"/>
  <c r="H1736" i="1"/>
  <c r="A1737" i="1"/>
  <c r="B1737" i="1"/>
  <c r="C1737" i="1"/>
  <c r="D1737" i="1"/>
  <c r="E1737" i="1"/>
  <c r="F1737" i="1"/>
  <c r="G1737" i="1"/>
  <c r="H1737" i="1"/>
  <c r="A1738" i="1"/>
  <c r="B1738" i="1"/>
  <c r="C1738" i="1"/>
  <c r="D1738" i="1"/>
  <c r="E1738" i="1"/>
  <c r="F1738" i="1"/>
  <c r="G1738" i="1"/>
  <c r="H1738" i="1"/>
  <c r="A1739" i="1"/>
  <c r="B1739" i="1"/>
  <c r="C1739" i="1"/>
  <c r="D1739" i="1"/>
  <c r="E1739" i="1"/>
  <c r="F1739" i="1"/>
  <c r="G1739" i="1"/>
  <c r="H1739" i="1"/>
  <c r="A1740" i="1"/>
  <c r="B1740" i="1"/>
  <c r="C1740" i="1"/>
  <c r="D1740" i="1"/>
  <c r="E1740" i="1"/>
  <c r="F1740" i="1"/>
  <c r="G1740" i="1"/>
  <c r="H1740" i="1"/>
  <c r="A1741" i="1"/>
  <c r="B1741" i="1"/>
  <c r="C1741" i="1"/>
  <c r="D1741" i="1"/>
  <c r="E1741" i="1"/>
  <c r="F1741" i="1"/>
  <c r="G1741" i="1"/>
  <c r="H1741" i="1"/>
  <c r="A1742" i="1"/>
  <c r="B1742" i="1"/>
  <c r="C1742" i="1"/>
  <c r="D1742" i="1"/>
  <c r="E1742" i="1"/>
  <c r="F1742" i="1"/>
  <c r="G1742" i="1"/>
  <c r="H1742" i="1"/>
  <c r="A1743" i="1"/>
  <c r="B1743" i="1"/>
  <c r="C1743" i="1"/>
  <c r="D1743" i="1"/>
  <c r="E1743" i="1"/>
  <c r="F1743" i="1"/>
  <c r="G1743" i="1"/>
  <c r="H1743" i="1"/>
  <c r="A1744" i="1"/>
  <c r="B1744" i="1"/>
  <c r="C1744" i="1"/>
  <c r="D1744" i="1"/>
  <c r="E1744" i="1"/>
  <c r="F1744" i="1"/>
  <c r="G1744" i="1"/>
  <c r="H1744" i="1"/>
  <c r="A1745" i="1"/>
  <c r="B1745" i="1"/>
  <c r="C1745" i="1"/>
  <c r="D1745" i="1"/>
  <c r="E1745" i="1"/>
  <c r="F1745" i="1"/>
  <c r="G1745" i="1"/>
  <c r="H1745" i="1"/>
  <c r="A1746" i="1"/>
  <c r="B1746" i="1"/>
  <c r="C1746" i="1"/>
  <c r="D1746" i="1"/>
  <c r="E1746" i="1"/>
  <c r="F1746" i="1"/>
  <c r="G1746" i="1"/>
  <c r="H1746" i="1"/>
  <c r="A1747" i="1"/>
  <c r="B1747" i="1"/>
  <c r="C1747" i="1"/>
  <c r="D1747" i="1"/>
  <c r="E1747" i="1"/>
  <c r="F1747" i="1"/>
  <c r="G1747" i="1"/>
  <c r="H1747" i="1"/>
  <c r="A1748" i="1"/>
  <c r="B1748" i="1"/>
  <c r="C1748" i="1"/>
  <c r="D1748" i="1"/>
  <c r="E1748" i="1"/>
  <c r="F1748" i="1"/>
  <c r="G1748" i="1"/>
  <c r="H1748" i="1"/>
  <c r="A1749" i="1"/>
  <c r="B1749" i="1"/>
  <c r="C1749" i="1"/>
  <c r="D1749" i="1"/>
  <c r="E1749" i="1"/>
  <c r="F1749" i="1"/>
  <c r="G1749" i="1"/>
  <c r="H1749" i="1"/>
  <c r="A1750" i="1"/>
  <c r="B1750" i="1"/>
  <c r="C1750" i="1"/>
  <c r="D1750" i="1"/>
  <c r="E1750" i="1"/>
  <c r="F1750" i="1"/>
  <c r="G1750" i="1"/>
  <c r="H1750" i="1"/>
  <c r="A1751" i="1"/>
  <c r="B1751" i="1"/>
  <c r="C1751" i="1"/>
  <c r="D1751" i="1"/>
  <c r="E1751" i="1"/>
  <c r="F1751" i="1"/>
  <c r="G1751" i="1"/>
  <c r="H1751" i="1"/>
  <c r="A1752" i="1"/>
  <c r="B1752" i="1"/>
  <c r="C1752" i="1"/>
  <c r="D1752" i="1"/>
  <c r="E1752" i="1"/>
  <c r="F1752" i="1"/>
  <c r="G1752" i="1"/>
  <c r="H1752" i="1"/>
  <c r="A1753" i="1"/>
  <c r="B1753" i="1"/>
  <c r="C1753" i="1"/>
  <c r="D1753" i="1"/>
  <c r="E1753" i="1"/>
  <c r="F1753" i="1"/>
  <c r="G1753" i="1"/>
  <c r="H1753" i="1"/>
  <c r="A1754" i="1"/>
  <c r="B1754" i="1"/>
  <c r="C1754" i="1"/>
  <c r="D1754" i="1"/>
  <c r="E1754" i="1"/>
  <c r="F1754" i="1"/>
  <c r="G1754" i="1"/>
  <c r="H1754" i="1"/>
  <c r="A1755" i="1"/>
  <c r="B1755" i="1"/>
  <c r="C1755" i="1"/>
  <c r="D1755" i="1"/>
  <c r="E1755" i="1"/>
  <c r="F1755" i="1"/>
  <c r="G1755" i="1"/>
  <c r="H1755" i="1"/>
  <c r="A1756" i="1"/>
  <c r="B1756" i="1"/>
  <c r="C1756" i="1"/>
  <c r="D1756" i="1"/>
  <c r="E1756" i="1"/>
  <c r="F1756" i="1"/>
  <c r="G1756" i="1"/>
  <c r="H1756" i="1"/>
  <c r="A1757" i="1"/>
  <c r="B1757" i="1"/>
  <c r="C1757" i="1"/>
  <c r="D1757" i="1"/>
  <c r="E1757" i="1"/>
  <c r="F1757" i="1"/>
  <c r="G1757" i="1"/>
  <c r="H1757" i="1"/>
  <c r="A1758" i="1"/>
  <c r="B1758" i="1"/>
  <c r="C1758" i="1"/>
  <c r="D1758" i="1"/>
  <c r="E1758" i="1"/>
  <c r="F1758" i="1"/>
  <c r="G1758" i="1"/>
  <c r="H1758" i="1"/>
  <c r="A1759" i="1"/>
  <c r="B1759" i="1"/>
  <c r="C1759" i="1"/>
  <c r="D1759" i="1"/>
  <c r="E1759" i="1"/>
  <c r="F1759" i="1"/>
  <c r="G1759" i="1"/>
  <c r="H1759" i="1"/>
  <c r="A1760" i="1"/>
  <c r="B1760" i="1"/>
  <c r="C1760" i="1"/>
  <c r="D1760" i="1"/>
  <c r="E1760" i="1"/>
  <c r="F1760" i="1"/>
  <c r="G1760" i="1"/>
  <c r="H1760" i="1"/>
  <c r="A1761" i="1"/>
  <c r="B1761" i="1"/>
  <c r="C1761" i="1"/>
  <c r="D1761" i="1"/>
  <c r="E1761" i="1"/>
  <c r="F1761" i="1"/>
  <c r="G1761" i="1"/>
  <c r="H1761" i="1"/>
  <c r="A1762" i="1"/>
  <c r="B1762" i="1"/>
  <c r="C1762" i="1"/>
  <c r="D1762" i="1"/>
  <c r="E1762" i="1"/>
  <c r="F1762" i="1"/>
  <c r="G1762" i="1"/>
  <c r="H1762" i="1"/>
  <c r="A1763" i="1"/>
  <c r="B1763" i="1"/>
  <c r="C1763" i="1"/>
  <c r="D1763" i="1"/>
  <c r="E1763" i="1"/>
  <c r="F1763" i="1"/>
  <c r="G1763" i="1"/>
  <c r="H1763" i="1"/>
  <c r="A1764" i="1"/>
  <c r="B1764" i="1"/>
  <c r="C1764" i="1"/>
  <c r="D1764" i="1"/>
  <c r="E1764" i="1"/>
  <c r="F1764" i="1"/>
  <c r="G1764" i="1"/>
  <c r="H1764" i="1"/>
  <c r="A1765" i="1"/>
  <c r="B1765" i="1"/>
  <c r="C1765" i="1"/>
  <c r="D1765" i="1"/>
  <c r="E1765" i="1"/>
  <c r="F1765" i="1"/>
  <c r="G1765" i="1"/>
  <c r="H1765" i="1"/>
  <c r="A1766" i="1"/>
  <c r="B1766" i="1"/>
  <c r="C1766" i="1"/>
  <c r="D1766" i="1"/>
  <c r="E1766" i="1"/>
  <c r="F1766" i="1"/>
  <c r="G1766" i="1"/>
  <c r="H1766" i="1"/>
  <c r="A1767" i="1"/>
  <c r="B1767" i="1"/>
  <c r="C1767" i="1"/>
  <c r="D1767" i="1"/>
  <c r="E1767" i="1"/>
  <c r="F1767" i="1"/>
  <c r="G1767" i="1"/>
  <c r="H1767" i="1"/>
  <c r="A1768" i="1"/>
  <c r="B1768" i="1"/>
  <c r="C1768" i="1"/>
  <c r="D1768" i="1"/>
  <c r="E1768" i="1"/>
  <c r="F1768" i="1"/>
  <c r="G1768" i="1"/>
  <c r="H1768" i="1"/>
  <c r="A1769" i="1"/>
  <c r="B1769" i="1"/>
  <c r="C1769" i="1"/>
  <c r="D1769" i="1"/>
  <c r="E1769" i="1"/>
  <c r="F1769" i="1"/>
  <c r="G1769" i="1"/>
  <c r="H1769" i="1"/>
  <c r="A1770" i="1"/>
  <c r="B1770" i="1"/>
  <c r="C1770" i="1"/>
  <c r="D1770" i="1"/>
  <c r="E1770" i="1"/>
  <c r="F1770" i="1"/>
  <c r="G1770" i="1"/>
  <c r="H1770" i="1"/>
  <c r="A1771" i="1"/>
  <c r="B1771" i="1"/>
  <c r="C1771" i="1"/>
  <c r="D1771" i="1"/>
  <c r="E1771" i="1"/>
  <c r="F1771" i="1"/>
  <c r="G1771" i="1"/>
  <c r="H1771" i="1"/>
  <c r="A1772" i="1"/>
  <c r="B1772" i="1"/>
  <c r="C1772" i="1"/>
  <c r="D1772" i="1"/>
  <c r="E1772" i="1"/>
  <c r="F1772" i="1"/>
  <c r="G1772" i="1"/>
  <c r="H1772" i="1"/>
  <c r="A1773" i="1"/>
  <c r="B1773" i="1"/>
  <c r="C1773" i="1"/>
  <c r="D1773" i="1"/>
  <c r="E1773" i="1"/>
  <c r="F1773" i="1"/>
  <c r="G1773" i="1"/>
  <c r="H1773" i="1"/>
  <c r="A1774" i="1"/>
  <c r="B1774" i="1"/>
  <c r="C1774" i="1"/>
  <c r="D1774" i="1"/>
  <c r="E1774" i="1"/>
  <c r="F1774" i="1"/>
  <c r="G1774" i="1"/>
  <c r="H1774" i="1"/>
  <c r="A1775" i="1"/>
  <c r="B1775" i="1"/>
  <c r="C1775" i="1"/>
  <c r="D1775" i="1"/>
  <c r="E1775" i="1"/>
  <c r="F1775" i="1"/>
  <c r="G1775" i="1"/>
  <c r="H1775" i="1"/>
  <c r="A1776" i="1"/>
  <c r="B1776" i="1"/>
  <c r="C1776" i="1"/>
  <c r="D1776" i="1"/>
  <c r="E1776" i="1"/>
  <c r="F1776" i="1"/>
  <c r="G1776" i="1"/>
  <c r="H1776" i="1"/>
  <c r="A1777" i="1"/>
  <c r="B1777" i="1"/>
  <c r="C1777" i="1"/>
  <c r="D1777" i="1"/>
  <c r="E1777" i="1"/>
  <c r="F1777" i="1"/>
  <c r="G1777" i="1"/>
  <c r="H1777" i="1"/>
  <c r="A1778" i="1"/>
  <c r="B1778" i="1"/>
  <c r="C1778" i="1"/>
  <c r="D1778" i="1"/>
  <c r="E1778" i="1"/>
  <c r="F1778" i="1"/>
  <c r="G1778" i="1"/>
  <c r="H1778" i="1"/>
  <c r="A1779" i="1"/>
  <c r="B1779" i="1"/>
  <c r="C1779" i="1"/>
  <c r="D1779" i="1"/>
  <c r="E1779" i="1"/>
  <c r="F1779" i="1"/>
  <c r="G1779" i="1"/>
  <c r="H1779" i="1"/>
  <c r="A1780" i="1"/>
  <c r="B1780" i="1"/>
  <c r="C1780" i="1"/>
  <c r="D1780" i="1"/>
  <c r="E1780" i="1"/>
  <c r="F1780" i="1"/>
  <c r="G1780" i="1"/>
  <c r="H1780" i="1"/>
  <c r="A1781" i="1"/>
  <c r="B1781" i="1"/>
  <c r="C1781" i="1"/>
  <c r="D1781" i="1"/>
  <c r="E1781" i="1"/>
  <c r="F1781" i="1"/>
  <c r="G1781" i="1"/>
  <c r="H1781" i="1"/>
  <c r="A1782" i="1"/>
  <c r="B1782" i="1"/>
  <c r="C1782" i="1"/>
  <c r="D1782" i="1"/>
  <c r="E1782" i="1"/>
  <c r="F1782" i="1"/>
  <c r="G1782" i="1"/>
  <c r="H1782" i="1"/>
  <c r="A1783" i="1"/>
  <c r="B1783" i="1"/>
  <c r="C1783" i="1"/>
  <c r="D1783" i="1"/>
  <c r="E1783" i="1"/>
  <c r="F1783" i="1"/>
  <c r="G1783" i="1"/>
  <c r="H1783" i="1"/>
  <c r="A1784" i="1"/>
  <c r="B1784" i="1"/>
  <c r="C1784" i="1"/>
  <c r="D1784" i="1"/>
  <c r="E1784" i="1"/>
  <c r="F1784" i="1"/>
  <c r="G1784" i="1"/>
  <c r="H1784" i="1"/>
  <c r="A1785" i="1"/>
  <c r="B1785" i="1"/>
  <c r="C1785" i="1"/>
  <c r="D1785" i="1"/>
  <c r="E1785" i="1"/>
  <c r="F1785" i="1"/>
  <c r="G1785" i="1"/>
  <c r="H1785" i="1"/>
  <c r="A1786" i="1"/>
  <c r="B1786" i="1"/>
  <c r="C1786" i="1"/>
  <c r="D1786" i="1"/>
  <c r="E1786" i="1"/>
  <c r="F1786" i="1"/>
  <c r="G1786" i="1"/>
  <c r="H1786" i="1"/>
  <c r="A1787" i="1"/>
  <c r="B1787" i="1"/>
  <c r="C1787" i="1"/>
  <c r="D1787" i="1"/>
  <c r="E1787" i="1"/>
  <c r="F1787" i="1"/>
  <c r="G1787" i="1"/>
  <c r="H1787" i="1"/>
  <c r="A1788" i="1"/>
  <c r="B1788" i="1"/>
  <c r="C1788" i="1"/>
  <c r="D1788" i="1"/>
  <c r="E1788" i="1"/>
  <c r="F1788" i="1"/>
  <c r="G1788" i="1"/>
  <c r="H1788" i="1"/>
  <c r="A1789" i="1"/>
  <c r="B1789" i="1"/>
  <c r="C1789" i="1"/>
  <c r="D1789" i="1"/>
  <c r="E1789" i="1"/>
  <c r="F1789" i="1"/>
  <c r="G1789" i="1"/>
  <c r="H1789" i="1"/>
  <c r="A1790" i="1"/>
  <c r="B1790" i="1"/>
  <c r="C1790" i="1"/>
  <c r="D1790" i="1"/>
  <c r="E1790" i="1"/>
  <c r="F1790" i="1"/>
  <c r="G1790" i="1"/>
  <c r="H1790" i="1"/>
  <c r="A1791" i="1"/>
  <c r="B1791" i="1"/>
  <c r="C1791" i="1"/>
  <c r="D1791" i="1"/>
  <c r="E1791" i="1"/>
  <c r="F1791" i="1"/>
  <c r="G1791" i="1"/>
  <c r="H1791" i="1"/>
  <c r="A1792" i="1"/>
  <c r="B1792" i="1"/>
  <c r="C1792" i="1"/>
  <c r="D1792" i="1"/>
  <c r="E1792" i="1"/>
  <c r="F1792" i="1"/>
  <c r="G1792" i="1"/>
  <c r="H1792" i="1"/>
  <c r="A1793" i="1"/>
  <c r="B1793" i="1"/>
  <c r="C1793" i="1"/>
  <c r="D1793" i="1"/>
  <c r="E1793" i="1"/>
  <c r="F1793" i="1"/>
  <c r="G1793" i="1"/>
  <c r="H1793" i="1"/>
  <c r="A1794" i="1"/>
  <c r="B1794" i="1"/>
  <c r="C1794" i="1"/>
  <c r="D1794" i="1"/>
  <c r="E1794" i="1"/>
  <c r="F1794" i="1"/>
  <c r="G1794" i="1"/>
  <c r="H1794" i="1"/>
  <c r="A1795" i="1"/>
  <c r="B1795" i="1"/>
  <c r="C1795" i="1"/>
  <c r="D1795" i="1"/>
  <c r="E1795" i="1"/>
  <c r="F1795" i="1"/>
  <c r="G1795" i="1"/>
  <c r="H1795" i="1"/>
  <c r="A1796" i="1"/>
  <c r="B1796" i="1"/>
  <c r="C1796" i="1"/>
  <c r="D1796" i="1"/>
  <c r="E1796" i="1"/>
  <c r="F1796" i="1"/>
  <c r="G1796" i="1"/>
  <c r="H1796" i="1"/>
  <c r="A1797" i="1"/>
  <c r="B1797" i="1"/>
  <c r="C1797" i="1"/>
  <c r="D1797" i="1"/>
  <c r="E1797" i="1"/>
  <c r="F1797" i="1"/>
  <c r="G1797" i="1"/>
  <c r="H1797" i="1"/>
  <c r="A1798" i="1"/>
  <c r="B1798" i="1"/>
  <c r="C1798" i="1"/>
  <c r="D1798" i="1"/>
  <c r="E1798" i="1"/>
  <c r="F1798" i="1"/>
  <c r="G1798" i="1"/>
  <c r="H1798" i="1"/>
  <c r="A1799" i="1"/>
  <c r="B1799" i="1"/>
  <c r="C1799" i="1"/>
  <c r="D1799" i="1"/>
  <c r="E1799" i="1"/>
  <c r="F1799" i="1"/>
  <c r="G1799" i="1"/>
  <c r="H1799" i="1"/>
  <c r="A1800" i="1"/>
  <c r="B1800" i="1"/>
  <c r="C1800" i="1"/>
  <c r="D1800" i="1"/>
  <c r="E1800" i="1"/>
  <c r="F1800" i="1"/>
  <c r="G1800" i="1"/>
  <c r="H1800" i="1"/>
  <c r="A1801" i="1"/>
  <c r="B1801" i="1"/>
  <c r="C1801" i="1"/>
  <c r="D1801" i="1"/>
  <c r="E1801" i="1"/>
  <c r="F1801" i="1"/>
  <c r="G1801" i="1"/>
  <c r="H1801" i="1"/>
  <c r="A1802" i="1"/>
  <c r="B1802" i="1"/>
  <c r="C1802" i="1"/>
  <c r="D1802" i="1"/>
  <c r="E1802" i="1"/>
  <c r="F1802" i="1"/>
  <c r="G1802" i="1"/>
  <c r="H1802" i="1"/>
  <c r="A1803" i="1"/>
  <c r="B1803" i="1"/>
  <c r="C1803" i="1"/>
  <c r="D1803" i="1"/>
  <c r="E1803" i="1"/>
  <c r="F1803" i="1"/>
  <c r="G1803" i="1"/>
  <c r="H1803" i="1"/>
  <c r="A1804" i="1"/>
  <c r="B1804" i="1"/>
  <c r="C1804" i="1"/>
  <c r="D1804" i="1"/>
  <c r="E1804" i="1"/>
  <c r="F1804" i="1"/>
  <c r="G1804" i="1"/>
  <c r="H1804" i="1"/>
  <c r="A1805" i="1"/>
  <c r="B1805" i="1"/>
  <c r="C1805" i="1"/>
  <c r="D1805" i="1"/>
  <c r="E1805" i="1"/>
  <c r="F1805" i="1"/>
  <c r="G1805" i="1"/>
  <c r="H1805" i="1"/>
  <c r="A1806" i="1"/>
  <c r="B1806" i="1"/>
  <c r="C1806" i="1"/>
  <c r="D1806" i="1"/>
  <c r="E1806" i="1"/>
  <c r="F1806" i="1"/>
  <c r="G1806" i="1"/>
  <c r="H1806" i="1"/>
  <c r="A1807" i="1"/>
  <c r="B1807" i="1"/>
  <c r="C1807" i="1"/>
  <c r="D1807" i="1"/>
  <c r="E1807" i="1"/>
  <c r="F1807" i="1"/>
  <c r="G1807" i="1"/>
  <c r="H1807" i="1"/>
  <c r="A1808" i="1"/>
  <c r="B1808" i="1"/>
  <c r="C1808" i="1"/>
  <c r="D1808" i="1"/>
  <c r="E1808" i="1"/>
  <c r="F1808" i="1"/>
  <c r="G1808" i="1"/>
  <c r="H1808" i="1"/>
  <c r="A1809" i="1"/>
  <c r="B1809" i="1"/>
  <c r="C1809" i="1"/>
  <c r="D1809" i="1"/>
  <c r="E1809" i="1"/>
  <c r="F1809" i="1"/>
  <c r="G1809" i="1"/>
  <c r="H1809" i="1"/>
  <c r="A1810" i="1"/>
  <c r="B1810" i="1"/>
  <c r="C1810" i="1"/>
  <c r="D1810" i="1"/>
  <c r="E1810" i="1"/>
  <c r="F1810" i="1"/>
  <c r="G1810" i="1"/>
  <c r="H1810" i="1"/>
  <c r="A1811" i="1"/>
  <c r="B1811" i="1"/>
  <c r="C1811" i="1"/>
  <c r="D1811" i="1"/>
  <c r="E1811" i="1"/>
  <c r="F1811" i="1"/>
  <c r="G1811" i="1"/>
  <c r="H1811" i="1"/>
  <c r="A1812" i="1"/>
  <c r="B1812" i="1"/>
  <c r="C1812" i="1"/>
  <c r="D1812" i="1"/>
  <c r="E1812" i="1"/>
  <c r="F1812" i="1"/>
  <c r="G1812" i="1"/>
  <c r="H1812" i="1"/>
  <c r="A1813" i="1"/>
  <c r="B1813" i="1"/>
  <c r="C1813" i="1"/>
  <c r="D1813" i="1"/>
  <c r="E1813" i="1"/>
  <c r="F1813" i="1"/>
  <c r="G1813" i="1"/>
  <c r="H1813" i="1"/>
  <c r="A1814" i="1"/>
  <c r="B1814" i="1"/>
  <c r="C1814" i="1"/>
  <c r="D1814" i="1"/>
  <c r="E1814" i="1"/>
  <c r="F1814" i="1"/>
  <c r="G1814" i="1"/>
  <c r="H1814" i="1"/>
  <c r="A1815" i="1"/>
  <c r="B1815" i="1"/>
  <c r="C1815" i="1"/>
  <c r="D1815" i="1"/>
  <c r="E1815" i="1"/>
  <c r="F1815" i="1"/>
  <c r="G1815" i="1"/>
  <c r="H1815" i="1"/>
  <c r="A1816" i="1"/>
  <c r="B1816" i="1"/>
  <c r="C1816" i="1"/>
  <c r="D1816" i="1"/>
  <c r="E1816" i="1"/>
  <c r="F1816" i="1"/>
  <c r="G1816" i="1"/>
  <c r="H1816" i="1"/>
  <c r="A1817" i="1"/>
  <c r="B1817" i="1"/>
  <c r="C1817" i="1"/>
  <c r="D1817" i="1"/>
  <c r="E1817" i="1"/>
  <c r="F1817" i="1"/>
  <c r="G1817" i="1"/>
  <c r="H1817" i="1"/>
  <c r="A1818" i="1"/>
  <c r="B1818" i="1"/>
  <c r="C1818" i="1"/>
  <c r="D1818" i="1"/>
  <c r="E1818" i="1"/>
  <c r="F1818" i="1"/>
  <c r="G1818" i="1"/>
  <c r="H1818" i="1"/>
  <c r="A1819" i="1"/>
  <c r="B1819" i="1"/>
  <c r="C1819" i="1"/>
  <c r="D1819" i="1"/>
  <c r="E1819" i="1"/>
  <c r="F1819" i="1"/>
  <c r="G1819" i="1"/>
  <c r="H1819" i="1"/>
  <c r="A1820" i="1"/>
  <c r="B1820" i="1"/>
  <c r="C1820" i="1"/>
  <c r="D1820" i="1"/>
  <c r="E1820" i="1"/>
  <c r="F1820" i="1"/>
  <c r="G1820" i="1"/>
  <c r="H1820" i="1"/>
  <c r="A1821" i="1"/>
  <c r="B1821" i="1"/>
  <c r="C1821" i="1"/>
  <c r="D1821" i="1"/>
  <c r="E1821" i="1"/>
  <c r="F1821" i="1"/>
  <c r="G1821" i="1"/>
  <c r="H1821" i="1"/>
  <c r="A1822" i="1"/>
  <c r="B1822" i="1"/>
  <c r="C1822" i="1"/>
  <c r="D1822" i="1"/>
  <c r="E1822" i="1"/>
  <c r="F1822" i="1"/>
  <c r="G1822" i="1"/>
  <c r="H1822" i="1"/>
  <c r="A1823" i="1"/>
  <c r="B1823" i="1"/>
  <c r="C1823" i="1"/>
  <c r="D1823" i="1"/>
  <c r="E1823" i="1"/>
  <c r="F1823" i="1"/>
  <c r="G1823" i="1"/>
  <c r="H1823" i="1"/>
  <c r="A1824" i="1"/>
  <c r="B1824" i="1"/>
  <c r="C1824" i="1"/>
  <c r="D1824" i="1"/>
  <c r="E1824" i="1"/>
  <c r="F1824" i="1"/>
  <c r="G1824" i="1"/>
  <c r="H1824" i="1"/>
  <c r="A1825" i="1"/>
  <c r="B1825" i="1"/>
  <c r="C1825" i="1"/>
  <c r="D1825" i="1"/>
  <c r="E1825" i="1"/>
  <c r="F1825" i="1"/>
  <c r="G1825" i="1"/>
  <c r="H1825" i="1"/>
  <c r="A1826" i="1"/>
  <c r="B1826" i="1"/>
  <c r="C1826" i="1"/>
  <c r="D1826" i="1"/>
  <c r="E1826" i="1"/>
  <c r="F1826" i="1"/>
  <c r="G1826" i="1"/>
  <c r="H1826" i="1"/>
  <c r="A1827" i="1"/>
  <c r="B1827" i="1"/>
  <c r="C1827" i="1"/>
  <c r="D1827" i="1"/>
  <c r="E1827" i="1"/>
  <c r="F1827" i="1"/>
  <c r="G1827" i="1"/>
  <c r="H1827" i="1"/>
  <c r="A1828" i="1"/>
  <c r="B1828" i="1"/>
  <c r="C1828" i="1"/>
  <c r="D1828" i="1"/>
  <c r="E1828" i="1"/>
  <c r="F1828" i="1"/>
  <c r="G1828" i="1"/>
  <c r="H1828" i="1"/>
  <c r="A1829" i="1"/>
  <c r="B1829" i="1"/>
  <c r="C1829" i="1"/>
  <c r="D1829" i="1"/>
  <c r="E1829" i="1"/>
  <c r="F1829" i="1"/>
  <c r="G1829" i="1"/>
  <c r="H1829" i="1"/>
  <c r="A1830" i="1"/>
  <c r="B1830" i="1"/>
  <c r="C1830" i="1"/>
  <c r="D1830" i="1"/>
  <c r="E1830" i="1"/>
  <c r="F1830" i="1"/>
  <c r="G1830" i="1"/>
  <c r="H1830" i="1"/>
  <c r="A1831" i="1"/>
  <c r="B1831" i="1"/>
  <c r="C1831" i="1"/>
  <c r="D1831" i="1"/>
  <c r="E1831" i="1"/>
  <c r="F1831" i="1"/>
  <c r="G1831" i="1"/>
  <c r="H1831" i="1"/>
  <c r="A1832" i="1"/>
  <c r="B1832" i="1"/>
  <c r="C1832" i="1"/>
  <c r="D1832" i="1"/>
  <c r="E1832" i="1"/>
  <c r="F1832" i="1"/>
  <c r="G1832" i="1"/>
  <c r="H1832" i="1"/>
  <c r="A1833" i="1"/>
  <c r="B1833" i="1"/>
  <c r="C1833" i="1"/>
  <c r="D1833" i="1"/>
  <c r="E1833" i="1"/>
  <c r="F1833" i="1"/>
  <c r="G1833" i="1"/>
  <c r="H1833" i="1"/>
  <c r="A1834" i="1"/>
  <c r="B1834" i="1"/>
  <c r="C1834" i="1"/>
  <c r="D1834" i="1"/>
  <c r="E1834" i="1"/>
  <c r="F1834" i="1"/>
  <c r="G1834" i="1"/>
  <c r="H1834" i="1"/>
  <c r="A1835" i="1"/>
  <c r="B1835" i="1"/>
  <c r="C1835" i="1"/>
  <c r="D1835" i="1"/>
  <c r="E1835" i="1"/>
  <c r="F1835" i="1"/>
  <c r="G1835" i="1"/>
  <c r="H1835" i="1"/>
  <c r="A1836" i="1"/>
  <c r="B1836" i="1"/>
  <c r="C1836" i="1"/>
  <c r="D1836" i="1"/>
  <c r="E1836" i="1"/>
  <c r="F1836" i="1"/>
  <c r="G1836" i="1"/>
  <c r="H1836" i="1"/>
  <c r="A1837" i="1"/>
  <c r="B1837" i="1"/>
  <c r="C1837" i="1"/>
  <c r="D1837" i="1"/>
  <c r="E1837" i="1"/>
  <c r="F1837" i="1"/>
  <c r="G1837" i="1"/>
  <c r="H1837" i="1"/>
  <c r="A1838" i="1"/>
  <c r="B1838" i="1"/>
  <c r="C1838" i="1"/>
  <c r="D1838" i="1"/>
  <c r="E1838" i="1"/>
  <c r="F1838" i="1"/>
  <c r="G1838" i="1"/>
  <c r="H1838" i="1"/>
  <c r="A1839" i="1"/>
  <c r="B1839" i="1"/>
  <c r="C1839" i="1"/>
  <c r="D1839" i="1"/>
  <c r="E1839" i="1"/>
  <c r="F1839" i="1"/>
  <c r="G1839" i="1"/>
  <c r="H1839" i="1"/>
  <c r="A1840" i="1"/>
  <c r="B1840" i="1"/>
  <c r="C1840" i="1"/>
  <c r="D1840" i="1"/>
  <c r="E1840" i="1"/>
  <c r="F1840" i="1"/>
  <c r="G1840" i="1"/>
  <c r="H1840" i="1"/>
  <c r="A1841" i="1"/>
  <c r="B1841" i="1"/>
  <c r="C1841" i="1"/>
  <c r="D1841" i="1"/>
  <c r="E1841" i="1"/>
  <c r="F1841" i="1"/>
  <c r="G1841" i="1"/>
  <c r="H1841" i="1"/>
  <c r="A1842" i="1"/>
  <c r="B1842" i="1"/>
  <c r="C1842" i="1"/>
  <c r="D1842" i="1"/>
  <c r="E1842" i="1"/>
  <c r="F1842" i="1"/>
  <c r="G1842" i="1"/>
  <c r="H1842" i="1"/>
  <c r="A1843" i="1"/>
  <c r="B1843" i="1"/>
  <c r="C1843" i="1"/>
  <c r="D1843" i="1"/>
  <c r="E1843" i="1"/>
  <c r="F1843" i="1"/>
  <c r="G1843" i="1"/>
  <c r="H1843" i="1"/>
  <c r="A1844" i="1"/>
  <c r="B1844" i="1"/>
  <c r="C1844" i="1"/>
  <c r="D1844" i="1"/>
  <c r="E1844" i="1"/>
  <c r="F1844" i="1"/>
  <c r="G1844" i="1"/>
  <c r="H1844" i="1"/>
  <c r="A1845" i="1"/>
  <c r="B1845" i="1"/>
  <c r="C1845" i="1"/>
  <c r="D1845" i="1"/>
  <c r="E1845" i="1"/>
  <c r="F1845" i="1"/>
  <c r="G1845" i="1"/>
  <c r="H1845" i="1"/>
  <c r="A1846" i="1"/>
  <c r="B1846" i="1"/>
  <c r="C1846" i="1"/>
  <c r="D1846" i="1"/>
  <c r="E1846" i="1"/>
  <c r="F1846" i="1"/>
  <c r="G1846" i="1"/>
  <c r="H1846" i="1"/>
  <c r="A1847" i="1"/>
  <c r="B1847" i="1"/>
  <c r="C1847" i="1"/>
  <c r="D1847" i="1"/>
  <c r="E1847" i="1"/>
  <c r="F1847" i="1"/>
  <c r="G1847" i="1"/>
  <c r="H1847" i="1"/>
  <c r="A1848" i="1"/>
  <c r="B1848" i="1"/>
  <c r="C1848" i="1"/>
  <c r="D1848" i="1"/>
  <c r="E1848" i="1"/>
  <c r="F1848" i="1"/>
  <c r="G1848" i="1"/>
  <c r="H1848" i="1"/>
  <c r="A1849" i="1"/>
  <c r="B1849" i="1"/>
  <c r="C1849" i="1"/>
  <c r="D1849" i="1"/>
  <c r="E1849" i="1"/>
  <c r="F1849" i="1"/>
  <c r="G1849" i="1"/>
  <c r="H1849" i="1"/>
  <c r="A1850" i="1"/>
  <c r="B1850" i="1"/>
  <c r="C1850" i="1"/>
  <c r="D1850" i="1"/>
  <c r="E1850" i="1"/>
  <c r="F1850" i="1"/>
  <c r="G1850" i="1"/>
  <c r="H1850" i="1"/>
  <c r="A1851" i="1"/>
  <c r="B1851" i="1"/>
  <c r="C1851" i="1"/>
  <c r="D1851" i="1"/>
  <c r="E1851" i="1"/>
  <c r="F1851" i="1"/>
  <c r="G1851" i="1"/>
  <c r="H1851" i="1"/>
  <c r="A1852" i="1"/>
  <c r="B1852" i="1"/>
  <c r="C1852" i="1"/>
  <c r="D1852" i="1"/>
  <c r="E1852" i="1"/>
  <c r="F1852" i="1"/>
  <c r="G1852" i="1"/>
  <c r="H1852" i="1"/>
  <c r="A1853" i="1"/>
  <c r="B1853" i="1"/>
  <c r="C1853" i="1"/>
  <c r="D1853" i="1"/>
  <c r="E1853" i="1"/>
  <c r="F1853" i="1"/>
  <c r="G1853" i="1"/>
  <c r="H1853" i="1"/>
  <c r="A1854" i="1"/>
  <c r="B1854" i="1"/>
  <c r="C1854" i="1"/>
  <c r="D1854" i="1"/>
  <c r="E1854" i="1"/>
  <c r="F1854" i="1"/>
  <c r="G1854" i="1"/>
  <c r="H1854" i="1"/>
  <c r="A1855" i="1"/>
  <c r="B1855" i="1"/>
  <c r="C1855" i="1"/>
  <c r="D1855" i="1"/>
  <c r="E1855" i="1"/>
  <c r="F1855" i="1"/>
  <c r="G1855" i="1"/>
  <c r="H1855" i="1"/>
  <c r="A1856" i="1"/>
  <c r="B1856" i="1"/>
  <c r="C1856" i="1"/>
  <c r="D1856" i="1"/>
  <c r="E1856" i="1"/>
  <c r="F1856" i="1"/>
  <c r="G1856" i="1"/>
  <c r="H1856" i="1"/>
  <c r="A1857" i="1"/>
  <c r="B1857" i="1"/>
  <c r="C1857" i="1"/>
  <c r="D1857" i="1"/>
  <c r="E1857" i="1"/>
  <c r="F1857" i="1"/>
  <c r="G1857" i="1"/>
  <c r="H1857" i="1"/>
  <c r="A1858" i="1"/>
  <c r="B1858" i="1"/>
  <c r="C1858" i="1"/>
  <c r="D1858" i="1"/>
  <c r="E1858" i="1"/>
  <c r="F1858" i="1"/>
  <c r="G1858" i="1"/>
  <c r="H1858" i="1"/>
  <c r="A1859" i="1"/>
  <c r="B1859" i="1"/>
  <c r="C1859" i="1"/>
  <c r="D1859" i="1"/>
  <c r="E1859" i="1"/>
  <c r="F1859" i="1"/>
  <c r="G1859" i="1"/>
  <c r="H1859" i="1"/>
  <c r="A1860" i="1"/>
  <c r="B1860" i="1"/>
  <c r="C1860" i="1"/>
  <c r="D1860" i="1"/>
  <c r="E1860" i="1"/>
  <c r="F1860" i="1"/>
  <c r="G1860" i="1"/>
  <c r="H1860" i="1"/>
  <c r="A1861" i="1"/>
  <c r="B1861" i="1"/>
  <c r="C1861" i="1"/>
  <c r="D1861" i="1"/>
  <c r="E1861" i="1"/>
  <c r="F1861" i="1"/>
  <c r="G1861" i="1"/>
  <c r="H1861" i="1"/>
  <c r="A1862" i="1"/>
  <c r="B1862" i="1"/>
  <c r="C1862" i="1"/>
  <c r="D1862" i="1"/>
  <c r="E1862" i="1"/>
  <c r="F1862" i="1"/>
  <c r="G1862" i="1"/>
  <c r="H1862" i="1"/>
  <c r="A1863" i="1"/>
  <c r="B1863" i="1"/>
  <c r="C1863" i="1"/>
  <c r="D1863" i="1"/>
  <c r="E1863" i="1"/>
  <c r="F1863" i="1"/>
  <c r="G1863" i="1"/>
  <c r="H1863" i="1"/>
  <c r="A1864" i="1"/>
  <c r="B1864" i="1"/>
  <c r="C1864" i="1"/>
  <c r="D1864" i="1"/>
  <c r="E1864" i="1"/>
  <c r="F1864" i="1"/>
  <c r="G1864" i="1"/>
  <c r="H1864" i="1"/>
  <c r="A1865" i="1"/>
  <c r="B1865" i="1"/>
  <c r="C1865" i="1"/>
  <c r="D1865" i="1"/>
  <c r="E1865" i="1"/>
  <c r="F1865" i="1"/>
  <c r="G1865" i="1"/>
  <c r="H1865" i="1"/>
  <c r="A1866" i="1"/>
  <c r="B1866" i="1"/>
  <c r="C1866" i="1"/>
  <c r="D1866" i="1"/>
  <c r="E1866" i="1"/>
  <c r="F1866" i="1"/>
  <c r="G1866" i="1"/>
  <c r="H1866" i="1"/>
  <c r="A1867" i="1"/>
  <c r="B1867" i="1"/>
  <c r="C1867" i="1"/>
  <c r="D1867" i="1"/>
  <c r="E1867" i="1"/>
  <c r="F1867" i="1"/>
  <c r="G1867" i="1"/>
  <c r="H1867" i="1"/>
  <c r="A1868" i="1"/>
  <c r="B1868" i="1"/>
  <c r="C1868" i="1"/>
  <c r="D1868" i="1"/>
  <c r="E1868" i="1"/>
  <c r="F1868" i="1"/>
  <c r="G1868" i="1"/>
  <c r="H1868" i="1"/>
  <c r="A1869" i="1"/>
  <c r="B1869" i="1"/>
  <c r="C1869" i="1"/>
  <c r="D1869" i="1"/>
  <c r="E1869" i="1"/>
  <c r="F1869" i="1"/>
  <c r="G1869" i="1"/>
  <c r="H1869" i="1"/>
  <c r="A1870" i="1"/>
  <c r="B1870" i="1"/>
  <c r="C1870" i="1"/>
  <c r="D1870" i="1"/>
  <c r="E1870" i="1"/>
  <c r="F1870" i="1"/>
  <c r="G1870" i="1"/>
  <c r="H1870" i="1"/>
  <c r="A1871" i="1"/>
  <c r="B1871" i="1"/>
  <c r="C1871" i="1"/>
  <c r="D1871" i="1"/>
  <c r="E1871" i="1"/>
  <c r="F1871" i="1"/>
  <c r="G1871" i="1"/>
  <c r="H1871" i="1"/>
  <c r="A1872" i="1"/>
  <c r="B1872" i="1"/>
  <c r="C1872" i="1"/>
  <c r="D1872" i="1"/>
  <c r="E1872" i="1"/>
  <c r="F1872" i="1"/>
  <c r="G1872" i="1"/>
  <c r="H1872" i="1"/>
  <c r="A1873" i="1"/>
  <c r="B1873" i="1"/>
  <c r="C1873" i="1"/>
  <c r="D1873" i="1"/>
  <c r="E1873" i="1"/>
  <c r="F1873" i="1"/>
  <c r="G1873" i="1"/>
  <c r="H1873" i="1"/>
  <c r="A1874" i="1"/>
  <c r="B1874" i="1"/>
  <c r="C1874" i="1"/>
  <c r="D1874" i="1"/>
  <c r="E1874" i="1"/>
  <c r="F1874" i="1"/>
  <c r="G1874" i="1"/>
  <c r="H1874" i="1"/>
  <c r="A1875" i="1"/>
  <c r="B1875" i="1"/>
  <c r="C1875" i="1"/>
  <c r="D1875" i="1"/>
  <c r="E1875" i="1"/>
  <c r="F1875" i="1"/>
  <c r="G1875" i="1"/>
  <c r="H1875" i="1"/>
  <c r="A1876" i="1"/>
  <c r="B1876" i="1"/>
  <c r="C1876" i="1"/>
  <c r="D1876" i="1"/>
  <c r="E1876" i="1"/>
  <c r="F1876" i="1"/>
  <c r="G1876" i="1"/>
  <c r="H1876" i="1"/>
  <c r="A1877" i="1"/>
  <c r="B1877" i="1"/>
  <c r="C1877" i="1"/>
  <c r="D1877" i="1"/>
  <c r="E1877" i="1"/>
  <c r="F1877" i="1"/>
  <c r="G1877" i="1"/>
  <c r="H1877" i="1"/>
  <c r="A1878" i="1"/>
  <c r="B1878" i="1"/>
  <c r="C1878" i="1"/>
  <c r="D1878" i="1"/>
  <c r="E1878" i="1"/>
  <c r="F1878" i="1"/>
  <c r="G1878" i="1"/>
  <c r="H1878" i="1"/>
  <c r="A1879" i="1"/>
  <c r="B1879" i="1"/>
  <c r="C1879" i="1"/>
  <c r="D1879" i="1"/>
  <c r="E1879" i="1"/>
  <c r="F1879" i="1"/>
  <c r="G1879" i="1"/>
  <c r="H1879" i="1"/>
  <c r="A1880" i="1"/>
  <c r="B1880" i="1"/>
  <c r="C1880" i="1"/>
  <c r="D1880" i="1"/>
  <c r="E1880" i="1"/>
  <c r="F1880" i="1"/>
  <c r="G1880" i="1"/>
  <c r="H1880" i="1"/>
  <c r="A1881" i="1"/>
  <c r="B1881" i="1"/>
  <c r="C1881" i="1"/>
  <c r="D1881" i="1"/>
  <c r="E1881" i="1"/>
  <c r="F1881" i="1"/>
  <c r="G1881" i="1"/>
  <c r="H1881" i="1"/>
  <c r="A1882" i="1"/>
  <c r="B1882" i="1"/>
  <c r="C1882" i="1"/>
  <c r="D1882" i="1"/>
  <c r="E1882" i="1"/>
  <c r="F1882" i="1"/>
  <c r="G1882" i="1"/>
  <c r="H1882" i="1"/>
  <c r="A1883" i="1"/>
  <c r="B1883" i="1"/>
  <c r="C1883" i="1"/>
  <c r="D1883" i="1"/>
  <c r="E1883" i="1"/>
  <c r="F1883" i="1"/>
  <c r="G1883" i="1"/>
  <c r="H1883" i="1"/>
  <c r="A1884" i="1"/>
  <c r="B1884" i="1"/>
  <c r="C1884" i="1"/>
  <c r="D1884" i="1"/>
  <c r="E1884" i="1"/>
  <c r="F1884" i="1"/>
  <c r="G1884" i="1"/>
  <c r="H1884" i="1"/>
  <c r="A1885" i="1"/>
  <c r="B1885" i="1"/>
  <c r="C1885" i="1"/>
  <c r="D1885" i="1"/>
  <c r="E1885" i="1"/>
  <c r="F1885" i="1"/>
  <c r="G1885" i="1"/>
  <c r="H1885" i="1"/>
  <c r="A1886" i="1"/>
  <c r="B1886" i="1"/>
  <c r="C1886" i="1"/>
  <c r="D1886" i="1"/>
  <c r="E1886" i="1"/>
  <c r="F1886" i="1"/>
  <c r="G1886" i="1"/>
  <c r="H1886" i="1"/>
  <c r="A1887" i="1"/>
  <c r="B1887" i="1"/>
  <c r="C1887" i="1"/>
  <c r="D1887" i="1"/>
  <c r="E1887" i="1"/>
  <c r="F1887" i="1"/>
  <c r="G1887" i="1"/>
  <c r="H1887" i="1"/>
  <c r="A1888" i="1"/>
  <c r="B1888" i="1"/>
  <c r="C1888" i="1"/>
  <c r="D1888" i="1"/>
  <c r="E1888" i="1"/>
  <c r="F1888" i="1"/>
  <c r="G1888" i="1"/>
  <c r="H1888" i="1"/>
  <c r="A1889" i="1"/>
  <c r="B1889" i="1"/>
  <c r="C1889" i="1"/>
  <c r="D1889" i="1"/>
  <c r="E1889" i="1"/>
  <c r="F1889" i="1"/>
  <c r="G1889" i="1"/>
  <c r="H1889" i="1"/>
  <c r="A1890" i="1"/>
  <c r="B1890" i="1"/>
  <c r="C1890" i="1"/>
  <c r="D1890" i="1"/>
  <c r="E1890" i="1"/>
  <c r="F1890" i="1"/>
  <c r="G1890" i="1"/>
  <c r="H1890" i="1"/>
  <c r="A1891" i="1"/>
  <c r="B1891" i="1"/>
  <c r="C1891" i="1"/>
  <c r="D1891" i="1"/>
  <c r="E1891" i="1"/>
  <c r="F1891" i="1"/>
  <c r="G1891" i="1"/>
  <c r="H1891" i="1"/>
  <c r="A1892" i="1"/>
  <c r="B1892" i="1"/>
  <c r="C1892" i="1"/>
  <c r="D1892" i="1"/>
  <c r="E1892" i="1"/>
  <c r="F1892" i="1"/>
  <c r="G1892" i="1"/>
  <c r="H1892" i="1"/>
  <c r="A1893" i="1"/>
  <c r="B1893" i="1"/>
  <c r="C1893" i="1"/>
  <c r="D1893" i="1"/>
  <c r="E1893" i="1"/>
  <c r="F1893" i="1"/>
  <c r="G1893" i="1"/>
  <c r="H1893" i="1"/>
  <c r="A1894" i="1"/>
  <c r="B1894" i="1"/>
  <c r="C1894" i="1"/>
  <c r="D1894" i="1"/>
  <c r="E1894" i="1"/>
  <c r="F1894" i="1"/>
  <c r="G1894" i="1"/>
  <c r="H1894" i="1"/>
  <c r="A1895" i="1"/>
  <c r="B1895" i="1"/>
  <c r="C1895" i="1"/>
  <c r="D1895" i="1"/>
  <c r="E1895" i="1"/>
  <c r="F1895" i="1"/>
  <c r="G1895" i="1"/>
  <c r="H1895" i="1"/>
  <c r="A1896" i="1"/>
  <c r="B1896" i="1"/>
  <c r="C1896" i="1"/>
  <c r="D1896" i="1"/>
  <c r="E1896" i="1"/>
  <c r="F1896" i="1"/>
  <c r="G1896" i="1"/>
  <c r="H1896" i="1"/>
  <c r="A1897" i="1"/>
  <c r="B1897" i="1"/>
  <c r="C1897" i="1"/>
  <c r="D1897" i="1"/>
  <c r="E1897" i="1"/>
  <c r="F1897" i="1"/>
  <c r="G1897" i="1"/>
  <c r="H1897" i="1"/>
  <c r="A1898" i="1"/>
  <c r="B1898" i="1"/>
  <c r="C1898" i="1"/>
  <c r="D1898" i="1"/>
  <c r="E1898" i="1"/>
  <c r="F1898" i="1"/>
  <c r="G1898" i="1"/>
  <c r="H1898" i="1"/>
  <c r="A1899" i="1"/>
  <c r="B1899" i="1"/>
  <c r="C1899" i="1"/>
  <c r="D1899" i="1"/>
  <c r="E1899" i="1"/>
  <c r="F1899" i="1"/>
  <c r="G1899" i="1"/>
  <c r="H1899" i="1"/>
  <c r="A1900" i="1"/>
  <c r="B1900" i="1"/>
  <c r="C1900" i="1"/>
  <c r="D1900" i="1"/>
  <c r="E1900" i="1"/>
  <c r="F1900" i="1"/>
  <c r="G1900" i="1"/>
  <c r="H1900" i="1"/>
  <c r="A1901" i="1"/>
  <c r="B1901" i="1"/>
  <c r="C1901" i="1"/>
  <c r="D1901" i="1"/>
  <c r="E1901" i="1"/>
  <c r="F1901" i="1"/>
  <c r="G1901" i="1"/>
  <c r="H1901" i="1"/>
  <c r="A1902" i="1"/>
  <c r="B1902" i="1"/>
  <c r="C1902" i="1"/>
  <c r="D1902" i="1"/>
  <c r="E1902" i="1"/>
  <c r="F1902" i="1"/>
  <c r="G1902" i="1"/>
  <c r="H1902" i="1"/>
  <c r="A1903" i="1"/>
  <c r="B1903" i="1"/>
  <c r="C1903" i="1"/>
  <c r="D1903" i="1"/>
  <c r="E1903" i="1"/>
  <c r="F1903" i="1"/>
  <c r="G1903" i="1"/>
  <c r="H1903" i="1"/>
  <c r="A1904" i="1"/>
  <c r="B1904" i="1"/>
  <c r="C1904" i="1"/>
  <c r="D1904" i="1"/>
  <c r="E1904" i="1"/>
  <c r="F1904" i="1"/>
  <c r="G1904" i="1"/>
  <c r="H1904" i="1"/>
  <c r="A1905" i="1"/>
  <c r="B1905" i="1"/>
  <c r="C1905" i="1"/>
  <c r="D1905" i="1"/>
  <c r="E1905" i="1"/>
  <c r="F1905" i="1"/>
  <c r="G1905" i="1"/>
  <c r="H1905" i="1"/>
  <c r="A1906" i="1"/>
  <c r="B1906" i="1"/>
  <c r="C1906" i="1"/>
  <c r="D1906" i="1"/>
  <c r="E1906" i="1"/>
  <c r="F1906" i="1"/>
  <c r="G1906" i="1"/>
  <c r="H1906" i="1"/>
  <c r="A1907" i="1"/>
  <c r="B1907" i="1"/>
  <c r="C1907" i="1"/>
  <c r="D1907" i="1"/>
  <c r="E1907" i="1"/>
  <c r="F1907" i="1"/>
  <c r="G1907" i="1"/>
  <c r="H1907" i="1"/>
  <c r="A1908" i="1"/>
  <c r="B1908" i="1"/>
  <c r="C1908" i="1"/>
  <c r="D1908" i="1"/>
  <c r="E1908" i="1"/>
  <c r="F1908" i="1"/>
  <c r="G1908" i="1"/>
  <c r="H1908" i="1"/>
  <c r="A1909" i="1"/>
  <c r="B1909" i="1"/>
  <c r="C1909" i="1"/>
  <c r="D1909" i="1"/>
  <c r="E1909" i="1"/>
  <c r="F1909" i="1"/>
  <c r="G1909" i="1"/>
  <c r="H1909" i="1"/>
  <c r="A1910" i="1"/>
  <c r="B1910" i="1"/>
  <c r="C1910" i="1"/>
  <c r="D1910" i="1"/>
  <c r="E1910" i="1"/>
  <c r="F1910" i="1"/>
  <c r="G1910" i="1"/>
  <c r="H1910" i="1"/>
  <c r="A1911" i="1"/>
  <c r="B1911" i="1"/>
  <c r="C1911" i="1"/>
  <c r="D1911" i="1"/>
  <c r="E1911" i="1"/>
  <c r="F1911" i="1"/>
  <c r="G1911" i="1"/>
  <c r="H1911" i="1"/>
  <c r="A1912" i="1"/>
  <c r="B1912" i="1"/>
  <c r="C1912" i="1"/>
  <c r="D1912" i="1"/>
  <c r="E1912" i="1"/>
  <c r="F1912" i="1"/>
  <c r="G1912" i="1"/>
  <c r="H1912" i="1"/>
  <c r="A1913" i="1"/>
  <c r="B1913" i="1"/>
  <c r="C1913" i="1"/>
  <c r="D1913" i="1"/>
  <c r="E1913" i="1"/>
  <c r="F1913" i="1"/>
  <c r="G1913" i="1"/>
  <c r="H1913" i="1"/>
  <c r="A1914" i="1"/>
  <c r="B1914" i="1"/>
  <c r="C1914" i="1"/>
  <c r="D1914" i="1"/>
  <c r="E1914" i="1"/>
  <c r="F1914" i="1"/>
  <c r="G1914" i="1"/>
  <c r="H1914" i="1"/>
  <c r="A1915" i="1"/>
  <c r="B1915" i="1"/>
  <c r="C1915" i="1"/>
  <c r="D1915" i="1"/>
  <c r="E1915" i="1"/>
  <c r="F1915" i="1"/>
  <c r="G1915" i="1"/>
  <c r="H1915" i="1"/>
  <c r="A1916" i="1"/>
  <c r="B1916" i="1"/>
  <c r="C1916" i="1"/>
  <c r="D1916" i="1"/>
  <c r="E1916" i="1"/>
  <c r="F1916" i="1"/>
  <c r="G1916" i="1"/>
  <c r="H1916" i="1"/>
  <c r="A1917" i="1"/>
  <c r="B1917" i="1"/>
  <c r="C1917" i="1"/>
  <c r="D1917" i="1"/>
  <c r="E1917" i="1"/>
  <c r="F1917" i="1"/>
  <c r="G1917" i="1"/>
  <c r="H1917" i="1"/>
  <c r="A1918" i="1"/>
  <c r="B1918" i="1"/>
  <c r="C1918" i="1"/>
  <c r="D1918" i="1"/>
  <c r="E1918" i="1"/>
  <c r="F1918" i="1"/>
  <c r="G1918" i="1"/>
  <c r="H1918" i="1"/>
  <c r="A1919" i="1"/>
  <c r="B1919" i="1"/>
  <c r="C1919" i="1"/>
  <c r="D1919" i="1"/>
  <c r="E1919" i="1"/>
  <c r="F1919" i="1"/>
  <c r="G1919" i="1"/>
  <c r="H1919" i="1"/>
  <c r="A1920" i="1"/>
  <c r="B1920" i="1"/>
  <c r="C1920" i="1"/>
  <c r="D1920" i="1"/>
  <c r="E1920" i="1"/>
  <c r="F1920" i="1"/>
  <c r="G1920" i="1"/>
  <c r="H1920" i="1"/>
  <c r="A1921" i="1"/>
  <c r="B1921" i="1"/>
  <c r="C1921" i="1"/>
  <c r="D1921" i="1"/>
  <c r="E1921" i="1"/>
  <c r="F1921" i="1"/>
  <c r="G1921" i="1"/>
  <c r="H1921" i="1"/>
  <c r="A1922" i="1"/>
  <c r="B1922" i="1"/>
  <c r="C1922" i="1"/>
  <c r="D1922" i="1"/>
  <c r="E1922" i="1"/>
  <c r="F1922" i="1"/>
  <c r="G1922" i="1"/>
  <c r="H1922" i="1"/>
  <c r="A1923" i="1"/>
  <c r="B1923" i="1"/>
  <c r="C1923" i="1"/>
  <c r="D1923" i="1"/>
  <c r="E1923" i="1"/>
  <c r="F1923" i="1"/>
  <c r="G1923" i="1"/>
  <c r="H1923" i="1"/>
  <c r="A1924" i="1"/>
  <c r="B1924" i="1"/>
  <c r="C1924" i="1"/>
  <c r="D1924" i="1"/>
  <c r="E1924" i="1"/>
  <c r="F1924" i="1"/>
  <c r="G1924" i="1"/>
  <c r="H1924" i="1"/>
  <c r="A1925" i="1"/>
  <c r="B1925" i="1"/>
  <c r="C1925" i="1"/>
  <c r="D1925" i="1"/>
  <c r="E1925" i="1"/>
  <c r="F1925" i="1"/>
  <c r="G1925" i="1"/>
  <c r="H1925" i="1"/>
  <c r="A1926" i="1"/>
  <c r="B1926" i="1"/>
  <c r="C1926" i="1"/>
  <c r="D1926" i="1"/>
  <c r="E1926" i="1"/>
  <c r="F1926" i="1"/>
  <c r="G1926" i="1"/>
  <c r="H1926" i="1"/>
  <c r="A1927" i="1"/>
  <c r="B1927" i="1"/>
  <c r="C1927" i="1"/>
  <c r="D1927" i="1"/>
  <c r="E1927" i="1"/>
  <c r="F1927" i="1"/>
  <c r="G1927" i="1"/>
  <c r="H1927" i="1"/>
  <c r="A1928" i="1"/>
  <c r="B1928" i="1"/>
  <c r="C1928" i="1"/>
  <c r="D1928" i="1"/>
  <c r="E1928" i="1"/>
  <c r="F1928" i="1"/>
  <c r="G1928" i="1"/>
  <c r="H1928" i="1"/>
  <c r="A1929" i="1"/>
  <c r="B1929" i="1"/>
  <c r="C1929" i="1"/>
  <c r="D1929" i="1"/>
  <c r="E1929" i="1"/>
  <c r="F1929" i="1"/>
  <c r="G1929" i="1"/>
  <c r="H1929" i="1"/>
  <c r="A1930" i="1"/>
  <c r="B1930" i="1"/>
  <c r="C1930" i="1"/>
  <c r="D1930" i="1"/>
  <c r="E1930" i="1"/>
  <c r="F1930" i="1"/>
  <c r="G1930" i="1"/>
  <c r="H1930" i="1"/>
  <c r="A1931" i="1"/>
  <c r="B1931" i="1"/>
  <c r="C1931" i="1"/>
  <c r="D1931" i="1"/>
  <c r="E1931" i="1"/>
  <c r="F1931" i="1"/>
  <c r="G1931" i="1"/>
  <c r="H1931" i="1"/>
  <c r="A1932" i="1"/>
  <c r="B1932" i="1"/>
  <c r="C1932" i="1"/>
  <c r="D1932" i="1"/>
  <c r="E1932" i="1"/>
  <c r="F1932" i="1"/>
  <c r="G1932" i="1"/>
  <c r="H1932" i="1"/>
  <c r="A1933" i="1"/>
  <c r="B1933" i="1"/>
  <c r="C1933" i="1"/>
  <c r="D1933" i="1"/>
  <c r="E1933" i="1"/>
  <c r="F1933" i="1"/>
  <c r="G1933" i="1"/>
  <c r="H1933" i="1"/>
  <c r="A1934" i="1"/>
  <c r="B1934" i="1"/>
  <c r="C1934" i="1"/>
  <c r="D1934" i="1"/>
  <c r="E1934" i="1"/>
  <c r="F1934" i="1"/>
  <c r="G1934" i="1"/>
  <c r="H1934" i="1"/>
  <c r="A1935" i="1"/>
  <c r="B1935" i="1"/>
  <c r="C1935" i="1"/>
  <c r="D1935" i="1"/>
  <c r="E1935" i="1"/>
  <c r="F1935" i="1"/>
  <c r="G1935" i="1"/>
  <c r="H1935" i="1"/>
  <c r="A1936" i="1"/>
  <c r="B1936" i="1"/>
  <c r="C1936" i="1"/>
  <c r="D1936" i="1"/>
  <c r="E1936" i="1"/>
  <c r="F1936" i="1"/>
  <c r="G1936" i="1"/>
  <c r="H1936" i="1"/>
  <c r="A1937" i="1"/>
  <c r="B1937" i="1"/>
  <c r="C1937" i="1"/>
  <c r="D1937" i="1"/>
  <c r="E1937" i="1"/>
  <c r="F1937" i="1"/>
  <c r="G1937" i="1"/>
  <c r="H1937" i="1"/>
  <c r="A1938" i="1"/>
  <c r="B1938" i="1"/>
  <c r="C1938" i="1"/>
  <c r="D1938" i="1"/>
  <c r="E1938" i="1"/>
  <c r="F1938" i="1"/>
  <c r="G1938" i="1"/>
  <c r="H1938" i="1"/>
  <c r="A1939" i="1"/>
  <c r="B1939" i="1"/>
  <c r="C1939" i="1"/>
  <c r="D1939" i="1"/>
  <c r="E1939" i="1"/>
  <c r="F1939" i="1"/>
  <c r="G1939" i="1"/>
  <c r="H1939" i="1"/>
  <c r="A1940" i="1"/>
  <c r="B1940" i="1"/>
  <c r="C1940" i="1"/>
  <c r="D1940" i="1"/>
  <c r="E1940" i="1"/>
  <c r="F1940" i="1"/>
  <c r="G1940" i="1"/>
  <c r="H1940" i="1"/>
  <c r="A1941" i="1"/>
  <c r="B1941" i="1"/>
  <c r="C1941" i="1"/>
  <c r="D1941" i="1"/>
  <c r="E1941" i="1"/>
  <c r="F1941" i="1"/>
  <c r="G1941" i="1"/>
  <c r="H1941" i="1"/>
  <c r="A1942" i="1"/>
  <c r="B1942" i="1"/>
  <c r="C1942" i="1"/>
  <c r="D1942" i="1"/>
  <c r="E1942" i="1"/>
  <c r="F1942" i="1"/>
  <c r="G1942" i="1"/>
  <c r="H1942" i="1"/>
  <c r="A1943" i="1"/>
  <c r="B1943" i="1"/>
  <c r="C1943" i="1"/>
  <c r="D1943" i="1"/>
  <c r="E1943" i="1"/>
  <c r="F1943" i="1"/>
  <c r="G1943" i="1"/>
  <c r="H1943" i="1"/>
  <c r="A1944" i="1"/>
  <c r="B1944" i="1"/>
  <c r="C1944" i="1"/>
  <c r="D1944" i="1"/>
  <c r="E1944" i="1"/>
  <c r="F1944" i="1"/>
  <c r="G1944" i="1"/>
  <c r="H1944" i="1"/>
  <c r="A1945" i="1"/>
  <c r="B1945" i="1"/>
  <c r="C1945" i="1"/>
  <c r="D1945" i="1"/>
  <c r="E1945" i="1"/>
  <c r="F1945" i="1"/>
  <c r="G1945" i="1"/>
  <c r="H1945" i="1"/>
  <c r="A1946" i="1"/>
  <c r="B1946" i="1"/>
  <c r="C1946" i="1"/>
  <c r="D1946" i="1"/>
  <c r="E1946" i="1"/>
  <c r="F1946" i="1"/>
  <c r="G1946" i="1"/>
  <c r="H1946" i="1"/>
  <c r="A1947" i="1"/>
  <c r="B1947" i="1"/>
  <c r="C1947" i="1"/>
  <c r="D1947" i="1"/>
  <c r="E1947" i="1"/>
  <c r="F1947" i="1"/>
  <c r="G1947" i="1"/>
  <c r="H1947" i="1"/>
  <c r="A1948" i="1"/>
  <c r="B1948" i="1"/>
  <c r="C1948" i="1"/>
  <c r="D1948" i="1"/>
  <c r="E1948" i="1"/>
  <c r="F1948" i="1"/>
  <c r="G1948" i="1"/>
  <c r="H1948" i="1"/>
  <c r="A1949" i="1"/>
  <c r="B1949" i="1"/>
  <c r="C1949" i="1"/>
  <c r="D1949" i="1"/>
  <c r="E1949" i="1"/>
  <c r="F1949" i="1"/>
  <c r="G1949" i="1"/>
  <c r="H1949" i="1"/>
  <c r="A1950" i="1"/>
  <c r="B1950" i="1"/>
  <c r="C1950" i="1"/>
  <c r="D1950" i="1"/>
  <c r="E1950" i="1"/>
  <c r="F1950" i="1"/>
  <c r="G1950" i="1"/>
  <c r="H1950" i="1"/>
  <c r="A1951" i="1"/>
  <c r="B1951" i="1"/>
  <c r="C1951" i="1"/>
  <c r="D1951" i="1"/>
  <c r="E1951" i="1"/>
  <c r="F1951" i="1"/>
  <c r="G1951" i="1"/>
  <c r="H1951" i="1"/>
  <c r="A1952" i="1"/>
  <c r="B1952" i="1"/>
  <c r="C1952" i="1"/>
  <c r="D1952" i="1"/>
  <c r="E1952" i="1"/>
  <c r="F1952" i="1"/>
  <c r="G1952" i="1"/>
  <c r="H1952" i="1"/>
  <c r="A1953" i="1"/>
  <c r="B1953" i="1"/>
  <c r="C1953" i="1"/>
  <c r="D1953" i="1"/>
  <c r="E1953" i="1"/>
  <c r="F1953" i="1"/>
  <c r="G1953" i="1"/>
  <c r="H1953" i="1"/>
  <c r="A1954" i="1"/>
  <c r="B1954" i="1"/>
  <c r="C1954" i="1"/>
  <c r="D1954" i="1"/>
  <c r="E1954" i="1"/>
  <c r="F1954" i="1"/>
  <c r="G1954" i="1"/>
  <c r="H1954" i="1"/>
  <c r="A1955" i="1"/>
  <c r="B1955" i="1"/>
  <c r="C1955" i="1"/>
  <c r="D1955" i="1"/>
  <c r="E1955" i="1"/>
  <c r="F1955" i="1"/>
  <c r="G1955" i="1"/>
  <c r="H1955" i="1"/>
  <c r="A1956" i="1"/>
  <c r="B1956" i="1"/>
  <c r="C1956" i="1"/>
  <c r="D1956" i="1"/>
  <c r="E1956" i="1"/>
  <c r="F1956" i="1"/>
  <c r="G1956" i="1"/>
  <c r="H1956" i="1"/>
  <c r="A1957" i="1"/>
  <c r="B1957" i="1"/>
  <c r="C1957" i="1"/>
  <c r="D1957" i="1"/>
  <c r="E1957" i="1"/>
  <c r="F1957" i="1"/>
  <c r="G1957" i="1"/>
  <c r="H1957" i="1"/>
  <c r="A1958" i="1"/>
  <c r="B1958" i="1"/>
  <c r="C1958" i="1"/>
  <c r="D1958" i="1"/>
  <c r="E1958" i="1"/>
  <c r="F1958" i="1"/>
  <c r="G1958" i="1"/>
  <c r="H1958" i="1"/>
  <c r="A1959" i="1"/>
  <c r="B1959" i="1"/>
  <c r="C1959" i="1"/>
  <c r="D1959" i="1"/>
  <c r="E1959" i="1"/>
  <c r="F1959" i="1"/>
  <c r="G1959" i="1"/>
  <c r="H1959" i="1"/>
  <c r="A1960" i="1"/>
  <c r="B1960" i="1"/>
  <c r="C1960" i="1"/>
  <c r="D1960" i="1"/>
  <c r="E1960" i="1"/>
  <c r="F1960" i="1"/>
  <c r="G1960" i="1"/>
  <c r="H1960" i="1"/>
  <c r="A1961" i="1"/>
  <c r="B1961" i="1"/>
  <c r="C1961" i="1"/>
  <c r="D1961" i="1"/>
  <c r="E1961" i="1"/>
  <c r="F1961" i="1"/>
  <c r="G1961" i="1"/>
  <c r="H1961" i="1"/>
  <c r="A1962" i="1"/>
  <c r="B1962" i="1"/>
  <c r="C1962" i="1"/>
  <c r="D1962" i="1"/>
  <c r="E1962" i="1"/>
  <c r="F1962" i="1"/>
  <c r="G1962" i="1"/>
  <c r="H1962" i="1"/>
  <c r="A1963" i="1"/>
  <c r="B1963" i="1"/>
  <c r="C1963" i="1"/>
  <c r="D1963" i="1"/>
  <c r="E1963" i="1"/>
  <c r="F1963" i="1"/>
  <c r="G1963" i="1"/>
  <c r="H1963" i="1"/>
  <c r="A1964" i="1"/>
  <c r="B1964" i="1"/>
  <c r="C1964" i="1"/>
  <c r="D1964" i="1"/>
  <c r="E1964" i="1"/>
  <c r="F1964" i="1"/>
  <c r="G1964" i="1"/>
  <c r="H1964" i="1"/>
  <c r="A1965" i="1"/>
  <c r="B1965" i="1"/>
  <c r="C1965" i="1"/>
  <c r="D1965" i="1"/>
  <c r="E1965" i="1"/>
  <c r="F1965" i="1"/>
  <c r="G1965" i="1"/>
  <c r="H1965" i="1"/>
  <c r="A1966" i="1"/>
  <c r="B1966" i="1"/>
  <c r="C1966" i="1"/>
  <c r="D1966" i="1"/>
  <c r="E1966" i="1"/>
  <c r="F1966" i="1"/>
  <c r="G1966" i="1"/>
  <c r="H1966" i="1"/>
  <c r="A1967" i="1"/>
  <c r="B1967" i="1"/>
  <c r="C1967" i="1"/>
  <c r="D1967" i="1"/>
  <c r="E1967" i="1"/>
  <c r="F1967" i="1"/>
  <c r="G1967" i="1"/>
  <c r="H1967" i="1"/>
  <c r="A1968" i="1"/>
  <c r="B1968" i="1"/>
  <c r="C1968" i="1"/>
  <c r="D1968" i="1"/>
  <c r="E1968" i="1"/>
  <c r="F1968" i="1"/>
  <c r="G1968" i="1"/>
  <c r="H1968" i="1"/>
  <c r="A1969" i="1"/>
  <c r="B1969" i="1"/>
  <c r="C1969" i="1"/>
  <c r="D1969" i="1"/>
  <c r="E1969" i="1"/>
  <c r="F1969" i="1"/>
  <c r="G1969" i="1"/>
  <c r="H1969" i="1"/>
  <c r="A1970" i="1"/>
  <c r="B1970" i="1"/>
  <c r="C1970" i="1"/>
  <c r="D1970" i="1"/>
  <c r="E1970" i="1"/>
  <c r="F1970" i="1"/>
  <c r="G1970" i="1"/>
  <c r="H1970" i="1"/>
  <c r="A1971" i="1"/>
  <c r="B1971" i="1"/>
  <c r="C1971" i="1"/>
  <c r="D1971" i="1"/>
  <c r="E1971" i="1"/>
  <c r="F1971" i="1"/>
  <c r="G1971" i="1"/>
  <c r="H1971" i="1"/>
  <c r="A1972" i="1"/>
  <c r="B1972" i="1"/>
  <c r="C1972" i="1"/>
  <c r="D1972" i="1"/>
  <c r="E1972" i="1"/>
  <c r="F1972" i="1"/>
  <c r="G1972" i="1"/>
  <c r="H1972" i="1"/>
  <c r="A1973" i="1"/>
  <c r="B1973" i="1"/>
  <c r="C1973" i="1"/>
  <c r="D1973" i="1"/>
  <c r="E1973" i="1"/>
  <c r="F1973" i="1"/>
  <c r="G1973" i="1"/>
  <c r="H1973" i="1"/>
  <c r="A1974" i="1"/>
  <c r="B1974" i="1"/>
  <c r="C1974" i="1"/>
  <c r="D1974" i="1"/>
  <c r="E1974" i="1"/>
  <c r="F1974" i="1"/>
  <c r="G1974" i="1"/>
  <c r="H1974" i="1"/>
  <c r="A1975" i="1"/>
  <c r="B1975" i="1"/>
  <c r="C1975" i="1"/>
  <c r="D1975" i="1"/>
  <c r="E1975" i="1"/>
  <c r="F1975" i="1"/>
  <c r="G1975" i="1"/>
  <c r="H1975" i="1"/>
  <c r="A1976" i="1"/>
  <c r="B1976" i="1"/>
  <c r="C1976" i="1"/>
  <c r="D1976" i="1"/>
  <c r="E1976" i="1"/>
  <c r="F1976" i="1"/>
  <c r="G1976" i="1"/>
  <c r="H1976" i="1"/>
  <c r="A1977" i="1"/>
  <c r="B1977" i="1"/>
  <c r="C1977" i="1"/>
  <c r="D1977" i="1"/>
  <c r="E1977" i="1"/>
  <c r="F1977" i="1"/>
  <c r="G1977" i="1"/>
  <c r="H1977" i="1"/>
  <c r="A1978" i="1"/>
  <c r="B1978" i="1"/>
  <c r="C1978" i="1"/>
  <c r="D1978" i="1"/>
  <c r="E1978" i="1"/>
  <c r="F1978" i="1"/>
  <c r="G1978" i="1"/>
  <c r="H1978" i="1"/>
  <c r="A1979" i="1"/>
  <c r="B1979" i="1"/>
  <c r="C1979" i="1"/>
  <c r="D1979" i="1"/>
  <c r="E1979" i="1"/>
  <c r="F1979" i="1"/>
  <c r="G1979" i="1"/>
  <c r="H1979" i="1"/>
  <c r="A1980" i="1"/>
  <c r="B1980" i="1"/>
  <c r="C1980" i="1"/>
  <c r="D1980" i="1"/>
  <c r="E1980" i="1"/>
  <c r="F1980" i="1"/>
  <c r="G1980" i="1"/>
  <c r="H1980" i="1"/>
  <c r="A1981" i="1"/>
  <c r="B1981" i="1"/>
  <c r="C1981" i="1"/>
  <c r="D1981" i="1"/>
  <c r="E1981" i="1"/>
  <c r="F1981" i="1"/>
  <c r="G1981" i="1"/>
  <c r="H1981" i="1"/>
  <c r="A1982" i="1"/>
  <c r="B1982" i="1"/>
  <c r="C1982" i="1"/>
  <c r="D1982" i="1"/>
  <c r="E1982" i="1"/>
  <c r="F1982" i="1"/>
  <c r="G1982" i="1"/>
  <c r="H1982" i="1"/>
  <c r="A1983" i="1"/>
  <c r="B1983" i="1"/>
  <c r="C1983" i="1"/>
  <c r="D1983" i="1"/>
  <c r="E1983" i="1"/>
  <c r="F1983" i="1"/>
  <c r="G1983" i="1"/>
  <c r="H1983" i="1"/>
  <c r="A1984" i="1"/>
  <c r="B1984" i="1"/>
  <c r="C1984" i="1"/>
  <c r="D1984" i="1"/>
  <c r="E1984" i="1"/>
  <c r="F1984" i="1"/>
  <c r="G1984" i="1"/>
  <c r="H1984" i="1"/>
  <c r="A1985" i="1"/>
  <c r="B1985" i="1"/>
  <c r="C1985" i="1"/>
  <c r="D1985" i="1"/>
  <c r="E1985" i="1"/>
  <c r="F1985" i="1"/>
  <c r="G1985" i="1"/>
  <c r="H1985" i="1"/>
  <c r="A1986" i="1"/>
  <c r="B1986" i="1"/>
  <c r="C1986" i="1"/>
  <c r="D1986" i="1"/>
  <c r="E1986" i="1"/>
  <c r="F1986" i="1"/>
  <c r="G1986" i="1"/>
  <c r="H1986" i="1"/>
  <c r="A1987" i="1"/>
  <c r="B1987" i="1"/>
  <c r="C1987" i="1"/>
  <c r="D1987" i="1"/>
  <c r="E1987" i="1"/>
  <c r="F1987" i="1"/>
  <c r="G1987" i="1"/>
  <c r="H1987" i="1"/>
  <c r="A1988" i="1"/>
  <c r="B1988" i="1"/>
  <c r="C1988" i="1"/>
  <c r="D1988" i="1"/>
  <c r="E1988" i="1"/>
  <c r="F1988" i="1"/>
  <c r="G1988" i="1"/>
  <c r="H1988" i="1"/>
  <c r="A1989" i="1"/>
  <c r="B1989" i="1"/>
  <c r="C1989" i="1"/>
  <c r="D1989" i="1"/>
  <c r="E1989" i="1"/>
  <c r="F1989" i="1"/>
  <c r="G1989" i="1"/>
  <c r="H1989" i="1"/>
  <c r="A1990" i="1"/>
  <c r="B1990" i="1"/>
  <c r="C1990" i="1"/>
  <c r="D1990" i="1"/>
  <c r="E1990" i="1"/>
  <c r="F1990" i="1"/>
  <c r="G1990" i="1"/>
  <c r="H1990" i="1"/>
  <c r="A1991" i="1"/>
  <c r="B1991" i="1"/>
  <c r="C1991" i="1"/>
  <c r="D1991" i="1"/>
  <c r="E1991" i="1"/>
  <c r="F1991" i="1"/>
  <c r="G1991" i="1"/>
  <c r="H1991" i="1"/>
  <c r="A1992" i="1"/>
  <c r="B1992" i="1"/>
  <c r="C1992" i="1"/>
  <c r="D1992" i="1"/>
  <c r="E1992" i="1"/>
  <c r="F1992" i="1"/>
  <c r="G1992" i="1"/>
  <c r="H1992" i="1"/>
  <c r="A1993" i="1"/>
  <c r="B1993" i="1"/>
  <c r="C1993" i="1"/>
  <c r="D1993" i="1"/>
  <c r="E1993" i="1"/>
  <c r="F1993" i="1"/>
  <c r="G1993" i="1"/>
  <c r="H1993" i="1"/>
  <c r="A1994" i="1"/>
  <c r="B1994" i="1"/>
  <c r="C1994" i="1"/>
  <c r="D1994" i="1"/>
  <c r="E1994" i="1"/>
  <c r="F1994" i="1"/>
  <c r="G1994" i="1"/>
  <c r="H1994" i="1"/>
  <c r="A1995" i="1"/>
  <c r="B1995" i="1"/>
  <c r="C1995" i="1"/>
  <c r="D1995" i="1"/>
  <c r="E1995" i="1"/>
  <c r="F1995" i="1"/>
  <c r="G1995" i="1"/>
  <c r="H1995" i="1"/>
  <c r="A1996" i="1"/>
  <c r="B1996" i="1"/>
  <c r="C1996" i="1"/>
  <c r="D1996" i="1"/>
  <c r="E1996" i="1"/>
  <c r="F1996" i="1"/>
  <c r="G1996" i="1"/>
  <c r="H1996" i="1"/>
  <c r="A1997" i="1"/>
  <c r="B1997" i="1"/>
  <c r="C1997" i="1"/>
  <c r="D1997" i="1"/>
  <c r="E1997" i="1"/>
  <c r="F1997" i="1"/>
  <c r="G1997" i="1"/>
  <c r="H1997" i="1"/>
  <c r="A1998" i="1"/>
  <c r="B1998" i="1"/>
  <c r="C1998" i="1"/>
  <c r="D1998" i="1"/>
  <c r="E1998" i="1"/>
  <c r="F1998" i="1"/>
  <c r="G1998" i="1"/>
  <c r="H1998" i="1"/>
  <c r="A1999" i="1"/>
  <c r="B1999" i="1"/>
  <c r="C1999" i="1"/>
  <c r="D1999" i="1"/>
  <c r="E1999" i="1"/>
  <c r="F1999" i="1"/>
  <c r="G1999" i="1"/>
  <c r="H1999" i="1"/>
  <c r="A2000" i="1"/>
  <c r="B2000" i="1"/>
  <c r="C2000" i="1"/>
  <c r="D2000" i="1"/>
  <c r="E2000" i="1"/>
  <c r="F2000" i="1"/>
  <c r="G2000" i="1"/>
  <c r="H2000" i="1"/>
  <c r="A2001" i="1"/>
  <c r="B2001" i="1"/>
  <c r="C2001" i="1"/>
  <c r="D2001" i="1"/>
  <c r="E2001" i="1"/>
  <c r="F2001" i="1"/>
  <c r="G2001" i="1"/>
  <c r="H2001" i="1"/>
  <c r="A2002" i="1"/>
  <c r="B2002" i="1"/>
  <c r="C2002" i="1"/>
  <c r="D2002" i="1"/>
  <c r="E2002" i="1"/>
  <c r="F2002" i="1"/>
  <c r="G2002" i="1"/>
  <c r="H2002" i="1"/>
  <c r="A2003" i="1"/>
  <c r="B2003" i="1"/>
  <c r="C2003" i="1"/>
  <c r="D2003" i="1"/>
  <c r="E2003" i="1"/>
  <c r="F2003" i="1"/>
  <c r="G2003" i="1"/>
  <c r="H2003" i="1"/>
  <c r="A2004" i="1"/>
  <c r="B2004" i="1"/>
  <c r="C2004" i="1"/>
  <c r="D2004" i="1"/>
  <c r="E2004" i="1"/>
  <c r="F2004" i="1"/>
  <c r="G2004" i="1"/>
  <c r="H2004" i="1"/>
  <c r="A2005" i="1"/>
  <c r="B2005" i="1"/>
  <c r="C2005" i="1"/>
  <c r="D2005" i="1"/>
  <c r="E2005" i="1"/>
  <c r="F2005" i="1"/>
  <c r="G2005" i="1"/>
  <c r="H2005" i="1"/>
  <c r="A2006" i="1"/>
  <c r="B2006" i="1"/>
  <c r="C2006" i="1"/>
  <c r="D2006" i="1"/>
  <c r="E2006" i="1"/>
  <c r="F2006" i="1"/>
  <c r="G2006" i="1"/>
  <c r="H2006" i="1"/>
  <c r="A2007" i="1"/>
  <c r="B2007" i="1"/>
  <c r="C2007" i="1"/>
  <c r="D2007" i="1"/>
  <c r="E2007" i="1"/>
  <c r="F2007" i="1"/>
  <c r="G2007" i="1"/>
  <c r="H2007" i="1"/>
  <c r="A2008" i="1"/>
  <c r="B2008" i="1"/>
  <c r="C2008" i="1"/>
  <c r="D2008" i="1"/>
  <c r="E2008" i="1"/>
  <c r="F2008" i="1"/>
  <c r="G2008" i="1"/>
  <c r="H2008" i="1"/>
  <c r="A2009" i="1"/>
  <c r="B2009" i="1"/>
  <c r="C2009" i="1"/>
  <c r="D2009" i="1"/>
  <c r="E2009" i="1"/>
  <c r="F2009" i="1"/>
  <c r="G2009" i="1"/>
  <c r="H2009" i="1"/>
  <c r="A2010" i="1"/>
  <c r="B2010" i="1"/>
  <c r="C2010" i="1"/>
  <c r="D2010" i="1"/>
  <c r="E2010" i="1"/>
  <c r="F2010" i="1"/>
  <c r="G2010" i="1"/>
  <c r="H2010" i="1"/>
  <c r="A2011" i="1"/>
  <c r="B2011" i="1"/>
  <c r="C2011" i="1"/>
  <c r="D2011" i="1"/>
  <c r="E2011" i="1"/>
  <c r="F2011" i="1"/>
  <c r="G2011" i="1"/>
  <c r="H2011" i="1"/>
  <c r="A2012" i="1"/>
  <c r="B2012" i="1"/>
  <c r="C2012" i="1"/>
  <c r="D2012" i="1"/>
  <c r="E2012" i="1"/>
  <c r="F2012" i="1"/>
  <c r="G2012" i="1"/>
  <c r="H2012" i="1"/>
  <c r="A2013" i="1"/>
  <c r="B2013" i="1"/>
  <c r="C2013" i="1"/>
  <c r="D2013" i="1"/>
  <c r="E2013" i="1"/>
  <c r="F2013" i="1"/>
  <c r="G2013" i="1"/>
  <c r="H2013" i="1"/>
  <c r="A2014" i="1"/>
  <c r="B2014" i="1"/>
  <c r="C2014" i="1"/>
  <c r="D2014" i="1"/>
  <c r="E2014" i="1"/>
  <c r="F2014" i="1"/>
  <c r="G2014" i="1"/>
  <c r="H2014" i="1"/>
  <c r="A2015" i="1"/>
  <c r="B2015" i="1"/>
  <c r="C2015" i="1"/>
  <c r="D2015" i="1"/>
  <c r="E2015" i="1"/>
  <c r="F2015" i="1"/>
  <c r="G2015" i="1"/>
  <c r="H2015" i="1"/>
  <c r="A2016" i="1"/>
  <c r="B2016" i="1"/>
  <c r="C2016" i="1"/>
  <c r="D2016" i="1"/>
  <c r="E2016" i="1"/>
  <c r="F2016" i="1"/>
  <c r="G2016" i="1"/>
  <c r="H2016" i="1"/>
  <c r="A2017" i="1"/>
  <c r="B2017" i="1"/>
  <c r="C2017" i="1"/>
  <c r="D2017" i="1"/>
  <c r="E2017" i="1"/>
  <c r="F2017" i="1"/>
  <c r="G2017" i="1"/>
  <c r="H2017" i="1"/>
  <c r="A2018" i="1"/>
  <c r="B2018" i="1"/>
  <c r="C2018" i="1"/>
  <c r="D2018" i="1"/>
  <c r="E2018" i="1"/>
  <c r="F2018" i="1"/>
  <c r="G2018" i="1"/>
  <c r="H2018" i="1"/>
  <c r="A2019" i="1"/>
  <c r="B2019" i="1"/>
  <c r="C2019" i="1"/>
  <c r="D2019" i="1"/>
  <c r="E2019" i="1"/>
  <c r="F2019" i="1"/>
  <c r="G2019" i="1"/>
  <c r="H2019" i="1"/>
  <c r="A2020" i="1"/>
  <c r="B2020" i="1"/>
  <c r="C2020" i="1"/>
  <c r="D2020" i="1"/>
  <c r="E2020" i="1"/>
  <c r="F2020" i="1"/>
  <c r="G2020" i="1"/>
  <c r="H2020" i="1"/>
  <c r="A2021" i="1"/>
  <c r="B2021" i="1"/>
  <c r="C2021" i="1"/>
  <c r="D2021" i="1"/>
  <c r="E2021" i="1"/>
  <c r="F2021" i="1"/>
  <c r="G2021" i="1"/>
  <c r="H2021" i="1"/>
  <c r="A2022" i="1"/>
  <c r="B2022" i="1"/>
  <c r="C2022" i="1"/>
  <c r="D2022" i="1"/>
  <c r="E2022" i="1"/>
  <c r="F2022" i="1"/>
  <c r="G2022" i="1"/>
  <c r="H2022" i="1"/>
  <c r="A2023" i="1"/>
  <c r="B2023" i="1"/>
  <c r="C2023" i="1"/>
  <c r="D2023" i="1"/>
  <c r="E2023" i="1"/>
  <c r="F2023" i="1"/>
  <c r="G2023" i="1"/>
  <c r="H2023" i="1"/>
  <c r="A2024" i="1"/>
  <c r="B2024" i="1"/>
  <c r="C2024" i="1"/>
  <c r="D2024" i="1"/>
  <c r="E2024" i="1"/>
  <c r="F2024" i="1"/>
  <c r="G2024" i="1"/>
  <c r="H2024" i="1"/>
  <c r="A2025" i="1"/>
  <c r="B2025" i="1"/>
  <c r="C2025" i="1"/>
  <c r="D2025" i="1"/>
  <c r="E2025" i="1"/>
  <c r="F2025" i="1"/>
  <c r="G2025" i="1"/>
  <c r="H2025" i="1"/>
  <c r="A2026" i="1"/>
  <c r="B2026" i="1"/>
  <c r="C2026" i="1"/>
  <c r="D2026" i="1"/>
  <c r="E2026" i="1"/>
  <c r="F2026" i="1"/>
  <c r="G2026" i="1"/>
  <c r="H2026" i="1"/>
  <c r="A2027" i="1"/>
  <c r="B2027" i="1"/>
  <c r="C2027" i="1"/>
  <c r="D2027" i="1"/>
  <c r="E2027" i="1"/>
  <c r="F2027" i="1"/>
  <c r="G2027" i="1"/>
  <c r="H2027" i="1"/>
  <c r="A2028" i="1"/>
  <c r="B2028" i="1"/>
  <c r="C2028" i="1"/>
  <c r="D2028" i="1"/>
  <c r="E2028" i="1"/>
  <c r="F2028" i="1"/>
  <c r="G2028" i="1"/>
  <c r="H2028" i="1"/>
  <c r="A2029" i="1"/>
  <c r="B2029" i="1"/>
  <c r="C2029" i="1"/>
  <c r="D2029" i="1"/>
  <c r="E2029" i="1"/>
  <c r="F2029" i="1"/>
  <c r="G2029" i="1"/>
  <c r="H2029" i="1"/>
  <c r="A2030" i="1"/>
  <c r="B2030" i="1"/>
  <c r="C2030" i="1"/>
  <c r="D2030" i="1"/>
  <c r="E2030" i="1"/>
  <c r="F2030" i="1"/>
  <c r="G2030" i="1"/>
  <c r="H2030" i="1"/>
  <c r="A2031" i="1"/>
  <c r="B2031" i="1"/>
  <c r="C2031" i="1"/>
  <c r="D2031" i="1"/>
  <c r="E2031" i="1"/>
  <c r="F2031" i="1"/>
  <c r="G2031" i="1"/>
  <c r="H2031" i="1"/>
  <c r="A2032" i="1"/>
  <c r="B2032" i="1"/>
  <c r="C2032" i="1"/>
  <c r="D2032" i="1"/>
  <c r="E2032" i="1"/>
  <c r="F2032" i="1"/>
  <c r="G2032" i="1"/>
  <c r="H2032" i="1"/>
  <c r="A2033" i="1"/>
  <c r="B2033" i="1"/>
  <c r="C2033" i="1"/>
  <c r="D2033" i="1"/>
  <c r="E2033" i="1"/>
  <c r="F2033" i="1"/>
  <c r="G2033" i="1"/>
  <c r="H2033" i="1"/>
  <c r="A2034" i="1"/>
  <c r="B2034" i="1"/>
  <c r="C2034" i="1"/>
  <c r="D2034" i="1"/>
  <c r="E2034" i="1"/>
  <c r="F2034" i="1"/>
  <c r="G2034" i="1"/>
  <c r="H2034" i="1"/>
  <c r="A2035" i="1"/>
  <c r="B2035" i="1"/>
  <c r="C2035" i="1"/>
  <c r="D2035" i="1"/>
  <c r="E2035" i="1"/>
  <c r="F2035" i="1"/>
  <c r="G2035" i="1"/>
  <c r="H2035" i="1"/>
  <c r="A2036" i="1"/>
  <c r="B2036" i="1"/>
  <c r="C2036" i="1"/>
  <c r="D2036" i="1"/>
  <c r="E2036" i="1"/>
  <c r="F2036" i="1"/>
  <c r="G2036" i="1"/>
  <c r="H2036" i="1"/>
  <c r="A2037" i="1"/>
  <c r="B2037" i="1"/>
  <c r="C2037" i="1"/>
  <c r="D2037" i="1"/>
  <c r="E2037" i="1"/>
  <c r="F2037" i="1"/>
  <c r="G2037" i="1"/>
  <c r="H2037" i="1"/>
  <c r="A2038" i="1"/>
  <c r="B2038" i="1"/>
  <c r="C2038" i="1"/>
  <c r="D2038" i="1"/>
  <c r="E2038" i="1"/>
  <c r="F2038" i="1"/>
  <c r="G2038" i="1"/>
  <c r="H2038" i="1"/>
  <c r="A2039" i="1"/>
  <c r="B2039" i="1"/>
  <c r="C2039" i="1"/>
  <c r="D2039" i="1"/>
  <c r="E2039" i="1"/>
  <c r="F2039" i="1"/>
  <c r="G2039" i="1"/>
  <c r="H2039" i="1"/>
  <c r="A2040" i="1"/>
  <c r="B2040" i="1"/>
  <c r="C2040" i="1"/>
  <c r="D2040" i="1"/>
  <c r="E2040" i="1"/>
  <c r="F2040" i="1"/>
  <c r="G2040" i="1"/>
  <c r="H2040" i="1"/>
  <c r="A2041" i="1"/>
  <c r="B2041" i="1"/>
  <c r="C2041" i="1"/>
  <c r="D2041" i="1"/>
  <c r="E2041" i="1"/>
  <c r="F2041" i="1"/>
  <c r="G2041" i="1"/>
  <c r="H2041" i="1"/>
  <c r="A2042" i="1"/>
  <c r="B2042" i="1"/>
  <c r="C2042" i="1"/>
  <c r="D2042" i="1"/>
  <c r="E2042" i="1"/>
  <c r="F2042" i="1"/>
  <c r="G2042" i="1"/>
  <c r="H2042" i="1"/>
  <c r="A2043" i="1"/>
  <c r="B2043" i="1"/>
  <c r="C2043" i="1"/>
  <c r="D2043" i="1"/>
  <c r="E2043" i="1"/>
  <c r="F2043" i="1"/>
  <c r="G2043" i="1"/>
  <c r="H2043" i="1"/>
  <c r="A2044" i="1"/>
  <c r="B2044" i="1"/>
  <c r="C2044" i="1"/>
  <c r="D2044" i="1"/>
  <c r="E2044" i="1"/>
  <c r="F2044" i="1"/>
  <c r="G2044" i="1"/>
  <c r="H2044" i="1"/>
  <c r="A2045" i="1"/>
  <c r="B2045" i="1"/>
  <c r="C2045" i="1"/>
  <c r="D2045" i="1"/>
  <c r="E2045" i="1"/>
  <c r="F2045" i="1"/>
  <c r="G2045" i="1"/>
  <c r="H2045" i="1"/>
  <c r="A2046" i="1"/>
  <c r="B2046" i="1"/>
  <c r="C2046" i="1"/>
  <c r="D2046" i="1"/>
  <c r="E2046" i="1"/>
  <c r="F2046" i="1"/>
  <c r="G2046" i="1"/>
  <c r="H2046" i="1"/>
  <c r="A2047" i="1"/>
  <c r="B2047" i="1"/>
  <c r="C2047" i="1"/>
  <c r="D2047" i="1"/>
  <c r="E2047" i="1"/>
  <c r="F2047" i="1"/>
  <c r="G2047" i="1"/>
  <c r="H2047" i="1"/>
  <c r="A2048" i="1"/>
  <c r="B2048" i="1"/>
  <c r="C2048" i="1"/>
  <c r="D2048" i="1"/>
  <c r="E2048" i="1"/>
  <c r="F2048" i="1"/>
  <c r="G2048" i="1"/>
  <c r="H2048" i="1"/>
  <c r="A2049" i="1"/>
  <c r="B2049" i="1"/>
  <c r="C2049" i="1"/>
  <c r="D2049" i="1"/>
  <c r="E2049" i="1"/>
  <c r="F2049" i="1"/>
  <c r="G2049" i="1"/>
  <c r="H2049" i="1"/>
  <c r="A2050" i="1"/>
  <c r="B2050" i="1"/>
  <c r="C2050" i="1"/>
  <c r="D2050" i="1"/>
  <c r="E2050" i="1"/>
  <c r="F2050" i="1"/>
  <c r="G2050" i="1"/>
  <c r="H2050" i="1"/>
  <c r="A2051" i="1"/>
  <c r="B2051" i="1"/>
  <c r="C2051" i="1"/>
  <c r="D2051" i="1"/>
  <c r="E2051" i="1"/>
  <c r="F2051" i="1"/>
  <c r="G2051" i="1"/>
  <c r="H2051" i="1"/>
  <c r="A2052" i="1"/>
  <c r="B2052" i="1"/>
  <c r="C2052" i="1"/>
  <c r="D2052" i="1"/>
  <c r="E2052" i="1"/>
  <c r="F2052" i="1"/>
  <c r="G2052" i="1"/>
  <c r="H2052" i="1"/>
  <c r="A2053" i="1"/>
  <c r="B2053" i="1"/>
  <c r="C2053" i="1"/>
  <c r="D2053" i="1"/>
  <c r="E2053" i="1"/>
  <c r="F2053" i="1"/>
  <c r="G2053" i="1"/>
  <c r="H2053" i="1"/>
  <c r="A2054" i="1"/>
  <c r="B2054" i="1"/>
  <c r="C2054" i="1"/>
  <c r="D2054" i="1"/>
  <c r="E2054" i="1"/>
  <c r="F2054" i="1"/>
  <c r="G2054" i="1"/>
  <c r="H2054" i="1"/>
  <c r="A2055" i="1"/>
  <c r="B2055" i="1"/>
  <c r="C2055" i="1"/>
  <c r="D2055" i="1"/>
  <c r="E2055" i="1"/>
  <c r="F2055" i="1"/>
  <c r="G2055" i="1"/>
  <c r="H2055" i="1"/>
  <c r="A2056" i="1"/>
  <c r="B2056" i="1"/>
  <c r="C2056" i="1"/>
  <c r="D2056" i="1"/>
  <c r="E2056" i="1"/>
  <c r="F2056" i="1"/>
  <c r="G2056" i="1"/>
  <c r="H2056" i="1"/>
  <c r="A2057" i="1"/>
  <c r="B2057" i="1"/>
  <c r="C2057" i="1"/>
  <c r="D2057" i="1"/>
  <c r="E2057" i="1"/>
  <c r="F2057" i="1"/>
  <c r="G2057" i="1"/>
  <c r="H2057" i="1"/>
  <c r="A2058" i="1"/>
  <c r="B2058" i="1"/>
  <c r="C2058" i="1"/>
  <c r="D2058" i="1"/>
  <c r="E2058" i="1"/>
  <c r="F2058" i="1"/>
  <c r="G2058" i="1"/>
  <c r="H2058" i="1"/>
  <c r="A2059" i="1"/>
  <c r="B2059" i="1"/>
  <c r="C2059" i="1"/>
  <c r="D2059" i="1"/>
  <c r="E2059" i="1"/>
  <c r="F2059" i="1"/>
  <c r="G2059" i="1"/>
  <c r="H2059" i="1"/>
  <c r="A2060" i="1"/>
  <c r="B2060" i="1"/>
  <c r="C2060" i="1"/>
  <c r="D2060" i="1"/>
  <c r="E2060" i="1"/>
  <c r="F2060" i="1"/>
  <c r="G2060" i="1"/>
  <c r="H2060" i="1"/>
  <c r="A2061" i="1"/>
  <c r="B2061" i="1"/>
  <c r="C2061" i="1"/>
  <c r="D2061" i="1"/>
  <c r="E2061" i="1"/>
  <c r="F2061" i="1"/>
  <c r="G2061" i="1"/>
  <c r="H2061" i="1"/>
  <c r="A2062" i="1"/>
  <c r="B2062" i="1"/>
  <c r="C2062" i="1"/>
  <c r="D2062" i="1"/>
  <c r="E2062" i="1"/>
  <c r="F2062" i="1"/>
  <c r="G2062" i="1"/>
  <c r="H2062" i="1"/>
  <c r="A2063" i="1"/>
  <c r="B2063" i="1"/>
  <c r="C2063" i="1"/>
  <c r="D2063" i="1"/>
  <c r="E2063" i="1"/>
  <c r="F2063" i="1"/>
  <c r="G2063" i="1"/>
  <c r="H2063" i="1"/>
  <c r="A2064" i="1"/>
  <c r="B2064" i="1"/>
  <c r="C2064" i="1"/>
  <c r="D2064" i="1"/>
  <c r="E2064" i="1"/>
  <c r="F2064" i="1"/>
  <c r="G2064" i="1"/>
  <c r="H2064" i="1"/>
  <c r="A2065" i="1"/>
  <c r="B2065" i="1"/>
  <c r="C2065" i="1"/>
  <c r="D2065" i="1"/>
  <c r="E2065" i="1"/>
  <c r="F2065" i="1"/>
  <c r="G2065" i="1"/>
  <c r="H2065" i="1"/>
  <c r="A2066" i="1"/>
  <c r="B2066" i="1"/>
  <c r="C2066" i="1"/>
  <c r="D2066" i="1"/>
  <c r="E2066" i="1"/>
  <c r="F2066" i="1"/>
  <c r="G2066" i="1"/>
  <c r="H2066" i="1"/>
  <c r="A2067" i="1"/>
  <c r="B2067" i="1"/>
  <c r="C2067" i="1"/>
  <c r="D2067" i="1"/>
  <c r="E2067" i="1"/>
  <c r="F2067" i="1"/>
  <c r="G2067" i="1"/>
  <c r="H2067" i="1"/>
  <c r="A2068" i="1"/>
  <c r="B2068" i="1"/>
  <c r="C2068" i="1"/>
  <c r="D2068" i="1"/>
  <c r="E2068" i="1"/>
  <c r="F2068" i="1"/>
  <c r="G2068" i="1"/>
  <c r="H2068" i="1"/>
  <c r="A2069" i="1"/>
  <c r="B2069" i="1"/>
  <c r="C2069" i="1"/>
  <c r="D2069" i="1"/>
  <c r="E2069" i="1"/>
  <c r="F2069" i="1"/>
  <c r="G2069" i="1"/>
  <c r="H2069" i="1"/>
  <c r="A2070" i="1"/>
  <c r="B2070" i="1"/>
  <c r="C2070" i="1"/>
  <c r="D2070" i="1"/>
  <c r="E2070" i="1"/>
  <c r="F2070" i="1"/>
  <c r="G2070" i="1"/>
  <c r="H2070" i="1"/>
  <c r="A2071" i="1"/>
  <c r="B2071" i="1"/>
  <c r="C2071" i="1"/>
  <c r="D2071" i="1"/>
  <c r="E2071" i="1"/>
  <c r="F2071" i="1"/>
  <c r="G2071" i="1"/>
  <c r="H2071" i="1"/>
  <c r="A2072" i="1"/>
  <c r="B2072" i="1"/>
  <c r="C2072" i="1"/>
  <c r="D2072" i="1"/>
  <c r="E2072" i="1"/>
  <c r="F2072" i="1"/>
  <c r="G2072" i="1"/>
  <c r="H2072" i="1"/>
  <c r="A2073" i="1"/>
  <c r="B2073" i="1"/>
  <c r="C2073" i="1"/>
  <c r="D2073" i="1"/>
  <c r="E2073" i="1"/>
  <c r="F2073" i="1"/>
  <c r="G2073" i="1"/>
  <c r="H2073" i="1"/>
  <c r="A2074" i="1"/>
  <c r="B2074" i="1"/>
  <c r="C2074" i="1"/>
  <c r="D2074" i="1"/>
  <c r="E2074" i="1"/>
  <c r="F2074" i="1"/>
  <c r="G2074" i="1"/>
  <c r="H2074" i="1"/>
  <c r="A2075" i="1"/>
  <c r="B2075" i="1"/>
  <c r="C2075" i="1"/>
  <c r="D2075" i="1"/>
  <c r="E2075" i="1"/>
  <c r="F2075" i="1"/>
  <c r="G2075" i="1"/>
  <c r="H2075" i="1"/>
  <c r="A2076" i="1"/>
  <c r="B2076" i="1"/>
  <c r="C2076" i="1"/>
  <c r="D2076" i="1"/>
  <c r="E2076" i="1"/>
  <c r="F2076" i="1"/>
  <c r="G2076" i="1"/>
  <c r="H2076" i="1"/>
  <c r="A2077" i="1"/>
  <c r="B2077" i="1"/>
  <c r="C2077" i="1"/>
  <c r="D2077" i="1"/>
  <c r="E2077" i="1"/>
  <c r="F2077" i="1"/>
  <c r="G2077" i="1"/>
  <c r="H2077" i="1"/>
  <c r="A2078" i="1"/>
  <c r="B2078" i="1"/>
  <c r="C2078" i="1"/>
  <c r="D2078" i="1"/>
  <c r="E2078" i="1"/>
  <c r="F2078" i="1"/>
  <c r="G2078" i="1"/>
  <c r="H2078" i="1"/>
  <c r="A2079" i="1"/>
  <c r="B2079" i="1"/>
  <c r="C2079" i="1"/>
  <c r="D2079" i="1"/>
  <c r="E2079" i="1"/>
  <c r="F2079" i="1"/>
  <c r="G2079" i="1"/>
  <c r="H2079" i="1"/>
  <c r="A2080" i="1"/>
  <c r="B2080" i="1"/>
  <c r="C2080" i="1"/>
  <c r="D2080" i="1"/>
  <c r="E2080" i="1"/>
  <c r="F2080" i="1"/>
  <c r="G2080" i="1"/>
  <c r="H2080" i="1"/>
  <c r="A2081" i="1"/>
  <c r="B2081" i="1"/>
  <c r="C2081" i="1"/>
  <c r="D2081" i="1"/>
  <c r="E2081" i="1"/>
  <c r="F2081" i="1"/>
  <c r="G2081" i="1"/>
  <c r="H2081" i="1"/>
  <c r="A2082" i="1"/>
  <c r="B2082" i="1"/>
  <c r="C2082" i="1"/>
  <c r="D2082" i="1"/>
  <c r="E2082" i="1"/>
  <c r="F2082" i="1"/>
  <c r="G2082" i="1"/>
  <c r="H2082" i="1"/>
  <c r="A2083" i="1"/>
  <c r="B2083" i="1"/>
  <c r="C2083" i="1"/>
  <c r="D2083" i="1"/>
  <c r="E2083" i="1"/>
  <c r="F2083" i="1"/>
  <c r="G2083" i="1"/>
  <c r="H2083" i="1"/>
  <c r="A2084" i="1"/>
  <c r="B2084" i="1"/>
  <c r="C2084" i="1"/>
  <c r="D2084" i="1"/>
  <c r="E2084" i="1"/>
  <c r="F2084" i="1"/>
  <c r="G2084" i="1"/>
  <c r="H2084" i="1"/>
  <c r="A2085" i="1"/>
  <c r="B2085" i="1"/>
  <c r="C2085" i="1"/>
  <c r="D2085" i="1"/>
  <c r="E2085" i="1"/>
  <c r="F2085" i="1"/>
  <c r="G2085" i="1"/>
  <c r="H2085" i="1"/>
  <c r="A2086" i="1"/>
  <c r="B2086" i="1"/>
  <c r="C2086" i="1"/>
  <c r="D2086" i="1"/>
  <c r="E2086" i="1"/>
  <c r="F2086" i="1"/>
  <c r="G2086" i="1"/>
  <c r="H2086" i="1"/>
  <c r="A2087" i="1"/>
  <c r="B2087" i="1"/>
  <c r="C2087" i="1"/>
  <c r="D2087" i="1"/>
  <c r="E2087" i="1"/>
  <c r="F2087" i="1"/>
  <c r="G2087" i="1"/>
  <c r="H2087" i="1"/>
  <c r="A2088" i="1"/>
  <c r="B2088" i="1"/>
  <c r="C2088" i="1"/>
  <c r="D2088" i="1"/>
  <c r="E2088" i="1"/>
  <c r="F2088" i="1"/>
  <c r="G2088" i="1"/>
  <c r="H2088" i="1"/>
  <c r="A2089" i="1"/>
  <c r="B2089" i="1"/>
  <c r="C2089" i="1"/>
  <c r="D2089" i="1"/>
  <c r="E2089" i="1"/>
  <c r="F2089" i="1"/>
  <c r="G2089" i="1"/>
  <c r="H2089" i="1"/>
  <c r="A2090" i="1"/>
  <c r="B2090" i="1"/>
  <c r="C2090" i="1"/>
  <c r="D2090" i="1"/>
  <c r="E2090" i="1"/>
  <c r="F2090" i="1"/>
  <c r="G2090" i="1"/>
  <c r="H2090" i="1"/>
  <c r="A2091" i="1"/>
  <c r="B2091" i="1"/>
  <c r="C2091" i="1"/>
  <c r="D2091" i="1"/>
  <c r="E2091" i="1"/>
  <c r="F2091" i="1"/>
  <c r="G2091" i="1"/>
  <c r="H2091" i="1"/>
  <c r="A2092" i="1"/>
  <c r="B2092" i="1"/>
  <c r="C2092" i="1"/>
  <c r="D2092" i="1"/>
  <c r="E2092" i="1"/>
  <c r="F2092" i="1"/>
  <c r="G2092" i="1"/>
  <c r="H2092" i="1"/>
  <c r="A2093" i="1"/>
  <c r="B2093" i="1"/>
  <c r="C2093" i="1"/>
  <c r="D2093" i="1"/>
  <c r="E2093" i="1"/>
  <c r="F2093" i="1"/>
  <c r="G2093" i="1"/>
  <c r="H2093" i="1"/>
  <c r="A2094" i="1"/>
  <c r="B2094" i="1"/>
  <c r="C2094" i="1"/>
  <c r="D2094" i="1"/>
  <c r="E2094" i="1"/>
  <c r="F2094" i="1"/>
  <c r="G2094" i="1"/>
  <c r="H2094" i="1"/>
  <c r="A2095" i="1"/>
  <c r="B2095" i="1"/>
  <c r="C2095" i="1"/>
  <c r="D2095" i="1"/>
  <c r="E2095" i="1"/>
  <c r="F2095" i="1"/>
  <c r="G2095" i="1"/>
  <c r="H2095" i="1"/>
  <c r="A2096" i="1"/>
  <c r="B2096" i="1"/>
  <c r="C2096" i="1"/>
  <c r="D2096" i="1"/>
  <c r="E2096" i="1"/>
  <c r="F2096" i="1"/>
  <c r="G2096" i="1"/>
  <c r="H2096" i="1"/>
  <c r="A2097" i="1"/>
  <c r="B2097" i="1"/>
  <c r="C2097" i="1"/>
  <c r="D2097" i="1"/>
  <c r="E2097" i="1"/>
  <c r="F2097" i="1"/>
  <c r="G2097" i="1"/>
  <c r="H2097" i="1"/>
  <c r="A2098" i="1"/>
  <c r="B2098" i="1"/>
  <c r="C2098" i="1"/>
  <c r="D2098" i="1"/>
  <c r="E2098" i="1"/>
  <c r="F2098" i="1"/>
  <c r="G2098" i="1"/>
  <c r="H2098" i="1"/>
  <c r="A2099" i="1"/>
  <c r="B2099" i="1"/>
  <c r="C2099" i="1"/>
  <c r="D2099" i="1"/>
  <c r="E2099" i="1"/>
  <c r="F2099" i="1"/>
  <c r="G2099" i="1"/>
  <c r="H2099" i="1"/>
  <c r="A2100" i="1"/>
  <c r="B2100" i="1"/>
  <c r="C2100" i="1"/>
  <c r="D2100" i="1"/>
  <c r="E2100" i="1"/>
  <c r="F2100" i="1"/>
  <c r="G2100" i="1"/>
  <c r="H2100" i="1"/>
  <c r="A2101" i="1"/>
  <c r="B2101" i="1"/>
  <c r="C2101" i="1"/>
  <c r="D2101" i="1"/>
  <c r="E2101" i="1"/>
  <c r="F2101" i="1"/>
  <c r="G2101" i="1"/>
  <c r="H2101" i="1"/>
  <c r="A2102" i="1"/>
  <c r="B2102" i="1"/>
  <c r="C2102" i="1"/>
  <c r="D2102" i="1"/>
  <c r="E2102" i="1"/>
  <c r="F2102" i="1"/>
  <c r="G2102" i="1"/>
  <c r="H2102" i="1"/>
  <c r="A2103" i="1"/>
  <c r="B2103" i="1"/>
  <c r="C2103" i="1"/>
  <c r="D2103" i="1"/>
  <c r="E2103" i="1"/>
  <c r="F2103" i="1"/>
  <c r="G2103" i="1"/>
  <c r="H2103" i="1"/>
  <c r="A2104" i="1"/>
  <c r="B2104" i="1"/>
  <c r="C2104" i="1"/>
  <c r="D2104" i="1"/>
  <c r="E2104" i="1"/>
  <c r="F2104" i="1"/>
  <c r="G2104" i="1"/>
  <c r="H2104" i="1"/>
  <c r="A2105" i="1"/>
  <c r="B2105" i="1"/>
  <c r="C2105" i="1"/>
  <c r="D2105" i="1"/>
  <c r="E2105" i="1"/>
  <c r="F2105" i="1"/>
  <c r="G2105" i="1"/>
  <c r="H2105" i="1"/>
  <c r="A2106" i="1"/>
  <c r="B2106" i="1"/>
  <c r="C2106" i="1"/>
  <c r="D2106" i="1"/>
  <c r="E2106" i="1"/>
  <c r="F2106" i="1"/>
  <c r="G2106" i="1"/>
  <c r="H2106" i="1"/>
  <c r="A2107" i="1"/>
  <c r="B2107" i="1"/>
  <c r="C2107" i="1"/>
  <c r="D2107" i="1"/>
  <c r="E2107" i="1"/>
  <c r="F2107" i="1"/>
  <c r="G2107" i="1"/>
  <c r="H2107" i="1"/>
  <c r="A2108" i="1"/>
  <c r="B2108" i="1"/>
  <c r="C2108" i="1"/>
  <c r="D2108" i="1"/>
  <c r="E2108" i="1"/>
  <c r="F2108" i="1"/>
  <c r="G2108" i="1"/>
  <c r="H2108" i="1"/>
  <c r="A2109" i="1"/>
  <c r="B2109" i="1"/>
  <c r="C2109" i="1"/>
  <c r="D2109" i="1"/>
  <c r="E2109" i="1"/>
  <c r="F2109" i="1"/>
  <c r="G2109" i="1"/>
  <c r="H2109" i="1"/>
  <c r="A2110" i="1"/>
  <c r="B2110" i="1"/>
  <c r="C2110" i="1"/>
  <c r="D2110" i="1"/>
  <c r="E2110" i="1"/>
  <c r="F2110" i="1"/>
  <c r="G2110" i="1"/>
  <c r="H2110" i="1"/>
  <c r="A2111" i="1"/>
  <c r="B2111" i="1"/>
  <c r="C2111" i="1"/>
  <c r="D2111" i="1"/>
  <c r="E2111" i="1"/>
  <c r="F2111" i="1"/>
  <c r="G2111" i="1"/>
  <c r="H2111" i="1"/>
  <c r="A2112" i="1"/>
  <c r="B2112" i="1"/>
  <c r="C2112" i="1"/>
  <c r="D2112" i="1"/>
  <c r="E2112" i="1"/>
  <c r="F2112" i="1"/>
  <c r="G2112" i="1"/>
  <c r="H2112" i="1"/>
  <c r="A2113" i="1"/>
  <c r="B2113" i="1"/>
  <c r="C2113" i="1"/>
  <c r="D2113" i="1"/>
  <c r="E2113" i="1"/>
  <c r="F2113" i="1"/>
  <c r="G2113" i="1"/>
  <c r="H2113" i="1"/>
  <c r="A2114" i="1"/>
  <c r="B2114" i="1"/>
  <c r="C2114" i="1"/>
  <c r="D2114" i="1"/>
  <c r="E2114" i="1"/>
  <c r="F2114" i="1"/>
  <c r="G2114" i="1"/>
  <c r="H2114" i="1"/>
  <c r="A2115" i="1"/>
  <c r="B2115" i="1"/>
  <c r="C2115" i="1"/>
  <c r="D2115" i="1"/>
  <c r="E2115" i="1"/>
  <c r="F2115" i="1"/>
  <c r="G2115" i="1"/>
  <c r="H2115" i="1"/>
  <c r="A2116" i="1"/>
  <c r="B2116" i="1"/>
  <c r="C2116" i="1"/>
  <c r="D2116" i="1"/>
  <c r="E2116" i="1"/>
  <c r="F2116" i="1"/>
  <c r="G2116" i="1"/>
  <c r="H2116" i="1"/>
  <c r="A2117" i="1"/>
  <c r="B2117" i="1"/>
  <c r="C2117" i="1"/>
  <c r="D2117" i="1"/>
  <c r="E2117" i="1"/>
  <c r="F2117" i="1"/>
  <c r="G2117" i="1"/>
  <c r="H2117" i="1"/>
  <c r="A2118" i="1"/>
  <c r="B2118" i="1"/>
  <c r="C2118" i="1"/>
  <c r="D2118" i="1"/>
  <c r="E2118" i="1"/>
  <c r="F2118" i="1"/>
  <c r="G2118" i="1"/>
  <c r="H2118" i="1"/>
  <c r="A2119" i="1"/>
  <c r="B2119" i="1"/>
  <c r="C2119" i="1"/>
  <c r="D2119" i="1"/>
  <c r="E2119" i="1"/>
  <c r="F2119" i="1"/>
  <c r="G2119" i="1"/>
  <c r="H2119" i="1"/>
  <c r="A2120" i="1"/>
  <c r="B2120" i="1"/>
  <c r="C2120" i="1"/>
  <c r="D2120" i="1"/>
  <c r="E2120" i="1"/>
  <c r="F2120" i="1"/>
  <c r="G2120" i="1"/>
  <c r="H2120" i="1"/>
  <c r="A2121" i="1"/>
  <c r="B2121" i="1"/>
  <c r="C2121" i="1"/>
  <c r="D2121" i="1"/>
  <c r="E2121" i="1"/>
  <c r="F2121" i="1"/>
  <c r="G2121" i="1"/>
  <c r="H2121" i="1"/>
  <c r="A2122" i="1"/>
  <c r="B2122" i="1"/>
  <c r="C2122" i="1"/>
  <c r="D2122" i="1"/>
  <c r="E2122" i="1"/>
  <c r="F2122" i="1"/>
  <c r="G2122" i="1"/>
  <c r="H2122" i="1"/>
  <c r="A2123" i="1"/>
  <c r="B2123" i="1"/>
  <c r="C2123" i="1"/>
  <c r="D2123" i="1"/>
  <c r="E2123" i="1"/>
  <c r="F2123" i="1"/>
  <c r="G2123" i="1"/>
  <c r="H2123" i="1"/>
  <c r="A2124" i="1"/>
  <c r="B2124" i="1"/>
  <c r="C2124" i="1"/>
  <c r="D2124" i="1"/>
  <c r="E2124" i="1"/>
  <c r="F2124" i="1"/>
  <c r="G2124" i="1"/>
  <c r="H2124" i="1"/>
  <c r="A2125" i="1"/>
  <c r="B2125" i="1"/>
  <c r="C2125" i="1"/>
  <c r="D2125" i="1"/>
  <c r="E2125" i="1"/>
  <c r="F2125" i="1"/>
  <c r="G2125" i="1"/>
  <c r="H2125" i="1"/>
  <c r="A2126" i="1"/>
  <c r="B2126" i="1"/>
  <c r="C2126" i="1"/>
  <c r="D2126" i="1"/>
  <c r="E2126" i="1"/>
  <c r="F2126" i="1"/>
  <c r="G2126" i="1"/>
  <c r="H2126" i="1"/>
  <c r="A2127" i="1"/>
  <c r="B2127" i="1"/>
  <c r="C2127" i="1"/>
  <c r="D2127" i="1"/>
  <c r="E2127" i="1"/>
  <c r="F2127" i="1"/>
  <c r="G2127" i="1"/>
  <c r="H2127" i="1"/>
  <c r="A2128" i="1"/>
  <c r="B2128" i="1"/>
  <c r="C2128" i="1"/>
  <c r="D2128" i="1"/>
  <c r="E2128" i="1"/>
  <c r="F2128" i="1"/>
  <c r="G2128" i="1"/>
  <c r="H2128" i="1"/>
  <c r="A2129" i="1"/>
  <c r="B2129" i="1"/>
  <c r="C2129" i="1"/>
  <c r="D2129" i="1"/>
  <c r="E2129" i="1"/>
  <c r="F2129" i="1"/>
  <c r="G2129" i="1"/>
  <c r="H2129" i="1"/>
  <c r="A2130" i="1"/>
  <c r="B2130" i="1"/>
  <c r="C2130" i="1"/>
  <c r="D2130" i="1"/>
  <c r="E2130" i="1"/>
  <c r="F2130" i="1"/>
  <c r="G2130" i="1"/>
  <c r="H2130" i="1"/>
  <c r="A2131" i="1"/>
  <c r="B2131" i="1"/>
  <c r="C2131" i="1"/>
  <c r="D2131" i="1"/>
  <c r="E2131" i="1"/>
  <c r="F2131" i="1"/>
  <c r="G2131" i="1"/>
  <c r="H2131" i="1"/>
  <c r="A2132" i="1"/>
  <c r="B2132" i="1"/>
  <c r="C2132" i="1"/>
  <c r="D2132" i="1"/>
  <c r="E2132" i="1"/>
  <c r="F2132" i="1"/>
  <c r="G2132" i="1"/>
  <c r="H2132" i="1"/>
  <c r="A2133" i="1"/>
  <c r="B2133" i="1"/>
  <c r="C2133" i="1"/>
  <c r="D2133" i="1"/>
  <c r="E2133" i="1"/>
  <c r="F2133" i="1"/>
  <c r="G2133" i="1"/>
  <c r="H2133" i="1"/>
  <c r="A2134" i="1"/>
  <c r="B2134" i="1"/>
  <c r="C2134" i="1"/>
  <c r="D2134" i="1"/>
  <c r="E2134" i="1"/>
  <c r="F2134" i="1"/>
  <c r="G2134" i="1"/>
  <c r="H2134" i="1"/>
  <c r="A2135" i="1"/>
  <c r="B2135" i="1"/>
  <c r="C2135" i="1"/>
  <c r="D2135" i="1"/>
  <c r="E2135" i="1"/>
  <c r="F2135" i="1"/>
  <c r="G2135" i="1"/>
  <c r="H2135" i="1"/>
  <c r="A2136" i="1"/>
  <c r="B2136" i="1"/>
  <c r="C2136" i="1"/>
  <c r="D2136" i="1"/>
  <c r="E2136" i="1"/>
  <c r="F2136" i="1"/>
  <c r="G2136" i="1"/>
  <c r="H2136" i="1"/>
  <c r="A2137" i="1"/>
  <c r="B2137" i="1"/>
  <c r="C2137" i="1"/>
  <c r="D2137" i="1"/>
  <c r="E2137" i="1"/>
  <c r="F2137" i="1"/>
  <c r="G2137" i="1"/>
  <c r="H2137" i="1"/>
  <c r="A2138" i="1"/>
  <c r="B2138" i="1"/>
  <c r="C2138" i="1"/>
  <c r="D2138" i="1"/>
  <c r="E2138" i="1"/>
  <c r="F2138" i="1"/>
  <c r="G2138" i="1"/>
  <c r="H2138" i="1"/>
  <c r="A2139" i="1"/>
  <c r="B2139" i="1"/>
  <c r="C2139" i="1"/>
  <c r="D2139" i="1"/>
  <c r="E2139" i="1"/>
  <c r="F2139" i="1"/>
  <c r="G2139" i="1"/>
  <c r="H2139" i="1"/>
  <c r="A2140" i="1"/>
  <c r="B2140" i="1"/>
  <c r="C2140" i="1"/>
  <c r="D2140" i="1"/>
  <c r="E2140" i="1"/>
  <c r="F2140" i="1"/>
  <c r="G2140" i="1"/>
  <c r="H2140" i="1"/>
  <c r="A2141" i="1"/>
  <c r="B2141" i="1"/>
  <c r="C2141" i="1"/>
  <c r="D2141" i="1"/>
  <c r="E2141" i="1"/>
  <c r="F2141" i="1"/>
  <c r="G2141" i="1"/>
  <c r="H2141" i="1"/>
  <c r="A2142" i="1"/>
  <c r="B2142" i="1"/>
  <c r="C2142" i="1"/>
  <c r="D2142" i="1"/>
  <c r="E2142" i="1"/>
  <c r="F2142" i="1"/>
  <c r="G2142" i="1"/>
  <c r="H2142" i="1"/>
  <c r="A2143" i="1"/>
  <c r="B2143" i="1"/>
  <c r="C2143" i="1"/>
  <c r="D2143" i="1"/>
  <c r="E2143" i="1"/>
  <c r="F2143" i="1"/>
  <c r="G2143" i="1"/>
  <c r="H2143" i="1"/>
  <c r="A2144" i="1"/>
  <c r="B2144" i="1"/>
  <c r="C2144" i="1"/>
  <c r="D2144" i="1"/>
  <c r="E2144" i="1"/>
  <c r="F2144" i="1"/>
  <c r="G2144" i="1"/>
  <c r="H2144" i="1"/>
  <c r="A2145" i="1"/>
  <c r="B2145" i="1"/>
  <c r="C2145" i="1"/>
  <c r="D2145" i="1"/>
  <c r="E2145" i="1"/>
  <c r="F2145" i="1"/>
  <c r="G2145" i="1"/>
  <c r="H2145" i="1"/>
  <c r="A2146" i="1"/>
  <c r="B2146" i="1"/>
  <c r="C2146" i="1"/>
  <c r="D2146" i="1"/>
  <c r="E2146" i="1"/>
  <c r="F2146" i="1"/>
  <c r="G2146" i="1"/>
  <c r="H2146" i="1"/>
  <c r="A2147" i="1"/>
  <c r="B2147" i="1"/>
  <c r="C2147" i="1"/>
  <c r="D2147" i="1"/>
  <c r="E2147" i="1"/>
  <c r="F2147" i="1"/>
  <c r="G2147" i="1"/>
  <c r="H2147" i="1"/>
  <c r="A2148" i="1"/>
  <c r="B2148" i="1"/>
  <c r="C2148" i="1"/>
  <c r="D2148" i="1"/>
  <c r="E2148" i="1"/>
  <c r="F2148" i="1"/>
  <c r="G2148" i="1"/>
  <c r="H2148" i="1"/>
  <c r="A2149" i="1"/>
  <c r="B2149" i="1"/>
  <c r="C2149" i="1"/>
  <c r="D2149" i="1"/>
  <c r="E2149" i="1"/>
  <c r="F2149" i="1"/>
  <c r="G2149" i="1"/>
  <c r="H2149" i="1"/>
  <c r="A2150" i="1"/>
  <c r="B2150" i="1"/>
  <c r="C2150" i="1"/>
  <c r="D2150" i="1"/>
  <c r="E2150" i="1"/>
  <c r="F2150" i="1"/>
  <c r="G2150" i="1"/>
  <c r="H2150" i="1"/>
  <c r="A2151" i="1"/>
  <c r="B2151" i="1"/>
  <c r="C2151" i="1"/>
  <c r="D2151" i="1"/>
  <c r="E2151" i="1"/>
  <c r="F2151" i="1"/>
  <c r="G2151" i="1"/>
  <c r="H2151" i="1"/>
  <c r="A2152" i="1"/>
  <c r="B2152" i="1"/>
  <c r="C2152" i="1"/>
  <c r="D2152" i="1"/>
  <c r="E2152" i="1"/>
  <c r="F2152" i="1"/>
  <c r="G2152" i="1"/>
  <c r="H2152" i="1"/>
  <c r="A2153" i="1"/>
  <c r="B2153" i="1"/>
  <c r="C2153" i="1"/>
  <c r="D2153" i="1"/>
  <c r="E2153" i="1"/>
  <c r="F2153" i="1"/>
  <c r="G2153" i="1"/>
  <c r="H2153" i="1"/>
  <c r="A2154" i="1"/>
  <c r="B2154" i="1"/>
  <c r="C2154" i="1"/>
  <c r="D2154" i="1"/>
  <c r="E2154" i="1"/>
  <c r="F2154" i="1"/>
  <c r="G2154" i="1"/>
  <c r="H2154" i="1"/>
  <c r="A2155" i="1"/>
  <c r="B2155" i="1"/>
  <c r="C2155" i="1"/>
  <c r="D2155" i="1"/>
  <c r="E2155" i="1"/>
  <c r="F2155" i="1"/>
  <c r="G2155" i="1"/>
  <c r="H2155" i="1"/>
  <c r="A2156" i="1"/>
  <c r="B2156" i="1"/>
  <c r="C2156" i="1"/>
  <c r="D2156" i="1"/>
  <c r="E2156" i="1"/>
  <c r="F2156" i="1"/>
  <c r="G2156" i="1"/>
  <c r="H2156" i="1"/>
  <c r="A2157" i="1"/>
  <c r="B2157" i="1"/>
  <c r="C2157" i="1"/>
  <c r="D2157" i="1"/>
  <c r="E2157" i="1"/>
  <c r="F2157" i="1"/>
  <c r="G2157" i="1"/>
  <c r="H2157" i="1"/>
  <c r="A2158" i="1"/>
  <c r="B2158" i="1"/>
  <c r="C2158" i="1"/>
  <c r="D2158" i="1"/>
  <c r="E2158" i="1"/>
  <c r="F2158" i="1"/>
  <c r="G2158" i="1"/>
  <c r="H2158" i="1"/>
  <c r="A2159" i="1"/>
  <c r="B2159" i="1"/>
  <c r="C2159" i="1"/>
  <c r="D2159" i="1"/>
  <c r="E2159" i="1"/>
  <c r="F2159" i="1"/>
  <c r="G2159" i="1"/>
  <c r="H2159" i="1"/>
  <c r="A2160" i="1"/>
  <c r="B2160" i="1"/>
  <c r="C2160" i="1"/>
  <c r="D2160" i="1"/>
  <c r="E2160" i="1"/>
  <c r="F2160" i="1"/>
  <c r="G2160" i="1"/>
  <c r="H2160" i="1"/>
  <c r="A2161" i="1"/>
  <c r="B2161" i="1"/>
  <c r="C2161" i="1"/>
  <c r="D2161" i="1"/>
  <c r="E2161" i="1"/>
  <c r="F2161" i="1"/>
  <c r="G2161" i="1"/>
  <c r="H2161" i="1"/>
  <c r="A2162" i="1"/>
  <c r="B2162" i="1"/>
  <c r="C2162" i="1"/>
  <c r="D2162" i="1"/>
  <c r="E2162" i="1"/>
  <c r="F2162" i="1"/>
  <c r="G2162" i="1"/>
  <c r="H2162" i="1"/>
  <c r="A2163" i="1"/>
  <c r="B2163" i="1"/>
  <c r="C2163" i="1"/>
  <c r="D2163" i="1"/>
  <c r="E2163" i="1"/>
  <c r="F2163" i="1"/>
  <c r="G2163" i="1"/>
  <c r="H2163" i="1"/>
  <c r="A2164" i="1"/>
  <c r="B2164" i="1"/>
  <c r="C2164" i="1"/>
  <c r="D2164" i="1"/>
  <c r="E2164" i="1"/>
  <c r="F2164" i="1"/>
  <c r="G2164" i="1"/>
  <c r="H2164" i="1"/>
  <c r="A2165" i="1"/>
  <c r="B2165" i="1"/>
  <c r="C2165" i="1"/>
  <c r="D2165" i="1"/>
  <c r="E2165" i="1"/>
  <c r="F2165" i="1"/>
  <c r="G2165" i="1"/>
  <c r="H2165" i="1"/>
  <c r="A2166" i="1"/>
  <c r="B2166" i="1"/>
  <c r="C2166" i="1"/>
  <c r="D2166" i="1"/>
  <c r="E2166" i="1"/>
  <c r="F2166" i="1"/>
  <c r="G2166" i="1"/>
  <c r="H2166" i="1"/>
  <c r="A2167" i="1"/>
  <c r="B2167" i="1"/>
  <c r="C2167" i="1"/>
  <c r="D2167" i="1"/>
  <c r="E2167" i="1"/>
  <c r="F2167" i="1"/>
  <c r="G2167" i="1"/>
  <c r="H2167" i="1"/>
  <c r="A2168" i="1"/>
  <c r="B2168" i="1"/>
  <c r="C2168" i="1"/>
  <c r="D2168" i="1"/>
  <c r="E2168" i="1"/>
  <c r="F2168" i="1"/>
  <c r="G2168" i="1"/>
  <c r="H2168" i="1"/>
  <c r="A2169" i="1"/>
  <c r="B2169" i="1"/>
  <c r="C2169" i="1"/>
  <c r="D2169" i="1"/>
  <c r="E2169" i="1"/>
  <c r="F2169" i="1"/>
  <c r="G2169" i="1"/>
  <c r="H2169" i="1"/>
  <c r="A2170" i="1"/>
  <c r="B2170" i="1"/>
  <c r="C2170" i="1"/>
  <c r="D2170" i="1"/>
  <c r="E2170" i="1"/>
  <c r="F2170" i="1"/>
  <c r="G2170" i="1"/>
  <c r="H2170" i="1"/>
  <c r="A2171" i="1"/>
  <c r="B2171" i="1"/>
  <c r="C2171" i="1"/>
  <c r="D2171" i="1"/>
  <c r="E2171" i="1"/>
  <c r="F2171" i="1"/>
  <c r="G2171" i="1"/>
  <c r="H2171" i="1"/>
  <c r="A2172" i="1"/>
  <c r="B2172" i="1"/>
  <c r="C2172" i="1"/>
  <c r="D2172" i="1"/>
  <c r="E2172" i="1"/>
  <c r="F2172" i="1"/>
  <c r="G2172" i="1"/>
  <c r="H2172" i="1"/>
  <c r="A2173" i="1"/>
  <c r="B2173" i="1"/>
  <c r="C2173" i="1"/>
  <c r="D2173" i="1"/>
  <c r="E2173" i="1"/>
  <c r="F2173" i="1"/>
  <c r="G2173" i="1"/>
  <c r="H2173" i="1"/>
  <c r="A2174" i="1"/>
  <c r="B2174" i="1"/>
  <c r="C2174" i="1"/>
  <c r="D2174" i="1"/>
  <c r="E2174" i="1"/>
  <c r="F2174" i="1"/>
  <c r="G2174" i="1"/>
  <c r="H2174" i="1"/>
  <c r="A2175" i="1"/>
  <c r="B2175" i="1"/>
  <c r="C2175" i="1"/>
  <c r="D2175" i="1"/>
  <c r="E2175" i="1"/>
  <c r="F2175" i="1"/>
  <c r="G2175" i="1"/>
  <c r="H2175" i="1"/>
  <c r="A2176" i="1"/>
  <c r="B2176" i="1"/>
  <c r="C2176" i="1"/>
  <c r="D2176" i="1"/>
  <c r="E2176" i="1"/>
  <c r="F2176" i="1"/>
  <c r="G2176" i="1"/>
  <c r="H2176" i="1"/>
  <c r="A2177" i="1"/>
  <c r="B2177" i="1"/>
  <c r="C2177" i="1"/>
  <c r="D2177" i="1"/>
  <c r="E2177" i="1"/>
  <c r="F2177" i="1"/>
  <c r="G2177" i="1"/>
  <c r="H2177" i="1"/>
  <c r="A2178" i="1"/>
  <c r="B2178" i="1"/>
  <c r="C2178" i="1"/>
  <c r="D2178" i="1"/>
  <c r="E2178" i="1"/>
  <c r="F2178" i="1"/>
  <c r="G2178" i="1"/>
  <c r="H2178" i="1"/>
  <c r="A2179" i="1"/>
  <c r="B2179" i="1"/>
  <c r="C2179" i="1"/>
  <c r="D2179" i="1"/>
  <c r="E2179" i="1"/>
  <c r="F2179" i="1"/>
  <c r="G2179" i="1"/>
  <c r="H2179" i="1"/>
  <c r="A2180" i="1"/>
  <c r="B2180" i="1"/>
  <c r="C2180" i="1"/>
  <c r="D2180" i="1"/>
  <c r="E2180" i="1"/>
  <c r="F2180" i="1"/>
  <c r="G2180" i="1"/>
  <c r="H2180" i="1"/>
  <c r="A2181" i="1"/>
  <c r="B2181" i="1"/>
  <c r="C2181" i="1"/>
  <c r="D2181" i="1"/>
  <c r="E2181" i="1"/>
  <c r="F2181" i="1"/>
  <c r="G2181" i="1"/>
  <c r="H2181" i="1"/>
  <c r="A2182" i="1"/>
  <c r="B2182" i="1"/>
  <c r="C2182" i="1"/>
  <c r="D2182" i="1"/>
  <c r="E2182" i="1"/>
  <c r="F2182" i="1"/>
  <c r="G2182" i="1"/>
  <c r="H2182" i="1"/>
  <c r="A2183" i="1"/>
  <c r="B2183" i="1"/>
  <c r="C2183" i="1"/>
  <c r="D2183" i="1"/>
  <c r="E2183" i="1"/>
  <c r="F2183" i="1"/>
  <c r="G2183" i="1"/>
  <c r="H2183" i="1"/>
  <c r="A2184" i="1"/>
  <c r="B2184" i="1"/>
  <c r="C2184" i="1"/>
  <c r="D2184" i="1"/>
  <c r="E2184" i="1"/>
  <c r="F2184" i="1"/>
  <c r="G2184" i="1"/>
  <c r="H2184" i="1"/>
  <c r="A2185" i="1"/>
  <c r="B2185" i="1"/>
  <c r="C2185" i="1"/>
  <c r="D2185" i="1"/>
  <c r="E2185" i="1"/>
  <c r="F2185" i="1"/>
  <c r="G2185" i="1"/>
  <c r="H2185" i="1"/>
  <c r="A2186" i="1"/>
  <c r="B2186" i="1"/>
  <c r="C2186" i="1"/>
  <c r="D2186" i="1"/>
  <c r="E2186" i="1"/>
  <c r="F2186" i="1"/>
  <c r="G2186" i="1"/>
  <c r="H2186" i="1"/>
  <c r="A2187" i="1"/>
  <c r="B2187" i="1"/>
  <c r="C2187" i="1"/>
  <c r="D2187" i="1"/>
  <c r="E2187" i="1"/>
  <c r="F2187" i="1"/>
  <c r="G2187" i="1"/>
  <c r="H2187" i="1"/>
  <c r="A2188" i="1"/>
  <c r="B2188" i="1"/>
  <c r="C2188" i="1"/>
  <c r="D2188" i="1"/>
  <c r="E2188" i="1"/>
  <c r="F2188" i="1"/>
  <c r="G2188" i="1"/>
  <c r="H2188" i="1"/>
  <c r="A2189" i="1"/>
  <c r="B2189" i="1"/>
  <c r="C2189" i="1"/>
  <c r="D2189" i="1"/>
  <c r="E2189" i="1"/>
  <c r="F2189" i="1"/>
  <c r="G2189" i="1"/>
  <c r="H2189" i="1"/>
  <c r="A2190" i="1"/>
  <c r="B2190" i="1"/>
  <c r="C2190" i="1"/>
  <c r="D2190" i="1"/>
  <c r="E2190" i="1"/>
  <c r="F2190" i="1"/>
  <c r="G2190" i="1"/>
  <c r="H2190" i="1"/>
  <c r="A2191" i="1"/>
  <c r="B2191" i="1"/>
  <c r="C2191" i="1"/>
  <c r="D2191" i="1"/>
  <c r="E2191" i="1"/>
  <c r="F2191" i="1"/>
  <c r="G2191" i="1"/>
  <c r="H2191" i="1"/>
  <c r="A2192" i="1"/>
  <c r="B2192" i="1"/>
  <c r="C2192" i="1"/>
  <c r="D2192" i="1"/>
  <c r="E2192" i="1"/>
  <c r="F2192" i="1"/>
  <c r="G2192" i="1"/>
  <c r="H2192" i="1"/>
  <c r="A2193" i="1"/>
  <c r="B2193" i="1"/>
  <c r="C2193" i="1"/>
  <c r="D2193" i="1"/>
  <c r="E2193" i="1"/>
  <c r="F2193" i="1"/>
  <c r="G2193" i="1"/>
  <c r="H2193" i="1"/>
  <c r="A2194" i="1"/>
  <c r="B2194" i="1"/>
  <c r="C2194" i="1"/>
  <c r="D2194" i="1"/>
  <c r="E2194" i="1"/>
  <c r="F2194" i="1"/>
  <c r="G2194" i="1"/>
  <c r="H2194" i="1"/>
  <c r="A2195" i="1"/>
  <c r="B2195" i="1"/>
  <c r="C2195" i="1"/>
  <c r="D2195" i="1"/>
  <c r="E2195" i="1"/>
  <c r="F2195" i="1"/>
  <c r="G2195" i="1"/>
  <c r="H2195" i="1"/>
  <c r="A2196" i="1"/>
  <c r="B2196" i="1"/>
  <c r="C2196" i="1"/>
  <c r="D2196" i="1"/>
  <c r="E2196" i="1"/>
  <c r="F2196" i="1"/>
  <c r="G2196" i="1"/>
  <c r="H2196" i="1"/>
  <c r="A2197" i="1"/>
  <c r="B2197" i="1"/>
  <c r="C2197" i="1"/>
  <c r="D2197" i="1"/>
  <c r="E2197" i="1"/>
  <c r="F2197" i="1"/>
  <c r="G2197" i="1"/>
  <c r="H2197" i="1"/>
  <c r="A2198" i="1"/>
  <c r="B2198" i="1"/>
  <c r="C2198" i="1"/>
  <c r="D2198" i="1"/>
  <c r="E2198" i="1"/>
  <c r="F2198" i="1"/>
  <c r="G2198" i="1"/>
  <c r="H2198" i="1"/>
  <c r="A2199" i="1"/>
  <c r="B2199" i="1"/>
  <c r="C2199" i="1"/>
  <c r="D2199" i="1"/>
  <c r="E2199" i="1"/>
  <c r="F2199" i="1"/>
  <c r="G2199" i="1"/>
  <c r="H2199" i="1"/>
  <c r="A2200" i="1"/>
  <c r="B2200" i="1"/>
  <c r="C2200" i="1"/>
  <c r="D2200" i="1"/>
  <c r="E2200" i="1"/>
  <c r="F2200" i="1"/>
  <c r="G2200" i="1"/>
  <c r="H2200" i="1"/>
  <c r="A2201" i="1"/>
  <c r="B2201" i="1"/>
  <c r="C2201" i="1"/>
  <c r="D2201" i="1"/>
  <c r="E2201" i="1"/>
  <c r="F2201" i="1"/>
  <c r="G2201" i="1"/>
  <c r="H2201" i="1"/>
  <c r="A2202" i="1"/>
  <c r="B2202" i="1"/>
  <c r="C2202" i="1"/>
  <c r="D2202" i="1"/>
  <c r="E2202" i="1"/>
  <c r="F2202" i="1"/>
  <c r="G2202" i="1"/>
  <c r="H2202" i="1"/>
  <c r="A2203" i="1"/>
  <c r="B2203" i="1"/>
  <c r="C2203" i="1"/>
  <c r="D2203" i="1"/>
  <c r="E2203" i="1"/>
  <c r="F2203" i="1"/>
  <c r="G2203" i="1"/>
  <c r="H2203" i="1"/>
  <c r="A2204" i="1"/>
  <c r="B2204" i="1"/>
  <c r="C2204" i="1"/>
  <c r="D2204" i="1"/>
  <c r="E2204" i="1"/>
  <c r="F2204" i="1"/>
  <c r="G2204" i="1"/>
  <c r="H2204" i="1"/>
  <c r="A2205" i="1"/>
  <c r="B2205" i="1"/>
  <c r="C2205" i="1"/>
  <c r="D2205" i="1"/>
  <c r="E2205" i="1"/>
  <c r="F2205" i="1"/>
  <c r="G2205" i="1"/>
  <c r="H2205" i="1"/>
  <c r="A2206" i="1"/>
  <c r="B2206" i="1"/>
  <c r="C2206" i="1"/>
  <c r="D2206" i="1"/>
  <c r="E2206" i="1"/>
  <c r="F2206" i="1"/>
  <c r="G2206" i="1"/>
  <c r="H2206" i="1"/>
  <c r="A2207" i="1"/>
  <c r="B2207" i="1"/>
  <c r="C2207" i="1"/>
  <c r="D2207" i="1"/>
  <c r="E2207" i="1"/>
  <c r="F2207" i="1"/>
  <c r="G2207" i="1"/>
  <c r="H2207" i="1"/>
  <c r="A2208" i="1"/>
  <c r="B2208" i="1"/>
  <c r="C2208" i="1"/>
  <c r="D2208" i="1"/>
  <c r="E2208" i="1"/>
  <c r="F2208" i="1"/>
  <c r="G2208" i="1"/>
  <c r="H2208" i="1"/>
  <c r="A2209" i="1"/>
  <c r="B2209" i="1"/>
  <c r="C2209" i="1"/>
  <c r="D2209" i="1"/>
  <c r="E2209" i="1"/>
  <c r="F2209" i="1"/>
  <c r="G2209" i="1"/>
  <c r="H2209" i="1"/>
  <c r="A2210" i="1"/>
  <c r="B2210" i="1"/>
  <c r="C2210" i="1"/>
  <c r="D2210" i="1"/>
  <c r="E2210" i="1"/>
  <c r="F2210" i="1"/>
  <c r="G2210" i="1"/>
  <c r="H2210" i="1"/>
  <c r="A2211" i="1"/>
  <c r="B2211" i="1"/>
  <c r="C2211" i="1"/>
  <c r="D2211" i="1"/>
  <c r="E2211" i="1"/>
  <c r="F2211" i="1"/>
  <c r="G2211" i="1"/>
  <c r="H2211" i="1"/>
  <c r="A2212" i="1"/>
  <c r="B2212" i="1"/>
  <c r="C2212" i="1"/>
  <c r="D2212" i="1"/>
  <c r="E2212" i="1"/>
  <c r="F2212" i="1"/>
  <c r="G2212" i="1"/>
  <c r="H2212" i="1"/>
  <c r="A2213" i="1"/>
  <c r="B2213" i="1"/>
  <c r="C2213" i="1"/>
  <c r="D2213" i="1"/>
  <c r="E2213" i="1"/>
  <c r="F2213" i="1"/>
  <c r="G2213" i="1"/>
  <c r="H2213" i="1"/>
  <c r="A2214" i="1"/>
  <c r="B2214" i="1"/>
  <c r="C2214" i="1"/>
  <c r="D2214" i="1"/>
  <c r="E2214" i="1"/>
  <c r="F2214" i="1"/>
  <c r="G2214" i="1"/>
  <c r="H2214" i="1"/>
  <c r="A2215" i="1"/>
  <c r="B2215" i="1"/>
  <c r="C2215" i="1"/>
  <c r="D2215" i="1"/>
  <c r="E2215" i="1"/>
  <c r="F2215" i="1"/>
  <c r="G2215" i="1"/>
  <c r="H2215" i="1"/>
  <c r="A2216" i="1"/>
  <c r="B2216" i="1"/>
  <c r="C2216" i="1"/>
  <c r="D2216" i="1"/>
  <c r="E2216" i="1"/>
  <c r="F2216" i="1"/>
  <c r="G2216" i="1"/>
  <c r="H2216" i="1"/>
  <c r="A2217" i="1"/>
  <c r="B2217" i="1"/>
  <c r="C2217" i="1"/>
  <c r="D2217" i="1"/>
  <c r="E2217" i="1"/>
  <c r="F2217" i="1"/>
  <c r="G2217" i="1"/>
  <c r="H2217" i="1"/>
  <c r="A2218" i="1"/>
  <c r="B2218" i="1"/>
  <c r="C2218" i="1"/>
  <c r="D2218" i="1"/>
  <c r="E2218" i="1"/>
  <c r="F2218" i="1"/>
  <c r="G2218" i="1"/>
  <c r="H2218" i="1"/>
  <c r="A2219" i="1"/>
  <c r="B2219" i="1"/>
  <c r="C2219" i="1"/>
  <c r="D2219" i="1"/>
  <c r="E2219" i="1"/>
  <c r="F2219" i="1"/>
  <c r="G2219" i="1"/>
  <c r="H2219" i="1"/>
  <c r="A2220" i="1"/>
  <c r="B2220" i="1"/>
  <c r="C2220" i="1"/>
  <c r="D2220" i="1"/>
  <c r="E2220" i="1"/>
  <c r="F2220" i="1"/>
  <c r="G2220" i="1"/>
  <c r="H2220" i="1"/>
  <c r="A2221" i="1"/>
  <c r="B2221" i="1"/>
  <c r="C2221" i="1"/>
  <c r="D2221" i="1"/>
  <c r="E2221" i="1"/>
  <c r="F2221" i="1"/>
  <c r="G2221" i="1"/>
  <c r="H2221" i="1"/>
  <c r="A2222" i="1"/>
  <c r="B2222" i="1"/>
  <c r="C2222" i="1"/>
  <c r="D2222" i="1"/>
  <c r="E2222" i="1"/>
  <c r="F2222" i="1"/>
  <c r="G2222" i="1"/>
  <c r="H2222" i="1"/>
  <c r="A2223" i="1"/>
  <c r="B2223" i="1"/>
  <c r="C2223" i="1"/>
  <c r="D2223" i="1"/>
  <c r="E2223" i="1"/>
  <c r="F2223" i="1"/>
  <c r="G2223" i="1"/>
  <c r="H2223" i="1"/>
  <c r="A2224" i="1"/>
  <c r="B2224" i="1"/>
  <c r="C2224" i="1"/>
  <c r="D2224" i="1"/>
  <c r="E2224" i="1"/>
  <c r="F2224" i="1"/>
  <c r="G2224" i="1"/>
  <c r="H2224" i="1"/>
  <c r="A2225" i="1"/>
  <c r="B2225" i="1"/>
  <c r="C2225" i="1"/>
  <c r="D2225" i="1"/>
  <c r="E2225" i="1"/>
  <c r="F2225" i="1"/>
  <c r="G2225" i="1"/>
  <c r="H2225" i="1"/>
  <c r="A2226" i="1"/>
  <c r="B2226" i="1"/>
  <c r="C2226" i="1"/>
  <c r="D2226" i="1"/>
  <c r="E2226" i="1"/>
  <c r="F2226" i="1"/>
  <c r="G2226" i="1"/>
  <c r="H2226" i="1"/>
  <c r="A2227" i="1"/>
  <c r="B2227" i="1"/>
  <c r="C2227" i="1"/>
  <c r="D2227" i="1"/>
  <c r="E2227" i="1"/>
  <c r="F2227" i="1"/>
  <c r="G2227" i="1"/>
  <c r="H2227" i="1"/>
  <c r="A2228" i="1"/>
  <c r="B2228" i="1"/>
  <c r="C2228" i="1"/>
  <c r="D2228" i="1"/>
  <c r="E2228" i="1"/>
  <c r="F2228" i="1"/>
  <c r="G2228" i="1"/>
  <c r="H2228" i="1"/>
  <c r="A2229" i="1"/>
  <c r="B2229" i="1"/>
  <c r="C2229" i="1"/>
  <c r="D2229" i="1"/>
  <c r="E2229" i="1"/>
  <c r="F2229" i="1"/>
  <c r="G2229" i="1"/>
  <c r="H2229" i="1"/>
  <c r="A2230" i="1"/>
  <c r="B2230" i="1"/>
  <c r="C2230" i="1"/>
  <c r="D2230" i="1"/>
  <c r="E2230" i="1"/>
  <c r="F2230" i="1"/>
  <c r="G2230" i="1"/>
  <c r="H2230" i="1"/>
  <c r="A2231" i="1"/>
  <c r="B2231" i="1"/>
  <c r="C2231" i="1"/>
  <c r="D2231" i="1"/>
  <c r="E2231" i="1"/>
  <c r="F2231" i="1"/>
  <c r="G2231" i="1"/>
  <c r="H2231" i="1"/>
  <c r="A2232" i="1"/>
  <c r="B2232" i="1"/>
  <c r="C2232" i="1"/>
  <c r="D2232" i="1"/>
  <c r="E2232" i="1"/>
  <c r="F2232" i="1"/>
  <c r="G2232" i="1"/>
  <c r="H2232" i="1"/>
  <c r="A2233" i="1"/>
  <c r="B2233" i="1"/>
  <c r="C2233" i="1"/>
  <c r="D2233" i="1"/>
  <c r="E2233" i="1"/>
  <c r="F2233" i="1"/>
  <c r="G2233" i="1"/>
  <c r="H2233" i="1"/>
  <c r="A2234" i="1"/>
  <c r="B2234" i="1"/>
  <c r="C2234" i="1"/>
  <c r="D2234" i="1"/>
  <c r="E2234" i="1"/>
  <c r="F2234" i="1"/>
  <c r="G2234" i="1"/>
  <c r="H2234" i="1"/>
  <c r="A2235" i="1"/>
  <c r="B2235" i="1"/>
  <c r="C2235" i="1"/>
  <c r="D2235" i="1"/>
  <c r="E2235" i="1"/>
  <c r="F2235" i="1"/>
  <c r="G2235" i="1"/>
  <c r="H2235" i="1"/>
  <c r="A2236" i="1"/>
  <c r="B2236" i="1"/>
  <c r="C2236" i="1"/>
  <c r="D2236" i="1"/>
  <c r="E2236" i="1"/>
  <c r="F2236" i="1"/>
  <c r="G2236" i="1"/>
  <c r="H2236" i="1"/>
  <c r="A2237" i="1"/>
  <c r="B2237" i="1"/>
  <c r="C2237" i="1"/>
  <c r="D2237" i="1"/>
  <c r="E2237" i="1"/>
  <c r="F2237" i="1"/>
  <c r="G2237" i="1"/>
  <c r="H2237" i="1"/>
  <c r="A2238" i="1"/>
  <c r="B2238" i="1"/>
  <c r="C2238" i="1"/>
  <c r="D2238" i="1"/>
  <c r="E2238" i="1"/>
  <c r="F2238" i="1"/>
  <c r="G2238" i="1"/>
  <c r="H2238" i="1"/>
  <c r="A2239" i="1"/>
  <c r="B2239" i="1"/>
  <c r="C2239" i="1"/>
  <c r="D2239" i="1"/>
  <c r="E2239" i="1"/>
  <c r="F2239" i="1"/>
  <c r="G2239" i="1"/>
  <c r="H2239" i="1"/>
  <c r="A2240" i="1"/>
  <c r="B2240" i="1"/>
  <c r="C2240" i="1"/>
  <c r="D2240" i="1"/>
  <c r="E2240" i="1"/>
  <c r="F2240" i="1"/>
  <c r="G2240" i="1"/>
  <c r="H2240" i="1"/>
  <c r="A2241" i="1"/>
  <c r="B2241" i="1"/>
  <c r="C2241" i="1"/>
  <c r="D2241" i="1"/>
  <c r="E2241" i="1"/>
  <c r="F2241" i="1"/>
  <c r="G2241" i="1"/>
  <c r="H2241" i="1"/>
  <c r="A2242" i="1"/>
  <c r="B2242" i="1"/>
  <c r="C2242" i="1"/>
  <c r="D2242" i="1"/>
  <c r="E2242" i="1"/>
  <c r="F2242" i="1"/>
  <c r="G2242" i="1"/>
  <c r="H2242" i="1"/>
  <c r="A2243" i="1"/>
  <c r="B2243" i="1"/>
  <c r="C2243" i="1"/>
  <c r="D2243" i="1"/>
  <c r="E2243" i="1"/>
  <c r="F2243" i="1"/>
  <c r="G2243" i="1"/>
  <c r="H2243" i="1"/>
  <c r="A2244" i="1"/>
  <c r="B2244" i="1"/>
  <c r="C2244" i="1"/>
  <c r="D2244" i="1"/>
  <c r="E2244" i="1"/>
  <c r="F2244" i="1"/>
  <c r="G2244" i="1"/>
  <c r="H2244" i="1"/>
  <c r="A2245" i="1"/>
  <c r="B2245" i="1"/>
  <c r="C2245" i="1"/>
  <c r="D2245" i="1"/>
  <c r="E2245" i="1"/>
  <c r="F2245" i="1"/>
  <c r="G2245" i="1"/>
  <c r="H2245" i="1"/>
  <c r="A2246" i="1"/>
  <c r="B2246" i="1"/>
  <c r="C2246" i="1"/>
  <c r="D2246" i="1"/>
  <c r="E2246" i="1"/>
  <c r="F2246" i="1"/>
  <c r="G2246" i="1"/>
  <c r="H2246" i="1"/>
  <c r="A2247" i="1"/>
  <c r="B2247" i="1"/>
  <c r="C2247" i="1"/>
  <c r="D2247" i="1"/>
  <c r="E2247" i="1"/>
  <c r="F2247" i="1"/>
  <c r="G2247" i="1"/>
  <c r="H2247" i="1"/>
  <c r="A2248" i="1"/>
  <c r="B2248" i="1"/>
  <c r="C2248" i="1"/>
  <c r="D2248" i="1"/>
  <c r="E2248" i="1"/>
  <c r="F2248" i="1"/>
  <c r="G2248" i="1"/>
  <c r="H2248" i="1"/>
  <c r="A2249" i="1"/>
  <c r="B2249" i="1"/>
  <c r="C2249" i="1"/>
  <c r="D2249" i="1"/>
  <c r="E2249" i="1"/>
  <c r="F2249" i="1"/>
  <c r="G2249" i="1"/>
  <c r="H2249" i="1"/>
  <c r="A2250" i="1"/>
  <c r="B2250" i="1"/>
  <c r="C2250" i="1"/>
  <c r="D2250" i="1"/>
  <c r="E2250" i="1"/>
  <c r="F2250" i="1"/>
  <c r="G2250" i="1"/>
  <c r="H2250" i="1"/>
  <c r="A2251" i="1"/>
  <c r="B2251" i="1"/>
  <c r="C2251" i="1"/>
  <c r="D2251" i="1"/>
  <c r="E2251" i="1"/>
  <c r="F2251" i="1"/>
  <c r="G2251" i="1"/>
  <c r="H2251" i="1"/>
  <c r="A2252" i="1"/>
  <c r="B2252" i="1"/>
  <c r="C2252" i="1"/>
  <c r="D2252" i="1"/>
  <c r="E2252" i="1"/>
  <c r="F2252" i="1"/>
  <c r="G2252" i="1"/>
  <c r="H2252" i="1"/>
  <c r="A2253" i="1"/>
  <c r="B2253" i="1"/>
  <c r="C2253" i="1"/>
  <c r="D2253" i="1"/>
  <c r="E2253" i="1"/>
  <c r="F2253" i="1"/>
  <c r="G2253" i="1"/>
  <c r="H2253" i="1"/>
  <c r="A2254" i="1"/>
  <c r="B2254" i="1"/>
  <c r="C2254" i="1"/>
  <c r="D2254" i="1"/>
  <c r="E2254" i="1"/>
  <c r="F2254" i="1"/>
  <c r="G2254" i="1"/>
  <c r="H2254" i="1"/>
  <c r="A2255" i="1"/>
  <c r="B2255" i="1"/>
  <c r="C2255" i="1"/>
  <c r="D2255" i="1"/>
  <c r="E2255" i="1"/>
  <c r="F2255" i="1"/>
  <c r="G2255" i="1"/>
  <c r="H2255" i="1"/>
  <c r="A2256" i="1"/>
  <c r="B2256" i="1"/>
  <c r="C2256" i="1"/>
  <c r="D2256" i="1"/>
  <c r="E2256" i="1"/>
  <c r="F2256" i="1"/>
  <c r="G2256" i="1"/>
  <c r="H2256" i="1"/>
  <c r="A2257" i="1"/>
  <c r="B2257" i="1"/>
  <c r="C2257" i="1"/>
  <c r="D2257" i="1"/>
  <c r="E2257" i="1"/>
  <c r="F2257" i="1"/>
  <c r="G2257" i="1"/>
  <c r="H2257" i="1"/>
  <c r="A2258" i="1"/>
  <c r="B2258" i="1"/>
  <c r="C2258" i="1"/>
  <c r="D2258" i="1"/>
  <c r="E2258" i="1"/>
  <c r="F2258" i="1"/>
  <c r="G2258" i="1"/>
  <c r="H2258" i="1"/>
  <c r="A2259" i="1"/>
  <c r="B2259" i="1"/>
  <c r="C2259" i="1"/>
  <c r="D2259" i="1"/>
  <c r="E2259" i="1"/>
  <c r="F2259" i="1"/>
  <c r="G2259" i="1"/>
  <c r="H2259" i="1"/>
  <c r="A2260" i="1"/>
  <c r="B2260" i="1"/>
  <c r="C2260" i="1"/>
  <c r="D2260" i="1"/>
  <c r="E2260" i="1"/>
  <c r="F2260" i="1"/>
  <c r="G2260" i="1"/>
  <c r="H2260" i="1"/>
  <c r="A2261" i="1"/>
  <c r="B2261" i="1"/>
  <c r="C2261" i="1"/>
  <c r="D2261" i="1"/>
  <c r="E2261" i="1"/>
  <c r="F2261" i="1"/>
  <c r="G2261" i="1"/>
  <c r="H2261" i="1"/>
  <c r="A2262" i="1"/>
  <c r="B2262" i="1"/>
  <c r="C2262" i="1"/>
  <c r="D2262" i="1"/>
  <c r="E2262" i="1"/>
  <c r="F2262" i="1"/>
  <c r="G2262" i="1"/>
  <c r="H2262" i="1"/>
  <c r="A2263" i="1"/>
  <c r="B2263" i="1"/>
  <c r="C2263" i="1"/>
  <c r="D2263" i="1"/>
  <c r="E2263" i="1"/>
  <c r="F2263" i="1"/>
  <c r="G2263" i="1"/>
  <c r="H2263" i="1"/>
  <c r="A2264" i="1"/>
  <c r="B2264" i="1"/>
  <c r="C2264" i="1"/>
  <c r="D2264" i="1"/>
  <c r="E2264" i="1"/>
  <c r="F2264" i="1"/>
  <c r="G2264" i="1"/>
  <c r="H2264" i="1"/>
  <c r="A2265" i="1"/>
  <c r="B2265" i="1"/>
  <c r="C2265" i="1"/>
  <c r="D2265" i="1"/>
  <c r="E2265" i="1"/>
  <c r="F2265" i="1"/>
  <c r="G2265" i="1"/>
  <c r="H2265" i="1"/>
  <c r="A2266" i="1"/>
  <c r="B2266" i="1"/>
  <c r="C2266" i="1"/>
  <c r="D2266" i="1"/>
  <c r="E2266" i="1"/>
  <c r="F2266" i="1"/>
  <c r="G2266" i="1"/>
  <c r="H2266" i="1"/>
  <c r="A2267" i="1"/>
  <c r="B2267" i="1"/>
  <c r="C2267" i="1"/>
  <c r="D2267" i="1"/>
  <c r="E2267" i="1"/>
  <c r="F2267" i="1"/>
  <c r="G2267" i="1"/>
  <c r="H2267" i="1"/>
  <c r="A2268" i="1"/>
  <c r="B2268" i="1"/>
  <c r="C2268" i="1"/>
  <c r="D2268" i="1"/>
  <c r="E2268" i="1"/>
  <c r="F2268" i="1"/>
  <c r="G2268" i="1"/>
  <c r="H2268" i="1"/>
  <c r="A2269" i="1"/>
  <c r="B2269" i="1"/>
  <c r="C2269" i="1"/>
  <c r="D2269" i="1"/>
  <c r="E2269" i="1"/>
  <c r="F2269" i="1"/>
  <c r="G2269" i="1"/>
  <c r="H2269" i="1"/>
  <c r="A2270" i="1"/>
  <c r="B2270" i="1"/>
  <c r="C2270" i="1"/>
  <c r="D2270" i="1"/>
  <c r="E2270" i="1"/>
  <c r="F2270" i="1"/>
  <c r="G2270" i="1"/>
  <c r="H2270" i="1"/>
  <c r="A2271" i="1"/>
  <c r="B2271" i="1"/>
  <c r="C2271" i="1"/>
  <c r="D2271" i="1"/>
  <c r="E2271" i="1"/>
  <c r="F2271" i="1"/>
  <c r="G2271" i="1"/>
  <c r="H2271" i="1"/>
  <c r="A2272" i="1"/>
  <c r="B2272" i="1"/>
  <c r="C2272" i="1"/>
  <c r="D2272" i="1"/>
  <c r="E2272" i="1"/>
  <c r="F2272" i="1"/>
  <c r="G2272" i="1"/>
  <c r="H2272" i="1"/>
  <c r="A2273" i="1"/>
  <c r="B2273" i="1"/>
  <c r="C2273" i="1"/>
  <c r="D2273" i="1"/>
  <c r="E2273" i="1"/>
  <c r="F2273" i="1"/>
  <c r="G2273" i="1"/>
  <c r="H2273" i="1"/>
  <c r="A2274" i="1"/>
  <c r="B2274" i="1"/>
  <c r="C2274" i="1"/>
  <c r="D2274" i="1"/>
  <c r="E2274" i="1"/>
  <c r="F2274" i="1"/>
  <c r="G2274" i="1"/>
  <c r="H2274" i="1"/>
  <c r="A2275" i="1"/>
  <c r="B2275" i="1"/>
  <c r="C2275" i="1"/>
  <c r="D2275" i="1"/>
  <c r="E2275" i="1"/>
  <c r="F2275" i="1"/>
  <c r="G2275" i="1"/>
  <c r="H2275" i="1"/>
  <c r="A2276" i="1"/>
  <c r="B2276" i="1"/>
  <c r="C2276" i="1"/>
  <c r="D2276" i="1"/>
  <c r="E2276" i="1"/>
  <c r="F2276" i="1"/>
  <c r="G2276" i="1"/>
  <c r="H2276" i="1"/>
  <c r="A2277" i="1"/>
  <c r="B2277" i="1"/>
  <c r="C2277" i="1"/>
  <c r="D2277" i="1"/>
  <c r="E2277" i="1"/>
  <c r="F2277" i="1"/>
  <c r="G2277" i="1"/>
  <c r="H2277" i="1"/>
  <c r="A2278" i="1"/>
  <c r="B2278" i="1"/>
  <c r="C2278" i="1"/>
  <c r="D2278" i="1"/>
  <c r="E2278" i="1"/>
  <c r="F2278" i="1"/>
  <c r="G2278" i="1"/>
  <c r="H2278" i="1"/>
  <c r="A2279" i="1"/>
  <c r="B2279" i="1"/>
  <c r="C2279" i="1"/>
  <c r="D2279" i="1"/>
  <c r="E2279" i="1"/>
  <c r="F2279" i="1"/>
  <c r="G2279" i="1"/>
  <c r="H2279" i="1"/>
  <c r="A2280" i="1"/>
  <c r="B2280" i="1"/>
  <c r="C2280" i="1"/>
  <c r="D2280" i="1"/>
  <c r="E2280" i="1"/>
  <c r="F2280" i="1"/>
  <c r="G2280" i="1"/>
  <c r="H2280" i="1"/>
  <c r="A2281" i="1"/>
  <c r="B2281" i="1"/>
  <c r="C2281" i="1"/>
  <c r="D2281" i="1"/>
  <c r="E2281" i="1"/>
  <c r="F2281" i="1"/>
  <c r="G2281" i="1"/>
  <c r="H2281" i="1"/>
  <c r="A2282" i="1"/>
  <c r="B2282" i="1"/>
  <c r="C2282" i="1"/>
  <c r="D2282" i="1"/>
  <c r="E2282" i="1"/>
  <c r="F2282" i="1"/>
  <c r="G2282" i="1"/>
  <c r="H2282" i="1"/>
  <c r="A2283" i="1"/>
  <c r="B2283" i="1"/>
  <c r="C2283" i="1"/>
  <c r="D2283" i="1"/>
  <c r="E2283" i="1"/>
  <c r="F2283" i="1"/>
  <c r="G2283" i="1"/>
  <c r="H2283" i="1"/>
  <c r="A2284" i="1"/>
  <c r="B2284" i="1"/>
  <c r="C2284" i="1"/>
  <c r="D2284" i="1"/>
  <c r="E2284" i="1"/>
  <c r="F2284" i="1"/>
  <c r="G2284" i="1"/>
  <c r="H2284" i="1"/>
  <c r="A2285" i="1"/>
  <c r="B2285" i="1"/>
  <c r="C2285" i="1"/>
  <c r="D2285" i="1"/>
  <c r="E2285" i="1"/>
  <c r="F2285" i="1"/>
  <c r="G2285" i="1"/>
  <c r="H2285" i="1"/>
  <c r="A2286" i="1"/>
  <c r="B2286" i="1"/>
  <c r="C2286" i="1"/>
  <c r="D2286" i="1"/>
  <c r="E2286" i="1"/>
  <c r="F2286" i="1"/>
  <c r="G2286" i="1"/>
  <c r="H2286" i="1"/>
  <c r="A2287" i="1"/>
  <c r="B2287" i="1"/>
  <c r="C2287" i="1"/>
  <c r="D2287" i="1"/>
  <c r="E2287" i="1"/>
  <c r="F2287" i="1"/>
  <c r="G2287" i="1"/>
  <c r="H2287" i="1"/>
  <c r="A2288" i="1"/>
  <c r="B2288" i="1"/>
  <c r="C2288" i="1"/>
  <c r="D2288" i="1"/>
  <c r="E2288" i="1"/>
  <c r="F2288" i="1"/>
  <c r="G2288" i="1"/>
  <c r="H2288" i="1"/>
  <c r="A2289" i="1"/>
  <c r="B2289" i="1"/>
  <c r="C2289" i="1"/>
  <c r="D2289" i="1"/>
  <c r="E2289" i="1"/>
  <c r="F2289" i="1"/>
  <c r="G2289" i="1"/>
  <c r="H2289" i="1"/>
  <c r="A2290" i="1"/>
  <c r="B2290" i="1"/>
  <c r="C2290" i="1"/>
  <c r="D2290" i="1"/>
  <c r="E2290" i="1"/>
  <c r="F2290" i="1"/>
  <c r="G2290" i="1"/>
  <c r="H2290" i="1"/>
  <c r="A2291" i="1"/>
  <c r="B2291" i="1"/>
  <c r="C2291" i="1"/>
  <c r="D2291" i="1"/>
  <c r="E2291" i="1"/>
  <c r="F2291" i="1"/>
  <c r="G2291" i="1"/>
  <c r="H2291" i="1"/>
  <c r="A2292" i="1"/>
  <c r="B2292" i="1"/>
  <c r="C2292" i="1"/>
  <c r="D2292" i="1"/>
  <c r="E2292" i="1"/>
  <c r="F2292" i="1"/>
  <c r="G2292" i="1"/>
  <c r="H2292" i="1"/>
  <c r="A2293" i="1"/>
  <c r="B2293" i="1"/>
  <c r="C2293" i="1"/>
  <c r="D2293" i="1"/>
  <c r="E2293" i="1"/>
  <c r="F2293" i="1"/>
  <c r="G2293" i="1"/>
  <c r="H2293" i="1"/>
  <c r="A2294" i="1"/>
  <c r="B2294" i="1"/>
  <c r="C2294" i="1"/>
  <c r="D2294" i="1"/>
  <c r="E2294" i="1"/>
  <c r="F2294" i="1"/>
  <c r="G2294" i="1"/>
  <c r="H2294" i="1"/>
  <c r="A2295" i="1"/>
  <c r="B2295" i="1"/>
  <c r="C2295" i="1"/>
  <c r="D2295" i="1"/>
  <c r="E2295" i="1"/>
  <c r="F2295" i="1"/>
  <c r="G2295" i="1"/>
  <c r="H2295" i="1"/>
  <c r="A2296" i="1"/>
  <c r="B2296" i="1"/>
  <c r="C2296" i="1"/>
  <c r="D2296" i="1"/>
  <c r="E2296" i="1"/>
  <c r="F2296" i="1"/>
  <c r="G2296" i="1"/>
  <c r="H2296" i="1"/>
  <c r="A2297" i="1"/>
  <c r="B2297" i="1"/>
  <c r="C2297" i="1"/>
  <c r="D2297" i="1"/>
  <c r="E2297" i="1"/>
  <c r="F2297" i="1"/>
  <c r="G2297" i="1"/>
  <c r="H2297" i="1"/>
  <c r="A2298" i="1"/>
  <c r="B2298" i="1"/>
  <c r="C2298" i="1"/>
  <c r="D2298" i="1"/>
  <c r="E2298" i="1"/>
  <c r="F2298" i="1"/>
  <c r="G2298" i="1"/>
  <c r="H2298" i="1"/>
  <c r="A2299" i="1"/>
  <c r="B2299" i="1"/>
  <c r="C2299" i="1"/>
  <c r="D2299" i="1"/>
  <c r="E2299" i="1"/>
  <c r="F2299" i="1"/>
  <c r="G2299" i="1"/>
  <c r="H2299" i="1"/>
  <c r="A2300" i="1"/>
  <c r="B2300" i="1"/>
  <c r="C2300" i="1"/>
  <c r="D2300" i="1"/>
  <c r="E2300" i="1"/>
  <c r="F2300" i="1"/>
  <c r="G2300" i="1"/>
  <c r="H2300" i="1"/>
  <c r="A2301" i="1"/>
  <c r="B2301" i="1"/>
  <c r="C2301" i="1"/>
  <c r="D2301" i="1"/>
  <c r="E2301" i="1"/>
  <c r="F2301" i="1"/>
  <c r="G2301" i="1"/>
  <c r="H2301" i="1"/>
  <c r="A2302" i="1"/>
  <c r="B2302" i="1"/>
  <c r="C2302" i="1"/>
  <c r="D2302" i="1"/>
  <c r="E2302" i="1"/>
  <c r="F2302" i="1"/>
  <c r="G2302" i="1"/>
  <c r="H2302" i="1"/>
  <c r="A2303" i="1"/>
  <c r="B2303" i="1"/>
  <c r="C2303" i="1"/>
  <c r="D2303" i="1"/>
  <c r="E2303" i="1"/>
  <c r="F2303" i="1"/>
  <c r="G2303" i="1"/>
  <c r="H2303" i="1"/>
  <c r="A2304" i="1"/>
  <c r="B2304" i="1"/>
  <c r="C2304" i="1"/>
  <c r="D2304" i="1"/>
  <c r="E2304" i="1"/>
  <c r="F2304" i="1"/>
  <c r="G2304" i="1"/>
  <c r="H2304" i="1"/>
  <c r="A2305" i="1"/>
  <c r="B2305" i="1"/>
  <c r="C2305" i="1"/>
  <c r="D2305" i="1"/>
  <c r="E2305" i="1"/>
  <c r="F2305" i="1"/>
  <c r="G2305" i="1"/>
  <c r="H2305" i="1"/>
  <c r="A2306" i="1"/>
  <c r="B2306" i="1"/>
  <c r="C2306" i="1"/>
  <c r="D2306" i="1"/>
  <c r="E2306" i="1"/>
  <c r="F2306" i="1"/>
  <c r="G2306" i="1"/>
  <c r="H2306" i="1"/>
  <c r="A2307" i="1"/>
  <c r="B2307" i="1"/>
  <c r="C2307" i="1"/>
  <c r="D2307" i="1"/>
  <c r="E2307" i="1"/>
  <c r="F2307" i="1"/>
  <c r="G2307" i="1"/>
  <c r="H2307" i="1"/>
  <c r="A2308" i="1"/>
  <c r="B2308" i="1"/>
  <c r="C2308" i="1"/>
  <c r="D2308" i="1"/>
  <c r="E2308" i="1"/>
  <c r="F2308" i="1"/>
  <c r="G2308" i="1"/>
  <c r="H2308" i="1"/>
  <c r="A2309" i="1"/>
  <c r="B2309" i="1"/>
  <c r="C2309" i="1"/>
  <c r="D2309" i="1"/>
  <c r="E2309" i="1"/>
  <c r="F2309" i="1"/>
  <c r="G2309" i="1"/>
  <c r="H2309" i="1"/>
  <c r="A2310" i="1"/>
  <c r="B2310" i="1"/>
  <c r="C2310" i="1"/>
  <c r="D2310" i="1"/>
  <c r="E2310" i="1"/>
  <c r="F2310" i="1"/>
  <c r="G2310" i="1"/>
  <c r="H2310" i="1"/>
  <c r="A2311" i="1"/>
  <c r="B2311" i="1"/>
  <c r="C2311" i="1"/>
  <c r="D2311" i="1"/>
  <c r="E2311" i="1"/>
  <c r="F2311" i="1"/>
  <c r="G2311" i="1"/>
  <c r="H2311" i="1"/>
  <c r="A2312" i="1"/>
  <c r="B2312" i="1"/>
  <c r="C2312" i="1"/>
  <c r="D2312" i="1"/>
  <c r="E2312" i="1"/>
  <c r="F2312" i="1"/>
  <c r="G2312" i="1"/>
  <c r="H2312" i="1"/>
  <c r="A2313" i="1"/>
  <c r="B2313" i="1"/>
  <c r="C2313" i="1"/>
  <c r="D2313" i="1"/>
  <c r="E2313" i="1"/>
  <c r="F2313" i="1"/>
  <c r="G2313" i="1"/>
  <c r="H2313" i="1"/>
  <c r="A2314" i="1"/>
  <c r="B2314" i="1"/>
  <c r="C2314" i="1"/>
  <c r="D2314" i="1"/>
  <c r="E2314" i="1"/>
  <c r="F2314" i="1"/>
  <c r="G2314" i="1"/>
  <c r="H2314" i="1"/>
  <c r="A2315" i="1"/>
  <c r="B2315" i="1"/>
  <c r="C2315" i="1"/>
  <c r="D2315" i="1"/>
  <c r="E2315" i="1"/>
  <c r="F2315" i="1"/>
  <c r="G2315" i="1"/>
  <c r="H2315" i="1"/>
  <c r="A2316" i="1"/>
  <c r="B2316" i="1"/>
  <c r="C2316" i="1"/>
  <c r="D2316" i="1"/>
  <c r="E2316" i="1"/>
  <c r="F2316" i="1"/>
  <c r="G2316" i="1"/>
  <c r="H2316" i="1"/>
  <c r="A2317" i="1"/>
  <c r="B2317" i="1"/>
  <c r="C2317" i="1"/>
  <c r="D2317" i="1"/>
  <c r="E2317" i="1"/>
  <c r="F2317" i="1"/>
  <c r="G2317" i="1"/>
  <c r="H2317" i="1"/>
  <c r="A2318" i="1"/>
  <c r="B2318" i="1"/>
  <c r="C2318" i="1"/>
  <c r="D2318" i="1"/>
  <c r="E2318" i="1"/>
  <c r="F2318" i="1"/>
  <c r="G2318" i="1"/>
  <c r="H2318" i="1"/>
  <c r="A2319" i="1"/>
  <c r="B2319" i="1"/>
  <c r="C2319" i="1"/>
  <c r="D2319" i="1"/>
  <c r="E2319" i="1"/>
  <c r="F2319" i="1"/>
  <c r="G2319" i="1"/>
  <c r="H2319" i="1"/>
  <c r="A2320" i="1"/>
  <c r="B2320" i="1"/>
  <c r="C2320" i="1"/>
  <c r="D2320" i="1"/>
  <c r="E2320" i="1"/>
  <c r="F2320" i="1"/>
  <c r="G2320" i="1"/>
  <c r="H2320" i="1"/>
  <c r="A2321" i="1"/>
  <c r="B2321" i="1"/>
  <c r="C2321" i="1"/>
  <c r="D2321" i="1"/>
  <c r="E2321" i="1"/>
  <c r="F2321" i="1"/>
  <c r="G2321" i="1"/>
  <c r="H2321" i="1"/>
  <c r="A2322" i="1"/>
  <c r="B2322" i="1"/>
  <c r="C2322" i="1"/>
  <c r="D2322" i="1"/>
  <c r="E2322" i="1"/>
  <c r="F2322" i="1"/>
  <c r="G2322" i="1"/>
  <c r="H2322" i="1"/>
  <c r="A2323" i="1"/>
  <c r="B2323" i="1"/>
  <c r="C2323" i="1"/>
  <c r="D2323" i="1"/>
  <c r="E2323" i="1"/>
  <c r="F2323" i="1"/>
  <c r="G2323" i="1"/>
  <c r="H2323" i="1"/>
  <c r="A2324" i="1"/>
  <c r="B2324" i="1"/>
  <c r="C2324" i="1"/>
  <c r="D2324" i="1"/>
  <c r="E2324" i="1"/>
  <c r="F2324" i="1"/>
  <c r="G2324" i="1"/>
  <c r="H2324" i="1"/>
  <c r="A2325" i="1"/>
  <c r="B2325" i="1"/>
  <c r="C2325" i="1"/>
  <c r="D2325" i="1"/>
  <c r="E2325" i="1"/>
  <c r="F2325" i="1"/>
  <c r="G2325" i="1"/>
  <c r="H2325" i="1"/>
  <c r="A2326" i="1"/>
  <c r="B2326" i="1"/>
  <c r="C2326" i="1"/>
  <c r="D2326" i="1"/>
  <c r="E2326" i="1"/>
  <c r="F2326" i="1"/>
  <c r="G2326" i="1"/>
  <c r="H2326" i="1"/>
  <c r="A2327" i="1"/>
  <c r="B2327" i="1"/>
  <c r="C2327" i="1"/>
  <c r="D2327" i="1"/>
  <c r="E2327" i="1"/>
  <c r="F2327" i="1"/>
  <c r="G2327" i="1"/>
  <c r="H2327" i="1"/>
  <c r="A2328" i="1"/>
  <c r="B2328" i="1"/>
  <c r="C2328" i="1"/>
  <c r="D2328" i="1"/>
  <c r="E2328" i="1"/>
  <c r="F2328" i="1"/>
  <c r="G2328" i="1"/>
  <c r="H2328" i="1"/>
  <c r="A2329" i="1"/>
  <c r="B2329" i="1"/>
  <c r="C2329" i="1"/>
  <c r="D2329" i="1"/>
  <c r="E2329" i="1"/>
  <c r="F2329" i="1"/>
  <c r="G2329" i="1"/>
  <c r="H2329" i="1"/>
  <c r="A2330" i="1"/>
  <c r="B2330" i="1"/>
  <c r="C2330" i="1"/>
  <c r="D2330" i="1"/>
  <c r="E2330" i="1"/>
  <c r="F2330" i="1"/>
  <c r="G2330" i="1"/>
  <c r="H2330" i="1"/>
  <c r="A2331" i="1"/>
  <c r="B2331" i="1"/>
  <c r="C2331" i="1"/>
  <c r="D2331" i="1"/>
  <c r="E2331" i="1"/>
  <c r="F2331" i="1"/>
  <c r="G2331" i="1"/>
  <c r="H2331" i="1"/>
  <c r="A2332" i="1"/>
  <c r="B2332" i="1"/>
  <c r="C2332" i="1"/>
  <c r="D2332" i="1"/>
  <c r="E2332" i="1"/>
  <c r="F2332" i="1"/>
  <c r="G2332" i="1"/>
  <c r="H2332" i="1"/>
  <c r="A2333" i="1"/>
  <c r="B2333" i="1"/>
  <c r="C2333" i="1"/>
  <c r="D2333" i="1"/>
  <c r="E2333" i="1"/>
  <c r="F2333" i="1"/>
  <c r="G2333" i="1"/>
  <c r="H2333" i="1"/>
  <c r="A2334" i="1"/>
  <c r="B2334" i="1"/>
  <c r="C2334" i="1"/>
  <c r="D2334" i="1"/>
  <c r="E2334" i="1"/>
  <c r="F2334" i="1"/>
  <c r="G2334" i="1"/>
  <c r="H2334" i="1"/>
  <c r="A2335" i="1"/>
  <c r="B2335" i="1"/>
  <c r="C2335" i="1"/>
  <c r="D2335" i="1"/>
  <c r="E2335" i="1"/>
  <c r="F2335" i="1"/>
  <c r="G2335" i="1"/>
  <c r="H2335" i="1"/>
  <c r="A2336" i="1"/>
  <c r="B2336" i="1"/>
  <c r="C2336" i="1"/>
  <c r="D2336" i="1"/>
  <c r="E2336" i="1"/>
  <c r="F2336" i="1"/>
  <c r="G2336" i="1"/>
  <c r="H2336" i="1"/>
  <c r="A2337" i="1"/>
  <c r="B2337" i="1"/>
  <c r="C2337" i="1"/>
  <c r="D2337" i="1"/>
  <c r="E2337" i="1"/>
  <c r="F2337" i="1"/>
  <c r="G2337" i="1"/>
  <c r="H2337" i="1"/>
  <c r="A2338" i="1"/>
  <c r="B2338" i="1"/>
  <c r="C2338" i="1"/>
  <c r="D2338" i="1"/>
  <c r="E2338" i="1"/>
  <c r="F2338" i="1"/>
  <c r="G2338" i="1"/>
  <c r="H2338" i="1"/>
  <c r="A2339" i="1"/>
  <c r="B2339" i="1"/>
  <c r="C2339" i="1"/>
  <c r="D2339" i="1"/>
  <c r="E2339" i="1"/>
  <c r="F2339" i="1"/>
  <c r="G2339" i="1"/>
  <c r="H2339" i="1"/>
  <c r="A2340" i="1"/>
  <c r="B2340" i="1"/>
  <c r="C2340" i="1"/>
  <c r="D2340" i="1"/>
  <c r="E2340" i="1"/>
  <c r="F2340" i="1"/>
  <c r="G2340" i="1"/>
  <c r="H2340" i="1"/>
  <c r="A2341" i="1"/>
  <c r="B2341" i="1"/>
  <c r="C2341" i="1"/>
  <c r="D2341" i="1"/>
  <c r="E2341" i="1"/>
  <c r="F2341" i="1"/>
  <c r="G2341" i="1"/>
  <c r="H2341" i="1"/>
  <c r="A2342" i="1"/>
  <c r="B2342" i="1"/>
  <c r="C2342" i="1"/>
  <c r="D2342" i="1"/>
  <c r="E2342" i="1"/>
  <c r="F2342" i="1"/>
  <c r="G2342" i="1"/>
  <c r="H2342" i="1"/>
  <c r="A2343" i="1"/>
  <c r="B2343" i="1"/>
  <c r="C2343" i="1"/>
  <c r="D2343" i="1"/>
  <c r="E2343" i="1"/>
  <c r="F2343" i="1"/>
  <c r="G2343" i="1"/>
  <c r="H2343" i="1"/>
  <c r="A2344" i="1"/>
  <c r="B2344" i="1"/>
  <c r="C2344" i="1"/>
  <c r="D2344" i="1"/>
  <c r="E2344" i="1"/>
  <c r="F2344" i="1"/>
  <c r="G2344" i="1"/>
  <c r="H2344" i="1"/>
  <c r="A2345" i="1"/>
  <c r="B2345" i="1"/>
  <c r="C2345" i="1"/>
  <c r="D2345" i="1"/>
  <c r="E2345" i="1"/>
  <c r="F2345" i="1"/>
  <c r="G2345" i="1"/>
  <c r="H2345" i="1"/>
  <c r="A2346" i="1"/>
  <c r="B2346" i="1"/>
  <c r="C2346" i="1"/>
  <c r="D2346" i="1"/>
  <c r="E2346" i="1"/>
  <c r="F2346" i="1"/>
  <c r="G2346" i="1"/>
  <c r="H2346" i="1"/>
  <c r="A2347" i="1"/>
  <c r="B2347" i="1"/>
  <c r="C2347" i="1"/>
  <c r="D2347" i="1"/>
  <c r="E2347" i="1"/>
  <c r="F2347" i="1"/>
  <c r="G2347" i="1"/>
  <c r="H2347" i="1"/>
  <c r="A2348" i="1"/>
  <c r="B2348" i="1"/>
  <c r="C2348" i="1"/>
  <c r="D2348" i="1"/>
  <c r="E2348" i="1"/>
  <c r="F2348" i="1"/>
  <c r="G2348" i="1"/>
  <c r="H2348" i="1"/>
  <c r="A2349" i="1"/>
  <c r="B2349" i="1"/>
  <c r="C2349" i="1"/>
  <c r="D2349" i="1"/>
  <c r="E2349" i="1"/>
  <c r="F2349" i="1"/>
  <c r="G2349" i="1"/>
  <c r="H2349" i="1"/>
  <c r="A2350" i="1"/>
  <c r="B2350" i="1"/>
  <c r="C2350" i="1"/>
  <c r="D2350" i="1"/>
  <c r="E2350" i="1"/>
  <c r="F2350" i="1"/>
  <c r="G2350" i="1"/>
  <c r="H2350" i="1"/>
  <c r="A2351" i="1"/>
  <c r="B2351" i="1"/>
  <c r="C2351" i="1"/>
  <c r="D2351" i="1"/>
  <c r="E2351" i="1"/>
  <c r="F2351" i="1"/>
  <c r="G2351" i="1"/>
  <c r="H2351" i="1"/>
  <c r="A2352" i="1"/>
  <c r="B2352" i="1"/>
  <c r="C2352" i="1"/>
  <c r="D2352" i="1"/>
  <c r="E2352" i="1"/>
  <c r="F2352" i="1"/>
  <c r="G2352" i="1"/>
  <c r="H2352" i="1"/>
  <c r="A2353" i="1"/>
  <c r="B2353" i="1"/>
  <c r="C2353" i="1"/>
  <c r="D2353" i="1"/>
  <c r="E2353" i="1"/>
  <c r="F2353" i="1"/>
  <c r="G2353" i="1"/>
  <c r="H2353" i="1"/>
  <c r="A2354" i="1"/>
  <c r="B2354" i="1"/>
  <c r="C2354" i="1"/>
  <c r="D2354" i="1"/>
  <c r="E2354" i="1"/>
  <c r="F2354" i="1"/>
  <c r="G2354" i="1"/>
  <c r="H2354" i="1"/>
  <c r="A2355" i="1"/>
  <c r="B2355" i="1"/>
  <c r="C2355" i="1"/>
  <c r="D2355" i="1"/>
  <c r="E2355" i="1"/>
  <c r="F2355" i="1"/>
  <c r="G2355" i="1"/>
  <c r="H2355" i="1"/>
  <c r="A2356" i="1"/>
  <c r="B2356" i="1"/>
  <c r="C2356" i="1"/>
  <c r="D2356" i="1"/>
  <c r="E2356" i="1"/>
  <c r="F2356" i="1"/>
  <c r="G2356" i="1"/>
  <c r="H2356" i="1"/>
  <c r="A2357" i="1"/>
  <c r="B2357" i="1"/>
  <c r="C2357" i="1"/>
  <c r="D2357" i="1"/>
  <c r="E2357" i="1"/>
  <c r="F2357" i="1"/>
  <c r="G2357" i="1"/>
  <c r="H2357" i="1"/>
  <c r="A2358" i="1"/>
  <c r="B2358" i="1"/>
  <c r="C2358" i="1"/>
  <c r="D2358" i="1"/>
  <c r="E2358" i="1"/>
  <c r="F2358" i="1"/>
  <c r="G2358" i="1"/>
  <c r="H2358" i="1"/>
  <c r="A2359" i="1"/>
  <c r="B2359" i="1"/>
  <c r="C2359" i="1"/>
  <c r="D2359" i="1"/>
  <c r="E2359" i="1"/>
  <c r="F2359" i="1"/>
  <c r="G2359" i="1"/>
  <c r="H2359" i="1"/>
  <c r="A2360" i="1"/>
  <c r="B2360" i="1"/>
  <c r="C2360" i="1"/>
  <c r="D2360" i="1"/>
  <c r="E2360" i="1"/>
  <c r="F2360" i="1"/>
  <c r="G2360" i="1"/>
  <c r="H2360" i="1"/>
  <c r="A2361" i="1"/>
  <c r="B2361" i="1"/>
  <c r="C2361" i="1"/>
  <c r="D2361" i="1"/>
  <c r="E2361" i="1"/>
  <c r="F2361" i="1"/>
  <c r="G2361" i="1"/>
  <c r="H2361" i="1"/>
  <c r="A2362" i="1"/>
  <c r="B2362" i="1"/>
  <c r="C2362" i="1"/>
  <c r="D2362" i="1"/>
  <c r="E2362" i="1"/>
  <c r="F2362" i="1"/>
  <c r="G2362" i="1"/>
  <c r="H2362" i="1"/>
  <c r="A2363" i="1"/>
  <c r="B2363" i="1"/>
  <c r="C2363" i="1"/>
  <c r="D2363" i="1"/>
  <c r="E2363" i="1"/>
  <c r="F2363" i="1"/>
  <c r="G2363" i="1"/>
  <c r="H2363" i="1"/>
  <c r="A2364" i="1"/>
  <c r="B2364" i="1"/>
  <c r="C2364" i="1"/>
  <c r="D2364" i="1"/>
  <c r="E2364" i="1"/>
  <c r="F2364" i="1"/>
  <c r="G2364" i="1"/>
  <c r="H2364" i="1"/>
  <c r="A2365" i="1"/>
  <c r="B2365" i="1"/>
  <c r="C2365" i="1"/>
  <c r="D2365" i="1"/>
  <c r="E2365" i="1"/>
  <c r="F2365" i="1"/>
  <c r="G2365" i="1"/>
  <c r="H2365" i="1"/>
  <c r="A2366" i="1"/>
  <c r="B2366" i="1"/>
  <c r="C2366" i="1"/>
  <c r="D2366" i="1"/>
  <c r="E2366" i="1"/>
  <c r="F2366" i="1"/>
  <c r="G2366" i="1"/>
  <c r="H2366" i="1"/>
  <c r="A2367" i="1"/>
  <c r="B2367" i="1"/>
  <c r="C2367" i="1"/>
  <c r="D2367" i="1"/>
  <c r="E2367" i="1"/>
  <c r="F2367" i="1"/>
  <c r="G2367" i="1"/>
  <c r="H2367" i="1"/>
  <c r="A2368" i="1"/>
  <c r="B2368" i="1"/>
  <c r="C2368" i="1"/>
  <c r="D2368" i="1"/>
  <c r="E2368" i="1"/>
  <c r="F2368" i="1"/>
  <c r="G2368" i="1"/>
  <c r="H2368" i="1"/>
  <c r="A2369" i="1"/>
  <c r="B2369" i="1"/>
  <c r="C2369" i="1"/>
  <c r="D2369" i="1"/>
  <c r="E2369" i="1"/>
  <c r="F2369" i="1"/>
  <c r="G2369" i="1"/>
  <c r="H2369" i="1"/>
  <c r="A2370" i="1"/>
  <c r="B2370" i="1"/>
  <c r="C2370" i="1"/>
  <c r="D2370" i="1"/>
  <c r="E2370" i="1"/>
  <c r="F2370" i="1"/>
  <c r="G2370" i="1"/>
  <c r="H2370" i="1"/>
  <c r="A2371" i="1"/>
  <c r="B2371" i="1"/>
  <c r="C2371" i="1"/>
  <c r="D2371" i="1"/>
  <c r="E2371" i="1"/>
  <c r="F2371" i="1"/>
  <c r="G2371" i="1"/>
  <c r="H2371" i="1"/>
  <c r="A2372" i="1"/>
  <c r="B2372" i="1"/>
  <c r="C2372" i="1"/>
  <c r="D2372" i="1"/>
  <c r="E2372" i="1"/>
  <c r="F2372" i="1"/>
  <c r="G2372" i="1"/>
  <c r="H2372" i="1"/>
  <c r="A2373" i="1"/>
  <c r="B2373" i="1"/>
  <c r="C2373" i="1"/>
  <c r="D2373" i="1"/>
  <c r="E2373" i="1"/>
  <c r="F2373" i="1"/>
  <c r="G2373" i="1"/>
  <c r="H2373" i="1"/>
  <c r="A2374" i="1"/>
  <c r="B2374" i="1"/>
  <c r="C2374" i="1"/>
  <c r="D2374" i="1"/>
  <c r="E2374" i="1"/>
  <c r="F2374" i="1"/>
  <c r="G2374" i="1"/>
  <c r="H2374" i="1"/>
  <c r="A2375" i="1"/>
  <c r="B2375" i="1"/>
  <c r="C2375" i="1"/>
  <c r="D2375" i="1"/>
  <c r="E2375" i="1"/>
  <c r="F2375" i="1"/>
  <c r="G2375" i="1"/>
  <c r="H2375" i="1"/>
  <c r="A2376" i="1"/>
  <c r="B2376" i="1"/>
  <c r="C2376" i="1"/>
  <c r="D2376" i="1"/>
  <c r="E2376" i="1"/>
  <c r="F2376" i="1"/>
  <c r="G2376" i="1"/>
  <c r="H2376" i="1"/>
  <c r="A2377" i="1"/>
  <c r="B2377" i="1"/>
  <c r="C2377" i="1"/>
  <c r="D2377" i="1"/>
  <c r="E2377" i="1"/>
  <c r="F2377" i="1"/>
  <c r="G2377" i="1"/>
  <c r="H2377" i="1"/>
  <c r="A2378" i="1"/>
  <c r="B2378" i="1"/>
  <c r="C2378" i="1"/>
  <c r="D2378" i="1"/>
  <c r="E2378" i="1"/>
  <c r="F2378" i="1"/>
  <c r="G2378" i="1"/>
  <c r="H2378" i="1"/>
  <c r="A2379" i="1"/>
  <c r="B2379" i="1"/>
  <c r="C2379" i="1"/>
  <c r="D2379" i="1"/>
  <c r="E2379" i="1"/>
  <c r="F2379" i="1"/>
  <c r="G2379" i="1"/>
  <c r="H2379" i="1"/>
  <c r="A2380" i="1"/>
  <c r="B2380" i="1"/>
  <c r="C2380" i="1"/>
  <c r="D2380" i="1"/>
  <c r="E2380" i="1"/>
  <c r="F2380" i="1"/>
  <c r="G2380" i="1"/>
  <c r="H2380" i="1"/>
  <c r="A2381" i="1"/>
  <c r="B2381" i="1"/>
  <c r="C2381" i="1"/>
  <c r="D2381" i="1"/>
  <c r="E2381" i="1"/>
  <c r="F2381" i="1"/>
  <c r="G2381" i="1"/>
  <c r="H2381" i="1"/>
  <c r="A2382" i="1"/>
  <c r="B2382" i="1"/>
  <c r="C2382" i="1"/>
  <c r="D2382" i="1"/>
  <c r="E2382" i="1"/>
  <c r="F2382" i="1"/>
  <c r="G2382" i="1"/>
  <c r="H2382" i="1"/>
  <c r="A2383" i="1"/>
  <c r="B2383" i="1"/>
  <c r="C2383" i="1"/>
  <c r="D2383" i="1"/>
  <c r="E2383" i="1"/>
  <c r="F2383" i="1"/>
  <c r="G2383" i="1"/>
  <c r="H2383" i="1"/>
  <c r="A2384" i="1"/>
  <c r="B2384" i="1"/>
  <c r="C2384" i="1"/>
  <c r="D2384" i="1"/>
  <c r="E2384" i="1"/>
  <c r="F2384" i="1"/>
  <c r="G2384" i="1"/>
  <c r="H2384" i="1"/>
  <c r="A2385" i="1"/>
  <c r="B2385" i="1"/>
  <c r="C2385" i="1"/>
  <c r="D2385" i="1"/>
  <c r="E2385" i="1"/>
  <c r="F2385" i="1"/>
  <c r="G2385" i="1"/>
  <c r="H2385" i="1"/>
  <c r="A2386" i="1"/>
  <c r="B2386" i="1"/>
  <c r="C2386" i="1"/>
  <c r="D2386" i="1"/>
  <c r="E2386" i="1"/>
  <c r="F2386" i="1"/>
  <c r="G2386" i="1"/>
  <c r="H2386" i="1"/>
  <c r="A2387" i="1"/>
  <c r="B2387" i="1"/>
  <c r="C2387" i="1"/>
  <c r="D2387" i="1"/>
  <c r="E2387" i="1"/>
  <c r="F2387" i="1"/>
  <c r="G2387" i="1"/>
  <c r="H2387" i="1"/>
  <c r="A2388" i="1"/>
  <c r="B2388" i="1"/>
  <c r="C2388" i="1"/>
  <c r="D2388" i="1"/>
  <c r="E2388" i="1"/>
  <c r="F2388" i="1"/>
  <c r="G2388" i="1"/>
  <c r="H2388" i="1"/>
  <c r="A2389" i="1"/>
  <c r="B2389" i="1"/>
  <c r="C2389" i="1"/>
  <c r="D2389" i="1"/>
  <c r="E2389" i="1"/>
  <c r="F2389" i="1"/>
  <c r="G2389" i="1"/>
  <c r="H2389" i="1"/>
  <c r="A2390" i="1"/>
  <c r="B2390" i="1"/>
  <c r="C2390" i="1"/>
  <c r="D2390" i="1"/>
  <c r="E2390" i="1"/>
  <c r="F2390" i="1"/>
  <c r="G2390" i="1"/>
  <c r="H2390" i="1"/>
  <c r="A2391" i="1"/>
  <c r="B2391" i="1"/>
  <c r="C2391" i="1"/>
  <c r="D2391" i="1"/>
  <c r="E2391" i="1"/>
  <c r="F2391" i="1"/>
  <c r="G2391" i="1"/>
  <c r="H2391" i="1"/>
  <c r="A2392" i="1"/>
  <c r="B2392" i="1"/>
  <c r="C2392" i="1"/>
  <c r="D2392" i="1"/>
  <c r="E2392" i="1"/>
  <c r="F2392" i="1"/>
  <c r="G2392" i="1"/>
  <c r="H2392" i="1"/>
  <c r="A2393" i="1"/>
  <c r="B2393" i="1"/>
  <c r="C2393" i="1"/>
  <c r="D2393" i="1"/>
  <c r="E2393" i="1"/>
  <c r="F2393" i="1"/>
  <c r="G2393" i="1"/>
  <c r="H2393" i="1"/>
  <c r="A2394" i="1"/>
  <c r="B2394" i="1"/>
  <c r="C2394" i="1"/>
  <c r="D2394" i="1"/>
  <c r="E2394" i="1"/>
  <c r="F2394" i="1"/>
  <c r="G2394" i="1"/>
  <c r="H2394" i="1"/>
  <c r="A2395" i="1"/>
  <c r="B2395" i="1"/>
  <c r="C2395" i="1"/>
  <c r="D2395" i="1"/>
  <c r="E2395" i="1"/>
  <c r="F2395" i="1"/>
  <c r="G2395" i="1"/>
  <c r="H2395" i="1"/>
  <c r="A2396" i="1"/>
  <c r="B2396" i="1"/>
  <c r="C2396" i="1"/>
  <c r="D2396" i="1"/>
  <c r="E2396" i="1"/>
  <c r="F2396" i="1"/>
  <c r="G2396" i="1"/>
  <c r="H2396" i="1"/>
  <c r="A2397" i="1"/>
  <c r="B2397" i="1"/>
  <c r="C2397" i="1"/>
  <c r="D2397" i="1"/>
  <c r="E2397" i="1"/>
  <c r="F2397" i="1"/>
  <c r="G2397" i="1"/>
  <c r="H2397" i="1"/>
  <c r="A2398" i="1"/>
  <c r="B2398" i="1"/>
  <c r="C2398" i="1"/>
  <c r="D2398" i="1"/>
  <c r="E2398" i="1"/>
  <c r="F2398" i="1"/>
  <c r="G2398" i="1"/>
  <c r="H2398" i="1"/>
  <c r="A2399" i="1"/>
  <c r="B2399" i="1"/>
  <c r="C2399" i="1"/>
  <c r="D2399" i="1"/>
  <c r="E2399" i="1"/>
  <c r="F2399" i="1"/>
  <c r="G2399" i="1"/>
  <c r="H2399" i="1"/>
  <c r="A2400" i="1"/>
  <c r="B2400" i="1"/>
  <c r="C2400" i="1"/>
  <c r="D2400" i="1"/>
  <c r="E2400" i="1"/>
  <c r="F2400" i="1"/>
  <c r="G2400" i="1"/>
  <c r="H2400" i="1"/>
  <c r="A2401" i="1"/>
  <c r="B2401" i="1"/>
  <c r="C2401" i="1"/>
  <c r="D2401" i="1"/>
  <c r="E2401" i="1"/>
  <c r="F2401" i="1"/>
  <c r="G2401" i="1"/>
  <c r="H2401" i="1"/>
  <c r="A2402" i="1"/>
  <c r="B2402" i="1"/>
  <c r="C2402" i="1"/>
  <c r="D2402" i="1"/>
  <c r="E2402" i="1"/>
  <c r="F2402" i="1"/>
  <c r="G2402" i="1"/>
  <c r="H2402" i="1"/>
  <c r="A2403" i="1"/>
  <c r="B2403" i="1"/>
  <c r="C2403" i="1"/>
  <c r="D2403" i="1"/>
  <c r="E2403" i="1"/>
  <c r="F2403" i="1"/>
  <c r="G2403" i="1"/>
  <c r="H2403" i="1"/>
  <c r="A2404" i="1"/>
  <c r="B2404" i="1"/>
  <c r="C2404" i="1"/>
  <c r="D2404" i="1"/>
  <c r="E2404" i="1"/>
  <c r="F2404" i="1"/>
  <c r="G2404" i="1"/>
  <c r="H2404" i="1"/>
  <c r="A2405" i="1"/>
  <c r="B2405" i="1"/>
  <c r="C2405" i="1"/>
  <c r="D2405" i="1"/>
  <c r="E2405" i="1"/>
  <c r="F2405" i="1"/>
  <c r="G2405" i="1"/>
  <c r="H2405" i="1"/>
  <c r="A2406" i="1"/>
  <c r="B2406" i="1"/>
  <c r="C2406" i="1"/>
  <c r="D2406" i="1"/>
  <c r="E2406" i="1"/>
  <c r="F2406" i="1"/>
  <c r="G2406" i="1"/>
  <c r="H2406" i="1"/>
  <c r="A2407" i="1"/>
  <c r="B2407" i="1"/>
  <c r="C2407" i="1"/>
  <c r="D2407" i="1"/>
  <c r="E2407" i="1"/>
  <c r="F2407" i="1"/>
  <c r="G2407" i="1"/>
  <c r="H2407" i="1"/>
  <c r="A2408" i="1"/>
  <c r="B2408" i="1"/>
  <c r="C2408" i="1"/>
  <c r="D2408" i="1"/>
  <c r="E2408" i="1"/>
  <c r="F2408" i="1"/>
  <c r="G2408" i="1"/>
  <c r="H2408" i="1"/>
  <c r="A2409" i="1"/>
  <c r="B2409" i="1"/>
  <c r="C2409" i="1"/>
  <c r="D2409" i="1"/>
  <c r="E2409" i="1"/>
  <c r="F2409" i="1"/>
  <c r="G2409" i="1"/>
  <c r="H2409" i="1"/>
  <c r="A2410" i="1"/>
  <c r="B2410" i="1"/>
  <c r="C2410" i="1"/>
  <c r="D2410" i="1"/>
  <c r="E2410" i="1"/>
  <c r="F2410" i="1"/>
  <c r="G2410" i="1"/>
  <c r="H2410" i="1"/>
  <c r="A2411" i="1"/>
  <c r="B2411" i="1"/>
  <c r="C2411" i="1"/>
  <c r="D2411" i="1"/>
  <c r="E2411" i="1"/>
  <c r="F2411" i="1"/>
  <c r="G2411" i="1"/>
  <c r="H2411" i="1"/>
  <c r="A2412" i="1"/>
  <c r="B2412" i="1"/>
  <c r="C2412" i="1"/>
  <c r="D2412" i="1"/>
  <c r="E2412" i="1"/>
  <c r="F2412" i="1"/>
  <c r="G2412" i="1"/>
  <c r="H2412" i="1"/>
  <c r="A2413" i="1"/>
  <c r="B2413" i="1"/>
  <c r="C2413" i="1"/>
  <c r="D2413" i="1"/>
  <c r="E2413" i="1"/>
  <c r="F2413" i="1"/>
  <c r="G2413" i="1"/>
  <c r="H2413" i="1"/>
  <c r="A2414" i="1"/>
  <c r="B2414" i="1"/>
  <c r="C2414" i="1"/>
  <c r="D2414" i="1"/>
  <c r="E2414" i="1"/>
  <c r="F2414" i="1"/>
  <c r="G2414" i="1"/>
  <c r="H2414" i="1"/>
  <c r="A2415" i="1"/>
  <c r="B2415" i="1"/>
  <c r="C2415" i="1"/>
  <c r="D2415" i="1"/>
  <c r="E2415" i="1"/>
  <c r="F2415" i="1"/>
  <c r="G2415" i="1"/>
  <c r="H2415" i="1"/>
  <c r="A2416" i="1"/>
  <c r="B2416" i="1"/>
  <c r="C2416" i="1"/>
  <c r="D2416" i="1"/>
  <c r="E2416" i="1"/>
  <c r="F2416" i="1"/>
  <c r="G2416" i="1"/>
  <c r="H2416" i="1"/>
  <c r="A2417" i="1"/>
  <c r="B2417" i="1"/>
  <c r="C2417" i="1"/>
  <c r="D2417" i="1"/>
  <c r="E2417" i="1"/>
  <c r="F2417" i="1"/>
  <c r="G2417" i="1"/>
  <c r="H2417" i="1"/>
  <c r="A2418" i="1"/>
  <c r="B2418" i="1"/>
  <c r="C2418" i="1"/>
  <c r="D2418" i="1"/>
  <c r="E2418" i="1"/>
  <c r="F2418" i="1"/>
  <c r="G2418" i="1"/>
  <c r="H2418" i="1"/>
  <c r="A2419" i="1"/>
  <c r="B2419" i="1"/>
  <c r="C2419" i="1"/>
  <c r="D2419" i="1"/>
  <c r="E2419" i="1"/>
  <c r="F2419" i="1"/>
  <c r="G2419" i="1"/>
  <c r="H2419" i="1"/>
  <c r="A2420" i="1"/>
  <c r="B2420" i="1"/>
  <c r="C2420" i="1"/>
  <c r="D2420" i="1"/>
  <c r="E2420" i="1"/>
  <c r="F2420" i="1"/>
  <c r="G2420" i="1"/>
  <c r="H2420" i="1"/>
  <c r="A2421" i="1"/>
  <c r="B2421" i="1"/>
  <c r="C2421" i="1"/>
  <c r="D2421" i="1"/>
  <c r="E2421" i="1"/>
  <c r="F2421" i="1"/>
  <c r="G2421" i="1"/>
  <c r="H2421" i="1"/>
  <c r="A2422" i="1"/>
  <c r="B2422" i="1"/>
  <c r="C2422" i="1"/>
  <c r="D2422" i="1"/>
  <c r="E2422" i="1"/>
  <c r="F2422" i="1"/>
  <c r="G2422" i="1"/>
  <c r="H2422" i="1"/>
  <c r="A2423" i="1"/>
  <c r="B2423" i="1"/>
  <c r="C2423" i="1"/>
  <c r="D2423" i="1"/>
  <c r="E2423" i="1"/>
  <c r="F2423" i="1"/>
  <c r="G2423" i="1"/>
  <c r="H2423" i="1"/>
  <c r="A2424" i="1"/>
  <c r="B2424" i="1"/>
  <c r="C2424" i="1"/>
  <c r="D2424" i="1"/>
  <c r="E2424" i="1"/>
  <c r="F2424" i="1"/>
  <c r="G2424" i="1"/>
  <c r="H2424" i="1"/>
  <c r="A2425" i="1"/>
  <c r="B2425" i="1"/>
  <c r="C2425" i="1"/>
  <c r="D2425" i="1"/>
  <c r="E2425" i="1"/>
  <c r="F2425" i="1"/>
  <c r="G2425" i="1"/>
  <c r="H2425" i="1"/>
  <c r="A2426" i="1"/>
  <c r="B2426" i="1"/>
  <c r="C2426" i="1"/>
  <c r="D2426" i="1"/>
  <c r="E2426" i="1"/>
  <c r="F2426" i="1"/>
  <c r="G2426" i="1"/>
  <c r="H2426" i="1"/>
  <c r="A2427" i="1"/>
  <c r="B2427" i="1"/>
  <c r="C2427" i="1"/>
  <c r="D2427" i="1"/>
  <c r="E2427" i="1"/>
  <c r="F2427" i="1"/>
  <c r="G2427" i="1"/>
  <c r="H2427" i="1"/>
  <c r="A2428" i="1"/>
  <c r="B2428" i="1"/>
  <c r="C2428" i="1"/>
  <c r="D2428" i="1"/>
  <c r="E2428" i="1"/>
  <c r="F2428" i="1"/>
  <c r="G2428" i="1"/>
  <c r="H2428" i="1"/>
  <c r="A2429" i="1"/>
  <c r="B2429" i="1"/>
  <c r="C2429" i="1"/>
  <c r="D2429" i="1"/>
  <c r="E2429" i="1"/>
  <c r="F2429" i="1"/>
  <c r="G2429" i="1"/>
  <c r="H2429" i="1"/>
  <c r="A2430" i="1"/>
  <c r="B2430" i="1"/>
  <c r="C2430" i="1"/>
  <c r="D2430" i="1"/>
  <c r="E2430" i="1"/>
  <c r="F2430" i="1"/>
  <c r="G2430" i="1"/>
  <c r="H2430" i="1"/>
  <c r="A2431" i="1"/>
  <c r="B2431" i="1"/>
  <c r="C2431" i="1"/>
  <c r="D2431" i="1"/>
  <c r="E2431" i="1"/>
  <c r="F2431" i="1"/>
  <c r="G2431" i="1"/>
  <c r="H2431" i="1"/>
  <c r="A2432" i="1"/>
  <c r="B2432" i="1"/>
  <c r="C2432" i="1"/>
  <c r="D2432" i="1"/>
  <c r="E2432" i="1"/>
  <c r="F2432" i="1"/>
  <c r="G2432" i="1"/>
  <c r="H2432" i="1"/>
  <c r="A2433" i="1"/>
  <c r="B2433" i="1"/>
  <c r="C2433" i="1"/>
  <c r="D2433" i="1"/>
  <c r="E2433" i="1"/>
  <c r="F2433" i="1"/>
  <c r="G2433" i="1"/>
  <c r="H2433" i="1"/>
  <c r="A2434" i="1"/>
  <c r="B2434" i="1"/>
  <c r="C2434" i="1"/>
  <c r="D2434" i="1"/>
  <c r="E2434" i="1"/>
  <c r="F2434" i="1"/>
  <c r="G2434" i="1"/>
  <c r="H2434" i="1"/>
  <c r="A2435" i="1"/>
  <c r="B2435" i="1"/>
  <c r="C2435" i="1"/>
  <c r="D2435" i="1"/>
  <c r="E2435" i="1"/>
  <c r="F2435" i="1"/>
  <c r="G2435" i="1"/>
  <c r="H2435" i="1"/>
  <c r="A2436" i="1"/>
  <c r="B2436" i="1"/>
  <c r="C2436" i="1"/>
  <c r="D2436" i="1"/>
  <c r="E2436" i="1"/>
  <c r="F2436" i="1"/>
  <c r="G2436" i="1"/>
  <c r="H2436" i="1"/>
  <c r="A2437" i="1"/>
  <c r="B2437" i="1"/>
  <c r="C2437" i="1"/>
  <c r="D2437" i="1"/>
  <c r="E2437" i="1"/>
  <c r="F2437" i="1"/>
  <c r="G2437" i="1"/>
  <c r="H2437" i="1"/>
  <c r="A2438" i="1"/>
  <c r="B2438" i="1"/>
  <c r="C2438" i="1"/>
  <c r="D2438" i="1"/>
  <c r="E2438" i="1"/>
  <c r="F2438" i="1"/>
  <c r="G2438" i="1"/>
  <c r="H2438" i="1"/>
  <c r="A2439" i="1"/>
  <c r="B2439" i="1"/>
  <c r="C2439" i="1"/>
  <c r="D2439" i="1"/>
  <c r="E2439" i="1"/>
  <c r="F2439" i="1"/>
  <c r="G2439" i="1"/>
  <c r="H2439" i="1"/>
  <c r="A2440" i="1"/>
  <c r="B2440" i="1"/>
  <c r="C2440" i="1"/>
  <c r="D2440" i="1"/>
  <c r="E2440" i="1"/>
  <c r="F2440" i="1"/>
  <c r="G2440" i="1"/>
  <c r="H2440" i="1"/>
  <c r="A2441" i="1"/>
  <c r="B2441" i="1"/>
  <c r="C2441" i="1"/>
  <c r="D2441" i="1"/>
  <c r="E2441" i="1"/>
  <c r="F2441" i="1"/>
  <c r="G2441" i="1"/>
  <c r="H2441" i="1"/>
  <c r="A2442" i="1"/>
  <c r="B2442" i="1"/>
  <c r="C2442" i="1"/>
  <c r="D2442" i="1"/>
  <c r="E2442" i="1"/>
  <c r="F2442" i="1"/>
  <c r="G2442" i="1"/>
  <c r="H2442" i="1"/>
  <c r="A2443" i="1"/>
  <c r="B2443" i="1"/>
  <c r="C2443" i="1"/>
  <c r="D2443" i="1"/>
  <c r="E2443" i="1"/>
  <c r="F2443" i="1"/>
  <c r="G2443" i="1"/>
  <c r="H2443" i="1"/>
  <c r="A2444" i="1"/>
  <c r="B2444" i="1"/>
  <c r="C2444" i="1"/>
  <c r="D2444" i="1"/>
  <c r="E2444" i="1"/>
  <c r="F2444" i="1"/>
  <c r="G2444" i="1"/>
  <c r="H2444" i="1"/>
  <c r="A2445" i="1"/>
  <c r="B2445" i="1"/>
  <c r="C2445" i="1"/>
  <c r="D2445" i="1"/>
  <c r="E2445" i="1"/>
  <c r="F2445" i="1"/>
  <c r="G2445" i="1"/>
  <c r="H2445" i="1"/>
  <c r="A2446" i="1"/>
  <c r="B2446" i="1"/>
  <c r="C2446" i="1"/>
  <c r="D2446" i="1"/>
  <c r="E2446" i="1"/>
  <c r="F2446" i="1"/>
  <c r="G2446" i="1"/>
  <c r="H2446" i="1"/>
  <c r="A2447" i="1"/>
  <c r="B2447" i="1"/>
  <c r="C2447" i="1"/>
  <c r="D2447" i="1"/>
  <c r="E2447" i="1"/>
  <c r="F2447" i="1"/>
  <c r="G2447" i="1"/>
  <c r="H2447" i="1"/>
  <c r="A2448" i="1"/>
  <c r="B2448" i="1"/>
  <c r="C2448" i="1"/>
  <c r="D2448" i="1"/>
  <c r="E2448" i="1"/>
  <c r="F2448" i="1"/>
  <c r="G2448" i="1"/>
  <c r="H2448" i="1"/>
  <c r="A2449" i="1"/>
  <c r="B2449" i="1"/>
  <c r="C2449" i="1"/>
  <c r="D2449" i="1"/>
  <c r="E2449" i="1"/>
  <c r="F2449" i="1"/>
  <c r="G2449" i="1"/>
  <c r="H2449" i="1"/>
  <c r="A2450" i="1"/>
  <c r="B2450" i="1"/>
  <c r="C2450" i="1"/>
  <c r="D2450" i="1"/>
  <c r="E2450" i="1"/>
  <c r="F2450" i="1"/>
  <c r="G2450" i="1"/>
  <c r="H2450" i="1"/>
  <c r="A2451" i="1"/>
  <c r="B2451" i="1"/>
  <c r="C2451" i="1"/>
  <c r="D2451" i="1"/>
  <c r="E2451" i="1"/>
  <c r="F2451" i="1"/>
  <c r="G2451" i="1"/>
  <c r="H2451" i="1"/>
  <c r="A2452" i="1"/>
  <c r="B2452" i="1"/>
  <c r="C2452" i="1"/>
  <c r="D2452" i="1"/>
  <c r="E2452" i="1"/>
  <c r="F2452" i="1"/>
  <c r="G2452" i="1"/>
  <c r="H2452" i="1"/>
  <c r="A2453" i="1"/>
  <c r="B2453" i="1"/>
  <c r="C2453" i="1"/>
  <c r="D2453" i="1"/>
  <c r="E2453" i="1"/>
  <c r="F2453" i="1"/>
  <c r="G2453" i="1"/>
  <c r="H2453" i="1"/>
  <c r="A2454" i="1"/>
  <c r="B2454" i="1"/>
  <c r="C2454" i="1"/>
  <c r="D2454" i="1"/>
  <c r="E2454" i="1"/>
  <c r="F2454" i="1"/>
  <c r="G2454" i="1"/>
  <c r="H2454" i="1"/>
  <c r="A2455" i="1"/>
  <c r="B2455" i="1"/>
  <c r="C2455" i="1"/>
  <c r="D2455" i="1"/>
  <c r="E2455" i="1"/>
  <c r="F2455" i="1"/>
  <c r="G2455" i="1"/>
  <c r="H2455" i="1"/>
  <c r="A2456" i="1"/>
  <c r="B2456" i="1"/>
  <c r="C2456" i="1"/>
  <c r="D2456" i="1"/>
  <c r="E2456" i="1"/>
  <c r="F2456" i="1"/>
  <c r="G2456" i="1"/>
  <c r="H2456" i="1"/>
  <c r="A2457" i="1"/>
  <c r="B2457" i="1"/>
  <c r="C2457" i="1"/>
  <c r="D2457" i="1"/>
  <c r="E2457" i="1"/>
  <c r="F2457" i="1"/>
  <c r="G2457" i="1"/>
  <c r="H2457" i="1"/>
  <c r="A2458" i="1"/>
  <c r="B2458" i="1"/>
  <c r="C2458" i="1"/>
  <c r="D2458" i="1"/>
  <c r="E2458" i="1"/>
  <c r="F2458" i="1"/>
  <c r="G2458" i="1"/>
  <c r="H2458" i="1"/>
  <c r="A2459" i="1"/>
  <c r="B2459" i="1"/>
  <c r="C2459" i="1"/>
  <c r="D2459" i="1"/>
  <c r="E2459" i="1"/>
  <c r="F2459" i="1"/>
  <c r="G2459" i="1"/>
  <c r="H2459" i="1"/>
  <c r="A2460" i="1"/>
  <c r="B2460" i="1"/>
  <c r="C2460" i="1"/>
  <c r="D2460" i="1"/>
  <c r="E2460" i="1"/>
  <c r="F2460" i="1"/>
  <c r="G2460" i="1"/>
  <c r="H2460" i="1"/>
  <c r="A2461" i="1"/>
  <c r="B2461" i="1"/>
  <c r="C2461" i="1"/>
  <c r="D2461" i="1"/>
  <c r="E2461" i="1"/>
  <c r="F2461" i="1"/>
  <c r="G2461" i="1"/>
  <c r="H2461" i="1"/>
  <c r="A2462" i="1"/>
  <c r="B2462" i="1"/>
  <c r="C2462" i="1"/>
  <c r="D2462" i="1"/>
  <c r="E2462" i="1"/>
  <c r="F2462" i="1"/>
  <c r="G2462" i="1"/>
  <c r="H2462" i="1"/>
  <c r="A2463" i="1"/>
  <c r="B2463" i="1"/>
  <c r="C2463" i="1"/>
  <c r="D2463" i="1"/>
  <c r="E2463" i="1"/>
  <c r="F2463" i="1"/>
  <c r="G2463" i="1"/>
  <c r="H2463" i="1"/>
  <c r="A2464" i="1"/>
  <c r="B2464" i="1"/>
  <c r="C2464" i="1"/>
  <c r="D2464" i="1"/>
  <c r="E2464" i="1"/>
  <c r="F2464" i="1"/>
  <c r="G2464" i="1"/>
  <c r="H2464" i="1"/>
  <c r="A2465" i="1"/>
  <c r="B2465" i="1"/>
  <c r="C2465" i="1"/>
  <c r="D2465" i="1"/>
  <c r="E2465" i="1"/>
  <c r="F2465" i="1"/>
  <c r="G2465" i="1"/>
  <c r="H2465" i="1"/>
  <c r="A2466" i="1"/>
  <c r="B2466" i="1"/>
  <c r="C2466" i="1"/>
  <c r="D2466" i="1"/>
  <c r="E2466" i="1"/>
  <c r="F2466" i="1"/>
  <c r="G2466" i="1"/>
  <c r="H2466" i="1"/>
  <c r="A2467" i="1"/>
  <c r="B2467" i="1"/>
  <c r="C2467" i="1"/>
  <c r="D2467" i="1"/>
  <c r="E2467" i="1"/>
  <c r="F2467" i="1"/>
  <c r="G2467" i="1"/>
  <c r="H2467" i="1"/>
  <c r="A2468" i="1"/>
  <c r="B2468" i="1"/>
  <c r="C2468" i="1"/>
  <c r="D2468" i="1"/>
  <c r="E2468" i="1"/>
  <c r="F2468" i="1"/>
  <c r="G2468" i="1"/>
  <c r="H2468" i="1"/>
  <c r="A2469" i="1"/>
  <c r="B2469" i="1"/>
  <c r="C2469" i="1"/>
  <c r="D2469" i="1"/>
  <c r="E2469" i="1"/>
  <c r="F2469" i="1"/>
  <c r="G2469" i="1"/>
  <c r="H2469" i="1"/>
  <c r="A2470" i="1"/>
  <c r="B2470" i="1"/>
  <c r="C2470" i="1"/>
  <c r="D2470" i="1"/>
  <c r="E2470" i="1"/>
  <c r="F2470" i="1"/>
  <c r="G2470" i="1"/>
  <c r="H2470" i="1"/>
  <c r="A2471" i="1"/>
  <c r="B2471" i="1"/>
  <c r="C2471" i="1"/>
  <c r="D2471" i="1"/>
  <c r="E2471" i="1"/>
  <c r="F2471" i="1"/>
  <c r="G2471" i="1"/>
  <c r="H2471" i="1"/>
  <c r="A2472" i="1"/>
  <c r="B2472" i="1"/>
  <c r="C2472" i="1"/>
  <c r="D2472" i="1"/>
  <c r="E2472" i="1"/>
  <c r="F2472" i="1"/>
  <c r="G2472" i="1"/>
  <c r="H2472" i="1"/>
  <c r="A2473" i="1"/>
  <c r="B2473" i="1"/>
  <c r="C2473" i="1"/>
  <c r="D2473" i="1"/>
  <c r="E2473" i="1"/>
  <c r="F2473" i="1"/>
  <c r="G2473" i="1"/>
  <c r="H2473" i="1"/>
  <c r="A2474" i="1"/>
  <c r="B2474" i="1"/>
  <c r="C2474" i="1"/>
  <c r="D2474" i="1"/>
  <c r="E2474" i="1"/>
  <c r="F2474" i="1"/>
  <c r="G2474" i="1"/>
  <c r="H2474" i="1"/>
  <c r="A2475" i="1"/>
  <c r="B2475" i="1"/>
  <c r="C2475" i="1"/>
  <c r="D2475" i="1"/>
  <c r="E2475" i="1"/>
  <c r="F2475" i="1"/>
  <c r="G2475" i="1"/>
  <c r="H2475" i="1"/>
  <c r="A2476" i="1"/>
  <c r="B2476" i="1"/>
  <c r="C2476" i="1"/>
  <c r="D2476" i="1"/>
  <c r="E2476" i="1"/>
  <c r="F2476" i="1"/>
  <c r="G2476" i="1"/>
  <c r="H2476" i="1"/>
  <c r="A2477" i="1"/>
  <c r="B2477" i="1"/>
  <c r="C2477" i="1"/>
  <c r="D2477" i="1"/>
  <c r="E2477" i="1"/>
  <c r="F2477" i="1"/>
  <c r="G2477" i="1"/>
  <c r="H2477" i="1"/>
  <c r="A2478" i="1"/>
  <c r="B2478" i="1"/>
  <c r="C2478" i="1"/>
  <c r="D2478" i="1"/>
  <c r="E2478" i="1"/>
  <c r="F2478" i="1"/>
  <c r="G2478" i="1"/>
  <c r="H2478" i="1"/>
  <c r="A2479" i="1"/>
  <c r="B2479" i="1"/>
  <c r="C2479" i="1"/>
  <c r="D2479" i="1"/>
  <c r="E2479" i="1"/>
  <c r="F2479" i="1"/>
  <c r="G2479" i="1"/>
  <c r="H2479" i="1"/>
  <c r="A2480" i="1"/>
  <c r="B2480" i="1"/>
  <c r="C2480" i="1"/>
  <c r="D2480" i="1"/>
  <c r="E2480" i="1"/>
  <c r="F2480" i="1"/>
  <c r="G2480" i="1"/>
  <c r="H2480" i="1"/>
  <c r="A2481" i="1"/>
  <c r="B2481" i="1"/>
  <c r="C2481" i="1"/>
  <c r="D2481" i="1"/>
  <c r="E2481" i="1"/>
  <c r="F2481" i="1"/>
  <c r="G2481" i="1"/>
  <c r="H2481" i="1"/>
  <c r="A2482" i="1"/>
  <c r="B2482" i="1"/>
  <c r="C2482" i="1"/>
  <c r="D2482" i="1"/>
  <c r="E2482" i="1"/>
  <c r="F2482" i="1"/>
  <c r="G2482" i="1"/>
  <c r="H2482" i="1"/>
  <c r="A2483" i="1"/>
  <c r="B2483" i="1"/>
  <c r="C2483" i="1"/>
  <c r="D2483" i="1"/>
  <c r="E2483" i="1"/>
  <c r="F2483" i="1"/>
  <c r="G2483" i="1"/>
  <c r="H2483" i="1"/>
  <c r="A2484" i="1"/>
  <c r="B2484" i="1"/>
  <c r="C2484" i="1"/>
  <c r="D2484" i="1"/>
  <c r="E2484" i="1"/>
  <c r="F2484" i="1"/>
  <c r="G2484" i="1"/>
  <c r="H2484" i="1"/>
  <c r="A2485" i="1"/>
  <c r="B2485" i="1"/>
  <c r="C2485" i="1"/>
  <c r="D2485" i="1"/>
  <c r="E2485" i="1"/>
  <c r="F2485" i="1"/>
  <c r="G2485" i="1"/>
  <c r="H2485" i="1"/>
  <c r="A2486" i="1"/>
  <c r="B2486" i="1"/>
  <c r="C2486" i="1"/>
  <c r="D2486" i="1"/>
  <c r="E2486" i="1"/>
  <c r="F2486" i="1"/>
  <c r="G2486" i="1"/>
  <c r="H2486" i="1"/>
  <c r="A2487" i="1"/>
  <c r="B2487" i="1"/>
  <c r="C2487" i="1"/>
  <c r="D2487" i="1"/>
  <c r="E2487" i="1"/>
  <c r="F2487" i="1"/>
  <c r="G2487" i="1"/>
  <c r="H2487" i="1"/>
  <c r="A2488" i="1"/>
  <c r="B2488" i="1"/>
  <c r="C2488" i="1"/>
  <c r="D2488" i="1"/>
  <c r="E2488" i="1"/>
  <c r="F2488" i="1"/>
  <c r="G2488" i="1"/>
  <c r="H2488" i="1"/>
  <c r="A2489" i="1"/>
  <c r="B2489" i="1"/>
  <c r="C2489" i="1"/>
  <c r="D2489" i="1"/>
  <c r="E2489" i="1"/>
  <c r="F2489" i="1"/>
  <c r="G2489" i="1"/>
  <c r="H2489" i="1"/>
  <c r="A2490" i="1"/>
  <c r="B2490" i="1"/>
  <c r="C2490" i="1"/>
  <c r="D2490" i="1"/>
  <c r="E2490" i="1"/>
  <c r="F2490" i="1"/>
  <c r="G2490" i="1"/>
  <c r="H2490" i="1"/>
  <c r="A2491" i="1"/>
  <c r="B2491" i="1"/>
  <c r="C2491" i="1"/>
  <c r="D2491" i="1"/>
  <c r="E2491" i="1"/>
  <c r="F2491" i="1"/>
  <c r="G2491" i="1"/>
  <c r="H2491" i="1"/>
  <c r="A2492" i="1"/>
  <c r="B2492" i="1"/>
  <c r="C2492" i="1"/>
  <c r="D2492" i="1"/>
  <c r="E2492" i="1"/>
  <c r="F2492" i="1"/>
  <c r="G2492" i="1"/>
  <c r="H2492" i="1"/>
  <c r="A2493" i="1"/>
  <c r="B2493" i="1"/>
  <c r="C2493" i="1"/>
  <c r="D2493" i="1"/>
  <c r="E2493" i="1"/>
  <c r="F2493" i="1"/>
  <c r="G2493" i="1"/>
  <c r="H2493" i="1"/>
  <c r="A2494" i="1"/>
  <c r="B2494" i="1"/>
  <c r="C2494" i="1"/>
  <c r="D2494" i="1"/>
  <c r="E2494" i="1"/>
  <c r="F2494" i="1"/>
  <c r="G2494" i="1"/>
  <c r="H2494" i="1"/>
  <c r="A2495" i="1"/>
  <c r="B2495" i="1"/>
  <c r="C2495" i="1"/>
  <c r="D2495" i="1"/>
  <c r="E2495" i="1"/>
  <c r="F2495" i="1"/>
  <c r="G2495" i="1"/>
  <c r="H2495" i="1"/>
  <c r="A2496" i="1"/>
  <c r="B2496" i="1"/>
  <c r="C2496" i="1"/>
  <c r="D2496" i="1"/>
  <c r="E2496" i="1"/>
  <c r="F2496" i="1"/>
  <c r="G2496" i="1"/>
  <c r="H2496" i="1"/>
  <c r="A2497" i="1"/>
  <c r="B2497" i="1"/>
  <c r="C2497" i="1"/>
  <c r="D2497" i="1"/>
  <c r="E2497" i="1"/>
  <c r="F2497" i="1"/>
  <c r="G2497" i="1"/>
  <c r="H2497" i="1"/>
  <c r="A2498" i="1"/>
  <c r="B2498" i="1"/>
  <c r="C2498" i="1"/>
  <c r="D2498" i="1"/>
  <c r="E2498" i="1"/>
  <c r="F2498" i="1"/>
  <c r="G2498" i="1"/>
  <c r="H2498" i="1"/>
  <c r="A2499" i="1"/>
  <c r="B2499" i="1"/>
  <c r="C2499" i="1"/>
  <c r="D2499" i="1"/>
  <c r="E2499" i="1"/>
  <c r="F2499" i="1"/>
  <c r="G2499" i="1"/>
  <c r="H2499" i="1"/>
  <c r="A2500" i="1"/>
  <c r="B2500" i="1"/>
  <c r="C2500" i="1"/>
  <c r="D2500" i="1"/>
  <c r="E2500" i="1"/>
  <c r="F2500" i="1"/>
  <c r="G2500" i="1"/>
  <c r="H2500" i="1"/>
  <c r="A2501" i="1"/>
  <c r="B2501" i="1"/>
  <c r="C2501" i="1"/>
  <c r="D2501" i="1"/>
  <c r="E2501" i="1"/>
  <c r="F2501" i="1"/>
  <c r="G2501" i="1"/>
  <c r="H2501" i="1"/>
  <c r="A2502" i="1"/>
  <c r="B2502" i="1"/>
  <c r="C2502" i="1"/>
  <c r="D2502" i="1"/>
  <c r="E2502" i="1"/>
  <c r="F2502" i="1"/>
  <c r="G2502" i="1"/>
  <c r="H2502" i="1"/>
  <c r="A2503" i="1"/>
  <c r="B2503" i="1"/>
  <c r="C2503" i="1"/>
  <c r="D2503" i="1"/>
  <c r="E2503" i="1"/>
  <c r="F2503" i="1"/>
  <c r="G2503" i="1"/>
  <c r="H2503" i="1"/>
  <c r="A2504" i="1"/>
  <c r="B2504" i="1"/>
  <c r="C2504" i="1"/>
  <c r="D2504" i="1"/>
  <c r="E2504" i="1"/>
  <c r="F2504" i="1"/>
  <c r="G2504" i="1"/>
  <c r="H2504" i="1"/>
  <c r="A2505" i="1"/>
  <c r="B2505" i="1"/>
  <c r="C2505" i="1"/>
  <c r="D2505" i="1"/>
  <c r="E2505" i="1"/>
  <c r="F2505" i="1"/>
  <c r="G2505" i="1"/>
  <c r="H2505" i="1"/>
  <c r="A2506" i="1"/>
  <c r="B2506" i="1"/>
  <c r="C2506" i="1"/>
  <c r="D2506" i="1"/>
  <c r="E2506" i="1"/>
  <c r="F2506" i="1"/>
  <c r="G2506" i="1"/>
  <c r="H2506" i="1"/>
  <c r="A2507" i="1"/>
  <c r="B2507" i="1"/>
  <c r="C2507" i="1"/>
  <c r="D2507" i="1"/>
  <c r="E2507" i="1"/>
  <c r="F2507" i="1"/>
  <c r="G2507" i="1"/>
  <c r="H2507" i="1"/>
  <c r="A2508" i="1"/>
  <c r="B2508" i="1"/>
  <c r="C2508" i="1"/>
  <c r="D2508" i="1"/>
  <c r="E2508" i="1"/>
  <c r="F2508" i="1"/>
  <c r="G2508" i="1"/>
  <c r="H2508" i="1"/>
  <c r="A2509" i="1"/>
  <c r="B2509" i="1"/>
  <c r="C2509" i="1"/>
  <c r="D2509" i="1"/>
  <c r="E2509" i="1"/>
  <c r="F2509" i="1"/>
  <c r="G2509" i="1"/>
  <c r="H2509" i="1"/>
  <c r="A2510" i="1"/>
  <c r="B2510" i="1"/>
  <c r="C2510" i="1"/>
  <c r="D2510" i="1"/>
  <c r="E2510" i="1"/>
  <c r="F2510" i="1"/>
  <c r="G2510" i="1"/>
  <c r="H2510" i="1"/>
  <c r="A2511" i="1"/>
  <c r="B2511" i="1"/>
  <c r="C2511" i="1"/>
  <c r="D2511" i="1"/>
  <c r="E2511" i="1"/>
  <c r="F2511" i="1"/>
  <c r="G2511" i="1"/>
  <c r="H2511" i="1"/>
  <c r="A2512" i="1"/>
  <c r="B2512" i="1"/>
  <c r="C2512" i="1"/>
  <c r="D2512" i="1"/>
  <c r="E2512" i="1"/>
  <c r="F2512" i="1"/>
  <c r="G2512" i="1"/>
  <c r="H2512" i="1"/>
  <c r="A2513" i="1"/>
  <c r="B2513" i="1"/>
  <c r="C2513" i="1"/>
  <c r="D2513" i="1"/>
  <c r="E2513" i="1"/>
  <c r="F2513" i="1"/>
  <c r="G2513" i="1"/>
  <c r="H2513" i="1"/>
  <c r="A2514" i="1"/>
  <c r="B2514" i="1"/>
  <c r="C2514" i="1"/>
  <c r="D2514" i="1"/>
  <c r="E2514" i="1"/>
  <c r="F2514" i="1"/>
  <c r="G2514" i="1"/>
  <c r="H2514" i="1"/>
  <c r="A2515" i="1"/>
  <c r="B2515" i="1"/>
  <c r="C2515" i="1"/>
  <c r="D2515" i="1"/>
  <c r="E2515" i="1"/>
  <c r="F2515" i="1"/>
  <c r="G2515" i="1"/>
  <c r="H2515" i="1"/>
  <c r="A2516" i="1"/>
  <c r="B2516" i="1"/>
  <c r="C2516" i="1"/>
  <c r="D2516" i="1"/>
  <c r="E2516" i="1"/>
  <c r="F2516" i="1"/>
  <c r="G2516" i="1"/>
  <c r="H2516" i="1"/>
  <c r="A2517" i="1"/>
  <c r="B2517" i="1"/>
  <c r="C2517" i="1"/>
  <c r="D2517" i="1"/>
  <c r="E2517" i="1"/>
  <c r="F2517" i="1"/>
  <c r="G2517" i="1"/>
  <c r="H2517" i="1"/>
  <c r="A2518" i="1"/>
  <c r="B2518" i="1"/>
  <c r="C2518" i="1"/>
  <c r="D2518" i="1"/>
  <c r="E2518" i="1"/>
  <c r="F2518" i="1"/>
  <c r="G2518" i="1"/>
  <c r="H2518" i="1"/>
  <c r="A2519" i="1"/>
  <c r="B2519" i="1"/>
  <c r="C2519" i="1"/>
  <c r="D2519" i="1"/>
  <c r="E2519" i="1"/>
  <c r="F2519" i="1"/>
  <c r="G2519" i="1"/>
  <c r="H2519" i="1"/>
  <c r="A2520" i="1"/>
  <c r="B2520" i="1"/>
  <c r="C2520" i="1"/>
  <c r="D2520" i="1"/>
  <c r="E2520" i="1"/>
  <c r="F2520" i="1"/>
  <c r="G2520" i="1"/>
  <c r="H2520" i="1"/>
  <c r="A2521" i="1"/>
  <c r="B2521" i="1"/>
  <c r="C2521" i="1"/>
  <c r="D2521" i="1"/>
  <c r="E2521" i="1"/>
  <c r="F2521" i="1"/>
  <c r="G2521" i="1"/>
  <c r="H2521" i="1"/>
  <c r="A2522" i="1"/>
  <c r="B2522" i="1"/>
  <c r="C2522" i="1"/>
  <c r="D2522" i="1"/>
  <c r="E2522" i="1"/>
  <c r="F2522" i="1"/>
  <c r="G2522" i="1"/>
  <c r="H2522" i="1"/>
  <c r="A2523" i="1"/>
  <c r="B2523" i="1"/>
  <c r="C2523" i="1"/>
  <c r="D2523" i="1"/>
  <c r="E2523" i="1"/>
  <c r="F2523" i="1"/>
  <c r="G2523" i="1"/>
  <c r="H2523" i="1"/>
  <c r="A2524" i="1"/>
  <c r="B2524" i="1"/>
  <c r="C2524" i="1"/>
  <c r="D2524" i="1"/>
  <c r="E2524" i="1"/>
  <c r="F2524" i="1"/>
  <c r="G2524" i="1"/>
  <c r="H2524" i="1"/>
  <c r="A2525" i="1"/>
  <c r="B2525" i="1"/>
  <c r="C2525" i="1"/>
  <c r="D2525" i="1"/>
  <c r="E2525" i="1"/>
  <c r="F2525" i="1"/>
  <c r="G2525" i="1"/>
  <c r="H2525" i="1"/>
  <c r="A2526" i="1"/>
  <c r="B2526" i="1"/>
  <c r="C2526" i="1"/>
  <c r="D2526" i="1"/>
  <c r="E2526" i="1"/>
  <c r="F2526" i="1"/>
  <c r="G2526" i="1"/>
  <c r="H2526" i="1"/>
  <c r="A2527" i="1"/>
  <c r="B2527" i="1"/>
  <c r="C2527" i="1"/>
  <c r="D2527" i="1"/>
  <c r="E2527" i="1"/>
  <c r="F2527" i="1"/>
  <c r="G2527" i="1"/>
  <c r="H2527" i="1"/>
  <c r="A2528" i="1"/>
  <c r="B2528" i="1"/>
  <c r="C2528" i="1"/>
  <c r="D2528" i="1"/>
  <c r="E2528" i="1"/>
  <c r="F2528" i="1"/>
  <c r="G2528" i="1"/>
  <c r="H2528" i="1"/>
  <c r="A2529" i="1"/>
  <c r="B2529" i="1"/>
  <c r="C2529" i="1"/>
  <c r="D2529" i="1"/>
  <c r="E2529" i="1"/>
  <c r="F2529" i="1"/>
  <c r="G2529" i="1"/>
  <c r="H2529" i="1"/>
  <c r="A2530" i="1"/>
  <c r="B2530" i="1"/>
  <c r="C2530" i="1"/>
  <c r="D2530" i="1"/>
  <c r="E2530" i="1"/>
  <c r="F2530" i="1"/>
  <c r="G2530" i="1"/>
  <c r="H2530" i="1"/>
  <c r="A2531" i="1"/>
  <c r="B2531" i="1"/>
  <c r="C2531" i="1"/>
  <c r="D2531" i="1"/>
  <c r="E2531" i="1"/>
  <c r="F2531" i="1"/>
  <c r="G2531" i="1"/>
  <c r="H2531" i="1"/>
  <c r="A2532" i="1"/>
  <c r="B2532" i="1"/>
  <c r="C2532" i="1"/>
  <c r="D2532" i="1"/>
  <c r="E2532" i="1"/>
  <c r="F2532" i="1"/>
  <c r="G2532" i="1"/>
  <c r="H2532" i="1"/>
  <c r="A2533" i="1"/>
  <c r="B2533" i="1"/>
  <c r="C2533" i="1"/>
  <c r="D2533" i="1"/>
  <c r="E2533" i="1"/>
  <c r="F2533" i="1"/>
  <c r="G2533" i="1"/>
  <c r="H2533" i="1"/>
  <c r="A2534" i="1"/>
  <c r="B2534" i="1"/>
  <c r="C2534" i="1"/>
  <c r="D2534" i="1"/>
  <c r="E2534" i="1"/>
  <c r="F2534" i="1"/>
  <c r="G2534" i="1"/>
  <c r="H2534" i="1"/>
  <c r="A2535" i="1"/>
  <c r="B2535" i="1"/>
  <c r="C2535" i="1"/>
  <c r="D2535" i="1"/>
  <c r="E2535" i="1"/>
  <c r="F2535" i="1"/>
  <c r="G2535" i="1"/>
  <c r="H2535" i="1"/>
  <c r="A2536" i="1"/>
  <c r="B2536" i="1"/>
  <c r="C2536" i="1"/>
  <c r="D2536" i="1"/>
  <c r="E2536" i="1"/>
  <c r="F2536" i="1"/>
  <c r="G2536" i="1"/>
  <c r="H2536" i="1"/>
  <c r="A2537" i="1"/>
  <c r="B2537" i="1"/>
  <c r="C2537" i="1"/>
  <c r="D2537" i="1"/>
  <c r="E2537" i="1"/>
  <c r="F2537" i="1"/>
  <c r="G2537" i="1"/>
  <c r="H2537" i="1"/>
  <c r="A2538" i="1"/>
  <c r="B2538" i="1"/>
  <c r="C2538" i="1"/>
  <c r="D2538" i="1"/>
  <c r="E2538" i="1"/>
  <c r="F2538" i="1"/>
  <c r="G2538" i="1"/>
  <c r="H2538" i="1"/>
  <c r="A2539" i="1"/>
  <c r="B2539" i="1"/>
  <c r="C2539" i="1"/>
  <c r="D2539" i="1"/>
  <c r="E2539" i="1"/>
  <c r="F2539" i="1"/>
  <c r="G2539" i="1"/>
  <c r="H2539" i="1"/>
  <c r="A2540" i="1"/>
  <c r="B2540" i="1"/>
  <c r="C2540" i="1"/>
  <c r="D2540" i="1"/>
  <c r="E2540" i="1"/>
  <c r="F2540" i="1"/>
  <c r="G2540" i="1"/>
  <c r="H2540" i="1"/>
  <c r="A2541" i="1"/>
  <c r="B2541" i="1"/>
  <c r="C2541" i="1"/>
  <c r="D2541" i="1"/>
  <c r="E2541" i="1"/>
  <c r="F2541" i="1"/>
  <c r="G2541" i="1"/>
  <c r="H2541" i="1"/>
  <c r="A2542" i="1"/>
  <c r="B2542" i="1"/>
  <c r="C2542" i="1"/>
  <c r="D2542" i="1"/>
  <c r="E2542" i="1"/>
  <c r="F2542" i="1"/>
  <c r="G2542" i="1"/>
  <c r="H2542" i="1"/>
  <c r="A2543" i="1"/>
  <c r="B2543" i="1"/>
  <c r="C2543" i="1"/>
  <c r="D2543" i="1"/>
  <c r="E2543" i="1"/>
  <c r="F2543" i="1"/>
  <c r="G2543" i="1"/>
  <c r="H2543" i="1"/>
  <c r="A2544" i="1"/>
  <c r="B2544" i="1"/>
  <c r="C2544" i="1"/>
  <c r="D2544" i="1"/>
  <c r="E2544" i="1"/>
  <c r="F2544" i="1"/>
  <c r="G2544" i="1"/>
  <c r="H2544" i="1"/>
  <c r="A2545" i="1"/>
  <c r="B2545" i="1"/>
  <c r="C2545" i="1"/>
  <c r="D2545" i="1"/>
  <c r="E2545" i="1"/>
  <c r="F2545" i="1"/>
  <c r="G2545" i="1"/>
  <c r="H2545" i="1"/>
  <c r="A2546" i="1"/>
  <c r="B2546" i="1"/>
  <c r="C2546" i="1"/>
  <c r="D2546" i="1"/>
  <c r="E2546" i="1"/>
  <c r="F2546" i="1"/>
  <c r="G2546" i="1"/>
  <c r="H2546" i="1"/>
  <c r="A2547" i="1"/>
  <c r="B2547" i="1"/>
  <c r="C2547" i="1"/>
  <c r="D2547" i="1"/>
  <c r="E2547" i="1"/>
  <c r="F2547" i="1"/>
  <c r="G2547" i="1"/>
  <c r="H2547" i="1"/>
  <c r="A2548" i="1"/>
  <c r="B2548" i="1"/>
  <c r="C2548" i="1"/>
  <c r="D2548" i="1"/>
  <c r="E2548" i="1"/>
  <c r="F2548" i="1"/>
  <c r="G2548" i="1"/>
  <c r="H2548" i="1"/>
  <c r="A2549" i="1"/>
  <c r="B2549" i="1"/>
  <c r="C2549" i="1"/>
  <c r="D2549" i="1"/>
  <c r="E2549" i="1"/>
  <c r="F2549" i="1"/>
  <c r="G2549" i="1"/>
  <c r="H2549" i="1"/>
  <c r="A2550" i="1"/>
  <c r="B2550" i="1"/>
  <c r="C2550" i="1"/>
  <c r="D2550" i="1"/>
  <c r="E2550" i="1"/>
  <c r="F2550" i="1"/>
  <c r="G2550" i="1"/>
  <c r="H2550" i="1"/>
  <c r="A2551" i="1"/>
  <c r="B2551" i="1"/>
  <c r="C2551" i="1"/>
  <c r="D2551" i="1"/>
  <c r="E2551" i="1"/>
  <c r="F2551" i="1"/>
  <c r="G2551" i="1"/>
  <c r="H2551" i="1"/>
  <c r="A2552" i="1"/>
  <c r="B2552" i="1"/>
  <c r="C2552" i="1"/>
  <c r="D2552" i="1"/>
  <c r="E2552" i="1"/>
  <c r="F2552" i="1"/>
  <c r="G2552" i="1"/>
  <c r="H2552" i="1"/>
  <c r="A2553" i="1"/>
  <c r="B2553" i="1"/>
  <c r="C2553" i="1"/>
  <c r="D2553" i="1"/>
  <c r="E2553" i="1"/>
  <c r="F2553" i="1"/>
  <c r="G2553" i="1"/>
  <c r="H2553" i="1"/>
  <c r="A2554" i="1"/>
  <c r="B2554" i="1"/>
  <c r="C2554" i="1"/>
  <c r="D2554" i="1"/>
  <c r="E2554" i="1"/>
  <c r="F2554" i="1"/>
  <c r="G2554" i="1"/>
  <c r="H2554" i="1"/>
  <c r="A2555" i="1"/>
  <c r="B2555" i="1"/>
  <c r="C2555" i="1"/>
  <c r="D2555" i="1"/>
  <c r="E2555" i="1"/>
  <c r="F2555" i="1"/>
  <c r="G2555" i="1"/>
  <c r="H2555" i="1"/>
  <c r="A2556" i="1"/>
  <c r="B2556" i="1"/>
  <c r="C2556" i="1"/>
  <c r="D2556" i="1"/>
  <c r="E2556" i="1"/>
  <c r="F2556" i="1"/>
  <c r="G2556" i="1"/>
  <c r="H2556" i="1"/>
  <c r="A2557" i="1"/>
  <c r="B2557" i="1"/>
  <c r="C2557" i="1"/>
  <c r="D2557" i="1"/>
  <c r="E2557" i="1"/>
  <c r="F2557" i="1"/>
  <c r="G2557" i="1"/>
  <c r="H2557" i="1"/>
  <c r="A2558" i="1"/>
  <c r="B2558" i="1"/>
  <c r="C2558" i="1"/>
  <c r="D2558" i="1"/>
  <c r="E2558" i="1"/>
  <c r="F2558" i="1"/>
  <c r="G2558" i="1"/>
  <c r="H2558" i="1"/>
  <c r="A2559" i="1"/>
  <c r="B2559" i="1"/>
  <c r="C2559" i="1"/>
  <c r="D2559" i="1"/>
  <c r="E2559" i="1"/>
  <c r="F2559" i="1"/>
  <c r="G2559" i="1"/>
  <c r="H2559" i="1"/>
  <c r="A2560" i="1"/>
  <c r="B2560" i="1"/>
  <c r="C2560" i="1"/>
  <c r="D2560" i="1"/>
  <c r="E2560" i="1"/>
  <c r="F2560" i="1"/>
  <c r="G2560" i="1"/>
  <c r="H2560" i="1"/>
  <c r="A2561" i="1"/>
  <c r="B2561" i="1"/>
  <c r="C2561" i="1"/>
  <c r="D2561" i="1"/>
  <c r="E2561" i="1"/>
  <c r="F2561" i="1"/>
  <c r="G2561" i="1"/>
  <c r="H2561" i="1"/>
  <c r="A2562" i="1"/>
  <c r="B2562" i="1"/>
  <c r="C2562" i="1"/>
  <c r="D2562" i="1"/>
  <c r="E2562" i="1"/>
  <c r="F2562" i="1"/>
  <c r="G2562" i="1"/>
  <c r="H2562" i="1"/>
  <c r="A2563" i="1"/>
  <c r="B2563" i="1"/>
  <c r="C2563" i="1"/>
  <c r="D2563" i="1"/>
  <c r="E2563" i="1"/>
  <c r="F2563" i="1"/>
  <c r="G2563" i="1"/>
  <c r="H2563" i="1"/>
  <c r="A2564" i="1"/>
  <c r="B2564" i="1"/>
  <c r="C2564" i="1"/>
  <c r="D2564" i="1"/>
  <c r="E2564" i="1"/>
  <c r="F2564" i="1"/>
  <c r="G2564" i="1"/>
  <c r="H2564" i="1"/>
  <c r="A2565" i="1"/>
  <c r="B2565" i="1"/>
  <c r="C2565" i="1"/>
  <c r="D2565" i="1"/>
  <c r="E2565" i="1"/>
  <c r="F2565" i="1"/>
  <c r="G2565" i="1"/>
  <c r="H2565" i="1"/>
  <c r="A2566" i="1"/>
  <c r="B2566" i="1"/>
  <c r="C2566" i="1"/>
  <c r="D2566" i="1"/>
  <c r="E2566" i="1"/>
  <c r="F2566" i="1"/>
  <c r="G2566" i="1"/>
  <c r="H2566" i="1"/>
  <c r="A2567" i="1"/>
  <c r="B2567" i="1"/>
  <c r="C2567" i="1"/>
  <c r="D2567" i="1"/>
  <c r="E2567" i="1"/>
  <c r="F2567" i="1"/>
  <c r="G2567" i="1"/>
  <c r="H2567" i="1"/>
  <c r="A2568" i="1"/>
  <c r="B2568" i="1"/>
  <c r="C2568" i="1"/>
  <c r="D2568" i="1"/>
  <c r="E2568" i="1"/>
  <c r="F2568" i="1"/>
  <c r="G2568" i="1"/>
  <c r="H2568" i="1"/>
  <c r="A2569" i="1"/>
  <c r="B2569" i="1"/>
  <c r="C2569" i="1"/>
  <c r="D2569" i="1"/>
  <c r="E2569" i="1"/>
  <c r="F2569" i="1"/>
  <c r="G2569" i="1"/>
  <c r="H2569" i="1"/>
  <c r="A2570" i="1"/>
  <c r="B2570" i="1"/>
  <c r="C2570" i="1"/>
  <c r="D2570" i="1"/>
  <c r="E2570" i="1"/>
  <c r="F2570" i="1"/>
  <c r="G2570" i="1"/>
  <c r="H2570" i="1"/>
  <c r="A2571" i="1"/>
  <c r="B2571" i="1"/>
  <c r="C2571" i="1"/>
  <c r="D2571" i="1"/>
  <c r="E2571" i="1"/>
  <c r="F2571" i="1"/>
  <c r="G2571" i="1"/>
  <c r="H2571" i="1"/>
  <c r="A2572" i="1"/>
  <c r="B2572" i="1"/>
  <c r="C2572" i="1"/>
  <c r="D2572" i="1"/>
  <c r="E2572" i="1"/>
  <c r="F2572" i="1"/>
  <c r="G2572" i="1"/>
  <c r="H2572" i="1"/>
  <c r="A2573" i="1"/>
  <c r="B2573" i="1"/>
  <c r="C2573" i="1"/>
  <c r="D2573" i="1"/>
  <c r="E2573" i="1"/>
  <c r="F2573" i="1"/>
  <c r="G2573" i="1"/>
  <c r="H2573" i="1"/>
  <c r="A2574" i="1"/>
  <c r="B2574" i="1"/>
  <c r="C2574" i="1"/>
  <c r="D2574" i="1"/>
  <c r="E2574" i="1"/>
  <c r="F2574" i="1"/>
  <c r="G2574" i="1"/>
  <c r="H2574" i="1"/>
  <c r="A2575" i="1"/>
  <c r="B2575" i="1"/>
  <c r="C2575" i="1"/>
  <c r="D2575" i="1"/>
  <c r="E2575" i="1"/>
  <c r="F2575" i="1"/>
  <c r="G2575" i="1"/>
  <c r="H2575" i="1"/>
  <c r="A2576" i="1"/>
  <c r="B2576" i="1"/>
  <c r="C2576" i="1"/>
  <c r="D2576" i="1"/>
  <c r="E2576" i="1"/>
  <c r="F2576" i="1"/>
  <c r="G2576" i="1"/>
  <c r="H2576" i="1"/>
  <c r="A2577" i="1"/>
  <c r="B2577" i="1"/>
  <c r="C2577" i="1"/>
  <c r="D2577" i="1"/>
  <c r="E2577" i="1"/>
  <c r="F2577" i="1"/>
  <c r="G2577" i="1"/>
  <c r="H2577" i="1"/>
  <c r="A2578" i="1"/>
  <c r="B2578" i="1"/>
  <c r="C2578" i="1"/>
  <c r="D2578" i="1"/>
  <c r="E2578" i="1"/>
  <c r="F2578" i="1"/>
  <c r="G2578" i="1"/>
  <c r="H2578" i="1"/>
  <c r="A2579" i="1"/>
  <c r="B2579" i="1"/>
  <c r="C2579" i="1"/>
  <c r="D2579" i="1"/>
  <c r="E2579" i="1"/>
  <c r="F2579" i="1"/>
  <c r="G2579" i="1"/>
  <c r="H2579" i="1"/>
  <c r="A2580" i="1"/>
  <c r="B2580" i="1"/>
  <c r="C2580" i="1"/>
  <c r="D2580" i="1"/>
  <c r="E2580" i="1"/>
  <c r="F2580" i="1"/>
  <c r="G2580" i="1"/>
  <c r="H2580" i="1"/>
  <c r="A2581" i="1"/>
  <c r="B2581" i="1"/>
  <c r="C2581" i="1"/>
  <c r="D2581" i="1"/>
  <c r="E2581" i="1"/>
  <c r="F2581" i="1"/>
  <c r="G2581" i="1"/>
  <c r="H2581" i="1"/>
  <c r="A2582" i="1"/>
  <c r="B2582" i="1"/>
  <c r="C2582" i="1"/>
  <c r="D2582" i="1"/>
  <c r="E2582" i="1"/>
  <c r="F2582" i="1"/>
  <c r="G2582" i="1"/>
  <c r="H2582" i="1"/>
  <c r="A2583" i="1"/>
  <c r="B2583" i="1"/>
  <c r="C2583" i="1"/>
  <c r="D2583" i="1"/>
  <c r="E2583" i="1"/>
  <c r="F2583" i="1"/>
  <c r="G2583" i="1"/>
  <c r="H2583" i="1"/>
  <c r="A2584" i="1"/>
  <c r="B2584" i="1"/>
  <c r="C2584" i="1"/>
  <c r="D2584" i="1"/>
  <c r="E2584" i="1"/>
  <c r="F2584" i="1"/>
  <c r="G2584" i="1"/>
  <c r="H2584" i="1"/>
  <c r="A2585" i="1"/>
  <c r="B2585" i="1"/>
  <c r="C2585" i="1"/>
  <c r="D2585" i="1"/>
  <c r="E2585" i="1"/>
  <c r="F2585" i="1"/>
  <c r="G2585" i="1"/>
  <c r="H2585" i="1"/>
  <c r="A2586" i="1"/>
  <c r="B2586" i="1"/>
  <c r="C2586" i="1"/>
  <c r="D2586" i="1"/>
  <c r="E2586" i="1"/>
  <c r="F2586" i="1"/>
  <c r="G2586" i="1"/>
  <c r="H2586" i="1"/>
  <c r="A2587" i="1"/>
  <c r="B2587" i="1"/>
  <c r="C2587" i="1"/>
  <c r="D2587" i="1"/>
  <c r="E2587" i="1"/>
  <c r="F2587" i="1"/>
  <c r="G2587" i="1"/>
  <c r="H2587" i="1"/>
  <c r="A2588" i="1"/>
  <c r="B2588" i="1"/>
  <c r="C2588" i="1"/>
  <c r="D2588" i="1"/>
  <c r="E2588" i="1"/>
  <c r="F2588" i="1"/>
  <c r="G2588" i="1"/>
  <c r="H2588" i="1"/>
  <c r="A2589" i="1"/>
  <c r="B2589" i="1"/>
  <c r="C2589" i="1"/>
  <c r="D2589" i="1"/>
  <c r="E2589" i="1"/>
  <c r="F2589" i="1"/>
  <c r="G2589" i="1"/>
  <c r="H2589" i="1"/>
  <c r="A2590" i="1"/>
  <c r="B2590" i="1"/>
  <c r="C2590" i="1"/>
  <c r="D2590" i="1"/>
  <c r="E2590" i="1"/>
  <c r="F2590" i="1"/>
  <c r="G2590" i="1"/>
  <c r="H2590" i="1"/>
  <c r="A2591" i="1"/>
  <c r="B2591" i="1"/>
  <c r="C2591" i="1"/>
  <c r="D2591" i="1"/>
  <c r="E2591" i="1"/>
  <c r="F2591" i="1"/>
  <c r="G2591" i="1"/>
  <c r="H2591" i="1"/>
  <c r="A2592" i="1"/>
  <c r="B2592" i="1"/>
  <c r="C2592" i="1"/>
  <c r="D2592" i="1"/>
  <c r="E2592" i="1"/>
  <c r="F2592" i="1"/>
  <c r="G2592" i="1"/>
  <c r="H2592" i="1"/>
  <c r="A2593" i="1"/>
  <c r="B2593" i="1"/>
  <c r="C2593" i="1"/>
  <c r="D2593" i="1"/>
  <c r="E2593" i="1"/>
  <c r="F2593" i="1"/>
  <c r="G2593" i="1"/>
  <c r="H2593" i="1"/>
  <c r="A2594" i="1"/>
  <c r="B2594" i="1"/>
  <c r="C2594" i="1"/>
  <c r="D2594" i="1"/>
  <c r="E2594" i="1"/>
  <c r="F2594" i="1"/>
  <c r="G2594" i="1"/>
  <c r="H2594" i="1"/>
  <c r="A2595" i="1"/>
  <c r="B2595" i="1"/>
  <c r="C2595" i="1"/>
  <c r="D2595" i="1"/>
  <c r="E2595" i="1"/>
  <c r="F2595" i="1"/>
  <c r="G2595" i="1"/>
  <c r="H2595" i="1"/>
  <c r="A2596" i="1"/>
  <c r="B2596" i="1"/>
  <c r="C2596" i="1"/>
  <c r="D2596" i="1"/>
  <c r="E2596" i="1"/>
  <c r="F2596" i="1"/>
  <c r="G2596" i="1"/>
  <c r="H2596" i="1"/>
  <c r="A2597" i="1"/>
  <c r="B2597" i="1"/>
  <c r="C2597" i="1"/>
  <c r="D2597" i="1"/>
  <c r="E2597" i="1"/>
  <c r="F2597" i="1"/>
  <c r="G2597" i="1"/>
  <c r="H2597" i="1"/>
  <c r="A2598" i="1"/>
  <c r="B2598" i="1"/>
  <c r="C2598" i="1"/>
  <c r="D2598" i="1"/>
  <c r="E2598" i="1"/>
  <c r="F2598" i="1"/>
  <c r="G2598" i="1"/>
  <c r="H2598" i="1"/>
  <c r="A2599" i="1"/>
  <c r="B2599" i="1"/>
  <c r="C2599" i="1"/>
  <c r="D2599" i="1"/>
  <c r="E2599" i="1"/>
  <c r="F2599" i="1"/>
  <c r="G2599" i="1"/>
  <c r="H2599" i="1"/>
  <c r="A2600" i="1"/>
  <c r="B2600" i="1"/>
  <c r="C2600" i="1"/>
  <c r="D2600" i="1"/>
  <c r="E2600" i="1"/>
  <c r="F2600" i="1"/>
  <c r="G2600" i="1"/>
  <c r="H2600" i="1"/>
  <c r="A2601" i="1"/>
  <c r="B2601" i="1"/>
  <c r="C2601" i="1"/>
  <c r="D2601" i="1"/>
  <c r="E2601" i="1"/>
  <c r="F2601" i="1"/>
  <c r="G2601" i="1"/>
  <c r="H2601" i="1"/>
  <c r="A2602" i="1"/>
  <c r="B2602" i="1"/>
  <c r="C2602" i="1"/>
  <c r="D2602" i="1"/>
  <c r="E2602" i="1"/>
  <c r="F2602" i="1"/>
  <c r="G2602" i="1"/>
  <c r="H2602" i="1"/>
  <c r="A2603" i="1"/>
  <c r="B2603" i="1"/>
  <c r="C2603" i="1"/>
  <c r="D2603" i="1"/>
  <c r="E2603" i="1"/>
  <c r="F2603" i="1"/>
  <c r="G2603" i="1"/>
  <c r="H2603" i="1"/>
  <c r="A2604" i="1"/>
  <c r="B2604" i="1"/>
  <c r="C2604" i="1"/>
  <c r="D2604" i="1"/>
  <c r="E2604" i="1"/>
  <c r="F2604" i="1"/>
  <c r="G2604" i="1"/>
  <c r="H2604" i="1"/>
  <c r="A2605" i="1"/>
  <c r="B2605" i="1"/>
  <c r="C2605" i="1"/>
  <c r="D2605" i="1"/>
  <c r="E2605" i="1"/>
  <c r="F2605" i="1"/>
  <c r="G2605" i="1"/>
  <c r="H2605" i="1"/>
  <c r="A2606" i="1"/>
  <c r="B2606" i="1"/>
  <c r="C2606" i="1"/>
  <c r="D2606" i="1"/>
  <c r="E2606" i="1"/>
  <c r="F2606" i="1"/>
  <c r="G2606" i="1"/>
  <c r="H2606" i="1"/>
  <c r="A2607" i="1"/>
  <c r="B2607" i="1"/>
  <c r="C2607" i="1"/>
  <c r="D2607" i="1"/>
  <c r="E2607" i="1"/>
  <c r="F2607" i="1"/>
  <c r="G2607" i="1"/>
  <c r="H2607" i="1"/>
  <c r="A2608" i="1"/>
  <c r="B2608" i="1"/>
  <c r="C2608" i="1"/>
  <c r="D2608" i="1"/>
  <c r="E2608" i="1"/>
  <c r="F2608" i="1"/>
  <c r="G2608" i="1"/>
  <c r="H2608" i="1"/>
  <c r="A2609" i="1"/>
  <c r="B2609" i="1"/>
  <c r="C2609" i="1"/>
  <c r="D2609" i="1"/>
  <c r="E2609" i="1"/>
  <c r="F2609" i="1"/>
  <c r="G2609" i="1"/>
  <c r="H2609" i="1"/>
  <c r="A2610" i="1"/>
  <c r="B2610" i="1"/>
  <c r="C2610" i="1"/>
  <c r="D2610" i="1"/>
  <c r="E2610" i="1"/>
  <c r="F2610" i="1"/>
  <c r="G2610" i="1"/>
  <c r="H2610" i="1"/>
  <c r="A2611" i="1"/>
  <c r="B2611" i="1"/>
  <c r="C2611" i="1"/>
  <c r="D2611" i="1"/>
  <c r="E2611" i="1"/>
  <c r="F2611" i="1"/>
  <c r="G2611" i="1"/>
  <c r="H2611" i="1"/>
  <c r="A2612" i="1"/>
  <c r="B2612" i="1"/>
  <c r="C2612" i="1"/>
  <c r="D2612" i="1"/>
  <c r="E2612" i="1"/>
  <c r="F2612" i="1"/>
  <c r="G2612" i="1"/>
  <c r="H2612" i="1"/>
  <c r="A2613" i="1"/>
  <c r="B2613" i="1"/>
  <c r="C2613" i="1"/>
  <c r="D2613" i="1"/>
  <c r="E2613" i="1"/>
  <c r="F2613" i="1"/>
  <c r="G2613" i="1"/>
  <c r="H2613" i="1"/>
  <c r="A2614" i="1"/>
  <c r="B2614" i="1"/>
  <c r="C2614" i="1"/>
  <c r="D2614" i="1"/>
  <c r="E2614" i="1"/>
  <c r="F2614" i="1"/>
  <c r="G2614" i="1"/>
  <c r="H2614" i="1"/>
  <c r="A2615" i="1"/>
  <c r="B2615" i="1"/>
  <c r="C2615" i="1"/>
  <c r="D2615" i="1"/>
  <c r="E2615" i="1"/>
  <c r="F2615" i="1"/>
  <c r="G2615" i="1"/>
  <c r="H2615" i="1"/>
  <c r="A2616" i="1"/>
  <c r="B2616" i="1"/>
  <c r="C2616" i="1"/>
  <c r="D2616" i="1"/>
  <c r="E2616" i="1"/>
  <c r="F2616" i="1"/>
  <c r="G2616" i="1"/>
  <c r="H2616" i="1"/>
  <c r="A2617" i="1"/>
  <c r="B2617" i="1"/>
  <c r="C2617" i="1"/>
  <c r="D2617" i="1"/>
  <c r="E2617" i="1"/>
  <c r="F2617" i="1"/>
  <c r="G2617" i="1"/>
  <c r="H2617" i="1"/>
  <c r="A2618" i="1"/>
  <c r="B2618" i="1"/>
  <c r="C2618" i="1"/>
  <c r="D2618" i="1"/>
  <c r="E2618" i="1"/>
  <c r="F2618" i="1"/>
  <c r="G2618" i="1"/>
  <c r="H2618" i="1"/>
  <c r="A2619" i="1"/>
  <c r="B2619" i="1"/>
  <c r="C2619" i="1"/>
  <c r="D2619" i="1"/>
  <c r="E2619" i="1"/>
  <c r="F2619" i="1"/>
  <c r="G2619" i="1"/>
  <c r="H2619" i="1"/>
  <c r="A2620" i="1"/>
  <c r="B2620" i="1"/>
  <c r="C2620" i="1"/>
  <c r="D2620" i="1"/>
  <c r="E2620" i="1"/>
  <c r="F2620" i="1"/>
  <c r="G2620" i="1"/>
  <c r="H2620" i="1"/>
  <c r="A2621" i="1"/>
  <c r="B2621" i="1"/>
  <c r="C2621" i="1"/>
  <c r="D2621" i="1"/>
  <c r="E2621" i="1"/>
  <c r="F2621" i="1"/>
  <c r="G2621" i="1"/>
  <c r="H2621" i="1"/>
  <c r="A2622" i="1"/>
  <c r="B2622" i="1"/>
  <c r="C2622" i="1"/>
  <c r="D2622" i="1"/>
  <c r="E2622" i="1"/>
  <c r="F2622" i="1"/>
  <c r="G2622" i="1"/>
  <c r="H2622" i="1"/>
  <c r="A2623" i="1"/>
  <c r="B2623" i="1"/>
  <c r="C2623" i="1"/>
  <c r="D2623" i="1"/>
  <c r="E2623" i="1"/>
  <c r="F2623" i="1"/>
  <c r="G2623" i="1"/>
  <c r="H2623" i="1"/>
  <c r="A2624" i="1"/>
  <c r="B2624" i="1"/>
  <c r="C2624" i="1"/>
  <c r="D2624" i="1"/>
  <c r="E2624" i="1"/>
  <c r="F2624" i="1"/>
  <c r="G2624" i="1"/>
  <c r="H2624" i="1"/>
  <c r="A2625" i="1"/>
  <c r="B2625" i="1"/>
  <c r="C2625" i="1"/>
  <c r="D2625" i="1"/>
  <c r="E2625" i="1"/>
  <c r="F2625" i="1"/>
  <c r="G2625" i="1"/>
  <c r="H2625" i="1"/>
  <c r="A2626" i="1"/>
  <c r="B2626" i="1"/>
  <c r="C2626" i="1"/>
  <c r="D2626" i="1"/>
  <c r="E2626" i="1"/>
  <c r="F2626" i="1"/>
  <c r="G2626" i="1"/>
  <c r="H2626" i="1"/>
  <c r="A2627" i="1"/>
  <c r="B2627" i="1"/>
  <c r="C2627" i="1"/>
  <c r="D2627" i="1"/>
  <c r="E2627" i="1"/>
  <c r="F2627" i="1"/>
  <c r="G2627" i="1"/>
  <c r="H2627" i="1"/>
  <c r="A2628" i="1"/>
  <c r="B2628" i="1"/>
  <c r="C2628" i="1"/>
  <c r="D2628" i="1"/>
  <c r="E2628" i="1"/>
  <c r="F2628" i="1"/>
  <c r="G2628" i="1"/>
  <c r="H2628" i="1"/>
  <c r="A2629" i="1"/>
  <c r="B2629" i="1"/>
  <c r="C2629" i="1"/>
  <c r="D2629" i="1"/>
  <c r="E2629" i="1"/>
  <c r="F2629" i="1"/>
  <c r="G2629" i="1"/>
  <c r="H2629" i="1"/>
  <c r="A2630" i="1"/>
  <c r="B2630" i="1"/>
  <c r="C2630" i="1"/>
  <c r="D2630" i="1"/>
  <c r="E2630" i="1"/>
  <c r="F2630" i="1"/>
  <c r="G2630" i="1"/>
  <c r="H2630" i="1"/>
  <c r="A2631" i="1"/>
  <c r="B2631" i="1"/>
  <c r="C2631" i="1"/>
  <c r="D2631" i="1"/>
  <c r="E2631" i="1"/>
  <c r="F2631" i="1"/>
  <c r="G2631" i="1"/>
  <c r="H2631" i="1"/>
  <c r="A2632" i="1"/>
  <c r="B2632" i="1"/>
  <c r="C2632" i="1"/>
  <c r="D2632" i="1"/>
  <c r="E2632" i="1"/>
  <c r="F2632" i="1"/>
  <c r="G2632" i="1"/>
  <c r="H2632" i="1"/>
  <c r="A2633" i="1"/>
  <c r="B2633" i="1"/>
  <c r="C2633" i="1"/>
  <c r="D2633" i="1"/>
  <c r="E2633" i="1"/>
  <c r="F2633" i="1"/>
  <c r="G2633" i="1"/>
  <c r="H2633" i="1"/>
  <c r="A2634" i="1"/>
  <c r="B2634" i="1"/>
  <c r="C2634" i="1"/>
  <c r="D2634" i="1"/>
  <c r="E2634" i="1"/>
  <c r="F2634" i="1"/>
  <c r="G2634" i="1"/>
  <c r="H2634" i="1"/>
  <c r="A2635" i="1"/>
  <c r="B2635" i="1"/>
  <c r="C2635" i="1"/>
  <c r="D2635" i="1"/>
  <c r="E2635" i="1"/>
  <c r="F2635" i="1"/>
  <c r="G2635" i="1"/>
  <c r="H2635" i="1"/>
  <c r="A2636" i="1"/>
  <c r="B2636" i="1"/>
  <c r="C2636" i="1"/>
  <c r="D2636" i="1"/>
  <c r="E2636" i="1"/>
  <c r="F2636" i="1"/>
  <c r="G2636" i="1"/>
  <c r="H2636" i="1"/>
  <c r="A2637" i="1"/>
  <c r="B2637" i="1"/>
  <c r="C2637" i="1"/>
  <c r="D2637" i="1"/>
  <c r="E2637" i="1"/>
  <c r="F2637" i="1"/>
  <c r="G2637" i="1"/>
  <c r="H2637" i="1"/>
  <c r="A2638" i="1"/>
  <c r="B2638" i="1"/>
  <c r="C2638" i="1"/>
  <c r="D2638" i="1"/>
  <c r="E2638" i="1"/>
  <c r="F2638" i="1"/>
  <c r="G2638" i="1"/>
  <c r="H2638" i="1"/>
  <c r="A2639" i="1"/>
  <c r="B2639" i="1"/>
  <c r="C2639" i="1"/>
  <c r="D2639" i="1"/>
  <c r="E2639" i="1"/>
  <c r="F2639" i="1"/>
  <c r="G2639" i="1"/>
  <c r="H2639" i="1"/>
  <c r="A2640" i="1"/>
  <c r="B2640" i="1"/>
  <c r="C2640" i="1"/>
  <c r="D2640" i="1"/>
  <c r="E2640" i="1"/>
  <c r="F2640" i="1"/>
  <c r="G2640" i="1"/>
  <c r="H2640" i="1"/>
  <c r="A2641" i="1"/>
  <c r="B2641" i="1"/>
  <c r="C2641" i="1"/>
  <c r="D2641" i="1"/>
  <c r="E2641" i="1"/>
  <c r="F2641" i="1"/>
  <c r="G2641" i="1"/>
  <c r="H2641" i="1"/>
  <c r="A2642" i="1"/>
  <c r="B2642" i="1"/>
  <c r="C2642" i="1"/>
  <c r="D2642" i="1"/>
  <c r="E2642" i="1"/>
  <c r="F2642" i="1"/>
  <c r="G2642" i="1"/>
  <c r="H2642" i="1"/>
  <c r="A2643" i="1"/>
  <c r="B2643" i="1"/>
  <c r="C2643" i="1"/>
  <c r="D2643" i="1"/>
  <c r="E2643" i="1"/>
  <c r="F2643" i="1"/>
  <c r="G2643" i="1"/>
  <c r="H2643" i="1"/>
  <c r="A2644" i="1"/>
  <c r="B2644" i="1"/>
  <c r="C2644" i="1"/>
  <c r="D2644" i="1"/>
  <c r="E2644" i="1"/>
  <c r="F2644" i="1"/>
  <c r="G2644" i="1"/>
  <c r="H2644" i="1"/>
  <c r="A2645" i="1"/>
  <c r="B2645" i="1"/>
  <c r="C2645" i="1"/>
  <c r="D2645" i="1"/>
  <c r="E2645" i="1"/>
  <c r="F2645" i="1"/>
  <c r="G2645" i="1"/>
  <c r="H2645" i="1"/>
  <c r="A2646" i="1"/>
  <c r="B2646" i="1"/>
  <c r="C2646" i="1"/>
  <c r="D2646" i="1"/>
  <c r="E2646" i="1"/>
  <c r="F2646" i="1"/>
  <c r="G2646" i="1"/>
  <c r="H2646" i="1"/>
  <c r="A2647" i="1"/>
  <c r="B2647" i="1"/>
  <c r="C2647" i="1"/>
  <c r="D2647" i="1"/>
  <c r="E2647" i="1"/>
  <c r="F2647" i="1"/>
  <c r="G2647" i="1"/>
  <c r="H2647" i="1"/>
  <c r="A2648" i="1"/>
  <c r="B2648" i="1"/>
  <c r="C2648" i="1"/>
  <c r="D2648" i="1"/>
  <c r="E2648" i="1"/>
  <c r="F2648" i="1"/>
  <c r="G2648" i="1"/>
  <c r="H2648" i="1"/>
  <c r="A2649" i="1"/>
  <c r="B2649" i="1"/>
  <c r="C2649" i="1"/>
  <c r="D2649" i="1"/>
  <c r="E2649" i="1"/>
  <c r="F2649" i="1"/>
  <c r="G2649" i="1"/>
  <c r="H2649" i="1"/>
  <c r="A2650" i="1"/>
  <c r="B2650" i="1"/>
  <c r="C2650" i="1"/>
  <c r="D2650" i="1"/>
  <c r="E2650" i="1"/>
  <c r="F2650" i="1"/>
  <c r="G2650" i="1"/>
  <c r="H2650" i="1"/>
  <c r="A2651" i="1"/>
  <c r="B2651" i="1"/>
  <c r="C2651" i="1"/>
  <c r="D2651" i="1"/>
  <c r="E2651" i="1"/>
  <c r="F2651" i="1"/>
  <c r="G2651" i="1"/>
  <c r="H2651" i="1"/>
  <c r="A2652" i="1"/>
  <c r="B2652" i="1"/>
  <c r="C2652" i="1"/>
  <c r="D2652" i="1"/>
  <c r="E2652" i="1"/>
  <c r="F2652" i="1"/>
  <c r="G2652" i="1"/>
  <c r="H2652" i="1"/>
  <c r="A2653" i="1"/>
  <c r="B2653" i="1"/>
  <c r="C2653" i="1"/>
  <c r="D2653" i="1"/>
  <c r="E2653" i="1"/>
  <c r="F2653" i="1"/>
  <c r="G2653" i="1"/>
  <c r="H2653" i="1"/>
  <c r="A2654" i="1"/>
  <c r="B2654" i="1"/>
  <c r="C2654" i="1"/>
  <c r="D2654" i="1"/>
  <c r="E2654" i="1"/>
  <c r="F2654" i="1"/>
  <c r="G2654" i="1"/>
  <c r="H2654" i="1"/>
  <c r="A2655" i="1"/>
  <c r="B2655" i="1"/>
  <c r="C2655" i="1"/>
  <c r="D2655" i="1"/>
  <c r="E2655" i="1"/>
  <c r="F2655" i="1"/>
  <c r="G2655" i="1"/>
  <c r="H2655" i="1"/>
  <c r="A2656" i="1"/>
  <c r="B2656" i="1"/>
  <c r="C2656" i="1"/>
  <c r="D2656" i="1"/>
  <c r="E2656" i="1"/>
  <c r="F2656" i="1"/>
  <c r="G2656" i="1"/>
  <c r="H2656" i="1"/>
  <c r="A2657" i="1"/>
  <c r="B2657" i="1"/>
  <c r="C2657" i="1"/>
  <c r="D2657" i="1"/>
  <c r="E2657" i="1"/>
  <c r="F2657" i="1"/>
  <c r="G2657" i="1"/>
  <c r="H2657" i="1"/>
  <c r="A2658" i="1"/>
  <c r="B2658" i="1"/>
  <c r="C2658" i="1"/>
  <c r="D2658" i="1"/>
  <c r="E2658" i="1"/>
  <c r="F2658" i="1"/>
  <c r="G2658" i="1"/>
  <c r="H2658" i="1"/>
  <c r="A2659" i="1"/>
  <c r="B2659" i="1"/>
  <c r="C2659" i="1"/>
  <c r="D2659" i="1"/>
  <c r="E2659" i="1"/>
  <c r="F2659" i="1"/>
  <c r="G2659" i="1"/>
  <c r="H2659" i="1"/>
  <c r="A2660" i="1"/>
  <c r="B2660" i="1"/>
  <c r="C2660" i="1"/>
  <c r="D2660" i="1"/>
  <c r="E2660" i="1"/>
  <c r="F2660" i="1"/>
  <c r="G2660" i="1"/>
  <c r="H2660" i="1"/>
  <c r="A2661" i="1"/>
  <c r="B2661" i="1"/>
  <c r="C2661" i="1"/>
  <c r="D2661" i="1"/>
  <c r="E2661" i="1"/>
  <c r="F2661" i="1"/>
  <c r="G2661" i="1"/>
  <c r="H2661" i="1"/>
  <c r="A2662" i="1"/>
  <c r="B2662" i="1"/>
  <c r="C2662" i="1"/>
  <c r="D2662" i="1"/>
  <c r="E2662" i="1"/>
  <c r="F2662" i="1"/>
  <c r="G2662" i="1"/>
  <c r="H2662" i="1"/>
  <c r="A2663" i="1"/>
  <c r="B2663" i="1"/>
  <c r="C2663" i="1"/>
  <c r="D2663" i="1"/>
  <c r="E2663" i="1"/>
  <c r="F2663" i="1"/>
  <c r="G2663" i="1"/>
  <c r="H2663" i="1"/>
  <c r="A2664" i="1"/>
  <c r="B2664" i="1"/>
  <c r="C2664" i="1"/>
  <c r="D2664" i="1"/>
  <c r="E2664" i="1"/>
  <c r="F2664" i="1"/>
  <c r="G2664" i="1"/>
  <c r="H2664" i="1"/>
  <c r="A2665" i="1"/>
  <c r="B2665" i="1"/>
  <c r="C2665" i="1"/>
  <c r="D2665" i="1"/>
  <c r="E2665" i="1"/>
  <c r="F2665" i="1"/>
  <c r="G2665" i="1"/>
  <c r="H2665" i="1"/>
  <c r="A2666" i="1"/>
  <c r="B2666" i="1"/>
  <c r="C2666" i="1"/>
  <c r="D2666" i="1"/>
  <c r="E2666" i="1"/>
  <c r="F2666" i="1"/>
  <c r="G2666" i="1"/>
  <c r="H2666" i="1"/>
  <c r="A2667" i="1"/>
  <c r="B2667" i="1"/>
  <c r="C2667" i="1"/>
  <c r="D2667" i="1"/>
  <c r="E2667" i="1"/>
  <c r="F2667" i="1"/>
  <c r="G2667" i="1"/>
  <c r="H2667" i="1"/>
  <c r="A2668" i="1"/>
  <c r="B2668" i="1"/>
  <c r="C2668" i="1"/>
  <c r="D2668" i="1"/>
  <c r="E2668" i="1"/>
  <c r="F2668" i="1"/>
  <c r="G2668" i="1"/>
  <c r="H2668" i="1"/>
  <c r="A2669" i="1"/>
  <c r="B2669" i="1"/>
  <c r="C2669" i="1"/>
  <c r="D2669" i="1"/>
  <c r="E2669" i="1"/>
  <c r="F2669" i="1"/>
  <c r="G2669" i="1"/>
  <c r="H2669" i="1"/>
  <c r="A2670" i="1"/>
  <c r="B2670" i="1"/>
  <c r="C2670" i="1"/>
  <c r="D2670" i="1"/>
  <c r="E2670" i="1"/>
  <c r="F2670" i="1"/>
  <c r="G2670" i="1"/>
  <c r="H2670" i="1"/>
  <c r="A2671" i="1"/>
  <c r="B2671" i="1"/>
  <c r="C2671" i="1"/>
  <c r="D2671" i="1"/>
  <c r="E2671" i="1"/>
  <c r="F2671" i="1"/>
  <c r="G2671" i="1"/>
  <c r="H2671" i="1"/>
  <c r="A2672" i="1"/>
  <c r="B2672" i="1"/>
  <c r="C2672" i="1"/>
  <c r="D2672" i="1"/>
  <c r="E2672" i="1"/>
  <c r="F2672" i="1"/>
  <c r="G2672" i="1"/>
  <c r="H2672" i="1"/>
  <c r="A2673" i="1"/>
  <c r="B2673" i="1"/>
  <c r="C2673" i="1"/>
  <c r="D2673" i="1"/>
  <c r="E2673" i="1"/>
  <c r="F2673" i="1"/>
  <c r="G2673" i="1"/>
  <c r="H2673" i="1"/>
  <c r="A2674" i="1"/>
  <c r="B2674" i="1"/>
  <c r="C2674" i="1"/>
  <c r="D2674" i="1"/>
  <c r="E2674" i="1"/>
  <c r="F2674" i="1"/>
  <c r="G2674" i="1"/>
  <c r="H2674" i="1"/>
  <c r="A2675" i="1"/>
  <c r="B2675" i="1"/>
  <c r="C2675" i="1"/>
  <c r="D2675" i="1"/>
  <c r="E2675" i="1"/>
  <c r="F2675" i="1"/>
  <c r="G2675" i="1"/>
  <c r="H2675" i="1"/>
  <c r="A2676" i="1"/>
  <c r="B2676" i="1"/>
  <c r="C2676" i="1"/>
  <c r="D2676" i="1"/>
  <c r="E2676" i="1"/>
  <c r="F2676" i="1"/>
  <c r="G2676" i="1"/>
  <c r="H2676" i="1"/>
  <c r="A2677" i="1"/>
  <c r="B2677" i="1"/>
  <c r="C2677" i="1"/>
  <c r="D2677" i="1"/>
  <c r="E2677" i="1"/>
  <c r="F2677" i="1"/>
  <c r="G2677" i="1"/>
  <c r="H2677" i="1"/>
  <c r="A2678" i="1"/>
  <c r="B2678" i="1"/>
  <c r="C2678" i="1"/>
  <c r="D2678" i="1"/>
  <c r="E2678" i="1"/>
  <c r="F2678" i="1"/>
  <c r="G2678" i="1"/>
  <c r="H2678" i="1"/>
  <c r="A2679" i="1"/>
  <c r="B2679" i="1"/>
  <c r="C2679" i="1"/>
  <c r="D2679" i="1"/>
  <c r="E2679" i="1"/>
  <c r="F2679" i="1"/>
  <c r="G2679" i="1"/>
  <c r="H2679" i="1"/>
  <c r="A2680" i="1"/>
  <c r="B2680" i="1"/>
  <c r="C2680" i="1"/>
  <c r="D2680" i="1"/>
  <c r="E2680" i="1"/>
  <c r="F2680" i="1"/>
  <c r="G2680" i="1"/>
  <c r="H2680" i="1"/>
  <c r="A2681" i="1"/>
  <c r="B2681" i="1"/>
  <c r="C2681" i="1"/>
  <c r="D2681" i="1"/>
  <c r="E2681" i="1"/>
  <c r="F2681" i="1"/>
  <c r="G2681" i="1"/>
  <c r="H2681" i="1"/>
  <c r="A2682" i="1"/>
  <c r="B2682" i="1"/>
  <c r="C2682" i="1"/>
  <c r="D2682" i="1"/>
  <c r="E2682" i="1"/>
  <c r="F2682" i="1"/>
  <c r="G2682" i="1"/>
  <c r="H2682" i="1"/>
  <c r="A2683" i="1"/>
  <c r="B2683" i="1"/>
  <c r="C2683" i="1"/>
  <c r="D2683" i="1"/>
  <c r="E2683" i="1"/>
  <c r="F2683" i="1"/>
  <c r="G2683" i="1"/>
  <c r="H2683" i="1"/>
  <c r="A2684" i="1"/>
  <c r="B2684" i="1"/>
  <c r="C2684" i="1"/>
  <c r="D2684" i="1"/>
  <c r="E2684" i="1"/>
  <c r="F2684" i="1"/>
  <c r="G2684" i="1"/>
  <c r="H2684" i="1"/>
  <c r="A2685" i="1"/>
  <c r="B2685" i="1"/>
  <c r="C2685" i="1"/>
  <c r="D2685" i="1"/>
  <c r="E2685" i="1"/>
  <c r="F2685" i="1"/>
  <c r="G2685" i="1"/>
  <c r="H2685" i="1"/>
  <c r="A2686" i="1"/>
  <c r="B2686" i="1"/>
  <c r="C2686" i="1"/>
  <c r="D2686" i="1"/>
  <c r="E2686" i="1"/>
  <c r="F2686" i="1"/>
  <c r="G2686" i="1"/>
  <c r="H2686" i="1"/>
  <c r="A2687" i="1"/>
  <c r="B2687" i="1"/>
  <c r="C2687" i="1"/>
  <c r="D2687" i="1"/>
  <c r="E2687" i="1"/>
  <c r="F2687" i="1"/>
  <c r="G2687" i="1"/>
  <c r="H2687" i="1"/>
  <c r="A2688" i="1"/>
  <c r="B2688" i="1"/>
  <c r="C2688" i="1"/>
  <c r="D2688" i="1"/>
  <c r="E2688" i="1"/>
  <c r="F2688" i="1"/>
  <c r="G2688" i="1"/>
  <c r="H2688" i="1"/>
  <c r="A2689" i="1"/>
  <c r="B2689" i="1"/>
  <c r="C2689" i="1"/>
  <c r="D2689" i="1"/>
  <c r="E2689" i="1"/>
  <c r="F2689" i="1"/>
  <c r="G2689" i="1"/>
  <c r="H2689" i="1"/>
  <c r="A2690" i="1"/>
  <c r="B2690" i="1"/>
  <c r="C2690" i="1"/>
  <c r="D2690" i="1"/>
  <c r="E2690" i="1"/>
  <c r="F2690" i="1"/>
  <c r="G2690" i="1"/>
  <c r="H2690" i="1"/>
  <c r="A2691" i="1"/>
  <c r="B2691" i="1"/>
  <c r="C2691" i="1"/>
  <c r="D2691" i="1"/>
  <c r="E2691" i="1"/>
  <c r="F2691" i="1"/>
  <c r="G2691" i="1"/>
  <c r="H2691" i="1"/>
  <c r="A2692" i="1"/>
  <c r="B2692" i="1"/>
  <c r="C2692" i="1"/>
  <c r="D2692" i="1"/>
  <c r="E2692" i="1"/>
  <c r="F2692" i="1"/>
  <c r="G2692" i="1"/>
  <c r="H2692" i="1"/>
  <c r="A2693" i="1"/>
  <c r="B2693" i="1"/>
  <c r="C2693" i="1"/>
  <c r="D2693" i="1"/>
  <c r="E2693" i="1"/>
  <c r="F2693" i="1"/>
  <c r="G2693" i="1"/>
  <c r="H2693" i="1"/>
  <c r="A2694" i="1"/>
  <c r="B2694" i="1"/>
  <c r="C2694" i="1"/>
  <c r="D2694" i="1"/>
  <c r="E2694" i="1"/>
  <c r="F2694" i="1"/>
  <c r="G2694" i="1"/>
  <c r="H2694" i="1"/>
  <c r="A2695" i="1"/>
  <c r="B2695" i="1"/>
  <c r="C2695" i="1"/>
  <c r="D2695" i="1"/>
  <c r="E2695" i="1"/>
  <c r="F2695" i="1"/>
  <c r="G2695" i="1"/>
  <c r="H2695" i="1"/>
  <c r="A2696" i="1"/>
  <c r="B2696" i="1"/>
  <c r="C2696" i="1"/>
  <c r="D2696" i="1"/>
  <c r="E2696" i="1"/>
  <c r="F2696" i="1"/>
  <c r="G2696" i="1"/>
  <c r="H2696" i="1"/>
  <c r="A2697" i="1"/>
  <c r="B2697" i="1"/>
  <c r="C2697" i="1"/>
  <c r="D2697" i="1"/>
  <c r="E2697" i="1"/>
  <c r="F2697" i="1"/>
  <c r="G2697" i="1"/>
  <c r="H2697" i="1"/>
  <c r="A2698" i="1"/>
  <c r="B2698" i="1"/>
  <c r="C2698" i="1"/>
  <c r="D2698" i="1"/>
  <c r="E2698" i="1"/>
  <c r="F2698" i="1"/>
  <c r="G2698" i="1"/>
  <c r="H2698" i="1"/>
  <c r="A2699" i="1"/>
  <c r="B2699" i="1"/>
  <c r="C2699" i="1"/>
  <c r="D2699" i="1"/>
  <c r="E2699" i="1"/>
  <c r="F2699" i="1"/>
  <c r="G2699" i="1"/>
  <c r="H2699" i="1"/>
  <c r="A2700" i="1"/>
  <c r="B2700" i="1"/>
  <c r="C2700" i="1"/>
  <c r="D2700" i="1"/>
  <c r="E2700" i="1"/>
  <c r="F2700" i="1"/>
  <c r="G2700" i="1"/>
  <c r="H2700" i="1"/>
  <c r="A2701" i="1"/>
  <c r="B2701" i="1"/>
  <c r="C2701" i="1"/>
  <c r="D2701" i="1"/>
  <c r="E2701" i="1"/>
  <c r="F2701" i="1"/>
  <c r="G2701" i="1"/>
  <c r="H2701" i="1"/>
  <c r="A2702" i="1"/>
  <c r="B2702" i="1"/>
  <c r="C2702" i="1"/>
  <c r="D2702" i="1"/>
  <c r="E2702" i="1"/>
  <c r="F2702" i="1"/>
  <c r="G2702" i="1"/>
  <c r="H2702" i="1"/>
  <c r="A2703" i="1"/>
  <c r="B2703" i="1"/>
  <c r="C2703" i="1"/>
  <c r="D2703" i="1"/>
  <c r="E2703" i="1"/>
  <c r="F2703" i="1"/>
  <c r="G2703" i="1"/>
  <c r="H2703" i="1"/>
  <c r="A2704" i="1"/>
  <c r="B2704" i="1"/>
  <c r="C2704" i="1"/>
  <c r="D2704" i="1"/>
  <c r="E2704" i="1"/>
  <c r="F2704" i="1"/>
  <c r="G2704" i="1"/>
  <c r="H2704" i="1"/>
  <c r="A2705" i="1"/>
  <c r="B2705" i="1"/>
  <c r="C2705" i="1"/>
  <c r="D2705" i="1"/>
  <c r="E2705" i="1"/>
  <c r="F2705" i="1"/>
  <c r="G2705" i="1"/>
  <c r="H2705" i="1"/>
  <c r="A2706" i="1"/>
  <c r="B2706" i="1"/>
  <c r="C2706" i="1"/>
  <c r="D2706" i="1"/>
  <c r="E2706" i="1"/>
  <c r="F2706" i="1"/>
  <c r="G2706" i="1"/>
  <c r="H2706" i="1"/>
  <c r="A2707" i="1"/>
  <c r="B2707" i="1"/>
  <c r="C2707" i="1"/>
  <c r="D2707" i="1"/>
  <c r="E2707" i="1"/>
  <c r="F2707" i="1"/>
  <c r="G2707" i="1"/>
  <c r="H2707" i="1"/>
  <c r="A2708" i="1"/>
  <c r="B2708" i="1"/>
  <c r="C2708" i="1"/>
  <c r="D2708" i="1"/>
  <c r="E2708" i="1"/>
  <c r="F2708" i="1"/>
  <c r="G2708" i="1"/>
  <c r="H2708" i="1"/>
  <c r="A2709" i="1"/>
  <c r="B2709" i="1"/>
  <c r="C2709" i="1"/>
  <c r="D2709" i="1"/>
  <c r="E2709" i="1"/>
  <c r="F2709" i="1"/>
  <c r="G2709" i="1"/>
  <c r="H2709" i="1"/>
  <c r="A2710" i="1"/>
  <c r="B2710" i="1"/>
  <c r="C2710" i="1"/>
  <c r="D2710" i="1"/>
  <c r="E2710" i="1"/>
  <c r="F2710" i="1"/>
  <c r="G2710" i="1"/>
  <c r="H2710" i="1"/>
  <c r="A2711" i="1"/>
  <c r="B2711" i="1"/>
  <c r="C2711" i="1"/>
  <c r="D2711" i="1"/>
  <c r="E2711" i="1"/>
  <c r="F2711" i="1"/>
  <c r="G2711" i="1"/>
  <c r="H2711" i="1"/>
  <c r="A2712" i="1"/>
  <c r="B2712" i="1"/>
  <c r="C2712" i="1"/>
  <c r="D2712" i="1"/>
  <c r="E2712" i="1"/>
  <c r="F2712" i="1"/>
  <c r="G2712" i="1"/>
  <c r="H2712" i="1"/>
  <c r="A2713" i="1"/>
  <c r="B2713" i="1"/>
  <c r="C2713" i="1"/>
  <c r="D2713" i="1"/>
  <c r="E2713" i="1"/>
  <c r="F2713" i="1"/>
  <c r="G2713" i="1"/>
  <c r="H2713" i="1"/>
  <c r="A2714" i="1"/>
  <c r="B2714" i="1"/>
  <c r="C2714" i="1"/>
  <c r="D2714" i="1"/>
  <c r="E2714" i="1"/>
  <c r="F2714" i="1"/>
  <c r="G2714" i="1"/>
  <c r="H2714" i="1"/>
  <c r="A2715" i="1"/>
  <c r="B2715" i="1"/>
  <c r="C2715" i="1"/>
  <c r="D2715" i="1"/>
  <c r="E2715" i="1"/>
  <c r="F2715" i="1"/>
  <c r="G2715" i="1"/>
  <c r="H2715" i="1"/>
  <c r="A2716" i="1"/>
  <c r="B2716" i="1"/>
  <c r="C2716" i="1"/>
  <c r="D2716" i="1"/>
  <c r="E2716" i="1"/>
  <c r="F2716" i="1"/>
  <c r="G2716" i="1"/>
  <c r="H2716" i="1"/>
  <c r="A2717" i="1"/>
  <c r="B2717" i="1"/>
  <c r="C2717" i="1"/>
  <c r="D2717" i="1"/>
  <c r="E2717" i="1"/>
  <c r="F2717" i="1"/>
  <c r="G2717" i="1"/>
  <c r="H2717" i="1"/>
  <c r="A2718" i="1"/>
  <c r="B2718" i="1"/>
  <c r="C2718" i="1"/>
  <c r="D2718" i="1"/>
  <c r="E2718" i="1"/>
  <c r="F2718" i="1"/>
  <c r="G2718" i="1"/>
  <c r="H2718" i="1"/>
  <c r="A2719" i="1"/>
  <c r="B2719" i="1"/>
  <c r="C2719" i="1"/>
  <c r="D2719" i="1"/>
  <c r="E2719" i="1"/>
  <c r="F2719" i="1"/>
  <c r="G2719" i="1"/>
  <c r="H2719" i="1"/>
  <c r="A2720" i="1"/>
  <c r="B2720" i="1"/>
  <c r="C2720" i="1"/>
  <c r="D2720" i="1"/>
  <c r="E2720" i="1"/>
  <c r="F2720" i="1"/>
  <c r="G2720" i="1"/>
  <c r="H2720" i="1"/>
  <c r="A2721" i="1"/>
  <c r="B2721" i="1"/>
  <c r="C2721" i="1"/>
  <c r="D2721" i="1"/>
  <c r="E2721" i="1"/>
  <c r="F2721" i="1"/>
  <c r="G2721" i="1"/>
  <c r="H2721" i="1"/>
  <c r="A2722" i="1"/>
  <c r="B2722" i="1"/>
  <c r="C2722" i="1"/>
  <c r="D2722" i="1"/>
  <c r="E2722" i="1"/>
  <c r="F2722" i="1"/>
  <c r="G2722" i="1"/>
  <c r="H2722" i="1"/>
  <c r="A2723" i="1"/>
  <c r="B2723" i="1"/>
  <c r="C2723" i="1"/>
  <c r="D2723" i="1"/>
  <c r="E2723" i="1"/>
  <c r="F2723" i="1"/>
  <c r="G2723" i="1"/>
  <c r="H2723" i="1"/>
  <c r="A2724" i="1"/>
  <c r="B2724" i="1"/>
  <c r="C2724" i="1"/>
  <c r="D2724" i="1"/>
  <c r="E2724" i="1"/>
  <c r="F2724" i="1"/>
  <c r="G2724" i="1"/>
  <c r="H2724" i="1"/>
  <c r="A2725" i="1"/>
  <c r="B2725" i="1"/>
  <c r="C2725" i="1"/>
  <c r="D2725" i="1"/>
  <c r="E2725" i="1"/>
  <c r="F2725" i="1"/>
  <c r="G2725" i="1"/>
  <c r="H2725" i="1"/>
  <c r="A2726" i="1"/>
  <c r="B2726" i="1"/>
  <c r="C2726" i="1"/>
  <c r="D2726" i="1"/>
  <c r="E2726" i="1"/>
  <c r="F2726" i="1"/>
  <c r="G2726" i="1"/>
  <c r="H2726" i="1"/>
  <c r="A2727" i="1"/>
  <c r="B2727" i="1"/>
  <c r="C2727" i="1"/>
  <c r="D2727" i="1"/>
  <c r="E2727" i="1"/>
  <c r="F2727" i="1"/>
  <c r="G2727" i="1"/>
  <c r="H2727" i="1"/>
  <c r="A2728" i="1"/>
  <c r="B2728" i="1"/>
  <c r="C2728" i="1"/>
  <c r="D2728" i="1"/>
  <c r="E2728" i="1"/>
  <c r="F2728" i="1"/>
  <c r="G2728" i="1"/>
  <c r="H2728" i="1"/>
  <c r="A2729" i="1"/>
  <c r="B2729" i="1"/>
  <c r="C2729" i="1"/>
  <c r="D2729" i="1"/>
  <c r="E2729" i="1"/>
  <c r="F2729" i="1"/>
  <c r="G2729" i="1"/>
  <c r="H2729" i="1"/>
  <c r="A2730" i="1"/>
  <c r="B2730" i="1"/>
  <c r="C2730" i="1"/>
  <c r="D2730" i="1"/>
  <c r="E2730" i="1"/>
  <c r="F2730" i="1"/>
  <c r="G2730" i="1"/>
  <c r="H2730" i="1"/>
  <c r="A2731" i="1"/>
  <c r="B2731" i="1"/>
  <c r="C2731" i="1"/>
  <c r="D2731" i="1"/>
  <c r="E2731" i="1"/>
  <c r="F2731" i="1"/>
  <c r="G2731" i="1"/>
  <c r="H2731" i="1"/>
  <c r="A2732" i="1"/>
  <c r="B2732" i="1"/>
  <c r="C2732" i="1"/>
  <c r="D2732" i="1"/>
  <c r="E2732" i="1"/>
  <c r="F2732" i="1"/>
  <c r="G2732" i="1"/>
  <c r="H2732" i="1"/>
  <c r="A2733" i="1"/>
  <c r="B2733" i="1"/>
  <c r="C2733" i="1"/>
  <c r="D2733" i="1"/>
  <c r="E2733" i="1"/>
  <c r="F2733" i="1"/>
  <c r="G2733" i="1"/>
  <c r="H2733" i="1"/>
  <c r="A2734" i="1"/>
  <c r="B2734" i="1"/>
  <c r="C2734" i="1"/>
  <c r="D2734" i="1"/>
  <c r="E2734" i="1"/>
  <c r="F2734" i="1"/>
  <c r="G2734" i="1"/>
  <c r="H2734" i="1"/>
  <c r="A2735" i="1"/>
  <c r="B2735" i="1"/>
  <c r="C2735" i="1"/>
  <c r="D2735" i="1"/>
  <c r="E2735" i="1"/>
  <c r="F2735" i="1"/>
  <c r="G2735" i="1"/>
  <c r="H2735" i="1"/>
  <c r="A2736" i="1"/>
  <c r="B2736" i="1"/>
  <c r="C2736" i="1"/>
  <c r="D2736" i="1"/>
  <c r="E2736" i="1"/>
  <c r="F2736" i="1"/>
  <c r="G2736" i="1"/>
  <c r="H2736" i="1"/>
  <c r="A2737" i="1"/>
  <c r="B2737" i="1"/>
  <c r="C2737" i="1"/>
  <c r="D2737" i="1"/>
  <c r="E2737" i="1"/>
  <c r="F2737" i="1"/>
  <c r="G2737" i="1"/>
  <c r="H2737" i="1"/>
  <c r="A2738" i="1"/>
  <c r="B2738" i="1"/>
  <c r="C2738" i="1"/>
  <c r="D2738" i="1"/>
  <c r="E2738" i="1"/>
  <c r="F2738" i="1"/>
  <c r="G2738" i="1"/>
  <c r="H2738" i="1"/>
  <c r="A2739" i="1"/>
  <c r="B2739" i="1"/>
  <c r="C2739" i="1"/>
  <c r="D2739" i="1"/>
  <c r="E2739" i="1"/>
  <c r="F2739" i="1"/>
  <c r="G2739" i="1"/>
  <c r="H2739" i="1"/>
  <c r="A2740" i="1"/>
  <c r="B2740" i="1"/>
  <c r="C2740" i="1"/>
  <c r="D2740" i="1"/>
  <c r="E2740" i="1"/>
  <c r="F2740" i="1"/>
  <c r="G2740" i="1"/>
  <c r="H2740" i="1"/>
  <c r="A2741" i="1"/>
  <c r="B2741" i="1"/>
  <c r="C2741" i="1"/>
  <c r="D2741" i="1"/>
  <c r="E2741" i="1"/>
  <c r="F2741" i="1"/>
  <c r="G2741" i="1"/>
  <c r="H2741" i="1"/>
  <c r="A2742" i="1"/>
  <c r="B2742" i="1"/>
  <c r="C2742" i="1"/>
  <c r="D2742" i="1"/>
  <c r="E2742" i="1"/>
  <c r="F2742" i="1"/>
  <c r="G2742" i="1"/>
  <c r="H2742" i="1"/>
  <c r="A2743" i="1"/>
  <c r="B2743" i="1"/>
  <c r="C2743" i="1"/>
  <c r="D2743" i="1"/>
  <c r="E2743" i="1"/>
  <c r="F2743" i="1"/>
  <c r="G2743" i="1"/>
  <c r="H2743" i="1"/>
  <c r="A2744" i="1"/>
  <c r="B2744" i="1"/>
  <c r="C2744" i="1"/>
  <c r="D2744" i="1"/>
  <c r="E2744" i="1"/>
  <c r="F2744" i="1"/>
  <c r="G2744" i="1"/>
  <c r="H2744" i="1"/>
  <c r="A2745" i="1"/>
  <c r="B2745" i="1"/>
  <c r="C2745" i="1"/>
  <c r="D2745" i="1"/>
  <c r="E2745" i="1"/>
  <c r="F2745" i="1"/>
  <c r="G2745" i="1"/>
  <c r="H2745" i="1"/>
  <c r="A2746" i="1"/>
  <c r="B2746" i="1"/>
  <c r="C2746" i="1"/>
  <c r="D2746" i="1"/>
  <c r="E2746" i="1"/>
  <c r="F2746" i="1"/>
  <c r="G2746" i="1"/>
  <c r="H2746" i="1"/>
  <c r="A2747" i="1"/>
  <c r="B2747" i="1"/>
  <c r="C2747" i="1"/>
  <c r="D2747" i="1"/>
  <c r="E2747" i="1"/>
  <c r="F2747" i="1"/>
  <c r="G2747" i="1"/>
  <c r="H2747" i="1"/>
  <c r="A2748" i="1"/>
  <c r="B2748" i="1"/>
  <c r="C2748" i="1"/>
  <c r="D2748" i="1"/>
  <c r="E2748" i="1"/>
  <c r="F2748" i="1"/>
  <c r="G2748" i="1"/>
  <c r="H2748" i="1"/>
  <c r="A2749" i="1"/>
  <c r="B2749" i="1"/>
  <c r="C2749" i="1"/>
  <c r="D2749" i="1"/>
  <c r="E2749" i="1"/>
  <c r="F2749" i="1"/>
  <c r="G2749" i="1"/>
  <c r="H2749" i="1"/>
  <c r="A2750" i="1"/>
  <c r="B2750" i="1"/>
  <c r="C2750" i="1"/>
  <c r="D2750" i="1"/>
  <c r="E2750" i="1"/>
  <c r="F2750" i="1"/>
  <c r="G2750" i="1"/>
  <c r="H2750" i="1"/>
  <c r="A2751" i="1"/>
  <c r="B2751" i="1"/>
  <c r="C2751" i="1"/>
  <c r="D2751" i="1"/>
  <c r="E2751" i="1"/>
  <c r="F2751" i="1"/>
  <c r="G2751" i="1"/>
  <c r="H2751" i="1"/>
  <c r="A2752" i="1"/>
  <c r="B2752" i="1"/>
  <c r="C2752" i="1"/>
  <c r="D2752" i="1"/>
  <c r="E2752" i="1"/>
  <c r="F2752" i="1"/>
  <c r="G2752" i="1"/>
  <c r="H2752" i="1"/>
  <c r="A2753" i="1"/>
  <c r="B2753" i="1"/>
  <c r="C2753" i="1"/>
  <c r="D2753" i="1"/>
  <c r="E2753" i="1"/>
  <c r="F2753" i="1"/>
  <c r="G2753" i="1"/>
  <c r="H2753" i="1"/>
  <c r="A2754" i="1"/>
  <c r="B2754" i="1"/>
  <c r="C2754" i="1"/>
  <c r="D2754" i="1"/>
  <c r="E2754" i="1"/>
  <c r="F2754" i="1"/>
  <c r="G2754" i="1"/>
  <c r="H2754" i="1"/>
  <c r="A2755" i="1"/>
  <c r="B2755" i="1"/>
  <c r="C2755" i="1"/>
  <c r="D2755" i="1"/>
  <c r="E2755" i="1"/>
  <c r="F2755" i="1"/>
  <c r="G2755" i="1"/>
  <c r="H2755" i="1"/>
  <c r="A2756" i="1"/>
  <c r="B2756" i="1"/>
  <c r="C2756" i="1"/>
  <c r="D2756" i="1"/>
  <c r="E2756" i="1"/>
  <c r="F2756" i="1"/>
  <c r="G2756" i="1"/>
  <c r="H2756" i="1"/>
  <c r="A2757" i="1"/>
  <c r="B2757" i="1"/>
  <c r="C2757" i="1"/>
  <c r="D2757" i="1"/>
  <c r="E2757" i="1"/>
  <c r="F2757" i="1"/>
  <c r="G2757" i="1"/>
  <c r="H2757" i="1"/>
  <c r="A2758" i="1"/>
  <c r="B2758" i="1"/>
  <c r="C2758" i="1"/>
  <c r="D2758" i="1"/>
  <c r="E2758" i="1"/>
  <c r="F2758" i="1"/>
  <c r="G2758" i="1"/>
  <c r="H2758" i="1"/>
  <c r="A2759" i="1"/>
  <c r="B2759" i="1"/>
  <c r="C2759" i="1"/>
  <c r="D2759" i="1"/>
  <c r="E2759" i="1"/>
  <c r="F2759" i="1"/>
  <c r="G2759" i="1"/>
  <c r="H2759" i="1"/>
  <c r="A2760" i="1"/>
  <c r="B2760" i="1"/>
  <c r="C2760" i="1"/>
  <c r="D2760" i="1"/>
  <c r="E2760" i="1"/>
  <c r="F2760" i="1"/>
  <c r="G2760" i="1"/>
  <c r="H2760" i="1"/>
  <c r="A2761" i="1"/>
  <c r="B2761" i="1"/>
  <c r="C2761" i="1"/>
  <c r="D2761" i="1"/>
  <c r="E2761" i="1"/>
  <c r="F2761" i="1"/>
  <c r="G2761" i="1"/>
  <c r="H2761" i="1"/>
  <c r="A2762" i="1"/>
  <c r="B2762" i="1"/>
  <c r="C2762" i="1"/>
  <c r="D2762" i="1"/>
  <c r="E2762" i="1"/>
  <c r="F2762" i="1"/>
  <c r="G2762" i="1"/>
  <c r="H2762" i="1"/>
  <c r="A2763" i="1"/>
  <c r="B2763" i="1"/>
  <c r="C2763" i="1"/>
  <c r="D2763" i="1"/>
  <c r="E2763" i="1"/>
  <c r="F2763" i="1"/>
  <c r="G2763" i="1"/>
  <c r="H2763" i="1"/>
  <c r="A2764" i="1"/>
  <c r="B2764" i="1"/>
  <c r="C2764" i="1"/>
  <c r="D2764" i="1"/>
  <c r="E2764" i="1"/>
  <c r="F2764" i="1"/>
  <c r="G2764" i="1"/>
  <c r="H2764" i="1"/>
  <c r="A2765" i="1"/>
  <c r="B2765" i="1"/>
  <c r="C2765" i="1"/>
  <c r="D2765" i="1"/>
  <c r="E2765" i="1"/>
  <c r="F2765" i="1"/>
  <c r="G2765" i="1"/>
  <c r="H2765" i="1"/>
  <c r="A2766" i="1"/>
  <c r="B2766" i="1"/>
  <c r="C2766" i="1"/>
  <c r="D2766" i="1"/>
  <c r="E2766" i="1"/>
  <c r="F2766" i="1"/>
  <c r="G2766" i="1"/>
  <c r="H2766" i="1"/>
  <c r="A2767" i="1"/>
  <c r="B2767" i="1"/>
  <c r="C2767" i="1"/>
  <c r="D2767" i="1"/>
  <c r="E2767" i="1"/>
  <c r="F2767" i="1"/>
  <c r="G2767" i="1"/>
  <c r="H2767" i="1"/>
  <c r="A2768" i="1"/>
  <c r="B2768" i="1"/>
  <c r="C2768" i="1"/>
  <c r="D2768" i="1"/>
  <c r="E2768" i="1"/>
  <c r="F2768" i="1"/>
  <c r="G2768" i="1"/>
  <c r="H2768" i="1"/>
  <c r="A2769" i="1"/>
  <c r="B2769" i="1"/>
  <c r="C2769" i="1"/>
  <c r="D2769" i="1"/>
  <c r="E2769" i="1"/>
  <c r="F2769" i="1"/>
  <c r="G2769" i="1"/>
  <c r="H2769" i="1"/>
  <c r="A2770" i="1"/>
  <c r="B2770" i="1"/>
  <c r="C2770" i="1"/>
  <c r="D2770" i="1"/>
  <c r="E2770" i="1"/>
  <c r="F2770" i="1"/>
  <c r="G2770" i="1"/>
  <c r="H2770" i="1"/>
  <c r="A2771" i="1"/>
  <c r="B2771" i="1"/>
  <c r="C2771" i="1"/>
  <c r="D2771" i="1"/>
  <c r="E2771" i="1"/>
  <c r="F2771" i="1"/>
  <c r="G2771" i="1"/>
  <c r="H2771" i="1"/>
  <c r="A2772" i="1"/>
  <c r="B2772" i="1"/>
  <c r="C2772" i="1"/>
  <c r="D2772" i="1"/>
  <c r="E2772" i="1"/>
  <c r="F2772" i="1"/>
  <c r="G2772" i="1"/>
  <c r="H2772" i="1"/>
  <c r="A2773" i="1"/>
  <c r="B2773" i="1"/>
  <c r="C2773" i="1"/>
  <c r="D2773" i="1"/>
  <c r="E2773" i="1"/>
  <c r="F2773" i="1"/>
  <c r="G2773" i="1"/>
  <c r="H2773" i="1"/>
  <c r="A2774" i="1"/>
  <c r="B2774" i="1"/>
  <c r="C2774" i="1"/>
  <c r="D2774" i="1"/>
  <c r="E2774" i="1"/>
  <c r="F2774" i="1"/>
  <c r="G2774" i="1"/>
  <c r="H2774" i="1"/>
  <c r="A2775" i="1"/>
  <c r="B2775" i="1"/>
  <c r="C2775" i="1"/>
  <c r="D2775" i="1"/>
  <c r="E2775" i="1"/>
  <c r="F2775" i="1"/>
  <c r="G2775" i="1"/>
  <c r="H2775" i="1"/>
  <c r="A2776" i="1"/>
  <c r="B2776" i="1"/>
  <c r="C2776" i="1"/>
  <c r="D2776" i="1"/>
  <c r="E2776" i="1"/>
  <c r="F2776" i="1"/>
  <c r="G2776" i="1"/>
  <c r="H2776" i="1"/>
  <c r="A2777" i="1"/>
  <c r="B2777" i="1"/>
  <c r="C2777" i="1"/>
  <c r="D2777" i="1"/>
  <c r="E2777" i="1"/>
  <c r="F2777" i="1"/>
  <c r="G2777" i="1"/>
  <c r="H2777" i="1"/>
  <c r="A2778" i="1"/>
  <c r="B2778" i="1"/>
  <c r="C2778" i="1"/>
  <c r="D2778" i="1"/>
  <c r="E2778" i="1"/>
  <c r="F2778" i="1"/>
  <c r="G2778" i="1"/>
  <c r="H2778" i="1"/>
  <c r="A2779" i="1"/>
  <c r="B2779" i="1"/>
  <c r="C2779" i="1"/>
  <c r="D2779" i="1"/>
  <c r="E2779" i="1"/>
  <c r="F2779" i="1"/>
  <c r="G2779" i="1"/>
  <c r="H2779" i="1"/>
  <c r="A2780" i="1"/>
  <c r="B2780" i="1"/>
  <c r="C2780" i="1"/>
  <c r="D2780" i="1"/>
  <c r="E2780" i="1"/>
  <c r="F2780" i="1"/>
  <c r="G2780" i="1"/>
  <c r="H2780" i="1"/>
  <c r="A2781" i="1"/>
  <c r="B2781" i="1"/>
  <c r="C2781" i="1"/>
  <c r="D2781" i="1"/>
  <c r="E2781" i="1"/>
  <c r="F2781" i="1"/>
  <c r="G2781" i="1"/>
  <c r="H2781" i="1"/>
  <c r="A2782" i="1"/>
  <c r="B2782" i="1"/>
  <c r="C2782" i="1"/>
  <c r="D2782" i="1"/>
  <c r="E2782" i="1"/>
  <c r="F2782" i="1"/>
  <c r="G2782" i="1"/>
  <c r="H2782" i="1"/>
  <c r="A2783" i="1"/>
  <c r="B2783" i="1"/>
  <c r="C2783" i="1"/>
  <c r="D2783" i="1"/>
  <c r="E2783" i="1"/>
  <c r="F2783" i="1"/>
  <c r="G2783" i="1"/>
  <c r="H2783" i="1"/>
  <c r="A2784" i="1"/>
  <c r="B2784" i="1"/>
  <c r="C2784" i="1"/>
  <c r="D2784" i="1"/>
  <c r="E2784" i="1"/>
  <c r="F2784" i="1"/>
  <c r="G2784" i="1"/>
  <c r="H2784" i="1"/>
  <c r="A2785" i="1"/>
  <c r="B2785" i="1"/>
  <c r="C2785" i="1"/>
  <c r="D2785" i="1"/>
  <c r="E2785" i="1"/>
  <c r="F2785" i="1"/>
  <c r="G2785" i="1"/>
  <c r="H2785" i="1"/>
  <c r="A2786" i="1"/>
  <c r="B2786" i="1"/>
  <c r="C2786" i="1"/>
  <c r="D2786" i="1"/>
  <c r="E2786" i="1"/>
  <c r="F2786" i="1"/>
  <c r="G2786" i="1"/>
  <c r="H2786" i="1"/>
  <c r="A2787" i="1"/>
  <c r="B2787" i="1"/>
  <c r="C2787" i="1"/>
  <c r="D2787" i="1"/>
  <c r="E2787" i="1"/>
  <c r="F2787" i="1"/>
  <c r="G2787" i="1"/>
  <c r="H2787" i="1"/>
  <c r="A2788" i="1"/>
  <c r="B2788" i="1"/>
  <c r="C2788" i="1"/>
  <c r="D2788" i="1"/>
  <c r="E2788" i="1"/>
  <c r="F2788" i="1"/>
  <c r="G2788" i="1"/>
  <c r="H2788" i="1"/>
  <c r="A2789" i="1"/>
  <c r="B2789" i="1"/>
  <c r="C2789" i="1"/>
  <c r="D2789" i="1"/>
  <c r="E2789" i="1"/>
  <c r="F2789" i="1"/>
  <c r="G2789" i="1"/>
  <c r="H2789" i="1"/>
  <c r="A2790" i="1"/>
  <c r="B2790" i="1"/>
  <c r="C2790" i="1"/>
  <c r="D2790" i="1"/>
  <c r="E2790" i="1"/>
  <c r="F2790" i="1"/>
  <c r="G2790" i="1"/>
  <c r="H2790" i="1"/>
  <c r="A2791" i="1"/>
  <c r="B2791" i="1"/>
  <c r="C2791" i="1"/>
  <c r="D2791" i="1"/>
  <c r="E2791" i="1"/>
  <c r="F2791" i="1"/>
  <c r="G2791" i="1"/>
  <c r="H2791" i="1"/>
  <c r="A2792" i="1"/>
  <c r="B2792" i="1"/>
  <c r="C2792" i="1"/>
  <c r="D2792" i="1"/>
  <c r="E2792" i="1"/>
  <c r="F2792" i="1"/>
  <c r="G2792" i="1"/>
  <c r="H2792" i="1"/>
  <c r="A2793" i="1"/>
  <c r="B2793" i="1"/>
  <c r="C2793" i="1"/>
  <c r="D2793" i="1"/>
  <c r="E2793" i="1"/>
  <c r="F2793" i="1"/>
  <c r="G2793" i="1"/>
  <c r="H2793" i="1"/>
  <c r="A2794" i="1"/>
  <c r="B2794" i="1"/>
  <c r="C2794" i="1"/>
  <c r="D2794" i="1"/>
  <c r="E2794" i="1"/>
  <c r="F2794" i="1"/>
  <c r="G2794" i="1"/>
  <c r="H2794" i="1"/>
  <c r="A2795" i="1"/>
  <c r="B2795" i="1"/>
  <c r="C2795" i="1"/>
  <c r="D2795" i="1"/>
  <c r="E2795" i="1"/>
  <c r="F2795" i="1"/>
  <c r="G2795" i="1"/>
  <c r="H2795" i="1"/>
  <c r="A2796" i="1"/>
  <c r="B2796" i="1"/>
  <c r="C2796" i="1"/>
  <c r="D2796" i="1"/>
  <c r="E2796" i="1"/>
  <c r="F2796" i="1"/>
  <c r="G2796" i="1"/>
  <c r="H2796" i="1"/>
  <c r="A2797" i="1"/>
  <c r="B2797" i="1"/>
  <c r="C2797" i="1"/>
  <c r="D2797" i="1"/>
  <c r="E2797" i="1"/>
  <c r="F2797" i="1"/>
  <c r="G2797" i="1"/>
  <c r="H2797" i="1"/>
  <c r="A2798" i="1"/>
  <c r="B2798" i="1"/>
  <c r="C2798" i="1"/>
  <c r="D2798" i="1"/>
  <c r="E2798" i="1"/>
  <c r="F2798" i="1"/>
  <c r="G2798" i="1"/>
  <c r="H2798" i="1"/>
  <c r="A2799" i="1"/>
  <c r="B2799" i="1"/>
  <c r="C2799" i="1"/>
  <c r="D2799" i="1"/>
  <c r="E2799" i="1"/>
  <c r="F2799" i="1"/>
  <c r="G2799" i="1"/>
  <c r="H2799" i="1"/>
  <c r="A2800" i="1"/>
  <c r="B2800" i="1"/>
  <c r="C2800" i="1"/>
  <c r="D2800" i="1"/>
  <c r="E2800" i="1"/>
  <c r="F2800" i="1"/>
  <c r="G2800" i="1"/>
  <c r="H2800" i="1"/>
  <c r="A2801" i="1"/>
  <c r="B2801" i="1"/>
  <c r="C2801" i="1"/>
  <c r="D2801" i="1"/>
  <c r="E2801" i="1"/>
  <c r="F2801" i="1"/>
  <c r="G2801" i="1"/>
  <c r="H2801" i="1"/>
  <c r="A2802" i="1"/>
  <c r="B2802" i="1"/>
  <c r="C2802" i="1"/>
  <c r="D2802" i="1"/>
  <c r="E2802" i="1"/>
  <c r="F2802" i="1"/>
  <c r="G2802" i="1"/>
  <c r="H2802" i="1"/>
  <c r="A2803" i="1"/>
  <c r="B2803" i="1"/>
  <c r="C2803" i="1"/>
  <c r="D2803" i="1"/>
  <c r="E2803" i="1"/>
  <c r="F2803" i="1"/>
  <c r="G2803" i="1"/>
  <c r="H2803" i="1"/>
  <c r="A2804" i="1"/>
  <c r="B2804" i="1"/>
  <c r="C2804" i="1"/>
  <c r="D2804" i="1"/>
  <c r="E2804" i="1"/>
  <c r="F2804" i="1"/>
  <c r="G2804" i="1"/>
  <c r="H2804" i="1"/>
  <c r="A2805" i="1"/>
  <c r="B2805" i="1"/>
  <c r="C2805" i="1"/>
  <c r="D2805" i="1"/>
  <c r="E2805" i="1"/>
  <c r="F2805" i="1"/>
  <c r="G2805" i="1"/>
  <c r="H2805" i="1"/>
  <c r="A2806" i="1"/>
  <c r="B2806" i="1"/>
  <c r="C2806" i="1"/>
  <c r="D2806" i="1"/>
  <c r="E2806" i="1"/>
  <c r="F2806" i="1"/>
  <c r="G2806" i="1"/>
  <c r="H2806" i="1"/>
  <c r="A2807" i="1"/>
  <c r="B2807" i="1"/>
  <c r="C2807" i="1"/>
  <c r="D2807" i="1"/>
  <c r="E2807" i="1"/>
  <c r="F2807" i="1"/>
  <c r="G2807" i="1"/>
  <c r="H2807" i="1"/>
  <c r="A2808" i="1"/>
  <c r="B2808" i="1"/>
  <c r="C2808" i="1"/>
  <c r="D2808" i="1"/>
  <c r="E2808" i="1"/>
  <c r="F2808" i="1"/>
  <c r="G2808" i="1"/>
  <c r="H2808" i="1"/>
  <c r="A2809" i="1"/>
  <c r="B2809" i="1"/>
  <c r="C2809" i="1"/>
  <c r="D2809" i="1"/>
  <c r="E2809" i="1"/>
  <c r="F2809" i="1"/>
  <c r="G2809" i="1"/>
  <c r="H2809" i="1"/>
  <c r="A2810" i="1"/>
  <c r="B2810" i="1"/>
  <c r="C2810" i="1"/>
  <c r="D2810" i="1"/>
  <c r="E2810" i="1"/>
  <c r="F2810" i="1"/>
  <c r="G2810" i="1"/>
  <c r="H2810" i="1"/>
  <c r="A2811" i="1"/>
  <c r="B2811" i="1"/>
  <c r="C2811" i="1"/>
  <c r="D2811" i="1"/>
  <c r="E2811" i="1"/>
  <c r="F2811" i="1"/>
  <c r="G2811" i="1"/>
  <c r="H2811" i="1"/>
  <c r="A2812" i="1"/>
  <c r="B2812" i="1"/>
  <c r="C2812" i="1"/>
  <c r="D2812" i="1"/>
  <c r="E2812" i="1"/>
  <c r="F2812" i="1"/>
  <c r="G2812" i="1"/>
  <c r="H2812" i="1"/>
  <c r="A2813" i="1"/>
  <c r="B2813" i="1"/>
  <c r="C2813" i="1"/>
  <c r="D2813" i="1"/>
  <c r="E2813" i="1"/>
  <c r="F2813" i="1"/>
  <c r="G2813" i="1"/>
  <c r="H2813" i="1"/>
  <c r="A2814" i="1"/>
  <c r="B2814" i="1"/>
  <c r="C2814" i="1"/>
  <c r="D2814" i="1"/>
  <c r="E2814" i="1"/>
  <c r="F2814" i="1"/>
  <c r="G2814" i="1"/>
  <c r="H2814" i="1"/>
  <c r="A2815" i="1"/>
  <c r="B2815" i="1"/>
  <c r="C2815" i="1"/>
  <c r="D2815" i="1"/>
  <c r="E2815" i="1"/>
  <c r="F2815" i="1"/>
  <c r="G2815" i="1"/>
  <c r="H2815" i="1"/>
  <c r="A2816" i="1"/>
  <c r="B2816" i="1"/>
  <c r="C2816" i="1"/>
  <c r="D2816" i="1"/>
  <c r="E2816" i="1"/>
  <c r="F2816" i="1"/>
  <c r="G2816" i="1"/>
  <c r="H2816" i="1"/>
  <c r="A2817" i="1"/>
  <c r="B2817" i="1"/>
  <c r="C2817" i="1"/>
  <c r="D2817" i="1"/>
  <c r="E2817" i="1"/>
  <c r="F2817" i="1"/>
  <c r="G2817" i="1"/>
  <c r="H2817" i="1"/>
  <c r="A2818" i="1"/>
  <c r="B2818" i="1"/>
  <c r="C2818" i="1"/>
  <c r="D2818" i="1"/>
  <c r="E2818" i="1"/>
  <c r="F2818" i="1"/>
  <c r="G2818" i="1"/>
  <c r="H2818" i="1"/>
  <c r="A2819" i="1"/>
  <c r="B2819" i="1"/>
  <c r="C2819" i="1"/>
  <c r="D2819" i="1"/>
  <c r="E2819" i="1"/>
  <c r="F2819" i="1"/>
  <c r="G2819" i="1"/>
  <c r="H2819" i="1"/>
  <c r="A2820" i="1"/>
  <c r="B2820" i="1"/>
  <c r="C2820" i="1"/>
  <c r="D2820" i="1"/>
  <c r="E2820" i="1"/>
  <c r="F2820" i="1"/>
  <c r="G2820" i="1"/>
  <c r="H2820" i="1"/>
  <c r="A2821" i="1"/>
  <c r="B2821" i="1"/>
  <c r="C2821" i="1"/>
  <c r="D2821" i="1"/>
  <c r="E2821" i="1"/>
  <c r="F2821" i="1"/>
  <c r="G2821" i="1"/>
  <c r="H2821" i="1"/>
  <c r="A2822" i="1"/>
  <c r="B2822" i="1"/>
  <c r="C2822" i="1"/>
  <c r="D2822" i="1"/>
  <c r="E2822" i="1"/>
  <c r="F2822" i="1"/>
  <c r="G2822" i="1"/>
  <c r="H2822" i="1"/>
  <c r="A2823" i="1"/>
  <c r="B2823" i="1"/>
  <c r="C2823" i="1"/>
  <c r="D2823" i="1"/>
  <c r="E2823" i="1"/>
  <c r="F2823" i="1"/>
  <c r="G2823" i="1"/>
  <c r="H2823" i="1"/>
  <c r="A2824" i="1"/>
  <c r="B2824" i="1"/>
  <c r="C2824" i="1"/>
  <c r="D2824" i="1"/>
  <c r="E2824" i="1"/>
  <c r="F2824" i="1"/>
  <c r="G2824" i="1"/>
  <c r="H2824" i="1"/>
  <c r="A2825" i="1"/>
  <c r="B2825" i="1"/>
  <c r="C2825" i="1"/>
  <c r="D2825" i="1"/>
  <c r="E2825" i="1"/>
  <c r="F2825" i="1"/>
  <c r="G2825" i="1"/>
  <c r="H2825" i="1"/>
  <c r="A2826" i="1"/>
  <c r="B2826" i="1"/>
  <c r="C2826" i="1"/>
  <c r="D2826" i="1"/>
  <c r="E2826" i="1"/>
  <c r="F2826" i="1"/>
  <c r="G2826" i="1"/>
  <c r="H2826" i="1"/>
  <c r="A2827" i="1"/>
  <c r="B2827" i="1"/>
  <c r="C2827" i="1"/>
  <c r="D2827" i="1"/>
  <c r="E2827" i="1"/>
  <c r="F2827" i="1"/>
  <c r="G2827" i="1"/>
  <c r="H2827" i="1"/>
  <c r="A2828" i="1"/>
  <c r="B2828" i="1"/>
  <c r="C2828" i="1"/>
  <c r="D2828" i="1"/>
  <c r="E2828" i="1"/>
  <c r="F2828" i="1"/>
  <c r="G2828" i="1"/>
  <c r="H2828" i="1"/>
  <c r="A2829" i="1"/>
  <c r="B2829" i="1"/>
  <c r="C2829" i="1"/>
  <c r="D2829" i="1"/>
  <c r="E2829" i="1"/>
  <c r="F2829" i="1"/>
  <c r="G2829" i="1"/>
  <c r="H2829" i="1"/>
  <c r="A2830" i="1"/>
  <c r="B2830" i="1"/>
  <c r="C2830" i="1"/>
  <c r="D2830" i="1"/>
  <c r="E2830" i="1"/>
  <c r="F2830" i="1"/>
  <c r="G2830" i="1"/>
  <c r="H2830" i="1"/>
  <c r="A2831" i="1"/>
  <c r="B2831" i="1"/>
  <c r="C2831" i="1"/>
  <c r="D2831" i="1"/>
  <c r="E2831" i="1"/>
  <c r="F2831" i="1"/>
  <c r="G2831" i="1"/>
  <c r="H2831" i="1"/>
  <c r="A2832" i="1"/>
  <c r="B2832" i="1"/>
  <c r="C2832" i="1"/>
  <c r="D2832" i="1"/>
  <c r="E2832" i="1"/>
  <c r="F2832" i="1"/>
  <c r="G2832" i="1"/>
  <c r="H2832" i="1"/>
  <c r="A2833" i="1"/>
  <c r="B2833" i="1"/>
  <c r="C2833" i="1"/>
  <c r="D2833" i="1"/>
  <c r="E2833" i="1"/>
  <c r="F2833" i="1"/>
  <c r="G2833" i="1"/>
  <c r="H2833" i="1"/>
  <c r="A2834" i="1"/>
  <c r="B2834" i="1"/>
  <c r="C2834" i="1"/>
  <c r="D2834" i="1"/>
  <c r="E2834" i="1"/>
  <c r="F2834" i="1"/>
  <c r="G2834" i="1"/>
  <c r="H2834" i="1"/>
  <c r="A2835" i="1"/>
  <c r="B2835" i="1"/>
  <c r="C2835" i="1"/>
  <c r="D2835" i="1"/>
  <c r="E2835" i="1"/>
  <c r="F2835" i="1"/>
  <c r="G2835" i="1"/>
  <c r="H2835" i="1"/>
  <c r="A2836" i="1"/>
  <c r="B2836" i="1"/>
  <c r="C2836" i="1"/>
  <c r="D2836" i="1"/>
  <c r="E2836" i="1"/>
  <c r="F2836" i="1"/>
  <c r="G2836" i="1"/>
  <c r="H2836" i="1"/>
  <c r="A2837" i="1"/>
  <c r="B2837" i="1"/>
  <c r="C2837" i="1"/>
  <c r="D2837" i="1"/>
  <c r="E2837" i="1"/>
  <c r="F2837" i="1"/>
  <c r="G2837" i="1"/>
  <c r="H2837" i="1"/>
  <c r="A2838" i="1"/>
  <c r="B2838" i="1"/>
  <c r="C2838" i="1"/>
  <c r="D2838" i="1"/>
  <c r="E2838" i="1"/>
  <c r="F2838" i="1"/>
  <c r="G2838" i="1"/>
  <c r="H2838" i="1"/>
  <c r="A2839" i="1"/>
  <c r="B2839" i="1"/>
  <c r="C2839" i="1"/>
  <c r="D2839" i="1"/>
  <c r="E2839" i="1"/>
  <c r="F2839" i="1"/>
  <c r="G2839" i="1"/>
  <c r="H2839" i="1"/>
  <c r="A2840" i="1"/>
  <c r="B2840" i="1"/>
  <c r="C2840" i="1"/>
  <c r="D2840" i="1"/>
  <c r="E2840" i="1"/>
  <c r="F2840" i="1"/>
  <c r="G2840" i="1"/>
  <c r="H2840" i="1"/>
  <c r="A2841" i="1"/>
  <c r="B2841" i="1"/>
  <c r="C2841" i="1"/>
  <c r="D2841" i="1"/>
  <c r="E2841" i="1"/>
  <c r="F2841" i="1"/>
  <c r="G2841" i="1"/>
  <c r="H2841" i="1"/>
  <c r="A2842" i="1"/>
  <c r="B2842" i="1"/>
  <c r="C2842" i="1"/>
  <c r="D2842" i="1"/>
  <c r="E2842" i="1"/>
  <c r="F2842" i="1"/>
  <c r="G2842" i="1"/>
  <c r="H2842" i="1"/>
  <c r="A2843" i="1"/>
  <c r="B2843" i="1"/>
  <c r="C2843" i="1"/>
  <c r="D2843" i="1"/>
  <c r="E2843" i="1"/>
  <c r="F2843" i="1"/>
  <c r="G2843" i="1"/>
  <c r="H2843" i="1"/>
  <c r="A2844" i="1"/>
  <c r="B2844" i="1"/>
  <c r="C2844" i="1"/>
  <c r="D2844" i="1"/>
  <c r="E2844" i="1"/>
  <c r="F2844" i="1"/>
  <c r="G2844" i="1"/>
  <c r="H2844" i="1"/>
  <c r="A2845" i="1"/>
  <c r="B2845" i="1"/>
  <c r="C2845" i="1"/>
  <c r="D2845" i="1"/>
  <c r="E2845" i="1"/>
  <c r="F2845" i="1"/>
  <c r="G2845" i="1"/>
  <c r="H2845" i="1"/>
  <c r="A2846" i="1"/>
  <c r="B2846" i="1"/>
  <c r="C2846" i="1"/>
  <c r="D2846" i="1"/>
  <c r="E2846" i="1"/>
  <c r="F2846" i="1"/>
  <c r="G2846" i="1"/>
  <c r="H2846" i="1"/>
  <c r="A2847" i="1"/>
  <c r="B2847" i="1"/>
  <c r="C2847" i="1"/>
  <c r="D2847" i="1"/>
  <c r="E2847" i="1"/>
  <c r="F2847" i="1"/>
  <c r="G2847" i="1"/>
  <c r="H2847" i="1"/>
  <c r="A2848" i="1"/>
  <c r="B2848" i="1"/>
  <c r="C2848" i="1"/>
  <c r="D2848" i="1"/>
  <c r="E2848" i="1"/>
  <c r="F2848" i="1"/>
  <c r="G2848" i="1"/>
  <c r="H2848" i="1"/>
  <c r="A2849" i="1"/>
  <c r="B2849" i="1"/>
  <c r="C2849" i="1"/>
  <c r="D2849" i="1"/>
  <c r="E2849" i="1"/>
  <c r="F2849" i="1"/>
  <c r="G2849" i="1"/>
  <c r="H2849" i="1"/>
  <c r="A2850" i="1"/>
  <c r="B2850" i="1"/>
  <c r="C2850" i="1"/>
  <c r="D2850" i="1"/>
  <c r="E2850" i="1"/>
  <c r="F2850" i="1"/>
  <c r="G2850" i="1"/>
  <c r="H2850" i="1"/>
  <c r="A2851" i="1"/>
  <c r="B2851" i="1"/>
  <c r="C2851" i="1"/>
  <c r="D2851" i="1"/>
  <c r="E2851" i="1"/>
  <c r="F2851" i="1"/>
  <c r="G2851" i="1"/>
  <c r="H2851" i="1"/>
  <c r="A2852" i="1"/>
  <c r="B2852" i="1"/>
  <c r="C2852" i="1"/>
  <c r="D2852" i="1"/>
  <c r="E2852" i="1"/>
  <c r="F2852" i="1"/>
  <c r="G2852" i="1"/>
  <c r="H2852" i="1"/>
  <c r="A2853" i="1"/>
  <c r="B2853" i="1"/>
  <c r="C2853" i="1"/>
  <c r="D2853" i="1"/>
  <c r="E2853" i="1"/>
  <c r="F2853" i="1"/>
  <c r="G2853" i="1"/>
  <c r="H2853" i="1"/>
  <c r="A2854" i="1"/>
  <c r="B2854" i="1"/>
  <c r="C2854" i="1"/>
  <c r="D2854" i="1"/>
  <c r="E2854" i="1"/>
  <c r="F2854" i="1"/>
  <c r="G2854" i="1"/>
  <c r="H2854" i="1"/>
  <c r="A2855" i="1"/>
  <c r="B2855" i="1"/>
  <c r="C2855" i="1"/>
  <c r="D2855" i="1"/>
  <c r="E2855" i="1"/>
  <c r="F2855" i="1"/>
  <c r="G2855" i="1"/>
  <c r="H2855" i="1"/>
  <c r="A2856" i="1"/>
  <c r="B2856" i="1"/>
  <c r="C2856" i="1"/>
  <c r="D2856" i="1"/>
  <c r="E2856" i="1"/>
  <c r="F2856" i="1"/>
  <c r="G2856" i="1"/>
  <c r="H2856" i="1"/>
  <c r="A2857" i="1"/>
  <c r="B2857" i="1"/>
  <c r="C2857" i="1"/>
  <c r="D2857" i="1"/>
  <c r="E2857" i="1"/>
  <c r="F2857" i="1"/>
  <c r="G2857" i="1"/>
  <c r="H2857" i="1"/>
  <c r="A2858" i="1"/>
  <c r="B2858" i="1"/>
  <c r="C2858" i="1"/>
  <c r="D2858" i="1"/>
  <c r="E2858" i="1"/>
  <c r="F2858" i="1"/>
  <c r="G2858" i="1"/>
  <c r="H2858" i="1"/>
  <c r="A2859" i="1"/>
  <c r="B2859" i="1"/>
  <c r="C2859" i="1"/>
  <c r="D2859" i="1"/>
  <c r="E2859" i="1"/>
  <c r="F2859" i="1"/>
  <c r="G2859" i="1"/>
  <c r="H2859" i="1"/>
  <c r="A2860" i="1"/>
  <c r="B2860" i="1"/>
  <c r="C2860" i="1"/>
  <c r="D2860" i="1"/>
  <c r="E2860" i="1"/>
  <c r="F2860" i="1"/>
  <c r="G2860" i="1"/>
  <c r="H2860" i="1"/>
  <c r="A2861" i="1"/>
  <c r="B2861" i="1"/>
  <c r="C2861" i="1"/>
  <c r="D2861" i="1"/>
  <c r="E2861" i="1"/>
  <c r="F2861" i="1"/>
  <c r="G2861" i="1"/>
  <c r="H2861" i="1"/>
  <c r="A2862" i="1"/>
  <c r="B2862" i="1"/>
  <c r="C2862" i="1"/>
  <c r="D2862" i="1"/>
  <c r="E2862" i="1"/>
  <c r="F2862" i="1"/>
  <c r="G2862" i="1"/>
  <c r="H2862" i="1"/>
  <c r="A2863" i="1"/>
  <c r="B2863" i="1"/>
  <c r="C2863" i="1"/>
  <c r="D2863" i="1"/>
  <c r="E2863" i="1"/>
  <c r="F2863" i="1"/>
  <c r="G2863" i="1"/>
  <c r="H2863" i="1"/>
  <c r="A2864" i="1"/>
  <c r="B2864" i="1"/>
  <c r="C2864" i="1"/>
  <c r="D2864" i="1"/>
  <c r="E2864" i="1"/>
  <c r="F2864" i="1"/>
  <c r="G2864" i="1"/>
  <c r="H2864" i="1"/>
  <c r="A2865" i="1"/>
  <c r="B2865" i="1"/>
  <c r="C2865" i="1"/>
  <c r="D2865" i="1"/>
  <c r="E2865" i="1"/>
  <c r="F2865" i="1"/>
  <c r="G2865" i="1"/>
  <c r="H2865" i="1"/>
  <c r="A2866" i="1"/>
  <c r="B2866" i="1"/>
  <c r="C2866" i="1"/>
  <c r="D2866" i="1"/>
  <c r="E2866" i="1"/>
  <c r="F2866" i="1"/>
  <c r="G2866" i="1"/>
  <c r="H2866" i="1"/>
  <c r="A2867" i="1"/>
  <c r="B2867" i="1"/>
  <c r="C2867" i="1"/>
  <c r="D2867" i="1"/>
  <c r="E2867" i="1"/>
  <c r="F2867" i="1"/>
  <c r="G2867" i="1"/>
  <c r="H2867" i="1"/>
  <c r="A2868" i="1"/>
  <c r="B2868" i="1"/>
  <c r="C2868" i="1"/>
  <c r="D2868" i="1"/>
  <c r="E2868" i="1"/>
  <c r="F2868" i="1"/>
  <c r="G2868" i="1"/>
  <c r="H2868" i="1"/>
  <c r="A2869" i="1"/>
  <c r="B2869" i="1"/>
  <c r="C2869" i="1"/>
  <c r="D2869" i="1"/>
  <c r="E2869" i="1"/>
  <c r="F2869" i="1"/>
  <c r="G2869" i="1"/>
  <c r="H2869" i="1"/>
  <c r="A2870" i="1"/>
  <c r="B2870" i="1"/>
  <c r="C2870" i="1"/>
  <c r="D2870" i="1"/>
  <c r="E2870" i="1"/>
  <c r="F2870" i="1"/>
  <c r="G2870" i="1"/>
  <c r="H2870" i="1"/>
  <c r="A2871" i="1"/>
  <c r="B2871" i="1"/>
  <c r="C2871" i="1"/>
  <c r="D2871" i="1"/>
  <c r="E2871" i="1"/>
  <c r="F2871" i="1"/>
  <c r="G2871" i="1"/>
  <c r="H2871" i="1"/>
  <c r="A2872" i="1"/>
  <c r="B2872" i="1"/>
  <c r="C2872" i="1"/>
  <c r="D2872" i="1"/>
  <c r="E2872" i="1"/>
  <c r="F2872" i="1"/>
  <c r="G2872" i="1"/>
  <c r="H2872" i="1"/>
  <c r="A2873" i="1"/>
  <c r="B2873" i="1"/>
  <c r="C2873" i="1"/>
  <c r="D2873" i="1"/>
  <c r="E2873" i="1"/>
  <c r="F2873" i="1"/>
  <c r="G2873" i="1"/>
  <c r="H2873" i="1"/>
  <c r="A2874" i="1"/>
  <c r="B2874" i="1"/>
  <c r="C2874" i="1"/>
  <c r="D2874" i="1"/>
  <c r="E2874" i="1"/>
  <c r="F2874" i="1"/>
  <c r="G2874" i="1"/>
  <c r="H2874" i="1"/>
  <c r="A2875" i="1"/>
  <c r="B2875" i="1"/>
  <c r="C2875" i="1"/>
  <c r="D2875" i="1"/>
  <c r="E2875" i="1"/>
  <c r="F2875" i="1"/>
  <c r="G2875" i="1"/>
  <c r="H2875" i="1"/>
  <c r="A2876" i="1"/>
  <c r="B2876" i="1"/>
  <c r="C2876" i="1"/>
  <c r="D2876" i="1"/>
  <c r="E2876" i="1"/>
  <c r="F2876" i="1"/>
  <c r="G2876" i="1"/>
  <c r="H2876" i="1"/>
  <c r="A2877" i="1"/>
  <c r="B2877" i="1"/>
  <c r="C2877" i="1"/>
  <c r="D2877" i="1"/>
  <c r="E2877" i="1"/>
  <c r="F2877" i="1"/>
  <c r="G2877" i="1"/>
  <c r="H2877" i="1"/>
  <c r="A2878" i="1"/>
  <c r="B2878" i="1"/>
  <c r="C2878" i="1"/>
  <c r="D2878" i="1"/>
  <c r="E2878" i="1"/>
  <c r="F2878" i="1"/>
  <c r="G2878" i="1"/>
  <c r="H2878" i="1"/>
  <c r="A2879" i="1"/>
  <c r="B2879" i="1"/>
  <c r="C2879" i="1"/>
  <c r="D2879" i="1"/>
  <c r="E2879" i="1"/>
  <c r="F2879" i="1"/>
  <c r="G2879" i="1"/>
  <c r="H2879" i="1"/>
  <c r="A2880" i="1"/>
  <c r="B2880" i="1"/>
  <c r="C2880" i="1"/>
  <c r="D2880" i="1"/>
  <c r="E2880" i="1"/>
  <c r="F2880" i="1"/>
  <c r="G2880" i="1"/>
  <c r="H2880" i="1"/>
  <c r="A2881" i="1"/>
  <c r="B2881" i="1"/>
  <c r="C2881" i="1"/>
  <c r="D2881" i="1"/>
  <c r="E2881" i="1"/>
  <c r="F2881" i="1"/>
  <c r="G2881" i="1"/>
  <c r="H2881" i="1"/>
  <c r="A2882" i="1"/>
  <c r="B2882" i="1"/>
  <c r="C2882" i="1"/>
  <c r="D2882" i="1"/>
  <c r="E2882" i="1"/>
  <c r="F2882" i="1"/>
  <c r="G2882" i="1"/>
  <c r="H2882" i="1"/>
  <c r="A2883" i="1"/>
  <c r="B2883" i="1"/>
  <c r="C2883" i="1"/>
  <c r="D2883" i="1"/>
  <c r="E2883" i="1"/>
  <c r="F2883" i="1"/>
  <c r="G2883" i="1"/>
  <c r="H2883" i="1"/>
  <c r="A2884" i="1"/>
  <c r="B2884" i="1"/>
  <c r="C2884" i="1"/>
  <c r="D2884" i="1"/>
  <c r="E2884" i="1"/>
  <c r="F2884" i="1"/>
  <c r="G2884" i="1"/>
  <c r="H2884" i="1"/>
  <c r="A2885" i="1"/>
  <c r="B2885" i="1"/>
  <c r="C2885" i="1"/>
  <c r="D2885" i="1"/>
  <c r="E2885" i="1"/>
  <c r="F2885" i="1"/>
  <c r="G2885" i="1"/>
  <c r="H2885" i="1"/>
  <c r="A2886" i="1"/>
  <c r="B2886" i="1"/>
  <c r="C2886" i="1"/>
  <c r="D2886" i="1"/>
  <c r="E2886" i="1"/>
  <c r="F2886" i="1"/>
  <c r="G2886" i="1"/>
  <c r="H2886" i="1"/>
  <c r="A2887" i="1"/>
  <c r="B2887" i="1"/>
  <c r="C2887" i="1"/>
  <c r="D2887" i="1"/>
  <c r="E2887" i="1"/>
  <c r="F2887" i="1"/>
  <c r="G2887" i="1"/>
  <c r="H2887" i="1"/>
  <c r="A2888" i="1"/>
  <c r="B2888" i="1"/>
  <c r="C2888" i="1"/>
  <c r="D2888" i="1"/>
  <c r="E2888" i="1"/>
  <c r="F2888" i="1"/>
  <c r="G2888" i="1"/>
  <c r="H2888" i="1"/>
  <c r="A2889" i="1"/>
  <c r="B2889" i="1"/>
  <c r="C2889" i="1"/>
  <c r="D2889" i="1"/>
  <c r="E2889" i="1"/>
  <c r="F2889" i="1"/>
  <c r="G2889" i="1"/>
  <c r="H2889" i="1"/>
  <c r="A2890" i="1"/>
  <c r="B2890" i="1"/>
  <c r="C2890" i="1"/>
  <c r="D2890" i="1"/>
  <c r="E2890" i="1"/>
  <c r="F2890" i="1"/>
  <c r="G2890" i="1"/>
  <c r="H2890" i="1"/>
  <c r="A2891" i="1"/>
  <c r="B2891" i="1"/>
  <c r="C2891" i="1"/>
  <c r="D2891" i="1"/>
  <c r="E2891" i="1"/>
  <c r="F2891" i="1"/>
  <c r="G2891" i="1"/>
  <c r="H2891" i="1"/>
  <c r="A2892" i="1"/>
  <c r="B2892" i="1"/>
  <c r="C2892" i="1"/>
  <c r="D2892" i="1"/>
  <c r="E2892" i="1"/>
  <c r="F2892" i="1"/>
  <c r="G2892" i="1"/>
  <c r="H2892" i="1"/>
  <c r="A2893" i="1"/>
  <c r="B2893" i="1"/>
  <c r="C2893" i="1"/>
  <c r="D2893" i="1"/>
  <c r="E2893" i="1"/>
  <c r="F2893" i="1"/>
  <c r="G2893" i="1"/>
  <c r="H2893" i="1"/>
  <c r="A2894" i="1"/>
  <c r="B2894" i="1"/>
  <c r="C2894" i="1"/>
  <c r="D2894" i="1"/>
  <c r="E2894" i="1"/>
  <c r="F2894" i="1"/>
  <c r="G2894" i="1"/>
  <c r="H2894" i="1"/>
  <c r="A2895" i="1"/>
  <c r="B2895" i="1"/>
  <c r="C2895" i="1"/>
  <c r="D2895" i="1"/>
  <c r="E2895" i="1"/>
  <c r="F2895" i="1"/>
  <c r="G2895" i="1"/>
  <c r="H2895" i="1"/>
  <c r="A2896" i="1"/>
  <c r="B2896" i="1"/>
  <c r="C2896" i="1"/>
  <c r="D2896" i="1"/>
  <c r="E2896" i="1"/>
  <c r="F2896" i="1"/>
  <c r="G2896" i="1"/>
  <c r="H2896" i="1"/>
  <c r="A2897" i="1"/>
  <c r="B2897" i="1"/>
  <c r="C2897" i="1"/>
  <c r="D2897" i="1"/>
  <c r="E2897" i="1"/>
  <c r="F2897" i="1"/>
  <c r="G2897" i="1"/>
  <c r="H2897" i="1"/>
  <c r="A2898" i="1"/>
  <c r="B2898" i="1"/>
  <c r="C2898" i="1"/>
  <c r="D2898" i="1"/>
  <c r="E2898" i="1"/>
  <c r="F2898" i="1"/>
  <c r="G2898" i="1"/>
  <c r="H2898" i="1"/>
  <c r="A2899" i="1"/>
  <c r="B2899" i="1"/>
  <c r="C2899" i="1"/>
  <c r="D2899" i="1"/>
  <c r="E2899" i="1"/>
  <c r="F2899" i="1"/>
  <c r="G2899" i="1"/>
  <c r="H2899" i="1"/>
  <c r="A2900" i="1"/>
  <c r="B2900" i="1"/>
  <c r="C2900" i="1"/>
  <c r="D2900" i="1"/>
  <c r="E2900" i="1"/>
  <c r="F2900" i="1"/>
  <c r="G2900" i="1"/>
  <c r="H2900" i="1"/>
  <c r="A2901" i="1"/>
  <c r="B2901" i="1"/>
  <c r="C2901" i="1"/>
  <c r="D2901" i="1"/>
  <c r="E2901" i="1"/>
  <c r="F2901" i="1"/>
  <c r="G2901" i="1"/>
  <c r="H2901" i="1"/>
  <c r="A2902" i="1"/>
  <c r="B2902" i="1"/>
  <c r="C2902" i="1"/>
  <c r="D2902" i="1"/>
  <c r="E2902" i="1"/>
  <c r="F2902" i="1"/>
  <c r="G2902" i="1"/>
  <c r="H2902" i="1"/>
  <c r="A2903" i="1"/>
  <c r="B2903" i="1"/>
  <c r="C2903" i="1"/>
  <c r="D2903" i="1"/>
  <c r="E2903" i="1"/>
  <c r="F2903" i="1"/>
  <c r="G2903" i="1"/>
  <c r="H2903" i="1"/>
  <c r="A2904" i="1"/>
  <c r="B2904" i="1"/>
  <c r="C2904" i="1"/>
  <c r="D2904" i="1"/>
  <c r="E2904" i="1"/>
  <c r="F2904" i="1"/>
  <c r="G2904" i="1"/>
  <c r="H2904" i="1"/>
  <c r="A2905" i="1"/>
  <c r="B2905" i="1"/>
  <c r="C2905" i="1"/>
  <c r="D2905" i="1"/>
  <c r="E2905" i="1"/>
  <c r="F2905" i="1"/>
  <c r="G2905" i="1"/>
  <c r="H2905" i="1"/>
  <c r="A2906" i="1"/>
  <c r="B2906" i="1"/>
  <c r="C2906" i="1"/>
  <c r="D2906" i="1"/>
  <c r="E2906" i="1"/>
  <c r="F2906" i="1"/>
  <c r="G2906" i="1"/>
  <c r="H2906" i="1"/>
  <c r="A2907" i="1"/>
  <c r="B2907" i="1"/>
  <c r="C2907" i="1"/>
  <c r="D2907" i="1"/>
  <c r="E2907" i="1"/>
  <c r="F2907" i="1"/>
  <c r="G2907" i="1"/>
  <c r="H2907" i="1"/>
  <c r="A2908" i="1"/>
  <c r="B2908" i="1"/>
  <c r="C2908" i="1"/>
  <c r="D2908" i="1"/>
  <c r="E2908" i="1"/>
  <c r="F2908" i="1"/>
  <c r="G2908" i="1"/>
  <c r="H2908" i="1"/>
  <c r="A2909" i="1"/>
  <c r="B2909" i="1"/>
  <c r="C2909" i="1"/>
  <c r="D2909" i="1"/>
  <c r="E2909" i="1"/>
  <c r="F2909" i="1"/>
  <c r="G2909" i="1"/>
  <c r="H2909" i="1"/>
  <c r="A2910" i="1"/>
  <c r="B2910" i="1"/>
  <c r="C2910" i="1"/>
  <c r="D2910" i="1"/>
  <c r="E2910" i="1"/>
  <c r="F2910" i="1"/>
  <c r="G2910" i="1"/>
  <c r="H2910" i="1"/>
  <c r="A2911" i="1"/>
  <c r="B2911" i="1"/>
  <c r="C2911" i="1"/>
  <c r="D2911" i="1"/>
  <c r="E2911" i="1"/>
  <c r="F2911" i="1"/>
  <c r="G2911" i="1"/>
  <c r="H2911" i="1"/>
  <c r="A2912" i="1"/>
  <c r="B2912" i="1"/>
  <c r="C2912" i="1"/>
  <c r="D2912" i="1"/>
  <c r="E2912" i="1"/>
  <c r="F2912" i="1"/>
  <c r="G2912" i="1"/>
  <c r="H2912" i="1"/>
  <c r="A2913" i="1"/>
  <c r="B2913" i="1"/>
  <c r="C2913" i="1"/>
  <c r="D2913" i="1"/>
  <c r="E2913" i="1"/>
  <c r="F2913" i="1"/>
  <c r="G2913" i="1"/>
  <c r="H2913" i="1"/>
  <c r="A2914" i="1"/>
  <c r="B2914" i="1"/>
  <c r="C2914" i="1"/>
  <c r="D2914" i="1"/>
  <c r="E2914" i="1"/>
  <c r="F2914" i="1"/>
  <c r="G2914" i="1"/>
  <c r="H2914" i="1"/>
  <c r="A2915" i="1"/>
  <c r="B2915" i="1"/>
  <c r="C2915" i="1"/>
  <c r="D2915" i="1"/>
  <c r="E2915" i="1"/>
  <c r="F2915" i="1"/>
  <c r="G2915" i="1"/>
  <c r="H2915" i="1"/>
  <c r="A2916" i="1"/>
  <c r="B2916" i="1"/>
  <c r="C2916" i="1"/>
  <c r="D2916" i="1"/>
  <c r="E2916" i="1"/>
  <c r="F2916" i="1"/>
  <c r="G2916" i="1"/>
  <c r="H2916" i="1"/>
  <c r="A2917" i="1"/>
  <c r="B2917" i="1"/>
  <c r="C2917" i="1"/>
  <c r="D2917" i="1"/>
  <c r="E2917" i="1"/>
  <c r="F2917" i="1"/>
  <c r="G2917" i="1"/>
  <c r="H2917" i="1"/>
  <c r="A2918" i="1"/>
  <c r="B2918" i="1"/>
  <c r="C2918" i="1"/>
  <c r="D2918" i="1"/>
  <c r="E2918" i="1"/>
  <c r="F2918" i="1"/>
  <c r="G2918" i="1"/>
  <c r="H2918" i="1"/>
  <c r="A2919" i="1"/>
  <c r="B2919" i="1"/>
  <c r="C2919" i="1"/>
  <c r="D2919" i="1"/>
  <c r="E2919" i="1"/>
  <c r="F2919" i="1"/>
  <c r="G2919" i="1"/>
  <c r="H2919" i="1"/>
  <c r="A2920" i="1"/>
  <c r="B2920" i="1"/>
  <c r="C2920" i="1"/>
  <c r="D2920" i="1"/>
  <c r="E2920" i="1"/>
  <c r="F2920" i="1"/>
  <c r="G2920" i="1"/>
  <c r="H2920" i="1"/>
  <c r="A2921" i="1"/>
  <c r="B2921" i="1"/>
  <c r="C2921" i="1"/>
  <c r="D2921" i="1"/>
  <c r="E2921" i="1"/>
  <c r="F2921" i="1"/>
  <c r="G2921" i="1"/>
  <c r="H2921" i="1"/>
  <c r="A2922" i="1"/>
  <c r="B2922" i="1"/>
  <c r="C2922" i="1"/>
  <c r="D2922" i="1"/>
  <c r="E2922" i="1"/>
  <c r="F2922" i="1"/>
  <c r="G2922" i="1"/>
  <c r="H2922" i="1"/>
  <c r="A2923" i="1"/>
  <c r="B2923" i="1"/>
  <c r="C2923" i="1"/>
  <c r="D2923" i="1"/>
  <c r="E2923" i="1"/>
  <c r="F2923" i="1"/>
  <c r="G2923" i="1"/>
  <c r="H2923" i="1"/>
  <c r="A2924" i="1"/>
  <c r="B2924" i="1"/>
  <c r="C2924" i="1"/>
  <c r="D2924" i="1"/>
  <c r="E2924" i="1"/>
  <c r="F2924" i="1"/>
  <c r="G2924" i="1"/>
  <c r="H2924" i="1"/>
  <c r="A2925" i="1"/>
  <c r="B2925" i="1"/>
  <c r="C2925" i="1"/>
  <c r="D2925" i="1"/>
  <c r="E2925" i="1"/>
  <c r="F2925" i="1"/>
  <c r="G2925" i="1"/>
  <c r="H2925" i="1"/>
  <c r="A2926" i="1"/>
  <c r="B2926" i="1"/>
  <c r="C2926" i="1"/>
  <c r="D2926" i="1"/>
  <c r="E2926" i="1"/>
  <c r="F2926" i="1"/>
  <c r="G2926" i="1"/>
  <c r="H2926" i="1"/>
  <c r="A2927" i="1"/>
  <c r="B2927" i="1"/>
  <c r="C2927" i="1"/>
  <c r="D2927" i="1"/>
  <c r="E2927" i="1"/>
  <c r="F2927" i="1"/>
  <c r="G2927" i="1"/>
  <c r="H2927" i="1"/>
  <c r="A2928" i="1"/>
  <c r="B2928" i="1"/>
  <c r="C2928" i="1"/>
  <c r="D2928" i="1"/>
  <c r="E2928" i="1"/>
  <c r="F2928" i="1"/>
  <c r="G2928" i="1"/>
  <c r="H2928" i="1"/>
  <c r="A2929" i="1"/>
  <c r="B2929" i="1"/>
  <c r="C2929" i="1"/>
  <c r="D2929" i="1"/>
  <c r="E2929" i="1"/>
  <c r="F2929" i="1"/>
  <c r="G2929" i="1"/>
  <c r="H2929" i="1"/>
  <c r="A2930" i="1"/>
  <c r="B2930" i="1"/>
  <c r="C2930" i="1"/>
  <c r="D2930" i="1"/>
  <c r="E2930" i="1"/>
  <c r="F2930" i="1"/>
  <c r="G2930" i="1"/>
  <c r="H2930" i="1"/>
  <c r="A2931" i="1"/>
  <c r="B2931" i="1"/>
  <c r="C2931" i="1"/>
  <c r="D2931" i="1"/>
  <c r="E2931" i="1"/>
  <c r="F2931" i="1"/>
  <c r="G2931" i="1"/>
  <c r="H2931" i="1"/>
  <c r="A2932" i="1"/>
  <c r="B2932" i="1"/>
  <c r="C2932" i="1"/>
  <c r="D2932" i="1"/>
  <c r="E2932" i="1"/>
  <c r="F2932" i="1"/>
  <c r="G2932" i="1"/>
  <c r="H2932" i="1"/>
  <c r="A2933" i="1"/>
  <c r="B2933" i="1"/>
  <c r="C2933" i="1"/>
  <c r="D2933" i="1"/>
  <c r="E2933" i="1"/>
  <c r="F2933" i="1"/>
  <c r="G2933" i="1"/>
  <c r="H2933" i="1"/>
  <c r="A2934" i="1"/>
  <c r="B2934" i="1"/>
  <c r="C2934" i="1"/>
  <c r="D2934" i="1"/>
  <c r="E2934" i="1"/>
  <c r="F2934" i="1"/>
  <c r="G2934" i="1"/>
  <c r="H2934" i="1"/>
  <c r="A2935" i="1"/>
  <c r="B2935" i="1"/>
  <c r="C2935" i="1"/>
  <c r="D2935" i="1"/>
  <c r="E2935" i="1"/>
  <c r="F2935" i="1"/>
  <c r="G2935" i="1"/>
  <c r="H2935" i="1"/>
  <c r="A2936" i="1"/>
  <c r="B2936" i="1"/>
  <c r="C2936" i="1"/>
  <c r="D2936" i="1"/>
  <c r="E2936" i="1"/>
  <c r="F2936" i="1"/>
  <c r="G2936" i="1"/>
  <c r="H2936" i="1"/>
  <c r="A2937" i="1"/>
  <c r="B2937" i="1"/>
  <c r="C2937" i="1"/>
  <c r="D2937" i="1"/>
  <c r="E2937" i="1"/>
  <c r="F2937" i="1"/>
  <c r="G2937" i="1"/>
  <c r="H2937" i="1"/>
  <c r="A2938" i="1"/>
  <c r="B2938" i="1"/>
  <c r="C2938" i="1"/>
  <c r="D2938" i="1"/>
  <c r="E2938" i="1"/>
  <c r="F2938" i="1"/>
  <c r="G2938" i="1"/>
  <c r="H2938" i="1"/>
  <c r="A2939" i="1"/>
  <c r="B2939" i="1"/>
  <c r="C2939" i="1"/>
  <c r="D2939" i="1"/>
  <c r="E2939" i="1"/>
  <c r="F2939" i="1"/>
  <c r="G2939" i="1"/>
  <c r="H2939" i="1"/>
  <c r="A2940" i="1"/>
  <c r="B2940" i="1"/>
  <c r="C2940" i="1"/>
  <c r="D2940" i="1"/>
  <c r="E2940" i="1"/>
  <c r="F2940" i="1"/>
  <c r="G2940" i="1"/>
  <c r="H2940" i="1"/>
  <c r="A2941" i="1"/>
  <c r="B2941" i="1"/>
  <c r="C2941" i="1"/>
  <c r="D2941" i="1"/>
  <c r="E2941" i="1"/>
  <c r="F2941" i="1"/>
  <c r="G2941" i="1"/>
  <c r="H2941" i="1"/>
  <c r="A2942" i="1"/>
  <c r="B2942" i="1"/>
  <c r="C2942" i="1"/>
  <c r="D2942" i="1"/>
  <c r="E2942" i="1"/>
  <c r="F2942" i="1"/>
  <c r="G2942" i="1"/>
  <c r="H2942" i="1"/>
  <c r="A2943" i="1"/>
  <c r="B2943" i="1"/>
  <c r="C2943" i="1"/>
  <c r="D2943" i="1"/>
  <c r="E2943" i="1"/>
  <c r="F2943" i="1"/>
  <c r="G2943" i="1"/>
  <c r="H2943" i="1"/>
  <c r="A2944" i="1"/>
  <c r="B2944" i="1"/>
  <c r="C2944" i="1"/>
  <c r="D2944" i="1"/>
  <c r="E2944" i="1"/>
  <c r="F2944" i="1"/>
  <c r="G2944" i="1"/>
  <c r="H2944" i="1"/>
  <c r="A2945" i="1"/>
  <c r="B2945" i="1"/>
  <c r="C2945" i="1"/>
  <c r="D2945" i="1"/>
  <c r="E2945" i="1"/>
  <c r="F2945" i="1"/>
  <c r="G2945" i="1"/>
  <c r="H2945" i="1"/>
  <c r="A2946" i="1"/>
  <c r="B2946" i="1"/>
  <c r="C2946" i="1"/>
  <c r="D2946" i="1"/>
  <c r="E2946" i="1"/>
  <c r="F2946" i="1"/>
  <c r="G2946" i="1"/>
  <c r="H2946" i="1"/>
  <c r="A2947" i="1"/>
  <c r="B2947" i="1"/>
  <c r="C2947" i="1"/>
  <c r="D2947" i="1"/>
  <c r="E2947" i="1"/>
  <c r="F2947" i="1"/>
  <c r="G2947" i="1"/>
  <c r="H2947" i="1"/>
  <c r="A2948" i="1"/>
  <c r="B2948" i="1"/>
  <c r="C2948" i="1"/>
  <c r="D2948" i="1"/>
  <c r="E2948" i="1"/>
  <c r="F2948" i="1"/>
  <c r="G2948" i="1"/>
  <c r="H2948" i="1"/>
  <c r="A2949" i="1"/>
  <c r="B2949" i="1"/>
  <c r="C2949" i="1"/>
  <c r="D2949" i="1"/>
  <c r="E2949" i="1"/>
  <c r="F2949" i="1"/>
  <c r="G2949" i="1"/>
  <c r="H2949" i="1"/>
  <c r="A2950" i="1"/>
  <c r="B2950" i="1"/>
  <c r="C2950" i="1"/>
  <c r="D2950" i="1"/>
  <c r="E2950" i="1"/>
  <c r="F2950" i="1"/>
  <c r="G2950" i="1"/>
  <c r="H2950" i="1"/>
  <c r="A2951" i="1"/>
  <c r="B2951" i="1"/>
  <c r="C2951" i="1"/>
  <c r="D2951" i="1"/>
  <c r="E2951" i="1"/>
  <c r="F2951" i="1"/>
  <c r="G2951" i="1"/>
  <c r="H2951" i="1"/>
  <c r="A2952" i="1"/>
  <c r="B2952" i="1"/>
  <c r="C2952" i="1"/>
  <c r="D2952" i="1"/>
  <c r="E2952" i="1"/>
  <c r="F2952" i="1"/>
  <c r="G2952" i="1"/>
  <c r="H2952" i="1"/>
  <c r="A2953" i="1"/>
  <c r="B2953" i="1"/>
  <c r="C2953" i="1"/>
  <c r="D2953" i="1"/>
  <c r="E2953" i="1"/>
  <c r="F2953" i="1"/>
  <c r="G2953" i="1"/>
  <c r="H2953" i="1"/>
  <c r="A2954" i="1"/>
  <c r="B2954" i="1"/>
  <c r="C2954" i="1"/>
  <c r="D2954" i="1"/>
  <c r="E2954" i="1"/>
  <c r="F2954" i="1"/>
  <c r="G2954" i="1"/>
  <c r="H2954" i="1"/>
  <c r="A2955" i="1"/>
  <c r="B2955" i="1"/>
  <c r="C2955" i="1"/>
  <c r="D2955" i="1"/>
  <c r="E2955" i="1"/>
  <c r="F2955" i="1"/>
  <c r="G2955" i="1"/>
  <c r="H2955" i="1"/>
  <c r="A2956" i="1"/>
  <c r="B2956" i="1"/>
  <c r="C2956" i="1"/>
  <c r="D2956" i="1"/>
  <c r="E2956" i="1"/>
  <c r="F2956" i="1"/>
  <c r="G2956" i="1"/>
  <c r="H2956" i="1"/>
  <c r="A2957" i="1"/>
  <c r="B2957" i="1"/>
  <c r="C2957" i="1"/>
  <c r="D2957" i="1"/>
  <c r="E2957" i="1"/>
  <c r="F2957" i="1"/>
  <c r="G2957" i="1"/>
  <c r="H2957" i="1"/>
  <c r="A2958" i="1"/>
  <c r="B2958" i="1"/>
  <c r="C2958" i="1"/>
  <c r="D2958" i="1"/>
  <c r="E2958" i="1"/>
  <c r="F2958" i="1"/>
  <c r="G2958" i="1"/>
  <c r="H2958" i="1"/>
  <c r="A2959" i="1"/>
  <c r="B2959" i="1"/>
  <c r="C2959" i="1"/>
  <c r="D2959" i="1"/>
  <c r="E2959" i="1"/>
  <c r="F2959" i="1"/>
  <c r="G2959" i="1"/>
  <c r="H2959" i="1"/>
  <c r="A2960" i="1"/>
  <c r="B2960" i="1"/>
  <c r="C2960" i="1"/>
  <c r="D2960" i="1"/>
  <c r="E2960" i="1"/>
  <c r="F2960" i="1"/>
  <c r="G2960" i="1"/>
  <c r="H2960" i="1"/>
  <c r="A2961" i="1"/>
  <c r="B2961" i="1"/>
  <c r="C2961" i="1"/>
  <c r="D2961" i="1"/>
  <c r="E2961" i="1"/>
  <c r="F2961" i="1"/>
  <c r="G2961" i="1"/>
  <c r="H2961" i="1"/>
  <c r="A2962" i="1"/>
  <c r="B2962" i="1"/>
  <c r="C2962" i="1"/>
  <c r="D2962" i="1"/>
  <c r="E2962" i="1"/>
  <c r="F2962" i="1"/>
  <c r="G2962" i="1"/>
  <c r="H2962" i="1"/>
  <c r="A2963" i="1"/>
  <c r="B2963" i="1"/>
  <c r="C2963" i="1"/>
  <c r="D2963" i="1"/>
  <c r="E2963" i="1"/>
  <c r="F2963" i="1"/>
  <c r="G2963" i="1"/>
  <c r="H2963" i="1"/>
  <c r="A2964" i="1"/>
  <c r="B2964" i="1"/>
  <c r="C2964" i="1"/>
  <c r="D2964" i="1"/>
  <c r="E2964" i="1"/>
  <c r="F2964" i="1"/>
  <c r="G2964" i="1"/>
  <c r="H2964" i="1"/>
  <c r="A2965" i="1"/>
  <c r="B2965" i="1"/>
  <c r="C2965" i="1"/>
  <c r="D2965" i="1"/>
  <c r="E2965" i="1"/>
  <c r="F2965" i="1"/>
  <c r="G2965" i="1"/>
  <c r="H2965" i="1"/>
  <c r="A2966" i="1"/>
  <c r="B2966" i="1"/>
  <c r="C2966" i="1"/>
  <c r="D2966" i="1"/>
  <c r="E2966" i="1"/>
  <c r="F2966" i="1"/>
  <c r="G2966" i="1"/>
  <c r="H2966" i="1"/>
  <c r="A2967" i="1"/>
  <c r="B2967" i="1"/>
  <c r="C2967" i="1"/>
  <c r="D2967" i="1"/>
  <c r="E2967" i="1"/>
  <c r="F2967" i="1"/>
  <c r="G2967" i="1"/>
  <c r="H2967" i="1"/>
  <c r="A2968" i="1"/>
  <c r="B2968" i="1"/>
  <c r="C2968" i="1"/>
  <c r="D2968" i="1"/>
  <c r="E2968" i="1"/>
  <c r="F2968" i="1"/>
  <c r="G2968" i="1"/>
  <c r="H2968" i="1"/>
  <c r="A2969" i="1"/>
  <c r="B2969" i="1"/>
  <c r="C2969" i="1"/>
  <c r="D2969" i="1"/>
  <c r="E2969" i="1"/>
  <c r="F2969" i="1"/>
  <c r="G2969" i="1"/>
  <c r="H2969" i="1"/>
  <c r="A2970" i="1"/>
  <c r="B2970" i="1"/>
  <c r="C2970" i="1"/>
  <c r="D2970" i="1"/>
  <c r="E2970" i="1"/>
  <c r="F2970" i="1"/>
  <c r="G2970" i="1"/>
  <c r="H2970" i="1"/>
  <c r="A2971" i="1"/>
  <c r="B2971" i="1"/>
  <c r="C2971" i="1"/>
  <c r="D2971" i="1"/>
  <c r="E2971" i="1"/>
  <c r="F2971" i="1"/>
  <c r="G2971" i="1"/>
  <c r="H2971" i="1"/>
  <c r="A2972" i="1"/>
  <c r="B2972" i="1"/>
  <c r="C2972" i="1"/>
  <c r="D2972" i="1"/>
  <c r="E2972" i="1"/>
  <c r="F2972" i="1"/>
  <c r="G2972" i="1"/>
  <c r="H2972" i="1"/>
  <c r="A2973" i="1"/>
  <c r="B2973" i="1"/>
  <c r="C2973" i="1"/>
  <c r="D2973" i="1"/>
  <c r="E2973" i="1"/>
  <c r="F2973" i="1"/>
  <c r="G2973" i="1"/>
  <c r="H2973" i="1"/>
  <c r="A2974" i="1"/>
  <c r="B2974" i="1"/>
  <c r="C2974" i="1"/>
  <c r="D2974" i="1"/>
  <c r="E2974" i="1"/>
  <c r="F2974" i="1"/>
  <c r="G2974" i="1"/>
  <c r="H2974" i="1"/>
  <c r="A2975" i="1"/>
  <c r="B2975" i="1"/>
  <c r="C2975" i="1"/>
  <c r="D2975" i="1"/>
  <c r="E2975" i="1"/>
  <c r="F2975" i="1"/>
  <c r="G2975" i="1"/>
  <c r="H2975" i="1"/>
  <c r="A2976" i="1"/>
  <c r="B2976" i="1"/>
  <c r="C2976" i="1"/>
  <c r="D2976" i="1"/>
  <c r="E2976" i="1"/>
  <c r="F2976" i="1"/>
  <c r="G2976" i="1"/>
  <c r="H2976" i="1"/>
  <c r="A2977" i="1"/>
  <c r="B2977" i="1"/>
  <c r="C2977" i="1"/>
  <c r="D2977" i="1"/>
  <c r="E2977" i="1"/>
  <c r="F2977" i="1"/>
  <c r="G2977" i="1"/>
  <c r="H2977" i="1"/>
  <c r="A2978" i="1"/>
  <c r="B2978" i="1"/>
  <c r="C2978" i="1"/>
  <c r="D2978" i="1"/>
  <c r="E2978" i="1"/>
  <c r="F2978" i="1"/>
  <c r="G2978" i="1"/>
  <c r="H2978" i="1"/>
  <c r="A2979" i="1"/>
  <c r="B2979" i="1"/>
  <c r="C2979" i="1"/>
  <c r="D2979" i="1"/>
  <c r="E2979" i="1"/>
  <c r="F2979" i="1"/>
  <c r="G2979" i="1"/>
  <c r="H2979" i="1"/>
  <c r="A2980" i="1"/>
  <c r="B2980" i="1"/>
  <c r="C2980" i="1"/>
  <c r="D2980" i="1"/>
  <c r="E2980" i="1"/>
  <c r="F2980" i="1"/>
  <c r="G2980" i="1"/>
  <c r="H2980" i="1"/>
  <c r="A2981" i="1"/>
  <c r="B2981" i="1"/>
  <c r="C2981" i="1"/>
  <c r="D2981" i="1"/>
  <c r="E2981" i="1"/>
  <c r="F2981" i="1"/>
  <c r="G2981" i="1"/>
  <c r="H2981" i="1"/>
  <c r="A2982" i="1"/>
  <c r="B2982" i="1"/>
  <c r="C2982" i="1"/>
  <c r="D2982" i="1"/>
  <c r="E2982" i="1"/>
  <c r="F2982" i="1"/>
  <c r="G2982" i="1"/>
  <c r="H2982" i="1"/>
  <c r="A2983" i="1"/>
  <c r="B2983" i="1"/>
  <c r="C2983" i="1"/>
  <c r="D2983" i="1"/>
  <c r="E2983" i="1"/>
  <c r="F2983" i="1"/>
  <c r="G2983" i="1"/>
  <c r="H2983" i="1"/>
  <c r="A2984" i="1"/>
  <c r="B2984" i="1"/>
  <c r="C2984" i="1"/>
  <c r="D2984" i="1"/>
  <c r="E2984" i="1"/>
  <c r="F2984" i="1"/>
  <c r="G2984" i="1"/>
  <c r="H2984" i="1"/>
  <c r="A2985" i="1"/>
  <c r="B2985" i="1"/>
  <c r="C2985" i="1"/>
  <c r="D2985" i="1"/>
  <c r="E2985" i="1"/>
  <c r="F2985" i="1"/>
  <c r="G2985" i="1"/>
  <c r="H2985" i="1"/>
  <c r="A2986" i="1"/>
  <c r="B2986" i="1"/>
  <c r="C2986" i="1"/>
  <c r="D2986" i="1"/>
  <c r="E2986" i="1"/>
  <c r="F2986" i="1"/>
  <c r="G2986" i="1"/>
  <c r="H2986" i="1"/>
  <c r="A2987" i="1"/>
  <c r="B2987" i="1"/>
  <c r="C2987" i="1"/>
  <c r="D2987" i="1"/>
  <c r="E2987" i="1"/>
  <c r="F2987" i="1"/>
  <c r="G2987" i="1"/>
  <c r="H2987" i="1"/>
  <c r="A2988" i="1"/>
  <c r="B2988" i="1"/>
  <c r="C2988" i="1"/>
  <c r="D2988" i="1"/>
  <c r="E2988" i="1"/>
  <c r="F2988" i="1"/>
  <c r="G2988" i="1"/>
  <c r="H2988" i="1"/>
  <c r="A2989" i="1"/>
  <c r="B2989" i="1"/>
  <c r="C2989" i="1"/>
  <c r="D2989" i="1"/>
  <c r="E2989" i="1"/>
  <c r="F2989" i="1"/>
  <c r="G2989" i="1"/>
  <c r="H2989" i="1"/>
  <c r="A2990" i="1"/>
  <c r="B2990" i="1"/>
  <c r="C2990" i="1"/>
  <c r="D2990" i="1"/>
  <c r="E2990" i="1"/>
  <c r="F2990" i="1"/>
  <c r="G2990" i="1"/>
  <c r="H2990" i="1"/>
  <c r="A2991" i="1"/>
  <c r="B2991" i="1"/>
  <c r="C2991" i="1"/>
  <c r="D2991" i="1"/>
  <c r="E2991" i="1"/>
  <c r="F2991" i="1"/>
  <c r="G2991" i="1"/>
  <c r="H2991" i="1"/>
  <c r="A2992" i="1"/>
  <c r="B2992" i="1"/>
  <c r="C2992" i="1"/>
  <c r="D2992" i="1"/>
  <c r="E2992" i="1"/>
  <c r="F2992" i="1"/>
  <c r="G2992" i="1"/>
  <c r="H2992" i="1"/>
  <c r="A2993" i="1"/>
  <c r="B2993" i="1"/>
  <c r="C2993" i="1"/>
  <c r="D2993" i="1"/>
  <c r="E2993" i="1"/>
  <c r="F2993" i="1"/>
  <c r="G2993" i="1"/>
  <c r="H2993" i="1"/>
  <c r="A2994" i="1"/>
  <c r="B2994" i="1"/>
  <c r="C2994" i="1"/>
  <c r="D2994" i="1"/>
  <c r="E2994" i="1"/>
  <c r="F2994" i="1"/>
  <c r="G2994" i="1"/>
  <c r="H2994" i="1"/>
  <c r="A2995" i="1"/>
  <c r="B2995" i="1"/>
  <c r="C2995" i="1"/>
  <c r="D2995" i="1"/>
  <c r="E2995" i="1"/>
  <c r="F2995" i="1"/>
  <c r="G2995" i="1"/>
  <c r="H2995" i="1"/>
  <c r="A2996" i="1"/>
  <c r="B2996" i="1"/>
  <c r="C2996" i="1"/>
  <c r="D2996" i="1"/>
  <c r="E2996" i="1"/>
  <c r="F2996" i="1"/>
  <c r="G2996" i="1"/>
  <c r="H2996" i="1"/>
  <c r="A2997" i="1"/>
  <c r="B2997" i="1"/>
  <c r="C2997" i="1"/>
  <c r="D2997" i="1"/>
  <c r="E2997" i="1"/>
  <c r="F2997" i="1"/>
  <c r="G2997" i="1"/>
  <c r="H2997" i="1"/>
  <c r="A2998" i="1"/>
  <c r="B2998" i="1"/>
  <c r="C2998" i="1"/>
  <c r="D2998" i="1"/>
  <c r="E2998" i="1"/>
  <c r="F2998" i="1"/>
  <c r="G2998" i="1"/>
  <c r="H2998" i="1"/>
  <c r="A2999" i="1"/>
  <c r="B2999" i="1"/>
  <c r="C2999" i="1"/>
  <c r="D2999" i="1"/>
  <c r="E2999" i="1"/>
  <c r="F2999" i="1"/>
  <c r="G2999" i="1"/>
  <c r="H2999" i="1"/>
  <c r="A3000" i="1"/>
  <c r="B3000" i="1"/>
  <c r="C3000" i="1"/>
  <c r="D3000" i="1"/>
  <c r="E3000" i="1"/>
  <c r="F3000" i="1"/>
  <c r="G3000" i="1"/>
  <c r="H3000" i="1"/>
  <c r="A3001" i="1"/>
  <c r="B3001" i="1"/>
  <c r="C3001" i="1"/>
  <c r="D3001" i="1"/>
  <c r="E3001" i="1"/>
  <c r="F3001" i="1"/>
  <c r="G3001" i="1"/>
  <c r="H3001" i="1"/>
  <c r="A3002" i="1"/>
  <c r="B3002" i="1"/>
  <c r="C3002" i="1"/>
  <c r="D3002" i="1"/>
  <c r="E3002" i="1"/>
  <c r="F3002" i="1"/>
  <c r="G3002" i="1"/>
  <c r="H3002" i="1"/>
  <c r="A3003" i="1"/>
  <c r="B3003" i="1"/>
  <c r="C3003" i="1"/>
  <c r="D3003" i="1"/>
  <c r="E3003" i="1"/>
  <c r="F3003" i="1"/>
  <c r="G3003" i="1"/>
  <c r="H3003" i="1"/>
  <c r="A3004" i="1"/>
  <c r="B3004" i="1"/>
  <c r="C3004" i="1"/>
  <c r="D3004" i="1"/>
  <c r="E3004" i="1"/>
  <c r="F3004" i="1"/>
  <c r="G3004" i="1"/>
  <c r="H3004" i="1"/>
  <c r="A3005" i="1"/>
  <c r="B3005" i="1"/>
  <c r="C3005" i="1"/>
  <c r="D3005" i="1"/>
  <c r="E3005" i="1"/>
  <c r="F3005" i="1"/>
  <c r="G3005" i="1"/>
  <c r="H3005" i="1"/>
  <c r="A3006" i="1"/>
  <c r="B3006" i="1"/>
  <c r="C3006" i="1"/>
  <c r="D3006" i="1"/>
  <c r="E3006" i="1"/>
  <c r="F3006" i="1"/>
  <c r="G3006" i="1"/>
  <c r="H3006" i="1"/>
  <c r="A3007" i="1"/>
  <c r="B3007" i="1"/>
  <c r="C3007" i="1"/>
  <c r="D3007" i="1"/>
  <c r="E3007" i="1"/>
  <c r="F3007" i="1"/>
  <c r="G3007" i="1"/>
  <c r="H3007" i="1"/>
  <c r="A3008" i="1"/>
  <c r="B3008" i="1"/>
  <c r="C3008" i="1"/>
  <c r="D3008" i="1"/>
  <c r="E3008" i="1"/>
  <c r="F3008" i="1"/>
  <c r="G3008" i="1"/>
  <c r="H3008" i="1"/>
  <c r="A3009" i="1"/>
  <c r="B3009" i="1"/>
  <c r="C3009" i="1"/>
  <c r="D3009" i="1"/>
  <c r="E3009" i="1"/>
  <c r="F3009" i="1"/>
  <c r="G3009" i="1"/>
  <c r="H3009" i="1"/>
  <c r="A3010" i="1"/>
  <c r="B3010" i="1"/>
  <c r="C3010" i="1"/>
  <c r="D3010" i="1"/>
  <c r="E3010" i="1"/>
  <c r="F3010" i="1"/>
  <c r="G3010" i="1"/>
  <c r="H3010" i="1"/>
  <c r="A3011" i="1"/>
  <c r="B3011" i="1"/>
  <c r="C3011" i="1"/>
  <c r="D3011" i="1"/>
  <c r="E3011" i="1"/>
  <c r="F3011" i="1"/>
  <c r="G3011" i="1"/>
  <c r="H3011" i="1"/>
  <c r="A3012" i="1"/>
  <c r="B3012" i="1"/>
  <c r="C3012" i="1"/>
  <c r="D3012" i="1"/>
  <c r="E3012" i="1"/>
  <c r="F3012" i="1"/>
  <c r="G3012" i="1"/>
  <c r="H3012" i="1"/>
  <c r="A3013" i="1"/>
  <c r="B3013" i="1"/>
  <c r="C3013" i="1"/>
  <c r="D3013" i="1"/>
  <c r="E3013" i="1"/>
  <c r="F3013" i="1"/>
  <c r="G3013" i="1"/>
  <c r="H3013" i="1"/>
  <c r="A3014" i="1"/>
  <c r="B3014" i="1"/>
  <c r="C3014" i="1"/>
  <c r="D3014" i="1"/>
  <c r="E3014" i="1"/>
  <c r="F3014" i="1"/>
  <c r="G3014" i="1"/>
  <c r="H3014" i="1"/>
  <c r="A3015" i="1"/>
  <c r="B3015" i="1"/>
  <c r="C3015" i="1"/>
  <c r="D3015" i="1"/>
  <c r="E3015" i="1"/>
  <c r="F3015" i="1"/>
  <c r="G3015" i="1"/>
  <c r="H3015" i="1"/>
  <c r="A3016" i="1"/>
  <c r="B3016" i="1"/>
  <c r="C3016" i="1"/>
  <c r="D3016" i="1"/>
  <c r="E3016" i="1"/>
  <c r="F3016" i="1"/>
  <c r="G3016" i="1"/>
  <c r="H3016" i="1"/>
  <c r="A3017" i="1"/>
  <c r="B3017" i="1"/>
  <c r="C3017" i="1"/>
  <c r="D3017" i="1"/>
  <c r="E3017" i="1"/>
  <c r="F3017" i="1"/>
  <c r="G3017" i="1"/>
  <c r="H3017" i="1"/>
  <c r="A3018" i="1"/>
  <c r="B3018" i="1"/>
  <c r="C3018" i="1"/>
  <c r="D3018" i="1"/>
  <c r="E3018" i="1"/>
  <c r="F3018" i="1"/>
  <c r="G3018" i="1"/>
  <c r="H3018" i="1"/>
  <c r="A3019" i="1"/>
  <c r="B3019" i="1"/>
  <c r="C3019" i="1"/>
  <c r="D3019" i="1"/>
  <c r="E3019" i="1"/>
  <c r="F3019" i="1"/>
  <c r="G3019" i="1"/>
  <c r="H3019" i="1"/>
  <c r="A3020" i="1"/>
  <c r="B3020" i="1"/>
  <c r="C3020" i="1"/>
  <c r="D3020" i="1"/>
  <c r="E3020" i="1"/>
  <c r="F3020" i="1"/>
  <c r="G3020" i="1"/>
  <c r="H3020" i="1"/>
  <c r="A3021" i="1"/>
  <c r="B3021" i="1"/>
  <c r="C3021" i="1"/>
  <c r="D3021" i="1"/>
  <c r="E3021" i="1"/>
  <c r="F3021" i="1"/>
  <c r="G3021" i="1"/>
  <c r="H3021" i="1"/>
  <c r="A3022" i="1"/>
  <c r="B3022" i="1"/>
  <c r="C3022" i="1"/>
  <c r="D3022" i="1"/>
  <c r="E3022" i="1"/>
  <c r="F3022" i="1"/>
  <c r="G3022" i="1"/>
  <c r="H3022" i="1"/>
  <c r="A3023" i="1"/>
  <c r="B3023" i="1"/>
  <c r="C3023" i="1"/>
  <c r="D3023" i="1"/>
  <c r="E3023" i="1"/>
  <c r="F3023" i="1"/>
  <c r="G3023" i="1"/>
  <c r="H3023" i="1"/>
  <c r="A3024" i="1"/>
  <c r="B3024" i="1"/>
  <c r="C3024" i="1"/>
  <c r="D3024" i="1"/>
  <c r="E3024" i="1"/>
  <c r="F3024" i="1"/>
  <c r="G3024" i="1"/>
  <c r="H3024" i="1"/>
  <c r="A3025" i="1"/>
  <c r="B3025" i="1"/>
  <c r="C3025" i="1"/>
  <c r="D3025" i="1"/>
  <c r="E3025" i="1"/>
  <c r="F3025" i="1"/>
  <c r="G3025" i="1"/>
  <c r="H3025" i="1"/>
  <c r="A3026" i="1"/>
  <c r="B3026" i="1"/>
  <c r="C3026" i="1"/>
  <c r="D3026" i="1"/>
  <c r="E3026" i="1"/>
  <c r="F3026" i="1"/>
  <c r="G3026" i="1"/>
  <c r="H3026" i="1"/>
  <c r="A3027" i="1"/>
  <c r="B3027" i="1"/>
  <c r="C3027" i="1"/>
  <c r="D3027" i="1"/>
  <c r="E3027" i="1"/>
  <c r="F3027" i="1"/>
  <c r="G3027" i="1"/>
  <c r="H3027" i="1"/>
  <c r="A3028" i="1"/>
  <c r="B3028" i="1"/>
  <c r="C3028" i="1"/>
  <c r="D3028" i="1"/>
  <c r="E3028" i="1"/>
  <c r="F3028" i="1"/>
  <c r="G3028" i="1"/>
  <c r="H3028" i="1"/>
  <c r="A3029" i="1"/>
  <c r="B3029" i="1"/>
  <c r="C3029" i="1"/>
  <c r="D3029" i="1"/>
  <c r="E3029" i="1"/>
  <c r="F3029" i="1"/>
  <c r="G3029" i="1"/>
  <c r="H3029" i="1"/>
  <c r="A3030" i="1"/>
  <c r="B3030" i="1"/>
  <c r="C3030" i="1"/>
  <c r="D3030" i="1"/>
  <c r="E3030" i="1"/>
  <c r="F3030" i="1"/>
  <c r="G3030" i="1"/>
  <c r="H3030" i="1"/>
  <c r="A3031" i="1"/>
  <c r="B3031" i="1"/>
  <c r="C3031" i="1"/>
  <c r="D3031" i="1"/>
  <c r="E3031" i="1"/>
  <c r="F3031" i="1"/>
  <c r="G3031" i="1"/>
  <c r="H3031" i="1"/>
  <c r="A3032" i="1"/>
  <c r="B3032" i="1"/>
  <c r="C3032" i="1"/>
  <c r="D3032" i="1"/>
  <c r="E3032" i="1"/>
  <c r="F3032" i="1"/>
  <c r="G3032" i="1"/>
  <c r="H3032" i="1"/>
  <c r="A3033" i="1"/>
  <c r="B3033" i="1"/>
  <c r="C3033" i="1"/>
  <c r="D3033" i="1"/>
  <c r="E3033" i="1"/>
  <c r="F3033" i="1"/>
  <c r="G3033" i="1"/>
  <c r="H3033" i="1"/>
  <c r="A3034" i="1"/>
  <c r="B3034" i="1"/>
  <c r="C3034" i="1"/>
  <c r="D3034" i="1"/>
  <c r="E3034" i="1"/>
  <c r="F3034" i="1"/>
  <c r="G3034" i="1"/>
  <c r="H3034" i="1"/>
  <c r="A3035" i="1"/>
  <c r="B3035" i="1"/>
  <c r="C3035" i="1"/>
  <c r="D3035" i="1"/>
  <c r="E3035" i="1"/>
  <c r="F3035" i="1"/>
  <c r="G3035" i="1"/>
  <c r="H3035" i="1"/>
  <c r="A3036" i="1"/>
  <c r="B3036" i="1"/>
  <c r="C3036" i="1"/>
  <c r="D3036" i="1"/>
  <c r="E3036" i="1"/>
  <c r="F3036" i="1"/>
  <c r="G3036" i="1"/>
  <c r="H3036" i="1"/>
  <c r="A3037" i="1"/>
  <c r="B3037" i="1"/>
  <c r="C3037" i="1"/>
  <c r="D3037" i="1"/>
  <c r="E3037" i="1"/>
  <c r="F3037" i="1"/>
  <c r="G3037" i="1"/>
  <c r="H3037" i="1"/>
  <c r="A3038" i="1"/>
  <c r="B3038" i="1"/>
  <c r="C3038" i="1"/>
  <c r="D3038" i="1"/>
  <c r="E3038" i="1"/>
  <c r="F3038" i="1"/>
  <c r="G3038" i="1"/>
  <c r="H3038" i="1"/>
  <c r="A3039" i="1"/>
  <c r="B3039" i="1"/>
  <c r="C3039" i="1"/>
  <c r="D3039" i="1"/>
  <c r="E3039" i="1"/>
  <c r="F3039" i="1"/>
  <c r="G3039" i="1"/>
  <c r="H3039" i="1"/>
  <c r="A3040" i="1"/>
  <c r="B3040" i="1"/>
  <c r="C3040" i="1"/>
  <c r="D3040" i="1"/>
  <c r="E3040" i="1"/>
  <c r="F3040" i="1"/>
  <c r="G3040" i="1"/>
  <c r="H3040" i="1"/>
  <c r="A3041" i="1"/>
  <c r="B3041" i="1"/>
  <c r="C3041" i="1"/>
  <c r="D3041" i="1"/>
  <c r="E3041" i="1"/>
  <c r="F3041" i="1"/>
  <c r="G3041" i="1"/>
  <c r="H3041" i="1"/>
  <c r="A3042" i="1"/>
  <c r="B3042" i="1"/>
  <c r="C3042" i="1"/>
  <c r="D3042" i="1"/>
  <c r="E3042" i="1"/>
  <c r="F3042" i="1"/>
  <c r="G3042" i="1"/>
  <c r="H3042" i="1"/>
  <c r="A3043" i="1"/>
  <c r="B3043" i="1"/>
  <c r="C3043" i="1"/>
  <c r="D3043" i="1"/>
  <c r="E3043" i="1"/>
  <c r="F3043" i="1"/>
  <c r="G3043" i="1"/>
  <c r="H3043" i="1"/>
  <c r="A3044" i="1"/>
  <c r="B3044" i="1"/>
  <c r="C3044" i="1"/>
  <c r="D3044" i="1"/>
  <c r="E3044" i="1"/>
  <c r="F3044" i="1"/>
  <c r="G3044" i="1"/>
  <c r="H3044" i="1"/>
  <c r="A3045" i="1"/>
  <c r="B3045" i="1"/>
  <c r="C3045" i="1"/>
  <c r="D3045" i="1"/>
  <c r="E3045" i="1"/>
  <c r="F3045" i="1"/>
  <c r="G3045" i="1"/>
  <c r="H3045" i="1"/>
  <c r="A3046" i="1"/>
  <c r="B3046" i="1"/>
  <c r="C3046" i="1"/>
  <c r="D3046" i="1"/>
  <c r="E3046" i="1"/>
  <c r="F3046" i="1"/>
  <c r="G3046" i="1"/>
  <c r="H3046" i="1"/>
  <c r="A3047" i="1"/>
  <c r="B3047" i="1"/>
  <c r="C3047" i="1"/>
  <c r="D3047" i="1"/>
  <c r="E3047" i="1"/>
  <c r="F3047" i="1"/>
  <c r="G3047" i="1"/>
  <c r="H3047" i="1"/>
  <c r="A3048" i="1"/>
  <c r="B3048" i="1"/>
  <c r="C3048" i="1"/>
  <c r="D3048" i="1"/>
  <c r="E3048" i="1"/>
  <c r="F3048" i="1"/>
  <c r="G3048" i="1"/>
  <c r="H3048" i="1"/>
  <c r="A3049" i="1"/>
  <c r="B3049" i="1"/>
  <c r="C3049" i="1"/>
  <c r="D3049" i="1"/>
  <c r="E3049" i="1"/>
  <c r="F3049" i="1"/>
  <c r="G3049" i="1"/>
  <c r="H3049" i="1"/>
  <c r="A3050" i="1"/>
  <c r="B3050" i="1"/>
  <c r="C3050" i="1"/>
  <c r="D3050" i="1"/>
  <c r="E3050" i="1"/>
  <c r="F3050" i="1"/>
  <c r="G3050" i="1"/>
  <c r="H3050" i="1"/>
  <c r="A3051" i="1"/>
  <c r="B3051" i="1"/>
  <c r="C3051" i="1"/>
  <c r="D3051" i="1"/>
  <c r="E3051" i="1"/>
  <c r="F3051" i="1"/>
  <c r="G3051" i="1"/>
  <c r="H3051" i="1"/>
  <c r="A3052" i="1"/>
  <c r="B3052" i="1"/>
  <c r="C3052" i="1"/>
  <c r="D3052" i="1"/>
  <c r="E3052" i="1"/>
  <c r="F3052" i="1"/>
  <c r="G3052" i="1"/>
  <c r="H3052" i="1"/>
  <c r="A3053" i="1"/>
  <c r="B3053" i="1"/>
  <c r="C3053" i="1"/>
  <c r="D3053" i="1"/>
  <c r="E3053" i="1"/>
  <c r="F3053" i="1"/>
  <c r="G3053" i="1"/>
  <c r="H3053" i="1"/>
  <c r="A3054" i="1"/>
  <c r="B3054" i="1"/>
  <c r="C3054" i="1"/>
  <c r="D3054" i="1"/>
  <c r="E3054" i="1"/>
  <c r="F3054" i="1"/>
  <c r="G3054" i="1"/>
  <c r="H3054" i="1"/>
  <c r="A3055" i="1"/>
  <c r="B3055" i="1"/>
  <c r="C3055" i="1"/>
  <c r="D3055" i="1"/>
  <c r="E3055" i="1"/>
  <c r="F3055" i="1"/>
  <c r="G3055" i="1"/>
  <c r="H3055" i="1"/>
  <c r="A3056" i="1"/>
  <c r="B3056" i="1"/>
  <c r="C3056" i="1"/>
  <c r="D3056" i="1"/>
  <c r="E3056" i="1"/>
  <c r="F3056" i="1"/>
  <c r="G3056" i="1"/>
  <c r="H3056" i="1"/>
  <c r="A3057" i="1"/>
  <c r="B3057" i="1"/>
  <c r="C3057" i="1"/>
  <c r="D3057" i="1"/>
  <c r="E3057" i="1"/>
  <c r="F3057" i="1"/>
  <c r="G3057" i="1"/>
  <c r="H3057" i="1"/>
  <c r="A3058" i="1"/>
  <c r="B3058" i="1"/>
  <c r="C3058" i="1"/>
  <c r="D3058" i="1"/>
  <c r="E3058" i="1"/>
  <c r="F3058" i="1"/>
  <c r="G3058" i="1"/>
  <c r="H3058" i="1"/>
  <c r="A3059" i="1"/>
  <c r="B3059" i="1"/>
  <c r="C3059" i="1"/>
  <c r="D3059" i="1"/>
  <c r="E3059" i="1"/>
  <c r="F3059" i="1"/>
  <c r="G3059" i="1"/>
  <c r="H3059" i="1"/>
  <c r="A3060" i="1"/>
  <c r="B3060" i="1"/>
  <c r="C3060" i="1"/>
  <c r="D3060" i="1"/>
  <c r="E3060" i="1"/>
  <c r="F3060" i="1"/>
  <c r="G3060" i="1"/>
  <c r="H3060" i="1"/>
  <c r="A3061" i="1"/>
  <c r="B3061" i="1"/>
  <c r="C3061" i="1"/>
  <c r="D3061" i="1"/>
  <c r="E3061" i="1"/>
  <c r="F3061" i="1"/>
  <c r="G3061" i="1"/>
  <c r="H3061" i="1"/>
  <c r="A3062" i="1"/>
  <c r="B3062" i="1"/>
  <c r="C3062" i="1"/>
  <c r="D3062" i="1"/>
  <c r="E3062" i="1"/>
  <c r="F3062" i="1"/>
  <c r="G3062" i="1"/>
  <c r="H3062" i="1"/>
  <c r="A3063" i="1"/>
  <c r="B3063" i="1"/>
  <c r="C3063" i="1"/>
  <c r="D3063" i="1"/>
  <c r="E3063" i="1"/>
  <c r="F3063" i="1"/>
  <c r="G3063" i="1"/>
  <c r="H3063" i="1"/>
  <c r="A3064" i="1"/>
  <c r="B3064" i="1"/>
  <c r="C3064" i="1"/>
  <c r="D3064" i="1"/>
  <c r="E3064" i="1"/>
  <c r="F3064" i="1"/>
  <c r="G3064" i="1"/>
  <c r="H3064" i="1"/>
  <c r="A3065" i="1"/>
  <c r="B3065" i="1"/>
  <c r="C3065" i="1"/>
  <c r="D3065" i="1"/>
  <c r="E3065" i="1"/>
  <c r="F3065" i="1"/>
  <c r="G3065" i="1"/>
  <c r="H3065" i="1"/>
  <c r="A3066" i="1"/>
  <c r="B3066" i="1"/>
  <c r="C3066" i="1"/>
  <c r="D3066" i="1"/>
  <c r="E3066" i="1"/>
  <c r="F3066" i="1"/>
  <c r="G3066" i="1"/>
  <c r="H3066" i="1"/>
  <c r="A3067" i="1"/>
  <c r="B3067" i="1"/>
  <c r="C3067" i="1"/>
  <c r="D3067" i="1"/>
  <c r="E3067" i="1"/>
  <c r="F3067" i="1"/>
  <c r="G3067" i="1"/>
  <c r="H3067" i="1"/>
  <c r="A3068" i="1"/>
  <c r="B3068" i="1"/>
  <c r="C3068" i="1"/>
  <c r="D3068" i="1"/>
  <c r="E3068" i="1"/>
  <c r="F3068" i="1"/>
  <c r="G3068" i="1"/>
  <c r="H3068" i="1"/>
  <c r="A3069" i="1"/>
  <c r="B3069" i="1"/>
  <c r="C3069" i="1"/>
  <c r="D3069" i="1"/>
  <c r="E3069" i="1"/>
  <c r="F3069" i="1"/>
  <c r="G3069" i="1"/>
  <c r="H3069" i="1"/>
  <c r="A3070" i="1"/>
  <c r="B3070" i="1"/>
  <c r="C3070" i="1"/>
  <c r="D3070" i="1"/>
  <c r="E3070" i="1"/>
  <c r="F3070" i="1"/>
  <c r="G3070" i="1"/>
  <c r="H3070" i="1"/>
  <c r="A3071" i="1"/>
  <c r="B3071" i="1"/>
  <c r="C3071" i="1"/>
  <c r="D3071" i="1"/>
  <c r="E3071" i="1"/>
  <c r="F3071" i="1"/>
  <c r="G3071" i="1"/>
  <c r="H3071" i="1"/>
  <c r="A3072" i="1"/>
  <c r="B3072" i="1"/>
  <c r="C3072" i="1"/>
  <c r="D3072" i="1"/>
  <c r="E3072" i="1"/>
  <c r="F3072" i="1"/>
  <c r="G3072" i="1"/>
  <c r="H3072" i="1"/>
  <c r="A3073" i="1"/>
  <c r="B3073" i="1"/>
  <c r="C3073" i="1"/>
  <c r="D3073" i="1"/>
  <c r="E3073" i="1"/>
  <c r="F3073" i="1"/>
  <c r="G3073" i="1"/>
  <c r="H3073" i="1"/>
  <c r="A3074" i="1"/>
  <c r="B3074" i="1"/>
  <c r="C3074" i="1"/>
  <c r="D3074" i="1"/>
  <c r="E3074" i="1"/>
  <c r="F3074" i="1"/>
  <c r="G3074" i="1"/>
  <c r="H3074" i="1"/>
  <c r="A3075" i="1"/>
  <c r="B3075" i="1"/>
  <c r="C3075" i="1"/>
  <c r="D3075" i="1"/>
  <c r="E3075" i="1"/>
  <c r="F3075" i="1"/>
  <c r="G3075" i="1"/>
  <c r="H3075" i="1"/>
  <c r="A3076" i="1"/>
  <c r="B3076" i="1"/>
  <c r="C3076" i="1"/>
  <c r="D3076" i="1"/>
  <c r="E3076" i="1"/>
  <c r="F3076" i="1"/>
  <c r="G3076" i="1"/>
  <c r="H3076" i="1"/>
  <c r="A3077" i="1"/>
  <c r="B3077" i="1"/>
  <c r="C3077" i="1"/>
  <c r="D3077" i="1"/>
  <c r="E3077" i="1"/>
  <c r="F3077" i="1"/>
  <c r="G3077" i="1"/>
  <c r="H3077" i="1"/>
  <c r="A3078" i="1"/>
  <c r="B3078" i="1"/>
  <c r="C3078" i="1"/>
  <c r="D3078" i="1"/>
  <c r="E3078" i="1"/>
  <c r="F3078" i="1"/>
  <c r="G3078" i="1"/>
  <c r="H3078" i="1"/>
  <c r="A3079" i="1"/>
  <c r="B3079" i="1"/>
  <c r="C3079" i="1"/>
  <c r="D3079" i="1"/>
  <c r="E3079" i="1"/>
  <c r="F3079" i="1"/>
  <c r="G3079" i="1"/>
  <c r="H3079" i="1"/>
  <c r="A3080" i="1"/>
  <c r="B3080" i="1"/>
  <c r="C3080" i="1"/>
  <c r="D3080" i="1"/>
  <c r="E3080" i="1"/>
  <c r="F3080" i="1"/>
  <c r="G3080" i="1"/>
  <c r="H3080" i="1"/>
  <c r="A3081" i="1"/>
  <c r="B3081" i="1"/>
  <c r="C3081" i="1"/>
  <c r="D3081" i="1"/>
  <c r="E3081" i="1"/>
  <c r="F3081" i="1"/>
  <c r="G3081" i="1"/>
  <c r="H3081" i="1"/>
  <c r="A3082" i="1"/>
  <c r="B3082" i="1"/>
  <c r="C3082" i="1"/>
  <c r="D3082" i="1"/>
  <c r="E3082" i="1"/>
  <c r="F3082" i="1"/>
  <c r="G3082" i="1"/>
  <c r="H3082" i="1"/>
  <c r="A3083" i="1"/>
  <c r="B3083" i="1"/>
  <c r="C3083" i="1"/>
  <c r="D3083" i="1"/>
  <c r="E3083" i="1"/>
  <c r="F3083" i="1"/>
  <c r="G3083" i="1"/>
  <c r="H3083" i="1"/>
  <c r="A3084" i="1"/>
  <c r="B3084" i="1"/>
  <c r="C3084" i="1"/>
  <c r="D3084" i="1"/>
  <c r="E3084" i="1"/>
  <c r="F3084" i="1"/>
  <c r="G3084" i="1"/>
  <c r="H3084" i="1"/>
  <c r="A3085" i="1"/>
  <c r="B3085" i="1"/>
  <c r="C3085" i="1"/>
  <c r="D3085" i="1"/>
  <c r="E3085" i="1"/>
  <c r="F3085" i="1"/>
  <c r="G3085" i="1"/>
  <c r="H3085" i="1"/>
  <c r="A3086" i="1"/>
  <c r="B3086" i="1"/>
  <c r="C3086" i="1"/>
  <c r="D3086" i="1"/>
  <c r="E3086" i="1"/>
  <c r="F3086" i="1"/>
  <c r="G3086" i="1"/>
  <c r="H3086" i="1"/>
  <c r="A3087" i="1"/>
  <c r="B3087" i="1"/>
  <c r="C3087" i="1"/>
  <c r="D3087" i="1"/>
  <c r="E3087" i="1"/>
  <c r="F3087" i="1"/>
  <c r="G3087" i="1"/>
  <c r="H3087" i="1"/>
  <c r="A3088" i="1"/>
  <c r="B3088" i="1"/>
  <c r="C3088" i="1"/>
  <c r="D3088" i="1"/>
  <c r="E3088" i="1"/>
  <c r="F3088" i="1"/>
  <c r="G3088" i="1"/>
  <c r="H3088" i="1"/>
  <c r="A3089" i="1"/>
  <c r="B3089" i="1"/>
  <c r="C3089" i="1"/>
  <c r="D3089" i="1"/>
  <c r="E3089" i="1"/>
  <c r="F3089" i="1"/>
  <c r="G3089" i="1"/>
  <c r="H3089" i="1"/>
  <c r="A3090" i="1"/>
  <c r="B3090" i="1"/>
  <c r="C3090" i="1"/>
  <c r="D3090" i="1"/>
  <c r="E3090" i="1"/>
  <c r="F3090" i="1"/>
  <c r="G3090" i="1"/>
  <c r="H3090" i="1"/>
  <c r="A3091" i="1"/>
  <c r="B3091" i="1"/>
  <c r="C3091" i="1"/>
  <c r="D3091" i="1"/>
  <c r="E3091" i="1"/>
  <c r="F3091" i="1"/>
  <c r="G3091" i="1"/>
  <c r="H3091" i="1"/>
  <c r="A3092" i="1"/>
  <c r="B3092" i="1"/>
  <c r="C3092" i="1"/>
  <c r="D3092" i="1"/>
  <c r="E3092" i="1"/>
  <c r="F3092" i="1"/>
  <c r="G3092" i="1"/>
  <c r="H3092" i="1"/>
  <c r="A3093" i="1"/>
  <c r="B3093" i="1"/>
  <c r="C3093" i="1"/>
  <c r="D3093" i="1"/>
  <c r="E3093" i="1"/>
  <c r="F3093" i="1"/>
  <c r="G3093" i="1"/>
  <c r="H3093" i="1"/>
  <c r="A3094" i="1"/>
  <c r="B3094" i="1"/>
  <c r="C3094" i="1"/>
  <c r="D3094" i="1"/>
  <c r="E3094" i="1"/>
  <c r="F3094" i="1"/>
  <c r="G3094" i="1"/>
  <c r="H3094" i="1"/>
  <c r="A3095" i="1"/>
  <c r="B3095" i="1"/>
  <c r="C3095" i="1"/>
  <c r="D3095" i="1"/>
  <c r="E3095" i="1"/>
  <c r="F3095" i="1"/>
  <c r="G3095" i="1"/>
  <c r="H3095" i="1"/>
  <c r="A3096" i="1"/>
  <c r="B3096" i="1"/>
  <c r="C3096" i="1"/>
  <c r="D3096" i="1"/>
  <c r="E3096" i="1"/>
  <c r="F3096" i="1"/>
  <c r="G3096" i="1"/>
  <c r="H3096" i="1"/>
  <c r="A3097" i="1"/>
  <c r="B3097" i="1"/>
  <c r="C3097" i="1"/>
  <c r="D3097" i="1"/>
  <c r="E3097" i="1"/>
  <c r="F3097" i="1"/>
  <c r="G3097" i="1"/>
  <c r="H3097" i="1"/>
  <c r="A3098" i="1"/>
  <c r="B3098" i="1"/>
  <c r="C3098" i="1"/>
  <c r="D3098" i="1"/>
  <c r="E3098" i="1"/>
  <c r="F3098" i="1"/>
  <c r="G3098" i="1"/>
  <c r="H3098" i="1"/>
  <c r="A3099" i="1"/>
  <c r="B3099" i="1"/>
  <c r="C3099" i="1"/>
  <c r="D3099" i="1"/>
  <c r="E3099" i="1"/>
  <c r="F3099" i="1"/>
  <c r="G3099" i="1"/>
  <c r="H3099" i="1"/>
  <c r="A3100" i="1"/>
  <c r="B3100" i="1"/>
  <c r="C3100" i="1"/>
  <c r="D3100" i="1"/>
  <c r="E3100" i="1"/>
  <c r="F3100" i="1"/>
  <c r="G3100" i="1"/>
  <c r="H3100" i="1"/>
  <c r="A3101" i="1"/>
  <c r="B3101" i="1"/>
  <c r="C3101" i="1"/>
  <c r="D3101" i="1"/>
  <c r="E3101" i="1"/>
  <c r="F3101" i="1"/>
  <c r="G3101" i="1"/>
  <c r="H3101" i="1"/>
  <c r="A3102" i="1"/>
  <c r="B3102" i="1"/>
  <c r="C3102" i="1"/>
  <c r="D3102" i="1"/>
  <c r="E3102" i="1"/>
  <c r="F3102" i="1"/>
  <c r="G3102" i="1"/>
  <c r="H3102" i="1"/>
  <c r="A3103" i="1"/>
  <c r="B3103" i="1"/>
  <c r="C3103" i="1"/>
  <c r="D3103" i="1"/>
  <c r="E3103" i="1"/>
  <c r="F3103" i="1"/>
  <c r="G3103" i="1"/>
  <c r="H3103" i="1"/>
  <c r="A3104" i="1"/>
  <c r="B3104" i="1"/>
  <c r="C3104" i="1"/>
  <c r="D3104" i="1"/>
  <c r="E3104" i="1"/>
  <c r="F3104" i="1"/>
  <c r="G3104" i="1"/>
  <c r="H3104" i="1"/>
  <c r="A3105" i="1"/>
  <c r="B3105" i="1"/>
  <c r="C3105" i="1"/>
  <c r="D3105" i="1"/>
  <c r="E3105" i="1"/>
  <c r="F3105" i="1"/>
  <c r="G3105" i="1"/>
  <c r="H3105" i="1"/>
  <c r="A3106" i="1"/>
  <c r="B3106" i="1"/>
  <c r="C3106" i="1"/>
  <c r="D3106" i="1"/>
  <c r="E3106" i="1"/>
  <c r="F3106" i="1"/>
  <c r="G3106" i="1"/>
  <c r="H3106" i="1"/>
  <c r="A3107" i="1"/>
  <c r="B3107" i="1"/>
  <c r="C3107" i="1"/>
  <c r="D3107" i="1"/>
  <c r="E3107" i="1"/>
  <c r="F3107" i="1"/>
  <c r="G3107" i="1"/>
  <c r="H3107" i="1"/>
  <c r="A3108" i="1"/>
  <c r="B3108" i="1"/>
  <c r="C3108" i="1"/>
  <c r="D3108" i="1"/>
  <c r="E3108" i="1"/>
  <c r="F3108" i="1"/>
  <c r="G3108" i="1"/>
  <c r="H3108" i="1"/>
  <c r="A3109" i="1"/>
  <c r="B3109" i="1"/>
  <c r="C3109" i="1"/>
  <c r="D3109" i="1"/>
  <c r="E3109" i="1"/>
  <c r="F3109" i="1"/>
  <c r="G3109" i="1"/>
  <c r="H3109" i="1"/>
  <c r="A3110" i="1"/>
  <c r="B3110" i="1"/>
  <c r="C3110" i="1"/>
  <c r="D3110" i="1"/>
  <c r="E3110" i="1"/>
  <c r="F3110" i="1"/>
  <c r="G3110" i="1"/>
  <c r="H3110" i="1"/>
  <c r="A3111" i="1"/>
  <c r="B3111" i="1"/>
  <c r="C3111" i="1"/>
  <c r="D3111" i="1"/>
  <c r="E3111" i="1"/>
  <c r="F3111" i="1"/>
  <c r="G3111" i="1"/>
  <c r="H3111" i="1"/>
  <c r="A3112" i="1"/>
  <c r="B3112" i="1"/>
  <c r="C3112" i="1"/>
  <c r="D3112" i="1"/>
  <c r="E3112" i="1"/>
  <c r="F3112" i="1"/>
  <c r="G3112" i="1"/>
  <c r="H3112" i="1"/>
  <c r="A3113" i="1"/>
  <c r="B3113" i="1"/>
  <c r="C3113" i="1"/>
  <c r="D3113" i="1"/>
  <c r="E3113" i="1"/>
  <c r="F3113" i="1"/>
  <c r="G3113" i="1"/>
  <c r="H3113" i="1"/>
  <c r="A3114" i="1"/>
  <c r="B3114" i="1"/>
  <c r="C3114" i="1"/>
  <c r="D3114" i="1"/>
  <c r="E3114" i="1"/>
  <c r="F3114" i="1"/>
  <c r="G3114" i="1"/>
  <c r="H3114" i="1"/>
  <c r="A3115" i="1"/>
  <c r="B3115" i="1"/>
  <c r="C3115" i="1"/>
  <c r="D3115" i="1"/>
  <c r="E3115" i="1"/>
  <c r="F3115" i="1"/>
  <c r="G3115" i="1"/>
  <c r="H3115" i="1"/>
  <c r="A3116" i="1"/>
  <c r="B3116" i="1"/>
  <c r="C3116" i="1"/>
  <c r="D3116" i="1"/>
  <c r="E3116" i="1"/>
  <c r="F3116" i="1"/>
  <c r="G3116" i="1"/>
  <c r="H3116" i="1"/>
  <c r="A3117" i="1"/>
  <c r="B3117" i="1"/>
  <c r="C3117" i="1"/>
  <c r="D3117" i="1"/>
  <c r="E3117" i="1"/>
  <c r="F3117" i="1"/>
  <c r="G3117" i="1"/>
  <c r="H3117" i="1"/>
  <c r="A3118" i="1"/>
  <c r="B3118" i="1"/>
  <c r="C3118" i="1"/>
  <c r="D3118" i="1"/>
  <c r="E3118" i="1"/>
  <c r="F3118" i="1"/>
  <c r="G3118" i="1"/>
  <c r="H3118" i="1"/>
  <c r="A3119" i="1"/>
  <c r="B3119" i="1"/>
  <c r="C3119" i="1"/>
  <c r="D3119" i="1"/>
  <c r="E3119" i="1"/>
  <c r="F3119" i="1"/>
  <c r="G3119" i="1"/>
  <c r="H3119" i="1"/>
  <c r="A3120" i="1"/>
  <c r="B3120" i="1"/>
  <c r="C3120" i="1"/>
  <c r="D3120" i="1"/>
  <c r="E3120" i="1"/>
  <c r="F3120" i="1"/>
  <c r="G3120" i="1"/>
  <c r="H3120" i="1"/>
  <c r="A3121" i="1"/>
  <c r="B3121" i="1"/>
  <c r="C3121" i="1"/>
  <c r="D3121" i="1"/>
  <c r="E3121" i="1"/>
  <c r="F3121" i="1"/>
  <c r="G3121" i="1"/>
  <c r="H3121" i="1"/>
  <c r="A3122" i="1"/>
  <c r="B3122" i="1"/>
  <c r="C3122" i="1"/>
  <c r="D3122" i="1"/>
  <c r="E3122" i="1"/>
  <c r="F3122" i="1"/>
  <c r="G3122" i="1"/>
  <c r="H3122" i="1"/>
  <c r="A3123" i="1"/>
  <c r="B3123" i="1"/>
  <c r="C3123" i="1"/>
  <c r="D3123" i="1"/>
  <c r="E3123" i="1"/>
  <c r="F3123" i="1"/>
  <c r="G3123" i="1"/>
  <c r="H3123" i="1"/>
  <c r="A3124" i="1"/>
  <c r="B3124" i="1"/>
  <c r="C3124" i="1"/>
  <c r="D3124" i="1"/>
  <c r="E3124" i="1"/>
  <c r="F3124" i="1"/>
  <c r="G3124" i="1"/>
  <c r="H3124" i="1"/>
  <c r="A3125" i="1"/>
  <c r="B3125" i="1"/>
  <c r="C3125" i="1"/>
  <c r="D3125" i="1"/>
  <c r="E3125" i="1"/>
  <c r="F3125" i="1"/>
  <c r="G3125" i="1"/>
  <c r="H3125" i="1"/>
  <c r="A3126" i="1"/>
  <c r="B3126" i="1"/>
  <c r="C3126" i="1"/>
  <c r="D3126" i="1"/>
  <c r="E3126" i="1"/>
  <c r="F3126" i="1"/>
  <c r="G3126" i="1"/>
  <c r="H3126" i="1"/>
  <c r="A3127" i="1"/>
  <c r="B3127" i="1"/>
  <c r="C3127" i="1"/>
  <c r="D3127" i="1"/>
  <c r="E3127" i="1"/>
  <c r="F3127" i="1"/>
  <c r="G3127" i="1"/>
  <c r="H3127" i="1"/>
  <c r="A3128" i="1"/>
  <c r="B3128" i="1"/>
  <c r="C3128" i="1"/>
  <c r="D3128" i="1"/>
  <c r="E3128" i="1"/>
  <c r="F3128" i="1"/>
  <c r="G3128" i="1"/>
  <c r="H3128" i="1"/>
  <c r="A3129" i="1"/>
  <c r="B3129" i="1"/>
  <c r="C3129" i="1"/>
  <c r="D3129" i="1"/>
  <c r="E3129" i="1"/>
  <c r="F3129" i="1"/>
  <c r="G3129" i="1"/>
  <c r="H3129" i="1"/>
  <c r="A3130" i="1"/>
  <c r="B3130" i="1"/>
  <c r="C3130" i="1"/>
  <c r="D3130" i="1"/>
  <c r="E3130" i="1"/>
  <c r="F3130" i="1"/>
  <c r="G3130" i="1"/>
  <c r="H3130" i="1"/>
  <c r="A3131" i="1"/>
  <c r="B3131" i="1"/>
  <c r="C3131" i="1"/>
  <c r="D3131" i="1"/>
  <c r="E3131" i="1"/>
  <c r="F3131" i="1"/>
  <c r="G3131" i="1"/>
  <c r="H3131" i="1"/>
  <c r="A3132" i="1"/>
  <c r="B3132" i="1"/>
  <c r="C3132" i="1"/>
  <c r="D3132" i="1"/>
  <c r="E3132" i="1"/>
  <c r="F3132" i="1"/>
  <c r="G3132" i="1"/>
  <c r="H3132" i="1"/>
  <c r="A3133" i="1"/>
  <c r="B3133" i="1"/>
  <c r="C3133" i="1"/>
  <c r="D3133" i="1"/>
  <c r="E3133" i="1"/>
  <c r="F3133" i="1"/>
  <c r="G3133" i="1"/>
  <c r="H3133" i="1"/>
  <c r="A3134" i="1"/>
  <c r="B3134" i="1"/>
  <c r="C3134" i="1"/>
  <c r="D3134" i="1"/>
  <c r="E3134" i="1"/>
  <c r="F3134" i="1"/>
  <c r="G3134" i="1"/>
  <c r="H3134" i="1"/>
  <c r="A3135" i="1"/>
  <c r="B3135" i="1"/>
  <c r="C3135" i="1"/>
  <c r="D3135" i="1"/>
  <c r="E3135" i="1"/>
  <c r="F3135" i="1"/>
  <c r="G3135" i="1"/>
  <c r="H3135" i="1"/>
  <c r="A3136" i="1"/>
  <c r="B3136" i="1"/>
  <c r="C3136" i="1"/>
  <c r="D3136" i="1"/>
  <c r="E3136" i="1"/>
  <c r="F3136" i="1"/>
  <c r="G3136" i="1"/>
  <c r="H3136" i="1"/>
  <c r="A3137" i="1"/>
  <c r="B3137" i="1"/>
  <c r="C3137" i="1"/>
  <c r="D3137" i="1"/>
  <c r="E3137" i="1"/>
  <c r="F3137" i="1"/>
  <c r="G3137" i="1"/>
  <c r="H3137" i="1"/>
  <c r="A3138" i="1"/>
  <c r="B3138" i="1"/>
  <c r="C3138" i="1"/>
  <c r="D3138" i="1"/>
  <c r="E3138" i="1"/>
  <c r="F3138" i="1"/>
  <c r="G3138" i="1"/>
  <c r="H3138" i="1"/>
  <c r="A3139" i="1"/>
  <c r="B3139" i="1"/>
  <c r="C3139" i="1"/>
  <c r="D3139" i="1"/>
  <c r="E3139" i="1"/>
  <c r="F3139" i="1"/>
  <c r="G3139" i="1"/>
  <c r="H3139" i="1"/>
  <c r="A3140" i="1"/>
  <c r="B3140" i="1"/>
  <c r="C3140" i="1"/>
  <c r="D3140" i="1"/>
  <c r="E3140" i="1"/>
  <c r="F3140" i="1"/>
  <c r="G3140" i="1"/>
  <c r="H3140" i="1"/>
  <c r="A3141" i="1"/>
  <c r="B3141" i="1"/>
  <c r="C3141" i="1"/>
  <c r="D3141" i="1"/>
  <c r="E3141" i="1"/>
  <c r="F3141" i="1"/>
  <c r="G3141" i="1"/>
  <c r="H3141" i="1"/>
  <c r="A3142" i="1"/>
  <c r="B3142" i="1"/>
  <c r="C3142" i="1"/>
  <c r="D3142" i="1"/>
  <c r="E3142" i="1"/>
  <c r="F3142" i="1"/>
  <c r="G3142" i="1"/>
  <c r="H3142" i="1"/>
  <c r="A3143" i="1"/>
  <c r="B3143" i="1"/>
  <c r="C3143" i="1"/>
  <c r="D3143" i="1"/>
  <c r="E3143" i="1"/>
  <c r="F3143" i="1"/>
  <c r="G3143" i="1"/>
  <c r="H3143" i="1"/>
  <c r="A3144" i="1"/>
  <c r="B3144" i="1"/>
  <c r="C3144" i="1"/>
  <c r="D3144" i="1"/>
  <c r="E3144" i="1"/>
  <c r="F3144" i="1"/>
  <c r="G3144" i="1"/>
  <c r="H3144" i="1"/>
  <c r="A3145" i="1"/>
  <c r="B3145" i="1"/>
  <c r="C3145" i="1"/>
  <c r="D3145" i="1"/>
  <c r="E3145" i="1"/>
  <c r="F3145" i="1"/>
  <c r="G3145" i="1"/>
  <c r="H3145" i="1"/>
  <c r="A3146" i="1"/>
  <c r="B3146" i="1"/>
  <c r="C3146" i="1"/>
  <c r="D3146" i="1"/>
  <c r="E3146" i="1"/>
  <c r="F3146" i="1"/>
  <c r="G3146" i="1"/>
  <c r="H3146" i="1"/>
  <c r="A3147" i="1"/>
  <c r="B3147" i="1"/>
  <c r="C3147" i="1"/>
  <c r="D3147" i="1"/>
  <c r="E3147" i="1"/>
  <c r="F3147" i="1"/>
  <c r="G3147" i="1"/>
  <c r="H3147" i="1"/>
  <c r="A3148" i="1"/>
  <c r="B3148" i="1"/>
  <c r="C3148" i="1"/>
  <c r="D3148" i="1"/>
  <c r="E3148" i="1"/>
  <c r="F3148" i="1"/>
  <c r="G3148" i="1"/>
  <c r="H3148" i="1"/>
  <c r="A3149" i="1"/>
  <c r="B3149" i="1"/>
  <c r="C3149" i="1"/>
  <c r="D3149" i="1"/>
  <c r="E3149" i="1"/>
  <c r="F3149" i="1"/>
  <c r="G3149" i="1"/>
  <c r="H3149" i="1"/>
  <c r="A3150" i="1"/>
  <c r="B3150" i="1"/>
  <c r="C3150" i="1"/>
  <c r="D3150" i="1"/>
  <c r="E3150" i="1"/>
  <c r="F3150" i="1"/>
  <c r="G3150" i="1"/>
  <c r="H3150" i="1"/>
  <c r="A3151" i="1"/>
  <c r="B3151" i="1"/>
  <c r="C3151" i="1"/>
  <c r="D3151" i="1"/>
  <c r="E3151" i="1"/>
  <c r="F3151" i="1"/>
  <c r="G3151" i="1"/>
  <c r="H3151" i="1"/>
  <c r="A3152" i="1"/>
  <c r="B3152" i="1"/>
  <c r="C3152" i="1"/>
  <c r="D3152" i="1"/>
  <c r="E3152" i="1"/>
  <c r="F3152" i="1"/>
  <c r="G3152" i="1"/>
  <c r="H3152" i="1"/>
  <c r="A3153" i="1"/>
  <c r="B3153" i="1"/>
  <c r="C3153" i="1"/>
  <c r="D3153" i="1"/>
  <c r="E3153" i="1"/>
  <c r="F3153" i="1"/>
  <c r="G3153" i="1"/>
  <c r="H3153" i="1"/>
  <c r="A3154" i="1"/>
  <c r="B3154" i="1"/>
  <c r="C3154" i="1"/>
  <c r="D3154" i="1"/>
  <c r="E3154" i="1"/>
  <c r="F3154" i="1"/>
  <c r="G3154" i="1"/>
  <c r="H3154" i="1"/>
  <c r="A3155" i="1"/>
  <c r="B3155" i="1"/>
  <c r="C3155" i="1"/>
  <c r="D3155" i="1"/>
  <c r="E3155" i="1"/>
  <c r="F3155" i="1"/>
  <c r="G3155" i="1"/>
  <c r="H3155" i="1"/>
  <c r="A3156" i="1"/>
  <c r="B3156" i="1"/>
  <c r="C3156" i="1"/>
  <c r="D3156" i="1"/>
  <c r="E3156" i="1"/>
  <c r="F3156" i="1"/>
  <c r="G3156" i="1"/>
  <c r="H3156" i="1"/>
  <c r="A3157" i="1"/>
  <c r="B3157" i="1"/>
  <c r="C3157" i="1"/>
  <c r="D3157" i="1"/>
  <c r="E3157" i="1"/>
  <c r="F3157" i="1"/>
  <c r="G3157" i="1"/>
  <c r="H3157" i="1"/>
  <c r="A3158" i="1"/>
  <c r="B3158" i="1"/>
  <c r="C3158" i="1"/>
  <c r="D3158" i="1"/>
  <c r="E3158" i="1"/>
  <c r="F3158" i="1"/>
  <c r="G3158" i="1"/>
  <c r="H3158" i="1"/>
  <c r="A3159" i="1"/>
  <c r="B3159" i="1"/>
  <c r="C3159" i="1"/>
  <c r="D3159" i="1"/>
  <c r="E3159" i="1"/>
  <c r="F3159" i="1"/>
  <c r="G3159" i="1"/>
  <c r="H3159" i="1"/>
  <c r="A3160" i="1"/>
  <c r="B3160" i="1"/>
  <c r="C3160" i="1"/>
  <c r="D3160" i="1"/>
  <c r="E3160" i="1"/>
  <c r="F3160" i="1"/>
  <c r="G3160" i="1"/>
  <c r="H3160" i="1"/>
  <c r="A3161" i="1"/>
  <c r="B3161" i="1"/>
  <c r="C3161" i="1"/>
  <c r="D3161" i="1"/>
  <c r="E3161" i="1"/>
  <c r="F3161" i="1"/>
  <c r="G3161" i="1"/>
  <c r="H3161" i="1"/>
  <c r="A3162" i="1"/>
  <c r="B3162" i="1"/>
  <c r="C3162" i="1"/>
  <c r="D3162" i="1"/>
  <c r="E3162" i="1"/>
  <c r="F3162" i="1"/>
  <c r="G3162" i="1"/>
  <c r="H3162" i="1"/>
  <c r="A3163" i="1"/>
  <c r="B3163" i="1"/>
  <c r="C3163" i="1"/>
  <c r="D3163" i="1"/>
  <c r="E3163" i="1"/>
  <c r="F3163" i="1"/>
  <c r="G3163" i="1"/>
  <c r="H3163" i="1"/>
  <c r="A3164" i="1"/>
  <c r="B3164" i="1"/>
  <c r="C3164" i="1"/>
  <c r="D3164" i="1"/>
  <c r="E3164" i="1"/>
  <c r="F3164" i="1"/>
  <c r="G3164" i="1"/>
  <c r="H3164" i="1"/>
  <c r="A3165" i="1"/>
  <c r="B3165" i="1"/>
  <c r="C3165" i="1"/>
  <c r="D3165" i="1"/>
  <c r="E3165" i="1"/>
  <c r="F3165" i="1"/>
  <c r="G3165" i="1"/>
  <c r="H3165" i="1"/>
  <c r="A3166" i="1"/>
  <c r="B3166" i="1"/>
  <c r="C3166" i="1"/>
  <c r="D3166" i="1"/>
  <c r="E3166" i="1"/>
  <c r="F3166" i="1"/>
  <c r="G3166" i="1"/>
  <c r="H3166" i="1"/>
  <c r="A3167" i="1"/>
  <c r="B3167" i="1"/>
  <c r="C3167" i="1"/>
  <c r="D3167" i="1"/>
  <c r="E3167" i="1"/>
  <c r="F3167" i="1"/>
  <c r="G3167" i="1"/>
  <c r="H3167" i="1"/>
  <c r="A3168" i="1"/>
  <c r="B3168" i="1"/>
  <c r="C3168" i="1"/>
  <c r="D3168" i="1"/>
  <c r="E3168" i="1"/>
  <c r="F3168" i="1"/>
  <c r="G3168" i="1"/>
  <c r="H3168" i="1"/>
  <c r="A3169" i="1"/>
  <c r="B3169" i="1"/>
  <c r="C3169" i="1"/>
  <c r="D3169" i="1"/>
  <c r="E3169" i="1"/>
  <c r="F3169" i="1"/>
  <c r="G3169" i="1"/>
  <c r="H3169" i="1"/>
  <c r="A3170" i="1"/>
  <c r="B3170" i="1"/>
  <c r="C3170" i="1"/>
  <c r="D3170" i="1"/>
  <c r="E3170" i="1"/>
  <c r="F3170" i="1"/>
  <c r="G3170" i="1"/>
  <c r="H3170" i="1"/>
  <c r="A3171" i="1"/>
  <c r="B3171" i="1"/>
  <c r="C3171" i="1"/>
  <c r="D3171" i="1"/>
  <c r="E3171" i="1"/>
  <c r="F3171" i="1"/>
  <c r="G3171" i="1"/>
  <c r="H3171" i="1"/>
  <c r="A3172" i="1"/>
  <c r="B3172" i="1"/>
  <c r="C3172" i="1"/>
  <c r="D3172" i="1"/>
  <c r="E3172" i="1"/>
  <c r="F3172" i="1"/>
  <c r="G3172" i="1"/>
  <c r="H3172" i="1"/>
  <c r="A3173" i="1"/>
  <c r="B3173" i="1"/>
  <c r="C3173" i="1"/>
  <c r="D3173" i="1"/>
  <c r="E3173" i="1"/>
  <c r="F3173" i="1"/>
  <c r="G3173" i="1"/>
  <c r="H3173" i="1"/>
  <c r="A3174" i="1"/>
  <c r="B3174" i="1"/>
  <c r="C3174" i="1"/>
  <c r="D3174" i="1"/>
  <c r="E3174" i="1"/>
  <c r="F3174" i="1"/>
  <c r="G3174" i="1"/>
  <c r="H3174" i="1"/>
  <c r="A3175" i="1"/>
  <c r="B3175" i="1"/>
  <c r="C3175" i="1"/>
  <c r="D3175" i="1"/>
  <c r="E3175" i="1"/>
  <c r="F3175" i="1"/>
  <c r="G3175" i="1"/>
  <c r="H3175" i="1"/>
  <c r="A3176" i="1"/>
  <c r="B3176" i="1"/>
  <c r="C3176" i="1"/>
  <c r="D3176" i="1"/>
  <c r="E3176" i="1"/>
  <c r="F3176" i="1"/>
  <c r="G3176" i="1"/>
  <c r="H3176" i="1"/>
  <c r="A3177" i="1"/>
  <c r="B3177" i="1"/>
  <c r="C3177" i="1"/>
  <c r="D3177" i="1"/>
  <c r="E3177" i="1"/>
  <c r="F3177" i="1"/>
  <c r="G3177" i="1"/>
  <c r="H3177" i="1"/>
  <c r="A3178" i="1"/>
  <c r="B3178" i="1"/>
  <c r="C3178" i="1"/>
  <c r="D3178" i="1"/>
  <c r="E3178" i="1"/>
  <c r="F3178" i="1"/>
  <c r="G3178" i="1"/>
  <c r="H3178" i="1"/>
  <c r="A3179" i="1"/>
  <c r="B3179" i="1"/>
  <c r="C3179" i="1"/>
  <c r="D3179" i="1"/>
  <c r="E3179" i="1"/>
  <c r="F3179" i="1"/>
  <c r="G3179" i="1"/>
  <c r="H3179" i="1"/>
  <c r="A3180" i="1"/>
  <c r="B3180" i="1"/>
  <c r="C3180" i="1"/>
  <c r="D3180" i="1"/>
  <c r="E3180" i="1"/>
  <c r="F3180" i="1"/>
  <c r="G3180" i="1"/>
  <c r="H3180" i="1"/>
  <c r="A3181" i="1"/>
  <c r="B3181" i="1"/>
  <c r="C3181" i="1"/>
  <c r="D3181" i="1"/>
  <c r="E3181" i="1"/>
  <c r="F3181" i="1"/>
  <c r="G3181" i="1"/>
  <c r="H3181" i="1"/>
  <c r="A3182" i="1"/>
  <c r="B3182" i="1"/>
  <c r="C3182" i="1"/>
  <c r="D3182" i="1"/>
  <c r="E3182" i="1"/>
  <c r="F3182" i="1"/>
  <c r="G3182" i="1"/>
  <c r="H3182" i="1"/>
  <c r="A3183" i="1"/>
  <c r="B3183" i="1"/>
  <c r="C3183" i="1"/>
  <c r="D3183" i="1"/>
  <c r="E3183" i="1"/>
  <c r="F3183" i="1"/>
  <c r="G3183" i="1"/>
  <c r="H3183" i="1"/>
  <c r="A3184" i="1"/>
  <c r="B3184" i="1"/>
  <c r="C3184" i="1"/>
  <c r="D3184" i="1"/>
  <c r="E3184" i="1"/>
  <c r="F3184" i="1"/>
  <c r="G3184" i="1"/>
  <c r="H3184" i="1"/>
  <c r="A3185" i="1"/>
  <c r="B3185" i="1"/>
  <c r="C3185" i="1"/>
  <c r="D3185" i="1"/>
  <c r="E3185" i="1"/>
  <c r="F3185" i="1"/>
  <c r="G3185" i="1"/>
  <c r="H3185" i="1"/>
  <c r="A3186" i="1"/>
  <c r="B3186" i="1"/>
  <c r="C3186" i="1"/>
  <c r="D3186" i="1"/>
  <c r="E3186" i="1"/>
  <c r="F3186" i="1"/>
  <c r="G3186" i="1"/>
  <c r="H3186" i="1"/>
  <c r="A3187" i="1"/>
  <c r="B3187" i="1"/>
  <c r="C3187" i="1"/>
  <c r="D3187" i="1"/>
  <c r="E3187" i="1"/>
  <c r="F3187" i="1"/>
  <c r="G3187" i="1"/>
  <c r="H3187" i="1"/>
  <c r="A3188" i="1"/>
  <c r="B3188" i="1"/>
  <c r="C3188" i="1"/>
  <c r="D3188" i="1"/>
  <c r="E3188" i="1"/>
  <c r="F3188" i="1"/>
  <c r="G3188" i="1"/>
  <c r="H3188" i="1"/>
  <c r="A3189" i="1"/>
  <c r="B3189" i="1"/>
  <c r="C3189" i="1"/>
  <c r="D3189" i="1"/>
  <c r="E3189" i="1"/>
  <c r="F3189" i="1"/>
  <c r="G3189" i="1"/>
  <c r="H3189" i="1"/>
  <c r="A3190" i="1"/>
  <c r="B3190" i="1"/>
  <c r="C3190" i="1"/>
  <c r="D3190" i="1"/>
  <c r="E3190" i="1"/>
  <c r="F3190" i="1"/>
  <c r="G3190" i="1"/>
  <c r="H3190" i="1"/>
  <c r="A3191" i="1"/>
  <c r="B3191" i="1"/>
  <c r="C3191" i="1"/>
  <c r="D3191" i="1"/>
  <c r="E3191" i="1"/>
  <c r="F3191" i="1"/>
  <c r="G3191" i="1"/>
  <c r="H3191" i="1"/>
  <c r="A3192" i="1"/>
  <c r="B3192" i="1"/>
  <c r="C3192" i="1"/>
  <c r="D3192" i="1"/>
  <c r="E3192" i="1"/>
  <c r="F3192" i="1"/>
  <c r="G3192" i="1"/>
  <c r="H3192" i="1"/>
  <c r="A3193" i="1"/>
  <c r="B3193" i="1"/>
  <c r="C3193" i="1"/>
  <c r="D3193" i="1"/>
  <c r="E3193" i="1"/>
  <c r="F3193" i="1"/>
  <c r="G3193" i="1"/>
  <c r="H3193" i="1"/>
  <c r="A3194" i="1"/>
  <c r="B3194" i="1"/>
  <c r="C3194" i="1"/>
  <c r="D3194" i="1"/>
  <c r="E3194" i="1"/>
  <c r="F3194" i="1"/>
  <c r="G3194" i="1"/>
  <c r="H3194" i="1"/>
  <c r="A3195" i="1"/>
  <c r="B3195" i="1"/>
  <c r="C3195" i="1"/>
  <c r="D3195" i="1"/>
  <c r="E3195" i="1"/>
  <c r="F3195" i="1"/>
  <c r="G3195" i="1"/>
  <c r="H3195" i="1"/>
  <c r="A3196" i="1"/>
  <c r="B3196" i="1"/>
  <c r="C3196" i="1"/>
  <c r="D3196" i="1"/>
  <c r="E3196" i="1"/>
  <c r="F3196" i="1"/>
  <c r="G3196" i="1"/>
  <c r="H3196" i="1"/>
  <c r="A3197" i="1"/>
  <c r="B3197" i="1"/>
  <c r="C3197" i="1"/>
  <c r="D3197" i="1"/>
  <c r="E3197" i="1"/>
  <c r="F3197" i="1"/>
  <c r="G3197" i="1"/>
  <c r="H3197" i="1"/>
  <c r="A3198" i="1"/>
  <c r="B3198" i="1"/>
  <c r="C3198" i="1"/>
  <c r="D3198" i="1"/>
  <c r="E3198" i="1"/>
  <c r="F3198" i="1"/>
  <c r="G3198" i="1"/>
  <c r="H3198" i="1"/>
  <c r="A3199" i="1"/>
  <c r="B3199" i="1"/>
  <c r="C3199" i="1"/>
  <c r="D3199" i="1"/>
  <c r="E3199" i="1"/>
  <c r="F3199" i="1"/>
  <c r="G3199" i="1"/>
  <c r="H3199" i="1"/>
  <c r="A3200" i="1"/>
  <c r="B3200" i="1"/>
  <c r="C3200" i="1"/>
  <c r="D3200" i="1"/>
  <c r="E3200" i="1"/>
  <c r="F3200" i="1"/>
  <c r="G3200" i="1"/>
  <c r="H3200" i="1"/>
  <c r="A3201" i="1"/>
  <c r="B3201" i="1"/>
  <c r="C3201" i="1"/>
  <c r="D3201" i="1"/>
  <c r="E3201" i="1"/>
  <c r="F3201" i="1"/>
  <c r="G3201" i="1"/>
  <c r="H3201" i="1"/>
  <c r="A3202" i="1"/>
  <c r="B3202" i="1"/>
  <c r="C3202" i="1"/>
  <c r="D3202" i="1"/>
  <c r="E3202" i="1"/>
  <c r="F3202" i="1"/>
  <c r="G3202" i="1"/>
  <c r="H3202" i="1"/>
  <c r="A3203" i="1"/>
  <c r="B3203" i="1"/>
  <c r="C3203" i="1"/>
  <c r="D3203" i="1"/>
  <c r="E3203" i="1"/>
  <c r="F3203" i="1"/>
  <c r="G3203" i="1"/>
  <c r="H3203" i="1"/>
  <c r="A3204" i="1"/>
  <c r="B3204" i="1"/>
  <c r="C3204" i="1"/>
  <c r="D3204" i="1"/>
  <c r="E3204" i="1"/>
  <c r="F3204" i="1"/>
  <c r="G3204" i="1"/>
  <c r="H3204" i="1"/>
  <c r="A3205" i="1"/>
  <c r="B3205" i="1"/>
  <c r="C3205" i="1"/>
  <c r="D3205" i="1"/>
  <c r="E3205" i="1"/>
  <c r="F3205" i="1"/>
  <c r="G3205" i="1"/>
  <c r="H3205" i="1"/>
  <c r="A3206" i="1"/>
  <c r="B3206" i="1"/>
  <c r="C3206" i="1"/>
  <c r="D3206" i="1"/>
  <c r="E3206" i="1"/>
  <c r="F3206" i="1"/>
  <c r="G3206" i="1"/>
  <c r="H3206" i="1"/>
  <c r="A3207" i="1"/>
  <c r="B3207" i="1"/>
  <c r="C3207" i="1"/>
  <c r="D3207" i="1"/>
  <c r="E3207" i="1"/>
  <c r="F3207" i="1"/>
  <c r="G3207" i="1"/>
  <c r="H3207" i="1"/>
  <c r="A3208" i="1"/>
  <c r="B3208" i="1"/>
  <c r="C3208" i="1"/>
  <c r="D3208" i="1"/>
  <c r="E3208" i="1"/>
  <c r="F3208" i="1"/>
  <c r="G3208" i="1"/>
  <c r="H3208" i="1"/>
  <c r="A3209" i="1"/>
  <c r="B3209" i="1"/>
  <c r="C3209" i="1"/>
  <c r="D3209" i="1"/>
  <c r="E3209" i="1"/>
  <c r="F3209" i="1"/>
  <c r="G3209" i="1"/>
  <c r="H3209" i="1"/>
  <c r="A3210" i="1"/>
  <c r="B3210" i="1"/>
  <c r="C3210" i="1"/>
  <c r="D3210" i="1"/>
  <c r="E3210" i="1"/>
  <c r="F3210" i="1"/>
  <c r="G3210" i="1"/>
  <c r="H3210" i="1"/>
  <c r="A3211" i="1"/>
  <c r="B3211" i="1"/>
  <c r="C3211" i="1"/>
  <c r="D3211" i="1"/>
  <c r="E3211" i="1"/>
  <c r="F3211" i="1"/>
  <c r="G3211" i="1"/>
  <c r="H3211" i="1"/>
  <c r="A3212" i="1"/>
  <c r="B3212" i="1"/>
  <c r="C3212" i="1"/>
  <c r="D3212" i="1"/>
  <c r="E3212" i="1"/>
  <c r="F3212" i="1"/>
  <c r="G3212" i="1"/>
  <c r="H3212" i="1"/>
  <c r="A3213" i="1"/>
  <c r="B3213" i="1"/>
  <c r="C3213" i="1"/>
  <c r="D3213" i="1"/>
  <c r="E3213" i="1"/>
  <c r="F3213" i="1"/>
  <c r="G3213" i="1"/>
  <c r="H3213" i="1"/>
  <c r="A3214" i="1"/>
  <c r="B3214" i="1"/>
  <c r="C3214" i="1"/>
  <c r="D3214" i="1"/>
  <c r="E3214" i="1"/>
  <c r="F3214" i="1"/>
  <c r="G3214" i="1"/>
  <c r="H3214" i="1"/>
  <c r="A3215" i="1"/>
  <c r="B3215" i="1"/>
  <c r="C3215" i="1"/>
  <c r="D3215" i="1"/>
  <c r="E3215" i="1"/>
  <c r="F3215" i="1"/>
  <c r="G3215" i="1"/>
  <c r="H3215" i="1"/>
  <c r="A3216" i="1"/>
  <c r="B3216" i="1"/>
  <c r="C3216" i="1"/>
  <c r="D3216" i="1"/>
  <c r="E3216" i="1"/>
  <c r="F3216" i="1"/>
  <c r="G3216" i="1"/>
  <c r="H3216" i="1"/>
  <c r="A3217" i="1"/>
  <c r="B3217" i="1"/>
  <c r="C3217" i="1"/>
  <c r="D3217" i="1"/>
  <c r="E3217" i="1"/>
  <c r="F3217" i="1"/>
  <c r="G3217" i="1"/>
  <c r="H3217" i="1"/>
  <c r="A3218" i="1"/>
  <c r="B3218" i="1"/>
  <c r="C3218" i="1"/>
  <c r="D3218" i="1"/>
  <c r="E3218" i="1"/>
  <c r="F3218" i="1"/>
  <c r="G3218" i="1"/>
  <c r="H3218" i="1"/>
  <c r="A3219" i="1"/>
  <c r="B3219" i="1"/>
  <c r="C3219" i="1"/>
  <c r="D3219" i="1"/>
  <c r="E3219" i="1"/>
  <c r="F3219" i="1"/>
  <c r="G3219" i="1"/>
  <c r="H3219" i="1"/>
  <c r="A3220" i="1"/>
  <c r="B3220" i="1"/>
  <c r="C3220" i="1"/>
  <c r="D3220" i="1"/>
  <c r="E3220" i="1"/>
  <c r="F3220" i="1"/>
  <c r="G3220" i="1"/>
  <c r="H3220" i="1"/>
  <c r="A3221" i="1"/>
  <c r="B3221" i="1"/>
  <c r="C3221" i="1"/>
  <c r="D3221" i="1"/>
  <c r="E3221" i="1"/>
  <c r="F3221" i="1"/>
  <c r="G3221" i="1"/>
  <c r="H3221" i="1"/>
  <c r="A3222" i="1"/>
  <c r="B3222" i="1"/>
  <c r="C3222" i="1"/>
  <c r="D3222" i="1"/>
  <c r="E3222" i="1"/>
  <c r="F3222" i="1"/>
  <c r="G3222" i="1"/>
  <c r="H3222" i="1"/>
  <c r="A3223" i="1"/>
  <c r="B3223" i="1"/>
  <c r="C3223" i="1"/>
  <c r="D3223" i="1"/>
  <c r="E3223" i="1"/>
  <c r="F3223" i="1"/>
  <c r="G3223" i="1"/>
  <c r="H3223" i="1"/>
  <c r="A3224" i="1"/>
  <c r="B3224" i="1"/>
  <c r="C3224" i="1"/>
  <c r="D3224" i="1"/>
  <c r="E3224" i="1"/>
  <c r="F3224" i="1"/>
  <c r="G3224" i="1"/>
  <c r="H3224" i="1"/>
  <c r="A3225" i="1"/>
  <c r="B3225" i="1"/>
  <c r="C3225" i="1"/>
  <c r="D3225" i="1"/>
  <c r="E3225" i="1"/>
  <c r="F3225" i="1"/>
  <c r="G3225" i="1"/>
  <c r="H3225" i="1"/>
  <c r="A3226" i="1"/>
  <c r="B3226" i="1"/>
  <c r="C3226" i="1"/>
  <c r="D3226" i="1"/>
  <c r="E3226" i="1"/>
  <c r="F3226" i="1"/>
  <c r="G3226" i="1"/>
  <c r="H3226" i="1"/>
  <c r="A3227" i="1"/>
  <c r="B3227" i="1"/>
  <c r="C3227" i="1"/>
  <c r="D3227" i="1"/>
  <c r="E3227" i="1"/>
  <c r="F3227" i="1"/>
  <c r="G3227" i="1"/>
  <c r="H3227" i="1"/>
  <c r="A3228" i="1"/>
  <c r="B3228" i="1"/>
  <c r="C3228" i="1"/>
  <c r="D3228" i="1"/>
  <c r="E3228" i="1"/>
  <c r="F3228" i="1"/>
  <c r="G3228" i="1"/>
  <c r="H3228" i="1"/>
  <c r="A3229" i="1"/>
  <c r="B3229" i="1"/>
  <c r="C3229" i="1"/>
  <c r="D3229" i="1"/>
  <c r="E3229" i="1"/>
  <c r="F3229" i="1"/>
  <c r="G3229" i="1"/>
  <c r="H3229" i="1"/>
  <c r="A3230" i="1"/>
  <c r="B3230" i="1"/>
  <c r="C3230" i="1"/>
  <c r="D3230" i="1"/>
  <c r="E3230" i="1"/>
  <c r="F3230" i="1"/>
  <c r="G3230" i="1"/>
  <c r="H3230" i="1"/>
  <c r="A3231" i="1"/>
  <c r="B3231" i="1"/>
  <c r="C3231" i="1"/>
  <c r="D3231" i="1"/>
  <c r="E3231" i="1"/>
  <c r="F3231" i="1"/>
  <c r="G3231" i="1"/>
  <c r="H3231" i="1"/>
  <c r="A3232" i="1"/>
  <c r="B3232" i="1"/>
  <c r="C3232" i="1"/>
  <c r="D3232" i="1"/>
  <c r="E3232" i="1"/>
  <c r="F3232" i="1"/>
  <c r="G3232" i="1"/>
  <c r="H3232" i="1"/>
  <c r="A3233" i="1"/>
  <c r="B3233" i="1"/>
  <c r="C3233" i="1"/>
  <c r="D3233" i="1"/>
  <c r="E3233" i="1"/>
  <c r="F3233" i="1"/>
  <c r="G3233" i="1"/>
  <c r="H3233" i="1"/>
  <c r="A3234" i="1"/>
  <c r="B3234" i="1"/>
  <c r="C3234" i="1"/>
  <c r="D3234" i="1"/>
  <c r="E3234" i="1"/>
  <c r="F3234" i="1"/>
  <c r="G3234" i="1"/>
  <c r="H3234" i="1"/>
  <c r="A3235" i="1"/>
  <c r="B3235" i="1"/>
  <c r="C3235" i="1"/>
  <c r="D3235" i="1"/>
  <c r="E3235" i="1"/>
  <c r="F3235" i="1"/>
  <c r="G3235" i="1"/>
  <c r="H3235" i="1"/>
  <c r="A3236" i="1"/>
  <c r="B3236" i="1"/>
  <c r="C3236" i="1"/>
  <c r="D3236" i="1"/>
  <c r="E3236" i="1"/>
  <c r="F3236" i="1"/>
  <c r="G3236" i="1"/>
  <c r="H3236" i="1"/>
  <c r="A3237" i="1"/>
  <c r="B3237" i="1"/>
  <c r="C3237" i="1"/>
  <c r="D3237" i="1"/>
  <c r="E3237" i="1"/>
  <c r="F3237" i="1"/>
  <c r="G3237" i="1"/>
  <c r="H3237" i="1"/>
  <c r="A3238" i="1"/>
  <c r="B3238" i="1"/>
  <c r="C3238" i="1"/>
  <c r="D3238" i="1"/>
  <c r="E3238" i="1"/>
  <c r="F3238" i="1"/>
  <c r="G3238" i="1"/>
  <c r="H3238" i="1"/>
  <c r="A3239" i="1"/>
  <c r="B3239" i="1"/>
  <c r="C3239" i="1"/>
  <c r="D3239" i="1"/>
  <c r="E3239" i="1"/>
  <c r="F3239" i="1"/>
  <c r="G3239" i="1"/>
  <c r="H3239" i="1"/>
  <c r="A3240" i="1"/>
  <c r="B3240" i="1"/>
  <c r="C3240" i="1"/>
  <c r="D3240" i="1"/>
  <c r="E3240" i="1"/>
  <c r="F3240" i="1"/>
  <c r="G3240" i="1"/>
  <c r="H3240" i="1"/>
  <c r="A3241" i="1"/>
  <c r="B3241" i="1"/>
  <c r="C3241" i="1"/>
  <c r="D3241" i="1"/>
  <c r="E3241" i="1"/>
  <c r="F3241" i="1"/>
  <c r="G3241" i="1"/>
  <c r="H3241" i="1"/>
  <c r="A3242" i="1"/>
  <c r="B3242" i="1"/>
  <c r="C3242" i="1"/>
  <c r="D3242" i="1"/>
  <c r="E3242" i="1"/>
  <c r="F3242" i="1"/>
  <c r="G3242" i="1"/>
  <c r="H3242" i="1"/>
  <c r="A3243" i="1"/>
  <c r="B3243" i="1"/>
  <c r="C3243" i="1"/>
  <c r="D3243" i="1"/>
  <c r="E3243" i="1"/>
  <c r="F3243" i="1"/>
  <c r="G3243" i="1"/>
  <c r="H3243" i="1"/>
  <c r="A3244" i="1"/>
  <c r="B3244" i="1"/>
  <c r="C3244" i="1"/>
  <c r="D3244" i="1"/>
  <c r="E3244" i="1"/>
  <c r="F3244" i="1"/>
  <c r="G3244" i="1"/>
  <c r="H3244" i="1"/>
  <c r="A3245" i="1"/>
  <c r="B3245" i="1"/>
  <c r="C3245" i="1"/>
  <c r="D3245" i="1"/>
  <c r="E3245" i="1"/>
  <c r="F3245" i="1"/>
  <c r="G3245" i="1"/>
  <c r="H3245" i="1"/>
  <c r="A3246" i="1"/>
  <c r="B3246" i="1"/>
  <c r="C3246" i="1"/>
  <c r="D3246" i="1"/>
  <c r="E3246" i="1"/>
  <c r="F3246" i="1"/>
  <c r="G3246" i="1"/>
  <c r="H3246" i="1"/>
  <c r="A3247" i="1"/>
  <c r="B3247" i="1"/>
  <c r="C3247" i="1"/>
  <c r="D3247" i="1"/>
  <c r="E3247" i="1"/>
  <c r="F3247" i="1"/>
  <c r="G3247" i="1"/>
  <c r="H3247" i="1"/>
  <c r="A3248" i="1"/>
  <c r="B3248" i="1"/>
  <c r="C3248" i="1"/>
  <c r="D3248" i="1"/>
  <c r="E3248" i="1"/>
  <c r="F3248" i="1"/>
  <c r="G3248" i="1"/>
  <c r="H3248" i="1"/>
  <c r="A3249" i="1"/>
  <c r="B3249" i="1"/>
  <c r="C3249" i="1"/>
  <c r="D3249" i="1"/>
  <c r="E3249" i="1"/>
  <c r="F3249" i="1"/>
  <c r="G3249" i="1"/>
  <c r="H3249" i="1"/>
  <c r="A3250" i="1"/>
  <c r="B3250" i="1"/>
  <c r="C3250" i="1"/>
  <c r="D3250" i="1"/>
  <c r="E3250" i="1"/>
  <c r="F3250" i="1"/>
  <c r="G3250" i="1"/>
  <c r="H3250" i="1"/>
  <c r="A3251" i="1"/>
  <c r="B3251" i="1"/>
  <c r="C3251" i="1"/>
  <c r="D3251" i="1"/>
  <c r="E3251" i="1"/>
  <c r="F3251" i="1"/>
  <c r="G3251" i="1"/>
  <c r="H3251" i="1"/>
  <c r="A3252" i="1"/>
  <c r="B3252" i="1"/>
  <c r="C3252" i="1"/>
  <c r="D3252" i="1"/>
  <c r="E3252" i="1"/>
  <c r="F3252" i="1"/>
  <c r="G3252" i="1"/>
  <c r="H3252" i="1"/>
  <c r="A3253" i="1"/>
  <c r="B3253" i="1"/>
  <c r="C3253" i="1"/>
  <c r="D3253" i="1"/>
  <c r="E3253" i="1"/>
  <c r="F3253" i="1"/>
  <c r="G3253" i="1"/>
  <c r="H3253" i="1"/>
  <c r="A3254" i="1"/>
  <c r="B3254" i="1"/>
  <c r="C3254" i="1"/>
  <c r="D3254" i="1"/>
  <c r="E3254" i="1"/>
  <c r="F3254" i="1"/>
  <c r="G3254" i="1"/>
  <c r="H3254" i="1"/>
  <c r="A3255" i="1"/>
  <c r="B3255" i="1"/>
  <c r="C3255" i="1"/>
  <c r="D3255" i="1"/>
  <c r="E3255" i="1"/>
  <c r="F3255" i="1"/>
  <c r="G3255" i="1"/>
  <c r="H3255" i="1"/>
  <c r="A3256" i="1"/>
  <c r="B3256" i="1"/>
  <c r="C3256" i="1"/>
  <c r="D3256" i="1"/>
  <c r="E3256" i="1"/>
  <c r="F3256" i="1"/>
  <c r="G3256" i="1"/>
  <c r="H3256" i="1"/>
  <c r="A3257" i="1"/>
  <c r="B3257" i="1"/>
  <c r="C3257" i="1"/>
  <c r="D3257" i="1"/>
  <c r="E3257" i="1"/>
  <c r="F3257" i="1"/>
  <c r="G3257" i="1"/>
  <c r="H3257" i="1"/>
  <c r="A3258" i="1"/>
  <c r="B3258" i="1"/>
  <c r="C3258" i="1"/>
  <c r="D3258" i="1"/>
  <c r="E3258" i="1"/>
  <c r="F3258" i="1"/>
  <c r="G3258" i="1"/>
  <c r="H3258" i="1"/>
  <c r="A3259" i="1"/>
  <c r="B3259" i="1"/>
  <c r="C3259" i="1"/>
  <c r="D3259" i="1"/>
  <c r="E3259" i="1"/>
  <c r="F3259" i="1"/>
  <c r="G3259" i="1"/>
  <c r="H3259" i="1"/>
  <c r="A3260" i="1"/>
  <c r="B3260" i="1"/>
  <c r="C3260" i="1"/>
  <c r="D3260" i="1"/>
  <c r="E3260" i="1"/>
  <c r="F3260" i="1"/>
  <c r="G3260" i="1"/>
  <c r="H3260" i="1"/>
  <c r="A3261" i="1"/>
  <c r="B3261" i="1"/>
  <c r="C3261" i="1"/>
  <c r="D3261" i="1"/>
  <c r="E3261" i="1"/>
  <c r="F3261" i="1"/>
  <c r="G3261" i="1"/>
  <c r="H3261" i="1"/>
  <c r="A3262" i="1"/>
  <c r="B3262" i="1"/>
  <c r="C3262" i="1"/>
  <c r="D3262" i="1"/>
  <c r="E3262" i="1"/>
  <c r="F3262" i="1"/>
  <c r="G3262" i="1"/>
  <c r="H3262" i="1"/>
  <c r="A3263" i="1"/>
  <c r="B3263" i="1"/>
  <c r="C3263" i="1"/>
  <c r="D3263" i="1"/>
  <c r="E3263" i="1"/>
  <c r="F3263" i="1"/>
  <c r="G3263" i="1"/>
  <c r="H3263" i="1"/>
  <c r="A3264" i="1"/>
  <c r="B3264" i="1"/>
  <c r="C3264" i="1"/>
  <c r="D3264" i="1"/>
  <c r="E3264" i="1"/>
  <c r="F3264" i="1"/>
  <c r="G3264" i="1"/>
  <c r="H3264" i="1"/>
  <c r="A3265" i="1"/>
  <c r="B3265" i="1"/>
  <c r="C3265" i="1"/>
  <c r="D3265" i="1"/>
  <c r="E3265" i="1"/>
  <c r="F3265" i="1"/>
  <c r="G3265" i="1"/>
  <c r="H3265" i="1"/>
  <c r="A3266" i="1"/>
  <c r="B3266" i="1"/>
  <c r="C3266" i="1"/>
  <c r="D3266" i="1"/>
  <c r="E3266" i="1"/>
  <c r="F3266" i="1"/>
  <c r="G3266" i="1"/>
  <c r="H3266" i="1"/>
  <c r="A3267" i="1"/>
  <c r="B3267" i="1"/>
  <c r="C3267" i="1"/>
  <c r="D3267" i="1"/>
  <c r="E3267" i="1"/>
  <c r="F3267" i="1"/>
  <c r="G3267" i="1"/>
  <c r="H3267" i="1"/>
  <c r="A3268" i="1"/>
  <c r="B3268" i="1"/>
  <c r="C3268" i="1"/>
  <c r="D3268" i="1"/>
  <c r="E3268" i="1"/>
  <c r="F3268" i="1"/>
  <c r="G3268" i="1"/>
  <c r="H3268" i="1"/>
  <c r="A3269" i="1"/>
  <c r="B3269" i="1"/>
  <c r="C3269" i="1"/>
  <c r="D3269" i="1"/>
  <c r="E3269" i="1"/>
  <c r="F3269" i="1"/>
  <c r="G3269" i="1"/>
  <c r="H3269" i="1"/>
  <c r="A3270" i="1"/>
  <c r="B3270" i="1"/>
  <c r="C3270" i="1"/>
  <c r="D3270" i="1"/>
  <c r="E3270" i="1"/>
  <c r="F3270" i="1"/>
  <c r="G3270" i="1"/>
  <c r="H3270" i="1"/>
  <c r="A3271" i="1"/>
  <c r="B3271" i="1"/>
  <c r="C3271" i="1"/>
  <c r="D3271" i="1"/>
  <c r="E3271" i="1"/>
  <c r="F3271" i="1"/>
  <c r="G3271" i="1"/>
  <c r="H3271" i="1"/>
  <c r="A3272" i="1"/>
  <c r="B3272" i="1"/>
  <c r="C3272" i="1"/>
  <c r="D3272" i="1"/>
  <c r="E3272" i="1"/>
  <c r="F3272" i="1"/>
  <c r="G3272" i="1"/>
  <c r="H3272" i="1"/>
  <c r="A3273" i="1"/>
  <c r="B3273" i="1"/>
  <c r="C3273" i="1"/>
  <c r="D3273" i="1"/>
  <c r="E3273" i="1"/>
  <c r="F3273" i="1"/>
  <c r="G3273" i="1"/>
  <c r="H3273" i="1"/>
  <c r="A3274" i="1"/>
  <c r="B3274" i="1"/>
  <c r="C3274" i="1"/>
  <c r="D3274" i="1"/>
  <c r="E3274" i="1"/>
  <c r="F3274" i="1"/>
  <c r="G3274" i="1"/>
  <c r="H3274" i="1"/>
  <c r="A3275" i="1"/>
  <c r="B3275" i="1"/>
  <c r="C3275" i="1"/>
  <c r="D3275" i="1"/>
  <c r="E3275" i="1"/>
  <c r="F3275" i="1"/>
  <c r="G3275" i="1"/>
  <c r="H3275" i="1"/>
  <c r="A3276" i="1"/>
  <c r="B3276" i="1"/>
  <c r="C3276" i="1"/>
  <c r="D3276" i="1"/>
  <c r="E3276" i="1"/>
  <c r="F3276" i="1"/>
  <c r="G3276" i="1"/>
  <c r="H3276" i="1"/>
  <c r="A3277" i="1"/>
  <c r="B3277" i="1"/>
  <c r="C3277" i="1"/>
  <c r="D3277" i="1"/>
  <c r="E3277" i="1"/>
  <c r="F3277" i="1"/>
  <c r="G3277" i="1"/>
  <c r="H3277" i="1"/>
  <c r="A3278" i="1"/>
  <c r="B3278" i="1"/>
  <c r="C3278" i="1"/>
  <c r="D3278" i="1"/>
  <c r="E3278" i="1"/>
  <c r="F3278" i="1"/>
  <c r="G3278" i="1"/>
  <c r="H3278" i="1"/>
  <c r="A3279" i="1"/>
  <c r="B3279" i="1"/>
  <c r="C3279" i="1"/>
  <c r="D3279" i="1"/>
  <c r="E3279" i="1"/>
  <c r="F3279" i="1"/>
  <c r="G3279" i="1"/>
  <c r="H3279" i="1"/>
  <c r="A3280" i="1"/>
  <c r="B3280" i="1"/>
  <c r="C3280" i="1"/>
  <c r="D3280" i="1"/>
  <c r="E3280" i="1"/>
  <c r="F3280" i="1"/>
  <c r="G3280" i="1"/>
  <c r="H3280" i="1"/>
  <c r="A3281" i="1"/>
  <c r="B3281" i="1"/>
  <c r="C3281" i="1"/>
  <c r="D3281" i="1"/>
  <c r="E3281" i="1"/>
  <c r="F3281" i="1"/>
  <c r="G3281" i="1"/>
  <c r="H3281" i="1"/>
  <c r="A3282" i="1"/>
  <c r="B3282" i="1"/>
  <c r="C3282" i="1"/>
  <c r="D3282" i="1"/>
  <c r="E3282" i="1"/>
  <c r="F3282" i="1"/>
  <c r="G3282" i="1"/>
  <c r="H3282" i="1"/>
  <c r="A3283" i="1"/>
  <c r="B3283" i="1"/>
  <c r="C3283" i="1"/>
  <c r="D3283" i="1"/>
  <c r="E3283" i="1"/>
  <c r="F3283" i="1"/>
  <c r="G3283" i="1"/>
  <c r="H3283" i="1"/>
  <c r="A3284" i="1"/>
  <c r="B3284" i="1"/>
  <c r="C3284" i="1"/>
  <c r="D3284" i="1"/>
  <c r="E3284" i="1"/>
  <c r="F3284" i="1"/>
  <c r="G3284" i="1"/>
  <c r="H3284" i="1"/>
  <c r="A3285" i="1"/>
  <c r="B3285" i="1"/>
  <c r="C3285" i="1"/>
  <c r="D3285" i="1"/>
  <c r="E3285" i="1"/>
  <c r="F3285" i="1"/>
  <c r="G3285" i="1"/>
  <c r="H3285" i="1"/>
  <c r="A3286" i="1"/>
  <c r="B3286" i="1"/>
  <c r="C3286" i="1"/>
  <c r="D3286" i="1"/>
  <c r="E3286" i="1"/>
  <c r="F3286" i="1"/>
  <c r="G3286" i="1"/>
  <c r="H3286" i="1"/>
  <c r="A3287" i="1"/>
  <c r="B3287" i="1"/>
  <c r="C3287" i="1"/>
  <c r="D3287" i="1"/>
  <c r="E3287" i="1"/>
  <c r="F3287" i="1"/>
  <c r="G3287" i="1"/>
  <c r="H3287" i="1"/>
  <c r="A3288" i="1"/>
  <c r="B3288" i="1"/>
  <c r="C3288" i="1"/>
  <c r="D3288" i="1"/>
  <c r="E3288" i="1"/>
  <c r="F3288" i="1"/>
  <c r="G3288" i="1"/>
  <c r="H3288" i="1"/>
  <c r="A3289" i="1"/>
  <c r="B3289" i="1"/>
  <c r="C3289" i="1"/>
  <c r="D3289" i="1"/>
  <c r="E3289" i="1"/>
  <c r="F3289" i="1"/>
  <c r="G3289" i="1"/>
  <c r="H3289" i="1"/>
  <c r="A3290" i="1"/>
  <c r="B3290" i="1"/>
  <c r="C3290" i="1"/>
  <c r="D3290" i="1"/>
  <c r="E3290" i="1"/>
  <c r="F3290" i="1"/>
  <c r="G3290" i="1"/>
  <c r="H3290" i="1"/>
  <c r="A3291" i="1"/>
  <c r="B3291" i="1"/>
  <c r="C3291" i="1"/>
  <c r="D3291" i="1"/>
  <c r="E3291" i="1"/>
  <c r="F3291" i="1"/>
  <c r="G3291" i="1"/>
  <c r="H3291" i="1"/>
  <c r="A3292" i="1"/>
  <c r="B3292" i="1"/>
  <c r="C3292" i="1"/>
  <c r="D3292" i="1"/>
  <c r="E3292" i="1"/>
  <c r="F3292" i="1"/>
  <c r="G3292" i="1"/>
  <c r="H3292" i="1"/>
  <c r="A3293" i="1"/>
  <c r="B3293" i="1"/>
  <c r="C3293" i="1"/>
  <c r="D3293" i="1"/>
  <c r="E3293" i="1"/>
  <c r="F3293" i="1"/>
  <c r="G3293" i="1"/>
  <c r="H3293" i="1"/>
  <c r="A3294" i="1"/>
  <c r="B3294" i="1"/>
  <c r="C3294" i="1"/>
  <c r="D3294" i="1"/>
  <c r="E3294" i="1"/>
  <c r="F3294" i="1"/>
  <c r="G3294" i="1"/>
  <c r="H3294" i="1"/>
  <c r="A3295" i="1"/>
  <c r="B3295" i="1"/>
  <c r="C3295" i="1"/>
  <c r="D3295" i="1"/>
  <c r="E3295" i="1"/>
  <c r="F3295" i="1"/>
  <c r="G3295" i="1"/>
  <c r="H3295" i="1"/>
  <c r="A3296" i="1"/>
  <c r="B3296" i="1"/>
  <c r="C3296" i="1"/>
  <c r="D3296" i="1"/>
  <c r="E3296" i="1"/>
  <c r="F3296" i="1"/>
  <c r="G3296" i="1"/>
  <c r="H3296" i="1"/>
  <c r="A3297" i="1"/>
  <c r="B3297" i="1"/>
  <c r="C3297" i="1"/>
  <c r="D3297" i="1"/>
  <c r="E3297" i="1"/>
  <c r="F3297" i="1"/>
  <c r="G3297" i="1"/>
  <c r="H3297" i="1"/>
  <c r="A3298" i="1"/>
  <c r="B3298" i="1"/>
  <c r="C3298" i="1"/>
  <c r="D3298" i="1"/>
  <c r="E3298" i="1"/>
  <c r="F3298" i="1"/>
  <c r="G3298" i="1"/>
  <c r="H3298" i="1"/>
  <c r="A3299" i="1"/>
  <c r="B3299" i="1"/>
  <c r="C3299" i="1"/>
  <c r="D3299" i="1"/>
  <c r="E3299" i="1"/>
  <c r="F3299" i="1"/>
  <c r="G3299" i="1"/>
  <c r="H3299" i="1"/>
  <c r="A3300" i="1"/>
  <c r="B3300" i="1"/>
  <c r="C3300" i="1"/>
  <c r="D3300" i="1"/>
  <c r="E3300" i="1"/>
  <c r="F3300" i="1"/>
  <c r="G3300" i="1"/>
  <c r="H3300" i="1"/>
  <c r="A3301" i="1"/>
  <c r="B3301" i="1"/>
  <c r="C3301" i="1"/>
  <c r="D3301" i="1"/>
  <c r="E3301" i="1"/>
  <c r="F3301" i="1"/>
  <c r="G3301" i="1"/>
  <c r="H3301" i="1"/>
  <c r="A3302" i="1"/>
  <c r="B3302" i="1"/>
  <c r="C3302" i="1"/>
  <c r="D3302" i="1"/>
  <c r="E3302" i="1"/>
  <c r="F3302" i="1"/>
  <c r="G3302" i="1"/>
  <c r="H3302" i="1"/>
  <c r="A3303" i="1"/>
  <c r="B3303" i="1"/>
  <c r="C3303" i="1"/>
  <c r="D3303" i="1"/>
  <c r="E3303" i="1"/>
  <c r="F3303" i="1"/>
  <c r="G3303" i="1"/>
  <c r="H3303" i="1"/>
  <c r="A3304" i="1"/>
  <c r="B3304" i="1"/>
  <c r="C3304" i="1"/>
  <c r="D3304" i="1"/>
  <c r="E3304" i="1"/>
  <c r="F3304" i="1"/>
  <c r="G3304" i="1"/>
  <c r="H3304" i="1"/>
  <c r="A3305" i="1"/>
  <c r="B3305" i="1"/>
  <c r="C3305" i="1"/>
  <c r="D3305" i="1"/>
  <c r="E3305" i="1"/>
  <c r="F3305" i="1"/>
  <c r="G3305" i="1"/>
  <c r="H3305" i="1"/>
  <c r="A3306" i="1"/>
  <c r="B3306" i="1"/>
  <c r="C3306" i="1"/>
  <c r="D3306" i="1"/>
  <c r="E3306" i="1"/>
  <c r="F3306" i="1"/>
  <c r="G3306" i="1"/>
  <c r="H3306" i="1"/>
  <c r="A3307" i="1"/>
  <c r="B3307" i="1"/>
  <c r="C3307" i="1"/>
  <c r="D3307" i="1"/>
  <c r="E3307" i="1"/>
  <c r="F3307" i="1"/>
  <c r="G3307" i="1"/>
  <c r="H3307" i="1"/>
  <c r="A3308" i="1"/>
  <c r="B3308" i="1"/>
  <c r="C3308" i="1"/>
  <c r="D3308" i="1"/>
  <c r="E3308" i="1"/>
  <c r="F3308" i="1"/>
  <c r="G3308" i="1"/>
  <c r="H3308" i="1"/>
  <c r="A3309" i="1"/>
  <c r="B3309" i="1"/>
  <c r="C3309" i="1"/>
  <c r="D3309" i="1"/>
  <c r="E3309" i="1"/>
  <c r="F3309" i="1"/>
  <c r="G3309" i="1"/>
  <c r="H3309" i="1"/>
  <c r="A3310" i="1"/>
  <c r="B3310" i="1"/>
  <c r="C3310" i="1"/>
  <c r="D3310" i="1"/>
  <c r="E3310" i="1"/>
  <c r="F3310" i="1"/>
  <c r="G3310" i="1"/>
  <c r="H3310" i="1"/>
  <c r="A3311" i="1"/>
  <c r="B3311" i="1"/>
  <c r="C3311" i="1"/>
  <c r="D3311" i="1"/>
  <c r="E3311" i="1"/>
  <c r="F3311" i="1"/>
  <c r="G3311" i="1"/>
  <c r="H3311" i="1"/>
  <c r="A3312" i="1"/>
  <c r="B3312" i="1"/>
  <c r="C3312" i="1"/>
  <c r="D3312" i="1"/>
  <c r="E3312" i="1"/>
  <c r="F3312" i="1"/>
  <c r="G3312" i="1"/>
  <c r="H3312" i="1"/>
  <c r="A3313" i="1"/>
  <c r="B3313" i="1"/>
  <c r="C3313" i="1"/>
  <c r="D3313" i="1"/>
  <c r="E3313" i="1"/>
  <c r="F3313" i="1"/>
  <c r="G3313" i="1"/>
  <c r="H3313" i="1"/>
  <c r="A3314" i="1"/>
  <c r="B3314" i="1"/>
  <c r="C3314" i="1"/>
  <c r="D3314" i="1"/>
  <c r="E3314" i="1"/>
  <c r="F3314" i="1"/>
  <c r="G3314" i="1"/>
  <c r="H3314" i="1"/>
  <c r="A3315" i="1"/>
  <c r="B3315" i="1"/>
  <c r="C3315" i="1"/>
  <c r="D3315" i="1"/>
  <c r="E3315" i="1"/>
  <c r="F3315" i="1"/>
  <c r="G3315" i="1"/>
  <c r="H3315" i="1"/>
  <c r="A3316" i="1"/>
  <c r="B3316" i="1"/>
  <c r="C3316" i="1"/>
  <c r="D3316" i="1"/>
  <c r="E3316" i="1"/>
  <c r="F3316" i="1"/>
  <c r="G3316" i="1"/>
  <c r="H3316" i="1"/>
  <c r="A3317" i="1"/>
  <c r="B3317" i="1"/>
  <c r="C3317" i="1"/>
  <c r="D3317" i="1"/>
  <c r="E3317" i="1"/>
  <c r="F3317" i="1"/>
  <c r="G3317" i="1"/>
  <c r="H3317" i="1"/>
  <c r="A3318" i="1"/>
  <c r="B3318" i="1"/>
  <c r="C3318" i="1"/>
  <c r="D3318" i="1"/>
  <c r="E3318" i="1"/>
  <c r="F3318" i="1"/>
  <c r="G3318" i="1"/>
  <c r="H3318" i="1"/>
  <c r="A3319" i="1"/>
  <c r="B3319" i="1"/>
  <c r="C3319" i="1"/>
  <c r="D3319" i="1"/>
  <c r="E3319" i="1"/>
  <c r="F3319" i="1"/>
  <c r="G3319" i="1"/>
  <c r="H3319" i="1"/>
  <c r="A3320" i="1"/>
  <c r="B3320" i="1"/>
  <c r="C3320" i="1"/>
  <c r="D3320" i="1"/>
  <c r="E3320" i="1"/>
  <c r="F3320" i="1"/>
  <c r="G3320" i="1"/>
  <c r="H3320" i="1"/>
  <c r="A3321" i="1"/>
  <c r="B3321" i="1"/>
  <c r="C3321" i="1"/>
  <c r="D3321" i="1"/>
  <c r="E3321" i="1"/>
  <c r="F3321" i="1"/>
  <c r="G3321" i="1"/>
  <c r="H3321" i="1"/>
  <c r="A3322" i="1"/>
  <c r="B3322" i="1"/>
  <c r="C3322" i="1"/>
  <c r="D3322" i="1"/>
  <c r="E3322" i="1"/>
  <c r="F3322" i="1"/>
  <c r="G3322" i="1"/>
  <c r="H3322" i="1"/>
  <c r="A3323" i="1"/>
  <c r="B3323" i="1"/>
  <c r="C3323" i="1"/>
  <c r="D3323" i="1"/>
  <c r="E3323" i="1"/>
  <c r="F3323" i="1"/>
  <c r="G3323" i="1"/>
  <c r="H3323" i="1"/>
  <c r="A3324" i="1"/>
  <c r="B3324" i="1"/>
  <c r="C3324" i="1"/>
  <c r="D3324" i="1"/>
  <c r="E3324" i="1"/>
  <c r="F3324" i="1"/>
  <c r="G3324" i="1"/>
  <c r="H3324" i="1"/>
  <c r="A3325" i="1"/>
  <c r="B3325" i="1"/>
  <c r="C3325" i="1"/>
  <c r="D3325" i="1"/>
  <c r="E3325" i="1"/>
  <c r="F3325" i="1"/>
  <c r="G3325" i="1"/>
  <c r="H3325" i="1"/>
  <c r="A3326" i="1"/>
  <c r="B3326" i="1"/>
  <c r="C3326" i="1"/>
  <c r="D3326" i="1"/>
  <c r="E3326" i="1"/>
  <c r="F3326" i="1"/>
  <c r="G3326" i="1"/>
  <c r="H3326" i="1"/>
  <c r="A3327" i="1"/>
  <c r="B3327" i="1"/>
  <c r="C3327" i="1"/>
  <c r="D3327" i="1"/>
  <c r="E3327" i="1"/>
  <c r="F3327" i="1"/>
  <c r="G3327" i="1"/>
  <c r="H3327" i="1"/>
  <c r="A3328" i="1"/>
  <c r="B3328" i="1"/>
  <c r="C3328" i="1"/>
  <c r="D3328" i="1"/>
  <c r="E3328" i="1"/>
  <c r="F3328" i="1"/>
  <c r="G3328" i="1"/>
  <c r="H3328" i="1"/>
  <c r="A3329" i="1"/>
  <c r="B3329" i="1"/>
  <c r="C3329" i="1"/>
  <c r="D3329" i="1"/>
  <c r="E3329" i="1"/>
  <c r="F3329" i="1"/>
  <c r="G3329" i="1"/>
  <c r="H3329" i="1"/>
  <c r="A3330" i="1"/>
  <c r="B3330" i="1"/>
  <c r="C3330" i="1"/>
  <c r="D3330" i="1"/>
  <c r="E3330" i="1"/>
  <c r="F3330" i="1"/>
  <c r="G3330" i="1"/>
  <c r="H3330" i="1"/>
  <c r="A3331" i="1"/>
  <c r="B3331" i="1"/>
  <c r="C3331" i="1"/>
  <c r="D3331" i="1"/>
  <c r="E3331" i="1"/>
  <c r="F3331" i="1"/>
  <c r="G3331" i="1"/>
  <c r="H3331" i="1"/>
  <c r="A3332" i="1"/>
  <c r="B3332" i="1"/>
  <c r="C3332" i="1"/>
  <c r="D3332" i="1"/>
  <c r="E3332" i="1"/>
  <c r="F3332" i="1"/>
  <c r="G3332" i="1"/>
  <c r="H3332" i="1"/>
  <c r="A3333" i="1"/>
  <c r="B3333" i="1"/>
  <c r="C3333" i="1"/>
  <c r="D3333" i="1"/>
  <c r="E3333" i="1"/>
  <c r="F3333" i="1"/>
  <c r="G3333" i="1"/>
  <c r="H3333" i="1"/>
  <c r="A3334" i="1"/>
  <c r="B3334" i="1"/>
  <c r="C3334" i="1"/>
  <c r="D3334" i="1"/>
  <c r="E3334" i="1"/>
  <c r="F3334" i="1"/>
  <c r="G3334" i="1"/>
  <c r="H3334" i="1"/>
  <c r="A3335" i="1"/>
  <c r="B3335" i="1"/>
  <c r="C3335" i="1"/>
  <c r="D3335" i="1"/>
  <c r="E3335" i="1"/>
  <c r="F3335" i="1"/>
  <c r="G3335" i="1"/>
  <c r="H3335" i="1"/>
  <c r="A3336" i="1"/>
  <c r="B3336" i="1"/>
  <c r="C3336" i="1"/>
  <c r="D3336" i="1"/>
  <c r="E3336" i="1"/>
  <c r="F3336" i="1"/>
  <c r="G3336" i="1"/>
  <c r="H3336" i="1"/>
  <c r="A3337" i="1"/>
  <c r="B3337" i="1"/>
  <c r="C3337" i="1"/>
  <c r="D3337" i="1"/>
  <c r="E3337" i="1"/>
  <c r="F3337" i="1"/>
  <c r="G3337" i="1"/>
  <c r="H3337" i="1"/>
  <c r="A3338" i="1"/>
  <c r="B3338" i="1"/>
  <c r="C3338" i="1"/>
  <c r="D3338" i="1"/>
  <c r="E3338" i="1"/>
  <c r="F3338" i="1"/>
  <c r="G3338" i="1"/>
  <c r="H3338" i="1"/>
  <c r="A3339" i="1"/>
  <c r="B3339" i="1"/>
  <c r="C3339" i="1"/>
  <c r="D3339" i="1"/>
  <c r="E3339" i="1"/>
  <c r="F3339" i="1"/>
  <c r="G3339" i="1"/>
  <c r="H3339" i="1"/>
  <c r="A3340" i="1"/>
  <c r="B3340" i="1"/>
  <c r="C3340" i="1"/>
  <c r="D3340" i="1"/>
  <c r="E3340" i="1"/>
  <c r="F3340" i="1"/>
  <c r="G3340" i="1"/>
  <c r="H3340" i="1"/>
  <c r="A3341" i="1"/>
  <c r="B3341" i="1"/>
  <c r="C3341" i="1"/>
  <c r="D3341" i="1"/>
  <c r="E3341" i="1"/>
  <c r="F3341" i="1"/>
  <c r="G3341" i="1"/>
  <c r="H3341" i="1"/>
  <c r="A3342" i="1"/>
  <c r="B3342" i="1"/>
  <c r="C3342" i="1"/>
  <c r="D3342" i="1"/>
  <c r="E3342" i="1"/>
  <c r="F3342" i="1"/>
  <c r="G3342" i="1"/>
  <c r="H3342" i="1"/>
  <c r="A3343" i="1"/>
  <c r="B3343" i="1"/>
  <c r="C3343" i="1"/>
  <c r="D3343" i="1"/>
  <c r="E3343" i="1"/>
  <c r="F3343" i="1"/>
  <c r="G3343" i="1"/>
  <c r="H3343" i="1"/>
  <c r="A3344" i="1"/>
  <c r="B3344" i="1"/>
  <c r="C3344" i="1"/>
  <c r="D3344" i="1"/>
  <c r="E3344" i="1"/>
  <c r="F3344" i="1"/>
  <c r="G3344" i="1"/>
  <c r="H3344" i="1"/>
  <c r="A3345" i="1"/>
  <c r="B3345" i="1"/>
  <c r="C3345" i="1"/>
  <c r="D3345" i="1"/>
  <c r="E3345" i="1"/>
  <c r="F3345" i="1"/>
  <c r="G3345" i="1"/>
  <c r="H3345" i="1"/>
  <c r="A3346" i="1"/>
  <c r="B3346" i="1"/>
  <c r="C3346" i="1"/>
  <c r="D3346" i="1"/>
  <c r="E3346" i="1"/>
  <c r="F3346" i="1"/>
  <c r="G3346" i="1"/>
  <c r="H3346" i="1"/>
  <c r="A3347" i="1"/>
  <c r="B3347" i="1"/>
  <c r="C3347" i="1"/>
  <c r="D3347" i="1"/>
  <c r="E3347" i="1"/>
  <c r="F3347" i="1"/>
  <c r="G3347" i="1"/>
  <c r="H3347" i="1"/>
  <c r="A3348" i="1"/>
  <c r="B3348" i="1"/>
  <c r="C3348" i="1"/>
  <c r="D3348" i="1"/>
  <c r="E3348" i="1"/>
  <c r="F3348" i="1"/>
  <c r="G3348" i="1"/>
  <c r="H3348" i="1"/>
  <c r="A3349" i="1"/>
  <c r="B3349" i="1"/>
  <c r="C3349" i="1"/>
  <c r="D3349" i="1"/>
  <c r="E3349" i="1"/>
  <c r="F3349" i="1"/>
  <c r="G3349" i="1"/>
  <c r="H3349" i="1"/>
  <c r="A3350" i="1"/>
  <c r="B3350" i="1"/>
  <c r="C3350" i="1"/>
  <c r="D3350" i="1"/>
  <c r="E3350" i="1"/>
  <c r="F3350" i="1"/>
  <c r="G3350" i="1"/>
  <c r="H3350" i="1"/>
  <c r="A3351" i="1"/>
  <c r="B3351" i="1"/>
  <c r="C3351" i="1"/>
  <c r="D3351" i="1"/>
  <c r="E3351" i="1"/>
  <c r="F3351" i="1"/>
  <c r="G3351" i="1"/>
  <c r="H3351" i="1"/>
  <c r="A3352" i="1"/>
  <c r="B3352" i="1"/>
  <c r="C3352" i="1"/>
  <c r="D3352" i="1"/>
  <c r="E3352" i="1"/>
  <c r="F3352" i="1"/>
  <c r="G3352" i="1"/>
  <c r="H3352" i="1"/>
  <c r="A3353" i="1"/>
  <c r="B3353" i="1"/>
  <c r="C3353" i="1"/>
  <c r="D3353" i="1"/>
  <c r="E3353" i="1"/>
  <c r="F3353" i="1"/>
  <c r="G3353" i="1"/>
  <c r="H3353" i="1"/>
  <c r="A3354" i="1"/>
  <c r="B3354" i="1"/>
  <c r="C3354" i="1"/>
  <c r="D3354" i="1"/>
  <c r="E3354" i="1"/>
  <c r="F3354" i="1"/>
  <c r="G3354" i="1"/>
  <c r="H3354" i="1"/>
  <c r="A3355" i="1"/>
  <c r="B3355" i="1"/>
  <c r="C3355" i="1"/>
  <c r="D3355" i="1"/>
  <c r="E3355" i="1"/>
  <c r="F3355" i="1"/>
  <c r="G3355" i="1"/>
  <c r="H3355" i="1"/>
  <c r="A3356" i="1"/>
  <c r="B3356" i="1"/>
  <c r="C3356" i="1"/>
  <c r="D3356" i="1"/>
  <c r="E3356" i="1"/>
  <c r="F3356" i="1"/>
  <c r="G3356" i="1"/>
  <c r="H3356" i="1"/>
  <c r="A3357" i="1"/>
  <c r="B3357" i="1"/>
  <c r="C3357" i="1"/>
  <c r="D3357" i="1"/>
  <c r="E3357" i="1"/>
  <c r="F3357" i="1"/>
  <c r="G3357" i="1"/>
  <c r="H3357" i="1"/>
  <c r="A3358" i="1"/>
  <c r="B3358" i="1"/>
  <c r="C3358" i="1"/>
  <c r="D3358" i="1"/>
  <c r="E3358" i="1"/>
  <c r="F3358" i="1"/>
  <c r="G3358" i="1"/>
  <c r="H3358" i="1"/>
  <c r="A3359" i="1"/>
  <c r="B3359" i="1"/>
  <c r="C3359" i="1"/>
  <c r="D3359" i="1"/>
  <c r="E3359" i="1"/>
  <c r="F3359" i="1"/>
  <c r="G3359" i="1"/>
  <c r="H3359" i="1"/>
  <c r="A3360" i="1"/>
  <c r="B3360" i="1"/>
  <c r="C3360" i="1"/>
  <c r="D3360" i="1"/>
  <c r="E3360" i="1"/>
  <c r="F3360" i="1"/>
  <c r="G3360" i="1"/>
  <c r="H3360" i="1"/>
  <c r="A3361" i="1"/>
  <c r="B3361" i="1"/>
  <c r="C3361" i="1"/>
  <c r="D3361" i="1"/>
  <c r="E3361" i="1"/>
  <c r="F3361" i="1"/>
  <c r="G3361" i="1"/>
  <c r="H3361" i="1"/>
  <c r="A3362" i="1"/>
  <c r="B3362" i="1"/>
  <c r="C3362" i="1"/>
  <c r="D3362" i="1"/>
  <c r="E3362" i="1"/>
  <c r="F3362" i="1"/>
  <c r="G3362" i="1"/>
  <c r="H3362" i="1"/>
  <c r="A3363" i="1"/>
  <c r="B3363" i="1"/>
  <c r="C3363" i="1"/>
  <c r="D3363" i="1"/>
  <c r="E3363" i="1"/>
  <c r="F3363" i="1"/>
  <c r="G3363" i="1"/>
  <c r="H3363" i="1"/>
  <c r="A3364" i="1"/>
  <c r="B3364" i="1"/>
  <c r="C3364" i="1"/>
  <c r="D3364" i="1"/>
  <c r="E3364" i="1"/>
  <c r="F3364" i="1"/>
  <c r="G3364" i="1"/>
  <c r="H3364" i="1"/>
  <c r="A3365" i="1"/>
  <c r="B3365" i="1"/>
  <c r="C3365" i="1"/>
  <c r="D3365" i="1"/>
  <c r="E3365" i="1"/>
  <c r="F3365" i="1"/>
  <c r="G3365" i="1"/>
  <c r="H3365" i="1"/>
  <c r="A3366" i="1"/>
  <c r="B3366" i="1"/>
  <c r="C3366" i="1"/>
  <c r="D3366" i="1"/>
  <c r="E3366" i="1"/>
  <c r="F3366" i="1"/>
  <c r="G3366" i="1"/>
  <c r="H3366" i="1"/>
  <c r="A3367" i="1"/>
  <c r="B3367" i="1"/>
  <c r="C3367" i="1"/>
  <c r="D3367" i="1"/>
  <c r="E3367" i="1"/>
  <c r="F3367" i="1"/>
  <c r="G3367" i="1"/>
  <c r="H3367" i="1"/>
  <c r="A3368" i="1"/>
  <c r="B3368" i="1"/>
  <c r="C3368" i="1"/>
  <c r="D3368" i="1"/>
  <c r="E3368" i="1"/>
  <c r="F3368" i="1"/>
  <c r="G3368" i="1"/>
  <c r="H3368" i="1"/>
  <c r="A3369" i="1"/>
  <c r="B3369" i="1"/>
  <c r="C3369" i="1"/>
  <c r="D3369" i="1"/>
  <c r="E3369" i="1"/>
  <c r="F3369" i="1"/>
  <c r="G3369" i="1"/>
  <c r="H3369" i="1"/>
  <c r="A3370" i="1"/>
  <c r="B3370" i="1"/>
  <c r="C3370" i="1"/>
  <c r="D3370" i="1"/>
  <c r="E3370" i="1"/>
  <c r="F3370" i="1"/>
  <c r="G3370" i="1"/>
  <c r="H3370" i="1"/>
  <c r="A3371" i="1"/>
  <c r="B3371" i="1"/>
  <c r="C3371" i="1"/>
  <c r="D3371" i="1"/>
  <c r="E3371" i="1"/>
  <c r="F3371" i="1"/>
  <c r="G3371" i="1"/>
  <c r="H3371" i="1"/>
  <c r="A3372" i="1"/>
  <c r="B3372" i="1"/>
  <c r="C3372" i="1"/>
  <c r="D3372" i="1"/>
  <c r="E3372" i="1"/>
  <c r="F3372" i="1"/>
  <c r="G3372" i="1"/>
  <c r="H3372" i="1"/>
  <c r="A3373" i="1"/>
  <c r="B3373" i="1"/>
  <c r="C3373" i="1"/>
  <c r="D3373" i="1"/>
  <c r="E3373" i="1"/>
  <c r="F3373" i="1"/>
  <c r="G3373" i="1"/>
  <c r="H3373" i="1"/>
  <c r="A3374" i="1"/>
  <c r="B3374" i="1"/>
  <c r="C3374" i="1"/>
  <c r="D3374" i="1"/>
  <c r="E3374" i="1"/>
  <c r="F3374" i="1"/>
  <c r="G3374" i="1"/>
  <c r="H3374" i="1"/>
  <c r="A3375" i="1"/>
  <c r="B3375" i="1"/>
  <c r="C3375" i="1"/>
  <c r="D3375" i="1"/>
  <c r="E3375" i="1"/>
  <c r="F3375" i="1"/>
  <c r="G3375" i="1"/>
  <c r="H3375" i="1"/>
  <c r="A3376" i="1"/>
  <c r="B3376" i="1"/>
  <c r="C3376" i="1"/>
  <c r="D3376" i="1"/>
  <c r="E3376" i="1"/>
  <c r="F3376" i="1"/>
  <c r="G3376" i="1"/>
  <c r="H3376" i="1"/>
  <c r="A3377" i="1"/>
  <c r="B3377" i="1"/>
  <c r="C3377" i="1"/>
  <c r="D3377" i="1"/>
  <c r="E3377" i="1"/>
  <c r="F3377" i="1"/>
  <c r="G3377" i="1"/>
  <c r="H3377" i="1"/>
  <c r="A3378" i="1"/>
  <c r="B3378" i="1"/>
  <c r="C3378" i="1"/>
  <c r="D3378" i="1"/>
  <c r="E3378" i="1"/>
  <c r="F3378" i="1"/>
  <c r="G3378" i="1"/>
  <c r="H3378" i="1"/>
  <c r="A3379" i="1"/>
  <c r="B3379" i="1"/>
  <c r="C3379" i="1"/>
  <c r="D3379" i="1"/>
  <c r="E3379" i="1"/>
  <c r="F3379" i="1"/>
  <c r="G3379" i="1"/>
  <c r="H3379" i="1"/>
  <c r="A3380" i="1"/>
  <c r="B3380" i="1"/>
  <c r="C3380" i="1"/>
  <c r="D3380" i="1"/>
  <c r="E3380" i="1"/>
  <c r="F3380" i="1"/>
  <c r="G3380" i="1"/>
  <c r="H3380" i="1"/>
  <c r="A3381" i="1"/>
  <c r="B3381" i="1"/>
  <c r="C3381" i="1"/>
  <c r="D3381" i="1"/>
  <c r="E3381" i="1"/>
  <c r="F3381" i="1"/>
  <c r="G3381" i="1"/>
  <c r="H3381" i="1"/>
  <c r="A3382" i="1"/>
  <c r="B3382" i="1"/>
  <c r="C3382" i="1"/>
  <c r="D3382" i="1"/>
  <c r="E3382" i="1"/>
  <c r="F3382" i="1"/>
  <c r="G3382" i="1"/>
  <c r="H3382" i="1"/>
  <c r="A3383" i="1"/>
  <c r="B3383" i="1"/>
  <c r="C3383" i="1"/>
  <c r="D3383" i="1"/>
  <c r="E3383" i="1"/>
  <c r="F3383" i="1"/>
  <c r="G3383" i="1"/>
  <c r="H3383" i="1"/>
  <c r="A3384" i="1"/>
  <c r="B3384" i="1"/>
  <c r="C3384" i="1"/>
  <c r="D3384" i="1"/>
  <c r="E3384" i="1"/>
  <c r="F3384" i="1"/>
  <c r="G3384" i="1"/>
  <c r="H3384" i="1"/>
  <c r="A3385" i="1"/>
  <c r="B3385" i="1"/>
  <c r="C3385" i="1"/>
  <c r="D3385" i="1"/>
  <c r="E3385" i="1"/>
  <c r="F3385" i="1"/>
  <c r="G3385" i="1"/>
  <c r="H3385" i="1"/>
  <c r="A3386" i="1"/>
  <c r="B3386" i="1"/>
  <c r="C3386" i="1"/>
  <c r="D3386" i="1"/>
  <c r="E3386" i="1"/>
  <c r="F3386" i="1"/>
  <c r="G3386" i="1"/>
  <c r="H3386" i="1"/>
  <c r="A3387" i="1"/>
  <c r="B3387" i="1"/>
  <c r="C3387" i="1"/>
  <c r="D3387" i="1"/>
  <c r="E3387" i="1"/>
  <c r="F3387" i="1"/>
  <c r="G3387" i="1"/>
  <c r="H3387" i="1"/>
  <c r="A3388" i="1"/>
  <c r="B3388" i="1"/>
  <c r="C3388" i="1"/>
  <c r="D3388" i="1"/>
  <c r="E3388" i="1"/>
  <c r="F3388" i="1"/>
  <c r="G3388" i="1"/>
  <c r="H3388" i="1"/>
  <c r="A3389" i="1"/>
  <c r="B3389" i="1"/>
  <c r="C3389" i="1"/>
  <c r="D3389" i="1"/>
  <c r="E3389" i="1"/>
  <c r="F3389" i="1"/>
  <c r="G3389" i="1"/>
  <c r="H3389" i="1"/>
  <c r="A3390" i="1"/>
  <c r="B3390" i="1"/>
  <c r="C3390" i="1"/>
  <c r="D3390" i="1"/>
  <c r="E3390" i="1"/>
  <c r="F3390" i="1"/>
  <c r="G3390" i="1"/>
  <c r="H3390" i="1"/>
  <c r="A3391" i="1"/>
  <c r="B3391" i="1"/>
  <c r="C3391" i="1"/>
  <c r="D3391" i="1"/>
  <c r="E3391" i="1"/>
  <c r="F3391" i="1"/>
  <c r="G3391" i="1"/>
  <c r="H3391" i="1"/>
  <c r="A3392" i="1"/>
  <c r="B3392" i="1"/>
  <c r="C3392" i="1"/>
  <c r="D3392" i="1"/>
  <c r="E3392" i="1"/>
  <c r="F3392" i="1"/>
  <c r="G3392" i="1"/>
  <c r="H3392" i="1"/>
  <c r="A3393" i="1"/>
  <c r="B3393" i="1"/>
  <c r="C3393" i="1"/>
  <c r="D3393" i="1"/>
  <c r="E3393" i="1"/>
  <c r="F3393" i="1"/>
  <c r="G3393" i="1"/>
  <c r="H3393" i="1"/>
  <c r="A3394" i="1"/>
  <c r="B3394" i="1"/>
  <c r="C3394" i="1"/>
  <c r="D3394" i="1"/>
  <c r="E3394" i="1"/>
  <c r="F3394" i="1"/>
  <c r="G3394" i="1"/>
  <c r="H3394" i="1"/>
  <c r="A3395" i="1"/>
  <c r="B3395" i="1"/>
  <c r="C3395" i="1"/>
  <c r="D3395" i="1"/>
  <c r="E3395" i="1"/>
  <c r="F3395" i="1"/>
  <c r="G3395" i="1"/>
  <c r="H3395" i="1"/>
  <c r="A3396" i="1"/>
  <c r="B3396" i="1"/>
  <c r="C3396" i="1"/>
  <c r="D3396" i="1"/>
  <c r="E3396" i="1"/>
  <c r="F3396" i="1"/>
  <c r="G3396" i="1"/>
  <c r="H3396" i="1"/>
  <c r="A3397" i="1"/>
  <c r="B3397" i="1"/>
  <c r="C3397" i="1"/>
  <c r="D3397" i="1"/>
  <c r="E3397" i="1"/>
  <c r="F3397" i="1"/>
  <c r="G3397" i="1"/>
  <c r="H3397" i="1"/>
  <c r="A3398" i="1"/>
  <c r="B3398" i="1"/>
  <c r="C3398" i="1"/>
  <c r="D3398" i="1"/>
  <c r="E3398" i="1"/>
  <c r="F3398" i="1"/>
  <c r="G3398" i="1"/>
  <c r="H3398" i="1"/>
  <c r="A3399" i="1"/>
  <c r="B3399" i="1"/>
  <c r="C3399" i="1"/>
  <c r="D3399" i="1"/>
  <c r="E3399" i="1"/>
  <c r="F3399" i="1"/>
  <c r="G3399" i="1"/>
  <c r="H3399" i="1"/>
  <c r="A3400" i="1"/>
  <c r="B3400" i="1"/>
  <c r="C3400" i="1"/>
  <c r="D3400" i="1"/>
  <c r="E3400" i="1"/>
  <c r="F3400" i="1"/>
  <c r="G3400" i="1"/>
  <c r="H3400" i="1"/>
  <c r="A3401" i="1"/>
  <c r="B3401" i="1"/>
  <c r="C3401" i="1"/>
  <c r="D3401" i="1"/>
  <c r="E3401" i="1"/>
  <c r="F3401" i="1"/>
  <c r="G3401" i="1"/>
  <c r="H3401" i="1"/>
  <c r="A3402" i="1"/>
  <c r="B3402" i="1"/>
  <c r="C3402" i="1"/>
  <c r="D3402" i="1"/>
  <c r="E3402" i="1"/>
  <c r="F3402" i="1"/>
  <c r="G3402" i="1"/>
  <c r="H3402" i="1"/>
  <c r="A3403" i="1"/>
  <c r="B3403" i="1"/>
  <c r="C3403" i="1"/>
  <c r="D3403" i="1"/>
  <c r="E3403" i="1"/>
  <c r="F3403" i="1"/>
  <c r="G3403" i="1"/>
  <c r="H3403" i="1"/>
  <c r="A3404" i="1"/>
  <c r="B3404" i="1"/>
  <c r="C3404" i="1"/>
  <c r="D3404" i="1"/>
  <c r="E3404" i="1"/>
  <c r="F3404" i="1"/>
  <c r="G3404" i="1"/>
  <c r="H3404" i="1"/>
  <c r="A3405" i="1"/>
  <c r="B3405" i="1"/>
  <c r="C3405" i="1"/>
  <c r="D3405" i="1"/>
  <c r="E3405" i="1"/>
  <c r="F3405" i="1"/>
  <c r="G3405" i="1"/>
  <c r="H3405" i="1"/>
  <c r="A3406" i="1"/>
  <c r="B3406" i="1"/>
  <c r="C3406" i="1"/>
  <c r="D3406" i="1"/>
  <c r="E3406" i="1"/>
  <c r="F3406" i="1"/>
  <c r="G3406" i="1"/>
  <c r="H3406" i="1"/>
  <c r="A3407" i="1"/>
  <c r="B3407" i="1"/>
  <c r="C3407" i="1"/>
  <c r="D3407" i="1"/>
  <c r="E3407" i="1"/>
  <c r="F3407" i="1"/>
  <c r="G3407" i="1"/>
  <c r="H3407" i="1"/>
  <c r="A3408" i="1"/>
  <c r="B3408" i="1"/>
  <c r="C3408" i="1"/>
  <c r="D3408" i="1"/>
  <c r="E3408" i="1"/>
  <c r="F3408" i="1"/>
  <c r="G3408" i="1"/>
  <c r="H3408" i="1"/>
  <c r="A3409" i="1"/>
  <c r="B3409" i="1"/>
  <c r="C3409" i="1"/>
  <c r="D3409" i="1"/>
  <c r="E3409" i="1"/>
  <c r="F3409" i="1"/>
  <c r="G3409" i="1"/>
  <c r="H3409" i="1"/>
  <c r="A3410" i="1"/>
  <c r="B3410" i="1"/>
  <c r="C3410" i="1"/>
  <c r="D3410" i="1"/>
  <c r="E3410" i="1"/>
  <c r="F3410" i="1"/>
  <c r="G3410" i="1"/>
  <c r="H3410" i="1"/>
  <c r="A3411" i="1"/>
  <c r="B3411" i="1"/>
  <c r="C3411" i="1"/>
  <c r="D3411" i="1"/>
  <c r="E3411" i="1"/>
  <c r="F3411" i="1"/>
  <c r="G3411" i="1"/>
  <c r="H3411" i="1"/>
  <c r="A3412" i="1"/>
  <c r="B3412" i="1"/>
  <c r="C3412" i="1"/>
  <c r="D3412" i="1"/>
  <c r="E3412" i="1"/>
  <c r="F3412" i="1"/>
  <c r="G3412" i="1"/>
  <c r="H3412" i="1"/>
  <c r="A3413" i="1"/>
  <c r="B3413" i="1"/>
  <c r="C3413" i="1"/>
  <c r="D3413" i="1"/>
  <c r="E3413" i="1"/>
  <c r="F3413" i="1"/>
  <c r="G3413" i="1"/>
  <c r="H3413" i="1"/>
  <c r="A3414" i="1"/>
  <c r="B3414" i="1"/>
  <c r="C3414" i="1"/>
  <c r="D3414" i="1"/>
  <c r="E3414" i="1"/>
  <c r="F3414" i="1"/>
  <c r="G3414" i="1"/>
  <c r="H3414" i="1"/>
  <c r="A3415" i="1"/>
  <c r="B3415" i="1"/>
  <c r="C3415" i="1"/>
  <c r="D3415" i="1"/>
  <c r="E3415" i="1"/>
  <c r="F3415" i="1"/>
  <c r="G3415" i="1"/>
  <c r="H3415" i="1"/>
  <c r="A3416" i="1"/>
  <c r="B3416" i="1"/>
  <c r="C3416" i="1"/>
  <c r="D3416" i="1"/>
  <c r="E3416" i="1"/>
  <c r="F3416" i="1"/>
  <c r="G3416" i="1"/>
  <c r="H3416" i="1"/>
  <c r="A3417" i="1"/>
  <c r="B3417" i="1"/>
  <c r="C3417" i="1"/>
  <c r="D3417" i="1"/>
  <c r="E3417" i="1"/>
  <c r="F3417" i="1"/>
  <c r="G3417" i="1"/>
  <c r="H3417" i="1"/>
  <c r="A3418" i="1"/>
  <c r="B3418" i="1"/>
  <c r="C3418" i="1"/>
  <c r="D3418" i="1"/>
  <c r="E3418" i="1"/>
  <c r="F3418" i="1"/>
  <c r="G3418" i="1"/>
  <c r="H3418" i="1"/>
  <c r="A3419" i="1"/>
  <c r="B3419" i="1"/>
  <c r="C3419" i="1"/>
  <c r="D3419" i="1"/>
  <c r="E3419" i="1"/>
  <c r="F3419" i="1"/>
  <c r="G3419" i="1"/>
  <c r="H3419" i="1"/>
  <c r="A3420" i="1"/>
  <c r="B3420" i="1"/>
  <c r="C3420" i="1"/>
  <c r="D3420" i="1"/>
  <c r="E3420" i="1"/>
  <c r="F3420" i="1"/>
  <c r="G3420" i="1"/>
  <c r="H3420" i="1"/>
  <c r="A3421" i="1"/>
  <c r="B3421" i="1"/>
  <c r="C3421" i="1"/>
  <c r="D3421" i="1"/>
  <c r="E3421" i="1"/>
  <c r="F3421" i="1"/>
  <c r="G3421" i="1"/>
  <c r="H3421" i="1"/>
  <c r="A3422" i="1"/>
  <c r="B3422" i="1"/>
  <c r="C3422" i="1"/>
  <c r="D3422" i="1"/>
  <c r="E3422" i="1"/>
  <c r="F3422" i="1"/>
  <c r="G3422" i="1"/>
  <c r="H3422" i="1"/>
  <c r="A3423" i="1"/>
  <c r="B3423" i="1"/>
  <c r="C3423" i="1"/>
  <c r="D3423" i="1"/>
  <c r="E3423" i="1"/>
  <c r="F3423" i="1"/>
  <c r="G3423" i="1"/>
  <c r="H3423" i="1"/>
  <c r="A3424" i="1"/>
  <c r="B3424" i="1"/>
  <c r="C3424" i="1"/>
  <c r="D3424" i="1"/>
  <c r="E3424" i="1"/>
  <c r="F3424" i="1"/>
  <c r="G3424" i="1"/>
  <c r="H3424" i="1"/>
  <c r="A3425" i="1"/>
  <c r="B3425" i="1"/>
  <c r="C3425" i="1"/>
  <c r="D3425" i="1"/>
  <c r="E3425" i="1"/>
  <c r="F3425" i="1"/>
  <c r="G3425" i="1"/>
  <c r="H3425" i="1"/>
  <c r="A3426" i="1"/>
  <c r="B3426" i="1"/>
  <c r="C3426" i="1"/>
  <c r="D3426" i="1"/>
  <c r="E3426" i="1"/>
  <c r="F3426" i="1"/>
  <c r="G3426" i="1"/>
  <c r="H3426" i="1"/>
  <c r="A3427" i="1"/>
  <c r="B3427" i="1"/>
  <c r="C3427" i="1"/>
  <c r="D3427" i="1"/>
  <c r="E3427" i="1"/>
  <c r="F3427" i="1"/>
  <c r="G3427" i="1"/>
  <c r="H3427" i="1"/>
  <c r="A3428" i="1"/>
  <c r="B3428" i="1"/>
  <c r="C3428" i="1"/>
  <c r="D3428" i="1"/>
  <c r="E3428" i="1"/>
  <c r="F3428" i="1"/>
  <c r="G3428" i="1"/>
  <c r="H3428" i="1"/>
  <c r="A3429" i="1"/>
  <c r="B3429" i="1"/>
  <c r="C3429" i="1"/>
  <c r="D3429" i="1"/>
  <c r="E3429" i="1"/>
  <c r="F3429" i="1"/>
  <c r="G3429" i="1"/>
  <c r="H3429" i="1"/>
  <c r="A3430" i="1"/>
  <c r="B3430" i="1"/>
  <c r="C3430" i="1"/>
  <c r="D3430" i="1"/>
  <c r="E3430" i="1"/>
  <c r="F3430" i="1"/>
  <c r="G3430" i="1"/>
  <c r="H3430" i="1"/>
  <c r="A3431" i="1"/>
  <c r="B3431" i="1"/>
  <c r="C3431" i="1"/>
  <c r="D3431" i="1"/>
  <c r="E3431" i="1"/>
  <c r="F3431" i="1"/>
  <c r="G3431" i="1"/>
  <c r="H3431" i="1"/>
  <c r="A3432" i="1"/>
  <c r="B3432" i="1"/>
  <c r="C3432" i="1"/>
  <c r="D3432" i="1"/>
  <c r="E3432" i="1"/>
  <c r="F3432" i="1"/>
  <c r="G3432" i="1"/>
  <c r="H3432" i="1"/>
  <c r="A3433" i="1"/>
  <c r="B3433" i="1"/>
  <c r="C3433" i="1"/>
  <c r="D3433" i="1"/>
  <c r="E3433" i="1"/>
  <c r="F3433" i="1"/>
  <c r="G3433" i="1"/>
  <c r="H3433" i="1"/>
  <c r="A3434" i="1"/>
  <c r="B3434" i="1"/>
  <c r="C3434" i="1"/>
  <c r="D3434" i="1"/>
  <c r="E3434" i="1"/>
  <c r="F3434" i="1"/>
  <c r="G3434" i="1"/>
  <c r="H3434" i="1"/>
  <c r="A3435" i="1"/>
  <c r="B3435" i="1"/>
  <c r="C3435" i="1"/>
  <c r="D3435" i="1"/>
  <c r="E3435" i="1"/>
  <c r="F3435" i="1"/>
  <c r="G3435" i="1"/>
  <c r="H3435" i="1"/>
  <c r="A3436" i="1"/>
  <c r="B3436" i="1"/>
  <c r="C3436" i="1"/>
  <c r="D3436" i="1"/>
  <c r="E3436" i="1"/>
  <c r="F3436" i="1"/>
  <c r="G3436" i="1"/>
  <c r="H3436" i="1"/>
  <c r="A3437" i="1"/>
  <c r="B3437" i="1"/>
  <c r="C3437" i="1"/>
  <c r="D3437" i="1"/>
  <c r="E3437" i="1"/>
  <c r="F3437" i="1"/>
  <c r="G3437" i="1"/>
  <c r="H3437" i="1"/>
  <c r="A3438" i="1"/>
  <c r="B3438" i="1"/>
  <c r="C3438" i="1"/>
  <c r="D3438" i="1"/>
  <c r="E3438" i="1"/>
  <c r="F3438" i="1"/>
  <c r="G3438" i="1"/>
  <c r="H3438" i="1"/>
  <c r="A3439" i="1"/>
  <c r="B3439" i="1"/>
  <c r="C3439" i="1"/>
  <c r="D3439" i="1"/>
  <c r="E3439" i="1"/>
  <c r="F3439" i="1"/>
  <c r="G3439" i="1"/>
  <c r="H3439" i="1"/>
  <c r="A3440" i="1"/>
  <c r="B3440" i="1"/>
  <c r="C3440" i="1"/>
  <c r="D3440" i="1"/>
  <c r="E3440" i="1"/>
  <c r="F3440" i="1"/>
  <c r="G3440" i="1"/>
  <c r="H3440" i="1"/>
  <c r="A3441" i="1"/>
  <c r="B3441" i="1"/>
  <c r="C3441" i="1"/>
  <c r="D3441" i="1"/>
  <c r="E3441" i="1"/>
  <c r="F3441" i="1"/>
  <c r="G3441" i="1"/>
  <c r="H3441" i="1"/>
  <c r="A3442" i="1"/>
  <c r="B3442" i="1"/>
  <c r="C3442" i="1"/>
  <c r="D3442" i="1"/>
  <c r="E3442" i="1"/>
  <c r="F3442" i="1"/>
  <c r="G3442" i="1"/>
  <c r="H3442" i="1"/>
  <c r="A3443" i="1"/>
  <c r="B3443" i="1"/>
  <c r="C3443" i="1"/>
  <c r="D3443" i="1"/>
  <c r="E3443" i="1"/>
  <c r="F3443" i="1"/>
  <c r="G3443" i="1"/>
  <c r="H3443" i="1"/>
  <c r="A3444" i="1"/>
  <c r="B3444" i="1"/>
  <c r="C3444" i="1"/>
  <c r="D3444" i="1"/>
  <c r="E3444" i="1"/>
  <c r="F3444" i="1"/>
  <c r="G3444" i="1"/>
  <c r="H3444" i="1"/>
  <c r="A3445" i="1"/>
  <c r="B3445" i="1"/>
  <c r="C3445" i="1"/>
  <c r="D3445" i="1"/>
  <c r="E3445" i="1"/>
  <c r="F3445" i="1"/>
  <c r="G3445" i="1"/>
  <c r="H3445" i="1"/>
  <c r="A3446" i="1"/>
  <c r="B3446" i="1"/>
  <c r="C3446" i="1"/>
  <c r="D3446" i="1"/>
  <c r="E3446" i="1"/>
  <c r="F3446" i="1"/>
  <c r="G3446" i="1"/>
  <c r="H3446" i="1"/>
  <c r="A3447" i="1"/>
  <c r="B3447" i="1"/>
  <c r="C3447" i="1"/>
  <c r="D3447" i="1"/>
  <c r="E3447" i="1"/>
  <c r="F3447" i="1"/>
  <c r="G3447" i="1"/>
  <c r="H3447" i="1"/>
  <c r="A3448" i="1"/>
  <c r="B3448" i="1"/>
  <c r="C3448" i="1"/>
  <c r="D3448" i="1"/>
  <c r="E3448" i="1"/>
  <c r="F3448" i="1"/>
  <c r="G3448" i="1"/>
  <c r="H3448" i="1"/>
  <c r="A3449" i="1"/>
  <c r="B3449" i="1"/>
  <c r="C3449" i="1"/>
  <c r="D3449" i="1"/>
  <c r="E3449" i="1"/>
  <c r="F3449" i="1"/>
  <c r="G3449" i="1"/>
  <c r="H3449" i="1"/>
  <c r="A3450" i="1"/>
  <c r="B3450" i="1"/>
  <c r="C3450" i="1"/>
  <c r="D3450" i="1"/>
  <c r="E3450" i="1"/>
  <c r="F3450" i="1"/>
  <c r="G3450" i="1"/>
  <c r="H3450" i="1"/>
  <c r="A3451" i="1"/>
  <c r="B3451" i="1"/>
  <c r="C3451" i="1"/>
  <c r="D3451" i="1"/>
  <c r="E3451" i="1"/>
  <c r="F3451" i="1"/>
  <c r="G3451" i="1"/>
  <c r="H3451" i="1"/>
  <c r="A3452" i="1"/>
  <c r="B3452" i="1"/>
  <c r="C3452" i="1"/>
  <c r="D3452" i="1"/>
  <c r="E3452" i="1"/>
  <c r="F3452" i="1"/>
  <c r="G3452" i="1"/>
  <c r="H3452" i="1"/>
  <c r="A3453" i="1"/>
  <c r="B3453" i="1"/>
  <c r="C3453" i="1"/>
  <c r="D3453" i="1"/>
  <c r="E3453" i="1"/>
  <c r="F3453" i="1"/>
  <c r="G3453" i="1"/>
  <c r="H3453" i="1"/>
  <c r="A3454" i="1"/>
  <c r="B3454" i="1"/>
  <c r="C3454" i="1"/>
  <c r="D3454" i="1"/>
  <c r="E3454" i="1"/>
  <c r="F3454" i="1"/>
  <c r="G3454" i="1"/>
  <c r="H3454" i="1"/>
  <c r="A3455" i="1"/>
  <c r="B3455" i="1"/>
  <c r="C3455" i="1"/>
  <c r="D3455" i="1"/>
  <c r="E3455" i="1"/>
  <c r="F3455" i="1"/>
  <c r="G3455" i="1"/>
  <c r="H3455" i="1"/>
  <c r="A3456" i="1"/>
  <c r="B3456" i="1"/>
  <c r="C3456" i="1"/>
  <c r="D3456" i="1"/>
  <c r="E3456" i="1"/>
  <c r="F3456" i="1"/>
  <c r="G3456" i="1"/>
  <c r="H3456" i="1"/>
  <c r="A3457" i="1"/>
  <c r="B3457" i="1"/>
  <c r="C3457" i="1"/>
  <c r="D3457" i="1"/>
  <c r="E3457" i="1"/>
  <c r="F3457" i="1"/>
  <c r="G3457" i="1"/>
  <c r="H3457" i="1"/>
  <c r="A3458" i="1"/>
  <c r="B3458" i="1"/>
  <c r="C3458" i="1"/>
  <c r="D3458" i="1"/>
  <c r="E3458" i="1"/>
  <c r="F3458" i="1"/>
  <c r="G3458" i="1"/>
  <c r="H3458" i="1"/>
  <c r="A3459" i="1"/>
  <c r="B3459" i="1"/>
  <c r="C3459" i="1"/>
  <c r="D3459" i="1"/>
  <c r="E3459" i="1"/>
  <c r="F3459" i="1"/>
  <c r="G3459" i="1"/>
  <c r="H3459" i="1"/>
  <c r="A3460" i="1"/>
  <c r="B3460" i="1"/>
  <c r="C3460" i="1"/>
  <c r="D3460" i="1"/>
  <c r="E3460" i="1"/>
  <c r="F3460" i="1"/>
  <c r="G3460" i="1"/>
  <c r="H3460" i="1"/>
  <c r="A3461" i="1"/>
  <c r="B3461" i="1"/>
  <c r="C3461" i="1"/>
  <c r="D3461" i="1"/>
  <c r="E3461" i="1"/>
  <c r="F3461" i="1"/>
  <c r="G3461" i="1"/>
  <c r="H3461" i="1"/>
  <c r="A3462" i="1"/>
  <c r="B3462" i="1"/>
  <c r="C3462" i="1"/>
  <c r="D3462" i="1"/>
  <c r="E3462" i="1"/>
  <c r="F3462" i="1"/>
  <c r="G3462" i="1"/>
  <c r="H3462" i="1"/>
  <c r="A3463" i="1"/>
  <c r="B3463" i="1"/>
  <c r="C3463" i="1"/>
  <c r="D3463" i="1"/>
  <c r="E3463" i="1"/>
  <c r="F3463" i="1"/>
  <c r="G3463" i="1"/>
  <c r="H3463" i="1"/>
  <c r="A3464" i="1"/>
  <c r="B3464" i="1"/>
  <c r="C3464" i="1"/>
  <c r="D3464" i="1"/>
  <c r="E3464" i="1"/>
  <c r="F3464" i="1"/>
  <c r="G3464" i="1"/>
  <c r="H3464" i="1"/>
  <c r="A3465" i="1"/>
  <c r="B3465" i="1"/>
  <c r="C3465" i="1"/>
  <c r="D3465" i="1"/>
  <c r="E3465" i="1"/>
  <c r="F3465" i="1"/>
  <c r="G3465" i="1"/>
  <c r="H3465" i="1"/>
  <c r="A3466" i="1"/>
  <c r="B3466" i="1"/>
  <c r="C3466" i="1"/>
  <c r="D3466" i="1"/>
  <c r="E3466" i="1"/>
  <c r="F3466" i="1"/>
  <c r="G3466" i="1"/>
  <c r="H3466" i="1"/>
  <c r="A3467" i="1"/>
  <c r="B3467" i="1"/>
  <c r="C3467" i="1"/>
  <c r="D3467" i="1"/>
  <c r="E3467" i="1"/>
  <c r="F3467" i="1"/>
  <c r="G3467" i="1"/>
  <c r="H3467" i="1"/>
  <c r="A3468" i="1"/>
  <c r="B3468" i="1"/>
  <c r="C3468" i="1"/>
  <c r="D3468" i="1"/>
  <c r="E3468" i="1"/>
  <c r="F3468" i="1"/>
  <c r="G3468" i="1"/>
  <c r="H3468" i="1"/>
  <c r="A3469" i="1"/>
  <c r="B3469" i="1"/>
  <c r="C3469" i="1"/>
  <c r="D3469" i="1"/>
  <c r="E3469" i="1"/>
  <c r="F3469" i="1"/>
  <c r="G3469" i="1"/>
  <c r="H3469" i="1"/>
  <c r="A3470" i="1"/>
  <c r="B3470" i="1"/>
  <c r="C3470" i="1"/>
  <c r="D3470" i="1"/>
  <c r="E3470" i="1"/>
  <c r="F3470" i="1"/>
  <c r="G3470" i="1"/>
  <c r="H3470" i="1"/>
  <c r="A3471" i="1"/>
  <c r="B3471" i="1"/>
  <c r="C3471" i="1"/>
  <c r="D3471" i="1"/>
  <c r="E3471" i="1"/>
  <c r="F3471" i="1"/>
  <c r="G3471" i="1"/>
  <c r="H3471" i="1"/>
  <c r="A3472" i="1"/>
  <c r="B3472" i="1"/>
  <c r="C3472" i="1"/>
  <c r="D3472" i="1"/>
  <c r="E3472" i="1"/>
  <c r="F3472" i="1"/>
  <c r="G3472" i="1"/>
  <c r="H3472" i="1"/>
  <c r="A3473" i="1"/>
  <c r="B3473" i="1"/>
  <c r="C3473" i="1"/>
  <c r="D3473" i="1"/>
  <c r="E3473" i="1"/>
  <c r="F3473" i="1"/>
  <c r="G3473" i="1"/>
  <c r="H3473" i="1"/>
  <c r="A3474" i="1"/>
  <c r="B3474" i="1"/>
  <c r="C3474" i="1"/>
  <c r="D3474" i="1"/>
  <c r="E3474" i="1"/>
  <c r="F3474" i="1"/>
  <c r="G3474" i="1"/>
  <c r="H3474" i="1"/>
  <c r="A3475" i="1"/>
  <c r="B3475" i="1"/>
  <c r="C3475" i="1"/>
  <c r="D3475" i="1"/>
  <c r="E3475" i="1"/>
  <c r="F3475" i="1"/>
  <c r="G3475" i="1"/>
  <c r="H3475" i="1"/>
  <c r="A3476" i="1"/>
  <c r="B3476" i="1"/>
  <c r="C3476" i="1"/>
  <c r="D3476" i="1"/>
  <c r="E3476" i="1"/>
  <c r="F3476" i="1"/>
  <c r="G3476" i="1"/>
  <c r="H3476" i="1"/>
  <c r="A3477" i="1"/>
  <c r="B3477" i="1"/>
  <c r="C3477" i="1"/>
  <c r="D3477" i="1"/>
  <c r="E3477" i="1"/>
  <c r="F3477" i="1"/>
  <c r="G3477" i="1"/>
  <c r="H3477" i="1"/>
  <c r="A3478" i="1"/>
  <c r="B3478" i="1"/>
  <c r="C3478" i="1"/>
  <c r="D3478" i="1"/>
  <c r="E3478" i="1"/>
  <c r="F3478" i="1"/>
  <c r="G3478" i="1"/>
  <c r="H3478" i="1"/>
  <c r="A3479" i="1"/>
  <c r="B3479" i="1"/>
  <c r="C3479" i="1"/>
  <c r="D3479" i="1"/>
  <c r="E3479" i="1"/>
  <c r="F3479" i="1"/>
  <c r="G3479" i="1"/>
  <c r="H3479" i="1"/>
  <c r="A3480" i="1"/>
  <c r="B3480" i="1"/>
  <c r="C3480" i="1"/>
  <c r="D3480" i="1"/>
  <c r="E3480" i="1"/>
  <c r="F3480" i="1"/>
  <c r="G3480" i="1"/>
  <c r="H3480" i="1"/>
  <c r="A3481" i="1"/>
  <c r="B3481" i="1"/>
  <c r="C3481" i="1"/>
  <c r="D3481" i="1"/>
  <c r="E3481" i="1"/>
  <c r="F3481" i="1"/>
  <c r="G3481" i="1"/>
  <c r="H3481" i="1"/>
  <c r="A3482" i="1"/>
  <c r="B3482" i="1"/>
  <c r="C3482" i="1"/>
  <c r="D3482" i="1"/>
  <c r="E3482" i="1"/>
  <c r="F3482" i="1"/>
  <c r="G3482" i="1"/>
  <c r="H3482" i="1"/>
  <c r="A3483" i="1"/>
  <c r="B3483" i="1"/>
  <c r="C3483" i="1"/>
  <c r="D3483" i="1"/>
  <c r="E3483" i="1"/>
  <c r="F3483" i="1"/>
  <c r="G3483" i="1"/>
  <c r="H3483" i="1"/>
  <c r="A3484" i="1"/>
  <c r="B3484" i="1"/>
  <c r="C3484" i="1"/>
  <c r="D3484" i="1"/>
  <c r="E3484" i="1"/>
  <c r="F3484" i="1"/>
  <c r="G3484" i="1"/>
  <c r="H3484" i="1"/>
  <c r="A3485" i="1"/>
  <c r="B3485" i="1"/>
  <c r="C3485" i="1"/>
  <c r="D3485" i="1"/>
  <c r="E3485" i="1"/>
  <c r="F3485" i="1"/>
  <c r="G3485" i="1"/>
  <c r="H3485" i="1"/>
  <c r="A3486" i="1"/>
  <c r="B3486" i="1"/>
  <c r="C3486" i="1"/>
  <c r="D3486" i="1"/>
  <c r="E3486" i="1"/>
  <c r="F3486" i="1"/>
  <c r="G3486" i="1"/>
  <c r="H3486" i="1"/>
  <c r="A3487" i="1"/>
  <c r="B3487" i="1"/>
  <c r="C3487" i="1"/>
  <c r="D3487" i="1"/>
  <c r="E3487" i="1"/>
  <c r="F3487" i="1"/>
  <c r="G3487" i="1"/>
  <c r="H3487" i="1"/>
  <c r="A3488" i="1"/>
  <c r="B3488" i="1"/>
  <c r="C3488" i="1"/>
  <c r="D3488" i="1"/>
  <c r="E3488" i="1"/>
  <c r="F3488" i="1"/>
  <c r="G3488" i="1"/>
  <c r="H3488" i="1"/>
  <c r="A3489" i="1"/>
  <c r="B3489" i="1"/>
  <c r="C3489" i="1"/>
  <c r="D3489" i="1"/>
  <c r="E3489" i="1"/>
  <c r="F3489" i="1"/>
  <c r="G3489" i="1"/>
  <c r="H3489" i="1"/>
  <c r="A3490" i="1"/>
  <c r="B3490" i="1"/>
  <c r="C3490" i="1"/>
  <c r="D3490" i="1"/>
  <c r="E3490" i="1"/>
  <c r="F3490" i="1"/>
  <c r="G3490" i="1"/>
  <c r="H3490" i="1"/>
  <c r="A3491" i="1"/>
  <c r="B3491" i="1"/>
  <c r="C3491" i="1"/>
  <c r="D3491" i="1"/>
  <c r="E3491" i="1"/>
  <c r="F3491" i="1"/>
  <c r="G3491" i="1"/>
  <c r="H3491" i="1"/>
  <c r="A3492" i="1"/>
  <c r="B3492" i="1"/>
  <c r="C3492" i="1"/>
  <c r="D3492" i="1"/>
  <c r="E3492" i="1"/>
  <c r="F3492" i="1"/>
  <c r="G3492" i="1"/>
  <c r="H3492" i="1"/>
  <c r="A3493" i="1"/>
  <c r="B3493" i="1"/>
  <c r="C3493" i="1"/>
  <c r="D3493" i="1"/>
  <c r="E3493" i="1"/>
  <c r="F3493" i="1"/>
  <c r="G3493" i="1"/>
  <c r="H3493" i="1"/>
  <c r="A3494" i="1"/>
  <c r="B3494" i="1"/>
  <c r="C3494" i="1"/>
  <c r="D3494" i="1"/>
  <c r="E3494" i="1"/>
  <c r="F3494" i="1"/>
  <c r="G3494" i="1"/>
  <c r="H3494" i="1"/>
  <c r="A3495" i="1"/>
  <c r="B3495" i="1"/>
  <c r="C3495" i="1"/>
  <c r="D3495" i="1"/>
  <c r="E3495" i="1"/>
  <c r="F3495" i="1"/>
  <c r="G3495" i="1"/>
  <c r="H3495" i="1"/>
  <c r="A3496" i="1"/>
  <c r="B3496" i="1"/>
  <c r="C3496" i="1"/>
  <c r="D3496" i="1"/>
  <c r="E3496" i="1"/>
  <c r="F3496" i="1"/>
  <c r="G3496" i="1"/>
  <c r="H3496" i="1"/>
  <c r="A3497" i="1"/>
  <c r="B3497" i="1"/>
  <c r="C3497" i="1"/>
  <c r="D3497" i="1"/>
  <c r="E3497" i="1"/>
  <c r="F3497" i="1"/>
  <c r="G3497" i="1"/>
  <c r="H3497" i="1"/>
  <c r="A3498" i="1"/>
  <c r="B3498" i="1"/>
  <c r="C3498" i="1"/>
  <c r="D3498" i="1"/>
  <c r="E3498" i="1"/>
  <c r="F3498" i="1"/>
  <c r="G3498" i="1"/>
  <c r="H3498" i="1"/>
  <c r="A3499" i="1"/>
  <c r="B3499" i="1"/>
  <c r="C3499" i="1"/>
  <c r="D3499" i="1"/>
  <c r="E3499" i="1"/>
  <c r="F3499" i="1"/>
  <c r="G3499" i="1"/>
  <c r="H3499" i="1"/>
  <c r="A3500" i="1"/>
  <c r="B3500" i="1"/>
  <c r="C3500" i="1"/>
  <c r="D3500" i="1"/>
  <c r="E3500" i="1"/>
  <c r="F3500" i="1"/>
  <c r="G3500" i="1"/>
  <c r="H3500" i="1"/>
  <c r="A3501" i="1"/>
  <c r="B3501" i="1"/>
  <c r="C3501" i="1"/>
  <c r="D3501" i="1"/>
  <c r="E3501" i="1"/>
  <c r="F3501" i="1"/>
  <c r="G3501" i="1"/>
  <c r="H3501" i="1"/>
  <c r="A3502" i="1"/>
  <c r="B3502" i="1"/>
  <c r="C3502" i="1"/>
  <c r="D3502" i="1"/>
  <c r="E3502" i="1"/>
  <c r="F3502" i="1"/>
  <c r="G3502" i="1"/>
  <c r="H3502" i="1"/>
  <c r="A3503" i="1"/>
  <c r="B3503" i="1"/>
  <c r="C3503" i="1"/>
  <c r="D3503" i="1"/>
  <c r="E3503" i="1"/>
  <c r="F3503" i="1"/>
  <c r="G3503" i="1"/>
  <c r="H3503" i="1"/>
  <c r="A3504" i="1"/>
  <c r="B3504" i="1"/>
  <c r="C3504" i="1"/>
  <c r="D3504" i="1"/>
  <c r="E3504" i="1"/>
  <c r="F3504" i="1"/>
  <c r="G3504" i="1"/>
  <c r="H3504" i="1"/>
  <c r="A3505" i="1"/>
  <c r="B3505" i="1"/>
  <c r="C3505" i="1"/>
  <c r="D3505" i="1"/>
  <c r="E3505" i="1"/>
  <c r="F3505" i="1"/>
  <c r="G3505" i="1"/>
  <c r="H3505" i="1"/>
  <c r="A3506" i="1"/>
  <c r="B3506" i="1"/>
  <c r="C3506" i="1"/>
  <c r="D3506" i="1"/>
  <c r="E3506" i="1"/>
  <c r="F3506" i="1"/>
  <c r="G3506" i="1"/>
  <c r="H3506" i="1"/>
  <c r="A3507" i="1"/>
  <c r="B3507" i="1"/>
  <c r="C3507" i="1"/>
  <c r="D3507" i="1"/>
  <c r="E3507" i="1"/>
  <c r="F3507" i="1"/>
  <c r="G3507" i="1"/>
  <c r="H3507" i="1"/>
  <c r="A3508" i="1"/>
  <c r="B3508" i="1"/>
  <c r="C3508" i="1"/>
  <c r="D3508" i="1"/>
  <c r="E3508" i="1"/>
  <c r="F3508" i="1"/>
  <c r="G3508" i="1"/>
  <c r="H3508" i="1"/>
  <c r="A3509" i="1"/>
  <c r="B3509" i="1"/>
  <c r="C3509" i="1"/>
  <c r="D3509" i="1"/>
  <c r="E3509" i="1"/>
  <c r="F3509" i="1"/>
  <c r="G3509" i="1"/>
  <c r="H3509" i="1"/>
  <c r="A3510" i="1"/>
  <c r="B3510" i="1"/>
  <c r="C3510" i="1"/>
  <c r="D3510" i="1"/>
  <c r="E3510" i="1"/>
  <c r="F3510" i="1"/>
  <c r="G3510" i="1"/>
  <c r="H3510" i="1"/>
  <c r="A3511" i="1"/>
  <c r="B3511" i="1"/>
  <c r="C3511" i="1"/>
  <c r="D3511" i="1"/>
  <c r="E3511" i="1"/>
  <c r="F3511" i="1"/>
  <c r="G3511" i="1"/>
  <c r="H3511" i="1"/>
  <c r="A3512" i="1"/>
  <c r="B3512" i="1"/>
  <c r="C3512" i="1"/>
  <c r="D3512" i="1"/>
  <c r="E3512" i="1"/>
  <c r="F3512" i="1"/>
  <c r="G3512" i="1"/>
  <c r="H3512" i="1"/>
  <c r="A3513" i="1"/>
  <c r="B3513" i="1"/>
  <c r="C3513" i="1"/>
  <c r="D3513" i="1"/>
  <c r="E3513" i="1"/>
  <c r="F3513" i="1"/>
  <c r="G3513" i="1"/>
  <c r="H3513" i="1"/>
  <c r="A3514" i="1"/>
  <c r="B3514" i="1"/>
  <c r="C3514" i="1"/>
  <c r="D3514" i="1"/>
  <c r="E3514" i="1"/>
  <c r="F3514" i="1"/>
  <c r="G3514" i="1"/>
  <c r="H3514" i="1"/>
  <c r="A3515" i="1"/>
  <c r="B3515" i="1"/>
  <c r="C3515" i="1"/>
  <c r="D3515" i="1"/>
  <c r="E3515" i="1"/>
  <c r="F3515" i="1"/>
  <c r="G3515" i="1"/>
  <c r="H3515" i="1"/>
  <c r="A3516" i="1"/>
  <c r="B3516" i="1"/>
  <c r="C3516" i="1"/>
  <c r="D3516" i="1"/>
  <c r="E3516" i="1"/>
  <c r="F3516" i="1"/>
  <c r="G3516" i="1"/>
  <c r="H3516" i="1"/>
  <c r="A3517" i="1"/>
  <c r="B3517" i="1"/>
  <c r="C3517" i="1"/>
  <c r="D3517" i="1"/>
  <c r="E3517" i="1"/>
  <c r="F3517" i="1"/>
  <c r="G3517" i="1"/>
  <c r="H3517" i="1"/>
  <c r="A3518" i="1"/>
  <c r="B3518" i="1"/>
  <c r="C3518" i="1"/>
  <c r="D3518" i="1"/>
  <c r="E3518" i="1"/>
  <c r="F3518" i="1"/>
  <c r="G3518" i="1"/>
  <c r="H3518" i="1"/>
  <c r="A3519" i="1"/>
  <c r="B3519" i="1"/>
  <c r="C3519" i="1"/>
  <c r="D3519" i="1"/>
  <c r="E3519" i="1"/>
  <c r="F3519" i="1"/>
  <c r="G3519" i="1"/>
  <c r="H3519" i="1"/>
  <c r="A3520" i="1"/>
  <c r="B3520" i="1"/>
  <c r="C3520" i="1"/>
  <c r="D3520" i="1"/>
  <c r="E3520" i="1"/>
  <c r="F3520" i="1"/>
  <c r="G3520" i="1"/>
  <c r="H3520" i="1"/>
  <c r="A3521" i="1"/>
  <c r="B3521" i="1"/>
  <c r="C3521" i="1"/>
  <c r="D3521" i="1"/>
  <c r="E3521" i="1"/>
  <c r="F3521" i="1"/>
  <c r="G3521" i="1"/>
  <c r="H3521" i="1"/>
  <c r="A3522" i="1"/>
  <c r="B3522" i="1"/>
  <c r="C3522" i="1"/>
  <c r="D3522" i="1"/>
  <c r="E3522" i="1"/>
  <c r="F3522" i="1"/>
  <c r="G3522" i="1"/>
  <c r="H3522" i="1"/>
  <c r="A3523" i="1"/>
  <c r="B3523" i="1"/>
  <c r="C3523" i="1"/>
  <c r="D3523" i="1"/>
  <c r="E3523" i="1"/>
  <c r="F3523" i="1"/>
  <c r="G3523" i="1"/>
  <c r="H3523" i="1"/>
  <c r="A3524" i="1"/>
  <c r="B3524" i="1"/>
  <c r="C3524" i="1"/>
  <c r="D3524" i="1"/>
  <c r="E3524" i="1"/>
  <c r="F3524" i="1"/>
  <c r="G3524" i="1"/>
  <c r="H3524" i="1"/>
  <c r="A3525" i="1"/>
  <c r="B3525" i="1"/>
  <c r="C3525" i="1"/>
  <c r="D3525" i="1"/>
  <c r="E3525" i="1"/>
  <c r="F3525" i="1"/>
  <c r="G3525" i="1"/>
  <c r="H3525" i="1"/>
  <c r="A3526" i="1"/>
  <c r="B3526" i="1"/>
  <c r="C3526" i="1"/>
  <c r="D3526" i="1"/>
  <c r="E3526" i="1"/>
  <c r="F3526" i="1"/>
  <c r="G3526" i="1"/>
  <c r="H3526" i="1"/>
  <c r="A3527" i="1"/>
  <c r="B3527" i="1"/>
  <c r="C3527" i="1"/>
  <c r="D3527" i="1"/>
  <c r="E3527" i="1"/>
  <c r="F3527" i="1"/>
  <c r="G3527" i="1"/>
  <c r="H3527" i="1"/>
  <c r="A3528" i="1"/>
  <c r="B3528" i="1"/>
  <c r="C3528" i="1"/>
  <c r="D3528" i="1"/>
  <c r="E3528" i="1"/>
  <c r="F3528" i="1"/>
  <c r="G3528" i="1"/>
  <c r="H3528" i="1"/>
  <c r="A3529" i="1"/>
  <c r="B3529" i="1"/>
  <c r="C3529" i="1"/>
  <c r="D3529" i="1"/>
  <c r="E3529" i="1"/>
  <c r="F3529" i="1"/>
  <c r="G3529" i="1"/>
  <c r="H3529" i="1"/>
  <c r="A3530" i="1"/>
  <c r="B3530" i="1"/>
  <c r="C3530" i="1"/>
  <c r="D3530" i="1"/>
  <c r="E3530" i="1"/>
  <c r="F3530" i="1"/>
  <c r="G3530" i="1"/>
  <c r="H3530" i="1"/>
  <c r="A3531" i="1"/>
  <c r="B3531" i="1"/>
  <c r="C3531" i="1"/>
  <c r="D3531" i="1"/>
  <c r="E3531" i="1"/>
  <c r="F3531" i="1"/>
  <c r="G3531" i="1"/>
  <c r="H3531" i="1"/>
  <c r="A3532" i="1"/>
  <c r="B3532" i="1"/>
  <c r="C3532" i="1"/>
  <c r="D3532" i="1"/>
  <c r="E3532" i="1"/>
  <c r="F3532" i="1"/>
  <c r="G3532" i="1"/>
  <c r="H3532" i="1"/>
  <c r="A3533" i="1"/>
  <c r="B3533" i="1"/>
  <c r="C3533" i="1"/>
  <c r="D3533" i="1"/>
  <c r="E3533" i="1"/>
  <c r="F3533" i="1"/>
  <c r="G3533" i="1"/>
  <c r="H3533" i="1"/>
  <c r="A3534" i="1"/>
  <c r="B3534" i="1"/>
  <c r="C3534" i="1"/>
  <c r="D3534" i="1"/>
  <c r="E3534" i="1"/>
  <c r="F3534" i="1"/>
  <c r="G3534" i="1"/>
  <c r="H3534" i="1"/>
  <c r="A3535" i="1"/>
  <c r="B3535" i="1"/>
  <c r="C3535" i="1"/>
  <c r="D3535" i="1"/>
  <c r="E3535" i="1"/>
  <c r="F3535" i="1"/>
  <c r="G3535" i="1"/>
  <c r="H3535" i="1"/>
  <c r="A3536" i="1"/>
  <c r="B3536" i="1"/>
  <c r="C3536" i="1"/>
  <c r="D3536" i="1"/>
  <c r="E3536" i="1"/>
  <c r="F3536" i="1"/>
  <c r="G3536" i="1"/>
  <c r="H3536" i="1"/>
  <c r="A3537" i="1"/>
  <c r="B3537" i="1"/>
  <c r="C3537" i="1"/>
  <c r="D3537" i="1"/>
  <c r="E3537" i="1"/>
  <c r="F3537" i="1"/>
  <c r="G3537" i="1"/>
  <c r="H3537" i="1"/>
  <c r="A3538" i="1"/>
  <c r="B3538" i="1"/>
  <c r="C3538" i="1"/>
  <c r="D3538" i="1"/>
  <c r="E3538" i="1"/>
  <c r="F3538" i="1"/>
  <c r="G3538" i="1"/>
  <c r="H3538" i="1"/>
  <c r="A3539" i="1"/>
  <c r="B3539" i="1"/>
  <c r="C3539" i="1"/>
  <c r="D3539" i="1"/>
  <c r="E3539" i="1"/>
  <c r="F3539" i="1"/>
  <c r="G3539" i="1"/>
  <c r="H3539" i="1"/>
  <c r="A3540" i="1"/>
  <c r="B3540" i="1"/>
  <c r="C3540" i="1"/>
  <c r="D3540" i="1"/>
  <c r="E3540" i="1"/>
  <c r="F3540" i="1"/>
  <c r="G3540" i="1"/>
  <c r="H3540" i="1"/>
  <c r="A3541" i="1"/>
  <c r="B3541" i="1"/>
  <c r="C3541" i="1"/>
  <c r="D3541" i="1"/>
  <c r="E3541" i="1"/>
  <c r="F3541" i="1"/>
  <c r="G3541" i="1"/>
  <c r="H3541" i="1"/>
  <c r="A3542" i="1"/>
  <c r="B3542" i="1"/>
  <c r="C3542" i="1"/>
  <c r="D3542" i="1"/>
  <c r="E3542" i="1"/>
  <c r="F3542" i="1"/>
  <c r="G3542" i="1"/>
  <c r="H3542" i="1"/>
  <c r="A3543" i="1"/>
  <c r="B3543" i="1"/>
  <c r="C3543" i="1"/>
  <c r="D3543" i="1"/>
  <c r="E3543" i="1"/>
  <c r="F3543" i="1"/>
  <c r="G3543" i="1"/>
  <c r="H3543" i="1"/>
  <c r="A3544" i="1"/>
  <c r="B3544" i="1"/>
  <c r="C3544" i="1"/>
  <c r="D3544" i="1"/>
  <c r="E3544" i="1"/>
  <c r="F3544" i="1"/>
  <c r="G3544" i="1"/>
  <c r="H3544" i="1"/>
  <c r="A3545" i="1"/>
  <c r="B3545" i="1"/>
  <c r="C3545" i="1"/>
  <c r="D3545" i="1"/>
  <c r="E3545" i="1"/>
  <c r="F3545" i="1"/>
  <c r="G3545" i="1"/>
  <c r="H3545" i="1"/>
  <c r="A3546" i="1"/>
  <c r="B3546" i="1"/>
  <c r="C3546" i="1"/>
  <c r="D3546" i="1"/>
  <c r="E3546" i="1"/>
  <c r="F3546" i="1"/>
  <c r="G3546" i="1"/>
  <c r="H3546" i="1"/>
  <c r="A3547" i="1"/>
  <c r="B3547" i="1"/>
  <c r="C3547" i="1"/>
  <c r="D3547" i="1"/>
  <c r="E3547" i="1"/>
  <c r="F3547" i="1"/>
  <c r="G3547" i="1"/>
  <c r="H3547" i="1"/>
  <c r="A3548" i="1"/>
  <c r="B3548" i="1"/>
  <c r="C3548" i="1"/>
  <c r="D3548" i="1"/>
  <c r="E3548" i="1"/>
  <c r="F3548" i="1"/>
  <c r="G3548" i="1"/>
  <c r="H3548" i="1"/>
  <c r="A3549" i="1"/>
  <c r="B3549" i="1"/>
  <c r="C3549" i="1"/>
  <c r="D3549" i="1"/>
  <c r="E3549" i="1"/>
  <c r="F3549" i="1"/>
  <c r="G3549" i="1"/>
  <c r="H3549" i="1"/>
  <c r="A3550" i="1"/>
  <c r="B3550" i="1"/>
  <c r="C3550" i="1"/>
  <c r="D3550" i="1"/>
  <c r="E3550" i="1"/>
  <c r="F3550" i="1"/>
  <c r="G3550" i="1"/>
  <c r="H3550" i="1"/>
  <c r="A3551" i="1"/>
  <c r="B3551" i="1"/>
  <c r="C3551" i="1"/>
  <c r="D3551" i="1"/>
  <c r="E3551" i="1"/>
  <c r="F3551" i="1"/>
  <c r="G3551" i="1"/>
  <c r="H3551" i="1"/>
  <c r="A3552" i="1"/>
  <c r="B3552" i="1"/>
  <c r="C3552" i="1"/>
  <c r="D3552" i="1"/>
  <c r="E3552" i="1"/>
  <c r="F3552" i="1"/>
  <c r="G3552" i="1"/>
  <c r="H3552" i="1"/>
  <c r="A3553" i="1"/>
  <c r="B3553" i="1"/>
  <c r="C3553" i="1"/>
  <c r="D3553" i="1"/>
  <c r="E3553" i="1"/>
  <c r="F3553" i="1"/>
  <c r="G3553" i="1"/>
  <c r="H3553" i="1"/>
  <c r="A3554" i="1"/>
  <c r="B3554" i="1"/>
  <c r="C3554" i="1"/>
  <c r="D3554" i="1"/>
  <c r="E3554" i="1"/>
  <c r="F3554" i="1"/>
  <c r="G3554" i="1"/>
  <c r="H3554" i="1"/>
  <c r="A3555" i="1"/>
  <c r="B3555" i="1"/>
  <c r="C3555" i="1"/>
  <c r="D3555" i="1"/>
  <c r="E3555" i="1"/>
  <c r="F3555" i="1"/>
  <c r="G3555" i="1"/>
  <c r="H3555" i="1"/>
  <c r="A3556" i="1"/>
  <c r="B3556" i="1"/>
  <c r="C3556" i="1"/>
  <c r="D3556" i="1"/>
  <c r="E3556" i="1"/>
  <c r="F3556" i="1"/>
  <c r="G3556" i="1"/>
  <c r="H3556" i="1"/>
  <c r="A3557" i="1"/>
  <c r="B3557" i="1"/>
  <c r="C3557" i="1"/>
  <c r="D3557" i="1"/>
  <c r="E3557" i="1"/>
  <c r="F3557" i="1"/>
  <c r="G3557" i="1"/>
  <c r="H3557" i="1"/>
  <c r="A3558" i="1"/>
  <c r="B3558" i="1"/>
  <c r="C3558" i="1"/>
  <c r="D3558" i="1"/>
  <c r="E3558" i="1"/>
  <c r="F3558" i="1"/>
  <c r="G3558" i="1"/>
  <c r="H3558" i="1"/>
  <c r="A3559" i="1"/>
  <c r="B3559" i="1"/>
  <c r="C3559" i="1"/>
  <c r="D3559" i="1"/>
  <c r="E3559" i="1"/>
  <c r="F3559" i="1"/>
  <c r="G3559" i="1"/>
  <c r="H3559" i="1"/>
  <c r="A3560" i="1"/>
  <c r="B3560" i="1"/>
  <c r="C3560" i="1"/>
  <c r="D3560" i="1"/>
  <c r="E3560" i="1"/>
  <c r="F3560" i="1"/>
  <c r="G3560" i="1"/>
  <c r="H3560" i="1"/>
  <c r="A3561" i="1"/>
  <c r="B3561" i="1"/>
  <c r="C3561" i="1"/>
  <c r="D3561" i="1"/>
  <c r="E3561" i="1"/>
  <c r="F3561" i="1"/>
  <c r="G3561" i="1"/>
  <c r="H3561" i="1"/>
  <c r="A3562" i="1"/>
  <c r="B3562" i="1"/>
  <c r="C3562" i="1"/>
  <c r="D3562" i="1"/>
  <c r="E3562" i="1"/>
  <c r="F3562" i="1"/>
  <c r="G3562" i="1"/>
  <c r="H3562" i="1"/>
  <c r="A3563" i="1"/>
  <c r="B3563" i="1"/>
  <c r="C3563" i="1"/>
  <c r="D3563" i="1"/>
  <c r="E3563" i="1"/>
  <c r="F3563" i="1"/>
  <c r="G3563" i="1"/>
  <c r="H3563" i="1"/>
  <c r="A3564" i="1"/>
  <c r="B3564" i="1"/>
  <c r="C3564" i="1"/>
  <c r="D3564" i="1"/>
  <c r="E3564" i="1"/>
  <c r="F3564" i="1"/>
  <c r="G3564" i="1"/>
  <c r="H3564" i="1"/>
  <c r="A3565" i="1"/>
  <c r="B3565" i="1"/>
  <c r="C3565" i="1"/>
  <c r="D3565" i="1"/>
  <c r="E3565" i="1"/>
  <c r="F3565" i="1"/>
  <c r="G3565" i="1"/>
  <c r="H3565" i="1"/>
  <c r="A3566" i="1"/>
  <c r="B3566" i="1"/>
  <c r="C3566" i="1"/>
  <c r="D3566" i="1"/>
  <c r="E3566" i="1"/>
  <c r="F3566" i="1"/>
  <c r="G3566" i="1"/>
  <c r="H3566" i="1"/>
  <c r="A3567" i="1"/>
  <c r="B3567" i="1"/>
  <c r="C3567" i="1"/>
  <c r="D3567" i="1"/>
  <c r="E3567" i="1"/>
  <c r="F3567" i="1"/>
  <c r="G3567" i="1"/>
  <c r="H3567" i="1"/>
  <c r="A3568" i="1"/>
  <c r="B3568" i="1"/>
  <c r="C3568" i="1"/>
  <c r="D3568" i="1"/>
  <c r="E3568" i="1"/>
  <c r="F3568" i="1"/>
  <c r="G3568" i="1"/>
  <c r="H3568" i="1"/>
  <c r="A3569" i="1"/>
  <c r="B3569" i="1"/>
  <c r="C3569" i="1"/>
  <c r="D3569" i="1"/>
  <c r="E3569" i="1"/>
  <c r="F3569" i="1"/>
  <c r="G3569" i="1"/>
  <c r="H3569" i="1"/>
  <c r="A3570" i="1"/>
  <c r="B3570" i="1"/>
  <c r="C3570" i="1"/>
  <c r="D3570" i="1"/>
  <c r="E3570" i="1"/>
  <c r="F3570" i="1"/>
  <c r="G3570" i="1"/>
  <c r="H3570" i="1"/>
  <c r="A3571" i="1"/>
  <c r="B3571" i="1"/>
  <c r="C3571" i="1"/>
  <c r="D3571" i="1"/>
  <c r="E3571" i="1"/>
  <c r="F3571" i="1"/>
  <c r="G3571" i="1"/>
  <c r="H3571" i="1"/>
  <c r="A3572" i="1"/>
  <c r="B3572" i="1"/>
  <c r="C3572" i="1"/>
  <c r="D3572" i="1"/>
  <c r="E3572" i="1"/>
  <c r="F3572" i="1"/>
  <c r="G3572" i="1"/>
  <c r="H3572" i="1"/>
  <c r="A3573" i="1"/>
  <c r="B3573" i="1"/>
  <c r="C3573" i="1"/>
  <c r="D3573" i="1"/>
  <c r="E3573" i="1"/>
  <c r="F3573" i="1"/>
  <c r="G3573" i="1"/>
  <c r="H3573" i="1"/>
  <c r="A3574" i="1"/>
  <c r="B3574" i="1"/>
  <c r="C3574" i="1"/>
  <c r="D3574" i="1"/>
  <c r="E3574" i="1"/>
  <c r="F3574" i="1"/>
  <c r="G3574" i="1"/>
  <c r="H3574" i="1"/>
  <c r="A3575" i="1"/>
  <c r="B3575" i="1"/>
  <c r="C3575" i="1"/>
  <c r="D3575" i="1"/>
  <c r="E3575" i="1"/>
  <c r="F3575" i="1"/>
  <c r="G3575" i="1"/>
  <c r="H3575" i="1"/>
  <c r="A3576" i="1"/>
  <c r="B3576" i="1"/>
  <c r="C3576" i="1"/>
  <c r="D3576" i="1"/>
  <c r="E3576" i="1"/>
  <c r="F3576" i="1"/>
  <c r="G3576" i="1"/>
  <c r="H3576" i="1"/>
  <c r="A3577" i="1"/>
  <c r="B3577" i="1"/>
  <c r="C3577" i="1"/>
  <c r="D3577" i="1"/>
  <c r="E3577" i="1"/>
  <c r="F3577" i="1"/>
  <c r="G3577" i="1"/>
  <c r="H3577" i="1"/>
  <c r="A3578" i="1"/>
  <c r="B3578" i="1"/>
  <c r="C3578" i="1"/>
  <c r="D3578" i="1"/>
  <c r="E3578" i="1"/>
  <c r="F3578" i="1"/>
  <c r="G3578" i="1"/>
  <c r="H3578" i="1"/>
  <c r="A3579" i="1"/>
  <c r="B3579" i="1"/>
  <c r="C3579" i="1"/>
  <c r="D3579" i="1"/>
  <c r="E3579" i="1"/>
  <c r="F3579" i="1"/>
  <c r="G3579" i="1"/>
  <c r="H3579" i="1"/>
  <c r="A3580" i="1"/>
  <c r="B3580" i="1"/>
  <c r="C3580" i="1"/>
  <c r="D3580" i="1"/>
  <c r="E3580" i="1"/>
  <c r="F3580" i="1"/>
  <c r="G3580" i="1"/>
  <c r="H3580" i="1"/>
  <c r="A3581" i="1"/>
  <c r="B3581" i="1"/>
  <c r="C3581" i="1"/>
  <c r="D3581" i="1"/>
  <c r="E3581" i="1"/>
  <c r="F3581" i="1"/>
  <c r="G3581" i="1"/>
  <c r="H3581" i="1"/>
  <c r="A3582" i="1"/>
  <c r="B3582" i="1"/>
  <c r="C3582" i="1"/>
  <c r="D3582" i="1"/>
  <c r="E3582" i="1"/>
  <c r="F3582" i="1"/>
  <c r="G3582" i="1"/>
  <c r="H3582" i="1"/>
  <c r="A3583" i="1"/>
  <c r="B3583" i="1"/>
  <c r="C3583" i="1"/>
  <c r="D3583" i="1"/>
  <c r="E3583" i="1"/>
  <c r="F3583" i="1"/>
  <c r="G3583" i="1"/>
  <c r="H3583" i="1"/>
  <c r="A3584" i="1"/>
  <c r="B3584" i="1"/>
  <c r="C3584" i="1"/>
  <c r="D3584" i="1"/>
  <c r="E3584" i="1"/>
  <c r="F3584" i="1"/>
  <c r="G3584" i="1"/>
  <c r="H3584" i="1"/>
  <c r="A3585" i="1"/>
  <c r="B3585" i="1"/>
  <c r="C3585" i="1"/>
  <c r="D3585" i="1"/>
  <c r="E3585" i="1"/>
  <c r="F3585" i="1"/>
  <c r="G3585" i="1"/>
  <c r="H3585" i="1"/>
  <c r="A3586" i="1"/>
  <c r="B3586" i="1"/>
  <c r="C3586" i="1"/>
  <c r="D3586" i="1"/>
  <c r="E3586" i="1"/>
  <c r="F3586" i="1"/>
  <c r="G3586" i="1"/>
  <c r="H3586" i="1"/>
  <c r="A3587" i="1"/>
  <c r="B3587" i="1"/>
  <c r="C3587" i="1"/>
  <c r="D3587" i="1"/>
  <c r="E3587" i="1"/>
  <c r="F3587" i="1"/>
  <c r="G3587" i="1"/>
  <c r="H3587" i="1"/>
  <c r="A3588" i="1"/>
  <c r="B3588" i="1"/>
  <c r="C3588" i="1"/>
  <c r="D3588" i="1"/>
  <c r="E3588" i="1"/>
  <c r="F3588" i="1"/>
  <c r="G3588" i="1"/>
  <c r="H3588" i="1"/>
  <c r="A3589" i="1"/>
  <c r="B3589" i="1"/>
  <c r="C3589" i="1"/>
  <c r="D3589" i="1"/>
  <c r="E3589" i="1"/>
  <c r="F3589" i="1"/>
  <c r="G3589" i="1"/>
  <c r="H3589" i="1"/>
  <c r="A3590" i="1"/>
  <c r="B3590" i="1"/>
  <c r="C3590" i="1"/>
  <c r="D3590" i="1"/>
  <c r="E3590" i="1"/>
  <c r="F3590" i="1"/>
  <c r="G3590" i="1"/>
  <c r="H3590" i="1"/>
  <c r="A3591" i="1"/>
  <c r="B3591" i="1"/>
  <c r="C3591" i="1"/>
  <c r="D3591" i="1"/>
  <c r="E3591" i="1"/>
  <c r="F3591" i="1"/>
  <c r="G3591" i="1"/>
  <c r="H3591" i="1"/>
  <c r="A3592" i="1"/>
  <c r="B3592" i="1"/>
  <c r="C3592" i="1"/>
  <c r="D3592" i="1"/>
  <c r="E3592" i="1"/>
  <c r="F3592" i="1"/>
  <c r="G3592" i="1"/>
  <c r="H3592" i="1"/>
  <c r="A3593" i="1"/>
  <c r="B3593" i="1"/>
  <c r="C3593" i="1"/>
  <c r="D3593" i="1"/>
  <c r="E3593" i="1"/>
  <c r="F3593" i="1"/>
  <c r="G3593" i="1"/>
  <c r="H3593" i="1"/>
  <c r="A3594" i="1"/>
  <c r="B3594" i="1"/>
  <c r="C3594" i="1"/>
  <c r="D3594" i="1"/>
  <c r="E3594" i="1"/>
  <c r="F3594" i="1"/>
  <c r="G3594" i="1"/>
  <c r="H3594" i="1"/>
  <c r="A3595" i="1"/>
  <c r="B3595" i="1"/>
  <c r="C3595" i="1"/>
  <c r="D3595" i="1"/>
  <c r="E3595" i="1"/>
  <c r="F3595" i="1"/>
  <c r="G3595" i="1"/>
  <c r="H3595" i="1"/>
  <c r="A3596" i="1"/>
  <c r="B3596" i="1"/>
  <c r="C3596" i="1"/>
  <c r="D3596" i="1"/>
  <c r="E3596" i="1"/>
  <c r="F3596" i="1"/>
  <c r="G3596" i="1"/>
  <c r="H3596" i="1"/>
  <c r="A3597" i="1"/>
  <c r="B3597" i="1"/>
  <c r="C3597" i="1"/>
  <c r="D3597" i="1"/>
  <c r="E3597" i="1"/>
  <c r="F3597" i="1"/>
  <c r="G3597" i="1"/>
  <c r="H3597" i="1"/>
  <c r="A3598" i="1"/>
  <c r="B3598" i="1"/>
  <c r="C3598" i="1"/>
  <c r="D3598" i="1"/>
  <c r="E3598" i="1"/>
  <c r="F3598" i="1"/>
  <c r="G3598" i="1"/>
  <c r="H3598" i="1"/>
  <c r="A3599" i="1"/>
  <c r="B3599" i="1"/>
  <c r="C3599" i="1"/>
  <c r="D3599" i="1"/>
  <c r="E3599" i="1"/>
  <c r="F3599" i="1"/>
  <c r="G3599" i="1"/>
  <c r="H3599" i="1"/>
  <c r="A3600" i="1"/>
  <c r="B3600" i="1"/>
  <c r="C3600" i="1"/>
  <c r="D3600" i="1"/>
  <c r="E3600" i="1"/>
  <c r="F3600" i="1"/>
  <c r="G3600" i="1"/>
  <c r="H3600" i="1"/>
  <c r="A3601" i="1"/>
  <c r="B3601" i="1"/>
  <c r="C3601" i="1"/>
  <c r="D3601" i="1"/>
  <c r="E3601" i="1"/>
  <c r="F3601" i="1"/>
  <c r="G3601" i="1"/>
  <c r="H3601" i="1"/>
  <c r="A3602" i="1"/>
  <c r="B3602" i="1"/>
  <c r="C3602" i="1"/>
  <c r="D3602" i="1"/>
  <c r="E3602" i="1"/>
  <c r="F3602" i="1"/>
  <c r="G3602" i="1"/>
  <c r="H3602" i="1"/>
  <c r="A3603" i="1"/>
  <c r="B3603" i="1"/>
  <c r="C3603" i="1"/>
  <c r="D3603" i="1"/>
  <c r="E3603" i="1"/>
  <c r="F3603" i="1"/>
  <c r="G3603" i="1"/>
  <c r="H3603" i="1"/>
  <c r="A3604" i="1"/>
  <c r="B3604" i="1"/>
  <c r="C3604" i="1"/>
  <c r="D3604" i="1"/>
  <c r="E3604" i="1"/>
  <c r="F3604" i="1"/>
  <c r="G3604" i="1"/>
  <c r="H3604" i="1"/>
  <c r="A3605" i="1"/>
  <c r="B3605" i="1"/>
  <c r="C3605" i="1"/>
  <c r="D3605" i="1"/>
  <c r="E3605" i="1"/>
  <c r="F3605" i="1"/>
  <c r="G3605" i="1"/>
  <c r="H3605" i="1"/>
  <c r="A3606" i="1"/>
  <c r="B3606" i="1"/>
  <c r="C3606" i="1"/>
  <c r="D3606" i="1"/>
  <c r="E3606" i="1"/>
  <c r="F3606" i="1"/>
  <c r="G3606" i="1"/>
  <c r="H3606" i="1"/>
  <c r="A3607" i="1"/>
  <c r="B3607" i="1"/>
  <c r="C3607" i="1"/>
  <c r="D3607" i="1"/>
  <c r="E3607" i="1"/>
  <c r="F3607" i="1"/>
  <c r="G3607" i="1"/>
  <c r="H3607" i="1"/>
  <c r="A3608" i="1"/>
  <c r="B3608" i="1"/>
  <c r="C3608" i="1"/>
  <c r="D3608" i="1"/>
  <c r="E3608" i="1"/>
  <c r="F3608" i="1"/>
  <c r="G3608" i="1"/>
  <c r="H3608" i="1"/>
  <c r="A3609" i="1"/>
  <c r="B3609" i="1"/>
  <c r="C3609" i="1"/>
  <c r="D3609" i="1"/>
  <c r="E3609" i="1"/>
  <c r="F3609" i="1"/>
  <c r="G3609" i="1"/>
  <c r="H3609" i="1"/>
  <c r="A3610" i="1"/>
  <c r="B3610" i="1"/>
  <c r="C3610" i="1"/>
  <c r="D3610" i="1"/>
  <c r="E3610" i="1"/>
  <c r="F3610" i="1"/>
  <c r="G3610" i="1"/>
  <c r="H3610" i="1"/>
  <c r="A3611" i="1"/>
  <c r="B3611" i="1"/>
  <c r="C3611" i="1"/>
  <c r="D3611" i="1"/>
  <c r="E3611" i="1"/>
  <c r="F3611" i="1"/>
  <c r="G3611" i="1"/>
  <c r="H3611" i="1"/>
  <c r="A3612" i="1"/>
  <c r="B3612" i="1"/>
  <c r="C3612" i="1"/>
  <c r="D3612" i="1"/>
  <c r="E3612" i="1"/>
  <c r="F3612" i="1"/>
  <c r="G3612" i="1"/>
  <c r="H3612" i="1"/>
  <c r="A3613" i="1"/>
  <c r="B3613" i="1"/>
  <c r="C3613" i="1"/>
  <c r="D3613" i="1"/>
  <c r="E3613" i="1"/>
  <c r="F3613" i="1"/>
  <c r="G3613" i="1"/>
  <c r="H3613" i="1"/>
  <c r="A3614" i="1"/>
  <c r="B3614" i="1"/>
  <c r="C3614" i="1"/>
  <c r="D3614" i="1"/>
  <c r="E3614" i="1"/>
  <c r="F3614" i="1"/>
  <c r="G3614" i="1"/>
  <c r="H3614" i="1"/>
  <c r="A3615" i="1"/>
  <c r="B3615" i="1"/>
  <c r="C3615" i="1"/>
  <c r="D3615" i="1"/>
  <c r="E3615" i="1"/>
  <c r="F3615" i="1"/>
  <c r="G3615" i="1"/>
  <c r="H3615" i="1"/>
  <c r="A3616" i="1"/>
  <c r="B3616" i="1"/>
  <c r="C3616" i="1"/>
  <c r="D3616" i="1"/>
  <c r="E3616" i="1"/>
  <c r="F3616" i="1"/>
  <c r="G3616" i="1"/>
  <c r="H3616" i="1"/>
  <c r="A3617" i="1"/>
  <c r="B3617" i="1"/>
  <c r="C3617" i="1"/>
  <c r="D3617" i="1"/>
  <c r="E3617" i="1"/>
  <c r="F3617" i="1"/>
  <c r="G3617" i="1"/>
  <c r="H3617" i="1"/>
  <c r="A3618" i="1"/>
  <c r="B3618" i="1"/>
  <c r="C3618" i="1"/>
  <c r="D3618" i="1"/>
  <c r="E3618" i="1"/>
  <c r="F3618" i="1"/>
  <c r="G3618" i="1"/>
  <c r="H3618" i="1"/>
  <c r="A3619" i="1"/>
  <c r="B3619" i="1"/>
  <c r="C3619" i="1"/>
  <c r="D3619" i="1"/>
  <c r="E3619" i="1"/>
  <c r="F3619" i="1"/>
  <c r="G3619" i="1"/>
  <c r="H3619" i="1"/>
  <c r="A3620" i="1"/>
  <c r="B3620" i="1"/>
  <c r="C3620" i="1"/>
  <c r="D3620" i="1"/>
  <c r="E3620" i="1"/>
  <c r="F3620" i="1"/>
  <c r="G3620" i="1"/>
  <c r="H3620" i="1"/>
  <c r="A3621" i="1"/>
  <c r="B3621" i="1"/>
  <c r="C3621" i="1"/>
  <c r="D3621" i="1"/>
  <c r="E3621" i="1"/>
  <c r="F3621" i="1"/>
  <c r="G3621" i="1"/>
  <c r="H3621" i="1"/>
  <c r="A3622" i="1"/>
  <c r="B3622" i="1"/>
  <c r="C3622" i="1"/>
  <c r="D3622" i="1"/>
  <c r="E3622" i="1"/>
  <c r="F3622" i="1"/>
  <c r="G3622" i="1"/>
  <c r="H3622" i="1"/>
  <c r="A3623" i="1"/>
  <c r="B3623" i="1"/>
  <c r="C3623" i="1"/>
  <c r="D3623" i="1"/>
  <c r="E3623" i="1"/>
  <c r="F3623" i="1"/>
  <c r="G3623" i="1"/>
  <c r="H3623" i="1"/>
  <c r="A3624" i="1"/>
  <c r="B3624" i="1"/>
  <c r="C3624" i="1"/>
  <c r="D3624" i="1"/>
  <c r="E3624" i="1"/>
  <c r="F3624" i="1"/>
  <c r="G3624" i="1"/>
  <c r="H3624" i="1"/>
  <c r="A3625" i="1"/>
  <c r="B3625" i="1"/>
  <c r="C3625" i="1"/>
  <c r="D3625" i="1"/>
  <c r="E3625" i="1"/>
  <c r="F3625" i="1"/>
  <c r="G3625" i="1"/>
  <c r="H3625" i="1"/>
  <c r="A3626" i="1"/>
  <c r="B3626" i="1"/>
  <c r="C3626" i="1"/>
  <c r="D3626" i="1"/>
  <c r="E3626" i="1"/>
  <c r="F3626" i="1"/>
  <c r="G3626" i="1"/>
  <c r="H3626" i="1"/>
  <c r="A3627" i="1"/>
  <c r="B3627" i="1"/>
  <c r="C3627" i="1"/>
  <c r="D3627" i="1"/>
  <c r="E3627" i="1"/>
  <c r="F3627" i="1"/>
  <c r="G3627" i="1"/>
  <c r="H3627" i="1"/>
  <c r="A3628" i="1"/>
  <c r="B3628" i="1"/>
  <c r="C3628" i="1"/>
  <c r="D3628" i="1"/>
  <c r="E3628" i="1"/>
  <c r="F3628" i="1"/>
  <c r="G3628" i="1"/>
  <c r="H3628" i="1"/>
  <c r="A3629" i="1"/>
  <c r="B3629" i="1"/>
  <c r="C3629" i="1"/>
  <c r="D3629" i="1"/>
  <c r="E3629" i="1"/>
  <c r="F3629" i="1"/>
  <c r="G3629" i="1"/>
  <c r="H3629" i="1"/>
  <c r="A3630" i="1"/>
  <c r="B3630" i="1"/>
  <c r="C3630" i="1"/>
  <c r="D3630" i="1"/>
  <c r="E3630" i="1"/>
  <c r="F3630" i="1"/>
  <c r="G3630" i="1"/>
  <c r="H3630" i="1"/>
  <c r="A3631" i="1"/>
  <c r="B3631" i="1"/>
  <c r="C3631" i="1"/>
  <c r="D3631" i="1"/>
  <c r="E3631" i="1"/>
  <c r="F3631" i="1"/>
  <c r="G3631" i="1"/>
  <c r="H3631" i="1"/>
  <c r="A3632" i="1"/>
  <c r="B3632" i="1"/>
  <c r="C3632" i="1"/>
  <c r="D3632" i="1"/>
  <c r="E3632" i="1"/>
  <c r="F3632" i="1"/>
  <c r="G3632" i="1"/>
  <c r="H3632" i="1"/>
  <c r="A3633" i="1"/>
  <c r="B3633" i="1"/>
  <c r="C3633" i="1"/>
  <c r="D3633" i="1"/>
  <c r="E3633" i="1"/>
  <c r="F3633" i="1"/>
  <c r="G3633" i="1"/>
  <c r="H3633" i="1"/>
  <c r="A3634" i="1"/>
  <c r="B3634" i="1"/>
  <c r="C3634" i="1"/>
  <c r="D3634" i="1"/>
  <c r="E3634" i="1"/>
  <c r="F3634" i="1"/>
  <c r="G3634" i="1"/>
  <c r="H3634" i="1"/>
  <c r="A3635" i="1"/>
  <c r="B3635" i="1"/>
  <c r="C3635" i="1"/>
  <c r="D3635" i="1"/>
  <c r="E3635" i="1"/>
  <c r="F3635" i="1"/>
  <c r="G3635" i="1"/>
  <c r="H3635" i="1"/>
  <c r="A3636" i="1"/>
  <c r="B3636" i="1"/>
  <c r="C3636" i="1"/>
  <c r="D3636" i="1"/>
  <c r="E3636" i="1"/>
  <c r="F3636" i="1"/>
  <c r="G3636" i="1"/>
  <c r="H3636" i="1"/>
  <c r="A3637" i="1"/>
  <c r="B3637" i="1"/>
  <c r="C3637" i="1"/>
  <c r="D3637" i="1"/>
  <c r="E3637" i="1"/>
  <c r="F3637" i="1"/>
  <c r="G3637" i="1"/>
  <c r="H3637" i="1"/>
  <c r="A3638" i="1"/>
  <c r="B3638" i="1"/>
  <c r="C3638" i="1"/>
  <c r="D3638" i="1"/>
  <c r="E3638" i="1"/>
  <c r="F3638" i="1"/>
  <c r="G3638" i="1"/>
  <c r="H3638" i="1"/>
  <c r="A3639" i="1"/>
  <c r="B3639" i="1"/>
  <c r="C3639" i="1"/>
  <c r="D3639" i="1"/>
  <c r="E3639" i="1"/>
  <c r="F3639" i="1"/>
  <c r="G3639" i="1"/>
  <c r="H3639" i="1"/>
  <c r="A3640" i="1"/>
  <c r="B3640" i="1"/>
  <c r="C3640" i="1"/>
  <c r="D3640" i="1"/>
  <c r="E3640" i="1"/>
  <c r="F3640" i="1"/>
  <c r="G3640" i="1"/>
  <c r="H3640" i="1"/>
  <c r="A3641" i="1"/>
  <c r="B3641" i="1"/>
  <c r="C3641" i="1"/>
  <c r="D3641" i="1"/>
  <c r="E3641" i="1"/>
  <c r="F3641" i="1"/>
  <c r="G3641" i="1"/>
  <c r="H3641" i="1"/>
  <c r="A3642" i="1"/>
  <c r="B3642" i="1"/>
  <c r="C3642" i="1"/>
  <c r="D3642" i="1"/>
  <c r="E3642" i="1"/>
  <c r="F3642" i="1"/>
  <c r="G3642" i="1"/>
  <c r="H3642" i="1"/>
  <c r="A3643" i="1"/>
  <c r="B3643" i="1"/>
  <c r="C3643" i="1"/>
  <c r="D3643" i="1"/>
  <c r="E3643" i="1"/>
  <c r="F3643" i="1"/>
  <c r="G3643" i="1"/>
  <c r="H3643" i="1"/>
  <c r="A3644" i="1"/>
  <c r="B3644" i="1"/>
  <c r="C3644" i="1"/>
  <c r="D3644" i="1"/>
  <c r="E3644" i="1"/>
  <c r="F3644" i="1"/>
  <c r="G3644" i="1"/>
  <c r="H3644" i="1"/>
  <c r="A3645" i="1"/>
  <c r="B3645" i="1"/>
  <c r="C3645" i="1"/>
  <c r="D3645" i="1"/>
  <c r="E3645" i="1"/>
  <c r="F3645" i="1"/>
  <c r="G3645" i="1"/>
  <c r="H3645" i="1"/>
  <c r="A3646" i="1"/>
  <c r="B3646" i="1"/>
  <c r="C3646" i="1"/>
  <c r="D3646" i="1"/>
  <c r="E3646" i="1"/>
  <c r="F3646" i="1"/>
  <c r="G3646" i="1"/>
  <c r="H3646" i="1"/>
  <c r="A3647" i="1"/>
  <c r="B3647" i="1"/>
  <c r="C3647" i="1"/>
  <c r="D3647" i="1"/>
  <c r="E3647" i="1"/>
  <c r="F3647" i="1"/>
  <c r="G3647" i="1"/>
  <c r="H3647" i="1"/>
  <c r="A3648" i="1"/>
  <c r="B3648" i="1"/>
  <c r="C3648" i="1"/>
  <c r="D3648" i="1"/>
  <c r="E3648" i="1"/>
  <c r="F3648" i="1"/>
  <c r="G3648" i="1"/>
  <c r="H3648" i="1"/>
  <c r="A3649" i="1"/>
  <c r="B3649" i="1"/>
  <c r="C3649" i="1"/>
  <c r="D3649" i="1"/>
  <c r="E3649" i="1"/>
  <c r="F3649" i="1"/>
  <c r="G3649" i="1"/>
  <c r="H3649" i="1"/>
  <c r="A3650" i="1"/>
  <c r="B3650" i="1"/>
  <c r="C3650" i="1"/>
  <c r="D3650" i="1"/>
  <c r="E3650" i="1"/>
  <c r="F3650" i="1"/>
  <c r="G3650" i="1"/>
  <c r="H3650" i="1"/>
  <c r="A3651" i="1"/>
  <c r="B3651" i="1"/>
  <c r="C3651" i="1"/>
  <c r="D3651" i="1"/>
  <c r="E3651" i="1"/>
  <c r="F3651" i="1"/>
  <c r="G3651" i="1"/>
  <c r="H3651" i="1"/>
  <c r="A3652" i="1"/>
  <c r="B3652" i="1"/>
  <c r="C3652" i="1"/>
  <c r="D3652" i="1"/>
  <c r="E3652" i="1"/>
  <c r="F3652" i="1"/>
  <c r="G3652" i="1"/>
  <c r="H3652" i="1"/>
  <c r="A3653" i="1"/>
  <c r="B3653" i="1"/>
  <c r="C3653" i="1"/>
  <c r="D3653" i="1"/>
  <c r="E3653" i="1"/>
  <c r="F3653" i="1"/>
  <c r="G3653" i="1"/>
  <c r="H3653" i="1"/>
  <c r="A3654" i="1"/>
  <c r="B3654" i="1"/>
  <c r="C3654" i="1"/>
  <c r="D3654" i="1"/>
  <c r="E3654" i="1"/>
  <c r="F3654" i="1"/>
  <c r="G3654" i="1"/>
  <c r="H3654" i="1"/>
  <c r="A3655" i="1"/>
  <c r="B3655" i="1"/>
  <c r="C3655" i="1"/>
  <c r="D3655" i="1"/>
  <c r="E3655" i="1"/>
  <c r="F3655" i="1"/>
  <c r="G3655" i="1"/>
  <c r="H3655" i="1"/>
  <c r="A3656" i="1"/>
  <c r="B3656" i="1"/>
  <c r="C3656" i="1"/>
  <c r="D3656" i="1"/>
  <c r="E3656" i="1"/>
  <c r="F3656" i="1"/>
  <c r="G3656" i="1"/>
  <c r="H3656" i="1"/>
  <c r="A3657" i="1"/>
  <c r="B3657" i="1"/>
  <c r="C3657" i="1"/>
  <c r="D3657" i="1"/>
  <c r="E3657" i="1"/>
  <c r="F3657" i="1"/>
  <c r="G3657" i="1"/>
  <c r="H3657" i="1"/>
  <c r="A3658" i="1"/>
  <c r="B3658" i="1"/>
  <c r="C3658" i="1"/>
  <c r="D3658" i="1"/>
  <c r="E3658" i="1"/>
  <c r="F3658" i="1"/>
  <c r="G3658" i="1"/>
  <c r="H3658" i="1"/>
  <c r="A3659" i="1"/>
  <c r="B3659" i="1"/>
  <c r="C3659" i="1"/>
  <c r="D3659" i="1"/>
  <c r="E3659" i="1"/>
  <c r="F3659" i="1"/>
  <c r="G3659" i="1"/>
  <c r="H3659" i="1"/>
  <c r="A3660" i="1"/>
  <c r="B3660" i="1"/>
  <c r="C3660" i="1"/>
  <c r="D3660" i="1"/>
  <c r="E3660" i="1"/>
  <c r="F3660" i="1"/>
  <c r="G3660" i="1"/>
  <c r="H3660" i="1"/>
  <c r="A3661" i="1"/>
  <c r="B3661" i="1"/>
  <c r="C3661" i="1"/>
  <c r="D3661" i="1"/>
  <c r="E3661" i="1"/>
  <c r="F3661" i="1"/>
  <c r="G3661" i="1"/>
  <c r="H3661" i="1"/>
  <c r="A3662" i="1"/>
  <c r="B3662" i="1"/>
  <c r="C3662" i="1"/>
  <c r="D3662" i="1"/>
  <c r="E3662" i="1"/>
  <c r="F3662" i="1"/>
  <c r="G3662" i="1"/>
  <c r="H3662" i="1"/>
  <c r="A3663" i="1"/>
  <c r="B3663" i="1"/>
  <c r="C3663" i="1"/>
  <c r="D3663" i="1"/>
  <c r="E3663" i="1"/>
  <c r="F3663" i="1"/>
  <c r="G3663" i="1"/>
  <c r="H3663" i="1"/>
  <c r="A3664" i="1"/>
  <c r="B3664" i="1"/>
  <c r="C3664" i="1"/>
  <c r="D3664" i="1"/>
  <c r="E3664" i="1"/>
  <c r="F3664" i="1"/>
  <c r="G3664" i="1"/>
  <c r="H3664" i="1"/>
  <c r="A3665" i="1"/>
  <c r="B3665" i="1"/>
  <c r="C3665" i="1"/>
  <c r="D3665" i="1"/>
  <c r="E3665" i="1"/>
  <c r="F3665" i="1"/>
  <c r="G3665" i="1"/>
  <c r="H3665" i="1"/>
  <c r="A3666" i="1"/>
  <c r="B3666" i="1"/>
  <c r="C3666" i="1"/>
  <c r="D3666" i="1"/>
  <c r="E3666" i="1"/>
  <c r="F3666" i="1"/>
  <c r="G3666" i="1"/>
  <c r="H3666" i="1"/>
  <c r="A3667" i="1"/>
  <c r="B3667" i="1"/>
  <c r="C3667" i="1"/>
  <c r="D3667" i="1"/>
  <c r="E3667" i="1"/>
  <c r="F3667" i="1"/>
  <c r="G3667" i="1"/>
  <c r="H3667" i="1"/>
  <c r="A3668" i="1"/>
  <c r="B3668" i="1"/>
  <c r="C3668" i="1"/>
  <c r="D3668" i="1"/>
  <c r="E3668" i="1"/>
  <c r="F3668" i="1"/>
  <c r="G3668" i="1"/>
  <c r="H3668" i="1"/>
  <c r="A3669" i="1"/>
  <c r="B3669" i="1"/>
  <c r="C3669" i="1"/>
  <c r="D3669" i="1"/>
  <c r="E3669" i="1"/>
  <c r="F3669" i="1"/>
  <c r="G3669" i="1"/>
  <c r="H3669" i="1"/>
  <c r="A3670" i="1"/>
  <c r="B3670" i="1"/>
  <c r="C3670" i="1"/>
  <c r="D3670" i="1"/>
  <c r="E3670" i="1"/>
  <c r="F3670" i="1"/>
  <c r="G3670" i="1"/>
  <c r="H3670" i="1"/>
  <c r="A3671" i="1"/>
  <c r="B3671" i="1"/>
  <c r="C3671" i="1"/>
  <c r="D3671" i="1"/>
  <c r="E3671" i="1"/>
  <c r="F3671" i="1"/>
  <c r="G3671" i="1"/>
  <c r="H3671" i="1"/>
  <c r="A3672" i="1"/>
  <c r="B3672" i="1"/>
  <c r="C3672" i="1"/>
  <c r="D3672" i="1"/>
  <c r="E3672" i="1"/>
  <c r="F3672" i="1"/>
  <c r="G3672" i="1"/>
  <c r="H3672" i="1"/>
  <c r="A3673" i="1"/>
  <c r="B3673" i="1"/>
  <c r="C3673" i="1"/>
  <c r="D3673" i="1"/>
  <c r="E3673" i="1"/>
  <c r="F3673" i="1"/>
  <c r="G3673" i="1"/>
  <c r="H3673" i="1"/>
  <c r="A3674" i="1"/>
  <c r="B3674" i="1"/>
  <c r="C3674" i="1"/>
  <c r="D3674" i="1"/>
  <c r="E3674" i="1"/>
  <c r="F3674" i="1"/>
  <c r="G3674" i="1"/>
  <c r="H3674" i="1"/>
  <c r="A3675" i="1"/>
  <c r="B3675" i="1"/>
  <c r="C3675" i="1"/>
  <c r="D3675" i="1"/>
  <c r="E3675" i="1"/>
  <c r="F3675" i="1"/>
  <c r="G3675" i="1"/>
  <c r="H3675" i="1"/>
  <c r="A3676" i="1"/>
  <c r="B3676" i="1"/>
  <c r="C3676" i="1"/>
  <c r="D3676" i="1"/>
  <c r="E3676" i="1"/>
  <c r="F3676" i="1"/>
  <c r="G3676" i="1"/>
  <c r="H3676" i="1"/>
  <c r="A3677" i="1"/>
  <c r="B3677" i="1"/>
  <c r="C3677" i="1"/>
  <c r="D3677" i="1"/>
  <c r="E3677" i="1"/>
  <c r="F3677" i="1"/>
  <c r="G3677" i="1"/>
  <c r="H3677" i="1"/>
  <c r="A3678" i="1"/>
  <c r="B3678" i="1"/>
  <c r="C3678" i="1"/>
  <c r="D3678" i="1"/>
  <c r="E3678" i="1"/>
  <c r="F3678" i="1"/>
  <c r="G3678" i="1"/>
  <c r="H3678" i="1"/>
  <c r="A3679" i="1"/>
  <c r="B3679" i="1"/>
  <c r="C3679" i="1"/>
  <c r="D3679" i="1"/>
  <c r="E3679" i="1"/>
  <c r="F3679" i="1"/>
  <c r="G3679" i="1"/>
  <c r="H3679" i="1"/>
  <c r="A3680" i="1"/>
  <c r="B3680" i="1"/>
  <c r="C3680" i="1"/>
  <c r="D3680" i="1"/>
  <c r="E3680" i="1"/>
  <c r="F3680" i="1"/>
  <c r="G3680" i="1"/>
  <c r="H3680" i="1"/>
  <c r="A3681" i="1"/>
  <c r="B3681" i="1"/>
  <c r="C3681" i="1"/>
  <c r="D3681" i="1"/>
  <c r="E3681" i="1"/>
  <c r="F3681" i="1"/>
  <c r="G3681" i="1"/>
  <c r="H3681" i="1"/>
  <c r="A3682" i="1"/>
  <c r="B3682" i="1"/>
  <c r="C3682" i="1"/>
  <c r="D3682" i="1"/>
  <c r="E3682" i="1"/>
  <c r="F3682" i="1"/>
  <c r="G3682" i="1"/>
  <c r="H3682" i="1"/>
  <c r="A3683" i="1"/>
  <c r="B3683" i="1"/>
  <c r="C3683" i="1"/>
  <c r="D3683" i="1"/>
  <c r="E3683" i="1"/>
  <c r="F3683" i="1"/>
  <c r="G3683" i="1"/>
  <c r="H3683" i="1"/>
  <c r="A3684" i="1"/>
  <c r="B3684" i="1"/>
  <c r="C3684" i="1"/>
  <c r="D3684" i="1"/>
  <c r="E3684" i="1"/>
  <c r="F3684" i="1"/>
  <c r="G3684" i="1"/>
  <c r="H3684" i="1"/>
  <c r="A3685" i="1"/>
  <c r="B3685" i="1"/>
  <c r="C3685" i="1"/>
  <c r="D3685" i="1"/>
  <c r="E3685" i="1"/>
  <c r="F3685" i="1"/>
  <c r="G3685" i="1"/>
  <c r="H3685" i="1"/>
  <c r="A3686" i="1"/>
  <c r="B3686" i="1"/>
  <c r="C3686" i="1"/>
  <c r="D3686" i="1"/>
  <c r="E3686" i="1"/>
  <c r="F3686" i="1"/>
  <c r="G3686" i="1"/>
  <c r="H3686" i="1"/>
  <c r="A3687" i="1"/>
  <c r="B3687" i="1"/>
  <c r="C3687" i="1"/>
  <c r="D3687" i="1"/>
  <c r="E3687" i="1"/>
  <c r="F3687" i="1"/>
  <c r="G3687" i="1"/>
  <c r="H3687" i="1"/>
  <c r="A3688" i="1"/>
  <c r="B3688" i="1"/>
  <c r="C3688" i="1"/>
  <c r="D3688" i="1"/>
  <c r="E3688" i="1"/>
  <c r="F3688" i="1"/>
  <c r="G3688" i="1"/>
  <c r="H3688" i="1"/>
  <c r="A3689" i="1"/>
  <c r="B3689" i="1"/>
  <c r="C3689" i="1"/>
  <c r="D3689" i="1"/>
  <c r="E3689" i="1"/>
  <c r="F3689" i="1"/>
  <c r="G3689" i="1"/>
  <c r="H3689" i="1"/>
  <c r="A3690" i="1"/>
  <c r="B3690" i="1"/>
  <c r="C3690" i="1"/>
  <c r="D3690" i="1"/>
  <c r="E3690" i="1"/>
  <c r="F3690" i="1"/>
  <c r="G3690" i="1"/>
  <c r="H3690" i="1"/>
  <c r="A3691" i="1"/>
  <c r="B3691" i="1"/>
  <c r="C3691" i="1"/>
  <c r="D3691" i="1"/>
  <c r="E3691" i="1"/>
  <c r="F3691" i="1"/>
  <c r="G3691" i="1"/>
  <c r="H3691" i="1"/>
  <c r="A3692" i="1"/>
  <c r="B3692" i="1"/>
  <c r="C3692" i="1"/>
  <c r="D3692" i="1"/>
  <c r="E3692" i="1"/>
  <c r="F3692" i="1"/>
  <c r="G3692" i="1"/>
  <c r="H3692" i="1"/>
  <c r="A3693" i="1"/>
  <c r="B3693" i="1"/>
  <c r="C3693" i="1"/>
  <c r="D3693" i="1"/>
  <c r="E3693" i="1"/>
  <c r="F3693" i="1"/>
  <c r="G3693" i="1"/>
  <c r="H3693" i="1"/>
  <c r="A3694" i="1"/>
  <c r="B3694" i="1"/>
  <c r="C3694" i="1"/>
  <c r="D3694" i="1"/>
  <c r="E3694" i="1"/>
  <c r="F3694" i="1"/>
  <c r="G3694" i="1"/>
  <c r="H3694" i="1"/>
  <c r="A3695" i="1"/>
  <c r="B3695" i="1"/>
  <c r="C3695" i="1"/>
  <c r="D3695" i="1"/>
  <c r="E3695" i="1"/>
  <c r="F3695" i="1"/>
  <c r="G3695" i="1"/>
  <c r="H3695" i="1"/>
  <c r="A3696" i="1"/>
  <c r="B3696" i="1"/>
  <c r="C3696" i="1"/>
  <c r="D3696" i="1"/>
  <c r="E3696" i="1"/>
  <c r="F3696" i="1"/>
  <c r="G3696" i="1"/>
  <c r="H3696" i="1"/>
  <c r="A3697" i="1"/>
  <c r="B3697" i="1"/>
  <c r="C3697" i="1"/>
  <c r="D3697" i="1"/>
  <c r="E3697" i="1"/>
  <c r="F3697" i="1"/>
  <c r="G3697" i="1"/>
  <c r="H3697" i="1"/>
  <c r="A3698" i="1"/>
  <c r="B3698" i="1"/>
  <c r="C3698" i="1"/>
  <c r="D3698" i="1"/>
  <c r="E3698" i="1"/>
  <c r="F3698" i="1"/>
  <c r="G3698" i="1"/>
  <c r="H3698" i="1"/>
  <c r="A3699" i="1"/>
  <c r="B3699" i="1"/>
  <c r="C3699" i="1"/>
  <c r="D3699" i="1"/>
  <c r="E3699" i="1"/>
  <c r="F3699" i="1"/>
  <c r="G3699" i="1"/>
  <c r="H3699" i="1"/>
  <c r="A3700" i="1"/>
  <c r="B3700" i="1"/>
  <c r="C3700" i="1"/>
  <c r="D3700" i="1"/>
  <c r="E3700" i="1"/>
  <c r="F3700" i="1"/>
  <c r="G3700" i="1"/>
  <c r="H3700" i="1"/>
  <c r="A3701" i="1"/>
  <c r="B3701" i="1"/>
  <c r="C3701" i="1"/>
  <c r="D3701" i="1"/>
  <c r="E3701" i="1"/>
  <c r="F3701" i="1"/>
  <c r="G3701" i="1"/>
  <c r="H3701" i="1"/>
  <c r="A3702" i="1"/>
  <c r="B3702" i="1"/>
  <c r="C3702" i="1"/>
  <c r="D3702" i="1"/>
  <c r="E3702" i="1"/>
  <c r="F3702" i="1"/>
  <c r="G3702" i="1"/>
  <c r="H3702" i="1"/>
  <c r="A3703" i="1"/>
  <c r="B3703" i="1"/>
  <c r="C3703" i="1"/>
  <c r="D3703" i="1"/>
  <c r="E3703" i="1"/>
  <c r="F3703" i="1"/>
  <c r="G3703" i="1"/>
  <c r="H3703" i="1"/>
  <c r="A3704" i="1"/>
  <c r="B3704" i="1"/>
  <c r="C3704" i="1"/>
  <c r="D3704" i="1"/>
  <c r="E3704" i="1"/>
  <c r="F3704" i="1"/>
  <c r="G3704" i="1"/>
  <c r="H3704" i="1"/>
  <c r="A3705" i="1"/>
  <c r="B3705" i="1"/>
  <c r="C3705" i="1"/>
  <c r="D3705" i="1"/>
  <c r="E3705" i="1"/>
  <c r="F3705" i="1"/>
  <c r="G3705" i="1"/>
  <c r="H3705" i="1"/>
  <c r="A3706" i="1"/>
  <c r="B3706" i="1"/>
  <c r="C3706" i="1"/>
  <c r="D3706" i="1"/>
  <c r="E3706" i="1"/>
  <c r="F3706" i="1"/>
  <c r="G3706" i="1"/>
  <c r="H3706" i="1"/>
  <c r="A3707" i="1"/>
  <c r="B3707" i="1"/>
  <c r="C3707" i="1"/>
  <c r="D3707" i="1"/>
  <c r="E3707" i="1"/>
  <c r="F3707" i="1"/>
  <c r="G3707" i="1"/>
  <c r="H3707" i="1"/>
  <c r="A3708" i="1"/>
  <c r="B3708" i="1"/>
  <c r="C3708" i="1"/>
  <c r="D3708" i="1"/>
  <c r="E3708" i="1"/>
  <c r="F3708" i="1"/>
  <c r="G3708" i="1"/>
  <c r="H3708" i="1"/>
  <c r="A3709" i="1"/>
  <c r="B3709" i="1"/>
  <c r="C3709" i="1"/>
  <c r="D3709" i="1"/>
  <c r="E3709" i="1"/>
  <c r="F3709" i="1"/>
  <c r="G3709" i="1"/>
  <c r="H3709" i="1"/>
  <c r="A3710" i="1"/>
  <c r="B3710" i="1"/>
  <c r="C3710" i="1"/>
  <c r="D3710" i="1"/>
  <c r="E3710" i="1"/>
  <c r="F3710" i="1"/>
  <c r="G3710" i="1"/>
  <c r="H3710" i="1"/>
  <c r="A3711" i="1"/>
  <c r="B3711" i="1"/>
  <c r="C3711" i="1"/>
  <c r="D3711" i="1"/>
  <c r="E3711" i="1"/>
  <c r="F3711" i="1"/>
  <c r="G3711" i="1"/>
  <c r="H3711" i="1"/>
  <c r="A3712" i="1"/>
  <c r="B3712" i="1"/>
  <c r="C3712" i="1"/>
  <c r="D3712" i="1"/>
  <c r="E3712" i="1"/>
  <c r="F3712" i="1"/>
  <c r="G3712" i="1"/>
  <c r="H3712" i="1"/>
  <c r="A3713" i="1"/>
  <c r="B3713" i="1"/>
  <c r="C3713" i="1"/>
  <c r="D3713" i="1"/>
  <c r="E3713" i="1"/>
  <c r="F3713" i="1"/>
  <c r="G3713" i="1"/>
  <c r="H3713" i="1"/>
  <c r="A3714" i="1"/>
  <c r="B3714" i="1"/>
  <c r="C3714" i="1"/>
  <c r="D3714" i="1"/>
  <c r="E3714" i="1"/>
  <c r="F3714" i="1"/>
  <c r="G3714" i="1"/>
  <c r="H3714" i="1"/>
  <c r="A3715" i="1"/>
  <c r="B3715" i="1"/>
  <c r="C3715" i="1"/>
  <c r="D3715" i="1"/>
  <c r="E3715" i="1"/>
  <c r="F3715" i="1"/>
  <c r="G3715" i="1"/>
  <c r="H3715" i="1"/>
  <c r="A3716" i="1"/>
  <c r="B3716" i="1"/>
  <c r="C3716" i="1"/>
  <c r="D3716" i="1"/>
  <c r="E3716" i="1"/>
  <c r="F3716" i="1"/>
  <c r="G3716" i="1"/>
  <c r="H3716" i="1"/>
  <c r="A3717" i="1"/>
  <c r="B3717" i="1"/>
  <c r="C3717" i="1"/>
  <c r="D3717" i="1"/>
  <c r="E3717" i="1"/>
  <c r="F3717" i="1"/>
  <c r="G3717" i="1"/>
  <c r="H3717" i="1"/>
  <c r="A3718" i="1"/>
  <c r="B3718" i="1"/>
  <c r="C3718" i="1"/>
  <c r="D3718" i="1"/>
  <c r="E3718" i="1"/>
  <c r="F3718" i="1"/>
  <c r="G3718" i="1"/>
  <c r="H3718" i="1"/>
  <c r="A3719" i="1"/>
  <c r="B3719" i="1"/>
  <c r="C3719" i="1"/>
  <c r="D3719" i="1"/>
  <c r="E3719" i="1"/>
  <c r="F3719" i="1"/>
  <c r="G3719" i="1"/>
  <c r="H3719" i="1"/>
  <c r="A3720" i="1"/>
  <c r="B3720" i="1"/>
  <c r="C3720" i="1"/>
  <c r="D3720" i="1"/>
  <c r="E3720" i="1"/>
  <c r="F3720" i="1"/>
  <c r="G3720" i="1"/>
  <c r="H3720" i="1"/>
  <c r="A3721" i="1"/>
  <c r="B3721" i="1"/>
  <c r="C3721" i="1"/>
  <c r="D3721" i="1"/>
  <c r="E3721" i="1"/>
  <c r="F3721" i="1"/>
  <c r="G3721" i="1"/>
  <c r="H3721" i="1"/>
  <c r="A3722" i="1"/>
  <c r="B3722" i="1"/>
  <c r="C3722" i="1"/>
  <c r="D3722" i="1"/>
  <c r="E3722" i="1"/>
  <c r="F3722" i="1"/>
  <c r="G3722" i="1"/>
  <c r="H3722" i="1"/>
  <c r="A3723" i="1"/>
  <c r="B3723" i="1"/>
  <c r="C3723" i="1"/>
  <c r="D3723" i="1"/>
  <c r="E3723" i="1"/>
  <c r="F3723" i="1"/>
  <c r="G3723" i="1"/>
  <c r="H3723" i="1"/>
  <c r="A3724" i="1"/>
  <c r="B3724" i="1"/>
  <c r="C3724" i="1"/>
  <c r="D3724" i="1"/>
  <c r="E3724" i="1"/>
  <c r="F3724" i="1"/>
  <c r="G3724" i="1"/>
  <c r="H3724" i="1"/>
  <c r="A3725" i="1"/>
  <c r="B3725" i="1"/>
  <c r="C3725" i="1"/>
  <c r="D3725" i="1"/>
  <c r="E3725" i="1"/>
  <c r="F3725" i="1"/>
  <c r="G3725" i="1"/>
  <c r="H3725" i="1"/>
  <c r="A3726" i="1"/>
  <c r="B3726" i="1"/>
  <c r="C3726" i="1"/>
  <c r="D3726" i="1"/>
  <c r="E3726" i="1"/>
  <c r="F3726" i="1"/>
  <c r="G3726" i="1"/>
  <c r="H3726" i="1"/>
  <c r="A3727" i="1"/>
  <c r="B3727" i="1"/>
  <c r="C3727" i="1"/>
  <c r="D3727" i="1"/>
  <c r="E3727" i="1"/>
  <c r="F3727" i="1"/>
  <c r="G3727" i="1"/>
  <c r="H3727" i="1"/>
  <c r="A3728" i="1"/>
  <c r="B3728" i="1"/>
  <c r="C3728" i="1"/>
  <c r="D3728" i="1"/>
  <c r="E3728" i="1"/>
  <c r="F3728" i="1"/>
  <c r="G3728" i="1"/>
  <c r="H3728" i="1"/>
  <c r="A3729" i="1"/>
  <c r="B3729" i="1"/>
  <c r="C3729" i="1"/>
  <c r="D3729" i="1"/>
  <c r="E3729" i="1"/>
  <c r="F3729" i="1"/>
  <c r="G3729" i="1"/>
  <c r="H3729" i="1"/>
  <c r="A3730" i="1"/>
  <c r="B3730" i="1"/>
  <c r="C3730" i="1"/>
  <c r="D3730" i="1"/>
  <c r="E3730" i="1"/>
  <c r="F3730" i="1"/>
  <c r="G3730" i="1"/>
  <c r="H3730" i="1"/>
  <c r="A3731" i="1"/>
  <c r="B3731" i="1"/>
  <c r="C3731" i="1"/>
  <c r="D3731" i="1"/>
  <c r="E3731" i="1"/>
  <c r="F3731" i="1"/>
  <c r="G3731" i="1"/>
  <c r="H3731" i="1"/>
  <c r="A3732" i="1"/>
  <c r="B3732" i="1"/>
  <c r="C3732" i="1"/>
  <c r="D3732" i="1"/>
  <c r="E3732" i="1"/>
  <c r="F3732" i="1"/>
  <c r="G3732" i="1"/>
  <c r="H3732" i="1"/>
  <c r="A3733" i="1"/>
  <c r="B3733" i="1"/>
  <c r="C3733" i="1"/>
  <c r="D3733" i="1"/>
  <c r="E3733" i="1"/>
  <c r="F3733" i="1"/>
  <c r="G3733" i="1"/>
  <c r="H3733" i="1"/>
  <c r="A3734" i="1"/>
  <c r="B3734" i="1"/>
  <c r="C3734" i="1"/>
  <c r="D3734" i="1"/>
  <c r="E3734" i="1"/>
  <c r="F3734" i="1"/>
  <c r="G3734" i="1"/>
  <c r="H3734" i="1"/>
  <c r="A3735" i="1"/>
  <c r="B3735" i="1"/>
  <c r="C3735" i="1"/>
  <c r="D3735" i="1"/>
  <c r="E3735" i="1"/>
  <c r="F3735" i="1"/>
  <c r="G3735" i="1"/>
  <c r="H3735" i="1"/>
  <c r="A3736" i="1"/>
  <c r="B3736" i="1"/>
  <c r="C3736" i="1"/>
  <c r="D3736" i="1"/>
  <c r="E3736" i="1"/>
  <c r="F3736" i="1"/>
  <c r="G3736" i="1"/>
  <c r="H3736" i="1"/>
  <c r="A3737" i="1"/>
  <c r="B3737" i="1"/>
  <c r="C3737" i="1"/>
  <c r="D3737" i="1"/>
  <c r="E3737" i="1"/>
  <c r="F3737" i="1"/>
  <c r="G3737" i="1"/>
  <c r="H3737" i="1"/>
  <c r="A3738" i="1"/>
  <c r="B3738" i="1"/>
  <c r="C3738" i="1"/>
  <c r="D3738" i="1"/>
  <c r="E3738" i="1"/>
  <c r="F3738" i="1"/>
  <c r="G3738" i="1"/>
  <c r="H3738" i="1"/>
  <c r="A3739" i="1"/>
  <c r="B3739" i="1"/>
  <c r="C3739" i="1"/>
  <c r="D3739" i="1"/>
  <c r="E3739" i="1"/>
  <c r="F3739" i="1"/>
  <c r="G3739" i="1"/>
  <c r="H3739" i="1"/>
  <c r="A3740" i="1"/>
  <c r="B3740" i="1"/>
  <c r="C3740" i="1"/>
  <c r="D3740" i="1"/>
  <c r="E3740" i="1"/>
  <c r="F3740" i="1"/>
  <c r="G3740" i="1"/>
  <c r="H3740" i="1"/>
  <c r="A3741" i="1"/>
  <c r="B3741" i="1"/>
  <c r="C3741" i="1"/>
  <c r="D3741" i="1"/>
  <c r="E3741" i="1"/>
  <c r="F3741" i="1"/>
  <c r="G3741" i="1"/>
  <c r="H3741" i="1"/>
  <c r="A3742" i="1"/>
  <c r="B3742" i="1"/>
  <c r="C3742" i="1"/>
  <c r="D3742" i="1"/>
  <c r="E3742" i="1"/>
  <c r="F3742" i="1"/>
  <c r="G3742" i="1"/>
  <c r="H3742" i="1"/>
  <c r="A3743" i="1"/>
  <c r="B3743" i="1"/>
  <c r="C3743" i="1"/>
  <c r="D3743" i="1"/>
  <c r="E3743" i="1"/>
  <c r="F3743" i="1"/>
  <c r="G3743" i="1"/>
  <c r="H3743" i="1"/>
  <c r="A3744" i="1"/>
  <c r="B3744" i="1"/>
  <c r="C3744" i="1"/>
  <c r="D3744" i="1"/>
  <c r="E3744" i="1"/>
  <c r="F3744" i="1"/>
  <c r="G3744" i="1"/>
  <c r="H3744" i="1"/>
  <c r="A3745" i="1"/>
  <c r="B3745" i="1"/>
  <c r="C3745" i="1"/>
  <c r="D3745" i="1"/>
  <c r="E3745" i="1"/>
  <c r="F3745" i="1"/>
  <c r="G3745" i="1"/>
  <c r="H3745" i="1"/>
  <c r="A3746" i="1"/>
  <c r="B3746" i="1"/>
  <c r="C3746" i="1"/>
  <c r="D3746" i="1"/>
  <c r="E3746" i="1"/>
  <c r="F3746" i="1"/>
  <c r="G3746" i="1"/>
  <c r="H3746" i="1"/>
  <c r="A3747" i="1"/>
  <c r="B3747" i="1"/>
  <c r="C3747" i="1"/>
  <c r="D3747" i="1"/>
  <c r="E3747" i="1"/>
  <c r="F3747" i="1"/>
  <c r="G3747" i="1"/>
  <c r="H3747" i="1"/>
  <c r="A3748" i="1"/>
  <c r="B3748" i="1"/>
  <c r="C3748" i="1"/>
  <c r="D3748" i="1"/>
  <c r="E3748" i="1"/>
  <c r="F3748" i="1"/>
  <c r="G3748" i="1"/>
  <c r="H3748" i="1"/>
  <c r="A3749" i="1"/>
  <c r="B3749" i="1"/>
  <c r="C3749" i="1"/>
  <c r="D3749" i="1"/>
  <c r="E3749" i="1"/>
  <c r="F3749" i="1"/>
  <c r="G3749" i="1"/>
  <c r="H3749" i="1"/>
  <c r="A3750" i="1"/>
  <c r="B3750" i="1"/>
  <c r="C3750" i="1"/>
  <c r="D3750" i="1"/>
  <c r="E3750" i="1"/>
  <c r="F3750" i="1"/>
  <c r="G3750" i="1"/>
  <c r="H3750" i="1"/>
  <c r="A3751" i="1"/>
  <c r="B3751" i="1"/>
  <c r="C3751" i="1"/>
  <c r="D3751" i="1"/>
  <c r="E3751" i="1"/>
  <c r="F3751" i="1"/>
  <c r="G3751" i="1"/>
  <c r="H3751" i="1"/>
  <c r="A3752" i="1"/>
  <c r="B3752" i="1"/>
  <c r="C3752" i="1"/>
  <c r="D3752" i="1"/>
  <c r="E3752" i="1"/>
  <c r="F3752" i="1"/>
  <c r="G3752" i="1"/>
  <c r="H3752" i="1"/>
  <c r="A3753" i="1"/>
  <c r="B3753" i="1"/>
  <c r="C3753" i="1"/>
  <c r="D3753" i="1"/>
  <c r="E3753" i="1"/>
  <c r="F3753" i="1"/>
  <c r="G3753" i="1"/>
  <c r="H3753" i="1"/>
  <c r="A3754" i="1"/>
  <c r="B3754" i="1"/>
  <c r="C3754" i="1"/>
  <c r="D3754" i="1"/>
  <c r="E3754" i="1"/>
  <c r="F3754" i="1"/>
  <c r="G3754" i="1"/>
  <c r="H3754" i="1"/>
  <c r="A3755" i="1"/>
  <c r="B3755" i="1"/>
  <c r="C3755" i="1"/>
  <c r="D3755" i="1"/>
  <c r="E3755" i="1"/>
  <c r="F3755" i="1"/>
  <c r="G3755" i="1"/>
  <c r="H3755" i="1"/>
  <c r="A3756" i="1"/>
  <c r="B3756" i="1"/>
  <c r="C3756" i="1"/>
  <c r="D3756" i="1"/>
  <c r="E3756" i="1"/>
  <c r="F3756" i="1"/>
  <c r="G3756" i="1"/>
  <c r="H3756" i="1"/>
  <c r="A3757" i="1"/>
  <c r="B3757" i="1"/>
  <c r="C3757" i="1"/>
  <c r="D3757" i="1"/>
  <c r="E3757" i="1"/>
  <c r="F3757" i="1"/>
  <c r="G3757" i="1"/>
  <c r="H3757" i="1"/>
  <c r="A3758" i="1"/>
  <c r="B3758" i="1"/>
  <c r="C3758" i="1"/>
  <c r="D3758" i="1"/>
  <c r="E3758" i="1"/>
  <c r="F3758" i="1"/>
  <c r="G3758" i="1"/>
  <c r="H3758" i="1"/>
  <c r="A3759" i="1"/>
  <c r="B3759" i="1"/>
  <c r="C3759" i="1"/>
  <c r="D3759" i="1"/>
  <c r="E3759" i="1"/>
  <c r="F3759" i="1"/>
  <c r="G3759" i="1"/>
  <c r="H3759" i="1"/>
  <c r="A3760" i="1"/>
  <c r="B3760" i="1"/>
  <c r="C3760" i="1"/>
  <c r="D3760" i="1"/>
  <c r="E3760" i="1"/>
  <c r="F3760" i="1"/>
  <c r="G3760" i="1"/>
  <c r="H3760" i="1"/>
  <c r="A3761" i="1"/>
  <c r="B3761" i="1"/>
  <c r="C3761" i="1"/>
  <c r="D3761" i="1"/>
  <c r="E3761" i="1"/>
  <c r="F3761" i="1"/>
  <c r="G3761" i="1"/>
  <c r="H3761" i="1"/>
  <c r="A3762" i="1"/>
  <c r="B3762" i="1"/>
  <c r="C3762" i="1"/>
  <c r="D3762" i="1"/>
  <c r="E3762" i="1"/>
  <c r="F3762" i="1"/>
  <c r="G3762" i="1"/>
  <c r="H3762" i="1"/>
  <c r="A3763" i="1"/>
  <c r="B3763" i="1"/>
  <c r="C3763" i="1"/>
  <c r="D3763" i="1"/>
  <c r="E3763" i="1"/>
  <c r="F3763" i="1"/>
  <c r="G3763" i="1"/>
  <c r="H3763" i="1"/>
  <c r="A3764" i="1"/>
  <c r="B3764" i="1"/>
  <c r="C3764" i="1"/>
  <c r="D3764" i="1"/>
  <c r="E3764" i="1"/>
  <c r="F3764" i="1"/>
  <c r="G3764" i="1"/>
  <c r="H3764" i="1"/>
  <c r="A3765" i="1"/>
  <c r="B3765" i="1"/>
  <c r="C3765" i="1"/>
  <c r="D3765" i="1"/>
  <c r="E3765" i="1"/>
  <c r="F3765" i="1"/>
  <c r="G3765" i="1"/>
  <c r="H3765" i="1"/>
  <c r="A3766" i="1"/>
  <c r="B3766" i="1"/>
  <c r="C3766" i="1"/>
  <c r="D3766" i="1"/>
  <c r="E3766" i="1"/>
  <c r="F3766" i="1"/>
  <c r="G3766" i="1"/>
  <c r="H3766" i="1"/>
  <c r="A3767" i="1"/>
  <c r="B3767" i="1"/>
  <c r="C3767" i="1"/>
  <c r="D3767" i="1"/>
  <c r="E3767" i="1"/>
  <c r="F3767" i="1"/>
  <c r="G3767" i="1"/>
  <c r="H3767" i="1"/>
  <c r="A3768" i="1"/>
  <c r="B3768" i="1"/>
  <c r="C3768" i="1"/>
  <c r="D3768" i="1"/>
  <c r="E3768" i="1"/>
  <c r="F3768" i="1"/>
  <c r="G3768" i="1"/>
  <c r="H3768" i="1"/>
  <c r="A3769" i="1"/>
  <c r="B3769" i="1"/>
  <c r="C3769" i="1"/>
  <c r="D3769" i="1"/>
  <c r="E3769" i="1"/>
  <c r="F3769" i="1"/>
  <c r="G3769" i="1"/>
  <c r="H3769" i="1"/>
  <c r="A3770" i="1"/>
  <c r="B3770" i="1"/>
  <c r="C3770" i="1"/>
  <c r="D3770" i="1"/>
  <c r="E3770" i="1"/>
  <c r="F3770" i="1"/>
  <c r="G3770" i="1"/>
  <c r="H3770" i="1"/>
  <c r="A3771" i="1"/>
  <c r="B3771" i="1"/>
  <c r="C3771" i="1"/>
  <c r="D3771" i="1"/>
  <c r="E3771" i="1"/>
  <c r="F3771" i="1"/>
  <c r="G3771" i="1"/>
  <c r="H3771" i="1"/>
  <c r="A3772" i="1"/>
  <c r="B3772" i="1"/>
  <c r="C3772" i="1"/>
  <c r="D3772" i="1"/>
  <c r="E3772" i="1"/>
  <c r="F3772" i="1"/>
  <c r="G3772" i="1"/>
  <c r="H3772" i="1"/>
  <c r="A3773" i="1"/>
  <c r="B3773" i="1"/>
  <c r="C3773" i="1"/>
  <c r="D3773" i="1"/>
  <c r="E3773" i="1"/>
  <c r="F3773" i="1"/>
  <c r="G3773" i="1"/>
  <c r="H3773" i="1"/>
  <c r="A3774" i="1"/>
  <c r="B3774" i="1"/>
  <c r="C3774" i="1"/>
  <c r="D3774" i="1"/>
  <c r="E3774" i="1"/>
  <c r="F3774" i="1"/>
  <c r="G3774" i="1"/>
  <c r="H3774" i="1"/>
  <c r="A3775" i="1"/>
  <c r="B3775" i="1"/>
  <c r="C3775" i="1"/>
  <c r="D3775" i="1"/>
  <c r="E3775" i="1"/>
  <c r="F3775" i="1"/>
  <c r="G3775" i="1"/>
  <c r="H3775" i="1"/>
  <c r="A3776" i="1"/>
  <c r="B3776" i="1"/>
  <c r="C3776" i="1"/>
  <c r="D3776" i="1"/>
  <c r="E3776" i="1"/>
  <c r="F3776" i="1"/>
  <c r="G3776" i="1"/>
  <c r="H3776" i="1"/>
  <c r="A3777" i="1"/>
  <c r="B3777" i="1"/>
  <c r="C3777" i="1"/>
  <c r="D3777" i="1"/>
  <c r="E3777" i="1"/>
  <c r="F3777" i="1"/>
  <c r="G3777" i="1"/>
  <c r="H3777" i="1"/>
  <c r="A3778" i="1"/>
  <c r="B3778" i="1"/>
  <c r="C3778" i="1"/>
  <c r="D3778" i="1"/>
  <c r="E3778" i="1"/>
  <c r="F3778" i="1"/>
  <c r="G3778" i="1"/>
  <c r="H3778" i="1"/>
  <c r="A3779" i="1"/>
  <c r="B3779" i="1"/>
  <c r="C3779" i="1"/>
  <c r="D3779" i="1"/>
  <c r="E3779" i="1"/>
  <c r="F3779" i="1"/>
  <c r="G3779" i="1"/>
  <c r="H3779" i="1"/>
  <c r="A3780" i="1"/>
  <c r="B3780" i="1"/>
  <c r="C3780" i="1"/>
  <c r="D3780" i="1"/>
  <c r="E3780" i="1"/>
  <c r="F3780" i="1"/>
  <c r="G3780" i="1"/>
  <c r="H3780" i="1"/>
  <c r="A3781" i="1"/>
  <c r="B3781" i="1"/>
  <c r="C3781" i="1"/>
  <c r="D3781" i="1"/>
  <c r="E3781" i="1"/>
  <c r="F3781" i="1"/>
  <c r="G3781" i="1"/>
  <c r="H3781" i="1"/>
  <c r="A3782" i="1"/>
  <c r="B3782" i="1"/>
  <c r="C3782" i="1"/>
  <c r="D3782" i="1"/>
  <c r="E3782" i="1"/>
  <c r="F3782" i="1"/>
  <c r="G3782" i="1"/>
  <c r="H3782" i="1"/>
  <c r="A3783" i="1"/>
  <c r="B3783" i="1"/>
  <c r="C3783" i="1"/>
  <c r="D3783" i="1"/>
  <c r="E3783" i="1"/>
  <c r="F3783" i="1"/>
  <c r="G3783" i="1"/>
  <c r="H3783" i="1"/>
  <c r="A3784" i="1"/>
  <c r="B3784" i="1"/>
  <c r="C3784" i="1"/>
  <c r="D3784" i="1"/>
  <c r="E3784" i="1"/>
  <c r="F3784" i="1"/>
  <c r="G3784" i="1"/>
  <c r="H3784" i="1"/>
  <c r="A3785" i="1"/>
  <c r="B3785" i="1"/>
  <c r="C3785" i="1"/>
  <c r="D3785" i="1"/>
  <c r="E3785" i="1"/>
  <c r="F3785" i="1"/>
  <c r="G3785" i="1"/>
  <c r="H3785" i="1"/>
  <c r="A3786" i="1"/>
  <c r="B3786" i="1"/>
  <c r="C3786" i="1"/>
  <c r="D3786" i="1"/>
  <c r="E3786" i="1"/>
  <c r="F3786" i="1"/>
  <c r="G3786" i="1"/>
  <c r="H3786" i="1"/>
  <c r="A3787" i="1"/>
  <c r="B3787" i="1"/>
  <c r="C3787" i="1"/>
  <c r="D3787" i="1"/>
  <c r="E3787" i="1"/>
  <c r="F3787" i="1"/>
  <c r="G3787" i="1"/>
  <c r="H3787" i="1"/>
  <c r="A3788" i="1"/>
  <c r="B3788" i="1"/>
  <c r="C3788" i="1"/>
  <c r="D3788" i="1"/>
  <c r="E3788" i="1"/>
  <c r="F3788" i="1"/>
  <c r="G3788" i="1"/>
  <c r="H3788" i="1"/>
  <c r="A3789" i="1"/>
  <c r="B3789" i="1"/>
  <c r="C3789" i="1"/>
  <c r="D3789" i="1"/>
  <c r="E3789" i="1"/>
  <c r="F3789" i="1"/>
  <c r="G3789" i="1"/>
  <c r="H3789" i="1"/>
  <c r="A3790" i="1"/>
  <c r="B3790" i="1"/>
  <c r="C3790" i="1"/>
  <c r="D3790" i="1"/>
  <c r="E3790" i="1"/>
  <c r="F3790" i="1"/>
  <c r="G3790" i="1"/>
  <c r="H3790" i="1"/>
  <c r="A3791" i="1"/>
  <c r="B3791" i="1"/>
  <c r="C3791" i="1"/>
  <c r="D3791" i="1"/>
  <c r="E3791" i="1"/>
  <c r="F3791" i="1"/>
  <c r="G3791" i="1"/>
  <c r="H3791" i="1"/>
  <c r="A3792" i="1"/>
  <c r="B3792" i="1"/>
  <c r="C3792" i="1"/>
  <c r="D3792" i="1"/>
  <c r="E3792" i="1"/>
  <c r="F3792" i="1"/>
  <c r="G3792" i="1"/>
  <c r="H3792" i="1"/>
  <c r="A3793" i="1"/>
  <c r="B3793" i="1"/>
  <c r="C3793" i="1"/>
  <c r="D3793" i="1"/>
  <c r="E3793" i="1"/>
  <c r="F3793" i="1"/>
  <c r="G3793" i="1"/>
  <c r="H3793" i="1"/>
  <c r="A3794" i="1"/>
  <c r="B3794" i="1"/>
  <c r="C3794" i="1"/>
  <c r="D3794" i="1"/>
  <c r="E3794" i="1"/>
  <c r="F3794" i="1"/>
  <c r="G3794" i="1"/>
  <c r="H3794" i="1"/>
  <c r="A3795" i="1"/>
  <c r="B3795" i="1"/>
  <c r="C3795" i="1"/>
  <c r="D3795" i="1"/>
  <c r="E3795" i="1"/>
  <c r="F3795" i="1"/>
  <c r="G3795" i="1"/>
  <c r="H3795" i="1"/>
  <c r="A3796" i="1"/>
  <c r="B3796" i="1"/>
  <c r="C3796" i="1"/>
  <c r="D3796" i="1"/>
  <c r="E3796" i="1"/>
  <c r="F3796" i="1"/>
  <c r="G3796" i="1"/>
  <c r="H3796" i="1"/>
  <c r="A3797" i="1"/>
  <c r="B3797" i="1"/>
  <c r="C3797" i="1"/>
  <c r="D3797" i="1"/>
  <c r="E3797" i="1"/>
  <c r="F3797" i="1"/>
  <c r="G3797" i="1"/>
  <c r="H3797" i="1"/>
  <c r="A3798" i="1"/>
  <c r="B3798" i="1"/>
  <c r="C3798" i="1"/>
  <c r="D3798" i="1"/>
  <c r="E3798" i="1"/>
  <c r="F3798" i="1"/>
  <c r="G3798" i="1"/>
  <c r="H3798" i="1"/>
  <c r="A3799" i="1"/>
  <c r="B3799" i="1"/>
  <c r="C3799" i="1"/>
  <c r="D3799" i="1"/>
  <c r="E3799" i="1"/>
  <c r="F3799" i="1"/>
  <c r="G3799" i="1"/>
  <c r="H3799" i="1"/>
  <c r="A3800" i="1"/>
  <c r="B3800" i="1"/>
  <c r="C3800" i="1"/>
  <c r="D3800" i="1"/>
  <c r="E3800" i="1"/>
  <c r="F3800" i="1"/>
  <c r="G3800" i="1"/>
  <c r="H3800" i="1"/>
  <c r="A3801" i="1"/>
  <c r="B3801" i="1"/>
  <c r="C3801" i="1"/>
  <c r="D3801" i="1"/>
  <c r="E3801" i="1"/>
  <c r="F3801" i="1"/>
  <c r="G3801" i="1"/>
  <c r="H3801" i="1"/>
  <c r="A3802" i="1"/>
  <c r="B3802" i="1"/>
  <c r="C3802" i="1"/>
  <c r="D3802" i="1"/>
  <c r="E3802" i="1"/>
  <c r="F3802" i="1"/>
  <c r="G3802" i="1"/>
  <c r="H3802" i="1"/>
  <c r="A3803" i="1"/>
  <c r="B3803" i="1"/>
  <c r="C3803" i="1"/>
  <c r="D3803" i="1"/>
  <c r="E3803" i="1"/>
  <c r="F3803" i="1"/>
  <c r="G3803" i="1"/>
  <c r="H3803" i="1"/>
  <c r="A3804" i="1"/>
  <c r="B3804" i="1"/>
  <c r="C3804" i="1"/>
  <c r="D3804" i="1"/>
  <c r="E3804" i="1"/>
  <c r="F3804" i="1"/>
  <c r="G3804" i="1"/>
  <c r="H3804" i="1"/>
  <c r="A3805" i="1"/>
  <c r="B3805" i="1"/>
  <c r="C3805" i="1"/>
  <c r="D3805" i="1"/>
  <c r="E3805" i="1"/>
  <c r="F3805" i="1"/>
  <c r="G3805" i="1"/>
  <c r="H3805" i="1"/>
  <c r="A3806" i="1"/>
  <c r="B3806" i="1"/>
  <c r="C3806" i="1"/>
  <c r="D3806" i="1"/>
  <c r="E3806" i="1"/>
  <c r="F3806" i="1"/>
  <c r="G3806" i="1"/>
  <c r="H3806" i="1"/>
  <c r="A3807" i="1"/>
  <c r="B3807" i="1"/>
  <c r="C3807" i="1"/>
  <c r="D3807" i="1"/>
  <c r="E3807" i="1"/>
  <c r="F3807" i="1"/>
  <c r="G3807" i="1"/>
  <c r="H3807" i="1"/>
  <c r="A3808" i="1"/>
  <c r="B3808" i="1"/>
  <c r="C3808" i="1"/>
  <c r="D3808" i="1"/>
  <c r="E3808" i="1"/>
  <c r="F3808" i="1"/>
  <c r="G3808" i="1"/>
  <c r="H3808" i="1"/>
  <c r="A3809" i="1"/>
  <c r="B3809" i="1"/>
  <c r="C3809" i="1"/>
  <c r="D3809" i="1"/>
  <c r="E3809" i="1"/>
  <c r="F3809" i="1"/>
  <c r="G3809" i="1"/>
  <c r="H3809" i="1"/>
  <c r="A3810" i="1"/>
  <c r="B3810" i="1"/>
  <c r="C3810" i="1"/>
  <c r="D3810" i="1"/>
  <c r="E3810" i="1"/>
  <c r="F3810" i="1"/>
  <c r="G3810" i="1"/>
  <c r="H3810" i="1"/>
  <c r="A3811" i="1"/>
  <c r="B3811" i="1"/>
  <c r="C3811" i="1"/>
  <c r="D3811" i="1"/>
  <c r="E3811" i="1"/>
  <c r="F3811" i="1"/>
  <c r="G3811" i="1"/>
  <c r="H3811" i="1"/>
  <c r="A3812" i="1"/>
  <c r="B3812" i="1"/>
  <c r="C3812" i="1"/>
  <c r="D3812" i="1"/>
  <c r="E3812" i="1"/>
  <c r="F3812" i="1"/>
  <c r="G3812" i="1"/>
  <c r="H3812" i="1"/>
  <c r="A3813" i="1"/>
  <c r="B3813" i="1"/>
  <c r="C3813" i="1"/>
  <c r="D3813" i="1"/>
  <c r="E3813" i="1"/>
  <c r="F3813" i="1"/>
  <c r="G3813" i="1"/>
  <c r="H3813" i="1"/>
  <c r="A3814" i="1"/>
  <c r="B3814" i="1"/>
  <c r="C3814" i="1"/>
  <c r="D3814" i="1"/>
  <c r="E3814" i="1"/>
  <c r="F3814" i="1"/>
  <c r="G3814" i="1"/>
  <c r="H3814" i="1"/>
  <c r="A3815" i="1"/>
  <c r="B3815" i="1"/>
  <c r="C3815" i="1"/>
  <c r="D3815" i="1"/>
  <c r="E3815" i="1"/>
  <c r="F3815" i="1"/>
  <c r="G3815" i="1"/>
  <c r="H3815" i="1"/>
  <c r="A3816" i="1"/>
  <c r="B3816" i="1"/>
  <c r="C3816" i="1"/>
  <c r="D3816" i="1"/>
  <c r="E3816" i="1"/>
  <c r="F3816" i="1"/>
  <c r="G3816" i="1"/>
  <c r="H3816" i="1"/>
  <c r="A3817" i="1"/>
  <c r="B3817" i="1"/>
  <c r="C3817" i="1"/>
  <c r="D3817" i="1"/>
  <c r="E3817" i="1"/>
  <c r="F3817" i="1"/>
  <c r="G3817" i="1"/>
  <c r="H3817" i="1"/>
  <c r="A3818" i="1"/>
  <c r="B3818" i="1"/>
  <c r="C3818" i="1"/>
  <c r="D3818" i="1"/>
  <c r="E3818" i="1"/>
  <c r="F3818" i="1"/>
  <c r="G3818" i="1"/>
  <c r="H3818" i="1"/>
  <c r="A3819" i="1"/>
  <c r="B3819" i="1"/>
  <c r="C3819" i="1"/>
  <c r="D3819" i="1"/>
  <c r="E3819" i="1"/>
  <c r="F3819" i="1"/>
  <c r="G3819" i="1"/>
  <c r="H3819" i="1"/>
  <c r="A3820" i="1"/>
  <c r="B3820" i="1"/>
  <c r="C3820" i="1"/>
  <c r="D3820" i="1"/>
  <c r="E3820" i="1"/>
  <c r="F3820" i="1"/>
  <c r="G3820" i="1"/>
  <c r="H3820" i="1"/>
  <c r="A3821" i="1"/>
  <c r="B3821" i="1"/>
  <c r="C3821" i="1"/>
  <c r="D3821" i="1"/>
  <c r="E3821" i="1"/>
  <c r="F3821" i="1"/>
  <c r="G3821" i="1"/>
  <c r="H3821" i="1"/>
  <c r="A3822" i="1"/>
  <c r="B3822" i="1"/>
  <c r="C3822" i="1"/>
  <c r="D3822" i="1"/>
  <c r="E3822" i="1"/>
  <c r="F3822" i="1"/>
  <c r="G3822" i="1"/>
  <c r="H3822" i="1"/>
  <c r="A3823" i="1"/>
  <c r="B3823" i="1"/>
  <c r="C3823" i="1"/>
  <c r="D3823" i="1"/>
  <c r="E3823" i="1"/>
  <c r="F3823" i="1"/>
  <c r="G3823" i="1"/>
  <c r="H3823" i="1"/>
  <c r="A3824" i="1"/>
  <c r="B3824" i="1"/>
  <c r="C3824" i="1"/>
  <c r="D3824" i="1"/>
  <c r="E3824" i="1"/>
  <c r="F3824" i="1"/>
  <c r="G3824" i="1"/>
  <c r="H3824" i="1"/>
  <c r="A3825" i="1"/>
  <c r="B3825" i="1"/>
  <c r="C3825" i="1"/>
  <c r="D3825" i="1"/>
  <c r="E3825" i="1"/>
  <c r="F3825" i="1"/>
  <c r="G3825" i="1"/>
  <c r="H3825" i="1"/>
  <c r="A3826" i="1"/>
  <c r="B3826" i="1"/>
  <c r="C3826" i="1"/>
  <c r="D3826" i="1"/>
  <c r="E3826" i="1"/>
  <c r="F3826" i="1"/>
  <c r="G3826" i="1"/>
  <c r="H3826" i="1"/>
  <c r="A3827" i="1"/>
  <c r="B3827" i="1"/>
  <c r="C3827" i="1"/>
  <c r="D3827" i="1"/>
  <c r="E3827" i="1"/>
  <c r="F3827" i="1"/>
  <c r="G3827" i="1"/>
  <c r="H3827" i="1"/>
  <c r="A3828" i="1"/>
  <c r="B3828" i="1"/>
  <c r="C3828" i="1"/>
  <c r="D3828" i="1"/>
  <c r="E3828" i="1"/>
  <c r="F3828" i="1"/>
  <c r="G3828" i="1"/>
  <c r="H3828" i="1"/>
  <c r="A3829" i="1"/>
  <c r="B3829" i="1"/>
  <c r="C3829" i="1"/>
  <c r="D3829" i="1"/>
  <c r="E3829" i="1"/>
  <c r="F3829" i="1"/>
  <c r="G3829" i="1"/>
  <c r="H3829" i="1"/>
  <c r="A3830" i="1"/>
  <c r="B3830" i="1"/>
  <c r="C3830" i="1"/>
  <c r="D3830" i="1"/>
  <c r="E3830" i="1"/>
  <c r="F3830" i="1"/>
  <c r="G3830" i="1"/>
  <c r="H3830" i="1"/>
  <c r="A3831" i="1"/>
  <c r="B3831" i="1"/>
  <c r="C3831" i="1"/>
  <c r="D3831" i="1"/>
  <c r="E3831" i="1"/>
  <c r="F3831" i="1"/>
  <c r="G3831" i="1"/>
  <c r="H3831" i="1"/>
  <c r="A3832" i="1"/>
  <c r="B3832" i="1"/>
  <c r="C3832" i="1"/>
  <c r="D3832" i="1"/>
  <c r="E3832" i="1"/>
  <c r="F3832" i="1"/>
  <c r="G3832" i="1"/>
  <c r="H3832" i="1"/>
  <c r="A3833" i="1"/>
  <c r="B3833" i="1"/>
  <c r="C3833" i="1"/>
  <c r="D3833" i="1"/>
  <c r="E3833" i="1"/>
  <c r="F3833" i="1"/>
  <c r="G3833" i="1"/>
  <c r="H3833" i="1"/>
  <c r="A3834" i="1"/>
  <c r="B3834" i="1"/>
  <c r="C3834" i="1"/>
  <c r="D3834" i="1"/>
  <c r="E3834" i="1"/>
  <c r="F3834" i="1"/>
  <c r="G3834" i="1"/>
  <c r="H3834" i="1"/>
  <c r="A3835" i="1"/>
  <c r="B3835" i="1"/>
  <c r="C3835" i="1"/>
  <c r="D3835" i="1"/>
  <c r="E3835" i="1"/>
  <c r="F3835" i="1"/>
  <c r="G3835" i="1"/>
  <c r="H3835" i="1"/>
  <c r="A3836" i="1"/>
  <c r="B3836" i="1"/>
  <c r="C3836" i="1"/>
  <c r="D3836" i="1"/>
  <c r="E3836" i="1"/>
  <c r="F3836" i="1"/>
  <c r="G3836" i="1"/>
  <c r="H3836" i="1"/>
  <c r="A3837" i="1"/>
  <c r="B3837" i="1"/>
  <c r="C3837" i="1"/>
  <c r="D3837" i="1"/>
  <c r="E3837" i="1"/>
  <c r="F3837" i="1"/>
  <c r="G3837" i="1"/>
  <c r="H3837" i="1"/>
  <c r="A3838" i="1"/>
  <c r="B3838" i="1"/>
  <c r="C3838" i="1"/>
  <c r="D3838" i="1"/>
  <c r="E3838" i="1"/>
  <c r="F3838" i="1"/>
  <c r="G3838" i="1"/>
  <c r="H3838" i="1"/>
  <c r="A3839" i="1"/>
  <c r="B3839" i="1"/>
  <c r="C3839" i="1"/>
  <c r="D3839" i="1"/>
  <c r="E3839" i="1"/>
  <c r="F3839" i="1"/>
  <c r="G3839" i="1"/>
  <c r="H3839" i="1"/>
  <c r="A3840" i="1"/>
  <c r="B3840" i="1"/>
  <c r="C3840" i="1"/>
  <c r="D3840" i="1"/>
  <c r="E3840" i="1"/>
  <c r="F3840" i="1"/>
  <c r="G3840" i="1"/>
  <c r="H3840" i="1"/>
  <c r="A3841" i="1"/>
  <c r="B3841" i="1"/>
  <c r="C3841" i="1"/>
  <c r="D3841" i="1"/>
  <c r="E3841" i="1"/>
  <c r="F3841" i="1"/>
  <c r="G3841" i="1"/>
  <c r="H3841" i="1"/>
  <c r="A3842" i="1"/>
  <c r="B3842" i="1"/>
  <c r="C3842" i="1"/>
  <c r="D3842" i="1"/>
  <c r="E3842" i="1"/>
  <c r="F3842" i="1"/>
  <c r="G3842" i="1"/>
  <c r="H3842" i="1"/>
  <c r="A3843" i="1"/>
  <c r="B3843" i="1"/>
  <c r="C3843" i="1"/>
  <c r="D3843" i="1"/>
  <c r="E3843" i="1"/>
  <c r="F3843" i="1"/>
  <c r="G3843" i="1"/>
  <c r="H3843" i="1"/>
  <c r="A3844" i="1"/>
  <c r="B3844" i="1"/>
  <c r="C3844" i="1"/>
  <c r="D3844" i="1"/>
  <c r="E3844" i="1"/>
  <c r="F3844" i="1"/>
  <c r="G3844" i="1"/>
  <c r="H3844" i="1"/>
  <c r="A3845" i="1"/>
  <c r="B3845" i="1"/>
  <c r="C3845" i="1"/>
  <c r="D3845" i="1"/>
  <c r="E3845" i="1"/>
  <c r="F3845" i="1"/>
  <c r="G3845" i="1"/>
  <c r="H3845" i="1"/>
  <c r="A3846" i="1"/>
  <c r="B3846" i="1"/>
  <c r="C3846" i="1"/>
  <c r="D3846" i="1"/>
  <c r="E3846" i="1"/>
  <c r="F3846" i="1"/>
  <c r="G3846" i="1"/>
  <c r="H3846" i="1"/>
  <c r="A3847" i="1"/>
  <c r="B3847" i="1"/>
  <c r="C3847" i="1"/>
  <c r="D3847" i="1"/>
  <c r="E3847" i="1"/>
  <c r="F3847" i="1"/>
  <c r="G3847" i="1"/>
  <c r="H3847" i="1"/>
  <c r="A3848" i="1"/>
  <c r="B3848" i="1"/>
  <c r="C3848" i="1"/>
  <c r="D3848" i="1"/>
  <c r="E3848" i="1"/>
  <c r="F3848" i="1"/>
  <c r="G3848" i="1"/>
  <c r="H3848" i="1"/>
  <c r="A3849" i="1"/>
  <c r="B3849" i="1"/>
  <c r="C3849" i="1"/>
  <c r="D3849" i="1"/>
  <c r="E3849" i="1"/>
  <c r="F3849" i="1"/>
  <c r="G3849" i="1"/>
  <c r="H3849" i="1"/>
  <c r="A3850" i="1"/>
  <c r="B3850" i="1"/>
  <c r="C3850" i="1"/>
  <c r="D3850" i="1"/>
  <c r="E3850" i="1"/>
  <c r="F3850" i="1"/>
  <c r="G3850" i="1"/>
  <c r="H3850" i="1"/>
  <c r="A3851" i="1"/>
  <c r="B3851" i="1"/>
  <c r="C3851" i="1"/>
  <c r="D3851" i="1"/>
  <c r="E3851" i="1"/>
  <c r="F3851" i="1"/>
  <c r="G3851" i="1"/>
  <c r="H3851" i="1"/>
  <c r="A3852" i="1"/>
  <c r="B3852" i="1"/>
  <c r="C3852" i="1"/>
  <c r="D3852" i="1"/>
  <c r="E3852" i="1"/>
  <c r="F3852" i="1"/>
  <c r="G3852" i="1"/>
  <c r="H3852" i="1"/>
  <c r="A3853" i="1"/>
  <c r="B3853" i="1"/>
  <c r="C3853" i="1"/>
  <c r="D3853" i="1"/>
  <c r="E3853" i="1"/>
  <c r="F3853" i="1"/>
  <c r="G3853" i="1"/>
  <c r="H3853" i="1"/>
  <c r="A3854" i="1"/>
  <c r="B3854" i="1"/>
  <c r="C3854" i="1"/>
  <c r="D3854" i="1"/>
  <c r="E3854" i="1"/>
  <c r="F3854" i="1"/>
  <c r="G3854" i="1"/>
  <c r="H3854" i="1"/>
  <c r="A3855" i="1"/>
  <c r="B3855" i="1"/>
  <c r="C3855" i="1"/>
  <c r="D3855" i="1"/>
  <c r="E3855" i="1"/>
  <c r="F3855" i="1"/>
  <c r="G3855" i="1"/>
  <c r="H3855" i="1"/>
  <c r="A3856" i="1"/>
  <c r="B3856" i="1"/>
  <c r="C3856" i="1"/>
  <c r="D3856" i="1"/>
  <c r="E3856" i="1"/>
  <c r="F3856" i="1"/>
  <c r="G3856" i="1"/>
  <c r="H3856" i="1"/>
  <c r="A3857" i="1"/>
  <c r="B3857" i="1"/>
  <c r="C3857" i="1"/>
  <c r="D3857" i="1"/>
  <c r="E3857" i="1"/>
  <c r="F3857" i="1"/>
  <c r="G3857" i="1"/>
  <c r="H3857" i="1"/>
  <c r="A3858" i="1"/>
  <c r="B3858" i="1"/>
  <c r="C3858" i="1"/>
  <c r="D3858" i="1"/>
  <c r="E3858" i="1"/>
  <c r="F3858" i="1"/>
  <c r="G3858" i="1"/>
  <c r="H3858" i="1"/>
  <c r="A3859" i="1"/>
  <c r="B3859" i="1"/>
  <c r="C3859" i="1"/>
  <c r="D3859" i="1"/>
  <c r="E3859" i="1"/>
  <c r="F3859" i="1"/>
  <c r="G3859" i="1"/>
  <c r="H3859" i="1"/>
  <c r="A3860" i="1"/>
  <c r="B3860" i="1"/>
  <c r="C3860" i="1"/>
  <c r="D3860" i="1"/>
  <c r="E3860" i="1"/>
  <c r="F3860" i="1"/>
  <c r="G3860" i="1"/>
  <c r="H3860" i="1"/>
  <c r="A3861" i="1"/>
  <c r="B3861" i="1"/>
  <c r="C3861" i="1"/>
  <c r="D3861" i="1"/>
  <c r="E3861" i="1"/>
  <c r="F3861" i="1"/>
  <c r="G3861" i="1"/>
  <c r="H3861" i="1"/>
  <c r="A3862" i="1"/>
  <c r="B3862" i="1"/>
  <c r="C3862" i="1"/>
  <c r="D3862" i="1"/>
  <c r="E3862" i="1"/>
  <c r="F3862" i="1"/>
  <c r="G3862" i="1"/>
  <c r="H3862" i="1"/>
  <c r="A3863" i="1"/>
  <c r="B3863" i="1"/>
  <c r="C3863" i="1"/>
  <c r="D3863" i="1"/>
  <c r="E3863" i="1"/>
  <c r="F3863" i="1"/>
  <c r="G3863" i="1"/>
  <c r="H3863" i="1"/>
  <c r="A3864" i="1"/>
  <c r="B3864" i="1"/>
  <c r="C3864" i="1"/>
  <c r="D3864" i="1"/>
  <c r="E3864" i="1"/>
  <c r="F3864" i="1"/>
  <c r="G3864" i="1"/>
  <c r="H3864" i="1"/>
  <c r="A3865" i="1"/>
  <c r="B3865" i="1"/>
  <c r="C3865" i="1"/>
  <c r="D3865" i="1"/>
  <c r="E3865" i="1"/>
  <c r="F3865" i="1"/>
  <c r="G3865" i="1"/>
  <c r="H3865" i="1"/>
  <c r="A3866" i="1"/>
  <c r="B3866" i="1"/>
  <c r="C3866" i="1"/>
  <c r="D3866" i="1"/>
  <c r="E3866" i="1"/>
  <c r="F3866" i="1"/>
  <c r="G3866" i="1"/>
  <c r="H3866" i="1"/>
  <c r="A3867" i="1"/>
  <c r="B3867" i="1"/>
  <c r="C3867" i="1"/>
  <c r="D3867" i="1"/>
  <c r="E3867" i="1"/>
  <c r="F3867" i="1"/>
  <c r="G3867" i="1"/>
  <c r="H3867" i="1"/>
  <c r="A3868" i="1"/>
  <c r="B3868" i="1"/>
  <c r="C3868" i="1"/>
  <c r="D3868" i="1"/>
  <c r="E3868" i="1"/>
  <c r="F3868" i="1"/>
  <c r="G3868" i="1"/>
  <c r="H3868" i="1"/>
  <c r="A3869" i="1"/>
  <c r="B3869" i="1"/>
  <c r="C3869" i="1"/>
  <c r="D3869" i="1"/>
  <c r="E3869" i="1"/>
  <c r="F3869" i="1"/>
  <c r="G3869" i="1"/>
  <c r="H3869" i="1"/>
  <c r="A3870" i="1"/>
  <c r="B3870" i="1"/>
  <c r="C3870" i="1"/>
  <c r="D3870" i="1"/>
  <c r="E3870" i="1"/>
  <c r="F3870" i="1"/>
  <c r="G3870" i="1"/>
  <c r="H3870" i="1"/>
  <c r="A3871" i="1"/>
  <c r="B3871" i="1"/>
  <c r="C3871" i="1"/>
  <c r="D3871" i="1"/>
  <c r="E3871" i="1"/>
  <c r="F3871" i="1"/>
  <c r="G3871" i="1"/>
  <c r="H3871" i="1"/>
  <c r="A3872" i="1"/>
  <c r="B3872" i="1"/>
  <c r="C3872" i="1"/>
  <c r="D3872" i="1"/>
  <c r="E3872" i="1"/>
  <c r="F3872" i="1"/>
  <c r="G3872" i="1"/>
  <c r="H3872" i="1"/>
  <c r="A3873" i="1"/>
  <c r="B3873" i="1"/>
  <c r="C3873" i="1"/>
  <c r="D3873" i="1"/>
  <c r="E3873" i="1"/>
  <c r="F3873" i="1"/>
  <c r="G3873" i="1"/>
  <c r="H3873" i="1"/>
  <c r="A3874" i="1"/>
  <c r="B3874" i="1"/>
  <c r="C3874" i="1"/>
  <c r="D3874" i="1"/>
  <c r="E3874" i="1"/>
  <c r="F3874" i="1"/>
  <c r="G3874" i="1"/>
  <c r="H3874" i="1"/>
  <c r="A3875" i="1"/>
  <c r="B3875" i="1"/>
  <c r="C3875" i="1"/>
  <c r="D3875" i="1"/>
  <c r="E3875" i="1"/>
  <c r="F3875" i="1"/>
  <c r="G3875" i="1"/>
  <c r="H3875" i="1"/>
  <c r="A3876" i="1"/>
  <c r="B3876" i="1"/>
  <c r="C3876" i="1"/>
  <c r="D3876" i="1"/>
  <c r="E3876" i="1"/>
  <c r="F3876" i="1"/>
  <c r="G3876" i="1"/>
  <c r="H3876" i="1"/>
  <c r="A3877" i="1"/>
  <c r="B3877" i="1"/>
  <c r="C3877" i="1"/>
  <c r="D3877" i="1"/>
  <c r="E3877" i="1"/>
  <c r="F3877" i="1"/>
  <c r="G3877" i="1"/>
  <c r="H3877" i="1"/>
  <c r="A3878" i="1"/>
  <c r="B3878" i="1"/>
  <c r="C3878" i="1"/>
  <c r="D3878" i="1"/>
  <c r="E3878" i="1"/>
  <c r="F3878" i="1"/>
  <c r="G3878" i="1"/>
  <c r="H3878" i="1"/>
  <c r="A3879" i="1"/>
  <c r="B3879" i="1"/>
  <c r="C3879" i="1"/>
  <c r="D3879" i="1"/>
  <c r="E3879" i="1"/>
  <c r="F3879" i="1"/>
  <c r="G3879" i="1"/>
  <c r="H3879" i="1"/>
  <c r="A3880" i="1"/>
  <c r="B3880" i="1"/>
  <c r="C3880" i="1"/>
  <c r="D3880" i="1"/>
  <c r="E3880" i="1"/>
  <c r="F3880" i="1"/>
  <c r="G3880" i="1"/>
  <c r="H3880" i="1"/>
  <c r="A3881" i="1"/>
  <c r="B3881" i="1"/>
  <c r="C3881" i="1"/>
  <c r="D3881" i="1"/>
  <c r="E3881" i="1"/>
  <c r="F3881" i="1"/>
  <c r="G3881" i="1"/>
  <c r="H3881" i="1"/>
  <c r="A3882" i="1"/>
  <c r="B3882" i="1"/>
  <c r="C3882" i="1"/>
  <c r="D3882" i="1"/>
  <c r="E3882" i="1"/>
  <c r="F3882" i="1"/>
  <c r="G3882" i="1"/>
  <c r="H3882" i="1"/>
  <c r="A3883" i="1"/>
  <c r="B3883" i="1"/>
  <c r="C3883" i="1"/>
  <c r="D3883" i="1"/>
  <c r="E3883" i="1"/>
  <c r="F3883" i="1"/>
  <c r="G3883" i="1"/>
  <c r="H3883" i="1"/>
  <c r="A3884" i="1"/>
  <c r="B3884" i="1"/>
  <c r="C3884" i="1"/>
  <c r="D3884" i="1"/>
  <c r="E3884" i="1"/>
  <c r="F3884" i="1"/>
  <c r="G3884" i="1"/>
  <c r="H3884" i="1"/>
  <c r="A3885" i="1"/>
  <c r="B3885" i="1"/>
  <c r="C3885" i="1"/>
  <c r="D3885" i="1"/>
  <c r="E3885" i="1"/>
  <c r="F3885" i="1"/>
  <c r="G3885" i="1"/>
  <c r="H3885" i="1"/>
  <c r="A3886" i="1"/>
  <c r="B3886" i="1"/>
  <c r="C3886" i="1"/>
  <c r="D3886" i="1"/>
  <c r="E3886" i="1"/>
  <c r="F3886" i="1"/>
  <c r="G3886" i="1"/>
  <c r="H3886" i="1"/>
  <c r="A3887" i="1"/>
  <c r="B3887" i="1"/>
  <c r="C3887" i="1"/>
  <c r="D3887" i="1"/>
  <c r="E3887" i="1"/>
  <c r="F3887" i="1"/>
  <c r="G3887" i="1"/>
  <c r="H3887" i="1"/>
  <c r="A3888" i="1"/>
  <c r="B3888" i="1"/>
  <c r="C3888" i="1"/>
  <c r="D3888" i="1"/>
  <c r="E3888" i="1"/>
  <c r="F3888" i="1"/>
  <c r="G3888" i="1"/>
  <c r="H3888" i="1"/>
  <c r="A3889" i="1"/>
  <c r="B3889" i="1"/>
  <c r="C3889" i="1"/>
  <c r="D3889" i="1"/>
  <c r="E3889" i="1"/>
  <c r="F3889" i="1"/>
  <c r="G3889" i="1"/>
  <c r="H3889" i="1"/>
  <c r="A3890" i="1"/>
  <c r="B3890" i="1"/>
  <c r="C3890" i="1"/>
  <c r="D3890" i="1"/>
  <c r="E3890" i="1"/>
  <c r="F3890" i="1"/>
  <c r="G3890" i="1"/>
  <c r="H3890" i="1"/>
  <c r="A3891" i="1"/>
  <c r="B3891" i="1"/>
  <c r="C3891" i="1"/>
  <c r="D3891" i="1"/>
  <c r="E3891" i="1"/>
  <c r="F3891" i="1"/>
  <c r="G3891" i="1"/>
  <c r="H3891" i="1"/>
  <c r="A3892" i="1"/>
  <c r="B3892" i="1"/>
  <c r="C3892" i="1"/>
  <c r="D3892" i="1"/>
  <c r="E3892" i="1"/>
  <c r="F3892" i="1"/>
  <c r="G3892" i="1"/>
  <c r="H3892" i="1"/>
  <c r="A3893" i="1"/>
  <c r="B3893" i="1"/>
  <c r="C3893" i="1"/>
  <c r="D3893" i="1"/>
  <c r="E3893" i="1"/>
  <c r="F3893" i="1"/>
  <c r="G3893" i="1"/>
  <c r="H3893" i="1"/>
  <c r="A3894" i="1"/>
  <c r="B3894" i="1"/>
  <c r="C3894" i="1"/>
  <c r="D3894" i="1"/>
  <c r="E3894" i="1"/>
  <c r="F3894" i="1"/>
  <c r="G3894" i="1"/>
  <c r="H3894" i="1"/>
  <c r="A3895" i="1"/>
  <c r="B3895" i="1"/>
  <c r="C3895" i="1"/>
  <c r="D3895" i="1"/>
  <c r="E3895" i="1"/>
  <c r="F3895" i="1"/>
  <c r="G3895" i="1"/>
  <c r="H3895" i="1"/>
  <c r="A3896" i="1"/>
  <c r="B3896" i="1"/>
  <c r="C3896" i="1"/>
  <c r="D3896" i="1"/>
  <c r="E3896" i="1"/>
  <c r="F3896" i="1"/>
  <c r="G3896" i="1"/>
  <c r="H3896" i="1"/>
  <c r="A3897" i="1"/>
  <c r="B3897" i="1"/>
  <c r="C3897" i="1"/>
  <c r="D3897" i="1"/>
  <c r="E3897" i="1"/>
  <c r="F3897" i="1"/>
  <c r="G3897" i="1"/>
  <c r="H3897" i="1"/>
  <c r="A3898" i="1"/>
  <c r="B3898" i="1"/>
  <c r="C3898" i="1"/>
  <c r="D3898" i="1"/>
  <c r="E3898" i="1"/>
  <c r="F3898" i="1"/>
  <c r="G3898" i="1"/>
  <c r="H3898" i="1"/>
  <c r="A3899" i="1"/>
  <c r="B3899" i="1"/>
  <c r="C3899" i="1"/>
  <c r="D3899" i="1"/>
  <c r="E3899" i="1"/>
  <c r="F3899" i="1"/>
  <c r="G3899" i="1"/>
  <c r="H3899" i="1"/>
  <c r="A3900" i="1"/>
  <c r="B3900" i="1"/>
  <c r="C3900" i="1"/>
  <c r="D3900" i="1"/>
  <c r="E3900" i="1"/>
  <c r="F3900" i="1"/>
  <c r="G3900" i="1"/>
  <c r="H3900" i="1"/>
  <c r="A3901" i="1"/>
  <c r="B3901" i="1"/>
  <c r="C3901" i="1"/>
  <c r="D3901" i="1"/>
  <c r="E3901" i="1"/>
  <c r="F3901" i="1"/>
  <c r="G3901" i="1"/>
  <c r="H3901" i="1"/>
  <c r="A3902" i="1"/>
  <c r="B3902" i="1"/>
  <c r="C3902" i="1"/>
  <c r="D3902" i="1"/>
  <c r="E3902" i="1"/>
  <c r="F3902" i="1"/>
  <c r="G3902" i="1"/>
  <c r="H3902" i="1"/>
  <c r="A3903" i="1"/>
  <c r="B3903" i="1"/>
  <c r="C3903" i="1"/>
  <c r="D3903" i="1"/>
  <c r="E3903" i="1"/>
  <c r="F3903" i="1"/>
  <c r="G3903" i="1"/>
  <c r="H3903" i="1"/>
  <c r="A3904" i="1"/>
  <c r="B3904" i="1"/>
  <c r="C3904" i="1"/>
  <c r="D3904" i="1"/>
  <c r="E3904" i="1"/>
  <c r="F3904" i="1"/>
  <c r="G3904" i="1"/>
  <c r="H3904" i="1"/>
  <c r="A3905" i="1"/>
  <c r="B3905" i="1"/>
  <c r="C3905" i="1"/>
  <c r="D3905" i="1"/>
  <c r="E3905" i="1"/>
  <c r="F3905" i="1"/>
  <c r="G3905" i="1"/>
  <c r="H3905" i="1"/>
  <c r="A3906" i="1"/>
  <c r="B3906" i="1"/>
  <c r="C3906" i="1"/>
  <c r="D3906" i="1"/>
  <c r="E3906" i="1"/>
  <c r="F3906" i="1"/>
  <c r="G3906" i="1"/>
  <c r="H3906" i="1"/>
  <c r="A3907" i="1"/>
  <c r="B3907" i="1"/>
  <c r="C3907" i="1"/>
  <c r="D3907" i="1"/>
  <c r="E3907" i="1"/>
  <c r="F3907" i="1"/>
  <c r="G3907" i="1"/>
  <c r="H3907" i="1"/>
  <c r="A3908" i="1"/>
  <c r="B3908" i="1"/>
  <c r="C3908" i="1"/>
  <c r="D3908" i="1"/>
  <c r="E3908" i="1"/>
  <c r="F3908" i="1"/>
  <c r="G3908" i="1"/>
  <c r="H3908" i="1"/>
  <c r="A3909" i="1"/>
  <c r="B3909" i="1"/>
  <c r="C3909" i="1"/>
  <c r="D3909" i="1"/>
  <c r="E3909" i="1"/>
  <c r="F3909" i="1"/>
  <c r="G3909" i="1"/>
  <c r="H3909" i="1"/>
  <c r="A3910" i="1"/>
  <c r="B3910" i="1"/>
  <c r="C3910" i="1"/>
  <c r="D3910" i="1"/>
  <c r="E3910" i="1"/>
  <c r="F3910" i="1"/>
  <c r="G3910" i="1"/>
  <c r="H3910" i="1"/>
  <c r="A3911" i="1"/>
  <c r="B3911" i="1"/>
  <c r="C3911" i="1"/>
  <c r="D3911" i="1"/>
  <c r="E3911" i="1"/>
  <c r="F3911" i="1"/>
  <c r="G3911" i="1"/>
  <c r="H3911" i="1"/>
  <c r="A3912" i="1"/>
  <c r="B3912" i="1"/>
  <c r="C3912" i="1"/>
  <c r="D3912" i="1"/>
  <c r="E3912" i="1"/>
  <c r="F3912" i="1"/>
  <c r="G3912" i="1"/>
  <c r="H3912" i="1"/>
  <c r="A3913" i="1"/>
  <c r="B3913" i="1"/>
  <c r="C3913" i="1"/>
  <c r="D3913" i="1"/>
  <c r="E3913" i="1"/>
  <c r="F3913" i="1"/>
  <c r="G3913" i="1"/>
  <c r="H3913" i="1"/>
  <c r="A3914" i="1"/>
  <c r="B3914" i="1"/>
  <c r="C3914" i="1"/>
  <c r="D3914" i="1"/>
  <c r="E3914" i="1"/>
  <c r="F3914" i="1"/>
  <c r="G3914" i="1"/>
  <c r="H3914" i="1"/>
  <c r="A3915" i="1"/>
  <c r="B3915" i="1"/>
  <c r="C3915" i="1"/>
  <c r="D3915" i="1"/>
  <c r="E3915" i="1"/>
  <c r="F3915" i="1"/>
  <c r="G3915" i="1"/>
  <c r="H3915" i="1"/>
  <c r="A3916" i="1"/>
  <c r="B3916" i="1"/>
  <c r="C3916" i="1"/>
  <c r="D3916" i="1"/>
  <c r="E3916" i="1"/>
  <c r="F3916" i="1"/>
  <c r="G3916" i="1"/>
  <c r="H3916" i="1"/>
  <c r="A3917" i="1"/>
  <c r="B3917" i="1"/>
  <c r="C3917" i="1"/>
  <c r="D3917" i="1"/>
  <c r="E3917" i="1"/>
  <c r="F3917" i="1"/>
  <c r="G3917" i="1"/>
  <c r="H3917" i="1"/>
  <c r="A3918" i="1"/>
  <c r="B3918" i="1"/>
  <c r="C3918" i="1"/>
  <c r="D3918" i="1"/>
  <c r="E3918" i="1"/>
  <c r="F3918" i="1"/>
  <c r="G3918" i="1"/>
  <c r="H3918" i="1"/>
  <c r="A3919" i="1"/>
  <c r="B3919" i="1"/>
  <c r="C3919" i="1"/>
  <c r="D3919" i="1"/>
  <c r="E3919" i="1"/>
  <c r="F3919" i="1"/>
  <c r="G3919" i="1"/>
  <c r="H3919" i="1"/>
  <c r="A3920" i="1"/>
  <c r="B3920" i="1"/>
  <c r="C3920" i="1"/>
  <c r="D3920" i="1"/>
  <c r="E3920" i="1"/>
  <c r="F3920" i="1"/>
  <c r="G3920" i="1"/>
  <c r="H3920" i="1"/>
  <c r="A3921" i="1"/>
  <c r="B3921" i="1"/>
  <c r="C3921" i="1"/>
  <c r="D3921" i="1"/>
  <c r="E3921" i="1"/>
  <c r="F3921" i="1"/>
  <c r="G3921" i="1"/>
  <c r="H3921" i="1"/>
  <c r="A3922" i="1"/>
  <c r="B3922" i="1"/>
  <c r="C3922" i="1"/>
  <c r="D3922" i="1"/>
  <c r="E3922" i="1"/>
  <c r="F3922" i="1"/>
  <c r="G3922" i="1"/>
  <c r="H3922" i="1"/>
  <c r="A3923" i="1"/>
  <c r="B3923" i="1"/>
  <c r="C3923" i="1"/>
  <c r="D3923" i="1"/>
  <c r="E3923" i="1"/>
  <c r="F3923" i="1"/>
  <c r="G3923" i="1"/>
  <c r="H3923" i="1"/>
  <c r="A3924" i="1"/>
  <c r="B3924" i="1"/>
  <c r="C3924" i="1"/>
  <c r="D3924" i="1"/>
  <c r="E3924" i="1"/>
  <c r="F3924" i="1"/>
  <c r="G3924" i="1"/>
  <c r="H3924" i="1"/>
  <c r="A3925" i="1"/>
  <c r="B3925" i="1"/>
  <c r="C3925" i="1"/>
  <c r="D3925" i="1"/>
  <c r="E3925" i="1"/>
  <c r="F3925" i="1"/>
  <c r="G3925" i="1"/>
  <c r="H3925" i="1"/>
  <c r="A3926" i="1"/>
  <c r="B3926" i="1"/>
  <c r="C3926" i="1"/>
  <c r="D3926" i="1"/>
  <c r="E3926" i="1"/>
  <c r="F3926" i="1"/>
  <c r="G3926" i="1"/>
  <c r="H3926" i="1"/>
  <c r="A3927" i="1"/>
  <c r="B3927" i="1"/>
  <c r="C3927" i="1"/>
  <c r="D3927" i="1"/>
  <c r="E3927" i="1"/>
  <c r="F3927" i="1"/>
  <c r="G3927" i="1"/>
  <c r="H3927" i="1"/>
  <c r="A3928" i="1"/>
  <c r="B3928" i="1"/>
  <c r="C3928" i="1"/>
  <c r="D3928" i="1"/>
  <c r="E3928" i="1"/>
  <c r="F3928" i="1"/>
  <c r="G3928" i="1"/>
  <c r="H3928" i="1"/>
  <c r="A3929" i="1"/>
  <c r="B3929" i="1"/>
  <c r="C3929" i="1"/>
  <c r="D3929" i="1"/>
  <c r="E3929" i="1"/>
  <c r="F3929" i="1"/>
  <c r="G3929" i="1"/>
  <c r="H3929" i="1"/>
  <c r="A3930" i="1"/>
  <c r="B3930" i="1"/>
  <c r="C3930" i="1"/>
  <c r="D3930" i="1"/>
  <c r="E3930" i="1"/>
  <c r="F3930" i="1"/>
  <c r="G3930" i="1"/>
  <c r="H3930" i="1"/>
  <c r="A3931" i="1"/>
  <c r="B3931" i="1"/>
  <c r="C3931" i="1"/>
  <c r="D3931" i="1"/>
  <c r="E3931" i="1"/>
  <c r="F3931" i="1"/>
  <c r="G3931" i="1"/>
  <c r="H3931" i="1"/>
  <c r="A3932" i="1"/>
  <c r="B3932" i="1"/>
  <c r="C3932" i="1"/>
  <c r="D3932" i="1"/>
  <c r="E3932" i="1"/>
  <c r="F3932" i="1"/>
  <c r="G3932" i="1"/>
  <c r="H3932" i="1"/>
  <c r="A3933" i="1"/>
  <c r="B3933" i="1"/>
  <c r="C3933" i="1"/>
  <c r="D3933" i="1"/>
  <c r="E3933" i="1"/>
  <c r="F3933" i="1"/>
  <c r="G3933" i="1"/>
  <c r="H3933" i="1"/>
  <c r="A3934" i="1"/>
  <c r="B3934" i="1"/>
  <c r="C3934" i="1"/>
  <c r="D3934" i="1"/>
  <c r="E3934" i="1"/>
  <c r="F3934" i="1"/>
  <c r="G3934" i="1"/>
  <c r="H3934" i="1"/>
  <c r="A3935" i="1"/>
  <c r="B3935" i="1"/>
  <c r="C3935" i="1"/>
  <c r="D3935" i="1"/>
  <c r="E3935" i="1"/>
  <c r="F3935" i="1"/>
  <c r="G3935" i="1"/>
  <c r="H3935" i="1"/>
  <c r="A3936" i="1"/>
  <c r="B3936" i="1"/>
  <c r="C3936" i="1"/>
  <c r="D3936" i="1"/>
  <c r="E3936" i="1"/>
  <c r="F3936" i="1"/>
  <c r="G3936" i="1"/>
  <c r="H3936" i="1"/>
  <c r="A3937" i="1"/>
  <c r="B3937" i="1"/>
  <c r="C3937" i="1"/>
  <c r="D3937" i="1"/>
  <c r="E3937" i="1"/>
  <c r="F3937" i="1"/>
  <c r="G3937" i="1"/>
  <c r="H3937" i="1"/>
  <c r="A3938" i="1"/>
  <c r="B3938" i="1"/>
  <c r="C3938" i="1"/>
  <c r="D3938" i="1"/>
  <c r="E3938" i="1"/>
  <c r="F3938" i="1"/>
  <c r="G3938" i="1"/>
  <c r="H3938" i="1"/>
  <c r="A3939" i="1"/>
  <c r="B3939" i="1"/>
  <c r="C3939" i="1"/>
  <c r="D3939" i="1"/>
  <c r="E3939" i="1"/>
  <c r="F3939" i="1"/>
  <c r="G3939" i="1"/>
  <c r="H3939" i="1"/>
  <c r="A3940" i="1"/>
  <c r="B3940" i="1"/>
  <c r="C3940" i="1"/>
  <c r="D3940" i="1"/>
  <c r="E3940" i="1"/>
  <c r="F3940" i="1"/>
  <c r="G3940" i="1"/>
  <c r="H3940" i="1"/>
  <c r="A3941" i="1"/>
  <c r="B3941" i="1"/>
  <c r="C3941" i="1"/>
  <c r="D3941" i="1"/>
  <c r="E3941" i="1"/>
  <c r="F3941" i="1"/>
  <c r="G3941" i="1"/>
  <c r="H3941" i="1"/>
  <c r="A3942" i="1"/>
  <c r="B3942" i="1"/>
  <c r="C3942" i="1"/>
  <c r="D3942" i="1"/>
  <c r="E3942" i="1"/>
  <c r="F3942" i="1"/>
  <c r="G3942" i="1"/>
  <c r="H3942" i="1"/>
  <c r="A3943" i="1"/>
  <c r="B3943" i="1"/>
  <c r="C3943" i="1"/>
  <c r="D3943" i="1"/>
  <c r="E3943" i="1"/>
  <c r="F3943" i="1"/>
  <c r="G3943" i="1"/>
  <c r="H3943" i="1"/>
  <c r="A3944" i="1"/>
  <c r="B3944" i="1"/>
  <c r="C3944" i="1"/>
  <c r="D3944" i="1"/>
  <c r="E3944" i="1"/>
  <c r="F3944" i="1"/>
  <c r="G3944" i="1"/>
  <c r="H3944" i="1"/>
  <c r="A3945" i="1"/>
  <c r="B3945" i="1"/>
  <c r="C3945" i="1"/>
  <c r="D3945" i="1"/>
  <c r="E3945" i="1"/>
  <c r="F3945" i="1"/>
  <c r="G3945" i="1"/>
  <c r="H3945" i="1"/>
  <c r="A3946" i="1"/>
  <c r="B3946" i="1"/>
  <c r="C3946" i="1"/>
  <c r="D3946" i="1"/>
  <c r="E3946" i="1"/>
  <c r="F3946" i="1"/>
  <c r="G3946" i="1"/>
  <c r="H3946" i="1"/>
  <c r="A3947" i="1"/>
  <c r="B3947" i="1"/>
  <c r="C3947" i="1"/>
  <c r="D3947" i="1"/>
  <c r="E3947" i="1"/>
  <c r="F3947" i="1"/>
  <c r="G3947" i="1"/>
  <c r="H3947" i="1"/>
  <c r="A3948" i="1"/>
  <c r="B3948" i="1"/>
  <c r="C3948" i="1"/>
  <c r="D3948" i="1"/>
  <c r="E3948" i="1"/>
  <c r="F3948" i="1"/>
  <c r="G3948" i="1"/>
  <c r="H3948" i="1"/>
  <c r="A3949" i="1"/>
  <c r="B3949" i="1"/>
  <c r="C3949" i="1"/>
  <c r="D3949" i="1"/>
  <c r="E3949" i="1"/>
  <c r="F3949" i="1"/>
  <c r="G3949" i="1"/>
  <c r="H3949" i="1"/>
  <c r="A3950" i="1"/>
  <c r="B3950" i="1"/>
  <c r="C3950" i="1"/>
  <c r="D3950" i="1"/>
  <c r="E3950" i="1"/>
  <c r="F3950" i="1"/>
  <c r="G3950" i="1"/>
  <c r="H3950" i="1"/>
  <c r="A3951" i="1"/>
  <c r="B3951" i="1"/>
  <c r="C3951" i="1"/>
  <c r="D3951" i="1"/>
  <c r="E3951" i="1"/>
  <c r="F3951" i="1"/>
  <c r="G3951" i="1"/>
  <c r="H3951" i="1"/>
  <c r="A3952" i="1"/>
  <c r="B3952" i="1"/>
  <c r="C3952" i="1"/>
  <c r="D3952" i="1"/>
  <c r="E3952" i="1"/>
  <c r="F3952" i="1"/>
  <c r="G3952" i="1"/>
  <c r="H3952" i="1"/>
  <c r="A3953" i="1"/>
  <c r="B3953" i="1"/>
  <c r="C3953" i="1"/>
  <c r="D3953" i="1"/>
  <c r="E3953" i="1"/>
  <c r="F3953" i="1"/>
  <c r="G3953" i="1"/>
  <c r="H3953" i="1"/>
  <c r="A3954" i="1"/>
  <c r="B3954" i="1"/>
  <c r="C3954" i="1"/>
  <c r="D3954" i="1"/>
  <c r="E3954" i="1"/>
  <c r="F3954" i="1"/>
  <c r="G3954" i="1"/>
  <c r="H3954" i="1"/>
  <c r="A3955" i="1"/>
  <c r="B3955" i="1"/>
  <c r="C3955" i="1"/>
  <c r="D3955" i="1"/>
  <c r="E3955" i="1"/>
  <c r="F3955" i="1"/>
  <c r="G3955" i="1"/>
  <c r="H3955" i="1"/>
  <c r="A3956" i="1"/>
  <c r="B3956" i="1"/>
  <c r="C3956" i="1"/>
  <c r="D3956" i="1"/>
  <c r="E3956" i="1"/>
  <c r="F3956" i="1"/>
  <c r="G3956" i="1"/>
  <c r="H3956" i="1"/>
  <c r="A3957" i="1"/>
  <c r="B3957" i="1"/>
  <c r="C3957" i="1"/>
  <c r="D3957" i="1"/>
  <c r="E3957" i="1"/>
  <c r="F3957" i="1"/>
  <c r="G3957" i="1"/>
  <c r="H3957" i="1"/>
  <c r="A3958" i="1"/>
  <c r="B3958" i="1"/>
  <c r="C3958" i="1"/>
  <c r="D3958" i="1"/>
  <c r="E3958" i="1"/>
  <c r="F3958" i="1"/>
  <c r="G3958" i="1"/>
  <c r="H3958" i="1"/>
  <c r="A3959" i="1"/>
  <c r="B3959" i="1"/>
  <c r="C3959" i="1"/>
  <c r="D3959" i="1"/>
  <c r="E3959" i="1"/>
  <c r="F3959" i="1"/>
  <c r="G3959" i="1"/>
  <c r="H3959" i="1"/>
  <c r="A3960" i="1"/>
  <c r="B3960" i="1"/>
  <c r="C3960" i="1"/>
  <c r="D3960" i="1"/>
  <c r="E3960" i="1"/>
  <c r="F3960" i="1"/>
  <c r="G3960" i="1"/>
  <c r="H3960" i="1"/>
  <c r="A3961" i="1"/>
  <c r="B3961" i="1"/>
  <c r="C3961" i="1"/>
  <c r="D3961" i="1"/>
  <c r="E3961" i="1"/>
  <c r="F3961" i="1"/>
  <c r="G3961" i="1"/>
  <c r="H3961" i="1"/>
  <c r="A3962" i="1"/>
  <c r="B3962" i="1"/>
  <c r="C3962" i="1"/>
  <c r="D3962" i="1"/>
  <c r="E3962" i="1"/>
  <c r="F3962" i="1"/>
  <c r="G3962" i="1"/>
  <c r="H3962" i="1"/>
  <c r="A3963" i="1"/>
  <c r="B3963" i="1"/>
  <c r="C3963" i="1"/>
  <c r="D3963" i="1"/>
  <c r="E3963" i="1"/>
  <c r="F3963" i="1"/>
  <c r="G3963" i="1"/>
  <c r="H3963" i="1"/>
  <c r="A3964" i="1"/>
  <c r="B3964" i="1"/>
  <c r="C3964" i="1"/>
  <c r="D3964" i="1"/>
  <c r="E3964" i="1"/>
  <c r="F3964" i="1"/>
  <c r="G3964" i="1"/>
  <c r="H3964" i="1"/>
  <c r="A3965" i="1"/>
  <c r="B3965" i="1"/>
  <c r="C3965" i="1"/>
  <c r="D3965" i="1"/>
  <c r="E3965" i="1"/>
  <c r="F3965" i="1"/>
  <c r="G3965" i="1"/>
  <c r="H3965" i="1"/>
  <c r="A3966" i="1"/>
  <c r="B3966" i="1"/>
  <c r="C3966" i="1"/>
  <c r="D3966" i="1"/>
  <c r="E3966" i="1"/>
  <c r="F3966" i="1"/>
  <c r="G3966" i="1"/>
  <c r="H3966" i="1"/>
  <c r="A3967" i="1"/>
  <c r="B3967" i="1"/>
  <c r="C3967" i="1"/>
  <c r="D3967" i="1"/>
  <c r="E3967" i="1"/>
  <c r="F3967" i="1"/>
  <c r="G3967" i="1"/>
  <c r="H3967" i="1"/>
  <c r="A3968" i="1"/>
  <c r="B3968" i="1"/>
  <c r="C3968" i="1"/>
  <c r="D3968" i="1"/>
  <c r="E3968" i="1"/>
  <c r="F3968" i="1"/>
  <c r="G3968" i="1"/>
  <c r="H3968" i="1"/>
  <c r="A3969" i="1"/>
  <c r="B3969" i="1"/>
  <c r="C3969" i="1"/>
  <c r="D3969" i="1"/>
  <c r="E3969" i="1"/>
  <c r="F3969" i="1"/>
  <c r="G3969" i="1"/>
  <c r="H3969" i="1"/>
  <c r="A3970" i="1"/>
  <c r="B3970" i="1"/>
  <c r="C3970" i="1"/>
  <c r="D3970" i="1"/>
  <c r="E3970" i="1"/>
  <c r="F3970" i="1"/>
  <c r="G3970" i="1"/>
  <c r="H3970" i="1"/>
  <c r="A3971" i="1"/>
  <c r="B3971" i="1"/>
  <c r="C3971" i="1"/>
  <c r="D3971" i="1"/>
  <c r="E3971" i="1"/>
  <c r="F3971" i="1"/>
  <c r="G3971" i="1"/>
  <c r="H3971" i="1"/>
  <c r="A3972" i="1"/>
  <c r="B3972" i="1"/>
  <c r="C3972" i="1"/>
  <c r="D3972" i="1"/>
  <c r="E3972" i="1"/>
  <c r="F3972" i="1"/>
  <c r="G3972" i="1"/>
  <c r="H3972" i="1"/>
  <c r="A3973" i="1"/>
  <c r="B3973" i="1"/>
  <c r="C3973" i="1"/>
  <c r="D3973" i="1"/>
  <c r="E3973" i="1"/>
  <c r="F3973" i="1"/>
  <c r="G3973" i="1"/>
  <c r="H3973" i="1"/>
  <c r="A3974" i="1"/>
  <c r="B3974" i="1"/>
  <c r="C3974" i="1"/>
  <c r="D3974" i="1"/>
  <c r="E3974" i="1"/>
  <c r="F3974" i="1"/>
  <c r="G3974" i="1"/>
  <c r="H3974" i="1"/>
  <c r="A3975" i="1"/>
  <c r="B3975" i="1"/>
  <c r="C3975" i="1"/>
  <c r="D3975" i="1"/>
  <c r="E3975" i="1"/>
  <c r="F3975" i="1"/>
  <c r="G3975" i="1"/>
  <c r="H3975" i="1"/>
  <c r="A3976" i="1"/>
  <c r="B3976" i="1"/>
  <c r="C3976" i="1"/>
  <c r="D3976" i="1"/>
  <c r="E3976" i="1"/>
  <c r="F3976" i="1"/>
  <c r="G3976" i="1"/>
  <c r="H3976" i="1"/>
  <c r="A3977" i="1"/>
  <c r="B3977" i="1"/>
  <c r="C3977" i="1"/>
  <c r="D3977" i="1"/>
  <c r="E3977" i="1"/>
  <c r="F3977" i="1"/>
  <c r="G3977" i="1"/>
  <c r="H3977" i="1"/>
  <c r="A3978" i="1"/>
  <c r="B3978" i="1"/>
  <c r="C3978" i="1"/>
  <c r="D3978" i="1"/>
  <c r="E3978" i="1"/>
  <c r="F3978" i="1"/>
  <c r="G3978" i="1"/>
  <c r="H3978" i="1"/>
  <c r="A3979" i="1"/>
  <c r="B3979" i="1"/>
  <c r="C3979" i="1"/>
  <c r="D3979" i="1"/>
  <c r="E3979" i="1"/>
  <c r="F3979" i="1"/>
  <c r="G3979" i="1"/>
  <c r="H3979" i="1"/>
  <c r="A3980" i="1"/>
  <c r="B3980" i="1"/>
  <c r="C3980" i="1"/>
  <c r="D3980" i="1"/>
  <c r="E3980" i="1"/>
  <c r="F3980" i="1"/>
  <c r="G3980" i="1"/>
  <c r="H3980" i="1"/>
  <c r="A3981" i="1"/>
  <c r="B3981" i="1"/>
  <c r="C3981" i="1"/>
  <c r="D3981" i="1"/>
  <c r="E3981" i="1"/>
  <c r="F3981" i="1"/>
  <c r="G3981" i="1"/>
  <c r="H3981" i="1"/>
  <c r="A3982" i="1"/>
  <c r="B3982" i="1"/>
  <c r="C3982" i="1"/>
  <c r="D3982" i="1"/>
  <c r="E3982" i="1"/>
  <c r="F3982" i="1"/>
  <c r="G3982" i="1"/>
  <c r="H3982" i="1"/>
  <c r="A3983" i="1"/>
  <c r="B3983" i="1"/>
  <c r="C3983" i="1"/>
  <c r="D3983" i="1"/>
  <c r="E3983" i="1"/>
  <c r="F3983" i="1"/>
  <c r="G3983" i="1"/>
  <c r="H3983" i="1"/>
  <c r="A3984" i="1"/>
  <c r="B3984" i="1"/>
  <c r="C3984" i="1"/>
  <c r="D3984" i="1"/>
  <c r="E3984" i="1"/>
  <c r="F3984" i="1"/>
  <c r="G3984" i="1"/>
  <c r="H3984" i="1"/>
  <c r="A3985" i="1"/>
  <c r="B3985" i="1"/>
  <c r="C3985" i="1"/>
  <c r="D3985" i="1"/>
  <c r="E3985" i="1"/>
  <c r="F3985" i="1"/>
  <c r="G3985" i="1"/>
  <c r="H3985" i="1"/>
  <c r="A3986" i="1"/>
  <c r="B3986" i="1"/>
  <c r="C3986" i="1"/>
  <c r="D3986" i="1"/>
  <c r="E3986" i="1"/>
  <c r="F3986" i="1"/>
  <c r="G3986" i="1"/>
  <c r="H3986" i="1"/>
  <c r="A3987" i="1"/>
  <c r="B3987" i="1"/>
  <c r="C3987" i="1"/>
  <c r="D3987" i="1"/>
  <c r="E3987" i="1"/>
  <c r="F3987" i="1"/>
  <c r="G3987" i="1"/>
  <c r="H3987" i="1"/>
  <c r="A3988" i="1"/>
  <c r="B3988" i="1"/>
  <c r="C3988" i="1"/>
  <c r="D3988" i="1"/>
  <c r="E3988" i="1"/>
  <c r="F3988" i="1"/>
  <c r="G3988" i="1"/>
  <c r="H3988" i="1"/>
  <c r="A3989" i="1"/>
  <c r="B3989" i="1"/>
  <c r="C3989" i="1"/>
  <c r="D3989" i="1"/>
  <c r="E3989" i="1"/>
  <c r="F3989" i="1"/>
  <c r="G3989" i="1"/>
  <c r="H3989" i="1"/>
  <c r="A3990" i="1"/>
  <c r="B3990" i="1"/>
  <c r="C3990" i="1"/>
  <c r="D3990" i="1"/>
  <c r="E3990" i="1"/>
  <c r="F3990" i="1"/>
  <c r="G3990" i="1"/>
  <c r="H3990" i="1"/>
  <c r="A3991" i="1"/>
  <c r="B3991" i="1"/>
  <c r="C3991" i="1"/>
  <c r="D3991" i="1"/>
  <c r="E3991" i="1"/>
  <c r="F3991" i="1"/>
  <c r="G3991" i="1"/>
  <c r="H3991" i="1"/>
  <c r="A3992" i="1"/>
  <c r="B3992" i="1"/>
  <c r="C3992" i="1"/>
  <c r="D3992" i="1"/>
  <c r="E3992" i="1"/>
  <c r="F3992" i="1"/>
  <c r="G3992" i="1"/>
  <c r="H3992" i="1"/>
  <c r="A3993" i="1"/>
  <c r="B3993" i="1"/>
  <c r="C3993" i="1"/>
  <c r="D3993" i="1"/>
  <c r="E3993" i="1"/>
  <c r="F3993" i="1"/>
  <c r="G3993" i="1"/>
  <c r="H3993" i="1"/>
  <c r="A3994" i="1"/>
  <c r="B3994" i="1"/>
  <c r="C3994" i="1"/>
  <c r="D3994" i="1"/>
  <c r="E3994" i="1"/>
  <c r="F3994" i="1"/>
  <c r="G3994" i="1"/>
  <c r="H3994" i="1"/>
  <c r="A3995" i="1"/>
  <c r="B3995" i="1"/>
  <c r="C3995" i="1"/>
  <c r="D3995" i="1"/>
  <c r="E3995" i="1"/>
  <c r="F3995" i="1"/>
  <c r="G3995" i="1"/>
  <c r="H3995" i="1"/>
  <c r="A3996" i="1"/>
  <c r="B3996" i="1"/>
  <c r="C3996" i="1"/>
  <c r="D3996" i="1"/>
  <c r="E3996" i="1"/>
  <c r="F3996" i="1"/>
  <c r="G3996" i="1"/>
  <c r="H3996" i="1"/>
  <c r="A3997" i="1"/>
  <c r="B3997" i="1"/>
  <c r="C3997" i="1"/>
  <c r="D3997" i="1"/>
  <c r="E3997" i="1"/>
  <c r="F3997" i="1"/>
  <c r="G3997" i="1"/>
  <c r="H3997" i="1"/>
  <c r="A3998" i="1"/>
  <c r="B3998" i="1"/>
  <c r="C3998" i="1"/>
  <c r="D3998" i="1"/>
  <c r="E3998" i="1"/>
  <c r="F3998" i="1"/>
  <c r="G3998" i="1"/>
  <c r="H3998" i="1"/>
  <c r="A3999" i="1"/>
  <c r="B3999" i="1"/>
  <c r="C3999" i="1"/>
  <c r="D3999" i="1"/>
  <c r="E3999" i="1"/>
  <c r="F3999" i="1"/>
  <c r="G3999" i="1"/>
  <c r="H3999" i="1"/>
  <c r="A4000" i="1"/>
  <c r="B4000" i="1"/>
  <c r="C4000" i="1"/>
  <c r="D4000" i="1"/>
  <c r="E4000" i="1"/>
  <c r="F4000" i="1"/>
  <c r="G4000" i="1"/>
  <c r="H4000" i="1"/>
  <c r="A4001" i="1"/>
  <c r="B4001" i="1"/>
  <c r="C4001" i="1"/>
  <c r="D4001" i="1"/>
  <c r="E4001" i="1"/>
  <c r="F4001" i="1"/>
  <c r="G4001" i="1"/>
  <c r="H4001" i="1"/>
  <c r="A4002" i="1"/>
  <c r="B4002" i="1"/>
  <c r="C4002" i="1"/>
  <c r="D4002" i="1"/>
  <c r="E4002" i="1"/>
  <c r="F4002" i="1"/>
  <c r="G4002" i="1"/>
  <c r="H4002" i="1"/>
  <c r="A4003" i="1"/>
  <c r="B4003" i="1"/>
  <c r="C4003" i="1"/>
  <c r="D4003" i="1"/>
  <c r="E4003" i="1"/>
  <c r="F4003" i="1"/>
  <c r="G4003" i="1"/>
  <c r="H4003" i="1"/>
  <c r="A4004" i="1"/>
  <c r="B4004" i="1"/>
  <c r="C4004" i="1"/>
  <c r="D4004" i="1"/>
  <c r="E4004" i="1"/>
  <c r="F4004" i="1"/>
  <c r="G4004" i="1"/>
  <c r="H4004" i="1"/>
  <c r="A4005" i="1"/>
  <c r="B4005" i="1"/>
  <c r="C4005" i="1"/>
  <c r="D4005" i="1"/>
  <c r="E4005" i="1"/>
  <c r="F4005" i="1"/>
  <c r="G4005" i="1"/>
  <c r="H4005" i="1"/>
  <c r="A4006" i="1"/>
  <c r="B4006" i="1"/>
  <c r="C4006" i="1"/>
  <c r="D4006" i="1"/>
  <c r="E4006" i="1"/>
  <c r="F4006" i="1"/>
  <c r="G4006" i="1"/>
  <c r="H4006" i="1"/>
  <c r="A4007" i="1"/>
  <c r="B4007" i="1"/>
  <c r="C4007" i="1"/>
  <c r="D4007" i="1"/>
  <c r="E4007" i="1"/>
  <c r="F4007" i="1"/>
  <c r="G4007" i="1"/>
  <c r="H4007" i="1"/>
  <c r="A4008" i="1"/>
  <c r="B4008" i="1"/>
  <c r="C4008" i="1"/>
  <c r="D4008" i="1"/>
  <c r="E4008" i="1"/>
  <c r="F4008" i="1"/>
  <c r="G4008" i="1"/>
  <c r="H4008" i="1"/>
  <c r="A4009" i="1"/>
  <c r="B4009" i="1"/>
  <c r="C4009" i="1"/>
  <c r="D4009" i="1"/>
  <c r="E4009" i="1"/>
  <c r="F4009" i="1"/>
  <c r="G4009" i="1"/>
  <c r="H4009" i="1"/>
  <c r="A4010" i="1"/>
  <c r="B4010" i="1"/>
  <c r="C4010" i="1"/>
  <c r="D4010" i="1"/>
  <c r="E4010" i="1"/>
  <c r="F4010" i="1"/>
  <c r="G4010" i="1"/>
  <c r="H4010" i="1"/>
  <c r="A4011" i="1"/>
  <c r="B4011" i="1"/>
  <c r="C4011" i="1"/>
  <c r="D4011" i="1"/>
  <c r="E4011" i="1"/>
  <c r="F4011" i="1"/>
  <c r="G4011" i="1"/>
  <c r="H4011" i="1"/>
  <c r="A4012" i="1"/>
  <c r="B4012" i="1"/>
  <c r="C4012" i="1"/>
  <c r="D4012" i="1"/>
  <c r="E4012" i="1"/>
  <c r="F4012" i="1"/>
  <c r="G4012" i="1"/>
  <c r="H4012" i="1"/>
  <c r="A4013" i="1"/>
  <c r="B4013" i="1"/>
  <c r="C4013" i="1"/>
  <c r="D4013" i="1"/>
  <c r="E4013" i="1"/>
  <c r="F4013" i="1"/>
  <c r="G4013" i="1"/>
  <c r="H4013" i="1"/>
  <c r="A4014" i="1"/>
  <c r="B4014" i="1"/>
  <c r="C4014" i="1"/>
  <c r="D4014" i="1"/>
  <c r="E4014" i="1"/>
  <c r="F4014" i="1"/>
  <c r="G4014" i="1"/>
  <c r="H4014" i="1"/>
  <c r="A4015" i="1"/>
  <c r="B4015" i="1"/>
  <c r="C4015" i="1"/>
  <c r="D4015" i="1"/>
  <c r="E4015" i="1"/>
  <c r="F4015" i="1"/>
  <c r="G4015" i="1"/>
  <c r="H4015" i="1"/>
  <c r="A4016" i="1"/>
  <c r="B4016" i="1"/>
  <c r="C4016" i="1"/>
  <c r="D4016" i="1"/>
  <c r="E4016" i="1"/>
  <c r="F4016" i="1"/>
  <c r="G4016" i="1"/>
  <c r="H4016" i="1"/>
  <c r="A4017" i="1"/>
  <c r="B4017" i="1"/>
  <c r="C4017" i="1"/>
  <c r="D4017" i="1"/>
  <c r="E4017" i="1"/>
  <c r="F4017" i="1"/>
  <c r="G4017" i="1"/>
  <c r="H4017" i="1"/>
  <c r="A4018" i="1"/>
  <c r="B4018" i="1"/>
  <c r="C4018" i="1"/>
  <c r="D4018" i="1"/>
  <c r="E4018" i="1"/>
  <c r="F4018" i="1"/>
  <c r="G4018" i="1"/>
  <c r="H4018" i="1"/>
  <c r="A4019" i="1"/>
  <c r="B4019" i="1"/>
  <c r="C4019" i="1"/>
  <c r="D4019" i="1"/>
  <c r="E4019" i="1"/>
  <c r="F4019" i="1"/>
  <c r="G4019" i="1"/>
  <c r="H4019" i="1"/>
  <c r="A4020" i="1"/>
  <c r="B4020" i="1"/>
  <c r="C4020" i="1"/>
  <c r="D4020" i="1"/>
  <c r="E4020" i="1"/>
  <c r="F4020" i="1"/>
  <c r="G4020" i="1"/>
  <c r="H4020" i="1"/>
  <c r="A4021" i="1"/>
  <c r="B4021" i="1"/>
  <c r="C4021" i="1"/>
  <c r="D4021" i="1"/>
  <c r="E4021" i="1"/>
  <c r="F4021" i="1"/>
  <c r="G4021" i="1"/>
  <c r="H4021" i="1"/>
  <c r="A4022" i="1"/>
  <c r="B4022" i="1"/>
  <c r="C4022" i="1"/>
  <c r="D4022" i="1"/>
  <c r="E4022" i="1"/>
  <c r="F4022" i="1"/>
  <c r="G4022" i="1"/>
  <c r="H4022" i="1"/>
  <c r="A4023" i="1"/>
  <c r="B4023" i="1"/>
  <c r="C4023" i="1"/>
  <c r="D4023" i="1"/>
  <c r="E4023" i="1"/>
  <c r="F4023" i="1"/>
  <c r="G4023" i="1"/>
  <c r="H4023" i="1"/>
  <c r="A4024" i="1"/>
  <c r="B4024" i="1"/>
  <c r="C4024" i="1"/>
  <c r="D4024" i="1"/>
  <c r="E4024" i="1"/>
  <c r="F4024" i="1"/>
  <c r="G4024" i="1"/>
  <c r="H4024" i="1"/>
  <c r="A4025" i="1"/>
  <c r="B4025" i="1"/>
  <c r="C4025" i="1"/>
  <c r="D4025" i="1"/>
  <c r="E4025" i="1"/>
  <c r="F4025" i="1"/>
  <c r="G4025" i="1"/>
  <c r="H4025" i="1"/>
  <c r="A4026" i="1"/>
  <c r="B4026" i="1"/>
  <c r="C4026" i="1"/>
  <c r="D4026" i="1"/>
  <c r="E4026" i="1"/>
  <c r="F4026" i="1"/>
  <c r="G4026" i="1"/>
  <c r="H4026" i="1"/>
  <c r="A4027" i="1"/>
  <c r="B4027" i="1"/>
  <c r="C4027" i="1"/>
  <c r="D4027" i="1"/>
  <c r="E4027" i="1"/>
  <c r="F4027" i="1"/>
  <c r="G4027" i="1"/>
  <c r="H4027" i="1"/>
  <c r="A4028" i="1"/>
  <c r="B4028" i="1"/>
  <c r="C4028" i="1"/>
  <c r="D4028" i="1"/>
  <c r="E4028" i="1"/>
  <c r="F4028" i="1"/>
  <c r="G4028" i="1"/>
  <c r="H4028" i="1"/>
  <c r="A4029" i="1"/>
  <c r="B4029" i="1"/>
  <c r="C4029" i="1"/>
  <c r="D4029" i="1"/>
  <c r="E4029" i="1"/>
  <c r="F4029" i="1"/>
  <c r="G4029" i="1"/>
  <c r="H4029" i="1"/>
  <c r="A4030" i="1"/>
  <c r="B4030" i="1"/>
  <c r="C4030" i="1"/>
  <c r="D4030" i="1"/>
  <c r="E4030" i="1"/>
  <c r="F4030" i="1"/>
  <c r="G4030" i="1"/>
  <c r="H4030" i="1"/>
  <c r="A4031" i="1"/>
  <c r="B4031" i="1"/>
  <c r="C4031" i="1"/>
  <c r="D4031" i="1"/>
  <c r="E4031" i="1"/>
  <c r="F4031" i="1"/>
  <c r="G4031" i="1"/>
  <c r="H4031" i="1"/>
  <c r="A4032" i="1"/>
  <c r="B4032" i="1"/>
  <c r="C4032" i="1"/>
  <c r="D4032" i="1"/>
  <c r="E4032" i="1"/>
  <c r="F4032" i="1"/>
  <c r="G4032" i="1"/>
  <c r="H4032" i="1"/>
  <c r="A4033" i="1"/>
  <c r="B4033" i="1"/>
  <c r="C4033" i="1"/>
  <c r="D4033" i="1"/>
  <c r="E4033" i="1"/>
  <c r="F4033" i="1"/>
  <c r="G4033" i="1"/>
  <c r="H4033" i="1"/>
  <c r="A4034" i="1"/>
  <c r="B4034" i="1"/>
  <c r="C4034" i="1"/>
  <c r="D4034" i="1"/>
  <c r="E4034" i="1"/>
  <c r="F4034" i="1"/>
  <c r="G4034" i="1"/>
  <c r="H4034" i="1"/>
  <c r="A4035" i="1"/>
  <c r="B4035" i="1"/>
  <c r="C4035" i="1"/>
  <c r="D4035" i="1"/>
  <c r="E4035" i="1"/>
  <c r="F4035" i="1"/>
  <c r="G4035" i="1"/>
  <c r="H4035" i="1"/>
  <c r="A4036" i="1"/>
  <c r="B4036" i="1"/>
  <c r="C4036" i="1"/>
  <c r="D4036" i="1"/>
  <c r="E4036" i="1"/>
  <c r="F4036" i="1"/>
  <c r="G4036" i="1"/>
  <c r="H4036" i="1"/>
  <c r="A4037" i="1"/>
  <c r="B4037" i="1"/>
  <c r="C4037" i="1"/>
  <c r="D4037" i="1"/>
  <c r="E4037" i="1"/>
  <c r="F4037" i="1"/>
  <c r="G4037" i="1"/>
  <c r="H4037" i="1"/>
  <c r="A4038" i="1"/>
  <c r="B4038" i="1"/>
  <c r="C4038" i="1"/>
  <c r="D4038" i="1"/>
  <c r="E4038" i="1"/>
  <c r="F4038" i="1"/>
  <c r="G4038" i="1"/>
  <c r="H4038" i="1"/>
  <c r="A4039" i="1"/>
  <c r="B4039" i="1"/>
  <c r="C4039" i="1"/>
  <c r="D4039" i="1"/>
  <c r="E4039" i="1"/>
  <c r="F4039" i="1"/>
  <c r="G4039" i="1"/>
  <c r="H4039" i="1"/>
  <c r="A4040" i="1"/>
  <c r="B4040" i="1"/>
  <c r="C4040" i="1"/>
  <c r="D4040" i="1"/>
  <c r="E4040" i="1"/>
  <c r="F4040" i="1"/>
  <c r="G4040" i="1"/>
  <c r="H4040" i="1"/>
  <c r="A4041" i="1"/>
  <c r="B4041" i="1"/>
  <c r="C4041" i="1"/>
  <c r="D4041" i="1"/>
  <c r="E4041" i="1"/>
  <c r="F4041" i="1"/>
  <c r="G4041" i="1"/>
  <c r="H4041" i="1"/>
  <c r="A4042" i="1"/>
  <c r="B4042" i="1"/>
  <c r="C4042" i="1"/>
  <c r="D4042" i="1"/>
  <c r="E4042" i="1"/>
  <c r="F4042" i="1"/>
  <c r="G4042" i="1"/>
  <c r="H4042" i="1"/>
  <c r="A4043" i="1"/>
  <c r="B4043" i="1"/>
  <c r="C4043" i="1"/>
  <c r="D4043" i="1"/>
  <c r="E4043" i="1"/>
  <c r="F4043" i="1"/>
  <c r="G4043" i="1"/>
  <c r="H4043" i="1"/>
  <c r="A4044" i="1"/>
  <c r="B4044" i="1"/>
  <c r="C4044" i="1"/>
  <c r="D4044" i="1"/>
  <c r="E4044" i="1"/>
  <c r="F4044" i="1"/>
  <c r="G4044" i="1"/>
  <c r="H4044" i="1"/>
  <c r="A4045" i="1"/>
  <c r="B4045" i="1"/>
  <c r="C4045" i="1"/>
  <c r="D4045" i="1"/>
  <c r="E4045" i="1"/>
  <c r="F4045" i="1"/>
  <c r="G4045" i="1"/>
  <c r="H4045" i="1"/>
  <c r="A4046" i="1"/>
  <c r="B4046" i="1"/>
  <c r="C4046" i="1"/>
  <c r="D4046" i="1"/>
  <c r="E4046" i="1"/>
  <c r="F4046" i="1"/>
  <c r="G4046" i="1"/>
  <c r="H4046" i="1"/>
  <c r="A4047" i="1"/>
  <c r="B4047" i="1"/>
  <c r="C4047" i="1"/>
  <c r="D4047" i="1"/>
  <c r="E4047" i="1"/>
  <c r="F4047" i="1"/>
  <c r="G4047" i="1"/>
  <c r="H4047" i="1"/>
  <c r="A4048" i="1"/>
  <c r="B4048" i="1"/>
  <c r="C4048" i="1"/>
  <c r="D4048" i="1"/>
  <c r="E4048" i="1"/>
  <c r="F4048" i="1"/>
  <c r="G4048" i="1"/>
  <c r="H4048" i="1"/>
  <c r="A4049" i="1"/>
  <c r="B4049" i="1"/>
  <c r="C4049" i="1"/>
  <c r="D4049" i="1"/>
  <c r="E4049" i="1"/>
  <c r="F4049" i="1"/>
  <c r="G4049" i="1"/>
  <c r="H4049" i="1"/>
  <c r="A4050" i="1"/>
  <c r="B4050" i="1"/>
  <c r="C4050" i="1"/>
  <c r="D4050" i="1"/>
  <c r="E4050" i="1"/>
  <c r="F4050" i="1"/>
  <c r="G4050" i="1"/>
  <c r="H4050" i="1"/>
  <c r="A4051" i="1"/>
  <c r="B4051" i="1"/>
  <c r="C4051" i="1"/>
  <c r="D4051" i="1"/>
  <c r="E4051" i="1"/>
  <c r="F4051" i="1"/>
  <c r="G4051" i="1"/>
  <c r="H4051" i="1"/>
  <c r="A4052" i="1"/>
  <c r="B4052" i="1"/>
  <c r="C4052" i="1"/>
  <c r="D4052" i="1"/>
  <c r="E4052" i="1"/>
  <c r="F4052" i="1"/>
  <c r="G4052" i="1"/>
  <c r="H4052" i="1"/>
  <c r="A4053" i="1"/>
  <c r="B4053" i="1"/>
  <c r="C4053" i="1"/>
  <c r="D4053" i="1"/>
  <c r="E4053" i="1"/>
  <c r="F4053" i="1"/>
  <c r="G4053" i="1"/>
  <c r="H4053" i="1"/>
  <c r="A4054" i="1"/>
  <c r="B4054" i="1"/>
  <c r="C4054" i="1"/>
  <c r="D4054" i="1"/>
  <c r="E4054" i="1"/>
  <c r="F4054" i="1"/>
  <c r="G4054" i="1"/>
  <c r="H4054" i="1"/>
  <c r="A4055" i="1"/>
  <c r="B4055" i="1"/>
  <c r="C4055" i="1"/>
  <c r="D4055" i="1"/>
  <c r="E4055" i="1"/>
  <c r="F4055" i="1"/>
  <c r="G4055" i="1"/>
  <c r="H4055" i="1"/>
  <c r="A4056" i="1"/>
  <c r="B4056" i="1"/>
  <c r="C4056" i="1"/>
  <c r="D4056" i="1"/>
  <c r="E4056" i="1"/>
  <c r="F4056" i="1"/>
  <c r="G4056" i="1"/>
  <c r="H4056" i="1"/>
  <c r="A4057" i="1"/>
  <c r="B4057" i="1"/>
  <c r="C4057" i="1"/>
  <c r="D4057" i="1"/>
  <c r="E4057" i="1"/>
  <c r="F4057" i="1"/>
  <c r="G4057" i="1"/>
  <c r="H4057" i="1"/>
  <c r="A4058" i="1"/>
  <c r="B4058" i="1"/>
  <c r="C4058" i="1"/>
  <c r="D4058" i="1"/>
  <c r="E4058" i="1"/>
  <c r="F4058" i="1"/>
  <c r="G4058" i="1"/>
  <c r="H4058" i="1"/>
  <c r="A4059" i="1"/>
  <c r="B4059" i="1"/>
  <c r="C4059" i="1"/>
  <c r="D4059" i="1"/>
  <c r="E4059" i="1"/>
  <c r="F4059" i="1"/>
  <c r="G4059" i="1"/>
  <c r="H4059" i="1"/>
  <c r="A4060" i="1"/>
  <c r="B4060" i="1"/>
  <c r="C4060" i="1"/>
  <c r="D4060" i="1"/>
  <c r="E4060" i="1"/>
  <c r="F4060" i="1"/>
  <c r="G4060" i="1"/>
  <c r="H4060" i="1"/>
  <c r="A4061" i="1"/>
  <c r="B4061" i="1"/>
  <c r="C4061" i="1"/>
  <c r="D4061" i="1"/>
  <c r="E4061" i="1"/>
  <c r="F4061" i="1"/>
  <c r="G4061" i="1"/>
  <c r="H4061" i="1"/>
  <c r="A4062" i="1"/>
  <c r="B4062" i="1"/>
  <c r="C4062" i="1"/>
  <c r="D4062" i="1"/>
  <c r="E4062" i="1"/>
  <c r="F4062" i="1"/>
  <c r="G4062" i="1"/>
  <c r="H4062" i="1"/>
  <c r="A4063" i="1"/>
  <c r="B4063" i="1"/>
  <c r="C4063" i="1"/>
  <c r="D4063" i="1"/>
  <c r="E4063" i="1"/>
  <c r="F4063" i="1"/>
  <c r="G4063" i="1"/>
  <c r="H4063" i="1"/>
  <c r="A4064" i="1"/>
  <c r="B4064" i="1"/>
  <c r="C4064" i="1"/>
  <c r="D4064" i="1"/>
  <c r="E4064" i="1"/>
  <c r="F4064" i="1"/>
  <c r="G4064" i="1"/>
  <c r="H4064" i="1"/>
  <c r="A4065" i="1"/>
  <c r="B4065" i="1"/>
  <c r="C4065" i="1"/>
  <c r="D4065" i="1"/>
  <c r="E4065" i="1"/>
  <c r="F4065" i="1"/>
  <c r="G4065" i="1"/>
  <c r="H4065" i="1"/>
  <c r="A4066" i="1"/>
  <c r="B4066" i="1"/>
  <c r="C4066" i="1"/>
  <c r="D4066" i="1"/>
  <c r="E4066" i="1"/>
  <c r="F4066" i="1"/>
  <c r="G4066" i="1"/>
  <c r="H4066" i="1"/>
  <c r="A4067" i="1"/>
  <c r="B4067" i="1"/>
  <c r="C4067" i="1"/>
  <c r="D4067" i="1"/>
  <c r="E4067" i="1"/>
  <c r="F4067" i="1"/>
  <c r="G4067" i="1"/>
  <c r="H4067" i="1"/>
  <c r="A4068" i="1"/>
  <c r="B4068" i="1"/>
  <c r="C4068" i="1"/>
  <c r="D4068" i="1"/>
  <c r="E4068" i="1"/>
  <c r="F4068" i="1"/>
  <c r="G4068" i="1"/>
  <c r="H4068" i="1"/>
  <c r="A4069" i="1"/>
  <c r="B4069" i="1"/>
  <c r="C4069" i="1"/>
  <c r="D4069" i="1"/>
  <c r="E4069" i="1"/>
  <c r="F4069" i="1"/>
  <c r="G4069" i="1"/>
  <c r="H4069" i="1"/>
  <c r="A4070" i="1"/>
  <c r="B4070" i="1"/>
  <c r="C4070" i="1"/>
  <c r="D4070" i="1"/>
  <c r="E4070" i="1"/>
  <c r="F4070" i="1"/>
  <c r="G4070" i="1"/>
  <c r="H4070" i="1"/>
  <c r="A4071" i="1"/>
  <c r="B4071" i="1"/>
  <c r="C4071" i="1"/>
  <c r="D4071" i="1"/>
  <c r="E4071" i="1"/>
  <c r="F4071" i="1"/>
  <c r="G4071" i="1"/>
  <c r="H4071" i="1"/>
  <c r="A4072" i="1"/>
  <c r="B4072" i="1"/>
  <c r="C4072" i="1"/>
  <c r="D4072" i="1"/>
  <c r="E4072" i="1"/>
  <c r="F4072" i="1"/>
  <c r="G4072" i="1"/>
  <c r="H4072" i="1"/>
  <c r="A4073" i="1"/>
  <c r="B4073" i="1"/>
  <c r="C4073" i="1"/>
  <c r="D4073" i="1"/>
  <c r="E4073" i="1"/>
  <c r="F4073" i="1"/>
  <c r="G4073" i="1"/>
  <c r="H4073" i="1"/>
  <c r="A4074" i="1"/>
  <c r="B4074" i="1"/>
  <c r="C4074" i="1"/>
  <c r="D4074" i="1"/>
  <c r="E4074" i="1"/>
  <c r="F4074" i="1"/>
  <c r="G4074" i="1"/>
  <c r="H4074" i="1"/>
  <c r="A4075" i="1"/>
  <c r="B4075" i="1"/>
  <c r="C4075" i="1"/>
  <c r="D4075" i="1"/>
  <c r="E4075" i="1"/>
  <c r="F4075" i="1"/>
  <c r="G4075" i="1"/>
  <c r="H4075" i="1"/>
  <c r="A4076" i="1"/>
  <c r="B4076" i="1"/>
  <c r="C4076" i="1"/>
  <c r="D4076" i="1"/>
  <c r="E4076" i="1"/>
  <c r="F4076" i="1"/>
  <c r="G4076" i="1"/>
  <c r="H4076" i="1"/>
  <c r="A4077" i="1"/>
  <c r="B4077" i="1"/>
  <c r="C4077" i="1"/>
  <c r="D4077" i="1"/>
  <c r="E4077" i="1"/>
  <c r="F4077" i="1"/>
  <c r="G4077" i="1"/>
  <c r="H4077" i="1"/>
  <c r="A4078" i="1"/>
  <c r="B4078" i="1"/>
  <c r="C4078" i="1"/>
  <c r="D4078" i="1"/>
  <c r="E4078" i="1"/>
  <c r="F4078" i="1"/>
  <c r="G4078" i="1"/>
  <c r="H4078" i="1"/>
  <c r="A4079" i="1"/>
  <c r="B4079" i="1"/>
  <c r="C4079" i="1"/>
  <c r="D4079" i="1"/>
  <c r="E4079" i="1"/>
  <c r="F4079" i="1"/>
  <c r="G4079" i="1"/>
  <c r="H4079" i="1"/>
  <c r="A4080" i="1"/>
  <c r="B4080" i="1"/>
  <c r="C4080" i="1"/>
  <c r="D4080" i="1"/>
  <c r="E4080" i="1"/>
  <c r="F4080" i="1"/>
  <c r="G4080" i="1"/>
  <c r="H4080" i="1"/>
  <c r="A4081" i="1"/>
  <c r="B4081" i="1"/>
  <c r="C4081" i="1"/>
  <c r="D4081" i="1"/>
  <c r="E4081" i="1"/>
  <c r="F4081" i="1"/>
  <c r="G4081" i="1"/>
  <c r="H4081" i="1"/>
  <c r="A4082" i="1"/>
  <c r="B4082" i="1"/>
  <c r="C4082" i="1"/>
  <c r="D4082" i="1"/>
  <c r="E4082" i="1"/>
  <c r="F4082" i="1"/>
  <c r="G4082" i="1"/>
  <c r="H4082" i="1"/>
  <c r="A4083" i="1"/>
  <c r="B4083" i="1"/>
  <c r="C4083" i="1"/>
  <c r="D4083" i="1"/>
  <c r="E4083" i="1"/>
  <c r="F4083" i="1"/>
  <c r="G4083" i="1"/>
  <c r="H4083" i="1"/>
  <c r="A4084" i="1"/>
  <c r="B4084" i="1"/>
  <c r="C4084" i="1"/>
  <c r="D4084" i="1"/>
  <c r="E4084" i="1"/>
  <c r="F4084" i="1"/>
  <c r="G4084" i="1"/>
  <c r="H4084" i="1"/>
  <c r="A4085" i="1"/>
  <c r="B4085" i="1"/>
  <c r="C4085" i="1"/>
  <c r="D4085" i="1"/>
  <c r="E4085" i="1"/>
  <c r="F4085" i="1"/>
  <c r="G4085" i="1"/>
  <c r="H4085" i="1"/>
  <c r="A4086" i="1"/>
  <c r="B4086" i="1"/>
  <c r="C4086" i="1"/>
  <c r="D4086" i="1"/>
  <c r="E4086" i="1"/>
  <c r="F4086" i="1"/>
  <c r="G4086" i="1"/>
  <c r="H4086" i="1"/>
  <c r="A4087" i="1"/>
  <c r="B4087" i="1"/>
  <c r="C4087" i="1"/>
  <c r="D4087" i="1"/>
  <c r="E4087" i="1"/>
  <c r="F4087" i="1"/>
  <c r="G4087" i="1"/>
  <c r="H4087" i="1"/>
  <c r="A4088" i="1"/>
  <c r="B4088" i="1"/>
  <c r="C4088" i="1"/>
  <c r="D4088" i="1"/>
  <c r="E4088" i="1"/>
  <c r="F4088" i="1"/>
  <c r="G4088" i="1"/>
  <c r="H4088" i="1"/>
  <c r="A4089" i="1"/>
  <c r="B4089" i="1"/>
  <c r="C4089" i="1"/>
  <c r="D4089" i="1"/>
  <c r="E4089" i="1"/>
  <c r="F4089" i="1"/>
  <c r="G4089" i="1"/>
  <c r="H4089" i="1"/>
  <c r="A4090" i="1"/>
  <c r="B4090" i="1"/>
  <c r="C4090" i="1"/>
  <c r="D4090" i="1"/>
  <c r="E4090" i="1"/>
  <c r="F4090" i="1"/>
  <c r="G4090" i="1"/>
  <c r="H4090" i="1"/>
  <c r="A4091" i="1"/>
  <c r="B4091" i="1"/>
  <c r="C4091" i="1"/>
  <c r="D4091" i="1"/>
  <c r="E4091" i="1"/>
  <c r="F4091" i="1"/>
  <c r="G4091" i="1"/>
  <c r="H4091" i="1"/>
  <c r="A4092" i="1"/>
  <c r="B4092" i="1"/>
  <c r="C4092" i="1"/>
  <c r="D4092" i="1"/>
  <c r="E4092" i="1"/>
  <c r="F4092" i="1"/>
  <c r="G4092" i="1"/>
  <c r="H4092" i="1"/>
  <c r="A4093" i="1"/>
  <c r="B4093" i="1"/>
  <c r="C4093" i="1"/>
  <c r="D4093" i="1"/>
  <c r="E4093" i="1"/>
  <c r="F4093" i="1"/>
  <c r="G4093" i="1"/>
  <c r="H4093" i="1"/>
  <c r="A4094" i="1"/>
  <c r="B4094" i="1"/>
  <c r="C4094" i="1"/>
  <c r="D4094" i="1"/>
  <c r="E4094" i="1"/>
  <c r="F4094" i="1"/>
  <c r="G4094" i="1"/>
  <c r="H4094" i="1"/>
  <c r="A4095" i="1"/>
  <c r="B4095" i="1"/>
  <c r="C4095" i="1"/>
  <c r="D4095" i="1"/>
  <c r="E4095" i="1"/>
  <c r="F4095" i="1"/>
  <c r="G4095" i="1"/>
  <c r="H4095" i="1"/>
  <c r="A4096" i="1"/>
  <c r="B4096" i="1"/>
  <c r="C4096" i="1"/>
  <c r="D4096" i="1"/>
  <c r="E4096" i="1"/>
  <c r="F4096" i="1"/>
  <c r="G4096" i="1"/>
  <c r="H4096" i="1"/>
  <c r="A4097" i="1"/>
  <c r="B4097" i="1"/>
  <c r="C4097" i="1"/>
  <c r="D4097" i="1"/>
  <c r="E4097" i="1"/>
  <c r="F4097" i="1"/>
  <c r="G4097" i="1"/>
  <c r="H4097" i="1"/>
  <c r="A4098" i="1"/>
  <c r="B4098" i="1"/>
  <c r="C4098" i="1"/>
  <c r="D4098" i="1"/>
  <c r="E4098" i="1"/>
  <c r="F4098" i="1"/>
  <c r="G4098" i="1"/>
  <c r="H4098" i="1"/>
  <c r="A4099" i="1"/>
  <c r="B4099" i="1"/>
  <c r="C4099" i="1"/>
  <c r="D4099" i="1"/>
  <c r="E4099" i="1"/>
  <c r="F4099" i="1"/>
  <c r="G4099" i="1"/>
  <c r="H4099" i="1"/>
  <c r="A4100" i="1"/>
  <c r="B4100" i="1"/>
  <c r="C4100" i="1"/>
  <c r="D4100" i="1"/>
  <c r="E4100" i="1"/>
  <c r="F4100" i="1"/>
  <c r="G4100" i="1"/>
  <c r="H4100" i="1"/>
  <c r="A4101" i="1"/>
  <c r="B4101" i="1"/>
  <c r="C4101" i="1"/>
  <c r="D4101" i="1"/>
  <c r="E4101" i="1"/>
  <c r="F4101" i="1"/>
  <c r="G4101" i="1"/>
  <c r="H4101" i="1"/>
  <c r="A4102" i="1"/>
  <c r="B4102" i="1"/>
  <c r="C4102" i="1"/>
  <c r="D4102" i="1"/>
  <c r="E4102" i="1"/>
  <c r="F4102" i="1"/>
  <c r="G4102" i="1"/>
  <c r="H4102" i="1"/>
  <c r="A4103" i="1"/>
  <c r="B4103" i="1"/>
  <c r="C4103" i="1"/>
  <c r="D4103" i="1"/>
  <c r="E4103" i="1"/>
  <c r="F4103" i="1"/>
  <c r="G4103" i="1"/>
  <c r="H4103" i="1"/>
  <c r="A4104" i="1"/>
  <c r="B4104" i="1"/>
  <c r="C4104" i="1"/>
  <c r="D4104" i="1"/>
  <c r="E4104" i="1"/>
  <c r="F4104" i="1"/>
  <c r="G4104" i="1"/>
  <c r="H4104" i="1"/>
  <c r="A4105" i="1"/>
  <c r="B4105" i="1"/>
  <c r="C4105" i="1"/>
  <c r="D4105" i="1"/>
  <c r="E4105" i="1"/>
  <c r="F4105" i="1"/>
  <c r="G4105" i="1"/>
  <c r="H4105" i="1"/>
  <c r="A4106" i="1"/>
  <c r="B4106" i="1"/>
  <c r="C4106" i="1"/>
  <c r="D4106" i="1"/>
  <c r="E4106" i="1"/>
  <c r="F4106" i="1"/>
  <c r="G4106" i="1"/>
  <c r="H4106" i="1"/>
  <c r="A4107" i="1"/>
  <c r="B4107" i="1"/>
  <c r="C4107" i="1"/>
  <c r="D4107" i="1"/>
  <c r="E4107" i="1"/>
  <c r="F4107" i="1"/>
  <c r="G4107" i="1"/>
  <c r="H4107" i="1"/>
  <c r="A4108" i="1"/>
  <c r="B4108" i="1"/>
  <c r="C4108" i="1"/>
  <c r="D4108" i="1"/>
  <c r="E4108" i="1"/>
  <c r="F4108" i="1"/>
  <c r="G4108" i="1"/>
  <c r="H4108" i="1"/>
  <c r="A4109" i="1"/>
  <c r="B4109" i="1"/>
  <c r="C4109" i="1"/>
  <c r="D4109" i="1"/>
  <c r="E4109" i="1"/>
  <c r="F4109" i="1"/>
  <c r="G4109" i="1"/>
  <c r="H4109" i="1"/>
  <c r="A4110" i="1"/>
  <c r="B4110" i="1"/>
  <c r="C4110" i="1"/>
  <c r="D4110" i="1"/>
  <c r="E4110" i="1"/>
  <c r="F4110" i="1"/>
  <c r="G4110" i="1"/>
  <c r="H4110" i="1"/>
  <c r="A4111" i="1"/>
  <c r="B4111" i="1"/>
  <c r="C4111" i="1"/>
  <c r="D4111" i="1"/>
  <c r="E4111" i="1"/>
  <c r="F4111" i="1"/>
  <c r="G4111" i="1"/>
  <c r="H4111" i="1"/>
  <c r="A4112" i="1"/>
  <c r="B4112" i="1"/>
  <c r="C4112" i="1"/>
  <c r="D4112" i="1"/>
  <c r="E4112" i="1"/>
  <c r="F4112" i="1"/>
  <c r="G4112" i="1"/>
  <c r="H4112" i="1"/>
  <c r="A4113" i="1"/>
  <c r="B4113" i="1"/>
  <c r="C4113" i="1"/>
  <c r="D4113" i="1"/>
  <c r="E4113" i="1"/>
  <c r="F4113" i="1"/>
  <c r="G4113" i="1"/>
  <c r="H4113" i="1"/>
  <c r="A4114" i="1"/>
  <c r="B4114" i="1"/>
  <c r="C4114" i="1"/>
  <c r="D4114" i="1"/>
  <c r="E4114" i="1"/>
  <c r="F4114" i="1"/>
  <c r="G4114" i="1"/>
  <c r="H4114" i="1"/>
  <c r="A4115" i="1"/>
  <c r="B4115" i="1"/>
  <c r="C4115" i="1"/>
  <c r="D4115" i="1"/>
  <c r="E4115" i="1"/>
  <c r="F4115" i="1"/>
  <c r="G4115" i="1"/>
  <c r="H4115" i="1"/>
  <c r="A4116" i="1"/>
  <c r="B4116" i="1"/>
  <c r="C4116" i="1"/>
  <c r="D4116" i="1"/>
  <c r="E4116" i="1"/>
  <c r="F4116" i="1"/>
  <c r="G4116" i="1"/>
  <c r="H4116" i="1"/>
  <c r="A4117" i="1"/>
  <c r="B4117" i="1"/>
  <c r="C4117" i="1"/>
  <c r="D4117" i="1"/>
  <c r="E4117" i="1"/>
  <c r="F4117" i="1"/>
  <c r="G4117" i="1"/>
  <c r="H4117" i="1"/>
  <c r="A4118" i="1"/>
  <c r="B4118" i="1"/>
  <c r="C4118" i="1"/>
  <c r="D4118" i="1"/>
  <c r="E4118" i="1"/>
  <c r="F4118" i="1"/>
  <c r="G4118" i="1"/>
  <c r="H4118" i="1"/>
  <c r="A4119" i="1"/>
  <c r="B4119" i="1"/>
  <c r="C4119" i="1"/>
  <c r="D4119" i="1"/>
  <c r="E4119" i="1"/>
  <c r="F4119" i="1"/>
  <c r="G4119" i="1"/>
  <c r="H4119" i="1"/>
  <c r="A4120" i="1"/>
  <c r="B4120" i="1"/>
  <c r="C4120" i="1"/>
  <c r="D4120" i="1"/>
  <c r="E4120" i="1"/>
  <c r="F4120" i="1"/>
  <c r="G4120" i="1"/>
  <c r="H4120" i="1"/>
  <c r="A4121" i="1"/>
  <c r="B4121" i="1"/>
  <c r="C4121" i="1"/>
  <c r="D4121" i="1"/>
  <c r="E4121" i="1"/>
  <c r="F4121" i="1"/>
  <c r="G4121" i="1"/>
  <c r="H4121" i="1"/>
  <c r="A4122" i="1"/>
  <c r="B4122" i="1"/>
  <c r="C4122" i="1"/>
  <c r="D4122" i="1"/>
  <c r="E4122" i="1"/>
  <c r="F4122" i="1"/>
  <c r="G4122" i="1"/>
  <c r="H4122" i="1"/>
  <c r="A4123" i="1"/>
  <c r="B4123" i="1"/>
  <c r="C4123" i="1"/>
  <c r="D4123" i="1"/>
  <c r="E4123" i="1"/>
  <c r="F4123" i="1"/>
  <c r="G4123" i="1"/>
  <c r="H4123" i="1"/>
  <c r="A4124" i="1"/>
  <c r="B4124" i="1"/>
  <c r="C4124" i="1"/>
  <c r="D4124" i="1"/>
  <c r="E4124" i="1"/>
  <c r="F4124" i="1"/>
  <c r="G4124" i="1"/>
  <c r="H4124" i="1"/>
  <c r="A4125" i="1"/>
  <c r="B4125" i="1"/>
  <c r="C4125" i="1"/>
  <c r="D4125" i="1"/>
  <c r="E4125" i="1"/>
  <c r="F4125" i="1"/>
  <c r="G4125" i="1"/>
  <c r="H4125" i="1"/>
  <c r="A4126" i="1"/>
  <c r="B4126" i="1"/>
  <c r="C4126" i="1"/>
  <c r="D4126" i="1"/>
  <c r="E4126" i="1"/>
  <c r="F4126" i="1"/>
  <c r="G4126" i="1"/>
  <c r="H4126" i="1"/>
  <c r="A4127" i="1"/>
  <c r="B4127" i="1"/>
  <c r="C4127" i="1"/>
  <c r="D4127" i="1"/>
  <c r="E4127" i="1"/>
  <c r="F4127" i="1"/>
  <c r="G4127" i="1"/>
  <c r="H4127" i="1"/>
  <c r="A4128" i="1"/>
  <c r="B4128" i="1"/>
  <c r="C4128" i="1"/>
  <c r="D4128" i="1"/>
  <c r="E4128" i="1"/>
  <c r="F4128" i="1"/>
  <c r="G4128" i="1"/>
  <c r="H4128" i="1"/>
  <c r="A4129" i="1"/>
  <c r="B4129" i="1"/>
  <c r="C4129" i="1"/>
  <c r="D4129" i="1"/>
  <c r="E4129" i="1"/>
  <c r="F4129" i="1"/>
  <c r="G4129" i="1"/>
  <c r="H4129" i="1"/>
  <c r="A4130" i="1"/>
  <c r="B4130" i="1"/>
  <c r="C4130" i="1"/>
  <c r="D4130" i="1"/>
  <c r="E4130" i="1"/>
  <c r="F4130" i="1"/>
  <c r="G4130" i="1"/>
  <c r="H4130" i="1"/>
  <c r="A4131" i="1"/>
  <c r="B4131" i="1"/>
  <c r="C4131" i="1"/>
  <c r="D4131" i="1"/>
  <c r="E4131" i="1"/>
  <c r="F4131" i="1"/>
  <c r="G4131" i="1"/>
  <c r="H4131" i="1"/>
  <c r="A4132" i="1"/>
  <c r="B4132" i="1"/>
  <c r="C4132" i="1"/>
  <c r="D4132" i="1"/>
  <c r="E4132" i="1"/>
  <c r="F4132" i="1"/>
  <c r="G4132" i="1"/>
  <c r="H4132" i="1"/>
  <c r="A4133" i="1"/>
  <c r="B4133" i="1"/>
  <c r="C4133" i="1"/>
  <c r="D4133" i="1"/>
  <c r="E4133" i="1"/>
  <c r="F4133" i="1"/>
  <c r="G4133" i="1"/>
  <c r="H4133" i="1"/>
  <c r="A4134" i="1"/>
  <c r="B4134" i="1"/>
  <c r="C4134" i="1"/>
  <c r="D4134" i="1"/>
  <c r="E4134" i="1"/>
  <c r="F4134" i="1"/>
  <c r="G4134" i="1"/>
  <c r="H4134" i="1"/>
  <c r="A4135" i="1"/>
  <c r="B4135" i="1"/>
  <c r="C4135" i="1"/>
  <c r="D4135" i="1"/>
  <c r="E4135" i="1"/>
  <c r="F4135" i="1"/>
  <c r="G4135" i="1"/>
  <c r="H4135" i="1"/>
  <c r="A4136" i="1"/>
  <c r="B4136" i="1"/>
  <c r="C4136" i="1"/>
  <c r="D4136" i="1"/>
  <c r="E4136" i="1"/>
  <c r="F4136" i="1"/>
  <c r="G4136" i="1"/>
  <c r="H4136" i="1"/>
  <c r="A4137" i="1"/>
  <c r="B4137" i="1"/>
  <c r="C4137" i="1"/>
  <c r="D4137" i="1"/>
  <c r="E4137" i="1"/>
  <c r="F4137" i="1"/>
  <c r="G4137" i="1"/>
  <c r="H4137" i="1"/>
  <c r="A4138" i="1"/>
  <c r="B4138" i="1"/>
  <c r="C4138" i="1"/>
  <c r="D4138" i="1"/>
  <c r="E4138" i="1"/>
  <c r="F4138" i="1"/>
  <c r="G4138" i="1"/>
  <c r="H4138" i="1"/>
  <c r="A4139" i="1"/>
  <c r="B4139" i="1"/>
  <c r="C4139" i="1"/>
  <c r="D4139" i="1"/>
  <c r="E4139" i="1"/>
  <c r="F4139" i="1"/>
  <c r="G4139" i="1"/>
  <c r="H4139" i="1"/>
  <c r="A4140" i="1"/>
  <c r="B4140" i="1"/>
  <c r="C4140" i="1"/>
  <c r="D4140" i="1"/>
  <c r="E4140" i="1"/>
  <c r="F4140" i="1"/>
  <c r="G4140" i="1"/>
  <c r="H4140" i="1"/>
  <c r="A4141" i="1"/>
  <c r="B4141" i="1"/>
  <c r="C4141" i="1"/>
  <c r="D4141" i="1"/>
  <c r="E4141" i="1"/>
  <c r="F4141" i="1"/>
  <c r="G4141" i="1"/>
  <c r="H4141" i="1"/>
  <c r="A4142" i="1"/>
  <c r="B4142" i="1"/>
  <c r="C4142" i="1"/>
  <c r="D4142" i="1"/>
  <c r="E4142" i="1"/>
  <c r="F4142" i="1"/>
  <c r="G4142" i="1"/>
  <c r="H4142" i="1"/>
  <c r="A4143" i="1"/>
  <c r="B4143" i="1"/>
  <c r="C4143" i="1"/>
  <c r="D4143" i="1"/>
  <c r="E4143" i="1"/>
  <c r="F4143" i="1"/>
  <c r="G4143" i="1"/>
  <c r="H4143" i="1"/>
  <c r="A4144" i="1"/>
  <c r="B4144" i="1"/>
  <c r="C4144" i="1"/>
  <c r="D4144" i="1"/>
  <c r="E4144" i="1"/>
  <c r="F4144" i="1"/>
  <c r="G4144" i="1"/>
  <c r="H4144" i="1"/>
  <c r="A4145" i="1"/>
  <c r="B4145" i="1"/>
  <c r="C4145" i="1"/>
  <c r="D4145" i="1"/>
  <c r="E4145" i="1"/>
  <c r="F4145" i="1"/>
  <c r="G4145" i="1"/>
  <c r="H4145" i="1"/>
  <c r="A4146" i="1"/>
  <c r="B4146" i="1"/>
  <c r="C4146" i="1"/>
  <c r="D4146" i="1"/>
  <c r="E4146" i="1"/>
  <c r="F4146" i="1"/>
  <c r="G4146" i="1"/>
  <c r="H4146" i="1"/>
  <c r="A4147" i="1"/>
  <c r="B4147" i="1"/>
  <c r="C4147" i="1"/>
  <c r="D4147" i="1"/>
  <c r="E4147" i="1"/>
  <c r="F4147" i="1"/>
  <c r="G4147" i="1"/>
  <c r="H4147" i="1"/>
  <c r="A4148" i="1"/>
  <c r="B4148" i="1"/>
  <c r="C4148" i="1"/>
  <c r="D4148" i="1"/>
  <c r="E4148" i="1"/>
  <c r="F4148" i="1"/>
  <c r="G4148" i="1"/>
  <c r="H4148" i="1"/>
  <c r="A4149" i="1"/>
  <c r="B4149" i="1"/>
  <c r="C4149" i="1"/>
  <c r="D4149" i="1"/>
  <c r="E4149" i="1"/>
  <c r="F4149" i="1"/>
  <c r="G4149" i="1"/>
  <c r="H4149" i="1"/>
  <c r="A4150" i="1"/>
  <c r="B4150" i="1"/>
  <c r="C4150" i="1"/>
  <c r="D4150" i="1"/>
  <c r="E4150" i="1"/>
  <c r="F4150" i="1"/>
  <c r="G4150" i="1"/>
  <c r="H4150" i="1"/>
  <c r="A4151" i="1"/>
  <c r="B4151" i="1"/>
  <c r="C4151" i="1"/>
  <c r="D4151" i="1"/>
  <c r="E4151" i="1"/>
  <c r="F4151" i="1"/>
  <c r="G4151" i="1"/>
  <c r="H4151" i="1"/>
  <c r="A4152" i="1"/>
  <c r="B4152" i="1"/>
  <c r="C4152" i="1"/>
  <c r="D4152" i="1"/>
  <c r="E4152" i="1"/>
  <c r="F4152" i="1"/>
  <c r="G4152" i="1"/>
  <c r="H4152" i="1"/>
  <c r="A4153" i="1"/>
  <c r="B4153" i="1"/>
  <c r="C4153" i="1"/>
  <c r="D4153" i="1"/>
  <c r="E4153" i="1"/>
  <c r="F4153" i="1"/>
  <c r="G4153" i="1"/>
  <c r="H4153" i="1"/>
  <c r="A4154" i="1"/>
  <c r="B4154" i="1"/>
  <c r="C4154" i="1"/>
  <c r="D4154" i="1"/>
  <c r="E4154" i="1"/>
  <c r="F4154" i="1"/>
  <c r="G4154" i="1"/>
  <c r="H4154" i="1"/>
  <c r="A4155" i="1"/>
  <c r="B4155" i="1"/>
  <c r="C4155" i="1"/>
  <c r="D4155" i="1"/>
  <c r="E4155" i="1"/>
  <c r="F4155" i="1"/>
  <c r="G4155" i="1"/>
  <c r="H4155" i="1"/>
  <c r="A4156" i="1"/>
  <c r="B4156" i="1"/>
  <c r="C4156" i="1"/>
  <c r="D4156" i="1"/>
  <c r="E4156" i="1"/>
  <c r="F4156" i="1"/>
  <c r="G4156" i="1"/>
  <c r="H4156" i="1"/>
  <c r="A4157" i="1"/>
  <c r="B4157" i="1"/>
  <c r="C4157" i="1"/>
  <c r="D4157" i="1"/>
  <c r="E4157" i="1"/>
  <c r="F4157" i="1"/>
  <c r="G4157" i="1"/>
  <c r="H4157" i="1"/>
  <c r="A4158" i="1"/>
  <c r="B4158" i="1"/>
  <c r="C4158" i="1"/>
  <c r="D4158" i="1"/>
  <c r="E4158" i="1"/>
  <c r="F4158" i="1"/>
  <c r="G4158" i="1"/>
  <c r="H4158" i="1"/>
  <c r="A4159" i="1"/>
  <c r="B4159" i="1"/>
  <c r="C4159" i="1"/>
  <c r="D4159" i="1"/>
  <c r="E4159" i="1"/>
  <c r="F4159" i="1"/>
  <c r="G4159" i="1"/>
  <c r="H4159" i="1"/>
  <c r="A4160" i="1"/>
  <c r="B4160" i="1"/>
  <c r="C4160" i="1"/>
  <c r="D4160" i="1"/>
  <c r="E4160" i="1"/>
  <c r="F4160" i="1"/>
  <c r="G4160" i="1"/>
  <c r="H4160" i="1"/>
  <c r="A4161" i="1"/>
  <c r="B4161" i="1"/>
  <c r="C4161" i="1"/>
  <c r="D4161" i="1"/>
  <c r="E4161" i="1"/>
  <c r="F4161" i="1"/>
  <c r="G4161" i="1"/>
  <c r="H4161" i="1"/>
  <c r="A4162" i="1"/>
  <c r="B4162" i="1"/>
  <c r="C4162" i="1"/>
  <c r="D4162" i="1"/>
  <c r="E4162" i="1"/>
  <c r="F4162" i="1"/>
  <c r="G4162" i="1"/>
  <c r="H4162" i="1"/>
  <c r="A4163" i="1"/>
  <c r="B4163" i="1"/>
  <c r="C4163" i="1"/>
  <c r="D4163" i="1"/>
  <c r="E4163" i="1"/>
  <c r="F4163" i="1"/>
  <c r="G4163" i="1"/>
  <c r="H4163" i="1"/>
  <c r="A4164" i="1"/>
  <c r="B4164" i="1"/>
  <c r="C4164" i="1"/>
  <c r="D4164" i="1"/>
  <c r="E4164" i="1"/>
  <c r="F4164" i="1"/>
  <c r="G4164" i="1"/>
  <c r="H4164" i="1"/>
  <c r="A4165" i="1"/>
  <c r="B4165" i="1"/>
  <c r="C4165" i="1"/>
  <c r="D4165" i="1"/>
  <c r="E4165" i="1"/>
  <c r="F4165" i="1"/>
  <c r="G4165" i="1"/>
  <c r="H4165" i="1"/>
  <c r="A4166" i="1"/>
  <c r="B4166" i="1"/>
  <c r="C4166" i="1"/>
  <c r="D4166" i="1"/>
  <c r="E4166" i="1"/>
  <c r="F4166" i="1"/>
  <c r="G4166" i="1"/>
  <c r="H4166" i="1"/>
  <c r="A4167" i="1"/>
  <c r="B4167" i="1"/>
  <c r="C4167" i="1"/>
  <c r="D4167" i="1"/>
  <c r="E4167" i="1"/>
  <c r="F4167" i="1"/>
  <c r="G4167" i="1"/>
  <c r="H4167" i="1"/>
  <c r="A4168" i="1"/>
  <c r="B4168" i="1"/>
  <c r="C4168" i="1"/>
  <c r="D4168" i="1"/>
  <c r="E4168" i="1"/>
  <c r="F4168" i="1"/>
  <c r="G4168" i="1"/>
  <c r="H4168" i="1"/>
  <c r="A4169" i="1"/>
  <c r="B4169" i="1"/>
  <c r="C4169" i="1"/>
  <c r="D4169" i="1"/>
  <c r="E4169" i="1"/>
  <c r="F4169" i="1"/>
  <c r="G4169" i="1"/>
  <c r="H4169" i="1"/>
  <c r="A4170" i="1"/>
  <c r="B4170" i="1"/>
  <c r="C4170" i="1"/>
  <c r="D4170" i="1"/>
  <c r="E4170" i="1"/>
  <c r="F4170" i="1"/>
  <c r="G4170" i="1"/>
  <c r="H4170" i="1"/>
  <c r="A4171" i="1"/>
  <c r="B4171" i="1"/>
  <c r="C4171" i="1"/>
  <c r="D4171" i="1"/>
  <c r="E4171" i="1"/>
  <c r="F4171" i="1"/>
  <c r="G4171" i="1"/>
  <c r="H4171" i="1"/>
  <c r="A4172" i="1"/>
  <c r="B4172" i="1"/>
  <c r="C4172" i="1"/>
  <c r="D4172" i="1"/>
  <c r="E4172" i="1"/>
  <c r="F4172" i="1"/>
  <c r="G4172" i="1"/>
  <c r="H4172" i="1"/>
  <c r="A4173" i="1"/>
  <c r="B4173" i="1"/>
  <c r="C4173" i="1"/>
  <c r="D4173" i="1"/>
  <c r="E4173" i="1"/>
  <c r="F4173" i="1"/>
  <c r="G4173" i="1"/>
  <c r="H4173" i="1"/>
  <c r="A4174" i="1"/>
  <c r="B4174" i="1"/>
  <c r="C4174" i="1"/>
  <c r="D4174" i="1"/>
  <c r="E4174" i="1"/>
  <c r="F4174" i="1"/>
  <c r="G4174" i="1"/>
  <c r="H4174" i="1"/>
  <c r="A4175" i="1"/>
  <c r="B4175" i="1"/>
  <c r="C4175" i="1"/>
  <c r="D4175" i="1"/>
  <c r="E4175" i="1"/>
  <c r="F4175" i="1"/>
  <c r="G4175" i="1"/>
  <c r="H4175" i="1"/>
  <c r="A4176" i="1"/>
  <c r="B4176" i="1"/>
  <c r="C4176" i="1"/>
  <c r="D4176" i="1"/>
  <c r="E4176" i="1"/>
  <c r="F4176" i="1"/>
  <c r="G4176" i="1"/>
  <c r="H4176" i="1"/>
  <c r="A4177" i="1"/>
  <c r="B4177" i="1"/>
  <c r="C4177" i="1"/>
  <c r="D4177" i="1"/>
  <c r="E4177" i="1"/>
  <c r="F4177" i="1"/>
  <c r="G4177" i="1"/>
  <c r="H4177" i="1"/>
  <c r="A4178" i="1"/>
  <c r="B4178" i="1"/>
  <c r="C4178" i="1"/>
  <c r="D4178" i="1"/>
  <c r="E4178" i="1"/>
  <c r="F4178" i="1"/>
  <c r="G4178" i="1"/>
  <c r="H4178" i="1"/>
  <c r="A4179" i="1"/>
  <c r="B4179" i="1"/>
  <c r="C4179" i="1"/>
  <c r="D4179" i="1"/>
  <c r="E4179" i="1"/>
  <c r="F4179" i="1"/>
  <c r="G4179" i="1"/>
  <c r="H4179" i="1"/>
  <c r="A4180" i="1"/>
  <c r="B4180" i="1"/>
  <c r="C4180" i="1"/>
  <c r="D4180" i="1"/>
  <c r="E4180" i="1"/>
  <c r="F4180" i="1"/>
  <c r="G4180" i="1"/>
  <c r="H4180" i="1"/>
  <c r="A4181" i="1"/>
  <c r="B4181" i="1"/>
  <c r="C4181" i="1"/>
  <c r="D4181" i="1"/>
  <c r="E4181" i="1"/>
  <c r="F4181" i="1"/>
  <c r="G4181" i="1"/>
  <c r="H4181" i="1"/>
  <c r="A4182" i="1"/>
  <c r="B4182" i="1"/>
  <c r="C4182" i="1"/>
  <c r="D4182" i="1"/>
  <c r="E4182" i="1"/>
  <c r="F4182" i="1"/>
  <c r="G4182" i="1"/>
  <c r="H4182" i="1"/>
  <c r="A4183" i="1"/>
  <c r="B4183" i="1"/>
  <c r="C4183" i="1"/>
  <c r="D4183" i="1"/>
  <c r="E4183" i="1"/>
  <c r="F4183" i="1"/>
  <c r="G4183" i="1"/>
  <c r="H4183" i="1"/>
  <c r="A4184" i="1"/>
  <c r="B4184" i="1"/>
  <c r="C4184" i="1"/>
  <c r="D4184" i="1"/>
  <c r="E4184" i="1"/>
  <c r="F4184" i="1"/>
  <c r="G4184" i="1"/>
  <c r="H4184" i="1"/>
  <c r="A4185" i="1"/>
  <c r="B4185" i="1"/>
  <c r="C4185" i="1"/>
  <c r="D4185" i="1"/>
  <c r="E4185" i="1"/>
  <c r="F4185" i="1"/>
  <c r="G4185" i="1"/>
  <c r="H4185" i="1"/>
  <c r="A4186" i="1"/>
  <c r="B4186" i="1"/>
  <c r="C4186" i="1"/>
  <c r="D4186" i="1"/>
  <c r="E4186" i="1"/>
  <c r="F4186" i="1"/>
  <c r="G4186" i="1"/>
  <c r="H4186" i="1"/>
  <c r="A4187" i="1"/>
  <c r="B4187" i="1"/>
  <c r="C4187" i="1"/>
  <c r="D4187" i="1"/>
  <c r="E4187" i="1"/>
  <c r="F4187" i="1"/>
  <c r="G4187" i="1"/>
  <c r="H4187" i="1"/>
  <c r="A4188" i="1"/>
  <c r="B4188" i="1"/>
  <c r="C4188" i="1"/>
  <c r="D4188" i="1"/>
  <c r="E4188" i="1"/>
  <c r="F4188" i="1"/>
  <c r="G4188" i="1"/>
  <c r="H4188" i="1"/>
  <c r="A4189" i="1"/>
  <c r="B4189" i="1"/>
  <c r="C4189" i="1"/>
  <c r="D4189" i="1"/>
  <c r="E4189" i="1"/>
  <c r="F4189" i="1"/>
  <c r="G4189" i="1"/>
  <c r="H4189" i="1"/>
  <c r="A4190" i="1"/>
  <c r="B4190" i="1"/>
  <c r="C4190" i="1"/>
  <c r="D4190" i="1"/>
  <c r="E4190" i="1"/>
  <c r="F4190" i="1"/>
  <c r="G4190" i="1"/>
  <c r="H4190" i="1"/>
  <c r="A4191" i="1"/>
  <c r="B4191" i="1"/>
  <c r="C4191" i="1"/>
  <c r="D4191" i="1"/>
  <c r="E4191" i="1"/>
  <c r="F4191" i="1"/>
  <c r="G4191" i="1"/>
  <c r="H4191" i="1"/>
  <c r="A4192" i="1"/>
  <c r="B4192" i="1"/>
  <c r="C4192" i="1"/>
  <c r="D4192" i="1"/>
  <c r="E4192" i="1"/>
  <c r="F4192" i="1"/>
  <c r="G4192" i="1"/>
  <c r="H4192" i="1"/>
  <c r="A4193" i="1"/>
  <c r="B4193" i="1"/>
  <c r="C4193" i="1"/>
  <c r="D4193" i="1"/>
  <c r="E4193" i="1"/>
  <c r="F4193" i="1"/>
  <c r="G4193" i="1"/>
  <c r="H4193" i="1"/>
  <c r="A4194" i="1"/>
  <c r="B4194" i="1"/>
  <c r="C4194" i="1"/>
  <c r="D4194" i="1"/>
  <c r="E4194" i="1"/>
  <c r="F4194" i="1"/>
  <c r="G4194" i="1"/>
  <c r="H4194" i="1"/>
  <c r="A4195" i="1"/>
  <c r="B4195" i="1"/>
  <c r="C4195" i="1"/>
  <c r="D4195" i="1"/>
  <c r="E4195" i="1"/>
  <c r="F4195" i="1"/>
  <c r="G4195" i="1"/>
  <c r="H4195" i="1"/>
  <c r="A4196" i="1"/>
  <c r="B4196" i="1"/>
  <c r="C4196" i="1"/>
  <c r="D4196" i="1"/>
  <c r="E4196" i="1"/>
  <c r="F4196" i="1"/>
  <c r="G4196" i="1"/>
  <c r="H4196" i="1"/>
  <c r="A4197" i="1"/>
  <c r="B4197" i="1"/>
  <c r="C4197" i="1"/>
  <c r="D4197" i="1"/>
  <c r="E4197" i="1"/>
  <c r="F4197" i="1"/>
  <c r="G4197" i="1"/>
  <c r="H4197" i="1"/>
  <c r="A4198" i="1"/>
  <c r="B4198" i="1"/>
  <c r="C4198" i="1"/>
  <c r="D4198" i="1"/>
  <c r="E4198" i="1"/>
  <c r="F4198" i="1"/>
  <c r="G4198" i="1"/>
  <c r="H4198" i="1"/>
  <c r="A4199" i="1"/>
  <c r="B4199" i="1"/>
  <c r="C4199" i="1"/>
  <c r="D4199" i="1"/>
  <c r="E4199" i="1"/>
  <c r="F4199" i="1"/>
  <c r="G4199" i="1"/>
  <c r="H4199" i="1"/>
  <c r="A4200" i="1"/>
  <c r="B4200" i="1"/>
  <c r="C4200" i="1"/>
  <c r="D4200" i="1"/>
  <c r="E4200" i="1"/>
  <c r="F4200" i="1"/>
  <c r="G4200" i="1"/>
  <c r="H4200" i="1"/>
  <c r="A4201" i="1"/>
  <c r="B4201" i="1"/>
  <c r="C4201" i="1"/>
  <c r="D4201" i="1"/>
  <c r="E4201" i="1"/>
  <c r="F4201" i="1"/>
  <c r="G4201" i="1"/>
  <c r="H4201" i="1"/>
  <c r="A4202" i="1"/>
  <c r="B4202" i="1"/>
  <c r="C4202" i="1"/>
  <c r="D4202" i="1"/>
  <c r="E4202" i="1"/>
  <c r="F4202" i="1"/>
  <c r="G4202" i="1"/>
  <c r="H4202" i="1"/>
  <c r="A4203" i="1"/>
  <c r="B4203" i="1"/>
  <c r="C4203" i="1"/>
  <c r="D4203" i="1"/>
  <c r="E4203" i="1"/>
  <c r="F4203" i="1"/>
  <c r="G4203" i="1"/>
  <c r="H4203" i="1"/>
  <c r="A4204" i="1"/>
  <c r="B4204" i="1"/>
  <c r="C4204" i="1"/>
  <c r="D4204" i="1"/>
  <c r="E4204" i="1"/>
  <c r="F4204" i="1"/>
  <c r="G4204" i="1"/>
  <c r="H4204" i="1"/>
  <c r="A4205" i="1"/>
  <c r="B4205" i="1"/>
  <c r="C4205" i="1"/>
  <c r="D4205" i="1"/>
  <c r="E4205" i="1"/>
  <c r="F4205" i="1"/>
  <c r="G4205" i="1"/>
  <c r="H4205" i="1"/>
  <c r="A4206" i="1"/>
  <c r="B4206" i="1"/>
  <c r="C4206" i="1"/>
  <c r="D4206" i="1"/>
  <c r="E4206" i="1"/>
  <c r="F4206" i="1"/>
  <c r="G4206" i="1"/>
  <c r="H4206" i="1"/>
  <c r="A4207" i="1"/>
  <c r="B4207" i="1"/>
  <c r="C4207" i="1"/>
  <c r="D4207" i="1"/>
  <c r="E4207" i="1"/>
  <c r="F4207" i="1"/>
  <c r="G4207" i="1"/>
  <c r="H4207" i="1"/>
  <c r="A4208" i="1"/>
  <c r="B4208" i="1"/>
  <c r="C4208" i="1"/>
  <c r="D4208" i="1"/>
  <c r="E4208" i="1"/>
  <c r="F4208" i="1"/>
  <c r="G4208" i="1"/>
  <c r="H4208" i="1"/>
  <c r="A4209" i="1"/>
  <c r="B4209" i="1"/>
  <c r="C4209" i="1"/>
  <c r="D4209" i="1"/>
  <c r="E4209" i="1"/>
  <c r="F4209" i="1"/>
  <c r="G4209" i="1"/>
  <c r="H4209" i="1"/>
  <c r="A4210" i="1"/>
  <c r="B4210" i="1"/>
  <c r="C4210" i="1"/>
  <c r="D4210" i="1"/>
  <c r="E4210" i="1"/>
  <c r="F4210" i="1"/>
  <c r="G4210" i="1"/>
  <c r="H4210" i="1"/>
  <c r="A4211" i="1"/>
  <c r="B4211" i="1"/>
  <c r="C4211" i="1"/>
  <c r="D4211" i="1"/>
  <c r="E4211" i="1"/>
  <c r="F4211" i="1"/>
  <c r="G4211" i="1"/>
  <c r="H4211" i="1"/>
  <c r="A4212" i="1"/>
  <c r="B4212" i="1"/>
  <c r="C4212" i="1"/>
  <c r="D4212" i="1"/>
  <c r="E4212" i="1"/>
  <c r="F4212" i="1"/>
  <c r="G4212" i="1"/>
  <c r="H4212" i="1"/>
  <c r="A4213" i="1"/>
  <c r="B4213" i="1"/>
  <c r="C4213" i="1"/>
  <c r="D4213" i="1"/>
  <c r="E4213" i="1"/>
  <c r="F4213" i="1"/>
  <c r="G4213" i="1"/>
  <c r="H4213" i="1"/>
  <c r="A4214" i="1"/>
  <c r="B4214" i="1"/>
  <c r="C4214" i="1"/>
  <c r="D4214" i="1"/>
  <c r="E4214" i="1"/>
  <c r="F4214" i="1"/>
  <c r="G4214" i="1"/>
  <c r="H4214" i="1"/>
  <c r="A4215" i="1"/>
  <c r="B4215" i="1"/>
  <c r="C4215" i="1"/>
  <c r="D4215" i="1"/>
  <c r="E4215" i="1"/>
  <c r="F4215" i="1"/>
  <c r="G4215" i="1"/>
  <c r="H4215" i="1"/>
  <c r="A4216" i="1"/>
  <c r="B4216" i="1"/>
  <c r="C4216" i="1"/>
  <c r="D4216" i="1"/>
  <c r="E4216" i="1"/>
  <c r="F4216" i="1"/>
  <c r="G4216" i="1"/>
  <c r="H4216" i="1"/>
  <c r="A4217" i="1"/>
  <c r="B4217" i="1"/>
  <c r="C4217" i="1"/>
  <c r="D4217" i="1"/>
  <c r="E4217" i="1"/>
  <c r="F4217" i="1"/>
  <c r="G4217" i="1"/>
  <c r="H4217" i="1"/>
  <c r="A4218" i="1"/>
  <c r="B4218" i="1"/>
  <c r="C4218" i="1"/>
  <c r="D4218" i="1"/>
  <c r="E4218" i="1"/>
  <c r="F4218" i="1"/>
  <c r="G4218" i="1"/>
  <c r="H4218" i="1"/>
  <c r="A4219" i="1"/>
  <c r="B4219" i="1"/>
  <c r="C4219" i="1"/>
  <c r="D4219" i="1"/>
  <c r="E4219" i="1"/>
  <c r="F4219" i="1"/>
  <c r="G4219" i="1"/>
  <c r="H4219" i="1"/>
  <c r="A4220" i="1"/>
  <c r="B4220" i="1"/>
  <c r="C4220" i="1"/>
  <c r="D4220" i="1"/>
  <c r="E4220" i="1"/>
  <c r="F4220" i="1"/>
  <c r="G4220" i="1"/>
  <c r="H4220" i="1"/>
  <c r="A4221" i="1"/>
  <c r="B4221" i="1"/>
  <c r="C4221" i="1"/>
  <c r="D4221" i="1"/>
  <c r="E4221" i="1"/>
  <c r="F4221" i="1"/>
  <c r="G4221" i="1"/>
  <c r="H4221" i="1"/>
  <c r="A4222" i="1"/>
  <c r="B4222" i="1"/>
  <c r="C4222" i="1"/>
  <c r="D4222" i="1"/>
  <c r="E4222" i="1"/>
  <c r="F4222" i="1"/>
  <c r="G4222" i="1"/>
  <c r="H4222" i="1"/>
  <c r="A4223" i="1"/>
  <c r="B4223" i="1"/>
  <c r="C4223" i="1"/>
  <c r="D4223" i="1"/>
  <c r="E4223" i="1"/>
  <c r="F4223" i="1"/>
  <c r="G4223" i="1"/>
  <c r="H4223" i="1"/>
  <c r="A4224" i="1"/>
  <c r="B4224" i="1"/>
  <c r="C4224" i="1"/>
  <c r="D4224" i="1"/>
  <c r="E4224" i="1"/>
  <c r="F4224" i="1"/>
  <c r="G4224" i="1"/>
  <c r="H4224" i="1"/>
  <c r="A4225" i="1"/>
  <c r="B4225" i="1"/>
  <c r="C4225" i="1"/>
  <c r="D4225" i="1"/>
  <c r="E4225" i="1"/>
  <c r="F4225" i="1"/>
  <c r="G4225" i="1"/>
  <c r="H4225" i="1"/>
  <c r="A4226" i="1"/>
  <c r="B4226" i="1"/>
  <c r="C4226" i="1"/>
  <c r="D4226" i="1"/>
  <c r="E4226" i="1"/>
  <c r="F4226" i="1"/>
  <c r="G4226" i="1"/>
  <c r="H4226" i="1"/>
  <c r="A4227" i="1"/>
  <c r="B4227" i="1"/>
  <c r="C4227" i="1"/>
  <c r="D4227" i="1"/>
  <c r="E4227" i="1"/>
  <c r="F4227" i="1"/>
  <c r="G4227" i="1"/>
  <c r="H4227" i="1"/>
  <c r="A4228" i="1"/>
  <c r="B4228" i="1"/>
  <c r="C4228" i="1"/>
  <c r="D4228" i="1"/>
  <c r="E4228" i="1"/>
  <c r="F4228" i="1"/>
  <c r="G4228" i="1"/>
  <c r="H4228" i="1"/>
  <c r="A4229" i="1"/>
  <c r="B4229" i="1"/>
  <c r="C4229" i="1"/>
  <c r="D4229" i="1"/>
  <c r="E4229" i="1"/>
  <c r="F4229" i="1"/>
  <c r="G4229" i="1"/>
  <c r="H4229" i="1"/>
  <c r="A4230" i="1"/>
  <c r="B4230" i="1"/>
  <c r="C4230" i="1"/>
  <c r="D4230" i="1"/>
  <c r="E4230" i="1"/>
  <c r="F4230" i="1"/>
  <c r="G4230" i="1"/>
  <c r="H4230" i="1"/>
  <c r="A4231" i="1"/>
  <c r="B4231" i="1"/>
  <c r="C4231" i="1"/>
  <c r="D4231" i="1"/>
  <c r="E4231" i="1"/>
  <c r="F4231" i="1"/>
  <c r="G4231" i="1"/>
  <c r="H4231" i="1"/>
  <c r="A4232" i="1"/>
  <c r="B4232" i="1"/>
  <c r="C4232" i="1"/>
  <c r="D4232" i="1"/>
  <c r="E4232" i="1"/>
  <c r="F4232" i="1"/>
  <c r="G4232" i="1"/>
  <c r="H4232" i="1"/>
  <c r="A4233" i="1"/>
  <c r="B4233" i="1"/>
  <c r="C4233" i="1"/>
  <c r="D4233" i="1"/>
  <c r="E4233" i="1"/>
  <c r="F4233" i="1"/>
  <c r="G4233" i="1"/>
  <c r="H4233" i="1"/>
  <c r="A4234" i="1"/>
  <c r="B4234" i="1"/>
  <c r="C4234" i="1"/>
  <c r="D4234" i="1"/>
  <c r="E4234" i="1"/>
  <c r="F4234" i="1"/>
  <c r="G4234" i="1"/>
  <c r="H4234" i="1"/>
  <c r="A4235" i="1"/>
  <c r="B4235" i="1"/>
  <c r="C4235" i="1"/>
  <c r="D4235" i="1"/>
  <c r="E4235" i="1"/>
  <c r="F4235" i="1"/>
  <c r="G4235" i="1"/>
  <c r="H4235" i="1"/>
  <c r="A4236" i="1"/>
  <c r="B4236" i="1"/>
  <c r="C4236" i="1"/>
  <c r="D4236" i="1"/>
  <c r="E4236" i="1"/>
  <c r="F4236" i="1"/>
  <c r="G4236" i="1"/>
  <c r="H4236" i="1"/>
  <c r="A4237" i="1"/>
  <c r="B4237" i="1"/>
  <c r="C4237" i="1"/>
  <c r="D4237" i="1"/>
  <c r="E4237" i="1"/>
  <c r="F4237" i="1"/>
  <c r="G4237" i="1"/>
  <c r="H4237" i="1"/>
  <c r="A4238" i="1"/>
  <c r="B4238" i="1"/>
  <c r="C4238" i="1"/>
  <c r="D4238" i="1"/>
  <c r="E4238" i="1"/>
  <c r="F4238" i="1"/>
  <c r="G4238" i="1"/>
  <c r="H4238" i="1"/>
  <c r="A4239" i="1"/>
  <c r="B4239" i="1"/>
  <c r="C4239" i="1"/>
  <c r="D4239" i="1"/>
  <c r="E4239" i="1"/>
  <c r="F4239" i="1"/>
  <c r="G4239" i="1"/>
  <c r="H4239" i="1"/>
  <c r="A4240" i="1"/>
  <c r="B4240" i="1"/>
  <c r="C4240" i="1"/>
  <c r="D4240" i="1"/>
  <c r="E4240" i="1"/>
  <c r="F4240" i="1"/>
  <c r="G4240" i="1"/>
  <c r="H4240" i="1"/>
  <c r="A4241" i="1"/>
  <c r="B4241" i="1"/>
  <c r="C4241" i="1"/>
  <c r="D4241" i="1"/>
  <c r="E4241" i="1"/>
  <c r="F4241" i="1"/>
  <c r="G4241" i="1"/>
  <c r="H4241" i="1"/>
  <c r="A4242" i="1"/>
  <c r="B4242" i="1"/>
  <c r="C4242" i="1"/>
  <c r="D4242" i="1"/>
  <c r="E4242" i="1"/>
  <c r="F4242" i="1"/>
  <c r="G4242" i="1"/>
  <c r="H4242" i="1"/>
  <c r="A4243" i="1"/>
  <c r="B4243" i="1"/>
  <c r="C4243" i="1"/>
  <c r="D4243" i="1"/>
  <c r="E4243" i="1"/>
  <c r="F4243" i="1"/>
  <c r="G4243" i="1"/>
  <c r="H4243" i="1"/>
  <c r="A4244" i="1"/>
  <c r="B4244" i="1"/>
  <c r="C4244" i="1"/>
  <c r="D4244" i="1"/>
  <c r="E4244" i="1"/>
  <c r="F4244" i="1"/>
  <c r="G4244" i="1"/>
  <c r="H4244" i="1"/>
  <c r="A4245" i="1"/>
  <c r="B4245" i="1"/>
  <c r="C4245" i="1"/>
  <c r="D4245" i="1"/>
  <c r="E4245" i="1"/>
  <c r="F4245" i="1"/>
  <c r="G4245" i="1"/>
  <c r="H4245" i="1"/>
  <c r="A4246" i="1"/>
  <c r="B4246" i="1"/>
  <c r="C4246" i="1"/>
  <c r="D4246" i="1"/>
  <c r="E4246" i="1"/>
  <c r="F4246" i="1"/>
  <c r="G4246" i="1"/>
  <c r="H4246" i="1"/>
  <c r="A4247" i="1"/>
  <c r="B4247" i="1"/>
  <c r="C4247" i="1"/>
  <c r="D4247" i="1"/>
  <c r="E4247" i="1"/>
  <c r="F4247" i="1"/>
  <c r="G4247" i="1"/>
  <c r="H4247" i="1"/>
  <c r="A4248" i="1"/>
  <c r="B4248" i="1"/>
  <c r="C4248" i="1"/>
  <c r="D4248" i="1"/>
  <c r="E4248" i="1"/>
  <c r="F4248" i="1"/>
  <c r="G4248" i="1"/>
  <c r="H4248" i="1"/>
  <c r="A4249" i="1"/>
  <c r="B4249" i="1"/>
  <c r="C4249" i="1"/>
  <c r="D4249" i="1"/>
  <c r="E4249" i="1"/>
  <c r="F4249" i="1"/>
  <c r="G4249" i="1"/>
  <c r="H4249" i="1"/>
  <c r="A4250" i="1"/>
  <c r="B4250" i="1"/>
  <c r="C4250" i="1"/>
  <c r="D4250" i="1"/>
  <c r="E4250" i="1"/>
  <c r="F4250" i="1"/>
  <c r="G4250" i="1"/>
  <c r="H4250" i="1"/>
  <c r="A4251" i="1"/>
  <c r="B4251" i="1"/>
  <c r="C4251" i="1"/>
  <c r="D4251" i="1"/>
  <c r="E4251" i="1"/>
  <c r="F4251" i="1"/>
  <c r="G4251" i="1"/>
  <c r="H4251" i="1"/>
  <c r="A4252" i="1"/>
  <c r="B4252" i="1"/>
  <c r="C4252" i="1"/>
  <c r="D4252" i="1"/>
  <c r="E4252" i="1"/>
  <c r="F4252" i="1"/>
  <c r="G4252" i="1"/>
  <c r="H4252" i="1"/>
  <c r="A4253" i="1"/>
  <c r="B4253" i="1"/>
  <c r="C4253" i="1"/>
  <c r="D4253" i="1"/>
  <c r="E4253" i="1"/>
  <c r="F4253" i="1"/>
  <c r="G4253" i="1"/>
  <c r="H4253" i="1"/>
  <c r="A4254" i="1"/>
  <c r="B4254" i="1"/>
  <c r="C4254" i="1"/>
  <c r="D4254" i="1"/>
  <c r="E4254" i="1"/>
  <c r="F4254" i="1"/>
  <c r="G4254" i="1"/>
  <c r="H4254" i="1"/>
  <c r="A4255" i="1"/>
  <c r="B4255" i="1"/>
  <c r="C4255" i="1"/>
  <c r="D4255" i="1"/>
  <c r="E4255" i="1"/>
  <c r="F4255" i="1"/>
  <c r="G4255" i="1"/>
  <c r="H4255" i="1"/>
  <c r="A4256" i="1"/>
  <c r="B4256" i="1"/>
  <c r="C4256" i="1"/>
  <c r="D4256" i="1"/>
  <c r="E4256" i="1"/>
  <c r="F4256" i="1"/>
  <c r="G4256" i="1"/>
  <c r="H4256" i="1"/>
  <c r="A4257" i="1"/>
  <c r="B4257" i="1"/>
  <c r="C4257" i="1"/>
  <c r="D4257" i="1"/>
  <c r="E4257" i="1"/>
  <c r="F4257" i="1"/>
  <c r="G4257" i="1"/>
  <c r="H4257" i="1"/>
  <c r="A4258" i="1"/>
  <c r="B4258" i="1"/>
  <c r="C4258" i="1"/>
  <c r="D4258" i="1"/>
  <c r="E4258" i="1"/>
  <c r="F4258" i="1"/>
  <c r="G4258" i="1"/>
  <c r="H4258" i="1"/>
  <c r="A4259" i="1"/>
  <c r="B4259" i="1"/>
  <c r="C4259" i="1"/>
  <c r="D4259" i="1"/>
  <c r="E4259" i="1"/>
  <c r="F4259" i="1"/>
  <c r="G4259" i="1"/>
  <c r="H4259" i="1"/>
  <c r="A4260" i="1"/>
  <c r="B4260" i="1"/>
  <c r="C4260" i="1"/>
  <c r="D4260" i="1"/>
  <c r="E4260" i="1"/>
  <c r="F4260" i="1"/>
  <c r="G4260" i="1"/>
  <c r="H4260" i="1"/>
  <c r="A4261" i="1"/>
  <c r="B4261" i="1"/>
  <c r="C4261" i="1"/>
  <c r="D4261" i="1"/>
  <c r="E4261" i="1"/>
  <c r="F4261" i="1"/>
  <c r="G4261" i="1"/>
  <c r="H4261" i="1"/>
  <c r="A4262" i="1"/>
  <c r="B4262" i="1"/>
  <c r="C4262" i="1"/>
  <c r="D4262" i="1"/>
  <c r="E4262" i="1"/>
  <c r="F4262" i="1"/>
  <c r="G4262" i="1"/>
  <c r="H4262" i="1"/>
  <c r="A4263" i="1"/>
  <c r="B4263" i="1"/>
  <c r="C4263" i="1"/>
  <c r="D4263" i="1"/>
  <c r="E4263" i="1"/>
  <c r="F4263" i="1"/>
  <c r="G4263" i="1"/>
  <c r="H4263" i="1"/>
  <c r="A4264" i="1"/>
  <c r="B4264" i="1"/>
  <c r="C4264" i="1"/>
  <c r="D4264" i="1"/>
  <c r="E4264" i="1"/>
  <c r="F4264" i="1"/>
  <c r="G4264" i="1"/>
  <c r="H4264" i="1"/>
  <c r="A4265" i="1"/>
  <c r="B4265" i="1"/>
  <c r="C4265" i="1"/>
  <c r="D4265" i="1"/>
  <c r="E4265" i="1"/>
  <c r="F4265" i="1"/>
  <c r="G4265" i="1"/>
  <c r="H4265" i="1"/>
  <c r="A4266" i="1"/>
  <c r="B4266" i="1"/>
  <c r="C4266" i="1"/>
  <c r="D4266" i="1"/>
  <c r="E4266" i="1"/>
  <c r="F4266" i="1"/>
  <c r="G4266" i="1"/>
  <c r="H4266" i="1"/>
  <c r="A4267" i="1"/>
  <c r="B4267" i="1"/>
  <c r="C4267" i="1"/>
  <c r="D4267" i="1"/>
  <c r="E4267" i="1"/>
  <c r="F4267" i="1"/>
  <c r="G4267" i="1"/>
  <c r="H4267" i="1"/>
  <c r="A4268" i="1"/>
  <c r="B4268" i="1"/>
  <c r="C4268" i="1"/>
  <c r="D4268" i="1"/>
  <c r="E4268" i="1"/>
  <c r="F4268" i="1"/>
  <c r="G4268" i="1"/>
  <c r="H4268" i="1"/>
  <c r="A4269" i="1"/>
  <c r="B4269" i="1"/>
  <c r="C4269" i="1"/>
  <c r="D4269" i="1"/>
  <c r="E4269" i="1"/>
  <c r="F4269" i="1"/>
  <c r="G4269" i="1"/>
  <c r="H4269" i="1"/>
  <c r="A4270" i="1"/>
  <c r="B4270" i="1"/>
  <c r="C4270" i="1"/>
  <c r="D4270" i="1"/>
  <c r="E4270" i="1"/>
  <c r="F4270" i="1"/>
  <c r="G4270" i="1"/>
  <c r="H4270" i="1"/>
  <c r="A4271" i="1"/>
  <c r="B4271" i="1"/>
  <c r="C4271" i="1"/>
  <c r="D4271" i="1"/>
  <c r="E4271" i="1"/>
  <c r="F4271" i="1"/>
  <c r="G4271" i="1"/>
  <c r="H4271" i="1"/>
  <c r="A4272" i="1"/>
  <c r="B4272" i="1"/>
  <c r="C4272" i="1"/>
  <c r="D4272" i="1"/>
  <c r="E4272" i="1"/>
  <c r="F4272" i="1"/>
  <c r="G4272" i="1"/>
  <c r="H4272" i="1"/>
  <c r="A4273" i="1"/>
  <c r="B4273" i="1"/>
  <c r="C4273" i="1"/>
  <c r="D4273" i="1"/>
  <c r="E4273" i="1"/>
  <c r="F4273" i="1"/>
  <c r="G4273" i="1"/>
  <c r="H4273" i="1"/>
  <c r="A4274" i="1"/>
  <c r="B4274" i="1"/>
  <c r="C4274" i="1"/>
  <c r="D4274" i="1"/>
  <c r="E4274" i="1"/>
  <c r="F4274" i="1"/>
  <c r="G4274" i="1"/>
  <c r="H4274" i="1"/>
  <c r="A4275" i="1"/>
  <c r="B4275" i="1"/>
  <c r="C4275" i="1"/>
  <c r="D4275" i="1"/>
  <c r="E4275" i="1"/>
  <c r="F4275" i="1"/>
  <c r="G4275" i="1"/>
  <c r="H4275" i="1"/>
  <c r="A4276" i="1"/>
  <c r="B4276" i="1"/>
  <c r="C4276" i="1"/>
  <c r="D4276" i="1"/>
  <c r="E4276" i="1"/>
  <c r="F4276" i="1"/>
  <c r="G4276" i="1"/>
  <c r="H4276" i="1"/>
  <c r="A4277" i="1"/>
  <c r="B4277" i="1"/>
  <c r="C4277" i="1"/>
  <c r="D4277" i="1"/>
  <c r="E4277" i="1"/>
  <c r="F4277" i="1"/>
  <c r="G4277" i="1"/>
  <c r="H4277" i="1"/>
  <c r="A4278" i="1"/>
  <c r="B4278" i="1"/>
  <c r="C4278" i="1"/>
  <c r="D4278" i="1"/>
  <c r="E4278" i="1"/>
  <c r="F4278" i="1"/>
  <c r="G4278" i="1"/>
  <c r="H4278" i="1"/>
  <c r="A4279" i="1"/>
  <c r="B4279" i="1"/>
  <c r="C4279" i="1"/>
  <c r="D4279" i="1"/>
  <c r="E4279" i="1"/>
  <c r="F4279" i="1"/>
  <c r="G4279" i="1"/>
  <c r="H4279" i="1"/>
  <c r="A4280" i="1"/>
  <c r="B4280" i="1"/>
  <c r="C4280" i="1"/>
  <c r="D4280" i="1"/>
  <c r="E4280" i="1"/>
  <c r="F4280" i="1"/>
  <c r="G4280" i="1"/>
  <c r="H4280" i="1"/>
  <c r="A4281" i="1"/>
  <c r="B4281" i="1"/>
  <c r="C4281" i="1"/>
  <c r="D4281" i="1"/>
  <c r="E4281" i="1"/>
  <c r="F4281" i="1"/>
  <c r="G4281" i="1"/>
  <c r="H4281" i="1"/>
  <c r="A4282" i="1"/>
  <c r="B4282" i="1"/>
  <c r="C4282" i="1"/>
  <c r="D4282" i="1"/>
  <c r="E4282" i="1"/>
  <c r="F4282" i="1"/>
  <c r="G4282" i="1"/>
  <c r="H4282" i="1"/>
  <c r="A4283" i="1"/>
  <c r="B4283" i="1"/>
  <c r="C4283" i="1"/>
  <c r="D4283" i="1"/>
  <c r="E4283" i="1"/>
  <c r="F4283" i="1"/>
  <c r="G4283" i="1"/>
  <c r="H4283" i="1"/>
  <c r="A4284" i="1"/>
  <c r="B4284" i="1"/>
  <c r="C4284" i="1"/>
  <c r="D4284" i="1"/>
  <c r="E4284" i="1"/>
  <c r="F4284" i="1"/>
  <c r="G4284" i="1"/>
  <c r="H4284" i="1"/>
  <c r="A4285" i="1"/>
  <c r="B4285" i="1"/>
  <c r="C4285" i="1"/>
  <c r="D4285" i="1"/>
  <c r="E4285" i="1"/>
  <c r="F4285" i="1"/>
  <c r="G4285" i="1"/>
  <c r="H4285" i="1"/>
  <c r="A4286" i="1"/>
  <c r="B4286" i="1"/>
  <c r="C4286" i="1"/>
  <c r="D4286" i="1"/>
  <c r="E4286" i="1"/>
  <c r="F4286" i="1"/>
  <c r="G4286" i="1"/>
  <c r="H4286" i="1"/>
  <c r="A4287" i="1"/>
  <c r="B4287" i="1"/>
  <c r="C4287" i="1"/>
  <c r="D4287" i="1"/>
  <c r="E4287" i="1"/>
  <c r="F4287" i="1"/>
  <c r="G4287" i="1"/>
  <c r="H4287" i="1"/>
  <c r="A4288" i="1"/>
  <c r="B4288" i="1"/>
  <c r="C4288" i="1"/>
  <c r="D4288" i="1"/>
  <c r="E4288" i="1"/>
  <c r="F4288" i="1"/>
  <c r="G4288" i="1"/>
  <c r="H4288" i="1"/>
  <c r="A4289" i="1"/>
  <c r="B4289" i="1"/>
  <c r="C4289" i="1"/>
  <c r="D4289" i="1"/>
  <c r="E4289" i="1"/>
  <c r="F4289" i="1"/>
  <c r="G4289" i="1"/>
  <c r="H4289" i="1"/>
  <c r="A4290" i="1"/>
  <c r="B4290" i="1"/>
  <c r="C4290" i="1"/>
  <c r="D4290" i="1"/>
  <c r="E4290" i="1"/>
  <c r="F4290" i="1"/>
  <c r="G4290" i="1"/>
  <c r="H4290" i="1"/>
  <c r="A4291" i="1"/>
  <c r="B4291" i="1"/>
  <c r="C4291" i="1"/>
  <c r="D4291" i="1"/>
  <c r="E4291" i="1"/>
  <c r="F4291" i="1"/>
  <c r="G4291" i="1"/>
  <c r="H4291" i="1"/>
  <c r="A4292" i="1"/>
  <c r="B4292" i="1"/>
  <c r="C4292" i="1"/>
  <c r="D4292" i="1"/>
  <c r="E4292" i="1"/>
  <c r="F4292" i="1"/>
  <c r="G4292" i="1"/>
  <c r="H4292" i="1"/>
  <c r="A4293" i="1"/>
  <c r="B4293" i="1"/>
  <c r="C4293" i="1"/>
  <c r="D4293" i="1"/>
  <c r="E4293" i="1"/>
  <c r="F4293" i="1"/>
  <c r="G4293" i="1"/>
  <c r="H4293" i="1"/>
  <c r="A4294" i="1"/>
  <c r="B4294" i="1"/>
  <c r="C4294" i="1"/>
  <c r="D4294" i="1"/>
  <c r="E4294" i="1"/>
  <c r="F4294" i="1"/>
  <c r="G4294" i="1"/>
  <c r="H4294" i="1"/>
  <c r="A4295" i="1"/>
  <c r="B4295" i="1"/>
  <c r="C4295" i="1"/>
  <c r="D4295" i="1"/>
  <c r="E4295" i="1"/>
  <c r="F4295" i="1"/>
  <c r="G4295" i="1"/>
  <c r="H4295" i="1"/>
  <c r="A4296" i="1"/>
  <c r="B4296" i="1"/>
  <c r="C4296" i="1"/>
  <c r="D4296" i="1"/>
  <c r="E4296" i="1"/>
  <c r="F4296" i="1"/>
  <c r="G4296" i="1"/>
  <c r="H4296" i="1"/>
  <c r="A4297" i="1"/>
  <c r="B4297" i="1"/>
  <c r="C4297" i="1"/>
  <c r="D4297" i="1"/>
  <c r="E4297" i="1"/>
  <c r="F4297" i="1"/>
  <c r="G4297" i="1"/>
  <c r="H4297" i="1"/>
  <c r="A4298" i="1"/>
  <c r="B4298" i="1"/>
  <c r="C4298" i="1"/>
  <c r="D4298" i="1"/>
  <c r="E4298" i="1"/>
  <c r="F4298" i="1"/>
  <c r="G4298" i="1"/>
  <c r="H4298" i="1"/>
  <c r="A4299" i="1"/>
  <c r="B4299" i="1"/>
  <c r="C4299" i="1"/>
  <c r="D4299" i="1"/>
  <c r="E4299" i="1"/>
  <c r="F4299" i="1"/>
  <c r="G4299" i="1"/>
  <c r="H4299" i="1"/>
  <c r="A4300" i="1"/>
  <c r="B4300" i="1"/>
  <c r="C4300" i="1"/>
  <c r="D4300" i="1"/>
  <c r="E4300" i="1"/>
  <c r="F4300" i="1"/>
  <c r="G4300" i="1"/>
  <c r="H4300" i="1"/>
  <c r="A4301" i="1"/>
  <c r="B4301" i="1"/>
  <c r="C4301" i="1"/>
  <c r="D4301" i="1"/>
  <c r="E4301" i="1"/>
  <c r="F4301" i="1"/>
  <c r="G4301" i="1"/>
  <c r="H4301" i="1"/>
  <c r="A4302" i="1"/>
  <c r="B4302" i="1"/>
  <c r="C4302" i="1"/>
  <c r="D4302" i="1"/>
  <c r="E4302" i="1"/>
  <c r="F4302" i="1"/>
  <c r="G4302" i="1"/>
  <c r="H4302" i="1"/>
  <c r="A4303" i="1"/>
  <c r="B4303" i="1"/>
  <c r="C4303" i="1"/>
  <c r="D4303" i="1"/>
  <c r="E4303" i="1"/>
  <c r="F4303" i="1"/>
  <c r="G4303" i="1"/>
  <c r="H4303" i="1"/>
  <c r="A4304" i="1"/>
  <c r="B4304" i="1"/>
  <c r="C4304" i="1"/>
  <c r="D4304" i="1"/>
  <c r="E4304" i="1"/>
  <c r="F4304" i="1"/>
  <c r="G4304" i="1"/>
  <c r="H4304" i="1"/>
  <c r="A4305" i="1"/>
  <c r="B4305" i="1"/>
  <c r="C4305" i="1"/>
  <c r="D4305" i="1"/>
  <c r="E4305" i="1"/>
  <c r="F4305" i="1"/>
  <c r="G4305" i="1"/>
  <c r="H4305" i="1"/>
  <c r="A4306" i="1"/>
  <c r="B4306" i="1"/>
  <c r="C4306" i="1"/>
  <c r="D4306" i="1"/>
  <c r="E4306" i="1"/>
  <c r="F4306" i="1"/>
  <c r="G4306" i="1"/>
  <c r="H4306" i="1"/>
  <c r="A4307" i="1"/>
  <c r="B4307" i="1"/>
  <c r="C4307" i="1"/>
  <c r="D4307" i="1"/>
  <c r="E4307" i="1"/>
  <c r="F4307" i="1"/>
  <c r="G4307" i="1"/>
  <c r="H4307" i="1"/>
  <c r="A4308" i="1"/>
  <c r="B4308" i="1"/>
  <c r="C4308" i="1"/>
  <c r="D4308" i="1"/>
  <c r="E4308" i="1"/>
  <c r="F4308" i="1"/>
  <c r="G4308" i="1"/>
  <c r="H4308" i="1"/>
  <c r="A4309" i="1"/>
  <c r="B4309" i="1"/>
  <c r="C4309" i="1"/>
  <c r="D4309" i="1"/>
  <c r="E4309" i="1"/>
  <c r="F4309" i="1"/>
  <c r="G4309" i="1"/>
  <c r="H4309" i="1"/>
  <c r="A4310" i="1"/>
  <c r="B4310" i="1"/>
  <c r="C4310" i="1"/>
  <c r="D4310" i="1"/>
  <c r="E4310" i="1"/>
  <c r="F4310" i="1"/>
  <c r="G4310" i="1"/>
  <c r="H4310" i="1"/>
  <c r="A4311" i="1"/>
  <c r="B4311" i="1"/>
  <c r="C4311" i="1"/>
  <c r="D4311" i="1"/>
  <c r="E4311" i="1"/>
  <c r="F4311" i="1"/>
  <c r="G4311" i="1"/>
  <c r="H4311" i="1"/>
  <c r="A4312" i="1"/>
  <c r="B4312" i="1"/>
  <c r="C4312" i="1"/>
  <c r="D4312" i="1"/>
  <c r="E4312" i="1"/>
  <c r="F4312" i="1"/>
  <c r="G4312" i="1"/>
  <c r="H4312" i="1"/>
  <c r="A4313" i="1"/>
  <c r="B4313" i="1"/>
  <c r="C4313" i="1"/>
  <c r="D4313" i="1"/>
  <c r="E4313" i="1"/>
  <c r="F4313" i="1"/>
  <c r="G4313" i="1"/>
  <c r="H4313" i="1"/>
  <c r="A4314" i="1"/>
  <c r="B4314" i="1"/>
  <c r="C4314" i="1"/>
  <c r="D4314" i="1"/>
  <c r="E4314" i="1"/>
  <c r="F4314" i="1"/>
  <c r="G4314" i="1"/>
  <c r="H4314" i="1"/>
  <c r="A4315" i="1"/>
  <c r="B4315" i="1"/>
  <c r="C4315" i="1"/>
  <c r="D4315" i="1"/>
  <c r="E4315" i="1"/>
  <c r="F4315" i="1"/>
  <c r="G4315" i="1"/>
  <c r="H4315" i="1"/>
  <c r="A4316" i="1"/>
  <c r="B4316" i="1"/>
  <c r="C4316" i="1"/>
  <c r="D4316" i="1"/>
  <c r="E4316" i="1"/>
  <c r="F4316" i="1"/>
  <c r="G4316" i="1"/>
  <c r="H4316" i="1"/>
  <c r="A4317" i="1"/>
  <c r="B4317" i="1"/>
  <c r="C4317" i="1"/>
  <c r="D4317" i="1"/>
  <c r="E4317" i="1"/>
  <c r="F4317" i="1"/>
  <c r="G4317" i="1"/>
  <c r="H4317" i="1"/>
  <c r="A4318" i="1"/>
  <c r="B4318" i="1"/>
  <c r="C4318" i="1"/>
  <c r="D4318" i="1"/>
  <c r="E4318" i="1"/>
  <c r="F4318" i="1"/>
  <c r="G4318" i="1"/>
  <c r="H4318" i="1"/>
  <c r="A4319" i="1"/>
  <c r="B4319" i="1"/>
  <c r="C4319" i="1"/>
  <c r="D4319" i="1"/>
  <c r="E4319" i="1"/>
  <c r="F4319" i="1"/>
  <c r="G4319" i="1"/>
  <c r="H4319" i="1"/>
  <c r="A4320" i="1"/>
  <c r="B4320" i="1"/>
  <c r="C4320" i="1"/>
  <c r="D4320" i="1"/>
  <c r="E4320" i="1"/>
  <c r="F4320" i="1"/>
  <c r="G4320" i="1"/>
  <c r="H4320" i="1"/>
  <c r="A4321" i="1"/>
  <c r="B4321" i="1"/>
  <c r="C4321" i="1"/>
  <c r="D4321" i="1"/>
  <c r="E4321" i="1"/>
  <c r="F4321" i="1"/>
  <c r="G4321" i="1"/>
  <c r="H4321" i="1"/>
  <c r="A4322" i="1"/>
  <c r="B4322" i="1"/>
  <c r="C4322" i="1"/>
  <c r="D4322" i="1"/>
  <c r="E4322" i="1"/>
  <c r="F4322" i="1"/>
  <c r="G4322" i="1"/>
  <c r="H4322" i="1"/>
  <c r="A4323" i="1"/>
  <c r="B4323" i="1"/>
  <c r="C4323" i="1"/>
  <c r="D4323" i="1"/>
  <c r="E4323" i="1"/>
  <c r="F4323" i="1"/>
  <c r="G4323" i="1"/>
  <c r="H4323" i="1"/>
  <c r="A4324" i="1"/>
  <c r="B4324" i="1"/>
  <c r="C4324" i="1"/>
  <c r="D4324" i="1"/>
  <c r="E4324" i="1"/>
  <c r="F4324" i="1"/>
  <c r="G4324" i="1"/>
  <c r="H4324" i="1"/>
  <c r="A4325" i="1"/>
  <c r="B4325" i="1"/>
  <c r="C4325" i="1"/>
  <c r="D4325" i="1"/>
  <c r="E4325" i="1"/>
  <c r="F4325" i="1"/>
  <c r="G4325" i="1"/>
  <c r="H4325" i="1"/>
  <c r="A4326" i="1"/>
  <c r="B4326" i="1"/>
  <c r="C4326" i="1"/>
  <c r="D4326" i="1"/>
  <c r="E4326" i="1"/>
  <c r="F4326" i="1"/>
  <c r="G4326" i="1"/>
  <c r="H4326" i="1"/>
  <c r="A4327" i="1"/>
  <c r="B4327" i="1"/>
  <c r="C4327" i="1"/>
  <c r="D4327" i="1"/>
  <c r="E4327" i="1"/>
  <c r="F4327" i="1"/>
  <c r="G4327" i="1"/>
  <c r="H4327" i="1"/>
  <c r="A4328" i="1"/>
  <c r="B4328" i="1"/>
  <c r="C4328" i="1"/>
  <c r="D4328" i="1"/>
  <c r="E4328" i="1"/>
  <c r="F4328" i="1"/>
  <c r="G4328" i="1"/>
  <c r="H4328" i="1"/>
  <c r="A4329" i="1"/>
  <c r="B4329" i="1"/>
  <c r="C4329" i="1"/>
  <c r="D4329" i="1"/>
  <c r="E4329" i="1"/>
  <c r="F4329" i="1"/>
  <c r="G4329" i="1"/>
  <c r="H4329" i="1"/>
  <c r="A4330" i="1"/>
  <c r="B4330" i="1"/>
  <c r="C4330" i="1"/>
  <c r="D4330" i="1"/>
  <c r="E4330" i="1"/>
  <c r="F4330" i="1"/>
  <c r="G4330" i="1"/>
  <c r="H4330" i="1"/>
  <c r="A4331" i="1"/>
  <c r="B4331" i="1"/>
  <c r="C4331" i="1"/>
  <c r="D4331" i="1"/>
  <c r="E4331" i="1"/>
  <c r="F4331" i="1"/>
  <c r="G4331" i="1"/>
  <c r="H4331" i="1"/>
  <c r="A4332" i="1"/>
  <c r="B4332" i="1"/>
  <c r="C4332" i="1"/>
  <c r="D4332" i="1"/>
  <c r="E4332" i="1"/>
  <c r="F4332" i="1"/>
  <c r="G4332" i="1"/>
  <c r="H4332" i="1"/>
  <c r="A4333" i="1"/>
  <c r="B4333" i="1"/>
  <c r="C4333" i="1"/>
  <c r="D4333" i="1"/>
  <c r="E4333" i="1"/>
  <c r="F4333" i="1"/>
  <c r="G4333" i="1"/>
  <c r="H4333" i="1"/>
  <c r="A4334" i="1"/>
  <c r="B4334" i="1"/>
  <c r="C4334" i="1"/>
  <c r="D4334" i="1"/>
  <c r="E4334" i="1"/>
  <c r="F4334" i="1"/>
  <c r="G4334" i="1"/>
  <c r="H4334" i="1"/>
  <c r="A4335" i="1"/>
  <c r="B4335" i="1"/>
  <c r="C4335" i="1"/>
  <c r="D4335" i="1"/>
  <c r="E4335" i="1"/>
  <c r="F4335" i="1"/>
  <c r="G4335" i="1"/>
  <c r="H4335" i="1"/>
  <c r="A4336" i="1"/>
  <c r="B4336" i="1"/>
  <c r="C4336" i="1"/>
  <c r="D4336" i="1"/>
  <c r="E4336" i="1"/>
  <c r="F4336" i="1"/>
  <c r="G4336" i="1"/>
  <c r="H4336" i="1"/>
  <c r="A4337" i="1"/>
  <c r="B4337" i="1"/>
  <c r="C4337" i="1"/>
  <c r="D4337" i="1"/>
  <c r="E4337" i="1"/>
  <c r="F4337" i="1"/>
  <c r="G4337" i="1"/>
  <c r="H4337" i="1"/>
  <c r="A4338" i="1"/>
  <c r="B4338" i="1"/>
  <c r="C4338" i="1"/>
  <c r="D4338" i="1"/>
  <c r="E4338" i="1"/>
  <c r="F4338" i="1"/>
  <c r="G4338" i="1"/>
  <c r="H4338" i="1"/>
  <c r="A4339" i="1"/>
  <c r="B4339" i="1"/>
  <c r="C4339" i="1"/>
  <c r="D4339" i="1"/>
  <c r="E4339" i="1"/>
  <c r="F4339" i="1"/>
  <c r="G4339" i="1"/>
  <c r="H4339" i="1"/>
  <c r="A4340" i="1"/>
  <c r="B4340" i="1"/>
  <c r="C4340" i="1"/>
  <c r="D4340" i="1"/>
  <c r="E4340" i="1"/>
  <c r="F4340" i="1"/>
  <c r="G4340" i="1"/>
  <c r="H4340" i="1"/>
  <c r="A4341" i="1"/>
  <c r="B4341" i="1"/>
  <c r="C4341" i="1"/>
  <c r="D4341" i="1"/>
  <c r="E4341" i="1"/>
  <c r="F4341" i="1"/>
  <c r="G4341" i="1"/>
  <c r="H4341" i="1"/>
  <c r="A4342" i="1"/>
  <c r="B4342" i="1"/>
  <c r="C4342" i="1"/>
  <c r="D4342" i="1"/>
  <c r="E4342" i="1"/>
  <c r="F4342" i="1"/>
  <c r="G4342" i="1"/>
  <c r="H4342" i="1"/>
  <c r="A4343" i="1"/>
  <c r="B4343" i="1"/>
  <c r="C4343" i="1"/>
  <c r="D4343" i="1"/>
  <c r="E4343" i="1"/>
  <c r="F4343" i="1"/>
  <c r="G4343" i="1"/>
  <c r="H4343" i="1"/>
  <c r="A4344" i="1"/>
  <c r="B4344" i="1"/>
  <c r="C4344" i="1"/>
  <c r="D4344" i="1"/>
  <c r="E4344" i="1"/>
  <c r="F4344" i="1"/>
  <c r="G4344" i="1"/>
  <c r="H4344" i="1"/>
  <c r="A4345" i="1"/>
  <c r="B4345" i="1"/>
  <c r="C4345" i="1"/>
  <c r="D4345" i="1"/>
  <c r="E4345" i="1"/>
  <c r="F4345" i="1"/>
  <c r="G4345" i="1"/>
  <c r="H4345" i="1"/>
  <c r="A4346" i="1"/>
  <c r="B4346" i="1"/>
  <c r="C4346" i="1"/>
  <c r="D4346" i="1"/>
  <c r="E4346" i="1"/>
  <c r="F4346" i="1"/>
  <c r="G4346" i="1"/>
  <c r="H4346" i="1"/>
  <c r="A4347" i="1"/>
  <c r="B4347" i="1"/>
  <c r="C4347" i="1"/>
  <c r="D4347" i="1"/>
  <c r="E4347" i="1"/>
  <c r="F4347" i="1"/>
  <c r="G4347" i="1"/>
  <c r="H4347" i="1"/>
  <c r="A4348" i="1"/>
  <c r="B4348" i="1"/>
  <c r="C4348" i="1"/>
  <c r="D4348" i="1"/>
  <c r="E4348" i="1"/>
  <c r="F4348" i="1"/>
  <c r="G4348" i="1"/>
  <c r="H4348" i="1"/>
  <c r="A4349" i="1"/>
  <c r="B4349" i="1"/>
  <c r="C4349" i="1"/>
  <c r="D4349" i="1"/>
  <c r="E4349" i="1"/>
  <c r="F4349" i="1"/>
  <c r="G4349" i="1"/>
  <c r="H4349" i="1"/>
  <c r="A4350" i="1"/>
  <c r="B4350" i="1"/>
  <c r="C4350" i="1"/>
  <c r="D4350" i="1"/>
  <c r="E4350" i="1"/>
  <c r="F4350" i="1"/>
  <c r="G4350" i="1"/>
  <c r="H4350" i="1"/>
  <c r="A4351" i="1"/>
  <c r="B4351" i="1"/>
  <c r="C4351" i="1"/>
  <c r="D4351" i="1"/>
  <c r="E4351" i="1"/>
  <c r="F4351" i="1"/>
  <c r="G4351" i="1"/>
  <c r="H4351" i="1"/>
  <c r="A4352" i="1"/>
  <c r="B4352" i="1"/>
  <c r="C4352" i="1"/>
  <c r="D4352" i="1"/>
  <c r="E4352" i="1"/>
  <c r="F4352" i="1"/>
  <c r="G4352" i="1"/>
  <c r="H4352" i="1"/>
  <c r="A4353" i="1"/>
  <c r="B4353" i="1"/>
  <c r="C4353" i="1"/>
  <c r="D4353" i="1"/>
  <c r="E4353" i="1"/>
  <c r="F4353" i="1"/>
  <c r="G4353" i="1"/>
  <c r="H4353" i="1"/>
  <c r="A4354" i="1"/>
  <c r="B4354" i="1"/>
  <c r="C4354" i="1"/>
  <c r="D4354" i="1"/>
  <c r="E4354" i="1"/>
  <c r="F4354" i="1"/>
  <c r="G4354" i="1"/>
  <c r="H4354" i="1"/>
  <c r="A4355" i="1"/>
  <c r="B4355" i="1"/>
  <c r="C4355" i="1"/>
  <c r="D4355" i="1"/>
  <c r="E4355" i="1"/>
  <c r="F4355" i="1"/>
  <c r="G4355" i="1"/>
  <c r="H4355" i="1"/>
  <c r="A4356" i="1"/>
  <c r="B4356" i="1"/>
  <c r="C4356" i="1"/>
  <c r="D4356" i="1"/>
  <c r="E4356" i="1"/>
  <c r="F4356" i="1"/>
  <c r="G4356" i="1"/>
  <c r="H4356" i="1"/>
  <c r="A4357" i="1"/>
  <c r="B4357" i="1"/>
  <c r="C4357" i="1"/>
  <c r="D4357" i="1"/>
  <c r="E4357" i="1"/>
  <c r="F4357" i="1"/>
  <c r="G4357" i="1"/>
  <c r="H4357" i="1"/>
  <c r="A4358" i="1"/>
  <c r="B4358" i="1"/>
  <c r="C4358" i="1"/>
  <c r="D4358" i="1"/>
  <c r="E4358" i="1"/>
  <c r="F4358" i="1"/>
  <c r="G4358" i="1"/>
  <c r="H4358" i="1"/>
  <c r="A4359" i="1"/>
  <c r="B4359" i="1"/>
  <c r="C4359" i="1"/>
  <c r="D4359" i="1"/>
  <c r="E4359" i="1"/>
  <c r="F4359" i="1"/>
  <c r="G4359" i="1"/>
  <c r="H4359" i="1"/>
  <c r="A4360" i="1"/>
  <c r="B4360" i="1"/>
  <c r="C4360" i="1"/>
  <c r="D4360" i="1"/>
  <c r="E4360" i="1"/>
  <c r="F4360" i="1"/>
  <c r="G4360" i="1"/>
  <c r="H4360" i="1"/>
  <c r="A4361" i="1"/>
  <c r="B4361" i="1"/>
  <c r="C4361" i="1"/>
  <c r="D4361" i="1"/>
  <c r="E4361" i="1"/>
  <c r="F4361" i="1"/>
  <c r="G4361" i="1"/>
  <c r="H4361" i="1"/>
  <c r="A4362" i="1"/>
  <c r="B4362" i="1"/>
  <c r="C4362" i="1"/>
  <c r="D4362" i="1"/>
  <c r="E4362" i="1"/>
  <c r="F4362" i="1"/>
  <c r="G4362" i="1"/>
  <c r="H4362" i="1"/>
  <c r="A4363" i="1"/>
  <c r="B4363" i="1"/>
  <c r="C4363" i="1"/>
  <c r="D4363" i="1"/>
  <c r="E4363" i="1"/>
  <c r="F4363" i="1"/>
  <c r="G4363" i="1"/>
  <c r="H4363" i="1"/>
  <c r="A4364" i="1"/>
  <c r="B4364" i="1"/>
  <c r="C4364" i="1"/>
  <c r="D4364" i="1"/>
  <c r="E4364" i="1"/>
  <c r="F4364" i="1"/>
  <c r="G4364" i="1"/>
  <c r="H4364" i="1"/>
  <c r="A4365" i="1"/>
  <c r="B4365" i="1"/>
  <c r="C4365" i="1"/>
  <c r="D4365" i="1"/>
  <c r="E4365" i="1"/>
  <c r="F4365" i="1"/>
  <c r="G4365" i="1"/>
  <c r="H4365" i="1"/>
  <c r="A4366" i="1"/>
  <c r="B4366" i="1"/>
  <c r="C4366" i="1"/>
  <c r="D4366" i="1"/>
  <c r="E4366" i="1"/>
  <c r="F4366" i="1"/>
  <c r="G4366" i="1"/>
  <c r="H4366" i="1"/>
  <c r="A4367" i="1"/>
  <c r="B4367" i="1"/>
  <c r="C4367" i="1"/>
  <c r="D4367" i="1"/>
  <c r="E4367" i="1"/>
  <c r="F4367" i="1"/>
  <c r="G4367" i="1"/>
  <c r="H4367" i="1"/>
  <c r="A4368" i="1"/>
  <c r="B4368" i="1"/>
  <c r="C4368" i="1"/>
  <c r="D4368" i="1"/>
  <c r="E4368" i="1"/>
  <c r="F4368" i="1"/>
  <c r="G4368" i="1"/>
  <c r="H4368" i="1"/>
  <c r="A4369" i="1"/>
  <c r="B4369" i="1"/>
  <c r="C4369" i="1"/>
  <c r="D4369" i="1"/>
  <c r="E4369" i="1"/>
  <c r="F4369" i="1"/>
  <c r="G4369" i="1"/>
  <c r="H4369" i="1"/>
  <c r="A4370" i="1"/>
  <c r="B4370" i="1"/>
  <c r="C4370" i="1"/>
  <c r="D4370" i="1"/>
  <c r="E4370" i="1"/>
  <c r="F4370" i="1"/>
  <c r="G4370" i="1"/>
  <c r="H4370" i="1"/>
  <c r="A4371" i="1"/>
  <c r="B4371" i="1"/>
  <c r="C4371" i="1"/>
  <c r="D4371" i="1"/>
  <c r="E4371" i="1"/>
  <c r="F4371" i="1"/>
  <c r="G4371" i="1"/>
  <c r="H4371" i="1"/>
  <c r="A4372" i="1"/>
  <c r="B4372" i="1"/>
  <c r="C4372" i="1"/>
  <c r="D4372" i="1"/>
  <c r="E4372" i="1"/>
  <c r="F4372" i="1"/>
  <c r="G4372" i="1"/>
  <c r="H4372" i="1"/>
  <c r="A4373" i="1"/>
  <c r="B4373" i="1"/>
  <c r="C4373" i="1"/>
  <c r="D4373" i="1"/>
  <c r="E4373" i="1"/>
  <c r="F4373" i="1"/>
  <c r="G4373" i="1"/>
  <c r="H4373" i="1"/>
  <c r="A4374" i="1"/>
  <c r="B4374" i="1"/>
  <c r="C4374" i="1"/>
  <c r="D4374" i="1"/>
  <c r="E4374" i="1"/>
  <c r="F4374" i="1"/>
  <c r="G4374" i="1"/>
  <c r="H4374" i="1"/>
  <c r="A4375" i="1"/>
  <c r="B4375" i="1"/>
  <c r="C4375" i="1"/>
  <c r="D4375" i="1"/>
  <c r="E4375" i="1"/>
  <c r="F4375" i="1"/>
  <c r="G4375" i="1"/>
  <c r="H4375" i="1"/>
  <c r="A4376" i="1"/>
  <c r="B4376" i="1"/>
  <c r="C4376" i="1"/>
  <c r="D4376" i="1"/>
  <c r="E4376" i="1"/>
  <c r="F4376" i="1"/>
  <c r="G4376" i="1"/>
  <c r="H4376" i="1"/>
  <c r="A4377" i="1"/>
  <c r="B4377" i="1"/>
  <c r="C4377" i="1"/>
  <c r="D4377" i="1"/>
  <c r="E4377" i="1"/>
  <c r="F4377" i="1"/>
  <c r="G4377" i="1"/>
  <c r="H4377" i="1"/>
  <c r="A4378" i="1"/>
  <c r="B4378" i="1"/>
  <c r="C4378" i="1"/>
  <c r="D4378" i="1"/>
  <c r="E4378" i="1"/>
  <c r="F4378" i="1"/>
  <c r="G4378" i="1"/>
  <c r="H4378" i="1"/>
  <c r="A4379" i="1"/>
  <c r="B4379" i="1"/>
  <c r="C4379" i="1"/>
  <c r="D4379" i="1"/>
  <c r="E4379" i="1"/>
  <c r="F4379" i="1"/>
  <c r="G4379" i="1"/>
  <c r="H4379" i="1"/>
  <c r="A4380" i="1"/>
  <c r="B4380" i="1"/>
  <c r="C4380" i="1"/>
  <c r="D4380" i="1"/>
  <c r="E4380" i="1"/>
  <c r="F4380" i="1"/>
  <c r="G4380" i="1"/>
  <c r="H4380" i="1"/>
  <c r="A4381" i="1"/>
  <c r="B4381" i="1"/>
  <c r="C4381" i="1"/>
  <c r="D4381" i="1"/>
  <c r="E4381" i="1"/>
  <c r="F4381" i="1"/>
  <c r="G4381" i="1"/>
  <c r="H4381" i="1"/>
  <c r="A4382" i="1"/>
  <c r="B4382" i="1"/>
  <c r="C4382" i="1"/>
  <c r="D4382" i="1"/>
  <c r="E4382" i="1"/>
  <c r="F4382" i="1"/>
  <c r="G4382" i="1"/>
  <c r="H4382" i="1"/>
  <c r="A4383" i="1"/>
  <c r="B4383" i="1"/>
  <c r="C4383" i="1"/>
  <c r="D4383" i="1"/>
  <c r="E4383" i="1"/>
  <c r="F4383" i="1"/>
  <c r="G4383" i="1"/>
  <c r="H4383" i="1"/>
  <c r="A4384" i="1"/>
  <c r="B4384" i="1"/>
  <c r="C4384" i="1"/>
  <c r="D4384" i="1"/>
  <c r="E4384" i="1"/>
  <c r="F4384" i="1"/>
  <c r="G4384" i="1"/>
  <c r="H4384" i="1"/>
  <c r="A4385" i="1"/>
  <c r="B4385" i="1"/>
  <c r="C4385" i="1"/>
  <c r="D4385" i="1"/>
  <c r="E4385" i="1"/>
  <c r="F4385" i="1"/>
  <c r="G4385" i="1"/>
  <c r="H4385" i="1"/>
  <c r="A4386" i="1"/>
  <c r="B4386" i="1"/>
  <c r="C4386" i="1"/>
  <c r="D4386" i="1"/>
  <c r="E4386" i="1"/>
  <c r="F4386" i="1"/>
  <c r="G4386" i="1"/>
  <c r="H4386" i="1"/>
  <c r="A4387" i="1"/>
  <c r="B4387" i="1"/>
  <c r="C4387" i="1"/>
  <c r="D4387" i="1"/>
  <c r="E4387" i="1"/>
  <c r="F4387" i="1"/>
  <c r="G4387" i="1"/>
  <c r="H4387" i="1"/>
  <c r="A4388" i="1"/>
  <c r="B4388" i="1"/>
  <c r="C4388" i="1"/>
  <c r="D4388" i="1"/>
  <c r="E4388" i="1"/>
  <c r="F4388" i="1"/>
  <c r="G4388" i="1"/>
  <c r="H4388" i="1"/>
  <c r="A4389" i="1"/>
  <c r="B4389" i="1"/>
  <c r="C4389" i="1"/>
  <c r="D4389" i="1"/>
  <c r="E4389" i="1"/>
  <c r="F4389" i="1"/>
  <c r="G4389" i="1"/>
  <c r="H4389" i="1"/>
  <c r="A4390" i="1"/>
  <c r="B4390" i="1"/>
  <c r="C4390" i="1"/>
  <c r="D4390" i="1"/>
  <c r="E4390" i="1"/>
  <c r="F4390" i="1"/>
  <c r="G4390" i="1"/>
  <c r="H4390" i="1"/>
  <c r="A4391" i="1"/>
  <c r="B4391" i="1"/>
  <c r="C4391" i="1"/>
  <c r="D4391" i="1"/>
  <c r="E4391" i="1"/>
  <c r="F4391" i="1"/>
  <c r="G4391" i="1"/>
  <c r="H4391" i="1"/>
  <c r="A4392" i="1"/>
  <c r="B4392" i="1"/>
  <c r="C4392" i="1"/>
  <c r="D4392" i="1"/>
  <c r="E4392" i="1"/>
  <c r="F4392" i="1"/>
  <c r="G4392" i="1"/>
  <c r="H4392" i="1"/>
  <c r="A4393" i="1"/>
  <c r="B4393" i="1"/>
  <c r="C4393" i="1"/>
  <c r="D4393" i="1"/>
  <c r="E4393" i="1"/>
  <c r="F4393" i="1"/>
  <c r="G4393" i="1"/>
  <c r="H4393" i="1"/>
  <c r="A4394" i="1"/>
  <c r="B4394" i="1"/>
  <c r="C4394" i="1"/>
  <c r="D4394" i="1"/>
  <c r="E4394" i="1"/>
  <c r="F4394" i="1"/>
  <c r="G4394" i="1"/>
  <c r="H4394" i="1"/>
  <c r="A4395" i="1"/>
  <c r="B4395" i="1"/>
  <c r="C4395" i="1"/>
  <c r="D4395" i="1"/>
  <c r="E4395" i="1"/>
  <c r="F4395" i="1"/>
  <c r="G4395" i="1"/>
  <c r="H4395" i="1"/>
  <c r="A4396" i="1"/>
  <c r="B4396" i="1"/>
  <c r="C4396" i="1"/>
  <c r="D4396" i="1"/>
  <c r="E4396" i="1"/>
  <c r="F4396" i="1"/>
  <c r="G4396" i="1"/>
  <c r="H4396" i="1"/>
  <c r="A4397" i="1"/>
  <c r="B4397" i="1"/>
  <c r="C4397" i="1"/>
  <c r="D4397" i="1"/>
  <c r="E4397" i="1"/>
  <c r="F4397" i="1"/>
  <c r="G4397" i="1"/>
  <c r="H4397" i="1"/>
  <c r="A4398" i="1"/>
  <c r="B4398" i="1"/>
  <c r="C4398" i="1"/>
  <c r="D4398" i="1"/>
  <c r="E4398" i="1"/>
  <c r="F4398" i="1"/>
  <c r="G4398" i="1"/>
  <c r="H4398" i="1"/>
  <c r="A4399" i="1"/>
  <c r="B4399" i="1"/>
  <c r="C4399" i="1"/>
  <c r="D4399" i="1"/>
  <c r="E4399" i="1"/>
  <c r="F4399" i="1"/>
  <c r="G4399" i="1"/>
  <c r="H4399" i="1"/>
  <c r="A4400" i="1"/>
  <c r="B4400" i="1"/>
  <c r="C4400" i="1"/>
  <c r="D4400" i="1"/>
  <c r="E4400" i="1"/>
  <c r="F4400" i="1"/>
  <c r="G4400" i="1"/>
  <c r="H4400" i="1"/>
  <c r="A4401" i="1"/>
  <c r="B4401" i="1"/>
  <c r="C4401" i="1"/>
  <c r="D4401" i="1"/>
  <c r="E4401" i="1"/>
  <c r="F4401" i="1"/>
  <c r="G4401" i="1"/>
  <c r="H4401" i="1"/>
  <c r="A4402" i="1"/>
  <c r="B4402" i="1"/>
  <c r="C4402" i="1"/>
  <c r="D4402" i="1"/>
  <c r="E4402" i="1"/>
  <c r="F4402" i="1"/>
  <c r="G4402" i="1"/>
  <c r="H4402" i="1"/>
  <c r="A4403" i="1"/>
  <c r="B4403" i="1"/>
  <c r="C4403" i="1"/>
  <c r="D4403" i="1"/>
  <c r="E4403" i="1"/>
  <c r="F4403" i="1"/>
  <c r="G4403" i="1"/>
  <c r="H4403" i="1"/>
  <c r="A4404" i="1"/>
  <c r="B4404" i="1"/>
  <c r="C4404" i="1"/>
  <c r="D4404" i="1"/>
  <c r="E4404" i="1"/>
  <c r="F4404" i="1"/>
  <c r="G4404" i="1"/>
  <c r="H4404" i="1"/>
  <c r="A4405" i="1"/>
  <c r="B4405" i="1"/>
  <c r="C4405" i="1"/>
  <c r="D4405" i="1"/>
  <c r="E4405" i="1"/>
  <c r="F4405" i="1"/>
  <c r="G4405" i="1"/>
  <c r="H4405" i="1"/>
  <c r="A4406" i="1"/>
  <c r="B4406" i="1"/>
  <c r="C4406" i="1"/>
  <c r="D4406" i="1"/>
  <c r="E4406" i="1"/>
  <c r="F4406" i="1"/>
  <c r="G4406" i="1"/>
  <c r="H4406" i="1"/>
  <c r="A4407" i="1"/>
  <c r="B4407" i="1"/>
  <c r="C4407" i="1"/>
  <c r="D4407" i="1"/>
  <c r="E4407" i="1"/>
  <c r="F4407" i="1"/>
  <c r="G4407" i="1"/>
  <c r="H4407" i="1"/>
  <c r="A4408" i="1"/>
  <c r="B4408" i="1"/>
  <c r="C4408" i="1"/>
  <c r="D4408" i="1"/>
  <c r="E4408" i="1"/>
  <c r="F4408" i="1"/>
  <c r="G4408" i="1"/>
  <c r="H4408" i="1"/>
  <c r="A4409" i="1"/>
  <c r="B4409" i="1"/>
  <c r="C4409" i="1"/>
  <c r="D4409" i="1"/>
  <c r="E4409" i="1"/>
  <c r="F4409" i="1"/>
  <c r="G4409" i="1"/>
  <c r="H4409" i="1"/>
  <c r="A4410" i="1"/>
  <c r="B4410" i="1"/>
  <c r="C4410" i="1"/>
  <c r="D4410" i="1"/>
  <c r="E4410" i="1"/>
  <c r="F4410" i="1"/>
  <c r="G4410" i="1"/>
  <c r="H4410" i="1"/>
  <c r="A4411" i="1"/>
  <c r="B4411" i="1"/>
  <c r="C4411" i="1"/>
  <c r="D4411" i="1"/>
  <c r="E4411" i="1"/>
  <c r="F4411" i="1"/>
  <c r="G4411" i="1"/>
  <c r="H4411" i="1"/>
  <c r="A4412" i="1"/>
  <c r="B4412" i="1"/>
  <c r="C4412" i="1"/>
  <c r="D4412" i="1"/>
  <c r="E4412" i="1"/>
  <c r="F4412" i="1"/>
  <c r="G4412" i="1"/>
  <c r="H4412" i="1"/>
  <c r="A4413" i="1"/>
  <c r="B4413" i="1"/>
  <c r="C4413" i="1"/>
  <c r="D4413" i="1"/>
  <c r="E4413" i="1"/>
  <c r="F4413" i="1"/>
  <c r="G4413" i="1"/>
  <c r="H4413" i="1"/>
  <c r="A4414" i="1"/>
  <c r="B4414" i="1"/>
  <c r="C4414" i="1"/>
  <c r="D4414" i="1"/>
  <c r="E4414" i="1"/>
  <c r="F4414" i="1"/>
  <c r="G4414" i="1"/>
  <c r="H4414" i="1"/>
  <c r="A4415" i="1"/>
  <c r="B4415" i="1"/>
  <c r="C4415" i="1"/>
  <c r="D4415" i="1"/>
  <c r="E4415" i="1"/>
  <c r="F4415" i="1"/>
  <c r="G4415" i="1"/>
  <c r="H4415" i="1"/>
  <c r="A4416" i="1"/>
  <c r="B4416" i="1"/>
  <c r="C4416" i="1"/>
  <c r="D4416" i="1"/>
  <c r="E4416" i="1"/>
  <c r="F4416" i="1"/>
  <c r="G4416" i="1"/>
  <c r="H4416" i="1"/>
  <c r="A4417" i="1"/>
  <c r="B4417" i="1"/>
  <c r="C4417" i="1"/>
  <c r="D4417" i="1"/>
  <c r="E4417" i="1"/>
  <c r="F4417" i="1"/>
  <c r="G4417" i="1"/>
  <c r="H4417" i="1"/>
  <c r="A4418" i="1"/>
  <c r="B4418" i="1"/>
  <c r="C4418" i="1"/>
  <c r="D4418" i="1"/>
  <c r="E4418" i="1"/>
  <c r="F4418" i="1"/>
  <c r="G4418" i="1"/>
  <c r="H4418" i="1"/>
  <c r="A4419" i="1"/>
  <c r="B4419" i="1"/>
  <c r="C4419" i="1"/>
  <c r="D4419" i="1"/>
  <c r="E4419" i="1"/>
  <c r="F4419" i="1"/>
  <c r="G4419" i="1"/>
  <c r="H4419" i="1"/>
  <c r="A4420" i="1"/>
  <c r="B4420" i="1"/>
  <c r="C4420" i="1"/>
  <c r="D4420" i="1"/>
  <c r="E4420" i="1"/>
  <c r="F4420" i="1"/>
  <c r="G4420" i="1"/>
  <c r="H4420" i="1"/>
  <c r="A4421" i="1"/>
  <c r="B4421" i="1"/>
  <c r="C4421" i="1"/>
  <c r="D4421" i="1"/>
  <c r="E4421" i="1"/>
  <c r="F4421" i="1"/>
  <c r="G4421" i="1"/>
  <c r="H4421" i="1"/>
  <c r="A4422" i="1"/>
  <c r="B4422" i="1"/>
  <c r="C4422" i="1"/>
  <c r="D4422" i="1"/>
  <c r="E4422" i="1"/>
  <c r="F4422" i="1"/>
  <c r="G4422" i="1"/>
  <c r="H4422" i="1"/>
  <c r="A4423" i="1"/>
  <c r="B4423" i="1"/>
  <c r="C4423" i="1"/>
  <c r="D4423" i="1"/>
  <c r="E4423" i="1"/>
  <c r="F4423" i="1"/>
  <c r="G4423" i="1"/>
  <c r="H4423" i="1"/>
  <c r="A4424" i="1"/>
  <c r="B4424" i="1"/>
  <c r="C4424" i="1"/>
  <c r="D4424" i="1"/>
  <c r="E4424" i="1"/>
  <c r="F4424" i="1"/>
  <c r="G4424" i="1"/>
  <c r="H4424" i="1"/>
  <c r="A4425" i="1"/>
  <c r="B4425" i="1"/>
  <c r="C4425" i="1"/>
  <c r="D4425" i="1"/>
  <c r="E4425" i="1"/>
  <c r="F4425" i="1"/>
  <c r="G4425" i="1"/>
  <c r="H4425" i="1"/>
  <c r="A4426" i="1"/>
  <c r="B4426" i="1"/>
  <c r="C4426" i="1"/>
  <c r="D4426" i="1"/>
  <c r="E4426" i="1"/>
  <c r="F4426" i="1"/>
  <c r="G4426" i="1"/>
  <c r="H4426" i="1"/>
  <c r="A4427" i="1"/>
  <c r="B4427" i="1"/>
  <c r="C4427" i="1"/>
  <c r="D4427" i="1"/>
  <c r="E4427" i="1"/>
  <c r="F4427" i="1"/>
  <c r="G4427" i="1"/>
  <c r="H4427" i="1"/>
  <c r="A4428" i="1"/>
  <c r="B4428" i="1"/>
  <c r="C4428" i="1"/>
  <c r="D4428" i="1"/>
  <c r="E4428" i="1"/>
  <c r="F4428" i="1"/>
  <c r="G4428" i="1"/>
  <c r="H4428" i="1"/>
  <c r="A4429" i="1"/>
  <c r="B4429" i="1"/>
  <c r="C4429" i="1"/>
  <c r="D4429" i="1"/>
  <c r="E4429" i="1"/>
  <c r="F4429" i="1"/>
  <c r="G4429" i="1"/>
  <c r="H4429" i="1"/>
  <c r="A4430" i="1"/>
  <c r="B4430" i="1"/>
  <c r="C4430" i="1"/>
  <c r="D4430" i="1"/>
  <c r="E4430" i="1"/>
  <c r="F4430" i="1"/>
  <c r="G4430" i="1"/>
  <c r="H4430" i="1"/>
  <c r="A4431" i="1"/>
  <c r="B4431" i="1"/>
  <c r="C4431" i="1"/>
  <c r="D4431" i="1"/>
  <c r="E4431" i="1"/>
  <c r="F4431" i="1"/>
  <c r="G4431" i="1"/>
  <c r="H4431" i="1"/>
  <c r="A4432" i="1"/>
  <c r="B4432" i="1"/>
  <c r="C4432" i="1"/>
  <c r="D4432" i="1"/>
  <c r="E4432" i="1"/>
  <c r="F4432" i="1"/>
  <c r="G4432" i="1"/>
  <c r="H4432" i="1"/>
  <c r="A4433" i="1"/>
  <c r="B4433" i="1"/>
  <c r="C4433" i="1"/>
  <c r="D4433" i="1"/>
  <c r="E4433" i="1"/>
  <c r="F4433" i="1"/>
  <c r="G4433" i="1"/>
  <c r="H4433" i="1"/>
  <c r="A4434" i="1"/>
  <c r="B4434" i="1"/>
  <c r="C4434" i="1"/>
  <c r="D4434" i="1"/>
  <c r="E4434" i="1"/>
  <c r="F4434" i="1"/>
  <c r="G4434" i="1"/>
  <c r="H4434" i="1"/>
  <c r="A4435" i="1"/>
  <c r="B4435" i="1"/>
  <c r="C4435" i="1"/>
  <c r="D4435" i="1"/>
  <c r="E4435" i="1"/>
  <c r="F4435" i="1"/>
  <c r="G4435" i="1"/>
  <c r="H4435" i="1"/>
  <c r="A4436" i="1"/>
  <c r="B4436" i="1"/>
  <c r="C4436" i="1"/>
  <c r="D4436" i="1"/>
  <c r="E4436" i="1"/>
  <c r="F4436" i="1"/>
  <c r="G4436" i="1"/>
  <c r="H4436" i="1"/>
  <c r="A4437" i="1"/>
  <c r="B4437" i="1"/>
  <c r="C4437" i="1"/>
  <c r="D4437" i="1"/>
  <c r="E4437" i="1"/>
  <c r="F4437" i="1"/>
  <c r="G4437" i="1"/>
  <c r="H4437" i="1"/>
  <c r="A4438" i="1"/>
  <c r="B4438" i="1"/>
  <c r="C4438" i="1"/>
  <c r="D4438" i="1"/>
  <c r="E4438" i="1"/>
  <c r="F4438" i="1"/>
  <c r="G4438" i="1"/>
  <c r="H4438" i="1"/>
  <c r="A4439" i="1"/>
  <c r="B4439" i="1"/>
  <c r="C4439" i="1"/>
  <c r="D4439" i="1"/>
  <c r="E4439" i="1"/>
  <c r="F4439" i="1"/>
  <c r="G4439" i="1"/>
  <c r="H4439" i="1"/>
  <c r="A4440" i="1"/>
  <c r="B4440" i="1"/>
  <c r="C4440" i="1"/>
  <c r="D4440" i="1"/>
  <c r="E4440" i="1"/>
  <c r="F4440" i="1"/>
  <c r="G4440" i="1"/>
  <c r="H4440" i="1"/>
  <c r="A4441" i="1"/>
  <c r="B4441" i="1"/>
  <c r="C4441" i="1"/>
  <c r="D4441" i="1"/>
  <c r="E4441" i="1"/>
  <c r="F4441" i="1"/>
  <c r="G4441" i="1"/>
  <c r="H4441" i="1"/>
  <c r="A4442" i="1"/>
  <c r="B4442" i="1"/>
  <c r="C4442" i="1"/>
  <c r="D4442" i="1"/>
  <c r="E4442" i="1"/>
  <c r="F4442" i="1"/>
  <c r="G4442" i="1"/>
  <c r="H4442" i="1"/>
  <c r="A4443" i="1"/>
  <c r="B4443" i="1"/>
  <c r="C4443" i="1"/>
  <c r="D4443" i="1"/>
  <c r="E4443" i="1"/>
  <c r="F4443" i="1"/>
  <c r="G4443" i="1"/>
  <c r="H4443" i="1"/>
  <c r="A4444" i="1"/>
  <c r="B4444" i="1"/>
  <c r="C4444" i="1"/>
  <c r="D4444" i="1"/>
  <c r="E4444" i="1"/>
  <c r="F4444" i="1"/>
  <c r="G4444" i="1"/>
  <c r="H4444" i="1"/>
  <c r="A4445" i="1"/>
  <c r="B4445" i="1"/>
  <c r="C4445" i="1"/>
  <c r="D4445" i="1"/>
  <c r="E4445" i="1"/>
  <c r="F4445" i="1"/>
  <c r="G4445" i="1"/>
  <c r="H4445" i="1"/>
  <c r="A4446" i="1"/>
  <c r="B4446" i="1"/>
  <c r="C4446" i="1"/>
  <c r="D4446" i="1"/>
  <c r="E4446" i="1"/>
  <c r="F4446" i="1"/>
  <c r="G4446" i="1"/>
  <c r="H4446" i="1"/>
  <c r="A4447" i="1"/>
  <c r="B4447" i="1"/>
  <c r="C4447" i="1"/>
  <c r="D4447" i="1"/>
  <c r="E4447" i="1"/>
  <c r="F4447" i="1"/>
  <c r="G4447" i="1"/>
  <c r="H4447" i="1"/>
  <c r="A4448" i="1"/>
  <c r="B4448" i="1"/>
  <c r="C4448" i="1"/>
  <c r="D4448" i="1"/>
  <c r="E4448" i="1"/>
  <c r="F4448" i="1"/>
  <c r="G4448" i="1"/>
  <c r="H4448" i="1"/>
  <c r="A4449" i="1"/>
  <c r="B4449" i="1"/>
  <c r="C4449" i="1"/>
  <c r="D4449" i="1"/>
  <c r="E4449" i="1"/>
  <c r="F4449" i="1"/>
  <c r="G4449" i="1"/>
  <c r="H4449" i="1"/>
  <c r="A4450" i="1"/>
  <c r="B4450" i="1"/>
  <c r="C4450" i="1"/>
  <c r="D4450" i="1"/>
  <c r="E4450" i="1"/>
  <c r="F4450" i="1"/>
  <c r="G4450" i="1"/>
  <c r="H4450" i="1"/>
  <c r="A4451" i="1"/>
  <c r="B4451" i="1"/>
  <c r="C4451" i="1"/>
  <c r="D4451" i="1"/>
  <c r="E4451" i="1"/>
  <c r="F4451" i="1"/>
  <c r="G4451" i="1"/>
  <c r="H4451" i="1"/>
  <c r="A4452" i="1"/>
  <c r="B4452" i="1"/>
  <c r="C4452" i="1"/>
  <c r="D4452" i="1"/>
  <c r="E4452" i="1"/>
  <c r="F4452" i="1"/>
  <c r="G4452" i="1"/>
  <c r="H4452" i="1"/>
  <c r="A4453" i="1"/>
  <c r="B4453" i="1"/>
  <c r="C4453" i="1"/>
  <c r="D4453" i="1"/>
  <c r="E4453" i="1"/>
  <c r="F4453" i="1"/>
  <c r="G4453" i="1"/>
  <c r="H4453" i="1"/>
  <c r="A4454" i="1"/>
  <c r="B4454" i="1"/>
  <c r="C4454" i="1"/>
  <c r="D4454" i="1"/>
  <c r="E4454" i="1"/>
  <c r="F4454" i="1"/>
  <c r="G4454" i="1"/>
  <c r="H4454" i="1"/>
  <c r="A4455" i="1"/>
  <c r="B4455" i="1"/>
  <c r="C4455" i="1"/>
  <c r="D4455" i="1"/>
  <c r="E4455" i="1"/>
  <c r="F4455" i="1"/>
  <c r="G4455" i="1"/>
  <c r="H4455" i="1"/>
  <c r="A4456" i="1"/>
  <c r="B4456" i="1"/>
  <c r="C4456" i="1"/>
  <c r="D4456" i="1"/>
  <c r="E4456" i="1"/>
  <c r="F4456" i="1"/>
  <c r="G4456" i="1"/>
  <c r="H4456" i="1"/>
  <c r="A4457" i="1"/>
  <c r="B4457" i="1"/>
  <c r="C4457" i="1"/>
  <c r="D4457" i="1"/>
  <c r="E4457" i="1"/>
  <c r="F4457" i="1"/>
  <c r="G4457" i="1"/>
  <c r="H4457" i="1"/>
  <c r="A4458" i="1"/>
  <c r="B4458" i="1"/>
  <c r="C4458" i="1"/>
  <c r="D4458" i="1"/>
  <c r="E4458" i="1"/>
  <c r="F4458" i="1"/>
  <c r="G4458" i="1"/>
  <c r="H4458" i="1"/>
  <c r="A4459" i="1"/>
  <c r="B4459" i="1"/>
  <c r="C4459" i="1"/>
  <c r="D4459" i="1"/>
  <c r="E4459" i="1"/>
  <c r="F4459" i="1"/>
  <c r="G4459" i="1"/>
  <c r="H4459" i="1"/>
  <c r="A4460" i="1"/>
  <c r="B4460" i="1"/>
  <c r="C4460" i="1"/>
  <c r="D4460" i="1"/>
  <c r="E4460" i="1"/>
  <c r="F4460" i="1"/>
  <c r="G4460" i="1"/>
  <c r="H4460" i="1"/>
  <c r="A4461" i="1"/>
  <c r="B4461" i="1"/>
  <c r="C4461" i="1"/>
  <c r="D4461" i="1"/>
  <c r="E4461" i="1"/>
  <c r="F4461" i="1"/>
  <c r="G4461" i="1"/>
  <c r="H4461" i="1"/>
  <c r="A4462" i="1"/>
  <c r="B4462" i="1"/>
  <c r="C4462" i="1"/>
  <c r="D4462" i="1"/>
  <c r="E4462" i="1"/>
  <c r="F4462" i="1"/>
  <c r="G4462" i="1"/>
  <c r="H4462" i="1"/>
  <c r="A4463" i="1"/>
  <c r="B4463" i="1"/>
  <c r="C4463" i="1"/>
  <c r="D4463" i="1"/>
  <c r="E4463" i="1"/>
  <c r="F4463" i="1"/>
  <c r="G4463" i="1"/>
  <c r="H4463" i="1"/>
  <c r="A4464" i="1"/>
  <c r="B4464" i="1"/>
  <c r="C4464" i="1"/>
  <c r="D4464" i="1"/>
  <c r="E4464" i="1"/>
  <c r="F4464" i="1"/>
  <c r="G4464" i="1"/>
  <c r="H4464" i="1"/>
  <c r="A4465" i="1"/>
  <c r="B4465" i="1"/>
  <c r="C4465" i="1"/>
  <c r="D4465" i="1"/>
  <c r="E4465" i="1"/>
  <c r="F4465" i="1"/>
  <c r="G4465" i="1"/>
  <c r="H4465" i="1"/>
  <c r="A4466" i="1"/>
  <c r="B4466" i="1"/>
  <c r="C4466" i="1"/>
  <c r="D4466" i="1"/>
  <c r="E4466" i="1"/>
  <c r="F4466" i="1"/>
  <c r="G4466" i="1"/>
  <c r="H4466" i="1"/>
  <c r="A4467" i="1"/>
  <c r="B4467" i="1"/>
  <c r="C4467" i="1"/>
  <c r="D4467" i="1"/>
  <c r="E4467" i="1"/>
  <c r="F4467" i="1"/>
  <c r="G4467" i="1"/>
  <c r="H4467" i="1"/>
  <c r="A4468" i="1"/>
  <c r="B4468" i="1"/>
  <c r="C4468" i="1"/>
  <c r="D4468" i="1"/>
  <c r="E4468" i="1"/>
  <c r="F4468" i="1"/>
  <c r="G4468" i="1"/>
  <c r="H4468" i="1"/>
  <c r="A4469" i="1"/>
  <c r="B4469" i="1"/>
  <c r="C4469" i="1"/>
  <c r="D4469" i="1"/>
  <c r="E4469" i="1"/>
  <c r="F4469" i="1"/>
  <c r="G4469" i="1"/>
  <c r="H4469" i="1"/>
  <c r="A4470" i="1"/>
  <c r="B4470" i="1"/>
  <c r="C4470" i="1"/>
  <c r="D4470" i="1"/>
  <c r="E4470" i="1"/>
  <c r="F4470" i="1"/>
  <c r="G4470" i="1"/>
  <c r="H4470" i="1"/>
  <c r="A4471" i="1"/>
  <c r="B4471" i="1"/>
  <c r="C4471" i="1"/>
  <c r="D4471" i="1"/>
  <c r="E4471" i="1"/>
  <c r="F4471" i="1"/>
  <c r="G4471" i="1"/>
  <c r="H4471" i="1"/>
  <c r="A4472" i="1"/>
  <c r="B4472" i="1"/>
  <c r="C4472" i="1"/>
  <c r="D4472" i="1"/>
  <c r="E4472" i="1"/>
  <c r="F4472" i="1"/>
  <c r="G4472" i="1"/>
  <c r="H4472" i="1"/>
  <c r="A4473" i="1"/>
  <c r="B4473" i="1"/>
  <c r="C4473" i="1"/>
  <c r="D4473" i="1"/>
  <c r="E4473" i="1"/>
  <c r="F4473" i="1"/>
  <c r="G4473" i="1"/>
  <c r="H4473" i="1"/>
  <c r="A4474" i="1"/>
  <c r="B4474" i="1"/>
  <c r="C4474" i="1"/>
  <c r="D4474" i="1"/>
  <c r="E4474" i="1"/>
  <c r="F4474" i="1"/>
  <c r="G4474" i="1"/>
  <c r="H4474" i="1"/>
  <c r="A4475" i="1"/>
  <c r="B4475" i="1"/>
  <c r="C4475" i="1"/>
  <c r="D4475" i="1"/>
  <c r="E4475" i="1"/>
  <c r="F4475" i="1"/>
  <c r="G4475" i="1"/>
  <c r="H4475" i="1"/>
  <c r="A4476" i="1"/>
  <c r="B4476" i="1"/>
  <c r="C4476" i="1"/>
  <c r="D4476" i="1"/>
  <c r="E4476" i="1"/>
  <c r="F4476" i="1"/>
  <c r="G4476" i="1"/>
  <c r="H4476" i="1"/>
  <c r="A4477" i="1"/>
  <c r="B4477" i="1"/>
  <c r="C4477" i="1"/>
  <c r="D4477" i="1"/>
  <c r="E4477" i="1"/>
  <c r="F4477" i="1"/>
  <c r="G4477" i="1"/>
  <c r="H4477" i="1"/>
  <c r="A4478" i="1"/>
  <c r="B4478" i="1"/>
  <c r="C4478" i="1"/>
  <c r="D4478" i="1"/>
  <c r="E4478" i="1"/>
  <c r="F4478" i="1"/>
  <c r="G4478" i="1"/>
  <c r="H4478" i="1"/>
  <c r="A4479" i="1"/>
  <c r="B4479" i="1"/>
  <c r="C4479" i="1"/>
  <c r="D4479" i="1"/>
  <c r="E4479" i="1"/>
  <c r="F4479" i="1"/>
  <c r="G4479" i="1"/>
  <c r="H4479" i="1"/>
  <c r="A4480" i="1"/>
  <c r="B4480" i="1"/>
  <c r="C4480" i="1"/>
  <c r="D4480" i="1"/>
  <c r="E4480" i="1"/>
  <c r="F4480" i="1"/>
  <c r="G4480" i="1"/>
  <c r="H4480" i="1"/>
  <c r="A4481" i="1"/>
  <c r="B4481" i="1"/>
  <c r="C4481" i="1"/>
  <c r="D4481" i="1"/>
  <c r="E4481" i="1"/>
  <c r="F4481" i="1"/>
  <c r="G4481" i="1"/>
  <c r="H4481" i="1"/>
  <c r="A4482" i="1"/>
  <c r="B4482" i="1"/>
  <c r="C4482" i="1"/>
  <c r="D4482" i="1"/>
  <c r="E4482" i="1"/>
  <c r="F4482" i="1"/>
  <c r="G4482" i="1"/>
  <c r="H4482" i="1"/>
  <c r="A4483" i="1"/>
  <c r="B4483" i="1"/>
  <c r="C4483" i="1"/>
  <c r="D4483" i="1"/>
  <c r="E4483" i="1"/>
  <c r="F4483" i="1"/>
  <c r="G4483" i="1"/>
  <c r="H4483" i="1"/>
  <c r="A4484" i="1"/>
  <c r="B4484" i="1"/>
  <c r="C4484" i="1"/>
  <c r="D4484" i="1"/>
  <c r="E4484" i="1"/>
  <c r="F4484" i="1"/>
  <c r="G4484" i="1"/>
  <c r="H4484" i="1"/>
  <c r="A4485" i="1"/>
  <c r="B4485" i="1"/>
  <c r="C4485" i="1"/>
  <c r="D4485" i="1"/>
  <c r="E4485" i="1"/>
  <c r="F4485" i="1"/>
  <c r="G4485" i="1"/>
  <c r="H4485" i="1"/>
  <c r="A4486" i="1"/>
  <c r="B4486" i="1"/>
  <c r="C4486" i="1"/>
  <c r="D4486" i="1"/>
  <c r="E4486" i="1"/>
  <c r="F4486" i="1"/>
  <c r="G4486" i="1"/>
  <c r="H4486" i="1"/>
  <c r="A4487" i="1"/>
  <c r="B4487" i="1"/>
  <c r="C4487" i="1"/>
  <c r="D4487" i="1"/>
  <c r="E4487" i="1"/>
  <c r="F4487" i="1"/>
  <c r="G4487" i="1"/>
  <c r="H4487" i="1"/>
  <c r="A4488" i="1"/>
  <c r="B4488" i="1"/>
  <c r="C4488" i="1"/>
  <c r="D4488" i="1"/>
  <c r="E4488" i="1"/>
  <c r="F4488" i="1"/>
  <c r="G4488" i="1"/>
  <c r="H4488" i="1"/>
  <c r="A4489" i="1"/>
  <c r="B4489" i="1"/>
  <c r="C4489" i="1"/>
  <c r="D4489" i="1"/>
  <c r="E4489" i="1"/>
  <c r="F4489" i="1"/>
  <c r="G4489" i="1"/>
  <c r="H4489" i="1"/>
  <c r="A4490" i="1"/>
  <c r="B4490" i="1"/>
  <c r="C4490" i="1"/>
  <c r="D4490" i="1"/>
  <c r="E4490" i="1"/>
  <c r="F4490" i="1"/>
  <c r="G4490" i="1"/>
  <c r="H4490" i="1"/>
  <c r="A4491" i="1"/>
  <c r="B4491" i="1"/>
  <c r="C4491" i="1"/>
  <c r="D4491" i="1"/>
  <c r="E4491" i="1"/>
  <c r="F4491" i="1"/>
  <c r="G4491" i="1"/>
  <c r="H4491" i="1"/>
  <c r="A4492" i="1"/>
  <c r="B4492" i="1"/>
  <c r="C4492" i="1"/>
  <c r="D4492" i="1"/>
  <c r="E4492" i="1"/>
  <c r="F4492" i="1"/>
  <c r="G4492" i="1"/>
  <c r="H4492" i="1"/>
  <c r="A4493" i="1"/>
  <c r="B4493" i="1"/>
  <c r="C4493" i="1"/>
  <c r="D4493" i="1"/>
  <c r="E4493" i="1"/>
  <c r="F4493" i="1"/>
  <c r="G4493" i="1"/>
  <c r="H4493" i="1"/>
  <c r="A4494" i="1"/>
  <c r="B4494" i="1"/>
  <c r="C4494" i="1"/>
  <c r="D4494" i="1"/>
  <c r="E4494" i="1"/>
  <c r="F4494" i="1"/>
  <c r="G4494" i="1"/>
  <c r="H4494" i="1"/>
  <c r="A4495" i="1"/>
  <c r="B4495" i="1"/>
  <c r="C4495" i="1"/>
  <c r="D4495" i="1"/>
  <c r="E4495" i="1"/>
  <c r="F4495" i="1"/>
  <c r="G4495" i="1"/>
  <c r="H4495" i="1"/>
  <c r="A4496" i="1"/>
  <c r="B4496" i="1"/>
  <c r="C4496" i="1"/>
  <c r="D4496" i="1"/>
  <c r="E4496" i="1"/>
  <c r="F4496" i="1"/>
  <c r="G4496" i="1"/>
  <c r="H4496" i="1"/>
  <c r="A4497" i="1"/>
  <c r="B4497" i="1"/>
  <c r="C4497" i="1"/>
  <c r="D4497" i="1"/>
  <c r="E4497" i="1"/>
  <c r="F4497" i="1"/>
  <c r="G4497" i="1"/>
  <c r="H4497" i="1"/>
  <c r="A4498" i="1"/>
  <c r="B4498" i="1"/>
  <c r="C4498" i="1"/>
  <c r="D4498" i="1"/>
  <c r="E4498" i="1"/>
  <c r="F4498" i="1"/>
  <c r="G4498" i="1"/>
  <c r="H4498" i="1"/>
  <c r="A4499" i="1"/>
  <c r="B4499" i="1"/>
  <c r="C4499" i="1"/>
  <c r="D4499" i="1"/>
  <c r="E4499" i="1"/>
  <c r="F4499" i="1"/>
  <c r="G4499" i="1"/>
  <c r="H4499" i="1"/>
  <c r="A4500" i="1"/>
  <c r="B4500" i="1"/>
  <c r="C4500" i="1"/>
  <c r="D4500" i="1"/>
  <c r="E4500" i="1"/>
  <c r="F4500" i="1"/>
  <c r="G4500" i="1"/>
  <c r="H4500" i="1"/>
  <c r="A4501" i="1"/>
  <c r="B4501" i="1"/>
  <c r="C4501" i="1"/>
  <c r="D4501" i="1"/>
  <c r="E4501" i="1"/>
  <c r="F4501" i="1"/>
  <c r="G4501" i="1"/>
  <c r="H4501" i="1"/>
  <c r="A4502" i="1"/>
  <c r="B4502" i="1"/>
  <c r="C4502" i="1"/>
  <c r="D4502" i="1"/>
  <c r="E4502" i="1"/>
  <c r="F4502" i="1"/>
  <c r="G4502" i="1"/>
  <c r="H4502" i="1"/>
  <c r="A4503" i="1"/>
  <c r="B4503" i="1"/>
  <c r="C4503" i="1"/>
  <c r="D4503" i="1"/>
  <c r="E4503" i="1"/>
  <c r="F4503" i="1"/>
  <c r="G4503" i="1"/>
  <c r="H4503" i="1"/>
  <c r="A4504" i="1"/>
  <c r="B4504" i="1"/>
  <c r="C4504" i="1"/>
  <c r="D4504" i="1"/>
  <c r="E4504" i="1"/>
  <c r="F4504" i="1"/>
  <c r="G4504" i="1"/>
  <c r="H4504" i="1"/>
  <c r="A4505" i="1"/>
  <c r="B4505" i="1"/>
  <c r="C4505" i="1"/>
  <c r="D4505" i="1"/>
  <c r="E4505" i="1"/>
  <c r="F4505" i="1"/>
  <c r="G4505" i="1"/>
  <c r="H4505" i="1"/>
  <c r="A4506" i="1"/>
  <c r="B4506" i="1"/>
  <c r="C4506" i="1"/>
  <c r="D4506" i="1"/>
  <c r="E4506" i="1"/>
  <c r="F4506" i="1"/>
  <c r="G4506" i="1"/>
  <c r="H4506" i="1"/>
  <c r="A4507" i="1"/>
  <c r="B4507" i="1"/>
  <c r="C4507" i="1"/>
  <c r="D4507" i="1"/>
  <c r="E4507" i="1"/>
  <c r="F4507" i="1"/>
  <c r="G4507" i="1"/>
  <c r="H4507" i="1"/>
  <c r="A4508" i="1"/>
  <c r="B4508" i="1"/>
  <c r="C4508" i="1"/>
  <c r="D4508" i="1"/>
  <c r="E4508" i="1"/>
  <c r="F4508" i="1"/>
  <c r="G4508" i="1"/>
  <c r="H4508" i="1"/>
  <c r="A4509" i="1"/>
  <c r="B4509" i="1"/>
  <c r="C4509" i="1"/>
  <c r="D4509" i="1"/>
  <c r="E4509" i="1"/>
  <c r="F4509" i="1"/>
  <c r="G4509" i="1"/>
  <c r="H4509" i="1"/>
  <c r="A4510" i="1"/>
  <c r="B4510" i="1"/>
  <c r="C4510" i="1"/>
  <c r="D4510" i="1"/>
  <c r="E4510" i="1"/>
  <c r="F4510" i="1"/>
  <c r="G4510" i="1"/>
  <c r="H4510" i="1"/>
  <c r="A4511" i="1"/>
  <c r="B4511" i="1"/>
  <c r="C4511" i="1"/>
  <c r="D4511" i="1"/>
  <c r="E4511" i="1"/>
  <c r="F4511" i="1"/>
  <c r="G4511" i="1"/>
  <c r="H4511" i="1"/>
  <c r="A4512" i="1"/>
  <c r="B4512" i="1"/>
  <c r="C4512" i="1"/>
  <c r="D4512" i="1"/>
  <c r="E4512" i="1"/>
  <c r="F4512" i="1"/>
  <c r="G4512" i="1"/>
  <c r="H4512" i="1"/>
  <c r="A4513" i="1"/>
  <c r="B4513" i="1"/>
  <c r="C4513" i="1"/>
  <c r="D4513" i="1"/>
  <c r="E4513" i="1"/>
  <c r="F4513" i="1"/>
  <c r="G4513" i="1"/>
  <c r="H4513" i="1"/>
  <c r="A4514" i="1"/>
  <c r="B4514" i="1"/>
  <c r="C4514" i="1"/>
  <c r="D4514" i="1"/>
  <c r="E4514" i="1"/>
  <c r="F4514" i="1"/>
  <c r="G4514" i="1"/>
  <c r="H4514" i="1"/>
  <c r="A4515" i="1"/>
  <c r="B4515" i="1"/>
  <c r="C4515" i="1"/>
  <c r="D4515" i="1"/>
  <c r="E4515" i="1"/>
  <c r="F4515" i="1"/>
  <c r="G4515" i="1"/>
  <c r="H4515" i="1"/>
  <c r="A4516" i="1"/>
  <c r="B4516" i="1"/>
  <c r="C4516" i="1"/>
  <c r="D4516" i="1"/>
  <c r="E4516" i="1"/>
  <c r="F4516" i="1"/>
  <c r="G4516" i="1"/>
  <c r="H4516" i="1"/>
  <c r="A4517" i="1"/>
  <c r="B4517" i="1"/>
  <c r="C4517" i="1"/>
  <c r="D4517" i="1"/>
  <c r="E4517" i="1"/>
  <c r="F4517" i="1"/>
  <c r="G4517" i="1"/>
  <c r="H4517" i="1"/>
  <c r="A4518" i="1"/>
  <c r="B4518" i="1"/>
  <c r="C4518" i="1"/>
  <c r="D4518" i="1"/>
  <c r="E4518" i="1"/>
  <c r="F4518" i="1"/>
  <c r="G4518" i="1"/>
  <c r="H4518" i="1"/>
  <c r="A4519" i="1"/>
  <c r="B4519" i="1"/>
  <c r="C4519" i="1"/>
  <c r="D4519" i="1"/>
  <c r="E4519" i="1"/>
  <c r="F4519" i="1"/>
  <c r="G4519" i="1"/>
  <c r="H4519" i="1"/>
  <c r="A4520" i="1"/>
  <c r="B4520" i="1"/>
  <c r="C4520" i="1"/>
  <c r="D4520" i="1"/>
  <c r="E4520" i="1"/>
  <c r="F4520" i="1"/>
  <c r="G4520" i="1"/>
  <c r="H4520" i="1"/>
  <c r="A4521" i="1"/>
  <c r="B4521" i="1"/>
  <c r="C4521" i="1"/>
  <c r="D4521" i="1"/>
  <c r="E4521" i="1"/>
  <c r="F4521" i="1"/>
  <c r="G4521" i="1"/>
  <c r="H4521" i="1"/>
  <c r="A4522" i="1"/>
  <c r="B4522" i="1"/>
  <c r="C4522" i="1"/>
  <c r="D4522" i="1"/>
  <c r="E4522" i="1"/>
  <c r="F4522" i="1"/>
  <c r="G4522" i="1"/>
  <c r="H4522" i="1"/>
  <c r="A4523" i="1"/>
  <c r="B4523" i="1"/>
  <c r="C4523" i="1"/>
  <c r="D4523" i="1"/>
  <c r="E4523" i="1"/>
  <c r="F4523" i="1"/>
  <c r="G4523" i="1"/>
  <c r="H4523" i="1"/>
  <c r="A4524" i="1"/>
  <c r="B4524" i="1"/>
  <c r="C4524" i="1"/>
  <c r="D4524" i="1"/>
  <c r="E4524" i="1"/>
  <c r="F4524" i="1"/>
  <c r="G4524" i="1"/>
  <c r="H4524" i="1"/>
  <c r="A4525" i="1"/>
  <c r="B4525" i="1"/>
  <c r="C4525" i="1"/>
  <c r="D4525" i="1"/>
  <c r="E4525" i="1"/>
  <c r="F4525" i="1"/>
  <c r="G4525" i="1"/>
  <c r="H4525" i="1"/>
  <c r="A4526" i="1"/>
  <c r="B4526" i="1"/>
  <c r="C4526" i="1"/>
  <c r="D4526" i="1"/>
  <c r="E4526" i="1"/>
  <c r="F4526" i="1"/>
  <c r="G4526" i="1"/>
  <c r="H4526" i="1"/>
  <c r="A4527" i="1"/>
  <c r="B4527" i="1"/>
  <c r="C4527" i="1"/>
  <c r="D4527" i="1"/>
  <c r="E4527" i="1"/>
  <c r="F4527" i="1"/>
  <c r="G4527" i="1"/>
  <c r="H4527" i="1"/>
  <c r="A4528" i="1"/>
  <c r="B4528" i="1"/>
  <c r="C4528" i="1"/>
  <c r="D4528" i="1"/>
  <c r="E4528" i="1"/>
  <c r="F4528" i="1"/>
  <c r="G4528" i="1"/>
  <c r="H4528" i="1"/>
  <c r="A4529" i="1"/>
  <c r="B4529" i="1"/>
  <c r="C4529" i="1"/>
  <c r="D4529" i="1"/>
  <c r="E4529" i="1"/>
  <c r="F4529" i="1"/>
  <c r="G4529" i="1"/>
  <c r="H4529" i="1"/>
  <c r="A4530" i="1"/>
  <c r="B4530" i="1"/>
  <c r="C4530" i="1"/>
  <c r="D4530" i="1"/>
  <c r="E4530" i="1"/>
  <c r="F4530" i="1"/>
  <c r="G4530" i="1"/>
  <c r="H4530" i="1"/>
  <c r="A4531" i="1"/>
  <c r="B4531" i="1"/>
  <c r="C4531" i="1"/>
  <c r="D4531" i="1"/>
  <c r="E4531" i="1"/>
  <c r="F4531" i="1"/>
  <c r="G4531" i="1"/>
  <c r="H4531" i="1"/>
  <c r="A4532" i="1"/>
  <c r="B4532" i="1"/>
  <c r="C4532" i="1"/>
  <c r="D4532" i="1"/>
  <c r="E4532" i="1"/>
  <c r="F4532" i="1"/>
  <c r="G4532" i="1"/>
  <c r="H4532" i="1"/>
  <c r="A4533" i="1"/>
  <c r="B4533" i="1"/>
  <c r="C4533" i="1"/>
  <c r="D4533" i="1"/>
  <c r="E4533" i="1"/>
  <c r="F4533" i="1"/>
  <c r="G4533" i="1"/>
  <c r="H4533" i="1"/>
  <c r="A4534" i="1"/>
  <c r="B4534" i="1"/>
  <c r="C4534" i="1"/>
  <c r="D4534" i="1"/>
  <c r="E4534" i="1"/>
  <c r="F4534" i="1"/>
  <c r="G4534" i="1"/>
  <c r="H4534" i="1"/>
  <c r="A4535" i="1"/>
  <c r="B4535" i="1"/>
  <c r="C4535" i="1"/>
  <c r="D4535" i="1"/>
  <c r="E4535" i="1"/>
  <c r="F4535" i="1"/>
  <c r="G4535" i="1"/>
  <c r="H4535" i="1"/>
  <c r="A4536" i="1"/>
  <c r="B4536" i="1"/>
  <c r="C4536" i="1"/>
  <c r="D4536" i="1"/>
  <c r="E4536" i="1"/>
  <c r="F4536" i="1"/>
  <c r="G4536" i="1"/>
  <c r="H4536" i="1"/>
  <c r="A4537" i="1"/>
  <c r="B4537" i="1"/>
  <c r="C4537" i="1"/>
  <c r="D4537" i="1"/>
  <c r="E4537" i="1"/>
  <c r="F4537" i="1"/>
  <c r="G4537" i="1"/>
  <c r="H4537" i="1"/>
  <c r="A4538" i="1"/>
  <c r="B4538" i="1"/>
  <c r="C4538" i="1"/>
  <c r="D4538" i="1"/>
  <c r="E4538" i="1"/>
  <c r="F4538" i="1"/>
  <c r="G4538" i="1"/>
  <c r="H4538" i="1"/>
  <c r="A4539" i="1"/>
  <c r="B4539" i="1"/>
  <c r="C4539" i="1"/>
  <c r="D4539" i="1"/>
  <c r="E4539" i="1"/>
  <c r="F4539" i="1"/>
  <c r="G4539" i="1"/>
  <c r="H4539" i="1"/>
  <c r="A4540" i="1"/>
  <c r="B4540" i="1"/>
  <c r="C4540" i="1"/>
  <c r="D4540" i="1"/>
  <c r="E4540" i="1"/>
  <c r="F4540" i="1"/>
  <c r="G4540" i="1"/>
  <c r="H4540" i="1"/>
  <c r="A4541" i="1"/>
  <c r="B4541" i="1"/>
  <c r="C4541" i="1"/>
  <c r="D4541" i="1"/>
  <c r="E4541" i="1"/>
  <c r="F4541" i="1"/>
  <c r="G4541" i="1"/>
  <c r="H4541" i="1"/>
  <c r="A4542" i="1"/>
  <c r="B4542" i="1"/>
  <c r="C4542" i="1"/>
  <c r="D4542" i="1"/>
  <c r="E4542" i="1"/>
  <c r="F4542" i="1"/>
  <c r="G4542" i="1"/>
  <c r="H4542" i="1"/>
  <c r="A4543" i="1"/>
  <c r="B4543" i="1"/>
  <c r="C4543" i="1"/>
  <c r="D4543" i="1"/>
  <c r="E4543" i="1"/>
  <c r="F4543" i="1"/>
  <c r="G4543" i="1"/>
  <c r="H4543" i="1"/>
  <c r="A4544" i="1"/>
  <c r="B4544" i="1"/>
  <c r="C4544" i="1"/>
  <c r="D4544" i="1"/>
  <c r="E4544" i="1"/>
  <c r="F4544" i="1"/>
  <c r="G4544" i="1"/>
  <c r="H4544" i="1"/>
  <c r="A4545" i="1"/>
  <c r="B4545" i="1"/>
  <c r="C4545" i="1"/>
  <c r="D4545" i="1"/>
  <c r="E4545" i="1"/>
  <c r="F4545" i="1"/>
  <c r="G4545" i="1"/>
  <c r="H4545" i="1"/>
  <c r="A4546" i="1"/>
  <c r="B4546" i="1"/>
  <c r="C4546" i="1"/>
  <c r="D4546" i="1"/>
  <c r="E4546" i="1"/>
  <c r="F4546" i="1"/>
  <c r="G4546" i="1"/>
  <c r="H4546" i="1"/>
  <c r="A4547" i="1"/>
  <c r="B4547" i="1"/>
  <c r="C4547" i="1"/>
  <c r="D4547" i="1"/>
  <c r="E4547" i="1"/>
  <c r="F4547" i="1"/>
  <c r="G4547" i="1"/>
  <c r="H4547" i="1"/>
  <c r="A4548" i="1"/>
  <c r="B4548" i="1"/>
  <c r="C4548" i="1"/>
  <c r="D4548" i="1"/>
  <c r="E4548" i="1"/>
  <c r="F4548" i="1"/>
  <c r="G4548" i="1"/>
  <c r="H4548" i="1"/>
  <c r="A4549" i="1"/>
  <c r="B4549" i="1"/>
  <c r="C4549" i="1"/>
  <c r="D4549" i="1"/>
  <c r="E4549" i="1"/>
  <c r="F4549" i="1"/>
  <c r="G4549" i="1"/>
  <c r="H4549" i="1"/>
  <c r="A4550" i="1"/>
  <c r="B4550" i="1"/>
  <c r="C4550" i="1"/>
  <c r="D4550" i="1"/>
  <c r="E4550" i="1"/>
  <c r="F4550" i="1"/>
  <c r="G4550" i="1"/>
  <c r="H4550" i="1"/>
  <c r="A4551" i="1"/>
  <c r="B4551" i="1"/>
  <c r="C4551" i="1"/>
  <c r="D4551" i="1"/>
  <c r="E4551" i="1"/>
  <c r="F4551" i="1"/>
  <c r="G4551" i="1"/>
  <c r="H4551" i="1"/>
  <c r="A4552" i="1"/>
  <c r="B4552" i="1"/>
  <c r="C4552" i="1"/>
  <c r="D4552" i="1"/>
  <c r="E4552" i="1"/>
  <c r="F4552" i="1"/>
  <c r="G4552" i="1"/>
  <c r="H4552" i="1"/>
  <c r="A4553" i="1"/>
  <c r="B4553" i="1"/>
  <c r="C4553" i="1"/>
  <c r="D4553" i="1"/>
  <c r="E4553" i="1"/>
  <c r="F4553" i="1"/>
  <c r="G4553" i="1"/>
  <c r="H4553" i="1"/>
  <c r="A4554" i="1"/>
  <c r="B4554" i="1"/>
  <c r="C4554" i="1"/>
  <c r="D4554" i="1"/>
  <c r="E4554" i="1"/>
  <c r="F4554" i="1"/>
  <c r="G4554" i="1"/>
  <c r="H4554" i="1"/>
  <c r="A4555" i="1"/>
  <c r="B4555" i="1"/>
  <c r="C4555" i="1"/>
  <c r="D4555" i="1"/>
  <c r="E4555" i="1"/>
  <c r="F4555" i="1"/>
  <c r="G4555" i="1"/>
  <c r="H4555" i="1"/>
  <c r="A4556" i="1"/>
  <c r="B4556" i="1"/>
  <c r="C4556" i="1"/>
  <c r="D4556" i="1"/>
  <c r="E4556" i="1"/>
  <c r="F4556" i="1"/>
  <c r="G4556" i="1"/>
  <c r="H4556" i="1"/>
  <c r="A4557" i="1"/>
  <c r="B4557" i="1"/>
  <c r="C4557" i="1"/>
  <c r="D4557" i="1"/>
  <c r="E4557" i="1"/>
  <c r="F4557" i="1"/>
  <c r="G4557" i="1"/>
  <c r="H4557" i="1"/>
  <c r="A4558" i="1"/>
  <c r="B4558" i="1"/>
  <c r="C4558" i="1"/>
  <c r="D4558" i="1"/>
  <c r="E4558" i="1"/>
  <c r="F4558" i="1"/>
  <c r="G4558" i="1"/>
  <c r="H4558" i="1"/>
  <c r="A4559" i="1"/>
  <c r="B4559" i="1"/>
  <c r="C4559" i="1"/>
  <c r="D4559" i="1"/>
  <c r="E4559" i="1"/>
  <c r="F4559" i="1"/>
  <c r="G4559" i="1"/>
  <c r="H4559" i="1"/>
  <c r="A4560" i="1"/>
  <c r="B4560" i="1"/>
  <c r="C4560" i="1"/>
  <c r="D4560" i="1"/>
  <c r="E4560" i="1"/>
  <c r="F4560" i="1"/>
  <c r="G4560" i="1"/>
  <c r="H4560" i="1"/>
  <c r="A4561" i="1"/>
  <c r="B4561" i="1"/>
  <c r="C4561" i="1"/>
  <c r="D4561" i="1"/>
  <c r="E4561" i="1"/>
  <c r="F4561" i="1"/>
  <c r="G4561" i="1"/>
  <c r="H4561" i="1"/>
  <c r="A4562" i="1"/>
  <c r="B4562" i="1"/>
  <c r="C4562" i="1"/>
  <c r="D4562" i="1"/>
  <c r="E4562" i="1"/>
  <c r="F4562" i="1"/>
  <c r="G4562" i="1"/>
  <c r="H4562" i="1"/>
  <c r="A4563" i="1"/>
  <c r="B4563" i="1"/>
  <c r="C4563" i="1"/>
  <c r="D4563" i="1"/>
  <c r="E4563" i="1"/>
  <c r="F4563" i="1"/>
  <c r="G4563" i="1"/>
  <c r="H4563" i="1"/>
  <c r="A4564" i="1"/>
  <c r="B4564" i="1"/>
  <c r="C4564" i="1"/>
  <c r="D4564" i="1"/>
  <c r="E4564" i="1"/>
  <c r="F4564" i="1"/>
  <c r="G4564" i="1"/>
  <c r="H4564" i="1"/>
  <c r="A4565" i="1"/>
  <c r="B4565" i="1"/>
  <c r="C4565" i="1"/>
  <c r="D4565" i="1"/>
  <c r="E4565" i="1"/>
  <c r="F4565" i="1"/>
  <c r="G4565" i="1"/>
  <c r="H4565" i="1"/>
  <c r="A4566" i="1"/>
  <c r="B4566" i="1"/>
  <c r="C4566" i="1"/>
  <c r="D4566" i="1"/>
  <c r="E4566" i="1"/>
  <c r="F4566" i="1"/>
  <c r="G4566" i="1"/>
  <c r="H4566" i="1"/>
  <c r="A4567" i="1"/>
  <c r="B4567" i="1"/>
  <c r="C4567" i="1"/>
  <c r="D4567" i="1"/>
  <c r="E4567" i="1"/>
  <c r="F4567" i="1"/>
  <c r="G4567" i="1"/>
  <c r="H4567" i="1"/>
  <c r="A4568" i="1"/>
  <c r="B4568" i="1"/>
  <c r="C4568" i="1"/>
  <c r="D4568" i="1"/>
  <c r="E4568" i="1"/>
  <c r="F4568" i="1"/>
  <c r="G4568" i="1"/>
  <c r="H4568" i="1"/>
  <c r="A4569" i="1"/>
  <c r="B4569" i="1"/>
  <c r="C4569" i="1"/>
  <c r="D4569" i="1"/>
  <c r="E4569" i="1"/>
  <c r="F4569" i="1"/>
  <c r="G4569" i="1"/>
  <c r="H4569" i="1"/>
  <c r="A4570" i="1"/>
  <c r="B4570" i="1"/>
  <c r="C4570" i="1"/>
  <c r="D4570" i="1"/>
  <c r="E4570" i="1"/>
  <c r="F4570" i="1"/>
  <c r="G4570" i="1"/>
  <c r="H4570" i="1"/>
  <c r="A4571" i="1"/>
  <c r="B4571" i="1"/>
  <c r="C4571" i="1"/>
  <c r="D4571" i="1"/>
  <c r="E4571" i="1"/>
  <c r="F4571" i="1"/>
  <c r="G4571" i="1"/>
  <c r="H4571" i="1"/>
  <c r="A4572" i="1"/>
  <c r="B4572" i="1"/>
  <c r="C4572" i="1"/>
  <c r="D4572" i="1"/>
  <c r="E4572" i="1"/>
  <c r="F4572" i="1"/>
  <c r="G4572" i="1"/>
  <c r="H4572" i="1"/>
  <c r="A4573" i="1"/>
  <c r="B4573" i="1"/>
  <c r="C4573" i="1"/>
  <c r="D4573" i="1"/>
  <c r="E4573" i="1"/>
  <c r="F4573" i="1"/>
  <c r="G4573" i="1"/>
  <c r="H4573" i="1"/>
  <c r="A4574" i="1"/>
  <c r="B4574" i="1"/>
  <c r="C4574" i="1"/>
  <c r="D4574" i="1"/>
  <c r="E4574" i="1"/>
  <c r="F4574" i="1"/>
  <c r="G4574" i="1"/>
  <c r="H4574" i="1"/>
  <c r="A4575" i="1"/>
  <c r="B4575" i="1"/>
  <c r="C4575" i="1"/>
  <c r="D4575" i="1"/>
  <c r="E4575" i="1"/>
  <c r="F4575" i="1"/>
  <c r="G4575" i="1"/>
  <c r="H4575" i="1"/>
  <c r="A4576" i="1"/>
  <c r="B4576" i="1"/>
  <c r="C4576" i="1"/>
  <c r="D4576" i="1"/>
  <c r="E4576" i="1"/>
  <c r="F4576" i="1"/>
  <c r="G4576" i="1"/>
  <c r="H4576" i="1"/>
  <c r="A4577" i="1"/>
  <c r="B4577" i="1"/>
  <c r="C4577" i="1"/>
  <c r="D4577" i="1"/>
  <c r="E4577" i="1"/>
  <c r="F4577" i="1"/>
  <c r="G4577" i="1"/>
  <c r="H4577" i="1"/>
  <c r="A4578" i="1"/>
  <c r="B4578" i="1"/>
  <c r="C4578" i="1"/>
  <c r="D4578" i="1"/>
  <c r="E4578" i="1"/>
  <c r="F4578" i="1"/>
  <c r="G4578" i="1"/>
  <c r="H4578" i="1"/>
  <c r="A4579" i="1"/>
  <c r="B4579" i="1"/>
  <c r="C4579" i="1"/>
  <c r="D4579" i="1"/>
  <c r="E4579" i="1"/>
  <c r="F4579" i="1"/>
  <c r="G4579" i="1"/>
  <c r="H4579" i="1"/>
  <c r="A4580" i="1"/>
  <c r="B4580" i="1"/>
  <c r="C4580" i="1"/>
  <c r="D4580" i="1"/>
  <c r="E4580" i="1"/>
  <c r="F4580" i="1"/>
  <c r="G4580" i="1"/>
  <c r="H4580" i="1"/>
  <c r="A4581" i="1"/>
  <c r="B4581" i="1"/>
  <c r="C4581" i="1"/>
  <c r="D4581" i="1"/>
  <c r="E4581" i="1"/>
  <c r="F4581" i="1"/>
  <c r="G4581" i="1"/>
  <c r="H4581" i="1"/>
  <c r="A4582" i="1"/>
  <c r="B4582" i="1"/>
  <c r="C4582" i="1"/>
  <c r="D4582" i="1"/>
  <c r="E4582" i="1"/>
  <c r="F4582" i="1"/>
  <c r="G4582" i="1"/>
  <c r="H4582" i="1"/>
  <c r="A4583" i="1"/>
  <c r="B4583" i="1"/>
  <c r="C4583" i="1"/>
  <c r="D4583" i="1"/>
  <c r="E4583" i="1"/>
  <c r="F4583" i="1"/>
  <c r="G4583" i="1"/>
  <c r="H4583" i="1"/>
  <c r="A4584" i="1"/>
  <c r="B4584" i="1"/>
  <c r="C4584" i="1"/>
  <c r="D4584" i="1"/>
  <c r="E4584" i="1"/>
  <c r="F4584" i="1"/>
  <c r="G4584" i="1"/>
  <c r="H4584" i="1"/>
  <c r="A4585" i="1"/>
  <c r="B4585" i="1"/>
  <c r="C4585" i="1"/>
  <c r="D4585" i="1"/>
  <c r="E4585" i="1"/>
  <c r="F4585" i="1"/>
  <c r="G4585" i="1"/>
  <c r="H4585" i="1"/>
  <c r="A4586" i="1"/>
  <c r="B4586" i="1"/>
  <c r="C4586" i="1"/>
  <c r="D4586" i="1"/>
  <c r="E4586" i="1"/>
  <c r="F4586" i="1"/>
  <c r="G4586" i="1"/>
  <c r="H4586" i="1"/>
  <c r="A4587" i="1"/>
  <c r="B4587" i="1"/>
  <c r="C4587" i="1"/>
  <c r="D4587" i="1"/>
  <c r="E4587" i="1"/>
  <c r="F4587" i="1"/>
  <c r="G4587" i="1"/>
  <c r="H4587" i="1"/>
  <c r="A4588" i="1"/>
  <c r="B4588" i="1"/>
  <c r="C4588" i="1"/>
  <c r="D4588" i="1"/>
  <c r="E4588" i="1"/>
  <c r="F4588" i="1"/>
  <c r="G4588" i="1"/>
  <c r="H4588" i="1"/>
  <c r="A4589" i="1"/>
  <c r="B4589" i="1"/>
  <c r="C4589" i="1"/>
  <c r="D4589" i="1"/>
  <c r="E4589" i="1"/>
  <c r="F4589" i="1"/>
  <c r="G4589" i="1"/>
  <c r="H4589" i="1"/>
  <c r="A4590" i="1"/>
  <c r="B4590" i="1"/>
  <c r="C4590" i="1"/>
  <c r="D4590" i="1"/>
  <c r="E4590" i="1"/>
  <c r="F4590" i="1"/>
  <c r="G4590" i="1"/>
  <c r="H4590" i="1"/>
  <c r="A4591" i="1"/>
  <c r="B4591" i="1"/>
  <c r="C4591" i="1"/>
  <c r="D4591" i="1"/>
  <c r="E4591" i="1"/>
  <c r="F4591" i="1"/>
  <c r="G4591" i="1"/>
  <c r="H4591" i="1"/>
  <c r="A4592" i="1"/>
  <c r="B4592" i="1"/>
  <c r="C4592" i="1"/>
  <c r="D4592" i="1"/>
  <c r="E4592" i="1"/>
  <c r="F4592" i="1"/>
  <c r="G4592" i="1"/>
  <c r="H4592" i="1"/>
  <c r="A4593" i="1"/>
  <c r="B4593" i="1"/>
  <c r="C4593" i="1"/>
  <c r="D4593" i="1"/>
  <c r="E4593" i="1"/>
  <c r="F4593" i="1"/>
  <c r="G4593" i="1"/>
  <c r="H4593" i="1"/>
  <c r="A4594" i="1"/>
  <c r="B4594" i="1"/>
  <c r="C4594" i="1"/>
  <c r="D4594" i="1"/>
  <c r="E4594" i="1"/>
  <c r="F4594" i="1"/>
  <c r="G4594" i="1"/>
  <c r="H4594" i="1"/>
  <c r="A4595" i="1"/>
  <c r="B4595" i="1"/>
  <c r="C4595" i="1"/>
  <c r="D4595" i="1"/>
  <c r="E4595" i="1"/>
  <c r="F4595" i="1"/>
  <c r="G4595" i="1"/>
  <c r="H4595" i="1"/>
  <c r="A4596" i="1"/>
  <c r="B4596" i="1"/>
  <c r="C4596" i="1"/>
  <c r="D4596" i="1"/>
  <c r="E4596" i="1"/>
  <c r="F4596" i="1"/>
  <c r="G4596" i="1"/>
  <c r="H4596" i="1"/>
  <c r="A4597" i="1"/>
  <c r="B4597" i="1"/>
  <c r="C4597" i="1"/>
  <c r="D4597" i="1"/>
  <c r="E4597" i="1"/>
  <c r="F4597" i="1"/>
  <c r="G4597" i="1"/>
  <c r="H4597" i="1"/>
  <c r="A4598" i="1"/>
  <c r="B4598" i="1"/>
  <c r="C4598" i="1"/>
  <c r="D4598" i="1"/>
  <c r="E4598" i="1"/>
  <c r="F4598" i="1"/>
  <c r="G4598" i="1"/>
  <c r="H4598" i="1"/>
  <c r="A4599" i="1"/>
  <c r="B4599" i="1"/>
  <c r="C4599" i="1"/>
  <c r="D4599" i="1"/>
  <c r="E4599" i="1"/>
  <c r="F4599" i="1"/>
  <c r="G4599" i="1"/>
  <c r="H4599" i="1"/>
  <c r="A4600" i="1"/>
  <c r="B4600" i="1"/>
  <c r="C4600" i="1"/>
  <c r="D4600" i="1"/>
  <c r="E4600" i="1"/>
  <c r="F4600" i="1"/>
  <c r="G4600" i="1"/>
  <c r="H4600" i="1"/>
  <c r="A4601" i="1"/>
  <c r="B4601" i="1"/>
  <c r="C4601" i="1"/>
  <c r="D4601" i="1"/>
  <c r="E4601" i="1"/>
  <c r="F4601" i="1"/>
  <c r="G4601" i="1"/>
  <c r="H4601" i="1"/>
  <c r="A4602" i="1"/>
  <c r="B4602" i="1"/>
  <c r="C4602" i="1"/>
  <c r="D4602" i="1"/>
  <c r="E4602" i="1"/>
  <c r="F4602" i="1"/>
  <c r="G4602" i="1"/>
  <c r="H4602" i="1"/>
  <c r="A4603" i="1"/>
  <c r="B4603" i="1"/>
  <c r="C4603" i="1"/>
  <c r="D4603" i="1"/>
  <c r="E4603" i="1"/>
  <c r="F4603" i="1"/>
  <c r="G4603" i="1"/>
  <c r="H4603" i="1"/>
  <c r="A4604" i="1"/>
  <c r="B4604" i="1"/>
  <c r="C4604" i="1"/>
  <c r="D4604" i="1"/>
  <c r="E4604" i="1"/>
  <c r="F4604" i="1"/>
  <c r="G4604" i="1"/>
  <c r="H4604" i="1"/>
  <c r="A4605" i="1"/>
  <c r="B4605" i="1"/>
  <c r="C4605" i="1"/>
  <c r="D4605" i="1"/>
  <c r="E4605" i="1"/>
  <c r="F4605" i="1"/>
  <c r="G4605" i="1"/>
  <c r="H4605" i="1"/>
  <c r="A4606" i="1"/>
  <c r="B4606" i="1"/>
  <c r="C4606" i="1"/>
  <c r="D4606" i="1"/>
  <c r="E4606" i="1"/>
  <c r="F4606" i="1"/>
  <c r="G4606" i="1"/>
  <c r="H4606" i="1"/>
  <c r="A4607" i="1"/>
  <c r="B4607" i="1"/>
  <c r="C4607" i="1"/>
  <c r="D4607" i="1"/>
  <c r="E4607" i="1"/>
  <c r="F4607" i="1"/>
  <c r="G4607" i="1"/>
  <c r="H4607" i="1"/>
  <c r="A4608" i="1"/>
  <c r="B4608" i="1"/>
  <c r="C4608" i="1"/>
  <c r="D4608" i="1"/>
  <c r="E4608" i="1"/>
  <c r="F4608" i="1"/>
  <c r="G4608" i="1"/>
  <c r="H4608" i="1"/>
  <c r="A4609" i="1"/>
  <c r="B4609" i="1"/>
  <c r="C4609" i="1"/>
  <c r="D4609" i="1"/>
  <c r="E4609" i="1"/>
  <c r="F4609" i="1"/>
  <c r="G4609" i="1"/>
  <c r="H4609" i="1"/>
  <c r="A4610" i="1"/>
  <c r="B4610" i="1"/>
  <c r="C4610" i="1"/>
  <c r="D4610" i="1"/>
  <c r="E4610" i="1"/>
  <c r="F4610" i="1"/>
  <c r="G4610" i="1"/>
  <c r="H4610" i="1"/>
  <c r="A4611" i="1"/>
  <c r="B4611" i="1"/>
  <c r="C4611" i="1"/>
  <c r="D4611" i="1"/>
  <c r="E4611" i="1"/>
  <c r="F4611" i="1"/>
  <c r="G4611" i="1"/>
  <c r="H4611" i="1"/>
  <c r="A4612" i="1"/>
  <c r="B4612" i="1"/>
  <c r="C4612" i="1"/>
  <c r="D4612" i="1"/>
  <c r="E4612" i="1"/>
  <c r="F4612" i="1"/>
  <c r="G4612" i="1"/>
  <c r="H4612" i="1"/>
  <c r="A4613" i="1"/>
  <c r="B4613" i="1"/>
  <c r="C4613" i="1"/>
  <c r="D4613" i="1"/>
  <c r="E4613" i="1"/>
  <c r="F4613" i="1"/>
  <c r="G4613" i="1"/>
  <c r="H4613" i="1"/>
  <c r="A4614" i="1"/>
  <c r="B4614" i="1"/>
  <c r="C4614" i="1"/>
  <c r="D4614" i="1"/>
  <c r="E4614" i="1"/>
  <c r="F4614" i="1"/>
  <c r="G4614" i="1"/>
  <c r="H4614" i="1"/>
  <c r="A4615" i="1"/>
  <c r="B4615" i="1"/>
  <c r="C4615" i="1"/>
  <c r="D4615" i="1"/>
  <c r="E4615" i="1"/>
  <c r="F4615" i="1"/>
  <c r="G4615" i="1"/>
  <c r="H4615" i="1"/>
  <c r="A4616" i="1"/>
  <c r="B4616" i="1"/>
  <c r="C4616" i="1"/>
  <c r="D4616" i="1"/>
  <c r="E4616" i="1"/>
  <c r="F4616" i="1"/>
  <c r="G4616" i="1"/>
  <c r="H4616" i="1"/>
  <c r="A4617" i="1"/>
  <c r="B4617" i="1"/>
  <c r="C4617" i="1"/>
  <c r="D4617" i="1"/>
  <c r="E4617" i="1"/>
  <c r="F4617" i="1"/>
  <c r="G4617" i="1"/>
  <c r="H4617" i="1"/>
  <c r="A4618" i="1"/>
  <c r="B4618" i="1"/>
  <c r="C4618" i="1"/>
  <c r="D4618" i="1"/>
  <c r="E4618" i="1"/>
  <c r="F4618" i="1"/>
  <c r="G4618" i="1"/>
  <c r="H4618" i="1"/>
  <c r="A4619" i="1"/>
  <c r="B4619" i="1"/>
  <c r="C4619" i="1"/>
  <c r="D4619" i="1"/>
  <c r="E4619" i="1"/>
  <c r="F4619" i="1"/>
  <c r="G4619" i="1"/>
  <c r="H4619" i="1"/>
  <c r="A4620" i="1"/>
  <c r="B4620" i="1"/>
  <c r="C4620" i="1"/>
  <c r="D4620" i="1"/>
  <c r="E4620" i="1"/>
  <c r="F4620" i="1"/>
  <c r="G4620" i="1"/>
  <c r="H4620" i="1"/>
  <c r="A4621" i="1"/>
  <c r="B4621" i="1"/>
  <c r="C4621" i="1"/>
  <c r="D4621" i="1"/>
  <c r="E4621" i="1"/>
  <c r="F4621" i="1"/>
  <c r="G4621" i="1"/>
  <c r="H4621" i="1"/>
  <c r="A4622" i="1"/>
  <c r="B4622" i="1"/>
  <c r="C4622" i="1"/>
  <c r="D4622" i="1"/>
  <c r="E4622" i="1"/>
  <c r="F4622" i="1"/>
  <c r="G4622" i="1"/>
  <c r="H4622" i="1"/>
  <c r="A4623" i="1"/>
  <c r="B4623" i="1"/>
  <c r="C4623" i="1"/>
  <c r="D4623" i="1"/>
  <c r="E4623" i="1"/>
  <c r="F4623" i="1"/>
  <c r="G4623" i="1"/>
  <c r="H4623" i="1"/>
  <c r="A4624" i="1"/>
  <c r="B4624" i="1"/>
  <c r="C4624" i="1"/>
  <c r="D4624" i="1"/>
  <c r="E4624" i="1"/>
  <c r="F4624" i="1"/>
  <c r="G4624" i="1"/>
  <c r="H4624" i="1"/>
  <c r="A4625" i="1"/>
  <c r="B4625" i="1"/>
  <c r="C4625" i="1"/>
  <c r="D4625" i="1"/>
  <c r="E4625" i="1"/>
  <c r="F4625" i="1"/>
  <c r="G4625" i="1"/>
  <c r="H4625" i="1"/>
  <c r="A4626" i="1"/>
  <c r="B4626" i="1"/>
  <c r="C4626" i="1"/>
  <c r="D4626" i="1"/>
  <c r="E4626" i="1"/>
  <c r="F4626" i="1"/>
  <c r="G4626" i="1"/>
  <c r="H4626" i="1"/>
  <c r="A4627" i="1"/>
  <c r="B4627" i="1"/>
  <c r="C4627" i="1"/>
  <c r="D4627" i="1"/>
  <c r="E4627" i="1"/>
  <c r="F4627" i="1"/>
  <c r="G4627" i="1"/>
  <c r="H4627" i="1"/>
  <c r="A4628" i="1"/>
  <c r="B4628" i="1"/>
  <c r="C4628" i="1"/>
  <c r="D4628" i="1"/>
  <c r="E4628" i="1"/>
  <c r="F4628" i="1"/>
  <c r="G4628" i="1"/>
  <c r="H4628" i="1"/>
  <c r="A4629" i="1"/>
  <c r="B4629" i="1"/>
  <c r="C4629" i="1"/>
  <c r="D4629" i="1"/>
  <c r="E4629" i="1"/>
  <c r="F4629" i="1"/>
  <c r="G4629" i="1"/>
  <c r="H4629" i="1"/>
  <c r="A4630" i="1"/>
  <c r="B4630" i="1"/>
  <c r="C4630" i="1"/>
  <c r="D4630" i="1"/>
  <c r="E4630" i="1"/>
  <c r="F4630" i="1"/>
  <c r="G4630" i="1"/>
  <c r="H4630" i="1"/>
  <c r="A4631" i="1"/>
  <c r="B4631" i="1"/>
  <c r="C4631" i="1"/>
  <c r="D4631" i="1"/>
  <c r="E4631" i="1"/>
  <c r="F4631" i="1"/>
  <c r="G4631" i="1"/>
  <c r="H4631" i="1"/>
  <c r="A4632" i="1"/>
  <c r="B4632" i="1"/>
  <c r="C4632" i="1"/>
  <c r="D4632" i="1"/>
  <c r="E4632" i="1"/>
  <c r="F4632" i="1"/>
  <c r="G4632" i="1"/>
  <c r="H4632" i="1"/>
  <c r="A4633" i="1"/>
  <c r="B4633" i="1"/>
  <c r="C4633" i="1"/>
  <c r="D4633" i="1"/>
  <c r="E4633" i="1"/>
  <c r="F4633" i="1"/>
  <c r="G4633" i="1"/>
  <c r="H4633" i="1"/>
  <c r="A4634" i="1"/>
  <c r="B4634" i="1"/>
  <c r="C4634" i="1"/>
  <c r="D4634" i="1"/>
  <c r="E4634" i="1"/>
  <c r="F4634" i="1"/>
  <c r="G4634" i="1"/>
  <c r="H4634" i="1"/>
  <c r="A4635" i="1"/>
  <c r="B4635" i="1"/>
  <c r="C4635" i="1"/>
  <c r="D4635" i="1"/>
  <c r="E4635" i="1"/>
  <c r="F4635" i="1"/>
  <c r="G4635" i="1"/>
  <c r="H4635" i="1"/>
  <c r="A4636" i="1"/>
  <c r="B4636" i="1"/>
  <c r="C4636" i="1"/>
  <c r="D4636" i="1"/>
  <c r="E4636" i="1"/>
  <c r="F4636" i="1"/>
  <c r="G4636" i="1"/>
  <c r="H4636" i="1"/>
  <c r="A4637" i="1"/>
  <c r="B4637" i="1"/>
  <c r="C4637" i="1"/>
  <c r="D4637" i="1"/>
  <c r="E4637" i="1"/>
  <c r="F4637" i="1"/>
  <c r="G4637" i="1"/>
  <c r="H4637" i="1"/>
  <c r="A4638" i="1"/>
  <c r="B4638" i="1"/>
  <c r="C4638" i="1"/>
  <c r="D4638" i="1"/>
  <c r="E4638" i="1"/>
  <c r="F4638" i="1"/>
  <c r="G4638" i="1"/>
  <c r="H4638" i="1"/>
  <c r="A4639" i="1"/>
  <c r="B4639" i="1"/>
  <c r="C4639" i="1"/>
  <c r="D4639" i="1"/>
  <c r="E4639" i="1"/>
  <c r="F4639" i="1"/>
  <c r="G4639" i="1"/>
  <c r="H4639" i="1"/>
  <c r="A4640" i="1"/>
  <c r="B4640" i="1"/>
  <c r="C4640" i="1"/>
  <c r="D4640" i="1"/>
  <c r="E4640" i="1"/>
  <c r="F4640" i="1"/>
  <c r="G4640" i="1"/>
  <c r="H4640" i="1"/>
  <c r="A4641" i="1"/>
  <c r="B4641" i="1"/>
  <c r="C4641" i="1"/>
  <c r="D4641" i="1"/>
  <c r="E4641" i="1"/>
  <c r="F4641" i="1"/>
  <c r="G4641" i="1"/>
  <c r="H4641" i="1"/>
  <c r="A4642" i="1"/>
  <c r="B4642" i="1"/>
  <c r="C4642" i="1"/>
  <c r="D4642" i="1"/>
  <c r="E4642" i="1"/>
  <c r="F4642" i="1"/>
  <c r="G4642" i="1"/>
  <c r="H4642" i="1"/>
  <c r="A4643" i="1"/>
  <c r="B4643" i="1"/>
  <c r="C4643" i="1"/>
  <c r="D4643" i="1"/>
  <c r="E4643" i="1"/>
  <c r="F4643" i="1"/>
  <c r="G4643" i="1"/>
  <c r="H4643" i="1"/>
  <c r="A4644" i="1"/>
  <c r="B4644" i="1"/>
  <c r="C4644" i="1"/>
  <c r="D4644" i="1"/>
  <c r="E4644" i="1"/>
  <c r="F4644" i="1"/>
  <c r="G4644" i="1"/>
  <c r="H4644" i="1"/>
  <c r="A4645" i="1"/>
  <c r="B4645" i="1"/>
  <c r="C4645" i="1"/>
  <c r="D4645" i="1"/>
  <c r="E4645" i="1"/>
  <c r="F4645" i="1"/>
  <c r="G4645" i="1"/>
  <c r="H4645" i="1"/>
  <c r="A4646" i="1"/>
  <c r="B4646" i="1"/>
  <c r="C4646" i="1"/>
  <c r="D4646" i="1"/>
  <c r="E4646" i="1"/>
  <c r="F4646" i="1"/>
  <c r="G4646" i="1"/>
  <c r="H4646" i="1"/>
  <c r="A4647" i="1"/>
  <c r="B4647" i="1"/>
  <c r="C4647" i="1"/>
  <c r="D4647" i="1"/>
  <c r="E4647" i="1"/>
  <c r="F4647" i="1"/>
  <c r="G4647" i="1"/>
  <c r="H4647" i="1"/>
  <c r="A4648" i="1"/>
  <c r="B4648" i="1"/>
  <c r="C4648" i="1"/>
  <c r="D4648" i="1"/>
  <c r="E4648" i="1"/>
  <c r="F4648" i="1"/>
  <c r="G4648" i="1"/>
  <c r="H4648" i="1"/>
  <c r="A4649" i="1"/>
  <c r="B4649" i="1"/>
  <c r="C4649" i="1"/>
  <c r="D4649" i="1"/>
  <c r="E4649" i="1"/>
  <c r="F4649" i="1"/>
  <c r="G4649" i="1"/>
  <c r="H4649" i="1"/>
  <c r="A4650" i="1"/>
  <c r="B4650" i="1"/>
  <c r="C4650" i="1"/>
  <c r="D4650" i="1"/>
  <c r="E4650" i="1"/>
  <c r="F4650" i="1"/>
  <c r="G4650" i="1"/>
  <c r="H4650" i="1"/>
  <c r="A4651" i="1"/>
  <c r="B4651" i="1"/>
  <c r="C4651" i="1"/>
  <c r="D4651" i="1"/>
  <c r="E4651" i="1"/>
  <c r="F4651" i="1"/>
  <c r="G4651" i="1"/>
  <c r="H4651" i="1"/>
  <c r="A4652" i="1"/>
  <c r="B4652" i="1"/>
  <c r="C4652" i="1"/>
  <c r="D4652" i="1"/>
  <c r="E4652" i="1"/>
  <c r="F4652" i="1"/>
  <c r="G4652" i="1"/>
  <c r="H4652" i="1"/>
  <c r="A4653" i="1"/>
  <c r="B4653" i="1"/>
  <c r="C4653" i="1"/>
  <c r="D4653" i="1"/>
  <c r="E4653" i="1"/>
  <c r="F4653" i="1"/>
  <c r="G4653" i="1"/>
  <c r="H4653" i="1"/>
  <c r="A4654" i="1"/>
  <c r="B4654" i="1"/>
  <c r="C4654" i="1"/>
  <c r="D4654" i="1"/>
  <c r="E4654" i="1"/>
  <c r="F4654" i="1"/>
  <c r="G4654" i="1"/>
  <c r="H4654" i="1"/>
  <c r="A4655" i="1"/>
  <c r="B4655" i="1"/>
  <c r="C4655" i="1"/>
  <c r="D4655" i="1"/>
  <c r="E4655" i="1"/>
  <c r="F4655" i="1"/>
  <c r="G4655" i="1"/>
  <c r="H4655" i="1"/>
  <c r="A4656" i="1"/>
  <c r="B4656" i="1"/>
  <c r="C4656" i="1"/>
  <c r="D4656" i="1"/>
  <c r="E4656" i="1"/>
  <c r="F4656" i="1"/>
  <c r="G4656" i="1"/>
  <c r="H4656" i="1"/>
  <c r="A4657" i="1"/>
  <c r="B4657" i="1"/>
  <c r="C4657" i="1"/>
  <c r="D4657" i="1"/>
  <c r="E4657" i="1"/>
  <c r="F4657" i="1"/>
  <c r="G4657" i="1"/>
  <c r="H4657" i="1"/>
  <c r="A4658" i="1"/>
  <c r="B4658" i="1"/>
  <c r="C4658" i="1"/>
  <c r="D4658" i="1"/>
  <c r="E4658" i="1"/>
  <c r="F4658" i="1"/>
  <c r="G4658" i="1"/>
  <c r="H4658" i="1"/>
  <c r="A4659" i="1"/>
  <c r="B4659" i="1"/>
  <c r="C4659" i="1"/>
  <c r="D4659" i="1"/>
  <c r="E4659" i="1"/>
  <c r="F4659" i="1"/>
  <c r="G4659" i="1"/>
  <c r="H4659" i="1"/>
  <c r="A4660" i="1"/>
  <c r="B4660" i="1"/>
  <c r="C4660" i="1"/>
  <c r="D4660" i="1"/>
  <c r="E4660" i="1"/>
  <c r="F4660" i="1"/>
  <c r="G4660" i="1"/>
  <c r="H4660" i="1"/>
  <c r="A4661" i="1"/>
  <c r="B4661" i="1"/>
  <c r="C4661" i="1"/>
  <c r="D4661" i="1"/>
  <c r="E4661" i="1"/>
  <c r="F4661" i="1"/>
  <c r="G4661" i="1"/>
  <c r="H4661" i="1"/>
  <c r="A4662" i="1"/>
  <c r="B4662" i="1"/>
  <c r="C4662" i="1"/>
  <c r="D4662" i="1"/>
  <c r="E4662" i="1"/>
  <c r="F4662" i="1"/>
  <c r="G4662" i="1"/>
  <c r="H4662" i="1"/>
  <c r="A4663" i="1"/>
  <c r="B4663" i="1"/>
  <c r="C4663" i="1"/>
  <c r="D4663" i="1"/>
  <c r="E4663" i="1"/>
  <c r="F4663" i="1"/>
  <c r="G4663" i="1"/>
  <c r="H4663" i="1"/>
  <c r="A4664" i="1"/>
  <c r="B4664" i="1"/>
  <c r="C4664" i="1"/>
  <c r="D4664" i="1"/>
  <c r="E4664" i="1"/>
  <c r="F4664" i="1"/>
  <c r="G4664" i="1"/>
  <c r="H4664" i="1"/>
  <c r="A4665" i="1"/>
  <c r="B4665" i="1"/>
  <c r="C4665" i="1"/>
  <c r="D4665" i="1"/>
  <c r="E4665" i="1"/>
  <c r="F4665" i="1"/>
  <c r="G4665" i="1"/>
  <c r="H4665" i="1"/>
  <c r="A4666" i="1"/>
  <c r="B4666" i="1"/>
  <c r="C4666" i="1"/>
  <c r="D4666" i="1"/>
  <c r="E4666" i="1"/>
  <c r="F4666" i="1"/>
  <c r="G4666" i="1"/>
  <c r="H4666" i="1"/>
  <c r="A4667" i="1"/>
  <c r="B4667" i="1"/>
  <c r="C4667" i="1"/>
  <c r="D4667" i="1"/>
  <c r="E4667" i="1"/>
  <c r="F4667" i="1"/>
  <c r="G4667" i="1"/>
  <c r="H4667" i="1"/>
  <c r="A4668" i="1"/>
  <c r="B4668" i="1"/>
  <c r="C4668" i="1"/>
  <c r="D4668" i="1"/>
  <c r="E4668" i="1"/>
  <c r="F4668" i="1"/>
  <c r="G4668" i="1"/>
  <c r="H4668" i="1"/>
  <c r="A4669" i="1"/>
  <c r="B4669" i="1"/>
  <c r="C4669" i="1"/>
  <c r="D4669" i="1"/>
  <c r="E4669" i="1"/>
  <c r="F4669" i="1"/>
  <c r="G4669" i="1"/>
  <c r="H4669" i="1"/>
  <c r="A4670" i="1"/>
  <c r="B4670" i="1"/>
  <c r="C4670" i="1"/>
  <c r="D4670" i="1"/>
  <c r="E4670" i="1"/>
  <c r="F4670" i="1"/>
  <c r="G4670" i="1"/>
  <c r="H4670" i="1"/>
  <c r="A4671" i="1"/>
  <c r="B4671" i="1"/>
  <c r="C4671" i="1"/>
  <c r="D4671" i="1"/>
  <c r="E4671" i="1"/>
  <c r="F4671" i="1"/>
  <c r="G4671" i="1"/>
  <c r="H4671" i="1"/>
  <c r="A4672" i="1"/>
  <c r="B4672" i="1"/>
  <c r="C4672" i="1"/>
  <c r="D4672" i="1"/>
  <c r="E4672" i="1"/>
  <c r="F4672" i="1"/>
  <c r="G4672" i="1"/>
  <c r="H4672" i="1"/>
  <c r="A4673" i="1"/>
  <c r="B4673" i="1"/>
  <c r="C4673" i="1"/>
  <c r="D4673" i="1"/>
  <c r="E4673" i="1"/>
  <c r="F4673" i="1"/>
  <c r="G4673" i="1"/>
  <c r="H4673" i="1"/>
  <c r="A4674" i="1"/>
  <c r="B4674" i="1"/>
  <c r="C4674" i="1"/>
  <c r="D4674" i="1"/>
  <c r="E4674" i="1"/>
  <c r="F4674" i="1"/>
  <c r="G4674" i="1"/>
  <c r="H4674" i="1"/>
  <c r="A4675" i="1"/>
  <c r="B4675" i="1"/>
  <c r="C4675" i="1"/>
  <c r="D4675" i="1"/>
  <c r="E4675" i="1"/>
  <c r="F4675" i="1"/>
  <c r="G4675" i="1"/>
  <c r="H4675" i="1"/>
  <c r="A4676" i="1"/>
  <c r="B4676" i="1"/>
  <c r="C4676" i="1"/>
  <c r="D4676" i="1"/>
  <c r="E4676" i="1"/>
  <c r="F4676" i="1"/>
  <c r="G4676" i="1"/>
  <c r="H4676" i="1"/>
  <c r="A4677" i="1"/>
  <c r="B4677" i="1"/>
  <c r="C4677" i="1"/>
  <c r="D4677" i="1"/>
  <c r="E4677" i="1"/>
  <c r="F4677" i="1"/>
  <c r="G4677" i="1"/>
  <c r="H4677" i="1"/>
  <c r="A4678" i="1"/>
  <c r="B4678" i="1"/>
  <c r="C4678" i="1"/>
  <c r="D4678" i="1"/>
  <c r="E4678" i="1"/>
  <c r="F4678" i="1"/>
  <c r="G4678" i="1"/>
  <c r="H4678" i="1"/>
  <c r="A4679" i="1"/>
  <c r="B4679" i="1"/>
  <c r="C4679" i="1"/>
  <c r="D4679" i="1"/>
  <c r="E4679" i="1"/>
  <c r="F4679" i="1"/>
  <c r="G4679" i="1"/>
  <c r="H4679" i="1"/>
  <c r="A4680" i="1"/>
  <c r="B4680" i="1"/>
  <c r="C4680" i="1"/>
  <c r="D4680" i="1"/>
  <c r="E4680" i="1"/>
  <c r="F4680" i="1"/>
  <c r="G4680" i="1"/>
  <c r="H4680" i="1"/>
  <c r="A4681" i="1"/>
  <c r="B4681" i="1"/>
  <c r="C4681" i="1"/>
  <c r="D4681" i="1"/>
  <c r="E4681" i="1"/>
  <c r="F4681" i="1"/>
  <c r="G4681" i="1"/>
  <c r="H4681" i="1"/>
  <c r="A4682" i="1"/>
  <c r="B4682" i="1"/>
  <c r="C4682" i="1"/>
  <c r="D4682" i="1"/>
  <c r="E4682" i="1"/>
  <c r="F4682" i="1"/>
  <c r="G4682" i="1"/>
  <c r="H4682" i="1"/>
  <c r="A4683" i="1"/>
  <c r="B4683" i="1"/>
  <c r="C4683" i="1"/>
  <c r="D4683" i="1"/>
  <c r="E4683" i="1"/>
  <c r="F4683" i="1"/>
  <c r="G4683" i="1"/>
  <c r="H4683" i="1"/>
  <c r="A4684" i="1"/>
  <c r="B4684" i="1"/>
  <c r="C4684" i="1"/>
  <c r="D4684" i="1"/>
  <c r="E4684" i="1"/>
  <c r="F4684" i="1"/>
  <c r="G4684" i="1"/>
  <c r="H4684" i="1"/>
  <c r="A4685" i="1"/>
  <c r="B4685" i="1"/>
  <c r="C4685" i="1"/>
  <c r="D4685" i="1"/>
  <c r="E4685" i="1"/>
  <c r="F4685" i="1"/>
  <c r="G4685" i="1"/>
  <c r="H4685" i="1"/>
  <c r="A4686" i="1"/>
  <c r="B4686" i="1"/>
  <c r="C4686" i="1"/>
  <c r="D4686" i="1"/>
  <c r="E4686" i="1"/>
  <c r="F4686" i="1"/>
  <c r="G4686" i="1"/>
  <c r="H4686" i="1"/>
  <c r="A4687" i="1"/>
  <c r="B4687" i="1"/>
  <c r="C4687" i="1"/>
  <c r="D4687" i="1"/>
  <c r="E4687" i="1"/>
  <c r="F4687" i="1"/>
  <c r="G4687" i="1"/>
  <c r="H4687" i="1"/>
  <c r="A4688" i="1"/>
  <c r="B4688" i="1"/>
  <c r="C4688" i="1"/>
  <c r="D4688" i="1"/>
  <c r="E4688" i="1"/>
  <c r="F4688" i="1"/>
  <c r="G4688" i="1"/>
  <c r="H4688" i="1"/>
  <c r="A4689" i="1"/>
  <c r="B4689" i="1"/>
  <c r="C4689" i="1"/>
  <c r="D4689" i="1"/>
  <c r="E4689" i="1"/>
  <c r="F4689" i="1"/>
  <c r="G4689" i="1"/>
  <c r="H4689" i="1"/>
  <c r="A4690" i="1"/>
  <c r="B4690" i="1"/>
  <c r="C4690" i="1"/>
  <c r="D4690" i="1"/>
  <c r="E4690" i="1"/>
  <c r="F4690" i="1"/>
  <c r="G4690" i="1"/>
  <c r="H4690" i="1"/>
  <c r="A4691" i="1"/>
  <c r="B4691" i="1"/>
  <c r="C4691" i="1"/>
  <c r="D4691" i="1"/>
  <c r="E4691" i="1"/>
  <c r="F4691" i="1"/>
  <c r="G4691" i="1"/>
  <c r="H4691" i="1"/>
  <c r="A4692" i="1"/>
  <c r="B4692" i="1"/>
  <c r="C4692" i="1"/>
  <c r="D4692" i="1"/>
  <c r="E4692" i="1"/>
  <c r="F4692" i="1"/>
  <c r="G4692" i="1"/>
  <c r="H4692" i="1"/>
  <c r="A4693" i="1"/>
  <c r="B4693" i="1"/>
  <c r="C4693" i="1"/>
  <c r="D4693" i="1"/>
  <c r="E4693" i="1"/>
  <c r="F4693" i="1"/>
  <c r="G4693" i="1"/>
  <c r="H4693" i="1"/>
  <c r="A4694" i="1"/>
  <c r="B4694" i="1"/>
  <c r="C4694" i="1"/>
  <c r="D4694" i="1"/>
  <c r="E4694" i="1"/>
  <c r="F4694" i="1"/>
  <c r="G4694" i="1"/>
  <c r="H4694" i="1"/>
  <c r="A4695" i="1"/>
  <c r="B4695" i="1"/>
  <c r="C4695" i="1"/>
  <c r="D4695" i="1"/>
  <c r="E4695" i="1"/>
  <c r="F4695" i="1"/>
  <c r="G4695" i="1"/>
  <c r="H4695" i="1"/>
  <c r="A4696" i="1"/>
  <c r="B4696" i="1"/>
  <c r="C4696" i="1"/>
  <c r="D4696" i="1"/>
  <c r="E4696" i="1"/>
  <c r="F4696" i="1"/>
  <c r="G4696" i="1"/>
  <c r="H4696" i="1"/>
  <c r="A4697" i="1"/>
  <c r="B4697" i="1"/>
  <c r="C4697" i="1"/>
  <c r="D4697" i="1"/>
  <c r="E4697" i="1"/>
  <c r="F4697" i="1"/>
  <c r="G4697" i="1"/>
  <c r="H4697" i="1"/>
  <c r="A4698" i="1"/>
  <c r="B4698" i="1"/>
  <c r="C4698" i="1"/>
  <c r="D4698" i="1"/>
  <c r="E4698" i="1"/>
  <c r="F4698" i="1"/>
  <c r="G4698" i="1"/>
  <c r="H4698" i="1"/>
  <c r="A4699" i="1"/>
  <c r="B4699" i="1"/>
  <c r="C4699" i="1"/>
  <c r="D4699" i="1"/>
  <c r="E4699" i="1"/>
  <c r="F4699" i="1"/>
  <c r="G4699" i="1"/>
  <c r="H4699" i="1"/>
  <c r="A4700" i="1"/>
  <c r="B4700" i="1"/>
  <c r="C4700" i="1"/>
  <c r="D4700" i="1"/>
  <c r="E4700" i="1"/>
  <c r="F4700" i="1"/>
  <c r="G4700" i="1"/>
  <c r="H4700" i="1"/>
  <c r="A4701" i="1"/>
  <c r="B4701" i="1"/>
  <c r="C4701" i="1"/>
  <c r="D4701" i="1"/>
  <c r="E4701" i="1"/>
  <c r="F4701" i="1"/>
  <c r="G4701" i="1"/>
  <c r="H4701" i="1"/>
  <c r="A4702" i="1"/>
  <c r="B4702" i="1"/>
  <c r="C4702" i="1"/>
  <c r="D4702" i="1"/>
  <c r="E4702" i="1"/>
  <c r="F4702" i="1"/>
  <c r="G4702" i="1"/>
  <c r="H4702" i="1"/>
  <c r="A4703" i="1"/>
  <c r="B4703" i="1"/>
  <c r="C4703" i="1"/>
  <c r="D4703" i="1"/>
  <c r="E4703" i="1"/>
  <c r="F4703" i="1"/>
  <c r="G4703" i="1"/>
  <c r="H4703" i="1"/>
  <c r="A4704" i="1"/>
  <c r="B4704" i="1"/>
  <c r="C4704" i="1"/>
  <c r="D4704" i="1"/>
  <c r="E4704" i="1"/>
  <c r="F4704" i="1"/>
  <c r="G4704" i="1"/>
  <c r="H4704" i="1"/>
  <c r="A4705" i="1"/>
  <c r="B4705" i="1"/>
  <c r="C4705" i="1"/>
  <c r="D4705" i="1"/>
  <c r="E4705" i="1"/>
  <c r="F4705" i="1"/>
  <c r="G4705" i="1"/>
  <c r="H4705" i="1"/>
  <c r="A4706" i="1"/>
  <c r="B4706" i="1"/>
  <c r="C4706" i="1"/>
  <c r="D4706" i="1"/>
  <c r="E4706" i="1"/>
  <c r="F4706" i="1"/>
  <c r="G4706" i="1"/>
  <c r="H4706" i="1"/>
  <c r="A4707" i="1"/>
  <c r="B4707" i="1"/>
  <c r="C4707" i="1"/>
  <c r="D4707" i="1"/>
  <c r="E4707" i="1"/>
  <c r="F4707" i="1"/>
  <c r="G4707" i="1"/>
  <c r="H4707" i="1"/>
  <c r="A4708" i="1"/>
  <c r="B4708" i="1"/>
  <c r="C4708" i="1"/>
  <c r="D4708" i="1"/>
  <c r="E4708" i="1"/>
  <c r="F4708" i="1"/>
  <c r="G4708" i="1"/>
  <c r="H4708" i="1"/>
  <c r="A4709" i="1"/>
  <c r="B4709" i="1"/>
  <c r="C4709" i="1"/>
  <c r="D4709" i="1"/>
  <c r="E4709" i="1"/>
  <c r="F4709" i="1"/>
  <c r="G4709" i="1"/>
  <c r="H4709" i="1"/>
  <c r="A4710" i="1"/>
  <c r="B4710" i="1"/>
  <c r="C4710" i="1"/>
  <c r="D4710" i="1"/>
  <c r="E4710" i="1"/>
  <c r="F4710" i="1"/>
  <c r="G4710" i="1"/>
  <c r="H4710" i="1"/>
  <c r="A4711" i="1"/>
  <c r="B4711" i="1"/>
  <c r="C4711" i="1"/>
  <c r="D4711" i="1"/>
  <c r="E4711" i="1"/>
  <c r="F4711" i="1"/>
  <c r="G4711" i="1"/>
  <c r="H4711" i="1"/>
  <c r="A4712" i="1"/>
  <c r="B4712" i="1"/>
  <c r="C4712" i="1"/>
  <c r="D4712" i="1"/>
  <c r="E4712" i="1"/>
  <c r="F4712" i="1"/>
  <c r="G4712" i="1"/>
  <c r="H4712" i="1"/>
  <c r="A4713" i="1"/>
  <c r="B4713" i="1"/>
  <c r="C4713" i="1"/>
  <c r="D4713" i="1"/>
  <c r="E4713" i="1"/>
  <c r="F4713" i="1"/>
  <c r="G4713" i="1"/>
  <c r="H4713" i="1"/>
  <c r="A4714" i="1"/>
  <c r="B4714" i="1"/>
  <c r="C4714" i="1"/>
  <c r="D4714" i="1"/>
  <c r="E4714" i="1"/>
  <c r="F4714" i="1"/>
  <c r="G4714" i="1"/>
  <c r="H4714" i="1"/>
  <c r="A4715" i="1"/>
  <c r="B4715" i="1"/>
  <c r="C4715" i="1"/>
  <c r="D4715" i="1"/>
  <c r="E4715" i="1"/>
  <c r="F4715" i="1"/>
  <c r="G4715" i="1"/>
  <c r="H4715" i="1"/>
  <c r="A4716" i="1"/>
  <c r="B4716" i="1"/>
  <c r="C4716" i="1"/>
  <c r="D4716" i="1"/>
  <c r="E4716" i="1"/>
  <c r="F4716" i="1"/>
  <c r="G4716" i="1"/>
  <c r="H4716" i="1"/>
  <c r="A4717" i="1"/>
  <c r="B4717" i="1"/>
  <c r="C4717" i="1"/>
  <c r="D4717" i="1"/>
  <c r="E4717" i="1"/>
  <c r="F4717" i="1"/>
  <c r="G4717" i="1"/>
  <c r="H4717" i="1"/>
  <c r="A4718" i="1"/>
  <c r="B4718" i="1"/>
  <c r="C4718" i="1"/>
  <c r="D4718" i="1"/>
  <c r="E4718" i="1"/>
  <c r="F4718" i="1"/>
  <c r="G4718" i="1"/>
  <c r="H4718" i="1"/>
  <c r="A4719" i="1"/>
  <c r="B4719" i="1"/>
  <c r="C4719" i="1"/>
  <c r="D4719" i="1"/>
  <c r="E4719" i="1"/>
  <c r="F4719" i="1"/>
  <c r="G4719" i="1"/>
  <c r="H4719" i="1"/>
  <c r="A4720" i="1"/>
  <c r="B4720" i="1"/>
  <c r="C4720" i="1"/>
  <c r="D4720" i="1"/>
  <c r="E4720" i="1"/>
  <c r="F4720" i="1"/>
  <c r="G4720" i="1"/>
  <c r="H4720" i="1"/>
  <c r="A4721" i="1"/>
  <c r="B4721" i="1"/>
  <c r="C4721" i="1"/>
  <c r="D4721" i="1"/>
  <c r="E4721" i="1"/>
  <c r="F4721" i="1"/>
  <c r="G4721" i="1"/>
  <c r="H4721" i="1"/>
  <c r="A4722" i="1"/>
  <c r="B4722" i="1"/>
  <c r="C4722" i="1"/>
  <c r="D4722" i="1"/>
  <c r="E4722" i="1"/>
  <c r="F4722" i="1"/>
  <c r="G4722" i="1"/>
  <c r="H4722" i="1"/>
  <c r="A4723" i="1"/>
  <c r="B4723" i="1"/>
  <c r="C4723" i="1"/>
  <c r="D4723" i="1"/>
  <c r="E4723" i="1"/>
  <c r="F4723" i="1"/>
  <c r="G4723" i="1"/>
  <c r="H4723" i="1"/>
  <c r="A4724" i="1"/>
  <c r="B4724" i="1"/>
  <c r="C4724" i="1"/>
  <c r="D4724" i="1"/>
  <c r="E4724" i="1"/>
  <c r="F4724" i="1"/>
  <c r="G4724" i="1"/>
  <c r="H4724" i="1"/>
  <c r="A4725" i="1"/>
  <c r="B4725" i="1"/>
  <c r="C4725" i="1"/>
  <c r="D4725" i="1"/>
  <c r="E4725" i="1"/>
  <c r="F4725" i="1"/>
  <c r="G4725" i="1"/>
  <c r="H4725" i="1"/>
  <c r="A4726" i="1"/>
  <c r="B4726" i="1"/>
  <c r="C4726" i="1"/>
  <c r="D4726" i="1"/>
  <c r="E4726" i="1"/>
  <c r="F4726" i="1"/>
  <c r="G4726" i="1"/>
  <c r="H4726" i="1"/>
  <c r="A4727" i="1"/>
  <c r="B4727" i="1"/>
  <c r="C4727" i="1"/>
  <c r="D4727" i="1"/>
  <c r="E4727" i="1"/>
  <c r="F4727" i="1"/>
  <c r="G4727" i="1"/>
  <c r="H4727" i="1"/>
  <c r="A4728" i="1"/>
  <c r="B4728" i="1"/>
  <c r="C4728" i="1"/>
  <c r="D4728" i="1"/>
  <c r="E4728" i="1"/>
  <c r="F4728" i="1"/>
  <c r="G4728" i="1"/>
  <c r="H4728" i="1"/>
  <c r="A4729" i="1"/>
  <c r="B4729" i="1"/>
  <c r="C4729" i="1"/>
  <c r="D4729" i="1"/>
  <c r="E4729" i="1"/>
  <c r="F4729" i="1"/>
  <c r="G4729" i="1"/>
  <c r="H4729" i="1"/>
  <c r="A4730" i="1"/>
  <c r="B4730" i="1"/>
  <c r="C4730" i="1"/>
  <c r="D4730" i="1"/>
  <c r="E4730" i="1"/>
  <c r="F4730" i="1"/>
  <c r="G4730" i="1"/>
  <c r="H4730" i="1"/>
  <c r="A4731" i="1"/>
  <c r="B4731" i="1"/>
  <c r="C4731" i="1"/>
  <c r="D4731" i="1"/>
  <c r="E4731" i="1"/>
  <c r="F4731" i="1"/>
  <c r="G4731" i="1"/>
  <c r="H4731" i="1"/>
  <c r="A4732" i="1"/>
  <c r="B4732" i="1"/>
  <c r="C4732" i="1"/>
  <c r="D4732" i="1"/>
  <c r="E4732" i="1"/>
  <c r="F4732" i="1"/>
  <c r="G4732" i="1"/>
  <c r="H4732" i="1"/>
  <c r="A4733" i="1"/>
  <c r="B4733" i="1"/>
  <c r="C4733" i="1"/>
  <c r="D4733" i="1"/>
  <c r="E4733" i="1"/>
  <c r="F4733" i="1"/>
  <c r="G4733" i="1"/>
  <c r="H4733" i="1"/>
  <c r="A4734" i="1"/>
  <c r="B4734" i="1"/>
  <c r="C4734" i="1"/>
  <c r="D4734" i="1"/>
  <c r="E4734" i="1"/>
  <c r="F4734" i="1"/>
  <c r="G4734" i="1"/>
  <c r="H4734" i="1"/>
  <c r="A4735" i="1"/>
  <c r="B4735" i="1"/>
  <c r="C4735" i="1"/>
  <c r="D4735" i="1"/>
  <c r="E4735" i="1"/>
  <c r="F4735" i="1"/>
  <c r="G4735" i="1"/>
  <c r="H4735" i="1"/>
  <c r="A4736" i="1"/>
  <c r="B4736" i="1"/>
  <c r="C4736" i="1"/>
  <c r="D4736" i="1"/>
  <c r="E4736" i="1"/>
  <c r="F4736" i="1"/>
  <c r="G4736" i="1"/>
  <c r="H4736" i="1"/>
  <c r="A4737" i="1"/>
  <c r="B4737" i="1"/>
  <c r="C4737" i="1"/>
  <c r="D4737" i="1"/>
  <c r="E4737" i="1"/>
  <c r="F4737" i="1"/>
  <c r="G4737" i="1"/>
  <c r="H4737" i="1"/>
  <c r="A4738" i="1"/>
  <c r="B4738" i="1"/>
  <c r="C4738" i="1"/>
  <c r="D4738" i="1"/>
  <c r="E4738" i="1"/>
  <c r="F4738" i="1"/>
  <c r="G4738" i="1"/>
  <c r="H4738" i="1"/>
  <c r="A4739" i="1"/>
  <c r="B4739" i="1"/>
  <c r="C4739" i="1"/>
  <c r="D4739" i="1"/>
  <c r="E4739" i="1"/>
  <c r="F4739" i="1"/>
  <c r="G4739" i="1"/>
  <c r="H4739" i="1"/>
  <c r="A4740" i="1"/>
  <c r="B4740" i="1"/>
  <c r="C4740" i="1"/>
  <c r="D4740" i="1"/>
  <c r="E4740" i="1"/>
  <c r="F4740" i="1"/>
  <c r="G4740" i="1"/>
  <c r="H4740" i="1"/>
  <c r="A4741" i="1"/>
  <c r="B4741" i="1"/>
  <c r="C4741" i="1"/>
  <c r="D4741" i="1"/>
  <c r="E4741" i="1"/>
  <c r="F4741" i="1"/>
  <c r="G4741" i="1"/>
  <c r="H4741" i="1"/>
  <c r="A4742" i="1"/>
  <c r="B4742" i="1"/>
  <c r="C4742" i="1"/>
  <c r="D4742" i="1"/>
  <c r="E4742" i="1"/>
  <c r="F4742" i="1"/>
  <c r="G4742" i="1"/>
  <c r="H4742" i="1"/>
  <c r="A4743" i="1"/>
  <c r="B4743" i="1"/>
  <c r="C4743" i="1"/>
  <c r="D4743" i="1"/>
  <c r="E4743" i="1"/>
  <c r="F4743" i="1"/>
  <c r="G4743" i="1"/>
  <c r="H4743" i="1"/>
  <c r="A4744" i="1"/>
  <c r="B4744" i="1"/>
  <c r="C4744" i="1"/>
  <c r="D4744" i="1"/>
  <c r="E4744" i="1"/>
  <c r="F4744" i="1"/>
  <c r="G4744" i="1"/>
  <c r="H4744" i="1"/>
  <c r="A4745" i="1"/>
  <c r="B4745" i="1"/>
  <c r="C4745" i="1"/>
  <c r="D4745" i="1"/>
  <c r="E4745" i="1"/>
  <c r="F4745" i="1"/>
  <c r="G4745" i="1"/>
  <c r="H4745" i="1"/>
  <c r="A4746" i="1"/>
  <c r="B4746" i="1"/>
  <c r="C4746" i="1"/>
  <c r="D4746" i="1"/>
  <c r="E4746" i="1"/>
  <c r="F4746" i="1"/>
  <c r="G4746" i="1"/>
  <c r="H4746" i="1"/>
  <c r="A4747" i="1"/>
  <c r="B4747" i="1"/>
  <c r="C4747" i="1"/>
  <c r="D4747" i="1"/>
  <c r="E4747" i="1"/>
  <c r="F4747" i="1"/>
  <c r="G4747" i="1"/>
  <c r="H4747" i="1"/>
  <c r="A4748" i="1"/>
  <c r="B4748" i="1"/>
  <c r="C4748" i="1"/>
  <c r="D4748" i="1"/>
  <c r="E4748" i="1"/>
  <c r="F4748" i="1"/>
  <c r="G4748" i="1"/>
  <c r="H4748" i="1"/>
  <c r="A4749" i="1"/>
  <c r="B4749" i="1"/>
  <c r="C4749" i="1"/>
  <c r="D4749" i="1"/>
  <c r="E4749" i="1"/>
  <c r="F4749" i="1"/>
  <c r="G4749" i="1"/>
  <c r="H4749" i="1"/>
  <c r="A4750" i="1"/>
  <c r="B4750" i="1"/>
  <c r="C4750" i="1"/>
  <c r="D4750" i="1"/>
  <c r="E4750" i="1"/>
  <c r="F4750" i="1"/>
  <c r="G4750" i="1"/>
  <c r="H4750" i="1"/>
  <c r="A4751" i="1"/>
  <c r="B4751" i="1"/>
  <c r="C4751" i="1"/>
  <c r="D4751" i="1"/>
  <c r="E4751" i="1"/>
  <c r="F4751" i="1"/>
  <c r="G4751" i="1"/>
  <c r="H4751" i="1"/>
  <c r="A4752" i="1"/>
  <c r="B4752" i="1"/>
  <c r="C4752" i="1"/>
  <c r="D4752" i="1"/>
  <c r="E4752" i="1"/>
  <c r="F4752" i="1"/>
  <c r="G4752" i="1"/>
  <c r="H4752" i="1"/>
  <c r="A4753" i="1"/>
  <c r="B4753" i="1"/>
  <c r="C4753" i="1"/>
  <c r="D4753" i="1"/>
  <c r="E4753" i="1"/>
  <c r="F4753" i="1"/>
  <c r="G4753" i="1"/>
  <c r="H4753" i="1"/>
  <c r="A4754" i="1"/>
  <c r="B4754" i="1"/>
  <c r="C4754" i="1"/>
  <c r="D4754" i="1"/>
  <c r="E4754" i="1"/>
  <c r="F4754" i="1"/>
  <c r="G4754" i="1"/>
  <c r="H4754" i="1"/>
  <c r="A4755" i="1"/>
  <c r="B4755" i="1"/>
  <c r="C4755" i="1"/>
  <c r="D4755" i="1"/>
  <c r="E4755" i="1"/>
  <c r="F4755" i="1"/>
  <c r="G4755" i="1"/>
  <c r="H4755" i="1"/>
  <c r="A4756" i="1"/>
  <c r="B4756" i="1"/>
  <c r="C4756" i="1"/>
  <c r="D4756" i="1"/>
  <c r="E4756" i="1"/>
  <c r="F4756" i="1"/>
  <c r="G4756" i="1"/>
  <c r="H4756" i="1"/>
  <c r="A4757" i="1"/>
  <c r="B4757" i="1"/>
  <c r="C4757" i="1"/>
  <c r="D4757" i="1"/>
  <c r="E4757" i="1"/>
  <c r="F4757" i="1"/>
  <c r="G4757" i="1"/>
  <c r="H4757" i="1"/>
  <c r="A4758" i="1"/>
  <c r="B4758" i="1"/>
  <c r="C4758" i="1"/>
  <c r="D4758" i="1"/>
  <c r="E4758" i="1"/>
  <c r="F4758" i="1"/>
  <c r="G4758" i="1"/>
  <c r="H4758" i="1"/>
  <c r="A4759" i="1"/>
  <c r="B4759" i="1"/>
  <c r="C4759" i="1"/>
  <c r="D4759" i="1"/>
  <c r="E4759" i="1"/>
  <c r="F4759" i="1"/>
  <c r="G4759" i="1"/>
  <c r="H4759" i="1"/>
  <c r="A4760" i="1"/>
  <c r="B4760" i="1"/>
  <c r="C4760" i="1"/>
  <c r="D4760" i="1"/>
  <c r="E4760" i="1"/>
  <c r="F4760" i="1"/>
  <c r="G4760" i="1"/>
  <c r="H4760" i="1"/>
  <c r="A4761" i="1"/>
  <c r="B4761" i="1"/>
  <c r="C4761" i="1"/>
  <c r="D4761" i="1"/>
  <c r="E4761" i="1"/>
  <c r="F4761" i="1"/>
  <c r="G4761" i="1"/>
  <c r="H4761" i="1"/>
  <c r="A4762" i="1"/>
  <c r="B4762" i="1"/>
  <c r="C4762" i="1"/>
  <c r="D4762" i="1"/>
  <c r="E4762" i="1"/>
  <c r="F4762" i="1"/>
  <c r="G4762" i="1"/>
  <c r="H4762" i="1"/>
  <c r="A4763" i="1"/>
  <c r="B4763" i="1"/>
  <c r="C4763" i="1"/>
  <c r="D4763" i="1"/>
  <c r="E4763" i="1"/>
  <c r="F4763" i="1"/>
  <c r="G4763" i="1"/>
  <c r="H4763" i="1"/>
  <c r="A4764" i="1"/>
  <c r="B4764" i="1"/>
  <c r="C4764" i="1"/>
  <c r="D4764" i="1"/>
  <c r="E4764" i="1"/>
  <c r="F4764" i="1"/>
  <c r="G4764" i="1"/>
  <c r="H4764" i="1"/>
  <c r="A4765" i="1"/>
  <c r="B4765" i="1"/>
  <c r="C4765" i="1"/>
  <c r="D4765" i="1"/>
  <c r="E4765" i="1"/>
  <c r="F4765" i="1"/>
  <c r="G4765" i="1"/>
  <c r="H4765" i="1"/>
  <c r="A4766" i="1"/>
  <c r="B4766" i="1"/>
  <c r="C4766" i="1"/>
  <c r="D4766" i="1"/>
  <c r="E4766" i="1"/>
  <c r="F4766" i="1"/>
  <c r="G4766" i="1"/>
  <c r="H4766" i="1"/>
  <c r="A4767" i="1"/>
  <c r="B4767" i="1"/>
  <c r="C4767" i="1"/>
  <c r="D4767" i="1"/>
  <c r="E4767" i="1"/>
  <c r="F4767" i="1"/>
  <c r="G4767" i="1"/>
  <c r="H4767" i="1"/>
  <c r="A4768" i="1"/>
  <c r="B4768" i="1"/>
  <c r="C4768" i="1"/>
  <c r="D4768" i="1"/>
  <c r="E4768" i="1"/>
  <c r="F4768" i="1"/>
  <c r="G4768" i="1"/>
  <c r="H4768" i="1"/>
  <c r="A4769" i="1"/>
  <c r="B4769" i="1"/>
  <c r="C4769" i="1"/>
  <c r="D4769" i="1"/>
  <c r="E4769" i="1"/>
  <c r="F4769" i="1"/>
  <c r="G4769" i="1"/>
  <c r="H4769" i="1"/>
  <c r="A4770" i="1"/>
  <c r="B4770" i="1"/>
  <c r="C4770" i="1"/>
  <c r="D4770" i="1"/>
  <c r="E4770" i="1"/>
  <c r="F4770" i="1"/>
  <c r="G4770" i="1"/>
  <c r="H4770" i="1"/>
  <c r="A4771" i="1"/>
  <c r="B4771" i="1"/>
  <c r="C4771" i="1"/>
  <c r="D4771" i="1"/>
  <c r="E4771" i="1"/>
  <c r="F4771" i="1"/>
  <c r="G4771" i="1"/>
  <c r="H4771" i="1"/>
  <c r="A4772" i="1"/>
  <c r="B4772" i="1"/>
  <c r="C4772" i="1"/>
  <c r="D4772" i="1"/>
  <c r="E4772" i="1"/>
  <c r="F4772" i="1"/>
  <c r="G4772" i="1"/>
  <c r="H4772" i="1"/>
  <c r="A4773" i="1"/>
  <c r="B4773" i="1"/>
  <c r="C4773" i="1"/>
  <c r="D4773" i="1"/>
  <c r="E4773" i="1"/>
  <c r="F4773" i="1"/>
  <c r="G4773" i="1"/>
  <c r="H4773" i="1"/>
  <c r="A4774" i="1"/>
  <c r="B4774" i="1"/>
  <c r="C4774" i="1"/>
  <c r="D4774" i="1"/>
  <c r="E4774" i="1"/>
  <c r="F4774" i="1"/>
  <c r="G4774" i="1"/>
  <c r="H4774" i="1"/>
  <c r="A4775" i="1"/>
  <c r="B4775" i="1"/>
  <c r="C4775" i="1"/>
  <c r="D4775" i="1"/>
  <c r="E4775" i="1"/>
  <c r="F4775" i="1"/>
  <c r="G4775" i="1"/>
  <c r="H4775" i="1"/>
  <c r="A4776" i="1"/>
  <c r="B4776" i="1"/>
  <c r="C4776" i="1"/>
  <c r="D4776" i="1"/>
  <c r="E4776" i="1"/>
  <c r="F4776" i="1"/>
  <c r="G4776" i="1"/>
  <c r="H4776" i="1"/>
  <c r="A4777" i="1"/>
  <c r="B4777" i="1"/>
  <c r="C4777" i="1"/>
  <c r="D4777" i="1"/>
  <c r="E4777" i="1"/>
  <c r="F4777" i="1"/>
  <c r="G4777" i="1"/>
  <c r="H4777" i="1"/>
  <c r="A4778" i="1"/>
  <c r="B4778" i="1"/>
  <c r="C4778" i="1"/>
  <c r="D4778" i="1"/>
  <c r="E4778" i="1"/>
  <c r="F4778" i="1"/>
  <c r="G4778" i="1"/>
  <c r="H4778" i="1"/>
  <c r="A4779" i="1"/>
  <c r="B4779" i="1"/>
  <c r="C4779" i="1"/>
  <c r="D4779" i="1"/>
  <c r="E4779" i="1"/>
  <c r="F4779" i="1"/>
  <c r="G4779" i="1"/>
  <c r="H4779" i="1"/>
  <c r="A4780" i="1"/>
  <c r="B4780" i="1"/>
  <c r="C4780" i="1"/>
  <c r="D4780" i="1"/>
  <c r="E4780" i="1"/>
  <c r="F4780" i="1"/>
  <c r="G4780" i="1"/>
  <c r="H4780" i="1"/>
  <c r="A4781" i="1"/>
  <c r="B4781" i="1"/>
  <c r="C4781" i="1"/>
  <c r="D4781" i="1"/>
  <c r="E4781" i="1"/>
  <c r="F4781" i="1"/>
  <c r="G4781" i="1"/>
  <c r="H4781" i="1"/>
  <c r="A4782" i="1"/>
  <c r="B4782" i="1"/>
  <c r="C4782" i="1"/>
  <c r="D4782" i="1"/>
  <c r="E4782" i="1"/>
  <c r="F4782" i="1"/>
  <c r="G4782" i="1"/>
  <c r="H4782" i="1"/>
  <c r="A4783" i="1"/>
  <c r="B4783" i="1"/>
  <c r="C4783" i="1"/>
  <c r="D4783" i="1"/>
  <c r="E4783" i="1"/>
  <c r="F4783" i="1"/>
  <c r="G4783" i="1"/>
  <c r="H4783" i="1"/>
  <c r="A4784" i="1"/>
  <c r="B4784" i="1"/>
  <c r="C4784" i="1"/>
  <c r="D4784" i="1"/>
  <c r="E4784" i="1"/>
  <c r="F4784" i="1"/>
  <c r="G4784" i="1"/>
  <c r="H4784" i="1"/>
  <c r="A4785" i="1"/>
  <c r="B4785" i="1"/>
  <c r="C4785" i="1"/>
  <c r="D4785" i="1"/>
  <c r="E4785" i="1"/>
  <c r="F4785" i="1"/>
  <c r="G4785" i="1"/>
  <c r="H4785" i="1"/>
  <c r="A4786" i="1"/>
  <c r="B4786" i="1"/>
  <c r="C4786" i="1"/>
  <c r="D4786" i="1"/>
  <c r="E4786" i="1"/>
  <c r="F4786" i="1"/>
  <c r="G4786" i="1"/>
  <c r="H4786" i="1"/>
  <c r="A4787" i="1"/>
  <c r="B4787" i="1"/>
  <c r="C4787" i="1"/>
  <c r="D4787" i="1"/>
  <c r="E4787" i="1"/>
  <c r="F4787" i="1"/>
  <c r="G4787" i="1"/>
  <c r="H4787" i="1"/>
  <c r="A4788" i="1"/>
  <c r="B4788" i="1"/>
  <c r="C4788" i="1"/>
  <c r="D4788" i="1"/>
  <c r="E4788" i="1"/>
  <c r="F4788" i="1"/>
  <c r="G4788" i="1"/>
  <c r="H4788" i="1"/>
  <c r="A4789" i="1"/>
  <c r="B4789" i="1"/>
  <c r="C4789" i="1"/>
  <c r="D4789" i="1"/>
  <c r="E4789" i="1"/>
  <c r="F4789" i="1"/>
  <c r="G4789" i="1"/>
  <c r="H4789" i="1"/>
  <c r="A4790" i="1"/>
  <c r="B4790" i="1"/>
  <c r="C4790" i="1"/>
  <c r="D4790" i="1"/>
  <c r="E4790" i="1"/>
  <c r="F4790" i="1"/>
  <c r="G4790" i="1"/>
  <c r="H4790" i="1"/>
  <c r="A4791" i="1"/>
  <c r="B4791" i="1"/>
  <c r="C4791" i="1"/>
  <c r="D4791" i="1"/>
  <c r="E4791" i="1"/>
  <c r="F4791" i="1"/>
  <c r="G4791" i="1"/>
  <c r="H4791" i="1"/>
  <c r="A4792" i="1"/>
  <c r="B4792" i="1"/>
  <c r="C4792" i="1"/>
  <c r="D4792" i="1"/>
  <c r="E4792" i="1"/>
  <c r="F4792" i="1"/>
  <c r="G4792" i="1"/>
  <c r="H4792" i="1"/>
  <c r="A4793" i="1"/>
  <c r="B4793" i="1"/>
  <c r="C4793" i="1"/>
  <c r="D4793" i="1"/>
  <c r="E4793" i="1"/>
  <c r="F4793" i="1"/>
  <c r="G4793" i="1"/>
  <c r="H4793" i="1"/>
  <c r="A4794" i="1"/>
  <c r="B4794" i="1"/>
  <c r="C4794" i="1"/>
  <c r="D4794" i="1"/>
  <c r="E4794" i="1"/>
  <c r="F4794" i="1"/>
  <c r="G4794" i="1"/>
  <c r="H4794" i="1"/>
  <c r="A4795" i="1"/>
  <c r="B4795" i="1"/>
  <c r="C4795" i="1"/>
  <c r="D4795" i="1"/>
  <c r="E4795" i="1"/>
  <c r="F4795" i="1"/>
  <c r="G4795" i="1"/>
  <c r="H4795" i="1"/>
  <c r="A4796" i="1"/>
  <c r="B4796" i="1"/>
  <c r="C4796" i="1"/>
  <c r="D4796" i="1"/>
  <c r="E4796" i="1"/>
  <c r="F4796" i="1"/>
  <c r="G4796" i="1"/>
  <c r="H4796" i="1"/>
  <c r="A4797" i="1"/>
  <c r="B4797" i="1"/>
  <c r="C4797" i="1"/>
  <c r="D4797" i="1"/>
  <c r="E4797" i="1"/>
  <c r="F4797" i="1"/>
  <c r="G4797" i="1"/>
  <c r="H4797" i="1"/>
  <c r="A4798" i="1"/>
  <c r="B4798" i="1"/>
  <c r="C4798" i="1"/>
  <c r="D4798" i="1"/>
  <c r="E4798" i="1"/>
  <c r="F4798" i="1"/>
  <c r="G4798" i="1"/>
  <c r="H4798" i="1"/>
  <c r="A4799" i="1"/>
  <c r="B4799" i="1"/>
  <c r="C4799" i="1"/>
  <c r="D4799" i="1"/>
  <c r="E4799" i="1"/>
  <c r="F4799" i="1"/>
  <c r="G4799" i="1"/>
  <c r="H4799" i="1"/>
  <c r="A4800" i="1"/>
  <c r="B4800" i="1"/>
  <c r="C4800" i="1"/>
  <c r="D4800" i="1"/>
  <c r="E4800" i="1"/>
  <c r="F4800" i="1"/>
  <c r="G4800" i="1"/>
  <c r="H4800" i="1"/>
  <c r="A4801" i="1"/>
  <c r="B4801" i="1"/>
  <c r="C4801" i="1"/>
  <c r="D4801" i="1"/>
  <c r="E4801" i="1"/>
  <c r="F4801" i="1"/>
  <c r="G4801" i="1"/>
  <c r="H4801" i="1"/>
  <c r="A4802" i="1"/>
  <c r="B4802" i="1"/>
  <c r="C4802" i="1"/>
  <c r="D4802" i="1"/>
  <c r="E4802" i="1"/>
  <c r="F4802" i="1"/>
  <c r="G4802" i="1"/>
  <c r="H4802" i="1"/>
  <c r="A4803" i="1"/>
  <c r="B4803" i="1"/>
  <c r="C4803" i="1"/>
  <c r="D4803" i="1"/>
  <c r="E4803" i="1"/>
  <c r="F4803" i="1"/>
  <c r="G4803" i="1"/>
  <c r="H4803" i="1"/>
  <c r="A4804" i="1"/>
  <c r="B4804" i="1"/>
  <c r="C4804" i="1"/>
  <c r="D4804" i="1"/>
  <c r="E4804" i="1"/>
  <c r="F4804" i="1"/>
  <c r="G4804" i="1"/>
  <c r="H4804" i="1"/>
  <c r="A4805" i="1"/>
  <c r="B4805" i="1"/>
  <c r="C4805" i="1"/>
  <c r="D4805" i="1"/>
  <c r="E4805" i="1"/>
  <c r="F4805" i="1"/>
  <c r="G4805" i="1"/>
  <c r="H4805" i="1"/>
  <c r="A4806" i="1"/>
  <c r="B4806" i="1"/>
  <c r="C4806" i="1"/>
  <c r="D4806" i="1"/>
  <c r="E4806" i="1"/>
  <c r="F4806" i="1"/>
  <c r="G4806" i="1"/>
  <c r="H4806" i="1"/>
  <c r="A4807" i="1"/>
  <c r="B4807" i="1"/>
  <c r="C4807" i="1"/>
  <c r="D4807" i="1"/>
  <c r="E4807" i="1"/>
  <c r="F4807" i="1"/>
  <c r="G4807" i="1"/>
  <c r="H4807" i="1"/>
  <c r="A4808" i="1"/>
  <c r="B4808" i="1"/>
  <c r="C4808" i="1"/>
  <c r="D4808" i="1"/>
  <c r="E4808" i="1"/>
  <c r="F4808" i="1"/>
  <c r="G4808" i="1"/>
  <c r="H4808" i="1"/>
  <c r="A4809" i="1"/>
  <c r="B4809" i="1"/>
  <c r="C4809" i="1"/>
  <c r="D4809" i="1"/>
  <c r="E4809" i="1"/>
  <c r="F4809" i="1"/>
  <c r="G4809" i="1"/>
  <c r="H4809" i="1"/>
  <c r="A4810" i="1"/>
  <c r="B4810" i="1"/>
  <c r="C4810" i="1"/>
  <c r="D4810" i="1"/>
  <c r="E4810" i="1"/>
  <c r="F4810" i="1"/>
  <c r="G4810" i="1"/>
  <c r="H4810" i="1"/>
  <c r="A4811" i="1"/>
  <c r="B4811" i="1"/>
  <c r="C4811" i="1"/>
  <c r="D4811" i="1"/>
  <c r="E4811" i="1"/>
  <c r="F4811" i="1"/>
  <c r="G4811" i="1"/>
  <c r="H4811" i="1"/>
  <c r="A4812" i="1"/>
  <c r="B4812" i="1"/>
  <c r="C4812" i="1"/>
  <c r="D4812" i="1"/>
  <c r="E4812" i="1"/>
  <c r="F4812" i="1"/>
  <c r="G4812" i="1"/>
  <c r="H4812" i="1"/>
  <c r="A4813" i="1"/>
  <c r="B4813" i="1"/>
  <c r="C4813" i="1"/>
  <c r="D4813" i="1"/>
  <c r="E4813" i="1"/>
  <c r="F4813" i="1"/>
  <c r="G4813" i="1"/>
  <c r="H4813" i="1"/>
  <c r="A4814" i="1"/>
  <c r="B4814" i="1"/>
  <c r="C4814" i="1"/>
  <c r="D4814" i="1"/>
  <c r="E4814" i="1"/>
  <c r="F4814" i="1"/>
  <c r="G4814" i="1"/>
  <c r="H4814" i="1"/>
  <c r="A4815" i="1"/>
  <c r="B4815" i="1"/>
  <c r="C4815" i="1"/>
  <c r="D4815" i="1"/>
  <c r="E4815" i="1"/>
  <c r="F4815" i="1"/>
  <c r="G4815" i="1"/>
  <c r="H4815" i="1"/>
  <c r="A4816" i="1"/>
  <c r="B4816" i="1"/>
  <c r="C4816" i="1"/>
  <c r="D4816" i="1"/>
  <c r="E4816" i="1"/>
  <c r="F4816" i="1"/>
  <c r="G4816" i="1"/>
  <c r="H4816" i="1"/>
  <c r="A4817" i="1"/>
  <c r="B4817" i="1"/>
  <c r="C4817" i="1"/>
  <c r="D4817" i="1"/>
  <c r="E4817" i="1"/>
  <c r="F4817" i="1"/>
  <c r="G4817" i="1"/>
  <c r="H4817" i="1"/>
  <c r="A4818" i="1"/>
  <c r="B4818" i="1"/>
  <c r="C4818" i="1"/>
  <c r="D4818" i="1"/>
  <c r="E4818" i="1"/>
  <c r="F4818" i="1"/>
  <c r="G4818" i="1"/>
  <c r="H4818" i="1"/>
  <c r="A4819" i="1"/>
  <c r="B4819" i="1"/>
  <c r="C4819" i="1"/>
  <c r="D4819" i="1"/>
  <c r="E4819" i="1"/>
  <c r="F4819" i="1"/>
  <c r="G4819" i="1"/>
  <c r="H4819" i="1"/>
  <c r="A4820" i="1"/>
  <c r="B4820" i="1"/>
  <c r="C4820" i="1"/>
  <c r="D4820" i="1"/>
  <c r="E4820" i="1"/>
  <c r="F4820" i="1"/>
  <c r="G4820" i="1"/>
  <c r="H4820" i="1"/>
  <c r="A4821" i="1"/>
  <c r="B4821" i="1"/>
  <c r="C4821" i="1"/>
  <c r="D4821" i="1"/>
  <c r="E4821" i="1"/>
  <c r="F4821" i="1"/>
  <c r="G4821" i="1"/>
  <c r="H4821" i="1"/>
  <c r="A4822" i="1"/>
  <c r="B4822" i="1"/>
  <c r="C4822" i="1"/>
  <c r="D4822" i="1"/>
  <c r="E4822" i="1"/>
  <c r="F4822" i="1"/>
  <c r="G4822" i="1"/>
  <c r="H4822" i="1"/>
  <c r="A4823" i="1"/>
  <c r="B4823" i="1"/>
  <c r="C4823" i="1"/>
  <c r="D4823" i="1"/>
  <c r="E4823" i="1"/>
  <c r="F4823" i="1"/>
  <c r="G4823" i="1"/>
  <c r="H4823" i="1"/>
  <c r="A4824" i="1"/>
  <c r="B4824" i="1"/>
  <c r="C4824" i="1"/>
  <c r="D4824" i="1"/>
  <c r="E4824" i="1"/>
  <c r="F4824" i="1"/>
  <c r="G4824" i="1"/>
  <c r="H4824" i="1"/>
  <c r="A4825" i="1"/>
  <c r="B4825" i="1"/>
  <c r="C4825" i="1"/>
  <c r="D4825" i="1"/>
  <c r="E4825" i="1"/>
  <c r="F4825" i="1"/>
  <c r="G4825" i="1"/>
  <c r="H4825" i="1"/>
  <c r="A4826" i="1"/>
  <c r="B4826" i="1"/>
  <c r="C4826" i="1"/>
  <c r="D4826" i="1"/>
  <c r="E4826" i="1"/>
  <c r="F4826" i="1"/>
  <c r="G4826" i="1"/>
  <c r="H4826" i="1"/>
  <c r="A4827" i="1"/>
  <c r="B4827" i="1"/>
  <c r="C4827" i="1"/>
  <c r="D4827" i="1"/>
  <c r="E4827" i="1"/>
  <c r="F4827" i="1"/>
  <c r="G4827" i="1"/>
  <c r="H4827" i="1"/>
  <c r="A4828" i="1"/>
  <c r="B4828" i="1"/>
  <c r="C4828" i="1"/>
  <c r="D4828" i="1"/>
  <c r="E4828" i="1"/>
  <c r="F4828" i="1"/>
  <c r="G4828" i="1"/>
  <c r="H4828" i="1"/>
  <c r="A4829" i="1"/>
  <c r="B4829" i="1"/>
  <c r="C4829" i="1"/>
  <c r="D4829" i="1"/>
  <c r="E4829" i="1"/>
  <c r="F4829" i="1"/>
  <c r="G4829" i="1"/>
  <c r="H4829" i="1"/>
  <c r="A4830" i="1"/>
  <c r="B4830" i="1"/>
  <c r="C4830" i="1"/>
  <c r="D4830" i="1"/>
  <c r="E4830" i="1"/>
  <c r="F4830" i="1"/>
  <c r="G4830" i="1"/>
  <c r="H4830" i="1"/>
  <c r="A4831" i="1"/>
  <c r="B4831" i="1"/>
  <c r="C4831" i="1"/>
  <c r="D4831" i="1"/>
  <c r="E4831" i="1"/>
  <c r="F4831" i="1"/>
  <c r="G4831" i="1"/>
  <c r="H4831" i="1"/>
  <c r="A4832" i="1"/>
  <c r="B4832" i="1"/>
  <c r="C4832" i="1"/>
  <c r="D4832" i="1"/>
  <c r="E4832" i="1"/>
  <c r="F4832" i="1"/>
  <c r="G4832" i="1"/>
  <c r="H4832" i="1"/>
  <c r="A4833" i="1"/>
  <c r="B4833" i="1"/>
  <c r="C4833" i="1"/>
  <c r="D4833" i="1"/>
  <c r="E4833" i="1"/>
  <c r="F4833" i="1"/>
  <c r="G4833" i="1"/>
  <c r="H4833" i="1"/>
  <c r="A4834" i="1"/>
  <c r="B4834" i="1"/>
  <c r="C4834" i="1"/>
  <c r="D4834" i="1"/>
  <c r="E4834" i="1"/>
  <c r="F4834" i="1"/>
  <c r="G4834" i="1"/>
  <c r="H4834" i="1"/>
  <c r="A4835" i="1"/>
  <c r="B4835" i="1"/>
  <c r="C4835" i="1"/>
  <c r="D4835" i="1"/>
  <c r="E4835" i="1"/>
  <c r="F4835" i="1"/>
  <c r="G4835" i="1"/>
  <c r="H4835" i="1"/>
  <c r="A4836" i="1"/>
  <c r="B4836" i="1"/>
  <c r="C4836" i="1"/>
  <c r="D4836" i="1"/>
  <c r="E4836" i="1"/>
  <c r="F4836" i="1"/>
  <c r="G4836" i="1"/>
  <c r="H4836" i="1"/>
  <c r="A4837" i="1"/>
  <c r="B4837" i="1"/>
  <c r="C4837" i="1"/>
  <c r="D4837" i="1"/>
  <c r="E4837" i="1"/>
  <c r="F4837" i="1"/>
  <c r="G4837" i="1"/>
  <c r="H4837" i="1"/>
  <c r="A4838" i="1"/>
  <c r="B4838" i="1"/>
  <c r="C4838" i="1"/>
  <c r="D4838" i="1"/>
  <c r="E4838" i="1"/>
  <c r="F4838" i="1"/>
  <c r="G4838" i="1"/>
  <c r="H4838" i="1"/>
  <c r="A4839" i="1"/>
  <c r="B4839" i="1"/>
  <c r="C4839" i="1"/>
  <c r="D4839" i="1"/>
  <c r="E4839" i="1"/>
  <c r="F4839" i="1"/>
  <c r="G4839" i="1"/>
  <c r="H4839" i="1"/>
  <c r="A4840" i="1"/>
  <c r="B4840" i="1"/>
  <c r="C4840" i="1"/>
  <c r="D4840" i="1"/>
  <c r="E4840" i="1"/>
  <c r="F4840" i="1"/>
  <c r="G4840" i="1"/>
  <c r="H4840" i="1"/>
  <c r="A4841" i="1"/>
  <c r="B4841" i="1"/>
  <c r="C4841" i="1"/>
  <c r="D4841" i="1"/>
  <c r="E4841" i="1"/>
  <c r="F4841" i="1"/>
  <c r="G4841" i="1"/>
  <c r="H4841" i="1"/>
  <c r="A4842" i="1"/>
  <c r="B4842" i="1"/>
  <c r="C4842" i="1"/>
  <c r="D4842" i="1"/>
  <c r="E4842" i="1"/>
  <c r="F4842" i="1"/>
  <c r="G4842" i="1"/>
  <c r="H4842" i="1"/>
  <c r="A4843" i="1"/>
  <c r="B4843" i="1"/>
  <c r="C4843" i="1"/>
  <c r="D4843" i="1"/>
  <c r="E4843" i="1"/>
  <c r="F4843" i="1"/>
  <c r="G4843" i="1"/>
  <c r="H4843" i="1"/>
  <c r="A4844" i="1"/>
  <c r="B4844" i="1"/>
  <c r="C4844" i="1"/>
  <c r="D4844" i="1"/>
  <c r="E4844" i="1"/>
  <c r="F4844" i="1"/>
  <c r="G4844" i="1"/>
  <c r="H4844" i="1"/>
  <c r="A4845" i="1"/>
  <c r="B4845" i="1"/>
  <c r="C4845" i="1"/>
  <c r="D4845" i="1"/>
  <c r="E4845" i="1"/>
  <c r="F4845" i="1"/>
  <c r="G4845" i="1"/>
  <c r="H4845" i="1"/>
  <c r="A4846" i="1"/>
  <c r="B4846" i="1"/>
  <c r="C4846" i="1"/>
  <c r="D4846" i="1"/>
  <c r="E4846" i="1"/>
  <c r="F4846" i="1"/>
  <c r="G4846" i="1"/>
  <c r="H4846" i="1"/>
  <c r="A4847" i="1"/>
  <c r="B4847" i="1"/>
  <c r="C4847" i="1"/>
  <c r="D4847" i="1"/>
  <c r="E4847" i="1"/>
  <c r="F4847" i="1"/>
  <c r="G4847" i="1"/>
  <c r="H4847" i="1"/>
  <c r="A4848" i="1"/>
  <c r="B4848" i="1"/>
  <c r="C4848" i="1"/>
  <c r="D4848" i="1"/>
  <c r="E4848" i="1"/>
  <c r="F4848" i="1"/>
  <c r="G4848" i="1"/>
  <c r="H4848" i="1"/>
  <c r="A4849" i="1"/>
  <c r="B4849" i="1"/>
  <c r="C4849" i="1"/>
  <c r="D4849" i="1"/>
  <c r="E4849" i="1"/>
  <c r="F4849" i="1"/>
  <c r="G4849" i="1"/>
  <c r="H4849" i="1"/>
  <c r="A4850" i="1"/>
  <c r="B4850" i="1"/>
  <c r="C4850" i="1"/>
  <c r="D4850" i="1"/>
  <c r="E4850" i="1"/>
  <c r="F4850" i="1"/>
  <c r="G4850" i="1"/>
  <c r="H4850" i="1"/>
  <c r="A4851" i="1"/>
  <c r="B4851" i="1"/>
  <c r="C4851" i="1"/>
  <c r="D4851" i="1"/>
  <c r="E4851" i="1"/>
  <c r="F4851" i="1"/>
  <c r="G4851" i="1"/>
  <c r="H4851" i="1"/>
  <c r="A4852" i="1"/>
  <c r="B4852" i="1"/>
  <c r="C4852" i="1"/>
  <c r="D4852" i="1"/>
  <c r="E4852" i="1"/>
  <c r="F4852" i="1"/>
  <c r="G4852" i="1"/>
  <c r="H4852" i="1"/>
  <c r="A4853" i="1"/>
  <c r="B4853" i="1"/>
  <c r="C4853" i="1"/>
  <c r="D4853" i="1"/>
  <c r="E4853" i="1"/>
  <c r="F4853" i="1"/>
  <c r="G4853" i="1"/>
  <c r="H4853" i="1"/>
  <c r="A4854" i="1"/>
  <c r="B4854" i="1"/>
  <c r="C4854" i="1"/>
  <c r="D4854" i="1"/>
  <c r="E4854" i="1"/>
  <c r="F4854" i="1"/>
  <c r="G4854" i="1"/>
  <c r="H4854" i="1"/>
  <c r="A4855" i="1"/>
  <c r="B4855" i="1"/>
  <c r="C4855" i="1"/>
  <c r="D4855" i="1"/>
  <c r="E4855" i="1"/>
  <c r="F4855" i="1"/>
  <c r="G4855" i="1"/>
  <c r="H4855" i="1"/>
  <c r="A4856" i="1"/>
  <c r="B4856" i="1"/>
  <c r="C4856" i="1"/>
  <c r="D4856" i="1"/>
  <c r="E4856" i="1"/>
  <c r="F4856" i="1"/>
  <c r="G4856" i="1"/>
  <c r="H4856" i="1"/>
  <c r="A4857" i="1"/>
  <c r="B4857" i="1"/>
  <c r="C4857" i="1"/>
  <c r="D4857" i="1"/>
  <c r="E4857" i="1"/>
  <c r="F4857" i="1"/>
  <c r="G4857" i="1"/>
  <c r="H4857" i="1"/>
  <c r="A4858" i="1"/>
  <c r="B4858" i="1"/>
  <c r="C4858" i="1"/>
  <c r="D4858" i="1"/>
  <c r="E4858" i="1"/>
  <c r="F4858" i="1"/>
  <c r="G4858" i="1"/>
  <c r="H4858" i="1"/>
  <c r="A4859" i="1"/>
  <c r="B4859" i="1"/>
  <c r="C4859" i="1"/>
  <c r="D4859" i="1"/>
  <c r="E4859" i="1"/>
  <c r="F4859" i="1"/>
  <c r="G4859" i="1"/>
  <c r="H4859" i="1"/>
  <c r="A4860" i="1"/>
  <c r="B4860" i="1"/>
  <c r="C4860" i="1"/>
  <c r="D4860" i="1"/>
  <c r="E4860" i="1"/>
  <c r="F4860" i="1"/>
  <c r="G4860" i="1"/>
  <c r="H4860" i="1"/>
  <c r="A4861" i="1"/>
  <c r="B4861" i="1"/>
  <c r="C4861" i="1"/>
  <c r="D4861" i="1"/>
  <c r="E4861" i="1"/>
  <c r="F4861" i="1"/>
  <c r="G4861" i="1"/>
  <c r="H4861" i="1"/>
  <c r="A4862" i="1"/>
  <c r="B4862" i="1"/>
  <c r="C4862" i="1"/>
  <c r="D4862" i="1"/>
  <c r="E4862" i="1"/>
  <c r="F4862" i="1"/>
  <c r="G4862" i="1"/>
  <c r="H4862" i="1"/>
  <c r="A4863" i="1"/>
  <c r="B4863" i="1"/>
  <c r="C4863" i="1"/>
  <c r="D4863" i="1"/>
  <c r="E4863" i="1"/>
  <c r="F4863" i="1"/>
  <c r="G4863" i="1"/>
  <c r="H4863" i="1"/>
  <c r="A4864" i="1"/>
  <c r="B4864" i="1"/>
  <c r="C4864" i="1"/>
  <c r="D4864" i="1"/>
  <c r="E4864" i="1"/>
  <c r="F4864" i="1"/>
  <c r="G4864" i="1"/>
  <c r="H4864" i="1"/>
  <c r="A4865" i="1"/>
  <c r="B4865" i="1"/>
  <c r="C4865" i="1"/>
  <c r="D4865" i="1"/>
  <c r="E4865" i="1"/>
  <c r="F4865" i="1"/>
  <c r="G4865" i="1"/>
  <c r="H4865" i="1"/>
  <c r="A4866" i="1"/>
  <c r="B4866" i="1"/>
  <c r="C4866" i="1"/>
  <c r="D4866" i="1"/>
  <c r="E4866" i="1"/>
  <c r="F4866" i="1"/>
  <c r="G4866" i="1"/>
  <c r="H4866" i="1"/>
  <c r="A4867" i="1"/>
  <c r="B4867" i="1"/>
  <c r="C4867" i="1"/>
  <c r="D4867" i="1"/>
  <c r="E4867" i="1"/>
  <c r="F4867" i="1"/>
  <c r="G4867" i="1"/>
  <c r="H4867" i="1"/>
  <c r="A4868" i="1"/>
  <c r="B4868" i="1"/>
  <c r="C4868" i="1"/>
  <c r="D4868" i="1"/>
  <c r="E4868" i="1"/>
  <c r="F4868" i="1"/>
  <c r="G4868" i="1"/>
  <c r="H4868" i="1"/>
  <c r="A4869" i="1"/>
  <c r="B4869" i="1"/>
  <c r="C4869" i="1"/>
  <c r="D4869" i="1"/>
  <c r="E4869" i="1"/>
  <c r="F4869" i="1"/>
  <c r="G4869" i="1"/>
  <c r="H4869" i="1"/>
  <c r="A4870" i="1"/>
  <c r="B4870" i="1"/>
  <c r="C4870" i="1"/>
  <c r="D4870" i="1"/>
  <c r="E4870" i="1"/>
  <c r="F4870" i="1"/>
  <c r="G4870" i="1"/>
  <c r="H4870" i="1"/>
  <c r="A4871" i="1"/>
  <c r="B4871" i="1"/>
  <c r="C4871" i="1"/>
  <c r="D4871" i="1"/>
  <c r="E4871" i="1"/>
  <c r="F4871" i="1"/>
  <c r="G4871" i="1"/>
  <c r="H4871" i="1"/>
  <c r="A4872" i="1"/>
  <c r="B4872" i="1"/>
  <c r="C4872" i="1"/>
  <c r="D4872" i="1"/>
  <c r="E4872" i="1"/>
  <c r="F4872" i="1"/>
  <c r="G4872" i="1"/>
  <c r="H4872" i="1"/>
  <c r="A4873" i="1"/>
  <c r="B4873" i="1"/>
  <c r="C4873" i="1"/>
  <c r="D4873" i="1"/>
  <c r="E4873" i="1"/>
  <c r="F4873" i="1"/>
  <c r="G4873" i="1"/>
  <c r="H4873" i="1"/>
  <c r="A4874" i="1"/>
  <c r="B4874" i="1"/>
  <c r="C4874" i="1"/>
  <c r="D4874" i="1"/>
  <c r="E4874" i="1"/>
  <c r="F4874" i="1"/>
  <c r="G4874" i="1"/>
  <c r="H4874" i="1"/>
  <c r="A4875" i="1"/>
  <c r="B4875" i="1"/>
  <c r="C4875" i="1"/>
  <c r="D4875" i="1"/>
  <c r="E4875" i="1"/>
  <c r="F4875" i="1"/>
  <c r="G4875" i="1"/>
  <c r="H4875" i="1"/>
  <c r="A4876" i="1"/>
  <c r="B4876" i="1"/>
  <c r="C4876" i="1"/>
  <c r="D4876" i="1"/>
  <c r="E4876" i="1"/>
  <c r="F4876" i="1"/>
  <c r="G4876" i="1"/>
  <c r="H4876" i="1"/>
  <c r="A4877" i="1"/>
  <c r="B4877" i="1"/>
  <c r="C4877" i="1"/>
  <c r="D4877" i="1"/>
  <c r="E4877" i="1"/>
  <c r="F4877" i="1"/>
  <c r="G4877" i="1"/>
  <c r="H4877" i="1"/>
  <c r="A4878" i="1"/>
  <c r="B4878" i="1"/>
  <c r="C4878" i="1"/>
  <c r="D4878" i="1"/>
  <c r="E4878" i="1"/>
  <c r="F4878" i="1"/>
  <c r="G4878" i="1"/>
  <c r="H4878" i="1"/>
  <c r="A4879" i="1"/>
  <c r="B4879" i="1"/>
  <c r="C4879" i="1"/>
  <c r="D4879" i="1"/>
  <c r="E4879" i="1"/>
  <c r="F4879" i="1"/>
  <c r="G4879" i="1"/>
  <c r="H4879" i="1"/>
  <c r="A4880" i="1"/>
  <c r="B4880" i="1"/>
  <c r="C4880" i="1"/>
  <c r="D4880" i="1"/>
  <c r="E4880" i="1"/>
  <c r="F4880" i="1"/>
  <c r="G4880" i="1"/>
  <c r="H4880" i="1"/>
  <c r="A4881" i="1"/>
  <c r="B4881" i="1"/>
  <c r="C4881" i="1"/>
  <c r="D4881" i="1"/>
  <c r="E4881" i="1"/>
  <c r="F4881" i="1"/>
  <c r="G4881" i="1"/>
  <c r="H4881" i="1"/>
  <c r="A4882" i="1"/>
  <c r="B4882" i="1"/>
  <c r="C4882" i="1"/>
  <c r="D4882" i="1"/>
  <c r="E4882" i="1"/>
  <c r="F4882" i="1"/>
  <c r="G4882" i="1"/>
  <c r="H4882" i="1"/>
  <c r="A4883" i="1"/>
  <c r="B4883" i="1"/>
  <c r="C4883" i="1"/>
  <c r="D4883" i="1"/>
  <c r="E4883" i="1"/>
  <c r="F4883" i="1"/>
  <c r="G4883" i="1"/>
  <c r="H4883" i="1"/>
  <c r="A4884" i="1"/>
  <c r="B4884" i="1"/>
  <c r="C4884" i="1"/>
  <c r="D4884" i="1"/>
  <c r="E4884" i="1"/>
  <c r="F4884" i="1"/>
  <c r="G4884" i="1"/>
  <c r="H4884" i="1"/>
  <c r="A4885" i="1"/>
  <c r="B4885" i="1"/>
  <c r="C4885" i="1"/>
  <c r="D4885" i="1"/>
  <c r="E4885" i="1"/>
  <c r="F4885" i="1"/>
  <c r="G4885" i="1"/>
  <c r="H4885" i="1"/>
  <c r="A4886" i="1"/>
  <c r="B4886" i="1"/>
  <c r="C4886" i="1"/>
  <c r="D4886" i="1"/>
  <c r="E4886" i="1"/>
  <c r="F4886" i="1"/>
  <c r="G4886" i="1"/>
  <c r="H4886" i="1"/>
  <c r="A4887" i="1"/>
  <c r="B4887" i="1"/>
  <c r="C4887" i="1"/>
  <c r="D4887" i="1"/>
  <c r="E4887" i="1"/>
  <c r="F4887" i="1"/>
  <c r="G4887" i="1"/>
  <c r="H4887" i="1"/>
  <c r="A4888" i="1"/>
  <c r="B4888" i="1"/>
  <c r="C4888" i="1"/>
  <c r="D4888" i="1"/>
  <c r="E4888" i="1"/>
  <c r="F4888" i="1"/>
  <c r="G4888" i="1"/>
  <c r="H4888" i="1"/>
  <c r="A4889" i="1"/>
  <c r="B4889" i="1"/>
  <c r="C4889" i="1"/>
  <c r="D4889" i="1"/>
  <c r="E4889" i="1"/>
  <c r="F4889" i="1"/>
  <c r="G4889" i="1"/>
  <c r="H4889" i="1"/>
  <c r="A4890" i="1"/>
  <c r="B4890" i="1"/>
  <c r="C4890" i="1"/>
  <c r="D4890" i="1"/>
  <c r="E4890" i="1"/>
  <c r="F4890" i="1"/>
  <c r="G4890" i="1"/>
  <c r="H4890" i="1"/>
  <c r="A4891" i="1"/>
  <c r="B4891" i="1"/>
  <c r="C4891" i="1"/>
  <c r="D4891" i="1"/>
  <c r="E4891" i="1"/>
  <c r="F4891" i="1"/>
  <c r="G4891" i="1"/>
  <c r="H4891" i="1"/>
  <c r="A4892" i="1"/>
  <c r="B4892" i="1"/>
  <c r="C4892" i="1"/>
  <c r="D4892" i="1"/>
  <c r="E4892" i="1"/>
  <c r="F4892" i="1"/>
  <c r="G4892" i="1"/>
  <c r="H4892" i="1"/>
  <c r="A4893" i="1"/>
  <c r="B4893" i="1"/>
  <c r="C4893" i="1"/>
  <c r="D4893" i="1"/>
  <c r="E4893" i="1"/>
  <c r="F4893" i="1"/>
  <c r="G4893" i="1"/>
  <c r="H4893" i="1"/>
  <c r="A4894" i="1"/>
  <c r="B4894" i="1"/>
  <c r="C4894" i="1"/>
  <c r="D4894" i="1"/>
  <c r="E4894" i="1"/>
  <c r="F4894" i="1"/>
  <c r="G4894" i="1"/>
  <c r="H4894" i="1"/>
  <c r="A4895" i="1"/>
  <c r="B4895" i="1"/>
  <c r="C4895" i="1"/>
  <c r="D4895" i="1"/>
  <c r="E4895" i="1"/>
  <c r="F4895" i="1"/>
  <c r="G4895" i="1"/>
  <c r="H4895" i="1"/>
  <c r="A4896" i="1"/>
  <c r="B4896" i="1"/>
  <c r="C4896" i="1"/>
  <c r="D4896" i="1"/>
  <c r="E4896" i="1"/>
  <c r="F4896" i="1"/>
  <c r="G4896" i="1"/>
  <c r="H4896" i="1"/>
  <c r="A4897" i="1"/>
  <c r="B4897" i="1"/>
  <c r="C4897" i="1"/>
  <c r="D4897" i="1"/>
  <c r="E4897" i="1"/>
  <c r="F4897" i="1"/>
  <c r="G4897" i="1"/>
  <c r="H4897" i="1"/>
  <c r="A4898" i="1"/>
  <c r="B4898" i="1"/>
  <c r="C4898" i="1"/>
  <c r="D4898" i="1"/>
  <c r="E4898" i="1"/>
  <c r="F4898" i="1"/>
  <c r="G4898" i="1"/>
  <c r="H4898" i="1"/>
  <c r="A4899" i="1"/>
  <c r="B4899" i="1"/>
  <c r="C4899" i="1"/>
  <c r="D4899" i="1"/>
  <c r="E4899" i="1"/>
  <c r="F4899" i="1"/>
  <c r="G4899" i="1"/>
  <c r="H4899" i="1"/>
  <c r="A4900" i="1"/>
  <c r="B4900" i="1"/>
  <c r="C4900" i="1"/>
  <c r="D4900" i="1"/>
  <c r="E4900" i="1"/>
  <c r="F4900" i="1"/>
  <c r="G4900" i="1"/>
  <c r="H4900" i="1"/>
  <c r="A4901" i="1"/>
  <c r="B4901" i="1"/>
  <c r="C4901" i="1"/>
  <c r="D4901" i="1"/>
  <c r="E4901" i="1"/>
  <c r="F4901" i="1"/>
  <c r="G4901" i="1"/>
  <c r="H4901" i="1"/>
  <c r="A4902" i="1"/>
  <c r="B4902" i="1"/>
  <c r="C4902" i="1"/>
  <c r="D4902" i="1"/>
  <c r="E4902" i="1"/>
  <c r="F4902" i="1"/>
  <c r="G4902" i="1"/>
  <c r="H4902" i="1"/>
  <c r="A4903" i="1"/>
  <c r="B4903" i="1"/>
  <c r="C4903" i="1"/>
  <c r="D4903" i="1"/>
  <c r="E4903" i="1"/>
  <c r="F4903" i="1"/>
  <c r="G4903" i="1"/>
  <c r="H4903" i="1"/>
  <c r="A4904" i="1"/>
  <c r="B4904" i="1"/>
  <c r="C4904" i="1"/>
  <c r="D4904" i="1"/>
  <c r="E4904" i="1"/>
  <c r="F4904" i="1"/>
  <c r="G4904" i="1"/>
  <c r="H4904" i="1"/>
  <c r="A4905" i="1"/>
  <c r="B4905" i="1"/>
  <c r="C4905" i="1"/>
  <c r="D4905" i="1"/>
  <c r="E4905" i="1"/>
  <c r="F4905" i="1"/>
  <c r="G4905" i="1"/>
  <c r="H4905" i="1"/>
  <c r="A4906" i="1"/>
  <c r="B4906" i="1"/>
  <c r="C4906" i="1"/>
  <c r="D4906" i="1"/>
  <c r="E4906" i="1"/>
  <c r="F4906" i="1"/>
  <c r="G4906" i="1"/>
  <c r="H4906" i="1"/>
  <c r="A4907" i="1"/>
  <c r="B4907" i="1"/>
  <c r="C4907" i="1"/>
  <c r="D4907" i="1"/>
  <c r="E4907" i="1"/>
  <c r="F4907" i="1"/>
  <c r="G4907" i="1"/>
  <c r="H4907" i="1"/>
  <c r="A4908" i="1"/>
  <c r="B4908" i="1"/>
  <c r="C4908" i="1"/>
  <c r="D4908" i="1"/>
  <c r="E4908" i="1"/>
  <c r="F4908" i="1"/>
  <c r="G4908" i="1"/>
  <c r="H4908" i="1"/>
  <c r="A4909" i="1"/>
  <c r="B4909" i="1"/>
  <c r="C4909" i="1"/>
  <c r="D4909" i="1"/>
  <c r="E4909" i="1"/>
  <c r="F4909" i="1"/>
  <c r="G4909" i="1"/>
  <c r="H4909" i="1"/>
  <c r="A4910" i="1"/>
  <c r="B4910" i="1"/>
  <c r="C4910" i="1"/>
  <c r="D4910" i="1"/>
  <c r="E4910" i="1"/>
  <c r="F4910" i="1"/>
  <c r="G4910" i="1"/>
  <c r="H4910" i="1"/>
  <c r="A4911" i="1"/>
  <c r="B4911" i="1"/>
  <c r="C4911" i="1"/>
  <c r="D4911" i="1"/>
  <c r="E4911" i="1"/>
  <c r="F4911" i="1"/>
  <c r="G4911" i="1"/>
  <c r="H4911" i="1"/>
  <c r="A4912" i="1"/>
  <c r="B4912" i="1"/>
  <c r="C4912" i="1"/>
  <c r="D4912" i="1"/>
  <c r="E4912" i="1"/>
  <c r="F4912" i="1"/>
  <c r="G4912" i="1"/>
  <c r="H4912" i="1"/>
  <c r="A4913" i="1"/>
  <c r="B4913" i="1"/>
  <c r="C4913" i="1"/>
  <c r="D4913" i="1"/>
  <c r="E4913" i="1"/>
  <c r="F4913" i="1"/>
  <c r="G4913" i="1"/>
  <c r="H4913" i="1"/>
  <c r="A4914" i="1"/>
  <c r="B4914" i="1"/>
  <c r="C4914" i="1"/>
  <c r="D4914" i="1"/>
  <c r="E4914" i="1"/>
  <c r="F4914" i="1"/>
  <c r="G4914" i="1"/>
  <c r="H4914" i="1"/>
  <c r="A4915" i="1"/>
  <c r="B4915" i="1"/>
  <c r="C4915" i="1"/>
  <c r="D4915" i="1"/>
  <c r="E4915" i="1"/>
  <c r="F4915" i="1"/>
  <c r="G4915" i="1"/>
  <c r="H4915" i="1"/>
  <c r="A4916" i="1"/>
  <c r="B4916" i="1"/>
  <c r="C4916" i="1"/>
  <c r="D4916" i="1"/>
  <c r="E4916" i="1"/>
  <c r="F4916" i="1"/>
  <c r="G4916" i="1"/>
  <c r="H4916" i="1"/>
  <c r="A4917" i="1"/>
  <c r="B4917" i="1"/>
  <c r="C4917" i="1"/>
  <c r="D4917" i="1"/>
  <c r="E4917" i="1"/>
  <c r="F4917" i="1"/>
  <c r="G4917" i="1"/>
  <c r="H4917" i="1"/>
  <c r="A4918" i="1"/>
  <c r="B4918" i="1"/>
  <c r="C4918" i="1"/>
  <c r="D4918" i="1"/>
  <c r="E4918" i="1"/>
  <c r="F4918" i="1"/>
  <c r="G4918" i="1"/>
  <c r="H4918" i="1"/>
  <c r="A4919" i="1"/>
  <c r="B4919" i="1"/>
  <c r="C4919" i="1"/>
  <c r="D4919" i="1"/>
  <c r="E4919" i="1"/>
  <c r="F4919" i="1"/>
  <c r="G4919" i="1"/>
  <c r="H4919" i="1"/>
  <c r="A4920" i="1"/>
  <c r="B4920" i="1"/>
  <c r="C4920" i="1"/>
  <c r="D4920" i="1"/>
  <c r="E4920" i="1"/>
  <c r="F4920" i="1"/>
  <c r="G4920" i="1"/>
  <c r="H4920" i="1"/>
  <c r="A4921" i="1"/>
  <c r="B4921" i="1"/>
  <c r="C4921" i="1"/>
  <c r="D4921" i="1"/>
  <c r="E4921" i="1"/>
  <c r="F4921" i="1"/>
  <c r="G4921" i="1"/>
  <c r="H4921" i="1"/>
  <c r="A4922" i="1"/>
  <c r="B4922" i="1"/>
  <c r="C4922" i="1"/>
  <c r="D4922" i="1"/>
  <c r="E4922" i="1"/>
  <c r="F4922" i="1"/>
  <c r="G4922" i="1"/>
  <c r="H4922" i="1"/>
  <c r="A4923" i="1"/>
  <c r="B4923" i="1"/>
  <c r="C4923" i="1"/>
  <c r="D4923" i="1"/>
  <c r="E4923" i="1"/>
  <c r="F4923" i="1"/>
  <c r="G4923" i="1"/>
  <c r="H4923" i="1"/>
  <c r="A4924" i="1"/>
  <c r="B4924" i="1"/>
  <c r="C4924" i="1"/>
  <c r="D4924" i="1"/>
  <c r="E4924" i="1"/>
  <c r="F4924" i="1"/>
  <c r="G4924" i="1"/>
  <c r="H4924" i="1"/>
  <c r="A4925" i="1"/>
  <c r="B4925" i="1"/>
  <c r="C4925" i="1"/>
  <c r="D4925" i="1"/>
  <c r="E4925" i="1"/>
  <c r="F4925" i="1"/>
  <c r="G4925" i="1"/>
  <c r="H4925" i="1"/>
  <c r="A4926" i="1"/>
  <c r="B4926" i="1"/>
  <c r="C4926" i="1"/>
  <c r="D4926" i="1"/>
  <c r="E4926" i="1"/>
  <c r="F4926" i="1"/>
  <c r="G4926" i="1"/>
  <c r="H4926" i="1"/>
  <c r="A4927" i="1"/>
  <c r="B4927" i="1"/>
  <c r="C4927" i="1"/>
  <c r="D4927" i="1"/>
  <c r="E4927" i="1"/>
  <c r="F4927" i="1"/>
  <c r="G4927" i="1"/>
  <c r="H4927" i="1"/>
  <c r="A4928" i="1"/>
  <c r="B4928" i="1"/>
  <c r="C4928" i="1"/>
  <c r="D4928" i="1"/>
  <c r="E4928" i="1"/>
  <c r="F4928" i="1"/>
  <c r="G4928" i="1"/>
  <c r="H4928" i="1"/>
  <c r="A4929" i="1"/>
  <c r="B4929" i="1"/>
  <c r="C4929" i="1"/>
  <c r="D4929" i="1"/>
  <c r="E4929" i="1"/>
  <c r="F4929" i="1"/>
  <c r="G4929" i="1"/>
  <c r="H4929" i="1"/>
  <c r="A4930" i="1"/>
  <c r="B4930" i="1"/>
  <c r="C4930" i="1"/>
  <c r="D4930" i="1"/>
  <c r="E4930" i="1"/>
  <c r="F4930" i="1"/>
  <c r="G4930" i="1"/>
  <c r="H4930" i="1"/>
  <c r="A4931" i="1"/>
  <c r="B4931" i="1"/>
  <c r="C4931" i="1"/>
  <c r="D4931" i="1"/>
  <c r="E4931" i="1"/>
  <c r="F4931" i="1"/>
  <c r="G4931" i="1"/>
  <c r="H4931" i="1"/>
  <c r="A4932" i="1"/>
  <c r="B4932" i="1"/>
  <c r="C4932" i="1"/>
  <c r="D4932" i="1"/>
  <c r="E4932" i="1"/>
  <c r="F4932" i="1"/>
  <c r="G4932" i="1"/>
  <c r="H4932" i="1"/>
  <c r="A4933" i="1"/>
  <c r="B4933" i="1"/>
  <c r="C4933" i="1"/>
  <c r="D4933" i="1"/>
  <c r="E4933" i="1"/>
  <c r="F4933" i="1"/>
  <c r="G4933" i="1"/>
  <c r="H4933" i="1"/>
  <c r="A4934" i="1"/>
  <c r="B4934" i="1"/>
  <c r="C4934" i="1"/>
  <c r="D4934" i="1"/>
  <c r="E4934" i="1"/>
  <c r="F4934" i="1"/>
  <c r="G4934" i="1"/>
  <c r="H4934" i="1"/>
  <c r="A4935" i="1"/>
  <c r="B4935" i="1"/>
  <c r="C4935" i="1"/>
  <c r="D4935" i="1"/>
  <c r="E4935" i="1"/>
  <c r="F4935" i="1"/>
  <c r="G4935" i="1"/>
  <c r="H4935" i="1"/>
  <c r="A4936" i="1"/>
  <c r="B4936" i="1"/>
  <c r="C4936" i="1"/>
  <c r="D4936" i="1"/>
  <c r="E4936" i="1"/>
  <c r="F4936" i="1"/>
  <c r="G4936" i="1"/>
  <c r="H4936" i="1"/>
  <c r="A4937" i="1"/>
  <c r="B4937" i="1"/>
  <c r="C4937" i="1"/>
  <c r="D4937" i="1"/>
  <c r="E4937" i="1"/>
  <c r="F4937" i="1"/>
  <c r="G4937" i="1"/>
  <c r="H4937" i="1"/>
  <c r="A4938" i="1"/>
  <c r="B4938" i="1"/>
  <c r="C4938" i="1"/>
  <c r="D4938" i="1"/>
  <c r="E4938" i="1"/>
  <c r="F4938" i="1"/>
  <c r="G4938" i="1"/>
  <c r="H4938" i="1"/>
  <c r="A4939" i="1"/>
  <c r="B4939" i="1"/>
  <c r="C4939" i="1"/>
  <c r="D4939" i="1"/>
  <c r="E4939" i="1"/>
  <c r="F4939" i="1"/>
  <c r="G4939" i="1"/>
  <c r="H4939" i="1"/>
  <c r="A4940" i="1"/>
  <c r="B4940" i="1"/>
  <c r="C4940" i="1"/>
  <c r="D4940" i="1"/>
  <c r="E4940" i="1"/>
  <c r="F4940" i="1"/>
  <c r="G4940" i="1"/>
  <c r="H4940" i="1"/>
  <c r="A4941" i="1"/>
  <c r="B4941" i="1"/>
  <c r="C4941" i="1"/>
  <c r="D4941" i="1"/>
  <c r="E4941" i="1"/>
  <c r="F4941" i="1"/>
  <c r="G4941" i="1"/>
  <c r="H4941" i="1"/>
  <c r="A4942" i="1"/>
  <c r="B4942" i="1"/>
  <c r="C4942" i="1"/>
  <c r="D4942" i="1"/>
  <c r="E4942" i="1"/>
  <c r="F4942" i="1"/>
  <c r="G4942" i="1"/>
  <c r="H4942" i="1"/>
  <c r="A4943" i="1"/>
  <c r="B4943" i="1"/>
  <c r="C4943" i="1"/>
  <c r="D4943" i="1"/>
  <c r="E4943" i="1"/>
  <c r="F4943" i="1"/>
  <c r="G4943" i="1"/>
  <c r="H4943" i="1"/>
  <c r="A4944" i="1"/>
  <c r="B4944" i="1"/>
  <c r="C4944" i="1"/>
  <c r="D4944" i="1"/>
  <c r="E4944" i="1"/>
  <c r="F4944" i="1"/>
  <c r="G4944" i="1"/>
  <c r="H4944" i="1"/>
  <c r="A4945" i="1"/>
  <c r="B4945" i="1"/>
  <c r="C4945" i="1"/>
  <c r="D4945" i="1"/>
  <c r="E4945" i="1"/>
  <c r="F4945" i="1"/>
  <c r="G4945" i="1"/>
  <c r="H4945" i="1"/>
  <c r="A4946" i="1"/>
  <c r="B4946" i="1"/>
  <c r="C4946" i="1"/>
  <c r="D4946" i="1"/>
  <c r="E4946" i="1"/>
  <c r="F4946" i="1"/>
  <c r="G4946" i="1"/>
  <c r="H4946" i="1"/>
  <c r="A4947" i="1"/>
  <c r="B4947" i="1"/>
  <c r="C4947" i="1"/>
  <c r="D4947" i="1"/>
  <c r="E4947" i="1"/>
  <c r="F4947" i="1"/>
  <c r="G4947" i="1"/>
  <c r="H4947" i="1"/>
  <c r="A4948" i="1"/>
  <c r="B4948" i="1"/>
  <c r="C4948" i="1"/>
  <c r="D4948" i="1"/>
  <c r="E4948" i="1"/>
  <c r="F4948" i="1"/>
  <c r="G4948" i="1"/>
  <c r="H4948" i="1"/>
  <c r="A4949" i="1"/>
  <c r="B4949" i="1"/>
  <c r="C4949" i="1"/>
  <c r="D4949" i="1"/>
  <c r="E4949" i="1"/>
  <c r="F4949" i="1"/>
  <c r="G4949" i="1"/>
  <c r="H4949" i="1"/>
  <c r="A4950" i="1"/>
  <c r="B4950" i="1"/>
  <c r="C4950" i="1"/>
  <c r="D4950" i="1"/>
  <c r="E4950" i="1"/>
  <c r="F4950" i="1"/>
  <c r="G4950" i="1"/>
  <c r="H4950" i="1"/>
  <c r="A4951" i="1"/>
  <c r="B4951" i="1"/>
  <c r="C4951" i="1"/>
  <c r="D4951" i="1"/>
  <c r="E4951" i="1"/>
  <c r="F4951" i="1"/>
  <c r="G4951" i="1"/>
  <c r="H4951" i="1"/>
  <c r="A4952" i="1"/>
  <c r="B4952" i="1"/>
  <c r="C4952" i="1"/>
  <c r="D4952" i="1"/>
  <c r="E4952" i="1"/>
  <c r="F4952" i="1"/>
  <c r="G4952" i="1"/>
  <c r="H4952" i="1"/>
  <c r="A4953" i="1"/>
  <c r="B4953" i="1"/>
  <c r="C4953" i="1"/>
  <c r="D4953" i="1"/>
  <c r="E4953" i="1"/>
  <c r="F4953" i="1"/>
  <c r="G4953" i="1"/>
  <c r="H4953" i="1"/>
  <c r="A4954" i="1"/>
  <c r="B4954" i="1"/>
  <c r="C4954" i="1"/>
  <c r="D4954" i="1"/>
  <c r="E4954" i="1"/>
  <c r="F4954" i="1"/>
  <c r="G4954" i="1"/>
  <c r="H4954" i="1"/>
  <c r="A4955" i="1"/>
  <c r="B4955" i="1"/>
  <c r="C4955" i="1"/>
  <c r="D4955" i="1"/>
  <c r="E4955" i="1"/>
  <c r="F4955" i="1"/>
  <c r="G4955" i="1"/>
  <c r="H4955" i="1"/>
  <c r="A4956" i="1"/>
  <c r="B4956" i="1"/>
  <c r="C4956" i="1"/>
  <c r="D4956" i="1"/>
  <c r="E4956" i="1"/>
  <c r="F4956" i="1"/>
  <c r="G4956" i="1"/>
  <c r="H4956" i="1"/>
  <c r="A4957" i="1"/>
  <c r="B4957" i="1"/>
  <c r="C4957" i="1"/>
  <c r="D4957" i="1"/>
  <c r="E4957" i="1"/>
  <c r="F4957" i="1"/>
  <c r="G4957" i="1"/>
  <c r="H4957" i="1"/>
  <c r="A4958" i="1"/>
  <c r="B4958" i="1"/>
  <c r="C4958" i="1"/>
  <c r="D4958" i="1"/>
  <c r="E4958" i="1"/>
  <c r="F4958" i="1"/>
  <c r="G4958" i="1"/>
  <c r="H4958" i="1"/>
  <c r="A4959" i="1"/>
  <c r="B4959" i="1"/>
  <c r="C4959" i="1"/>
  <c r="D4959" i="1"/>
  <c r="E4959" i="1"/>
  <c r="F4959" i="1"/>
  <c r="G4959" i="1"/>
  <c r="H4959" i="1"/>
  <c r="A4960" i="1"/>
  <c r="B4960" i="1"/>
  <c r="C4960" i="1"/>
  <c r="D4960" i="1"/>
  <c r="E4960" i="1"/>
  <c r="F4960" i="1"/>
  <c r="G4960" i="1"/>
  <c r="H4960" i="1"/>
  <c r="A4961" i="1"/>
  <c r="B4961" i="1"/>
  <c r="C4961" i="1"/>
  <c r="D4961" i="1"/>
  <c r="E4961" i="1"/>
  <c r="F4961" i="1"/>
  <c r="G4961" i="1"/>
  <c r="H4961" i="1"/>
  <c r="A4962" i="1"/>
  <c r="B4962" i="1"/>
  <c r="C4962" i="1"/>
  <c r="D4962" i="1"/>
  <c r="E4962" i="1"/>
  <c r="F4962" i="1"/>
  <c r="G4962" i="1"/>
  <c r="H4962" i="1"/>
  <c r="A4963" i="1"/>
  <c r="B4963" i="1"/>
  <c r="C4963" i="1"/>
  <c r="D4963" i="1"/>
  <c r="E4963" i="1"/>
  <c r="F4963" i="1"/>
  <c r="G4963" i="1"/>
  <c r="H4963" i="1"/>
  <c r="A4964" i="1"/>
  <c r="B4964" i="1"/>
  <c r="C4964" i="1"/>
  <c r="D4964" i="1"/>
  <c r="E4964" i="1"/>
  <c r="F4964" i="1"/>
  <c r="G4964" i="1"/>
  <c r="H4964" i="1"/>
  <c r="A4965" i="1"/>
  <c r="B4965" i="1"/>
  <c r="C4965" i="1"/>
  <c r="D4965" i="1"/>
  <c r="E4965" i="1"/>
  <c r="F4965" i="1"/>
  <c r="G4965" i="1"/>
  <c r="H4965" i="1"/>
  <c r="A4966" i="1"/>
  <c r="B4966" i="1"/>
  <c r="C4966" i="1"/>
  <c r="D4966" i="1"/>
  <c r="E4966" i="1"/>
  <c r="F4966" i="1"/>
  <c r="G4966" i="1"/>
  <c r="H4966" i="1"/>
  <c r="A4967" i="1"/>
  <c r="B4967" i="1"/>
  <c r="C4967" i="1"/>
  <c r="D4967" i="1"/>
  <c r="E4967" i="1"/>
  <c r="F4967" i="1"/>
  <c r="G4967" i="1"/>
  <c r="H4967" i="1"/>
  <c r="A4968" i="1"/>
  <c r="B4968" i="1"/>
  <c r="C4968" i="1"/>
  <c r="D4968" i="1"/>
  <c r="E4968" i="1"/>
  <c r="F4968" i="1"/>
  <c r="G4968" i="1"/>
  <c r="H4968" i="1"/>
  <c r="A4969" i="1"/>
  <c r="B4969" i="1"/>
  <c r="C4969" i="1"/>
  <c r="D4969" i="1"/>
  <c r="E4969" i="1"/>
  <c r="F4969" i="1"/>
  <c r="G4969" i="1"/>
  <c r="H4969" i="1"/>
  <c r="A4970" i="1"/>
  <c r="B4970" i="1"/>
  <c r="C4970" i="1"/>
  <c r="D4970" i="1"/>
  <c r="E4970" i="1"/>
  <c r="F4970" i="1"/>
  <c r="G4970" i="1"/>
  <c r="H4970" i="1"/>
  <c r="A4971" i="1"/>
  <c r="B4971" i="1"/>
  <c r="C4971" i="1"/>
  <c r="D4971" i="1"/>
  <c r="E4971" i="1"/>
  <c r="F4971" i="1"/>
  <c r="G4971" i="1"/>
  <c r="H4971" i="1"/>
  <c r="A4972" i="1"/>
  <c r="B4972" i="1"/>
  <c r="C4972" i="1"/>
  <c r="D4972" i="1"/>
  <c r="E4972" i="1"/>
  <c r="F4972" i="1"/>
  <c r="G4972" i="1"/>
  <c r="H4972" i="1"/>
  <c r="A4973" i="1"/>
  <c r="B4973" i="1"/>
  <c r="C4973" i="1"/>
  <c r="D4973" i="1"/>
  <c r="E4973" i="1"/>
  <c r="F4973" i="1"/>
  <c r="G4973" i="1"/>
  <c r="H4973" i="1"/>
  <c r="A4974" i="1"/>
  <c r="B4974" i="1"/>
  <c r="C4974" i="1"/>
  <c r="D4974" i="1"/>
  <c r="E4974" i="1"/>
  <c r="F4974" i="1"/>
  <c r="G4974" i="1"/>
  <c r="H4974" i="1"/>
  <c r="A4975" i="1"/>
  <c r="B4975" i="1"/>
  <c r="C4975" i="1"/>
  <c r="D4975" i="1"/>
  <c r="E4975" i="1"/>
  <c r="F4975" i="1"/>
  <c r="G4975" i="1"/>
  <c r="H4975" i="1"/>
  <c r="A4976" i="1"/>
  <c r="B4976" i="1"/>
  <c r="C4976" i="1"/>
  <c r="D4976" i="1"/>
  <c r="E4976" i="1"/>
  <c r="F4976" i="1"/>
  <c r="G4976" i="1"/>
  <c r="H4976" i="1"/>
  <c r="A4977" i="1"/>
  <c r="B4977" i="1"/>
  <c r="C4977" i="1"/>
  <c r="D4977" i="1"/>
  <c r="E4977" i="1"/>
  <c r="F4977" i="1"/>
  <c r="G4977" i="1"/>
  <c r="H4977" i="1"/>
  <c r="A4978" i="1"/>
  <c r="B4978" i="1"/>
  <c r="C4978" i="1"/>
  <c r="D4978" i="1"/>
  <c r="E4978" i="1"/>
  <c r="F4978" i="1"/>
  <c r="G4978" i="1"/>
  <c r="H4978" i="1"/>
  <c r="A4979" i="1"/>
  <c r="B4979" i="1"/>
  <c r="C4979" i="1"/>
  <c r="D4979" i="1"/>
  <c r="E4979" i="1"/>
  <c r="F4979" i="1"/>
  <c r="G4979" i="1"/>
  <c r="H4979" i="1"/>
  <c r="A4980" i="1"/>
  <c r="B4980" i="1"/>
  <c r="C4980" i="1"/>
  <c r="D4980" i="1"/>
  <c r="E4980" i="1"/>
  <c r="F4980" i="1"/>
  <c r="G4980" i="1"/>
  <c r="H4980" i="1"/>
  <c r="A4981" i="1"/>
  <c r="B4981" i="1"/>
  <c r="C4981" i="1"/>
  <c r="D4981" i="1"/>
  <c r="E4981" i="1"/>
  <c r="F4981" i="1"/>
  <c r="G4981" i="1"/>
  <c r="H4981" i="1"/>
  <c r="A4982" i="1"/>
  <c r="B4982" i="1"/>
  <c r="C4982" i="1"/>
  <c r="D4982" i="1"/>
  <c r="E4982" i="1"/>
  <c r="F4982" i="1"/>
  <c r="G4982" i="1"/>
  <c r="H4982" i="1"/>
  <c r="A4983" i="1"/>
  <c r="B4983" i="1"/>
  <c r="C4983" i="1"/>
  <c r="D4983" i="1"/>
  <c r="E4983" i="1"/>
  <c r="F4983" i="1"/>
  <c r="G4983" i="1"/>
  <c r="H4983" i="1"/>
  <c r="A4984" i="1"/>
  <c r="B4984" i="1"/>
  <c r="C4984" i="1"/>
  <c r="D4984" i="1"/>
  <c r="E4984" i="1"/>
  <c r="F4984" i="1"/>
  <c r="G4984" i="1"/>
  <c r="H4984" i="1"/>
  <c r="A4985" i="1"/>
  <c r="B4985" i="1"/>
  <c r="C4985" i="1"/>
  <c r="D4985" i="1"/>
  <c r="E4985" i="1"/>
  <c r="F4985" i="1"/>
  <c r="G4985" i="1"/>
  <c r="H4985" i="1"/>
  <c r="A4986" i="1"/>
  <c r="B4986" i="1"/>
  <c r="C4986" i="1"/>
  <c r="D4986" i="1"/>
  <c r="E4986" i="1"/>
  <c r="F4986" i="1"/>
  <c r="G4986" i="1"/>
  <c r="H4986" i="1"/>
  <c r="A4987" i="1"/>
  <c r="B4987" i="1"/>
  <c r="C4987" i="1"/>
  <c r="D4987" i="1"/>
  <c r="E4987" i="1"/>
  <c r="F4987" i="1"/>
  <c r="G4987" i="1"/>
  <c r="H4987" i="1"/>
  <c r="A4988" i="1"/>
  <c r="B4988" i="1"/>
  <c r="C4988" i="1"/>
  <c r="D4988" i="1"/>
  <c r="E4988" i="1"/>
  <c r="F4988" i="1"/>
  <c r="G4988" i="1"/>
  <c r="H4988" i="1"/>
  <c r="A4989" i="1"/>
  <c r="B4989" i="1"/>
  <c r="C4989" i="1"/>
  <c r="D4989" i="1"/>
  <c r="E4989" i="1"/>
  <c r="F4989" i="1"/>
  <c r="G4989" i="1"/>
  <c r="H4989" i="1"/>
  <c r="A4990" i="1"/>
  <c r="B4990" i="1"/>
  <c r="C4990" i="1"/>
  <c r="D4990" i="1"/>
  <c r="E4990" i="1"/>
  <c r="F4990" i="1"/>
  <c r="G4990" i="1"/>
  <c r="H4990" i="1"/>
  <c r="A4991" i="1"/>
  <c r="B4991" i="1"/>
  <c r="C4991" i="1"/>
  <c r="D4991" i="1"/>
  <c r="E4991" i="1"/>
  <c r="F4991" i="1"/>
  <c r="G4991" i="1"/>
  <c r="H4991" i="1"/>
  <c r="A4992" i="1"/>
  <c r="B4992" i="1"/>
  <c r="C4992" i="1"/>
  <c r="D4992" i="1"/>
  <c r="E4992" i="1"/>
  <c r="F4992" i="1"/>
  <c r="G4992" i="1"/>
  <c r="H4992" i="1"/>
  <c r="A4993" i="1"/>
  <c r="B4993" i="1"/>
  <c r="C4993" i="1"/>
  <c r="D4993" i="1"/>
  <c r="E4993" i="1"/>
  <c r="F4993" i="1"/>
  <c r="G4993" i="1"/>
  <c r="H4993" i="1"/>
  <c r="A4994" i="1"/>
  <c r="B4994" i="1"/>
  <c r="C4994" i="1"/>
  <c r="D4994" i="1"/>
  <c r="E4994" i="1"/>
  <c r="F4994" i="1"/>
  <c r="G4994" i="1"/>
  <c r="H4994" i="1"/>
  <c r="A4995" i="1"/>
  <c r="B4995" i="1"/>
  <c r="C4995" i="1"/>
  <c r="D4995" i="1"/>
  <c r="E4995" i="1"/>
  <c r="F4995" i="1"/>
  <c r="G4995" i="1"/>
  <c r="H4995" i="1"/>
  <c r="A4996" i="1"/>
  <c r="B4996" i="1"/>
  <c r="C4996" i="1"/>
  <c r="D4996" i="1"/>
  <c r="E4996" i="1"/>
  <c r="F4996" i="1"/>
  <c r="G4996" i="1"/>
  <c r="H4996" i="1"/>
  <c r="A4997" i="1"/>
  <c r="B4997" i="1"/>
  <c r="C4997" i="1"/>
  <c r="D4997" i="1"/>
  <c r="E4997" i="1"/>
  <c r="F4997" i="1"/>
  <c r="G4997" i="1"/>
  <c r="H4997" i="1"/>
  <c r="A4998" i="1"/>
  <c r="B4998" i="1"/>
  <c r="C4998" i="1"/>
  <c r="D4998" i="1"/>
  <c r="E4998" i="1"/>
  <c r="F4998" i="1"/>
  <c r="G4998" i="1"/>
  <c r="H4998" i="1"/>
  <c r="A4999" i="1"/>
  <c r="B4999" i="1"/>
  <c r="C4999" i="1"/>
  <c r="D4999" i="1"/>
  <c r="E4999" i="1"/>
  <c r="F4999" i="1"/>
  <c r="G4999" i="1"/>
  <c r="H4999" i="1"/>
  <c r="A5000" i="1"/>
  <c r="B5000" i="1"/>
  <c r="C5000" i="1"/>
  <c r="D5000" i="1"/>
  <c r="E5000" i="1"/>
  <c r="F5000" i="1"/>
  <c r="G5000" i="1"/>
  <c r="H5000" i="1"/>
  <c r="A5001" i="1"/>
  <c r="B5001" i="1"/>
  <c r="C5001" i="1"/>
  <c r="D5001" i="1"/>
  <c r="E5001" i="1"/>
  <c r="F5001" i="1"/>
  <c r="G5001" i="1"/>
  <c r="H5001" i="1"/>
  <c r="A5002" i="1"/>
  <c r="B5002" i="1"/>
  <c r="C5002" i="1"/>
  <c r="D5002" i="1"/>
  <c r="E5002" i="1"/>
  <c r="F5002" i="1"/>
  <c r="G5002" i="1"/>
  <c r="H5002" i="1"/>
  <c r="A5003" i="1"/>
  <c r="B5003" i="1"/>
  <c r="C5003" i="1"/>
  <c r="D5003" i="1"/>
  <c r="E5003" i="1"/>
  <c r="F5003" i="1"/>
  <c r="G5003" i="1"/>
  <c r="H5003" i="1"/>
  <c r="A5004" i="1"/>
  <c r="B5004" i="1"/>
  <c r="C5004" i="1"/>
  <c r="D5004" i="1"/>
  <c r="E5004" i="1"/>
  <c r="F5004" i="1"/>
  <c r="G5004" i="1"/>
  <c r="H5004" i="1"/>
  <c r="A5005" i="1"/>
  <c r="B5005" i="1"/>
  <c r="C5005" i="1"/>
  <c r="D5005" i="1"/>
  <c r="E5005" i="1"/>
  <c r="F5005" i="1"/>
  <c r="G5005" i="1"/>
  <c r="H5005" i="1"/>
  <c r="A5006" i="1"/>
  <c r="B5006" i="1"/>
  <c r="C5006" i="1"/>
  <c r="D5006" i="1"/>
  <c r="E5006" i="1"/>
  <c r="F5006" i="1"/>
  <c r="G5006" i="1"/>
  <c r="H5006" i="1"/>
  <c r="A5007" i="1"/>
  <c r="B5007" i="1"/>
  <c r="C5007" i="1"/>
  <c r="D5007" i="1"/>
  <c r="E5007" i="1"/>
  <c r="F5007" i="1"/>
  <c r="G5007" i="1"/>
  <c r="H5007" i="1"/>
  <c r="A5008" i="1"/>
  <c r="B5008" i="1"/>
  <c r="C5008" i="1"/>
  <c r="D5008" i="1"/>
  <c r="E5008" i="1"/>
  <c r="F5008" i="1"/>
  <c r="G5008" i="1"/>
  <c r="H5008" i="1"/>
  <c r="A5009" i="1"/>
  <c r="B5009" i="1"/>
  <c r="C5009" i="1"/>
  <c r="D5009" i="1"/>
  <c r="E5009" i="1"/>
  <c r="F5009" i="1"/>
  <c r="G5009" i="1"/>
  <c r="H5009" i="1"/>
  <c r="A5010" i="1"/>
  <c r="B5010" i="1"/>
  <c r="C5010" i="1"/>
  <c r="D5010" i="1"/>
  <c r="E5010" i="1"/>
  <c r="F5010" i="1"/>
  <c r="G5010" i="1"/>
  <c r="H5010" i="1"/>
  <c r="A5011" i="1"/>
  <c r="B5011" i="1"/>
  <c r="C5011" i="1"/>
  <c r="D5011" i="1"/>
  <c r="E5011" i="1"/>
  <c r="F5011" i="1"/>
  <c r="G5011" i="1"/>
  <c r="H5011" i="1"/>
  <c r="A5012" i="1"/>
  <c r="B5012" i="1"/>
  <c r="C5012" i="1"/>
  <c r="D5012" i="1"/>
  <c r="E5012" i="1"/>
  <c r="F5012" i="1"/>
  <c r="G5012" i="1"/>
  <c r="H5012" i="1"/>
  <c r="A5013" i="1"/>
  <c r="B5013" i="1"/>
  <c r="C5013" i="1"/>
  <c r="D5013" i="1"/>
  <c r="E5013" i="1"/>
  <c r="F5013" i="1"/>
  <c r="G5013" i="1"/>
  <c r="H5013" i="1"/>
  <c r="A5014" i="1"/>
  <c r="B5014" i="1"/>
  <c r="C5014" i="1"/>
  <c r="D5014" i="1"/>
  <c r="E5014" i="1"/>
  <c r="F5014" i="1"/>
  <c r="G5014" i="1"/>
  <c r="H5014" i="1"/>
  <c r="A5015" i="1"/>
  <c r="B5015" i="1"/>
  <c r="C5015" i="1"/>
  <c r="D5015" i="1"/>
  <c r="E5015" i="1"/>
  <c r="F5015" i="1"/>
  <c r="G5015" i="1"/>
  <c r="H5015" i="1"/>
  <c r="A5016" i="1"/>
  <c r="B5016" i="1"/>
  <c r="C5016" i="1"/>
  <c r="D5016" i="1"/>
  <c r="E5016" i="1"/>
  <c r="F5016" i="1"/>
  <c r="G5016" i="1"/>
  <c r="H5016" i="1"/>
  <c r="A5017" i="1"/>
  <c r="B5017" i="1"/>
  <c r="C5017" i="1"/>
  <c r="D5017" i="1"/>
  <c r="E5017" i="1"/>
  <c r="F5017" i="1"/>
  <c r="G5017" i="1"/>
  <c r="H5017" i="1"/>
  <c r="A5018" i="1"/>
  <c r="B5018" i="1"/>
  <c r="C5018" i="1"/>
  <c r="D5018" i="1"/>
  <c r="E5018" i="1"/>
  <c r="F5018" i="1"/>
  <c r="G5018" i="1"/>
  <c r="H5018" i="1"/>
  <c r="A5019" i="1"/>
  <c r="B5019" i="1"/>
  <c r="C5019" i="1"/>
  <c r="D5019" i="1"/>
  <c r="E5019" i="1"/>
  <c r="F5019" i="1"/>
  <c r="G5019" i="1"/>
  <c r="H5019" i="1"/>
  <c r="A5020" i="1"/>
  <c r="B5020" i="1"/>
  <c r="C5020" i="1"/>
  <c r="D5020" i="1"/>
  <c r="E5020" i="1"/>
  <c r="F5020" i="1"/>
  <c r="G5020" i="1"/>
  <c r="H5020" i="1"/>
  <c r="A5021" i="1"/>
  <c r="B5021" i="1"/>
  <c r="C5021" i="1"/>
  <c r="D5021" i="1"/>
  <c r="E5021" i="1"/>
  <c r="F5021" i="1"/>
  <c r="G5021" i="1"/>
  <c r="H5021" i="1"/>
  <c r="A5022" i="1"/>
  <c r="B5022" i="1"/>
  <c r="C5022" i="1"/>
  <c r="D5022" i="1"/>
  <c r="E5022" i="1"/>
  <c r="F5022" i="1"/>
  <c r="G5022" i="1"/>
  <c r="H5022" i="1"/>
  <c r="A5023" i="1"/>
  <c r="B5023" i="1"/>
  <c r="C5023" i="1"/>
  <c r="D5023" i="1"/>
  <c r="E5023" i="1"/>
  <c r="F5023" i="1"/>
  <c r="G5023" i="1"/>
  <c r="H5023" i="1"/>
  <c r="A5024" i="1"/>
  <c r="B5024" i="1"/>
  <c r="C5024" i="1"/>
  <c r="D5024" i="1"/>
  <c r="E5024" i="1"/>
  <c r="F5024" i="1"/>
  <c r="G5024" i="1"/>
  <c r="H5024" i="1"/>
  <c r="A5025" i="1"/>
  <c r="B5025" i="1"/>
  <c r="C5025" i="1"/>
  <c r="D5025" i="1"/>
  <c r="E5025" i="1"/>
  <c r="F5025" i="1"/>
  <c r="G5025" i="1"/>
  <c r="H5025" i="1"/>
  <c r="A5026" i="1"/>
  <c r="B5026" i="1"/>
  <c r="C5026" i="1"/>
  <c r="D5026" i="1"/>
  <c r="E5026" i="1"/>
  <c r="F5026" i="1"/>
  <c r="G5026" i="1"/>
  <c r="H5026" i="1"/>
  <c r="A5027" i="1"/>
  <c r="B5027" i="1"/>
  <c r="C5027" i="1"/>
  <c r="D5027" i="1"/>
  <c r="E5027" i="1"/>
  <c r="F5027" i="1"/>
  <c r="G5027" i="1"/>
  <c r="H5027" i="1"/>
  <c r="A5028" i="1"/>
  <c r="B5028" i="1"/>
  <c r="C5028" i="1"/>
  <c r="D5028" i="1"/>
  <c r="E5028" i="1"/>
  <c r="F5028" i="1"/>
  <c r="G5028" i="1"/>
  <c r="H5028" i="1"/>
  <c r="A5029" i="1"/>
  <c r="B5029" i="1"/>
  <c r="C5029" i="1"/>
  <c r="D5029" i="1"/>
  <c r="E5029" i="1"/>
  <c r="F5029" i="1"/>
  <c r="G5029" i="1"/>
  <c r="H5029" i="1"/>
  <c r="A5030" i="1"/>
  <c r="B5030" i="1"/>
  <c r="C5030" i="1"/>
  <c r="D5030" i="1"/>
  <c r="E5030" i="1"/>
  <c r="F5030" i="1"/>
  <c r="G5030" i="1"/>
  <c r="H5030" i="1"/>
  <c r="A5031" i="1"/>
  <c r="B5031" i="1"/>
  <c r="C5031" i="1"/>
  <c r="D5031" i="1"/>
  <c r="E5031" i="1"/>
  <c r="F5031" i="1"/>
  <c r="G5031" i="1"/>
  <c r="H5031" i="1"/>
  <c r="A5032" i="1"/>
  <c r="B5032" i="1"/>
  <c r="C5032" i="1"/>
  <c r="D5032" i="1"/>
  <c r="E5032" i="1"/>
  <c r="F5032" i="1"/>
  <c r="G5032" i="1"/>
  <c r="H5032" i="1"/>
  <c r="A5033" i="1"/>
  <c r="B5033" i="1"/>
  <c r="C5033" i="1"/>
  <c r="D5033" i="1"/>
  <c r="E5033" i="1"/>
  <c r="F5033" i="1"/>
  <c r="G5033" i="1"/>
  <c r="H5033" i="1"/>
  <c r="A5034" i="1"/>
  <c r="B5034" i="1"/>
  <c r="C5034" i="1"/>
  <c r="D5034" i="1"/>
  <c r="E5034" i="1"/>
  <c r="F5034" i="1"/>
  <c r="G5034" i="1"/>
  <c r="H5034" i="1"/>
  <c r="A5035" i="1"/>
  <c r="B5035" i="1"/>
  <c r="C5035" i="1"/>
  <c r="D5035" i="1"/>
  <c r="E5035" i="1"/>
  <c r="F5035" i="1"/>
  <c r="G5035" i="1"/>
  <c r="H5035" i="1"/>
  <c r="A5036" i="1"/>
  <c r="B5036" i="1"/>
  <c r="C5036" i="1"/>
  <c r="D5036" i="1"/>
  <c r="E5036" i="1"/>
  <c r="F5036" i="1"/>
  <c r="G5036" i="1"/>
  <c r="H5036" i="1"/>
  <c r="A5037" i="1"/>
  <c r="B5037" i="1"/>
  <c r="C5037" i="1"/>
  <c r="D5037" i="1"/>
  <c r="E5037" i="1"/>
  <c r="F5037" i="1"/>
  <c r="G5037" i="1"/>
  <c r="H5037" i="1"/>
  <c r="A5038" i="1"/>
  <c r="B5038" i="1"/>
  <c r="C5038" i="1"/>
  <c r="D5038" i="1"/>
  <c r="E5038" i="1"/>
  <c r="F5038" i="1"/>
  <c r="G5038" i="1"/>
  <c r="H5038" i="1"/>
  <c r="A5039" i="1"/>
  <c r="B5039" i="1"/>
  <c r="C5039" i="1"/>
  <c r="D5039" i="1"/>
  <c r="E5039" i="1"/>
  <c r="F5039" i="1"/>
  <c r="G5039" i="1"/>
  <c r="H5039" i="1"/>
  <c r="A5040" i="1"/>
  <c r="B5040" i="1"/>
  <c r="C5040" i="1"/>
  <c r="D5040" i="1"/>
  <c r="E5040" i="1"/>
  <c r="F5040" i="1"/>
  <c r="G5040" i="1"/>
  <c r="H5040" i="1"/>
  <c r="A5041" i="1"/>
  <c r="B5041" i="1"/>
  <c r="C5041" i="1"/>
  <c r="D5041" i="1"/>
  <c r="E5041" i="1"/>
  <c r="F5041" i="1"/>
  <c r="G5041" i="1"/>
  <c r="H5041" i="1"/>
  <c r="A5042" i="1"/>
  <c r="B5042" i="1"/>
  <c r="C5042" i="1"/>
  <c r="D5042" i="1"/>
  <c r="E5042" i="1"/>
  <c r="F5042" i="1"/>
  <c r="G5042" i="1"/>
  <c r="H5042" i="1"/>
  <c r="A5043" i="1"/>
  <c r="B5043" i="1"/>
  <c r="C5043" i="1"/>
  <c r="D5043" i="1"/>
  <c r="E5043" i="1"/>
  <c r="F5043" i="1"/>
  <c r="G5043" i="1"/>
  <c r="H5043" i="1"/>
  <c r="A5044" i="1"/>
  <c r="B5044" i="1"/>
  <c r="C5044" i="1"/>
  <c r="D5044" i="1"/>
  <c r="E5044" i="1"/>
  <c r="F5044" i="1"/>
  <c r="G5044" i="1"/>
  <c r="H5044" i="1"/>
  <c r="A5045" i="1"/>
  <c r="B5045" i="1"/>
  <c r="C5045" i="1"/>
  <c r="D5045" i="1"/>
  <c r="E5045" i="1"/>
  <c r="F5045" i="1"/>
  <c r="G5045" i="1"/>
  <c r="H5045" i="1"/>
  <c r="A5046" i="1"/>
  <c r="B5046" i="1"/>
  <c r="C5046" i="1"/>
  <c r="D5046" i="1"/>
  <c r="E5046" i="1"/>
  <c r="F5046" i="1"/>
  <c r="G5046" i="1"/>
  <c r="H5046" i="1"/>
  <c r="A5047" i="1"/>
  <c r="B5047" i="1"/>
  <c r="C5047" i="1"/>
  <c r="D5047" i="1"/>
  <c r="E5047" i="1"/>
  <c r="F5047" i="1"/>
  <c r="G5047" i="1"/>
  <c r="H5047" i="1"/>
  <c r="A5048" i="1"/>
  <c r="B5048" i="1"/>
  <c r="C5048" i="1"/>
  <c r="D5048" i="1"/>
  <c r="E5048" i="1"/>
  <c r="F5048" i="1"/>
  <c r="G5048" i="1"/>
  <c r="H5048" i="1"/>
  <c r="A5049" i="1"/>
  <c r="B5049" i="1"/>
  <c r="C5049" i="1"/>
  <c r="D5049" i="1"/>
  <c r="E5049" i="1"/>
  <c r="F5049" i="1"/>
  <c r="G5049" i="1"/>
  <c r="H5049" i="1"/>
  <c r="A5050" i="1"/>
  <c r="B5050" i="1"/>
  <c r="C5050" i="1"/>
  <c r="D5050" i="1"/>
  <c r="E5050" i="1"/>
  <c r="F5050" i="1"/>
  <c r="G5050" i="1"/>
  <c r="H5050" i="1"/>
  <c r="A5051" i="1"/>
  <c r="B5051" i="1"/>
  <c r="C5051" i="1"/>
  <c r="D5051" i="1"/>
  <c r="E5051" i="1"/>
  <c r="F5051" i="1"/>
  <c r="G5051" i="1"/>
  <c r="H5051" i="1"/>
  <c r="A5052" i="1"/>
  <c r="B5052" i="1"/>
  <c r="C5052" i="1"/>
  <c r="D5052" i="1"/>
  <c r="E5052" i="1"/>
  <c r="F5052" i="1"/>
  <c r="G5052" i="1"/>
  <c r="H5052" i="1"/>
  <c r="A5053" i="1"/>
  <c r="B5053" i="1"/>
  <c r="C5053" i="1"/>
  <c r="D5053" i="1"/>
  <c r="E5053" i="1"/>
  <c r="F5053" i="1"/>
  <c r="G5053" i="1"/>
  <c r="H5053" i="1"/>
  <c r="A5054" i="1"/>
  <c r="B5054" i="1"/>
  <c r="C5054" i="1"/>
  <c r="D5054" i="1"/>
  <c r="E5054" i="1"/>
  <c r="F5054" i="1"/>
  <c r="G5054" i="1"/>
  <c r="H5054" i="1"/>
  <c r="A5055" i="1"/>
  <c r="B5055" i="1"/>
  <c r="C5055" i="1"/>
  <c r="D5055" i="1"/>
  <c r="E5055" i="1"/>
  <c r="F5055" i="1"/>
  <c r="G5055" i="1"/>
  <c r="H5055" i="1"/>
  <c r="A5056" i="1"/>
  <c r="B5056" i="1"/>
  <c r="C5056" i="1"/>
  <c r="D5056" i="1"/>
  <c r="E5056" i="1"/>
  <c r="F5056" i="1"/>
  <c r="G5056" i="1"/>
  <c r="H5056" i="1"/>
  <c r="A5057" i="1"/>
  <c r="B5057" i="1"/>
  <c r="C5057" i="1"/>
  <c r="D5057" i="1"/>
  <c r="E5057" i="1"/>
  <c r="F5057" i="1"/>
  <c r="G5057" i="1"/>
  <c r="H5057" i="1"/>
  <c r="A5058" i="1"/>
  <c r="B5058" i="1"/>
  <c r="C5058" i="1"/>
  <c r="D5058" i="1"/>
  <c r="E5058" i="1"/>
  <c r="F5058" i="1"/>
  <c r="G5058" i="1"/>
  <c r="H5058" i="1"/>
  <c r="A5059" i="1"/>
  <c r="B5059" i="1"/>
  <c r="C5059" i="1"/>
  <c r="D5059" i="1"/>
  <c r="E5059" i="1"/>
  <c r="F5059" i="1"/>
  <c r="G5059" i="1"/>
  <c r="H5059" i="1"/>
  <c r="A5060" i="1"/>
  <c r="B5060" i="1"/>
  <c r="C5060" i="1"/>
  <c r="D5060" i="1"/>
  <c r="E5060" i="1"/>
  <c r="F5060" i="1"/>
  <c r="G5060" i="1"/>
  <c r="H5060" i="1"/>
  <c r="A5061" i="1"/>
  <c r="B5061" i="1"/>
  <c r="C5061" i="1"/>
  <c r="D5061" i="1"/>
  <c r="E5061" i="1"/>
  <c r="F5061" i="1"/>
  <c r="G5061" i="1"/>
  <c r="H5061" i="1"/>
  <c r="A5062" i="1"/>
  <c r="B5062" i="1"/>
  <c r="C5062" i="1"/>
  <c r="D5062" i="1"/>
  <c r="E5062" i="1"/>
  <c r="F5062" i="1"/>
  <c r="G5062" i="1"/>
  <c r="H5062" i="1"/>
  <c r="A5063" i="1"/>
  <c r="B5063" i="1"/>
  <c r="C5063" i="1"/>
  <c r="D5063" i="1"/>
  <c r="E5063" i="1"/>
  <c r="F5063" i="1"/>
  <c r="G5063" i="1"/>
  <c r="H5063" i="1"/>
  <c r="A5064" i="1"/>
  <c r="B5064" i="1"/>
  <c r="C5064" i="1"/>
  <c r="D5064" i="1"/>
  <c r="E5064" i="1"/>
  <c r="F5064" i="1"/>
  <c r="G5064" i="1"/>
  <c r="H5064" i="1"/>
  <c r="A5065" i="1"/>
  <c r="B5065" i="1"/>
  <c r="C5065" i="1"/>
  <c r="D5065" i="1"/>
  <c r="E5065" i="1"/>
  <c r="F5065" i="1"/>
  <c r="G5065" i="1"/>
  <c r="H5065" i="1"/>
  <c r="A5066" i="1"/>
  <c r="B5066" i="1"/>
  <c r="C5066" i="1"/>
  <c r="D5066" i="1"/>
  <c r="E5066" i="1"/>
  <c r="F5066" i="1"/>
  <c r="G5066" i="1"/>
  <c r="H5066" i="1"/>
  <c r="A5067" i="1"/>
  <c r="B5067" i="1"/>
  <c r="C5067" i="1"/>
  <c r="D5067" i="1"/>
  <c r="E5067" i="1"/>
  <c r="F5067" i="1"/>
  <c r="G5067" i="1"/>
  <c r="H5067" i="1"/>
  <c r="A5068" i="1"/>
  <c r="B5068" i="1"/>
  <c r="C5068" i="1"/>
  <c r="D5068" i="1"/>
  <c r="E5068" i="1"/>
  <c r="F5068" i="1"/>
  <c r="G5068" i="1"/>
  <c r="H5068" i="1"/>
  <c r="A5069" i="1"/>
  <c r="B5069" i="1"/>
  <c r="C5069" i="1"/>
  <c r="D5069" i="1"/>
  <c r="E5069" i="1"/>
  <c r="F5069" i="1"/>
  <c r="G5069" i="1"/>
  <c r="H5069" i="1"/>
  <c r="A5070" i="1"/>
  <c r="B5070" i="1"/>
  <c r="C5070" i="1"/>
  <c r="D5070" i="1"/>
  <c r="E5070" i="1"/>
  <c r="F5070" i="1"/>
  <c r="G5070" i="1"/>
  <c r="H5070" i="1"/>
  <c r="A5071" i="1"/>
  <c r="B5071" i="1"/>
  <c r="C5071" i="1"/>
  <c r="D5071" i="1"/>
  <c r="E5071" i="1"/>
  <c r="F5071" i="1"/>
  <c r="G5071" i="1"/>
  <c r="H5071" i="1"/>
  <c r="A5072" i="1"/>
  <c r="B5072" i="1"/>
  <c r="C5072" i="1"/>
  <c r="D5072" i="1"/>
  <c r="E5072" i="1"/>
  <c r="F5072" i="1"/>
  <c r="G5072" i="1"/>
  <c r="H5072" i="1"/>
  <c r="A5073" i="1"/>
  <c r="B5073" i="1"/>
  <c r="C5073" i="1"/>
  <c r="D5073" i="1"/>
  <c r="E5073" i="1"/>
  <c r="F5073" i="1"/>
  <c r="G5073" i="1"/>
  <c r="H5073" i="1"/>
  <c r="A5074" i="1"/>
  <c r="B5074" i="1"/>
  <c r="C5074" i="1"/>
  <c r="D5074" i="1"/>
  <c r="E5074" i="1"/>
  <c r="F5074" i="1"/>
  <c r="G5074" i="1"/>
  <c r="H5074" i="1"/>
  <c r="A5075" i="1"/>
  <c r="B5075" i="1"/>
  <c r="C5075" i="1"/>
  <c r="D5075" i="1"/>
  <c r="E5075" i="1"/>
  <c r="F5075" i="1"/>
  <c r="G5075" i="1"/>
  <c r="H5075" i="1"/>
  <c r="A5076" i="1"/>
  <c r="B5076" i="1"/>
  <c r="C5076" i="1"/>
  <c r="D5076" i="1"/>
  <c r="E5076" i="1"/>
  <c r="F5076" i="1"/>
  <c r="G5076" i="1"/>
  <c r="H5076" i="1"/>
  <c r="A5077" i="1"/>
  <c r="B5077" i="1"/>
  <c r="C5077" i="1"/>
  <c r="D5077" i="1"/>
  <c r="E5077" i="1"/>
  <c r="F5077" i="1"/>
  <c r="G5077" i="1"/>
  <c r="H5077" i="1"/>
  <c r="A5078" i="1"/>
  <c r="B5078" i="1"/>
  <c r="C5078" i="1"/>
  <c r="D5078" i="1"/>
  <c r="E5078" i="1"/>
  <c r="F5078" i="1"/>
  <c r="G5078" i="1"/>
  <c r="H5078" i="1"/>
  <c r="A5079" i="1"/>
  <c r="B5079" i="1"/>
  <c r="C5079" i="1"/>
  <c r="D5079" i="1"/>
  <c r="E5079" i="1"/>
  <c r="F5079" i="1"/>
  <c r="G5079" i="1"/>
  <c r="H5079" i="1"/>
  <c r="A5080" i="1"/>
  <c r="B5080" i="1"/>
  <c r="C5080" i="1"/>
  <c r="D5080" i="1"/>
  <c r="E5080" i="1"/>
  <c r="F5080" i="1"/>
  <c r="G5080" i="1"/>
  <c r="H5080" i="1"/>
  <c r="A5081" i="1"/>
  <c r="B5081" i="1"/>
  <c r="C5081" i="1"/>
  <c r="D5081" i="1"/>
  <c r="E5081" i="1"/>
  <c r="F5081" i="1"/>
  <c r="G5081" i="1"/>
  <c r="H5081" i="1"/>
  <c r="A5082" i="1"/>
  <c r="B5082" i="1"/>
  <c r="C5082" i="1"/>
  <c r="D5082" i="1"/>
  <c r="E5082" i="1"/>
  <c r="F5082" i="1"/>
  <c r="G5082" i="1"/>
  <c r="H5082" i="1"/>
  <c r="A5083" i="1"/>
  <c r="B5083" i="1"/>
  <c r="C5083" i="1"/>
  <c r="D5083" i="1"/>
  <c r="E5083" i="1"/>
  <c r="F5083" i="1"/>
  <c r="G5083" i="1"/>
  <c r="H5083" i="1"/>
  <c r="A5084" i="1"/>
  <c r="B5084" i="1"/>
  <c r="C5084" i="1"/>
  <c r="D5084" i="1"/>
  <c r="E5084" i="1"/>
  <c r="F5084" i="1"/>
  <c r="G5084" i="1"/>
  <c r="H5084" i="1"/>
  <c r="A5085" i="1"/>
  <c r="B5085" i="1"/>
  <c r="C5085" i="1"/>
  <c r="D5085" i="1"/>
  <c r="E5085" i="1"/>
  <c r="F5085" i="1"/>
  <c r="G5085" i="1"/>
  <c r="H5085" i="1"/>
  <c r="A5086" i="1"/>
  <c r="B5086" i="1"/>
  <c r="C5086" i="1"/>
  <c r="D5086" i="1"/>
  <c r="E5086" i="1"/>
  <c r="F5086" i="1"/>
  <c r="G5086" i="1"/>
  <c r="H5086" i="1"/>
  <c r="A5087" i="1"/>
  <c r="B5087" i="1"/>
  <c r="C5087" i="1"/>
  <c r="D5087" i="1"/>
  <c r="E5087" i="1"/>
  <c r="F5087" i="1"/>
  <c r="G5087" i="1"/>
  <c r="H5087" i="1"/>
  <c r="A5088" i="1"/>
  <c r="B5088" i="1"/>
  <c r="C5088" i="1"/>
  <c r="D5088" i="1"/>
  <c r="E5088" i="1"/>
  <c r="F5088" i="1"/>
  <c r="G5088" i="1"/>
  <c r="H5088" i="1"/>
  <c r="A5089" i="1"/>
  <c r="B5089" i="1"/>
  <c r="C5089" i="1"/>
  <c r="D5089" i="1"/>
  <c r="E5089" i="1"/>
  <c r="F5089" i="1"/>
  <c r="G5089" i="1"/>
  <c r="H5089" i="1"/>
  <c r="A5090" i="1"/>
  <c r="B5090" i="1"/>
  <c r="C5090" i="1"/>
  <c r="D5090" i="1"/>
  <c r="E5090" i="1"/>
  <c r="F5090" i="1"/>
  <c r="G5090" i="1"/>
  <c r="H5090" i="1"/>
  <c r="A5091" i="1"/>
  <c r="B5091" i="1"/>
  <c r="C5091" i="1"/>
  <c r="D5091" i="1"/>
  <c r="E5091" i="1"/>
  <c r="F5091" i="1"/>
  <c r="G5091" i="1"/>
  <c r="H5091" i="1"/>
  <c r="A5092" i="1"/>
  <c r="B5092" i="1"/>
  <c r="C5092" i="1"/>
  <c r="D5092" i="1"/>
  <c r="E5092" i="1"/>
  <c r="F5092" i="1"/>
  <c r="G5092" i="1"/>
  <c r="H5092" i="1"/>
  <c r="A5093" i="1"/>
  <c r="B5093" i="1"/>
  <c r="C5093" i="1"/>
  <c r="D5093" i="1"/>
  <c r="E5093" i="1"/>
  <c r="F5093" i="1"/>
  <c r="G5093" i="1"/>
  <c r="H5093" i="1"/>
  <c r="A5094" i="1"/>
  <c r="B5094" i="1"/>
  <c r="C5094" i="1"/>
  <c r="D5094" i="1"/>
  <c r="E5094" i="1"/>
  <c r="F5094" i="1"/>
  <c r="G5094" i="1"/>
  <c r="H5094" i="1"/>
  <c r="A5095" i="1"/>
  <c r="B5095" i="1"/>
  <c r="C5095" i="1"/>
  <c r="D5095" i="1"/>
  <c r="E5095" i="1"/>
  <c r="F5095" i="1"/>
  <c r="G5095" i="1"/>
  <c r="H5095" i="1"/>
  <c r="A5096" i="1"/>
  <c r="B5096" i="1"/>
  <c r="C5096" i="1"/>
  <c r="D5096" i="1"/>
  <c r="E5096" i="1"/>
  <c r="F5096" i="1"/>
  <c r="G5096" i="1"/>
  <c r="H5096" i="1"/>
  <c r="A5097" i="1"/>
  <c r="B5097" i="1"/>
  <c r="C5097" i="1"/>
  <c r="D5097" i="1"/>
  <c r="E5097" i="1"/>
  <c r="F5097" i="1"/>
  <c r="G5097" i="1"/>
  <c r="H5097" i="1"/>
  <c r="A5098" i="1"/>
  <c r="B5098" i="1"/>
  <c r="C5098" i="1"/>
  <c r="D5098" i="1"/>
  <c r="E5098" i="1"/>
  <c r="F5098" i="1"/>
  <c r="G5098" i="1"/>
  <c r="H5098" i="1"/>
  <c r="A5099" i="1"/>
  <c r="B5099" i="1"/>
  <c r="C5099" i="1"/>
  <c r="D5099" i="1"/>
  <c r="E5099" i="1"/>
  <c r="F5099" i="1"/>
  <c r="G5099" i="1"/>
  <c r="H5099" i="1"/>
  <c r="A5100" i="1"/>
  <c r="B5100" i="1"/>
  <c r="C5100" i="1"/>
  <c r="D5100" i="1"/>
  <c r="E5100" i="1"/>
  <c r="F5100" i="1"/>
  <c r="G5100" i="1"/>
  <c r="H5100" i="1"/>
  <c r="A5101" i="1"/>
  <c r="B5101" i="1"/>
  <c r="C5101" i="1"/>
  <c r="D5101" i="1"/>
  <c r="E5101" i="1"/>
  <c r="F5101" i="1"/>
  <c r="G5101" i="1"/>
  <c r="H5101" i="1"/>
  <c r="A5102" i="1"/>
  <c r="B5102" i="1"/>
  <c r="C5102" i="1"/>
  <c r="D5102" i="1"/>
  <c r="E5102" i="1"/>
  <c r="F5102" i="1"/>
  <c r="G5102" i="1"/>
  <c r="H5102" i="1"/>
  <c r="A5103" i="1"/>
  <c r="B5103" i="1"/>
  <c r="C5103" i="1"/>
  <c r="D5103" i="1"/>
  <c r="E5103" i="1"/>
  <c r="F5103" i="1"/>
  <c r="G5103" i="1"/>
  <c r="H5103" i="1"/>
  <c r="A5104" i="1"/>
  <c r="B5104" i="1"/>
  <c r="C5104" i="1"/>
  <c r="D5104" i="1"/>
  <c r="E5104" i="1"/>
  <c r="F5104" i="1"/>
  <c r="G5104" i="1"/>
  <c r="H5104" i="1"/>
  <c r="A5105" i="1"/>
  <c r="B5105" i="1"/>
  <c r="C5105" i="1"/>
  <c r="D5105" i="1"/>
  <c r="E5105" i="1"/>
  <c r="F5105" i="1"/>
  <c r="G5105" i="1"/>
  <c r="H5105" i="1"/>
  <c r="A5106" i="1"/>
  <c r="B5106" i="1"/>
  <c r="C5106" i="1"/>
  <c r="D5106" i="1"/>
  <c r="E5106" i="1"/>
  <c r="F5106" i="1"/>
  <c r="G5106" i="1"/>
  <c r="H5106" i="1"/>
  <c r="A5107" i="1"/>
  <c r="B5107" i="1"/>
  <c r="C5107" i="1"/>
  <c r="D5107" i="1"/>
  <c r="E5107" i="1"/>
  <c r="F5107" i="1"/>
  <c r="G5107" i="1"/>
  <c r="H5107" i="1"/>
  <c r="A5108" i="1"/>
  <c r="B5108" i="1"/>
  <c r="C5108" i="1"/>
  <c r="D5108" i="1"/>
  <c r="E5108" i="1"/>
  <c r="F5108" i="1"/>
  <c r="G5108" i="1"/>
  <c r="H5108" i="1"/>
  <c r="A5109" i="1"/>
  <c r="B5109" i="1"/>
  <c r="C5109" i="1"/>
  <c r="D5109" i="1"/>
  <c r="E5109" i="1"/>
  <c r="F5109" i="1"/>
  <c r="G5109" i="1"/>
  <c r="H5109" i="1"/>
  <c r="A5110" i="1"/>
  <c r="B5110" i="1"/>
  <c r="C5110" i="1"/>
  <c r="D5110" i="1"/>
  <c r="E5110" i="1"/>
  <c r="F5110" i="1"/>
  <c r="G5110" i="1"/>
  <c r="H5110" i="1"/>
  <c r="A5111" i="1"/>
  <c r="B5111" i="1"/>
  <c r="C5111" i="1"/>
  <c r="D5111" i="1"/>
  <c r="E5111" i="1"/>
  <c r="F5111" i="1"/>
  <c r="G5111" i="1"/>
  <c r="H5111" i="1"/>
  <c r="A5112" i="1"/>
  <c r="B5112" i="1"/>
  <c r="C5112" i="1"/>
  <c r="D5112" i="1"/>
  <c r="E5112" i="1"/>
  <c r="F5112" i="1"/>
  <c r="G5112" i="1"/>
  <c r="H5112" i="1"/>
  <c r="A5113" i="1"/>
  <c r="B5113" i="1"/>
  <c r="C5113" i="1"/>
  <c r="D5113" i="1"/>
  <c r="E5113" i="1"/>
  <c r="F5113" i="1"/>
  <c r="G5113" i="1"/>
  <c r="H5113" i="1"/>
  <c r="A5114" i="1"/>
  <c r="B5114" i="1"/>
  <c r="C5114" i="1"/>
  <c r="D5114" i="1"/>
  <c r="E5114" i="1"/>
  <c r="F5114" i="1"/>
  <c r="G5114" i="1"/>
  <c r="H5114" i="1"/>
  <c r="A5115" i="1"/>
  <c r="B5115" i="1"/>
  <c r="C5115" i="1"/>
  <c r="D5115" i="1"/>
  <c r="E5115" i="1"/>
  <c r="F5115" i="1"/>
  <c r="G5115" i="1"/>
  <c r="H5115" i="1"/>
  <c r="A5116" i="1"/>
  <c r="B5116" i="1"/>
  <c r="C5116" i="1"/>
  <c r="D5116" i="1"/>
  <c r="E5116" i="1"/>
  <c r="F5116" i="1"/>
  <c r="G5116" i="1"/>
  <c r="H5116" i="1"/>
  <c r="A5117" i="1"/>
  <c r="B5117" i="1"/>
  <c r="C5117" i="1"/>
  <c r="D5117" i="1"/>
  <c r="E5117" i="1"/>
  <c r="F5117" i="1"/>
  <c r="G5117" i="1"/>
  <c r="H5117" i="1"/>
  <c r="A5118" i="1"/>
  <c r="B5118" i="1"/>
  <c r="C5118" i="1"/>
  <c r="D5118" i="1"/>
  <c r="E5118" i="1"/>
  <c r="F5118" i="1"/>
  <c r="G5118" i="1"/>
  <c r="H5118" i="1"/>
  <c r="A5119" i="1"/>
  <c r="B5119" i="1"/>
  <c r="C5119" i="1"/>
  <c r="D5119" i="1"/>
  <c r="E5119" i="1"/>
  <c r="F5119" i="1"/>
  <c r="G5119" i="1"/>
  <c r="H5119" i="1"/>
  <c r="A5120" i="1"/>
  <c r="B5120" i="1"/>
  <c r="C5120" i="1"/>
  <c r="D5120" i="1"/>
  <c r="E5120" i="1"/>
  <c r="F5120" i="1"/>
  <c r="G5120" i="1"/>
  <c r="H5120" i="1"/>
  <c r="A5121" i="1"/>
  <c r="B5121" i="1"/>
  <c r="C5121" i="1"/>
  <c r="D5121" i="1"/>
  <c r="E5121" i="1"/>
  <c r="F5121" i="1"/>
  <c r="G5121" i="1"/>
  <c r="H5121" i="1"/>
  <c r="A5122" i="1"/>
  <c r="B5122" i="1"/>
  <c r="C5122" i="1"/>
  <c r="D5122" i="1"/>
  <c r="E5122" i="1"/>
  <c r="F5122" i="1"/>
  <c r="G5122" i="1"/>
  <c r="H5122" i="1"/>
  <c r="A5123" i="1"/>
  <c r="B5123" i="1"/>
  <c r="C5123" i="1"/>
  <c r="D5123" i="1"/>
  <c r="E5123" i="1"/>
  <c r="F5123" i="1"/>
  <c r="G5123" i="1"/>
  <c r="H5123" i="1"/>
  <c r="A5124" i="1"/>
  <c r="B5124" i="1"/>
  <c r="C5124" i="1"/>
  <c r="D5124" i="1"/>
  <c r="E5124" i="1"/>
  <c r="F5124" i="1"/>
  <c r="G5124" i="1"/>
  <c r="H5124" i="1"/>
  <c r="A5125" i="1"/>
  <c r="B5125" i="1"/>
  <c r="C5125" i="1"/>
  <c r="D5125" i="1"/>
  <c r="E5125" i="1"/>
  <c r="F5125" i="1"/>
  <c r="G5125" i="1"/>
  <c r="H5125" i="1"/>
  <c r="A5126" i="1"/>
  <c r="B5126" i="1"/>
  <c r="C5126" i="1"/>
  <c r="D5126" i="1"/>
  <c r="E5126" i="1"/>
  <c r="F5126" i="1"/>
  <c r="G5126" i="1"/>
  <c r="H5126" i="1"/>
  <c r="A5127" i="1"/>
  <c r="B5127" i="1"/>
  <c r="C5127" i="1"/>
  <c r="D5127" i="1"/>
  <c r="E5127" i="1"/>
  <c r="F5127" i="1"/>
  <c r="G5127" i="1"/>
  <c r="H5127" i="1"/>
  <c r="A5128" i="1"/>
  <c r="B5128" i="1"/>
  <c r="C5128" i="1"/>
  <c r="D5128" i="1"/>
  <c r="E5128" i="1"/>
  <c r="F5128" i="1"/>
  <c r="G5128" i="1"/>
  <c r="H5128" i="1"/>
  <c r="A5129" i="1"/>
  <c r="B5129" i="1"/>
  <c r="C5129" i="1"/>
  <c r="D5129" i="1"/>
  <c r="E5129" i="1"/>
  <c r="F5129" i="1"/>
  <c r="G5129" i="1"/>
  <c r="H5129" i="1"/>
  <c r="A5130" i="1"/>
  <c r="B5130" i="1"/>
  <c r="C5130" i="1"/>
  <c r="D5130" i="1"/>
  <c r="E5130" i="1"/>
  <c r="F5130" i="1"/>
  <c r="G5130" i="1"/>
  <c r="H5130" i="1"/>
  <c r="A5131" i="1"/>
  <c r="B5131" i="1"/>
  <c r="C5131" i="1"/>
  <c r="D5131" i="1"/>
  <c r="E5131" i="1"/>
  <c r="F5131" i="1"/>
  <c r="G5131" i="1"/>
  <c r="H5131" i="1"/>
  <c r="A5132" i="1"/>
  <c r="B5132" i="1"/>
  <c r="C5132" i="1"/>
  <c r="D5132" i="1"/>
  <c r="E5132" i="1"/>
  <c r="F5132" i="1"/>
  <c r="G5132" i="1"/>
  <c r="H5132" i="1"/>
  <c r="A5133" i="1"/>
  <c r="B5133" i="1"/>
  <c r="C5133" i="1"/>
  <c r="D5133" i="1"/>
  <c r="E5133" i="1"/>
  <c r="F5133" i="1"/>
  <c r="G5133" i="1"/>
  <c r="H5133" i="1"/>
  <c r="A5134" i="1"/>
  <c r="B5134" i="1"/>
  <c r="C5134" i="1"/>
  <c r="D5134" i="1"/>
  <c r="E5134" i="1"/>
  <c r="F5134" i="1"/>
  <c r="G5134" i="1"/>
  <c r="H5134" i="1"/>
  <c r="A5135" i="1"/>
  <c r="B5135" i="1"/>
  <c r="C5135" i="1"/>
  <c r="D5135" i="1"/>
  <c r="E5135" i="1"/>
  <c r="F5135" i="1"/>
  <c r="G5135" i="1"/>
  <c r="H5135" i="1"/>
  <c r="A5136" i="1"/>
  <c r="B5136" i="1"/>
  <c r="C5136" i="1"/>
  <c r="D5136" i="1"/>
  <c r="E5136" i="1"/>
  <c r="F5136" i="1"/>
  <c r="G5136" i="1"/>
  <c r="H5136" i="1"/>
  <c r="A5137" i="1"/>
  <c r="B5137" i="1"/>
  <c r="C5137" i="1"/>
  <c r="D5137" i="1"/>
  <c r="E5137" i="1"/>
  <c r="F5137" i="1"/>
  <c r="G5137" i="1"/>
  <c r="H5137" i="1"/>
  <c r="A5138" i="1"/>
  <c r="B5138" i="1"/>
  <c r="C5138" i="1"/>
  <c r="D5138" i="1"/>
  <c r="E5138" i="1"/>
  <c r="F5138" i="1"/>
  <c r="G5138" i="1"/>
  <c r="H5138" i="1"/>
  <c r="A5139" i="1"/>
  <c r="B5139" i="1"/>
  <c r="C5139" i="1"/>
  <c r="D5139" i="1"/>
  <c r="E5139" i="1"/>
  <c r="F5139" i="1"/>
  <c r="G5139" i="1"/>
  <c r="H5139" i="1"/>
  <c r="A5140" i="1"/>
  <c r="B5140" i="1"/>
  <c r="C5140" i="1"/>
  <c r="D5140" i="1"/>
  <c r="E5140" i="1"/>
  <c r="F5140" i="1"/>
  <c r="G5140" i="1"/>
  <c r="H5140" i="1"/>
  <c r="A5141" i="1"/>
  <c r="B5141" i="1"/>
  <c r="C5141" i="1"/>
  <c r="D5141" i="1"/>
  <c r="E5141" i="1"/>
  <c r="F5141" i="1"/>
  <c r="G5141" i="1"/>
  <c r="H5141" i="1"/>
  <c r="A5142" i="1"/>
  <c r="B5142" i="1"/>
  <c r="C5142" i="1"/>
  <c r="D5142" i="1"/>
  <c r="E5142" i="1"/>
  <c r="F5142" i="1"/>
  <c r="G5142" i="1"/>
  <c r="H5142" i="1"/>
  <c r="A5143" i="1"/>
  <c r="B5143" i="1"/>
  <c r="C5143" i="1"/>
  <c r="D5143" i="1"/>
  <c r="E5143" i="1"/>
  <c r="F5143" i="1"/>
  <c r="G5143" i="1"/>
  <c r="H5143" i="1"/>
  <c r="A5144" i="1"/>
  <c r="B5144" i="1"/>
  <c r="C5144" i="1"/>
  <c r="D5144" i="1"/>
  <c r="E5144" i="1"/>
  <c r="F5144" i="1"/>
  <c r="G5144" i="1"/>
  <c r="H5144" i="1"/>
  <c r="A5145" i="1"/>
  <c r="B5145" i="1"/>
  <c r="C5145" i="1"/>
  <c r="D5145" i="1"/>
  <c r="E5145" i="1"/>
  <c r="F5145" i="1"/>
  <c r="G5145" i="1"/>
  <c r="H5145" i="1"/>
  <c r="A5146" i="1"/>
  <c r="B5146" i="1"/>
  <c r="C5146" i="1"/>
  <c r="D5146" i="1"/>
  <c r="E5146" i="1"/>
  <c r="F5146" i="1"/>
  <c r="G5146" i="1"/>
  <c r="H5146" i="1"/>
  <c r="A5147" i="1"/>
  <c r="B5147" i="1"/>
  <c r="C5147" i="1"/>
  <c r="D5147" i="1"/>
  <c r="E5147" i="1"/>
  <c r="F5147" i="1"/>
  <c r="G5147" i="1"/>
  <c r="H5147" i="1"/>
  <c r="A5148" i="1"/>
  <c r="B5148" i="1"/>
  <c r="C5148" i="1"/>
  <c r="D5148" i="1"/>
  <c r="E5148" i="1"/>
  <c r="F5148" i="1"/>
  <c r="G5148" i="1"/>
  <c r="H5148" i="1"/>
  <c r="A5149" i="1"/>
  <c r="B5149" i="1"/>
  <c r="C5149" i="1"/>
  <c r="D5149" i="1"/>
  <c r="E5149" i="1"/>
  <c r="F5149" i="1"/>
  <c r="G5149" i="1"/>
  <c r="H5149" i="1"/>
  <c r="A5150" i="1"/>
  <c r="B5150" i="1"/>
  <c r="C5150" i="1"/>
  <c r="D5150" i="1"/>
  <c r="E5150" i="1"/>
  <c r="F5150" i="1"/>
  <c r="G5150" i="1"/>
  <c r="H5150" i="1"/>
  <c r="A5151" i="1"/>
  <c r="B5151" i="1"/>
  <c r="C5151" i="1"/>
  <c r="D5151" i="1"/>
  <c r="E5151" i="1"/>
  <c r="F5151" i="1"/>
  <c r="G5151" i="1"/>
  <c r="H5151" i="1"/>
  <c r="A5152" i="1"/>
  <c r="B5152" i="1"/>
  <c r="C5152" i="1"/>
  <c r="D5152" i="1"/>
  <c r="E5152" i="1"/>
  <c r="F5152" i="1"/>
  <c r="G5152" i="1"/>
  <c r="H5152" i="1"/>
  <c r="A5153" i="1"/>
  <c r="B5153" i="1"/>
  <c r="C5153" i="1"/>
  <c r="D5153" i="1"/>
  <c r="E5153" i="1"/>
  <c r="F5153" i="1"/>
  <c r="G5153" i="1"/>
  <c r="H5153" i="1"/>
  <c r="A5154" i="1"/>
  <c r="B5154" i="1"/>
  <c r="C5154" i="1"/>
  <c r="D5154" i="1"/>
  <c r="E5154" i="1"/>
  <c r="F5154" i="1"/>
  <c r="G5154" i="1"/>
  <c r="H5154" i="1"/>
  <c r="A5155" i="1"/>
  <c r="B5155" i="1"/>
  <c r="C5155" i="1"/>
  <c r="D5155" i="1"/>
  <c r="E5155" i="1"/>
  <c r="F5155" i="1"/>
  <c r="G5155" i="1"/>
  <c r="H5155" i="1"/>
  <c r="A5156" i="1"/>
  <c r="B5156" i="1"/>
  <c r="C5156" i="1"/>
  <c r="D5156" i="1"/>
  <c r="E5156" i="1"/>
  <c r="F5156" i="1"/>
  <c r="G5156" i="1"/>
  <c r="H5156" i="1"/>
  <c r="A5157" i="1"/>
  <c r="B5157" i="1"/>
  <c r="C5157" i="1"/>
  <c r="D5157" i="1"/>
  <c r="E5157" i="1"/>
  <c r="F5157" i="1"/>
  <c r="G5157" i="1"/>
  <c r="H5157" i="1"/>
  <c r="A5158" i="1"/>
  <c r="B5158" i="1"/>
  <c r="C5158" i="1"/>
  <c r="D5158" i="1"/>
  <c r="E5158" i="1"/>
  <c r="F5158" i="1"/>
  <c r="G5158" i="1"/>
  <c r="H5158" i="1"/>
  <c r="A5159" i="1"/>
  <c r="B5159" i="1"/>
  <c r="C5159" i="1"/>
  <c r="D5159" i="1"/>
  <c r="E5159" i="1"/>
  <c r="F5159" i="1"/>
  <c r="G5159" i="1"/>
  <c r="H5159" i="1"/>
  <c r="A5160" i="1"/>
  <c r="B5160" i="1"/>
  <c r="C5160" i="1"/>
  <c r="D5160" i="1"/>
  <c r="E5160" i="1"/>
  <c r="F5160" i="1"/>
  <c r="G5160" i="1"/>
  <c r="H5160" i="1"/>
  <c r="A5161" i="1"/>
  <c r="B5161" i="1"/>
  <c r="C5161" i="1"/>
  <c r="D5161" i="1"/>
  <c r="E5161" i="1"/>
  <c r="F5161" i="1"/>
  <c r="G5161" i="1"/>
  <c r="H5161" i="1"/>
  <c r="A5162" i="1"/>
  <c r="B5162" i="1"/>
  <c r="C5162" i="1"/>
  <c r="D5162" i="1"/>
  <c r="E5162" i="1"/>
  <c r="F5162" i="1"/>
  <c r="G5162" i="1"/>
  <c r="H5162" i="1"/>
  <c r="A5163" i="1"/>
  <c r="B5163" i="1"/>
  <c r="C5163" i="1"/>
  <c r="D5163" i="1"/>
  <c r="E5163" i="1"/>
  <c r="F5163" i="1"/>
  <c r="G5163" i="1"/>
  <c r="H5163" i="1"/>
  <c r="A5164" i="1"/>
  <c r="B5164" i="1"/>
  <c r="C5164" i="1"/>
  <c r="D5164" i="1"/>
  <c r="E5164" i="1"/>
  <c r="F5164" i="1"/>
  <c r="G5164" i="1"/>
  <c r="H5164" i="1"/>
  <c r="A5165" i="1"/>
  <c r="B5165" i="1"/>
  <c r="C5165" i="1"/>
  <c r="D5165" i="1"/>
  <c r="E5165" i="1"/>
  <c r="F5165" i="1"/>
  <c r="G5165" i="1"/>
  <c r="H5165" i="1"/>
  <c r="A5166" i="1"/>
  <c r="B5166" i="1"/>
  <c r="C5166" i="1"/>
  <c r="D5166" i="1"/>
  <c r="E5166" i="1"/>
  <c r="F5166" i="1"/>
  <c r="G5166" i="1"/>
  <c r="H5166" i="1"/>
  <c r="A5167" i="1"/>
  <c r="B5167" i="1"/>
  <c r="C5167" i="1"/>
  <c r="D5167" i="1"/>
  <c r="E5167" i="1"/>
  <c r="F5167" i="1"/>
  <c r="G5167" i="1"/>
  <c r="H5167" i="1"/>
  <c r="A5168" i="1"/>
  <c r="B5168" i="1"/>
  <c r="C5168" i="1"/>
  <c r="D5168" i="1"/>
  <c r="E5168" i="1"/>
  <c r="F5168" i="1"/>
  <c r="G5168" i="1"/>
  <c r="H5168" i="1"/>
  <c r="A5169" i="1"/>
  <c r="B5169" i="1"/>
  <c r="C5169" i="1"/>
  <c r="D5169" i="1"/>
  <c r="E5169" i="1"/>
  <c r="F5169" i="1"/>
  <c r="G5169" i="1"/>
  <c r="H5169" i="1"/>
  <c r="A5170" i="1"/>
  <c r="B5170" i="1"/>
  <c r="C5170" i="1"/>
  <c r="D5170" i="1"/>
  <c r="E5170" i="1"/>
  <c r="F5170" i="1"/>
  <c r="G5170" i="1"/>
  <c r="H5170" i="1"/>
  <c r="A5171" i="1"/>
  <c r="B5171" i="1"/>
  <c r="C5171" i="1"/>
  <c r="D5171" i="1"/>
  <c r="E5171" i="1"/>
  <c r="F5171" i="1"/>
  <c r="G5171" i="1"/>
  <c r="H5171" i="1"/>
  <c r="A5172" i="1"/>
  <c r="B5172" i="1"/>
  <c r="C5172" i="1"/>
  <c r="D5172" i="1"/>
  <c r="E5172" i="1"/>
  <c r="F5172" i="1"/>
  <c r="G5172" i="1"/>
  <c r="H5172" i="1"/>
  <c r="A5173" i="1"/>
  <c r="B5173" i="1"/>
  <c r="C5173" i="1"/>
  <c r="D5173" i="1"/>
  <c r="E5173" i="1"/>
  <c r="F5173" i="1"/>
  <c r="G5173" i="1"/>
  <c r="H5173" i="1"/>
  <c r="A5174" i="1"/>
  <c r="B5174" i="1"/>
  <c r="C5174" i="1"/>
  <c r="D5174" i="1"/>
  <c r="E5174" i="1"/>
  <c r="F5174" i="1"/>
  <c r="G5174" i="1"/>
  <c r="H5174" i="1"/>
  <c r="A5175" i="1"/>
  <c r="B5175" i="1"/>
  <c r="C5175" i="1"/>
  <c r="D5175" i="1"/>
  <c r="E5175" i="1"/>
  <c r="F5175" i="1"/>
  <c r="G5175" i="1"/>
  <c r="H5175" i="1"/>
  <c r="A5176" i="1"/>
  <c r="B5176" i="1"/>
  <c r="C5176" i="1"/>
  <c r="D5176" i="1"/>
  <c r="E5176" i="1"/>
  <c r="F5176" i="1"/>
  <c r="G5176" i="1"/>
  <c r="H5176" i="1"/>
  <c r="A5177" i="1"/>
  <c r="B5177" i="1"/>
  <c r="C5177" i="1"/>
  <c r="D5177" i="1"/>
  <c r="E5177" i="1"/>
  <c r="F5177" i="1"/>
  <c r="G5177" i="1"/>
  <c r="H5177" i="1"/>
  <c r="A5178" i="1"/>
  <c r="B5178" i="1"/>
  <c r="C5178" i="1"/>
  <c r="D5178" i="1"/>
  <c r="E5178" i="1"/>
  <c r="F5178" i="1"/>
  <c r="G5178" i="1"/>
  <c r="H5178" i="1"/>
  <c r="A5179" i="1"/>
  <c r="B5179" i="1"/>
  <c r="C5179" i="1"/>
  <c r="D5179" i="1"/>
  <c r="E5179" i="1"/>
  <c r="F5179" i="1"/>
  <c r="G5179" i="1"/>
  <c r="H5179" i="1"/>
  <c r="A5180" i="1"/>
  <c r="B5180" i="1"/>
  <c r="C5180" i="1"/>
  <c r="D5180" i="1"/>
  <c r="E5180" i="1"/>
  <c r="F5180" i="1"/>
  <c r="G5180" i="1"/>
  <c r="H5180" i="1"/>
  <c r="A5181" i="1"/>
  <c r="B5181" i="1"/>
  <c r="C5181" i="1"/>
  <c r="D5181" i="1"/>
  <c r="E5181" i="1"/>
  <c r="F5181" i="1"/>
  <c r="G5181" i="1"/>
  <c r="H5181" i="1"/>
  <c r="A5182" i="1"/>
  <c r="B5182" i="1"/>
  <c r="C5182" i="1"/>
  <c r="D5182" i="1"/>
  <c r="E5182" i="1"/>
  <c r="F5182" i="1"/>
  <c r="G5182" i="1"/>
  <c r="H5182" i="1"/>
  <c r="A5183" i="1"/>
  <c r="B5183" i="1"/>
  <c r="C5183" i="1"/>
  <c r="D5183" i="1"/>
  <c r="E5183" i="1"/>
  <c r="F5183" i="1"/>
  <c r="G5183" i="1"/>
  <c r="H5183" i="1"/>
  <c r="A5184" i="1"/>
  <c r="B5184" i="1"/>
  <c r="C5184" i="1"/>
  <c r="D5184" i="1"/>
  <c r="E5184" i="1"/>
  <c r="F5184" i="1"/>
  <c r="G5184" i="1"/>
  <c r="H5184" i="1"/>
  <c r="A5185" i="1"/>
  <c r="B5185" i="1"/>
  <c r="C5185" i="1"/>
  <c r="D5185" i="1"/>
  <c r="E5185" i="1"/>
  <c r="F5185" i="1"/>
  <c r="G5185" i="1"/>
  <c r="H5185" i="1"/>
  <c r="A5186" i="1"/>
  <c r="B5186" i="1"/>
  <c r="C5186" i="1"/>
  <c r="D5186" i="1"/>
  <c r="E5186" i="1"/>
  <c r="F5186" i="1"/>
  <c r="G5186" i="1"/>
  <c r="H5186" i="1"/>
  <c r="A5187" i="1"/>
  <c r="B5187" i="1"/>
  <c r="C5187" i="1"/>
  <c r="D5187" i="1"/>
  <c r="E5187" i="1"/>
  <c r="F5187" i="1"/>
  <c r="G5187" i="1"/>
  <c r="H5187" i="1"/>
  <c r="A5188" i="1"/>
  <c r="B5188" i="1"/>
  <c r="C5188" i="1"/>
  <c r="D5188" i="1"/>
  <c r="E5188" i="1"/>
  <c r="F5188" i="1"/>
  <c r="G5188" i="1"/>
  <c r="H5188" i="1"/>
  <c r="A5189" i="1"/>
  <c r="B5189" i="1"/>
  <c r="C5189" i="1"/>
  <c r="D5189" i="1"/>
  <c r="E5189" i="1"/>
  <c r="F5189" i="1"/>
  <c r="G5189" i="1"/>
  <c r="H5189" i="1"/>
  <c r="A5190" i="1"/>
  <c r="B5190" i="1"/>
  <c r="C5190" i="1"/>
  <c r="D5190" i="1"/>
  <c r="E5190" i="1"/>
  <c r="F5190" i="1"/>
  <c r="G5190" i="1"/>
  <c r="H5190" i="1"/>
  <c r="A5191" i="1"/>
  <c r="B5191" i="1"/>
  <c r="C5191" i="1"/>
  <c r="D5191" i="1"/>
  <c r="E5191" i="1"/>
  <c r="F5191" i="1"/>
  <c r="G5191" i="1"/>
  <c r="H5191" i="1"/>
  <c r="A5192" i="1"/>
  <c r="B5192" i="1"/>
  <c r="C5192" i="1"/>
  <c r="D5192" i="1"/>
  <c r="E5192" i="1"/>
  <c r="F5192" i="1"/>
  <c r="G5192" i="1"/>
  <c r="H5192" i="1"/>
  <c r="A5193" i="1"/>
  <c r="B5193" i="1"/>
  <c r="C5193" i="1"/>
  <c r="D5193" i="1"/>
  <c r="E5193" i="1"/>
  <c r="F5193" i="1"/>
  <c r="G5193" i="1"/>
  <c r="H5193" i="1"/>
  <c r="A5194" i="1"/>
  <c r="B5194" i="1"/>
  <c r="C5194" i="1"/>
  <c r="D5194" i="1"/>
  <c r="E5194" i="1"/>
  <c r="F5194" i="1"/>
  <c r="G5194" i="1"/>
  <c r="H5194" i="1"/>
  <c r="A5195" i="1"/>
  <c r="B5195" i="1"/>
  <c r="C5195" i="1"/>
  <c r="D5195" i="1"/>
  <c r="E5195" i="1"/>
  <c r="F5195" i="1"/>
  <c r="G5195" i="1"/>
  <c r="H5195" i="1"/>
  <c r="A5196" i="1"/>
  <c r="B5196" i="1"/>
  <c r="C5196" i="1"/>
  <c r="D5196" i="1"/>
  <c r="E5196" i="1"/>
  <c r="F5196" i="1"/>
  <c r="G5196" i="1"/>
  <c r="H5196" i="1"/>
  <c r="A5197" i="1"/>
  <c r="B5197" i="1"/>
  <c r="C5197" i="1"/>
  <c r="D5197" i="1"/>
  <c r="E5197" i="1"/>
  <c r="F5197" i="1"/>
  <c r="G5197" i="1"/>
  <c r="H5197" i="1"/>
  <c r="A5198" i="1"/>
  <c r="B5198" i="1"/>
  <c r="C5198" i="1"/>
  <c r="D5198" i="1"/>
  <c r="E5198" i="1"/>
  <c r="F5198" i="1"/>
  <c r="G5198" i="1"/>
  <c r="H5198" i="1"/>
  <c r="A5199" i="1"/>
  <c r="B5199" i="1"/>
  <c r="C5199" i="1"/>
  <c r="D5199" i="1"/>
  <c r="E5199" i="1"/>
  <c r="F5199" i="1"/>
  <c r="G5199" i="1"/>
  <c r="H5199" i="1"/>
  <c r="A5200" i="1"/>
  <c r="B5200" i="1"/>
  <c r="C5200" i="1"/>
  <c r="D5200" i="1"/>
  <c r="E5200" i="1"/>
  <c r="F5200" i="1"/>
  <c r="G5200" i="1"/>
  <c r="H5200" i="1"/>
  <c r="A5201" i="1"/>
  <c r="B5201" i="1"/>
  <c r="C5201" i="1"/>
  <c r="D5201" i="1"/>
  <c r="E5201" i="1"/>
  <c r="F5201" i="1"/>
  <c r="G5201" i="1"/>
  <c r="H5201" i="1"/>
  <c r="A5202" i="1"/>
  <c r="B5202" i="1"/>
  <c r="C5202" i="1"/>
  <c r="D5202" i="1"/>
  <c r="E5202" i="1"/>
  <c r="F5202" i="1"/>
  <c r="G5202" i="1"/>
  <c r="H5202" i="1"/>
  <c r="A5203" i="1"/>
  <c r="B5203" i="1"/>
  <c r="C5203" i="1"/>
  <c r="D5203" i="1"/>
  <c r="E5203" i="1"/>
  <c r="F5203" i="1"/>
  <c r="G5203" i="1"/>
  <c r="H5203" i="1"/>
  <c r="A5204" i="1"/>
  <c r="B5204" i="1"/>
  <c r="C5204" i="1"/>
  <c r="D5204" i="1"/>
  <c r="E5204" i="1"/>
  <c r="F5204" i="1"/>
  <c r="G5204" i="1"/>
  <c r="H5204" i="1"/>
  <c r="A5205" i="1"/>
  <c r="B5205" i="1"/>
  <c r="C5205" i="1"/>
  <c r="D5205" i="1"/>
  <c r="E5205" i="1"/>
  <c r="F5205" i="1"/>
  <c r="G5205" i="1"/>
  <c r="H5205" i="1"/>
  <c r="A5206" i="1"/>
  <c r="B5206" i="1"/>
  <c r="C5206" i="1"/>
  <c r="D5206" i="1"/>
  <c r="E5206" i="1"/>
  <c r="F5206" i="1"/>
  <c r="G5206" i="1"/>
  <c r="H5206" i="1"/>
  <c r="A5207" i="1"/>
  <c r="B5207" i="1"/>
  <c r="C5207" i="1"/>
  <c r="D5207" i="1"/>
  <c r="E5207" i="1"/>
  <c r="F5207" i="1"/>
  <c r="G5207" i="1"/>
  <c r="H5207" i="1"/>
  <c r="A5208" i="1"/>
  <c r="B5208" i="1"/>
  <c r="C5208" i="1"/>
  <c r="D5208" i="1"/>
  <c r="E5208" i="1"/>
  <c r="F5208" i="1"/>
  <c r="G5208" i="1"/>
  <c r="H5208" i="1"/>
  <c r="A5209" i="1"/>
  <c r="B5209" i="1"/>
  <c r="C5209" i="1"/>
  <c r="D5209" i="1"/>
  <c r="E5209" i="1"/>
  <c r="F5209" i="1"/>
  <c r="G5209" i="1"/>
  <c r="H5209" i="1"/>
  <c r="A5210" i="1"/>
  <c r="B5210" i="1"/>
  <c r="C5210" i="1"/>
  <c r="D5210" i="1"/>
  <c r="E5210" i="1"/>
  <c r="F5210" i="1"/>
  <c r="G5210" i="1"/>
  <c r="H5210" i="1"/>
  <c r="A5211" i="1"/>
  <c r="B5211" i="1"/>
  <c r="C5211" i="1"/>
  <c r="D5211" i="1"/>
  <c r="E5211" i="1"/>
  <c r="F5211" i="1"/>
  <c r="G5211" i="1"/>
  <c r="H5211" i="1"/>
  <c r="A5212" i="1"/>
  <c r="B5212" i="1"/>
  <c r="C5212" i="1"/>
  <c r="D5212" i="1"/>
  <c r="E5212" i="1"/>
  <c r="F5212" i="1"/>
  <c r="G5212" i="1"/>
  <c r="H5212" i="1"/>
  <c r="A5213" i="1"/>
  <c r="B5213" i="1"/>
  <c r="C5213" i="1"/>
  <c r="D5213" i="1"/>
  <c r="E5213" i="1"/>
  <c r="F5213" i="1"/>
  <c r="G5213" i="1"/>
  <c r="H5213" i="1"/>
  <c r="A5214" i="1"/>
  <c r="B5214" i="1"/>
  <c r="C5214" i="1"/>
  <c r="D5214" i="1"/>
  <c r="E5214" i="1"/>
  <c r="F5214" i="1"/>
  <c r="G5214" i="1"/>
  <c r="H5214" i="1"/>
  <c r="A5215" i="1"/>
  <c r="B5215" i="1"/>
  <c r="C5215" i="1"/>
  <c r="D5215" i="1"/>
  <c r="E5215" i="1"/>
  <c r="F5215" i="1"/>
  <c r="G5215" i="1"/>
  <c r="H5215" i="1"/>
  <c r="A5216" i="1"/>
  <c r="B5216" i="1"/>
  <c r="C5216" i="1"/>
  <c r="D5216" i="1"/>
  <c r="E5216" i="1"/>
  <c r="F5216" i="1"/>
  <c r="G5216" i="1"/>
  <c r="H5216" i="1"/>
  <c r="A5217" i="1"/>
  <c r="B5217" i="1"/>
  <c r="C5217" i="1"/>
  <c r="D5217" i="1"/>
  <c r="E5217" i="1"/>
  <c r="F5217" i="1"/>
  <c r="G5217" i="1"/>
  <c r="H5217" i="1"/>
  <c r="A5218" i="1"/>
  <c r="B5218" i="1"/>
  <c r="C5218" i="1"/>
  <c r="D5218" i="1"/>
  <c r="E5218" i="1"/>
  <c r="F5218" i="1"/>
  <c r="G5218" i="1"/>
  <c r="H5218" i="1"/>
  <c r="A5219" i="1"/>
  <c r="B5219" i="1"/>
  <c r="C5219" i="1"/>
  <c r="D5219" i="1"/>
  <c r="E5219" i="1"/>
  <c r="F5219" i="1"/>
  <c r="G5219" i="1"/>
  <c r="H5219" i="1"/>
  <c r="A5220" i="1"/>
  <c r="B5220" i="1"/>
  <c r="C5220" i="1"/>
  <c r="D5220" i="1"/>
  <c r="E5220" i="1"/>
  <c r="F5220" i="1"/>
  <c r="G5220" i="1"/>
  <c r="H5220" i="1"/>
  <c r="A5221" i="1"/>
  <c r="B5221" i="1"/>
  <c r="C5221" i="1"/>
  <c r="D5221" i="1"/>
  <c r="E5221" i="1"/>
  <c r="F5221" i="1"/>
  <c r="G5221" i="1"/>
  <c r="H5221" i="1"/>
  <c r="A5222" i="1"/>
  <c r="B5222" i="1"/>
  <c r="C5222" i="1"/>
  <c r="D5222" i="1"/>
  <c r="E5222" i="1"/>
  <c r="F5222" i="1"/>
  <c r="G5222" i="1"/>
  <c r="H5222" i="1"/>
  <c r="A5223" i="1"/>
  <c r="B5223" i="1"/>
  <c r="C5223" i="1"/>
  <c r="D5223" i="1"/>
  <c r="E5223" i="1"/>
  <c r="F5223" i="1"/>
  <c r="G5223" i="1"/>
  <c r="H5223" i="1"/>
  <c r="A5224" i="1"/>
  <c r="B5224" i="1"/>
  <c r="C5224" i="1"/>
  <c r="D5224" i="1"/>
  <c r="E5224" i="1"/>
  <c r="F5224" i="1"/>
  <c r="G5224" i="1"/>
  <c r="H5224" i="1"/>
  <c r="A5225" i="1"/>
  <c r="B5225" i="1"/>
  <c r="C5225" i="1"/>
  <c r="D5225" i="1"/>
  <c r="E5225" i="1"/>
  <c r="F5225" i="1"/>
  <c r="G5225" i="1"/>
  <c r="H5225" i="1"/>
  <c r="A5226" i="1"/>
  <c r="B5226" i="1"/>
  <c r="C5226" i="1"/>
  <c r="D5226" i="1"/>
  <c r="E5226" i="1"/>
  <c r="F5226" i="1"/>
  <c r="G5226" i="1"/>
  <c r="H5226" i="1"/>
  <c r="A5227" i="1"/>
  <c r="B5227" i="1"/>
  <c r="C5227" i="1"/>
  <c r="D5227" i="1"/>
  <c r="E5227" i="1"/>
  <c r="F5227" i="1"/>
  <c r="G5227" i="1"/>
  <c r="H5227" i="1"/>
  <c r="A5228" i="1"/>
  <c r="B5228" i="1"/>
  <c r="C5228" i="1"/>
  <c r="D5228" i="1"/>
  <c r="E5228" i="1"/>
  <c r="F5228" i="1"/>
  <c r="G5228" i="1"/>
  <c r="H5228" i="1"/>
  <c r="A5229" i="1"/>
  <c r="B5229" i="1"/>
  <c r="C5229" i="1"/>
  <c r="D5229" i="1"/>
  <c r="E5229" i="1"/>
  <c r="F5229" i="1"/>
  <c r="G5229" i="1"/>
  <c r="H5229" i="1"/>
  <c r="A5230" i="1"/>
  <c r="B5230" i="1"/>
  <c r="C5230" i="1"/>
  <c r="D5230" i="1"/>
  <c r="E5230" i="1"/>
  <c r="F5230" i="1"/>
  <c r="G5230" i="1"/>
  <c r="H5230" i="1"/>
  <c r="A5231" i="1"/>
  <c r="B5231" i="1"/>
  <c r="C5231" i="1"/>
  <c r="D5231" i="1"/>
  <c r="E5231" i="1"/>
  <c r="F5231" i="1"/>
  <c r="G5231" i="1"/>
  <c r="H5231" i="1"/>
  <c r="A5232" i="1"/>
  <c r="B5232" i="1"/>
  <c r="C5232" i="1"/>
  <c r="D5232" i="1"/>
  <c r="E5232" i="1"/>
  <c r="F5232" i="1"/>
  <c r="G5232" i="1"/>
  <c r="H5232" i="1"/>
  <c r="A5233" i="1"/>
  <c r="B5233" i="1"/>
  <c r="C5233" i="1"/>
  <c r="D5233" i="1"/>
  <c r="E5233" i="1"/>
  <c r="F5233" i="1"/>
  <c r="G5233" i="1"/>
  <c r="H5233" i="1"/>
  <c r="A5234" i="1"/>
  <c r="B5234" i="1"/>
  <c r="C5234" i="1"/>
  <c r="D5234" i="1"/>
  <c r="E5234" i="1"/>
  <c r="F5234" i="1"/>
  <c r="G5234" i="1"/>
  <c r="H5234" i="1"/>
  <c r="A5235" i="1"/>
  <c r="B5235" i="1"/>
  <c r="C5235" i="1"/>
  <c r="D5235" i="1"/>
  <c r="E5235" i="1"/>
  <c r="F5235" i="1"/>
  <c r="G5235" i="1"/>
  <c r="H5235" i="1"/>
  <c r="A5236" i="1"/>
  <c r="B5236" i="1"/>
  <c r="C5236" i="1"/>
  <c r="D5236" i="1"/>
  <c r="E5236" i="1"/>
  <c r="F5236" i="1"/>
  <c r="G5236" i="1"/>
  <c r="H5236" i="1"/>
  <c r="A5237" i="1"/>
  <c r="B5237" i="1"/>
  <c r="C5237" i="1"/>
  <c r="D5237" i="1"/>
  <c r="E5237" i="1"/>
  <c r="F5237" i="1"/>
  <c r="G5237" i="1"/>
  <c r="H5237" i="1"/>
  <c r="A5238" i="1"/>
  <c r="B5238" i="1"/>
  <c r="C5238" i="1"/>
  <c r="D5238" i="1"/>
  <c r="E5238" i="1"/>
  <c r="F5238" i="1"/>
  <c r="G5238" i="1"/>
  <c r="H5238" i="1"/>
  <c r="A5239" i="1"/>
  <c r="B5239" i="1"/>
  <c r="C5239" i="1"/>
  <c r="D5239" i="1"/>
  <c r="E5239" i="1"/>
  <c r="F5239" i="1"/>
  <c r="G5239" i="1"/>
  <c r="H5239" i="1"/>
  <c r="A5240" i="1"/>
  <c r="B5240" i="1"/>
  <c r="C5240" i="1"/>
  <c r="D5240" i="1"/>
  <c r="E5240" i="1"/>
  <c r="F5240" i="1"/>
  <c r="G5240" i="1"/>
  <c r="H5240" i="1"/>
  <c r="A5241" i="1"/>
  <c r="B5241" i="1"/>
  <c r="C5241" i="1"/>
  <c r="D5241" i="1"/>
  <c r="E5241" i="1"/>
  <c r="F5241" i="1"/>
  <c r="G5241" i="1"/>
  <c r="H5241" i="1"/>
  <c r="A5242" i="1"/>
  <c r="B5242" i="1"/>
  <c r="C5242" i="1"/>
  <c r="D5242" i="1"/>
  <c r="E5242" i="1"/>
  <c r="F5242" i="1"/>
  <c r="G5242" i="1"/>
  <c r="H5242" i="1"/>
  <c r="A5243" i="1"/>
  <c r="B5243" i="1"/>
  <c r="C5243" i="1"/>
  <c r="D5243" i="1"/>
  <c r="E5243" i="1"/>
  <c r="F5243" i="1"/>
  <c r="G5243" i="1"/>
  <c r="H5243" i="1"/>
  <c r="A5244" i="1"/>
  <c r="B5244" i="1"/>
  <c r="C5244" i="1"/>
  <c r="D5244" i="1"/>
  <c r="E5244" i="1"/>
  <c r="F5244" i="1"/>
  <c r="G5244" i="1"/>
  <c r="H5244" i="1"/>
  <c r="A5245" i="1"/>
  <c r="B5245" i="1"/>
  <c r="C5245" i="1"/>
  <c r="D5245" i="1"/>
  <c r="E5245" i="1"/>
  <c r="F5245" i="1"/>
  <c r="G5245" i="1"/>
  <c r="H5245" i="1"/>
  <c r="A5246" i="1"/>
  <c r="B5246" i="1"/>
  <c r="C5246" i="1"/>
  <c r="D5246" i="1"/>
  <c r="E5246" i="1"/>
  <c r="F5246" i="1"/>
  <c r="G5246" i="1"/>
  <c r="H5246" i="1"/>
  <c r="A5247" i="1"/>
  <c r="B5247" i="1"/>
  <c r="C5247" i="1"/>
  <c r="D5247" i="1"/>
  <c r="E5247" i="1"/>
  <c r="F5247" i="1"/>
  <c r="G5247" i="1"/>
  <c r="H5247" i="1"/>
  <c r="A5248" i="1"/>
  <c r="B5248" i="1"/>
  <c r="C5248" i="1"/>
  <c r="D5248" i="1"/>
  <c r="E5248" i="1"/>
  <c r="F5248" i="1"/>
  <c r="G5248" i="1"/>
  <c r="H5248" i="1"/>
  <c r="A5249" i="1"/>
  <c r="B5249" i="1"/>
  <c r="C5249" i="1"/>
  <c r="D5249" i="1"/>
  <c r="E5249" i="1"/>
  <c r="F5249" i="1"/>
  <c r="G5249" i="1"/>
  <c r="H5249" i="1"/>
  <c r="A5250" i="1"/>
  <c r="B5250" i="1"/>
  <c r="C5250" i="1"/>
  <c r="D5250" i="1"/>
  <c r="E5250" i="1"/>
  <c r="F5250" i="1"/>
  <c r="G5250" i="1"/>
  <c r="H5250" i="1"/>
  <c r="A5251" i="1"/>
  <c r="B5251" i="1"/>
  <c r="C5251" i="1"/>
  <c r="D5251" i="1"/>
  <c r="E5251" i="1"/>
  <c r="F5251" i="1"/>
  <c r="G5251" i="1"/>
  <c r="H5251" i="1"/>
  <c r="A5252" i="1"/>
  <c r="B5252" i="1"/>
  <c r="C5252" i="1"/>
  <c r="D5252" i="1"/>
  <c r="E5252" i="1"/>
  <c r="F5252" i="1"/>
  <c r="G5252" i="1"/>
  <c r="H5252" i="1"/>
  <c r="A5253" i="1"/>
  <c r="B5253" i="1"/>
  <c r="C5253" i="1"/>
  <c r="D5253" i="1"/>
  <c r="E5253" i="1"/>
  <c r="F5253" i="1"/>
  <c r="G5253" i="1"/>
  <c r="H5253" i="1"/>
  <c r="A5254" i="1"/>
  <c r="B5254" i="1"/>
  <c r="C5254" i="1"/>
  <c r="D5254" i="1"/>
  <c r="E5254" i="1"/>
  <c r="F5254" i="1"/>
  <c r="G5254" i="1"/>
  <c r="H5254" i="1"/>
  <c r="A5255" i="1"/>
  <c r="B5255" i="1"/>
  <c r="C5255" i="1"/>
  <c r="D5255" i="1"/>
  <c r="E5255" i="1"/>
  <c r="F5255" i="1"/>
  <c r="G5255" i="1"/>
  <c r="H5255" i="1"/>
  <c r="A5256" i="1"/>
  <c r="B5256" i="1"/>
  <c r="C5256" i="1"/>
  <c r="D5256" i="1"/>
  <c r="E5256" i="1"/>
  <c r="F5256" i="1"/>
  <c r="G5256" i="1"/>
  <c r="H5256" i="1"/>
  <c r="A5257" i="1"/>
  <c r="B5257" i="1"/>
  <c r="C5257" i="1"/>
  <c r="D5257" i="1"/>
  <c r="E5257" i="1"/>
  <c r="F5257" i="1"/>
  <c r="G5257" i="1"/>
  <c r="H5257" i="1"/>
  <c r="A5258" i="1"/>
  <c r="B5258" i="1"/>
  <c r="C5258" i="1"/>
  <c r="D5258" i="1"/>
  <c r="E5258" i="1"/>
  <c r="F5258" i="1"/>
  <c r="G5258" i="1"/>
  <c r="H5258" i="1"/>
  <c r="A5259" i="1"/>
  <c r="B5259" i="1"/>
  <c r="C5259" i="1"/>
  <c r="D5259" i="1"/>
  <c r="E5259" i="1"/>
  <c r="F5259" i="1"/>
  <c r="G5259" i="1"/>
  <c r="H5259" i="1"/>
  <c r="A5260" i="1"/>
  <c r="B5260" i="1"/>
  <c r="C5260" i="1"/>
  <c r="D5260" i="1"/>
  <c r="E5260" i="1"/>
  <c r="F5260" i="1"/>
  <c r="G5260" i="1"/>
  <c r="H5260" i="1"/>
  <c r="A5261" i="1"/>
  <c r="B5261" i="1"/>
  <c r="C5261" i="1"/>
  <c r="D5261" i="1"/>
  <c r="E5261" i="1"/>
  <c r="F5261" i="1"/>
  <c r="G5261" i="1"/>
  <c r="H5261" i="1"/>
  <c r="A5262" i="1"/>
  <c r="B5262" i="1"/>
  <c r="C5262" i="1"/>
  <c r="D5262" i="1"/>
  <c r="E5262" i="1"/>
  <c r="F5262" i="1"/>
  <c r="G5262" i="1"/>
  <c r="H5262" i="1"/>
  <c r="A5263" i="1"/>
  <c r="B5263" i="1"/>
  <c r="C5263" i="1"/>
  <c r="D5263" i="1"/>
  <c r="E5263" i="1"/>
  <c r="F5263" i="1"/>
  <c r="G5263" i="1"/>
  <c r="H5263" i="1"/>
  <c r="A5264" i="1"/>
  <c r="B5264" i="1"/>
  <c r="C5264" i="1"/>
  <c r="D5264" i="1"/>
  <c r="E5264" i="1"/>
  <c r="F5264" i="1"/>
  <c r="G5264" i="1"/>
  <c r="H5264" i="1"/>
  <c r="A5265" i="1"/>
  <c r="B5265" i="1"/>
  <c r="C5265" i="1"/>
  <c r="D5265" i="1"/>
  <c r="E5265" i="1"/>
  <c r="F5265" i="1"/>
  <c r="G5265" i="1"/>
  <c r="H5265" i="1"/>
  <c r="A5266" i="1"/>
  <c r="B5266" i="1"/>
  <c r="C5266" i="1"/>
  <c r="D5266" i="1"/>
  <c r="E5266" i="1"/>
  <c r="F5266" i="1"/>
  <c r="G5266" i="1"/>
  <c r="H5266" i="1"/>
  <c r="A5267" i="1"/>
  <c r="B5267" i="1"/>
  <c r="C5267" i="1"/>
  <c r="D5267" i="1"/>
  <c r="E5267" i="1"/>
  <c r="F5267" i="1"/>
  <c r="G5267" i="1"/>
  <c r="H5267" i="1"/>
  <c r="A5268" i="1"/>
  <c r="B5268" i="1"/>
  <c r="C5268" i="1"/>
  <c r="D5268" i="1"/>
  <c r="E5268" i="1"/>
  <c r="F5268" i="1"/>
  <c r="G5268" i="1"/>
  <c r="H5268" i="1"/>
  <c r="A5269" i="1"/>
  <c r="B5269" i="1"/>
  <c r="C5269" i="1"/>
  <c r="D5269" i="1"/>
  <c r="E5269" i="1"/>
  <c r="F5269" i="1"/>
  <c r="G5269" i="1"/>
  <c r="H5269" i="1"/>
  <c r="A5270" i="1"/>
  <c r="B5270" i="1"/>
  <c r="C5270" i="1"/>
  <c r="D5270" i="1"/>
  <c r="E5270" i="1"/>
  <c r="F5270" i="1"/>
  <c r="G5270" i="1"/>
  <c r="H5270" i="1"/>
  <c r="A5271" i="1"/>
  <c r="B5271" i="1"/>
  <c r="C5271" i="1"/>
  <c r="D5271" i="1"/>
  <c r="E5271" i="1"/>
  <c r="F5271" i="1"/>
  <c r="G5271" i="1"/>
  <c r="H5271" i="1"/>
  <c r="A5272" i="1"/>
  <c r="B5272" i="1"/>
  <c r="C5272" i="1"/>
  <c r="D5272" i="1"/>
  <c r="E5272" i="1"/>
  <c r="F5272" i="1"/>
  <c r="G5272" i="1"/>
  <c r="H5272" i="1"/>
  <c r="A5273" i="1"/>
  <c r="B5273" i="1"/>
  <c r="C5273" i="1"/>
  <c r="D5273" i="1"/>
  <c r="E5273" i="1"/>
  <c r="F5273" i="1"/>
  <c r="G5273" i="1"/>
  <c r="H5273" i="1"/>
  <c r="A5274" i="1"/>
  <c r="B5274" i="1"/>
  <c r="C5274" i="1"/>
  <c r="D5274" i="1"/>
  <c r="E5274" i="1"/>
  <c r="F5274" i="1"/>
  <c r="G5274" i="1"/>
  <c r="H5274" i="1"/>
  <c r="A5275" i="1"/>
  <c r="B5275" i="1"/>
  <c r="C5275" i="1"/>
  <c r="D5275" i="1"/>
  <c r="E5275" i="1"/>
  <c r="F5275" i="1"/>
  <c r="G5275" i="1"/>
  <c r="H5275" i="1"/>
  <c r="A5276" i="1"/>
  <c r="B5276" i="1"/>
  <c r="C5276" i="1"/>
  <c r="D5276" i="1"/>
  <c r="E5276" i="1"/>
  <c r="F5276" i="1"/>
  <c r="G5276" i="1"/>
  <c r="H5276" i="1"/>
  <c r="A5277" i="1"/>
  <c r="B5277" i="1"/>
  <c r="C5277" i="1"/>
  <c r="D5277" i="1"/>
  <c r="E5277" i="1"/>
  <c r="F5277" i="1"/>
  <c r="G5277" i="1"/>
  <c r="H5277" i="1"/>
  <c r="A5278" i="1"/>
  <c r="B5278" i="1"/>
  <c r="C5278" i="1"/>
  <c r="D5278" i="1"/>
  <c r="E5278" i="1"/>
  <c r="F5278" i="1"/>
  <c r="G5278" i="1"/>
  <c r="H5278" i="1"/>
  <c r="A5279" i="1"/>
  <c r="B5279" i="1"/>
  <c r="C5279" i="1"/>
  <c r="D5279" i="1"/>
  <c r="E5279" i="1"/>
  <c r="F5279" i="1"/>
  <c r="G5279" i="1"/>
  <c r="H5279" i="1"/>
  <c r="A5280" i="1"/>
  <c r="B5280" i="1"/>
  <c r="C5280" i="1"/>
  <c r="D5280" i="1"/>
  <c r="E5280" i="1"/>
  <c r="F5280" i="1"/>
  <c r="G5280" i="1"/>
  <c r="H5280" i="1"/>
  <c r="A5281" i="1"/>
  <c r="B5281" i="1"/>
  <c r="C5281" i="1"/>
  <c r="D5281" i="1"/>
  <c r="E5281" i="1"/>
  <c r="F5281" i="1"/>
  <c r="G5281" i="1"/>
  <c r="H5281" i="1"/>
  <c r="A5282" i="1"/>
  <c r="B5282" i="1"/>
  <c r="C5282" i="1"/>
  <c r="D5282" i="1"/>
  <c r="E5282" i="1"/>
  <c r="F5282" i="1"/>
  <c r="G5282" i="1"/>
  <c r="H5282" i="1"/>
  <c r="A5283" i="1"/>
  <c r="B5283" i="1"/>
  <c r="C5283" i="1"/>
  <c r="D5283" i="1"/>
  <c r="E5283" i="1"/>
  <c r="F5283" i="1"/>
  <c r="G5283" i="1"/>
  <c r="H5283" i="1"/>
  <c r="A5284" i="1"/>
  <c r="B5284" i="1"/>
  <c r="C5284" i="1"/>
  <c r="D5284" i="1"/>
  <c r="E5284" i="1"/>
  <c r="F5284" i="1"/>
  <c r="G5284" i="1"/>
  <c r="H5284" i="1"/>
  <c r="A5285" i="1"/>
  <c r="B5285" i="1"/>
  <c r="C5285" i="1"/>
  <c r="D5285" i="1"/>
  <c r="E5285" i="1"/>
  <c r="F5285" i="1"/>
  <c r="G5285" i="1"/>
  <c r="H5285" i="1"/>
  <c r="A5286" i="1"/>
  <c r="B5286" i="1"/>
  <c r="C5286" i="1"/>
  <c r="D5286" i="1"/>
  <c r="E5286" i="1"/>
  <c r="F5286" i="1"/>
  <c r="G5286" i="1"/>
  <c r="H5286" i="1"/>
  <c r="A5287" i="1"/>
  <c r="B5287" i="1"/>
  <c r="C5287" i="1"/>
  <c r="D5287" i="1"/>
  <c r="E5287" i="1"/>
  <c r="F5287" i="1"/>
  <c r="G5287" i="1"/>
  <c r="H5287" i="1"/>
  <c r="A5288" i="1"/>
  <c r="B5288" i="1"/>
  <c r="C5288" i="1"/>
  <c r="D5288" i="1"/>
  <c r="E5288" i="1"/>
  <c r="F5288" i="1"/>
  <c r="G5288" i="1"/>
  <c r="H5288" i="1"/>
  <c r="A5289" i="1"/>
  <c r="B5289" i="1"/>
  <c r="C5289" i="1"/>
  <c r="D5289" i="1"/>
  <c r="E5289" i="1"/>
  <c r="F5289" i="1"/>
  <c r="G5289" i="1"/>
  <c r="H5289" i="1"/>
  <c r="A5290" i="1"/>
  <c r="B5290" i="1"/>
  <c r="C5290" i="1"/>
  <c r="D5290" i="1"/>
  <c r="E5290" i="1"/>
  <c r="F5290" i="1"/>
  <c r="G5290" i="1"/>
  <c r="H5290" i="1"/>
  <c r="A5291" i="1"/>
  <c r="B5291" i="1"/>
  <c r="C5291" i="1"/>
  <c r="D5291" i="1"/>
  <c r="E5291" i="1"/>
  <c r="F5291" i="1"/>
  <c r="G5291" i="1"/>
  <c r="H5291" i="1"/>
  <c r="A5292" i="1"/>
  <c r="B5292" i="1"/>
  <c r="C5292" i="1"/>
  <c r="D5292" i="1"/>
  <c r="E5292" i="1"/>
  <c r="F5292" i="1"/>
  <c r="G5292" i="1"/>
  <c r="H5292" i="1"/>
  <c r="A5293" i="1"/>
  <c r="B5293" i="1"/>
  <c r="C5293" i="1"/>
  <c r="D5293" i="1"/>
  <c r="E5293" i="1"/>
  <c r="F5293" i="1"/>
  <c r="G5293" i="1"/>
  <c r="H5293" i="1"/>
  <c r="A5294" i="1"/>
  <c r="B5294" i="1"/>
  <c r="C5294" i="1"/>
  <c r="D5294" i="1"/>
  <c r="E5294" i="1"/>
  <c r="F5294" i="1"/>
  <c r="G5294" i="1"/>
  <c r="H5294" i="1"/>
  <c r="A5295" i="1"/>
  <c r="B5295" i="1"/>
  <c r="C5295" i="1"/>
  <c r="D5295" i="1"/>
  <c r="E5295" i="1"/>
  <c r="F5295" i="1"/>
  <c r="G5295" i="1"/>
  <c r="H5295" i="1"/>
  <c r="A5296" i="1"/>
  <c r="B5296" i="1"/>
  <c r="C5296" i="1"/>
  <c r="D5296" i="1"/>
  <c r="E5296" i="1"/>
  <c r="F5296" i="1"/>
  <c r="G5296" i="1"/>
  <c r="H5296" i="1"/>
  <c r="A5297" i="1"/>
  <c r="B5297" i="1"/>
  <c r="C5297" i="1"/>
  <c r="D5297" i="1"/>
  <c r="E5297" i="1"/>
  <c r="F5297" i="1"/>
  <c r="G5297" i="1"/>
  <c r="H5297" i="1"/>
  <c r="A5298" i="1"/>
  <c r="B5298" i="1"/>
  <c r="C5298" i="1"/>
  <c r="D5298" i="1"/>
  <c r="E5298" i="1"/>
  <c r="F5298" i="1"/>
  <c r="G5298" i="1"/>
  <c r="H5298" i="1"/>
  <c r="A5299" i="1"/>
  <c r="B5299" i="1"/>
  <c r="C5299" i="1"/>
  <c r="D5299" i="1"/>
  <c r="E5299" i="1"/>
  <c r="F5299" i="1"/>
  <c r="G5299" i="1"/>
  <c r="H5299" i="1"/>
  <c r="A5300" i="1"/>
  <c r="B5300" i="1"/>
  <c r="C5300" i="1"/>
  <c r="D5300" i="1"/>
  <c r="E5300" i="1"/>
  <c r="F5300" i="1"/>
  <c r="G5300" i="1"/>
  <c r="H5300" i="1"/>
  <c r="A5301" i="1"/>
  <c r="B5301" i="1"/>
  <c r="C5301" i="1"/>
  <c r="D5301" i="1"/>
  <c r="E5301" i="1"/>
  <c r="F5301" i="1"/>
  <c r="G5301" i="1"/>
  <c r="H5301" i="1"/>
  <c r="A5302" i="1"/>
  <c r="B5302" i="1"/>
  <c r="C5302" i="1"/>
  <c r="D5302" i="1"/>
  <c r="E5302" i="1"/>
  <c r="F5302" i="1"/>
  <c r="G5302" i="1"/>
  <c r="H5302" i="1"/>
  <c r="A5303" i="1"/>
  <c r="B5303" i="1"/>
  <c r="C5303" i="1"/>
  <c r="D5303" i="1"/>
  <c r="E5303" i="1"/>
  <c r="F5303" i="1"/>
  <c r="G5303" i="1"/>
  <c r="H5303" i="1"/>
  <c r="A5304" i="1"/>
  <c r="B5304" i="1"/>
  <c r="C5304" i="1"/>
  <c r="D5304" i="1"/>
  <c r="E5304" i="1"/>
  <c r="F5304" i="1"/>
  <c r="G5304" i="1"/>
  <c r="H5304" i="1"/>
  <c r="A5305" i="1"/>
  <c r="B5305" i="1"/>
  <c r="C5305" i="1"/>
  <c r="D5305" i="1"/>
  <c r="E5305" i="1"/>
  <c r="F5305" i="1"/>
  <c r="G5305" i="1"/>
  <c r="H5305" i="1"/>
  <c r="A5306" i="1"/>
  <c r="B5306" i="1"/>
  <c r="C5306" i="1"/>
  <c r="D5306" i="1"/>
  <c r="E5306" i="1"/>
  <c r="F5306" i="1"/>
  <c r="G5306" i="1"/>
  <c r="H5306" i="1"/>
  <c r="A5307" i="1"/>
  <c r="B5307" i="1"/>
  <c r="C5307" i="1"/>
  <c r="D5307" i="1"/>
  <c r="E5307" i="1"/>
  <c r="F5307" i="1"/>
  <c r="G5307" i="1"/>
  <c r="H5307" i="1"/>
  <c r="A5308" i="1"/>
  <c r="B5308" i="1"/>
  <c r="C5308" i="1"/>
  <c r="D5308" i="1"/>
  <c r="E5308" i="1"/>
  <c r="F5308" i="1"/>
  <c r="G5308" i="1"/>
  <c r="H5308" i="1"/>
  <c r="A5309" i="1"/>
  <c r="B5309" i="1"/>
  <c r="C5309" i="1"/>
  <c r="D5309" i="1"/>
  <c r="E5309" i="1"/>
  <c r="F5309" i="1"/>
  <c r="G5309" i="1"/>
  <c r="H5309" i="1"/>
  <c r="A5310" i="1"/>
  <c r="B5310" i="1"/>
  <c r="C5310" i="1"/>
  <c r="D5310" i="1"/>
  <c r="E5310" i="1"/>
  <c r="F5310" i="1"/>
  <c r="G5310" i="1"/>
  <c r="H5310" i="1"/>
  <c r="A5311" i="1"/>
  <c r="B5311" i="1"/>
  <c r="C5311" i="1"/>
  <c r="D5311" i="1"/>
  <c r="E5311" i="1"/>
  <c r="F5311" i="1"/>
  <c r="G5311" i="1"/>
  <c r="H5311" i="1"/>
  <c r="A5312" i="1"/>
  <c r="B5312" i="1"/>
  <c r="C5312" i="1"/>
  <c r="D5312" i="1"/>
  <c r="E5312" i="1"/>
  <c r="F5312" i="1"/>
  <c r="G5312" i="1"/>
  <c r="H5312" i="1"/>
  <c r="A5313" i="1"/>
  <c r="B5313" i="1"/>
  <c r="C5313" i="1"/>
  <c r="D5313" i="1"/>
  <c r="E5313" i="1"/>
  <c r="F5313" i="1"/>
  <c r="G5313" i="1"/>
  <c r="H5313" i="1"/>
  <c r="A5314" i="1"/>
  <c r="B5314" i="1"/>
  <c r="C5314" i="1"/>
  <c r="D5314" i="1"/>
  <c r="E5314" i="1"/>
  <c r="F5314" i="1"/>
  <c r="G5314" i="1"/>
  <c r="H5314" i="1"/>
  <c r="A5315" i="1"/>
  <c r="B5315" i="1"/>
  <c r="C5315" i="1"/>
  <c r="D5315" i="1"/>
  <c r="E5315" i="1"/>
  <c r="F5315" i="1"/>
  <c r="G5315" i="1"/>
  <c r="H5315" i="1"/>
  <c r="A5316" i="1"/>
  <c r="B5316" i="1"/>
  <c r="C5316" i="1"/>
  <c r="D5316" i="1"/>
  <c r="E5316" i="1"/>
  <c r="F5316" i="1"/>
  <c r="G5316" i="1"/>
  <c r="H5316" i="1"/>
  <c r="A5317" i="1"/>
  <c r="B5317" i="1"/>
  <c r="C5317" i="1"/>
  <c r="D5317" i="1"/>
  <c r="E5317" i="1"/>
  <c r="F5317" i="1"/>
  <c r="G5317" i="1"/>
  <c r="H5317" i="1"/>
  <c r="A5318" i="1"/>
  <c r="B5318" i="1"/>
  <c r="C5318" i="1"/>
  <c r="D5318" i="1"/>
  <c r="E5318" i="1"/>
  <c r="F5318" i="1"/>
  <c r="G5318" i="1"/>
  <c r="H5318" i="1"/>
  <c r="A5319" i="1"/>
  <c r="B5319" i="1"/>
  <c r="C5319" i="1"/>
  <c r="D5319" i="1"/>
  <c r="E5319" i="1"/>
  <c r="F5319" i="1"/>
  <c r="G5319" i="1"/>
  <c r="H5319" i="1"/>
  <c r="A5320" i="1"/>
  <c r="B5320" i="1"/>
  <c r="C5320" i="1"/>
  <c r="D5320" i="1"/>
  <c r="E5320" i="1"/>
  <c r="F5320" i="1"/>
  <c r="G5320" i="1"/>
  <c r="H5320" i="1"/>
  <c r="A5321" i="1"/>
  <c r="B5321" i="1"/>
  <c r="C5321" i="1"/>
  <c r="D5321" i="1"/>
  <c r="E5321" i="1"/>
  <c r="F5321" i="1"/>
  <c r="G5321" i="1"/>
  <c r="H5321" i="1"/>
  <c r="A5322" i="1"/>
  <c r="B5322" i="1"/>
  <c r="C5322" i="1"/>
  <c r="D5322" i="1"/>
  <c r="E5322" i="1"/>
  <c r="F5322" i="1"/>
  <c r="G5322" i="1"/>
  <c r="H5322" i="1"/>
  <c r="A5323" i="1"/>
  <c r="B5323" i="1"/>
  <c r="C5323" i="1"/>
  <c r="D5323" i="1"/>
  <c r="E5323" i="1"/>
  <c r="F5323" i="1"/>
  <c r="G5323" i="1"/>
  <c r="H5323" i="1"/>
  <c r="A5324" i="1"/>
  <c r="B5324" i="1"/>
  <c r="C5324" i="1"/>
  <c r="D5324" i="1"/>
  <c r="E5324" i="1"/>
  <c r="F5324" i="1"/>
  <c r="G5324" i="1"/>
  <c r="H5324" i="1"/>
  <c r="A5325" i="1"/>
  <c r="B5325" i="1"/>
  <c r="C5325" i="1"/>
  <c r="D5325" i="1"/>
  <c r="E5325" i="1"/>
  <c r="F5325" i="1"/>
  <c r="G5325" i="1"/>
  <c r="H5325" i="1"/>
  <c r="A5326" i="1"/>
  <c r="B5326" i="1"/>
  <c r="C5326" i="1"/>
  <c r="D5326" i="1"/>
  <c r="E5326" i="1"/>
  <c r="F5326" i="1"/>
  <c r="G5326" i="1"/>
  <c r="H5326" i="1"/>
  <c r="A5327" i="1"/>
  <c r="B5327" i="1"/>
  <c r="C5327" i="1"/>
  <c r="D5327" i="1"/>
  <c r="E5327" i="1"/>
  <c r="F5327" i="1"/>
  <c r="G5327" i="1"/>
  <c r="H5327" i="1"/>
  <c r="A5328" i="1"/>
  <c r="B5328" i="1"/>
  <c r="C5328" i="1"/>
  <c r="D5328" i="1"/>
  <c r="E5328" i="1"/>
  <c r="F5328" i="1"/>
  <c r="G5328" i="1"/>
  <c r="H5328" i="1"/>
  <c r="A5329" i="1"/>
  <c r="B5329" i="1"/>
  <c r="C5329" i="1"/>
  <c r="D5329" i="1"/>
  <c r="E5329" i="1"/>
  <c r="F5329" i="1"/>
  <c r="G5329" i="1"/>
  <c r="H5329" i="1"/>
  <c r="A5330" i="1"/>
  <c r="B5330" i="1"/>
  <c r="C5330" i="1"/>
  <c r="D5330" i="1"/>
  <c r="E5330" i="1"/>
  <c r="F5330" i="1"/>
  <c r="G5330" i="1"/>
  <c r="H5330" i="1"/>
  <c r="A5331" i="1"/>
  <c r="B5331" i="1"/>
  <c r="C5331" i="1"/>
  <c r="D5331" i="1"/>
  <c r="E5331" i="1"/>
  <c r="F5331" i="1"/>
  <c r="G5331" i="1"/>
  <c r="H5331" i="1"/>
  <c r="A5332" i="1"/>
  <c r="B5332" i="1"/>
  <c r="C5332" i="1"/>
  <c r="D5332" i="1"/>
  <c r="E5332" i="1"/>
  <c r="F5332" i="1"/>
  <c r="G5332" i="1"/>
  <c r="H5332" i="1"/>
  <c r="A5333" i="1"/>
  <c r="B5333" i="1"/>
  <c r="C5333" i="1"/>
  <c r="D5333" i="1"/>
  <c r="E5333" i="1"/>
  <c r="F5333" i="1"/>
  <c r="G5333" i="1"/>
  <c r="H5333" i="1"/>
  <c r="A5334" i="1"/>
  <c r="B5334" i="1"/>
  <c r="C5334" i="1"/>
  <c r="D5334" i="1"/>
  <c r="E5334" i="1"/>
  <c r="F5334" i="1"/>
  <c r="G5334" i="1"/>
  <c r="H5334" i="1"/>
  <c r="A5335" i="1"/>
  <c r="B5335" i="1"/>
  <c r="C5335" i="1"/>
  <c r="D5335" i="1"/>
  <c r="E5335" i="1"/>
  <c r="F5335" i="1"/>
  <c r="G5335" i="1"/>
  <c r="H5335" i="1"/>
  <c r="A5336" i="1"/>
  <c r="B5336" i="1"/>
  <c r="C5336" i="1"/>
  <c r="D5336" i="1"/>
  <c r="E5336" i="1"/>
  <c r="F5336" i="1"/>
  <c r="G5336" i="1"/>
  <c r="H5336" i="1"/>
  <c r="A5337" i="1"/>
  <c r="B5337" i="1"/>
  <c r="C5337" i="1"/>
  <c r="D5337" i="1"/>
  <c r="E5337" i="1"/>
  <c r="F5337" i="1"/>
  <c r="G5337" i="1"/>
  <c r="H5337" i="1"/>
  <c r="A5338" i="1"/>
  <c r="B5338" i="1"/>
  <c r="C5338" i="1"/>
  <c r="D5338" i="1"/>
  <c r="E5338" i="1"/>
  <c r="F5338" i="1"/>
  <c r="G5338" i="1"/>
  <c r="H5338" i="1"/>
  <c r="A5339" i="1"/>
  <c r="B5339" i="1"/>
  <c r="C5339" i="1"/>
  <c r="D5339" i="1"/>
  <c r="E5339" i="1"/>
  <c r="F5339" i="1"/>
  <c r="G5339" i="1"/>
  <c r="H5339" i="1"/>
  <c r="A5340" i="1"/>
  <c r="B5340" i="1"/>
  <c r="C5340" i="1"/>
  <c r="D5340" i="1"/>
  <c r="E5340" i="1"/>
  <c r="F5340" i="1"/>
  <c r="G5340" i="1"/>
  <c r="H5340" i="1"/>
  <c r="A5341" i="1"/>
  <c r="B5341" i="1"/>
  <c r="C5341" i="1"/>
  <c r="D5341" i="1"/>
  <c r="E5341" i="1"/>
  <c r="F5341" i="1"/>
  <c r="G5341" i="1"/>
  <c r="H5341" i="1"/>
  <c r="A5342" i="1"/>
  <c r="B5342" i="1"/>
  <c r="C5342" i="1"/>
  <c r="D5342" i="1"/>
  <c r="E5342" i="1"/>
  <c r="F5342" i="1"/>
  <c r="G5342" i="1"/>
  <c r="H5342" i="1"/>
  <c r="A5343" i="1"/>
  <c r="B5343" i="1"/>
  <c r="C5343" i="1"/>
  <c r="D5343" i="1"/>
  <c r="E5343" i="1"/>
  <c r="F5343" i="1"/>
  <c r="G5343" i="1"/>
  <c r="H5343" i="1"/>
  <c r="A5344" i="1"/>
  <c r="B5344" i="1"/>
  <c r="C5344" i="1"/>
  <c r="D5344" i="1"/>
  <c r="E5344" i="1"/>
  <c r="F5344" i="1"/>
  <c r="G5344" i="1"/>
  <c r="H5344" i="1"/>
  <c r="A5345" i="1"/>
  <c r="B5345" i="1"/>
  <c r="C5345" i="1"/>
  <c r="D5345" i="1"/>
  <c r="E5345" i="1"/>
  <c r="F5345" i="1"/>
  <c r="G5345" i="1"/>
  <c r="H5345" i="1"/>
  <c r="A5346" i="1"/>
  <c r="B5346" i="1"/>
  <c r="C5346" i="1"/>
  <c r="D5346" i="1"/>
  <c r="E5346" i="1"/>
  <c r="F5346" i="1"/>
  <c r="G5346" i="1"/>
  <c r="H5346" i="1"/>
  <c r="A5347" i="1"/>
  <c r="B5347" i="1"/>
  <c r="C5347" i="1"/>
  <c r="D5347" i="1"/>
  <c r="E5347" i="1"/>
  <c r="F5347" i="1"/>
  <c r="G5347" i="1"/>
  <c r="H5347" i="1"/>
  <c r="A5348" i="1"/>
  <c r="B5348" i="1"/>
  <c r="C5348" i="1"/>
  <c r="D5348" i="1"/>
  <c r="E5348" i="1"/>
  <c r="F5348" i="1"/>
  <c r="G5348" i="1"/>
  <c r="H5348" i="1"/>
  <c r="A5349" i="1"/>
  <c r="B5349" i="1"/>
  <c r="C5349" i="1"/>
  <c r="D5349" i="1"/>
  <c r="E5349" i="1"/>
  <c r="F5349" i="1"/>
  <c r="G5349" i="1"/>
  <c r="H5349" i="1"/>
  <c r="A5350" i="1"/>
  <c r="B5350" i="1"/>
  <c r="C5350" i="1"/>
  <c r="D5350" i="1"/>
  <c r="E5350" i="1"/>
  <c r="F5350" i="1"/>
  <c r="G5350" i="1"/>
  <c r="H5350" i="1"/>
  <c r="A5351" i="1"/>
  <c r="B5351" i="1"/>
  <c r="C5351" i="1"/>
  <c r="D5351" i="1"/>
  <c r="E5351" i="1"/>
  <c r="F5351" i="1"/>
  <c r="G5351" i="1"/>
  <c r="H5351" i="1"/>
  <c r="A5352" i="1"/>
  <c r="B5352" i="1"/>
  <c r="C5352" i="1"/>
  <c r="D5352" i="1"/>
  <c r="E5352" i="1"/>
  <c r="F5352" i="1"/>
  <c r="G5352" i="1"/>
  <c r="H5352" i="1"/>
  <c r="A5353" i="1"/>
  <c r="B5353" i="1"/>
  <c r="C5353" i="1"/>
  <c r="D5353" i="1"/>
  <c r="E5353" i="1"/>
  <c r="F5353" i="1"/>
  <c r="G5353" i="1"/>
  <c r="H5353" i="1"/>
  <c r="A5354" i="1"/>
  <c r="B5354" i="1"/>
  <c r="C5354" i="1"/>
  <c r="D5354" i="1"/>
  <c r="E5354" i="1"/>
  <c r="F5354" i="1"/>
  <c r="G5354" i="1"/>
  <c r="H5354" i="1"/>
  <c r="A5355" i="1"/>
  <c r="B5355" i="1"/>
  <c r="C5355" i="1"/>
  <c r="D5355" i="1"/>
  <c r="E5355" i="1"/>
  <c r="F5355" i="1"/>
  <c r="G5355" i="1"/>
  <c r="H5355" i="1"/>
  <c r="A5356" i="1"/>
  <c r="B5356" i="1"/>
  <c r="C5356" i="1"/>
  <c r="D5356" i="1"/>
  <c r="E5356" i="1"/>
  <c r="F5356" i="1"/>
  <c r="G5356" i="1"/>
  <c r="H5356" i="1"/>
  <c r="A5357" i="1"/>
  <c r="B5357" i="1"/>
  <c r="C5357" i="1"/>
  <c r="D5357" i="1"/>
  <c r="E5357" i="1"/>
  <c r="F5357" i="1"/>
  <c r="G5357" i="1"/>
  <c r="H5357" i="1"/>
  <c r="A5358" i="1"/>
  <c r="B5358" i="1"/>
  <c r="C5358" i="1"/>
  <c r="D5358" i="1"/>
  <c r="E5358" i="1"/>
  <c r="F5358" i="1"/>
  <c r="G5358" i="1"/>
  <c r="H5358" i="1"/>
  <c r="A5359" i="1"/>
  <c r="B5359" i="1"/>
  <c r="C5359" i="1"/>
  <c r="D5359" i="1"/>
  <c r="E5359" i="1"/>
  <c r="F5359" i="1"/>
  <c r="G5359" i="1"/>
  <c r="H5359" i="1"/>
  <c r="A5360" i="1"/>
  <c r="B5360" i="1"/>
  <c r="C5360" i="1"/>
  <c r="D5360" i="1"/>
  <c r="E5360" i="1"/>
  <c r="F5360" i="1"/>
  <c r="G5360" i="1"/>
  <c r="H5360" i="1"/>
  <c r="A5361" i="1"/>
  <c r="B5361" i="1"/>
  <c r="C5361" i="1"/>
  <c r="D5361" i="1"/>
  <c r="E5361" i="1"/>
  <c r="F5361" i="1"/>
  <c r="G5361" i="1"/>
  <c r="H5361" i="1"/>
  <c r="A5362" i="1"/>
  <c r="B5362" i="1"/>
  <c r="C5362" i="1"/>
  <c r="D5362" i="1"/>
  <c r="E5362" i="1"/>
  <c r="F5362" i="1"/>
  <c r="G5362" i="1"/>
  <c r="H5362" i="1"/>
  <c r="A5363" i="1"/>
  <c r="B5363" i="1"/>
  <c r="C5363" i="1"/>
  <c r="D5363" i="1"/>
  <c r="E5363" i="1"/>
  <c r="F5363" i="1"/>
  <c r="G5363" i="1"/>
  <c r="H5363" i="1"/>
  <c r="A5364" i="1"/>
  <c r="B5364" i="1"/>
  <c r="C5364" i="1"/>
  <c r="D5364" i="1"/>
  <c r="E5364" i="1"/>
  <c r="F5364" i="1"/>
  <c r="G5364" i="1"/>
  <c r="H5364" i="1"/>
  <c r="A5365" i="1"/>
  <c r="B5365" i="1"/>
  <c r="C5365" i="1"/>
  <c r="D5365" i="1"/>
  <c r="E5365" i="1"/>
  <c r="F5365" i="1"/>
  <c r="G5365" i="1"/>
  <c r="H5365" i="1"/>
  <c r="A5366" i="1"/>
  <c r="B5366" i="1"/>
  <c r="C5366" i="1"/>
  <c r="D5366" i="1"/>
  <c r="E5366" i="1"/>
  <c r="F5366" i="1"/>
  <c r="G5366" i="1"/>
  <c r="H5366" i="1"/>
  <c r="A5367" i="1"/>
  <c r="B5367" i="1"/>
  <c r="C5367" i="1"/>
  <c r="D5367" i="1"/>
  <c r="E5367" i="1"/>
  <c r="F5367" i="1"/>
  <c r="G5367" i="1"/>
  <c r="H5367" i="1"/>
  <c r="A5368" i="1"/>
  <c r="B5368" i="1"/>
  <c r="C5368" i="1"/>
  <c r="D5368" i="1"/>
  <c r="E5368" i="1"/>
  <c r="F5368" i="1"/>
  <c r="G5368" i="1"/>
  <c r="H5368" i="1"/>
  <c r="A5369" i="1"/>
  <c r="B5369" i="1"/>
  <c r="C5369" i="1"/>
  <c r="D5369" i="1"/>
  <c r="E5369" i="1"/>
  <c r="F5369" i="1"/>
  <c r="G5369" i="1"/>
  <c r="H5369" i="1"/>
  <c r="A5370" i="1"/>
  <c r="B5370" i="1"/>
  <c r="C5370" i="1"/>
  <c r="D5370" i="1"/>
  <c r="E5370" i="1"/>
  <c r="F5370" i="1"/>
  <c r="G5370" i="1"/>
  <c r="H5370" i="1"/>
  <c r="A5371" i="1"/>
  <c r="B5371" i="1"/>
  <c r="C5371" i="1"/>
  <c r="D5371" i="1"/>
  <c r="E5371" i="1"/>
  <c r="F5371" i="1"/>
  <c r="G5371" i="1"/>
  <c r="H5371" i="1"/>
  <c r="A5372" i="1"/>
  <c r="B5372" i="1"/>
  <c r="C5372" i="1"/>
  <c r="D5372" i="1"/>
  <c r="E5372" i="1"/>
  <c r="F5372" i="1"/>
  <c r="G5372" i="1"/>
  <c r="H5372" i="1"/>
  <c r="A5373" i="1"/>
  <c r="B5373" i="1"/>
  <c r="C5373" i="1"/>
  <c r="D5373" i="1"/>
  <c r="E5373" i="1"/>
  <c r="F5373" i="1"/>
  <c r="G5373" i="1"/>
  <c r="H5373" i="1"/>
  <c r="A5374" i="1"/>
  <c r="B5374" i="1"/>
  <c r="C5374" i="1"/>
  <c r="D5374" i="1"/>
  <c r="E5374" i="1"/>
  <c r="F5374" i="1"/>
  <c r="G5374" i="1"/>
  <c r="H5374" i="1"/>
  <c r="A5375" i="1"/>
  <c r="B5375" i="1"/>
  <c r="C5375" i="1"/>
  <c r="D5375" i="1"/>
  <c r="E5375" i="1"/>
  <c r="F5375" i="1"/>
  <c r="G5375" i="1"/>
  <c r="H5375" i="1"/>
  <c r="A5376" i="1"/>
  <c r="B5376" i="1"/>
  <c r="C5376" i="1"/>
  <c r="D5376" i="1"/>
  <c r="E5376" i="1"/>
  <c r="F5376" i="1"/>
  <c r="G5376" i="1"/>
  <c r="H5376" i="1"/>
  <c r="A5377" i="1"/>
  <c r="B5377" i="1"/>
  <c r="C5377" i="1"/>
  <c r="D5377" i="1"/>
  <c r="E5377" i="1"/>
  <c r="F5377" i="1"/>
  <c r="G5377" i="1"/>
  <c r="H5377" i="1"/>
  <c r="A5378" i="1"/>
  <c r="B5378" i="1"/>
  <c r="C5378" i="1"/>
  <c r="D5378" i="1"/>
  <c r="E5378" i="1"/>
  <c r="F5378" i="1"/>
  <c r="G5378" i="1"/>
  <c r="H5378" i="1"/>
  <c r="A5379" i="1"/>
  <c r="B5379" i="1"/>
  <c r="C5379" i="1"/>
  <c r="D5379" i="1"/>
  <c r="E5379" i="1"/>
  <c r="F5379" i="1"/>
  <c r="G5379" i="1"/>
  <c r="H5379" i="1"/>
  <c r="A5380" i="1"/>
  <c r="B5380" i="1"/>
  <c r="C5380" i="1"/>
  <c r="D5380" i="1"/>
  <c r="E5380" i="1"/>
  <c r="F5380" i="1"/>
  <c r="G5380" i="1"/>
  <c r="H5380" i="1"/>
  <c r="A5381" i="1"/>
  <c r="B5381" i="1"/>
  <c r="C5381" i="1"/>
  <c r="D5381" i="1"/>
  <c r="E5381" i="1"/>
  <c r="F5381" i="1"/>
  <c r="G5381" i="1"/>
  <c r="H5381" i="1"/>
  <c r="A5382" i="1"/>
  <c r="B5382" i="1"/>
  <c r="C5382" i="1"/>
  <c r="D5382" i="1"/>
  <c r="E5382" i="1"/>
  <c r="F5382" i="1"/>
  <c r="G5382" i="1"/>
  <c r="H5382" i="1"/>
  <c r="A5383" i="1"/>
  <c r="B5383" i="1"/>
  <c r="C5383" i="1"/>
  <c r="D5383" i="1"/>
  <c r="E5383" i="1"/>
  <c r="F5383" i="1"/>
  <c r="G5383" i="1"/>
  <c r="H5383" i="1"/>
  <c r="A5384" i="1"/>
  <c r="B5384" i="1"/>
  <c r="C5384" i="1"/>
  <c r="D5384" i="1"/>
  <c r="E5384" i="1"/>
  <c r="F5384" i="1"/>
  <c r="G5384" i="1"/>
  <c r="H5384" i="1"/>
  <c r="A5385" i="1"/>
  <c r="B5385" i="1"/>
  <c r="C5385" i="1"/>
  <c r="D5385" i="1"/>
  <c r="E5385" i="1"/>
  <c r="F5385" i="1"/>
  <c r="G5385" i="1"/>
  <c r="H5385" i="1"/>
  <c r="A5386" i="1"/>
  <c r="B5386" i="1"/>
  <c r="C5386" i="1"/>
  <c r="D5386" i="1"/>
  <c r="E5386" i="1"/>
  <c r="F5386" i="1"/>
  <c r="G5386" i="1"/>
  <c r="H5386" i="1"/>
  <c r="A5387" i="1"/>
  <c r="B5387" i="1"/>
  <c r="C5387" i="1"/>
  <c r="D5387" i="1"/>
  <c r="E5387" i="1"/>
  <c r="F5387" i="1"/>
  <c r="G5387" i="1"/>
  <c r="H5387" i="1"/>
  <c r="A5388" i="1"/>
  <c r="B5388" i="1"/>
  <c r="C5388" i="1"/>
  <c r="D5388" i="1"/>
  <c r="E5388" i="1"/>
  <c r="F5388" i="1"/>
  <c r="G5388" i="1"/>
  <c r="H5388" i="1"/>
  <c r="A5389" i="1"/>
  <c r="B5389" i="1"/>
  <c r="C5389" i="1"/>
  <c r="D5389" i="1"/>
  <c r="E5389" i="1"/>
  <c r="F5389" i="1"/>
  <c r="G5389" i="1"/>
  <c r="H5389" i="1"/>
  <c r="A5390" i="1"/>
  <c r="B5390" i="1"/>
  <c r="C5390" i="1"/>
  <c r="D5390" i="1"/>
  <c r="E5390" i="1"/>
  <c r="F5390" i="1"/>
  <c r="G5390" i="1"/>
  <c r="H5390" i="1"/>
  <c r="A5391" i="1"/>
  <c r="B5391" i="1"/>
  <c r="C5391" i="1"/>
  <c r="D5391" i="1"/>
  <c r="E5391" i="1"/>
  <c r="F5391" i="1"/>
  <c r="G5391" i="1"/>
  <c r="H5391" i="1"/>
  <c r="A5392" i="1"/>
  <c r="B5392" i="1"/>
  <c r="C5392" i="1"/>
  <c r="D5392" i="1"/>
  <c r="E5392" i="1"/>
  <c r="F5392" i="1"/>
  <c r="G5392" i="1"/>
  <c r="H5392" i="1"/>
  <c r="A5393" i="1"/>
  <c r="B5393" i="1"/>
  <c r="C5393" i="1"/>
  <c r="D5393" i="1"/>
  <c r="E5393" i="1"/>
  <c r="F5393" i="1"/>
  <c r="G5393" i="1"/>
  <c r="H5393" i="1"/>
  <c r="A5394" i="1"/>
  <c r="B5394" i="1"/>
  <c r="C5394" i="1"/>
  <c r="D5394" i="1"/>
  <c r="E5394" i="1"/>
  <c r="F5394" i="1"/>
  <c r="G5394" i="1"/>
  <c r="H5394" i="1"/>
  <c r="A5395" i="1"/>
  <c r="B5395" i="1"/>
  <c r="C5395" i="1"/>
  <c r="D5395" i="1"/>
  <c r="E5395" i="1"/>
  <c r="F5395" i="1"/>
  <c r="G5395" i="1"/>
  <c r="H5395" i="1"/>
  <c r="A5396" i="1"/>
  <c r="B5396" i="1"/>
  <c r="C5396" i="1"/>
  <c r="D5396" i="1"/>
  <c r="E5396" i="1"/>
  <c r="F5396" i="1"/>
  <c r="G5396" i="1"/>
  <c r="H5396" i="1"/>
  <c r="A5397" i="1"/>
  <c r="B5397" i="1"/>
  <c r="C5397" i="1"/>
  <c r="D5397" i="1"/>
  <c r="E5397" i="1"/>
  <c r="F5397" i="1"/>
  <c r="G5397" i="1"/>
  <c r="H5397" i="1"/>
  <c r="A5398" i="1"/>
  <c r="B5398" i="1"/>
  <c r="C5398" i="1"/>
  <c r="D5398" i="1"/>
  <c r="E5398" i="1"/>
  <c r="F5398" i="1"/>
  <c r="G5398" i="1"/>
  <c r="H5398" i="1"/>
  <c r="A5399" i="1"/>
  <c r="B5399" i="1"/>
  <c r="C5399" i="1"/>
  <c r="D5399" i="1"/>
  <c r="E5399" i="1"/>
  <c r="F5399" i="1"/>
  <c r="G5399" i="1"/>
  <c r="H5399" i="1"/>
  <c r="A5400" i="1"/>
  <c r="B5400" i="1"/>
  <c r="C5400" i="1"/>
  <c r="D5400" i="1"/>
  <c r="E5400" i="1"/>
  <c r="F5400" i="1"/>
  <c r="G5400" i="1"/>
  <c r="H5400" i="1"/>
  <c r="A5401" i="1"/>
  <c r="B5401" i="1"/>
  <c r="C5401" i="1"/>
  <c r="D5401" i="1"/>
  <c r="E5401" i="1"/>
  <c r="F5401" i="1"/>
  <c r="G5401" i="1"/>
  <c r="H5401" i="1"/>
  <c r="A5402" i="1"/>
  <c r="B5402" i="1"/>
  <c r="C5402" i="1"/>
  <c r="D5402" i="1"/>
  <c r="E5402" i="1"/>
  <c r="F5402" i="1"/>
  <c r="G5402" i="1"/>
  <c r="H5402" i="1"/>
  <c r="A5403" i="1"/>
  <c r="B5403" i="1"/>
  <c r="C5403" i="1"/>
  <c r="D5403" i="1"/>
  <c r="E5403" i="1"/>
  <c r="F5403" i="1"/>
  <c r="G5403" i="1"/>
  <c r="H5403" i="1"/>
  <c r="A5404" i="1"/>
  <c r="B5404" i="1"/>
  <c r="C5404" i="1"/>
  <c r="D5404" i="1"/>
  <c r="E5404" i="1"/>
  <c r="F5404" i="1"/>
  <c r="G5404" i="1"/>
  <c r="H5404" i="1"/>
  <c r="A5405" i="1"/>
  <c r="B5405" i="1"/>
  <c r="C5405" i="1"/>
  <c r="D5405" i="1"/>
  <c r="E5405" i="1"/>
  <c r="F5405" i="1"/>
  <c r="G5405" i="1"/>
  <c r="H5405" i="1"/>
  <c r="A5406" i="1"/>
  <c r="B5406" i="1"/>
  <c r="C5406" i="1"/>
  <c r="D5406" i="1"/>
  <c r="E5406" i="1"/>
  <c r="F5406" i="1"/>
  <c r="G5406" i="1"/>
  <c r="H5406" i="1"/>
  <c r="A5407" i="1"/>
  <c r="B5407" i="1"/>
  <c r="C5407" i="1"/>
  <c r="D5407" i="1"/>
  <c r="E5407" i="1"/>
  <c r="F5407" i="1"/>
  <c r="G5407" i="1"/>
  <c r="H5407" i="1"/>
  <c r="A5408" i="1"/>
  <c r="B5408" i="1"/>
  <c r="C5408" i="1"/>
  <c r="D5408" i="1"/>
  <c r="E5408" i="1"/>
  <c r="F5408" i="1"/>
  <c r="G5408" i="1"/>
  <c r="H5408" i="1"/>
  <c r="A5409" i="1"/>
  <c r="B5409" i="1"/>
  <c r="C5409" i="1"/>
  <c r="D5409" i="1"/>
  <c r="E5409" i="1"/>
  <c r="F5409" i="1"/>
  <c r="G5409" i="1"/>
  <c r="H5409" i="1"/>
  <c r="A5410" i="1"/>
  <c r="B5410" i="1"/>
  <c r="C5410" i="1"/>
  <c r="D5410" i="1"/>
  <c r="E5410" i="1"/>
  <c r="F5410" i="1"/>
  <c r="G5410" i="1"/>
  <c r="H5410" i="1"/>
  <c r="A5411" i="1"/>
  <c r="B5411" i="1"/>
  <c r="C5411" i="1"/>
  <c r="D5411" i="1"/>
  <c r="E5411" i="1"/>
  <c r="F5411" i="1"/>
  <c r="G5411" i="1"/>
  <c r="H5411" i="1"/>
  <c r="A5412" i="1"/>
  <c r="B5412" i="1"/>
  <c r="C5412" i="1"/>
  <c r="D5412" i="1"/>
  <c r="E5412" i="1"/>
  <c r="F5412" i="1"/>
  <c r="G5412" i="1"/>
  <c r="H5412" i="1"/>
  <c r="A5413" i="1"/>
  <c r="B5413" i="1"/>
  <c r="C5413" i="1"/>
  <c r="D5413" i="1"/>
  <c r="E5413" i="1"/>
  <c r="F5413" i="1"/>
  <c r="G5413" i="1"/>
  <c r="H5413" i="1"/>
  <c r="A5414" i="1"/>
  <c r="B5414" i="1"/>
  <c r="C5414" i="1"/>
  <c r="D5414" i="1"/>
  <c r="E5414" i="1"/>
  <c r="F5414" i="1"/>
  <c r="G5414" i="1"/>
  <c r="H5414" i="1"/>
  <c r="A5415" i="1"/>
  <c r="B5415" i="1"/>
  <c r="C5415" i="1"/>
  <c r="D5415" i="1"/>
  <c r="E5415" i="1"/>
  <c r="F5415" i="1"/>
  <c r="G5415" i="1"/>
  <c r="H5415" i="1"/>
  <c r="A5416" i="1"/>
  <c r="B5416" i="1"/>
  <c r="C5416" i="1"/>
  <c r="D5416" i="1"/>
  <c r="E5416" i="1"/>
  <c r="F5416" i="1"/>
  <c r="G5416" i="1"/>
  <c r="H5416" i="1"/>
  <c r="A5417" i="1"/>
  <c r="B5417" i="1"/>
  <c r="C5417" i="1"/>
  <c r="D5417" i="1"/>
  <c r="E5417" i="1"/>
  <c r="F5417" i="1"/>
  <c r="G5417" i="1"/>
  <c r="H5417" i="1"/>
  <c r="A5418" i="1"/>
  <c r="B5418" i="1"/>
  <c r="C5418" i="1"/>
  <c r="D5418" i="1"/>
  <c r="E5418" i="1"/>
  <c r="F5418" i="1"/>
  <c r="G5418" i="1"/>
  <c r="H5418" i="1"/>
  <c r="A5419" i="1"/>
  <c r="B5419" i="1"/>
  <c r="C5419" i="1"/>
  <c r="D5419" i="1"/>
  <c r="E5419" i="1"/>
  <c r="F5419" i="1"/>
  <c r="G5419" i="1"/>
  <c r="H5419" i="1"/>
  <c r="A5420" i="1"/>
  <c r="B5420" i="1"/>
  <c r="C5420" i="1"/>
  <c r="D5420" i="1"/>
  <c r="E5420" i="1"/>
  <c r="F5420" i="1"/>
  <c r="G5420" i="1"/>
  <c r="H5420" i="1"/>
  <c r="A5421" i="1"/>
  <c r="B5421" i="1"/>
  <c r="C5421" i="1"/>
  <c r="D5421" i="1"/>
  <c r="E5421" i="1"/>
  <c r="F5421" i="1"/>
  <c r="G5421" i="1"/>
  <c r="H5421" i="1"/>
  <c r="A5422" i="1"/>
  <c r="B5422" i="1"/>
  <c r="C5422" i="1"/>
  <c r="D5422" i="1"/>
  <c r="E5422" i="1"/>
  <c r="F5422" i="1"/>
  <c r="G5422" i="1"/>
  <c r="H5422" i="1"/>
  <c r="A5423" i="1"/>
  <c r="B5423" i="1"/>
  <c r="C5423" i="1"/>
  <c r="D5423" i="1"/>
  <c r="E5423" i="1"/>
  <c r="F5423" i="1"/>
  <c r="G5423" i="1"/>
  <c r="H5423" i="1"/>
  <c r="A5424" i="1"/>
  <c r="B5424" i="1"/>
  <c r="C5424" i="1"/>
  <c r="D5424" i="1"/>
  <c r="E5424" i="1"/>
  <c r="F5424" i="1"/>
  <c r="G5424" i="1"/>
  <c r="H5424" i="1"/>
  <c r="A5425" i="1"/>
  <c r="B5425" i="1"/>
  <c r="C5425" i="1"/>
  <c r="D5425" i="1"/>
  <c r="E5425" i="1"/>
  <c r="F5425" i="1"/>
  <c r="G5425" i="1"/>
  <c r="H5425" i="1"/>
  <c r="A5426" i="1"/>
  <c r="B5426" i="1"/>
  <c r="C5426" i="1"/>
  <c r="D5426" i="1"/>
  <c r="E5426" i="1"/>
  <c r="F5426" i="1"/>
  <c r="G5426" i="1"/>
  <c r="H5426" i="1"/>
  <c r="A5427" i="1"/>
  <c r="B5427" i="1"/>
  <c r="C5427" i="1"/>
  <c r="D5427" i="1"/>
  <c r="E5427" i="1"/>
  <c r="F5427" i="1"/>
  <c r="G5427" i="1"/>
  <c r="H5427" i="1"/>
  <c r="A5428" i="1"/>
  <c r="B5428" i="1"/>
  <c r="C5428" i="1"/>
  <c r="D5428" i="1"/>
  <c r="E5428" i="1"/>
  <c r="F5428" i="1"/>
  <c r="G5428" i="1"/>
  <c r="H5428" i="1"/>
  <c r="A5429" i="1"/>
  <c r="B5429" i="1"/>
  <c r="C5429" i="1"/>
  <c r="D5429" i="1"/>
  <c r="E5429" i="1"/>
  <c r="F5429" i="1"/>
  <c r="G5429" i="1"/>
  <c r="H5429" i="1"/>
  <c r="A5430" i="1"/>
  <c r="B5430" i="1"/>
  <c r="C5430" i="1"/>
  <c r="D5430" i="1"/>
  <c r="E5430" i="1"/>
  <c r="F5430" i="1"/>
  <c r="G5430" i="1"/>
  <c r="H5430" i="1"/>
  <c r="A5431" i="1"/>
  <c r="B5431" i="1"/>
  <c r="C5431" i="1"/>
  <c r="D5431" i="1"/>
  <c r="E5431" i="1"/>
  <c r="F5431" i="1"/>
  <c r="G5431" i="1"/>
  <c r="H5431" i="1"/>
  <c r="A5432" i="1"/>
  <c r="B5432" i="1"/>
  <c r="C5432" i="1"/>
  <c r="D5432" i="1"/>
  <c r="E5432" i="1"/>
  <c r="F5432" i="1"/>
  <c r="G5432" i="1"/>
  <c r="H5432" i="1"/>
  <c r="A5433" i="1"/>
  <c r="B5433" i="1"/>
  <c r="C5433" i="1"/>
  <c r="D5433" i="1"/>
  <c r="E5433" i="1"/>
  <c r="F5433" i="1"/>
  <c r="G5433" i="1"/>
  <c r="H5433" i="1"/>
  <c r="A5434" i="1"/>
  <c r="B5434" i="1"/>
  <c r="C5434" i="1"/>
  <c r="D5434" i="1"/>
  <c r="E5434" i="1"/>
  <c r="F5434" i="1"/>
  <c r="G5434" i="1"/>
  <c r="H5434" i="1"/>
  <c r="A5435" i="1"/>
  <c r="B5435" i="1"/>
  <c r="C5435" i="1"/>
  <c r="D5435" i="1"/>
  <c r="E5435" i="1"/>
  <c r="F5435" i="1"/>
  <c r="G5435" i="1"/>
  <c r="H5435" i="1"/>
  <c r="A5436" i="1"/>
  <c r="B5436" i="1"/>
  <c r="C5436" i="1"/>
  <c r="D5436" i="1"/>
  <c r="E5436" i="1"/>
  <c r="F5436" i="1"/>
  <c r="G5436" i="1"/>
  <c r="H5436" i="1"/>
  <c r="A5437" i="1"/>
  <c r="B5437" i="1"/>
  <c r="C5437" i="1"/>
  <c r="D5437" i="1"/>
  <c r="E5437" i="1"/>
  <c r="F5437" i="1"/>
  <c r="G5437" i="1"/>
  <c r="H5437" i="1"/>
  <c r="A5438" i="1"/>
  <c r="B5438" i="1"/>
  <c r="C5438" i="1"/>
  <c r="D5438" i="1"/>
  <c r="E5438" i="1"/>
  <c r="F5438" i="1"/>
  <c r="G5438" i="1"/>
  <c r="H5438" i="1"/>
  <c r="A5439" i="1"/>
  <c r="B5439" i="1"/>
  <c r="C5439" i="1"/>
  <c r="D5439" i="1"/>
  <c r="E5439" i="1"/>
  <c r="F5439" i="1"/>
  <c r="G5439" i="1"/>
  <c r="H5439" i="1"/>
  <c r="A5440" i="1"/>
  <c r="B5440" i="1"/>
  <c r="C5440" i="1"/>
  <c r="D5440" i="1"/>
  <c r="E5440" i="1"/>
  <c r="F5440" i="1"/>
  <c r="G5440" i="1"/>
  <c r="H5440" i="1"/>
  <c r="A5441" i="1"/>
  <c r="B5441" i="1"/>
  <c r="C5441" i="1"/>
  <c r="D5441" i="1"/>
  <c r="E5441" i="1"/>
  <c r="F5441" i="1"/>
  <c r="G5441" i="1"/>
  <c r="H5441" i="1"/>
  <c r="A5442" i="1"/>
  <c r="B5442" i="1"/>
  <c r="C5442" i="1"/>
  <c r="D5442" i="1"/>
  <c r="E5442" i="1"/>
  <c r="F5442" i="1"/>
  <c r="G5442" i="1"/>
  <c r="H5442" i="1"/>
  <c r="A5443" i="1"/>
  <c r="B5443" i="1"/>
  <c r="C5443" i="1"/>
  <c r="D5443" i="1"/>
  <c r="E5443" i="1"/>
  <c r="F5443" i="1"/>
  <c r="G5443" i="1"/>
  <c r="H5443" i="1"/>
  <c r="A5444" i="1"/>
  <c r="B5444" i="1"/>
  <c r="C5444" i="1"/>
  <c r="D5444" i="1"/>
  <c r="E5444" i="1"/>
  <c r="F5444" i="1"/>
  <c r="G5444" i="1"/>
  <c r="H5444" i="1"/>
  <c r="A5445" i="1"/>
  <c r="B5445" i="1"/>
  <c r="C5445" i="1"/>
  <c r="D5445" i="1"/>
  <c r="E5445" i="1"/>
  <c r="F5445" i="1"/>
  <c r="G5445" i="1"/>
  <c r="H5445" i="1"/>
  <c r="A5446" i="1"/>
  <c r="B5446" i="1"/>
  <c r="C5446" i="1"/>
  <c r="D5446" i="1"/>
  <c r="E5446" i="1"/>
  <c r="F5446" i="1"/>
  <c r="G5446" i="1"/>
  <c r="H5446" i="1"/>
  <c r="A5447" i="1"/>
  <c r="B5447" i="1"/>
  <c r="C5447" i="1"/>
  <c r="D5447" i="1"/>
  <c r="E5447" i="1"/>
  <c r="F5447" i="1"/>
  <c r="G5447" i="1"/>
  <c r="H5447" i="1"/>
  <c r="A5448" i="1"/>
  <c r="B5448" i="1"/>
  <c r="C5448" i="1"/>
  <c r="D5448" i="1"/>
  <c r="E5448" i="1"/>
  <c r="F5448" i="1"/>
  <c r="G5448" i="1"/>
  <c r="H5448" i="1"/>
  <c r="A5449" i="1"/>
  <c r="B5449" i="1"/>
  <c r="C5449" i="1"/>
  <c r="D5449" i="1"/>
  <c r="E5449" i="1"/>
  <c r="F5449" i="1"/>
  <c r="G5449" i="1"/>
  <c r="H5449" i="1"/>
  <c r="A5450" i="1"/>
  <c r="B5450" i="1"/>
  <c r="C5450" i="1"/>
  <c r="D5450" i="1"/>
  <c r="E5450" i="1"/>
  <c r="F5450" i="1"/>
  <c r="G5450" i="1"/>
  <c r="H5450" i="1"/>
  <c r="A5451" i="1"/>
  <c r="B5451" i="1"/>
  <c r="C5451" i="1"/>
  <c r="D5451" i="1"/>
  <c r="E5451" i="1"/>
  <c r="F5451" i="1"/>
  <c r="G5451" i="1"/>
  <c r="H5451" i="1"/>
  <c r="A5452" i="1"/>
  <c r="B5452" i="1"/>
  <c r="C5452" i="1"/>
  <c r="D5452" i="1"/>
  <c r="E5452" i="1"/>
  <c r="F5452" i="1"/>
  <c r="G5452" i="1"/>
  <c r="H5452" i="1"/>
  <c r="A5453" i="1"/>
  <c r="B5453" i="1"/>
  <c r="C5453" i="1"/>
  <c r="D5453" i="1"/>
  <c r="E5453" i="1"/>
  <c r="F5453" i="1"/>
  <c r="G5453" i="1"/>
  <c r="H5453" i="1"/>
  <c r="A5454" i="1"/>
  <c r="B5454" i="1"/>
  <c r="C5454" i="1"/>
  <c r="D5454" i="1"/>
  <c r="E5454" i="1"/>
  <c r="F5454" i="1"/>
  <c r="G5454" i="1"/>
  <c r="H5454" i="1"/>
  <c r="A5455" i="1"/>
  <c r="B5455" i="1"/>
  <c r="C5455" i="1"/>
  <c r="D5455" i="1"/>
  <c r="E5455" i="1"/>
  <c r="F5455" i="1"/>
  <c r="G5455" i="1"/>
  <c r="H5455" i="1"/>
  <c r="A5456" i="1"/>
  <c r="B5456" i="1"/>
  <c r="C5456" i="1"/>
  <c r="D5456" i="1"/>
  <c r="E5456" i="1"/>
  <c r="F5456" i="1"/>
  <c r="G5456" i="1"/>
  <c r="H5456" i="1"/>
  <c r="A5457" i="1"/>
  <c r="B5457" i="1"/>
  <c r="C5457" i="1"/>
  <c r="D5457" i="1"/>
  <c r="E5457" i="1"/>
  <c r="F5457" i="1"/>
  <c r="G5457" i="1"/>
  <c r="H5457" i="1"/>
  <c r="A5458" i="1"/>
  <c r="B5458" i="1"/>
  <c r="C5458" i="1"/>
  <c r="D5458" i="1"/>
  <c r="E5458" i="1"/>
  <c r="F5458" i="1"/>
  <c r="G5458" i="1"/>
  <c r="H5458" i="1"/>
  <c r="A5459" i="1"/>
  <c r="B5459" i="1"/>
  <c r="C5459" i="1"/>
  <c r="D5459" i="1"/>
  <c r="E5459" i="1"/>
  <c r="F5459" i="1"/>
  <c r="G5459" i="1"/>
  <c r="H5459" i="1"/>
  <c r="A5460" i="1"/>
  <c r="B5460" i="1"/>
  <c r="C5460" i="1"/>
  <c r="D5460" i="1"/>
  <c r="E5460" i="1"/>
  <c r="F5460" i="1"/>
  <c r="G5460" i="1"/>
  <c r="H5460" i="1"/>
  <c r="A5461" i="1"/>
  <c r="B5461" i="1"/>
  <c r="C5461" i="1"/>
  <c r="D5461" i="1"/>
  <c r="E5461" i="1"/>
  <c r="F5461" i="1"/>
  <c r="G5461" i="1"/>
  <c r="H5461" i="1"/>
  <c r="A5462" i="1"/>
  <c r="B5462" i="1"/>
  <c r="C5462" i="1"/>
  <c r="D5462" i="1"/>
  <c r="E5462" i="1"/>
  <c r="F5462" i="1"/>
  <c r="G5462" i="1"/>
  <c r="H5462" i="1"/>
  <c r="A5463" i="1"/>
  <c r="B5463" i="1"/>
  <c r="C5463" i="1"/>
  <c r="D5463" i="1"/>
  <c r="E5463" i="1"/>
  <c r="F5463" i="1"/>
  <c r="G5463" i="1"/>
  <c r="H5463" i="1"/>
  <c r="A5464" i="1"/>
  <c r="B5464" i="1"/>
  <c r="C5464" i="1"/>
  <c r="D5464" i="1"/>
  <c r="E5464" i="1"/>
  <c r="F5464" i="1"/>
  <c r="G5464" i="1"/>
  <c r="H5464" i="1"/>
  <c r="A5465" i="1"/>
  <c r="B5465" i="1"/>
  <c r="C5465" i="1"/>
  <c r="D5465" i="1"/>
  <c r="E5465" i="1"/>
  <c r="F5465" i="1"/>
  <c r="G5465" i="1"/>
  <c r="H5465" i="1"/>
  <c r="A5466" i="1"/>
  <c r="B5466" i="1"/>
  <c r="C5466" i="1"/>
  <c r="D5466" i="1"/>
  <c r="E5466" i="1"/>
  <c r="F5466" i="1"/>
  <c r="G5466" i="1"/>
  <c r="H5466" i="1"/>
  <c r="A5467" i="1"/>
  <c r="B5467" i="1"/>
  <c r="C5467" i="1"/>
  <c r="D5467" i="1"/>
  <c r="E5467" i="1"/>
  <c r="F5467" i="1"/>
  <c r="G5467" i="1"/>
  <c r="H5467" i="1"/>
  <c r="A5468" i="1"/>
  <c r="B5468" i="1"/>
  <c r="C5468" i="1"/>
  <c r="D5468" i="1"/>
  <c r="E5468" i="1"/>
  <c r="F5468" i="1"/>
  <c r="G5468" i="1"/>
  <c r="H5468" i="1"/>
  <c r="A5469" i="1"/>
  <c r="B5469" i="1"/>
  <c r="C5469" i="1"/>
  <c r="D5469" i="1"/>
  <c r="E5469" i="1"/>
  <c r="F5469" i="1"/>
  <c r="G5469" i="1"/>
  <c r="H5469" i="1"/>
  <c r="A5470" i="1"/>
  <c r="B5470" i="1"/>
  <c r="C5470" i="1"/>
  <c r="D5470" i="1"/>
  <c r="E5470" i="1"/>
  <c r="F5470" i="1"/>
  <c r="G5470" i="1"/>
  <c r="H5470" i="1"/>
  <c r="A5471" i="1"/>
  <c r="B5471" i="1"/>
  <c r="C5471" i="1"/>
  <c r="D5471" i="1"/>
  <c r="E5471" i="1"/>
  <c r="F5471" i="1"/>
  <c r="G5471" i="1"/>
  <c r="H5471" i="1"/>
  <c r="A5472" i="1"/>
  <c r="B5472" i="1"/>
  <c r="C5472" i="1"/>
  <c r="D5472" i="1"/>
  <c r="E5472" i="1"/>
  <c r="F5472" i="1"/>
  <c r="G5472" i="1"/>
  <c r="H5472" i="1"/>
  <c r="A5473" i="1"/>
  <c r="B5473" i="1"/>
  <c r="C5473" i="1"/>
  <c r="D5473" i="1"/>
  <c r="E5473" i="1"/>
  <c r="F5473" i="1"/>
  <c r="G5473" i="1"/>
  <c r="H5473" i="1"/>
  <c r="A5474" i="1"/>
  <c r="B5474" i="1"/>
  <c r="C5474" i="1"/>
  <c r="D5474" i="1"/>
  <c r="E5474" i="1"/>
  <c r="F5474" i="1"/>
  <c r="G5474" i="1"/>
  <c r="H5474" i="1"/>
  <c r="A5475" i="1"/>
  <c r="B5475" i="1"/>
  <c r="C5475" i="1"/>
  <c r="D5475" i="1"/>
  <c r="E5475" i="1"/>
  <c r="F5475" i="1"/>
  <c r="G5475" i="1"/>
  <c r="H5475" i="1"/>
  <c r="A5476" i="1"/>
  <c r="B5476" i="1"/>
  <c r="C5476" i="1"/>
  <c r="D5476" i="1"/>
  <c r="E5476" i="1"/>
  <c r="F5476" i="1"/>
  <c r="G5476" i="1"/>
  <c r="H5476" i="1"/>
  <c r="A5477" i="1"/>
  <c r="B5477" i="1"/>
  <c r="C5477" i="1"/>
  <c r="D5477" i="1"/>
  <c r="E5477" i="1"/>
  <c r="F5477" i="1"/>
  <c r="G5477" i="1"/>
  <c r="H5477" i="1"/>
  <c r="A5478" i="1"/>
  <c r="B5478" i="1"/>
  <c r="C5478" i="1"/>
  <c r="D5478" i="1"/>
  <c r="E5478" i="1"/>
  <c r="F5478" i="1"/>
  <c r="G5478" i="1"/>
  <c r="H5478" i="1"/>
  <c r="A5479" i="1"/>
  <c r="B5479" i="1"/>
  <c r="C5479" i="1"/>
  <c r="D5479" i="1"/>
  <c r="E5479" i="1"/>
  <c r="F5479" i="1"/>
  <c r="G5479" i="1"/>
  <c r="H5479" i="1"/>
  <c r="A5480" i="1"/>
  <c r="B5480" i="1"/>
  <c r="C5480" i="1"/>
  <c r="D5480" i="1"/>
  <c r="E5480" i="1"/>
  <c r="F5480" i="1"/>
  <c r="G5480" i="1"/>
  <c r="H5480" i="1"/>
  <c r="A5481" i="1"/>
  <c r="B5481" i="1"/>
  <c r="C5481" i="1"/>
  <c r="D5481" i="1"/>
  <c r="E5481" i="1"/>
  <c r="F5481" i="1"/>
  <c r="G5481" i="1"/>
  <c r="H5481" i="1"/>
  <c r="A5482" i="1"/>
  <c r="B5482" i="1"/>
  <c r="C5482" i="1"/>
  <c r="D5482" i="1"/>
  <c r="E5482" i="1"/>
  <c r="F5482" i="1"/>
  <c r="G5482" i="1"/>
  <c r="H5482" i="1"/>
  <c r="A5483" i="1"/>
  <c r="B5483" i="1"/>
  <c r="C5483" i="1"/>
  <c r="D5483" i="1"/>
  <c r="E5483" i="1"/>
  <c r="F5483" i="1"/>
  <c r="G5483" i="1"/>
  <c r="H5483" i="1"/>
  <c r="A5484" i="1"/>
  <c r="B5484" i="1"/>
  <c r="C5484" i="1"/>
  <c r="D5484" i="1"/>
  <c r="E5484" i="1"/>
  <c r="F5484" i="1"/>
  <c r="G5484" i="1"/>
  <c r="H5484" i="1"/>
  <c r="A5485" i="1"/>
  <c r="B5485" i="1"/>
  <c r="C5485" i="1"/>
  <c r="D5485" i="1"/>
  <c r="E5485" i="1"/>
  <c r="F5485" i="1"/>
  <c r="G5485" i="1"/>
  <c r="H5485" i="1"/>
  <c r="A5486" i="1"/>
  <c r="B5486" i="1"/>
  <c r="C5486" i="1"/>
  <c r="D5486" i="1"/>
  <c r="E5486" i="1"/>
  <c r="F5486" i="1"/>
  <c r="G5486" i="1"/>
  <c r="H5486" i="1"/>
  <c r="A5487" i="1"/>
  <c r="B5487" i="1"/>
  <c r="C5487" i="1"/>
  <c r="D5487" i="1"/>
  <c r="E5487" i="1"/>
  <c r="F5487" i="1"/>
  <c r="G5487" i="1"/>
  <c r="H5487" i="1"/>
  <c r="A5488" i="1"/>
  <c r="B5488" i="1"/>
  <c r="C5488" i="1"/>
  <c r="D5488" i="1"/>
  <c r="E5488" i="1"/>
  <c r="F5488" i="1"/>
  <c r="G5488" i="1"/>
  <c r="H5488" i="1"/>
  <c r="A5489" i="1"/>
  <c r="B5489" i="1"/>
  <c r="C5489" i="1"/>
  <c r="D5489" i="1"/>
  <c r="E5489" i="1"/>
  <c r="F5489" i="1"/>
  <c r="G5489" i="1"/>
  <c r="H5489" i="1"/>
  <c r="A5490" i="1"/>
  <c r="B5490" i="1"/>
  <c r="C5490" i="1"/>
  <c r="D5490" i="1"/>
  <c r="E5490" i="1"/>
  <c r="F5490" i="1"/>
  <c r="G5490" i="1"/>
  <c r="H5490" i="1"/>
  <c r="A5491" i="1"/>
  <c r="B5491" i="1"/>
  <c r="C5491" i="1"/>
  <c r="D5491" i="1"/>
  <c r="E5491" i="1"/>
  <c r="F5491" i="1"/>
  <c r="G5491" i="1"/>
  <c r="H5491" i="1"/>
  <c r="A5492" i="1"/>
  <c r="B5492" i="1"/>
  <c r="C5492" i="1"/>
  <c r="D5492" i="1"/>
  <c r="E5492" i="1"/>
  <c r="F5492" i="1"/>
  <c r="G5492" i="1"/>
  <c r="H5492" i="1"/>
  <c r="A5493" i="1"/>
  <c r="B5493" i="1"/>
  <c r="C5493" i="1"/>
  <c r="D5493" i="1"/>
  <c r="E5493" i="1"/>
  <c r="F5493" i="1"/>
  <c r="G5493" i="1"/>
  <c r="H5493" i="1"/>
  <c r="A5494" i="1"/>
  <c r="B5494" i="1"/>
  <c r="C5494" i="1"/>
  <c r="D5494" i="1"/>
  <c r="E5494" i="1"/>
  <c r="F5494" i="1"/>
  <c r="G5494" i="1"/>
  <c r="H5494" i="1"/>
  <c r="A5495" i="1"/>
  <c r="B5495" i="1"/>
  <c r="C5495" i="1"/>
  <c r="D5495" i="1"/>
  <c r="E5495" i="1"/>
  <c r="F5495" i="1"/>
  <c r="G5495" i="1"/>
  <c r="H5495" i="1"/>
  <c r="A5496" i="1"/>
  <c r="B5496" i="1"/>
  <c r="C5496" i="1"/>
  <c r="D5496" i="1"/>
  <c r="E5496" i="1"/>
  <c r="F5496" i="1"/>
  <c r="G5496" i="1"/>
  <c r="H5496" i="1"/>
  <c r="A5497" i="1"/>
  <c r="B5497" i="1"/>
  <c r="C5497" i="1"/>
  <c r="D5497" i="1"/>
  <c r="E5497" i="1"/>
  <c r="F5497" i="1"/>
  <c r="G5497" i="1"/>
  <c r="H5497" i="1"/>
  <c r="A5498" i="1"/>
  <c r="B5498" i="1"/>
  <c r="C5498" i="1"/>
  <c r="D5498" i="1"/>
  <c r="E5498" i="1"/>
  <c r="F5498" i="1"/>
  <c r="G5498" i="1"/>
  <c r="H5498" i="1"/>
  <c r="A5499" i="1"/>
  <c r="B5499" i="1"/>
  <c r="C5499" i="1"/>
  <c r="D5499" i="1"/>
  <c r="E5499" i="1"/>
  <c r="F5499" i="1"/>
  <c r="G5499" i="1"/>
  <c r="H5499" i="1"/>
  <c r="A5500" i="1"/>
  <c r="B5500" i="1"/>
  <c r="C5500" i="1"/>
  <c r="D5500" i="1"/>
  <c r="E5500" i="1"/>
  <c r="F5500" i="1"/>
  <c r="G5500" i="1"/>
  <c r="H5500" i="1"/>
  <c r="A5501" i="1"/>
  <c r="B5501" i="1"/>
  <c r="C5501" i="1"/>
  <c r="D5501" i="1"/>
  <c r="E5501" i="1"/>
  <c r="F5501" i="1"/>
  <c r="G5501" i="1"/>
  <c r="H5501" i="1"/>
  <c r="A5502" i="1"/>
  <c r="B5502" i="1"/>
  <c r="C5502" i="1"/>
  <c r="D5502" i="1"/>
  <c r="E5502" i="1"/>
  <c r="F5502" i="1"/>
  <c r="G5502" i="1"/>
  <c r="H5502" i="1"/>
  <c r="A5503" i="1"/>
  <c r="B5503" i="1"/>
  <c r="C5503" i="1"/>
  <c r="D5503" i="1"/>
  <c r="E5503" i="1"/>
  <c r="F5503" i="1"/>
  <c r="G5503" i="1"/>
  <c r="H5503" i="1"/>
  <c r="A5504" i="1"/>
  <c r="B5504" i="1"/>
  <c r="C5504" i="1"/>
  <c r="D5504" i="1"/>
  <c r="E5504" i="1"/>
  <c r="F5504" i="1"/>
  <c r="G5504" i="1"/>
  <c r="H5504" i="1"/>
  <c r="A5505" i="1"/>
  <c r="B5505" i="1"/>
  <c r="C5505" i="1"/>
  <c r="D5505" i="1"/>
  <c r="E5505" i="1"/>
  <c r="F5505" i="1"/>
  <c r="G5505" i="1"/>
  <c r="H5505" i="1"/>
  <c r="A5506" i="1"/>
  <c r="B5506" i="1"/>
  <c r="C5506" i="1"/>
  <c r="D5506" i="1"/>
  <c r="E5506" i="1"/>
  <c r="F5506" i="1"/>
  <c r="G5506" i="1"/>
  <c r="H5506" i="1"/>
  <c r="A5507" i="1"/>
  <c r="B5507" i="1"/>
  <c r="C5507" i="1"/>
  <c r="D5507" i="1"/>
  <c r="E5507" i="1"/>
  <c r="F5507" i="1"/>
  <c r="G5507" i="1"/>
  <c r="H5507" i="1"/>
  <c r="A5508" i="1"/>
  <c r="B5508" i="1"/>
  <c r="C5508" i="1"/>
  <c r="D5508" i="1"/>
  <c r="E5508" i="1"/>
  <c r="F5508" i="1"/>
  <c r="G5508" i="1"/>
  <c r="H5508" i="1"/>
  <c r="A5509" i="1"/>
  <c r="B5509" i="1"/>
  <c r="C5509" i="1"/>
  <c r="D5509" i="1"/>
  <c r="E5509" i="1"/>
  <c r="F5509" i="1"/>
  <c r="G5509" i="1"/>
  <c r="H5509" i="1"/>
  <c r="A5510" i="1"/>
  <c r="B5510" i="1"/>
  <c r="C5510" i="1"/>
  <c r="D5510" i="1"/>
  <c r="E5510" i="1"/>
  <c r="F5510" i="1"/>
  <c r="G5510" i="1"/>
  <c r="H5510" i="1"/>
  <c r="A5511" i="1"/>
  <c r="B5511" i="1"/>
  <c r="C5511" i="1"/>
  <c r="D5511" i="1"/>
  <c r="E5511" i="1"/>
  <c r="F5511" i="1"/>
  <c r="G5511" i="1"/>
  <c r="H5511" i="1"/>
  <c r="A5512" i="1"/>
  <c r="B5512" i="1"/>
  <c r="C5512" i="1"/>
  <c r="D5512" i="1"/>
  <c r="E5512" i="1"/>
  <c r="F5512" i="1"/>
  <c r="G5512" i="1"/>
  <c r="H5512" i="1"/>
  <c r="A5513" i="1"/>
  <c r="B5513" i="1"/>
  <c r="C5513" i="1"/>
  <c r="D5513" i="1"/>
  <c r="E5513" i="1"/>
  <c r="F5513" i="1"/>
  <c r="G5513" i="1"/>
  <c r="H5513" i="1"/>
  <c r="A5514" i="1"/>
  <c r="B5514" i="1"/>
  <c r="C5514" i="1"/>
  <c r="D5514" i="1"/>
  <c r="E5514" i="1"/>
  <c r="F5514" i="1"/>
  <c r="G5514" i="1"/>
  <c r="H5514" i="1"/>
  <c r="A5515" i="1"/>
  <c r="B5515" i="1"/>
  <c r="C5515" i="1"/>
  <c r="D5515" i="1"/>
  <c r="E5515" i="1"/>
  <c r="F5515" i="1"/>
  <c r="G5515" i="1"/>
  <c r="H5515" i="1"/>
  <c r="A5516" i="1"/>
  <c r="B5516" i="1"/>
  <c r="C5516" i="1"/>
  <c r="D5516" i="1"/>
  <c r="E5516" i="1"/>
  <c r="F5516" i="1"/>
  <c r="G5516" i="1"/>
  <c r="H5516" i="1"/>
  <c r="A5517" i="1"/>
  <c r="B5517" i="1"/>
  <c r="C5517" i="1"/>
  <c r="D5517" i="1"/>
  <c r="E5517" i="1"/>
  <c r="F5517" i="1"/>
  <c r="G5517" i="1"/>
  <c r="H5517" i="1"/>
  <c r="A5518" i="1"/>
  <c r="B5518" i="1"/>
  <c r="C5518" i="1"/>
  <c r="D5518" i="1"/>
  <c r="E5518" i="1"/>
  <c r="F5518" i="1"/>
  <c r="G5518" i="1"/>
  <c r="H5518" i="1"/>
  <c r="A5519" i="1"/>
  <c r="B5519" i="1"/>
  <c r="C5519" i="1"/>
  <c r="D5519" i="1"/>
  <c r="E5519" i="1"/>
  <c r="F5519" i="1"/>
  <c r="G5519" i="1"/>
  <c r="H5519" i="1"/>
  <c r="A5520" i="1"/>
  <c r="B5520" i="1"/>
  <c r="C5520" i="1"/>
  <c r="D5520" i="1"/>
  <c r="E5520" i="1"/>
  <c r="F5520" i="1"/>
  <c r="G5520" i="1"/>
  <c r="H5520" i="1"/>
  <c r="A5521" i="1"/>
  <c r="B5521" i="1"/>
  <c r="C5521" i="1"/>
  <c r="D5521" i="1"/>
  <c r="E5521" i="1"/>
  <c r="F5521" i="1"/>
  <c r="G5521" i="1"/>
  <c r="H5521" i="1"/>
  <c r="A5522" i="1"/>
  <c r="B5522" i="1"/>
  <c r="C5522" i="1"/>
  <c r="D5522" i="1"/>
  <c r="E5522" i="1"/>
  <c r="F5522" i="1"/>
  <c r="G5522" i="1"/>
  <c r="H5522" i="1"/>
  <c r="A5523" i="1"/>
  <c r="B5523" i="1"/>
  <c r="C5523" i="1"/>
  <c r="D5523" i="1"/>
  <c r="E5523" i="1"/>
  <c r="F5523" i="1"/>
  <c r="G5523" i="1"/>
  <c r="H5523" i="1"/>
  <c r="A5524" i="1"/>
  <c r="B5524" i="1"/>
  <c r="C5524" i="1"/>
  <c r="D5524" i="1"/>
  <c r="E5524" i="1"/>
  <c r="F5524" i="1"/>
  <c r="G5524" i="1"/>
  <c r="H5524" i="1"/>
  <c r="A5525" i="1"/>
  <c r="B5525" i="1"/>
  <c r="C5525" i="1"/>
  <c r="D5525" i="1"/>
  <c r="E5525" i="1"/>
  <c r="F5525" i="1"/>
  <c r="G5525" i="1"/>
  <c r="H5525" i="1"/>
  <c r="A5526" i="1"/>
  <c r="B5526" i="1"/>
  <c r="C5526" i="1"/>
  <c r="D5526" i="1"/>
  <c r="E5526" i="1"/>
  <c r="F5526" i="1"/>
  <c r="G5526" i="1"/>
  <c r="H5526" i="1"/>
  <c r="A5527" i="1"/>
  <c r="B5527" i="1"/>
  <c r="C5527" i="1"/>
  <c r="D5527" i="1"/>
  <c r="E5527" i="1"/>
  <c r="F5527" i="1"/>
  <c r="G5527" i="1"/>
  <c r="H5527" i="1"/>
  <c r="A5528" i="1"/>
  <c r="B5528" i="1"/>
  <c r="C5528" i="1"/>
  <c r="D5528" i="1"/>
  <c r="E5528" i="1"/>
  <c r="F5528" i="1"/>
  <c r="G5528" i="1"/>
  <c r="H5528" i="1"/>
  <c r="A5529" i="1"/>
  <c r="B5529" i="1"/>
  <c r="C5529" i="1"/>
  <c r="D5529" i="1"/>
  <c r="E5529" i="1"/>
  <c r="F5529" i="1"/>
  <c r="G5529" i="1"/>
  <c r="H5529" i="1"/>
  <c r="A5530" i="1"/>
  <c r="B5530" i="1"/>
  <c r="C5530" i="1"/>
  <c r="D5530" i="1"/>
  <c r="E5530" i="1"/>
  <c r="F5530" i="1"/>
  <c r="G5530" i="1"/>
  <c r="H5530" i="1"/>
  <c r="A5531" i="1"/>
  <c r="B5531" i="1"/>
  <c r="C5531" i="1"/>
  <c r="D5531" i="1"/>
  <c r="E5531" i="1"/>
  <c r="F5531" i="1"/>
  <c r="G5531" i="1"/>
  <c r="H5531" i="1"/>
  <c r="A5532" i="1"/>
  <c r="B5532" i="1"/>
  <c r="C5532" i="1"/>
  <c r="D5532" i="1"/>
  <c r="E5532" i="1"/>
  <c r="F5532" i="1"/>
  <c r="G5532" i="1"/>
  <c r="H5532" i="1"/>
  <c r="A5533" i="1"/>
  <c r="B5533" i="1"/>
  <c r="C5533" i="1"/>
  <c r="D5533" i="1"/>
  <c r="E5533" i="1"/>
  <c r="F5533" i="1"/>
  <c r="G5533" i="1"/>
  <c r="H5533" i="1"/>
  <c r="A5534" i="1"/>
  <c r="B5534" i="1"/>
  <c r="C5534" i="1"/>
  <c r="D5534" i="1"/>
  <c r="E5534" i="1"/>
  <c r="F5534" i="1"/>
  <c r="G5534" i="1"/>
  <c r="H5534" i="1"/>
  <c r="A5535" i="1"/>
  <c r="B5535" i="1"/>
  <c r="C5535" i="1"/>
  <c r="D5535" i="1"/>
  <c r="E5535" i="1"/>
  <c r="F5535" i="1"/>
  <c r="G5535" i="1"/>
  <c r="H5535" i="1"/>
  <c r="A5536" i="1"/>
  <c r="B5536" i="1"/>
  <c r="C5536" i="1"/>
  <c r="D5536" i="1"/>
  <c r="E5536" i="1"/>
  <c r="F5536" i="1"/>
  <c r="G5536" i="1"/>
  <c r="H5536" i="1"/>
  <c r="A5537" i="1"/>
  <c r="B5537" i="1"/>
  <c r="C5537" i="1"/>
  <c r="D5537" i="1"/>
  <c r="E5537" i="1"/>
  <c r="F5537" i="1"/>
  <c r="G5537" i="1"/>
  <c r="H5537" i="1"/>
  <c r="A5538" i="1"/>
  <c r="B5538" i="1"/>
  <c r="C5538" i="1"/>
  <c r="D5538" i="1"/>
  <c r="E5538" i="1"/>
  <c r="F5538" i="1"/>
  <c r="G5538" i="1"/>
  <c r="H5538" i="1"/>
  <c r="A5539" i="1"/>
  <c r="B5539" i="1"/>
  <c r="C5539" i="1"/>
  <c r="D5539" i="1"/>
  <c r="E5539" i="1"/>
  <c r="F5539" i="1"/>
  <c r="G5539" i="1"/>
  <c r="H5539" i="1"/>
  <c r="A5540" i="1"/>
  <c r="B5540" i="1"/>
  <c r="C5540" i="1"/>
  <c r="D5540" i="1"/>
  <c r="E5540" i="1"/>
  <c r="F5540" i="1"/>
  <c r="G5540" i="1"/>
  <c r="H5540" i="1"/>
  <c r="A5541" i="1"/>
  <c r="B5541" i="1"/>
  <c r="C5541" i="1"/>
  <c r="D5541" i="1"/>
  <c r="E5541" i="1"/>
  <c r="F5541" i="1"/>
  <c r="G5541" i="1"/>
  <c r="H5541" i="1"/>
  <c r="A5542" i="1"/>
  <c r="B5542" i="1"/>
  <c r="C5542" i="1"/>
  <c r="D5542" i="1"/>
  <c r="E5542" i="1"/>
  <c r="F5542" i="1"/>
  <c r="G5542" i="1"/>
  <c r="H5542" i="1"/>
  <c r="A5543" i="1"/>
  <c r="B5543" i="1"/>
  <c r="C5543" i="1"/>
  <c r="D5543" i="1"/>
  <c r="E5543" i="1"/>
  <c r="F5543" i="1"/>
  <c r="G5543" i="1"/>
  <c r="H5543" i="1"/>
  <c r="A5544" i="1"/>
  <c r="B5544" i="1"/>
  <c r="C5544" i="1"/>
  <c r="D5544" i="1"/>
  <c r="E5544" i="1"/>
  <c r="F5544" i="1"/>
  <c r="G5544" i="1"/>
  <c r="H5544" i="1"/>
  <c r="A5545" i="1"/>
  <c r="B5545" i="1"/>
  <c r="C5545" i="1"/>
  <c r="D5545" i="1"/>
  <c r="E5545" i="1"/>
  <c r="F5545" i="1"/>
  <c r="G5545" i="1"/>
  <c r="H5545" i="1"/>
  <c r="A5546" i="1"/>
  <c r="B5546" i="1"/>
  <c r="C5546" i="1"/>
  <c r="D5546" i="1"/>
  <c r="E5546" i="1"/>
  <c r="F5546" i="1"/>
  <c r="G5546" i="1"/>
  <c r="H5546" i="1"/>
  <c r="A5547" i="1"/>
  <c r="B5547" i="1"/>
  <c r="C5547" i="1"/>
  <c r="D5547" i="1"/>
  <c r="E5547" i="1"/>
  <c r="F5547" i="1"/>
  <c r="G5547" i="1"/>
  <c r="H5547" i="1"/>
  <c r="A5548" i="1"/>
  <c r="B5548" i="1"/>
  <c r="C5548" i="1"/>
  <c r="D5548" i="1"/>
  <c r="E5548" i="1"/>
  <c r="F5548" i="1"/>
  <c r="G5548" i="1"/>
  <c r="H5548" i="1"/>
  <c r="A5549" i="1"/>
  <c r="B5549" i="1"/>
  <c r="C5549" i="1"/>
  <c r="D5549" i="1"/>
  <c r="E5549" i="1"/>
  <c r="F5549" i="1"/>
  <c r="G5549" i="1"/>
  <c r="H5549" i="1"/>
  <c r="A5550" i="1"/>
  <c r="B5550" i="1"/>
  <c r="C5550" i="1"/>
  <c r="D5550" i="1"/>
  <c r="E5550" i="1"/>
  <c r="F5550" i="1"/>
  <c r="G5550" i="1"/>
  <c r="H5550" i="1"/>
  <c r="A5551" i="1"/>
  <c r="B5551" i="1"/>
  <c r="C5551" i="1"/>
  <c r="D5551" i="1"/>
  <c r="E5551" i="1"/>
  <c r="F5551" i="1"/>
  <c r="G5551" i="1"/>
  <c r="H5551" i="1"/>
  <c r="A5552" i="1"/>
  <c r="B5552" i="1"/>
  <c r="C5552" i="1"/>
  <c r="D5552" i="1"/>
  <c r="E5552" i="1"/>
  <c r="F5552" i="1"/>
  <c r="G5552" i="1"/>
  <c r="H5552" i="1"/>
  <c r="A5553" i="1"/>
  <c r="B5553" i="1"/>
  <c r="C5553" i="1"/>
  <c r="D5553" i="1"/>
  <c r="E5553" i="1"/>
  <c r="F5553" i="1"/>
  <c r="G5553" i="1"/>
  <c r="H5553" i="1"/>
  <c r="A5554" i="1"/>
  <c r="B5554" i="1"/>
  <c r="C5554" i="1"/>
  <c r="D5554" i="1"/>
  <c r="E5554" i="1"/>
  <c r="F5554" i="1"/>
  <c r="G5554" i="1"/>
  <c r="H5554" i="1"/>
  <c r="A5555" i="1"/>
  <c r="B5555" i="1"/>
  <c r="C5555" i="1"/>
  <c r="D5555" i="1"/>
  <c r="E5555" i="1"/>
  <c r="F5555" i="1"/>
  <c r="G5555" i="1"/>
  <c r="H5555" i="1"/>
  <c r="A5556" i="1"/>
  <c r="B5556" i="1"/>
  <c r="C5556" i="1"/>
  <c r="D5556" i="1"/>
  <c r="E5556" i="1"/>
  <c r="F5556" i="1"/>
  <c r="G5556" i="1"/>
  <c r="H5556" i="1"/>
  <c r="A5557" i="1"/>
  <c r="B5557" i="1"/>
  <c r="C5557" i="1"/>
  <c r="D5557" i="1"/>
  <c r="E5557" i="1"/>
  <c r="F5557" i="1"/>
  <c r="G5557" i="1"/>
  <c r="H5557" i="1"/>
  <c r="A5558" i="1"/>
  <c r="B5558" i="1"/>
  <c r="C5558" i="1"/>
  <c r="D5558" i="1"/>
  <c r="E5558" i="1"/>
  <c r="F5558" i="1"/>
  <c r="G5558" i="1"/>
  <c r="H5558" i="1"/>
  <c r="A5559" i="1"/>
  <c r="B5559" i="1"/>
  <c r="C5559" i="1"/>
  <c r="D5559" i="1"/>
  <c r="E5559" i="1"/>
  <c r="F5559" i="1"/>
  <c r="G5559" i="1"/>
  <c r="H5559" i="1"/>
  <c r="A5560" i="1"/>
  <c r="B5560" i="1"/>
  <c r="C5560" i="1"/>
  <c r="D5560" i="1"/>
  <c r="E5560" i="1"/>
  <c r="F5560" i="1"/>
  <c r="G5560" i="1"/>
  <c r="H5560" i="1"/>
  <c r="A5561" i="1"/>
  <c r="B5561" i="1"/>
  <c r="C5561" i="1"/>
  <c r="D5561" i="1"/>
  <c r="E5561" i="1"/>
  <c r="F5561" i="1"/>
  <c r="G5561" i="1"/>
  <c r="H5561" i="1"/>
  <c r="A5562" i="1"/>
  <c r="B5562" i="1"/>
  <c r="C5562" i="1"/>
  <c r="D5562" i="1"/>
  <c r="E5562" i="1"/>
  <c r="F5562" i="1"/>
  <c r="G5562" i="1"/>
  <c r="H5562" i="1"/>
  <c r="A5563" i="1"/>
  <c r="B5563" i="1"/>
  <c r="C5563" i="1"/>
  <c r="D5563" i="1"/>
  <c r="E5563" i="1"/>
  <c r="F5563" i="1"/>
  <c r="G5563" i="1"/>
  <c r="H5563" i="1"/>
  <c r="A5564" i="1"/>
  <c r="B5564" i="1"/>
  <c r="C5564" i="1"/>
  <c r="D5564" i="1"/>
  <c r="E5564" i="1"/>
  <c r="F5564" i="1"/>
  <c r="G5564" i="1"/>
  <c r="H5564" i="1"/>
  <c r="A5565" i="1"/>
  <c r="B5565" i="1"/>
  <c r="C5565" i="1"/>
  <c r="D5565" i="1"/>
  <c r="E5565" i="1"/>
  <c r="F5565" i="1"/>
  <c r="G5565" i="1"/>
  <c r="H5565" i="1"/>
  <c r="A5566" i="1"/>
  <c r="B5566" i="1"/>
  <c r="C5566" i="1"/>
  <c r="D5566" i="1"/>
  <c r="E5566" i="1"/>
  <c r="F5566" i="1"/>
  <c r="G5566" i="1"/>
  <c r="H5566" i="1"/>
  <c r="A5567" i="1"/>
  <c r="B5567" i="1"/>
  <c r="C5567" i="1"/>
  <c r="D5567" i="1"/>
  <c r="E5567" i="1"/>
  <c r="F5567" i="1"/>
  <c r="G5567" i="1"/>
  <c r="H5567" i="1"/>
  <c r="A5568" i="1"/>
  <c r="B5568" i="1"/>
  <c r="C5568" i="1"/>
  <c r="D5568" i="1"/>
  <c r="E5568" i="1"/>
  <c r="F5568" i="1"/>
  <c r="G5568" i="1"/>
  <c r="H5568" i="1"/>
  <c r="A5569" i="1"/>
  <c r="B5569" i="1"/>
  <c r="C5569" i="1"/>
  <c r="D5569" i="1"/>
  <c r="E5569" i="1"/>
  <c r="F5569" i="1"/>
  <c r="G5569" i="1"/>
  <c r="H5569" i="1"/>
  <c r="A5570" i="1"/>
  <c r="B5570" i="1"/>
  <c r="C5570" i="1"/>
  <c r="D5570" i="1"/>
  <c r="E5570" i="1"/>
  <c r="F5570" i="1"/>
  <c r="G5570" i="1"/>
  <c r="H5570" i="1"/>
  <c r="A5571" i="1"/>
  <c r="B5571" i="1"/>
  <c r="C5571" i="1"/>
  <c r="D5571" i="1"/>
  <c r="E5571" i="1"/>
  <c r="F5571" i="1"/>
  <c r="G5571" i="1"/>
  <c r="H5571" i="1"/>
  <c r="A5572" i="1"/>
  <c r="B5572" i="1"/>
  <c r="C5572" i="1"/>
  <c r="D5572" i="1"/>
  <c r="E5572" i="1"/>
  <c r="F5572" i="1"/>
  <c r="G5572" i="1"/>
  <c r="H5572" i="1"/>
  <c r="A5573" i="1"/>
  <c r="B5573" i="1"/>
  <c r="C5573" i="1"/>
  <c r="D5573" i="1"/>
  <c r="E5573" i="1"/>
  <c r="F5573" i="1"/>
  <c r="G5573" i="1"/>
  <c r="H5573" i="1"/>
  <c r="A5574" i="1"/>
  <c r="B5574" i="1"/>
  <c r="C5574" i="1"/>
  <c r="D5574" i="1"/>
  <c r="E5574" i="1"/>
  <c r="F5574" i="1"/>
  <c r="G5574" i="1"/>
  <c r="H5574" i="1"/>
  <c r="A5575" i="1"/>
  <c r="B5575" i="1"/>
  <c r="C5575" i="1"/>
  <c r="D5575" i="1"/>
  <c r="E5575" i="1"/>
  <c r="F5575" i="1"/>
  <c r="G5575" i="1"/>
  <c r="H5575" i="1"/>
  <c r="A5576" i="1"/>
  <c r="B5576" i="1"/>
  <c r="C5576" i="1"/>
  <c r="D5576" i="1"/>
  <c r="E5576" i="1"/>
  <c r="F5576" i="1"/>
  <c r="G5576" i="1"/>
  <c r="H5576" i="1"/>
  <c r="A5577" i="1"/>
  <c r="B5577" i="1"/>
  <c r="C5577" i="1"/>
  <c r="D5577" i="1"/>
  <c r="E5577" i="1"/>
  <c r="F5577" i="1"/>
  <c r="G5577" i="1"/>
  <c r="H5577" i="1"/>
  <c r="A5578" i="1"/>
  <c r="B5578" i="1"/>
  <c r="C5578" i="1"/>
  <c r="D5578" i="1"/>
  <c r="E5578" i="1"/>
  <c r="F5578" i="1"/>
  <c r="G5578" i="1"/>
  <c r="H5578" i="1"/>
  <c r="A5579" i="1"/>
  <c r="B5579" i="1"/>
  <c r="C5579" i="1"/>
  <c r="D5579" i="1"/>
  <c r="E5579" i="1"/>
  <c r="F5579" i="1"/>
  <c r="G5579" i="1"/>
  <c r="H5579" i="1"/>
  <c r="A5580" i="1"/>
  <c r="B5580" i="1"/>
  <c r="C5580" i="1"/>
  <c r="D5580" i="1"/>
  <c r="E5580" i="1"/>
  <c r="F5580" i="1"/>
  <c r="G5580" i="1"/>
  <c r="H5580" i="1"/>
  <c r="A5581" i="1"/>
  <c r="B5581" i="1"/>
  <c r="C5581" i="1"/>
  <c r="D5581" i="1"/>
  <c r="E5581" i="1"/>
  <c r="F5581" i="1"/>
  <c r="G5581" i="1"/>
  <c r="H5581" i="1"/>
  <c r="A5582" i="1"/>
  <c r="B5582" i="1"/>
  <c r="C5582" i="1"/>
  <c r="D5582" i="1"/>
  <c r="E5582" i="1"/>
  <c r="F5582" i="1"/>
  <c r="G5582" i="1"/>
  <c r="H5582" i="1"/>
  <c r="A5583" i="1"/>
  <c r="B5583" i="1"/>
  <c r="C5583" i="1"/>
  <c r="D5583" i="1"/>
  <c r="E5583" i="1"/>
  <c r="F5583" i="1"/>
  <c r="G5583" i="1"/>
  <c r="H5583" i="1"/>
  <c r="A5584" i="1"/>
  <c r="B5584" i="1"/>
  <c r="C5584" i="1"/>
  <c r="D5584" i="1"/>
  <c r="E5584" i="1"/>
  <c r="F5584" i="1"/>
  <c r="G5584" i="1"/>
  <c r="H5584" i="1"/>
  <c r="A5585" i="1"/>
  <c r="B5585" i="1"/>
  <c r="C5585" i="1"/>
  <c r="D5585" i="1"/>
  <c r="E5585" i="1"/>
  <c r="F5585" i="1"/>
  <c r="G5585" i="1"/>
  <c r="H5585" i="1"/>
  <c r="A5586" i="1"/>
  <c r="B5586" i="1"/>
  <c r="C5586" i="1"/>
  <c r="D5586" i="1"/>
  <c r="E5586" i="1"/>
  <c r="F5586" i="1"/>
  <c r="G5586" i="1"/>
  <c r="H5586" i="1"/>
  <c r="A5587" i="1"/>
  <c r="B5587" i="1"/>
  <c r="C5587" i="1"/>
  <c r="D5587" i="1"/>
  <c r="E5587" i="1"/>
  <c r="F5587" i="1"/>
  <c r="G5587" i="1"/>
  <c r="H5587" i="1"/>
  <c r="A5588" i="1"/>
  <c r="B5588" i="1"/>
  <c r="C5588" i="1"/>
  <c r="D5588" i="1"/>
  <c r="E5588" i="1"/>
  <c r="F5588" i="1"/>
  <c r="G5588" i="1"/>
  <c r="H5588" i="1"/>
  <c r="A5589" i="1"/>
  <c r="B5589" i="1"/>
  <c r="C5589" i="1"/>
  <c r="D5589" i="1"/>
  <c r="E5589" i="1"/>
  <c r="F5589" i="1"/>
  <c r="G5589" i="1"/>
  <c r="H5589" i="1"/>
  <c r="A5590" i="1"/>
  <c r="B5590" i="1"/>
  <c r="C5590" i="1"/>
  <c r="D5590" i="1"/>
  <c r="E5590" i="1"/>
  <c r="F5590" i="1"/>
  <c r="G5590" i="1"/>
  <c r="H5590" i="1"/>
  <c r="A5591" i="1"/>
  <c r="B5591" i="1"/>
  <c r="C5591" i="1"/>
  <c r="D5591" i="1"/>
  <c r="E5591" i="1"/>
  <c r="F5591" i="1"/>
  <c r="G5591" i="1"/>
  <c r="H5591" i="1"/>
  <c r="A5592" i="1"/>
  <c r="B5592" i="1"/>
  <c r="C5592" i="1"/>
  <c r="D5592" i="1"/>
  <c r="E5592" i="1"/>
  <c r="F5592" i="1"/>
  <c r="G5592" i="1"/>
  <c r="H5592" i="1"/>
  <c r="A5593" i="1"/>
  <c r="B5593" i="1"/>
  <c r="C5593" i="1"/>
  <c r="D5593" i="1"/>
  <c r="E5593" i="1"/>
  <c r="F5593" i="1"/>
  <c r="G5593" i="1"/>
  <c r="H5593" i="1"/>
  <c r="A5594" i="1"/>
  <c r="B5594" i="1"/>
  <c r="C5594" i="1"/>
  <c r="D5594" i="1"/>
  <c r="E5594" i="1"/>
  <c r="F5594" i="1"/>
  <c r="G5594" i="1"/>
  <c r="H5594" i="1"/>
  <c r="A5595" i="1"/>
  <c r="B5595" i="1"/>
  <c r="C5595" i="1"/>
  <c r="D5595" i="1"/>
  <c r="E5595" i="1"/>
  <c r="F5595" i="1"/>
  <c r="G5595" i="1"/>
  <c r="H5595" i="1"/>
  <c r="A5596" i="1"/>
  <c r="B5596" i="1"/>
  <c r="C5596" i="1"/>
  <c r="D5596" i="1"/>
  <c r="E5596" i="1"/>
  <c r="F5596" i="1"/>
  <c r="G5596" i="1"/>
  <c r="H5596" i="1"/>
  <c r="A5597" i="1"/>
  <c r="B5597" i="1"/>
  <c r="C5597" i="1"/>
  <c r="D5597" i="1"/>
  <c r="E5597" i="1"/>
  <c r="F5597" i="1"/>
  <c r="G5597" i="1"/>
  <c r="H5597" i="1"/>
  <c r="A5598" i="1"/>
  <c r="B5598" i="1"/>
  <c r="C5598" i="1"/>
  <c r="D5598" i="1"/>
  <c r="E5598" i="1"/>
  <c r="F5598" i="1"/>
  <c r="G5598" i="1"/>
  <c r="H5598" i="1"/>
  <c r="A5599" i="1"/>
  <c r="B5599" i="1"/>
  <c r="C5599" i="1"/>
  <c r="D5599" i="1"/>
  <c r="E5599" i="1"/>
  <c r="F5599" i="1"/>
  <c r="G5599" i="1"/>
  <c r="H5599" i="1"/>
  <c r="A5600" i="1"/>
  <c r="B5600" i="1"/>
  <c r="C5600" i="1"/>
  <c r="D5600" i="1"/>
  <c r="E5600" i="1"/>
  <c r="F5600" i="1"/>
  <c r="G5600" i="1"/>
  <c r="H5600" i="1"/>
  <c r="A5601" i="1"/>
  <c r="B5601" i="1"/>
  <c r="C5601" i="1"/>
  <c r="D5601" i="1"/>
  <c r="E5601" i="1"/>
  <c r="F5601" i="1"/>
  <c r="G5601" i="1"/>
  <c r="H5601" i="1"/>
  <c r="A5602" i="1"/>
  <c r="B5602" i="1"/>
  <c r="C5602" i="1"/>
  <c r="D5602" i="1"/>
  <c r="E5602" i="1"/>
  <c r="F5602" i="1"/>
  <c r="G5602" i="1"/>
  <c r="H5602" i="1"/>
  <c r="A5603" i="1"/>
  <c r="B5603" i="1"/>
  <c r="C5603" i="1"/>
  <c r="D5603" i="1"/>
  <c r="E5603" i="1"/>
  <c r="F5603" i="1"/>
  <c r="G5603" i="1"/>
  <c r="H5603" i="1"/>
  <c r="A5604" i="1"/>
  <c r="B5604" i="1"/>
  <c r="C5604" i="1"/>
  <c r="D5604" i="1"/>
  <c r="E5604" i="1"/>
  <c r="F5604" i="1"/>
  <c r="G5604" i="1"/>
  <c r="H5604" i="1"/>
  <c r="A5605" i="1"/>
  <c r="B5605" i="1"/>
  <c r="C5605" i="1"/>
  <c r="D5605" i="1"/>
  <c r="E5605" i="1"/>
  <c r="F5605" i="1"/>
  <c r="G5605" i="1"/>
  <c r="H5605" i="1"/>
  <c r="A5606" i="1"/>
  <c r="B5606" i="1"/>
  <c r="C5606" i="1"/>
  <c r="D5606" i="1"/>
  <c r="E5606" i="1"/>
  <c r="F5606" i="1"/>
  <c r="G5606" i="1"/>
  <c r="H5606" i="1"/>
  <c r="A5607" i="1"/>
  <c r="B5607" i="1"/>
  <c r="C5607" i="1"/>
  <c r="D5607" i="1"/>
  <c r="E5607" i="1"/>
  <c r="F5607" i="1"/>
  <c r="G5607" i="1"/>
  <c r="H5607" i="1"/>
  <c r="A5608" i="1"/>
  <c r="B5608" i="1"/>
  <c r="C5608" i="1"/>
  <c r="D5608" i="1"/>
  <c r="E5608" i="1"/>
  <c r="F5608" i="1"/>
  <c r="G5608" i="1"/>
  <c r="H5608" i="1"/>
  <c r="A5609" i="1"/>
  <c r="B5609" i="1"/>
  <c r="C5609" i="1"/>
  <c r="D5609" i="1"/>
  <c r="E5609" i="1"/>
  <c r="F5609" i="1"/>
  <c r="G5609" i="1"/>
  <c r="H5609" i="1"/>
  <c r="A5610" i="1"/>
  <c r="B5610" i="1"/>
  <c r="C5610" i="1"/>
  <c r="D5610" i="1"/>
  <c r="E5610" i="1"/>
  <c r="F5610" i="1"/>
  <c r="G5610" i="1"/>
  <c r="H5610" i="1"/>
  <c r="A5611" i="1"/>
  <c r="B5611" i="1"/>
  <c r="C5611" i="1"/>
  <c r="D5611" i="1"/>
  <c r="E5611" i="1"/>
  <c r="F5611" i="1"/>
  <c r="G5611" i="1"/>
  <c r="H5611" i="1"/>
  <c r="A5612" i="1"/>
  <c r="B5612" i="1"/>
  <c r="C5612" i="1"/>
  <c r="D5612" i="1"/>
  <c r="E5612" i="1"/>
  <c r="F5612" i="1"/>
  <c r="G5612" i="1"/>
  <c r="H5612" i="1"/>
  <c r="A5613" i="1"/>
  <c r="B5613" i="1"/>
  <c r="C5613" i="1"/>
  <c r="D5613" i="1"/>
  <c r="E5613" i="1"/>
  <c r="F5613" i="1"/>
  <c r="G5613" i="1"/>
  <c r="H5613" i="1"/>
  <c r="A5614" i="1"/>
  <c r="B5614" i="1"/>
  <c r="C5614" i="1"/>
  <c r="D5614" i="1"/>
  <c r="E5614" i="1"/>
  <c r="F5614" i="1"/>
  <c r="G5614" i="1"/>
  <c r="H5614" i="1"/>
  <c r="A5615" i="1"/>
  <c r="B5615" i="1"/>
  <c r="C5615" i="1"/>
  <c r="D5615" i="1"/>
  <c r="E5615" i="1"/>
  <c r="F5615" i="1"/>
  <c r="G5615" i="1"/>
  <c r="H5615" i="1"/>
  <c r="A5616" i="1"/>
  <c r="B5616" i="1"/>
  <c r="C5616" i="1"/>
  <c r="D5616" i="1"/>
  <c r="E5616" i="1"/>
  <c r="F5616" i="1"/>
  <c r="G5616" i="1"/>
  <c r="H5616" i="1"/>
  <c r="A5617" i="1"/>
  <c r="B5617" i="1"/>
  <c r="C5617" i="1"/>
  <c r="D5617" i="1"/>
  <c r="E5617" i="1"/>
  <c r="F5617" i="1"/>
  <c r="G5617" i="1"/>
  <c r="H5617" i="1"/>
  <c r="A5618" i="1"/>
  <c r="B5618" i="1"/>
  <c r="C5618" i="1"/>
  <c r="D5618" i="1"/>
  <c r="E5618" i="1"/>
  <c r="F5618" i="1"/>
  <c r="G5618" i="1"/>
  <c r="H5618" i="1"/>
  <c r="A5619" i="1"/>
  <c r="B5619" i="1"/>
  <c r="C5619" i="1"/>
  <c r="D5619" i="1"/>
  <c r="E5619" i="1"/>
  <c r="F5619" i="1"/>
  <c r="G5619" i="1"/>
  <c r="H5619" i="1"/>
  <c r="A5620" i="1"/>
  <c r="B5620" i="1"/>
  <c r="C5620" i="1"/>
  <c r="D5620" i="1"/>
  <c r="E5620" i="1"/>
  <c r="F5620" i="1"/>
  <c r="G5620" i="1"/>
  <c r="H5620" i="1"/>
  <c r="A5621" i="1"/>
  <c r="B5621" i="1"/>
  <c r="C5621" i="1"/>
  <c r="D5621" i="1"/>
  <c r="E5621" i="1"/>
  <c r="F5621" i="1"/>
  <c r="G5621" i="1"/>
  <c r="H5621" i="1"/>
  <c r="A5622" i="1"/>
  <c r="B5622" i="1"/>
  <c r="C5622" i="1"/>
  <c r="D5622" i="1"/>
  <c r="E5622" i="1"/>
  <c r="F5622" i="1"/>
  <c r="G5622" i="1"/>
  <c r="H5622" i="1"/>
  <c r="A5623" i="1"/>
  <c r="B5623" i="1"/>
  <c r="C5623" i="1"/>
  <c r="D5623" i="1"/>
  <c r="E5623" i="1"/>
  <c r="F5623" i="1"/>
  <c r="G5623" i="1"/>
  <c r="H5623" i="1"/>
  <c r="A5624" i="1"/>
  <c r="B5624" i="1"/>
  <c r="C5624" i="1"/>
  <c r="D5624" i="1"/>
  <c r="E5624" i="1"/>
  <c r="F5624" i="1"/>
  <c r="G5624" i="1"/>
  <c r="H5624" i="1"/>
  <c r="A5625" i="1"/>
  <c r="B5625" i="1"/>
  <c r="C5625" i="1"/>
  <c r="D5625" i="1"/>
  <c r="E5625" i="1"/>
  <c r="F5625" i="1"/>
  <c r="G5625" i="1"/>
  <c r="H5625" i="1"/>
  <c r="A5626" i="1"/>
  <c r="B5626" i="1"/>
  <c r="C5626" i="1"/>
  <c r="D5626" i="1"/>
  <c r="E5626" i="1"/>
  <c r="F5626" i="1"/>
  <c r="G5626" i="1"/>
  <c r="H5626" i="1"/>
  <c r="A5627" i="1"/>
  <c r="B5627" i="1"/>
  <c r="C5627" i="1"/>
  <c r="D5627" i="1"/>
  <c r="E5627" i="1"/>
  <c r="F5627" i="1"/>
  <c r="G5627" i="1"/>
  <c r="H5627" i="1"/>
  <c r="A5628" i="1"/>
  <c r="B5628" i="1"/>
  <c r="C5628" i="1"/>
  <c r="D5628" i="1"/>
  <c r="E5628" i="1"/>
  <c r="F5628" i="1"/>
  <c r="G5628" i="1"/>
  <c r="H5628" i="1"/>
  <c r="A5629" i="1"/>
  <c r="B5629" i="1"/>
  <c r="C5629" i="1"/>
  <c r="D5629" i="1"/>
  <c r="E5629" i="1"/>
  <c r="F5629" i="1"/>
  <c r="G5629" i="1"/>
  <c r="H5629" i="1"/>
  <c r="A5630" i="1"/>
  <c r="B5630" i="1"/>
  <c r="C5630" i="1"/>
  <c r="D5630" i="1"/>
  <c r="E5630" i="1"/>
  <c r="F5630" i="1"/>
  <c r="G5630" i="1"/>
  <c r="H5630" i="1"/>
  <c r="A5631" i="1"/>
  <c r="B5631" i="1"/>
  <c r="C5631" i="1"/>
  <c r="D5631" i="1"/>
  <c r="E5631" i="1"/>
  <c r="F5631" i="1"/>
  <c r="G5631" i="1"/>
  <c r="H5631" i="1"/>
  <c r="A5632" i="1"/>
  <c r="B5632" i="1"/>
  <c r="C5632" i="1"/>
  <c r="D5632" i="1"/>
  <c r="E5632" i="1"/>
  <c r="F5632" i="1"/>
  <c r="G5632" i="1"/>
  <c r="H5632" i="1"/>
  <c r="A5633" i="1"/>
  <c r="B5633" i="1"/>
  <c r="C5633" i="1"/>
  <c r="D5633" i="1"/>
  <c r="E5633" i="1"/>
  <c r="F5633" i="1"/>
  <c r="G5633" i="1"/>
  <c r="H5633" i="1"/>
  <c r="A5634" i="1"/>
  <c r="B5634" i="1"/>
  <c r="C5634" i="1"/>
  <c r="D5634" i="1"/>
  <c r="E5634" i="1"/>
  <c r="F5634" i="1"/>
  <c r="G5634" i="1"/>
  <c r="H5634" i="1"/>
  <c r="A5635" i="1"/>
  <c r="B5635" i="1"/>
  <c r="C5635" i="1"/>
  <c r="D5635" i="1"/>
  <c r="E5635" i="1"/>
  <c r="F5635" i="1"/>
  <c r="G5635" i="1"/>
  <c r="H5635" i="1"/>
  <c r="A5636" i="1"/>
  <c r="B5636" i="1"/>
  <c r="C5636" i="1"/>
  <c r="D5636" i="1"/>
  <c r="E5636" i="1"/>
  <c r="F5636" i="1"/>
  <c r="G5636" i="1"/>
  <c r="H5636" i="1"/>
  <c r="A5637" i="1"/>
  <c r="B5637" i="1"/>
  <c r="C5637" i="1"/>
  <c r="D5637" i="1"/>
  <c r="E5637" i="1"/>
  <c r="F5637" i="1"/>
  <c r="G5637" i="1"/>
  <c r="H5637" i="1"/>
  <c r="A5638" i="1"/>
  <c r="B5638" i="1"/>
  <c r="C5638" i="1"/>
  <c r="D5638" i="1"/>
  <c r="E5638" i="1"/>
  <c r="F5638" i="1"/>
  <c r="G5638" i="1"/>
  <c r="H5638" i="1"/>
  <c r="A5639" i="1"/>
  <c r="B5639" i="1"/>
  <c r="C5639" i="1"/>
  <c r="D5639" i="1"/>
  <c r="E5639" i="1"/>
  <c r="F5639" i="1"/>
  <c r="G5639" i="1"/>
  <c r="H5639" i="1"/>
  <c r="A5640" i="1"/>
  <c r="B5640" i="1"/>
  <c r="C5640" i="1"/>
  <c r="D5640" i="1"/>
  <c r="E5640" i="1"/>
  <c r="F5640" i="1"/>
  <c r="G5640" i="1"/>
  <c r="H5640" i="1"/>
  <c r="A5641" i="1"/>
  <c r="B5641" i="1"/>
  <c r="C5641" i="1"/>
  <c r="D5641" i="1"/>
  <c r="E5641" i="1"/>
  <c r="F5641" i="1"/>
  <c r="G5641" i="1"/>
  <c r="H5641" i="1"/>
  <c r="A5642" i="1"/>
  <c r="B5642" i="1"/>
  <c r="C5642" i="1"/>
  <c r="D5642" i="1"/>
  <c r="E5642" i="1"/>
  <c r="F5642" i="1"/>
  <c r="G5642" i="1"/>
  <c r="H5642" i="1"/>
  <c r="A5643" i="1"/>
  <c r="B5643" i="1"/>
  <c r="C5643" i="1"/>
  <c r="D5643" i="1"/>
  <c r="E5643" i="1"/>
  <c r="F5643" i="1"/>
  <c r="G5643" i="1"/>
  <c r="H5643" i="1"/>
  <c r="A5644" i="1"/>
  <c r="B5644" i="1"/>
  <c r="C5644" i="1"/>
  <c r="D5644" i="1"/>
  <c r="E5644" i="1"/>
  <c r="F5644" i="1"/>
  <c r="G5644" i="1"/>
  <c r="H5644" i="1"/>
  <c r="A5645" i="1"/>
  <c r="B5645" i="1"/>
  <c r="C5645" i="1"/>
  <c r="D5645" i="1"/>
  <c r="E5645" i="1"/>
  <c r="F5645" i="1"/>
  <c r="G5645" i="1"/>
  <c r="H5645" i="1"/>
  <c r="A5646" i="1"/>
  <c r="B5646" i="1"/>
  <c r="C5646" i="1"/>
  <c r="D5646" i="1"/>
  <c r="E5646" i="1"/>
  <c r="F5646" i="1"/>
  <c r="G5646" i="1"/>
  <c r="H5646" i="1"/>
  <c r="A5647" i="1"/>
  <c r="B5647" i="1"/>
  <c r="C5647" i="1"/>
  <c r="D5647" i="1"/>
  <c r="E5647" i="1"/>
  <c r="F5647" i="1"/>
  <c r="G5647" i="1"/>
  <c r="H5647" i="1"/>
  <c r="A5648" i="1"/>
  <c r="B5648" i="1"/>
  <c r="C5648" i="1"/>
  <c r="D5648" i="1"/>
  <c r="E5648" i="1"/>
  <c r="F5648" i="1"/>
  <c r="G5648" i="1"/>
  <c r="H5648" i="1"/>
  <c r="A5649" i="1"/>
  <c r="B5649" i="1"/>
  <c r="C5649" i="1"/>
  <c r="D5649" i="1"/>
  <c r="E5649" i="1"/>
  <c r="F5649" i="1"/>
  <c r="G5649" i="1"/>
  <c r="H5649" i="1"/>
  <c r="A5650" i="1"/>
  <c r="B5650" i="1"/>
  <c r="C5650" i="1"/>
  <c r="D5650" i="1"/>
  <c r="E5650" i="1"/>
  <c r="F5650" i="1"/>
  <c r="G5650" i="1"/>
  <c r="H5650" i="1"/>
  <c r="A5651" i="1"/>
  <c r="B5651" i="1"/>
  <c r="C5651" i="1"/>
  <c r="D5651" i="1"/>
  <c r="E5651" i="1"/>
  <c r="F5651" i="1"/>
  <c r="G5651" i="1"/>
  <c r="H5651" i="1"/>
  <c r="A5652" i="1"/>
  <c r="B5652" i="1"/>
  <c r="C5652" i="1"/>
  <c r="D5652" i="1"/>
  <c r="E5652" i="1"/>
  <c r="F5652" i="1"/>
  <c r="G5652" i="1"/>
  <c r="H5652" i="1"/>
  <c r="A5653" i="1"/>
  <c r="B5653" i="1"/>
  <c r="C5653" i="1"/>
  <c r="D5653" i="1"/>
  <c r="E5653" i="1"/>
  <c r="F5653" i="1"/>
  <c r="G5653" i="1"/>
  <c r="H5653" i="1"/>
  <c r="A5654" i="1"/>
  <c r="B5654" i="1"/>
  <c r="C5654" i="1"/>
  <c r="D5654" i="1"/>
  <c r="E5654" i="1"/>
  <c r="F5654" i="1"/>
  <c r="G5654" i="1"/>
  <c r="H5654" i="1"/>
  <c r="A5655" i="1"/>
  <c r="B5655" i="1"/>
  <c r="C5655" i="1"/>
  <c r="D5655" i="1"/>
  <c r="E5655" i="1"/>
  <c r="F5655" i="1"/>
  <c r="G5655" i="1"/>
  <c r="H5655" i="1"/>
  <c r="A5656" i="1"/>
  <c r="B5656" i="1"/>
  <c r="C5656" i="1"/>
  <c r="D5656" i="1"/>
  <c r="E5656" i="1"/>
  <c r="F5656" i="1"/>
  <c r="G5656" i="1"/>
  <c r="H5656" i="1"/>
  <c r="A5657" i="1"/>
  <c r="B5657" i="1"/>
  <c r="C5657" i="1"/>
  <c r="D5657" i="1"/>
  <c r="E5657" i="1"/>
  <c r="F5657" i="1"/>
  <c r="G5657" i="1"/>
  <c r="H5657" i="1"/>
  <c r="A5658" i="1"/>
  <c r="B5658" i="1"/>
  <c r="C5658" i="1"/>
  <c r="D5658" i="1"/>
  <c r="E5658" i="1"/>
  <c r="F5658" i="1"/>
  <c r="G5658" i="1"/>
  <c r="H5658" i="1"/>
  <c r="A5659" i="1"/>
  <c r="B5659" i="1"/>
  <c r="C5659" i="1"/>
  <c r="D5659" i="1"/>
  <c r="E5659" i="1"/>
  <c r="F5659" i="1"/>
  <c r="G5659" i="1"/>
  <c r="H5659" i="1"/>
  <c r="A5660" i="1"/>
  <c r="B5660" i="1"/>
  <c r="C5660" i="1"/>
  <c r="D5660" i="1"/>
  <c r="E5660" i="1"/>
  <c r="F5660" i="1"/>
  <c r="G5660" i="1"/>
  <c r="H5660" i="1"/>
  <c r="A5661" i="1"/>
  <c r="B5661" i="1"/>
  <c r="C5661" i="1"/>
  <c r="D5661" i="1"/>
  <c r="E5661" i="1"/>
  <c r="F5661" i="1"/>
  <c r="G5661" i="1"/>
  <c r="H5661" i="1"/>
  <c r="A5662" i="1"/>
  <c r="B5662" i="1"/>
  <c r="C5662" i="1"/>
  <c r="D5662" i="1"/>
  <c r="E5662" i="1"/>
  <c r="F5662" i="1"/>
  <c r="G5662" i="1"/>
  <c r="H5662" i="1"/>
  <c r="A5663" i="1"/>
  <c r="B5663" i="1"/>
  <c r="C5663" i="1"/>
  <c r="D5663" i="1"/>
  <c r="E5663" i="1"/>
  <c r="F5663" i="1"/>
  <c r="G5663" i="1"/>
  <c r="H5663" i="1"/>
  <c r="A5664" i="1"/>
  <c r="B5664" i="1"/>
  <c r="C5664" i="1"/>
  <c r="D5664" i="1"/>
  <c r="E5664" i="1"/>
  <c r="F5664" i="1"/>
  <c r="G5664" i="1"/>
  <c r="H5664" i="1"/>
  <c r="A5665" i="1"/>
  <c r="B5665" i="1"/>
  <c r="C5665" i="1"/>
  <c r="D5665" i="1"/>
  <c r="E5665" i="1"/>
  <c r="F5665" i="1"/>
  <c r="G5665" i="1"/>
  <c r="H5665" i="1"/>
  <c r="A5666" i="1"/>
  <c r="B5666" i="1"/>
  <c r="C5666" i="1"/>
  <c r="D5666" i="1"/>
  <c r="E5666" i="1"/>
  <c r="F5666" i="1"/>
  <c r="G5666" i="1"/>
  <c r="H5666" i="1"/>
  <c r="A5667" i="1"/>
  <c r="B5667" i="1"/>
  <c r="C5667" i="1"/>
  <c r="D5667" i="1"/>
  <c r="E5667" i="1"/>
  <c r="F5667" i="1"/>
  <c r="G5667" i="1"/>
  <c r="H5667" i="1"/>
  <c r="A5668" i="1"/>
  <c r="B5668" i="1"/>
  <c r="C5668" i="1"/>
  <c r="D5668" i="1"/>
  <c r="E5668" i="1"/>
  <c r="F5668" i="1"/>
  <c r="G5668" i="1"/>
  <c r="H5668" i="1"/>
  <c r="A5669" i="1"/>
  <c r="B5669" i="1"/>
  <c r="C5669" i="1"/>
  <c r="D5669" i="1"/>
  <c r="E5669" i="1"/>
  <c r="F5669" i="1"/>
  <c r="G5669" i="1"/>
  <c r="H5669" i="1"/>
  <c r="A5670" i="1"/>
  <c r="B5670" i="1"/>
  <c r="C5670" i="1"/>
  <c r="D5670" i="1"/>
  <c r="E5670" i="1"/>
  <c r="F5670" i="1"/>
  <c r="G5670" i="1"/>
  <c r="H5670" i="1"/>
  <c r="A5671" i="1"/>
  <c r="B5671" i="1"/>
  <c r="C5671" i="1"/>
  <c r="D5671" i="1"/>
  <c r="E5671" i="1"/>
  <c r="F5671" i="1"/>
  <c r="G5671" i="1"/>
  <c r="H5671" i="1"/>
  <c r="A5672" i="1"/>
  <c r="B5672" i="1"/>
  <c r="C5672" i="1"/>
  <c r="D5672" i="1"/>
  <c r="E5672" i="1"/>
  <c r="F5672" i="1"/>
  <c r="G5672" i="1"/>
  <c r="H5672" i="1"/>
  <c r="A5673" i="1"/>
  <c r="B5673" i="1"/>
  <c r="C5673" i="1"/>
  <c r="D5673" i="1"/>
  <c r="E5673" i="1"/>
  <c r="F5673" i="1"/>
  <c r="G5673" i="1"/>
  <c r="H5673" i="1"/>
  <c r="A5674" i="1"/>
  <c r="B5674" i="1"/>
  <c r="C5674" i="1"/>
  <c r="D5674" i="1"/>
  <c r="E5674" i="1"/>
  <c r="F5674" i="1"/>
  <c r="G5674" i="1"/>
  <c r="H5674" i="1"/>
  <c r="A5675" i="1"/>
  <c r="B5675" i="1"/>
  <c r="C5675" i="1"/>
  <c r="D5675" i="1"/>
  <c r="E5675" i="1"/>
  <c r="F5675" i="1"/>
  <c r="G5675" i="1"/>
  <c r="H5675" i="1"/>
  <c r="A5676" i="1"/>
  <c r="B5676" i="1"/>
  <c r="C5676" i="1"/>
  <c r="D5676" i="1"/>
  <c r="E5676" i="1"/>
  <c r="F5676" i="1"/>
  <c r="G5676" i="1"/>
  <c r="H5676" i="1"/>
  <c r="A5677" i="1"/>
  <c r="B5677" i="1"/>
  <c r="C5677" i="1"/>
  <c r="D5677" i="1"/>
  <c r="E5677" i="1"/>
  <c r="F5677" i="1"/>
  <c r="G5677" i="1"/>
  <c r="H5677" i="1"/>
  <c r="A5678" i="1"/>
  <c r="B5678" i="1"/>
  <c r="C5678" i="1"/>
  <c r="D5678" i="1"/>
  <c r="E5678" i="1"/>
  <c r="F5678" i="1"/>
  <c r="G5678" i="1"/>
  <c r="H5678" i="1"/>
  <c r="A5679" i="1"/>
  <c r="B5679" i="1"/>
  <c r="C5679" i="1"/>
  <c r="D5679" i="1"/>
  <c r="E5679" i="1"/>
  <c r="F5679" i="1"/>
  <c r="G5679" i="1"/>
  <c r="H5679" i="1"/>
  <c r="A5680" i="1"/>
  <c r="B5680" i="1"/>
  <c r="C5680" i="1"/>
  <c r="D5680" i="1"/>
  <c r="E5680" i="1"/>
  <c r="F5680" i="1"/>
  <c r="G5680" i="1"/>
  <c r="H5680" i="1"/>
  <c r="A5681" i="1"/>
  <c r="B5681" i="1"/>
  <c r="C5681" i="1"/>
  <c r="D5681" i="1"/>
  <c r="E5681" i="1"/>
  <c r="F5681" i="1"/>
  <c r="G5681" i="1"/>
  <c r="H5681" i="1"/>
  <c r="A5682" i="1"/>
  <c r="B5682" i="1"/>
  <c r="C5682" i="1"/>
  <c r="D5682" i="1"/>
  <c r="E5682" i="1"/>
  <c r="F5682" i="1"/>
  <c r="G5682" i="1"/>
  <c r="H5682" i="1"/>
  <c r="A5683" i="1"/>
  <c r="B5683" i="1"/>
  <c r="C5683" i="1"/>
  <c r="D5683" i="1"/>
  <c r="E5683" i="1"/>
  <c r="F5683" i="1"/>
  <c r="G5683" i="1"/>
  <c r="H5683" i="1"/>
  <c r="A5684" i="1"/>
  <c r="B5684" i="1"/>
  <c r="C5684" i="1"/>
  <c r="D5684" i="1"/>
  <c r="E5684" i="1"/>
  <c r="F5684" i="1"/>
  <c r="G5684" i="1"/>
  <c r="H5684" i="1"/>
  <c r="A5685" i="1"/>
  <c r="B5685" i="1"/>
  <c r="C5685" i="1"/>
  <c r="D5685" i="1"/>
  <c r="E5685" i="1"/>
  <c r="F5685" i="1"/>
  <c r="G5685" i="1"/>
  <c r="H5685" i="1"/>
  <c r="A5686" i="1"/>
  <c r="B5686" i="1"/>
  <c r="C5686" i="1"/>
  <c r="D5686" i="1"/>
  <c r="E5686" i="1"/>
  <c r="F5686" i="1"/>
  <c r="G5686" i="1"/>
  <c r="H5686" i="1"/>
  <c r="A5687" i="1"/>
  <c r="B5687" i="1"/>
  <c r="C5687" i="1"/>
  <c r="D5687" i="1"/>
  <c r="E5687" i="1"/>
  <c r="F5687" i="1"/>
  <c r="G5687" i="1"/>
  <c r="H5687" i="1"/>
  <c r="A5688" i="1"/>
  <c r="B5688" i="1"/>
  <c r="C5688" i="1"/>
  <c r="D5688" i="1"/>
  <c r="E5688" i="1"/>
  <c r="F5688" i="1"/>
  <c r="G5688" i="1"/>
  <c r="H5688" i="1"/>
  <c r="A5689" i="1"/>
  <c r="B5689" i="1"/>
  <c r="C5689" i="1"/>
  <c r="D5689" i="1"/>
  <c r="E5689" i="1"/>
  <c r="F5689" i="1"/>
  <c r="G5689" i="1"/>
  <c r="H5689" i="1"/>
  <c r="A5690" i="1"/>
  <c r="B5690" i="1"/>
  <c r="C5690" i="1"/>
  <c r="D5690" i="1"/>
  <c r="E5690" i="1"/>
  <c r="F5690" i="1"/>
  <c r="G5690" i="1"/>
  <c r="H5690" i="1"/>
  <c r="A5691" i="1"/>
  <c r="B5691" i="1"/>
  <c r="C5691" i="1"/>
  <c r="D5691" i="1"/>
  <c r="E5691" i="1"/>
  <c r="F5691" i="1"/>
  <c r="G5691" i="1"/>
  <c r="H5691" i="1"/>
  <c r="A5692" i="1"/>
  <c r="B5692" i="1"/>
  <c r="C5692" i="1"/>
  <c r="D5692" i="1"/>
  <c r="E5692" i="1"/>
  <c r="F5692" i="1"/>
  <c r="G5692" i="1"/>
  <c r="H5692" i="1"/>
  <c r="A5693" i="1"/>
  <c r="B5693" i="1"/>
  <c r="C5693" i="1"/>
  <c r="D5693" i="1"/>
  <c r="E5693" i="1"/>
  <c r="F5693" i="1"/>
  <c r="G5693" i="1"/>
  <c r="H5693" i="1"/>
  <c r="A5694" i="1"/>
  <c r="B5694" i="1"/>
  <c r="C5694" i="1"/>
  <c r="D5694" i="1"/>
  <c r="E5694" i="1"/>
  <c r="F5694" i="1"/>
  <c r="G5694" i="1"/>
  <c r="H5694" i="1"/>
  <c r="A5695" i="1"/>
  <c r="B5695" i="1"/>
  <c r="C5695" i="1"/>
  <c r="D5695" i="1"/>
  <c r="E5695" i="1"/>
  <c r="F5695" i="1"/>
  <c r="G5695" i="1"/>
  <c r="H5695" i="1"/>
  <c r="A5696" i="1"/>
  <c r="B5696" i="1"/>
  <c r="C5696" i="1"/>
  <c r="D5696" i="1"/>
  <c r="E5696" i="1"/>
  <c r="F5696" i="1"/>
  <c r="G5696" i="1"/>
  <c r="H5696" i="1"/>
  <c r="A5697" i="1"/>
  <c r="B5697" i="1"/>
  <c r="C5697" i="1"/>
  <c r="D5697" i="1"/>
  <c r="E5697" i="1"/>
  <c r="F5697" i="1"/>
  <c r="G5697" i="1"/>
  <c r="H5697" i="1"/>
  <c r="A5698" i="1"/>
  <c r="B5698" i="1"/>
  <c r="C5698" i="1"/>
  <c r="D5698" i="1"/>
  <c r="E5698" i="1"/>
  <c r="F5698" i="1"/>
  <c r="G5698" i="1"/>
  <c r="H5698" i="1"/>
  <c r="A5699" i="1"/>
  <c r="B5699" i="1"/>
  <c r="C5699" i="1"/>
  <c r="D5699" i="1"/>
  <c r="E5699" i="1"/>
  <c r="F5699" i="1"/>
  <c r="G5699" i="1"/>
  <c r="H5699" i="1"/>
  <c r="A5700" i="1"/>
  <c r="B5700" i="1"/>
  <c r="C5700" i="1"/>
  <c r="D5700" i="1"/>
  <c r="E5700" i="1"/>
  <c r="F5700" i="1"/>
  <c r="G5700" i="1"/>
  <c r="H5700" i="1"/>
  <c r="A5701" i="1"/>
  <c r="B5701" i="1"/>
  <c r="C5701" i="1"/>
  <c r="D5701" i="1"/>
  <c r="E5701" i="1"/>
  <c r="F5701" i="1"/>
  <c r="G5701" i="1"/>
  <c r="H5701" i="1"/>
  <c r="A5702" i="1"/>
  <c r="B5702" i="1"/>
  <c r="C5702" i="1"/>
  <c r="D5702" i="1"/>
  <c r="E5702" i="1"/>
  <c r="F5702" i="1"/>
  <c r="G5702" i="1"/>
  <c r="H5702" i="1"/>
  <c r="A5703" i="1"/>
  <c r="B5703" i="1"/>
  <c r="C5703" i="1"/>
  <c r="D5703" i="1"/>
  <c r="E5703" i="1"/>
  <c r="F5703" i="1"/>
  <c r="G5703" i="1"/>
  <c r="H5703" i="1"/>
  <c r="A5704" i="1"/>
  <c r="B5704" i="1"/>
  <c r="C5704" i="1"/>
  <c r="D5704" i="1"/>
  <c r="E5704" i="1"/>
  <c r="F5704" i="1"/>
  <c r="G5704" i="1"/>
  <c r="H5704" i="1"/>
  <c r="A5705" i="1"/>
  <c r="B5705" i="1"/>
  <c r="C5705" i="1"/>
  <c r="D5705" i="1"/>
  <c r="E5705" i="1"/>
  <c r="F5705" i="1"/>
  <c r="G5705" i="1"/>
  <c r="H5705" i="1"/>
  <c r="A5706" i="1"/>
  <c r="B5706" i="1"/>
  <c r="C5706" i="1"/>
  <c r="D5706" i="1"/>
  <c r="E5706" i="1"/>
  <c r="F5706" i="1"/>
  <c r="G5706" i="1"/>
  <c r="H5706" i="1"/>
  <c r="A5707" i="1"/>
  <c r="B5707" i="1"/>
  <c r="C5707" i="1"/>
  <c r="D5707" i="1"/>
  <c r="E5707" i="1"/>
  <c r="F5707" i="1"/>
  <c r="G5707" i="1"/>
  <c r="H5707" i="1"/>
  <c r="A5708" i="1"/>
  <c r="B5708" i="1"/>
  <c r="C5708" i="1"/>
  <c r="D5708" i="1"/>
  <c r="E5708" i="1"/>
  <c r="F5708" i="1"/>
  <c r="G5708" i="1"/>
  <c r="H5708" i="1"/>
  <c r="A5709" i="1"/>
  <c r="B5709" i="1"/>
  <c r="C5709" i="1"/>
  <c r="D5709" i="1"/>
  <c r="E5709" i="1"/>
  <c r="F5709" i="1"/>
  <c r="G5709" i="1"/>
  <c r="H5709" i="1"/>
  <c r="A5710" i="1"/>
  <c r="B5710" i="1"/>
  <c r="C5710" i="1"/>
  <c r="D5710" i="1"/>
  <c r="E5710" i="1"/>
  <c r="F5710" i="1"/>
  <c r="G5710" i="1"/>
  <c r="H5710" i="1"/>
  <c r="A5711" i="1"/>
  <c r="B5711" i="1"/>
  <c r="C5711" i="1"/>
  <c r="D5711" i="1"/>
  <c r="E5711" i="1"/>
  <c r="F5711" i="1"/>
  <c r="G5711" i="1"/>
  <c r="H5711" i="1"/>
  <c r="A5712" i="1"/>
  <c r="B5712" i="1"/>
  <c r="C5712" i="1"/>
  <c r="D5712" i="1"/>
  <c r="E5712" i="1"/>
  <c r="F5712" i="1"/>
  <c r="G5712" i="1"/>
  <c r="H5712" i="1"/>
  <c r="A5713" i="1"/>
  <c r="B5713" i="1"/>
  <c r="C5713" i="1"/>
  <c r="D5713" i="1"/>
  <c r="E5713" i="1"/>
  <c r="F5713" i="1"/>
  <c r="G5713" i="1"/>
  <c r="H5713" i="1"/>
  <c r="A5714" i="1"/>
  <c r="B5714" i="1"/>
  <c r="C5714" i="1"/>
  <c r="D5714" i="1"/>
  <c r="E5714" i="1"/>
  <c r="F5714" i="1"/>
  <c r="G5714" i="1"/>
  <c r="H5714" i="1"/>
  <c r="A5715" i="1"/>
  <c r="B5715" i="1"/>
  <c r="C5715" i="1"/>
  <c r="D5715" i="1"/>
  <c r="E5715" i="1"/>
  <c r="F5715" i="1"/>
  <c r="G5715" i="1"/>
  <c r="H5715" i="1"/>
  <c r="A5716" i="1"/>
  <c r="B5716" i="1"/>
  <c r="C5716" i="1"/>
  <c r="D5716" i="1"/>
  <c r="E5716" i="1"/>
  <c r="F5716" i="1"/>
  <c r="G5716" i="1"/>
  <c r="H5716" i="1"/>
  <c r="A5717" i="1"/>
  <c r="B5717" i="1"/>
  <c r="C5717" i="1"/>
  <c r="D5717" i="1"/>
  <c r="E5717" i="1"/>
  <c r="F5717" i="1"/>
  <c r="G5717" i="1"/>
  <c r="H5717" i="1"/>
  <c r="A5718" i="1"/>
  <c r="B5718" i="1"/>
  <c r="C5718" i="1"/>
  <c r="D5718" i="1"/>
  <c r="E5718" i="1"/>
  <c r="F5718" i="1"/>
  <c r="G5718" i="1"/>
  <c r="H5718" i="1"/>
  <c r="A5719" i="1"/>
  <c r="B5719" i="1"/>
  <c r="C5719" i="1"/>
  <c r="D5719" i="1"/>
  <c r="E5719" i="1"/>
  <c r="F5719" i="1"/>
  <c r="G5719" i="1"/>
  <c r="H5719" i="1"/>
  <c r="A5720" i="1"/>
  <c r="B5720" i="1"/>
  <c r="C5720" i="1"/>
  <c r="D5720" i="1"/>
  <c r="E5720" i="1"/>
  <c r="F5720" i="1"/>
  <c r="G5720" i="1"/>
  <c r="H5720" i="1"/>
  <c r="A5721" i="1"/>
  <c r="B5721" i="1"/>
  <c r="C5721" i="1"/>
  <c r="D5721" i="1"/>
  <c r="E5721" i="1"/>
  <c r="F5721" i="1"/>
  <c r="G5721" i="1"/>
  <c r="H5721" i="1"/>
  <c r="A5722" i="1"/>
  <c r="B5722" i="1"/>
  <c r="C5722" i="1"/>
  <c r="D5722" i="1"/>
  <c r="E5722" i="1"/>
  <c r="F5722" i="1"/>
  <c r="G5722" i="1"/>
  <c r="H5722" i="1"/>
  <c r="A5723" i="1"/>
  <c r="B5723" i="1"/>
  <c r="C5723" i="1"/>
  <c r="D5723" i="1"/>
  <c r="E5723" i="1"/>
  <c r="F5723" i="1"/>
  <c r="G5723" i="1"/>
  <c r="H5723" i="1"/>
  <c r="A5724" i="1"/>
  <c r="B5724" i="1"/>
  <c r="C5724" i="1"/>
  <c r="D5724" i="1"/>
  <c r="E5724" i="1"/>
  <c r="F5724" i="1"/>
  <c r="G5724" i="1"/>
  <c r="H5724" i="1"/>
  <c r="A5725" i="1"/>
  <c r="B5725" i="1"/>
  <c r="C5725" i="1"/>
  <c r="D5725" i="1"/>
  <c r="E5725" i="1"/>
  <c r="F5725" i="1"/>
  <c r="G5725" i="1"/>
  <c r="H5725" i="1"/>
  <c r="A5726" i="1"/>
  <c r="B5726" i="1"/>
  <c r="C5726" i="1"/>
  <c r="D5726" i="1"/>
  <c r="E5726" i="1"/>
  <c r="F5726" i="1"/>
  <c r="G5726" i="1"/>
  <c r="H5726" i="1"/>
  <c r="A5727" i="1"/>
  <c r="B5727" i="1"/>
  <c r="C5727" i="1"/>
  <c r="D5727" i="1"/>
  <c r="E5727" i="1"/>
  <c r="F5727" i="1"/>
  <c r="G5727" i="1"/>
  <c r="H5727" i="1"/>
  <c r="A5728" i="1"/>
  <c r="B5728" i="1"/>
  <c r="C5728" i="1"/>
  <c r="D5728" i="1"/>
  <c r="E5728" i="1"/>
  <c r="F5728" i="1"/>
  <c r="G5728" i="1"/>
  <c r="H5728" i="1"/>
  <c r="A5729" i="1"/>
  <c r="B5729" i="1"/>
  <c r="C5729" i="1"/>
  <c r="D5729" i="1"/>
  <c r="E5729" i="1"/>
  <c r="F5729" i="1"/>
  <c r="G5729" i="1"/>
  <c r="H5729" i="1"/>
  <c r="A5730" i="1"/>
  <c r="B5730" i="1"/>
  <c r="C5730" i="1"/>
  <c r="D5730" i="1"/>
  <c r="E5730" i="1"/>
  <c r="F5730" i="1"/>
  <c r="G5730" i="1"/>
  <c r="H5730" i="1"/>
  <c r="A5731" i="1"/>
  <c r="B5731" i="1"/>
  <c r="C5731" i="1"/>
  <c r="D5731" i="1"/>
  <c r="E5731" i="1"/>
  <c r="F5731" i="1"/>
  <c r="G5731" i="1"/>
  <c r="H5731" i="1"/>
  <c r="A5732" i="1"/>
  <c r="B5732" i="1"/>
  <c r="C5732" i="1"/>
  <c r="D5732" i="1"/>
  <c r="E5732" i="1"/>
  <c r="F5732" i="1"/>
  <c r="G5732" i="1"/>
  <c r="H5732" i="1"/>
  <c r="A5733" i="1"/>
  <c r="B5733" i="1"/>
  <c r="C5733" i="1"/>
  <c r="D5733" i="1"/>
  <c r="E5733" i="1"/>
  <c r="F5733" i="1"/>
  <c r="G5733" i="1"/>
  <c r="H5733" i="1"/>
  <c r="A5734" i="1"/>
  <c r="B5734" i="1"/>
  <c r="C5734" i="1"/>
  <c r="D5734" i="1"/>
  <c r="E5734" i="1"/>
  <c r="F5734" i="1"/>
  <c r="G5734" i="1"/>
  <c r="H5734" i="1"/>
  <c r="A5735" i="1"/>
  <c r="B5735" i="1"/>
  <c r="C5735" i="1"/>
  <c r="D5735" i="1"/>
  <c r="E5735" i="1"/>
  <c r="F5735" i="1"/>
  <c r="G5735" i="1"/>
  <c r="H5735" i="1"/>
  <c r="A5736" i="1"/>
  <c r="B5736" i="1"/>
  <c r="C5736" i="1"/>
  <c r="D5736" i="1"/>
  <c r="E5736" i="1"/>
  <c r="F5736" i="1"/>
  <c r="G5736" i="1"/>
  <c r="H5736" i="1"/>
  <c r="A5737" i="1"/>
  <c r="B5737" i="1"/>
  <c r="C5737" i="1"/>
  <c r="D5737" i="1"/>
  <c r="E5737" i="1"/>
  <c r="F5737" i="1"/>
  <c r="G5737" i="1"/>
  <c r="H5737" i="1"/>
  <c r="A5738" i="1"/>
  <c r="B5738" i="1"/>
  <c r="C5738" i="1"/>
  <c r="D5738" i="1"/>
  <c r="E5738" i="1"/>
  <c r="F5738" i="1"/>
  <c r="G5738" i="1"/>
  <c r="H5738" i="1"/>
  <c r="A5739" i="1"/>
  <c r="B5739" i="1"/>
  <c r="C5739" i="1"/>
  <c r="D5739" i="1"/>
  <c r="E5739" i="1"/>
  <c r="F5739" i="1"/>
  <c r="G5739" i="1"/>
  <c r="H5739" i="1"/>
  <c r="A5740" i="1"/>
  <c r="B5740" i="1"/>
  <c r="C5740" i="1"/>
  <c r="D5740" i="1"/>
  <c r="E5740" i="1"/>
  <c r="F5740" i="1"/>
  <c r="G5740" i="1"/>
  <c r="H5740" i="1"/>
  <c r="A5741" i="1"/>
  <c r="B5741" i="1"/>
  <c r="C5741" i="1"/>
  <c r="D5741" i="1"/>
  <c r="E5741" i="1"/>
  <c r="F5741" i="1"/>
  <c r="G5741" i="1"/>
  <c r="H5741" i="1"/>
  <c r="A5742" i="1"/>
  <c r="B5742" i="1"/>
  <c r="C5742" i="1"/>
  <c r="D5742" i="1"/>
  <c r="E5742" i="1"/>
  <c r="F5742" i="1"/>
  <c r="G5742" i="1"/>
  <c r="H5742" i="1"/>
  <c r="A5743" i="1"/>
  <c r="B5743" i="1"/>
  <c r="C5743" i="1"/>
  <c r="D5743" i="1"/>
  <c r="E5743" i="1"/>
  <c r="F5743" i="1"/>
  <c r="G5743" i="1"/>
  <c r="H5743" i="1"/>
  <c r="A5744" i="1"/>
  <c r="B5744" i="1"/>
  <c r="C5744" i="1"/>
  <c r="D5744" i="1"/>
  <c r="E5744" i="1"/>
  <c r="F5744" i="1"/>
  <c r="G5744" i="1"/>
  <c r="H5744" i="1"/>
  <c r="A5745" i="1"/>
  <c r="B5745" i="1"/>
  <c r="C5745" i="1"/>
  <c r="D5745" i="1"/>
  <c r="E5745" i="1"/>
  <c r="F5745" i="1"/>
  <c r="G5745" i="1"/>
  <c r="H5745" i="1"/>
  <c r="A5746" i="1"/>
  <c r="B5746" i="1"/>
  <c r="C5746" i="1"/>
  <c r="D5746" i="1"/>
  <c r="E5746" i="1"/>
  <c r="F5746" i="1"/>
  <c r="G5746" i="1"/>
  <c r="H5746" i="1"/>
  <c r="A5747" i="1"/>
  <c r="B5747" i="1"/>
  <c r="C5747" i="1"/>
  <c r="D5747" i="1"/>
  <c r="E5747" i="1"/>
  <c r="F5747" i="1"/>
  <c r="G5747" i="1"/>
  <c r="H5747" i="1"/>
  <c r="A5748" i="1"/>
  <c r="B5748" i="1"/>
  <c r="C5748" i="1"/>
  <c r="D5748" i="1"/>
  <c r="E5748" i="1"/>
  <c r="F5748" i="1"/>
  <c r="G5748" i="1"/>
  <c r="H5748" i="1"/>
  <c r="A5749" i="1"/>
  <c r="B5749" i="1"/>
  <c r="C5749" i="1"/>
  <c r="D5749" i="1"/>
  <c r="E5749" i="1"/>
  <c r="F5749" i="1"/>
  <c r="G5749" i="1"/>
  <c r="H5749" i="1"/>
  <c r="A5750" i="1"/>
  <c r="B5750" i="1"/>
  <c r="C5750" i="1"/>
  <c r="D5750" i="1"/>
  <c r="E5750" i="1"/>
  <c r="F5750" i="1"/>
  <c r="G5750" i="1"/>
  <c r="H5750" i="1"/>
  <c r="A5751" i="1"/>
  <c r="B5751" i="1"/>
  <c r="C5751" i="1"/>
  <c r="D5751" i="1"/>
  <c r="E5751" i="1"/>
  <c r="F5751" i="1"/>
  <c r="G5751" i="1"/>
  <c r="H5751" i="1"/>
  <c r="A5752" i="1"/>
  <c r="B5752" i="1"/>
  <c r="C5752" i="1"/>
  <c r="D5752" i="1"/>
  <c r="E5752" i="1"/>
  <c r="F5752" i="1"/>
  <c r="G5752" i="1"/>
  <c r="H5752" i="1"/>
  <c r="A5753" i="1"/>
  <c r="B5753" i="1"/>
  <c r="C5753" i="1"/>
  <c r="D5753" i="1"/>
  <c r="E5753" i="1"/>
  <c r="F5753" i="1"/>
  <c r="G5753" i="1"/>
  <c r="H5753" i="1"/>
  <c r="A5754" i="1"/>
  <c r="B5754" i="1"/>
  <c r="C5754" i="1"/>
  <c r="D5754" i="1"/>
  <c r="E5754" i="1"/>
  <c r="F5754" i="1"/>
  <c r="G5754" i="1"/>
  <c r="H5754" i="1"/>
  <c r="A5755" i="1"/>
  <c r="B5755" i="1"/>
  <c r="C5755" i="1"/>
  <c r="D5755" i="1"/>
  <c r="E5755" i="1"/>
  <c r="F5755" i="1"/>
  <c r="G5755" i="1"/>
  <c r="H5755" i="1"/>
  <c r="A5756" i="1"/>
  <c r="B5756" i="1"/>
  <c r="C5756" i="1"/>
  <c r="D5756" i="1"/>
  <c r="E5756" i="1"/>
  <c r="F5756" i="1"/>
  <c r="G5756" i="1"/>
  <c r="H5756" i="1"/>
  <c r="A5757" i="1"/>
  <c r="B5757" i="1"/>
  <c r="C5757" i="1"/>
  <c r="D5757" i="1"/>
  <c r="E5757" i="1"/>
  <c r="F5757" i="1"/>
  <c r="G5757" i="1"/>
  <c r="H5757" i="1"/>
  <c r="A5758" i="1"/>
  <c r="B5758" i="1"/>
  <c r="C5758" i="1"/>
  <c r="D5758" i="1"/>
  <c r="E5758" i="1"/>
  <c r="F5758" i="1"/>
  <c r="G5758" i="1"/>
  <c r="H5758" i="1"/>
  <c r="A5759" i="1"/>
  <c r="B5759" i="1"/>
  <c r="C5759" i="1"/>
  <c r="D5759" i="1"/>
  <c r="E5759" i="1"/>
  <c r="F5759" i="1"/>
  <c r="G5759" i="1"/>
  <c r="H5759" i="1"/>
  <c r="A5760" i="1"/>
  <c r="B5760" i="1"/>
  <c r="C5760" i="1"/>
  <c r="D5760" i="1"/>
  <c r="E5760" i="1"/>
  <c r="F5760" i="1"/>
  <c r="G5760" i="1"/>
  <c r="H5760" i="1"/>
  <c r="A5761" i="1"/>
  <c r="B5761" i="1"/>
  <c r="C5761" i="1"/>
  <c r="D5761" i="1"/>
  <c r="E5761" i="1"/>
  <c r="F5761" i="1"/>
  <c r="G5761" i="1"/>
  <c r="H5761" i="1"/>
  <c r="A5762" i="1"/>
  <c r="B5762" i="1"/>
  <c r="C5762" i="1"/>
  <c r="D5762" i="1"/>
  <c r="E5762" i="1"/>
  <c r="F5762" i="1"/>
  <c r="G5762" i="1"/>
  <c r="H5762" i="1"/>
  <c r="A5763" i="1"/>
  <c r="B5763" i="1"/>
  <c r="C5763" i="1"/>
  <c r="D5763" i="1"/>
  <c r="E5763" i="1"/>
  <c r="F5763" i="1"/>
  <c r="G5763" i="1"/>
  <c r="H5763" i="1"/>
  <c r="A5764" i="1"/>
  <c r="B5764" i="1"/>
  <c r="C5764" i="1"/>
  <c r="D5764" i="1"/>
  <c r="E5764" i="1"/>
  <c r="F5764" i="1"/>
  <c r="G5764" i="1"/>
  <c r="H5764" i="1"/>
  <c r="A5765" i="1"/>
  <c r="B5765" i="1"/>
  <c r="C5765" i="1"/>
  <c r="D5765" i="1"/>
  <c r="E5765" i="1"/>
  <c r="F5765" i="1"/>
  <c r="G5765" i="1"/>
  <c r="H5765" i="1"/>
  <c r="A5766" i="1"/>
  <c r="B5766" i="1"/>
  <c r="C5766" i="1"/>
  <c r="D5766" i="1"/>
  <c r="E5766" i="1"/>
  <c r="F5766" i="1"/>
  <c r="G5766" i="1"/>
  <c r="H5766" i="1"/>
  <c r="A5767" i="1"/>
  <c r="B5767" i="1"/>
  <c r="C5767" i="1"/>
  <c r="D5767" i="1"/>
  <c r="E5767" i="1"/>
  <c r="F5767" i="1"/>
  <c r="G5767" i="1"/>
  <c r="H5767" i="1"/>
  <c r="A5768" i="1"/>
  <c r="B5768" i="1"/>
  <c r="C5768" i="1"/>
  <c r="D5768" i="1"/>
  <c r="E5768" i="1"/>
  <c r="F5768" i="1"/>
  <c r="G5768" i="1"/>
  <c r="H5768" i="1"/>
  <c r="A5769" i="1"/>
  <c r="B5769" i="1"/>
  <c r="C5769" i="1"/>
  <c r="D5769" i="1"/>
  <c r="E5769" i="1"/>
  <c r="F5769" i="1"/>
  <c r="G5769" i="1"/>
  <c r="H5769" i="1"/>
  <c r="A5770" i="1"/>
  <c r="B5770" i="1"/>
  <c r="C5770" i="1"/>
  <c r="D5770" i="1"/>
  <c r="E5770" i="1"/>
  <c r="F5770" i="1"/>
  <c r="G5770" i="1"/>
  <c r="H5770" i="1"/>
  <c r="A5771" i="1"/>
  <c r="B5771" i="1"/>
  <c r="C5771" i="1"/>
  <c r="D5771" i="1"/>
  <c r="E5771" i="1"/>
  <c r="F5771" i="1"/>
  <c r="G5771" i="1"/>
  <c r="H5771" i="1"/>
  <c r="A5772" i="1"/>
  <c r="B5772" i="1"/>
  <c r="C5772" i="1"/>
  <c r="D5772" i="1"/>
  <c r="E5772" i="1"/>
  <c r="F5772" i="1"/>
  <c r="G5772" i="1"/>
  <c r="H5772" i="1"/>
  <c r="A5773" i="1"/>
  <c r="B5773" i="1"/>
  <c r="C5773" i="1"/>
  <c r="D5773" i="1"/>
  <c r="E5773" i="1"/>
  <c r="F5773" i="1"/>
  <c r="G5773" i="1"/>
  <c r="H5773" i="1"/>
  <c r="A5774" i="1"/>
  <c r="B5774" i="1"/>
  <c r="C5774" i="1"/>
  <c r="D5774" i="1"/>
  <c r="E5774" i="1"/>
  <c r="F5774" i="1"/>
  <c r="G5774" i="1"/>
  <c r="H5774" i="1"/>
  <c r="A5775" i="1"/>
  <c r="B5775" i="1"/>
  <c r="C5775" i="1"/>
  <c r="D5775" i="1"/>
  <c r="E5775" i="1"/>
  <c r="F5775" i="1"/>
  <c r="G5775" i="1"/>
  <c r="H5775" i="1"/>
  <c r="A5776" i="1"/>
  <c r="B5776" i="1"/>
  <c r="C5776" i="1"/>
  <c r="D5776" i="1"/>
  <c r="E5776" i="1"/>
  <c r="F5776" i="1"/>
  <c r="G5776" i="1"/>
  <c r="H5776" i="1"/>
  <c r="A5777" i="1"/>
  <c r="B5777" i="1"/>
  <c r="C5777" i="1"/>
  <c r="D5777" i="1"/>
  <c r="E5777" i="1"/>
  <c r="F5777" i="1"/>
  <c r="G5777" i="1"/>
  <c r="H5777" i="1"/>
  <c r="A5778" i="1"/>
  <c r="B5778" i="1"/>
  <c r="C5778" i="1"/>
  <c r="D5778" i="1"/>
  <c r="E5778" i="1"/>
  <c r="F5778" i="1"/>
  <c r="G5778" i="1"/>
  <c r="H5778" i="1"/>
  <c r="A5779" i="1"/>
  <c r="B5779" i="1"/>
  <c r="C5779" i="1"/>
  <c r="D5779" i="1"/>
  <c r="E5779" i="1"/>
  <c r="F5779" i="1"/>
  <c r="G5779" i="1"/>
  <c r="H5779" i="1"/>
  <c r="A5780" i="1"/>
  <c r="B5780" i="1"/>
  <c r="C5780" i="1"/>
  <c r="D5780" i="1"/>
  <c r="E5780" i="1"/>
  <c r="F5780" i="1"/>
  <c r="G5780" i="1"/>
  <c r="H5780" i="1"/>
  <c r="A5781" i="1"/>
  <c r="B5781" i="1"/>
  <c r="C5781" i="1"/>
  <c r="D5781" i="1"/>
  <c r="E5781" i="1"/>
  <c r="F5781" i="1"/>
  <c r="G5781" i="1"/>
  <c r="H5781" i="1"/>
  <c r="A5782" i="1"/>
  <c r="B5782" i="1"/>
  <c r="C5782" i="1"/>
  <c r="D5782" i="1"/>
  <c r="E5782" i="1"/>
  <c r="F5782" i="1"/>
  <c r="G5782" i="1"/>
  <c r="H5782" i="1"/>
  <c r="A5783" i="1"/>
  <c r="B5783" i="1"/>
  <c r="C5783" i="1"/>
  <c r="D5783" i="1"/>
  <c r="E5783" i="1"/>
  <c r="F5783" i="1"/>
  <c r="G5783" i="1"/>
  <c r="H5783" i="1"/>
  <c r="A5784" i="1"/>
  <c r="B5784" i="1"/>
  <c r="C5784" i="1"/>
  <c r="D5784" i="1"/>
  <c r="E5784" i="1"/>
  <c r="F5784" i="1"/>
  <c r="G5784" i="1"/>
  <c r="H5784" i="1"/>
  <c r="A5785" i="1"/>
  <c r="B5785" i="1"/>
  <c r="C5785" i="1"/>
  <c r="D5785" i="1"/>
  <c r="E5785" i="1"/>
  <c r="F5785" i="1"/>
  <c r="G5785" i="1"/>
  <c r="H5785" i="1"/>
  <c r="A5786" i="1"/>
  <c r="B5786" i="1"/>
  <c r="C5786" i="1"/>
  <c r="D5786" i="1"/>
  <c r="E5786" i="1"/>
  <c r="F5786" i="1"/>
  <c r="G5786" i="1"/>
  <c r="H5786" i="1"/>
  <c r="A5787" i="1"/>
  <c r="B5787" i="1"/>
  <c r="C5787" i="1"/>
  <c r="D5787" i="1"/>
  <c r="E5787" i="1"/>
  <c r="F5787" i="1"/>
  <c r="G5787" i="1"/>
  <c r="H5787" i="1"/>
  <c r="A5788" i="1"/>
  <c r="B5788" i="1"/>
  <c r="C5788" i="1"/>
  <c r="D5788" i="1"/>
  <c r="E5788" i="1"/>
  <c r="F5788" i="1"/>
  <c r="G5788" i="1"/>
  <c r="H5788" i="1"/>
  <c r="A5789" i="1"/>
  <c r="B5789" i="1"/>
  <c r="C5789" i="1"/>
  <c r="D5789" i="1"/>
  <c r="E5789" i="1"/>
  <c r="F5789" i="1"/>
  <c r="G5789" i="1"/>
  <c r="H5789" i="1"/>
  <c r="A5790" i="1"/>
  <c r="B5790" i="1"/>
  <c r="C5790" i="1"/>
  <c r="D5790" i="1"/>
  <c r="E5790" i="1"/>
  <c r="F5790" i="1"/>
  <c r="G5790" i="1"/>
  <c r="H5790" i="1"/>
  <c r="A5791" i="1"/>
  <c r="B5791" i="1"/>
  <c r="C5791" i="1"/>
  <c r="D5791" i="1"/>
  <c r="E5791" i="1"/>
  <c r="F5791" i="1"/>
  <c r="G5791" i="1"/>
  <c r="H5791" i="1"/>
  <c r="A5792" i="1"/>
  <c r="B5792" i="1"/>
  <c r="C5792" i="1"/>
  <c r="D5792" i="1"/>
  <c r="E5792" i="1"/>
  <c r="F5792" i="1"/>
  <c r="G5792" i="1"/>
  <c r="H5792" i="1"/>
  <c r="A5793" i="1"/>
  <c r="B5793" i="1"/>
  <c r="C5793" i="1"/>
  <c r="D5793" i="1"/>
  <c r="E5793" i="1"/>
  <c r="F5793" i="1"/>
  <c r="G5793" i="1"/>
  <c r="H5793" i="1"/>
  <c r="A5794" i="1"/>
  <c r="B5794" i="1"/>
  <c r="C5794" i="1"/>
  <c r="D5794" i="1"/>
  <c r="E5794" i="1"/>
  <c r="F5794" i="1"/>
  <c r="G5794" i="1"/>
  <c r="H5794" i="1"/>
  <c r="A5795" i="1"/>
  <c r="B5795" i="1"/>
  <c r="C5795" i="1"/>
  <c r="D5795" i="1"/>
  <c r="E5795" i="1"/>
  <c r="F5795" i="1"/>
  <c r="G5795" i="1"/>
  <c r="H5795" i="1"/>
  <c r="A5796" i="1"/>
  <c r="B5796" i="1"/>
  <c r="C5796" i="1"/>
  <c r="D5796" i="1"/>
  <c r="E5796" i="1"/>
  <c r="F5796" i="1"/>
  <c r="G5796" i="1"/>
  <c r="H5796" i="1"/>
  <c r="A5797" i="1"/>
  <c r="B5797" i="1"/>
  <c r="C5797" i="1"/>
  <c r="D5797" i="1"/>
  <c r="E5797" i="1"/>
  <c r="F5797" i="1"/>
  <c r="G5797" i="1"/>
  <c r="H5797" i="1"/>
  <c r="A5798" i="1"/>
  <c r="B5798" i="1"/>
  <c r="C5798" i="1"/>
  <c r="D5798" i="1"/>
  <c r="E5798" i="1"/>
  <c r="F5798" i="1"/>
  <c r="G5798" i="1"/>
  <c r="H5798" i="1"/>
  <c r="A5799" i="1"/>
  <c r="B5799" i="1"/>
  <c r="C5799" i="1"/>
  <c r="D5799" i="1"/>
  <c r="E5799" i="1"/>
  <c r="F5799" i="1"/>
  <c r="G5799" i="1"/>
  <c r="H5799" i="1"/>
  <c r="A5800" i="1"/>
  <c r="B5800" i="1"/>
  <c r="C5800" i="1"/>
  <c r="D5800" i="1"/>
  <c r="E5800" i="1"/>
  <c r="F5800" i="1"/>
  <c r="G5800" i="1"/>
  <c r="H5800" i="1"/>
  <c r="A5801" i="1"/>
  <c r="B5801" i="1"/>
  <c r="C5801" i="1"/>
  <c r="D5801" i="1"/>
  <c r="E5801" i="1"/>
  <c r="F5801" i="1"/>
  <c r="G5801" i="1"/>
  <c r="H5801" i="1"/>
  <c r="A5802" i="1"/>
  <c r="B5802" i="1"/>
  <c r="C5802" i="1"/>
  <c r="D5802" i="1"/>
  <c r="E5802" i="1"/>
  <c r="F5802" i="1"/>
  <c r="G5802" i="1"/>
  <c r="H5802" i="1"/>
  <c r="A5803" i="1"/>
  <c r="B5803" i="1"/>
  <c r="C5803" i="1"/>
  <c r="D5803" i="1"/>
  <c r="E5803" i="1"/>
  <c r="F5803" i="1"/>
  <c r="G5803" i="1"/>
  <c r="H5803" i="1"/>
  <c r="A5804" i="1"/>
  <c r="B5804" i="1"/>
  <c r="C5804" i="1"/>
  <c r="D5804" i="1"/>
  <c r="E5804" i="1"/>
  <c r="F5804" i="1"/>
  <c r="G5804" i="1"/>
  <c r="H5804" i="1"/>
  <c r="A5805" i="1"/>
  <c r="B5805" i="1"/>
  <c r="C5805" i="1"/>
  <c r="D5805" i="1"/>
  <c r="E5805" i="1"/>
  <c r="F5805" i="1"/>
  <c r="G5805" i="1"/>
  <c r="H5805" i="1"/>
  <c r="A5806" i="1"/>
  <c r="B5806" i="1"/>
  <c r="C5806" i="1"/>
  <c r="D5806" i="1"/>
  <c r="E5806" i="1"/>
  <c r="F5806" i="1"/>
  <c r="G5806" i="1"/>
  <c r="H5806" i="1"/>
  <c r="A5807" i="1"/>
  <c r="B5807" i="1"/>
  <c r="C5807" i="1"/>
  <c r="D5807" i="1"/>
  <c r="E5807" i="1"/>
  <c r="F5807" i="1"/>
  <c r="G5807" i="1"/>
  <c r="H5807" i="1"/>
  <c r="A5808" i="1"/>
  <c r="B5808" i="1"/>
  <c r="C5808" i="1"/>
  <c r="D5808" i="1"/>
  <c r="E5808" i="1"/>
  <c r="F5808" i="1"/>
  <c r="G5808" i="1"/>
  <c r="H5808" i="1"/>
  <c r="A5809" i="1"/>
  <c r="B5809" i="1"/>
  <c r="C5809" i="1"/>
  <c r="D5809" i="1"/>
  <c r="E5809" i="1"/>
  <c r="F5809" i="1"/>
  <c r="G5809" i="1"/>
  <c r="H5809" i="1"/>
  <c r="A5810" i="1"/>
  <c r="B5810" i="1"/>
  <c r="C5810" i="1"/>
  <c r="D5810" i="1"/>
  <c r="E5810" i="1"/>
  <c r="F5810" i="1"/>
  <c r="G5810" i="1"/>
  <c r="H5810" i="1"/>
  <c r="A5811" i="1"/>
  <c r="B5811" i="1"/>
  <c r="C5811" i="1"/>
  <c r="D5811" i="1"/>
  <c r="E5811" i="1"/>
  <c r="F5811" i="1"/>
  <c r="G5811" i="1"/>
  <c r="H5811" i="1"/>
  <c r="A5812" i="1"/>
  <c r="B5812" i="1"/>
  <c r="C5812" i="1"/>
  <c r="D5812" i="1"/>
  <c r="E5812" i="1"/>
  <c r="F5812" i="1"/>
  <c r="G5812" i="1"/>
  <c r="H5812" i="1"/>
  <c r="A5813" i="1"/>
  <c r="B5813" i="1"/>
  <c r="C5813" i="1"/>
  <c r="D5813" i="1"/>
  <c r="E5813" i="1"/>
  <c r="F5813" i="1"/>
  <c r="G5813" i="1"/>
  <c r="H5813" i="1"/>
  <c r="A5814" i="1"/>
  <c r="B5814" i="1"/>
  <c r="C5814" i="1"/>
  <c r="D5814" i="1"/>
  <c r="E5814" i="1"/>
  <c r="F5814" i="1"/>
  <c r="G5814" i="1"/>
  <c r="H5814" i="1"/>
  <c r="A5815" i="1"/>
  <c r="B5815" i="1"/>
  <c r="C5815" i="1"/>
  <c r="D5815" i="1"/>
  <c r="E5815" i="1"/>
  <c r="F5815" i="1"/>
  <c r="G5815" i="1"/>
  <c r="H5815" i="1"/>
  <c r="A5816" i="1"/>
  <c r="B5816" i="1"/>
  <c r="C5816" i="1"/>
  <c r="D5816" i="1"/>
  <c r="E5816" i="1"/>
  <c r="F5816" i="1"/>
  <c r="G5816" i="1"/>
  <c r="H5816" i="1"/>
  <c r="A5817" i="1"/>
  <c r="B5817" i="1"/>
  <c r="C5817" i="1"/>
  <c r="D5817" i="1"/>
  <c r="E5817" i="1"/>
  <c r="F5817" i="1"/>
  <c r="G5817" i="1"/>
  <c r="H5817" i="1"/>
  <c r="A5818" i="1"/>
  <c r="B5818" i="1"/>
  <c r="C5818" i="1"/>
  <c r="D5818" i="1"/>
  <c r="E5818" i="1"/>
  <c r="F5818" i="1"/>
  <c r="G5818" i="1"/>
  <c r="H5818" i="1"/>
  <c r="A5819" i="1"/>
  <c r="B5819" i="1"/>
  <c r="C5819" i="1"/>
  <c r="D5819" i="1"/>
  <c r="E5819" i="1"/>
  <c r="F5819" i="1"/>
  <c r="G5819" i="1"/>
  <c r="H5819" i="1"/>
  <c r="A5820" i="1"/>
  <c r="B5820" i="1"/>
  <c r="C5820" i="1"/>
  <c r="D5820" i="1"/>
  <c r="E5820" i="1"/>
  <c r="F5820" i="1"/>
  <c r="G5820" i="1"/>
  <c r="H5820" i="1"/>
  <c r="A5821" i="1"/>
  <c r="B5821" i="1"/>
  <c r="C5821" i="1"/>
  <c r="D5821" i="1"/>
  <c r="E5821" i="1"/>
  <c r="F5821" i="1"/>
  <c r="G5821" i="1"/>
  <c r="H5821" i="1"/>
  <c r="A5822" i="1"/>
  <c r="B5822" i="1"/>
  <c r="C5822" i="1"/>
  <c r="D5822" i="1"/>
  <c r="E5822" i="1"/>
  <c r="F5822" i="1"/>
  <c r="G5822" i="1"/>
  <c r="H5822" i="1"/>
  <c r="A5823" i="1"/>
  <c r="B5823" i="1"/>
  <c r="C5823" i="1"/>
  <c r="D5823" i="1"/>
  <c r="E5823" i="1"/>
  <c r="F5823" i="1"/>
  <c r="G5823" i="1"/>
  <c r="H5823" i="1"/>
  <c r="A5824" i="1"/>
  <c r="B5824" i="1"/>
  <c r="C5824" i="1"/>
  <c r="D5824" i="1"/>
  <c r="E5824" i="1"/>
  <c r="F5824" i="1"/>
  <c r="G5824" i="1"/>
  <c r="H5824" i="1"/>
  <c r="A5825" i="1"/>
  <c r="B5825" i="1"/>
  <c r="C5825" i="1"/>
  <c r="D5825" i="1"/>
  <c r="E5825" i="1"/>
  <c r="F5825" i="1"/>
  <c r="G5825" i="1"/>
  <c r="H5825" i="1"/>
  <c r="A5826" i="1"/>
  <c r="B5826" i="1"/>
  <c r="C5826" i="1"/>
  <c r="D5826" i="1"/>
  <c r="E5826" i="1"/>
  <c r="F5826" i="1"/>
  <c r="G5826" i="1"/>
  <c r="H5826" i="1"/>
  <c r="A5827" i="1"/>
  <c r="B5827" i="1"/>
  <c r="C5827" i="1"/>
  <c r="D5827" i="1"/>
  <c r="E5827" i="1"/>
  <c r="F5827" i="1"/>
  <c r="G5827" i="1"/>
  <c r="H5827" i="1"/>
  <c r="A5828" i="1"/>
  <c r="B5828" i="1"/>
  <c r="C5828" i="1"/>
  <c r="D5828" i="1"/>
  <c r="E5828" i="1"/>
  <c r="F5828" i="1"/>
  <c r="G5828" i="1"/>
  <c r="H5828" i="1"/>
  <c r="A5829" i="1"/>
  <c r="B5829" i="1"/>
  <c r="C5829" i="1"/>
  <c r="D5829" i="1"/>
  <c r="E5829" i="1"/>
  <c r="F5829" i="1"/>
  <c r="G5829" i="1"/>
  <c r="H5829" i="1"/>
  <c r="A5830" i="1"/>
  <c r="B5830" i="1"/>
  <c r="C5830" i="1"/>
  <c r="D5830" i="1"/>
  <c r="E5830" i="1"/>
  <c r="F5830" i="1"/>
  <c r="G5830" i="1"/>
  <c r="H5830" i="1"/>
  <c r="A5831" i="1"/>
  <c r="B5831" i="1"/>
  <c r="C5831" i="1"/>
  <c r="D5831" i="1"/>
  <c r="E5831" i="1"/>
  <c r="F5831" i="1"/>
  <c r="G5831" i="1"/>
  <c r="H5831" i="1"/>
  <c r="A5832" i="1"/>
  <c r="B5832" i="1"/>
  <c r="C5832" i="1"/>
  <c r="D5832" i="1"/>
  <c r="E5832" i="1"/>
  <c r="F5832" i="1"/>
  <c r="G5832" i="1"/>
  <c r="H5832" i="1"/>
  <c r="A5833" i="1"/>
  <c r="B5833" i="1"/>
  <c r="C5833" i="1"/>
  <c r="D5833" i="1"/>
  <c r="E5833" i="1"/>
  <c r="F5833" i="1"/>
  <c r="G5833" i="1"/>
  <c r="H5833" i="1"/>
  <c r="A5834" i="1"/>
  <c r="B5834" i="1"/>
  <c r="C5834" i="1"/>
  <c r="D5834" i="1"/>
  <c r="E5834" i="1"/>
  <c r="F5834" i="1"/>
  <c r="G5834" i="1"/>
  <c r="H5834" i="1"/>
  <c r="A5835" i="1"/>
  <c r="B5835" i="1"/>
  <c r="C5835" i="1"/>
  <c r="D5835" i="1"/>
  <c r="E5835" i="1"/>
  <c r="F5835" i="1"/>
  <c r="G5835" i="1"/>
  <c r="H5835" i="1"/>
  <c r="A5836" i="1"/>
  <c r="B5836" i="1"/>
  <c r="C5836" i="1"/>
  <c r="D5836" i="1"/>
  <c r="E5836" i="1"/>
  <c r="F5836" i="1"/>
  <c r="G5836" i="1"/>
  <c r="H5836" i="1"/>
  <c r="A5837" i="1"/>
  <c r="B5837" i="1"/>
  <c r="C5837" i="1"/>
  <c r="D5837" i="1"/>
  <c r="E5837" i="1"/>
  <c r="F5837" i="1"/>
  <c r="G5837" i="1"/>
  <c r="H5837" i="1"/>
  <c r="A5838" i="1"/>
  <c r="B5838" i="1"/>
  <c r="C5838" i="1"/>
  <c r="D5838" i="1"/>
  <c r="E5838" i="1"/>
  <c r="F5838" i="1"/>
  <c r="G5838" i="1"/>
  <c r="H5838" i="1"/>
  <c r="A5839" i="1"/>
  <c r="B5839" i="1"/>
  <c r="C5839" i="1"/>
  <c r="D5839" i="1"/>
  <c r="E5839" i="1"/>
  <c r="F5839" i="1"/>
  <c r="G5839" i="1"/>
  <c r="H5839" i="1"/>
  <c r="A5840" i="1"/>
  <c r="B5840" i="1"/>
  <c r="C5840" i="1"/>
  <c r="D5840" i="1"/>
  <c r="E5840" i="1"/>
  <c r="F5840" i="1"/>
  <c r="G5840" i="1"/>
  <c r="H5840" i="1"/>
  <c r="A5841" i="1"/>
  <c r="B5841" i="1"/>
  <c r="C5841" i="1"/>
  <c r="D5841" i="1"/>
  <c r="E5841" i="1"/>
  <c r="F5841" i="1"/>
  <c r="G5841" i="1"/>
  <c r="H5841" i="1"/>
  <c r="A5842" i="1"/>
  <c r="B5842" i="1"/>
  <c r="C5842" i="1"/>
  <c r="D5842" i="1"/>
  <c r="E5842" i="1"/>
  <c r="F5842" i="1"/>
  <c r="G5842" i="1"/>
  <c r="H5842" i="1"/>
  <c r="A5843" i="1"/>
  <c r="B5843" i="1"/>
  <c r="C5843" i="1"/>
  <c r="D5843" i="1"/>
  <c r="E5843" i="1"/>
  <c r="F5843" i="1"/>
  <c r="G5843" i="1"/>
  <c r="H5843" i="1"/>
  <c r="A5844" i="1"/>
  <c r="B5844" i="1"/>
  <c r="C5844" i="1"/>
  <c r="D5844" i="1"/>
  <c r="E5844" i="1"/>
  <c r="F5844" i="1"/>
  <c r="G5844" i="1"/>
  <c r="H5844" i="1"/>
  <c r="A5845" i="1"/>
  <c r="B5845" i="1"/>
  <c r="C5845" i="1"/>
  <c r="D5845" i="1"/>
  <c r="E5845" i="1"/>
  <c r="F5845" i="1"/>
  <c r="G5845" i="1"/>
  <c r="H5845" i="1"/>
  <c r="A5846" i="1"/>
  <c r="B5846" i="1"/>
  <c r="C5846" i="1"/>
  <c r="D5846" i="1"/>
  <c r="E5846" i="1"/>
  <c r="F5846" i="1"/>
  <c r="G5846" i="1"/>
  <c r="H5846" i="1"/>
  <c r="A5847" i="1"/>
  <c r="B5847" i="1"/>
  <c r="C5847" i="1"/>
  <c r="D5847" i="1"/>
  <c r="E5847" i="1"/>
  <c r="F5847" i="1"/>
  <c r="G5847" i="1"/>
  <c r="H5847" i="1"/>
  <c r="A5848" i="1"/>
  <c r="B5848" i="1"/>
  <c r="C5848" i="1"/>
  <c r="D5848" i="1"/>
  <c r="E5848" i="1"/>
  <c r="F5848" i="1"/>
  <c r="G5848" i="1"/>
  <c r="H5848" i="1"/>
  <c r="A5849" i="1"/>
  <c r="B5849" i="1"/>
  <c r="C5849" i="1"/>
  <c r="D5849" i="1"/>
  <c r="E5849" i="1"/>
  <c r="F5849" i="1"/>
  <c r="G5849" i="1"/>
  <c r="H5849" i="1"/>
  <c r="A5850" i="1"/>
  <c r="B5850" i="1"/>
  <c r="C5850" i="1"/>
  <c r="D5850" i="1"/>
  <c r="E5850" i="1"/>
  <c r="F5850" i="1"/>
  <c r="G5850" i="1"/>
  <c r="H5850" i="1"/>
  <c r="A5851" i="1"/>
  <c r="B5851" i="1"/>
  <c r="C5851" i="1"/>
  <c r="D5851" i="1"/>
  <c r="E5851" i="1"/>
  <c r="F5851" i="1"/>
  <c r="G5851" i="1"/>
  <c r="H5851" i="1"/>
  <c r="A5852" i="1"/>
  <c r="B5852" i="1"/>
  <c r="C5852" i="1"/>
  <c r="D5852" i="1"/>
  <c r="E5852" i="1"/>
  <c r="F5852" i="1"/>
  <c r="G5852" i="1"/>
  <c r="H5852" i="1"/>
  <c r="A5853" i="1"/>
  <c r="B5853" i="1"/>
  <c r="C5853" i="1"/>
  <c r="D5853" i="1"/>
  <c r="E5853" i="1"/>
  <c r="F5853" i="1"/>
  <c r="G5853" i="1"/>
  <c r="H5853" i="1"/>
  <c r="A5854" i="1"/>
  <c r="B5854" i="1"/>
  <c r="C5854" i="1"/>
  <c r="D5854" i="1"/>
  <c r="E5854" i="1"/>
  <c r="F5854" i="1"/>
  <c r="G5854" i="1"/>
  <c r="H5854" i="1"/>
  <c r="A5855" i="1"/>
  <c r="B5855" i="1"/>
  <c r="C5855" i="1"/>
  <c r="D5855" i="1"/>
  <c r="E5855" i="1"/>
  <c r="F5855" i="1"/>
  <c r="G5855" i="1"/>
  <c r="H5855" i="1"/>
  <c r="A5856" i="1"/>
  <c r="B5856" i="1"/>
  <c r="C5856" i="1"/>
  <c r="D5856" i="1"/>
  <c r="E5856" i="1"/>
  <c r="F5856" i="1"/>
  <c r="G5856" i="1"/>
  <c r="H5856" i="1"/>
  <c r="A5857" i="1"/>
  <c r="B5857" i="1"/>
  <c r="C5857" i="1"/>
  <c r="D5857" i="1"/>
  <c r="E5857" i="1"/>
  <c r="F5857" i="1"/>
  <c r="G5857" i="1"/>
  <c r="H5857" i="1"/>
  <c r="A5858" i="1"/>
  <c r="B5858" i="1"/>
  <c r="C5858" i="1"/>
  <c r="D5858" i="1"/>
  <c r="E5858" i="1"/>
  <c r="F5858" i="1"/>
  <c r="G5858" i="1"/>
  <c r="H5858" i="1"/>
  <c r="A5859" i="1"/>
  <c r="B5859" i="1"/>
  <c r="C5859" i="1"/>
  <c r="D5859" i="1"/>
  <c r="E5859" i="1"/>
  <c r="F5859" i="1"/>
  <c r="G5859" i="1"/>
  <c r="H5859" i="1"/>
  <c r="A5860" i="1"/>
  <c r="B5860" i="1"/>
  <c r="C5860" i="1"/>
  <c r="D5860" i="1"/>
  <c r="E5860" i="1"/>
  <c r="F5860" i="1"/>
  <c r="G5860" i="1"/>
  <c r="H5860" i="1"/>
  <c r="A5861" i="1"/>
  <c r="B5861" i="1"/>
  <c r="C5861" i="1"/>
  <c r="D5861" i="1"/>
  <c r="E5861" i="1"/>
  <c r="F5861" i="1"/>
  <c r="G5861" i="1"/>
  <c r="H5861" i="1"/>
  <c r="A5862" i="1"/>
  <c r="B5862" i="1"/>
  <c r="C5862" i="1"/>
  <c r="D5862" i="1"/>
  <c r="E5862" i="1"/>
  <c r="F5862" i="1"/>
  <c r="G5862" i="1"/>
  <c r="H5862" i="1"/>
  <c r="A5863" i="1"/>
  <c r="B5863" i="1"/>
  <c r="C5863" i="1"/>
  <c r="D5863" i="1"/>
  <c r="E5863" i="1"/>
  <c r="F5863" i="1"/>
  <c r="G5863" i="1"/>
  <c r="H5863" i="1"/>
  <c r="A5864" i="1"/>
  <c r="B5864" i="1"/>
  <c r="C5864" i="1"/>
  <c r="D5864" i="1"/>
  <c r="E5864" i="1"/>
  <c r="F5864" i="1"/>
  <c r="G5864" i="1"/>
  <c r="H5864" i="1"/>
  <c r="A5865" i="1"/>
  <c r="B5865" i="1"/>
  <c r="C5865" i="1"/>
  <c r="D5865" i="1"/>
  <c r="E5865" i="1"/>
  <c r="F5865" i="1"/>
  <c r="G5865" i="1"/>
  <c r="H5865" i="1"/>
  <c r="A5866" i="1"/>
  <c r="B5866" i="1"/>
  <c r="C5866" i="1"/>
  <c r="D5866" i="1"/>
  <c r="E5866" i="1"/>
  <c r="F5866" i="1"/>
  <c r="G5866" i="1"/>
  <c r="H5866" i="1"/>
  <c r="A5867" i="1"/>
  <c r="B5867" i="1"/>
  <c r="C5867" i="1"/>
  <c r="D5867" i="1"/>
  <c r="E5867" i="1"/>
  <c r="F5867" i="1"/>
  <c r="G5867" i="1"/>
  <c r="H5867" i="1"/>
  <c r="A5868" i="1"/>
  <c r="B5868" i="1"/>
  <c r="C5868" i="1"/>
  <c r="D5868" i="1"/>
  <c r="E5868" i="1"/>
  <c r="F5868" i="1"/>
  <c r="G5868" i="1"/>
  <c r="H5868" i="1"/>
  <c r="A5869" i="1"/>
  <c r="B5869" i="1"/>
  <c r="C5869" i="1"/>
  <c r="D5869" i="1"/>
  <c r="E5869" i="1"/>
  <c r="F5869" i="1"/>
  <c r="G5869" i="1"/>
  <c r="H5869" i="1"/>
  <c r="A5870" i="1"/>
  <c r="B5870" i="1"/>
  <c r="C5870" i="1"/>
  <c r="D5870" i="1"/>
  <c r="E5870" i="1"/>
  <c r="F5870" i="1"/>
  <c r="G5870" i="1"/>
  <c r="H5870" i="1"/>
  <c r="A5871" i="1"/>
  <c r="B5871" i="1"/>
  <c r="C5871" i="1"/>
  <c r="D5871" i="1"/>
  <c r="E5871" i="1"/>
  <c r="F5871" i="1"/>
  <c r="G5871" i="1"/>
  <c r="H5871" i="1"/>
  <c r="A5872" i="1"/>
  <c r="B5872" i="1"/>
  <c r="C5872" i="1"/>
  <c r="D5872" i="1"/>
  <c r="E5872" i="1"/>
  <c r="F5872" i="1"/>
  <c r="G5872" i="1"/>
  <c r="H5872" i="1"/>
  <c r="A5873" i="1"/>
  <c r="B5873" i="1"/>
  <c r="C5873" i="1"/>
  <c r="D5873" i="1"/>
  <c r="E5873" i="1"/>
  <c r="F5873" i="1"/>
  <c r="G5873" i="1"/>
  <c r="H5873" i="1"/>
  <c r="A5874" i="1"/>
  <c r="B5874" i="1"/>
  <c r="C5874" i="1"/>
  <c r="D5874" i="1"/>
  <c r="E5874" i="1"/>
  <c r="F5874" i="1"/>
  <c r="G5874" i="1"/>
  <c r="H5874" i="1"/>
  <c r="A5875" i="1"/>
  <c r="B5875" i="1"/>
  <c r="C5875" i="1"/>
  <c r="D5875" i="1"/>
  <c r="E5875" i="1"/>
  <c r="F5875" i="1"/>
  <c r="G5875" i="1"/>
  <c r="H5875" i="1"/>
  <c r="A5876" i="1"/>
  <c r="B5876" i="1"/>
  <c r="C5876" i="1"/>
  <c r="D5876" i="1"/>
  <c r="E5876" i="1"/>
  <c r="F5876" i="1"/>
  <c r="G5876" i="1"/>
  <c r="H5876" i="1"/>
  <c r="A5877" i="1"/>
  <c r="B5877" i="1"/>
  <c r="C5877" i="1"/>
  <c r="D5877" i="1"/>
  <c r="E5877" i="1"/>
  <c r="F5877" i="1"/>
  <c r="G5877" i="1"/>
  <c r="H5877" i="1"/>
  <c r="A5878" i="1"/>
  <c r="B5878" i="1"/>
  <c r="C5878" i="1"/>
  <c r="D5878" i="1"/>
  <c r="E5878" i="1"/>
  <c r="F5878" i="1"/>
  <c r="G5878" i="1"/>
  <c r="H5878" i="1"/>
  <c r="A5879" i="1"/>
  <c r="B5879" i="1"/>
  <c r="C5879" i="1"/>
  <c r="D5879" i="1"/>
  <c r="E5879" i="1"/>
  <c r="F5879" i="1"/>
  <c r="G5879" i="1"/>
  <c r="H5879" i="1"/>
  <c r="A5880" i="1"/>
  <c r="B5880" i="1"/>
  <c r="C5880" i="1"/>
  <c r="D5880" i="1"/>
  <c r="E5880" i="1"/>
  <c r="F5880" i="1"/>
  <c r="G5880" i="1"/>
  <c r="H5880" i="1"/>
  <c r="A5881" i="1"/>
  <c r="B5881" i="1"/>
  <c r="C5881" i="1"/>
  <c r="D5881" i="1"/>
  <c r="E5881" i="1"/>
  <c r="F5881" i="1"/>
  <c r="G5881" i="1"/>
  <c r="H5881" i="1"/>
  <c r="A5882" i="1"/>
  <c r="B5882" i="1"/>
  <c r="C5882" i="1"/>
  <c r="D5882" i="1"/>
  <c r="E5882" i="1"/>
  <c r="F5882" i="1"/>
  <c r="G5882" i="1"/>
  <c r="H5882" i="1"/>
  <c r="A5883" i="1"/>
  <c r="B5883" i="1"/>
  <c r="C5883" i="1"/>
  <c r="D5883" i="1"/>
  <c r="E5883" i="1"/>
  <c r="F5883" i="1"/>
  <c r="G5883" i="1"/>
  <c r="H5883" i="1"/>
  <c r="A5884" i="1"/>
  <c r="B5884" i="1"/>
  <c r="C5884" i="1"/>
  <c r="D5884" i="1"/>
  <c r="E5884" i="1"/>
  <c r="F5884" i="1"/>
  <c r="G5884" i="1"/>
  <c r="H5884" i="1"/>
  <c r="A5885" i="1"/>
  <c r="B5885" i="1"/>
  <c r="C5885" i="1"/>
  <c r="D5885" i="1"/>
  <c r="E5885" i="1"/>
  <c r="F5885" i="1"/>
  <c r="G5885" i="1"/>
  <c r="H5885" i="1"/>
  <c r="A5886" i="1"/>
  <c r="B5886" i="1"/>
  <c r="C5886" i="1"/>
  <c r="D5886" i="1"/>
  <c r="E5886" i="1"/>
  <c r="F5886" i="1"/>
  <c r="G5886" i="1"/>
  <c r="H5886" i="1"/>
  <c r="A5887" i="1"/>
  <c r="B5887" i="1"/>
  <c r="C5887" i="1"/>
  <c r="D5887" i="1"/>
  <c r="E5887" i="1"/>
  <c r="F5887" i="1"/>
  <c r="G5887" i="1"/>
  <c r="H5887" i="1"/>
  <c r="A5888" i="1"/>
  <c r="B5888" i="1"/>
  <c r="C5888" i="1"/>
  <c r="D5888" i="1"/>
  <c r="E5888" i="1"/>
  <c r="F5888" i="1"/>
  <c r="G5888" i="1"/>
  <c r="H5888" i="1"/>
  <c r="A5889" i="1"/>
  <c r="B5889" i="1"/>
  <c r="C5889" i="1"/>
  <c r="D5889" i="1"/>
  <c r="E5889" i="1"/>
  <c r="F5889" i="1"/>
  <c r="G5889" i="1"/>
  <c r="H5889" i="1"/>
  <c r="A5890" i="1"/>
  <c r="B5890" i="1"/>
  <c r="C5890" i="1"/>
  <c r="D5890" i="1"/>
  <c r="E5890" i="1"/>
  <c r="F5890" i="1"/>
  <c r="G5890" i="1"/>
  <c r="H5890" i="1"/>
  <c r="A5891" i="1"/>
  <c r="B5891" i="1"/>
  <c r="C5891" i="1"/>
  <c r="D5891" i="1"/>
  <c r="E5891" i="1"/>
  <c r="F5891" i="1"/>
  <c r="G5891" i="1"/>
  <c r="H5891" i="1"/>
  <c r="A5892" i="1"/>
  <c r="B5892" i="1"/>
  <c r="C5892" i="1"/>
  <c r="D5892" i="1"/>
  <c r="E5892" i="1"/>
  <c r="F5892" i="1"/>
  <c r="G5892" i="1"/>
  <c r="H5892" i="1"/>
  <c r="A5893" i="1"/>
  <c r="B5893" i="1"/>
  <c r="C5893" i="1"/>
  <c r="D5893" i="1"/>
  <c r="E5893" i="1"/>
  <c r="F5893" i="1"/>
  <c r="G5893" i="1"/>
  <c r="H5893" i="1"/>
  <c r="A5894" i="1"/>
  <c r="B5894" i="1"/>
  <c r="C5894" i="1"/>
  <c r="D5894" i="1"/>
  <c r="E5894" i="1"/>
  <c r="F5894" i="1"/>
  <c r="G5894" i="1"/>
  <c r="H5894" i="1"/>
  <c r="A5895" i="1"/>
  <c r="B5895" i="1"/>
  <c r="C5895" i="1"/>
  <c r="D5895" i="1"/>
  <c r="E5895" i="1"/>
  <c r="F5895" i="1"/>
  <c r="G5895" i="1"/>
  <c r="H5895" i="1"/>
  <c r="A5896" i="1"/>
  <c r="B5896" i="1"/>
  <c r="C5896" i="1"/>
  <c r="D5896" i="1"/>
  <c r="E5896" i="1"/>
  <c r="F5896" i="1"/>
  <c r="G5896" i="1"/>
  <c r="H5896" i="1"/>
  <c r="A5897" i="1"/>
  <c r="B5897" i="1"/>
  <c r="C5897" i="1"/>
  <c r="D5897" i="1"/>
  <c r="E5897" i="1"/>
  <c r="F5897" i="1"/>
  <c r="G5897" i="1"/>
  <c r="H5897" i="1"/>
  <c r="A5898" i="1"/>
  <c r="B5898" i="1"/>
  <c r="C5898" i="1"/>
  <c r="D5898" i="1"/>
  <c r="E5898" i="1"/>
  <c r="F5898" i="1"/>
  <c r="G5898" i="1"/>
  <c r="H5898" i="1"/>
  <c r="A5899" i="1"/>
  <c r="B5899" i="1"/>
  <c r="C5899" i="1"/>
  <c r="D5899" i="1"/>
  <c r="E5899" i="1"/>
  <c r="F5899" i="1"/>
  <c r="G5899" i="1"/>
  <c r="H5899" i="1"/>
  <c r="A5900" i="1"/>
  <c r="B5900" i="1"/>
  <c r="C5900" i="1"/>
  <c r="D5900" i="1"/>
  <c r="E5900" i="1"/>
  <c r="F5900" i="1"/>
  <c r="G5900" i="1"/>
  <c r="H5900" i="1"/>
  <c r="A5901" i="1"/>
  <c r="B5901" i="1"/>
  <c r="C5901" i="1"/>
  <c r="D5901" i="1"/>
  <c r="E5901" i="1"/>
  <c r="F5901" i="1"/>
  <c r="G5901" i="1"/>
  <c r="H5901" i="1"/>
  <c r="A5902" i="1"/>
  <c r="B5902" i="1"/>
  <c r="C5902" i="1"/>
  <c r="D5902" i="1"/>
  <c r="E5902" i="1"/>
  <c r="F5902" i="1"/>
  <c r="G5902" i="1"/>
  <c r="H5902" i="1"/>
  <c r="A5903" i="1"/>
  <c r="B5903" i="1"/>
  <c r="C5903" i="1"/>
  <c r="D5903" i="1"/>
  <c r="E5903" i="1"/>
  <c r="F5903" i="1"/>
  <c r="G5903" i="1"/>
  <c r="H5903" i="1"/>
  <c r="A5904" i="1"/>
  <c r="B5904" i="1"/>
  <c r="C5904" i="1"/>
  <c r="D5904" i="1"/>
  <c r="E5904" i="1"/>
  <c r="F5904" i="1"/>
  <c r="G5904" i="1"/>
  <c r="H5904" i="1"/>
  <c r="A5905" i="1"/>
  <c r="B5905" i="1"/>
  <c r="C5905" i="1"/>
  <c r="D5905" i="1"/>
  <c r="E5905" i="1"/>
  <c r="F5905" i="1"/>
  <c r="G5905" i="1"/>
  <c r="H5905" i="1"/>
  <c r="A5906" i="1"/>
  <c r="B5906" i="1"/>
  <c r="C5906" i="1"/>
  <c r="D5906" i="1"/>
  <c r="E5906" i="1"/>
  <c r="F5906" i="1"/>
  <c r="G5906" i="1"/>
  <c r="H5906" i="1"/>
  <c r="A5907" i="1"/>
  <c r="B5907" i="1"/>
  <c r="C5907" i="1"/>
  <c r="D5907" i="1"/>
  <c r="E5907" i="1"/>
  <c r="F5907" i="1"/>
  <c r="G5907" i="1"/>
  <c r="H5907" i="1"/>
  <c r="A5908" i="1"/>
  <c r="B5908" i="1"/>
  <c r="C5908" i="1"/>
  <c r="D5908" i="1"/>
  <c r="E5908" i="1"/>
  <c r="F5908" i="1"/>
  <c r="G5908" i="1"/>
  <c r="H5908" i="1"/>
  <c r="A5909" i="1"/>
  <c r="B5909" i="1"/>
  <c r="C5909" i="1"/>
  <c r="D5909" i="1"/>
  <c r="E5909" i="1"/>
  <c r="F5909" i="1"/>
  <c r="G5909" i="1"/>
  <c r="H5909" i="1"/>
  <c r="A5910" i="1"/>
  <c r="B5910" i="1"/>
  <c r="C5910" i="1"/>
  <c r="D5910" i="1"/>
  <c r="E5910" i="1"/>
  <c r="F5910" i="1"/>
  <c r="G5910" i="1"/>
  <c r="H5910" i="1"/>
  <c r="A5911" i="1"/>
  <c r="B5911" i="1"/>
  <c r="C5911" i="1"/>
  <c r="D5911" i="1"/>
  <c r="E5911" i="1"/>
  <c r="F5911" i="1"/>
  <c r="G5911" i="1"/>
  <c r="H5911" i="1"/>
  <c r="A5912" i="1"/>
  <c r="B5912" i="1"/>
  <c r="C5912" i="1"/>
  <c r="D5912" i="1"/>
  <c r="E5912" i="1"/>
  <c r="F5912" i="1"/>
  <c r="G5912" i="1"/>
  <c r="H5912" i="1"/>
  <c r="A5913" i="1"/>
  <c r="B5913" i="1"/>
  <c r="C5913" i="1"/>
  <c r="D5913" i="1"/>
  <c r="E5913" i="1"/>
  <c r="F5913" i="1"/>
  <c r="G5913" i="1"/>
  <c r="H5913" i="1"/>
  <c r="A5914" i="1"/>
  <c r="B5914" i="1"/>
  <c r="C5914" i="1"/>
  <c r="D5914" i="1"/>
  <c r="E5914" i="1"/>
  <c r="F5914" i="1"/>
  <c r="G5914" i="1"/>
  <c r="H5914" i="1"/>
  <c r="A5915" i="1"/>
  <c r="B5915" i="1"/>
  <c r="C5915" i="1"/>
  <c r="D5915" i="1"/>
  <c r="E5915" i="1"/>
  <c r="F5915" i="1"/>
  <c r="G5915" i="1"/>
  <c r="H5915" i="1"/>
  <c r="A5916" i="1"/>
  <c r="B5916" i="1"/>
  <c r="C5916" i="1"/>
  <c r="D5916" i="1"/>
  <c r="E5916" i="1"/>
  <c r="F5916" i="1"/>
  <c r="G5916" i="1"/>
  <c r="H5916" i="1"/>
  <c r="A5917" i="1"/>
  <c r="B5917" i="1"/>
  <c r="C5917" i="1"/>
  <c r="D5917" i="1"/>
  <c r="E5917" i="1"/>
  <c r="F5917" i="1"/>
  <c r="G5917" i="1"/>
  <c r="H5917" i="1"/>
  <c r="A5918" i="1"/>
  <c r="B5918" i="1"/>
  <c r="C5918" i="1"/>
  <c r="D5918" i="1"/>
  <c r="E5918" i="1"/>
  <c r="F5918" i="1"/>
  <c r="G5918" i="1"/>
  <c r="H5918" i="1"/>
  <c r="A5919" i="1"/>
  <c r="B5919" i="1"/>
  <c r="C5919" i="1"/>
  <c r="D5919" i="1"/>
  <c r="E5919" i="1"/>
  <c r="F5919" i="1"/>
  <c r="G5919" i="1"/>
  <c r="H5919" i="1"/>
  <c r="A5920" i="1"/>
  <c r="B5920" i="1"/>
  <c r="C5920" i="1"/>
  <c r="D5920" i="1"/>
  <c r="E5920" i="1"/>
  <c r="F5920" i="1"/>
  <c r="G5920" i="1"/>
  <c r="H5920" i="1"/>
  <c r="A5921" i="1"/>
  <c r="B5921" i="1"/>
  <c r="C5921" i="1"/>
  <c r="D5921" i="1"/>
  <c r="E5921" i="1"/>
  <c r="F5921" i="1"/>
  <c r="G5921" i="1"/>
  <c r="H5921" i="1"/>
  <c r="A5922" i="1"/>
  <c r="B5922" i="1"/>
  <c r="C5922" i="1"/>
  <c r="D5922" i="1"/>
  <c r="E5922" i="1"/>
  <c r="F5922" i="1"/>
  <c r="G5922" i="1"/>
  <c r="H5922" i="1"/>
  <c r="A5923" i="1"/>
  <c r="B5923" i="1"/>
  <c r="C5923" i="1"/>
  <c r="D5923" i="1"/>
  <c r="E5923" i="1"/>
  <c r="F5923" i="1"/>
  <c r="G5923" i="1"/>
  <c r="H5923" i="1"/>
  <c r="A5924" i="1"/>
  <c r="B5924" i="1"/>
  <c r="C5924" i="1"/>
  <c r="D5924" i="1"/>
  <c r="E5924" i="1"/>
  <c r="F5924" i="1"/>
  <c r="G5924" i="1"/>
  <c r="H5924" i="1"/>
  <c r="A5925" i="1"/>
  <c r="B5925" i="1"/>
  <c r="C5925" i="1"/>
  <c r="D5925" i="1"/>
  <c r="E5925" i="1"/>
  <c r="F5925" i="1"/>
  <c r="G5925" i="1"/>
  <c r="H5925" i="1"/>
  <c r="A5926" i="1"/>
  <c r="B5926" i="1"/>
  <c r="C5926" i="1"/>
  <c r="D5926" i="1"/>
  <c r="E5926" i="1"/>
  <c r="F5926" i="1"/>
  <c r="G5926" i="1"/>
  <c r="H5926" i="1"/>
  <c r="A5927" i="1"/>
  <c r="B5927" i="1"/>
  <c r="C5927" i="1"/>
  <c r="D5927" i="1"/>
  <c r="E5927" i="1"/>
  <c r="F5927" i="1"/>
  <c r="G5927" i="1"/>
  <c r="H5927" i="1"/>
  <c r="A5928" i="1"/>
  <c r="B5928" i="1"/>
  <c r="C5928" i="1"/>
  <c r="D5928" i="1"/>
  <c r="E5928" i="1"/>
  <c r="F5928" i="1"/>
  <c r="G5928" i="1"/>
  <c r="H5928" i="1"/>
  <c r="A5929" i="1"/>
  <c r="B5929" i="1"/>
  <c r="C5929" i="1"/>
  <c r="D5929" i="1"/>
  <c r="E5929" i="1"/>
  <c r="F5929" i="1"/>
  <c r="G5929" i="1"/>
  <c r="H5929" i="1"/>
  <c r="A5930" i="1"/>
  <c r="B5930" i="1"/>
  <c r="C5930" i="1"/>
  <c r="D5930" i="1"/>
  <c r="E5930" i="1"/>
  <c r="F5930" i="1"/>
  <c r="G5930" i="1"/>
  <c r="H5930" i="1"/>
  <c r="A5931" i="1"/>
  <c r="B5931" i="1"/>
  <c r="C5931" i="1"/>
  <c r="D5931" i="1"/>
  <c r="E5931" i="1"/>
  <c r="F5931" i="1"/>
  <c r="G5931" i="1"/>
  <c r="H5931" i="1"/>
  <c r="A5932" i="1"/>
  <c r="B5932" i="1"/>
  <c r="C5932" i="1"/>
  <c r="D5932" i="1"/>
  <c r="E5932" i="1"/>
  <c r="F5932" i="1"/>
  <c r="G5932" i="1"/>
  <c r="H5932" i="1"/>
  <c r="A5933" i="1"/>
  <c r="B5933" i="1"/>
  <c r="C5933" i="1"/>
  <c r="D5933" i="1"/>
  <c r="E5933" i="1"/>
  <c r="F5933" i="1"/>
  <c r="G5933" i="1"/>
  <c r="H5933" i="1"/>
  <c r="A5934" i="1"/>
  <c r="B5934" i="1"/>
  <c r="C5934" i="1"/>
  <c r="D5934" i="1"/>
  <c r="E5934" i="1"/>
  <c r="F5934" i="1"/>
  <c r="G5934" i="1"/>
  <c r="H5934" i="1"/>
  <c r="A5935" i="1"/>
  <c r="B5935" i="1"/>
  <c r="C5935" i="1"/>
  <c r="D5935" i="1"/>
  <c r="E5935" i="1"/>
  <c r="F5935" i="1"/>
  <c r="G5935" i="1"/>
  <c r="H5935" i="1"/>
  <c r="A5936" i="1"/>
  <c r="B5936" i="1"/>
  <c r="C5936" i="1"/>
  <c r="D5936" i="1"/>
  <c r="E5936" i="1"/>
  <c r="F5936" i="1"/>
  <c r="G5936" i="1"/>
  <c r="H5936" i="1"/>
  <c r="A5937" i="1"/>
  <c r="B5937" i="1"/>
  <c r="C5937" i="1"/>
  <c r="D5937" i="1"/>
  <c r="E5937" i="1"/>
  <c r="F5937" i="1"/>
  <c r="G5937" i="1"/>
  <c r="H5937" i="1"/>
  <c r="A5938" i="1"/>
  <c r="B5938" i="1"/>
  <c r="C5938" i="1"/>
  <c r="D5938" i="1"/>
  <c r="E5938" i="1"/>
  <c r="F5938" i="1"/>
  <c r="G5938" i="1"/>
  <c r="H5938" i="1"/>
  <c r="A5939" i="1"/>
  <c r="B5939" i="1"/>
  <c r="C5939" i="1"/>
  <c r="D5939" i="1"/>
  <c r="E5939" i="1"/>
  <c r="F5939" i="1"/>
  <c r="G5939" i="1"/>
  <c r="H5939" i="1"/>
  <c r="A5940" i="1"/>
  <c r="B5940" i="1"/>
  <c r="C5940" i="1"/>
  <c r="D5940" i="1"/>
  <c r="E5940" i="1"/>
  <c r="F5940" i="1"/>
  <c r="G5940" i="1"/>
  <c r="H5940" i="1"/>
  <c r="A5941" i="1"/>
  <c r="B5941" i="1"/>
  <c r="C5941" i="1"/>
  <c r="D5941" i="1"/>
  <c r="E5941" i="1"/>
  <c r="F5941" i="1"/>
  <c r="G5941" i="1"/>
  <c r="H5941" i="1"/>
  <c r="A5942" i="1"/>
  <c r="B5942" i="1"/>
  <c r="C5942" i="1"/>
  <c r="D5942" i="1"/>
  <c r="E5942" i="1"/>
  <c r="F5942" i="1"/>
  <c r="G5942" i="1"/>
  <c r="H5942" i="1"/>
  <c r="A5943" i="1"/>
  <c r="B5943" i="1"/>
  <c r="C5943" i="1"/>
  <c r="D5943" i="1"/>
  <c r="E5943" i="1"/>
  <c r="F5943" i="1"/>
  <c r="G5943" i="1"/>
  <c r="H5943" i="1"/>
  <c r="A5944" i="1"/>
  <c r="B5944" i="1"/>
  <c r="C5944" i="1"/>
  <c r="D5944" i="1"/>
  <c r="E5944" i="1"/>
  <c r="F5944" i="1"/>
  <c r="G5944" i="1"/>
  <c r="H5944" i="1"/>
  <c r="A5945" i="1"/>
  <c r="B5945" i="1"/>
  <c r="C5945" i="1"/>
  <c r="D5945" i="1"/>
  <c r="E5945" i="1"/>
  <c r="F5945" i="1"/>
  <c r="G5945" i="1"/>
  <c r="H5945" i="1"/>
  <c r="A5946" i="1"/>
  <c r="B5946" i="1"/>
  <c r="C5946" i="1"/>
  <c r="D5946" i="1"/>
  <c r="E5946" i="1"/>
  <c r="F5946" i="1"/>
  <c r="G5946" i="1"/>
  <c r="H5946" i="1"/>
  <c r="A5947" i="1"/>
  <c r="B5947" i="1"/>
  <c r="C5947" i="1"/>
  <c r="D5947" i="1"/>
  <c r="E5947" i="1"/>
  <c r="F5947" i="1"/>
  <c r="G5947" i="1"/>
  <c r="H5947" i="1"/>
  <c r="A5948" i="1"/>
  <c r="B5948" i="1"/>
  <c r="C5948" i="1"/>
  <c r="D5948" i="1"/>
  <c r="E5948" i="1"/>
  <c r="F5948" i="1"/>
  <c r="G5948" i="1"/>
  <c r="H5948" i="1"/>
  <c r="A5949" i="1"/>
  <c r="B5949" i="1"/>
  <c r="C5949" i="1"/>
  <c r="D5949" i="1"/>
  <c r="E5949" i="1"/>
  <c r="F5949" i="1"/>
  <c r="G5949" i="1"/>
  <c r="H5949" i="1"/>
  <c r="A5950" i="1"/>
  <c r="B5950" i="1"/>
  <c r="C5950" i="1"/>
  <c r="D5950" i="1"/>
  <c r="E5950" i="1"/>
  <c r="F5950" i="1"/>
  <c r="G5950" i="1"/>
  <c r="H5950" i="1"/>
  <c r="A5951" i="1"/>
  <c r="B5951" i="1"/>
  <c r="C5951" i="1"/>
  <c r="D5951" i="1"/>
  <c r="E5951" i="1"/>
  <c r="F5951" i="1"/>
  <c r="G5951" i="1"/>
  <c r="H5951" i="1"/>
  <c r="A5952" i="1"/>
  <c r="B5952" i="1"/>
  <c r="C5952" i="1"/>
  <c r="D5952" i="1"/>
  <c r="E5952" i="1"/>
  <c r="F5952" i="1"/>
  <c r="G5952" i="1"/>
  <c r="H5952" i="1"/>
  <c r="A5953" i="1"/>
  <c r="B5953" i="1"/>
  <c r="C5953" i="1"/>
  <c r="D5953" i="1"/>
  <c r="E5953" i="1"/>
  <c r="F5953" i="1"/>
  <c r="G5953" i="1"/>
  <c r="H5953" i="1"/>
  <c r="A5954" i="1"/>
  <c r="B5954" i="1"/>
  <c r="C5954" i="1"/>
  <c r="D5954" i="1"/>
  <c r="E5954" i="1"/>
  <c r="F5954" i="1"/>
  <c r="G5954" i="1"/>
  <c r="H5954" i="1"/>
  <c r="A5955" i="1"/>
  <c r="B5955" i="1"/>
  <c r="C5955" i="1"/>
  <c r="D5955" i="1"/>
  <c r="E5955" i="1"/>
  <c r="F5955" i="1"/>
  <c r="G5955" i="1"/>
  <c r="H5955" i="1"/>
  <c r="A5956" i="1"/>
  <c r="B5956" i="1"/>
  <c r="C5956" i="1"/>
  <c r="D5956" i="1"/>
  <c r="E5956" i="1"/>
  <c r="F5956" i="1"/>
  <c r="G5956" i="1"/>
  <c r="H5956" i="1"/>
  <c r="A5957" i="1"/>
  <c r="B5957" i="1"/>
  <c r="C5957" i="1"/>
  <c r="D5957" i="1"/>
  <c r="E5957" i="1"/>
  <c r="F5957" i="1"/>
  <c r="G5957" i="1"/>
  <c r="H5957" i="1"/>
  <c r="A5958" i="1"/>
  <c r="B5958" i="1"/>
  <c r="C5958" i="1"/>
  <c r="D5958" i="1"/>
  <c r="E5958" i="1"/>
  <c r="F5958" i="1"/>
  <c r="G5958" i="1"/>
  <c r="H5958" i="1"/>
  <c r="A5959" i="1"/>
  <c r="B5959" i="1"/>
  <c r="C5959" i="1"/>
  <c r="D5959" i="1"/>
  <c r="E5959" i="1"/>
  <c r="F5959" i="1"/>
  <c r="G5959" i="1"/>
  <c r="H5959" i="1"/>
  <c r="A5960" i="1"/>
  <c r="B5960" i="1"/>
  <c r="C5960" i="1"/>
  <c r="D5960" i="1"/>
  <c r="E5960" i="1"/>
  <c r="F5960" i="1"/>
  <c r="G5960" i="1"/>
  <c r="H5960" i="1"/>
  <c r="A5961" i="1"/>
  <c r="B5961" i="1"/>
  <c r="C5961" i="1"/>
  <c r="D5961" i="1"/>
  <c r="E5961" i="1"/>
  <c r="F5961" i="1"/>
  <c r="G5961" i="1"/>
  <c r="H5961" i="1"/>
  <c r="A5962" i="1"/>
  <c r="B5962" i="1"/>
  <c r="C5962" i="1"/>
  <c r="D5962" i="1"/>
  <c r="E5962" i="1"/>
  <c r="F5962" i="1"/>
  <c r="G5962" i="1"/>
  <c r="H5962" i="1"/>
  <c r="A5963" i="1"/>
  <c r="B5963" i="1"/>
  <c r="C5963" i="1"/>
  <c r="D5963" i="1"/>
  <c r="E5963" i="1"/>
  <c r="F5963" i="1"/>
  <c r="G5963" i="1"/>
  <c r="H5963" i="1"/>
  <c r="A5964" i="1"/>
  <c r="B5964" i="1"/>
  <c r="C5964" i="1"/>
  <c r="D5964" i="1"/>
  <c r="E5964" i="1"/>
  <c r="F5964" i="1"/>
  <c r="G5964" i="1"/>
  <c r="H5964" i="1"/>
  <c r="A5965" i="1"/>
  <c r="B5965" i="1"/>
  <c r="C5965" i="1"/>
  <c r="D5965" i="1"/>
  <c r="E5965" i="1"/>
  <c r="F5965" i="1"/>
  <c r="G5965" i="1"/>
  <c r="H5965" i="1"/>
  <c r="A5966" i="1"/>
  <c r="B5966" i="1"/>
  <c r="C5966" i="1"/>
  <c r="D5966" i="1"/>
  <c r="E5966" i="1"/>
  <c r="F5966" i="1"/>
  <c r="G5966" i="1"/>
  <c r="H5966" i="1"/>
  <c r="A5967" i="1"/>
  <c r="B5967" i="1"/>
  <c r="C5967" i="1"/>
  <c r="D5967" i="1"/>
  <c r="E5967" i="1"/>
  <c r="F5967" i="1"/>
  <c r="G5967" i="1"/>
  <c r="H5967" i="1"/>
  <c r="A5968" i="1"/>
  <c r="B5968" i="1"/>
  <c r="C5968" i="1"/>
  <c r="D5968" i="1"/>
  <c r="E5968" i="1"/>
  <c r="F5968" i="1"/>
  <c r="G5968" i="1"/>
  <c r="H5968" i="1"/>
  <c r="A5969" i="1"/>
  <c r="B5969" i="1"/>
  <c r="C5969" i="1"/>
  <c r="D5969" i="1"/>
  <c r="E5969" i="1"/>
  <c r="F5969" i="1"/>
  <c r="G5969" i="1"/>
  <c r="H5969" i="1"/>
  <c r="A5970" i="1"/>
  <c r="B5970" i="1"/>
  <c r="C5970" i="1"/>
  <c r="D5970" i="1"/>
  <c r="E5970" i="1"/>
  <c r="F5970" i="1"/>
  <c r="G5970" i="1"/>
  <c r="H5970" i="1"/>
  <c r="A5971" i="1"/>
  <c r="B5971" i="1"/>
  <c r="C5971" i="1"/>
  <c r="D5971" i="1"/>
  <c r="E5971" i="1"/>
  <c r="F5971" i="1"/>
  <c r="G5971" i="1"/>
  <c r="H5971" i="1"/>
  <c r="A5972" i="1"/>
  <c r="B5972" i="1"/>
  <c r="C5972" i="1"/>
  <c r="D5972" i="1"/>
  <c r="E5972" i="1"/>
  <c r="F5972" i="1"/>
  <c r="G5972" i="1"/>
  <c r="H5972" i="1"/>
  <c r="A5973" i="1"/>
  <c r="B5973" i="1"/>
  <c r="C5973" i="1"/>
  <c r="D5973" i="1"/>
  <c r="E5973" i="1"/>
  <c r="F5973" i="1"/>
  <c r="G5973" i="1"/>
  <c r="H5973" i="1"/>
  <c r="A5974" i="1"/>
  <c r="B5974" i="1"/>
  <c r="C5974" i="1"/>
  <c r="D5974" i="1"/>
  <c r="E5974" i="1"/>
  <c r="F5974" i="1"/>
  <c r="G5974" i="1"/>
  <c r="H5974" i="1"/>
  <c r="A5975" i="1"/>
  <c r="B5975" i="1"/>
  <c r="C5975" i="1"/>
  <c r="D5975" i="1"/>
  <c r="E5975" i="1"/>
  <c r="F5975" i="1"/>
  <c r="G5975" i="1"/>
  <c r="H5975" i="1"/>
  <c r="A5976" i="1"/>
  <c r="B5976" i="1"/>
  <c r="C5976" i="1"/>
  <c r="D5976" i="1"/>
  <c r="E5976" i="1"/>
  <c r="F5976" i="1"/>
  <c r="G5976" i="1"/>
  <c r="H5976" i="1"/>
  <c r="A5977" i="1"/>
  <c r="B5977" i="1"/>
  <c r="C5977" i="1"/>
  <c r="D5977" i="1"/>
  <c r="E5977" i="1"/>
  <c r="F5977" i="1"/>
  <c r="G5977" i="1"/>
  <c r="H5977" i="1"/>
  <c r="A5978" i="1"/>
  <c r="B5978" i="1"/>
  <c r="C5978" i="1"/>
  <c r="D5978" i="1"/>
  <c r="E5978" i="1"/>
  <c r="F5978" i="1"/>
  <c r="G5978" i="1"/>
  <c r="H5978" i="1"/>
  <c r="A5979" i="1"/>
  <c r="B5979" i="1"/>
  <c r="C5979" i="1"/>
  <c r="D5979" i="1"/>
  <c r="E5979" i="1"/>
  <c r="F5979" i="1"/>
  <c r="G5979" i="1"/>
  <c r="H5979" i="1"/>
  <c r="A5980" i="1"/>
  <c r="B5980" i="1"/>
  <c r="C5980" i="1"/>
  <c r="D5980" i="1"/>
  <c r="E5980" i="1"/>
  <c r="F5980" i="1"/>
  <c r="G5980" i="1"/>
  <c r="H5980" i="1"/>
  <c r="A5981" i="1"/>
  <c r="B5981" i="1"/>
  <c r="C5981" i="1"/>
  <c r="D5981" i="1"/>
  <c r="E5981" i="1"/>
  <c r="F5981" i="1"/>
  <c r="G5981" i="1"/>
  <c r="H5981" i="1"/>
  <c r="A5982" i="1"/>
  <c r="B5982" i="1"/>
  <c r="C5982" i="1"/>
  <c r="D5982" i="1"/>
  <c r="E5982" i="1"/>
  <c r="F5982" i="1"/>
  <c r="G5982" i="1"/>
  <c r="H5982" i="1"/>
  <c r="A5983" i="1"/>
  <c r="B5983" i="1"/>
  <c r="C5983" i="1"/>
  <c r="D5983" i="1"/>
  <c r="E5983" i="1"/>
  <c r="F5983" i="1"/>
  <c r="G5983" i="1"/>
  <c r="H5983" i="1"/>
  <c r="A5984" i="1"/>
  <c r="B5984" i="1"/>
  <c r="C5984" i="1"/>
  <c r="D5984" i="1"/>
  <c r="E5984" i="1"/>
  <c r="F5984" i="1"/>
  <c r="G5984" i="1"/>
  <c r="H5984" i="1"/>
  <c r="A5985" i="1"/>
  <c r="B5985" i="1"/>
  <c r="C5985" i="1"/>
  <c r="D5985" i="1"/>
  <c r="E5985" i="1"/>
  <c r="F5985" i="1"/>
  <c r="G5985" i="1"/>
  <c r="H5985" i="1"/>
  <c r="A5986" i="1"/>
  <c r="B5986" i="1"/>
  <c r="C5986" i="1"/>
  <c r="D5986" i="1"/>
  <c r="E5986" i="1"/>
  <c r="F5986" i="1"/>
  <c r="G5986" i="1"/>
  <c r="H5986" i="1"/>
  <c r="A5987" i="1"/>
  <c r="B5987" i="1"/>
  <c r="C5987" i="1"/>
  <c r="D5987" i="1"/>
  <c r="E5987" i="1"/>
  <c r="F5987" i="1"/>
  <c r="G5987" i="1"/>
  <c r="H5987" i="1"/>
  <c r="A5988" i="1"/>
  <c r="B5988" i="1"/>
  <c r="C5988" i="1"/>
  <c r="D5988" i="1"/>
  <c r="E5988" i="1"/>
  <c r="F5988" i="1"/>
  <c r="G5988" i="1"/>
  <c r="H5988" i="1"/>
  <c r="A5989" i="1"/>
  <c r="B5989" i="1"/>
  <c r="C5989" i="1"/>
  <c r="D5989" i="1"/>
  <c r="E5989" i="1"/>
  <c r="F5989" i="1"/>
  <c r="G5989" i="1"/>
  <c r="H5989" i="1"/>
  <c r="A5990" i="1"/>
  <c r="B5990" i="1"/>
  <c r="C5990" i="1"/>
  <c r="D5990" i="1"/>
  <c r="E5990" i="1"/>
  <c r="F5990" i="1"/>
  <c r="G5990" i="1"/>
  <c r="H5990" i="1"/>
  <c r="A5991" i="1"/>
  <c r="B5991" i="1"/>
  <c r="C5991" i="1"/>
  <c r="D5991" i="1"/>
  <c r="E5991" i="1"/>
  <c r="F5991" i="1"/>
  <c r="G5991" i="1"/>
  <c r="H5991" i="1"/>
  <c r="A5992" i="1"/>
  <c r="B5992" i="1"/>
  <c r="C5992" i="1"/>
  <c r="D5992" i="1"/>
  <c r="E5992" i="1"/>
  <c r="F5992" i="1"/>
  <c r="G5992" i="1"/>
  <c r="H5992" i="1"/>
  <c r="A5993" i="1"/>
  <c r="B5993" i="1"/>
  <c r="C5993" i="1"/>
  <c r="D5993" i="1"/>
  <c r="E5993" i="1"/>
  <c r="F5993" i="1"/>
  <c r="G5993" i="1"/>
  <c r="H5993" i="1"/>
  <c r="A5994" i="1"/>
  <c r="B5994" i="1"/>
  <c r="C5994" i="1"/>
  <c r="D5994" i="1"/>
  <c r="E5994" i="1"/>
  <c r="F5994" i="1"/>
  <c r="G5994" i="1"/>
  <c r="H5994" i="1"/>
  <c r="A5995" i="1"/>
  <c r="B5995" i="1"/>
  <c r="C5995" i="1"/>
  <c r="D5995" i="1"/>
  <c r="E5995" i="1"/>
  <c r="F5995" i="1"/>
  <c r="G5995" i="1"/>
  <c r="H5995" i="1"/>
  <c r="A5996" i="1"/>
  <c r="B5996" i="1"/>
  <c r="C5996" i="1"/>
  <c r="D5996" i="1"/>
  <c r="E5996" i="1"/>
  <c r="F5996" i="1"/>
  <c r="G5996" i="1"/>
  <c r="H5996" i="1"/>
  <c r="A5997" i="1"/>
  <c r="B5997" i="1"/>
  <c r="C5997" i="1"/>
  <c r="D5997" i="1"/>
  <c r="E5997" i="1"/>
  <c r="F5997" i="1"/>
  <c r="G5997" i="1"/>
  <c r="H5997" i="1"/>
  <c r="A5998" i="1"/>
  <c r="B5998" i="1"/>
  <c r="C5998" i="1"/>
  <c r="D5998" i="1"/>
  <c r="E5998" i="1"/>
  <c r="F5998" i="1"/>
  <c r="G5998" i="1"/>
  <c r="H5998" i="1"/>
  <c r="A5999" i="1"/>
  <c r="B5999" i="1"/>
  <c r="C5999" i="1"/>
  <c r="D5999" i="1"/>
  <c r="E5999" i="1"/>
  <c r="F5999" i="1"/>
  <c r="G5999" i="1"/>
  <c r="H5999" i="1"/>
  <c r="A6000" i="1"/>
  <c r="B6000" i="1"/>
  <c r="C6000" i="1"/>
  <c r="D6000" i="1"/>
  <c r="E6000" i="1"/>
  <c r="F6000" i="1"/>
  <c r="G6000" i="1"/>
  <c r="H6000" i="1"/>
  <c r="A6001" i="1"/>
  <c r="B6001" i="1"/>
  <c r="C6001" i="1"/>
  <c r="D6001" i="1"/>
  <c r="E6001" i="1"/>
  <c r="F6001" i="1"/>
  <c r="G6001" i="1"/>
  <c r="H6001" i="1"/>
  <c r="A6002" i="1"/>
  <c r="B6002" i="1"/>
  <c r="C6002" i="1"/>
  <c r="D6002" i="1"/>
  <c r="E6002" i="1"/>
  <c r="F6002" i="1"/>
  <c r="G6002" i="1"/>
  <c r="H6002" i="1"/>
  <c r="A6003" i="1"/>
  <c r="B6003" i="1"/>
  <c r="C6003" i="1"/>
  <c r="D6003" i="1"/>
  <c r="E6003" i="1"/>
  <c r="F6003" i="1"/>
  <c r="G6003" i="1"/>
  <c r="H6003" i="1"/>
  <c r="A6004" i="1"/>
  <c r="B6004" i="1"/>
  <c r="C6004" i="1"/>
  <c r="D6004" i="1"/>
  <c r="E6004" i="1"/>
  <c r="F6004" i="1"/>
  <c r="G6004" i="1"/>
  <c r="H6004" i="1"/>
  <c r="A6005" i="1"/>
  <c r="B6005" i="1"/>
  <c r="C6005" i="1"/>
  <c r="D6005" i="1"/>
  <c r="E6005" i="1"/>
  <c r="F6005" i="1"/>
  <c r="G6005" i="1"/>
  <c r="H6005" i="1"/>
  <c r="A6006" i="1"/>
  <c r="B6006" i="1"/>
  <c r="C6006" i="1"/>
  <c r="D6006" i="1"/>
  <c r="E6006" i="1"/>
  <c r="F6006" i="1"/>
  <c r="G6006" i="1"/>
  <c r="H6006" i="1"/>
  <c r="A6007" i="1"/>
  <c r="B6007" i="1"/>
  <c r="C6007" i="1"/>
  <c r="D6007" i="1"/>
  <c r="E6007" i="1"/>
  <c r="F6007" i="1"/>
  <c r="G6007" i="1"/>
  <c r="H6007" i="1"/>
  <c r="A6008" i="1"/>
  <c r="B6008" i="1"/>
  <c r="C6008" i="1"/>
  <c r="D6008" i="1"/>
  <c r="E6008" i="1"/>
  <c r="F6008" i="1"/>
  <c r="G6008" i="1"/>
  <c r="H6008" i="1"/>
  <c r="A6009" i="1"/>
  <c r="B6009" i="1"/>
  <c r="C6009" i="1"/>
  <c r="D6009" i="1"/>
  <c r="E6009" i="1"/>
  <c r="F6009" i="1"/>
  <c r="G6009" i="1"/>
  <c r="H6009" i="1"/>
  <c r="A6010" i="1"/>
  <c r="B6010" i="1"/>
  <c r="C6010" i="1"/>
  <c r="D6010" i="1"/>
  <c r="E6010" i="1"/>
  <c r="F6010" i="1"/>
  <c r="G6010" i="1"/>
  <c r="H6010" i="1"/>
  <c r="A6011" i="1"/>
  <c r="B6011" i="1"/>
  <c r="C6011" i="1"/>
  <c r="D6011" i="1"/>
  <c r="E6011" i="1"/>
  <c r="F6011" i="1"/>
  <c r="G6011" i="1"/>
  <c r="H6011" i="1"/>
  <c r="A6012" i="1"/>
  <c r="B6012" i="1"/>
  <c r="C6012" i="1"/>
  <c r="D6012" i="1"/>
  <c r="E6012" i="1"/>
  <c r="F6012" i="1"/>
  <c r="G6012" i="1"/>
  <c r="H6012" i="1"/>
  <c r="A6013" i="1"/>
  <c r="B6013" i="1"/>
  <c r="C6013" i="1"/>
  <c r="D6013" i="1"/>
  <c r="E6013" i="1"/>
  <c r="F6013" i="1"/>
  <c r="G6013" i="1"/>
  <c r="H6013" i="1"/>
  <c r="A6014" i="1"/>
  <c r="B6014" i="1"/>
  <c r="C6014" i="1"/>
  <c r="D6014" i="1"/>
  <c r="E6014" i="1"/>
  <c r="F6014" i="1"/>
  <c r="G6014" i="1"/>
  <c r="H6014" i="1"/>
  <c r="A6015" i="1"/>
  <c r="B6015" i="1"/>
  <c r="C6015" i="1"/>
  <c r="D6015" i="1"/>
  <c r="E6015" i="1"/>
  <c r="F6015" i="1"/>
  <c r="G6015" i="1"/>
  <c r="H6015" i="1"/>
  <c r="A6016" i="1"/>
  <c r="B6016" i="1"/>
  <c r="C6016" i="1"/>
  <c r="D6016" i="1"/>
  <c r="E6016" i="1"/>
  <c r="F6016" i="1"/>
  <c r="G6016" i="1"/>
  <c r="H6016" i="1"/>
  <c r="A6017" i="1"/>
  <c r="B6017" i="1"/>
  <c r="C6017" i="1"/>
  <c r="D6017" i="1"/>
  <c r="E6017" i="1"/>
  <c r="F6017" i="1"/>
  <c r="G6017" i="1"/>
  <c r="H6017" i="1"/>
  <c r="A6018" i="1"/>
  <c r="B6018" i="1"/>
  <c r="C6018" i="1"/>
  <c r="D6018" i="1"/>
  <c r="E6018" i="1"/>
  <c r="F6018" i="1"/>
  <c r="G6018" i="1"/>
  <c r="H6018" i="1"/>
  <c r="A6019" i="1"/>
  <c r="B6019" i="1"/>
  <c r="C6019" i="1"/>
  <c r="D6019" i="1"/>
  <c r="E6019" i="1"/>
  <c r="F6019" i="1"/>
  <c r="G6019" i="1"/>
  <c r="H6019" i="1"/>
  <c r="A6020" i="1"/>
  <c r="B6020" i="1"/>
  <c r="C6020" i="1"/>
  <c r="D6020" i="1"/>
  <c r="E6020" i="1"/>
  <c r="F6020" i="1"/>
  <c r="G6020" i="1"/>
  <c r="H6020" i="1"/>
  <c r="A6021" i="1"/>
  <c r="B6021" i="1"/>
  <c r="C6021" i="1"/>
  <c r="D6021" i="1"/>
  <c r="E6021" i="1"/>
  <c r="F6021" i="1"/>
  <c r="G6021" i="1"/>
  <c r="H6021" i="1"/>
  <c r="A6022" i="1"/>
  <c r="B6022" i="1"/>
  <c r="C6022" i="1"/>
  <c r="D6022" i="1"/>
  <c r="E6022" i="1"/>
  <c r="F6022" i="1"/>
  <c r="G6022" i="1"/>
  <c r="H6022" i="1"/>
  <c r="A6023" i="1"/>
  <c r="B6023" i="1"/>
  <c r="C6023" i="1"/>
  <c r="D6023" i="1"/>
  <c r="E6023" i="1"/>
  <c r="F6023" i="1"/>
  <c r="G6023" i="1"/>
  <c r="H6023" i="1"/>
  <c r="A6024" i="1"/>
  <c r="B6024" i="1"/>
  <c r="C6024" i="1"/>
  <c r="D6024" i="1"/>
  <c r="E6024" i="1"/>
  <c r="F6024" i="1"/>
  <c r="G6024" i="1"/>
  <c r="H6024" i="1"/>
  <c r="A6025" i="1"/>
  <c r="B6025" i="1"/>
  <c r="C6025" i="1"/>
  <c r="D6025" i="1"/>
  <c r="E6025" i="1"/>
  <c r="F6025" i="1"/>
  <c r="G6025" i="1"/>
  <c r="H6025" i="1"/>
  <c r="A6026" i="1"/>
  <c r="B6026" i="1"/>
  <c r="C6026" i="1"/>
  <c r="D6026" i="1"/>
  <c r="E6026" i="1"/>
  <c r="F6026" i="1"/>
  <c r="G6026" i="1"/>
  <c r="H6026" i="1"/>
  <c r="A6027" i="1"/>
  <c r="B6027" i="1"/>
  <c r="C6027" i="1"/>
  <c r="D6027" i="1"/>
  <c r="E6027" i="1"/>
  <c r="F6027" i="1"/>
  <c r="G6027" i="1"/>
  <c r="H6027" i="1"/>
  <c r="A6028" i="1"/>
  <c r="B6028" i="1"/>
  <c r="C6028" i="1"/>
  <c r="D6028" i="1"/>
  <c r="E6028" i="1"/>
  <c r="F6028" i="1"/>
  <c r="G6028" i="1"/>
  <c r="H6028" i="1"/>
  <c r="A6029" i="1"/>
  <c r="B6029" i="1"/>
  <c r="C6029" i="1"/>
  <c r="D6029" i="1"/>
  <c r="E6029" i="1"/>
  <c r="F6029" i="1"/>
  <c r="G6029" i="1"/>
  <c r="H6029" i="1"/>
  <c r="A6030" i="1"/>
  <c r="B6030" i="1"/>
  <c r="C6030" i="1"/>
  <c r="D6030" i="1"/>
  <c r="E6030" i="1"/>
  <c r="F6030" i="1"/>
  <c r="G6030" i="1"/>
  <c r="H6030" i="1"/>
  <c r="A6031" i="1"/>
  <c r="B6031" i="1"/>
  <c r="C6031" i="1"/>
  <c r="D6031" i="1"/>
  <c r="E6031" i="1"/>
  <c r="F6031" i="1"/>
  <c r="G6031" i="1"/>
  <c r="H6031" i="1"/>
  <c r="A6032" i="1"/>
  <c r="B6032" i="1"/>
  <c r="C6032" i="1"/>
  <c r="D6032" i="1"/>
  <c r="E6032" i="1"/>
  <c r="F6032" i="1"/>
  <c r="G6032" i="1"/>
  <c r="H6032" i="1"/>
  <c r="A6033" i="1"/>
  <c r="B6033" i="1"/>
  <c r="C6033" i="1"/>
  <c r="D6033" i="1"/>
  <c r="E6033" i="1"/>
  <c r="F6033" i="1"/>
  <c r="G6033" i="1"/>
  <c r="H6033" i="1"/>
  <c r="A6034" i="1"/>
  <c r="B6034" i="1"/>
  <c r="C6034" i="1"/>
  <c r="D6034" i="1"/>
  <c r="E6034" i="1"/>
  <c r="F6034" i="1"/>
  <c r="G6034" i="1"/>
  <c r="H6034" i="1"/>
  <c r="A6035" i="1"/>
  <c r="B6035" i="1"/>
  <c r="C6035" i="1"/>
  <c r="D6035" i="1"/>
  <c r="E6035" i="1"/>
  <c r="F6035" i="1"/>
  <c r="G6035" i="1"/>
  <c r="H6035" i="1"/>
  <c r="A6036" i="1"/>
  <c r="B6036" i="1"/>
  <c r="C6036" i="1"/>
  <c r="D6036" i="1"/>
  <c r="E6036" i="1"/>
  <c r="F6036" i="1"/>
  <c r="G6036" i="1"/>
  <c r="H6036" i="1"/>
  <c r="A6037" i="1"/>
  <c r="B6037" i="1"/>
  <c r="C6037" i="1"/>
  <c r="D6037" i="1"/>
  <c r="E6037" i="1"/>
  <c r="F6037" i="1"/>
  <c r="G6037" i="1"/>
  <c r="H6037" i="1"/>
  <c r="A6038" i="1"/>
  <c r="B6038" i="1"/>
  <c r="C6038" i="1"/>
  <c r="D6038" i="1"/>
  <c r="E6038" i="1"/>
  <c r="F6038" i="1"/>
  <c r="G6038" i="1"/>
  <c r="H6038" i="1"/>
  <c r="A6039" i="1"/>
  <c r="B6039" i="1"/>
  <c r="C6039" i="1"/>
  <c r="D6039" i="1"/>
  <c r="E6039" i="1"/>
  <c r="F6039" i="1"/>
  <c r="G6039" i="1"/>
  <c r="H6039" i="1"/>
  <c r="A6040" i="1"/>
  <c r="B6040" i="1"/>
  <c r="C6040" i="1"/>
  <c r="D6040" i="1"/>
  <c r="E6040" i="1"/>
  <c r="F6040" i="1"/>
  <c r="G6040" i="1"/>
  <c r="H6040" i="1"/>
  <c r="A6041" i="1"/>
  <c r="B6041" i="1"/>
  <c r="C6041" i="1"/>
  <c r="D6041" i="1"/>
  <c r="E6041" i="1"/>
  <c r="F6041" i="1"/>
  <c r="G6041" i="1"/>
  <c r="H6041" i="1"/>
  <c r="A6042" i="1"/>
  <c r="B6042" i="1"/>
  <c r="C6042" i="1"/>
  <c r="D6042" i="1"/>
  <c r="E6042" i="1"/>
  <c r="F6042" i="1"/>
  <c r="G6042" i="1"/>
  <c r="H6042" i="1"/>
  <c r="A6043" i="1"/>
  <c r="B6043" i="1"/>
  <c r="C6043" i="1"/>
  <c r="D6043" i="1"/>
  <c r="E6043" i="1"/>
  <c r="F6043" i="1"/>
  <c r="G6043" i="1"/>
  <c r="H6043" i="1"/>
  <c r="A6044" i="1"/>
  <c r="B6044" i="1"/>
  <c r="C6044" i="1"/>
  <c r="D6044" i="1"/>
  <c r="E6044" i="1"/>
  <c r="F6044" i="1"/>
  <c r="G6044" i="1"/>
  <c r="H6044" i="1"/>
  <c r="A6045" i="1"/>
  <c r="B6045" i="1"/>
  <c r="C6045" i="1"/>
  <c r="D6045" i="1"/>
  <c r="E6045" i="1"/>
  <c r="F6045" i="1"/>
  <c r="G6045" i="1"/>
  <c r="H6045" i="1"/>
  <c r="A6046" i="1"/>
  <c r="B6046" i="1"/>
  <c r="C6046" i="1"/>
  <c r="D6046" i="1"/>
  <c r="E6046" i="1"/>
  <c r="F6046" i="1"/>
  <c r="G6046" i="1"/>
  <c r="H6046" i="1"/>
  <c r="A6047" i="1"/>
  <c r="B6047" i="1"/>
  <c r="C6047" i="1"/>
  <c r="D6047" i="1"/>
  <c r="E6047" i="1"/>
  <c r="F6047" i="1"/>
  <c r="G6047" i="1"/>
  <c r="H6047" i="1"/>
  <c r="A6048" i="1"/>
  <c r="B6048" i="1"/>
  <c r="C6048" i="1"/>
  <c r="D6048" i="1"/>
  <c r="E6048" i="1"/>
  <c r="F6048" i="1"/>
  <c r="G6048" i="1"/>
  <c r="H6048" i="1"/>
  <c r="A6049" i="1"/>
  <c r="B6049" i="1"/>
  <c r="C6049" i="1"/>
  <c r="D6049" i="1"/>
  <c r="E6049" i="1"/>
  <c r="F6049" i="1"/>
  <c r="G6049" i="1"/>
  <c r="H6049" i="1"/>
  <c r="A6050" i="1"/>
  <c r="B6050" i="1"/>
  <c r="C6050" i="1"/>
  <c r="D6050" i="1"/>
  <c r="E6050" i="1"/>
  <c r="F6050" i="1"/>
  <c r="G6050" i="1"/>
  <c r="H6050" i="1"/>
  <c r="A6051" i="1"/>
  <c r="B6051" i="1"/>
  <c r="C6051" i="1"/>
  <c r="D6051" i="1"/>
  <c r="E6051" i="1"/>
  <c r="F6051" i="1"/>
  <c r="G6051" i="1"/>
  <c r="H6051" i="1"/>
  <c r="A6052" i="1"/>
  <c r="B6052" i="1"/>
  <c r="C6052" i="1"/>
  <c r="D6052" i="1"/>
  <c r="E6052" i="1"/>
  <c r="F6052" i="1"/>
  <c r="G6052" i="1"/>
  <c r="H6052" i="1"/>
  <c r="A6053" i="1"/>
  <c r="B6053" i="1"/>
  <c r="C6053" i="1"/>
  <c r="D6053" i="1"/>
  <c r="E6053" i="1"/>
  <c r="F6053" i="1"/>
  <c r="G6053" i="1"/>
  <c r="H6053" i="1"/>
  <c r="A6054" i="1"/>
  <c r="B6054" i="1"/>
  <c r="C6054" i="1"/>
  <c r="D6054" i="1"/>
  <c r="E6054" i="1"/>
  <c r="F6054" i="1"/>
  <c r="G6054" i="1"/>
  <c r="H6054" i="1"/>
  <c r="A6055" i="1"/>
  <c r="B6055" i="1"/>
  <c r="C6055" i="1"/>
  <c r="D6055" i="1"/>
  <c r="E6055" i="1"/>
  <c r="F6055" i="1"/>
  <c r="G6055" i="1"/>
  <c r="H6055" i="1"/>
  <c r="A6056" i="1"/>
  <c r="B6056" i="1"/>
  <c r="C6056" i="1"/>
  <c r="D6056" i="1"/>
  <c r="E6056" i="1"/>
  <c r="F6056" i="1"/>
  <c r="G6056" i="1"/>
  <c r="H6056" i="1"/>
  <c r="A6057" i="1"/>
  <c r="B6057" i="1"/>
  <c r="C6057" i="1"/>
  <c r="D6057" i="1"/>
  <c r="E6057" i="1"/>
  <c r="F6057" i="1"/>
  <c r="G6057" i="1"/>
  <c r="H6057" i="1"/>
  <c r="A6058" i="1"/>
  <c r="B6058" i="1"/>
  <c r="C6058" i="1"/>
  <c r="D6058" i="1"/>
  <c r="E6058" i="1"/>
  <c r="F6058" i="1"/>
  <c r="G6058" i="1"/>
  <c r="H6058" i="1"/>
  <c r="A6059" i="1"/>
  <c r="B6059" i="1"/>
  <c r="C6059" i="1"/>
  <c r="D6059" i="1"/>
  <c r="E6059" i="1"/>
  <c r="F6059" i="1"/>
  <c r="G6059" i="1"/>
  <c r="H6059" i="1"/>
  <c r="A6060" i="1"/>
  <c r="B6060" i="1"/>
  <c r="C6060" i="1"/>
  <c r="D6060" i="1"/>
  <c r="E6060" i="1"/>
  <c r="F6060" i="1"/>
  <c r="G6060" i="1"/>
  <c r="H6060" i="1"/>
  <c r="A6061" i="1"/>
  <c r="B6061" i="1"/>
  <c r="C6061" i="1"/>
  <c r="D6061" i="1"/>
  <c r="E6061" i="1"/>
  <c r="F6061" i="1"/>
  <c r="G6061" i="1"/>
  <c r="H6061" i="1"/>
  <c r="A6062" i="1"/>
  <c r="B6062" i="1"/>
  <c r="C6062" i="1"/>
  <c r="D6062" i="1"/>
  <c r="E6062" i="1"/>
  <c r="F6062" i="1"/>
  <c r="G6062" i="1"/>
  <c r="H6062" i="1"/>
  <c r="A6063" i="1"/>
  <c r="B6063" i="1"/>
  <c r="C6063" i="1"/>
  <c r="D6063" i="1"/>
  <c r="E6063" i="1"/>
  <c r="F6063" i="1"/>
  <c r="G6063" i="1"/>
  <c r="H6063" i="1"/>
  <c r="A6064" i="1"/>
  <c r="B6064" i="1"/>
  <c r="C6064" i="1"/>
  <c r="D6064" i="1"/>
  <c r="E6064" i="1"/>
  <c r="F6064" i="1"/>
  <c r="G6064" i="1"/>
  <c r="H6064" i="1"/>
  <c r="A6065" i="1"/>
  <c r="B6065" i="1"/>
  <c r="C6065" i="1"/>
  <c r="D6065" i="1"/>
  <c r="E6065" i="1"/>
  <c r="F6065" i="1"/>
  <c r="G6065" i="1"/>
  <c r="H6065" i="1"/>
  <c r="A6066" i="1"/>
  <c r="B6066" i="1"/>
  <c r="C6066" i="1"/>
  <c r="D6066" i="1"/>
  <c r="E6066" i="1"/>
  <c r="F6066" i="1"/>
  <c r="G6066" i="1"/>
  <c r="H6066" i="1"/>
  <c r="A6067" i="1"/>
  <c r="B6067" i="1"/>
  <c r="C6067" i="1"/>
  <c r="D6067" i="1"/>
  <c r="E6067" i="1"/>
  <c r="F6067" i="1"/>
  <c r="G6067" i="1"/>
  <c r="H6067" i="1"/>
  <c r="A6068" i="1"/>
  <c r="B6068" i="1"/>
  <c r="C6068" i="1"/>
  <c r="D6068" i="1"/>
  <c r="E6068" i="1"/>
  <c r="F6068" i="1"/>
  <c r="G6068" i="1"/>
  <c r="H6068" i="1"/>
  <c r="A6069" i="1"/>
  <c r="B6069" i="1"/>
  <c r="C6069" i="1"/>
  <c r="D6069" i="1"/>
  <c r="E6069" i="1"/>
  <c r="F6069" i="1"/>
  <c r="G6069" i="1"/>
  <c r="H6069" i="1"/>
  <c r="A6070" i="1"/>
  <c r="B6070" i="1"/>
  <c r="C6070" i="1"/>
  <c r="D6070" i="1"/>
  <c r="E6070" i="1"/>
  <c r="F6070" i="1"/>
  <c r="G6070" i="1"/>
  <c r="H6070" i="1"/>
  <c r="A6071" i="1"/>
  <c r="B6071" i="1"/>
  <c r="C6071" i="1"/>
  <c r="D6071" i="1"/>
  <c r="E6071" i="1"/>
  <c r="F6071" i="1"/>
  <c r="G6071" i="1"/>
  <c r="H6071" i="1"/>
  <c r="A6072" i="1"/>
  <c r="B6072" i="1"/>
  <c r="C6072" i="1"/>
  <c r="D6072" i="1"/>
  <c r="E6072" i="1"/>
  <c r="F6072" i="1"/>
  <c r="G6072" i="1"/>
  <c r="H6072" i="1"/>
  <c r="A6073" i="1"/>
  <c r="B6073" i="1"/>
  <c r="C6073" i="1"/>
  <c r="D6073" i="1"/>
  <c r="E6073" i="1"/>
  <c r="F6073" i="1"/>
  <c r="G6073" i="1"/>
  <c r="H6073" i="1"/>
  <c r="A6074" i="1"/>
  <c r="B6074" i="1"/>
  <c r="C6074" i="1"/>
  <c r="D6074" i="1"/>
  <c r="E6074" i="1"/>
  <c r="F6074" i="1"/>
  <c r="G6074" i="1"/>
  <c r="H6074" i="1"/>
  <c r="A6075" i="1"/>
  <c r="B6075" i="1"/>
  <c r="C6075" i="1"/>
  <c r="D6075" i="1"/>
  <c r="E6075" i="1"/>
  <c r="F6075" i="1"/>
  <c r="G6075" i="1"/>
  <c r="H6075" i="1"/>
  <c r="A6076" i="1"/>
  <c r="B6076" i="1"/>
  <c r="C6076" i="1"/>
  <c r="D6076" i="1"/>
  <c r="E6076" i="1"/>
  <c r="F6076" i="1"/>
  <c r="G6076" i="1"/>
  <c r="H6076" i="1"/>
  <c r="A6077" i="1"/>
  <c r="B6077" i="1"/>
  <c r="C6077" i="1"/>
  <c r="D6077" i="1"/>
  <c r="E6077" i="1"/>
  <c r="F6077" i="1"/>
  <c r="G6077" i="1"/>
  <c r="H6077" i="1"/>
  <c r="A6078" i="1"/>
  <c r="B6078" i="1"/>
  <c r="C6078" i="1"/>
  <c r="D6078" i="1"/>
  <c r="E6078" i="1"/>
  <c r="F6078" i="1"/>
  <c r="G6078" i="1"/>
  <c r="H6078" i="1"/>
  <c r="A6079" i="1"/>
  <c r="B6079" i="1"/>
  <c r="C6079" i="1"/>
  <c r="D6079" i="1"/>
  <c r="E6079" i="1"/>
  <c r="F6079" i="1"/>
  <c r="G6079" i="1"/>
  <c r="H6079" i="1"/>
  <c r="A6080" i="1"/>
  <c r="B6080" i="1"/>
  <c r="C6080" i="1"/>
  <c r="D6080" i="1"/>
  <c r="E6080" i="1"/>
  <c r="F6080" i="1"/>
  <c r="G6080" i="1"/>
  <c r="H6080" i="1"/>
  <c r="A6081" i="1"/>
  <c r="B6081" i="1"/>
  <c r="C6081" i="1"/>
  <c r="D6081" i="1"/>
  <c r="E6081" i="1"/>
  <c r="F6081" i="1"/>
  <c r="G6081" i="1"/>
  <c r="H6081" i="1"/>
  <c r="A6082" i="1"/>
  <c r="B6082" i="1"/>
  <c r="C6082" i="1"/>
  <c r="D6082" i="1"/>
  <c r="E6082" i="1"/>
  <c r="F6082" i="1"/>
  <c r="G6082" i="1"/>
  <c r="H6082" i="1"/>
  <c r="A6083" i="1"/>
  <c r="B6083" i="1"/>
  <c r="C6083" i="1"/>
  <c r="D6083" i="1"/>
  <c r="E6083" i="1"/>
  <c r="F6083" i="1"/>
  <c r="G6083" i="1"/>
  <c r="H6083" i="1"/>
  <c r="A6084" i="1"/>
  <c r="B6084" i="1"/>
  <c r="C6084" i="1"/>
  <c r="D6084" i="1"/>
  <c r="E6084" i="1"/>
  <c r="F6084" i="1"/>
  <c r="G6084" i="1"/>
  <c r="H6084" i="1"/>
  <c r="A6085" i="1"/>
  <c r="B6085" i="1"/>
  <c r="C6085" i="1"/>
  <c r="D6085" i="1"/>
  <c r="E6085" i="1"/>
  <c r="F6085" i="1"/>
  <c r="G6085" i="1"/>
  <c r="H6085" i="1"/>
  <c r="A6086" i="1"/>
  <c r="B6086" i="1"/>
  <c r="C6086" i="1"/>
  <c r="D6086" i="1"/>
  <c r="E6086" i="1"/>
  <c r="F6086" i="1"/>
  <c r="G6086" i="1"/>
  <c r="H6086" i="1"/>
  <c r="A6087" i="1"/>
  <c r="B6087" i="1"/>
  <c r="C6087" i="1"/>
  <c r="D6087" i="1"/>
  <c r="E6087" i="1"/>
  <c r="F6087" i="1"/>
  <c r="G6087" i="1"/>
  <c r="H6087" i="1"/>
  <c r="A6088" i="1"/>
  <c r="B6088" i="1"/>
  <c r="C6088" i="1"/>
  <c r="D6088" i="1"/>
  <c r="E6088" i="1"/>
  <c r="F6088" i="1"/>
  <c r="G6088" i="1"/>
  <c r="H6088" i="1"/>
  <c r="A6089" i="1"/>
  <c r="B6089" i="1"/>
  <c r="C6089" i="1"/>
  <c r="D6089" i="1"/>
  <c r="E6089" i="1"/>
  <c r="F6089" i="1"/>
  <c r="G6089" i="1"/>
  <c r="H6089" i="1"/>
  <c r="A6090" i="1"/>
  <c r="B6090" i="1"/>
  <c r="C6090" i="1"/>
  <c r="D6090" i="1"/>
  <c r="E6090" i="1"/>
  <c r="F6090" i="1"/>
  <c r="G6090" i="1"/>
  <c r="H6090" i="1"/>
  <c r="A6091" i="1"/>
  <c r="B6091" i="1"/>
  <c r="C6091" i="1"/>
  <c r="D6091" i="1"/>
  <c r="E6091" i="1"/>
  <c r="F6091" i="1"/>
  <c r="G6091" i="1"/>
  <c r="H6091" i="1"/>
  <c r="A6092" i="1"/>
  <c r="B6092" i="1"/>
  <c r="C6092" i="1"/>
  <c r="D6092" i="1"/>
  <c r="E6092" i="1"/>
  <c r="F6092" i="1"/>
  <c r="G6092" i="1"/>
  <c r="H6092" i="1"/>
  <c r="A6093" i="1"/>
  <c r="B6093" i="1"/>
  <c r="C6093" i="1"/>
  <c r="D6093" i="1"/>
  <c r="E6093" i="1"/>
  <c r="F6093" i="1"/>
  <c r="G6093" i="1"/>
  <c r="H6093" i="1"/>
  <c r="A6094" i="1"/>
  <c r="B6094" i="1"/>
  <c r="C6094" i="1"/>
  <c r="D6094" i="1"/>
  <c r="E6094" i="1"/>
  <c r="F6094" i="1"/>
  <c r="G6094" i="1"/>
  <c r="H6094" i="1"/>
  <c r="A6095" i="1"/>
  <c r="B6095" i="1"/>
  <c r="C6095" i="1"/>
  <c r="D6095" i="1"/>
  <c r="E6095" i="1"/>
  <c r="F6095" i="1"/>
  <c r="G6095" i="1"/>
  <c r="H6095" i="1"/>
  <c r="A6096" i="1"/>
  <c r="B6096" i="1"/>
  <c r="C6096" i="1"/>
  <c r="D6096" i="1"/>
  <c r="E6096" i="1"/>
  <c r="F6096" i="1"/>
  <c r="G6096" i="1"/>
  <c r="H6096" i="1"/>
  <c r="A6097" i="1"/>
  <c r="B6097" i="1"/>
  <c r="C6097" i="1"/>
  <c r="D6097" i="1"/>
  <c r="E6097" i="1"/>
  <c r="F6097" i="1"/>
  <c r="G6097" i="1"/>
  <c r="H6097" i="1"/>
  <c r="A6098" i="1"/>
  <c r="B6098" i="1"/>
  <c r="C6098" i="1"/>
  <c r="D6098" i="1"/>
  <c r="E6098" i="1"/>
  <c r="F6098" i="1"/>
  <c r="G6098" i="1"/>
  <c r="H6098" i="1"/>
  <c r="A6099" i="1"/>
  <c r="B6099" i="1"/>
  <c r="C6099" i="1"/>
  <c r="D6099" i="1"/>
  <c r="E6099" i="1"/>
  <c r="F6099" i="1"/>
  <c r="G6099" i="1"/>
  <c r="H6099" i="1"/>
  <c r="A6100" i="1"/>
  <c r="B6100" i="1"/>
  <c r="C6100" i="1"/>
  <c r="D6100" i="1"/>
  <c r="E6100" i="1"/>
  <c r="F6100" i="1"/>
  <c r="G6100" i="1"/>
  <c r="H6100" i="1"/>
  <c r="A6101" i="1"/>
  <c r="B6101" i="1"/>
  <c r="C6101" i="1"/>
  <c r="D6101" i="1"/>
  <c r="E6101" i="1"/>
  <c r="F6101" i="1"/>
  <c r="G6101" i="1"/>
  <c r="H6101" i="1"/>
  <c r="A6102" i="1"/>
  <c r="B6102" i="1"/>
  <c r="C6102" i="1"/>
  <c r="D6102" i="1"/>
  <c r="E6102" i="1"/>
  <c r="F6102" i="1"/>
  <c r="G6102" i="1"/>
  <c r="H6102" i="1"/>
  <c r="A6103" i="1"/>
  <c r="B6103" i="1"/>
  <c r="C6103" i="1"/>
  <c r="D6103" i="1"/>
  <c r="E6103" i="1"/>
  <c r="F6103" i="1"/>
  <c r="G6103" i="1"/>
  <c r="H6103" i="1"/>
  <c r="A6104" i="1"/>
  <c r="B6104" i="1"/>
  <c r="C6104" i="1"/>
  <c r="D6104" i="1"/>
  <c r="E6104" i="1"/>
  <c r="F6104" i="1"/>
  <c r="G6104" i="1"/>
  <c r="H6104" i="1"/>
  <c r="A6105" i="1"/>
  <c r="B6105" i="1"/>
  <c r="C6105" i="1"/>
  <c r="D6105" i="1"/>
  <c r="E6105" i="1"/>
  <c r="F6105" i="1"/>
  <c r="G6105" i="1"/>
  <c r="H6105" i="1"/>
  <c r="A6106" i="1"/>
  <c r="B6106" i="1"/>
  <c r="C6106" i="1"/>
  <c r="D6106" i="1"/>
  <c r="E6106" i="1"/>
  <c r="F6106" i="1"/>
  <c r="G6106" i="1"/>
  <c r="H6106" i="1"/>
  <c r="A6107" i="1"/>
  <c r="B6107" i="1"/>
  <c r="C6107" i="1"/>
  <c r="D6107" i="1"/>
  <c r="E6107" i="1"/>
  <c r="F6107" i="1"/>
  <c r="G6107" i="1"/>
  <c r="H6107" i="1"/>
  <c r="A6108" i="1"/>
  <c r="B6108" i="1"/>
  <c r="C6108" i="1"/>
  <c r="D6108" i="1"/>
  <c r="E6108" i="1"/>
  <c r="F6108" i="1"/>
  <c r="G6108" i="1"/>
  <c r="H6108" i="1"/>
  <c r="A6109" i="1"/>
  <c r="B6109" i="1"/>
  <c r="C6109" i="1"/>
  <c r="D6109" i="1"/>
  <c r="E6109" i="1"/>
  <c r="F6109" i="1"/>
  <c r="G6109" i="1"/>
  <c r="H6109" i="1"/>
  <c r="A6110" i="1"/>
  <c r="B6110" i="1"/>
  <c r="C6110" i="1"/>
  <c r="D6110" i="1"/>
  <c r="E6110" i="1"/>
  <c r="F6110" i="1"/>
  <c r="G6110" i="1"/>
  <c r="H6110" i="1"/>
  <c r="A6111" i="1"/>
  <c r="B6111" i="1"/>
  <c r="C6111" i="1"/>
  <c r="D6111" i="1"/>
  <c r="E6111" i="1"/>
  <c r="F6111" i="1"/>
  <c r="G6111" i="1"/>
  <c r="H6111" i="1"/>
  <c r="A6112" i="1"/>
  <c r="B6112" i="1"/>
  <c r="C6112" i="1"/>
  <c r="D6112" i="1"/>
  <c r="E6112" i="1"/>
  <c r="F6112" i="1"/>
  <c r="G6112" i="1"/>
  <c r="H6112" i="1"/>
  <c r="A6113" i="1"/>
  <c r="B6113" i="1"/>
  <c r="C6113" i="1"/>
  <c r="D6113" i="1"/>
  <c r="E6113" i="1"/>
  <c r="F6113" i="1"/>
  <c r="G6113" i="1"/>
  <c r="H6113" i="1"/>
  <c r="A6114" i="1"/>
  <c r="B6114" i="1"/>
  <c r="C6114" i="1"/>
  <c r="D6114" i="1"/>
  <c r="E6114" i="1"/>
  <c r="F6114" i="1"/>
  <c r="G6114" i="1"/>
  <c r="H6114" i="1"/>
  <c r="A6115" i="1"/>
  <c r="B6115" i="1"/>
  <c r="C6115" i="1"/>
  <c r="D6115" i="1"/>
  <c r="E6115" i="1"/>
  <c r="F6115" i="1"/>
  <c r="G6115" i="1"/>
  <c r="H6115" i="1"/>
  <c r="A6116" i="1"/>
  <c r="B6116" i="1"/>
  <c r="C6116" i="1"/>
  <c r="D6116" i="1"/>
  <c r="E6116" i="1"/>
  <c r="F6116" i="1"/>
  <c r="G6116" i="1"/>
  <c r="H6116" i="1"/>
  <c r="A6117" i="1"/>
  <c r="B6117" i="1"/>
  <c r="C6117" i="1"/>
  <c r="D6117" i="1"/>
  <c r="E6117" i="1"/>
  <c r="F6117" i="1"/>
  <c r="G6117" i="1"/>
  <c r="H6117" i="1"/>
  <c r="A6118" i="1"/>
  <c r="B6118" i="1"/>
  <c r="C6118" i="1"/>
  <c r="D6118" i="1"/>
  <c r="E6118" i="1"/>
  <c r="F6118" i="1"/>
  <c r="G6118" i="1"/>
  <c r="H6118" i="1"/>
  <c r="A6119" i="1"/>
  <c r="B6119" i="1"/>
  <c r="C6119" i="1"/>
  <c r="D6119" i="1"/>
  <c r="E6119" i="1"/>
  <c r="F6119" i="1"/>
  <c r="G6119" i="1"/>
  <c r="H6119" i="1"/>
  <c r="A6120" i="1"/>
  <c r="B6120" i="1"/>
  <c r="C6120" i="1"/>
  <c r="D6120" i="1"/>
  <c r="E6120" i="1"/>
  <c r="F6120" i="1"/>
  <c r="G6120" i="1"/>
  <c r="H6120" i="1"/>
  <c r="A6121" i="1"/>
  <c r="B6121" i="1"/>
  <c r="C6121" i="1"/>
  <c r="D6121" i="1"/>
  <c r="E6121" i="1"/>
  <c r="F6121" i="1"/>
  <c r="G6121" i="1"/>
  <c r="H6121" i="1"/>
  <c r="A6122" i="1"/>
  <c r="B6122" i="1"/>
  <c r="C6122" i="1"/>
  <c r="D6122" i="1"/>
  <c r="E6122" i="1"/>
  <c r="F6122" i="1"/>
  <c r="G6122" i="1"/>
  <c r="H6122" i="1"/>
  <c r="A6123" i="1"/>
  <c r="B6123" i="1"/>
  <c r="C6123" i="1"/>
  <c r="D6123" i="1"/>
  <c r="E6123" i="1"/>
  <c r="F6123" i="1"/>
  <c r="G6123" i="1"/>
  <c r="H6123" i="1"/>
  <c r="A6124" i="1"/>
  <c r="B6124" i="1"/>
  <c r="C6124" i="1"/>
  <c r="D6124" i="1"/>
  <c r="E6124" i="1"/>
  <c r="F6124" i="1"/>
  <c r="G6124" i="1"/>
  <c r="H6124" i="1"/>
  <c r="A6125" i="1"/>
  <c r="B6125" i="1"/>
  <c r="C6125" i="1"/>
  <c r="D6125" i="1"/>
  <c r="E6125" i="1"/>
  <c r="F6125" i="1"/>
  <c r="G6125" i="1"/>
  <c r="H6125" i="1"/>
  <c r="A6126" i="1"/>
  <c r="B6126" i="1"/>
  <c r="C6126" i="1"/>
  <c r="D6126" i="1"/>
  <c r="E6126" i="1"/>
  <c r="F6126" i="1"/>
  <c r="G6126" i="1"/>
  <c r="H6126" i="1"/>
  <c r="A6127" i="1"/>
  <c r="B6127" i="1"/>
  <c r="C6127" i="1"/>
  <c r="D6127" i="1"/>
  <c r="E6127" i="1"/>
  <c r="F6127" i="1"/>
  <c r="G6127" i="1"/>
  <c r="H6127" i="1"/>
  <c r="A6128" i="1"/>
  <c r="B6128" i="1"/>
  <c r="C6128" i="1"/>
  <c r="D6128" i="1"/>
  <c r="E6128" i="1"/>
  <c r="F6128" i="1"/>
  <c r="G6128" i="1"/>
  <c r="H6128" i="1"/>
  <c r="A6129" i="1"/>
  <c r="B6129" i="1"/>
  <c r="C6129" i="1"/>
  <c r="D6129" i="1"/>
  <c r="E6129" i="1"/>
  <c r="F6129" i="1"/>
  <c r="G6129" i="1"/>
  <c r="H6129" i="1"/>
  <c r="A6130" i="1"/>
  <c r="B6130" i="1"/>
  <c r="C6130" i="1"/>
  <c r="D6130" i="1"/>
  <c r="E6130" i="1"/>
  <c r="F6130" i="1"/>
  <c r="G6130" i="1"/>
  <c r="H6130" i="1"/>
  <c r="A6131" i="1"/>
  <c r="B6131" i="1"/>
  <c r="C6131" i="1"/>
  <c r="D6131" i="1"/>
  <c r="E6131" i="1"/>
  <c r="F6131" i="1"/>
  <c r="G6131" i="1"/>
  <c r="H6131" i="1"/>
  <c r="A6132" i="1"/>
  <c r="B6132" i="1"/>
  <c r="C6132" i="1"/>
  <c r="D6132" i="1"/>
  <c r="E6132" i="1"/>
  <c r="F6132" i="1"/>
  <c r="G6132" i="1"/>
  <c r="H6132" i="1"/>
  <c r="A6133" i="1"/>
  <c r="B6133" i="1"/>
  <c r="C6133" i="1"/>
  <c r="D6133" i="1"/>
  <c r="E6133" i="1"/>
  <c r="F6133" i="1"/>
  <c r="G6133" i="1"/>
  <c r="H6133" i="1"/>
  <c r="A6134" i="1"/>
  <c r="B6134" i="1"/>
  <c r="C6134" i="1"/>
  <c r="D6134" i="1"/>
  <c r="E6134" i="1"/>
  <c r="F6134" i="1"/>
  <c r="G6134" i="1"/>
  <c r="H6134" i="1"/>
  <c r="A6135" i="1"/>
  <c r="B6135" i="1"/>
  <c r="C6135" i="1"/>
  <c r="D6135" i="1"/>
  <c r="E6135" i="1"/>
  <c r="F6135" i="1"/>
  <c r="G6135" i="1"/>
  <c r="H6135" i="1"/>
  <c r="A6136" i="1"/>
  <c r="B6136" i="1"/>
  <c r="C6136" i="1"/>
  <c r="D6136" i="1"/>
  <c r="E6136" i="1"/>
  <c r="F6136" i="1"/>
  <c r="G6136" i="1"/>
  <c r="H6136" i="1"/>
  <c r="A6137" i="1"/>
  <c r="B6137" i="1"/>
  <c r="C6137" i="1"/>
  <c r="D6137" i="1"/>
  <c r="E6137" i="1"/>
  <c r="F6137" i="1"/>
  <c r="G6137" i="1"/>
  <c r="H6137" i="1"/>
  <c r="A6138" i="1"/>
  <c r="B6138" i="1"/>
  <c r="C6138" i="1"/>
  <c r="D6138" i="1"/>
  <c r="E6138" i="1"/>
  <c r="F6138" i="1"/>
  <c r="G6138" i="1"/>
  <c r="H6138" i="1"/>
  <c r="A6139" i="1"/>
  <c r="B6139" i="1"/>
  <c r="C6139" i="1"/>
  <c r="D6139" i="1"/>
  <c r="E6139" i="1"/>
  <c r="F6139" i="1"/>
  <c r="G6139" i="1"/>
  <c r="H6139" i="1"/>
  <c r="A6140" i="1"/>
  <c r="B6140" i="1"/>
  <c r="C6140" i="1"/>
  <c r="D6140" i="1"/>
  <c r="E6140" i="1"/>
  <c r="F6140" i="1"/>
  <c r="G6140" i="1"/>
  <c r="H6140" i="1"/>
  <c r="A6141" i="1"/>
  <c r="B6141" i="1"/>
  <c r="C6141" i="1"/>
  <c r="D6141" i="1"/>
  <c r="E6141" i="1"/>
  <c r="F6141" i="1"/>
  <c r="G6141" i="1"/>
  <c r="H6141" i="1"/>
  <c r="A6142" i="1"/>
  <c r="B6142" i="1"/>
  <c r="C6142" i="1"/>
  <c r="D6142" i="1"/>
  <c r="E6142" i="1"/>
  <c r="F6142" i="1"/>
  <c r="G6142" i="1"/>
  <c r="H6142" i="1"/>
  <c r="A6143" i="1"/>
  <c r="B6143" i="1"/>
  <c r="C6143" i="1"/>
  <c r="D6143" i="1"/>
  <c r="E6143" i="1"/>
  <c r="F6143" i="1"/>
  <c r="G6143" i="1"/>
  <c r="H6143" i="1"/>
  <c r="A6144" i="1"/>
  <c r="B6144" i="1"/>
  <c r="C6144" i="1"/>
  <c r="D6144" i="1"/>
  <c r="E6144" i="1"/>
  <c r="F6144" i="1"/>
  <c r="G6144" i="1"/>
  <c r="H6144" i="1"/>
  <c r="A6145" i="1"/>
  <c r="B6145" i="1"/>
  <c r="C6145" i="1"/>
  <c r="D6145" i="1"/>
  <c r="E6145" i="1"/>
  <c r="F6145" i="1"/>
  <c r="G6145" i="1"/>
  <c r="H6145" i="1"/>
  <c r="A6146" i="1"/>
  <c r="B6146" i="1"/>
  <c r="C6146" i="1"/>
  <c r="D6146" i="1"/>
  <c r="E6146" i="1"/>
  <c r="F6146" i="1"/>
  <c r="G6146" i="1"/>
  <c r="H6146" i="1"/>
  <c r="A6147" i="1"/>
  <c r="B6147" i="1"/>
  <c r="C6147" i="1"/>
  <c r="D6147" i="1"/>
  <c r="E6147" i="1"/>
  <c r="F6147" i="1"/>
  <c r="G6147" i="1"/>
  <c r="H6147" i="1"/>
  <c r="A6148" i="1"/>
  <c r="B6148" i="1"/>
  <c r="C6148" i="1"/>
  <c r="D6148" i="1"/>
  <c r="E6148" i="1"/>
  <c r="F6148" i="1"/>
  <c r="G6148" i="1"/>
  <c r="H6148" i="1"/>
  <c r="A6149" i="1"/>
  <c r="B6149" i="1"/>
  <c r="C6149" i="1"/>
  <c r="D6149" i="1"/>
  <c r="E6149" i="1"/>
  <c r="F6149" i="1"/>
  <c r="G6149" i="1"/>
  <c r="H6149" i="1"/>
  <c r="A6150" i="1"/>
  <c r="B6150" i="1"/>
  <c r="C6150" i="1"/>
  <c r="D6150" i="1"/>
  <c r="E6150" i="1"/>
  <c r="F6150" i="1"/>
  <c r="G6150" i="1"/>
  <c r="H6150" i="1"/>
  <c r="A6151" i="1"/>
  <c r="B6151" i="1"/>
  <c r="C6151" i="1"/>
  <c r="D6151" i="1"/>
  <c r="E6151" i="1"/>
  <c r="F6151" i="1"/>
  <c r="G6151" i="1"/>
  <c r="H6151" i="1"/>
  <c r="A6152" i="1"/>
  <c r="B6152" i="1"/>
  <c r="C6152" i="1"/>
  <c r="D6152" i="1"/>
  <c r="E6152" i="1"/>
  <c r="F6152" i="1"/>
  <c r="G6152" i="1"/>
  <c r="H6152" i="1"/>
  <c r="A6153" i="1"/>
  <c r="B6153" i="1"/>
  <c r="C6153" i="1"/>
  <c r="D6153" i="1"/>
  <c r="E6153" i="1"/>
  <c r="F6153" i="1"/>
  <c r="G6153" i="1"/>
  <c r="H6153" i="1"/>
  <c r="A6154" i="1"/>
  <c r="B6154" i="1"/>
  <c r="C6154" i="1"/>
  <c r="D6154" i="1"/>
  <c r="E6154" i="1"/>
  <c r="F6154" i="1"/>
  <c r="G6154" i="1"/>
  <c r="H6154" i="1"/>
  <c r="A6155" i="1"/>
  <c r="B6155" i="1"/>
  <c r="C6155" i="1"/>
  <c r="D6155" i="1"/>
  <c r="E6155" i="1"/>
  <c r="F6155" i="1"/>
  <c r="G6155" i="1"/>
  <c r="H6155" i="1"/>
  <c r="A6156" i="1"/>
  <c r="B6156" i="1"/>
  <c r="C6156" i="1"/>
  <c r="D6156" i="1"/>
  <c r="E6156" i="1"/>
  <c r="F6156" i="1"/>
  <c r="G6156" i="1"/>
  <c r="H6156" i="1"/>
  <c r="A6157" i="1"/>
  <c r="B6157" i="1"/>
  <c r="C6157" i="1"/>
  <c r="D6157" i="1"/>
  <c r="E6157" i="1"/>
  <c r="F6157" i="1"/>
  <c r="G6157" i="1"/>
  <c r="H6157" i="1"/>
  <c r="A6158" i="1"/>
  <c r="B6158" i="1"/>
  <c r="C6158" i="1"/>
  <c r="D6158" i="1"/>
  <c r="E6158" i="1"/>
  <c r="F6158" i="1"/>
  <c r="G6158" i="1"/>
  <c r="H6158" i="1"/>
  <c r="A6159" i="1"/>
  <c r="B6159" i="1"/>
  <c r="C6159" i="1"/>
  <c r="D6159" i="1"/>
  <c r="E6159" i="1"/>
  <c r="F6159" i="1"/>
  <c r="G6159" i="1"/>
  <c r="H6159" i="1"/>
  <c r="A6160" i="1"/>
  <c r="B6160" i="1"/>
  <c r="C6160" i="1"/>
  <c r="D6160" i="1"/>
  <c r="E6160" i="1"/>
  <c r="F6160" i="1"/>
  <c r="G6160" i="1"/>
  <c r="H6160" i="1"/>
  <c r="A6161" i="1"/>
  <c r="B6161" i="1"/>
  <c r="C6161" i="1"/>
  <c r="D6161" i="1"/>
  <c r="E6161" i="1"/>
  <c r="F6161" i="1"/>
  <c r="G6161" i="1"/>
  <c r="H6161" i="1"/>
  <c r="A6162" i="1"/>
  <c r="B6162" i="1"/>
  <c r="C6162" i="1"/>
  <c r="D6162" i="1"/>
  <c r="E6162" i="1"/>
  <c r="F6162" i="1"/>
  <c r="G6162" i="1"/>
  <c r="H6162" i="1"/>
  <c r="A6163" i="1"/>
  <c r="B6163" i="1"/>
  <c r="C6163" i="1"/>
  <c r="D6163" i="1"/>
  <c r="E6163" i="1"/>
  <c r="F6163" i="1"/>
  <c r="G6163" i="1"/>
  <c r="H6163" i="1"/>
  <c r="A6164" i="1"/>
  <c r="B6164" i="1"/>
  <c r="C6164" i="1"/>
  <c r="D6164" i="1"/>
  <c r="E6164" i="1"/>
  <c r="F6164" i="1"/>
  <c r="G6164" i="1"/>
  <c r="H6164" i="1"/>
  <c r="A6165" i="1"/>
  <c r="B6165" i="1"/>
  <c r="C6165" i="1"/>
  <c r="D6165" i="1"/>
  <c r="E6165" i="1"/>
  <c r="F6165" i="1"/>
  <c r="G6165" i="1"/>
  <c r="H6165" i="1"/>
  <c r="A6166" i="1"/>
  <c r="B6166" i="1"/>
  <c r="C6166" i="1"/>
  <c r="D6166" i="1"/>
  <c r="E6166" i="1"/>
  <c r="F6166" i="1"/>
  <c r="G6166" i="1"/>
  <c r="H6166" i="1"/>
  <c r="A6167" i="1"/>
  <c r="B6167" i="1"/>
  <c r="C6167" i="1"/>
  <c r="D6167" i="1"/>
  <c r="E6167" i="1"/>
  <c r="F6167" i="1"/>
  <c r="G6167" i="1"/>
  <c r="H6167" i="1"/>
  <c r="A6168" i="1"/>
  <c r="B6168" i="1"/>
  <c r="C6168" i="1"/>
  <c r="D6168" i="1"/>
  <c r="E6168" i="1"/>
  <c r="F6168" i="1"/>
  <c r="G6168" i="1"/>
  <c r="H6168" i="1"/>
  <c r="A6169" i="1"/>
  <c r="B6169" i="1"/>
  <c r="C6169" i="1"/>
  <c r="D6169" i="1"/>
  <c r="E6169" i="1"/>
  <c r="F6169" i="1"/>
  <c r="G6169" i="1"/>
  <c r="H6169" i="1"/>
  <c r="A6170" i="1"/>
  <c r="B6170" i="1"/>
  <c r="C6170" i="1"/>
  <c r="D6170" i="1"/>
  <c r="E6170" i="1"/>
  <c r="F6170" i="1"/>
  <c r="G6170" i="1"/>
  <c r="H6170" i="1"/>
  <c r="A6171" i="1"/>
  <c r="B6171" i="1"/>
  <c r="C6171" i="1"/>
  <c r="D6171" i="1"/>
  <c r="E6171" i="1"/>
  <c r="F6171" i="1"/>
  <c r="G6171" i="1"/>
  <c r="H6171" i="1"/>
  <c r="A6172" i="1"/>
  <c r="B6172" i="1"/>
  <c r="C6172" i="1"/>
  <c r="D6172" i="1"/>
  <c r="E6172" i="1"/>
  <c r="F6172" i="1"/>
  <c r="G6172" i="1"/>
  <c r="H6172" i="1"/>
  <c r="A6173" i="1"/>
  <c r="B6173" i="1"/>
  <c r="C6173" i="1"/>
  <c r="D6173" i="1"/>
  <c r="E6173" i="1"/>
  <c r="F6173" i="1"/>
  <c r="G6173" i="1"/>
  <c r="H6173" i="1"/>
  <c r="A6174" i="1"/>
  <c r="B6174" i="1"/>
  <c r="C6174" i="1"/>
  <c r="D6174" i="1"/>
  <c r="E6174" i="1"/>
  <c r="F6174" i="1"/>
  <c r="G6174" i="1"/>
  <c r="H6174" i="1"/>
  <c r="A6175" i="1"/>
  <c r="B6175" i="1"/>
  <c r="C6175" i="1"/>
  <c r="D6175" i="1"/>
  <c r="E6175" i="1"/>
  <c r="F6175" i="1"/>
  <c r="G6175" i="1"/>
  <c r="H6175" i="1"/>
  <c r="A6176" i="1"/>
  <c r="B6176" i="1"/>
  <c r="C6176" i="1"/>
  <c r="D6176" i="1"/>
  <c r="E6176" i="1"/>
  <c r="F6176" i="1"/>
  <c r="G6176" i="1"/>
  <c r="H6176" i="1"/>
  <c r="A6177" i="1"/>
  <c r="B6177" i="1"/>
  <c r="C6177" i="1"/>
  <c r="D6177" i="1"/>
  <c r="E6177" i="1"/>
  <c r="F6177" i="1"/>
  <c r="G6177" i="1"/>
  <c r="H6177" i="1"/>
  <c r="A6178" i="1"/>
  <c r="B6178" i="1"/>
  <c r="C6178" i="1"/>
  <c r="D6178" i="1"/>
  <c r="E6178" i="1"/>
  <c r="F6178" i="1"/>
  <c r="G6178" i="1"/>
  <c r="H6178" i="1"/>
  <c r="A6179" i="1"/>
  <c r="B6179" i="1"/>
  <c r="C6179" i="1"/>
  <c r="D6179" i="1"/>
  <c r="E6179" i="1"/>
  <c r="F6179" i="1"/>
  <c r="G6179" i="1"/>
  <c r="H6179" i="1"/>
  <c r="A6180" i="1"/>
  <c r="B6180" i="1"/>
  <c r="C6180" i="1"/>
  <c r="D6180" i="1"/>
  <c r="E6180" i="1"/>
  <c r="F6180" i="1"/>
  <c r="G6180" i="1"/>
  <c r="H6180" i="1"/>
  <c r="A6181" i="1"/>
  <c r="B6181" i="1"/>
  <c r="C6181" i="1"/>
  <c r="D6181" i="1"/>
  <c r="E6181" i="1"/>
  <c r="F6181" i="1"/>
  <c r="G6181" i="1"/>
  <c r="H6181" i="1"/>
  <c r="A6182" i="1"/>
  <c r="B6182" i="1"/>
  <c r="C6182" i="1"/>
  <c r="D6182" i="1"/>
  <c r="E6182" i="1"/>
  <c r="F6182" i="1"/>
  <c r="G6182" i="1"/>
  <c r="H6182" i="1"/>
  <c r="A6183" i="1"/>
  <c r="B6183" i="1"/>
  <c r="C6183" i="1"/>
  <c r="D6183" i="1"/>
  <c r="E6183" i="1"/>
  <c r="F6183" i="1"/>
  <c r="G6183" i="1"/>
  <c r="H6183" i="1"/>
  <c r="A6184" i="1"/>
  <c r="B6184" i="1"/>
  <c r="C6184" i="1"/>
  <c r="D6184" i="1"/>
  <c r="E6184" i="1"/>
  <c r="F6184" i="1"/>
  <c r="G6184" i="1"/>
  <c r="H6184" i="1"/>
  <c r="A6185" i="1"/>
  <c r="B6185" i="1"/>
  <c r="C6185" i="1"/>
  <c r="D6185" i="1"/>
  <c r="E6185" i="1"/>
  <c r="F6185" i="1"/>
  <c r="G6185" i="1"/>
  <c r="H6185" i="1"/>
  <c r="A6186" i="1"/>
  <c r="B6186" i="1"/>
  <c r="C6186" i="1"/>
  <c r="D6186" i="1"/>
  <c r="E6186" i="1"/>
  <c r="F6186" i="1"/>
  <c r="G6186" i="1"/>
  <c r="H6186" i="1"/>
  <c r="A6187" i="1"/>
  <c r="B6187" i="1"/>
  <c r="C6187" i="1"/>
  <c r="D6187" i="1"/>
  <c r="E6187" i="1"/>
  <c r="F6187" i="1"/>
  <c r="G6187" i="1"/>
  <c r="H6187" i="1"/>
  <c r="A6188" i="1"/>
  <c r="B6188" i="1"/>
  <c r="C6188" i="1"/>
  <c r="D6188" i="1"/>
  <c r="E6188" i="1"/>
  <c r="F6188" i="1"/>
  <c r="G6188" i="1"/>
  <c r="H6188" i="1"/>
  <c r="A6189" i="1"/>
  <c r="B6189" i="1"/>
  <c r="C6189" i="1"/>
  <c r="D6189" i="1"/>
  <c r="E6189" i="1"/>
  <c r="F6189" i="1"/>
  <c r="G6189" i="1"/>
  <c r="H6189" i="1"/>
  <c r="A6190" i="1"/>
  <c r="B6190" i="1"/>
  <c r="C6190" i="1"/>
  <c r="D6190" i="1"/>
  <c r="E6190" i="1"/>
  <c r="F6190" i="1"/>
  <c r="G6190" i="1"/>
  <c r="H6190" i="1"/>
  <c r="A6191" i="1"/>
  <c r="B6191" i="1"/>
  <c r="C6191" i="1"/>
  <c r="D6191" i="1"/>
  <c r="E6191" i="1"/>
  <c r="F6191" i="1"/>
  <c r="G6191" i="1"/>
  <c r="H6191" i="1"/>
  <c r="A6192" i="1"/>
  <c r="B6192" i="1"/>
  <c r="C6192" i="1"/>
  <c r="D6192" i="1"/>
  <c r="E6192" i="1"/>
  <c r="F6192" i="1"/>
  <c r="G6192" i="1"/>
  <c r="H6192" i="1"/>
  <c r="A6193" i="1"/>
  <c r="B6193" i="1"/>
  <c r="C6193" i="1"/>
  <c r="D6193" i="1"/>
  <c r="E6193" i="1"/>
  <c r="F6193" i="1"/>
  <c r="G6193" i="1"/>
  <c r="H6193" i="1"/>
  <c r="A6194" i="1"/>
  <c r="B6194" i="1"/>
  <c r="C6194" i="1"/>
  <c r="D6194" i="1"/>
  <c r="E6194" i="1"/>
  <c r="F6194" i="1"/>
  <c r="G6194" i="1"/>
  <c r="H6194" i="1"/>
  <c r="A6195" i="1"/>
  <c r="B6195" i="1"/>
  <c r="C6195" i="1"/>
  <c r="D6195" i="1"/>
  <c r="E6195" i="1"/>
  <c r="F6195" i="1"/>
  <c r="G6195" i="1"/>
  <c r="H6195" i="1"/>
  <c r="A6196" i="1"/>
  <c r="B6196" i="1"/>
  <c r="C6196" i="1"/>
  <c r="D6196" i="1"/>
  <c r="E6196" i="1"/>
  <c r="F6196" i="1"/>
  <c r="G6196" i="1"/>
  <c r="H6196" i="1"/>
  <c r="A6197" i="1"/>
  <c r="B6197" i="1"/>
  <c r="C6197" i="1"/>
  <c r="D6197" i="1"/>
  <c r="E6197" i="1"/>
  <c r="F6197" i="1"/>
  <c r="G6197" i="1"/>
  <c r="H6197" i="1"/>
  <c r="A6198" i="1"/>
  <c r="B6198" i="1"/>
  <c r="C6198" i="1"/>
  <c r="D6198" i="1"/>
  <c r="E6198" i="1"/>
  <c r="F6198" i="1"/>
  <c r="G6198" i="1"/>
  <c r="H6198" i="1"/>
  <c r="A6199" i="1"/>
  <c r="B6199" i="1"/>
  <c r="C6199" i="1"/>
  <c r="D6199" i="1"/>
  <c r="E6199" i="1"/>
  <c r="F6199" i="1"/>
  <c r="G6199" i="1"/>
  <c r="H6199" i="1"/>
  <c r="A6200" i="1"/>
  <c r="B6200" i="1"/>
  <c r="C6200" i="1"/>
  <c r="D6200" i="1"/>
  <c r="E6200" i="1"/>
  <c r="F6200" i="1"/>
  <c r="G6200" i="1"/>
  <c r="H6200" i="1"/>
  <c r="A6201" i="1"/>
  <c r="B6201" i="1"/>
  <c r="C6201" i="1"/>
  <c r="D6201" i="1"/>
  <c r="E6201" i="1"/>
  <c r="F6201" i="1"/>
  <c r="G6201" i="1"/>
  <c r="H6201" i="1"/>
  <c r="A6202" i="1"/>
  <c r="B6202" i="1"/>
  <c r="C6202" i="1"/>
  <c r="D6202" i="1"/>
  <c r="E6202" i="1"/>
  <c r="F6202" i="1"/>
  <c r="G6202" i="1"/>
  <c r="H6202" i="1"/>
  <c r="A6203" i="1"/>
  <c r="B6203" i="1"/>
  <c r="C6203" i="1"/>
  <c r="D6203" i="1"/>
  <c r="E6203" i="1"/>
  <c r="F6203" i="1"/>
  <c r="G6203" i="1"/>
  <c r="H6203" i="1"/>
  <c r="A6204" i="1"/>
  <c r="B6204" i="1"/>
  <c r="C6204" i="1"/>
  <c r="D6204" i="1"/>
  <c r="E6204" i="1"/>
  <c r="F6204" i="1"/>
  <c r="G6204" i="1"/>
  <c r="H6204" i="1"/>
  <c r="A6205" i="1"/>
  <c r="B6205" i="1"/>
  <c r="C6205" i="1"/>
  <c r="D6205" i="1"/>
  <c r="E6205" i="1"/>
  <c r="F6205" i="1"/>
  <c r="G6205" i="1"/>
  <c r="H6205" i="1"/>
  <c r="A6206" i="1"/>
  <c r="B6206" i="1"/>
  <c r="C6206" i="1"/>
  <c r="D6206" i="1"/>
  <c r="E6206" i="1"/>
  <c r="F6206" i="1"/>
  <c r="G6206" i="1"/>
  <c r="H6206" i="1"/>
  <c r="A6207" i="1"/>
  <c r="B6207" i="1"/>
  <c r="C6207" i="1"/>
  <c r="D6207" i="1"/>
  <c r="E6207" i="1"/>
  <c r="F6207" i="1"/>
  <c r="G6207" i="1"/>
  <c r="H6207" i="1"/>
  <c r="A6208" i="1"/>
  <c r="B6208" i="1"/>
  <c r="C6208" i="1"/>
  <c r="D6208" i="1"/>
  <c r="E6208" i="1"/>
  <c r="F6208" i="1"/>
  <c r="G6208" i="1"/>
  <c r="H6208" i="1"/>
  <c r="A6209" i="1"/>
  <c r="B6209" i="1"/>
  <c r="C6209" i="1"/>
  <c r="D6209" i="1"/>
  <c r="E6209" i="1"/>
  <c r="F6209" i="1"/>
  <c r="G6209" i="1"/>
  <c r="H6209" i="1"/>
  <c r="A6210" i="1"/>
  <c r="B6210" i="1"/>
  <c r="C6210" i="1"/>
  <c r="D6210" i="1"/>
  <c r="E6210" i="1"/>
  <c r="F6210" i="1"/>
  <c r="G6210" i="1"/>
  <c r="H6210" i="1"/>
  <c r="A6211" i="1"/>
  <c r="B6211" i="1"/>
  <c r="C6211" i="1"/>
  <c r="D6211" i="1"/>
  <c r="E6211" i="1"/>
  <c r="F6211" i="1"/>
  <c r="G6211" i="1"/>
  <c r="H6211" i="1"/>
  <c r="A6212" i="1"/>
  <c r="B6212" i="1"/>
  <c r="C6212" i="1"/>
  <c r="D6212" i="1"/>
  <c r="E6212" i="1"/>
  <c r="F6212" i="1"/>
  <c r="G6212" i="1"/>
  <c r="H6212" i="1"/>
  <c r="A6213" i="1"/>
  <c r="B6213" i="1"/>
  <c r="C6213" i="1"/>
  <c r="D6213" i="1"/>
  <c r="E6213" i="1"/>
  <c r="F6213" i="1"/>
  <c r="G6213" i="1"/>
  <c r="H6213" i="1"/>
  <c r="A6214" i="1"/>
  <c r="B6214" i="1"/>
  <c r="C6214" i="1"/>
  <c r="D6214" i="1"/>
  <c r="E6214" i="1"/>
  <c r="F6214" i="1"/>
  <c r="G6214" i="1"/>
  <c r="H6214" i="1"/>
  <c r="A6215" i="1"/>
  <c r="B6215" i="1"/>
  <c r="C6215" i="1"/>
  <c r="D6215" i="1"/>
  <c r="E6215" i="1"/>
  <c r="F6215" i="1"/>
  <c r="G6215" i="1"/>
  <c r="H6215" i="1"/>
  <c r="A6216" i="1"/>
  <c r="B6216" i="1"/>
  <c r="C6216" i="1"/>
  <c r="D6216" i="1"/>
  <c r="E6216" i="1"/>
  <c r="F6216" i="1"/>
  <c r="G6216" i="1"/>
  <c r="H6216" i="1"/>
  <c r="A6217" i="1"/>
  <c r="B6217" i="1"/>
  <c r="C6217" i="1"/>
  <c r="D6217" i="1"/>
  <c r="E6217" i="1"/>
  <c r="F6217" i="1"/>
  <c r="G6217" i="1"/>
  <c r="H6217" i="1"/>
  <c r="A6218" i="1"/>
  <c r="B6218" i="1"/>
  <c r="C6218" i="1"/>
  <c r="D6218" i="1"/>
  <c r="E6218" i="1"/>
  <c r="F6218" i="1"/>
  <c r="G6218" i="1"/>
  <c r="H6218" i="1"/>
  <c r="A6219" i="1"/>
  <c r="B6219" i="1"/>
  <c r="C6219" i="1"/>
  <c r="D6219" i="1"/>
  <c r="E6219" i="1"/>
  <c r="F6219" i="1"/>
  <c r="G6219" i="1"/>
  <c r="H6219" i="1"/>
  <c r="A6220" i="1"/>
  <c r="B6220" i="1"/>
  <c r="C6220" i="1"/>
  <c r="D6220" i="1"/>
  <c r="E6220" i="1"/>
  <c r="F6220" i="1"/>
  <c r="G6220" i="1"/>
  <c r="H6220" i="1"/>
  <c r="A6221" i="1"/>
  <c r="B6221" i="1"/>
  <c r="C6221" i="1"/>
  <c r="D6221" i="1"/>
  <c r="E6221" i="1"/>
  <c r="F6221" i="1"/>
  <c r="G6221" i="1"/>
  <c r="H6221" i="1"/>
  <c r="A6222" i="1"/>
  <c r="B6222" i="1"/>
  <c r="C6222" i="1"/>
  <c r="D6222" i="1"/>
  <c r="E6222" i="1"/>
  <c r="F6222" i="1"/>
  <c r="G6222" i="1"/>
  <c r="H6222" i="1"/>
  <c r="A6223" i="1"/>
  <c r="B6223" i="1"/>
  <c r="C6223" i="1"/>
  <c r="D6223" i="1"/>
  <c r="E6223" i="1"/>
  <c r="F6223" i="1"/>
  <c r="G6223" i="1"/>
  <c r="H6223" i="1"/>
  <c r="A6224" i="1"/>
  <c r="B6224" i="1"/>
  <c r="C6224" i="1"/>
  <c r="D6224" i="1"/>
  <c r="E6224" i="1"/>
  <c r="F6224" i="1"/>
  <c r="G6224" i="1"/>
  <c r="H6224" i="1"/>
  <c r="A6225" i="1"/>
  <c r="B6225" i="1"/>
  <c r="C6225" i="1"/>
  <c r="D6225" i="1"/>
  <c r="E6225" i="1"/>
  <c r="F6225" i="1"/>
  <c r="G6225" i="1"/>
  <c r="H6225" i="1"/>
  <c r="A6226" i="1"/>
  <c r="B6226" i="1"/>
  <c r="C6226" i="1"/>
  <c r="D6226" i="1"/>
  <c r="E6226" i="1"/>
  <c r="F6226" i="1"/>
  <c r="G6226" i="1"/>
  <c r="H6226" i="1"/>
  <c r="A6227" i="1"/>
  <c r="B6227" i="1"/>
  <c r="C6227" i="1"/>
  <c r="D6227" i="1"/>
  <c r="E6227" i="1"/>
  <c r="F6227" i="1"/>
  <c r="G6227" i="1"/>
  <c r="H6227" i="1"/>
  <c r="A6228" i="1"/>
  <c r="B6228" i="1"/>
  <c r="C6228" i="1"/>
  <c r="D6228" i="1"/>
  <c r="E6228" i="1"/>
  <c r="F6228" i="1"/>
  <c r="G6228" i="1"/>
  <c r="H6228" i="1"/>
  <c r="A6229" i="1"/>
  <c r="B6229" i="1"/>
  <c r="C6229" i="1"/>
  <c r="D6229" i="1"/>
  <c r="E6229" i="1"/>
  <c r="F6229" i="1"/>
  <c r="G6229" i="1"/>
  <c r="H6229" i="1"/>
  <c r="A6230" i="1"/>
  <c r="B6230" i="1"/>
  <c r="C6230" i="1"/>
  <c r="D6230" i="1"/>
  <c r="E6230" i="1"/>
  <c r="F6230" i="1"/>
  <c r="G6230" i="1"/>
  <c r="H6230" i="1"/>
  <c r="A6231" i="1"/>
  <c r="B6231" i="1"/>
  <c r="C6231" i="1"/>
  <c r="D6231" i="1"/>
  <c r="E6231" i="1"/>
  <c r="F6231" i="1"/>
  <c r="G6231" i="1"/>
  <c r="H6231" i="1"/>
  <c r="A6232" i="1"/>
  <c r="B6232" i="1"/>
  <c r="C6232" i="1"/>
  <c r="D6232" i="1"/>
  <c r="E6232" i="1"/>
  <c r="F6232" i="1"/>
  <c r="G6232" i="1"/>
  <c r="H6232" i="1"/>
  <c r="A6233" i="1"/>
  <c r="B6233" i="1"/>
  <c r="C6233" i="1"/>
  <c r="D6233" i="1"/>
  <c r="E6233" i="1"/>
  <c r="F6233" i="1"/>
  <c r="G6233" i="1"/>
  <c r="H6233" i="1"/>
  <c r="A6234" i="1"/>
  <c r="B6234" i="1"/>
  <c r="C6234" i="1"/>
  <c r="D6234" i="1"/>
  <c r="E6234" i="1"/>
  <c r="F6234" i="1"/>
  <c r="G6234" i="1"/>
  <c r="H6234" i="1"/>
  <c r="A6235" i="1"/>
  <c r="B6235" i="1"/>
  <c r="C6235" i="1"/>
  <c r="D6235" i="1"/>
  <c r="E6235" i="1"/>
  <c r="F6235" i="1"/>
  <c r="G6235" i="1"/>
  <c r="H6235" i="1"/>
  <c r="A6236" i="1"/>
  <c r="B6236" i="1"/>
  <c r="C6236" i="1"/>
  <c r="D6236" i="1"/>
  <c r="E6236" i="1"/>
  <c r="F6236" i="1"/>
  <c r="G6236" i="1"/>
  <c r="H6236" i="1"/>
  <c r="A6237" i="1"/>
  <c r="B6237" i="1"/>
  <c r="C6237" i="1"/>
  <c r="D6237" i="1"/>
  <c r="E6237" i="1"/>
  <c r="F6237" i="1"/>
  <c r="G6237" i="1"/>
  <c r="H6237" i="1"/>
  <c r="A6238" i="1"/>
  <c r="B6238" i="1"/>
  <c r="C6238" i="1"/>
  <c r="D6238" i="1"/>
  <c r="E6238" i="1"/>
  <c r="F6238" i="1"/>
  <c r="G6238" i="1"/>
  <c r="H6238" i="1"/>
  <c r="A6239" i="1"/>
  <c r="B6239" i="1"/>
  <c r="C6239" i="1"/>
  <c r="D6239" i="1"/>
  <c r="E6239" i="1"/>
  <c r="F6239" i="1"/>
  <c r="G6239" i="1"/>
  <c r="H6239" i="1"/>
  <c r="A6240" i="1"/>
  <c r="B6240" i="1"/>
  <c r="C6240" i="1"/>
  <c r="D6240" i="1"/>
  <c r="E6240" i="1"/>
  <c r="F6240" i="1"/>
  <c r="G6240" i="1"/>
  <c r="H6240" i="1"/>
  <c r="A6241" i="1"/>
  <c r="B6241" i="1"/>
  <c r="C6241" i="1"/>
  <c r="D6241" i="1"/>
  <c r="E6241" i="1"/>
  <c r="F6241" i="1"/>
  <c r="G6241" i="1"/>
  <c r="H6241" i="1"/>
  <c r="A6242" i="1"/>
  <c r="B6242" i="1"/>
  <c r="C6242" i="1"/>
  <c r="D6242" i="1"/>
  <c r="E6242" i="1"/>
  <c r="F6242" i="1"/>
  <c r="G6242" i="1"/>
  <c r="H6242" i="1"/>
  <c r="A6243" i="1"/>
  <c r="B6243" i="1"/>
  <c r="C6243" i="1"/>
  <c r="D6243" i="1"/>
  <c r="E6243" i="1"/>
  <c r="F6243" i="1"/>
  <c r="G6243" i="1"/>
  <c r="H6243" i="1"/>
  <c r="A6244" i="1"/>
  <c r="B6244" i="1"/>
  <c r="C6244" i="1"/>
  <c r="D6244" i="1"/>
  <c r="E6244" i="1"/>
  <c r="F6244" i="1"/>
  <c r="G6244" i="1"/>
  <c r="H6244" i="1"/>
  <c r="A6245" i="1"/>
  <c r="B6245" i="1"/>
  <c r="C6245" i="1"/>
  <c r="D6245" i="1"/>
  <c r="E6245" i="1"/>
  <c r="F6245" i="1"/>
  <c r="G6245" i="1"/>
  <c r="H6245" i="1"/>
  <c r="A6246" i="1"/>
  <c r="B6246" i="1"/>
  <c r="C6246" i="1"/>
  <c r="D6246" i="1"/>
  <c r="E6246" i="1"/>
  <c r="F6246" i="1"/>
  <c r="G6246" i="1"/>
  <c r="H6246" i="1"/>
  <c r="A6247" i="1"/>
  <c r="B6247" i="1"/>
  <c r="C6247" i="1"/>
  <c r="D6247" i="1"/>
  <c r="E6247" i="1"/>
  <c r="F6247" i="1"/>
  <c r="G6247" i="1"/>
  <c r="H6247" i="1"/>
  <c r="A6248" i="1"/>
  <c r="B6248" i="1"/>
  <c r="C6248" i="1"/>
  <c r="D6248" i="1"/>
  <c r="E6248" i="1"/>
  <c r="F6248" i="1"/>
  <c r="G6248" i="1"/>
  <c r="H6248" i="1"/>
  <c r="A6249" i="1"/>
  <c r="B6249" i="1"/>
  <c r="C6249" i="1"/>
  <c r="D6249" i="1"/>
  <c r="E6249" i="1"/>
  <c r="F6249" i="1"/>
  <c r="G6249" i="1"/>
  <c r="H6249" i="1"/>
  <c r="A6250" i="1"/>
  <c r="B6250" i="1"/>
  <c r="C6250" i="1"/>
  <c r="D6250" i="1"/>
  <c r="E6250" i="1"/>
  <c r="F6250" i="1"/>
  <c r="G6250" i="1"/>
  <c r="H6250" i="1"/>
  <c r="A6251" i="1"/>
  <c r="B6251" i="1"/>
  <c r="C6251" i="1"/>
  <c r="D6251" i="1"/>
  <c r="E6251" i="1"/>
  <c r="F6251" i="1"/>
  <c r="G6251" i="1"/>
  <c r="H6251" i="1"/>
  <c r="A6252" i="1"/>
  <c r="B6252" i="1"/>
  <c r="C6252" i="1"/>
  <c r="D6252" i="1"/>
  <c r="E6252" i="1"/>
  <c r="F6252" i="1"/>
  <c r="G6252" i="1"/>
  <c r="H6252" i="1"/>
  <c r="A6253" i="1"/>
  <c r="B6253" i="1"/>
  <c r="C6253" i="1"/>
  <c r="D6253" i="1"/>
  <c r="E6253" i="1"/>
  <c r="F6253" i="1"/>
  <c r="G6253" i="1"/>
  <c r="H6253" i="1"/>
  <c r="A6254" i="1"/>
  <c r="B6254" i="1"/>
  <c r="C6254" i="1"/>
  <c r="D6254" i="1"/>
  <c r="E6254" i="1"/>
  <c r="F6254" i="1"/>
  <c r="G6254" i="1"/>
  <c r="H6254" i="1"/>
  <c r="A6255" i="1"/>
  <c r="B6255" i="1"/>
  <c r="C6255" i="1"/>
  <c r="D6255" i="1"/>
  <c r="E6255" i="1"/>
  <c r="F6255" i="1"/>
  <c r="G6255" i="1"/>
  <c r="H6255" i="1"/>
  <c r="A6256" i="1"/>
  <c r="B6256" i="1"/>
  <c r="C6256" i="1"/>
  <c r="D6256" i="1"/>
  <c r="E6256" i="1"/>
  <c r="F6256" i="1"/>
  <c r="G6256" i="1"/>
  <c r="H6256" i="1"/>
  <c r="A6257" i="1"/>
  <c r="B6257" i="1"/>
  <c r="C6257" i="1"/>
  <c r="D6257" i="1"/>
  <c r="E6257" i="1"/>
  <c r="F6257" i="1"/>
  <c r="G6257" i="1"/>
  <c r="H6257" i="1"/>
  <c r="A6258" i="1"/>
  <c r="B6258" i="1"/>
  <c r="C6258" i="1"/>
  <c r="D6258" i="1"/>
  <c r="E6258" i="1"/>
  <c r="F6258" i="1"/>
  <c r="G6258" i="1"/>
  <c r="H6258" i="1"/>
  <c r="A6259" i="1"/>
  <c r="B6259" i="1"/>
  <c r="C6259" i="1"/>
  <c r="D6259" i="1"/>
  <c r="E6259" i="1"/>
  <c r="F6259" i="1"/>
  <c r="G6259" i="1"/>
  <c r="H6259" i="1"/>
  <c r="A6260" i="1"/>
  <c r="B6260" i="1"/>
  <c r="C6260" i="1"/>
  <c r="D6260" i="1"/>
  <c r="E6260" i="1"/>
  <c r="F6260" i="1"/>
  <c r="G6260" i="1"/>
  <c r="H6260" i="1"/>
  <c r="A6261" i="1"/>
  <c r="B6261" i="1"/>
  <c r="C6261" i="1"/>
  <c r="D6261" i="1"/>
  <c r="E6261" i="1"/>
  <c r="F6261" i="1"/>
  <c r="G6261" i="1"/>
  <c r="H6261" i="1"/>
  <c r="A6262" i="1"/>
  <c r="B6262" i="1"/>
  <c r="C6262" i="1"/>
  <c r="D6262" i="1"/>
  <c r="E6262" i="1"/>
  <c r="F6262" i="1"/>
  <c r="G6262" i="1"/>
  <c r="H6262" i="1"/>
  <c r="A6263" i="1"/>
  <c r="B6263" i="1"/>
  <c r="C6263" i="1"/>
  <c r="D6263" i="1"/>
  <c r="E6263" i="1"/>
  <c r="F6263" i="1"/>
  <c r="G6263" i="1"/>
  <c r="H6263" i="1"/>
  <c r="A6264" i="1"/>
  <c r="B6264" i="1"/>
  <c r="C6264" i="1"/>
  <c r="D6264" i="1"/>
  <c r="E6264" i="1"/>
  <c r="F6264" i="1"/>
  <c r="G6264" i="1"/>
  <c r="H6264" i="1"/>
  <c r="A6265" i="1"/>
  <c r="B6265" i="1"/>
  <c r="C6265" i="1"/>
  <c r="D6265" i="1"/>
  <c r="E6265" i="1"/>
  <c r="F6265" i="1"/>
  <c r="G6265" i="1"/>
  <c r="H6265" i="1"/>
  <c r="A6266" i="1"/>
  <c r="B6266" i="1"/>
  <c r="C6266" i="1"/>
  <c r="D6266" i="1"/>
  <c r="E6266" i="1"/>
  <c r="F6266" i="1"/>
  <c r="G6266" i="1"/>
  <c r="H6266" i="1"/>
  <c r="A6267" i="1"/>
  <c r="B6267" i="1"/>
  <c r="C6267" i="1"/>
  <c r="D6267" i="1"/>
  <c r="E6267" i="1"/>
  <c r="F6267" i="1"/>
  <c r="G6267" i="1"/>
  <c r="H6267" i="1"/>
  <c r="A6268" i="1"/>
  <c r="B6268" i="1"/>
  <c r="C6268" i="1"/>
  <c r="D6268" i="1"/>
  <c r="E6268" i="1"/>
  <c r="F6268" i="1"/>
  <c r="G6268" i="1"/>
  <c r="H6268" i="1"/>
  <c r="A6269" i="1"/>
  <c r="B6269" i="1"/>
  <c r="C6269" i="1"/>
  <c r="D6269" i="1"/>
  <c r="E6269" i="1"/>
  <c r="F6269" i="1"/>
  <c r="G6269" i="1"/>
  <c r="H6269" i="1"/>
  <c r="A6270" i="1"/>
  <c r="B6270" i="1"/>
  <c r="C6270" i="1"/>
  <c r="D6270" i="1"/>
  <c r="E6270" i="1"/>
  <c r="F6270" i="1"/>
  <c r="G6270" i="1"/>
  <c r="H6270" i="1"/>
  <c r="A6271" i="1"/>
  <c r="B6271" i="1"/>
  <c r="C6271" i="1"/>
  <c r="D6271" i="1"/>
  <c r="E6271" i="1"/>
  <c r="F6271" i="1"/>
  <c r="G6271" i="1"/>
  <c r="H6271" i="1"/>
  <c r="A6272" i="1"/>
  <c r="B6272" i="1"/>
  <c r="C6272" i="1"/>
  <c r="D6272" i="1"/>
  <c r="E6272" i="1"/>
  <c r="F6272" i="1"/>
  <c r="G6272" i="1"/>
  <c r="H6272" i="1"/>
  <c r="A6273" i="1"/>
  <c r="B6273" i="1"/>
  <c r="C6273" i="1"/>
  <c r="D6273" i="1"/>
  <c r="E6273" i="1"/>
  <c r="F6273" i="1"/>
  <c r="G6273" i="1"/>
  <c r="H6273" i="1"/>
  <c r="A6274" i="1"/>
  <c r="B6274" i="1"/>
  <c r="C6274" i="1"/>
  <c r="D6274" i="1"/>
  <c r="E6274" i="1"/>
  <c r="F6274" i="1"/>
  <c r="G6274" i="1"/>
  <c r="H6274" i="1"/>
  <c r="A6275" i="1"/>
  <c r="B6275" i="1"/>
  <c r="C6275" i="1"/>
  <c r="D6275" i="1"/>
  <c r="E6275" i="1"/>
  <c r="F6275" i="1"/>
  <c r="G6275" i="1"/>
  <c r="H6275" i="1"/>
  <c r="A6276" i="1"/>
  <c r="B6276" i="1"/>
  <c r="C6276" i="1"/>
  <c r="D6276" i="1"/>
  <c r="E6276" i="1"/>
  <c r="F6276" i="1"/>
  <c r="G6276" i="1"/>
  <c r="H6276" i="1"/>
  <c r="A6277" i="1"/>
  <c r="B6277" i="1"/>
  <c r="C6277" i="1"/>
  <c r="D6277" i="1"/>
  <c r="E6277" i="1"/>
  <c r="F6277" i="1"/>
  <c r="G6277" i="1"/>
  <c r="H6277" i="1"/>
  <c r="A6278" i="1"/>
  <c r="B6278" i="1"/>
  <c r="C6278" i="1"/>
  <c r="D6278" i="1"/>
  <c r="E6278" i="1"/>
  <c r="F6278" i="1"/>
  <c r="G6278" i="1"/>
  <c r="H6278" i="1"/>
  <c r="A6279" i="1"/>
  <c r="B6279" i="1"/>
  <c r="C6279" i="1"/>
  <c r="D6279" i="1"/>
  <c r="E6279" i="1"/>
  <c r="F6279" i="1"/>
  <c r="G6279" i="1"/>
  <c r="H6279" i="1"/>
  <c r="A6280" i="1"/>
  <c r="B6280" i="1"/>
  <c r="C6280" i="1"/>
  <c r="D6280" i="1"/>
  <c r="E6280" i="1"/>
  <c r="F6280" i="1"/>
  <c r="G6280" i="1"/>
  <c r="H6280" i="1"/>
  <c r="A6281" i="1"/>
  <c r="B6281" i="1"/>
  <c r="C6281" i="1"/>
  <c r="D6281" i="1"/>
  <c r="E6281" i="1"/>
  <c r="F6281" i="1"/>
  <c r="G6281" i="1"/>
  <c r="H6281" i="1"/>
  <c r="A6282" i="1"/>
  <c r="B6282" i="1"/>
  <c r="C6282" i="1"/>
  <c r="D6282" i="1"/>
  <c r="E6282" i="1"/>
  <c r="F6282" i="1"/>
  <c r="G6282" i="1"/>
  <c r="H6282" i="1"/>
  <c r="A6283" i="1"/>
  <c r="B6283" i="1"/>
  <c r="C6283" i="1"/>
  <c r="D6283" i="1"/>
  <c r="E6283" i="1"/>
  <c r="F6283" i="1"/>
  <c r="G6283" i="1"/>
  <c r="H6283" i="1"/>
  <c r="A6284" i="1"/>
  <c r="B6284" i="1"/>
  <c r="C6284" i="1"/>
  <c r="D6284" i="1"/>
  <c r="E6284" i="1"/>
  <c r="F6284" i="1"/>
  <c r="G6284" i="1"/>
  <c r="H6284" i="1"/>
  <c r="A6285" i="1"/>
  <c r="B6285" i="1"/>
  <c r="C6285" i="1"/>
  <c r="D6285" i="1"/>
  <c r="E6285" i="1"/>
  <c r="F6285" i="1"/>
  <c r="G6285" i="1"/>
  <c r="H6285" i="1"/>
  <c r="A6286" i="1"/>
  <c r="B6286" i="1"/>
  <c r="C6286" i="1"/>
  <c r="D6286" i="1"/>
  <c r="E6286" i="1"/>
  <c r="F6286" i="1"/>
  <c r="G6286" i="1"/>
  <c r="H6286" i="1"/>
  <c r="A6287" i="1"/>
  <c r="B6287" i="1"/>
  <c r="C6287" i="1"/>
  <c r="D6287" i="1"/>
  <c r="E6287" i="1"/>
  <c r="F6287" i="1"/>
  <c r="G6287" i="1"/>
  <c r="H6287" i="1"/>
  <c r="A6288" i="1"/>
  <c r="B6288" i="1"/>
  <c r="C6288" i="1"/>
  <c r="D6288" i="1"/>
  <c r="E6288" i="1"/>
  <c r="F6288" i="1"/>
  <c r="G6288" i="1"/>
  <c r="H6288" i="1"/>
  <c r="A6289" i="1"/>
  <c r="B6289" i="1"/>
  <c r="C6289" i="1"/>
  <c r="D6289" i="1"/>
  <c r="E6289" i="1"/>
  <c r="F6289" i="1"/>
  <c r="G6289" i="1"/>
  <c r="H6289" i="1"/>
  <c r="A6290" i="1"/>
  <c r="B6290" i="1"/>
  <c r="C6290" i="1"/>
  <c r="D6290" i="1"/>
  <c r="E6290" i="1"/>
  <c r="F6290" i="1"/>
  <c r="G6290" i="1"/>
  <c r="H6290" i="1"/>
  <c r="A6291" i="1"/>
  <c r="B6291" i="1"/>
  <c r="C6291" i="1"/>
  <c r="D6291" i="1"/>
  <c r="E6291" i="1"/>
  <c r="F6291" i="1"/>
  <c r="G6291" i="1"/>
  <c r="H6291" i="1"/>
  <c r="A6292" i="1"/>
  <c r="B6292" i="1"/>
  <c r="C6292" i="1"/>
  <c r="D6292" i="1"/>
  <c r="E6292" i="1"/>
  <c r="F6292" i="1"/>
  <c r="G6292" i="1"/>
  <c r="H6292" i="1"/>
  <c r="A6293" i="1"/>
  <c r="B6293" i="1"/>
  <c r="C6293" i="1"/>
  <c r="D6293" i="1"/>
  <c r="E6293" i="1"/>
  <c r="F6293" i="1"/>
  <c r="G6293" i="1"/>
  <c r="H6293" i="1"/>
  <c r="A6294" i="1"/>
  <c r="B6294" i="1"/>
  <c r="C6294" i="1"/>
  <c r="D6294" i="1"/>
  <c r="E6294" i="1"/>
  <c r="F6294" i="1"/>
  <c r="G6294" i="1"/>
  <c r="H6294" i="1"/>
  <c r="A6295" i="1"/>
  <c r="B6295" i="1"/>
  <c r="C6295" i="1"/>
  <c r="D6295" i="1"/>
  <c r="E6295" i="1"/>
  <c r="F6295" i="1"/>
  <c r="G6295" i="1"/>
  <c r="H6295" i="1"/>
  <c r="A6296" i="1"/>
  <c r="B6296" i="1"/>
  <c r="C6296" i="1"/>
  <c r="D6296" i="1"/>
  <c r="E6296" i="1"/>
  <c r="F6296" i="1"/>
  <c r="G6296" i="1"/>
  <c r="H6296" i="1"/>
  <c r="A6297" i="1"/>
  <c r="B6297" i="1"/>
  <c r="C6297" i="1"/>
  <c r="D6297" i="1"/>
  <c r="E6297" i="1"/>
  <c r="F6297" i="1"/>
  <c r="G6297" i="1"/>
  <c r="H6297" i="1"/>
  <c r="A6298" i="1"/>
  <c r="B6298" i="1"/>
  <c r="C6298" i="1"/>
  <c r="D6298" i="1"/>
  <c r="E6298" i="1"/>
  <c r="F6298" i="1"/>
  <c r="G6298" i="1"/>
  <c r="H6298" i="1"/>
  <c r="A6299" i="1"/>
  <c r="B6299" i="1"/>
  <c r="C6299" i="1"/>
  <c r="D6299" i="1"/>
  <c r="E6299" i="1"/>
  <c r="F6299" i="1"/>
  <c r="G6299" i="1"/>
  <c r="H6299" i="1"/>
  <c r="A6300" i="1"/>
  <c r="B6300" i="1"/>
  <c r="C6300" i="1"/>
  <c r="D6300" i="1"/>
  <c r="E6300" i="1"/>
  <c r="F6300" i="1"/>
  <c r="G6300" i="1"/>
  <c r="H6300" i="1"/>
  <c r="A6301" i="1"/>
  <c r="B6301" i="1"/>
  <c r="C6301" i="1"/>
  <c r="D6301" i="1"/>
  <c r="E6301" i="1"/>
  <c r="F6301" i="1"/>
  <c r="G6301" i="1"/>
  <c r="H6301" i="1"/>
  <c r="A6302" i="1"/>
  <c r="B6302" i="1"/>
  <c r="C6302" i="1"/>
  <c r="D6302" i="1"/>
  <c r="E6302" i="1"/>
  <c r="F6302" i="1"/>
  <c r="G6302" i="1"/>
  <c r="H6302" i="1"/>
  <c r="A6303" i="1"/>
  <c r="B6303" i="1"/>
  <c r="C6303" i="1"/>
  <c r="D6303" i="1"/>
  <c r="E6303" i="1"/>
  <c r="F6303" i="1"/>
  <c r="G6303" i="1"/>
  <c r="H6303" i="1"/>
  <c r="A6304" i="1"/>
  <c r="B6304" i="1"/>
  <c r="C6304" i="1"/>
  <c r="D6304" i="1"/>
  <c r="E6304" i="1"/>
  <c r="F6304" i="1"/>
  <c r="G6304" i="1"/>
  <c r="H6304" i="1"/>
  <c r="A6305" i="1"/>
  <c r="B6305" i="1"/>
  <c r="C6305" i="1"/>
  <c r="D6305" i="1"/>
  <c r="E6305" i="1"/>
  <c r="F6305" i="1"/>
  <c r="G6305" i="1"/>
  <c r="H6305" i="1"/>
  <c r="A6306" i="1"/>
  <c r="B6306" i="1"/>
  <c r="C6306" i="1"/>
  <c r="D6306" i="1"/>
  <c r="E6306" i="1"/>
  <c r="F6306" i="1"/>
  <c r="G6306" i="1"/>
  <c r="H6306" i="1"/>
  <c r="A6307" i="1"/>
  <c r="B6307" i="1"/>
  <c r="C6307" i="1"/>
  <c r="D6307" i="1"/>
  <c r="E6307" i="1"/>
  <c r="F6307" i="1"/>
  <c r="G6307" i="1"/>
  <c r="H6307" i="1"/>
  <c r="A6308" i="1"/>
  <c r="B6308" i="1"/>
  <c r="C6308" i="1"/>
  <c r="D6308" i="1"/>
  <c r="E6308" i="1"/>
  <c r="F6308" i="1"/>
  <c r="G6308" i="1"/>
  <c r="H6308" i="1"/>
  <c r="A6309" i="1"/>
  <c r="B6309" i="1"/>
  <c r="C6309" i="1"/>
  <c r="D6309" i="1"/>
  <c r="E6309" i="1"/>
  <c r="F6309" i="1"/>
  <c r="G6309" i="1"/>
  <c r="H6309" i="1"/>
  <c r="A6310" i="1"/>
  <c r="B6310" i="1"/>
  <c r="C6310" i="1"/>
  <c r="D6310" i="1"/>
  <c r="E6310" i="1"/>
  <c r="F6310" i="1"/>
  <c r="G6310" i="1"/>
  <c r="H6310" i="1"/>
  <c r="A6311" i="1"/>
  <c r="B6311" i="1"/>
  <c r="C6311" i="1"/>
  <c r="D6311" i="1"/>
  <c r="E6311" i="1"/>
  <c r="F6311" i="1"/>
  <c r="G6311" i="1"/>
  <c r="H6311" i="1"/>
  <c r="A6312" i="1"/>
  <c r="B6312" i="1"/>
  <c r="C6312" i="1"/>
  <c r="D6312" i="1"/>
  <c r="E6312" i="1"/>
  <c r="F6312" i="1"/>
  <c r="G6312" i="1"/>
  <c r="H6312" i="1"/>
  <c r="A6313" i="1"/>
  <c r="B6313" i="1"/>
  <c r="C6313" i="1"/>
  <c r="D6313" i="1"/>
  <c r="E6313" i="1"/>
  <c r="F6313" i="1"/>
  <c r="G6313" i="1"/>
  <c r="H6313" i="1"/>
  <c r="A6314" i="1"/>
  <c r="B6314" i="1"/>
  <c r="C6314" i="1"/>
  <c r="D6314" i="1"/>
  <c r="E6314" i="1"/>
  <c r="F6314" i="1"/>
  <c r="G6314" i="1"/>
  <c r="H6314" i="1"/>
  <c r="A6315" i="1"/>
  <c r="B6315" i="1"/>
  <c r="C6315" i="1"/>
  <c r="D6315" i="1"/>
  <c r="E6315" i="1"/>
  <c r="F6315" i="1"/>
  <c r="G6315" i="1"/>
  <c r="H6315" i="1"/>
  <c r="A6316" i="1"/>
  <c r="B6316" i="1"/>
  <c r="C6316" i="1"/>
  <c r="D6316" i="1"/>
  <c r="E6316" i="1"/>
  <c r="F6316" i="1"/>
  <c r="G6316" i="1"/>
  <c r="H6316" i="1"/>
  <c r="A6317" i="1"/>
  <c r="B6317" i="1"/>
  <c r="C6317" i="1"/>
  <c r="D6317" i="1"/>
  <c r="E6317" i="1"/>
  <c r="F6317" i="1"/>
  <c r="G6317" i="1"/>
  <c r="H6317" i="1"/>
  <c r="A6318" i="1"/>
  <c r="B6318" i="1"/>
  <c r="C6318" i="1"/>
  <c r="D6318" i="1"/>
  <c r="E6318" i="1"/>
  <c r="F6318" i="1"/>
  <c r="G6318" i="1"/>
  <c r="H6318" i="1"/>
  <c r="A6319" i="1"/>
  <c r="B6319" i="1"/>
  <c r="C6319" i="1"/>
  <c r="D6319" i="1"/>
  <c r="E6319" i="1"/>
  <c r="F6319" i="1"/>
  <c r="G6319" i="1"/>
  <c r="H6319" i="1"/>
  <c r="A6320" i="1"/>
  <c r="B6320" i="1"/>
  <c r="C6320" i="1"/>
  <c r="D6320" i="1"/>
  <c r="E6320" i="1"/>
  <c r="F6320" i="1"/>
  <c r="G6320" i="1"/>
  <c r="H6320" i="1"/>
  <c r="A6321" i="1"/>
  <c r="B6321" i="1"/>
  <c r="C6321" i="1"/>
  <c r="D6321" i="1"/>
  <c r="E6321" i="1"/>
  <c r="F6321" i="1"/>
  <c r="G6321" i="1"/>
  <c r="H6321" i="1"/>
  <c r="A6322" i="1"/>
  <c r="B6322" i="1"/>
  <c r="C6322" i="1"/>
  <c r="D6322" i="1"/>
  <c r="E6322" i="1"/>
  <c r="F6322" i="1"/>
  <c r="G6322" i="1"/>
  <c r="H6322" i="1"/>
  <c r="A6323" i="1"/>
  <c r="B6323" i="1"/>
  <c r="C6323" i="1"/>
  <c r="D6323" i="1"/>
  <c r="E6323" i="1"/>
  <c r="F6323" i="1"/>
  <c r="G6323" i="1"/>
  <c r="H6323" i="1"/>
  <c r="A6324" i="1"/>
  <c r="B6324" i="1"/>
  <c r="C6324" i="1"/>
  <c r="D6324" i="1"/>
  <c r="E6324" i="1"/>
  <c r="F6324" i="1"/>
  <c r="G6324" i="1"/>
  <c r="H6324" i="1"/>
  <c r="A6325" i="1"/>
  <c r="B6325" i="1"/>
  <c r="C6325" i="1"/>
  <c r="D6325" i="1"/>
  <c r="E6325" i="1"/>
  <c r="F6325" i="1"/>
  <c r="G6325" i="1"/>
  <c r="H6325" i="1"/>
  <c r="A6326" i="1"/>
  <c r="B6326" i="1"/>
  <c r="C6326" i="1"/>
  <c r="D6326" i="1"/>
  <c r="E6326" i="1"/>
  <c r="F6326" i="1"/>
  <c r="G6326" i="1"/>
  <c r="H6326" i="1"/>
  <c r="A6327" i="1"/>
  <c r="B6327" i="1"/>
  <c r="C6327" i="1"/>
  <c r="D6327" i="1"/>
  <c r="E6327" i="1"/>
  <c r="F6327" i="1"/>
  <c r="G6327" i="1"/>
  <c r="H6327" i="1"/>
  <c r="A6328" i="1"/>
  <c r="B6328" i="1"/>
  <c r="C6328" i="1"/>
  <c r="D6328" i="1"/>
  <c r="E6328" i="1"/>
  <c r="F6328" i="1"/>
  <c r="G6328" i="1"/>
  <c r="H6328" i="1"/>
  <c r="A6329" i="1"/>
  <c r="B6329" i="1"/>
  <c r="C6329" i="1"/>
  <c r="D6329" i="1"/>
  <c r="E6329" i="1"/>
  <c r="F6329" i="1"/>
  <c r="G6329" i="1"/>
  <c r="H6329" i="1"/>
  <c r="A6330" i="1"/>
  <c r="B6330" i="1"/>
  <c r="C6330" i="1"/>
  <c r="D6330" i="1"/>
  <c r="E6330" i="1"/>
  <c r="F6330" i="1"/>
  <c r="G6330" i="1"/>
  <c r="H6330" i="1"/>
  <c r="A6331" i="1"/>
  <c r="B6331" i="1"/>
  <c r="C6331" i="1"/>
  <c r="D6331" i="1"/>
  <c r="E6331" i="1"/>
  <c r="F6331" i="1"/>
  <c r="G6331" i="1"/>
  <c r="H6331" i="1"/>
  <c r="A6332" i="1"/>
  <c r="B6332" i="1"/>
  <c r="C6332" i="1"/>
  <c r="D6332" i="1"/>
  <c r="E6332" i="1"/>
  <c r="F6332" i="1"/>
  <c r="G6332" i="1"/>
  <c r="H6332" i="1"/>
  <c r="A6333" i="1"/>
  <c r="B6333" i="1"/>
  <c r="C6333" i="1"/>
  <c r="D6333" i="1"/>
  <c r="E6333" i="1"/>
  <c r="F6333" i="1"/>
  <c r="G6333" i="1"/>
  <c r="H6333" i="1"/>
  <c r="A6334" i="1"/>
  <c r="B6334" i="1"/>
  <c r="C6334" i="1"/>
  <c r="D6334" i="1"/>
  <c r="E6334" i="1"/>
  <c r="F6334" i="1"/>
  <c r="G6334" i="1"/>
  <c r="H6334" i="1"/>
  <c r="A6335" i="1"/>
  <c r="B6335" i="1"/>
  <c r="C6335" i="1"/>
  <c r="D6335" i="1"/>
  <c r="E6335" i="1"/>
  <c r="F6335" i="1"/>
  <c r="G6335" i="1"/>
  <c r="H6335" i="1"/>
  <c r="A6336" i="1"/>
  <c r="B6336" i="1"/>
  <c r="C6336" i="1"/>
  <c r="D6336" i="1"/>
  <c r="E6336" i="1"/>
  <c r="F6336" i="1"/>
  <c r="G6336" i="1"/>
  <c r="H6336" i="1"/>
  <c r="A6337" i="1"/>
  <c r="B6337" i="1"/>
  <c r="C6337" i="1"/>
  <c r="D6337" i="1"/>
  <c r="E6337" i="1"/>
  <c r="F6337" i="1"/>
  <c r="G6337" i="1"/>
  <c r="H6337" i="1"/>
  <c r="A6338" i="1"/>
  <c r="B6338" i="1"/>
  <c r="C6338" i="1"/>
  <c r="D6338" i="1"/>
  <c r="E6338" i="1"/>
  <c r="F6338" i="1"/>
  <c r="G6338" i="1"/>
  <c r="H6338" i="1"/>
  <c r="A6339" i="1"/>
  <c r="B6339" i="1"/>
  <c r="C6339" i="1"/>
  <c r="D6339" i="1"/>
  <c r="E6339" i="1"/>
  <c r="F6339" i="1"/>
  <c r="G6339" i="1"/>
  <c r="H6339" i="1"/>
  <c r="A6340" i="1"/>
  <c r="B6340" i="1"/>
  <c r="C6340" i="1"/>
  <c r="D6340" i="1"/>
  <c r="E6340" i="1"/>
  <c r="F6340" i="1"/>
  <c r="G6340" i="1"/>
  <c r="H6340" i="1"/>
  <c r="A6341" i="1"/>
  <c r="B6341" i="1"/>
  <c r="C6341" i="1"/>
  <c r="D6341" i="1"/>
  <c r="E6341" i="1"/>
  <c r="F6341" i="1"/>
  <c r="G6341" i="1"/>
  <c r="H6341" i="1"/>
  <c r="A6342" i="1"/>
  <c r="B6342" i="1"/>
  <c r="C6342" i="1"/>
  <c r="D6342" i="1"/>
  <c r="E6342" i="1"/>
  <c r="F6342" i="1"/>
  <c r="G6342" i="1"/>
  <c r="H6342" i="1"/>
  <c r="A6343" i="1"/>
  <c r="B6343" i="1"/>
  <c r="C6343" i="1"/>
  <c r="D6343" i="1"/>
  <c r="E6343" i="1"/>
  <c r="F6343" i="1"/>
  <c r="G6343" i="1"/>
  <c r="H6343" i="1"/>
  <c r="A6344" i="1"/>
  <c r="B6344" i="1"/>
  <c r="C6344" i="1"/>
  <c r="D6344" i="1"/>
  <c r="E6344" i="1"/>
  <c r="F6344" i="1"/>
  <c r="G6344" i="1"/>
  <c r="H6344" i="1"/>
  <c r="A6345" i="1"/>
  <c r="B6345" i="1"/>
  <c r="C6345" i="1"/>
  <c r="D6345" i="1"/>
  <c r="E6345" i="1"/>
  <c r="F6345" i="1"/>
  <c r="G6345" i="1"/>
  <c r="H6345" i="1"/>
  <c r="A6346" i="1"/>
  <c r="B6346" i="1"/>
  <c r="C6346" i="1"/>
  <c r="D6346" i="1"/>
  <c r="E6346" i="1"/>
  <c r="F6346" i="1"/>
  <c r="G6346" i="1"/>
  <c r="H6346" i="1"/>
  <c r="A6347" i="1"/>
  <c r="B6347" i="1"/>
  <c r="C6347" i="1"/>
  <c r="D6347" i="1"/>
  <c r="E6347" i="1"/>
  <c r="F6347" i="1"/>
  <c r="G6347" i="1"/>
  <c r="H6347" i="1"/>
  <c r="A6348" i="1"/>
  <c r="B6348" i="1"/>
  <c r="C6348" i="1"/>
  <c r="D6348" i="1"/>
  <c r="E6348" i="1"/>
  <c r="F6348" i="1"/>
  <c r="G6348" i="1"/>
  <c r="H6348" i="1"/>
  <c r="A6349" i="1"/>
  <c r="B6349" i="1"/>
  <c r="C6349" i="1"/>
  <c r="D6349" i="1"/>
  <c r="E6349" i="1"/>
  <c r="F6349" i="1"/>
  <c r="G6349" i="1"/>
  <c r="H6349" i="1"/>
  <c r="A6350" i="1"/>
  <c r="B6350" i="1"/>
  <c r="C6350" i="1"/>
  <c r="D6350" i="1"/>
  <c r="E6350" i="1"/>
  <c r="F6350" i="1"/>
  <c r="G6350" i="1"/>
  <c r="H6350" i="1"/>
  <c r="A6351" i="1"/>
  <c r="B6351" i="1"/>
  <c r="C6351" i="1"/>
  <c r="D6351" i="1"/>
  <c r="E6351" i="1"/>
  <c r="F6351" i="1"/>
  <c r="G6351" i="1"/>
  <c r="H6351" i="1"/>
  <c r="A6352" i="1"/>
  <c r="B6352" i="1"/>
  <c r="C6352" i="1"/>
  <c r="D6352" i="1"/>
  <c r="E6352" i="1"/>
  <c r="F6352" i="1"/>
  <c r="G6352" i="1"/>
  <c r="H6352" i="1"/>
  <c r="A6353" i="1"/>
  <c r="B6353" i="1"/>
  <c r="C6353" i="1"/>
  <c r="D6353" i="1"/>
  <c r="E6353" i="1"/>
  <c r="F6353" i="1"/>
  <c r="G6353" i="1"/>
  <c r="H6353" i="1"/>
  <c r="A6354" i="1"/>
  <c r="B6354" i="1"/>
  <c r="C6354" i="1"/>
  <c r="D6354" i="1"/>
  <c r="E6354" i="1"/>
  <c r="F6354" i="1"/>
  <c r="G6354" i="1"/>
  <c r="H6354" i="1"/>
  <c r="A6355" i="1"/>
  <c r="B6355" i="1"/>
  <c r="C6355" i="1"/>
  <c r="D6355" i="1"/>
  <c r="E6355" i="1"/>
  <c r="F6355" i="1"/>
  <c r="G6355" i="1"/>
  <c r="H6355" i="1"/>
  <c r="A6356" i="1"/>
  <c r="B6356" i="1"/>
  <c r="C6356" i="1"/>
  <c r="D6356" i="1"/>
  <c r="E6356" i="1"/>
  <c r="F6356" i="1"/>
  <c r="G6356" i="1"/>
  <c r="H6356" i="1"/>
  <c r="A6357" i="1"/>
  <c r="B6357" i="1"/>
  <c r="C6357" i="1"/>
  <c r="D6357" i="1"/>
  <c r="E6357" i="1"/>
  <c r="F6357" i="1"/>
  <c r="G6357" i="1"/>
  <c r="H6357" i="1"/>
  <c r="A6358" i="1"/>
  <c r="B6358" i="1"/>
  <c r="C6358" i="1"/>
  <c r="D6358" i="1"/>
  <c r="E6358" i="1"/>
  <c r="F6358" i="1"/>
  <c r="G6358" i="1"/>
  <c r="H6358" i="1"/>
  <c r="A6359" i="1"/>
  <c r="B6359" i="1"/>
  <c r="C6359" i="1"/>
  <c r="D6359" i="1"/>
  <c r="E6359" i="1"/>
  <c r="F6359" i="1"/>
  <c r="G6359" i="1"/>
  <c r="H6359" i="1"/>
  <c r="A6360" i="1"/>
  <c r="B6360" i="1"/>
  <c r="C6360" i="1"/>
  <c r="D6360" i="1"/>
  <c r="E6360" i="1"/>
  <c r="F6360" i="1"/>
  <c r="G6360" i="1"/>
  <c r="H6360" i="1"/>
  <c r="A6361" i="1"/>
  <c r="B6361" i="1"/>
  <c r="C6361" i="1"/>
  <c r="D6361" i="1"/>
  <c r="E6361" i="1"/>
  <c r="F6361" i="1"/>
  <c r="G6361" i="1"/>
  <c r="H6361" i="1"/>
  <c r="A6362" i="1"/>
  <c r="B6362" i="1"/>
  <c r="C6362" i="1"/>
  <c r="D6362" i="1"/>
  <c r="E6362" i="1"/>
  <c r="F6362" i="1"/>
  <c r="G6362" i="1"/>
  <c r="H6362" i="1"/>
  <c r="A6363" i="1"/>
  <c r="B6363" i="1"/>
  <c r="C6363" i="1"/>
  <c r="D6363" i="1"/>
  <c r="E6363" i="1"/>
  <c r="F6363" i="1"/>
  <c r="G6363" i="1"/>
  <c r="H6363" i="1"/>
  <c r="A6364" i="1"/>
  <c r="B6364" i="1"/>
  <c r="C6364" i="1"/>
  <c r="D6364" i="1"/>
  <c r="E6364" i="1"/>
  <c r="F6364" i="1"/>
  <c r="G6364" i="1"/>
  <c r="H6364" i="1"/>
  <c r="A6365" i="1"/>
  <c r="B6365" i="1"/>
  <c r="C6365" i="1"/>
  <c r="D6365" i="1"/>
  <c r="E6365" i="1"/>
  <c r="F6365" i="1"/>
  <c r="G6365" i="1"/>
  <c r="H6365" i="1"/>
  <c r="A6366" i="1"/>
  <c r="B6366" i="1"/>
  <c r="C6366" i="1"/>
  <c r="D6366" i="1"/>
  <c r="E6366" i="1"/>
  <c r="F6366" i="1"/>
  <c r="G6366" i="1"/>
  <c r="H6366" i="1"/>
  <c r="A6367" i="1"/>
  <c r="B6367" i="1"/>
  <c r="C6367" i="1"/>
  <c r="D6367" i="1"/>
  <c r="E6367" i="1"/>
  <c r="F6367" i="1"/>
  <c r="G6367" i="1"/>
  <c r="H6367" i="1"/>
  <c r="A6368" i="1"/>
  <c r="B6368" i="1"/>
  <c r="C6368" i="1"/>
  <c r="D6368" i="1"/>
  <c r="E6368" i="1"/>
  <c r="F6368" i="1"/>
  <c r="G6368" i="1"/>
  <c r="H6368" i="1"/>
  <c r="A6369" i="1"/>
  <c r="B6369" i="1"/>
  <c r="C6369" i="1"/>
  <c r="D6369" i="1"/>
  <c r="E6369" i="1"/>
  <c r="F6369" i="1"/>
  <c r="G6369" i="1"/>
  <c r="H6369" i="1"/>
  <c r="A6370" i="1"/>
  <c r="B6370" i="1"/>
  <c r="C6370" i="1"/>
  <c r="D6370" i="1"/>
  <c r="E6370" i="1"/>
  <c r="F6370" i="1"/>
  <c r="G6370" i="1"/>
  <c r="H6370" i="1"/>
  <c r="A6371" i="1"/>
  <c r="B6371" i="1"/>
  <c r="C6371" i="1"/>
  <c r="D6371" i="1"/>
  <c r="E6371" i="1"/>
  <c r="F6371" i="1"/>
  <c r="G6371" i="1"/>
  <c r="H6371" i="1"/>
  <c r="A6372" i="1"/>
  <c r="B6372" i="1"/>
  <c r="C6372" i="1"/>
  <c r="D6372" i="1"/>
  <c r="E6372" i="1"/>
  <c r="F6372" i="1"/>
  <c r="G6372" i="1"/>
  <c r="H6372" i="1"/>
  <c r="A6373" i="1"/>
  <c r="B6373" i="1"/>
  <c r="C6373" i="1"/>
  <c r="D6373" i="1"/>
  <c r="E6373" i="1"/>
  <c r="F6373" i="1"/>
  <c r="G6373" i="1"/>
  <c r="H6373" i="1"/>
  <c r="A6374" i="1"/>
  <c r="B6374" i="1"/>
  <c r="C6374" i="1"/>
  <c r="D6374" i="1"/>
  <c r="E6374" i="1"/>
  <c r="F6374" i="1"/>
  <c r="G6374" i="1"/>
  <c r="H6374" i="1"/>
  <c r="A6375" i="1"/>
  <c r="B6375" i="1"/>
  <c r="C6375" i="1"/>
  <c r="D6375" i="1"/>
  <c r="E6375" i="1"/>
  <c r="F6375" i="1"/>
  <c r="G6375" i="1"/>
  <c r="H6375" i="1"/>
  <c r="A6376" i="1"/>
  <c r="B6376" i="1"/>
  <c r="C6376" i="1"/>
  <c r="D6376" i="1"/>
  <c r="E6376" i="1"/>
  <c r="F6376" i="1"/>
  <c r="G6376" i="1"/>
  <c r="H6376" i="1"/>
  <c r="A6377" i="1"/>
  <c r="B6377" i="1"/>
  <c r="C6377" i="1"/>
  <c r="D6377" i="1"/>
  <c r="E6377" i="1"/>
  <c r="F6377" i="1"/>
  <c r="G6377" i="1"/>
  <c r="H6377" i="1"/>
  <c r="A6378" i="1"/>
  <c r="B6378" i="1"/>
  <c r="C6378" i="1"/>
  <c r="D6378" i="1"/>
  <c r="E6378" i="1"/>
  <c r="F6378" i="1"/>
  <c r="G6378" i="1"/>
  <c r="H6378" i="1"/>
  <c r="A6379" i="1"/>
  <c r="B6379" i="1"/>
  <c r="C6379" i="1"/>
  <c r="D6379" i="1"/>
  <c r="E6379" i="1"/>
  <c r="F6379" i="1"/>
  <c r="G6379" i="1"/>
  <c r="H6379" i="1"/>
  <c r="A6380" i="1"/>
  <c r="B6380" i="1"/>
  <c r="C6380" i="1"/>
  <c r="D6380" i="1"/>
  <c r="E6380" i="1"/>
  <c r="F6380" i="1"/>
  <c r="G6380" i="1"/>
  <c r="H6380" i="1"/>
  <c r="A6381" i="1"/>
  <c r="B6381" i="1"/>
  <c r="C6381" i="1"/>
  <c r="D6381" i="1"/>
  <c r="E6381" i="1"/>
  <c r="F6381" i="1"/>
  <c r="G6381" i="1"/>
  <c r="H6381" i="1"/>
  <c r="A6382" i="1"/>
  <c r="B6382" i="1"/>
  <c r="C6382" i="1"/>
  <c r="D6382" i="1"/>
  <c r="E6382" i="1"/>
  <c r="F6382" i="1"/>
  <c r="G6382" i="1"/>
  <c r="H6382" i="1"/>
  <c r="A6383" i="1"/>
  <c r="B6383" i="1"/>
  <c r="C6383" i="1"/>
  <c r="D6383" i="1"/>
  <c r="E6383" i="1"/>
  <c r="F6383" i="1"/>
  <c r="G6383" i="1"/>
  <c r="H6383" i="1"/>
  <c r="A6384" i="1"/>
  <c r="B6384" i="1"/>
  <c r="C6384" i="1"/>
  <c r="D6384" i="1"/>
  <c r="E6384" i="1"/>
  <c r="F6384" i="1"/>
  <c r="G6384" i="1"/>
  <c r="H6384" i="1"/>
  <c r="A6385" i="1"/>
  <c r="B6385" i="1"/>
  <c r="C6385" i="1"/>
  <c r="D6385" i="1"/>
  <c r="E6385" i="1"/>
  <c r="F6385" i="1"/>
  <c r="G6385" i="1"/>
  <c r="H6385" i="1"/>
  <c r="A6386" i="1"/>
  <c r="B6386" i="1"/>
  <c r="C6386" i="1"/>
  <c r="D6386" i="1"/>
  <c r="E6386" i="1"/>
  <c r="F6386" i="1"/>
  <c r="G6386" i="1"/>
  <c r="H6386" i="1"/>
  <c r="A6387" i="1"/>
  <c r="B6387" i="1"/>
  <c r="C6387" i="1"/>
  <c r="D6387" i="1"/>
  <c r="E6387" i="1"/>
  <c r="F6387" i="1"/>
  <c r="G6387" i="1"/>
  <c r="H6387" i="1"/>
  <c r="A6388" i="1"/>
  <c r="B6388" i="1"/>
  <c r="C6388" i="1"/>
  <c r="D6388" i="1"/>
  <c r="E6388" i="1"/>
  <c r="F6388" i="1"/>
  <c r="G6388" i="1"/>
  <c r="H6388" i="1"/>
  <c r="A6389" i="1"/>
  <c r="B6389" i="1"/>
  <c r="C6389" i="1"/>
  <c r="D6389" i="1"/>
  <c r="E6389" i="1"/>
  <c r="F6389" i="1"/>
  <c r="G6389" i="1"/>
  <c r="H6389" i="1"/>
  <c r="A6390" i="1"/>
  <c r="B6390" i="1"/>
  <c r="C6390" i="1"/>
  <c r="D6390" i="1"/>
  <c r="E6390" i="1"/>
  <c r="F6390" i="1"/>
  <c r="G6390" i="1"/>
  <c r="H6390" i="1"/>
  <c r="A6391" i="1"/>
  <c r="B6391" i="1"/>
  <c r="C6391" i="1"/>
  <c r="D6391" i="1"/>
  <c r="E6391" i="1"/>
  <c r="F6391" i="1"/>
  <c r="G6391" i="1"/>
  <c r="H6391" i="1"/>
  <c r="A6392" i="1"/>
  <c r="B6392" i="1"/>
  <c r="C6392" i="1"/>
  <c r="D6392" i="1"/>
  <c r="E6392" i="1"/>
  <c r="F6392" i="1"/>
  <c r="G6392" i="1"/>
  <c r="H6392" i="1"/>
  <c r="A6393" i="1"/>
  <c r="B6393" i="1"/>
  <c r="C6393" i="1"/>
  <c r="D6393" i="1"/>
  <c r="E6393" i="1"/>
  <c r="F6393" i="1"/>
  <c r="G6393" i="1"/>
  <c r="H6393" i="1"/>
  <c r="A6394" i="1"/>
  <c r="B6394" i="1"/>
  <c r="C6394" i="1"/>
  <c r="D6394" i="1"/>
  <c r="E6394" i="1"/>
  <c r="F6394" i="1"/>
  <c r="G6394" i="1"/>
  <c r="H6394" i="1"/>
  <c r="A6395" i="1"/>
  <c r="B6395" i="1"/>
  <c r="C6395" i="1"/>
  <c r="D6395" i="1"/>
  <c r="E6395" i="1"/>
  <c r="F6395" i="1"/>
  <c r="G6395" i="1"/>
  <c r="H6395" i="1"/>
  <c r="A6396" i="1"/>
  <c r="B6396" i="1"/>
  <c r="C6396" i="1"/>
  <c r="D6396" i="1"/>
  <c r="E6396" i="1"/>
  <c r="F6396" i="1"/>
  <c r="G6396" i="1"/>
  <c r="H6396" i="1"/>
  <c r="A6397" i="1"/>
  <c r="B6397" i="1"/>
  <c r="C6397" i="1"/>
  <c r="D6397" i="1"/>
  <c r="E6397" i="1"/>
  <c r="F6397" i="1"/>
  <c r="G6397" i="1"/>
  <c r="H6397" i="1"/>
  <c r="A6398" i="1"/>
  <c r="B6398" i="1"/>
  <c r="C6398" i="1"/>
  <c r="D6398" i="1"/>
  <c r="E6398" i="1"/>
  <c r="F6398" i="1"/>
  <c r="G6398" i="1"/>
  <c r="H6398" i="1"/>
  <c r="A6399" i="1"/>
  <c r="B6399" i="1"/>
  <c r="C6399" i="1"/>
  <c r="D6399" i="1"/>
  <c r="E6399" i="1"/>
  <c r="F6399" i="1"/>
  <c r="G6399" i="1"/>
  <c r="H6399" i="1"/>
  <c r="A6400" i="1"/>
  <c r="B6400" i="1"/>
  <c r="C6400" i="1"/>
  <c r="D6400" i="1"/>
  <c r="E6400" i="1"/>
  <c r="F6400" i="1"/>
  <c r="G6400" i="1"/>
  <c r="H6400" i="1"/>
  <c r="A6401" i="1"/>
  <c r="B6401" i="1"/>
  <c r="C6401" i="1"/>
  <c r="D6401" i="1"/>
  <c r="E6401" i="1"/>
  <c r="F6401" i="1"/>
  <c r="G6401" i="1"/>
  <c r="H6401" i="1"/>
  <c r="A6402" i="1"/>
  <c r="B6402" i="1"/>
  <c r="C6402" i="1"/>
  <c r="D6402" i="1"/>
  <c r="E6402" i="1"/>
  <c r="F6402" i="1"/>
  <c r="G6402" i="1"/>
  <c r="H6402" i="1"/>
  <c r="A6403" i="1"/>
  <c r="B6403" i="1"/>
  <c r="C6403" i="1"/>
  <c r="D6403" i="1"/>
  <c r="E6403" i="1"/>
  <c r="F6403" i="1"/>
  <c r="G6403" i="1"/>
  <c r="H6403" i="1"/>
  <c r="A6404" i="1"/>
  <c r="B6404" i="1"/>
  <c r="C6404" i="1"/>
  <c r="D6404" i="1"/>
  <c r="E6404" i="1"/>
  <c r="F6404" i="1"/>
  <c r="G6404" i="1"/>
  <c r="H6404" i="1"/>
  <c r="A6405" i="1"/>
  <c r="B6405" i="1"/>
  <c r="C6405" i="1"/>
  <c r="D6405" i="1"/>
  <c r="E6405" i="1"/>
  <c r="F6405" i="1"/>
  <c r="G6405" i="1"/>
  <c r="H6405" i="1"/>
  <c r="A6406" i="1"/>
  <c r="B6406" i="1"/>
  <c r="C6406" i="1"/>
  <c r="D6406" i="1"/>
  <c r="E6406" i="1"/>
  <c r="F6406" i="1"/>
  <c r="G6406" i="1"/>
  <c r="H6406" i="1"/>
  <c r="A6407" i="1"/>
  <c r="B6407" i="1"/>
  <c r="C6407" i="1"/>
  <c r="D6407" i="1"/>
  <c r="E6407" i="1"/>
  <c r="F6407" i="1"/>
  <c r="G6407" i="1"/>
  <c r="H6407" i="1"/>
  <c r="A6408" i="1"/>
  <c r="B6408" i="1"/>
  <c r="C6408" i="1"/>
  <c r="D6408" i="1"/>
  <c r="E6408" i="1"/>
  <c r="F6408" i="1"/>
  <c r="G6408" i="1"/>
  <c r="H6408" i="1"/>
  <c r="A6409" i="1"/>
  <c r="B6409" i="1"/>
  <c r="C6409" i="1"/>
  <c r="D6409" i="1"/>
  <c r="E6409" i="1"/>
  <c r="F6409" i="1"/>
  <c r="G6409" i="1"/>
  <c r="H6409" i="1"/>
  <c r="A6410" i="1"/>
  <c r="B6410" i="1"/>
  <c r="C6410" i="1"/>
  <c r="D6410" i="1"/>
  <c r="E6410" i="1"/>
  <c r="F6410" i="1"/>
  <c r="G6410" i="1"/>
  <c r="H6410" i="1"/>
  <c r="A6411" i="1"/>
  <c r="B6411" i="1"/>
  <c r="C6411" i="1"/>
  <c r="D6411" i="1"/>
  <c r="E6411" i="1"/>
  <c r="F6411" i="1"/>
  <c r="G6411" i="1"/>
  <c r="H6411" i="1"/>
  <c r="A6412" i="1"/>
  <c r="B6412" i="1"/>
  <c r="C6412" i="1"/>
  <c r="D6412" i="1"/>
  <c r="E6412" i="1"/>
  <c r="F6412" i="1"/>
  <c r="G6412" i="1"/>
  <c r="H6412" i="1"/>
  <c r="A6413" i="1"/>
  <c r="B6413" i="1"/>
  <c r="C6413" i="1"/>
  <c r="D6413" i="1"/>
  <c r="E6413" i="1"/>
  <c r="F6413" i="1"/>
  <c r="G6413" i="1"/>
  <c r="H6413" i="1"/>
  <c r="A6414" i="1"/>
  <c r="B6414" i="1"/>
  <c r="C6414" i="1"/>
  <c r="D6414" i="1"/>
  <c r="E6414" i="1"/>
  <c r="F6414" i="1"/>
  <c r="G6414" i="1"/>
  <c r="H6414" i="1"/>
  <c r="A6415" i="1"/>
  <c r="B6415" i="1"/>
  <c r="C6415" i="1"/>
  <c r="D6415" i="1"/>
  <c r="E6415" i="1"/>
  <c r="F6415" i="1"/>
  <c r="G6415" i="1"/>
  <c r="H6415" i="1"/>
  <c r="A6416" i="1"/>
  <c r="B6416" i="1"/>
  <c r="C6416" i="1"/>
  <c r="D6416" i="1"/>
  <c r="E6416" i="1"/>
  <c r="F6416" i="1"/>
  <c r="G6416" i="1"/>
  <c r="H6416" i="1"/>
  <c r="A6417" i="1"/>
  <c r="B6417" i="1"/>
  <c r="C6417" i="1"/>
  <c r="D6417" i="1"/>
  <c r="E6417" i="1"/>
  <c r="F6417" i="1"/>
  <c r="G6417" i="1"/>
  <c r="H6417" i="1"/>
  <c r="A6418" i="1"/>
  <c r="B6418" i="1"/>
  <c r="C6418" i="1"/>
  <c r="D6418" i="1"/>
  <c r="E6418" i="1"/>
  <c r="F6418" i="1"/>
  <c r="G6418" i="1"/>
  <c r="H6418" i="1"/>
  <c r="A6419" i="1"/>
  <c r="B6419" i="1"/>
  <c r="C6419" i="1"/>
  <c r="D6419" i="1"/>
  <c r="E6419" i="1"/>
  <c r="F6419" i="1"/>
  <c r="G6419" i="1"/>
  <c r="H6419" i="1"/>
  <c r="A6420" i="1"/>
  <c r="B6420" i="1"/>
  <c r="C6420" i="1"/>
  <c r="D6420" i="1"/>
  <c r="E6420" i="1"/>
  <c r="F6420" i="1"/>
  <c r="G6420" i="1"/>
  <c r="H6420" i="1"/>
  <c r="A6421" i="1"/>
  <c r="B6421" i="1"/>
  <c r="C6421" i="1"/>
  <c r="D6421" i="1"/>
  <c r="E6421" i="1"/>
  <c r="F6421" i="1"/>
  <c r="G6421" i="1"/>
  <c r="H6421" i="1"/>
  <c r="A6422" i="1"/>
  <c r="B6422" i="1"/>
  <c r="C6422" i="1"/>
  <c r="D6422" i="1"/>
  <c r="E6422" i="1"/>
  <c r="F6422" i="1"/>
  <c r="G6422" i="1"/>
  <c r="H6422" i="1"/>
  <c r="A6423" i="1"/>
  <c r="B6423" i="1"/>
  <c r="C6423" i="1"/>
  <c r="D6423" i="1"/>
  <c r="E6423" i="1"/>
  <c r="F6423" i="1"/>
  <c r="G6423" i="1"/>
  <c r="H6423" i="1"/>
  <c r="A6424" i="1"/>
  <c r="B6424" i="1"/>
  <c r="C6424" i="1"/>
  <c r="D6424" i="1"/>
  <c r="E6424" i="1"/>
  <c r="F6424" i="1"/>
  <c r="G6424" i="1"/>
  <c r="H6424" i="1"/>
  <c r="A6425" i="1"/>
  <c r="B6425" i="1"/>
  <c r="C6425" i="1"/>
  <c r="D6425" i="1"/>
  <c r="E6425" i="1"/>
  <c r="F6425" i="1"/>
  <c r="G6425" i="1"/>
  <c r="H6425" i="1"/>
  <c r="A6426" i="1"/>
  <c r="B6426" i="1"/>
  <c r="C6426" i="1"/>
  <c r="D6426" i="1"/>
  <c r="E6426" i="1"/>
  <c r="F6426" i="1"/>
  <c r="G6426" i="1"/>
  <c r="H6426" i="1"/>
  <c r="A6427" i="1"/>
  <c r="B6427" i="1"/>
  <c r="C6427" i="1"/>
  <c r="D6427" i="1"/>
  <c r="E6427" i="1"/>
  <c r="F6427" i="1"/>
  <c r="G6427" i="1"/>
  <c r="H6427" i="1"/>
  <c r="A6428" i="1"/>
  <c r="B6428" i="1"/>
  <c r="C6428" i="1"/>
  <c r="D6428" i="1"/>
  <c r="E6428" i="1"/>
  <c r="F6428" i="1"/>
  <c r="G6428" i="1"/>
  <c r="H6428" i="1"/>
  <c r="A6429" i="1"/>
  <c r="B6429" i="1"/>
  <c r="C6429" i="1"/>
  <c r="D6429" i="1"/>
  <c r="E6429" i="1"/>
  <c r="F6429" i="1"/>
  <c r="G6429" i="1"/>
  <c r="H6429" i="1"/>
  <c r="A6430" i="1"/>
  <c r="B6430" i="1"/>
  <c r="C6430" i="1"/>
  <c r="D6430" i="1"/>
  <c r="E6430" i="1"/>
  <c r="F6430" i="1"/>
  <c r="G6430" i="1"/>
  <c r="H6430" i="1"/>
  <c r="A6431" i="1"/>
  <c r="B6431" i="1"/>
  <c r="C6431" i="1"/>
  <c r="D6431" i="1"/>
  <c r="E6431" i="1"/>
  <c r="F6431" i="1"/>
  <c r="G6431" i="1"/>
  <c r="H6431" i="1"/>
  <c r="A6432" i="1"/>
  <c r="B6432" i="1"/>
  <c r="C6432" i="1"/>
  <c r="D6432" i="1"/>
  <c r="E6432" i="1"/>
  <c r="F6432" i="1"/>
  <c r="G6432" i="1"/>
  <c r="H6432" i="1"/>
  <c r="A6433" i="1"/>
  <c r="B6433" i="1"/>
  <c r="C6433" i="1"/>
  <c r="D6433" i="1"/>
  <c r="E6433" i="1"/>
  <c r="F6433" i="1"/>
  <c r="G6433" i="1"/>
  <c r="H6433" i="1"/>
  <c r="A6434" i="1"/>
  <c r="B6434" i="1"/>
  <c r="C6434" i="1"/>
  <c r="D6434" i="1"/>
  <c r="E6434" i="1"/>
  <c r="F6434" i="1"/>
  <c r="G6434" i="1"/>
  <c r="H6434" i="1"/>
  <c r="A6435" i="1"/>
  <c r="B6435" i="1"/>
  <c r="C6435" i="1"/>
  <c r="D6435" i="1"/>
  <c r="E6435" i="1"/>
  <c r="F6435" i="1"/>
  <c r="G6435" i="1"/>
  <c r="H6435" i="1"/>
  <c r="A6436" i="1"/>
  <c r="B6436" i="1"/>
  <c r="C6436" i="1"/>
  <c r="D6436" i="1"/>
  <c r="E6436" i="1"/>
  <c r="F6436" i="1"/>
  <c r="G6436" i="1"/>
  <c r="H6436" i="1"/>
  <c r="A6437" i="1"/>
  <c r="B6437" i="1"/>
  <c r="C6437" i="1"/>
  <c r="D6437" i="1"/>
  <c r="E6437" i="1"/>
  <c r="F6437" i="1"/>
  <c r="G6437" i="1"/>
  <c r="H6437" i="1"/>
  <c r="A6438" i="1"/>
  <c r="B6438" i="1"/>
  <c r="C6438" i="1"/>
  <c r="D6438" i="1"/>
  <c r="E6438" i="1"/>
  <c r="F6438" i="1"/>
  <c r="G6438" i="1"/>
  <c r="H6438" i="1"/>
  <c r="A6439" i="1"/>
  <c r="B6439" i="1"/>
  <c r="C6439" i="1"/>
  <c r="D6439" i="1"/>
  <c r="E6439" i="1"/>
  <c r="F6439" i="1"/>
  <c r="G6439" i="1"/>
  <c r="H6439" i="1"/>
  <c r="A6440" i="1"/>
  <c r="B6440" i="1"/>
  <c r="C6440" i="1"/>
  <c r="D6440" i="1"/>
  <c r="E6440" i="1"/>
  <c r="F6440" i="1"/>
  <c r="G6440" i="1"/>
  <c r="H6440" i="1"/>
  <c r="A6441" i="1"/>
  <c r="B6441" i="1"/>
  <c r="C6441" i="1"/>
  <c r="D6441" i="1"/>
  <c r="E6441" i="1"/>
  <c r="F6441" i="1"/>
  <c r="G6441" i="1"/>
  <c r="H6441" i="1"/>
  <c r="A6442" i="1"/>
  <c r="B6442" i="1"/>
  <c r="C6442" i="1"/>
  <c r="D6442" i="1"/>
  <c r="E6442" i="1"/>
  <c r="F6442" i="1"/>
  <c r="G6442" i="1"/>
  <c r="H6442" i="1"/>
  <c r="A6443" i="1"/>
  <c r="B6443" i="1"/>
  <c r="C6443" i="1"/>
  <c r="D6443" i="1"/>
  <c r="E6443" i="1"/>
  <c r="F6443" i="1"/>
  <c r="G6443" i="1"/>
  <c r="H6443" i="1"/>
  <c r="A6444" i="1"/>
  <c r="B6444" i="1"/>
  <c r="C6444" i="1"/>
  <c r="D6444" i="1"/>
  <c r="E6444" i="1"/>
  <c r="F6444" i="1"/>
  <c r="G6444" i="1"/>
  <c r="H6444" i="1"/>
  <c r="A6445" i="1"/>
  <c r="B6445" i="1"/>
  <c r="C6445" i="1"/>
  <c r="D6445" i="1"/>
  <c r="E6445" i="1"/>
  <c r="F6445" i="1"/>
  <c r="G6445" i="1"/>
  <c r="H6445" i="1"/>
  <c r="A6446" i="1"/>
  <c r="B6446" i="1"/>
  <c r="C6446" i="1"/>
  <c r="D6446" i="1"/>
  <c r="E6446" i="1"/>
  <c r="F6446" i="1"/>
  <c r="G6446" i="1"/>
  <c r="H6446" i="1"/>
  <c r="A6447" i="1"/>
  <c r="B6447" i="1"/>
  <c r="C6447" i="1"/>
  <c r="D6447" i="1"/>
  <c r="E6447" i="1"/>
  <c r="F6447" i="1"/>
  <c r="G6447" i="1"/>
  <c r="H6447" i="1"/>
  <c r="A6448" i="1"/>
  <c r="B6448" i="1"/>
  <c r="C6448" i="1"/>
  <c r="D6448" i="1"/>
  <c r="E6448" i="1"/>
  <c r="F6448" i="1"/>
  <c r="G6448" i="1"/>
  <c r="H6448" i="1"/>
  <c r="A6449" i="1"/>
  <c r="B6449" i="1"/>
  <c r="C6449" i="1"/>
  <c r="D6449" i="1"/>
  <c r="E6449" i="1"/>
  <c r="F6449" i="1"/>
  <c r="G6449" i="1"/>
  <c r="H6449" i="1"/>
  <c r="A6450" i="1"/>
  <c r="B6450" i="1"/>
  <c r="C6450" i="1"/>
  <c r="D6450" i="1"/>
  <c r="E6450" i="1"/>
  <c r="F6450" i="1"/>
  <c r="G6450" i="1"/>
  <c r="H6450" i="1"/>
  <c r="A6451" i="1"/>
  <c r="B6451" i="1"/>
  <c r="C6451" i="1"/>
  <c r="D6451" i="1"/>
  <c r="E6451" i="1"/>
  <c r="F6451" i="1"/>
  <c r="G6451" i="1"/>
  <c r="H6451" i="1"/>
  <c r="A6452" i="1"/>
  <c r="B6452" i="1"/>
  <c r="C6452" i="1"/>
  <c r="D6452" i="1"/>
  <c r="E6452" i="1"/>
  <c r="F6452" i="1"/>
  <c r="G6452" i="1"/>
  <c r="H6452" i="1"/>
  <c r="A6453" i="1"/>
  <c r="B6453" i="1"/>
  <c r="C6453" i="1"/>
  <c r="D6453" i="1"/>
  <c r="E6453" i="1"/>
  <c r="F6453" i="1"/>
  <c r="G6453" i="1"/>
  <c r="H6453" i="1"/>
  <c r="A6454" i="1"/>
  <c r="B6454" i="1"/>
  <c r="C6454" i="1"/>
  <c r="D6454" i="1"/>
  <c r="E6454" i="1"/>
  <c r="F6454" i="1"/>
  <c r="G6454" i="1"/>
  <c r="H6454" i="1"/>
  <c r="A6455" i="1"/>
  <c r="B6455" i="1"/>
  <c r="C6455" i="1"/>
  <c r="D6455" i="1"/>
  <c r="E6455" i="1"/>
  <c r="F6455" i="1"/>
  <c r="G6455" i="1"/>
  <c r="H6455" i="1"/>
  <c r="A6456" i="1"/>
  <c r="B6456" i="1"/>
  <c r="C6456" i="1"/>
  <c r="D6456" i="1"/>
  <c r="E6456" i="1"/>
  <c r="F6456" i="1"/>
  <c r="G6456" i="1"/>
  <c r="H6456" i="1"/>
  <c r="A6457" i="1"/>
  <c r="B6457" i="1"/>
  <c r="C6457" i="1"/>
  <c r="D6457" i="1"/>
  <c r="E6457" i="1"/>
  <c r="F6457" i="1"/>
  <c r="G6457" i="1"/>
  <c r="H6457" i="1"/>
  <c r="A6458" i="1"/>
  <c r="B6458" i="1"/>
  <c r="C6458" i="1"/>
  <c r="D6458" i="1"/>
  <c r="E6458" i="1"/>
  <c r="F6458" i="1"/>
  <c r="G6458" i="1"/>
  <c r="H6458" i="1"/>
  <c r="A6459" i="1"/>
  <c r="B6459" i="1"/>
  <c r="C6459" i="1"/>
  <c r="D6459" i="1"/>
  <c r="E6459" i="1"/>
  <c r="F6459" i="1"/>
  <c r="G6459" i="1"/>
  <c r="H6459" i="1"/>
  <c r="A6460" i="1"/>
  <c r="B6460" i="1"/>
  <c r="C6460" i="1"/>
  <c r="D6460" i="1"/>
  <c r="E6460" i="1"/>
  <c r="F6460" i="1"/>
  <c r="G6460" i="1"/>
  <c r="H6460" i="1"/>
  <c r="A6461" i="1"/>
  <c r="B6461" i="1"/>
  <c r="C6461" i="1"/>
  <c r="D6461" i="1"/>
  <c r="E6461" i="1"/>
  <c r="F6461" i="1"/>
  <c r="G6461" i="1"/>
  <c r="H6461" i="1"/>
  <c r="A6462" i="1"/>
  <c r="B6462" i="1"/>
  <c r="C6462" i="1"/>
  <c r="D6462" i="1"/>
  <c r="E6462" i="1"/>
  <c r="F6462" i="1"/>
  <c r="G6462" i="1"/>
  <c r="H6462" i="1"/>
  <c r="A6463" i="1"/>
  <c r="B6463" i="1"/>
  <c r="C6463" i="1"/>
  <c r="D6463" i="1"/>
  <c r="E6463" i="1"/>
  <c r="F6463" i="1"/>
  <c r="G6463" i="1"/>
  <c r="H6463" i="1"/>
  <c r="A6464" i="1"/>
  <c r="B6464" i="1"/>
  <c r="C6464" i="1"/>
  <c r="D6464" i="1"/>
  <c r="E6464" i="1"/>
  <c r="F6464" i="1"/>
  <c r="G6464" i="1"/>
  <c r="H6464" i="1"/>
  <c r="A6465" i="1"/>
  <c r="B6465" i="1"/>
  <c r="C6465" i="1"/>
  <c r="D6465" i="1"/>
  <c r="E6465" i="1"/>
  <c r="F6465" i="1"/>
  <c r="G6465" i="1"/>
  <c r="H6465" i="1"/>
  <c r="A6466" i="1"/>
  <c r="B6466" i="1"/>
  <c r="C6466" i="1"/>
  <c r="D6466" i="1"/>
  <c r="E6466" i="1"/>
  <c r="F6466" i="1"/>
  <c r="G6466" i="1"/>
  <c r="H6466" i="1"/>
  <c r="A6467" i="1"/>
  <c r="B6467" i="1"/>
  <c r="C6467" i="1"/>
  <c r="D6467" i="1"/>
  <c r="E6467" i="1"/>
  <c r="F6467" i="1"/>
  <c r="G6467" i="1"/>
  <c r="H6467" i="1"/>
  <c r="A6468" i="1"/>
  <c r="B6468" i="1"/>
  <c r="C6468" i="1"/>
  <c r="D6468" i="1"/>
  <c r="E6468" i="1"/>
  <c r="F6468" i="1"/>
  <c r="G6468" i="1"/>
  <c r="H6468" i="1"/>
  <c r="A6469" i="1"/>
  <c r="B6469" i="1"/>
  <c r="C6469" i="1"/>
  <c r="D6469" i="1"/>
  <c r="E6469" i="1"/>
  <c r="F6469" i="1"/>
  <c r="G6469" i="1"/>
  <c r="H6469" i="1"/>
  <c r="A6470" i="1"/>
  <c r="B6470" i="1"/>
  <c r="C6470" i="1"/>
  <c r="D6470" i="1"/>
  <c r="E6470" i="1"/>
  <c r="F6470" i="1"/>
  <c r="G6470" i="1"/>
  <c r="H6470" i="1"/>
  <c r="A6471" i="1"/>
  <c r="B6471" i="1"/>
  <c r="C6471" i="1"/>
  <c r="D6471" i="1"/>
  <c r="E6471" i="1"/>
  <c r="F6471" i="1"/>
  <c r="G6471" i="1"/>
  <c r="H6471" i="1"/>
  <c r="A6472" i="1"/>
  <c r="B6472" i="1"/>
  <c r="C6472" i="1"/>
  <c r="D6472" i="1"/>
  <c r="E6472" i="1"/>
  <c r="F6472" i="1"/>
  <c r="G6472" i="1"/>
  <c r="H6472" i="1"/>
  <c r="A6473" i="1"/>
  <c r="B6473" i="1"/>
  <c r="C6473" i="1"/>
  <c r="D6473" i="1"/>
  <c r="E6473" i="1"/>
  <c r="F6473" i="1"/>
  <c r="G6473" i="1"/>
  <c r="H6473" i="1"/>
  <c r="A6474" i="1"/>
  <c r="B6474" i="1"/>
  <c r="C6474" i="1"/>
  <c r="D6474" i="1"/>
  <c r="E6474" i="1"/>
  <c r="F6474" i="1"/>
  <c r="G6474" i="1"/>
  <c r="H6474" i="1"/>
  <c r="A6475" i="1"/>
  <c r="B6475" i="1"/>
  <c r="C6475" i="1"/>
  <c r="D6475" i="1"/>
  <c r="E6475" i="1"/>
  <c r="F6475" i="1"/>
  <c r="G6475" i="1"/>
  <c r="H6475" i="1"/>
  <c r="A6476" i="1"/>
  <c r="B6476" i="1"/>
  <c r="C6476" i="1"/>
  <c r="D6476" i="1"/>
  <c r="E6476" i="1"/>
  <c r="F6476" i="1"/>
  <c r="G6476" i="1"/>
  <c r="H6476" i="1"/>
  <c r="A6477" i="1"/>
  <c r="B6477" i="1"/>
  <c r="C6477" i="1"/>
  <c r="D6477" i="1"/>
  <c r="E6477" i="1"/>
  <c r="F6477" i="1"/>
  <c r="G6477" i="1"/>
  <c r="H6477" i="1"/>
  <c r="A6478" i="1"/>
  <c r="B6478" i="1"/>
  <c r="C6478" i="1"/>
  <c r="D6478" i="1"/>
  <c r="E6478" i="1"/>
  <c r="F6478" i="1"/>
  <c r="G6478" i="1"/>
  <c r="H6478" i="1"/>
  <c r="A6479" i="1"/>
  <c r="B6479" i="1"/>
  <c r="C6479" i="1"/>
  <c r="D6479" i="1"/>
  <c r="E6479" i="1"/>
  <c r="F6479" i="1"/>
  <c r="G6479" i="1"/>
  <c r="H6479" i="1"/>
  <c r="A6480" i="1"/>
  <c r="B6480" i="1"/>
  <c r="C6480" i="1"/>
  <c r="D6480" i="1"/>
  <c r="E6480" i="1"/>
  <c r="F6480" i="1"/>
  <c r="G6480" i="1"/>
  <c r="H6480" i="1"/>
  <c r="A6481" i="1"/>
  <c r="B6481" i="1"/>
  <c r="C6481" i="1"/>
  <c r="D6481" i="1"/>
  <c r="E6481" i="1"/>
  <c r="F6481" i="1"/>
  <c r="G6481" i="1"/>
  <c r="H6481" i="1"/>
  <c r="A6482" i="1"/>
  <c r="B6482" i="1"/>
  <c r="C6482" i="1"/>
  <c r="D6482" i="1"/>
  <c r="E6482" i="1"/>
  <c r="F6482" i="1"/>
  <c r="G6482" i="1"/>
  <c r="H6482" i="1"/>
  <c r="A6483" i="1"/>
  <c r="B6483" i="1"/>
  <c r="C6483" i="1"/>
  <c r="D6483" i="1"/>
  <c r="E6483" i="1"/>
  <c r="F6483" i="1"/>
  <c r="G6483" i="1"/>
  <c r="H6483" i="1"/>
  <c r="A6484" i="1"/>
  <c r="B6484" i="1"/>
  <c r="C6484" i="1"/>
  <c r="D6484" i="1"/>
  <c r="E6484" i="1"/>
  <c r="F6484" i="1"/>
  <c r="G6484" i="1"/>
  <c r="H6484" i="1"/>
  <c r="A6485" i="1"/>
  <c r="B6485" i="1"/>
  <c r="C6485" i="1"/>
  <c r="D6485" i="1"/>
  <c r="E6485" i="1"/>
  <c r="F6485" i="1"/>
  <c r="G6485" i="1"/>
  <c r="H6485" i="1"/>
  <c r="A6486" i="1"/>
  <c r="B6486" i="1"/>
  <c r="C6486" i="1"/>
  <c r="D6486" i="1"/>
  <c r="E6486" i="1"/>
  <c r="F6486" i="1"/>
  <c r="G6486" i="1"/>
  <c r="H6486" i="1"/>
  <c r="A6487" i="1"/>
  <c r="B6487" i="1"/>
  <c r="C6487" i="1"/>
  <c r="D6487" i="1"/>
  <c r="E6487" i="1"/>
  <c r="F6487" i="1"/>
  <c r="G6487" i="1"/>
  <c r="H6487" i="1"/>
  <c r="A6488" i="1"/>
  <c r="B6488" i="1"/>
  <c r="C6488" i="1"/>
  <c r="D6488" i="1"/>
  <c r="E6488" i="1"/>
  <c r="F6488" i="1"/>
  <c r="G6488" i="1"/>
  <c r="H6488" i="1"/>
  <c r="A6489" i="1"/>
  <c r="B6489" i="1"/>
  <c r="C6489" i="1"/>
  <c r="D6489" i="1"/>
  <c r="E6489" i="1"/>
  <c r="F6489" i="1"/>
  <c r="G6489" i="1"/>
  <c r="H6489" i="1"/>
  <c r="A6490" i="1"/>
  <c r="B6490" i="1"/>
  <c r="C6490" i="1"/>
  <c r="D6490" i="1"/>
  <c r="E6490" i="1"/>
  <c r="F6490" i="1"/>
  <c r="G6490" i="1"/>
  <c r="H6490" i="1"/>
  <c r="A6491" i="1"/>
  <c r="B6491" i="1"/>
  <c r="C6491" i="1"/>
  <c r="D6491" i="1"/>
  <c r="E6491" i="1"/>
  <c r="F6491" i="1"/>
  <c r="G6491" i="1"/>
  <c r="H6491" i="1"/>
  <c r="A6492" i="1"/>
  <c r="B6492" i="1"/>
  <c r="C6492" i="1"/>
  <c r="D6492" i="1"/>
  <c r="E6492" i="1"/>
  <c r="F6492" i="1"/>
  <c r="G6492" i="1"/>
  <c r="H6492" i="1"/>
  <c r="A6493" i="1"/>
  <c r="B6493" i="1"/>
  <c r="C6493" i="1"/>
  <c r="D6493" i="1"/>
  <c r="E6493" i="1"/>
  <c r="F6493" i="1"/>
  <c r="G6493" i="1"/>
  <c r="H6493" i="1"/>
  <c r="A6494" i="1"/>
  <c r="B6494" i="1"/>
  <c r="C6494" i="1"/>
  <c r="D6494" i="1"/>
  <c r="E6494" i="1"/>
  <c r="F6494" i="1"/>
  <c r="G6494" i="1"/>
  <c r="H6494" i="1"/>
  <c r="A6495" i="1"/>
  <c r="B6495" i="1"/>
  <c r="C6495" i="1"/>
  <c r="D6495" i="1"/>
  <c r="E6495" i="1"/>
  <c r="F6495" i="1"/>
  <c r="G6495" i="1"/>
  <c r="H6495" i="1"/>
  <c r="A6496" i="1"/>
  <c r="B6496" i="1"/>
  <c r="C6496" i="1"/>
  <c r="D6496" i="1"/>
  <c r="E6496" i="1"/>
  <c r="F6496" i="1"/>
  <c r="G6496" i="1"/>
  <c r="H6496" i="1"/>
  <c r="A6497" i="1"/>
  <c r="B6497" i="1"/>
  <c r="C6497" i="1"/>
  <c r="D6497" i="1"/>
  <c r="E6497" i="1"/>
  <c r="F6497" i="1"/>
  <c r="G6497" i="1"/>
  <c r="H6497" i="1"/>
  <c r="A6498" i="1"/>
  <c r="B6498" i="1"/>
  <c r="C6498" i="1"/>
  <c r="D6498" i="1"/>
  <c r="E6498" i="1"/>
  <c r="F6498" i="1"/>
  <c r="G6498" i="1"/>
  <c r="H6498" i="1"/>
  <c r="A6499" i="1"/>
  <c r="B6499" i="1"/>
  <c r="C6499" i="1"/>
  <c r="D6499" i="1"/>
  <c r="E6499" i="1"/>
  <c r="F6499" i="1"/>
  <c r="G6499" i="1"/>
  <c r="H6499" i="1"/>
  <c r="A6500" i="1"/>
  <c r="B6500" i="1"/>
  <c r="C6500" i="1"/>
  <c r="D6500" i="1"/>
  <c r="E6500" i="1"/>
  <c r="F6500" i="1"/>
  <c r="G6500" i="1"/>
  <c r="H6500" i="1"/>
  <c r="A6501" i="1"/>
  <c r="B6501" i="1"/>
  <c r="C6501" i="1"/>
  <c r="D6501" i="1"/>
  <c r="E6501" i="1"/>
  <c r="F6501" i="1"/>
  <c r="G6501" i="1"/>
  <c r="H6501" i="1"/>
  <c r="A6502" i="1"/>
  <c r="B6502" i="1"/>
  <c r="C6502" i="1"/>
  <c r="D6502" i="1"/>
  <c r="E6502" i="1"/>
  <c r="F6502" i="1"/>
  <c r="G6502" i="1"/>
  <c r="H6502" i="1"/>
  <c r="A6503" i="1"/>
  <c r="B6503" i="1"/>
  <c r="C6503" i="1"/>
  <c r="D6503" i="1"/>
  <c r="E6503" i="1"/>
  <c r="F6503" i="1"/>
  <c r="G6503" i="1"/>
  <c r="H6503" i="1"/>
  <c r="A6504" i="1"/>
  <c r="B6504" i="1"/>
  <c r="C6504" i="1"/>
  <c r="D6504" i="1"/>
  <c r="E6504" i="1"/>
  <c r="F6504" i="1"/>
  <c r="G6504" i="1"/>
  <c r="H6504" i="1"/>
  <c r="A6505" i="1"/>
  <c r="B6505" i="1"/>
  <c r="C6505" i="1"/>
  <c r="D6505" i="1"/>
  <c r="E6505" i="1"/>
  <c r="F6505" i="1"/>
  <c r="G6505" i="1"/>
  <c r="H6505" i="1"/>
  <c r="A6506" i="1"/>
  <c r="B6506" i="1"/>
  <c r="C6506" i="1"/>
  <c r="D6506" i="1"/>
  <c r="E6506" i="1"/>
  <c r="F6506" i="1"/>
  <c r="G6506" i="1"/>
  <c r="H6506" i="1"/>
  <c r="A6507" i="1"/>
  <c r="B6507" i="1"/>
  <c r="C6507" i="1"/>
  <c r="D6507" i="1"/>
  <c r="E6507" i="1"/>
  <c r="F6507" i="1"/>
  <c r="G6507" i="1"/>
  <c r="H6507" i="1"/>
  <c r="A6508" i="1"/>
  <c r="B6508" i="1"/>
  <c r="C6508" i="1"/>
  <c r="D6508" i="1"/>
  <c r="E6508" i="1"/>
  <c r="F6508" i="1"/>
  <c r="G6508" i="1"/>
  <c r="H6508" i="1"/>
  <c r="A6509" i="1"/>
  <c r="B6509" i="1"/>
  <c r="C6509" i="1"/>
  <c r="D6509" i="1"/>
  <c r="E6509" i="1"/>
  <c r="F6509" i="1"/>
  <c r="G6509" i="1"/>
  <c r="H6509" i="1"/>
  <c r="A6510" i="1"/>
  <c r="B6510" i="1"/>
  <c r="C6510" i="1"/>
  <c r="D6510" i="1"/>
  <c r="E6510" i="1"/>
  <c r="F6510" i="1"/>
  <c r="G6510" i="1"/>
  <c r="H6510" i="1"/>
  <c r="A6511" i="1"/>
  <c r="B6511" i="1"/>
  <c r="C6511" i="1"/>
  <c r="D6511" i="1"/>
  <c r="E6511" i="1"/>
  <c r="F6511" i="1"/>
  <c r="G6511" i="1"/>
  <c r="H6511" i="1"/>
  <c r="A6512" i="1"/>
  <c r="B6512" i="1"/>
  <c r="C6512" i="1"/>
  <c r="D6512" i="1"/>
  <c r="E6512" i="1"/>
  <c r="F6512" i="1"/>
  <c r="G6512" i="1"/>
  <c r="H6512" i="1"/>
  <c r="A6513" i="1"/>
  <c r="B6513" i="1"/>
  <c r="C6513" i="1"/>
  <c r="D6513" i="1"/>
  <c r="E6513" i="1"/>
  <c r="F6513" i="1"/>
  <c r="G6513" i="1"/>
  <c r="H6513" i="1"/>
  <c r="A6514" i="1"/>
  <c r="B6514" i="1"/>
  <c r="C6514" i="1"/>
  <c r="D6514" i="1"/>
  <c r="E6514" i="1"/>
  <c r="F6514" i="1"/>
  <c r="G6514" i="1"/>
  <c r="H6514" i="1"/>
  <c r="A6515" i="1"/>
  <c r="B6515" i="1"/>
  <c r="C6515" i="1"/>
  <c r="D6515" i="1"/>
  <c r="E6515" i="1"/>
  <c r="F6515" i="1"/>
  <c r="G6515" i="1"/>
  <c r="H6515" i="1"/>
  <c r="A6516" i="1"/>
  <c r="B6516" i="1"/>
  <c r="C6516" i="1"/>
  <c r="D6516" i="1"/>
  <c r="E6516" i="1"/>
  <c r="F6516" i="1"/>
  <c r="G6516" i="1"/>
  <c r="H6516" i="1"/>
  <c r="A6517" i="1"/>
  <c r="B6517" i="1"/>
  <c r="C6517" i="1"/>
  <c r="D6517" i="1"/>
  <c r="E6517" i="1"/>
  <c r="F6517" i="1"/>
  <c r="G6517" i="1"/>
  <c r="H6517" i="1"/>
  <c r="A6518" i="1"/>
  <c r="B6518" i="1"/>
  <c r="C6518" i="1"/>
  <c r="D6518" i="1"/>
  <c r="E6518" i="1"/>
  <c r="F6518" i="1"/>
  <c r="G6518" i="1"/>
  <c r="H6518" i="1"/>
  <c r="A6519" i="1"/>
  <c r="B6519" i="1"/>
  <c r="C6519" i="1"/>
  <c r="D6519" i="1"/>
  <c r="E6519" i="1"/>
  <c r="F6519" i="1"/>
  <c r="G6519" i="1"/>
  <c r="H6519" i="1"/>
  <c r="A6520" i="1"/>
  <c r="B6520" i="1"/>
  <c r="C6520" i="1"/>
  <c r="D6520" i="1"/>
  <c r="E6520" i="1"/>
  <c r="F6520" i="1"/>
  <c r="G6520" i="1"/>
  <c r="H6520" i="1"/>
  <c r="A6521" i="1"/>
  <c r="B6521" i="1"/>
  <c r="C6521" i="1"/>
  <c r="D6521" i="1"/>
  <c r="E6521" i="1"/>
  <c r="F6521" i="1"/>
  <c r="G6521" i="1"/>
  <c r="H6521" i="1"/>
  <c r="A6522" i="1"/>
  <c r="B6522" i="1"/>
  <c r="C6522" i="1"/>
  <c r="D6522" i="1"/>
  <c r="E6522" i="1"/>
  <c r="F6522" i="1"/>
  <c r="G6522" i="1"/>
  <c r="H6522" i="1"/>
  <c r="A6523" i="1"/>
  <c r="B6523" i="1"/>
  <c r="C6523" i="1"/>
  <c r="D6523" i="1"/>
  <c r="E6523" i="1"/>
  <c r="F6523" i="1"/>
  <c r="G6523" i="1"/>
  <c r="H6523" i="1"/>
  <c r="A6524" i="1"/>
  <c r="B6524" i="1"/>
  <c r="C6524" i="1"/>
  <c r="D6524" i="1"/>
  <c r="E6524" i="1"/>
  <c r="F6524" i="1"/>
  <c r="G6524" i="1"/>
  <c r="H6524" i="1"/>
  <c r="A6525" i="1"/>
  <c r="B6525" i="1"/>
  <c r="C6525" i="1"/>
  <c r="D6525" i="1"/>
  <c r="E6525" i="1"/>
  <c r="F6525" i="1"/>
  <c r="G6525" i="1"/>
  <c r="H6525" i="1"/>
  <c r="A6526" i="1"/>
  <c r="B6526" i="1"/>
  <c r="C6526" i="1"/>
  <c r="D6526" i="1"/>
  <c r="E6526" i="1"/>
  <c r="F6526" i="1"/>
  <c r="G6526" i="1"/>
  <c r="H6526" i="1"/>
  <c r="A6527" i="1"/>
  <c r="B6527" i="1"/>
  <c r="C6527" i="1"/>
  <c r="D6527" i="1"/>
  <c r="E6527" i="1"/>
  <c r="F6527" i="1"/>
  <c r="G6527" i="1"/>
  <c r="H6527" i="1"/>
  <c r="A6528" i="1"/>
  <c r="B6528" i="1"/>
  <c r="C6528" i="1"/>
  <c r="D6528" i="1"/>
  <c r="E6528" i="1"/>
  <c r="F6528" i="1"/>
  <c r="G6528" i="1"/>
  <c r="H6528" i="1"/>
  <c r="A6529" i="1"/>
  <c r="B6529" i="1"/>
  <c r="C6529" i="1"/>
  <c r="D6529" i="1"/>
  <c r="E6529" i="1"/>
  <c r="F6529" i="1"/>
  <c r="G6529" i="1"/>
  <c r="H6529" i="1"/>
  <c r="A6530" i="1"/>
  <c r="B6530" i="1"/>
  <c r="C6530" i="1"/>
  <c r="D6530" i="1"/>
  <c r="E6530" i="1"/>
  <c r="F6530" i="1"/>
  <c r="G6530" i="1"/>
  <c r="H6530" i="1"/>
  <c r="A6531" i="1"/>
  <c r="B6531" i="1"/>
  <c r="C6531" i="1"/>
  <c r="D6531" i="1"/>
  <c r="E6531" i="1"/>
  <c r="F6531" i="1"/>
  <c r="G6531" i="1"/>
  <c r="H6531" i="1"/>
  <c r="A6532" i="1"/>
  <c r="B6532" i="1"/>
  <c r="C6532" i="1"/>
  <c r="D6532" i="1"/>
  <c r="E6532" i="1"/>
  <c r="F6532" i="1"/>
  <c r="G6532" i="1"/>
  <c r="H6532" i="1"/>
  <c r="A6533" i="1"/>
  <c r="B6533" i="1"/>
  <c r="C6533" i="1"/>
  <c r="D6533" i="1"/>
  <c r="E6533" i="1"/>
  <c r="F6533" i="1"/>
  <c r="G6533" i="1"/>
  <c r="H6533" i="1"/>
  <c r="A6534" i="1"/>
  <c r="B6534" i="1"/>
  <c r="C6534" i="1"/>
  <c r="D6534" i="1"/>
  <c r="E6534" i="1"/>
  <c r="F6534" i="1"/>
  <c r="G6534" i="1"/>
  <c r="H6534" i="1"/>
  <c r="A6535" i="1"/>
  <c r="B6535" i="1"/>
  <c r="C6535" i="1"/>
  <c r="D6535" i="1"/>
  <c r="E6535" i="1"/>
  <c r="F6535" i="1"/>
  <c r="G6535" i="1"/>
  <c r="H6535" i="1"/>
  <c r="A6536" i="1"/>
  <c r="B6536" i="1"/>
  <c r="C6536" i="1"/>
  <c r="D6536" i="1"/>
  <c r="E6536" i="1"/>
  <c r="F6536" i="1"/>
  <c r="G6536" i="1"/>
  <c r="H6536" i="1"/>
  <c r="A6537" i="1"/>
  <c r="B6537" i="1"/>
  <c r="C6537" i="1"/>
  <c r="D6537" i="1"/>
  <c r="E6537" i="1"/>
  <c r="F6537" i="1"/>
  <c r="G6537" i="1"/>
  <c r="H6537" i="1"/>
  <c r="A6538" i="1"/>
  <c r="B6538" i="1"/>
  <c r="C6538" i="1"/>
  <c r="D6538" i="1"/>
  <c r="E6538" i="1"/>
  <c r="F6538" i="1"/>
  <c r="G6538" i="1"/>
  <c r="H6538" i="1"/>
  <c r="A6539" i="1"/>
  <c r="B6539" i="1"/>
  <c r="C6539" i="1"/>
  <c r="D6539" i="1"/>
  <c r="E6539" i="1"/>
  <c r="F6539" i="1"/>
  <c r="G6539" i="1"/>
  <c r="H6539" i="1"/>
  <c r="A6540" i="1"/>
  <c r="B6540" i="1"/>
  <c r="C6540" i="1"/>
  <c r="D6540" i="1"/>
  <c r="E6540" i="1"/>
  <c r="F6540" i="1"/>
  <c r="G6540" i="1"/>
  <c r="H6540" i="1"/>
  <c r="A6541" i="1"/>
  <c r="B6541" i="1"/>
  <c r="C6541" i="1"/>
  <c r="D6541" i="1"/>
  <c r="E6541" i="1"/>
  <c r="F6541" i="1"/>
  <c r="G6541" i="1"/>
  <c r="H6541" i="1"/>
  <c r="A6542" i="1"/>
  <c r="B6542" i="1"/>
  <c r="C6542" i="1"/>
  <c r="D6542" i="1"/>
  <c r="E6542" i="1"/>
  <c r="F6542" i="1"/>
  <c r="G6542" i="1"/>
  <c r="H6542" i="1"/>
  <c r="A6543" i="1"/>
  <c r="B6543" i="1"/>
  <c r="C6543" i="1"/>
  <c r="D6543" i="1"/>
  <c r="E6543" i="1"/>
  <c r="F6543" i="1"/>
  <c r="G6543" i="1"/>
  <c r="H6543" i="1"/>
  <c r="A6544" i="1"/>
  <c r="B6544" i="1"/>
  <c r="C6544" i="1"/>
  <c r="D6544" i="1"/>
  <c r="E6544" i="1"/>
  <c r="F6544" i="1"/>
  <c r="G6544" i="1"/>
  <c r="H6544" i="1"/>
  <c r="A6545" i="1"/>
  <c r="B6545" i="1"/>
  <c r="C6545" i="1"/>
  <c r="D6545" i="1"/>
  <c r="E6545" i="1"/>
  <c r="F6545" i="1"/>
  <c r="G6545" i="1"/>
  <c r="H6545" i="1"/>
  <c r="A6546" i="1"/>
  <c r="B6546" i="1"/>
  <c r="C6546" i="1"/>
  <c r="D6546" i="1"/>
  <c r="E6546" i="1"/>
  <c r="F6546" i="1"/>
  <c r="G6546" i="1"/>
  <c r="H6546" i="1"/>
  <c r="A6547" i="1"/>
  <c r="B6547" i="1"/>
  <c r="C6547" i="1"/>
  <c r="D6547" i="1"/>
  <c r="E6547" i="1"/>
  <c r="F6547" i="1"/>
  <c r="G6547" i="1"/>
  <c r="H6547" i="1"/>
  <c r="A6548" i="1"/>
  <c r="B6548" i="1"/>
  <c r="C6548" i="1"/>
  <c r="D6548" i="1"/>
  <c r="E6548" i="1"/>
  <c r="F6548" i="1"/>
  <c r="G6548" i="1"/>
  <c r="H6548" i="1"/>
  <c r="A6549" i="1"/>
  <c r="B6549" i="1"/>
  <c r="C6549" i="1"/>
  <c r="D6549" i="1"/>
  <c r="E6549" i="1"/>
  <c r="F6549" i="1"/>
  <c r="G6549" i="1"/>
  <c r="H6549" i="1"/>
  <c r="A6550" i="1"/>
  <c r="B6550" i="1"/>
  <c r="C6550" i="1"/>
  <c r="D6550" i="1"/>
  <c r="E6550" i="1"/>
  <c r="F6550" i="1"/>
  <c r="G6550" i="1"/>
  <c r="H6550" i="1"/>
  <c r="A6551" i="1"/>
  <c r="B6551" i="1"/>
  <c r="C6551" i="1"/>
  <c r="D6551" i="1"/>
  <c r="E6551" i="1"/>
  <c r="F6551" i="1"/>
  <c r="G6551" i="1"/>
  <c r="H6551" i="1"/>
  <c r="A6552" i="1"/>
  <c r="B6552" i="1"/>
  <c r="C6552" i="1"/>
  <c r="D6552" i="1"/>
  <c r="E6552" i="1"/>
  <c r="F6552" i="1"/>
  <c r="G6552" i="1"/>
  <c r="H6552" i="1"/>
  <c r="A6553" i="1"/>
  <c r="B6553" i="1"/>
  <c r="C6553" i="1"/>
  <c r="D6553" i="1"/>
  <c r="E6553" i="1"/>
  <c r="F6553" i="1"/>
  <c r="G6553" i="1"/>
  <c r="H6553" i="1"/>
  <c r="A6554" i="1"/>
  <c r="B6554" i="1"/>
  <c r="C6554" i="1"/>
  <c r="D6554" i="1"/>
  <c r="E6554" i="1"/>
  <c r="F6554" i="1"/>
  <c r="G6554" i="1"/>
  <c r="H6554" i="1"/>
  <c r="A6555" i="1"/>
  <c r="B6555" i="1"/>
  <c r="C6555" i="1"/>
  <c r="D6555" i="1"/>
  <c r="E6555" i="1"/>
  <c r="F6555" i="1"/>
  <c r="G6555" i="1"/>
  <c r="H6555" i="1"/>
  <c r="A6556" i="1"/>
  <c r="B6556" i="1"/>
  <c r="C6556" i="1"/>
  <c r="D6556" i="1"/>
  <c r="E6556" i="1"/>
  <c r="F6556" i="1"/>
  <c r="G6556" i="1"/>
  <c r="H6556" i="1"/>
  <c r="A6557" i="1"/>
  <c r="B6557" i="1"/>
  <c r="C6557" i="1"/>
  <c r="D6557" i="1"/>
  <c r="E6557" i="1"/>
  <c r="F6557" i="1"/>
  <c r="G6557" i="1"/>
  <c r="H6557" i="1"/>
  <c r="A6558" i="1"/>
  <c r="B6558" i="1"/>
  <c r="C6558" i="1"/>
  <c r="D6558" i="1"/>
  <c r="E6558" i="1"/>
  <c r="F6558" i="1"/>
  <c r="G6558" i="1"/>
  <c r="H6558" i="1"/>
  <c r="A6559" i="1"/>
  <c r="B6559" i="1"/>
  <c r="C6559" i="1"/>
  <c r="D6559" i="1"/>
  <c r="E6559" i="1"/>
  <c r="F6559" i="1"/>
  <c r="G6559" i="1"/>
  <c r="H6559" i="1"/>
  <c r="A6560" i="1"/>
  <c r="B6560" i="1"/>
  <c r="C6560" i="1"/>
  <c r="D6560" i="1"/>
  <c r="E6560" i="1"/>
  <c r="F6560" i="1"/>
  <c r="G6560" i="1"/>
  <c r="H6560" i="1"/>
  <c r="A6561" i="1"/>
  <c r="B6561" i="1"/>
  <c r="C6561" i="1"/>
  <c r="D6561" i="1"/>
  <c r="E6561" i="1"/>
  <c r="F6561" i="1"/>
  <c r="G6561" i="1"/>
  <c r="H6561" i="1"/>
  <c r="A6562" i="1"/>
  <c r="B6562" i="1"/>
  <c r="C6562" i="1"/>
  <c r="D6562" i="1"/>
  <c r="E6562" i="1"/>
  <c r="F6562" i="1"/>
  <c r="G6562" i="1"/>
  <c r="H6562" i="1"/>
  <c r="A6563" i="1"/>
  <c r="B6563" i="1"/>
  <c r="C6563" i="1"/>
  <c r="D6563" i="1"/>
  <c r="E6563" i="1"/>
  <c r="F6563" i="1"/>
  <c r="G6563" i="1"/>
  <c r="H6563" i="1"/>
  <c r="A6564" i="1"/>
  <c r="B6564" i="1"/>
  <c r="C6564" i="1"/>
  <c r="D6564" i="1"/>
  <c r="E6564" i="1"/>
  <c r="F6564" i="1"/>
  <c r="G6564" i="1"/>
  <c r="H6564" i="1"/>
  <c r="A6565" i="1"/>
  <c r="B6565" i="1"/>
  <c r="C6565" i="1"/>
  <c r="D6565" i="1"/>
  <c r="E6565" i="1"/>
  <c r="F6565" i="1"/>
  <c r="G6565" i="1"/>
  <c r="H6565" i="1"/>
  <c r="A6566" i="1"/>
  <c r="B6566" i="1"/>
  <c r="C6566" i="1"/>
  <c r="D6566" i="1"/>
  <c r="E6566" i="1"/>
  <c r="F6566" i="1"/>
  <c r="G6566" i="1"/>
  <c r="H6566" i="1"/>
  <c r="A6567" i="1"/>
  <c r="B6567" i="1"/>
  <c r="C6567" i="1"/>
  <c r="D6567" i="1"/>
  <c r="E6567" i="1"/>
  <c r="F6567" i="1"/>
  <c r="G6567" i="1"/>
  <c r="H6567" i="1"/>
  <c r="A6568" i="1"/>
  <c r="B6568" i="1"/>
  <c r="C6568" i="1"/>
  <c r="D6568" i="1"/>
  <c r="E6568" i="1"/>
  <c r="F6568" i="1"/>
  <c r="G6568" i="1"/>
  <c r="H6568" i="1"/>
  <c r="A6569" i="1"/>
  <c r="B6569" i="1"/>
  <c r="C6569" i="1"/>
  <c r="D6569" i="1"/>
  <c r="E6569" i="1"/>
  <c r="F6569" i="1"/>
  <c r="G6569" i="1"/>
  <c r="H6569" i="1"/>
  <c r="A6570" i="1"/>
  <c r="B6570" i="1"/>
  <c r="C6570" i="1"/>
  <c r="D6570" i="1"/>
  <c r="E6570" i="1"/>
  <c r="F6570" i="1"/>
  <c r="G6570" i="1"/>
  <c r="H6570" i="1"/>
  <c r="A6571" i="1"/>
  <c r="B6571" i="1"/>
  <c r="C6571" i="1"/>
  <c r="D6571" i="1"/>
  <c r="E6571" i="1"/>
  <c r="F6571" i="1"/>
  <c r="G6571" i="1"/>
  <c r="H6571" i="1"/>
  <c r="A6572" i="1"/>
  <c r="B6572" i="1"/>
  <c r="C6572" i="1"/>
  <c r="D6572" i="1"/>
  <c r="E6572" i="1"/>
  <c r="F6572" i="1"/>
  <c r="G6572" i="1"/>
  <c r="H6572" i="1"/>
  <c r="A6573" i="1"/>
  <c r="B6573" i="1"/>
  <c r="C6573" i="1"/>
  <c r="D6573" i="1"/>
  <c r="E6573" i="1"/>
  <c r="F6573" i="1"/>
  <c r="G6573" i="1"/>
  <c r="H6573" i="1"/>
  <c r="A6574" i="1"/>
  <c r="B6574" i="1"/>
  <c r="C6574" i="1"/>
  <c r="D6574" i="1"/>
  <c r="E6574" i="1"/>
  <c r="F6574" i="1"/>
  <c r="G6574" i="1"/>
  <c r="H6574" i="1"/>
  <c r="A6575" i="1"/>
  <c r="B6575" i="1"/>
  <c r="C6575" i="1"/>
  <c r="D6575" i="1"/>
  <c r="E6575" i="1"/>
  <c r="F6575" i="1"/>
  <c r="G6575" i="1"/>
  <c r="H6575" i="1"/>
  <c r="A6576" i="1"/>
  <c r="B6576" i="1"/>
  <c r="C6576" i="1"/>
  <c r="D6576" i="1"/>
  <c r="E6576" i="1"/>
  <c r="F6576" i="1"/>
  <c r="G6576" i="1"/>
  <c r="H6576" i="1"/>
  <c r="A6577" i="1"/>
  <c r="B6577" i="1"/>
  <c r="C6577" i="1"/>
  <c r="D6577" i="1"/>
  <c r="E6577" i="1"/>
  <c r="F6577" i="1"/>
  <c r="G6577" i="1"/>
  <c r="H6577" i="1"/>
  <c r="A6578" i="1"/>
  <c r="B6578" i="1"/>
  <c r="C6578" i="1"/>
  <c r="D6578" i="1"/>
  <c r="E6578" i="1"/>
  <c r="F6578" i="1"/>
  <c r="G6578" i="1"/>
  <c r="H6578" i="1"/>
  <c r="A6579" i="1"/>
  <c r="B6579" i="1"/>
  <c r="C6579" i="1"/>
  <c r="D6579" i="1"/>
  <c r="E6579" i="1"/>
  <c r="F6579" i="1"/>
  <c r="G6579" i="1"/>
  <c r="H6579" i="1"/>
  <c r="A6580" i="1"/>
  <c r="B6580" i="1"/>
  <c r="C6580" i="1"/>
  <c r="D6580" i="1"/>
  <c r="E6580" i="1"/>
  <c r="F6580" i="1"/>
  <c r="G6580" i="1"/>
  <c r="H6580" i="1"/>
  <c r="A6581" i="1"/>
  <c r="B6581" i="1"/>
  <c r="C6581" i="1"/>
  <c r="D6581" i="1"/>
  <c r="E6581" i="1"/>
  <c r="F6581" i="1"/>
  <c r="G6581" i="1"/>
  <c r="H6581" i="1"/>
  <c r="A6582" i="1"/>
  <c r="B6582" i="1"/>
  <c r="C6582" i="1"/>
  <c r="D6582" i="1"/>
  <c r="E6582" i="1"/>
  <c r="F6582" i="1"/>
  <c r="G6582" i="1"/>
  <c r="H6582" i="1"/>
  <c r="A6583" i="1"/>
  <c r="B6583" i="1"/>
  <c r="C6583" i="1"/>
  <c r="D6583" i="1"/>
  <c r="E6583" i="1"/>
  <c r="F6583" i="1"/>
  <c r="G6583" i="1"/>
  <c r="H6583" i="1"/>
  <c r="A6584" i="1"/>
  <c r="B6584" i="1"/>
  <c r="C6584" i="1"/>
  <c r="D6584" i="1"/>
  <c r="E6584" i="1"/>
  <c r="F6584" i="1"/>
  <c r="G6584" i="1"/>
  <c r="H6584" i="1"/>
  <c r="A6585" i="1"/>
  <c r="B6585" i="1"/>
  <c r="C6585" i="1"/>
  <c r="D6585" i="1"/>
  <c r="E6585" i="1"/>
  <c r="F6585" i="1"/>
  <c r="G6585" i="1"/>
  <c r="H6585" i="1"/>
  <c r="A6586" i="1"/>
  <c r="B6586" i="1"/>
  <c r="C6586" i="1"/>
  <c r="D6586" i="1"/>
  <c r="E6586" i="1"/>
  <c r="F6586" i="1"/>
  <c r="G6586" i="1"/>
  <c r="H6586" i="1"/>
  <c r="A6587" i="1"/>
  <c r="B6587" i="1"/>
  <c r="C6587" i="1"/>
  <c r="D6587" i="1"/>
  <c r="E6587" i="1"/>
  <c r="F6587" i="1"/>
  <c r="G6587" i="1"/>
  <c r="H6587" i="1"/>
  <c r="A6588" i="1"/>
  <c r="B6588" i="1"/>
  <c r="C6588" i="1"/>
  <c r="D6588" i="1"/>
  <c r="E6588" i="1"/>
  <c r="F6588" i="1"/>
  <c r="G6588" i="1"/>
  <c r="H6588" i="1"/>
  <c r="A6589" i="1"/>
  <c r="B6589" i="1"/>
  <c r="C6589" i="1"/>
  <c r="D6589" i="1"/>
  <c r="E6589" i="1"/>
  <c r="F6589" i="1"/>
  <c r="G6589" i="1"/>
  <c r="H6589" i="1"/>
  <c r="A6590" i="1"/>
  <c r="B6590" i="1"/>
  <c r="C6590" i="1"/>
  <c r="D6590" i="1"/>
  <c r="E6590" i="1"/>
  <c r="F6590" i="1"/>
  <c r="G6590" i="1"/>
  <c r="H6590" i="1"/>
  <c r="A6591" i="1"/>
  <c r="B6591" i="1"/>
  <c r="C6591" i="1"/>
  <c r="D6591" i="1"/>
  <c r="E6591" i="1"/>
  <c r="F6591" i="1"/>
  <c r="G6591" i="1"/>
  <c r="H6591" i="1"/>
  <c r="A6592" i="1"/>
  <c r="B6592" i="1"/>
  <c r="C6592" i="1"/>
  <c r="D6592" i="1"/>
  <c r="E6592" i="1"/>
  <c r="F6592" i="1"/>
  <c r="G6592" i="1"/>
  <c r="H6592" i="1"/>
  <c r="A6593" i="1"/>
  <c r="B6593" i="1"/>
  <c r="C6593" i="1"/>
  <c r="D6593" i="1"/>
  <c r="E6593" i="1"/>
  <c r="F6593" i="1"/>
  <c r="G6593" i="1"/>
  <c r="H6593" i="1"/>
  <c r="A6594" i="1"/>
  <c r="B6594" i="1"/>
  <c r="C6594" i="1"/>
  <c r="D6594" i="1"/>
  <c r="E6594" i="1"/>
  <c r="F6594" i="1"/>
  <c r="G6594" i="1"/>
  <c r="H6594" i="1"/>
  <c r="A6595" i="1"/>
  <c r="B6595" i="1"/>
  <c r="C6595" i="1"/>
  <c r="D6595" i="1"/>
  <c r="E6595" i="1"/>
  <c r="F6595" i="1"/>
  <c r="G6595" i="1"/>
  <c r="H6595" i="1"/>
  <c r="A6596" i="1"/>
  <c r="B6596" i="1"/>
  <c r="C6596" i="1"/>
  <c r="D6596" i="1"/>
  <c r="E6596" i="1"/>
  <c r="F6596" i="1"/>
  <c r="G6596" i="1"/>
  <c r="H6596" i="1"/>
  <c r="A6597" i="1"/>
  <c r="B6597" i="1"/>
  <c r="C6597" i="1"/>
  <c r="D6597" i="1"/>
  <c r="E6597" i="1"/>
  <c r="F6597" i="1"/>
  <c r="G6597" i="1"/>
  <c r="H6597" i="1"/>
  <c r="A6598" i="1"/>
  <c r="B6598" i="1"/>
  <c r="C6598" i="1"/>
  <c r="D6598" i="1"/>
  <c r="E6598" i="1"/>
  <c r="F6598" i="1"/>
  <c r="G6598" i="1"/>
  <c r="H6598" i="1"/>
  <c r="A6599" i="1"/>
  <c r="B6599" i="1"/>
  <c r="C6599" i="1"/>
  <c r="D6599" i="1"/>
  <c r="E6599" i="1"/>
  <c r="F6599" i="1"/>
  <c r="G6599" i="1"/>
  <c r="H6599" i="1"/>
  <c r="A6600" i="1"/>
  <c r="B6600" i="1"/>
  <c r="C6600" i="1"/>
  <c r="D6600" i="1"/>
  <c r="E6600" i="1"/>
  <c r="F6600" i="1"/>
  <c r="G6600" i="1"/>
  <c r="H6600" i="1"/>
  <c r="A6601" i="1"/>
  <c r="B6601" i="1"/>
  <c r="C6601" i="1"/>
  <c r="D6601" i="1"/>
  <c r="E6601" i="1"/>
  <c r="F6601" i="1"/>
  <c r="G6601" i="1"/>
  <c r="H6601" i="1"/>
  <c r="A6602" i="1"/>
  <c r="B6602" i="1"/>
  <c r="C6602" i="1"/>
  <c r="D6602" i="1"/>
  <c r="E6602" i="1"/>
  <c r="F6602" i="1"/>
  <c r="G6602" i="1"/>
  <c r="H6602" i="1"/>
  <c r="A6603" i="1"/>
  <c r="B6603" i="1"/>
  <c r="C6603" i="1"/>
  <c r="D6603" i="1"/>
  <c r="E6603" i="1"/>
  <c r="F6603" i="1"/>
  <c r="G6603" i="1"/>
  <c r="H6603" i="1"/>
  <c r="A6604" i="1"/>
  <c r="B6604" i="1"/>
  <c r="C6604" i="1"/>
  <c r="D6604" i="1"/>
  <c r="E6604" i="1"/>
  <c r="F6604" i="1"/>
  <c r="G6604" i="1"/>
  <c r="H6604" i="1"/>
  <c r="A6605" i="1"/>
  <c r="B6605" i="1"/>
  <c r="C6605" i="1"/>
  <c r="D6605" i="1"/>
  <c r="E6605" i="1"/>
  <c r="F6605" i="1"/>
  <c r="G6605" i="1"/>
  <c r="H6605" i="1"/>
  <c r="A6606" i="1"/>
  <c r="B6606" i="1"/>
  <c r="C6606" i="1"/>
  <c r="D6606" i="1"/>
  <c r="E6606" i="1"/>
  <c r="F6606" i="1"/>
  <c r="G6606" i="1"/>
  <c r="H6606" i="1"/>
  <c r="A6607" i="1"/>
  <c r="B6607" i="1"/>
  <c r="C6607" i="1"/>
  <c r="D6607" i="1"/>
  <c r="E6607" i="1"/>
  <c r="F6607" i="1"/>
  <c r="G6607" i="1"/>
  <c r="H6607" i="1"/>
  <c r="A6608" i="1"/>
  <c r="B6608" i="1"/>
  <c r="C6608" i="1"/>
  <c r="D6608" i="1"/>
  <c r="E6608" i="1"/>
  <c r="F6608" i="1"/>
  <c r="G6608" i="1"/>
  <c r="H6608" i="1"/>
  <c r="A6609" i="1"/>
  <c r="B6609" i="1"/>
  <c r="C6609" i="1"/>
  <c r="D6609" i="1"/>
  <c r="E6609" i="1"/>
  <c r="F6609" i="1"/>
  <c r="G6609" i="1"/>
  <c r="H6609" i="1"/>
  <c r="A6610" i="1"/>
  <c r="B6610" i="1"/>
  <c r="C6610" i="1"/>
  <c r="D6610" i="1"/>
  <c r="E6610" i="1"/>
  <c r="F6610" i="1"/>
  <c r="G6610" i="1"/>
  <c r="H6610" i="1"/>
  <c r="A6611" i="1"/>
  <c r="B6611" i="1"/>
  <c r="C6611" i="1"/>
  <c r="D6611" i="1"/>
  <c r="E6611" i="1"/>
  <c r="F6611" i="1"/>
  <c r="G6611" i="1"/>
  <c r="H6611" i="1"/>
  <c r="A6612" i="1"/>
  <c r="B6612" i="1"/>
  <c r="C6612" i="1"/>
  <c r="D6612" i="1"/>
  <c r="E6612" i="1"/>
  <c r="F6612" i="1"/>
  <c r="G6612" i="1"/>
  <c r="H6612" i="1"/>
  <c r="A6613" i="1"/>
  <c r="B6613" i="1"/>
  <c r="C6613" i="1"/>
  <c r="D6613" i="1"/>
  <c r="E6613" i="1"/>
  <c r="F6613" i="1"/>
  <c r="G6613" i="1"/>
  <c r="H6613" i="1"/>
  <c r="A6614" i="1"/>
  <c r="B6614" i="1"/>
  <c r="C6614" i="1"/>
  <c r="D6614" i="1"/>
  <c r="E6614" i="1"/>
  <c r="F6614" i="1"/>
  <c r="G6614" i="1"/>
  <c r="H6614" i="1"/>
  <c r="A6615" i="1"/>
  <c r="B6615" i="1"/>
  <c r="C6615" i="1"/>
  <c r="D6615" i="1"/>
  <c r="E6615" i="1"/>
  <c r="F6615" i="1"/>
  <c r="G6615" i="1"/>
  <c r="H6615" i="1"/>
  <c r="A6616" i="1"/>
  <c r="B6616" i="1"/>
  <c r="C6616" i="1"/>
  <c r="D6616" i="1"/>
  <c r="E6616" i="1"/>
  <c r="F6616" i="1"/>
  <c r="G6616" i="1"/>
  <c r="H6616" i="1"/>
  <c r="A6617" i="1"/>
  <c r="B6617" i="1"/>
  <c r="C6617" i="1"/>
  <c r="D6617" i="1"/>
  <c r="E6617" i="1"/>
  <c r="F6617" i="1"/>
  <c r="G6617" i="1"/>
  <c r="H6617" i="1"/>
  <c r="A6618" i="1"/>
  <c r="B6618" i="1"/>
  <c r="C6618" i="1"/>
  <c r="D6618" i="1"/>
  <c r="E6618" i="1"/>
  <c r="F6618" i="1"/>
  <c r="G6618" i="1"/>
  <c r="H6618" i="1"/>
  <c r="A6619" i="1"/>
  <c r="B6619" i="1"/>
  <c r="C6619" i="1"/>
  <c r="D6619" i="1"/>
  <c r="E6619" i="1"/>
  <c r="F6619" i="1"/>
  <c r="G6619" i="1"/>
  <c r="H6619" i="1"/>
  <c r="A6620" i="1"/>
  <c r="B6620" i="1"/>
  <c r="C6620" i="1"/>
  <c r="D6620" i="1"/>
  <c r="E6620" i="1"/>
  <c r="F6620" i="1"/>
  <c r="G6620" i="1"/>
  <c r="H6620" i="1"/>
  <c r="A6621" i="1"/>
  <c r="B6621" i="1"/>
  <c r="C6621" i="1"/>
  <c r="D6621" i="1"/>
  <c r="E6621" i="1"/>
  <c r="F6621" i="1"/>
  <c r="G6621" i="1"/>
  <c r="H6621" i="1"/>
  <c r="A6622" i="1"/>
  <c r="B6622" i="1"/>
  <c r="C6622" i="1"/>
  <c r="D6622" i="1"/>
  <c r="E6622" i="1"/>
  <c r="F6622" i="1"/>
  <c r="G6622" i="1"/>
  <c r="H6622" i="1"/>
  <c r="A6623" i="1"/>
  <c r="B6623" i="1"/>
  <c r="C6623" i="1"/>
  <c r="D6623" i="1"/>
  <c r="E6623" i="1"/>
  <c r="F6623" i="1"/>
  <c r="G6623" i="1"/>
  <c r="H6623" i="1"/>
  <c r="A6624" i="1"/>
  <c r="B6624" i="1"/>
  <c r="C6624" i="1"/>
  <c r="D6624" i="1"/>
  <c r="E6624" i="1"/>
  <c r="F6624" i="1"/>
  <c r="G6624" i="1"/>
  <c r="H6624" i="1"/>
  <c r="A6625" i="1"/>
  <c r="B6625" i="1"/>
  <c r="C6625" i="1"/>
  <c r="D6625" i="1"/>
  <c r="E6625" i="1"/>
  <c r="F6625" i="1"/>
  <c r="G6625" i="1"/>
  <c r="H6625" i="1"/>
  <c r="A6626" i="1"/>
  <c r="B6626" i="1"/>
  <c r="C6626" i="1"/>
  <c r="D6626" i="1"/>
  <c r="E6626" i="1"/>
  <c r="F6626" i="1"/>
  <c r="G6626" i="1"/>
  <c r="H6626" i="1"/>
  <c r="A6627" i="1"/>
  <c r="B6627" i="1"/>
  <c r="C6627" i="1"/>
  <c r="D6627" i="1"/>
  <c r="E6627" i="1"/>
  <c r="F6627" i="1"/>
  <c r="G6627" i="1"/>
  <c r="H6627" i="1"/>
  <c r="A6628" i="1"/>
  <c r="B6628" i="1"/>
  <c r="C6628" i="1"/>
  <c r="D6628" i="1"/>
  <c r="E6628" i="1"/>
  <c r="F6628" i="1"/>
  <c r="G6628" i="1"/>
  <c r="H6628" i="1"/>
  <c r="A6629" i="1"/>
  <c r="B6629" i="1"/>
  <c r="C6629" i="1"/>
  <c r="D6629" i="1"/>
  <c r="E6629" i="1"/>
  <c r="F6629" i="1"/>
  <c r="G6629" i="1"/>
  <c r="H6629" i="1"/>
  <c r="A6630" i="1"/>
  <c r="B6630" i="1"/>
  <c r="C6630" i="1"/>
  <c r="D6630" i="1"/>
  <c r="E6630" i="1"/>
  <c r="F6630" i="1"/>
  <c r="G6630" i="1"/>
  <c r="H6630" i="1"/>
  <c r="A6631" i="1"/>
  <c r="B6631" i="1"/>
  <c r="C6631" i="1"/>
  <c r="D6631" i="1"/>
  <c r="E6631" i="1"/>
  <c r="F6631" i="1"/>
  <c r="G6631" i="1"/>
  <c r="H6631" i="1"/>
  <c r="A6632" i="1"/>
  <c r="B6632" i="1"/>
  <c r="C6632" i="1"/>
  <c r="D6632" i="1"/>
  <c r="E6632" i="1"/>
  <c r="F6632" i="1"/>
  <c r="G6632" i="1"/>
  <c r="H6632" i="1"/>
  <c r="A6633" i="1"/>
  <c r="B6633" i="1"/>
  <c r="C6633" i="1"/>
  <c r="D6633" i="1"/>
  <c r="E6633" i="1"/>
  <c r="F6633" i="1"/>
  <c r="G6633" i="1"/>
  <c r="H6633" i="1"/>
  <c r="A6634" i="1"/>
  <c r="B6634" i="1"/>
  <c r="C6634" i="1"/>
  <c r="D6634" i="1"/>
  <c r="E6634" i="1"/>
  <c r="F6634" i="1"/>
  <c r="G6634" i="1"/>
  <c r="H6634" i="1"/>
  <c r="A6635" i="1"/>
  <c r="B6635" i="1"/>
  <c r="C6635" i="1"/>
  <c r="D6635" i="1"/>
  <c r="E6635" i="1"/>
  <c r="F6635" i="1"/>
  <c r="G6635" i="1"/>
  <c r="H6635" i="1"/>
  <c r="A6636" i="1"/>
  <c r="B6636" i="1"/>
  <c r="C6636" i="1"/>
  <c r="D6636" i="1"/>
  <c r="E6636" i="1"/>
  <c r="F6636" i="1"/>
  <c r="G6636" i="1"/>
  <c r="H6636" i="1"/>
  <c r="A6637" i="1"/>
  <c r="B6637" i="1"/>
  <c r="C6637" i="1"/>
  <c r="D6637" i="1"/>
  <c r="E6637" i="1"/>
  <c r="F6637" i="1"/>
  <c r="G6637" i="1"/>
  <c r="H6637" i="1"/>
  <c r="A6638" i="1"/>
  <c r="B6638" i="1"/>
  <c r="C6638" i="1"/>
  <c r="D6638" i="1"/>
  <c r="E6638" i="1"/>
  <c r="F6638" i="1"/>
  <c r="G6638" i="1"/>
  <c r="H6638" i="1"/>
  <c r="A6639" i="1"/>
  <c r="B6639" i="1"/>
  <c r="C6639" i="1"/>
  <c r="D6639" i="1"/>
  <c r="E6639" i="1"/>
  <c r="F6639" i="1"/>
  <c r="G6639" i="1"/>
  <c r="H6639" i="1"/>
  <c r="A6640" i="1"/>
  <c r="B6640" i="1"/>
  <c r="C6640" i="1"/>
  <c r="D6640" i="1"/>
  <c r="E6640" i="1"/>
  <c r="F6640" i="1"/>
  <c r="G6640" i="1"/>
  <c r="H6640" i="1"/>
  <c r="A6641" i="1"/>
  <c r="B6641" i="1"/>
  <c r="C6641" i="1"/>
  <c r="D6641" i="1"/>
  <c r="E6641" i="1"/>
  <c r="F6641" i="1"/>
  <c r="G6641" i="1"/>
  <c r="H6641" i="1"/>
  <c r="A6642" i="1"/>
  <c r="B6642" i="1"/>
  <c r="C6642" i="1"/>
  <c r="D6642" i="1"/>
  <c r="E6642" i="1"/>
  <c r="F6642" i="1"/>
  <c r="G6642" i="1"/>
  <c r="H6642" i="1"/>
  <c r="A6643" i="1"/>
  <c r="B6643" i="1"/>
  <c r="C6643" i="1"/>
  <c r="D6643" i="1"/>
  <c r="E6643" i="1"/>
  <c r="F6643" i="1"/>
  <c r="G6643" i="1"/>
  <c r="H6643" i="1"/>
  <c r="A6644" i="1"/>
  <c r="B6644" i="1"/>
  <c r="C6644" i="1"/>
  <c r="D6644" i="1"/>
  <c r="E6644" i="1"/>
  <c r="F6644" i="1"/>
  <c r="G6644" i="1"/>
  <c r="H6644" i="1"/>
  <c r="A6645" i="1"/>
  <c r="B6645" i="1"/>
  <c r="C6645" i="1"/>
  <c r="D6645" i="1"/>
  <c r="E6645" i="1"/>
  <c r="F6645" i="1"/>
  <c r="G6645" i="1"/>
  <c r="H6645" i="1"/>
  <c r="A6646" i="1"/>
  <c r="B6646" i="1"/>
  <c r="C6646" i="1"/>
  <c r="D6646" i="1"/>
  <c r="E6646" i="1"/>
  <c r="F6646" i="1"/>
  <c r="G6646" i="1"/>
  <c r="H6646" i="1"/>
  <c r="A6647" i="1"/>
  <c r="B6647" i="1"/>
  <c r="C6647" i="1"/>
  <c r="D6647" i="1"/>
  <c r="E6647" i="1"/>
  <c r="F6647" i="1"/>
  <c r="G6647" i="1"/>
  <c r="H6647" i="1"/>
  <c r="A6648" i="1"/>
  <c r="B6648" i="1"/>
  <c r="C6648" i="1"/>
  <c r="D6648" i="1"/>
  <c r="E6648" i="1"/>
  <c r="F6648" i="1"/>
  <c r="G6648" i="1"/>
  <c r="H6648" i="1"/>
  <c r="A6649" i="1"/>
  <c r="B6649" i="1"/>
  <c r="C6649" i="1"/>
  <c r="D6649" i="1"/>
  <c r="E6649" i="1"/>
  <c r="F6649" i="1"/>
  <c r="G6649" i="1"/>
  <c r="H6649" i="1"/>
  <c r="A6650" i="1"/>
  <c r="B6650" i="1"/>
  <c r="C6650" i="1"/>
  <c r="D6650" i="1"/>
  <c r="E6650" i="1"/>
  <c r="F6650" i="1"/>
  <c r="G6650" i="1"/>
  <c r="H6650" i="1"/>
  <c r="A6651" i="1"/>
  <c r="B6651" i="1"/>
  <c r="C6651" i="1"/>
  <c r="D6651" i="1"/>
  <c r="E6651" i="1"/>
  <c r="F6651" i="1"/>
  <c r="G6651" i="1"/>
  <c r="H6651" i="1"/>
  <c r="A6652" i="1"/>
  <c r="B6652" i="1"/>
  <c r="C6652" i="1"/>
  <c r="D6652" i="1"/>
  <c r="E6652" i="1"/>
  <c r="F6652" i="1"/>
  <c r="G6652" i="1"/>
  <c r="H6652" i="1"/>
  <c r="A6653" i="1"/>
  <c r="B6653" i="1"/>
  <c r="C6653" i="1"/>
  <c r="D6653" i="1"/>
  <c r="E6653" i="1"/>
  <c r="F6653" i="1"/>
  <c r="G6653" i="1"/>
  <c r="H6653" i="1"/>
  <c r="A6654" i="1"/>
  <c r="B6654" i="1"/>
  <c r="C6654" i="1"/>
  <c r="D6654" i="1"/>
  <c r="E6654" i="1"/>
  <c r="F6654" i="1"/>
  <c r="G6654" i="1"/>
  <c r="H6654" i="1"/>
  <c r="A6655" i="1"/>
  <c r="B6655" i="1"/>
  <c r="C6655" i="1"/>
  <c r="D6655" i="1"/>
  <c r="E6655" i="1"/>
  <c r="F6655" i="1"/>
  <c r="G6655" i="1"/>
  <c r="H6655" i="1"/>
  <c r="A6656" i="1"/>
  <c r="B6656" i="1"/>
  <c r="C6656" i="1"/>
  <c r="D6656" i="1"/>
  <c r="E6656" i="1"/>
  <c r="F6656" i="1"/>
  <c r="G6656" i="1"/>
  <c r="H6656" i="1"/>
  <c r="A6657" i="1"/>
  <c r="B6657" i="1"/>
  <c r="C6657" i="1"/>
  <c r="D6657" i="1"/>
  <c r="E6657" i="1"/>
  <c r="F6657" i="1"/>
  <c r="G6657" i="1"/>
  <c r="H6657" i="1"/>
  <c r="A6658" i="1"/>
  <c r="B6658" i="1"/>
  <c r="C6658" i="1"/>
  <c r="D6658" i="1"/>
  <c r="E6658" i="1"/>
  <c r="F6658" i="1"/>
  <c r="G6658" i="1"/>
  <c r="H6658" i="1"/>
  <c r="A6659" i="1"/>
  <c r="B6659" i="1"/>
  <c r="C6659" i="1"/>
  <c r="D6659" i="1"/>
  <c r="E6659" i="1"/>
  <c r="F6659" i="1"/>
  <c r="G6659" i="1"/>
  <c r="H6659" i="1"/>
  <c r="A6660" i="1"/>
  <c r="B6660" i="1"/>
  <c r="C6660" i="1"/>
  <c r="D6660" i="1"/>
  <c r="E6660" i="1"/>
  <c r="F6660" i="1"/>
  <c r="G6660" i="1"/>
  <c r="H6660" i="1"/>
  <c r="A6661" i="1"/>
  <c r="B6661" i="1"/>
  <c r="C6661" i="1"/>
  <c r="D6661" i="1"/>
  <c r="E6661" i="1"/>
  <c r="F6661" i="1"/>
  <c r="G6661" i="1"/>
  <c r="H6661" i="1"/>
  <c r="A6662" i="1"/>
  <c r="B6662" i="1"/>
  <c r="C6662" i="1"/>
  <c r="D6662" i="1"/>
  <c r="E6662" i="1"/>
  <c r="F6662" i="1"/>
  <c r="G6662" i="1"/>
  <c r="H6662" i="1"/>
  <c r="A6663" i="1"/>
  <c r="B6663" i="1"/>
  <c r="C6663" i="1"/>
  <c r="D6663" i="1"/>
  <c r="E6663" i="1"/>
  <c r="F6663" i="1"/>
  <c r="G6663" i="1"/>
  <c r="H6663" i="1"/>
  <c r="A6664" i="1"/>
  <c r="B6664" i="1"/>
  <c r="C6664" i="1"/>
  <c r="D6664" i="1"/>
  <c r="E6664" i="1"/>
  <c r="F6664" i="1"/>
  <c r="G6664" i="1"/>
  <c r="H6664" i="1"/>
  <c r="A6665" i="1"/>
  <c r="B6665" i="1"/>
  <c r="C6665" i="1"/>
  <c r="D6665" i="1"/>
  <c r="E6665" i="1"/>
  <c r="F6665" i="1"/>
  <c r="G6665" i="1"/>
  <c r="H6665" i="1"/>
  <c r="A6666" i="1"/>
  <c r="B6666" i="1"/>
  <c r="C6666" i="1"/>
  <c r="D6666" i="1"/>
  <c r="E6666" i="1"/>
  <c r="F6666" i="1"/>
  <c r="G6666" i="1"/>
  <c r="H6666" i="1"/>
  <c r="A6667" i="1"/>
  <c r="B6667" i="1"/>
  <c r="C6667" i="1"/>
  <c r="D6667" i="1"/>
  <c r="E6667" i="1"/>
  <c r="F6667" i="1"/>
  <c r="G6667" i="1"/>
  <c r="H6667" i="1"/>
  <c r="A6668" i="1"/>
  <c r="B6668" i="1"/>
  <c r="C6668" i="1"/>
  <c r="D6668" i="1"/>
  <c r="E6668" i="1"/>
  <c r="F6668" i="1"/>
  <c r="G6668" i="1"/>
  <c r="H6668" i="1"/>
  <c r="A6669" i="1"/>
  <c r="B6669" i="1"/>
  <c r="C6669" i="1"/>
  <c r="D6669" i="1"/>
  <c r="E6669" i="1"/>
  <c r="F6669" i="1"/>
  <c r="G6669" i="1"/>
  <c r="H6669" i="1"/>
  <c r="A6670" i="1"/>
  <c r="B6670" i="1"/>
  <c r="C6670" i="1"/>
  <c r="D6670" i="1"/>
  <c r="E6670" i="1"/>
  <c r="F6670" i="1"/>
  <c r="G6670" i="1"/>
  <c r="H6670" i="1"/>
  <c r="A6671" i="1"/>
  <c r="B6671" i="1"/>
  <c r="C6671" i="1"/>
  <c r="D6671" i="1"/>
  <c r="E6671" i="1"/>
  <c r="F6671" i="1"/>
  <c r="G6671" i="1"/>
  <c r="H6671" i="1"/>
  <c r="A6672" i="1"/>
  <c r="B6672" i="1"/>
  <c r="C6672" i="1"/>
  <c r="D6672" i="1"/>
  <c r="E6672" i="1"/>
  <c r="F6672" i="1"/>
  <c r="G6672" i="1"/>
  <c r="H6672" i="1"/>
  <c r="A6673" i="1"/>
  <c r="B6673" i="1"/>
  <c r="C6673" i="1"/>
  <c r="D6673" i="1"/>
  <c r="E6673" i="1"/>
  <c r="F6673" i="1"/>
  <c r="G6673" i="1"/>
  <c r="H6673" i="1"/>
  <c r="A6674" i="1"/>
  <c r="B6674" i="1"/>
  <c r="C6674" i="1"/>
  <c r="D6674" i="1"/>
  <c r="E6674" i="1"/>
  <c r="F6674" i="1"/>
  <c r="G6674" i="1"/>
  <c r="H6674" i="1"/>
  <c r="A6675" i="1"/>
  <c r="B6675" i="1"/>
  <c r="C6675" i="1"/>
  <c r="D6675" i="1"/>
  <c r="E6675" i="1"/>
  <c r="F6675" i="1"/>
  <c r="G6675" i="1"/>
  <c r="H6675" i="1"/>
  <c r="A6676" i="1"/>
  <c r="B6676" i="1"/>
  <c r="C6676" i="1"/>
  <c r="D6676" i="1"/>
  <c r="E6676" i="1"/>
  <c r="F6676" i="1"/>
  <c r="G6676" i="1"/>
  <c r="H6676" i="1"/>
  <c r="A6677" i="1"/>
  <c r="B6677" i="1"/>
  <c r="C6677" i="1"/>
  <c r="D6677" i="1"/>
  <c r="E6677" i="1"/>
  <c r="F6677" i="1"/>
  <c r="G6677" i="1"/>
  <c r="H6677" i="1"/>
  <c r="A6678" i="1"/>
  <c r="B6678" i="1"/>
  <c r="C6678" i="1"/>
  <c r="D6678" i="1"/>
  <c r="E6678" i="1"/>
  <c r="F6678" i="1"/>
  <c r="G6678" i="1"/>
  <c r="H6678" i="1"/>
  <c r="A6679" i="1"/>
  <c r="B6679" i="1"/>
  <c r="C6679" i="1"/>
  <c r="D6679" i="1"/>
  <c r="E6679" i="1"/>
  <c r="F6679" i="1"/>
  <c r="G6679" i="1"/>
  <c r="H6679" i="1"/>
  <c r="A6680" i="1"/>
  <c r="B6680" i="1"/>
  <c r="C6680" i="1"/>
  <c r="D6680" i="1"/>
  <c r="E6680" i="1"/>
  <c r="F6680" i="1"/>
  <c r="G6680" i="1"/>
  <c r="H6680" i="1"/>
  <c r="A6681" i="1"/>
  <c r="B6681" i="1"/>
  <c r="C6681" i="1"/>
  <c r="D6681" i="1"/>
  <c r="E6681" i="1"/>
  <c r="F6681" i="1"/>
  <c r="G6681" i="1"/>
  <c r="H6681" i="1"/>
  <c r="A6682" i="1"/>
  <c r="B6682" i="1"/>
  <c r="C6682" i="1"/>
  <c r="D6682" i="1"/>
  <c r="E6682" i="1"/>
  <c r="F6682" i="1"/>
  <c r="G6682" i="1"/>
  <c r="H6682" i="1"/>
  <c r="A6683" i="1"/>
  <c r="B6683" i="1"/>
  <c r="C6683" i="1"/>
  <c r="D6683" i="1"/>
  <c r="E6683" i="1"/>
  <c r="F6683" i="1"/>
  <c r="G6683" i="1"/>
  <c r="H6683" i="1"/>
  <c r="A6684" i="1"/>
  <c r="B6684" i="1"/>
  <c r="C6684" i="1"/>
  <c r="D6684" i="1"/>
  <c r="E6684" i="1"/>
  <c r="F6684" i="1"/>
  <c r="G6684" i="1"/>
  <c r="H6684" i="1"/>
  <c r="A6685" i="1"/>
  <c r="B6685" i="1"/>
  <c r="C6685" i="1"/>
  <c r="D6685" i="1"/>
  <c r="E6685" i="1"/>
  <c r="F6685" i="1"/>
  <c r="G6685" i="1"/>
  <c r="H6685" i="1"/>
  <c r="A6686" i="1"/>
  <c r="B6686" i="1"/>
  <c r="C6686" i="1"/>
  <c r="D6686" i="1"/>
  <c r="E6686" i="1"/>
  <c r="F6686" i="1"/>
  <c r="G6686" i="1"/>
  <c r="H6686" i="1"/>
  <c r="A6687" i="1"/>
  <c r="B6687" i="1"/>
  <c r="C6687" i="1"/>
  <c r="D6687" i="1"/>
  <c r="E6687" i="1"/>
  <c r="F6687" i="1"/>
  <c r="G6687" i="1"/>
  <c r="H6687" i="1"/>
  <c r="A6688" i="1"/>
  <c r="B6688" i="1"/>
  <c r="C6688" i="1"/>
  <c r="D6688" i="1"/>
  <c r="E6688" i="1"/>
  <c r="F6688" i="1"/>
  <c r="G6688" i="1"/>
  <c r="H6688" i="1"/>
  <c r="A6689" i="1"/>
  <c r="B6689" i="1"/>
  <c r="C6689" i="1"/>
  <c r="D6689" i="1"/>
  <c r="E6689" i="1"/>
  <c r="F6689" i="1"/>
  <c r="G6689" i="1"/>
  <c r="H6689" i="1"/>
  <c r="A6690" i="1"/>
  <c r="B6690" i="1"/>
  <c r="C6690" i="1"/>
  <c r="D6690" i="1"/>
  <c r="E6690" i="1"/>
  <c r="F6690" i="1"/>
  <c r="G6690" i="1"/>
  <c r="H6690" i="1"/>
  <c r="A6691" i="1"/>
  <c r="B6691" i="1"/>
  <c r="C6691" i="1"/>
  <c r="D6691" i="1"/>
  <c r="E6691" i="1"/>
  <c r="F6691" i="1"/>
  <c r="G6691" i="1"/>
  <c r="H6691" i="1"/>
  <c r="A6692" i="1"/>
  <c r="B6692" i="1"/>
  <c r="C6692" i="1"/>
  <c r="D6692" i="1"/>
  <c r="E6692" i="1"/>
  <c r="F6692" i="1"/>
  <c r="G6692" i="1"/>
  <c r="H6692" i="1"/>
  <c r="A6693" i="1"/>
  <c r="B6693" i="1"/>
  <c r="C6693" i="1"/>
  <c r="D6693" i="1"/>
  <c r="E6693" i="1"/>
  <c r="F6693" i="1"/>
  <c r="G6693" i="1"/>
  <c r="H6693" i="1"/>
  <c r="A6694" i="1"/>
  <c r="B6694" i="1"/>
  <c r="C6694" i="1"/>
  <c r="D6694" i="1"/>
  <c r="E6694" i="1"/>
  <c r="F6694" i="1"/>
  <c r="G6694" i="1"/>
  <c r="H6694" i="1"/>
  <c r="A6695" i="1"/>
  <c r="B6695" i="1"/>
  <c r="C6695" i="1"/>
  <c r="D6695" i="1"/>
  <c r="E6695" i="1"/>
  <c r="F6695" i="1"/>
  <c r="G6695" i="1"/>
  <c r="H6695" i="1"/>
  <c r="A6696" i="1"/>
  <c r="B6696" i="1"/>
  <c r="C6696" i="1"/>
  <c r="D6696" i="1"/>
  <c r="E6696" i="1"/>
  <c r="F6696" i="1"/>
  <c r="G6696" i="1"/>
  <c r="H6696" i="1"/>
  <c r="A6697" i="1"/>
  <c r="B6697" i="1"/>
  <c r="C6697" i="1"/>
  <c r="D6697" i="1"/>
  <c r="E6697" i="1"/>
  <c r="F6697" i="1"/>
  <c r="G6697" i="1"/>
  <c r="H6697" i="1"/>
  <c r="A6698" i="1"/>
  <c r="B6698" i="1"/>
  <c r="C6698" i="1"/>
  <c r="D6698" i="1"/>
  <c r="E6698" i="1"/>
  <c r="F6698" i="1"/>
  <c r="G6698" i="1"/>
  <c r="H6698" i="1"/>
  <c r="A6699" i="1"/>
  <c r="B6699" i="1"/>
  <c r="C6699" i="1"/>
  <c r="D6699" i="1"/>
  <c r="E6699" i="1"/>
  <c r="F6699" i="1"/>
  <c r="G6699" i="1"/>
  <c r="H6699" i="1"/>
  <c r="A6700" i="1"/>
  <c r="B6700" i="1"/>
  <c r="C6700" i="1"/>
  <c r="D6700" i="1"/>
  <c r="E6700" i="1"/>
  <c r="F6700" i="1"/>
  <c r="G6700" i="1"/>
  <c r="H6700" i="1"/>
  <c r="A6701" i="1"/>
  <c r="B6701" i="1"/>
  <c r="C6701" i="1"/>
  <c r="D6701" i="1"/>
  <c r="E6701" i="1"/>
  <c r="F6701" i="1"/>
  <c r="G6701" i="1"/>
  <c r="H6701" i="1"/>
  <c r="A6702" i="1"/>
  <c r="B6702" i="1"/>
  <c r="C6702" i="1"/>
  <c r="D6702" i="1"/>
  <c r="E6702" i="1"/>
  <c r="F6702" i="1"/>
  <c r="G6702" i="1"/>
  <c r="H6702" i="1"/>
  <c r="A6703" i="1"/>
  <c r="B6703" i="1"/>
  <c r="C6703" i="1"/>
  <c r="D6703" i="1"/>
  <c r="E6703" i="1"/>
  <c r="F6703" i="1"/>
  <c r="G6703" i="1"/>
  <c r="H6703" i="1"/>
  <c r="A6704" i="1"/>
  <c r="B6704" i="1"/>
  <c r="C6704" i="1"/>
  <c r="D6704" i="1"/>
  <c r="E6704" i="1"/>
  <c r="F6704" i="1"/>
  <c r="G6704" i="1"/>
  <c r="H6704" i="1"/>
  <c r="A6705" i="1"/>
  <c r="B6705" i="1"/>
  <c r="C6705" i="1"/>
  <c r="D6705" i="1"/>
  <c r="E6705" i="1"/>
  <c r="F6705" i="1"/>
  <c r="G6705" i="1"/>
  <c r="H6705" i="1"/>
  <c r="A6706" i="1"/>
  <c r="B6706" i="1"/>
  <c r="C6706" i="1"/>
  <c r="D6706" i="1"/>
  <c r="E6706" i="1"/>
  <c r="F6706" i="1"/>
  <c r="G6706" i="1"/>
  <c r="H6706" i="1"/>
  <c r="A6707" i="1"/>
  <c r="B6707" i="1"/>
  <c r="C6707" i="1"/>
  <c r="D6707" i="1"/>
  <c r="E6707" i="1"/>
  <c r="F6707" i="1"/>
  <c r="G6707" i="1"/>
  <c r="H6707" i="1"/>
  <c r="A6708" i="1"/>
  <c r="B6708" i="1"/>
  <c r="C6708" i="1"/>
  <c r="D6708" i="1"/>
  <c r="E6708" i="1"/>
  <c r="F6708" i="1"/>
  <c r="G6708" i="1"/>
  <c r="H6708" i="1"/>
  <c r="A6709" i="1"/>
  <c r="B6709" i="1"/>
  <c r="C6709" i="1"/>
  <c r="D6709" i="1"/>
  <c r="E6709" i="1"/>
  <c r="F6709" i="1"/>
  <c r="G6709" i="1"/>
  <c r="H6709" i="1"/>
  <c r="A6710" i="1"/>
  <c r="B6710" i="1"/>
  <c r="C6710" i="1"/>
  <c r="D6710" i="1"/>
  <c r="E6710" i="1"/>
  <c r="F6710" i="1"/>
  <c r="G6710" i="1"/>
  <c r="H6710" i="1"/>
  <c r="A6711" i="1"/>
  <c r="B6711" i="1"/>
  <c r="C6711" i="1"/>
  <c r="D6711" i="1"/>
  <c r="E6711" i="1"/>
  <c r="F6711" i="1"/>
  <c r="G6711" i="1"/>
  <c r="H6711" i="1"/>
  <c r="A6712" i="1"/>
  <c r="B6712" i="1"/>
  <c r="C6712" i="1"/>
  <c r="D6712" i="1"/>
  <c r="E6712" i="1"/>
  <c r="F6712" i="1"/>
  <c r="G6712" i="1"/>
  <c r="H6712" i="1"/>
  <c r="A6713" i="1"/>
  <c r="B6713" i="1"/>
  <c r="C6713" i="1"/>
  <c r="D6713" i="1"/>
  <c r="E6713" i="1"/>
  <c r="F6713" i="1"/>
  <c r="G6713" i="1"/>
  <c r="H6713" i="1"/>
  <c r="A6714" i="1"/>
  <c r="B6714" i="1"/>
  <c r="C6714" i="1"/>
  <c r="D6714" i="1"/>
  <c r="E6714" i="1"/>
  <c r="F6714" i="1"/>
  <c r="G6714" i="1"/>
  <c r="H6714" i="1"/>
  <c r="A6715" i="1"/>
  <c r="B6715" i="1"/>
  <c r="C6715" i="1"/>
  <c r="D6715" i="1"/>
  <c r="E6715" i="1"/>
  <c r="F6715" i="1"/>
  <c r="G6715" i="1"/>
  <c r="H6715" i="1"/>
  <c r="A6716" i="1"/>
  <c r="B6716" i="1"/>
  <c r="C6716" i="1"/>
  <c r="D6716" i="1"/>
  <c r="E6716" i="1"/>
  <c r="F6716" i="1"/>
  <c r="G6716" i="1"/>
  <c r="H6716" i="1"/>
  <c r="A6717" i="1"/>
  <c r="B6717" i="1"/>
  <c r="C6717" i="1"/>
  <c r="D6717" i="1"/>
  <c r="E6717" i="1"/>
  <c r="F6717" i="1"/>
  <c r="G6717" i="1"/>
  <c r="H6717" i="1"/>
  <c r="A6718" i="1"/>
  <c r="B6718" i="1"/>
  <c r="C6718" i="1"/>
  <c r="D6718" i="1"/>
  <c r="E6718" i="1"/>
  <c r="F6718" i="1"/>
  <c r="G6718" i="1"/>
  <c r="H6718" i="1"/>
  <c r="A6719" i="1"/>
  <c r="B6719" i="1"/>
  <c r="C6719" i="1"/>
  <c r="D6719" i="1"/>
  <c r="E6719" i="1"/>
  <c r="F6719" i="1"/>
  <c r="G6719" i="1"/>
  <c r="H6719" i="1"/>
  <c r="A6720" i="1"/>
  <c r="B6720" i="1"/>
  <c r="C6720" i="1"/>
  <c r="D6720" i="1"/>
  <c r="E6720" i="1"/>
  <c r="F6720" i="1"/>
  <c r="G6720" i="1"/>
  <c r="H6720" i="1"/>
  <c r="A6721" i="1"/>
  <c r="B6721" i="1"/>
  <c r="C6721" i="1"/>
  <c r="D6721" i="1"/>
  <c r="E6721" i="1"/>
  <c r="F6721" i="1"/>
  <c r="G6721" i="1"/>
  <c r="H6721" i="1"/>
  <c r="A6722" i="1"/>
  <c r="B6722" i="1"/>
  <c r="C6722" i="1"/>
  <c r="D6722" i="1"/>
  <c r="E6722" i="1"/>
  <c r="F6722" i="1"/>
  <c r="G6722" i="1"/>
  <c r="H6722" i="1"/>
  <c r="A6723" i="1"/>
  <c r="B6723" i="1"/>
  <c r="C6723" i="1"/>
  <c r="D6723" i="1"/>
  <c r="E6723" i="1"/>
  <c r="F6723" i="1"/>
  <c r="G6723" i="1"/>
  <c r="H6723" i="1"/>
  <c r="A6724" i="1"/>
  <c r="B6724" i="1"/>
  <c r="C6724" i="1"/>
  <c r="D6724" i="1"/>
  <c r="E6724" i="1"/>
  <c r="F6724" i="1"/>
  <c r="G6724" i="1"/>
  <c r="H6724" i="1"/>
  <c r="A6725" i="1"/>
  <c r="B6725" i="1"/>
  <c r="C6725" i="1"/>
  <c r="D6725" i="1"/>
  <c r="E6725" i="1"/>
  <c r="F6725" i="1"/>
  <c r="G6725" i="1"/>
  <c r="H6725" i="1"/>
  <c r="A6726" i="1"/>
  <c r="B6726" i="1"/>
  <c r="C6726" i="1"/>
  <c r="D6726" i="1"/>
  <c r="E6726" i="1"/>
  <c r="F6726" i="1"/>
  <c r="G6726" i="1"/>
  <c r="H6726" i="1"/>
  <c r="A6727" i="1"/>
  <c r="B6727" i="1"/>
  <c r="C6727" i="1"/>
  <c r="D6727" i="1"/>
  <c r="E6727" i="1"/>
  <c r="F6727" i="1"/>
  <c r="G6727" i="1"/>
  <c r="H6727" i="1"/>
  <c r="A6728" i="1"/>
  <c r="B6728" i="1"/>
  <c r="C6728" i="1"/>
  <c r="D6728" i="1"/>
  <c r="E6728" i="1"/>
  <c r="F6728" i="1"/>
  <c r="G6728" i="1"/>
  <c r="H6728" i="1"/>
  <c r="A6729" i="1"/>
  <c r="B6729" i="1"/>
  <c r="C6729" i="1"/>
  <c r="D6729" i="1"/>
  <c r="E6729" i="1"/>
  <c r="F6729" i="1"/>
  <c r="G6729" i="1"/>
  <c r="H6729" i="1"/>
  <c r="A6730" i="1"/>
  <c r="B6730" i="1"/>
  <c r="C6730" i="1"/>
  <c r="D6730" i="1"/>
  <c r="E6730" i="1"/>
  <c r="F6730" i="1"/>
  <c r="G6730" i="1"/>
  <c r="H6730" i="1"/>
  <c r="A6731" i="1"/>
  <c r="B6731" i="1"/>
  <c r="C6731" i="1"/>
  <c r="D6731" i="1"/>
  <c r="E6731" i="1"/>
  <c r="F6731" i="1"/>
  <c r="G6731" i="1"/>
  <c r="H6731" i="1"/>
  <c r="A6732" i="1"/>
  <c r="B6732" i="1"/>
  <c r="C6732" i="1"/>
  <c r="D6732" i="1"/>
  <c r="E6732" i="1"/>
  <c r="F6732" i="1"/>
  <c r="G6732" i="1"/>
  <c r="H6732" i="1"/>
  <c r="A6733" i="1"/>
  <c r="B6733" i="1"/>
  <c r="C6733" i="1"/>
  <c r="D6733" i="1"/>
  <c r="E6733" i="1"/>
  <c r="F6733" i="1"/>
  <c r="G6733" i="1"/>
  <c r="H6733" i="1"/>
  <c r="A6734" i="1"/>
  <c r="B6734" i="1"/>
  <c r="C6734" i="1"/>
  <c r="D6734" i="1"/>
  <c r="E6734" i="1"/>
  <c r="F6734" i="1"/>
  <c r="G6734" i="1"/>
  <c r="H6734" i="1"/>
  <c r="A6735" i="1"/>
  <c r="B6735" i="1"/>
  <c r="C6735" i="1"/>
  <c r="D6735" i="1"/>
  <c r="E6735" i="1"/>
  <c r="F6735" i="1"/>
  <c r="G6735" i="1"/>
  <c r="H6735" i="1"/>
  <c r="A6736" i="1"/>
  <c r="B6736" i="1"/>
  <c r="C6736" i="1"/>
  <c r="D6736" i="1"/>
  <c r="E6736" i="1"/>
  <c r="F6736" i="1"/>
  <c r="G6736" i="1"/>
  <c r="H6736" i="1"/>
  <c r="A6737" i="1"/>
  <c r="B6737" i="1"/>
  <c r="C6737" i="1"/>
  <c r="D6737" i="1"/>
  <c r="E6737" i="1"/>
  <c r="F6737" i="1"/>
  <c r="G6737" i="1"/>
  <c r="H6737" i="1"/>
  <c r="A6738" i="1"/>
  <c r="B6738" i="1"/>
  <c r="C6738" i="1"/>
  <c r="D6738" i="1"/>
  <c r="E6738" i="1"/>
  <c r="F6738" i="1"/>
  <c r="G6738" i="1"/>
  <c r="H6738" i="1"/>
  <c r="A6739" i="1"/>
  <c r="B6739" i="1"/>
  <c r="C6739" i="1"/>
  <c r="D6739" i="1"/>
  <c r="E6739" i="1"/>
  <c r="F6739" i="1"/>
  <c r="G6739" i="1"/>
  <c r="H6739" i="1"/>
  <c r="A6740" i="1"/>
  <c r="B6740" i="1"/>
  <c r="C6740" i="1"/>
  <c r="D6740" i="1"/>
  <c r="E6740" i="1"/>
  <c r="F6740" i="1"/>
  <c r="G6740" i="1"/>
  <c r="H6740" i="1"/>
  <c r="A6741" i="1"/>
  <c r="B6741" i="1"/>
  <c r="C6741" i="1"/>
  <c r="D6741" i="1"/>
  <c r="E6741" i="1"/>
  <c r="F6741" i="1"/>
  <c r="G6741" i="1"/>
  <c r="H6741" i="1"/>
  <c r="A6742" i="1"/>
  <c r="B6742" i="1"/>
  <c r="C6742" i="1"/>
  <c r="D6742" i="1"/>
  <c r="E6742" i="1"/>
  <c r="F6742" i="1"/>
  <c r="G6742" i="1"/>
  <c r="H6742" i="1"/>
  <c r="A6743" i="1"/>
  <c r="B6743" i="1"/>
  <c r="C6743" i="1"/>
  <c r="D6743" i="1"/>
  <c r="E6743" i="1"/>
  <c r="F6743" i="1"/>
  <c r="G6743" i="1"/>
  <c r="H6743" i="1"/>
  <c r="A6744" i="1"/>
  <c r="B6744" i="1"/>
  <c r="C6744" i="1"/>
  <c r="D6744" i="1"/>
  <c r="E6744" i="1"/>
  <c r="F6744" i="1"/>
  <c r="G6744" i="1"/>
  <c r="H6744" i="1"/>
  <c r="A6745" i="1"/>
  <c r="B6745" i="1"/>
  <c r="C6745" i="1"/>
  <c r="D6745" i="1"/>
  <c r="E6745" i="1"/>
  <c r="F6745" i="1"/>
  <c r="G6745" i="1"/>
  <c r="H6745" i="1"/>
  <c r="A6746" i="1"/>
  <c r="B6746" i="1"/>
  <c r="C6746" i="1"/>
  <c r="D6746" i="1"/>
  <c r="E6746" i="1"/>
  <c r="F6746" i="1"/>
  <c r="G6746" i="1"/>
  <c r="H6746" i="1"/>
  <c r="A6747" i="1"/>
  <c r="B6747" i="1"/>
  <c r="C6747" i="1"/>
  <c r="D6747" i="1"/>
  <c r="E6747" i="1"/>
  <c r="F6747" i="1"/>
  <c r="G6747" i="1"/>
  <c r="H6747" i="1"/>
  <c r="A6748" i="1"/>
  <c r="B6748" i="1"/>
  <c r="C6748" i="1"/>
  <c r="D6748" i="1"/>
  <c r="E6748" i="1"/>
  <c r="F6748" i="1"/>
  <c r="G6748" i="1"/>
  <c r="H6748" i="1"/>
  <c r="A6749" i="1"/>
  <c r="B6749" i="1"/>
  <c r="C6749" i="1"/>
  <c r="D6749" i="1"/>
  <c r="E6749" i="1"/>
  <c r="F6749" i="1"/>
  <c r="G6749" i="1"/>
  <c r="H6749" i="1"/>
  <c r="A6750" i="1"/>
  <c r="B6750" i="1"/>
  <c r="C6750" i="1"/>
  <c r="D6750" i="1"/>
  <c r="E6750" i="1"/>
  <c r="F6750" i="1"/>
  <c r="G6750" i="1"/>
  <c r="H6750" i="1"/>
  <c r="A6751" i="1"/>
  <c r="B6751" i="1"/>
  <c r="C6751" i="1"/>
  <c r="D6751" i="1"/>
  <c r="E6751" i="1"/>
  <c r="F6751" i="1"/>
  <c r="G6751" i="1"/>
  <c r="H6751" i="1"/>
  <c r="A6752" i="1"/>
  <c r="B6752" i="1"/>
  <c r="C6752" i="1"/>
  <c r="D6752" i="1"/>
  <c r="E6752" i="1"/>
  <c r="F6752" i="1"/>
  <c r="G6752" i="1"/>
  <c r="H6752" i="1"/>
  <c r="A6753" i="1"/>
  <c r="B6753" i="1"/>
  <c r="C6753" i="1"/>
  <c r="D6753" i="1"/>
  <c r="E6753" i="1"/>
  <c r="F6753" i="1"/>
  <c r="G6753" i="1"/>
  <c r="H6753" i="1"/>
  <c r="A6754" i="1"/>
  <c r="B6754" i="1"/>
  <c r="C6754" i="1"/>
  <c r="D6754" i="1"/>
  <c r="E6754" i="1"/>
  <c r="F6754" i="1"/>
  <c r="G6754" i="1"/>
  <c r="H6754" i="1"/>
  <c r="A6755" i="1"/>
  <c r="B6755" i="1"/>
  <c r="C6755" i="1"/>
  <c r="D6755" i="1"/>
  <c r="E6755" i="1"/>
  <c r="F6755" i="1"/>
  <c r="G6755" i="1"/>
  <c r="H6755" i="1"/>
  <c r="A6756" i="1"/>
  <c r="B6756" i="1"/>
  <c r="C6756" i="1"/>
  <c r="D6756" i="1"/>
  <c r="E6756" i="1"/>
  <c r="F6756" i="1"/>
  <c r="G6756" i="1"/>
  <c r="H6756" i="1"/>
  <c r="A6757" i="1"/>
  <c r="B6757" i="1"/>
  <c r="C6757" i="1"/>
  <c r="D6757" i="1"/>
  <c r="E6757" i="1"/>
  <c r="F6757" i="1"/>
  <c r="G6757" i="1"/>
  <c r="H6757" i="1"/>
  <c r="A6758" i="1"/>
  <c r="B6758" i="1"/>
  <c r="C6758" i="1"/>
  <c r="D6758" i="1"/>
  <c r="E6758" i="1"/>
  <c r="F6758" i="1"/>
  <c r="G6758" i="1"/>
  <c r="H6758" i="1"/>
  <c r="A6759" i="1"/>
  <c r="B6759" i="1"/>
  <c r="C6759" i="1"/>
  <c r="D6759" i="1"/>
  <c r="E6759" i="1"/>
  <c r="F6759" i="1"/>
  <c r="G6759" i="1"/>
  <c r="H6759" i="1"/>
  <c r="A6760" i="1"/>
  <c r="B6760" i="1"/>
  <c r="C6760" i="1"/>
  <c r="D6760" i="1"/>
  <c r="E6760" i="1"/>
  <c r="F6760" i="1"/>
  <c r="G6760" i="1"/>
  <c r="H6760" i="1"/>
  <c r="A6761" i="1"/>
  <c r="B6761" i="1"/>
  <c r="C6761" i="1"/>
  <c r="D6761" i="1"/>
  <c r="E6761" i="1"/>
  <c r="F6761" i="1"/>
  <c r="G6761" i="1"/>
  <c r="H6761" i="1"/>
  <c r="A6762" i="1"/>
  <c r="B6762" i="1"/>
  <c r="C6762" i="1"/>
  <c r="D6762" i="1"/>
  <c r="E6762" i="1"/>
  <c r="F6762" i="1"/>
  <c r="G6762" i="1"/>
  <c r="H6762" i="1"/>
  <c r="A6763" i="1"/>
  <c r="B6763" i="1"/>
  <c r="C6763" i="1"/>
  <c r="D6763" i="1"/>
  <c r="E6763" i="1"/>
  <c r="F6763" i="1"/>
  <c r="G6763" i="1"/>
  <c r="H6763" i="1"/>
  <c r="A6764" i="1"/>
  <c r="B6764" i="1"/>
  <c r="C6764" i="1"/>
  <c r="D6764" i="1"/>
  <c r="E6764" i="1"/>
  <c r="F6764" i="1"/>
  <c r="G6764" i="1"/>
  <c r="H6764" i="1"/>
  <c r="A6765" i="1"/>
  <c r="B6765" i="1"/>
  <c r="C6765" i="1"/>
  <c r="D6765" i="1"/>
  <c r="E6765" i="1"/>
  <c r="F6765" i="1"/>
  <c r="G6765" i="1"/>
  <c r="H6765" i="1"/>
  <c r="A6766" i="1"/>
  <c r="B6766" i="1"/>
  <c r="C6766" i="1"/>
  <c r="D6766" i="1"/>
  <c r="E6766" i="1"/>
  <c r="F6766" i="1"/>
  <c r="G6766" i="1"/>
  <c r="H6766" i="1"/>
  <c r="A6767" i="1"/>
  <c r="B6767" i="1"/>
  <c r="C6767" i="1"/>
  <c r="D6767" i="1"/>
  <c r="E6767" i="1"/>
  <c r="F6767" i="1"/>
  <c r="G6767" i="1"/>
  <c r="H6767" i="1"/>
  <c r="A6768" i="1"/>
  <c r="B6768" i="1"/>
  <c r="C6768" i="1"/>
  <c r="D6768" i="1"/>
  <c r="E6768" i="1"/>
  <c r="F6768" i="1"/>
  <c r="G6768" i="1"/>
  <c r="H6768" i="1"/>
  <c r="A6769" i="1"/>
  <c r="B6769" i="1"/>
  <c r="C6769" i="1"/>
  <c r="D6769" i="1"/>
  <c r="E6769" i="1"/>
  <c r="F6769" i="1"/>
  <c r="G6769" i="1"/>
  <c r="H6769" i="1"/>
  <c r="A6770" i="1"/>
  <c r="B6770" i="1"/>
  <c r="C6770" i="1"/>
  <c r="D6770" i="1"/>
  <c r="E6770" i="1"/>
  <c r="F6770" i="1"/>
  <c r="G6770" i="1"/>
  <c r="H6770" i="1"/>
  <c r="A6771" i="1"/>
  <c r="B6771" i="1"/>
  <c r="C6771" i="1"/>
  <c r="D6771" i="1"/>
  <c r="E6771" i="1"/>
  <c r="F6771" i="1"/>
  <c r="G6771" i="1"/>
  <c r="H6771" i="1"/>
  <c r="A6772" i="1"/>
  <c r="B6772" i="1"/>
  <c r="C6772" i="1"/>
  <c r="D6772" i="1"/>
  <c r="E6772" i="1"/>
  <c r="F6772" i="1"/>
  <c r="G6772" i="1"/>
  <c r="H6772" i="1"/>
  <c r="A6773" i="1"/>
  <c r="B6773" i="1"/>
  <c r="C6773" i="1"/>
  <c r="D6773" i="1"/>
  <c r="E6773" i="1"/>
  <c r="F6773" i="1"/>
  <c r="G6773" i="1"/>
  <c r="H6773" i="1"/>
  <c r="A6774" i="1"/>
  <c r="B6774" i="1"/>
  <c r="C6774" i="1"/>
  <c r="D6774" i="1"/>
  <c r="E6774" i="1"/>
  <c r="F6774" i="1"/>
  <c r="G6774" i="1"/>
  <c r="H6774" i="1"/>
  <c r="A6775" i="1"/>
  <c r="B6775" i="1"/>
  <c r="C6775" i="1"/>
  <c r="D6775" i="1"/>
  <c r="E6775" i="1"/>
  <c r="F6775" i="1"/>
  <c r="G6775" i="1"/>
  <c r="H6775" i="1"/>
  <c r="A6776" i="1"/>
  <c r="B6776" i="1"/>
  <c r="C6776" i="1"/>
  <c r="D6776" i="1"/>
  <c r="E6776" i="1"/>
  <c r="F6776" i="1"/>
  <c r="G6776" i="1"/>
  <c r="H6776" i="1"/>
  <c r="A6777" i="1"/>
  <c r="B6777" i="1"/>
  <c r="C6777" i="1"/>
  <c r="D6777" i="1"/>
  <c r="E6777" i="1"/>
  <c r="F6777" i="1"/>
  <c r="G6777" i="1"/>
  <c r="H6777" i="1"/>
  <c r="A6778" i="1"/>
  <c r="B6778" i="1"/>
  <c r="C6778" i="1"/>
  <c r="D6778" i="1"/>
  <c r="E6778" i="1"/>
  <c r="F6778" i="1"/>
  <c r="G6778" i="1"/>
  <c r="H6778" i="1"/>
  <c r="A6779" i="1"/>
  <c r="B6779" i="1"/>
  <c r="C6779" i="1"/>
  <c r="D6779" i="1"/>
  <c r="E6779" i="1"/>
  <c r="F6779" i="1"/>
  <c r="G6779" i="1"/>
  <c r="H6779" i="1"/>
  <c r="A6780" i="1"/>
  <c r="B6780" i="1"/>
  <c r="C6780" i="1"/>
  <c r="D6780" i="1"/>
  <c r="E6780" i="1"/>
  <c r="F6780" i="1"/>
  <c r="G6780" i="1"/>
  <c r="H6780" i="1"/>
  <c r="A6781" i="1"/>
  <c r="B6781" i="1"/>
  <c r="C6781" i="1"/>
  <c r="D6781" i="1"/>
  <c r="E6781" i="1"/>
  <c r="F6781" i="1"/>
  <c r="G6781" i="1"/>
  <c r="H6781" i="1"/>
  <c r="A6782" i="1"/>
  <c r="B6782" i="1"/>
  <c r="C6782" i="1"/>
  <c r="D6782" i="1"/>
  <c r="E6782" i="1"/>
  <c r="F6782" i="1"/>
  <c r="G6782" i="1"/>
  <c r="H6782" i="1"/>
  <c r="A6783" i="1"/>
  <c r="B6783" i="1"/>
  <c r="C6783" i="1"/>
  <c r="D6783" i="1"/>
  <c r="E6783" i="1"/>
  <c r="F6783" i="1"/>
  <c r="G6783" i="1"/>
  <c r="H6783" i="1"/>
  <c r="A6784" i="1"/>
  <c r="B6784" i="1"/>
  <c r="C6784" i="1"/>
  <c r="D6784" i="1"/>
  <c r="E6784" i="1"/>
  <c r="F6784" i="1"/>
  <c r="G6784" i="1"/>
  <c r="H6784" i="1"/>
  <c r="A6785" i="1"/>
  <c r="B6785" i="1"/>
  <c r="C6785" i="1"/>
  <c r="D6785" i="1"/>
  <c r="E6785" i="1"/>
  <c r="F6785" i="1"/>
  <c r="G6785" i="1"/>
  <c r="H6785" i="1"/>
  <c r="A6786" i="1"/>
  <c r="B6786" i="1"/>
  <c r="C6786" i="1"/>
  <c r="D6786" i="1"/>
  <c r="E6786" i="1"/>
  <c r="F6786" i="1"/>
  <c r="G6786" i="1"/>
  <c r="H6786" i="1"/>
  <c r="A6787" i="1"/>
  <c r="B6787" i="1"/>
  <c r="C6787" i="1"/>
  <c r="D6787" i="1"/>
  <c r="E6787" i="1"/>
  <c r="F6787" i="1"/>
  <c r="G6787" i="1"/>
  <c r="H6787" i="1"/>
  <c r="A6788" i="1"/>
  <c r="B6788" i="1"/>
  <c r="C6788" i="1"/>
  <c r="D6788" i="1"/>
  <c r="E6788" i="1"/>
  <c r="F6788" i="1"/>
  <c r="G6788" i="1"/>
  <c r="H6788" i="1"/>
  <c r="A6789" i="1"/>
  <c r="B6789" i="1"/>
  <c r="C6789" i="1"/>
  <c r="D6789" i="1"/>
  <c r="E6789" i="1"/>
  <c r="F6789" i="1"/>
  <c r="G6789" i="1"/>
  <c r="H6789" i="1"/>
  <c r="A6790" i="1"/>
  <c r="B6790" i="1"/>
  <c r="C6790" i="1"/>
  <c r="D6790" i="1"/>
  <c r="E6790" i="1"/>
  <c r="F6790" i="1"/>
  <c r="G6790" i="1"/>
  <c r="H6790" i="1"/>
  <c r="A6791" i="1"/>
  <c r="B6791" i="1"/>
  <c r="C6791" i="1"/>
  <c r="D6791" i="1"/>
  <c r="E6791" i="1"/>
  <c r="F6791" i="1"/>
  <c r="G6791" i="1"/>
  <c r="H6791" i="1"/>
  <c r="A6792" i="1"/>
  <c r="B6792" i="1"/>
  <c r="C6792" i="1"/>
  <c r="D6792" i="1"/>
  <c r="E6792" i="1"/>
  <c r="F6792" i="1"/>
  <c r="G6792" i="1"/>
  <c r="H6792" i="1"/>
  <c r="A6793" i="1"/>
  <c r="B6793" i="1"/>
  <c r="C6793" i="1"/>
  <c r="D6793" i="1"/>
  <c r="E6793" i="1"/>
  <c r="F6793" i="1"/>
  <c r="G6793" i="1"/>
  <c r="H6793" i="1"/>
  <c r="A6794" i="1"/>
  <c r="B6794" i="1"/>
  <c r="C6794" i="1"/>
  <c r="D6794" i="1"/>
  <c r="E6794" i="1"/>
  <c r="F6794" i="1"/>
  <c r="G6794" i="1"/>
  <c r="H6794" i="1"/>
  <c r="A6795" i="1"/>
  <c r="B6795" i="1"/>
  <c r="C6795" i="1"/>
  <c r="D6795" i="1"/>
  <c r="E6795" i="1"/>
  <c r="F6795" i="1"/>
  <c r="G6795" i="1"/>
  <c r="H6795" i="1"/>
  <c r="A6796" i="1"/>
  <c r="B6796" i="1"/>
  <c r="C6796" i="1"/>
  <c r="D6796" i="1"/>
  <c r="E6796" i="1"/>
  <c r="F6796" i="1"/>
  <c r="G6796" i="1"/>
  <c r="H6796" i="1"/>
  <c r="A6797" i="1"/>
  <c r="B6797" i="1"/>
  <c r="C6797" i="1"/>
  <c r="D6797" i="1"/>
  <c r="E6797" i="1"/>
  <c r="F6797" i="1"/>
  <c r="G6797" i="1"/>
  <c r="H6797" i="1"/>
  <c r="A6798" i="1"/>
  <c r="B6798" i="1"/>
  <c r="C6798" i="1"/>
  <c r="D6798" i="1"/>
  <c r="E6798" i="1"/>
  <c r="F6798" i="1"/>
  <c r="G6798" i="1"/>
  <c r="H6798" i="1"/>
  <c r="A6799" i="1"/>
  <c r="B6799" i="1"/>
  <c r="C6799" i="1"/>
  <c r="D6799" i="1"/>
  <c r="E6799" i="1"/>
  <c r="F6799" i="1"/>
  <c r="G6799" i="1"/>
  <c r="H6799" i="1"/>
  <c r="A6800" i="1"/>
  <c r="B6800" i="1"/>
  <c r="C6800" i="1"/>
  <c r="D6800" i="1"/>
  <c r="E6800" i="1"/>
  <c r="F6800" i="1"/>
  <c r="G6800" i="1"/>
  <c r="H6800" i="1"/>
  <c r="A6801" i="1"/>
  <c r="B6801" i="1"/>
  <c r="C6801" i="1"/>
  <c r="D6801" i="1"/>
  <c r="E6801" i="1"/>
  <c r="F6801" i="1"/>
  <c r="G6801" i="1"/>
  <c r="H6801" i="1"/>
  <c r="A6802" i="1"/>
  <c r="B6802" i="1"/>
  <c r="C6802" i="1"/>
  <c r="D6802" i="1"/>
  <c r="E6802" i="1"/>
  <c r="F6802" i="1"/>
  <c r="G6802" i="1"/>
  <c r="H6802" i="1"/>
  <c r="A6803" i="1"/>
  <c r="B6803" i="1"/>
  <c r="C6803" i="1"/>
  <c r="D6803" i="1"/>
  <c r="E6803" i="1"/>
  <c r="F6803" i="1"/>
  <c r="G6803" i="1"/>
  <c r="H6803" i="1"/>
  <c r="A6804" i="1"/>
  <c r="B6804" i="1"/>
  <c r="C6804" i="1"/>
  <c r="D6804" i="1"/>
  <c r="E6804" i="1"/>
  <c r="F6804" i="1"/>
  <c r="G6804" i="1"/>
  <c r="H6804" i="1"/>
  <c r="A6805" i="1"/>
  <c r="B6805" i="1"/>
  <c r="C6805" i="1"/>
  <c r="D6805" i="1"/>
  <c r="E6805" i="1"/>
  <c r="F6805" i="1"/>
  <c r="G6805" i="1"/>
  <c r="H6805" i="1"/>
  <c r="A6806" i="1"/>
  <c r="B6806" i="1"/>
  <c r="C6806" i="1"/>
  <c r="D6806" i="1"/>
  <c r="E6806" i="1"/>
  <c r="F6806" i="1"/>
  <c r="G6806" i="1"/>
  <c r="H6806" i="1"/>
  <c r="A6807" i="1"/>
  <c r="B6807" i="1"/>
  <c r="C6807" i="1"/>
  <c r="D6807" i="1"/>
  <c r="E6807" i="1"/>
  <c r="F6807" i="1"/>
  <c r="G6807" i="1"/>
  <c r="H6807" i="1"/>
  <c r="A6808" i="1"/>
  <c r="B6808" i="1"/>
  <c r="C6808" i="1"/>
  <c r="D6808" i="1"/>
  <c r="E6808" i="1"/>
  <c r="F6808" i="1"/>
  <c r="G6808" i="1"/>
  <c r="H6808" i="1"/>
  <c r="A6809" i="1"/>
  <c r="B6809" i="1"/>
  <c r="C6809" i="1"/>
  <c r="D6809" i="1"/>
  <c r="E6809" i="1"/>
  <c r="F6809" i="1"/>
  <c r="G6809" i="1"/>
  <c r="H6809" i="1"/>
  <c r="A6810" i="1"/>
  <c r="B6810" i="1"/>
  <c r="C6810" i="1"/>
  <c r="D6810" i="1"/>
  <c r="E6810" i="1"/>
  <c r="F6810" i="1"/>
  <c r="G6810" i="1"/>
  <c r="H6810" i="1"/>
  <c r="A6811" i="1"/>
  <c r="B6811" i="1"/>
  <c r="C6811" i="1"/>
  <c r="D6811" i="1"/>
  <c r="E6811" i="1"/>
  <c r="F6811" i="1"/>
  <c r="G6811" i="1"/>
  <c r="H6811" i="1"/>
  <c r="A6812" i="1"/>
  <c r="B6812" i="1"/>
  <c r="C6812" i="1"/>
  <c r="D6812" i="1"/>
  <c r="E6812" i="1"/>
  <c r="F6812" i="1"/>
  <c r="G6812" i="1"/>
  <c r="H6812" i="1"/>
  <c r="A6813" i="1"/>
  <c r="B6813" i="1"/>
  <c r="C6813" i="1"/>
  <c r="D6813" i="1"/>
  <c r="E6813" i="1"/>
  <c r="F6813" i="1"/>
  <c r="G6813" i="1"/>
  <c r="H6813" i="1"/>
  <c r="A6814" i="1"/>
  <c r="B6814" i="1"/>
  <c r="C6814" i="1"/>
  <c r="D6814" i="1"/>
  <c r="E6814" i="1"/>
  <c r="F6814" i="1"/>
  <c r="G6814" i="1"/>
  <c r="H6814" i="1"/>
  <c r="A6815" i="1"/>
  <c r="B6815" i="1"/>
  <c r="C6815" i="1"/>
  <c r="D6815" i="1"/>
  <c r="E6815" i="1"/>
  <c r="F6815" i="1"/>
  <c r="G6815" i="1"/>
  <c r="H6815" i="1"/>
  <c r="A6816" i="1"/>
  <c r="B6816" i="1"/>
  <c r="C6816" i="1"/>
  <c r="D6816" i="1"/>
  <c r="E6816" i="1"/>
  <c r="F6816" i="1"/>
  <c r="G6816" i="1"/>
  <c r="H6816" i="1"/>
  <c r="A6817" i="1"/>
  <c r="B6817" i="1"/>
  <c r="C6817" i="1"/>
  <c r="D6817" i="1"/>
  <c r="E6817" i="1"/>
  <c r="F6817" i="1"/>
  <c r="G6817" i="1"/>
  <c r="H6817" i="1"/>
  <c r="A6818" i="1"/>
  <c r="B6818" i="1"/>
  <c r="C6818" i="1"/>
  <c r="D6818" i="1"/>
  <c r="E6818" i="1"/>
  <c r="F6818" i="1"/>
  <c r="G6818" i="1"/>
  <c r="H6818" i="1"/>
  <c r="A6819" i="1"/>
  <c r="B6819" i="1"/>
  <c r="C6819" i="1"/>
  <c r="D6819" i="1"/>
  <c r="E6819" i="1"/>
  <c r="F6819" i="1"/>
  <c r="G6819" i="1"/>
  <c r="H6819" i="1"/>
  <c r="A6820" i="1"/>
  <c r="B6820" i="1"/>
  <c r="C6820" i="1"/>
  <c r="D6820" i="1"/>
  <c r="E6820" i="1"/>
  <c r="F6820" i="1"/>
  <c r="G6820" i="1"/>
  <c r="H6820" i="1"/>
  <c r="A6821" i="1"/>
  <c r="B6821" i="1"/>
  <c r="C6821" i="1"/>
  <c r="D6821" i="1"/>
  <c r="E6821" i="1"/>
  <c r="F6821" i="1"/>
  <c r="G6821" i="1"/>
  <c r="H6821" i="1"/>
  <c r="A6822" i="1"/>
  <c r="B6822" i="1"/>
  <c r="C6822" i="1"/>
  <c r="D6822" i="1"/>
  <c r="E6822" i="1"/>
  <c r="F6822" i="1"/>
  <c r="G6822" i="1"/>
  <c r="H6822" i="1"/>
  <c r="A6823" i="1"/>
  <c r="B6823" i="1"/>
  <c r="C6823" i="1"/>
  <c r="D6823" i="1"/>
  <c r="E6823" i="1"/>
  <c r="F6823" i="1"/>
  <c r="G6823" i="1"/>
  <c r="H6823" i="1"/>
  <c r="A6824" i="1"/>
  <c r="B6824" i="1"/>
  <c r="C6824" i="1"/>
  <c r="D6824" i="1"/>
  <c r="E6824" i="1"/>
  <c r="F6824" i="1"/>
  <c r="G6824" i="1"/>
  <c r="H6824" i="1"/>
  <c r="A6825" i="1"/>
  <c r="B6825" i="1"/>
  <c r="C6825" i="1"/>
  <c r="D6825" i="1"/>
  <c r="E6825" i="1"/>
  <c r="F6825" i="1"/>
  <c r="G6825" i="1"/>
  <c r="H6825" i="1"/>
  <c r="A6826" i="1"/>
  <c r="B6826" i="1"/>
  <c r="C6826" i="1"/>
  <c r="D6826" i="1"/>
  <c r="E6826" i="1"/>
  <c r="F6826" i="1"/>
  <c r="G6826" i="1"/>
  <c r="H6826" i="1"/>
  <c r="A6827" i="1"/>
  <c r="B6827" i="1"/>
  <c r="C6827" i="1"/>
  <c r="D6827" i="1"/>
  <c r="E6827" i="1"/>
  <c r="F6827" i="1"/>
  <c r="G6827" i="1"/>
  <c r="H6827" i="1"/>
  <c r="A6828" i="1"/>
  <c r="B6828" i="1"/>
  <c r="C6828" i="1"/>
  <c r="D6828" i="1"/>
  <c r="E6828" i="1"/>
  <c r="F6828" i="1"/>
  <c r="G6828" i="1"/>
  <c r="H6828" i="1"/>
  <c r="A6829" i="1"/>
  <c r="B6829" i="1"/>
  <c r="C6829" i="1"/>
  <c r="D6829" i="1"/>
  <c r="E6829" i="1"/>
  <c r="F6829" i="1"/>
  <c r="G6829" i="1"/>
  <c r="H6829" i="1"/>
  <c r="A6830" i="1"/>
  <c r="B6830" i="1"/>
  <c r="C6830" i="1"/>
  <c r="D6830" i="1"/>
  <c r="E6830" i="1"/>
  <c r="F6830" i="1"/>
  <c r="G6830" i="1"/>
  <c r="H6830" i="1"/>
  <c r="A6831" i="1"/>
  <c r="B6831" i="1"/>
  <c r="C6831" i="1"/>
  <c r="D6831" i="1"/>
  <c r="E6831" i="1"/>
  <c r="F6831" i="1"/>
  <c r="G6831" i="1"/>
  <c r="H6831" i="1"/>
  <c r="A6832" i="1"/>
  <c r="B6832" i="1"/>
  <c r="C6832" i="1"/>
  <c r="D6832" i="1"/>
  <c r="E6832" i="1"/>
  <c r="F6832" i="1"/>
  <c r="G6832" i="1"/>
  <c r="H6832" i="1"/>
  <c r="A6833" i="1"/>
  <c r="B6833" i="1"/>
  <c r="C6833" i="1"/>
  <c r="D6833" i="1"/>
  <c r="E6833" i="1"/>
  <c r="F6833" i="1"/>
  <c r="G6833" i="1"/>
  <c r="H6833" i="1"/>
  <c r="A6834" i="1"/>
  <c r="B6834" i="1"/>
  <c r="C6834" i="1"/>
  <c r="D6834" i="1"/>
  <c r="E6834" i="1"/>
  <c r="F6834" i="1"/>
  <c r="G6834" i="1"/>
  <c r="H6834" i="1"/>
  <c r="A6835" i="1"/>
  <c r="B6835" i="1"/>
  <c r="C6835" i="1"/>
  <c r="D6835" i="1"/>
  <c r="E6835" i="1"/>
  <c r="F6835" i="1"/>
  <c r="G6835" i="1"/>
  <c r="H6835" i="1"/>
  <c r="A6836" i="1"/>
  <c r="B6836" i="1"/>
  <c r="C6836" i="1"/>
  <c r="D6836" i="1"/>
  <c r="E6836" i="1"/>
  <c r="F6836" i="1"/>
  <c r="G6836" i="1"/>
  <c r="H6836" i="1"/>
  <c r="A6837" i="1"/>
  <c r="B6837" i="1"/>
  <c r="C6837" i="1"/>
  <c r="D6837" i="1"/>
  <c r="E6837" i="1"/>
  <c r="F6837" i="1"/>
  <c r="G6837" i="1"/>
  <c r="H6837" i="1"/>
  <c r="A6838" i="1"/>
  <c r="B6838" i="1"/>
  <c r="C6838" i="1"/>
  <c r="D6838" i="1"/>
  <c r="E6838" i="1"/>
  <c r="F6838" i="1"/>
  <c r="G6838" i="1"/>
  <c r="H6838" i="1"/>
  <c r="A6839" i="1"/>
  <c r="B6839" i="1"/>
  <c r="C6839" i="1"/>
  <c r="D6839" i="1"/>
  <c r="E6839" i="1"/>
  <c r="F6839" i="1"/>
  <c r="G6839" i="1"/>
  <c r="H6839" i="1"/>
  <c r="A6840" i="1"/>
  <c r="B6840" i="1"/>
  <c r="C6840" i="1"/>
  <c r="D6840" i="1"/>
  <c r="E6840" i="1"/>
  <c r="F6840" i="1"/>
  <c r="G6840" i="1"/>
  <c r="H6840" i="1"/>
  <c r="A6841" i="1"/>
  <c r="B6841" i="1"/>
  <c r="C6841" i="1"/>
  <c r="D6841" i="1"/>
  <c r="E6841" i="1"/>
  <c r="F6841" i="1"/>
  <c r="G6841" i="1"/>
  <c r="H6841" i="1"/>
  <c r="A6842" i="1"/>
  <c r="B6842" i="1"/>
  <c r="C6842" i="1"/>
  <c r="D6842" i="1"/>
  <c r="E6842" i="1"/>
  <c r="F6842" i="1"/>
  <c r="G6842" i="1"/>
  <c r="H6842" i="1"/>
  <c r="A6843" i="1"/>
  <c r="B6843" i="1"/>
  <c r="C6843" i="1"/>
  <c r="D6843" i="1"/>
  <c r="E6843" i="1"/>
  <c r="F6843" i="1"/>
  <c r="G6843" i="1"/>
  <c r="H6843" i="1"/>
  <c r="A6844" i="1"/>
  <c r="B6844" i="1"/>
  <c r="C6844" i="1"/>
  <c r="D6844" i="1"/>
  <c r="E6844" i="1"/>
  <c r="F6844" i="1"/>
  <c r="G6844" i="1"/>
  <c r="H6844" i="1"/>
  <c r="A6845" i="1"/>
  <c r="B6845" i="1"/>
  <c r="C6845" i="1"/>
  <c r="D6845" i="1"/>
  <c r="E6845" i="1"/>
  <c r="F6845" i="1"/>
  <c r="G6845" i="1"/>
  <c r="H6845" i="1"/>
  <c r="A6846" i="1"/>
  <c r="B6846" i="1"/>
  <c r="C6846" i="1"/>
  <c r="D6846" i="1"/>
  <c r="E6846" i="1"/>
  <c r="F6846" i="1"/>
  <c r="G6846" i="1"/>
  <c r="H6846" i="1"/>
  <c r="A6847" i="1"/>
  <c r="B6847" i="1"/>
  <c r="C6847" i="1"/>
  <c r="D6847" i="1"/>
  <c r="E6847" i="1"/>
  <c r="F6847" i="1"/>
  <c r="G6847" i="1"/>
  <c r="H6847" i="1"/>
  <c r="A6848" i="1"/>
  <c r="B6848" i="1"/>
  <c r="C6848" i="1"/>
  <c r="D6848" i="1"/>
  <c r="E6848" i="1"/>
  <c r="F6848" i="1"/>
  <c r="G6848" i="1"/>
  <c r="H6848" i="1"/>
  <c r="A6849" i="1"/>
  <c r="B6849" i="1"/>
  <c r="C6849" i="1"/>
  <c r="D6849" i="1"/>
  <c r="E6849" i="1"/>
  <c r="F6849" i="1"/>
  <c r="G6849" i="1"/>
  <c r="H6849" i="1"/>
  <c r="A6850" i="1"/>
  <c r="B6850" i="1"/>
  <c r="C6850" i="1"/>
  <c r="D6850" i="1"/>
  <c r="E6850" i="1"/>
  <c r="F6850" i="1"/>
  <c r="G6850" i="1"/>
  <c r="H6850" i="1"/>
  <c r="A6851" i="1"/>
  <c r="B6851" i="1"/>
  <c r="C6851" i="1"/>
  <c r="D6851" i="1"/>
  <c r="E6851" i="1"/>
  <c r="F6851" i="1"/>
  <c r="G6851" i="1"/>
  <c r="H6851" i="1"/>
  <c r="A6852" i="1"/>
  <c r="B6852" i="1"/>
  <c r="C6852" i="1"/>
  <c r="D6852" i="1"/>
  <c r="E6852" i="1"/>
  <c r="F6852" i="1"/>
  <c r="G6852" i="1"/>
  <c r="H6852" i="1"/>
  <c r="A6853" i="1"/>
  <c r="B6853" i="1"/>
  <c r="C6853" i="1"/>
  <c r="D6853" i="1"/>
  <c r="E6853" i="1"/>
  <c r="F6853" i="1"/>
  <c r="G6853" i="1"/>
  <c r="H6853" i="1"/>
  <c r="A6854" i="1"/>
  <c r="B6854" i="1"/>
  <c r="C6854" i="1"/>
  <c r="D6854" i="1"/>
  <c r="E6854" i="1"/>
  <c r="F6854" i="1"/>
  <c r="G6854" i="1"/>
  <c r="H6854" i="1"/>
  <c r="A6855" i="1"/>
  <c r="B6855" i="1"/>
  <c r="C6855" i="1"/>
  <c r="D6855" i="1"/>
  <c r="E6855" i="1"/>
  <c r="F6855" i="1"/>
  <c r="G6855" i="1"/>
  <c r="H6855" i="1"/>
  <c r="A6856" i="1"/>
  <c r="B6856" i="1"/>
  <c r="C6856" i="1"/>
  <c r="D6856" i="1"/>
  <c r="E6856" i="1"/>
  <c r="F6856" i="1"/>
  <c r="G6856" i="1"/>
  <c r="H6856" i="1"/>
  <c r="A6857" i="1"/>
  <c r="B6857" i="1"/>
  <c r="C6857" i="1"/>
  <c r="D6857" i="1"/>
  <c r="E6857" i="1"/>
  <c r="F6857" i="1"/>
  <c r="G6857" i="1"/>
  <c r="H6857" i="1"/>
  <c r="A6858" i="1"/>
  <c r="B6858" i="1"/>
  <c r="C6858" i="1"/>
  <c r="D6858" i="1"/>
  <c r="E6858" i="1"/>
  <c r="F6858" i="1"/>
  <c r="G6858" i="1"/>
  <c r="H6858" i="1"/>
  <c r="A6859" i="1"/>
  <c r="B6859" i="1"/>
  <c r="C6859" i="1"/>
  <c r="D6859" i="1"/>
  <c r="E6859" i="1"/>
  <c r="F6859" i="1"/>
  <c r="G6859" i="1"/>
  <c r="H6859" i="1"/>
  <c r="A6860" i="1"/>
  <c r="B6860" i="1"/>
  <c r="C6860" i="1"/>
  <c r="D6860" i="1"/>
  <c r="E6860" i="1"/>
  <c r="F6860" i="1"/>
  <c r="G6860" i="1"/>
  <c r="H6860" i="1"/>
  <c r="A6861" i="1"/>
  <c r="B6861" i="1"/>
  <c r="C6861" i="1"/>
  <c r="D6861" i="1"/>
  <c r="E6861" i="1"/>
  <c r="F6861" i="1"/>
  <c r="G6861" i="1"/>
  <c r="H6861" i="1"/>
  <c r="A6862" i="1"/>
  <c r="B6862" i="1"/>
  <c r="C6862" i="1"/>
  <c r="D6862" i="1"/>
  <c r="E6862" i="1"/>
  <c r="F6862" i="1"/>
  <c r="G6862" i="1"/>
  <c r="H6862" i="1"/>
  <c r="A6863" i="1"/>
  <c r="B6863" i="1"/>
  <c r="C6863" i="1"/>
  <c r="D6863" i="1"/>
  <c r="E6863" i="1"/>
  <c r="F6863" i="1"/>
  <c r="G6863" i="1"/>
  <c r="H6863" i="1"/>
  <c r="A6864" i="1"/>
  <c r="B6864" i="1"/>
  <c r="C6864" i="1"/>
  <c r="D6864" i="1"/>
  <c r="E6864" i="1"/>
  <c r="F6864" i="1"/>
  <c r="G6864" i="1"/>
  <c r="H6864" i="1"/>
  <c r="A6865" i="1"/>
  <c r="B6865" i="1"/>
  <c r="C6865" i="1"/>
  <c r="D6865" i="1"/>
  <c r="E6865" i="1"/>
  <c r="F6865" i="1"/>
  <c r="G6865" i="1"/>
  <c r="H6865" i="1"/>
  <c r="A6866" i="1"/>
  <c r="B6866" i="1"/>
  <c r="C6866" i="1"/>
  <c r="D6866" i="1"/>
  <c r="E6866" i="1"/>
  <c r="F6866" i="1"/>
  <c r="G6866" i="1"/>
  <c r="H6866" i="1"/>
  <c r="A6867" i="1"/>
  <c r="B6867" i="1"/>
  <c r="C6867" i="1"/>
  <c r="D6867" i="1"/>
  <c r="E6867" i="1"/>
  <c r="F6867" i="1"/>
  <c r="G6867" i="1"/>
  <c r="H6867" i="1"/>
  <c r="A6868" i="1"/>
  <c r="B6868" i="1"/>
  <c r="C6868" i="1"/>
  <c r="D6868" i="1"/>
  <c r="E6868" i="1"/>
  <c r="F6868" i="1"/>
  <c r="G6868" i="1"/>
  <c r="H6868" i="1"/>
  <c r="A6869" i="1"/>
  <c r="B6869" i="1"/>
  <c r="C6869" i="1"/>
  <c r="D6869" i="1"/>
  <c r="E6869" i="1"/>
  <c r="F6869" i="1"/>
  <c r="G6869" i="1"/>
  <c r="H6869" i="1"/>
  <c r="A6870" i="1"/>
  <c r="B6870" i="1"/>
  <c r="C6870" i="1"/>
  <c r="D6870" i="1"/>
  <c r="E6870" i="1"/>
  <c r="F6870" i="1"/>
  <c r="G6870" i="1"/>
  <c r="H6870" i="1"/>
  <c r="A6871" i="1"/>
  <c r="B6871" i="1"/>
  <c r="C6871" i="1"/>
  <c r="D6871" i="1"/>
  <c r="E6871" i="1"/>
  <c r="F6871" i="1"/>
  <c r="G6871" i="1"/>
  <c r="H6871" i="1"/>
  <c r="A6872" i="1"/>
  <c r="B6872" i="1"/>
  <c r="C6872" i="1"/>
  <c r="D6872" i="1"/>
  <c r="E6872" i="1"/>
  <c r="F6872" i="1"/>
  <c r="G6872" i="1"/>
  <c r="H6872" i="1"/>
  <c r="A6873" i="1"/>
  <c r="B6873" i="1"/>
  <c r="C6873" i="1"/>
  <c r="D6873" i="1"/>
  <c r="E6873" i="1"/>
  <c r="F6873" i="1"/>
  <c r="G6873" i="1"/>
  <c r="H6873" i="1"/>
  <c r="A6874" i="1"/>
  <c r="B6874" i="1"/>
  <c r="C6874" i="1"/>
  <c r="D6874" i="1"/>
  <c r="E6874" i="1"/>
  <c r="F6874" i="1"/>
  <c r="G6874" i="1"/>
  <c r="H6874" i="1"/>
  <c r="A6875" i="1"/>
  <c r="B6875" i="1"/>
  <c r="C6875" i="1"/>
  <c r="D6875" i="1"/>
  <c r="E6875" i="1"/>
  <c r="F6875" i="1"/>
  <c r="G6875" i="1"/>
  <c r="H6875" i="1"/>
  <c r="A6876" i="1"/>
  <c r="B6876" i="1"/>
  <c r="C6876" i="1"/>
  <c r="D6876" i="1"/>
  <c r="E6876" i="1"/>
  <c r="F6876" i="1"/>
  <c r="G6876" i="1"/>
  <c r="H6876" i="1"/>
  <c r="A6877" i="1"/>
  <c r="B6877" i="1"/>
  <c r="C6877" i="1"/>
  <c r="D6877" i="1"/>
  <c r="E6877" i="1"/>
  <c r="F6877" i="1"/>
  <c r="G6877" i="1"/>
  <c r="H6877" i="1"/>
  <c r="A6878" i="1"/>
  <c r="B6878" i="1"/>
  <c r="C6878" i="1"/>
  <c r="D6878" i="1"/>
  <c r="E6878" i="1"/>
  <c r="F6878" i="1"/>
  <c r="G6878" i="1"/>
  <c r="H6878" i="1"/>
  <c r="A6879" i="1"/>
  <c r="B6879" i="1"/>
  <c r="C6879" i="1"/>
  <c r="D6879" i="1"/>
  <c r="E6879" i="1"/>
  <c r="F6879" i="1"/>
  <c r="G6879" i="1"/>
  <c r="H6879" i="1"/>
  <c r="A6880" i="1"/>
  <c r="B6880" i="1"/>
  <c r="C6880" i="1"/>
  <c r="D6880" i="1"/>
  <c r="E6880" i="1"/>
  <c r="F6880" i="1"/>
  <c r="G6880" i="1"/>
  <c r="H6880" i="1"/>
  <c r="A6881" i="1"/>
  <c r="B6881" i="1"/>
  <c r="C6881" i="1"/>
  <c r="D6881" i="1"/>
  <c r="E6881" i="1"/>
  <c r="F6881" i="1"/>
  <c r="G6881" i="1"/>
  <c r="H6881" i="1"/>
  <c r="A6882" i="1"/>
  <c r="B6882" i="1"/>
  <c r="C6882" i="1"/>
  <c r="D6882" i="1"/>
  <c r="E6882" i="1"/>
  <c r="F6882" i="1"/>
  <c r="G6882" i="1"/>
  <c r="H6882" i="1"/>
  <c r="A6883" i="1"/>
  <c r="B6883" i="1"/>
  <c r="C6883" i="1"/>
  <c r="D6883" i="1"/>
  <c r="E6883" i="1"/>
  <c r="F6883" i="1"/>
  <c r="G6883" i="1"/>
  <c r="H6883" i="1"/>
  <c r="A6884" i="1"/>
  <c r="B6884" i="1"/>
  <c r="C6884" i="1"/>
  <c r="D6884" i="1"/>
  <c r="E6884" i="1"/>
  <c r="F6884" i="1"/>
  <c r="G6884" i="1"/>
  <c r="H6884" i="1"/>
  <c r="A6885" i="1"/>
  <c r="B6885" i="1"/>
  <c r="C6885" i="1"/>
  <c r="D6885" i="1"/>
  <c r="E6885" i="1"/>
  <c r="F6885" i="1"/>
  <c r="G6885" i="1"/>
  <c r="H6885" i="1"/>
  <c r="A6886" i="1"/>
  <c r="B6886" i="1"/>
  <c r="C6886" i="1"/>
  <c r="D6886" i="1"/>
  <c r="E6886" i="1"/>
  <c r="F6886" i="1"/>
  <c r="G6886" i="1"/>
  <c r="H6886" i="1"/>
  <c r="A6887" i="1"/>
  <c r="B6887" i="1"/>
  <c r="C6887" i="1"/>
  <c r="D6887" i="1"/>
  <c r="E6887" i="1"/>
  <c r="F6887" i="1"/>
  <c r="G6887" i="1"/>
  <c r="H6887" i="1"/>
  <c r="A6888" i="1"/>
  <c r="B6888" i="1"/>
  <c r="C6888" i="1"/>
  <c r="D6888" i="1"/>
  <c r="E6888" i="1"/>
  <c r="F6888" i="1"/>
  <c r="G6888" i="1"/>
  <c r="H6888" i="1"/>
  <c r="A6889" i="1"/>
  <c r="B6889" i="1"/>
  <c r="C6889" i="1"/>
  <c r="D6889" i="1"/>
  <c r="E6889" i="1"/>
  <c r="F6889" i="1"/>
  <c r="G6889" i="1"/>
  <c r="H6889" i="1"/>
  <c r="A6890" i="1"/>
  <c r="B6890" i="1"/>
  <c r="C6890" i="1"/>
  <c r="D6890" i="1"/>
  <c r="E6890" i="1"/>
  <c r="F6890" i="1"/>
  <c r="G6890" i="1"/>
  <c r="H6890" i="1"/>
  <c r="A6891" i="1"/>
  <c r="B6891" i="1"/>
  <c r="C6891" i="1"/>
  <c r="D6891" i="1"/>
  <c r="E6891" i="1"/>
  <c r="F6891" i="1"/>
  <c r="G6891" i="1"/>
  <c r="H6891" i="1"/>
  <c r="A6892" i="1"/>
  <c r="B6892" i="1"/>
  <c r="C6892" i="1"/>
  <c r="D6892" i="1"/>
  <c r="E6892" i="1"/>
  <c r="F6892" i="1"/>
  <c r="G6892" i="1"/>
  <c r="H6892" i="1"/>
  <c r="A6893" i="1"/>
  <c r="B6893" i="1"/>
  <c r="C6893" i="1"/>
  <c r="D6893" i="1"/>
  <c r="E6893" i="1"/>
  <c r="F6893" i="1"/>
  <c r="G6893" i="1"/>
  <c r="H6893" i="1"/>
  <c r="A6894" i="1"/>
  <c r="B6894" i="1"/>
  <c r="C6894" i="1"/>
  <c r="D6894" i="1"/>
  <c r="E6894" i="1"/>
  <c r="F6894" i="1"/>
  <c r="G6894" i="1"/>
  <c r="H6894" i="1"/>
  <c r="A6895" i="1"/>
  <c r="B6895" i="1"/>
  <c r="C6895" i="1"/>
  <c r="D6895" i="1"/>
  <c r="E6895" i="1"/>
  <c r="F6895" i="1"/>
  <c r="G6895" i="1"/>
  <c r="H6895" i="1"/>
  <c r="A6896" i="1"/>
  <c r="B6896" i="1"/>
  <c r="C6896" i="1"/>
  <c r="D6896" i="1"/>
  <c r="E6896" i="1"/>
  <c r="F6896" i="1"/>
  <c r="G6896" i="1"/>
  <c r="H6896" i="1"/>
  <c r="A6897" i="1"/>
  <c r="B6897" i="1"/>
  <c r="C6897" i="1"/>
  <c r="D6897" i="1"/>
  <c r="E6897" i="1"/>
  <c r="F6897" i="1"/>
  <c r="G6897" i="1"/>
  <c r="H6897" i="1"/>
  <c r="A6898" i="1"/>
  <c r="B6898" i="1"/>
  <c r="C6898" i="1"/>
  <c r="D6898" i="1"/>
  <c r="E6898" i="1"/>
  <c r="F6898" i="1"/>
  <c r="G6898" i="1"/>
  <c r="H6898" i="1"/>
  <c r="A6899" i="1"/>
  <c r="B6899" i="1"/>
  <c r="C6899" i="1"/>
  <c r="D6899" i="1"/>
  <c r="E6899" i="1"/>
  <c r="F6899" i="1"/>
  <c r="G6899" i="1"/>
  <c r="H6899" i="1"/>
  <c r="A6900" i="1"/>
  <c r="B6900" i="1"/>
  <c r="C6900" i="1"/>
  <c r="D6900" i="1"/>
  <c r="E6900" i="1"/>
  <c r="F6900" i="1"/>
  <c r="G6900" i="1"/>
  <c r="H6900" i="1"/>
  <c r="A6901" i="1"/>
  <c r="B6901" i="1"/>
  <c r="C6901" i="1"/>
  <c r="D6901" i="1"/>
  <c r="E6901" i="1"/>
  <c r="F6901" i="1"/>
  <c r="G6901" i="1"/>
  <c r="H6901" i="1"/>
  <c r="A6902" i="1"/>
  <c r="B6902" i="1"/>
  <c r="C6902" i="1"/>
  <c r="D6902" i="1"/>
  <c r="E6902" i="1"/>
  <c r="F6902" i="1"/>
  <c r="G6902" i="1"/>
  <c r="H6902" i="1"/>
  <c r="A6903" i="1"/>
  <c r="B6903" i="1"/>
  <c r="C6903" i="1"/>
  <c r="D6903" i="1"/>
  <c r="E6903" i="1"/>
  <c r="F6903" i="1"/>
  <c r="G6903" i="1"/>
  <c r="H6903" i="1"/>
  <c r="A6904" i="1"/>
  <c r="B6904" i="1"/>
  <c r="C6904" i="1"/>
  <c r="D6904" i="1"/>
  <c r="E6904" i="1"/>
  <c r="F6904" i="1"/>
  <c r="G6904" i="1"/>
  <c r="H6904" i="1"/>
  <c r="A6905" i="1"/>
  <c r="B6905" i="1"/>
  <c r="C6905" i="1"/>
  <c r="D6905" i="1"/>
  <c r="E6905" i="1"/>
  <c r="F6905" i="1"/>
  <c r="G6905" i="1"/>
  <c r="H6905" i="1"/>
  <c r="A6906" i="1"/>
  <c r="B6906" i="1"/>
  <c r="C6906" i="1"/>
  <c r="D6906" i="1"/>
  <c r="E6906" i="1"/>
  <c r="F6906" i="1"/>
  <c r="G6906" i="1"/>
  <c r="H6906" i="1"/>
  <c r="A6907" i="1"/>
  <c r="B6907" i="1"/>
  <c r="C6907" i="1"/>
  <c r="D6907" i="1"/>
  <c r="E6907" i="1"/>
  <c r="F6907" i="1"/>
  <c r="G6907" i="1"/>
  <c r="H6907" i="1"/>
  <c r="A6908" i="1"/>
  <c r="B6908" i="1"/>
  <c r="C6908" i="1"/>
  <c r="D6908" i="1"/>
  <c r="E6908" i="1"/>
  <c r="F6908" i="1"/>
  <c r="G6908" i="1"/>
  <c r="H6908" i="1"/>
  <c r="A6909" i="1"/>
  <c r="B6909" i="1"/>
  <c r="C6909" i="1"/>
  <c r="D6909" i="1"/>
  <c r="E6909" i="1"/>
  <c r="F6909" i="1"/>
  <c r="G6909" i="1"/>
  <c r="H6909" i="1"/>
  <c r="A6910" i="1"/>
  <c r="B6910" i="1"/>
  <c r="C6910" i="1"/>
  <c r="D6910" i="1"/>
  <c r="E6910" i="1"/>
  <c r="F6910" i="1"/>
  <c r="G6910" i="1"/>
  <c r="H6910" i="1"/>
  <c r="A6911" i="1"/>
  <c r="B6911" i="1"/>
  <c r="C6911" i="1"/>
  <c r="D6911" i="1"/>
  <c r="E6911" i="1"/>
  <c r="F6911" i="1"/>
  <c r="G6911" i="1"/>
  <c r="H6911" i="1"/>
  <c r="A6912" i="1"/>
  <c r="B6912" i="1"/>
  <c r="C6912" i="1"/>
  <c r="D6912" i="1"/>
  <c r="E6912" i="1"/>
  <c r="F6912" i="1"/>
  <c r="G6912" i="1"/>
  <c r="H6912" i="1"/>
  <c r="A6913" i="1"/>
  <c r="B6913" i="1"/>
  <c r="C6913" i="1"/>
  <c r="D6913" i="1"/>
  <c r="E6913" i="1"/>
  <c r="F6913" i="1"/>
  <c r="G6913" i="1"/>
  <c r="H6913" i="1"/>
  <c r="A6914" i="1"/>
  <c r="B6914" i="1"/>
  <c r="C6914" i="1"/>
  <c r="D6914" i="1"/>
  <c r="E6914" i="1"/>
  <c r="F6914" i="1"/>
  <c r="G6914" i="1"/>
  <c r="H6914" i="1"/>
  <c r="A6915" i="1"/>
  <c r="B6915" i="1"/>
  <c r="C6915" i="1"/>
  <c r="D6915" i="1"/>
  <c r="E6915" i="1"/>
  <c r="F6915" i="1"/>
  <c r="G6915" i="1"/>
  <c r="H6915" i="1"/>
  <c r="A6916" i="1"/>
  <c r="B6916" i="1"/>
  <c r="C6916" i="1"/>
  <c r="D6916" i="1"/>
  <c r="E6916" i="1"/>
  <c r="F6916" i="1"/>
  <c r="G6916" i="1"/>
  <c r="H6916" i="1"/>
  <c r="A6917" i="1"/>
  <c r="B6917" i="1"/>
  <c r="C6917" i="1"/>
  <c r="D6917" i="1"/>
  <c r="E6917" i="1"/>
  <c r="F6917" i="1"/>
  <c r="G6917" i="1"/>
  <c r="H6917" i="1"/>
  <c r="A6918" i="1"/>
  <c r="B6918" i="1"/>
  <c r="C6918" i="1"/>
  <c r="D6918" i="1"/>
  <c r="E6918" i="1"/>
  <c r="F6918" i="1"/>
  <c r="G6918" i="1"/>
  <c r="H6918" i="1"/>
  <c r="A6919" i="1"/>
  <c r="B6919" i="1"/>
  <c r="C6919" i="1"/>
  <c r="D6919" i="1"/>
  <c r="E6919" i="1"/>
  <c r="F6919" i="1"/>
  <c r="G6919" i="1"/>
  <c r="H6919" i="1"/>
  <c r="A6920" i="1"/>
  <c r="B6920" i="1"/>
  <c r="C6920" i="1"/>
  <c r="D6920" i="1"/>
  <c r="E6920" i="1"/>
  <c r="F6920" i="1"/>
  <c r="G6920" i="1"/>
  <c r="H6920" i="1"/>
  <c r="A6921" i="1"/>
  <c r="B6921" i="1"/>
  <c r="C6921" i="1"/>
  <c r="D6921" i="1"/>
  <c r="E6921" i="1"/>
  <c r="F6921" i="1"/>
  <c r="G6921" i="1"/>
  <c r="H6921" i="1"/>
  <c r="A6922" i="1"/>
  <c r="B6922" i="1"/>
  <c r="C6922" i="1"/>
  <c r="D6922" i="1"/>
  <c r="E6922" i="1"/>
  <c r="F6922" i="1"/>
  <c r="G6922" i="1"/>
  <c r="H6922" i="1"/>
  <c r="A6923" i="1"/>
  <c r="B6923" i="1"/>
  <c r="C6923" i="1"/>
  <c r="D6923" i="1"/>
  <c r="E6923" i="1"/>
  <c r="F6923" i="1"/>
  <c r="G6923" i="1"/>
  <c r="H6923" i="1"/>
  <c r="A6924" i="1"/>
  <c r="B6924" i="1"/>
  <c r="C6924" i="1"/>
  <c r="D6924" i="1"/>
  <c r="E6924" i="1"/>
  <c r="F6924" i="1"/>
  <c r="G6924" i="1"/>
  <c r="H6924" i="1"/>
  <c r="A6925" i="1"/>
  <c r="B6925" i="1"/>
  <c r="C6925" i="1"/>
  <c r="D6925" i="1"/>
  <c r="E6925" i="1"/>
  <c r="F6925" i="1"/>
  <c r="G6925" i="1"/>
  <c r="H6925" i="1"/>
  <c r="A6926" i="1"/>
  <c r="B6926" i="1"/>
  <c r="C6926" i="1"/>
  <c r="D6926" i="1"/>
  <c r="E6926" i="1"/>
  <c r="F6926" i="1"/>
  <c r="G6926" i="1"/>
  <c r="H6926" i="1"/>
  <c r="A6927" i="1"/>
  <c r="B6927" i="1"/>
  <c r="C6927" i="1"/>
  <c r="D6927" i="1"/>
  <c r="E6927" i="1"/>
  <c r="F6927" i="1"/>
  <c r="G6927" i="1"/>
  <c r="H6927" i="1"/>
  <c r="A6928" i="1"/>
  <c r="B6928" i="1"/>
  <c r="C6928" i="1"/>
  <c r="D6928" i="1"/>
  <c r="E6928" i="1"/>
  <c r="F6928" i="1"/>
  <c r="G6928" i="1"/>
  <c r="H6928" i="1"/>
  <c r="A6929" i="1"/>
  <c r="B6929" i="1"/>
  <c r="C6929" i="1"/>
  <c r="D6929" i="1"/>
  <c r="E6929" i="1"/>
  <c r="F6929" i="1"/>
  <c r="G6929" i="1"/>
  <c r="H6929" i="1"/>
  <c r="A6930" i="1"/>
  <c r="B6930" i="1"/>
  <c r="C6930" i="1"/>
  <c r="D6930" i="1"/>
  <c r="E6930" i="1"/>
  <c r="F6930" i="1"/>
  <c r="G6930" i="1"/>
  <c r="H6930" i="1"/>
  <c r="A6931" i="1"/>
  <c r="B6931" i="1"/>
  <c r="C6931" i="1"/>
  <c r="D6931" i="1"/>
  <c r="E6931" i="1"/>
  <c r="F6931" i="1"/>
  <c r="G6931" i="1"/>
  <c r="H6931" i="1"/>
  <c r="A6932" i="1"/>
  <c r="B6932" i="1"/>
  <c r="C6932" i="1"/>
  <c r="D6932" i="1"/>
  <c r="E6932" i="1"/>
  <c r="F6932" i="1"/>
  <c r="G6932" i="1"/>
  <c r="H6932" i="1"/>
  <c r="A6933" i="1"/>
  <c r="B6933" i="1"/>
  <c r="C6933" i="1"/>
  <c r="D6933" i="1"/>
  <c r="E6933" i="1"/>
  <c r="F6933" i="1"/>
  <c r="G6933" i="1"/>
  <c r="H6933" i="1"/>
  <c r="A6934" i="1"/>
  <c r="B6934" i="1"/>
  <c r="C6934" i="1"/>
  <c r="D6934" i="1"/>
  <c r="E6934" i="1"/>
  <c r="F6934" i="1"/>
  <c r="G6934" i="1"/>
  <c r="H6934" i="1"/>
  <c r="A6935" i="1"/>
  <c r="B6935" i="1"/>
  <c r="C6935" i="1"/>
  <c r="D6935" i="1"/>
  <c r="E6935" i="1"/>
  <c r="F6935" i="1"/>
  <c r="G6935" i="1"/>
  <c r="H6935" i="1"/>
  <c r="A6936" i="1"/>
  <c r="B6936" i="1"/>
  <c r="C6936" i="1"/>
  <c r="D6936" i="1"/>
  <c r="E6936" i="1"/>
  <c r="F6936" i="1"/>
  <c r="G6936" i="1"/>
  <c r="H6936" i="1"/>
  <c r="A6937" i="1"/>
  <c r="B6937" i="1"/>
  <c r="C6937" i="1"/>
  <c r="D6937" i="1"/>
  <c r="E6937" i="1"/>
  <c r="F6937" i="1"/>
  <c r="G6937" i="1"/>
  <c r="H6937" i="1"/>
  <c r="A6938" i="1"/>
  <c r="B6938" i="1"/>
  <c r="C6938" i="1"/>
  <c r="D6938" i="1"/>
  <c r="E6938" i="1"/>
  <c r="F6938" i="1"/>
  <c r="G6938" i="1"/>
  <c r="H6938" i="1"/>
  <c r="A6939" i="1"/>
  <c r="B6939" i="1"/>
  <c r="C6939" i="1"/>
  <c r="D6939" i="1"/>
  <c r="E6939" i="1"/>
  <c r="F6939" i="1"/>
  <c r="G6939" i="1"/>
  <c r="H6939" i="1"/>
  <c r="A6940" i="1"/>
  <c r="B6940" i="1"/>
  <c r="C6940" i="1"/>
  <c r="D6940" i="1"/>
  <c r="E6940" i="1"/>
  <c r="F6940" i="1"/>
  <c r="G6940" i="1"/>
  <c r="H6940" i="1"/>
  <c r="A6941" i="1"/>
  <c r="B6941" i="1"/>
  <c r="C6941" i="1"/>
  <c r="D6941" i="1"/>
  <c r="E6941" i="1"/>
  <c r="F6941" i="1"/>
  <c r="G6941" i="1"/>
  <c r="H6941" i="1"/>
  <c r="A6942" i="1"/>
  <c r="B6942" i="1"/>
  <c r="C6942" i="1"/>
  <c r="D6942" i="1"/>
  <c r="E6942" i="1"/>
  <c r="F6942" i="1"/>
  <c r="G6942" i="1"/>
  <c r="H6942" i="1"/>
  <c r="A6943" i="1"/>
  <c r="B6943" i="1"/>
  <c r="C6943" i="1"/>
  <c r="D6943" i="1"/>
  <c r="E6943" i="1"/>
  <c r="F6943" i="1"/>
  <c r="G6943" i="1"/>
  <c r="H6943" i="1"/>
  <c r="A6944" i="1"/>
  <c r="B6944" i="1"/>
  <c r="C6944" i="1"/>
  <c r="D6944" i="1"/>
  <c r="E6944" i="1"/>
  <c r="F6944" i="1"/>
  <c r="G6944" i="1"/>
  <c r="H6944" i="1"/>
  <c r="A6945" i="1"/>
  <c r="B6945" i="1"/>
  <c r="C6945" i="1"/>
  <c r="D6945" i="1"/>
  <c r="E6945" i="1"/>
  <c r="F6945" i="1"/>
  <c r="G6945" i="1"/>
  <c r="H6945" i="1"/>
  <c r="A6946" i="1"/>
  <c r="B6946" i="1"/>
  <c r="C6946" i="1"/>
  <c r="D6946" i="1"/>
  <c r="E6946" i="1"/>
  <c r="F6946" i="1"/>
  <c r="G6946" i="1"/>
  <c r="H6946" i="1"/>
  <c r="A6947" i="1"/>
  <c r="B6947" i="1"/>
  <c r="C6947" i="1"/>
  <c r="D6947" i="1"/>
  <c r="E6947" i="1"/>
  <c r="F6947" i="1"/>
  <c r="G6947" i="1"/>
  <c r="H6947" i="1"/>
  <c r="A6948" i="1"/>
  <c r="B6948" i="1"/>
  <c r="C6948" i="1"/>
  <c r="D6948" i="1"/>
  <c r="E6948" i="1"/>
  <c r="F6948" i="1"/>
  <c r="G6948" i="1"/>
  <c r="H6948" i="1"/>
  <c r="A6949" i="1"/>
  <c r="B6949" i="1"/>
  <c r="C6949" i="1"/>
  <c r="D6949" i="1"/>
  <c r="E6949" i="1"/>
  <c r="F6949" i="1"/>
  <c r="G6949" i="1"/>
  <c r="H6949" i="1"/>
  <c r="A6950" i="1"/>
  <c r="B6950" i="1"/>
  <c r="C6950" i="1"/>
  <c r="D6950" i="1"/>
  <c r="E6950" i="1"/>
  <c r="F6950" i="1"/>
  <c r="G6950" i="1"/>
  <c r="H6950" i="1"/>
  <c r="A6951" i="1"/>
  <c r="B6951" i="1"/>
  <c r="C6951" i="1"/>
  <c r="D6951" i="1"/>
  <c r="E6951" i="1"/>
  <c r="F6951" i="1"/>
  <c r="G6951" i="1"/>
  <c r="H6951" i="1"/>
  <c r="A6952" i="1"/>
  <c r="B6952" i="1"/>
  <c r="C6952" i="1"/>
  <c r="D6952" i="1"/>
  <c r="E6952" i="1"/>
  <c r="F6952" i="1"/>
  <c r="G6952" i="1"/>
  <c r="H6952" i="1"/>
  <c r="A6953" i="1"/>
  <c r="B6953" i="1"/>
  <c r="C6953" i="1"/>
  <c r="D6953" i="1"/>
  <c r="E6953" i="1"/>
  <c r="F6953" i="1"/>
  <c r="G6953" i="1"/>
  <c r="H6953" i="1"/>
  <c r="A6954" i="1"/>
  <c r="B6954" i="1"/>
  <c r="C6954" i="1"/>
  <c r="D6954" i="1"/>
  <c r="E6954" i="1"/>
  <c r="F6954" i="1"/>
  <c r="G6954" i="1"/>
  <c r="H6954" i="1"/>
  <c r="A6955" i="1"/>
  <c r="B6955" i="1"/>
  <c r="C6955" i="1"/>
  <c r="D6955" i="1"/>
  <c r="E6955" i="1"/>
  <c r="F6955" i="1"/>
  <c r="G6955" i="1"/>
  <c r="H6955" i="1"/>
  <c r="A6956" i="1"/>
  <c r="B6956" i="1"/>
  <c r="C6956" i="1"/>
  <c r="D6956" i="1"/>
  <c r="E6956" i="1"/>
  <c r="F6956" i="1"/>
  <c r="G6956" i="1"/>
  <c r="H6956" i="1"/>
  <c r="A6957" i="1"/>
  <c r="B6957" i="1"/>
  <c r="C6957" i="1"/>
  <c r="D6957" i="1"/>
  <c r="E6957" i="1"/>
  <c r="F6957" i="1"/>
  <c r="G6957" i="1"/>
  <c r="H6957" i="1"/>
  <c r="A6958" i="1"/>
  <c r="B6958" i="1"/>
  <c r="C6958" i="1"/>
  <c r="D6958" i="1"/>
  <c r="E6958" i="1"/>
  <c r="F6958" i="1"/>
  <c r="G6958" i="1"/>
  <c r="H6958" i="1"/>
  <c r="A6959" i="1"/>
  <c r="B6959" i="1"/>
  <c r="C6959" i="1"/>
  <c r="D6959" i="1"/>
  <c r="E6959" i="1"/>
  <c r="F6959" i="1"/>
  <c r="G6959" i="1"/>
  <c r="H6959" i="1"/>
  <c r="A6960" i="1"/>
  <c r="B6960" i="1"/>
  <c r="C6960" i="1"/>
  <c r="D6960" i="1"/>
  <c r="E6960" i="1"/>
  <c r="F6960" i="1"/>
  <c r="G6960" i="1"/>
  <c r="H6960" i="1"/>
  <c r="A6961" i="1"/>
  <c r="B6961" i="1"/>
  <c r="C6961" i="1"/>
  <c r="D6961" i="1"/>
  <c r="E6961" i="1"/>
  <c r="F6961" i="1"/>
  <c r="G6961" i="1"/>
  <c r="H6961" i="1"/>
  <c r="A6962" i="1"/>
  <c r="B6962" i="1"/>
  <c r="C6962" i="1"/>
  <c r="D6962" i="1"/>
  <c r="E6962" i="1"/>
  <c r="F6962" i="1"/>
  <c r="G6962" i="1"/>
  <c r="H6962" i="1"/>
  <c r="A6963" i="1"/>
  <c r="B6963" i="1"/>
  <c r="C6963" i="1"/>
  <c r="D6963" i="1"/>
  <c r="E6963" i="1"/>
  <c r="F6963" i="1"/>
  <c r="G6963" i="1"/>
  <c r="H6963" i="1"/>
  <c r="A6964" i="1"/>
  <c r="B6964" i="1"/>
  <c r="C6964" i="1"/>
  <c r="D6964" i="1"/>
  <c r="E6964" i="1"/>
  <c r="F6964" i="1"/>
  <c r="G6964" i="1"/>
  <c r="H6964" i="1"/>
  <c r="A6965" i="1"/>
  <c r="B6965" i="1"/>
  <c r="C6965" i="1"/>
  <c r="D6965" i="1"/>
  <c r="E6965" i="1"/>
  <c r="F6965" i="1"/>
  <c r="G6965" i="1"/>
  <c r="H6965" i="1"/>
  <c r="A6966" i="1"/>
  <c r="B6966" i="1"/>
  <c r="C6966" i="1"/>
  <c r="D6966" i="1"/>
  <c r="E6966" i="1"/>
  <c r="F6966" i="1"/>
  <c r="G6966" i="1"/>
  <c r="H6966" i="1"/>
  <c r="A6967" i="1"/>
  <c r="B6967" i="1"/>
  <c r="C6967" i="1"/>
  <c r="D6967" i="1"/>
  <c r="E6967" i="1"/>
  <c r="F6967" i="1"/>
  <c r="G6967" i="1"/>
  <c r="H6967" i="1"/>
  <c r="A6968" i="1"/>
  <c r="B6968" i="1"/>
  <c r="C6968" i="1"/>
  <c r="D6968" i="1"/>
  <c r="E6968" i="1"/>
  <c r="F6968" i="1"/>
  <c r="G6968" i="1"/>
  <c r="H6968" i="1"/>
  <c r="A6969" i="1"/>
  <c r="B6969" i="1"/>
  <c r="C6969" i="1"/>
  <c r="D6969" i="1"/>
  <c r="E6969" i="1"/>
  <c r="F6969" i="1"/>
  <c r="G6969" i="1"/>
  <c r="H6969" i="1"/>
  <c r="A6970" i="1"/>
  <c r="B6970" i="1"/>
  <c r="C6970" i="1"/>
  <c r="D6970" i="1"/>
  <c r="E6970" i="1"/>
  <c r="F6970" i="1"/>
  <c r="G6970" i="1"/>
  <c r="H6970" i="1"/>
  <c r="A6971" i="1"/>
  <c r="B6971" i="1"/>
  <c r="C6971" i="1"/>
  <c r="D6971" i="1"/>
  <c r="E6971" i="1"/>
  <c r="F6971" i="1"/>
  <c r="G6971" i="1"/>
  <c r="H6971" i="1"/>
  <c r="A6972" i="1"/>
  <c r="B6972" i="1"/>
  <c r="C6972" i="1"/>
  <c r="D6972" i="1"/>
  <c r="E6972" i="1"/>
  <c r="F6972" i="1"/>
  <c r="G6972" i="1"/>
  <c r="H6972" i="1"/>
  <c r="A6973" i="1"/>
  <c r="B6973" i="1"/>
  <c r="C6973" i="1"/>
  <c r="D6973" i="1"/>
  <c r="E6973" i="1"/>
  <c r="F6973" i="1"/>
  <c r="G6973" i="1"/>
  <c r="H6973" i="1"/>
  <c r="A6974" i="1"/>
  <c r="B6974" i="1"/>
  <c r="C6974" i="1"/>
  <c r="D6974" i="1"/>
  <c r="E6974" i="1"/>
  <c r="F6974" i="1"/>
  <c r="G6974" i="1"/>
  <c r="H6974" i="1"/>
  <c r="A6975" i="1"/>
  <c r="B6975" i="1"/>
  <c r="C6975" i="1"/>
  <c r="D6975" i="1"/>
  <c r="E6975" i="1"/>
  <c r="F6975" i="1"/>
  <c r="G6975" i="1"/>
  <c r="H6975" i="1"/>
  <c r="A6976" i="1"/>
  <c r="B6976" i="1"/>
  <c r="C6976" i="1"/>
  <c r="D6976" i="1"/>
  <c r="E6976" i="1"/>
  <c r="F6976" i="1"/>
  <c r="G6976" i="1"/>
  <c r="H6976" i="1"/>
  <c r="A6977" i="1"/>
  <c r="B6977" i="1"/>
  <c r="C6977" i="1"/>
  <c r="D6977" i="1"/>
  <c r="E6977" i="1"/>
  <c r="F6977" i="1"/>
  <c r="G6977" i="1"/>
  <c r="H6977" i="1"/>
  <c r="A6978" i="1"/>
  <c r="B6978" i="1"/>
  <c r="C6978" i="1"/>
  <c r="D6978" i="1"/>
  <c r="E6978" i="1"/>
  <c r="F6978" i="1"/>
  <c r="G6978" i="1"/>
  <c r="H6978" i="1"/>
  <c r="A6979" i="1"/>
  <c r="B6979" i="1"/>
  <c r="C6979" i="1"/>
  <c r="D6979" i="1"/>
  <c r="E6979" i="1"/>
  <c r="F6979" i="1"/>
  <c r="G6979" i="1"/>
  <c r="H6979" i="1"/>
  <c r="A6980" i="1"/>
  <c r="B6980" i="1"/>
  <c r="C6980" i="1"/>
  <c r="D6980" i="1"/>
  <c r="E6980" i="1"/>
  <c r="F6980" i="1"/>
  <c r="G6980" i="1"/>
  <c r="H6980" i="1"/>
  <c r="A6981" i="1"/>
  <c r="B6981" i="1"/>
  <c r="C6981" i="1"/>
  <c r="D6981" i="1"/>
  <c r="E6981" i="1"/>
  <c r="F6981" i="1"/>
  <c r="G6981" i="1"/>
  <c r="H6981" i="1"/>
  <c r="A6982" i="1"/>
  <c r="B6982" i="1"/>
  <c r="C6982" i="1"/>
  <c r="D6982" i="1"/>
  <c r="E6982" i="1"/>
  <c r="F6982" i="1"/>
  <c r="G6982" i="1"/>
  <c r="H6982" i="1"/>
  <c r="A6983" i="1"/>
  <c r="B6983" i="1"/>
  <c r="C6983" i="1"/>
  <c r="D6983" i="1"/>
  <c r="E6983" i="1"/>
  <c r="F6983" i="1"/>
  <c r="G6983" i="1"/>
  <c r="H6983" i="1"/>
  <c r="A6984" i="1"/>
  <c r="B6984" i="1"/>
  <c r="C6984" i="1"/>
  <c r="D6984" i="1"/>
  <c r="E6984" i="1"/>
  <c r="F6984" i="1"/>
  <c r="G6984" i="1"/>
  <c r="H6984" i="1"/>
  <c r="A6985" i="1"/>
  <c r="B6985" i="1"/>
  <c r="C6985" i="1"/>
  <c r="D6985" i="1"/>
  <c r="E6985" i="1"/>
  <c r="F6985" i="1"/>
  <c r="G6985" i="1"/>
  <c r="H6985" i="1"/>
  <c r="A6986" i="1"/>
  <c r="B6986" i="1"/>
  <c r="C6986" i="1"/>
  <c r="D6986" i="1"/>
  <c r="E6986" i="1"/>
  <c r="F6986" i="1"/>
  <c r="G6986" i="1"/>
  <c r="H6986" i="1"/>
  <c r="A6987" i="1"/>
  <c r="B6987" i="1"/>
  <c r="C6987" i="1"/>
  <c r="D6987" i="1"/>
  <c r="E6987" i="1"/>
  <c r="F6987" i="1"/>
  <c r="G6987" i="1"/>
  <c r="H6987" i="1"/>
  <c r="A6988" i="1"/>
  <c r="B6988" i="1"/>
  <c r="C6988" i="1"/>
  <c r="D6988" i="1"/>
  <c r="E6988" i="1"/>
  <c r="F6988" i="1"/>
  <c r="G6988" i="1"/>
  <c r="H6988" i="1"/>
  <c r="A6989" i="1"/>
  <c r="B6989" i="1"/>
  <c r="C6989" i="1"/>
  <c r="D6989" i="1"/>
  <c r="E6989" i="1"/>
  <c r="F6989" i="1"/>
  <c r="G6989" i="1"/>
  <c r="H6989" i="1"/>
  <c r="A6990" i="1"/>
  <c r="B6990" i="1"/>
  <c r="C6990" i="1"/>
  <c r="D6990" i="1"/>
  <c r="E6990" i="1"/>
  <c r="F6990" i="1"/>
  <c r="G6990" i="1"/>
  <c r="H6990" i="1"/>
  <c r="A6991" i="1"/>
  <c r="B6991" i="1"/>
  <c r="C6991" i="1"/>
  <c r="D6991" i="1"/>
  <c r="E6991" i="1"/>
  <c r="F6991" i="1"/>
  <c r="G6991" i="1"/>
  <c r="H6991" i="1"/>
  <c r="A6992" i="1"/>
  <c r="B6992" i="1"/>
  <c r="C6992" i="1"/>
  <c r="D6992" i="1"/>
  <c r="E6992" i="1"/>
  <c r="F6992" i="1"/>
  <c r="G6992" i="1"/>
  <c r="H6992" i="1"/>
  <c r="A6993" i="1"/>
  <c r="B6993" i="1"/>
  <c r="C6993" i="1"/>
  <c r="D6993" i="1"/>
  <c r="E6993" i="1"/>
  <c r="F6993" i="1"/>
  <c r="G6993" i="1"/>
  <c r="H6993" i="1"/>
  <c r="A6994" i="1"/>
  <c r="B6994" i="1"/>
  <c r="C6994" i="1"/>
  <c r="D6994" i="1"/>
  <c r="E6994" i="1"/>
  <c r="F6994" i="1"/>
  <c r="G6994" i="1"/>
  <c r="H6994" i="1"/>
  <c r="A6995" i="1"/>
  <c r="B6995" i="1"/>
  <c r="C6995" i="1"/>
  <c r="D6995" i="1"/>
  <c r="E6995" i="1"/>
  <c r="F6995" i="1"/>
  <c r="G6995" i="1"/>
  <c r="H6995" i="1"/>
  <c r="A6996" i="1"/>
  <c r="B6996" i="1"/>
  <c r="C6996" i="1"/>
  <c r="D6996" i="1"/>
  <c r="E6996" i="1"/>
  <c r="F6996" i="1"/>
  <c r="G6996" i="1"/>
  <c r="H6996" i="1"/>
  <c r="A6997" i="1"/>
  <c r="B6997" i="1"/>
  <c r="C6997" i="1"/>
  <c r="D6997" i="1"/>
  <c r="E6997" i="1"/>
  <c r="F6997" i="1"/>
  <c r="G6997" i="1"/>
  <c r="H6997" i="1"/>
  <c r="A6998" i="1"/>
  <c r="B6998" i="1"/>
  <c r="C6998" i="1"/>
  <c r="D6998" i="1"/>
  <c r="E6998" i="1"/>
  <c r="F6998" i="1"/>
  <c r="G6998" i="1"/>
  <c r="H6998" i="1"/>
  <c r="A6999" i="1"/>
  <c r="B6999" i="1"/>
  <c r="C6999" i="1"/>
  <c r="D6999" i="1"/>
  <c r="E6999" i="1"/>
  <c r="F6999" i="1"/>
  <c r="G6999" i="1"/>
  <c r="H6999" i="1"/>
  <c r="A7000" i="1"/>
  <c r="B7000" i="1"/>
  <c r="C7000" i="1"/>
  <c r="D7000" i="1"/>
  <c r="E7000" i="1"/>
  <c r="F7000" i="1"/>
  <c r="G7000" i="1"/>
  <c r="H7000" i="1"/>
  <c r="A7001" i="1"/>
  <c r="B7001" i="1"/>
  <c r="C7001" i="1"/>
  <c r="D7001" i="1"/>
  <c r="E7001" i="1"/>
  <c r="F7001" i="1"/>
  <c r="G7001" i="1"/>
  <c r="H7001" i="1"/>
  <c r="A7002" i="1"/>
  <c r="B7002" i="1"/>
  <c r="C7002" i="1"/>
  <c r="D7002" i="1"/>
  <c r="E7002" i="1"/>
  <c r="F7002" i="1"/>
  <c r="G7002" i="1"/>
  <c r="H7002" i="1"/>
  <c r="A7003" i="1"/>
  <c r="B7003" i="1"/>
  <c r="C7003" i="1"/>
  <c r="D7003" i="1"/>
  <c r="E7003" i="1"/>
  <c r="F7003" i="1"/>
  <c r="G7003" i="1"/>
  <c r="H7003" i="1"/>
  <c r="A7004" i="1"/>
  <c r="B7004" i="1"/>
  <c r="C7004" i="1"/>
  <c r="D7004" i="1"/>
  <c r="E7004" i="1"/>
  <c r="F7004" i="1"/>
  <c r="G7004" i="1"/>
  <c r="H7004" i="1"/>
  <c r="A7005" i="1"/>
  <c r="B7005" i="1"/>
  <c r="C7005" i="1"/>
  <c r="D7005" i="1"/>
  <c r="E7005" i="1"/>
  <c r="F7005" i="1"/>
  <c r="G7005" i="1"/>
  <c r="H7005" i="1"/>
  <c r="A7006" i="1"/>
  <c r="B7006" i="1"/>
  <c r="C7006" i="1"/>
  <c r="D7006" i="1"/>
  <c r="E7006" i="1"/>
  <c r="F7006" i="1"/>
  <c r="G7006" i="1"/>
  <c r="H7006" i="1"/>
  <c r="A7007" i="1"/>
  <c r="B7007" i="1"/>
  <c r="C7007" i="1"/>
  <c r="D7007" i="1"/>
  <c r="E7007" i="1"/>
  <c r="F7007" i="1"/>
  <c r="G7007" i="1"/>
  <c r="H7007" i="1"/>
  <c r="A7008" i="1"/>
  <c r="B7008" i="1"/>
  <c r="C7008" i="1"/>
  <c r="D7008" i="1"/>
  <c r="E7008" i="1"/>
  <c r="F7008" i="1"/>
  <c r="G7008" i="1"/>
  <c r="H7008" i="1"/>
  <c r="A7009" i="1"/>
  <c r="B7009" i="1"/>
  <c r="C7009" i="1"/>
  <c r="D7009" i="1"/>
  <c r="E7009" i="1"/>
  <c r="F7009" i="1"/>
  <c r="G7009" i="1"/>
  <c r="H7009" i="1"/>
  <c r="A7010" i="1"/>
  <c r="B7010" i="1"/>
  <c r="C7010" i="1"/>
  <c r="D7010" i="1"/>
  <c r="E7010" i="1"/>
  <c r="F7010" i="1"/>
  <c r="G7010" i="1"/>
  <c r="H7010" i="1"/>
  <c r="A7011" i="1"/>
  <c r="B7011" i="1"/>
  <c r="C7011" i="1"/>
  <c r="D7011" i="1"/>
  <c r="E7011" i="1"/>
  <c r="F7011" i="1"/>
  <c r="G7011" i="1"/>
  <c r="H7011" i="1"/>
  <c r="A7012" i="1"/>
  <c r="B7012" i="1"/>
  <c r="C7012" i="1"/>
  <c r="D7012" i="1"/>
  <c r="E7012" i="1"/>
  <c r="F7012" i="1"/>
  <c r="G7012" i="1"/>
  <c r="H7012" i="1"/>
  <c r="A7013" i="1"/>
  <c r="B7013" i="1"/>
  <c r="C7013" i="1"/>
  <c r="D7013" i="1"/>
  <c r="E7013" i="1"/>
  <c r="F7013" i="1"/>
  <c r="G7013" i="1"/>
  <c r="H7013" i="1"/>
  <c r="A7014" i="1"/>
  <c r="B7014" i="1"/>
  <c r="C7014" i="1"/>
  <c r="D7014" i="1"/>
  <c r="E7014" i="1"/>
  <c r="F7014" i="1"/>
  <c r="G7014" i="1"/>
  <c r="H7014" i="1"/>
  <c r="A7015" i="1"/>
  <c r="B7015" i="1"/>
  <c r="C7015" i="1"/>
  <c r="D7015" i="1"/>
  <c r="E7015" i="1"/>
  <c r="F7015" i="1"/>
  <c r="G7015" i="1"/>
  <c r="H7015" i="1"/>
  <c r="A7016" i="1"/>
  <c r="B7016" i="1"/>
  <c r="C7016" i="1"/>
  <c r="D7016" i="1"/>
  <c r="E7016" i="1"/>
  <c r="F7016" i="1"/>
  <c r="G7016" i="1"/>
  <c r="H7016" i="1"/>
  <c r="A7017" i="1"/>
  <c r="B7017" i="1"/>
  <c r="C7017" i="1"/>
  <c r="D7017" i="1"/>
  <c r="E7017" i="1"/>
  <c r="F7017" i="1"/>
  <c r="G7017" i="1"/>
  <c r="H7017" i="1"/>
  <c r="A7018" i="1"/>
  <c r="B7018" i="1"/>
  <c r="C7018" i="1"/>
  <c r="D7018" i="1"/>
  <c r="E7018" i="1"/>
  <c r="F7018" i="1"/>
  <c r="G7018" i="1"/>
  <c r="H7018" i="1"/>
  <c r="A7019" i="1"/>
  <c r="B7019" i="1"/>
  <c r="C7019" i="1"/>
  <c r="D7019" i="1"/>
  <c r="E7019" i="1"/>
  <c r="F7019" i="1"/>
  <c r="G7019" i="1"/>
  <c r="H7019" i="1"/>
  <c r="A7020" i="1"/>
  <c r="B7020" i="1"/>
  <c r="C7020" i="1"/>
  <c r="D7020" i="1"/>
  <c r="E7020" i="1"/>
  <c r="F7020" i="1"/>
  <c r="G7020" i="1"/>
  <c r="H7020" i="1"/>
  <c r="A7021" i="1"/>
  <c r="B7021" i="1"/>
  <c r="C7021" i="1"/>
  <c r="D7021" i="1"/>
  <c r="E7021" i="1"/>
  <c r="F7021" i="1"/>
  <c r="G7021" i="1"/>
  <c r="H7021" i="1"/>
  <c r="A7022" i="1"/>
  <c r="B7022" i="1"/>
  <c r="C7022" i="1"/>
  <c r="D7022" i="1"/>
  <c r="E7022" i="1"/>
  <c r="F7022" i="1"/>
  <c r="G7022" i="1"/>
  <c r="H7022" i="1"/>
  <c r="A7023" i="1"/>
  <c r="B7023" i="1"/>
  <c r="C7023" i="1"/>
  <c r="D7023" i="1"/>
  <c r="E7023" i="1"/>
  <c r="F7023" i="1"/>
  <c r="G7023" i="1"/>
  <c r="H7023" i="1"/>
  <c r="A7024" i="1"/>
  <c r="B7024" i="1"/>
  <c r="C7024" i="1"/>
  <c r="D7024" i="1"/>
  <c r="E7024" i="1"/>
  <c r="F7024" i="1"/>
  <c r="G7024" i="1"/>
  <c r="H7024" i="1"/>
  <c r="A7025" i="1"/>
  <c r="B7025" i="1"/>
  <c r="C7025" i="1"/>
  <c r="D7025" i="1"/>
  <c r="E7025" i="1"/>
  <c r="F7025" i="1"/>
  <c r="G7025" i="1"/>
  <c r="H7025" i="1"/>
  <c r="A7026" i="1"/>
  <c r="B7026" i="1"/>
  <c r="C7026" i="1"/>
  <c r="D7026" i="1"/>
  <c r="E7026" i="1"/>
  <c r="F7026" i="1"/>
  <c r="G7026" i="1"/>
  <c r="H7026" i="1"/>
  <c r="A7027" i="1"/>
  <c r="B7027" i="1"/>
  <c r="C7027" i="1"/>
  <c r="D7027" i="1"/>
  <c r="E7027" i="1"/>
  <c r="F7027" i="1"/>
  <c r="G7027" i="1"/>
  <c r="H7027" i="1"/>
  <c r="A7028" i="1"/>
  <c r="B7028" i="1"/>
  <c r="C7028" i="1"/>
  <c r="D7028" i="1"/>
  <c r="E7028" i="1"/>
  <c r="F7028" i="1"/>
  <c r="G7028" i="1"/>
  <c r="H7028" i="1"/>
  <c r="A7029" i="1"/>
  <c r="B7029" i="1"/>
  <c r="C7029" i="1"/>
  <c r="D7029" i="1"/>
  <c r="E7029" i="1"/>
  <c r="F7029" i="1"/>
  <c r="G7029" i="1"/>
  <c r="H7029" i="1"/>
  <c r="A7030" i="1"/>
  <c r="B7030" i="1"/>
  <c r="C7030" i="1"/>
  <c r="D7030" i="1"/>
  <c r="E7030" i="1"/>
  <c r="F7030" i="1"/>
  <c r="G7030" i="1"/>
  <c r="H7030" i="1"/>
  <c r="A7031" i="1"/>
  <c r="B7031" i="1"/>
  <c r="C7031" i="1"/>
  <c r="D7031" i="1"/>
  <c r="E7031" i="1"/>
  <c r="F7031" i="1"/>
  <c r="G7031" i="1"/>
  <c r="H7031" i="1"/>
  <c r="A7032" i="1"/>
  <c r="B7032" i="1"/>
  <c r="C7032" i="1"/>
  <c r="D7032" i="1"/>
  <c r="E7032" i="1"/>
  <c r="F7032" i="1"/>
  <c r="G7032" i="1"/>
  <c r="H7032" i="1"/>
  <c r="A7033" i="1"/>
  <c r="B7033" i="1"/>
  <c r="C7033" i="1"/>
  <c r="D7033" i="1"/>
  <c r="E7033" i="1"/>
  <c r="F7033" i="1"/>
  <c r="G7033" i="1"/>
  <c r="H7033" i="1"/>
  <c r="A7034" i="1"/>
  <c r="B7034" i="1"/>
  <c r="C7034" i="1"/>
  <c r="D7034" i="1"/>
  <c r="E7034" i="1"/>
  <c r="F7034" i="1"/>
  <c r="G7034" i="1"/>
  <c r="H7034" i="1"/>
  <c r="A7035" i="1"/>
  <c r="B7035" i="1"/>
  <c r="C7035" i="1"/>
  <c r="D7035" i="1"/>
  <c r="E7035" i="1"/>
  <c r="F7035" i="1"/>
  <c r="G7035" i="1"/>
  <c r="H7035" i="1"/>
  <c r="A7036" i="1"/>
  <c r="B7036" i="1"/>
  <c r="C7036" i="1"/>
  <c r="D7036" i="1"/>
  <c r="E7036" i="1"/>
  <c r="F7036" i="1"/>
  <c r="G7036" i="1"/>
  <c r="H7036" i="1"/>
  <c r="A7037" i="1"/>
  <c r="B7037" i="1"/>
  <c r="C7037" i="1"/>
  <c r="D7037" i="1"/>
  <c r="E7037" i="1"/>
  <c r="F7037" i="1"/>
  <c r="G7037" i="1"/>
  <c r="H7037" i="1"/>
  <c r="A7038" i="1"/>
  <c r="B7038" i="1"/>
  <c r="C7038" i="1"/>
  <c r="D7038" i="1"/>
  <c r="E7038" i="1"/>
  <c r="F7038" i="1"/>
  <c r="G7038" i="1"/>
  <c r="H7038" i="1"/>
  <c r="A7039" i="1"/>
  <c r="B7039" i="1"/>
  <c r="C7039" i="1"/>
  <c r="D7039" i="1"/>
  <c r="E7039" i="1"/>
  <c r="F7039" i="1"/>
  <c r="G7039" i="1"/>
  <c r="H7039" i="1"/>
  <c r="A7040" i="1"/>
  <c r="B7040" i="1"/>
  <c r="C7040" i="1"/>
  <c r="D7040" i="1"/>
  <c r="E7040" i="1"/>
  <c r="F7040" i="1"/>
  <c r="G7040" i="1"/>
  <c r="H7040" i="1"/>
  <c r="A7041" i="1"/>
  <c r="B7041" i="1"/>
  <c r="C7041" i="1"/>
  <c r="D7041" i="1"/>
  <c r="E7041" i="1"/>
  <c r="F7041" i="1"/>
  <c r="G7041" i="1"/>
  <c r="H7041" i="1"/>
  <c r="A7042" i="1"/>
  <c r="B7042" i="1"/>
  <c r="C7042" i="1"/>
  <c r="D7042" i="1"/>
  <c r="E7042" i="1"/>
  <c r="F7042" i="1"/>
  <c r="G7042" i="1"/>
  <c r="H7042" i="1"/>
  <c r="A7043" i="1"/>
  <c r="B7043" i="1"/>
  <c r="C7043" i="1"/>
  <c r="D7043" i="1"/>
  <c r="E7043" i="1"/>
  <c r="F7043" i="1"/>
  <c r="G7043" i="1"/>
  <c r="H7043" i="1"/>
  <c r="A7044" i="1"/>
  <c r="B7044" i="1"/>
  <c r="C7044" i="1"/>
  <c r="D7044" i="1"/>
  <c r="E7044" i="1"/>
  <c r="F7044" i="1"/>
  <c r="G7044" i="1"/>
  <c r="H7044" i="1"/>
  <c r="A7045" i="1"/>
  <c r="B7045" i="1"/>
  <c r="C7045" i="1"/>
  <c r="D7045" i="1"/>
  <c r="E7045" i="1"/>
  <c r="F7045" i="1"/>
  <c r="G7045" i="1"/>
  <c r="H7045" i="1"/>
  <c r="A7046" i="1"/>
  <c r="B7046" i="1"/>
  <c r="C7046" i="1"/>
  <c r="D7046" i="1"/>
  <c r="E7046" i="1"/>
  <c r="F7046" i="1"/>
  <c r="G7046" i="1"/>
  <c r="H7046" i="1"/>
  <c r="A7047" i="1"/>
  <c r="B7047" i="1"/>
  <c r="C7047" i="1"/>
  <c r="D7047" i="1"/>
  <c r="E7047" i="1"/>
  <c r="F7047" i="1"/>
  <c r="G7047" i="1"/>
  <c r="H7047" i="1"/>
  <c r="A7048" i="1"/>
  <c r="B7048" i="1"/>
  <c r="C7048" i="1"/>
  <c r="D7048" i="1"/>
  <c r="E7048" i="1"/>
  <c r="F7048" i="1"/>
  <c r="G7048" i="1"/>
  <c r="H7048" i="1"/>
  <c r="A7049" i="1"/>
  <c r="B7049" i="1"/>
  <c r="C7049" i="1"/>
  <c r="D7049" i="1"/>
  <c r="E7049" i="1"/>
  <c r="F7049" i="1"/>
  <c r="G7049" i="1"/>
  <c r="H7049" i="1"/>
  <c r="A7050" i="1"/>
  <c r="B7050" i="1"/>
  <c r="C7050" i="1"/>
  <c r="D7050" i="1"/>
  <c r="E7050" i="1"/>
  <c r="F7050" i="1"/>
  <c r="G7050" i="1"/>
  <c r="H7050" i="1"/>
  <c r="A7051" i="1"/>
  <c r="B7051" i="1"/>
  <c r="C7051" i="1"/>
  <c r="D7051" i="1"/>
  <c r="E7051" i="1"/>
  <c r="F7051" i="1"/>
  <c r="G7051" i="1"/>
  <c r="H7051" i="1"/>
  <c r="A7052" i="1"/>
  <c r="B7052" i="1"/>
  <c r="C7052" i="1"/>
  <c r="D7052" i="1"/>
  <c r="E7052" i="1"/>
  <c r="F7052" i="1"/>
  <c r="G7052" i="1"/>
  <c r="H7052" i="1"/>
  <c r="A7053" i="1"/>
  <c r="B7053" i="1"/>
  <c r="C7053" i="1"/>
  <c r="D7053" i="1"/>
  <c r="E7053" i="1"/>
  <c r="F7053" i="1"/>
  <c r="G7053" i="1"/>
  <c r="H7053" i="1"/>
  <c r="A7054" i="1"/>
  <c r="B7054" i="1"/>
  <c r="C7054" i="1"/>
  <c r="D7054" i="1"/>
  <c r="E7054" i="1"/>
  <c r="F7054" i="1"/>
  <c r="G7054" i="1"/>
  <c r="H7054" i="1"/>
  <c r="A7055" i="1"/>
  <c r="B7055" i="1"/>
  <c r="C7055" i="1"/>
  <c r="D7055" i="1"/>
  <c r="E7055" i="1"/>
  <c r="F7055" i="1"/>
  <c r="G7055" i="1"/>
  <c r="H7055" i="1"/>
  <c r="A7056" i="1"/>
  <c r="B7056" i="1"/>
  <c r="C7056" i="1"/>
  <c r="D7056" i="1"/>
  <c r="E7056" i="1"/>
  <c r="F7056" i="1"/>
  <c r="G7056" i="1"/>
  <c r="H7056" i="1"/>
  <c r="A7057" i="1"/>
  <c r="B7057" i="1"/>
  <c r="C7057" i="1"/>
  <c r="D7057" i="1"/>
  <c r="E7057" i="1"/>
  <c r="F7057" i="1"/>
  <c r="G7057" i="1"/>
  <c r="H7057" i="1"/>
  <c r="A7058" i="1"/>
  <c r="B7058" i="1"/>
  <c r="C7058" i="1"/>
  <c r="D7058" i="1"/>
  <c r="E7058" i="1"/>
  <c r="F7058" i="1"/>
  <c r="G7058" i="1"/>
  <c r="H7058" i="1"/>
  <c r="A7059" i="1"/>
  <c r="B7059" i="1"/>
  <c r="C7059" i="1"/>
  <c r="D7059" i="1"/>
  <c r="E7059" i="1"/>
  <c r="F7059" i="1"/>
  <c r="G7059" i="1"/>
  <c r="H7059" i="1"/>
  <c r="A7060" i="1"/>
  <c r="B7060" i="1"/>
  <c r="C7060" i="1"/>
  <c r="D7060" i="1"/>
  <c r="E7060" i="1"/>
  <c r="F7060" i="1"/>
  <c r="G7060" i="1"/>
  <c r="H7060" i="1"/>
  <c r="A7061" i="1"/>
  <c r="B7061" i="1"/>
  <c r="C7061" i="1"/>
  <c r="D7061" i="1"/>
  <c r="E7061" i="1"/>
  <c r="F7061" i="1"/>
  <c r="G7061" i="1"/>
  <c r="H7061" i="1"/>
  <c r="A7062" i="1"/>
  <c r="B7062" i="1"/>
  <c r="C7062" i="1"/>
  <c r="D7062" i="1"/>
  <c r="E7062" i="1"/>
  <c r="F7062" i="1"/>
  <c r="G7062" i="1"/>
  <c r="H7062" i="1"/>
  <c r="A7063" i="1"/>
  <c r="B7063" i="1"/>
  <c r="C7063" i="1"/>
  <c r="D7063" i="1"/>
  <c r="E7063" i="1"/>
  <c r="F7063" i="1"/>
  <c r="G7063" i="1"/>
  <c r="H7063" i="1"/>
  <c r="A7064" i="1"/>
  <c r="B7064" i="1"/>
  <c r="C7064" i="1"/>
  <c r="D7064" i="1"/>
  <c r="E7064" i="1"/>
  <c r="F7064" i="1"/>
  <c r="G7064" i="1"/>
  <c r="H7064" i="1"/>
  <c r="A7065" i="1"/>
  <c r="B7065" i="1"/>
  <c r="C7065" i="1"/>
  <c r="D7065" i="1"/>
  <c r="E7065" i="1"/>
  <c r="F7065" i="1"/>
  <c r="G7065" i="1"/>
  <c r="H7065" i="1"/>
  <c r="A7066" i="1"/>
  <c r="B7066" i="1"/>
  <c r="C7066" i="1"/>
  <c r="D7066" i="1"/>
  <c r="E7066" i="1"/>
  <c r="F7066" i="1"/>
  <c r="G7066" i="1"/>
  <c r="H7066" i="1"/>
  <c r="A7067" i="1"/>
  <c r="B7067" i="1"/>
  <c r="C7067" i="1"/>
  <c r="D7067" i="1"/>
  <c r="E7067" i="1"/>
  <c r="F7067" i="1"/>
  <c r="G7067" i="1"/>
  <c r="H7067" i="1"/>
  <c r="A7068" i="1"/>
  <c r="B7068" i="1"/>
  <c r="C7068" i="1"/>
  <c r="D7068" i="1"/>
  <c r="E7068" i="1"/>
  <c r="F7068" i="1"/>
  <c r="G7068" i="1"/>
  <c r="H7068" i="1"/>
  <c r="A7069" i="1"/>
  <c r="B7069" i="1"/>
  <c r="C7069" i="1"/>
  <c r="D7069" i="1"/>
  <c r="E7069" i="1"/>
  <c r="F7069" i="1"/>
  <c r="G7069" i="1"/>
  <c r="H7069" i="1"/>
  <c r="A7070" i="1"/>
  <c r="B7070" i="1"/>
  <c r="C7070" i="1"/>
  <c r="D7070" i="1"/>
  <c r="E7070" i="1"/>
  <c r="F7070" i="1"/>
  <c r="G7070" i="1"/>
  <c r="H7070" i="1"/>
  <c r="A7071" i="1"/>
  <c r="B7071" i="1"/>
  <c r="C7071" i="1"/>
  <c r="D7071" i="1"/>
  <c r="E7071" i="1"/>
  <c r="F7071" i="1"/>
  <c r="G7071" i="1"/>
  <c r="H7071" i="1"/>
  <c r="A7072" i="1"/>
  <c r="B7072" i="1"/>
  <c r="C7072" i="1"/>
  <c r="D7072" i="1"/>
  <c r="E7072" i="1"/>
  <c r="F7072" i="1"/>
  <c r="G7072" i="1"/>
  <c r="H7072" i="1"/>
  <c r="A7073" i="1"/>
  <c r="B7073" i="1"/>
  <c r="C7073" i="1"/>
  <c r="D7073" i="1"/>
  <c r="E7073" i="1"/>
  <c r="F7073" i="1"/>
  <c r="G7073" i="1"/>
  <c r="H7073" i="1"/>
  <c r="A7074" i="1"/>
  <c r="B7074" i="1"/>
  <c r="C7074" i="1"/>
  <c r="D7074" i="1"/>
  <c r="E7074" i="1"/>
  <c r="F7074" i="1"/>
  <c r="G7074" i="1"/>
  <c r="H7074" i="1"/>
  <c r="A7075" i="1"/>
  <c r="B7075" i="1"/>
  <c r="C7075" i="1"/>
  <c r="D7075" i="1"/>
  <c r="E7075" i="1"/>
  <c r="F7075" i="1"/>
  <c r="G7075" i="1"/>
  <c r="H7075" i="1"/>
  <c r="A7076" i="1"/>
  <c r="B7076" i="1"/>
  <c r="C7076" i="1"/>
  <c r="D7076" i="1"/>
  <c r="E7076" i="1"/>
  <c r="F7076" i="1"/>
  <c r="G7076" i="1"/>
  <c r="H7076" i="1"/>
  <c r="A7077" i="1"/>
  <c r="B7077" i="1"/>
  <c r="C7077" i="1"/>
  <c r="D7077" i="1"/>
  <c r="E7077" i="1"/>
  <c r="F7077" i="1"/>
  <c r="G7077" i="1"/>
  <c r="H7077" i="1"/>
  <c r="A7078" i="1"/>
  <c r="B7078" i="1"/>
  <c r="C7078" i="1"/>
  <c r="D7078" i="1"/>
  <c r="E7078" i="1"/>
  <c r="F7078" i="1"/>
  <c r="G7078" i="1"/>
  <c r="H7078" i="1"/>
  <c r="A7079" i="1"/>
  <c r="B7079" i="1"/>
  <c r="C7079" i="1"/>
  <c r="D7079" i="1"/>
  <c r="E7079" i="1"/>
  <c r="F7079" i="1"/>
  <c r="G7079" i="1"/>
  <c r="H7079" i="1"/>
  <c r="A7080" i="1"/>
  <c r="B7080" i="1"/>
  <c r="C7080" i="1"/>
  <c r="D7080" i="1"/>
  <c r="E7080" i="1"/>
  <c r="F7080" i="1"/>
  <c r="G7080" i="1"/>
  <c r="H7080" i="1"/>
  <c r="A7081" i="1"/>
  <c r="B7081" i="1"/>
  <c r="C7081" i="1"/>
  <c r="D7081" i="1"/>
  <c r="E7081" i="1"/>
  <c r="F7081" i="1"/>
  <c r="G7081" i="1"/>
  <c r="H7081" i="1"/>
  <c r="A7082" i="1"/>
  <c r="B7082" i="1"/>
  <c r="C7082" i="1"/>
  <c r="D7082" i="1"/>
  <c r="E7082" i="1"/>
  <c r="F7082" i="1"/>
  <c r="G7082" i="1"/>
  <c r="H7082" i="1"/>
  <c r="A7083" i="1"/>
  <c r="B7083" i="1"/>
  <c r="C7083" i="1"/>
  <c r="D7083" i="1"/>
  <c r="E7083" i="1"/>
  <c r="F7083" i="1"/>
  <c r="G7083" i="1"/>
  <c r="H7083" i="1"/>
  <c r="A7084" i="1"/>
  <c r="B7084" i="1"/>
  <c r="C7084" i="1"/>
  <c r="D7084" i="1"/>
  <c r="E7084" i="1"/>
  <c r="F7084" i="1"/>
  <c r="G7084" i="1"/>
  <c r="H7084" i="1"/>
  <c r="A7085" i="1"/>
  <c r="B7085" i="1"/>
  <c r="C7085" i="1"/>
  <c r="D7085" i="1"/>
  <c r="E7085" i="1"/>
  <c r="F7085" i="1"/>
  <c r="G7085" i="1"/>
  <c r="H7085" i="1"/>
  <c r="A7086" i="1"/>
  <c r="B7086" i="1"/>
  <c r="C7086" i="1"/>
  <c r="D7086" i="1"/>
  <c r="E7086" i="1"/>
  <c r="F7086" i="1"/>
  <c r="G7086" i="1"/>
  <c r="H7086" i="1"/>
  <c r="A7087" i="1"/>
  <c r="B7087" i="1"/>
  <c r="C7087" i="1"/>
  <c r="D7087" i="1"/>
  <c r="E7087" i="1"/>
  <c r="F7087" i="1"/>
  <c r="G7087" i="1"/>
  <c r="H7087" i="1"/>
  <c r="A7088" i="1"/>
  <c r="B7088" i="1"/>
  <c r="C7088" i="1"/>
  <c r="D7088" i="1"/>
  <c r="E7088" i="1"/>
  <c r="F7088" i="1"/>
  <c r="G7088" i="1"/>
  <c r="H7088" i="1"/>
  <c r="A7089" i="1"/>
  <c r="B7089" i="1"/>
  <c r="C7089" i="1"/>
  <c r="D7089" i="1"/>
  <c r="E7089" i="1"/>
  <c r="F7089" i="1"/>
  <c r="G7089" i="1"/>
  <c r="H7089" i="1"/>
  <c r="A7090" i="1"/>
  <c r="B7090" i="1"/>
  <c r="C7090" i="1"/>
  <c r="D7090" i="1"/>
  <c r="E7090" i="1"/>
  <c r="F7090" i="1"/>
  <c r="G7090" i="1"/>
  <c r="H7090" i="1"/>
  <c r="A7091" i="1"/>
  <c r="B7091" i="1"/>
  <c r="C7091" i="1"/>
  <c r="D7091" i="1"/>
  <c r="E7091" i="1"/>
  <c r="F7091" i="1"/>
  <c r="G7091" i="1"/>
  <c r="H7091" i="1"/>
  <c r="A7092" i="1"/>
  <c r="B7092" i="1"/>
  <c r="C7092" i="1"/>
  <c r="D7092" i="1"/>
  <c r="E7092" i="1"/>
  <c r="F7092" i="1"/>
  <c r="G7092" i="1"/>
  <c r="H7092" i="1"/>
  <c r="A7093" i="1"/>
  <c r="B7093" i="1"/>
  <c r="C7093" i="1"/>
  <c r="D7093" i="1"/>
  <c r="E7093" i="1"/>
  <c r="F7093" i="1"/>
  <c r="G7093" i="1"/>
  <c r="H7093" i="1"/>
  <c r="A7094" i="1"/>
  <c r="B7094" i="1"/>
  <c r="C7094" i="1"/>
  <c r="D7094" i="1"/>
  <c r="E7094" i="1"/>
  <c r="F7094" i="1"/>
  <c r="G7094" i="1"/>
  <c r="H7094" i="1"/>
  <c r="A7095" i="1"/>
  <c r="B7095" i="1"/>
  <c r="C7095" i="1"/>
  <c r="D7095" i="1"/>
  <c r="E7095" i="1"/>
  <c r="F7095" i="1"/>
  <c r="G7095" i="1"/>
  <c r="H7095" i="1"/>
  <c r="A7096" i="1"/>
  <c r="B7096" i="1"/>
  <c r="C7096" i="1"/>
  <c r="D7096" i="1"/>
  <c r="E7096" i="1"/>
  <c r="F7096" i="1"/>
  <c r="G7096" i="1"/>
  <c r="H7096" i="1"/>
  <c r="A7097" i="1"/>
  <c r="B7097" i="1"/>
  <c r="C7097" i="1"/>
  <c r="D7097" i="1"/>
  <c r="E7097" i="1"/>
  <c r="F7097" i="1"/>
  <c r="G7097" i="1"/>
  <c r="H7097" i="1"/>
  <c r="A7098" i="1"/>
  <c r="B7098" i="1"/>
  <c r="C7098" i="1"/>
  <c r="D7098" i="1"/>
  <c r="E7098" i="1"/>
  <c r="F7098" i="1"/>
  <c r="G7098" i="1"/>
  <c r="H7098" i="1"/>
  <c r="A7099" i="1"/>
  <c r="B7099" i="1"/>
  <c r="C7099" i="1"/>
  <c r="D7099" i="1"/>
  <c r="E7099" i="1"/>
  <c r="F7099" i="1"/>
  <c r="G7099" i="1"/>
  <c r="H7099" i="1"/>
  <c r="A7100" i="1"/>
  <c r="B7100" i="1"/>
  <c r="C7100" i="1"/>
  <c r="D7100" i="1"/>
  <c r="E7100" i="1"/>
  <c r="F7100" i="1"/>
  <c r="G7100" i="1"/>
  <c r="H7100" i="1"/>
  <c r="A7101" i="1"/>
  <c r="B7101" i="1"/>
  <c r="C7101" i="1"/>
  <c r="D7101" i="1"/>
  <c r="E7101" i="1"/>
  <c r="F7101" i="1"/>
  <c r="G7101" i="1"/>
  <c r="H7101" i="1"/>
  <c r="A7102" i="1"/>
  <c r="B7102" i="1"/>
  <c r="C7102" i="1"/>
  <c r="D7102" i="1"/>
  <c r="E7102" i="1"/>
  <c r="F7102" i="1"/>
  <c r="G7102" i="1"/>
  <c r="H7102" i="1"/>
  <c r="A7103" i="1"/>
  <c r="B7103" i="1"/>
  <c r="C7103" i="1"/>
  <c r="D7103" i="1"/>
  <c r="E7103" i="1"/>
  <c r="F7103" i="1"/>
  <c r="G7103" i="1"/>
  <c r="H7103" i="1"/>
  <c r="A7104" i="1"/>
  <c r="B7104" i="1"/>
  <c r="C7104" i="1"/>
  <c r="D7104" i="1"/>
  <c r="E7104" i="1"/>
  <c r="F7104" i="1"/>
  <c r="G7104" i="1"/>
  <c r="H7104" i="1"/>
  <c r="A7105" i="1"/>
  <c r="B7105" i="1"/>
  <c r="C7105" i="1"/>
  <c r="D7105" i="1"/>
  <c r="E7105" i="1"/>
  <c r="F7105" i="1"/>
  <c r="G7105" i="1"/>
  <c r="H7105" i="1"/>
  <c r="A7106" i="1"/>
  <c r="B7106" i="1"/>
  <c r="C7106" i="1"/>
  <c r="D7106" i="1"/>
  <c r="E7106" i="1"/>
  <c r="F7106" i="1"/>
  <c r="G7106" i="1"/>
  <c r="H7106" i="1"/>
  <c r="A7107" i="1"/>
  <c r="B7107" i="1"/>
  <c r="C7107" i="1"/>
  <c r="D7107" i="1"/>
  <c r="E7107" i="1"/>
  <c r="F7107" i="1"/>
  <c r="G7107" i="1"/>
  <c r="H7107" i="1"/>
  <c r="A7108" i="1"/>
  <c r="B7108" i="1"/>
  <c r="C7108" i="1"/>
  <c r="D7108" i="1"/>
  <c r="E7108" i="1"/>
  <c r="F7108" i="1"/>
  <c r="G7108" i="1"/>
  <c r="H7108" i="1"/>
  <c r="A7109" i="1"/>
  <c r="B7109" i="1"/>
  <c r="C7109" i="1"/>
  <c r="D7109" i="1"/>
  <c r="E7109" i="1"/>
  <c r="F7109" i="1"/>
  <c r="G7109" i="1"/>
  <c r="H7109" i="1"/>
  <c r="A7110" i="1"/>
  <c r="B7110" i="1"/>
  <c r="C7110" i="1"/>
  <c r="D7110" i="1"/>
  <c r="E7110" i="1"/>
  <c r="F7110" i="1"/>
  <c r="G7110" i="1"/>
  <c r="H7110" i="1"/>
  <c r="A7111" i="1"/>
  <c r="B7111" i="1"/>
  <c r="C7111" i="1"/>
  <c r="D7111" i="1"/>
  <c r="E7111" i="1"/>
  <c r="F7111" i="1"/>
  <c r="G7111" i="1"/>
  <c r="H7111" i="1"/>
  <c r="A7112" i="1"/>
  <c r="B7112" i="1"/>
  <c r="C7112" i="1"/>
  <c r="D7112" i="1"/>
  <c r="E7112" i="1"/>
  <c r="F7112" i="1"/>
  <c r="G7112" i="1"/>
  <c r="H7112" i="1"/>
  <c r="A7113" i="1"/>
  <c r="B7113" i="1"/>
  <c r="C7113" i="1"/>
  <c r="D7113" i="1"/>
  <c r="E7113" i="1"/>
  <c r="F7113" i="1"/>
  <c r="G7113" i="1"/>
  <c r="H7113" i="1"/>
  <c r="A7114" i="1"/>
  <c r="B7114" i="1"/>
  <c r="C7114" i="1"/>
  <c r="D7114" i="1"/>
  <c r="E7114" i="1"/>
  <c r="F7114" i="1"/>
  <c r="G7114" i="1"/>
  <c r="H7114" i="1"/>
  <c r="A7115" i="1"/>
  <c r="B7115" i="1"/>
  <c r="C7115" i="1"/>
  <c r="D7115" i="1"/>
  <c r="E7115" i="1"/>
  <c r="F7115" i="1"/>
  <c r="G7115" i="1"/>
  <c r="H7115" i="1"/>
  <c r="A7116" i="1"/>
  <c r="B7116" i="1"/>
  <c r="C7116" i="1"/>
  <c r="D7116" i="1"/>
  <c r="E7116" i="1"/>
  <c r="F7116" i="1"/>
  <c r="G7116" i="1"/>
  <c r="H7116" i="1"/>
  <c r="A7117" i="1"/>
  <c r="B7117" i="1"/>
  <c r="C7117" i="1"/>
  <c r="D7117" i="1"/>
  <c r="E7117" i="1"/>
  <c r="F7117" i="1"/>
  <c r="G7117" i="1"/>
  <c r="H7117" i="1"/>
  <c r="A7118" i="1"/>
  <c r="B7118" i="1"/>
  <c r="C7118" i="1"/>
  <c r="D7118" i="1"/>
  <c r="E7118" i="1"/>
  <c r="F7118" i="1"/>
  <c r="G7118" i="1"/>
  <c r="H7118" i="1"/>
  <c r="A7119" i="1"/>
  <c r="B7119" i="1"/>
  <c r="C7119" i="1"/>
  <c r="D7119" i="1"/>
  <c r="E7119" i="1"/>
  <c r="F7119" i="1"/>
  <c r="G7119" i="1"/>
  <c r="H7119" i="1"/>
  <c r="A7120" i="1"/>
  <c r="B7120" i="1"/>
  <c r="C7120" i="1"/>
  <c r="D7120" i="1"/>
  <c r="E7120" i="1"/>
  <c r="F7120" i="1"/>
  <c r="G7120" i="1"/>
  <c r="H7120" i="1"/>
  <c r="A7121" i="1"/>
  <c r="B7121" i="1"/>
  <c r="C7121" i="1"/>
  <c r="D7121" i="1"/>
  <c r="E7121" i="1"/>
  <c r="F7121" i="1"/>
  <c r="G7121" i="1"/>
  <c r="H7121" i="1"/>
  <c r="A7122" i="1"/>
  <c r="B7122" i="1"/>
  <c r="C7122" i="1"/>
  <c r="D7122" i="1"/>
  <c r="E7122" i="1"/>
  <c r="F7122" i="1"/>
  <c r="G7122" i="1"/>
  <c r="H7122" i="1"/>
  <c r="A7123" i="1"/>
  <c r="B7123" i="1"/>
  <c r="C7123" i="1"/>
  <c r="D7123" i="1"/>
  <c r="E7123" i="1"/>
  <c r="F7123" i="1"/>
  <c r="G7123" i="1"/>
  <c r="H7123" i="1"/>
  <c r="A7124" i="1"/>
  <c r="B7124" i="1"/>
  <c r="C7124" i="1"/>
  <c r="D7124" i="1"/>
  <c r="E7124" i="1"/>
  <c r="F7124" i="1"/>
  <c r="G7124" i="1"/>
  <c r="H7124" i="1"/>
  <c r="A7125" i="1"/>
  <c r="B7125" i="1"/>
  <c r="C7125" i="1"/>
  <c r="D7125" i="1"/>
  <c r="E7125" i="1"/>
  <c r="F7125" i="1"/>
  <c r="G7125" i="1"/>
  <c r="H7125" i="1"/>
  <c r="A7126" i="1"/>
  <c r="B7126" i="1"/>
  <c r="C7126" i="1"/>
  <c r="D7126" i="1"/>
  <c r="E7126" i="1"/>
  <c r="F7126" i="1"/>
  <c r="G7126" i="1"/>
  <c r="H7126" i="1"/>
  <c r="A7127" i="1"/>
  <c r="B7127" i="1"/>
  <c r="C7127" i="1"/>
  <c r="D7127" i="1"/>
  <c r="E7127" i="1"/>
  <c r="F7127" i="1"/>
  <c r="G7127" i="1"/>
  <c r="H7127" i="1"/>
  <c r="A7128" i="1"/>
  <c r="B7128" i="1"/>
  <c r="C7128" i="1"/>
  <c r="D7128" i="1"/>
  <c r="E7128" i="1"/>
  <c r="F7128" i="1"/>
  <c r="G7128" i="1"/>
  <c r="H7128" i="1"/>
  <c r="A7129" i="1"/>
  <c r="B7129" i="1"/>
  <c r="C7129" i="1"/>
  <c r="D7129" i="1"/>
  <c r="E7129" i="1"/>
  <c r="F7129" i="1"/>
  <c r="G7129" i="1"/>
  <c r="H7129" i="1"/>
  <c r="A7130" i="1"/>
  <c r="B7130" i="1"/>
  <c r="C7130" i="1"/>
  <c r="D7130" i="1"/>
  <c r="E7130" i="1"/>
  <c r="F7130" i="1"/>
  <c r="G7130" i="1"/>
  <c r="H7130" i="1"/>
  <c r="A7131" i="1"/>
  <c r="B7131" i="1"/>
  <c r="C7131" i="1"/>
  <c r="D7131" i="1"/>
  <c r="E7131" i="1"/>
  <c r="F7131" i="1"/>
  <c r="G7131" i="1"/>
  <c r="H7131" i="1"/>
  <c r="A7132" i="1"/>
  <c r="B7132" i="1"/>
  <c r="C7132" i="1"/>
  <c r="D7132" i="1"/>
  <c r="E7132" i="1"/>
  <c r="F7132" i="1"/>
  <c r="G7132" i="1"/>
  <c r="H7132" i="1"/>
  <c r="A7133" i="1"/>
  <c r="B7133" i="1"/>
  <c r="C7133" i="1"/>
  <c r="D7133" i="1"/>
  <c r="E7133" i="1"/>
  <c r="F7133" i="1"/>
  <c r="G7133" i="1"/>
  <c r="H7133" i="1"/>
  <c r="A7134" i="1"/>
  <c r="B7134" i="1"/>
  <c r="C7134" i="1"/>
  <c r="D7134" i="1"/>
  <c r="E7134" i="1"/>
  <c r="F7134" i="1"/>
  <c r="G7134" i="1"/>
  <c r="H7134" i="1"/>
  <c r="A7135" i="1"/>
  <c r="B7135" i="1"/>
  <c r="C7135" i="1"/>
  <c r="D7135" i="1"/>
  <c r="E7135" i="1"/>
  <c r="F7135" i="1"/>
  <c r="G7135" i="1"/>
  <c r="H7135" i="1"/>
  <c r="A7136" i="1"/>
  <c r="B7136" i="1"/>
  <c r="C7136" i="1"/>
  <c r="D7136" i="1"/>
  <c r="E7136" i="1"/>
  <c r="F7136" i="1"/>
  <c r="G7136" i="1"/>
  <c r="H7136" i="1"/>
  <c r="A7137" i="1"/>
  <c r="B7137" i="1"/>
  <c r="C7137" i="1"/>
  <c r="D7137" i="1"/>
  <c r="E7137" i="1"/>
  <c r="F7137" i="1"/>
  <c r="G7137" i="1"/>
  <c r="H7137" i="1"/>
  <c r="A7138" i="1"/>
  <c r="B7138" i="1"/>
  <c r="C7138" i="1"/>
  <c r="D7138" i="1"/>
  <c r="E7138" i="1"/>
  <c r="F7138" i="1"/>
  <c r="G7138" i="1"/>
  <c r="H7138" i="1"/>
  <c r="A7139" i="1"/>
  <c r="B7139" i="1"/>
  <c r="C7139" i="1"/>
  <c r="D7139" i="1"/>
  <c r="E7139" i="1"/>
  <c r="F7139" i="1"/>
  <c r="G7139" i="1"/>
  <c r="H7139" i="1"/>
  <c r="A7140" i="1"/>
  <c r="B7140" i="1"/>
  <c r="C7140" i="1"/>
  <c r="D7140" i="1"/>
  <c r="E7140" i="1"/>
  <c r="F7140" i="1"/>
  <c r="G7140" i="1"/>
  <c r="H7140" i="1"/>
  <c r="A7141" i="1"/>
  <c r="B7141" i="1"/>
  <c r="C7141" i="1"/>
  <c r="D7141" i="1"/>
  <c r="E7141" i="1"/>
  <c r="F7141" i="1"/>
  <c r="G7141" i="1"/>
  <c r="H7141" i="1"/>
  <c r="A7142" i="1"/>
  <c r="B7142" i="1"/>
  <c r="C7142" i="1"/>
  <c r="D7142" i="1"/>
  <c r="E7142" i="1"/>
  <c r="F7142" i="1"/>
  <c r="G7142" i="1"/>
  <c r="H7142" i="1"/>
  <c r="A7143" i="1"/>
  <c r="B7143" i="1"/>
  <c r="C7143" i="1"/>
  <c r="D7143" i="1"/>
  <c r="E7143" i="1"/>
  <c r="F7143" i="1"/>
  <c r="G7143" i="1"/>
  <c r="H7143" i="1"/>
  <c r="A7144" i="1"/>
  <c r="B7144" i="1"/>
  <c r="C7144" i="1"/>
  <c r="D7144" i="1"/>
  <c r="E7144" i="1"/>
  <c r="F7144" i="1"/>
  <c r="G7144" i="1"/>
  <c r="H7144" i="1"/>
  <c r="A7145" i="1"/>
  <c r="B7145" i="1"/>
  <c r="C7145" i="1"/>
  <c r="D7145" i="1"/>
  <c r="E7145" i="1"/>
  <c r="F7145" i="1"/>
  <c r="G7145" i="1"/>
  <c r="H7145" i="1"/>
  <c r="A7146" i="1"/>
  <c r="B7146" i="1"/>
  <c r="C7146" i="1"/>
  <c r="D7146" i="1"/>
  <c r="E7146" i="1"/>
  <c r="F7146" i="1"/>
  <c r="G7146" i="1"/>
  <c r="H7146" i="1"/>
  <c r="A7147" i="1"/>
  <c r="B7147" i="1"/>
  <c r="C7147" i="1"/>
  <c r="D7147" i="1"/>
  <c r="E7147" i="1"/>
  <c r="F7147" i="1"/>
  <c r="G7147" i="1"/>
  <c r="H7147" i="1"/>
  <c r="A7148" i="1"/>
  <c r="B7148" i="1"/>
  <c r="C7148" i="1"/>
  <c r="D7148" i="1"/>
  <c r="E7148" i="1"/>
  <c r="F7148" i="1"/>
  <c r="G7148" i="1"/>
  <c r="H7148" i="1"/>
  <c r="A7149" i="1"/>
  <c r="B7149" i="1"/>
  <c r="C7149" i="1"/>
  <c r="D7149" i="1"/>
  <c r="E7149" i="1"/>
  <c r="F7149" i="1"/>
  <c r="G7149" i="1"/>
  <c r="H7149" i="1"/>
  <c r="A7150" i="1"/>
  <c r="B7150" i="1"/>
  <c r="C7150" i="1"/>
  <c r="D7150" i="1"/>
  <c r="E7150" i="1"/>
  <c r="F7150" i="1"/>
  <c r="G7150" i="1"/>
  <c r="H7150" i="1"/>
  <c r="A7151" i="1"/>
  <c r="B7151" i="1"/>
  <c r="C7151" i="1"/>
  <c r="D7151" i="1"/>
  <c r="E7151" i="1"/>
  <c r="F7151" i="1"/>
  <c r="G7151" i="1"/>
  <c r="H7151" i="1"/>
  <c r="A7152" i="1"/>
  <c r="B7152" i="1"/>
  <c r="C7152" i="1"/>
  <c r="D7152" i="1"/>
  <c r="E7152" i="1"/>
  <c r="F7152" i="1"/>
  <c r="G7152" i="1"/>
  <c r="H7152" i="1"/>
  <c r="A7153" i="1"/>
  <c r="B7153" i="1"/>
  <c r="C7153" i="1"/>
  <c r="D7153" i="1"/>
  <c r="E7153" i="1"/>
  <c r="F7153" i="1"/>
  <c r="G7153" i="1"/>
  <c r="H7153" i="1"/>
  <c r="A7154" i="1"/>
  <c r="B7154" i="1"/>
  <c r="C7154" i="1"/>
  <c r="D7154" i="1"/>
  <c r="E7154" i="1"/>
  <c r="F7154" i="1"/>
  <c r="G7154" i="1"/>
  <c r="H7154" i="1"/>
  <c r="A7155" i="1"/>
  <c r="B7155" i="1"/>
  <c r="C7155" i="1"/>
  <c r="D7155" i="1"/>
  <c r="E7155" i="1"/>
  <c r="F7155" i="1"/>
  <c r="G7155" i="1"/>
  <c r="H7155" i="1"/>
  <c r="A7156" i="1"/>
  <c r="B7156" i="1"/>
  <c r="C7156" i="1"/>
  <c r="D7156" i="1"/>
  <c r="E7156" i="1"/>
  <c r="F7156" i="1"/>
  <c r="G7156" i="1"/>
  <c r="H7156" i="1"/>
  <c r="A7157" i="1"/>
  <c r="B7157" i="1"/>
  <c r="C7157" i="1"/>
  <c r="D7157" i="1"/>
  <c r="E7157" i="1"/>
  <c r="F7157" i="1"/>
  <c r="G7157" i="1"/>
  <c r="H7157" i="1"/>
  <c r="A7158" i="1"/>
  <c r="B7158" i="1"/>
  <c r="C7158" i="1"/>
  <c r="D7158" i="1"/>
  <c r="E7158" i="1"/>
  <c r="F7158" i="1"/>
  <c r="G7158" i="1"/>
  <c r="H7158" i="1"/>
  <c r="A7159" i="1"/>
  <c r="B7159" i="1"/>
  <c r="C7159" i="1"/>
  <c r="D7159" i="1"/>
  <c r="E7159" i="1"/>
  <c r="F7159" i="1"/>
  <c r="G7159" i="1"/>
  <c r="H7159" i="1"/>
  <c r="A7160" i="1"/>
  <c r="B7160" i="1"/>
  <c r="C7160" i="1"/>
  <c r="D7160" i="1"/>
  <c r="E7160" i="1"/>
  <c r="F7160" i="1"/>
  <c r="G7160" i="1"/>
  <c r="H7160" i="1"/>
  <c r="A7161" i="1"/>
  <c r="B7161" i="1"/>
  <c r="C7161" i="1"/>
  <c r="D7161" i="1"/>
  <c r="E7161" i="1"/>
  <c r="F7161" i="1"/>
  <c r="G7161" i="1"/>
  <c r="H7161" i="1"/>
  <c r="A7162" i="1"/>
  <c r="B7162" i="1"/>
  <c r="C7162" i="1"/>
  <c r="D7162" i="1"/>
  <c r="E7162" i="1"/>
  <c r="F7162" i="1"/>
  <c r="G7162" i="1"/>
  <c r="H7162" i="1"/>
  <c r="A7163" i="1"/>
  <c r="B7163" i="1"/>
  <c r="C7163" i="1"/>
  <c r="D7163" i="1"/>
  <c r="E7163" i="1"/>
  <c r="F7163" i="1"/>
  <c r="G7163" i="1"/>
  <c r="H7163" i="1"/>
  <c r="A7164" i="1"/>
  <c r="B7164" i="1"/>
  <c r="C7164" i="1"/>
  <c r="D7164" i="1"/>
  <c r="E7164" i="1"/>
  <c r="F7164" i="1"/>
  <c r="G7164" i="1"/>
  <c r="H7164" i="1"/>
  <c r="A7165" i="1"/>
  <c r="B7165" i="1"/>
  <c r="C7165" i="1"/>
  <c r="D7165" i="1"/>
  <c r="E7165" i="1"/>
  <c r="F7165" i="1"/>
  <c r="G7165" i="1"/>
  <c r="H7165" i="1"/>
  <c r="A7166" i="1"/>
  <c r="B7166" i="1"/>
  <c r="C7166" i="1"/>
  <c r="D7166" i="1"/>
  <c r="E7166" i="1"/>
  <c r="F7166" i="1"/>
  <c r="G7166" i="1"/>
  <c r="H7166" i="1"/>
  <c r="A7167" i="1"/>
  <c r="B7167" i="1"/>
  <c r="C7167" i="1"/>
  <c r="D7167" i="1"/>
  <c r="E7167" i="1"/>
  <c r="F7167" i="1"/>
  <c r="G7167" i="1"/>
  <c r="H7167" i="1"/>
  <c r="A7168" i="1"/>
  <c r="B7168" i="1"/>
  <c r="C7168" i="1"/>
  <c r="D7168" i="1"/>
  <c r="E7168" i="1"/>
  <c r="F7168" i="1"/>
  <c r="G7168" i="1"/>
  <c r="H7168" i="1"/>
  <c r="A7169" i="1"/>
  <c r="B7169" i="1"/>
  <c r="C7169" i="1"/>
  <c r="D7169" i="1"/>
  <c r="E7169" i="1"/>
  <c r="F7169" i="1"/>
  <c r="G7169" i="1"/>
  <c r="H7169" i="1"/>
  <c r="A7170" i="1"/>
  <c r="B7170" i="1"/>
  <c r="C7170" i="1"/>
  <c r="D7170" i="1"/>
  <c r="E7170" i="1"/>
  <c r="F7170" i="1"/>
  <c r="G7170" i="1"/>
  <c r="H7170" i="1"/>
  <c r="A7171" i="1"/>
  <c r="B7171" i="1"/>
  <c r="C7171" i="1"/>
  <c r="D7171" i="1"/>
  <c r="E7171" i="1"/>
  <c r="F7171" i="1"/>
  <c r="G7171" i="1"/>
  <c r="H7171" i="1"/>
  <c r="A7172" i="1"/>
  <c r="B7172" i="1"/>
  <c r="C7172" i="1"/>
  <c r="D7172" i="1"/>
  <c r="E7172" i="1"/>
  <c r="F7172" i="1"/>
  <c r="G7172" i="1"/>
  <c r="H7172" i="1"/>
  <c r="A7173" i="1"/>
  <c r="B7173" i="1"/>
  <c r="C7173" i="1"/>
  <c r="D7173" i="1"/>
  <c r="E7173" i="1"/>
  <c r="F7173" i="1"/>
  <c r="G7173" i="1"/>
  <c r="H7173" i="1"/>
  <c r="A7174" i="1"/>
  <c r="B7174" i="1"/>
  <c r="C7174" i="1"/>
  <c r="D7174" i="1"/>
  <c r="E7174" i="1"/>
  <c r="F7174" i="1"/>
  <c r="G7174" i="1"/>
  <c r="H7174" i="1"/>
  <c r="A7175" i="1"/>
  <c r="B7175" i="1"/>
  <c r="C7175" i="1"/>
  <c r="D7175" i="1"/>
  <c r="E7175" i="1"/>
  <c r="F7175" i="1"/>
  <c r="G7175" i="1"/>
  <c r="H7175" i="1"/>
  <c r="A7176" i="1"/>
  <c r="B7176" i="1"/>
  <c r="C7176" i="1"/>
  <c r="D7176" i="1"/>
  <c r="E7176" i="1"/>
  <c r="F7176" i="1"/>
  <c r="G7176" i="1"/>
  <c r="H7176" i="1"/>
  <c r="A7177" i="1"/>
  <c r="B7177" i="1"/>
  <c r="C7177" i="1"/>
  <c r="D7177" i="1"/>
  <c r="E7177" i="1"/>
  <c r="F7177" i="1"/>
  <c r="G7177" i="1"/>
  <c r="H7177" i="1"/>
  <c r="A7178" i="1"/>
  <c r="B7178" i="1"/>
  <c r="C7178" i="1"/>
  <c r="D7178" i="1"/>
  <c r="E7178" i="1"/>
  <c r="F7178" i="1"/>
  <c r="G7178" i="1"/>
  <c r="H7178" i="1"/>
  <c r="A7179" i="1"/>
  <c r="B7179" i="1"/>
  <c r="C7179" i="1"/>
  <c r="D7179" i="1"/>
  <c r="E7179" i="1"/>
  <c r="F7179" i="1"/>
  <c r="G7179" i="1"/>
  <c r="H7179" i="1"/>
  <c r="A7180" i="1"/>
  <c r="B7180" i="1"/>
  <c r="C7180" i="1"/>
  <c r="D7180" i="1"/>
  <c r="E7180" i="1"/>
  <c r="F7180" i="1"/>
  <c r="G7180" i="1"/>
  <c r="H7180" i="1"/>
  <c r="A7181" i="1"/>
  <c r="B7181" i="1"/>
  <c r="C7181" i="1"/>
  <c r="D7181" i="1"/>
  <c r="E7181" i="1"/>
  <c r="F7181" i="1"/>
  <c r="G7181" i="1"/>
  <c r="H7181" i="1"/>
  <c r="A7182" i="1"/>
  <c r="B7182" i="1"/>
  <c r="C7182" i="1"/>
  <c r="D7182" i="1"/>
  <c r="E7182" i="1"/>
  <c r="F7182" i="1"/>
  <c r="G7182" i="1"/>
  <c r="H7182" i="1"/>
  <c r="A7183" i="1"/>
  <c r="B7183" i="1"/>
  <c r="C7183" i="1"/>
  <c r="D7183" i="1"/>
  <c r="E7183" i="1"/>
  <c r="F7183" i="1"/>
  <c r="G7183" i="1"/>
  <c r="H7183" i="1"/>
  <c r="A7184" i="1"/>
  <c r="B7184" i="1"/>
  <c r="C7184" i="1"/>
  <c r="D7184" i="1"/>
  <c r="E7184" i="1"/>
  <c r="F7184" i="1"/>
  <c r="G7184" i="1"/>
  <c r="H7184" i="1"/>
  <c r="A7185" i="1"/>
  <c r="B7185" i="1"/>
  <c r="C7185" i="1"/>
  <c r="D7185" i="1"/>
  <c r="E7185" i="1"/>
  <c r="F7185" i="1"/>
  <c r="G7185" i="1"/>
  <c r="H7185" i="1"/>
  <c r="A7186" i="1"/>
  <c r="B7186" i="1"/>
  <c r="C7186" i="1"/>
  <c r="D7186" i="1"/>
  <c r="E7186" i="1"/>
  <c r="F7186" i="1"/>
  <c r="G7186" i="1"/>
  <c r="H7186" i="1"/>
  <c r="A7187" i="1"/>
  <c r="B7187" i="1"/>
  <c r="C7187" i="1"/>
  <c r="D7187" i="1"/>
  <c r="E7187" i="1"/>
  <c r="F7187" i="1"/>
  <c r="G7187" i="1"/>
  <c r="H7187" i="1"/>
  <c r="A7188" i="1"/>
  <c r="B7188" i="1"/>
  <c r="C7188" i="1"/>
  <c r="D7188" i="1"/>
  <c r="E7188" i="1"/>
  <c r="F7188" i="1"/>
  <c r="G7188" i="1"/>
  <c r="H7188" i="1"/>
  <c r="A7189" i="1"/>
  <c r="B7189" i="1"/>
  <c r="C7189" i="1"/>
  <c r="D7189" i="1"/>
  <c r="E7189" i="1"/>
  <c r="F7189" i="1"/>
  <c r="G7189" i="1"/>
  <c r="H7189" i="1"/>
  <c r="A7190" i="1"/>
  <c r="B7190" i="1"/>
  <c r="C7190" i="1"/>
  <c r="D7190" i="1"/>
  <c r="E7190" i="1"/>
  <c r="F7190" i="1"/>
  <c r="G7190" i="1"/>
  <c r="H7190" i="1"/>
  <c r="A7191" i="1"/>
  <c r="B7191" i="1"/>
  <c r="C7191" i="1"/>
  <c r="D7191" i="1"/>
  <c r="E7191" i="1"/>
  <c r="F7191" i="1"/>
  <c r="G7191" i="1"/>
  <c r="H7191" i="1"/>
  <c r="A7192" i="1"/>
  <c r="B7192" i="1"/>
  <c r="C7192" i="1"/>
  <c r="D7192" i="1"/>
  <c r="E7192" i="1"/>
  <c r="F7192" i="1"/>
  <c r="G7192" i="1"/>
  <c r="H7192" i="1"/>
  <c r="A7193" i="1"/>
  <c r="B7193" i="1"/>
  <c r="C7193" i="1"/>
  <c r="D7193" i="1"/>
  <c r="E7193" i="1"/>
  <c r="F7193" i="1"/>
  <c r="G7193" i="1"/>
  <c r="H7193" i="1"/>
  <c r="A7194" i="1"/>
  <c r="B7194" i="1"/>
  <c r="C7194" i="1"/>
  <c r="D7194" i="1"/>
  <c r="E7194" i="1"/>
  <c r="F7194" i="1"/>
  <c r="G7194" i="1"/>
  <c r="H7194" i="1"/>
  <c r="A7195" i="1"/>
  <c r="B7195" i="1"/>
  <c r="C7195" i="1"/>
  <c r="D7195" i="1"/>
  <c r="E7195" i="1"/>
  <c r="F7195" i="1"/>
  <c r="G7195" i="1"/>
  <c r="H7195" i="1"/>
  <c r="A7196" i="1"/>
  <c r="B7196" i="1"/>
  <c r="C7196" i="1"/>
  <c r="D7196" i="1"/>
  <c r="E7196" i="1"/>
  <c r="F7196" i="1"/>
  <c r="G7196" i="1"/>
  <c r="H7196" i="1"/>
  <c r="A7197" i="1"/>
  <c r="B7197" i="1"/>
  <c r="C7197" i="1"/>
  <c r="D7197" i="1"/>
  <c r="E7197" i="1"/>
  <c r="F7197" i="1"/>
  <c r="G7197" i="1"/>
  <c r="H7197" i="1"/>
  <c r="A7198" i="1"/>
  <c r="B7198" i="1"/>
  <c r="C7198" i="1"/>
  <c r="D7198" i="1"/>
  <c r="E7198" i="1"/>
  <c r="F7198" i="1"/>
  <c r="G7198" i="1"/>
  <c r="H7198" i="1"/>
  <c r="A7199" i="1"/>
  <c r="B7199" i="1"/>
  <c r="C7199" i="1"/>
  <c r="D7199" i="1"/>
  <c r="E7199" i="1"/>
  <c r="F7199" i="1"/>
  <c r="G7199" i="1"/>
  <c r="H7199" i="1"/>
  <c r="A7200" i="1"/>
  <c r="B7200" i="1"/>
  <c r="C7200" i="1"/>
  <c r="D7200" i="1"/>
  <c r="E7200" i="1"/>
  <c r="F7200" i="1"/>
  <c r="G7200" i="1"/>
  <c r="H7200" i="1"/>
  <c r="A7201" i="1"/>
  <c r="B7201" i="1"/>
  <c r="C7201" i="1"/>
  <c r="D7201" i="1"/>
  <c r="E7201" i="1"/>
  <c r="F7201" i="1"/>
  <c r="G7201" i="1"/>
  <c r="H7201" i="1"/>
  <c r="A7202" i="1"/>
  <c r="B7202" i="1"/>
  <c r="C7202" i="1"/>
  <c r="D7202" i="1"/>
  <c r="E7202" i="1"/>
  <c r="F7202" i="1"/>
  <c r="G7202" i="1"/>
  <c r="H7202" i="1"/>
  <c r="A7203" i="1"/>
  <c r="B7203" i="1"/>
  <c r="C7203" i="1"/>
  <c r="D7203" i="1"/>
  <c r="E7203" i="1"/>
  <c r="F7203" i="1"/>
  <c r="G7203" i="1"/>
  <c r="H7203" i="1"/>
  <c r="A7204" i="1"/>
  <c r="B7204" i="1"/>
  <c r="C7204" i="1"/>
  <c r="D7204" i="1"/>
  <c r="E7204" i="1"/>
  <c r="F7204" i="1"/>
  <c r="G7204" i="1"/>
  <c r="H7204" i="1"/>
  <c r="A7205" i="1"/>
  <c r="B7205" i="1"/>
  <c r="C7205" i="1"/>
  <c r="D7205" i="1"/>
  <c r="E7205" i="1"/>
  <c r="F7205" i="1"/>
  <c r="G7205" i="1"/>
  <c r="H7205" i="1"/>
  <c r="A7206" i="1"/>
  <c r="B7206" i="1"/>
  <c r="C7206" i="1"/>
  <c r="D7206" i="1"/>
  <c r="E7206" i="1"/>
  <c r="F7206" i="1"/>
  <c r="G7206" i="1"/>
  <c r="H7206" i="1"/>
  <c r="A7207" i="1"/>
  <c r="B7207" i="1"/>
  <c r="C7207" i="1"/>
  <c r="D7207" i="1"/>
  <c r="E7207" i="1"/>
  <c r="F7207" i="1"/>
  <c r="G7207" i="1"/>
  <c r="H7207" i="1"/>
  <c r="A7208" i="1"/>
  <c r="B7208" i="1"/>
  <c r="C7208" i="1"/>
  <c r="D7208" i="1"/>
  <c r="E7208" i="1"/>
  <c r="F7208" i="1"/>
  <c r="G7208" i="1"/>
  <c r="H7208" i="1"/>
  <c r="A7209" i="1"/>
  <c r="B7209" i="1"/>
  <c r="C7209" i="1"/>
  <c r="D7209" i="1"/>
  <c r="E7209" i="1"/>
  <c r="F7209" i="1"/>
  <c r="G7209" i="1"/>
  <c r="H7209" i="1"/>
  <c r="A7210" i="1"/>
  <c r="B7210" i="1"/>
  <c r="C7210" i="1"/>
  <c r="D7210" i="1"/>
  <c r="E7210" i="1"/>
  <c r="F7210" i="1"/>
  <c r="G7210" i="1"/>
  <c r="H7210" i="1"/>
  <c r="A7211" i="1"/>
  <c r="B7211" i="1"/>
  <c r="C7211" i="1"/>
  <c r="D7211" i="1"/>
  <c r="E7211" i="1"/>
  <c r="F7211" i="1"/>
  <c r="G7211" i="1"/>
  <c r="H7211" i="1"/>
  <c r="A7212" i="1"/>
  <c r="B7212" i="1"/>
  <c r="C7212" i="1"/>
  <c r="D7212" i="1"/>
  <c r="E7212" i="1"/>
  <c r="F7212" i="1"/>
  <c r="G7212" i="1"/>
  <c r="H7212" i="1"/>
  <c r="A7213" i="1"/>
  <c r="B7213" i="1"/>
  <c r="C7213" i="1"/>
  <c r="D7213" i="1"/>
  <c r="E7213" i="1"/>
  <c r="F7213" i="1"/>
  <c r="G7213" i="1"/>
  <c r="H7213" i="1"/>
  <c r="A7214" i="1"/>
  <c r="B7214" i="1"/>
  <c r="C7214" i="1"/>
  <c r="D7214" i="1"/>
  <c r="E7214" i="1"/>
  <c r="F7214" i="1"/>
  <c r="G7214" i="1"/>
  <c r="H7214" i="1"/>
  <c r="A7215" i="1"/>
  <c r="B7215" i="1"/>
  <c r="C7215" i="1"/>
  <c r="D7215" i="1"/>
  <c r="E7215" i="1"/>
  <c r="F7215" i="1"/>
  <c r="G7215" i="1"/>
  <c r="H7215" i="1"/>
  <c r="A7216" i="1"/>
  <c r="B7216" i="1"/>
  <c r="C7216" i="1"/>
  <c r="D7216" i="1"/>
  <c r="E7216" i="1"/>
  <c r="F7216" i="1"/>
  <c r="G7216" i="1"/>
  <c r="H7216" i="1"/>
  <c r="A7217" i="1"/>
  <c r="B7217" i="1"/>
  <c r="C7217" i="1"/>
  <c r="D7217" i="1"/>
  <c r="E7217" i="1"/>
  <c r="F7217" i="1"/>
  <c r="G7217" i="1"/>
  <c r="H7217" i="1"/>
  <c r="A7218" i="1"/>
  <c r="B7218" i="1"/>
  <c r="C7218" i="1"/>
  <c r="D7218" i="1"/>
  <c r="E7218" i="1"/>
  <c r="F7218" i="1"/>
  <c r="G7218" i="1"/>
  <c r="H7218" i="1"/>
  <c r="A7219" i="1"/>
  <c r="B7219" i="1"/>
  <c r="C7219" i="1"/>
  <c r="D7219" i="1"/>
  <c r="E7219" i="1"/>
  <c r="F7219" i="1"/>
  <c r="G7219" i="1"/>
  <c r="H7219" i="1"/>
  <c r="A7220" i="1"/>
  <c r="B7220" i="1"/>
  <c r="C7220" i="1"/>
  <c r="D7220" i="1"/>
  <c r="E7220" i="1"/>
  <c r="F7220" i="1"/>
  <c r="G7220" i="1"/>
  <c r="H7220" i="1"/>
  <c r="A7221" i="1"/>
  <c r="B7221" i="1"/>
  <c r="C7221" i="1"/>
  <c r="D7221" i="1"/>
  <c r="E7221" i="1"/>
  <c r="F7221" i="1"/>
  <c r="G7221" i="1"/>
  <c r="H7221" i="1"/>
  <c r="A7222" i="1"/>
  <c r="B7222" i="1"/>
  <c r="C7222" i="1"/>
  <c r="D7222" i="1"/>
  <c r="E7222" i="1"/>
  <c r="F7222" i="1"/>
  <c r="G7222" i="1"/>
  <c r="H7222" i="1"/>
  <c r="A7223" i="1"/>
  <c r="B7223" i="1"/>
  <c r="C7223" i="1"/>
  <c r="D7223" i="1"/>
  <c r="E7223" i="1"/>
  <c r="F7223" i="1"/>
  <c r="G7223" i="1"/>
  <c r="H7223" i="1"/>
  <c r="A7224" i="1"/>
  <c r="B7224" i="1"/>
  <c r="C7224" i="1"/>
  <c r="D7224" i="1"/>
  <c r="E7224" i="1"/>
  <c r="F7224" i="1"/>
  <c r="G7224" i="1"/>
  <c r="H7224" i="1"/>
  <c r="A7225" i="1"/>
  <c r="B7225" i="1"/>
  <c r="C7225" i="1"/>
  <c r="D7225" i="1"/>
  <c r="E7225" i="1"/>
  <c r="F7225" i="1"/>
  <c r="G7225" i="1"/>
  <c r="H7225" i="1"/>
  <c r="A7226" i="1"/>
  <c r="B7226" i="1"/>
  <c r="C7226" i="1"/>
  <c r="D7226" i="1"/>
  <c r="E7226" i="1"/>
  <c r="F7226" i="1"/>
  <c r="G7226" i="1"/>
  <c r="H7226" i="1"/>
  <c r="A7227" i="1"/>
  <c r="B7227" i="1"/>
  <c r="C7227" i="1"/>
  <c r="D7227" i="1"/>
  <c r="E7227" i="1"/>
  <c r="F7227" i="1"/>
  <c r="G7227" i="1"/>
  <c r="H7227" i="1"/>
  <c r="A7228" i="1"/>
  <c r="B7228" i="1"/>
  <c r="C7228" i="1"/>
  <c r="D7228" i="1"/>
  <c r="E7228" i="1"/>
  <c r="F7228" i="1"/>
  <c r="G7228" i="1"/>
  <c r="H7228" i="1"/>
  <c r="A7229" i="1"/>
  <c r="B7229" i="1"/>
  <c r="C7229" i="1"/>
  <c r="D7229" i="1"/>
  <c r="E7229" i="1"/>
  <c r="F7229" i="1"/>
  <c r="G7229" i="1"/>
  <c r="H7229" i="1"/>
  <c r="A7230" i="1"/>
  <c r="B7230" i="1"/>
  <c r="C7230" i="1"/>
  <c r="D7230" i="1"/>
  <c r="E7230" i="1"/>
  <c r="F7230" i="1"/>
  <c r="G7230" i="1"/>
  <c r="H7230" i="1"/>
  <c r="A7231" i="1"/>
  <c r="B7231" i="1"/>
  <c r="C7231" i="1"/>
  <c r="D7231" i="1"/>
  <c r="E7231" i="1"/>
  <c r="F7231" i="1"/>
  <c r="G7231" i="1"/>
  <c r="H7231" i="1"/>
  <c r="A7232" i="1"/>
  <c r="B7232" i="1"/>
  <c r="C7232" i="1"/>
  <c r="D7232" i="1"/>
  <c r="E7232" i="1"/>
  <c r="F7232" i="1"/>
  <c r="G7232" i="1"/>
  <c r="H7232" i="1"/>
  <c r="A7233" i="1"/>
  <c r="B7233" i="1"/>
  <c r="C7233" i="1"/>
  <c r="D7233" i="1"/>
  <c r="E7233" i="1"/>
  <c r="F7233" i="1"/>
  <c r="G7233" i="1"/>
  <c r="H7233" i="1"/>
  <c r="A7234" i="1"/>
  <c r="B7234" i="1"/>
  <c r="C7234" i="1"/>
  <c r="D7234" i="1"/>
  <c r="E7234" i="1"/>
  <c r="F7234" i="1"/>
  <c r="G7234" i="1"/>
  <c r="H7234" i="1"/>
  <c r="A7235" i="1"/>
  <c r="B7235" i="1"/>
  <c r="C7235" i="1"/>
  <c r="D7235" i="1"/>
  <c r="E7235" i="1"/>
  <c r="F7235" i="1"/>
  <c r="G7235" i="1"/>
  <c r="H7235" i="1"/>
  <c r="A7236" i="1"/>
  <c r="B7236" i="1"/>
  <c r="C7236" i="1"/>
  <c r="D7236" i="1"/>
  <c r="E7236" i="1"/>
  <c r="F7236" i="1"/>
  <c r="G7236" i="1"/>
  <c r="H7236" i="1"/>
  <c r="A7237" i="1"/>
  <c r="B7237" i="1"/>
  <c r="C7237" i="1"/>
  <c r="D7237" i="1"/>
  <c r="E7237" i="1"/>
  <c r="F7237" i="1"/>
  <c r="G7237" i="1"/>
  <c r="H7237" i="1"/>
  <c r="A7238" i="1"/>
  <c r="B7238" i="1"/>
  <c r="C7238" i="1"/>
  <c r="D7238" i="1"/>
  <c r="E7238" i="1"/>
  <c r="F7238" i="1"/>
  <c r="G7238" i="1"/>
  <c r="H7238" i="1"/>
  <c r="A7239" i="1"/>
  <c r="B7239" i="1"/>
  <c r="C7239" i="1"/>
  <c r="D7239" i="1"/>
  <c r="E7239" i="1"/>
  <c r="F7239" i="1"/>
  <c r="G7239" i="1"/>
  <c r="H7239" i="1"/>
  <c r="A7240" i="1"/>
  <c r="B7240" i="1"/>
  <c r="C7240" i="1"/>
  <c r="D7240" i="1"/>
  <c r="E7240" i="1"/>
  <c r="F7240" i="1"/>
  <c r="G7240" i="1"/>
  <c r="H7240" i="1"/>
  <c r="A7241" i="1"/>
  <c r="B7241" i="1"/>
  <c r="C7241" i="1"/>
  <c r="D7241" i="1"/>
  <c r="E7241" i="1"/>
  <c r="F7241" i="1"/>
  <c r="G7241" i="1"/>
  <c r="H7241" i="1"/>
  <c r="A7242" i="1"/>
  <c r="B7242" i="1"/>
  <c r="C7242" i="1"/>
  <c r="D7242" i="1"/>
  <c r="E7242" i="1"/>
  <c r="F7242" i="1"/>
  <c r="G7242" i="1"/>
  <c r="H7242" i="1"/>
  <c r="A7243" i="1"/>
  <c r="B7243" i="1"/>
  <c r="C7243" i="1"/>
  <c r="D7243" i="1"/>
  <c r="E7243" i="1"/>
  <c r="F7243" i="1"/>
  <c r="G7243" i="1"/>
  <c r="H7243" i="1"/>
  <c r="A7244" i="1"/>
  <c r="B7244" i="1"/>
  <c r="C7244" i="1"/>
  <c r="D7244" i="1"/>
  <c r="E7244" i="1"/>
  <c r="F7244" i="1"/>
  <c r="G7244" i="1"/>
  <c r="H7244" i="1"/>
  <c r="A7245" i="1"/>
  <c r="B7245" i="1"/>
  <c r="C7245" i="1"/>
  <c r="D7245" i="1"/>
  <c r="E7245" i="1"/>
  <c r="F7245" i="1"/>
  <c r="G7245" i="1"/>
  <c r="H7245" i="1"/>
  <c r="A7246" i="1"/>
  <c r="B7246" i="1"/>
  <c r="C7246" i="1"/>
  <c r="D7246" i="1"/>
  <c r="E7246" i="1"/>
  <c r="F7246" i="1"/>
  <c r="G7246" i="1"/>
  <c r="H7246" i="1"/>
  <c r="A7247" i="1"/>
  <c r="B7247" i="1"/>
  <c r="C7247" i="1"/>
  <c r="D7247" i="1"/>
  <c r="E7247" i="1"/>
  <c r="F7247" i="1"/>
  <c r="G7247" i="1"/>
  <c r="H7247" i="1"/>
  <c r="A7248" i="1"/>
  <c r="B7248" i="1"/>
  <c r="C7248" i="1"/>
  <c r="D7248" i="1"/>
  <c r="E7248" i="1"/>
  <c r="F7248" i="1"/>
  <c r="G7248" i="1"/>
  <c r="H7248" i="1"/>
  <c r="A7249" i="1"/>
  <c r="B7249" i="1"/>
  <c r="C7249" i="1"/>
  <c r="D7249" i="1"/>
  <c r="E7249" i="1"/>
  <c r="F7249" i="1"/>
  <c r="G7249" i="1"/>
  <c r="H7249" i="1"/>
  <c r="A7250" i="1"/>
  <c r="B7250" i="1"/>
  <c r="C7250" i="1"/>
  <c r="D7250" i="1"/>
  <c r="E7250" i="1"/>
  <c r="F7250" i="1"/>
  <c r="G7250" i="1"/>
  <c r="H7250" i="1"/>
  <c r="A7251" i="1"/>
  <c r="B7251" i="1"/>
  <c r="C7251" i="1"/>
  <c r="D7251" i="1"/>
  <c r="E7251" i="1"/>
  <c r="F7251" i="1"/>
  <c r="G7251" i="1"/>
  <c r="H7251" i="1"/>
  <c r="A7252" i="1"/>
  <c r="B7252" i="1"/>
  <c r="C7252" i="1"/>
  <c r="D7252" i="1"/>
  <c r="E7252" i="1"/>
  <c r="F7252" i="1"/>
  <c r="G7252" i="1"/>
  <c r="H7252" i="1"/>
  <c r="A7253" i="1"/>
  <c r="B7253" i="1"/>
  <c r="C7253" i="1"/>
  <c r="D7253" i="1"/>
  <c r="E7253" i="1"/>
  <c r="F7253" i="1"/>
  <c r="G7253" i="1"/>
  <c r="H7253" i="1"/>
  <c r="A7254" i="1"/>
  <c r="B7254" i="1"/>
  <c r="C7254" i="1"/>
  <c r="D7254" i="1"/>
  <c r="E7254" i="1"/>
  <c r="F7254" i="1"/>
  <c r="G7254" i="1"/>
  <c r="H7254" i="1"/>
  <c r="A7255" i="1"/>
  <c r="B7255" i="1"/>
  <c r="C7255" i="1"/>
  <c r="D7255" i="1"/>
  <c r="E7255" i="1"/>
  <c r="F7255" i="1"/>
  <c r="G7255" i="1"/>
  <c r="H7255" i="1"/>
  <c r="A7256" i="1"/>
  <c r="B7256" i="1"/>
  <c r="C7256" i="1"/>
  <c r="D7256" i="1"/>
  <c r="E7256" i="1"/>
  <c r="F7256" i="1"/>
  <c r="G7256" i="1"/>
  <c r="H7256" i="1"/>
  <c r="A7257" i="1"/>
  <c r="B7257" i="1"/>
  <c r="C7257" i="1"/>
  <c r="D7257" i="1"/>
  <c r="E7257" i="1"/>
  <c r="F7257" i="1"/>
  <c r="G7257" i="1"/>
  <c r="H7257" i="1"/>
  <c r="A7258" i="1"/>
  <c r="B7258" i="1"/>
  <c r="C7258" i="1"/>
  <c r="D7258" i="1"/>
  <c r="E7258" i="1"/>
  <c r="F7258" i="1"/>
  <c r="G7258" i="1"/>
  <c r="H7258" i="1"/>
  <c r="A7259" i="1"/>
  <c r="B7259" i="1"/>
  <c r="C7259" i="1"/>
  <c r="D7259" i="1"/>
  <c r="E7259" i="1"/>
  <c r="F7259" i="1"/>
  <c r="G7259" i="1"/>
  <c r="H7259" i="1"/>
  <c r="A7260" i="1"/>
  <c r="B7260" i="1"/>
  <c r="C7260" i="1"/>
  <c r="D7260" i="1"/>
  <c r="E7260" i="1"/>
  <c r="F7260" i="1"/>
  <c r="G7260" i="1"/>
  <c r="H7260" i="1"/>
  <c r="A7261" i="1"/>
  <c r="B7261" i="1"/>
  <c r="C7261" i="1"/>
  <c r="D7261" i="1"/>
  <c r="E7261" i="1"/>
  <c r="F7261" i="1"/>
  <c r="G7261" i="1"/>
  <c r="H7261" i="1"/>
  <c r="A7262" i="1"/>
  <c r="B7262" i="1"/>
  <c r="C7262" i="1"/>
  <c r="D7262" i="1"/>
  <c r="E7262" i="1"/>
  <c r="F7262" i="1"/>
  <c r="G7262" i="1"/>
  <c r="H7262" i="1"/>
  <c r="A7263" i="1"/>
  <c r="B7263" i="1"/>
  <c r="C7263" i="1"/>
  <c r="D7263" i="1"/>
  <c r="E7263" i="1"/>
  <c r="F7263" i="1"/>
  <c r="G7263" i="1"/>
  <c r="H7263" i="1"/>
  <c r="A7264" i="1"/>
  <c r="B7264" i="1"/>
  <c r="C7264" i="1"/>
  <c r="D7264" i="1"/>
  <c r="E7264" i="1"/>
  <c r="F7264" i="1"/>
  <c r="G7264" i="1"/>
  <c r="H7264" i="1"/>
  <c r="A7265" i="1"/>
  <c r="B7265" i="1"/>
  <c r="C7265" i="1"/>
  <c r="D7265" i="1"/>
  <c r="E7265" i="1"/>
  <c r="F7265" i="1"/>
  <c r="G7265" i="1"/>
  <c r="H7265" i="1"/>
  <c r="A7266" i="1"/>
  <c r="B7266" i="1"/>
  <c r="C7266" i="1"/>
  <c r="D7266" i="1"/>
  <c r="E7266" i="1"/>
  <c r="F7266" i="1"/>
  <c r="G7266" i="1"/>
  <c r="H7266" i="1"/>
  <c r="A7267" i="1"/>
  <c r="B7267" i="1"/>
  <c r="C7267" i="1"/>
  <c r="D7267" i="1"/>
  <c r="E7267" i="1"/>
  <c r="F7267" i="1"/>
  <c r="G7267" i="1"/>
  <c r="H7267" i="1"/>
  <c r="A7268" i="1"/>
  <c r="B7268" i="1"/>
  <c r="C7268" i="1"/>
  <c r="D7268" i="1"/>
  <c r="E7268" i="1"/>
  <c r="F7268" i="1"/>
  <c r="G7268" i="1"/>
  <c r="H7268" i="1"/>
  <c r="A7269" i="1"/>
  <c r="B7269" i="1"/>
  <c r="C7269" i="1"/>
  <c r="D7269" i="1"/>
  <c r="E7269" i="1"/>
  <c r="F7269" i="1"/>
  <c r="G7269" i="1"/>
  <c r="H7269" i="1"/>
  <c r="A7270" i="1"/>
  <c r="B7270" i="1"/>
  <c r="C7270" i="1"/>
  <c r="D7270" i="1"/>
  <c r="E7270" i="1"/>
  <c r="F7270" i="1"/>
  <c r="G7270" i="1"/>
  <c r="H7270" i="1"/>
  <c r="A7271" i="1"/>
  <c r="B7271" i="1"/>
  <c r="C7271" i="1"/>
  <c r="D7271" i="1"/>
  <c r="E7271" i="1"/>
  <c r="F7271" i="1"/>
  <c r="G7271" i="1"/>
  <c r="H7271" i="1"/>
  <c r="A7272" i="1"/>
  <c r="B7272" i="1"/>
  <c r="C7272" i="1"/>
  <c r="D7272" i="1"/>
  <c r="E7272" i="1"/>
  <c r="F7272" i="1"/>
  <c r="G7272" i="1"/>
  <c r="H7272" i="1"/>
  <c r="A7273" i="1"/>
  <c r="B7273" i="1"/>
  <c r="C7273" i="1"/>
  <c r="D7273" i="1"/>
  <c r="E7273" i="1"/>
  <c r="F7273" i="1"/>
  <c r="G7273" i="1"/>
  <c r="H7273" i="1"/>
  <c r="A7274" i="1"/>
  <c r="B7274" i="1"/>
  <c r="C7274" i="1"/>
  <c r="D7274" i="1"/>
  <c r="E7274" i="1"/>
  <c r="F7274" i="1"/>
  <c r="G7274" i="1"/>
  <c r="H7274" i="1"/>
  <c r="A7275" i="1"/>
  <c r="B7275" i="1"/>
  <c r="C7275" i="1"/>
  <c r="D7275" i="1"/>
  <c r="E7275" i="1"/>
  <c r="F7275" i="1"/>
  <c r="G7275" i="1"/>
  <c r="H7275" i="1"/>
  <c r="A7276" i="1"/>
  <c r="B7276" i="1"/>
  <c r="C7276" i="1"/>
  <c r="D7276" i="1"/>
  <c r="E7276" i="1"/>
  <c r="F7276" i="1"/>
  <c r="G7276" i="1"/>
  <c r="H7276" i="1"/>
  <c r="A7277" i="1"/>
  <c r="B7277" i="1"/>
  <c r="C7277" i="1"/>
  <c r="D7277" i="1"/>
  <c r="E7277" i="1"/>
  <c r="F7277" i="1"/>
  <c r="G7277" i="1"/>
  <c r="H7277" i="1"/>
  <c r="A7278" i="1"/>
  <c r="B7278" i="1"/>
  <c r="C7278" i="1"/>
  <c r="D7278" i="1"/>
  <c r="E7278" i="1"/>
  <c r="F7278" i="1"/>
  <c r="G7278" i="1"/>
  <c r="H7278" i="1"/>
  <c r="A7279" i="1"/>
  <c r="B7279" i="1"/>
  <c r="C7279" i="1"/>
  <c r="D7279" i="1"/>
  <c r="E7279" i="1"/>
  <c r="F7279" i="1"/>
  <c r="G7279" i="1"/>
  <c r="H7279" i="1"/>
  <c r="A7280" i="1"/>
  <c r="B7280" i="1"/>
  <c r="C7280" i="1"/>
  <c r="D7280" i="1"/>
  <c r="E7280" i="1"/>
  <c r="F7280" i="1"/>
  <c r="G7280" i="1"/>
  <c r="H7280" i="1"/>
  <c r="A7281" i="1"/>
  <c r="B7281" i="1"/>
  <c r="C7281" i="1"/>
  <c r="D7281" i="1"/>
  <c r="E7281" i="1"/>
  <c r="F7281" i="1"/>
  <c r="G7281" i="1"/>
  <c r="H7281" i="1"/>
  <c r="A7282" i="1"/>
  <c r="B7282" i="1"/>
  <c r="C7282" i="1"/>
  <c r="D7282" i="1"/>
  <c r="E7282" i="1"/>
  <c r="F7282" i="1"/>
  <c r="G7282" i="1"/>
  <c r="H7282" i="1"/>
  <c r="A7283" i="1"/>
  <c r="B7283" i="1"/>
  <c r="C7283" i="1"/>
  <c r="D7283" i="1"/>
  <c r="E7283" i="1"/>
  <c r="F7283" i="1"/>
  <c r="G7283" i="1"/>
  <c r="H7283" i="1"/>
  <c r="A7284" i="1"/>
  <c r="B7284" i="1"/>
  <c r="C7284" i="1"/>
  <c r="D7284" i="1"/>
  <c r="E7284" i="1"/>
  <c r="F7284" i="1"/>
  <c r="G7284" i="1"/>
  <c r="H7284" i="1"/>
  <c r="A7285" i="1"/>
  <c r="B7285" i="1"/>
  <c r="C7285" i="1"/>
  <c r="D7285" i="1"/>
  <c r="E7285" i="1"/>
  <c r="F7285" i="1"/>
  <c r="G7285" i="1"/>
  <c r="H7285" i="1"/>
  <c r="A7286" i="1"/>
  <c r="B7286" i="1"/>
  <c r="C7286" i="1"/>
  <c r="D7286" i="1"/>
  <c r="E7286" i="1"/>
  <c r="F7286" i="1"/>
  <c r="G7286" i="1"/>
  <c r="H7286" i="1"/>
  <c r="A7287" i="1"/>
  <c r="B7287" i="1"/>
  <c r="C7287" i="1"/>
  <c r="D7287" i="1"/>
  <c r="E7287" i="1"/>
  <c r="F7287" i="1"/>
  <c r="G7287" i="1"/>
  <c r="H7287" i="1"/>
  <c r="A7288" i="1"/>
  <c r="B7288" i="1"/>
  <c r="C7288" i="1"/>
  <c r="D7288" i="1"/>
  <c r="E7288" i="1"/>
  <c r="F7288" i="1"/>
  <c r="G7288" i="1"/>
  <c r="H7288" i="1"/>
  <c r="A7289" i="1"/>
  <c r="B7289" i="1"/>
  <c r="C7289" i="1"/>
  <c r="D7289" i="1"/>
  <c r="E7289" i="1"/>
  <c r="F7289" i="1"/>
  <c r="G7289" i="1"/>
  <c r="H7289" i="1"/>
  <c r="A7290" i="1"/>
  <c r="B7290" i="1"/>
  <c r="C7290" i="1"/>
  <c r="D7290" i="1"/>
  <c r="E7290" i="1"/>
  <c r="F7290" i="1"/>
  <c r="G7290" i="1"/>
  <c r="H7290" i="1"/>
  <c r="A7291" i="1"/>
  <c r="B7291" i="1"/>
  <c r="C7291" i="1"/>
  <c r="D7291" i="1"/>
  <c r="E7291" i="1"/>
  <c r="F7291" i="1"/>
  <c r="G7291" i="1"/>
  <c r="H7291" i="1"/>
  <c r="A7292" i="1"/>
  <c r="B7292" i="1"/>
  <c r="C7292" i="1"/>
  <c r="D7292" i="1"/>
  <c r="E7292" i="1"/>
  <c r="F7292" i="1"/>
  <c r="G7292" i="1"/>
  <c r="H7292" i="1"/>
  <c r="A7293" i="1"/>
  <c r="B7293" i="1"/>
  <c r="C7293" i="1"/>
  <c r="D7293" i="1"/>
  <c r="E7293" i="1"/>
  <c r="F7293" i="1"/>
  <c r="G7293" i="1"/>
  <c r="H7293" i="1"/>
  <c r="A7294" i="1"/>
  <c r="B7294" i="1"/>
  <c r="C7294" i="1"/>
  <c r="D7294" i="1"/>
  <c r="E7294" i="1"/>
  <c r="F7294" i="1"/>
  <c r="G7294" i="1"/>
  <c r="H7294" i="1"/>
  <c r="A7295" i="1"/>
  <c r="B7295" i="1"/>
  <c r="C7295" i="1"/>
  <c r="D7295" i="1"/>
  <c r="E7295" i="1"/>
  <c r="F7295" i="1"/>
  <c r="G7295" i="1"/>
  <c r="H7295" i="1"/>
  <c r="A7296" i="1"/>
  <c r="B7296" i="1"/>
  <c r="C7296" i="1"/>
  <c r="D7296" i="1"/>
  <c r="E7296" i="1"/>
  <c r="F7296" i="1"/>
  <c r="G7296" i="1"/>
  <c r="H7296" i="1"/>
  <c r="A7297" i="1"/>
  <c r="B7297" i="1"/>
  <c r="C7297" i="1"/>
  <c r="D7297" i="1"/>
  <c r="E7297" i="1"/>
  <c r="F7297" i="1"/>
  <c r="G7297" i="1"/>
  <c r="H7297" i="1"/>
  <c r="A7298" i="1"/>
  <c r="B7298" i="1"/>
  <c r="C7298" i="1"/>
  <c r="D7298" i="1"/>
  <c r="E7298" i="1"/>
  <c r="F7298" i="1"/>
  <c r="G7298" i="1"/>
  <c r="H7298" i="1"/>
  <c r="A7299" i="1"/>
  <c r="B7299" i="1"/>
  <c r="C7299" i="1"/>
  <c r="D7299" i="1"/>
  <c r="E7299" i="1"/>
  <c r="F7299" i="1"/>
  <c r="G7299" i="1"/>
  <c r="H7299" i="1"/>
  <c r="A7300" i="1"/>
  <c r="B7300" i="1"/>
  <c r="C7300" i="1"/>
  <c r="D7300" i="1"/>
  <c r="E7300" i="1"/>
  <c r="F7300" i="1"/>
  <c r="G7300" i="1"/>
  <c r="H7300" i="1"/>
  <c r="A7301" i="1"/>
  <c r="B7301" i="1"/>
  <c r="C7301" i="1"/>
  <c r="D7301" i="1"/>
  <c r="E7301" i="1"/>
  <c r="F7301" i="1"/>
  <c r="G7301" i="1"/>
  <c r="H7301" i="1"/>
  <c r="A7302" i="1"/>
  <c r="B7302" i="1"/>
  <c r="C7302" i="1"/>
  <c r="D7302" i="1"/>
  <c r="E7302" i="1"/>
  <c r="F7302" i="1"/>
  <c r="G7302" i="1"/>
  <c r="H7302" i="1"/>
  <c r="A7303" i="1"/>
  <c r="B7303" i="1"/>
  <c r="C7303" i="1"/>
  <c r="D7303" i="1"/>
  <c r="E7303" i="1"/>
  <c r="F7303" i="1"/>
  <c r="G7303" i="1"/>
  <c r="H7303" i="1"/>
  <c r="A7304" i="1"/>
  <c r="B7304" i="1"/>
  <c r="C7304" i="1"/>
  <c r="D7304" i="1"/>
  <c r="E7304" i="1"/>
  <c r="F7304" i="1"/>
  <c r="G7304" i="1"/>
  <c r="H7304" i="1"/>
  <c r="A7305" i="1"/>
  <c r="B7305" i="1"/>
  <c r="C7305" i="1"/>
  <c r="D7305" i="1"/>
  <c r="E7305" i="1"/>
  <c r="F7305" i="1"/>
  <c r="G7305" i="1"/>
  <c r="H7305" i="1"/>
  <c r="A7306" i="1"/>
  <c r="B7306" i="1"/>
  <c r="C7306" i="1"/>
  <c r="D7306" i="1"/>
  <c r="E7306" i="1"/>
  <c r="F7306" i="1"/>
  <c r="G7306" i="1"/>
  <c r="H7306" i="1"/>
  <c r="A7307" i="1"/>
  <c r="B7307" i="1"/>
  <c r="C7307" i="1"/>
  <c r="D7307" i="1"/>
  <c r="E7307" i="1"/>
  <c r="F7307" i="1"/>
  <c r="G7307" i="1"/>
  <c r="H7307" i="1"/>
  <c r="A7308" i="1"/>
  <c r="B7308" i="1"/>
  <c r="C7308" i="1"/>
  <c r="D7308" i="1"/>
  <c r="E7308" i="1"/>
  <c r="F7308" i="1"/>
  <c r="G7308" i="1"/>
  <c r="H7308" i="1"/>
  <c r="A7309" i="1"/>
  <c r="B7309" i="1"/>
  <c r="C7309" i="1"/>
  <c r="D7309" i="1"/>
  <c r="E7309" i="1"/>
  <c r="F7309" i="1"/>
  <c r="G7309" i="1"/>
  <c r="H7309" i="1"/>
  <c r="A7310" i="1"/>
  <c r="B7310" i="1"/>
  <c r="C7310" i="1"/>
  <c r="D7310" i="1"/>
  <c r="E7310" i="1"/>
  <c r="F7310" i="1"/>
  <c r="G7310" i="1"/>
  <c r="H7310" i="1"/>
  <c r="A7311" i="1"/>
  <c r="B7311" i="1"/>
  <c r="C7311" i="1"/>
  <c r="D7311" i="1"/>
  <c r="E7311" i="1"/>
  <c r="F7311" i="1"/>
  <c r="G7311" i="1"/>
  <c r="H7311" i="1"/>
  <c r="A7312" i="1"/>
  <c r="B7312" i="1"/>
  <c r="C7312" i="1"/>
  <c r="D7312" i="1"/>
  <c r="E7312" i="1"/>
  <c r="F7312" i="1"/>
  <c r="G7312" i="1"/>
  <c r="H7312" i="1"/>
  <c r="A7313" i="1"/>
  <c r="B7313" i="1"/>
  <c r="C7313" i="1"/>
  <c r="D7313" i="1"/>
  <c r="E7313" i="1"/>
  <c r="F7313" i="1"/>
  <c r="G7313" i="1"/>
  <c r="H7313" i="1"/>
  <c r="A7314" i="1"/>
  <c r="B7314" i="1"/>
  <c r="C7314" i="1"/>
  <c r="D7314" i="1"/>
  <c r="E7314" i="1"/>
  <c r="F7314" i="1"/>
  <c r="G7314" i="1"/>
  <c r="H7314" i="1"/>
  <c r="A7315" i="1"/>
  <c r="B7315" i="1"/>
  <c r="C7315" i="1"/>
  <c r="D7315" i="1"/>
  <c r="E7315" i="1"/>
  <c r="F7315" i="1"/>
  <c r="G7315" i="1"/>
  <c r="H7315" i="1"/>
  <c r="A7316" i="1"/>
  <c r="B7316" i="1"/>
  <c r="C7316" i="1"/>
  <c r="D7316" i="1"/>
  <c r="E7316" i="1"/>
  <c r="F7316" i="1"/>
  <c r="G7316" i="1"/>
  <c r="H7316" i="1"/>
  <c r="A7317" i="1"/>
  <c r="B7317" i="1"/>
  <c r="C7317" i="1"/>
  <c r="D7317" i="1"/>
  <c r="E7317" i="1"/>
  <c r="F7317" i="1"/>
  <c r="G7317" i="1"/>
  <c r="H7317" i="1"/>
  <c r="A7318" i="1"/>
  <c r="B7318" i="1"/>
  <c r="C7318" i="1"/>
  <c r="D7318" i="1"/>
  <c r="E7318" i="1"/>
  <c r="F7318" i="1"/>
  <c r="G7318" i="1"/>
  <c r="H7318" i="1"/>
  <c r="A7319" i="1"/>
  <c r="B7319" i="1"/>
  <c r="C7319" i="1"/>
  <c r="D7319" i="1"/>
  <c r="E7319" i="1"/>
  <c r="F7319" i="1"/>
  <c r="G7319" i="1"/>
  <c r="H7319" i="1"/>
  <c r="A7320" i="1"/>
  <c r="B7320" i="1"/>
  <c r="C7320" i="1"/>
  <c r="D7320" i="1"/>
  <c r="E7320" i="1"/>
  <c r="F7320" i="1"/>
  <c r="G7320" i="1"/>
  <c r="H7320" i="1"/>
  <c r="A7321" i="1"/>
  <c r="B7321" i="1"/>
  <c r="C7321" i="1"/>
  <c r="D7321" i="1"/>
  <c r="E7321" i="1"/>
  <c r="F7321" i="1"/>
  <c r="G7321" i="1"/>
  <c r="H7321" i="1"/>
  <c r="A7322" i="1"/>
  <c r="B7322" i="1"/>
  <c r="C7322" i="1"/>
  <c r="D7322" i="1"/>
  <c r="E7322" i="1"/>
  <c r="F7322" i="1"/>
  <c r="G7322" i="1"/>
  <c r="H7322" i="1"/>
  <c r="A7323" i="1"/>
  <c r="B7323" i="1"/>
  <c r="C7323" i="1"/>
  <c r="D7323" i="1"/>
  <c r="E7323" i="1"/>
  <c r="F7323" i="1"/>
  <c r="G7323" i="1"/>
  <c r="H7323" i="1"/>
  <c r="A7324" i="1"/>
  <c r="B7324" i="1"/>
  <c r="C7324" i="1"/>
  <c r="D7324" i="1"/>
  <c r="E7324" i="1"/>
  <c r="F7324" i="1"/>
  <c r="G7324" i="1"/>
  <c r="H7324" i="1"/>
  <c r="A7325" i="1"/>
  <c r="B7325" i="1"/>
  <c r="C7325" i="1"/>
  <c r="D7325" i="1"/>
  <c r="E7325" i="1"/>
  <c r="F7325" i="1"/>
  <c r="G7325" i="1"/>
  <c r="H7325" i="1"/>
  <c r="A7326" i="1"/>
  <c r="B7326" i="1"/>
  <c r="C7326" i="1"/>
  <c r="D7326" i="1"/>
  <c r="E7326" i="1"/>
  <c r="F7326" i="1"/>
  <c r="G7326" i="1"/>
  <c r="H7326" i="1"/>
  <c r="A7327" i="1"/>
  <c r="B7327" i="1"/>
  <c r="C7327" i="1"/>
  <c r="D7327" i="1"/>
  <c r="E7327" i="1"/>
  <c r="F7327" i="1"/>
  <c r="G7327" i="1"/>
  <c r="H7327" i="1"/>
  <c r="A7328" i="1"/>
  <c r="B7328" i="1"/>
  <c r="C7328" i="1"/>
  <c r="D7328" i="1"/>
  <c r="E7328" i="1"/>
  <c r="F7328" i="1"/>
  <c r="G7328" i="1"/>
  <c r="H7328" i="1"/>
  <c r="A7329" i="1"/>
  <c r="B7329" i="1"/>
  <c r="C7329" i="1"/>
  <c r="D7329" i="1"/>
  <c r="E7329" i="1"/>
  <c r="F7329" i="1"/>
  <c r="G7329" i="1"/>
  <c r="H7329" i="1"/>
  <c r="A7330" i="1"/>
  <c r="B7330" i="1"/>
  <c r="C7330" i="1"/>
  <c r="D7330" i="1"/>
  <c r="E7330" i="1"/>
  <c r="F7330" i="1"/>
  <c r="G7330" i="1"/>
  <c r="H7330" i="1"/>
  <c r="A7331" i="1"/>
  <c r="B7331" i="1"/>
  <c r="C7331" i="1"/>
  <c r="D7331" i="1"/>
  <c r="E7331" i="1"/>
  <c r="F7331" i="1"/>
  <c r="G7331" i="1"/>
  <c r="H7331" i="1"/>
  <c r="A7332" i="1"/>
  <c r="B7332" i="1"/>
  <c r="C7332" i="1"/>
  <c r="D7332" i="1"/>
  <c r="E7332" i="1"/>
  <c r="F7332" i="1"/>
  <c r="G7332" i="1"/>
  <c r="H7332" i="1"/>
  <c r="A7333" i="1"/>
  <c r="B7333" i="1"/>
  <c r="C7333" i="1"/>
  <c r="D7333" i="1"/>
  <c r="E7333" i="1"/>
  <c r="F7333" i="1"/>
  <c r="G7333" i="1"/>
  <c r="H7333" i="1"/>
  <c r="A7334" i="1"/>
  <c r="B7334" i="1"/>
  <c r="C7334" i="1"/>
  <c r="D7334" i="1"/>
  <c r="E7334" i="1"/>
  <c r="F7334" i="1"/>
  <c r="G7334" i="1"/>
  <c r="H7334" i="1"/>
  <c r="A7335" i="1"/>
  <c r="B7335" i="1"/>
  <c r="C7335" i="1"/>
  <c r="D7335" i="1"/>
  <c r="E7335" i="1"/>
  <c r="F7335" i="1"/>
  <c r="G7335" i="1"/>
  <c r="H7335" i="1"/>
  <c r="A7336" i="1"/>
  <c r="B7336" i="1"/>
  <c r="C7336" i="1"/>
  <c r="D7336" i="1"/>
  <c r="E7336" i="1"/>
  <c r="F7336" i="1"/>
  <c r="G7336" i="1"/>
  <c r="H7336" i="1"/>
  <c r="A7337" i="1"/>
  <c r="B7337" i="1"/>
  <c r="C7337" i="1"/>
  <c r="D7337" i="1"/>
  <c r="E7337" i="1"/>
  <c r="F7337" i="1"/>
  <c r="G7337" i="1"/>
  <c r="H7337" i="1"/>
  <c r="A7338" i="1"/>
  <c r="B7338" i="1"/>
  <c r="C7338" i="1"/>
  <c r="D7338" i="1"/>
  <c r="E7338" i="1"/>
  <c r="F7338" i="1"/>
  <c r="G7338" i="1"/>
  <c r="H7338" i="1"/>
  <c r="A7339" i="1"/>
  <c r="B7339" i="1"/>
  <c r="C7339" i="1"/>
  <c r="D7339" i="1"/>
  <c r="E7339" i="1"/>
  <c r="F7339" i="1"/>
  <c r="G7339" i="1"/>
  <c r="H7339" i="1"/>
  <c r="A7340" i="1"/>
  <c r="B7340" i="1"/>
  <c r="C7340" i="1"/>
  <c r="D7340" i="1"/>
  <c r="E7340" i="1"/>
  <c r="F7340" i="1"/>
  <c r="G7340" i="1"/>
  <c r="H7340" i="1"/>
  <c r="A7341" i="1"/>
  <c r="B7341" i="1"/>
  <c r="C7341" i="1"/>
  <c r="D7341" i="1"/>
  <c r="E7341" i="1"/>
  <c r="F7341" i="1"/>
  <c r="G7341" i="1"/>
  <c r="H7341" i="1"/>
  <c r="A7342" i="1"/>
  <c r="B7342" i="1"/>
  <c r="C7342" i="1"/>
  <c r="D7342" i="1"/>
  <c r="E7342" i="1"/>
  <c r="F7342" i="1"/>
  <c r="G7342" i="1"/>
  <c r="H7342" i="1"/>
  <c r="A7343" i="1"/>
  <c r="B7343" i="1"/>
  <c r="C7343" i="1"/>
  <c r="D7343" i="1"/>
  <c r="E7343" i="1"/>
  <c r="F7343" i="1"/>
  <c r="G7343" i="1"/>
  <c r="H7343" i="1"/>
  <c r="A7344" i="1"/>
  <c r="B7344" i="1"/>
  <c r="C7344" i="1"/>
  <c r="D7344" i="1"/>
  <c r="E7344" i="1"/>
  <c r="F7344" i="1"/>
  <c r="G7344" i="1"/>
  <c r="H7344" i="1"/>
  <c r="A7345" i="1"/>
  <c r="B7345" i="1"/>
  <c r="C7345" i="1"/>
  <c r="D7345" i="1"/>
  <c r="E7345" i="1"/>
  <c r="F7345" i="1"/>
  <c r="G7345" i="1"/>
  <c r="H7345" i="1"/>
  <c r="A7346" i="1"/>
  <c r="B7346" i="1"/>
  <c r="C7346" i="1"/>
  <c r="D7346" i="1"/>
  <c r="E7346" i="1"/>
  <c r="F7346" i="1"/>
  <c r="G7346" i="1"/>
  <c r="H7346" i="1"/>
  <c r="A7347" i="1"/>
  <c r="B7347" i="1"/>
  <c r="C7347" i="1"/>
  <c r="D7347" i="1"/>
  <c r="E7347" i="1"/>
  <c r="F7347" i="1"/>
  <c r="G7347" i="1"/>
  <c r="H7347" i="1"/>
  <c r="A7348" i="1"/>
  <c r="B7348" i="1"/>
  <c r="C7348" i="1"/>
  <c r="D7348" i="1"/>
  <c r="E7348" i="1"/>
  <c r="F7348" i="1"/>
  <c r="G7348" i="1"/>
  <c r="H7348" i="1"/>
  <c r="A7349" i="1"/>
  <c r="B7349" i="1"/>
  <c r="C7349" i="1"/>
  <c r="D7349" i="1"/>
  <c r="E7349" i="1"/>
  <c r="F7349" i="1"/>
  <c r="G7349" i="1"/>
  <c r="H7349" i="1"/>
  <c r="A7350" i="1"/>
  <c r="B7350" i="1"/>
  <c r="C7350" i="1"/>
  <c r="D7350" i="1"/>
  <c r="E7350" i="1"/>
  <c r="F7350" i="1"/>
  <c r="G7350" i="1"/>
  <c r="H7350" i="1"/>
  <c r="A7351" i="1"/>
  <c r="B7351" i="1"/>
  <c r="C7351" i="1"/>
  <c r="D7351" i="1"/>
  <c r="E7351" i="1"/>
  <c r="F7351" i="1"/>
  <c r="G7351" i="1"/>
  <c r="H7351" i="1"/>
  <c r="A7352" i="1"/>
  <c r="B7352" i="1"/>
  <c r="C7352" i="1"/>
  <c r="D7352" i="1"/>
  <c r="E7352" i="1"/>
  <c r="F7352" i="1"/>
  <c r="G7352" i="1"/>
  <c r="H7352" i="1"/>
  <c r="A7353" i="1"/>
  <c r="B7353" i="1"/>
  <c r="C7353" i="1"/>
  <c r="D7353" i="1"/>
  <c r="E7353" i="1"/>
  <c r="F7353" i="1"/>
  <c r="G7353" i="1"/>
  <c r="H7353" i="1"/>
  <c r="A7354" i="1"/>
  <c r="B7354" i="1"/>
  <c r="C7354" i="1"/>
  <c r="D7354" i="1"/>
  <c r="E7354" i="1"/>
  <c r="F7354" i="1"/>
  <c r="G7354" i="1"/>
  <c r="H7354" i="1"/>
  <c r="A7355" i="1"/>
  <c r="B7355" i="1"/>
  <c r="C7355" i="1"/>
  <c r="D7355" i="1"/>
  <c r="E7355" i="1"/>
  <c r="F7355" i="1"/>
  <c r="G7355" i="1"/>
  <c r="H7355" i="1"/>
  <c r="A7356" i="1"/>
  <c r="B7356" i="1"/>
  <c r="C7356" i="1"/>
  <c r="D7356" i="1"/>
  <c r="E7356" i="1"/>
  <c r="F7356" i="1"/>
  <c r="G7356" i="1"/>
  <c r="H7356" i="1"/>
  <c r="A7357" i="1"/>
  <c r="B7357" i="1"/>
  <c r="C7357" i="1"/>
  <c r="D7357" i="1"/>
  <c r="E7357" i="1"/>
  <c r="F7357" i="1"/>
  <c r="G7357" i="1"/>
  <c r="H7357" i="1"/>
  <c r="A7358" i="1"/>
  <c r="B7358" i="1"/>
  <c r="C7358" i="1"/>
  <c r="D7358" i="1"/>
  <c r="E7358" i="1"/>
  <c r="F7358" i="1"/>
  <c r="G7358" i="1"/>
  <c r="H7358" i="1"/>
  <c r="A7359" i="1"/>
  <c r="B7359" i="1"/>
  <c r="C7359" i="1"/>
  <c r="D7359" i="1"/>
  <c r="E7359" i="1"/>
  <c r="F7359" i="1"/>
  <c r="G7359" i="1"/>
  <c r="H7359" i="1"/>
  <c r="A7360" i="1"/>
  <c r="B7360" i="1"/>
  <c r="C7360" i="1"/>
  <c r="D7360" i="1"/>
  <c r="E7360" i="1"/>
  <c r="F7360" i="1"/>
  <c r="G7360" i="1"/>
  <c r="H7360" i="1"/>
  <c r="A7361" i="1"/>
  <c r="B7361" i="1"/>
  <c r="C7361" i="1"/>
  <c r="D7361" i="1"/>
  <c r="E7361" i="1"/>
  <c r="F7361" i="1"/>
  <c r="G7361" i="1"/>
  <c r="H7361" i="1"/>
  <c r="A7362" i="1"/>
  <c r="B7362" i="1"/>
  <c r="C7362" i="1"/>
  <c r="D7362" i="1"/>
  <c r="E7362" i="1"/>
  <c r="F7362" i="1"/>
  <c r="G7362" i="1"/>
  <c r="H7362" i="1"/>
  <c r="A7363" i="1"/>
  <c r="B7363" i="1"/>
  <c r="C7363" i="1"/>
  <c r="D7363" i="1"/>
  <c r="E7363" i="1"/>
  <c r="F7363" i="1"/>
  <c r="G7363" i="1"/>
  <c r="H7363" i="1"/>
  <c r="A7364" i="1"/>
  <c r="B7364" i="1"/>
  <c r="C7364" i="1"/>
  <c r="D7364" i="1"/>
  <c r="E7364" i="1"/>
  <c r="F7364" i="1"/>
  <c r="G7364" i="1"/>
  <c r="H7364" i="1"/>
  <c r="A7365" i="1"/>
  <c r="B7365" i="1"/>
  <c r="C7365" i="1"/>
  <c r="D7365" i="1"/>
  <c r="E7365" i="1"/>
  <c r="F7365" i="1"/>
  <c r="G7365" i="1"/>
  <c r="H7365" i="1"/>
  <c r="A7366" i="1"/>
  <c r="B7366" i="1"/>
  <c r="C7366" i="1"/>
  <c r="D7366" i="1"/>
  <c r="E7366" i="1"/>
  <c r="F7366" i="1"/>
  <c r="G7366" i="1"/>
  <c r="H7366" i="1"/>
  <c r="A7367" i="1"/>
  <c r="B7367" i="1"/>
  <c r="C7367" i="1"/>
  <c r="D7367" i="1"/>
  <c r="E7367" i="1"/>
  <c r="F7367" i="1"/>
  <c r="G7367" i="1"/>
  <c r="H7367" i="1"/>
  <c r="A7368" i="1"/>
  <c r="B7368" i="1"/>
  <c r="C7368" i="1"/>
  <c r="D7368" i="1"/>
  <c r="E7368" i="1"/>
  <c r="F7368" i="1"/>
  <c r="G7368" i="1"/>
  <c r="H7368" i="1"/>
  <c r="A7369" i="1"/>
  <c r="B7369" i="1"/>
  <c r="C7369" i="1"/>
  <c r="D7369" i="1"/>
  <c r="E7369" i="1"/>
  <c r="F7369" i="1"/>
  <c r="G7369" i="1"/>
  <c r="H7369" i="1"/>
  <c r="A7370" i="1"/>
  <c r="B7370" i="1"/>
  <c r="C7370" i="1"/>
  <c r="D7370" i="1"/>
  <c r="E7370" i="1"/>
  <c r="F7370" i="1"/>
  <c r="G7370" i="1"/>
  <c r="H7370" i="1"/>
  <c r="A7371" i="1"/>
  <c r="B7371" i="1"/>
  <c r="C7371" i="1"/>
  <c r="D7371" i="1"/>
  <c r="E7371" i="1"/>
  <c r="F7371" i="1"/>
  <c r="G7371" i="1"/>
  <c r="H7371" i="1"/>
  <c r="A7372" i="1"/>
  <c r="B7372" i="1"/>
  <c r="C7372" i="1"/>
  <c r="D7372" i="1"/>
  <c r="E7372" i="1"/>
  <c r="F7372" i="1"/>
  <c r="G7372" i="1"/>
  <c r="H7372" i="1"/>
  <c r="A7373" i="1"/>
  <c r="B7373" i="1"/>
  <c r="C7373" i="1"/>
  <c r="D7373" i="1"/>
  <c r="E7373" i="1"/>
  <c r="F7373" i="1"/>
  <c r="G7373" i="1"/>
  <c r="H7373" i="1"/>
  <c r="A7374" i="1"/>
  <c r="B7374" i="1"/>
  <c r="C7374" i="1"/>
  <c r="D7374" i="1"/>
  <c r="E7374" i="1"/>
  <c r="F7374" i="1"/>
  <c r="G7374" i="1"/>
  <c r="H7374" i="1"/>
  <c r="A7375" i="1"/>
  <c r="B7375" i="1"/>
  <c r="C7375" i="1"/>
  <c r="D7375" i="1"/>
  <c r="E7375" i="1"/>
  <c r="F7375" i="1"/>
  <c r="G7375" i="1"/>
  <c r="H7375" i="1"/>
  <c r="A7376" i="1"/>
  <c r="B7376" i="1"/>
  <c r="C7376" i="1"/>
  <c r="D7376" i="1"/>
  <c r="E7376" i="1"/>
  <c r="F7376" i="1"/>
  <c r="G7376" i="1"/>
  <c r="H7376" i="1"/>
  <c r="A7377" i="1"/>
  <c r="B7377" i="1"/>
  <c r="C7377" i="1"/>
  <c r="D7377" i="1"/>
  <c r="E7377" i="1"/>
  <c r="F7377" i="1"/>
  <c r="G7377" i="1"/>
  <c r="H7377" i="1"/>
  <c r="A7378" i="1"/>
  <c r="B7378" i="1"/>
  <c r="C7378" i="1"/>
  <c r="D7378" i="1"/>
  <c r="E7378" i="1"/>
  <c r="F7378" i="1"/>
  <c r="G7378" i="1"/>
  <c r="H7378" i="1"/>
  <c r="A7379" i="1"/>
  <c r="B7379" i="1"/>
  <c r="C7379" i="1"/>
  <c r="D7379" i="1"/>
  <c r="E7379" i="1"/>
  <c r="F7379" i="1"/>
  <c r="G7379" i="1"/>
  <c r="H7379" i="1"/>
  <c r="A7380" i="1"/>
  <c r="B7380" i="1"/>
  <c r="C7380" i="1"/>
  <c r="D7380" i="1"/>
  <c r="E7380" i="1"/>
  <c r="F7380" i="1"/>
  <c r="G7380" i="1"/>
  <c r="H7380" i="1"/>
  <c r="A7381" i="1"/>
  <c r="B7381" i="1"/>
  <c r="C7381" i="1"/>
  <c r="D7381" i="1"/>
  <c r="E7381" i="1"/>
  <c r="F7381" i="1"/>
  <c r="G7381" i="1"/>
  <c r="H7381" i="1"/>
  <c r="A7382" i="1"/>
  <c r="B7382" i="1"/>
  <c r="C7382" i="1"/>
  <c r="D7382" i="1"/>
  <c r="E7382" i="1"/>
  <c r="F7382" i="1"/>
  <c r="G7382" i="1"/>
  <c r="H7382" i="1"/>
  <c r="A7383" i="1"/>
  <c r="B7383" i="1"/>
  <c r="C7383" i="1"/>
  <c r="D7383" i="1"/>
  <c r="E7383" i="1"/>
  <c r="F7383" i="1"/>
  <c r="G7383" i="1"/>
  <c r="H7383" i="1"/>
  <c r="A7384" i="1"/>
  <c r="B7384" i="1"/>
  <c r="C7384" i="1"/>
  <c r="D7384" i="1"/>
  <c r="E7384" i="1"/>
  <c r="F7384" i="1"/>
  <c r="G7384" i="1"/>
  <c r="H7384" i="1"/>
  <c r="A7385" i="1"/>
  <c r="B7385" i="1"/>
  <c r="C7385" i="1"/>
  <c r="D7385" i="1"/>
  <c r="E7385" i="1"/>
  <c r="F7385" i="1"/>
  <c r="G7385" i="1"/>
  <c r="H7385" i="1"/>
  <c r="A7386" i="1"/>
  <c r="B7386" i="1"/>
  <c r="C7386" i="1"/>
  <c r="D7386" i="1"/>
  <c r="E7386" i="1"/>
  <c r="F7386" i="1"/>
  <c r="G7386" i="1"/>
  <c r="H7386" i="1"/>
  <c r="A7387" i="1"/>
  <c r="B7387" i="1"/>
  <c r="C7387" i="1"/>
  <c r="D7387" i="1"/>
  <c r="E7387" i="1"/>
  <c r="F7387" i="1"/>
  <c r="G7387" i="1"/>
  <c r="H7387" i="1"/>
  <c r="A7388" i="1"/>
  <c r="B7388" i="1"/>
  <c r="C7388" i="1"/>
  <c r="D7388" i="1"/>
  <c r="E7388" i="1"/>
  <c r="F7388" i="1"/>
  <c r="G7388" i="1"/>
  <c r="H7388" i="1"/>
  <c r="A7389" i="1"/>
  <c r="B7389" i="1"/>
  <c r="C7389" i="1"/>
  <c r="D7389" i="1"/>
  <c r="E7389" i="1"/>
  <c r="F7389" i="1"/>
  <c r="G7389" i="1"/>
  <c r="H7389" i="1"/>
  <c r="A7390" i="1"/>
  <c r="B7390" i="1"/>
  <c r="C7390" i="1"/>
  <c r="D7390" i="1"/>
  <c r="E7390" i="1"/>
  <c r="F7390" i="1"/>
  <c r="G7390" i="1"/>
  <c r="H7390" i="1"/>
  <c r="A7391" i="1"/>
  <c r="B7391" i="1"/>
  <c r="C7391" i="1"/>
  <c r="D7391" i="1"/>
  <c r="E7391" i="1"/>
  <c r="F7391" i="1"/>
  <c r="G7391" i="1"/>
  <c r="H7391" i="1"/>
  <c r="A7392" i="1"/>
  <c r="B7392" i="1"/>
  <c r="C7392" i="1"/>
  <c r="D7392" i="1"/>
  <c r="E7392" i="1"/>
  <c r="F7392" i="1"/>
  <c r="G7392" i="1"/>
  <c r="H7392" i="1"/>
  <c r="A7393" i="1"/>
  <c r="B7393" i="1"/>
  <c r="C7393" i="1"/>
  <c r="D7393" i="1"/>
  <c r="E7393" i="1"/>
  <c r="F7393" i="1"/>
  <c r="G7393" i="1"/>
  <c r="H7393" i="1"/>
  <c r="A7394" i="1"/>
  <c r="B7394" i="1"/>
  <c r="C7394" i="1"/>
  <c r="D7394" i="1"/>
  <c r="E7394" i="1"/>
  <c r="F7394" i="1"/>
  <c r="G7394" i="1"/>
  <c r="H7394" i="1"/>
  <c r="A7395" i="1"/>
  <c r="B7395" i="1"/>
  <c r="C7395" i="1"/>
  <c r="D7395" i="1"/>
  <c r="E7395" i="1"/>
  <c r="F7395" i="1"/>
  <c r="G7395" i="1"/>
  <c r="H7395" i="1"/>
  <c r="A7396" i="1"/>
  <c r="B7396" i="1"/>
  <c r="C7396" i="1"/>
  <c r="D7396" i="1"/>
  <c r="E7396" i="1"/>
  <c r="F7396" i="1"/>
  <c r="G7396" i="1"/>
  <c r="H7396" i="1"/>
  <c r="A7397" i="1"/>
  <c r="B7397" i="1"/>
  <c r="C7397" i="1"/>
  <c r="D7397" i="1"/>
  <c r="E7397" i="1"/>
  <c r="F7397" i="1"/>
  <c r="G7397" i="1"/>
  <c r="H7397" i="1"/>
  <c r="A7398" i="1"/>
  <c r="B7398" i="1"/>
  <c r="C7398" i="1"/>
  <c r="D7398" i="1"/>
  <c r="E7398" i="1"/>
  <c r="F7398" i="1"/>
  <c r="G7398" i="1"/>
  <c r="H7398" i="1"/>
  <c r="A7399" i="1"/>
  <c r="B7399" i="1"/>
  <c r="C7399" i="1"/>
  <c r="D7399" i="1"/>
  <c r="E7399" i="1"/>
  <c r="F7399" i="1"/>
  <c r="G7399" i="1"/>
  <c r="H7399" i="1"/>
  <c r="A7400" i="1"/>
  <c r="B7400" i="1"/>
  <c r="C7400" i="1"/>
  <c r="D7400" i="1"/>
  <c r="E7400" i="1"/>
  <c r="F7400" i="1"/>
  <c r="G7400" i="1"/>
  <c r="H7400" i="1"/>
  <c r="A7401" i="1"/>
  <c r="B7401" i="1"/>
  <c r="C7401" i="1"/>
  <c r="D7401" i="1"/>
  <c r="E7401" i="1"/>
  <c r="F7401" i="1"/>
  <c r="G7401" i="1"/>
  <c r="H7401" i="1"/>
  <c r="A7402" i="1"/>
  <c r="B7402" i="1"/>
  <c r="C7402" i="1"/>
  <c r="D7402" i="1"/>
  <c r="E7402" i="1"/>
  <c r="F7402" i="1"/>
  <c r="G7402" i="1"/>
  <c r="H7402" i="1"/>
  <c r="A7403" i="1"/>
  <c r="B7403" i="1"/>
  <c r="C7403" i="1"/>
  <c r="D7403" i="1"/>
  <c r="E7403" i="1"/>
  <c r="F7403" i="1"/>
  <c r="G7403" i="1"/>
  <c r="H7403" i="1"/>
  <c r="A7404" i="1"/>
  <c r="B7404" i="1"/>
  <c r="C7404" i="1"/>
  <c r="D7404" i="1"/>
  <c r="E7404" i="1"/>
  <c r="F7404" i="1"/>
  <c r="G7404" i="1"/>
  <c r="H7404" i="1"/>
  <c r="A7405" i="1"/>
  <c r="B7405" i="1"/>
  <c r="C7405" i="1"/>
  <c r="D7405" i="1"/>
  <c r="E7405" i="1"/>
  <c r="F7405" i="1"/>
  <c r="G7405" i="1"/>
  <c r="H7405" i="1"/>
  <c r="A7406" i="1"/>
  <c r="B7406" i="1"/>
  <c r="C7406" i="1"/>
  <c r="D7406" i="1"/>
  <c r="E7406" i="1"/>
  <c r="F7406" i="1"/>
  <c r="G7406" i="1"/>
  <c r="H7406" i="1"/>
  <c r="A7407" i="1"/>
  <c r="B7407" i="1"/>
  <c r="C7407" i="1"/>
  <c r="D7407" i="1"/>
  <c r="E7407" i="1"/>
  <c r="F7407" i="1"/>
  <c r="G7407" i="1"/>
  <c r="H7407" i="1"/>
  <c r="A7408" i="1"/>
  <c r="B7408" i="1"/>
  <c r="C7408" i="1"/>
  <c r="D7408" i="1"/>
  <c r="E7408" i="1"/>
  <c r="F7408" i="1"/>
  <c r="G7408" i="1"/>
  <c r="H7408" i="1"/>
  <c r="A7409" i="1"/>
  <c r="B7409" i="1"/>
  <c r="C7409" i="1"/>
  <c r="D7409" i="1"/>
  <c r="E7409" i="1"/>
  <c r="F7409" i="1"/>
  <c r="G7409" i="1"/>
  <c r="H7409" i="1"/>
  <c r="A7410" i="1"/>
  <c r="B7410" i="1"/>
  <c r="C7410" i="1"/>
  <c r="D7410" i="1"/>
  <c r="E7410" i="1"/>
  <c r="F7410" i="1"/>
  <c r="G7410" i="1"/>
  <c r="H7410" i="1"/>
  <c r="A7411" i="1"/>
  <c r="B7411" i="1"/>
  <c r="C7411" i="1"/>
  <c r="D7411" i="1"/>
  <c r="E7411" i="1"/>
  <c r="F7411" i="1"/>
  <c r="G7411" i="1"/>
  <c r="H7411" i="1"/>
  <c r="A7412" i="1"/>
  <c r="B7412" i="1"/>
  <c r="C7412" i="1"/>
  <c r="D7412" i="1"/>
  <c r="E7412" i="1"/>
  <c r="F7412" i="1"/>
  <c r="G7412" i="1"/>
  <c r="H7412" i="1"/>
  <c r="A7413" i="1"/>
  <c r="B7413" i="1"/>
  <c r="C7413" i="1"/>
  <c r="D7413" i="1"/>
  <c r="E7413" i="1"/>
  <c r="F7413" i="1"/>
  <c r="G7413" i="1"/>
  <c r="H7413" i="1"/>
  <c r="A7414" i="1"/>
  <c r="B7414" i="1"/>
  <c r="C7414" i="1"/>
  <c r="D7414" i="1"/>
  <c r="E7414" i="1"/>
  <c r="F7414" i="1"/>
  <c r="G7414" i="1"/>
  <c r="H7414" i="1"/>
  <c r="A7415" i="1"/>
  <c r="B7415" i="1"/>
  <c r="C7415" i="1"/>
  <c r="D7415" i="1"/>
  <c r="E7415" i="1"/>
  <c r="F7415" i="1"/>
  <c r="G7415" i="1"/>
  <c r="H7415" i="1"/>
  <c r="A7416" i="1"/>
  <c r="B7416" i="1"/>
  <c r="C7416" i="1"/>
  <c r="D7416" i="1"/>
  <c r="E7416" i="1"/>
  <c r="F7416" i="1"/>
  <c r="G7416" i="1"/>
  <c r="H7416" i="1"/>
  <c r="A7417" i="1"/>
  <c r="B7417" i="1"/>
  <c r="C7417" i="1"/>
  <c r="D7417" i="1"/>
  <c r="E7417" i="1"/>
  <c r="F7417" i="1"/>
  <c r="G7417" i="1"/>
  <c r="H7417" i="1"/>
  <c r="A7418" i="1"/>
  <c r="B7418" i="1"/>
  <c r="C7418" i="1"/>
  <c r="D7418" i="1"/>
  <c r="E7418" i="1"/>
  <c r="F7418" i="1"/>
  <c r="G7418" i="1"/>
  <c r="H7418" i="1"/>
  <c r="A7419" i="1"/>
  <c r="B7419" i="1"/>
  <c r="C7419" i="1"/>
  <c r="D7419" i="1"/>
  <c r="E7419" i="1"/>
  <c r="F7419" i="1"/>
  <c r="G7419" i="1"/>
  <c r="H7419" i="1"/>
  <c r="A7420" i="1"/>
  <c r="B7420" i="1"/>
  <c r="C7420" i="1"/>
  <c r="D7420" i="1"/>
  <c r="E7420" i="1"/>
  <c r="F7420" i="1"/>
  <c r="G7420" i="1"/>
  <c r="H7420" i="1"/>
  <c r="A7421" i="1"/>
  <c r="B7421" i="1"/>
  <c r="C7421" i="1"/>
  <c r="D7421" i="1"/>
  <c r="E7421" i="1"/>
  <c r="F7421" i="1"/>
  <c r="G7421" i="1"/>
  <c r="H7421" i="1"/>
  <c r="A7422" i="1"/>
  <c r="B7422" i="1"/>
  <c r="C7422" i="1"/>
  <c r="D7422" i="1"/>
  <c r="E7422" i="1"/>
  <c r="F7422" i="1"/>
  <c r="G7422" i="1"/>
  <c r="H7422" i="1"/>
  <c r="A7423" i="1"/>
  <c r="B7423" i="1"/>
  <c r="C7423" i="1"/>
  <c r="D7423" i="1"/>
  <c r="E7423" i="1"/>
  <c r="F7423" i="1"/>
  <c r="G7423" i="1"/>
  <c r="H7423" i="1"/>
  <c r="A7424" i="1"/>
  <c r="B7424" i="1"/>
  <c r="C7424" i="1"/>
  <c r="D7424" i="1"/>
  <c r="E7424" i="1"/>
  <c r="F7424" i="1"/>
  <c r="G7424" i="1"/>
  <c r="H7424" i="1"/>
  <c r="A7425" i="1"/>
  <c r="B7425" i="1"/>
  <c r="C7425" i="1"/>
  <c r="D7425" i="1"/>
  <c r="E7425" i="1"/>
  <c r="F7425" i="1"/>
  <c r="G7425" i="1"/>
  <c r="H7425" i="1"/>
  <c r="A7426" i="1"/>
  <c r="B7426" i="1"/>
  <c r="C7426" i="1"/>
  <c r="D7426" i="1"/>
  <c r="E7426" i="1"/>
  <c r="F7426" i="1"/>
  <c r="G7426" i="1"/>
  <c r="H7426" i="1"/>
  <c r="A7427" i="1"/>
  <c r="B7427" i="1"/>
  <c r="C7427" i="1"/>
  <c r="D7427" i="1"/>
  <c r="E7427" i="1"/>
  <c r="F7427" i="1"/>
  <c r="G7427" i="1"/>
  <c r="H7427" i="1"/>
  <c r="A7428" i="1"/>
  <c r="B7428" i="1"/>
  <c r="C7428" i="1"/>
  <c r="D7428" i="1"/>
  <c r="E7428" i="1"/>
  <c r="F7428" i="1"/>
  <c r="G7428" i="1"/>
  <c r="H7428" i="1"/>
  <c r="A7429" i="1"/>
  <c r="B7429" i="1"/>
  <c r="C7429" i="1"/>
  <c r="D7429" i="1"/>
  <c r="E7429" i="1"/>
  <c r="F7429" i="1"/>
  <c r="G7429" i="1"/>
  <c r="H7429" i="1"/>
  <c r="A7430" i="1"/>
  <c r="B7430" i="1"/>
  <c r="C7430" i="1"/>
  <c r="D7430" i="1"/>
  <c r="E7430" i="1"/>
  <c r="F7430" i="1"/>
  <c r="G7430" i="1"/>
  <c r="H7430" i="1"/>
  <c r="A7431" i="1"/>
  <c r="B7431" i="1"/>
  <c r="C7431" i="1"/>
  <c r="D7431" i="1"/>
  <c r="E7431" i="1"/>
  <c r="F7431" i="1"/>
  <c r="G7431" i="1"/>
  <c r="H7431" i="1"/>
  <c r="A7432" i="1"/>
  <c r="B7432" i="1"/>
  <c r="C7432" i="1"/>
  <c r="D7432" i="1"/>
  <c r="E7432" i="1"/>
  <c r="F7432" i="1"/>
  <c r="G7432" i="1"/>
  <c r="H7432" i="1"/>
  <c r="A7433" i="1"/>
  <c r="B7433" i="1"/>
  <c r="C7433" i="1"/>
  <c r="D7433" i="1"/>
  <c r="E7433" i="1"/>
  <c r="F7433" i="1"/>
  <c r="G7433" i="1"/>
  <c r="H7433" i="1"/>
  <c r="A7434" i="1"/>
  <c r="B7434" i="1"/>
  <c r="C7434" i="1"/>
  <c r="D7434" i="1"/>
  <c r="E7434" i="1"/>
  <c r="F7434" i="1"/>
  <c r="G7434" i="1"/>
  <c r="H7434" i="1"/>
  <c r="A7435" i="1"/>
  <c r="B7435" i="1"/>
  <c r="C7435" i="1"/>
  <c r="D7435" i="1"/>
  <c r="E7435" i="1"/>
  <c r="F7435" i="1"/>
  <c r="G7435" i="1"/>
  <c r="H7435" i="1"/>
  <c r="A7436" i="1"/>
  <c r="B7436" i="1"/>
  <c r="C7436" i="1"/>
  <c r="D7436" i="1"/>
  <c r="E7436" i="1"/>
  <c r="F7436" i="1"/>
  <c r="G7436" i="1"/>
  <c r="H7436" i="1"/>
  <c r="A7437" i="1"/>
  <c r="B7437" i="1"/>
  <c r="C7437" i="1"/>
  <c r="D7437" i="1"/>
  <c r="E7437" i="1"/>
  <c r="F7437" i="1"/>
  <c r="G7437" i="1"/>
  <c r="H7437" i="1"/>
  <c r="A7438" i="1"/>
  <c r="B7438" i="1"/>
  <c r="C7438" i="1"/>
  <c r="D7438" i="1"/>
  <c r="E7438" i="1"/>
  <c r="F7438" i="1"/>
  <c r="G7438" i="1"/>
  <c r="H7438" i="1"/>
  <c r="A7439" i="1"/>
  <c r="B7439" i="1"/>
  <c r="C7439" i="1"/>
  <c r="D7439" i="1"/>
  <c r="E7439" i="1"/>
  <c r="F7439" i="1"/>
  <c r="G7439" i="1"/>
  <c r="H7439" i="1"/>
  <c r="A7440" i="1"/>
  <c r="B7440" i="1"/>
  <c r="C7440" i="1"/>
  <c r="D7440" i="1"/>
  <c r="E7440" i="1"/>
  <c r="F7440" i="1"/>
  <c r="G7440" i="1"/>
  <c r="H7440" i="1"/>
  <c r="A7441" i="1"/>
  <c r="B7441" i="1"/>
  <c r="C7441" i="1"/>
  <c r="D7441" i="1"/>
  <c r="E7441" i="1"/>
  <c r="F7441" i="1"/>
  <c r="G7441" i="1"/>
  <c r="H7441" i="1"/>
  <c r="A7442" i="1"/>
  <c r="B7442" i="1"/>
  <c r="C7442" i="1"/>
  <c r="D7442" i="1"/>
  <c r="E7442" i="1"/>
  <c r="F7442" i="1"/>
  <c r="G7442" i="1"/>
  <c r="H7442" i="1"/>
  <c r="A7443" i="1"/>
  <c r="B7443" i="1"/>
  <c r="C7443" i="1"/>
  <c r="D7443" i="1"/>
  <c r="E7443" i="1"/>
  <c r="F7443" i="1"/>
  <c r="G7443" i="1"/>
  <c r="H7443" i="1"/>
  <c r="A7444" i="1"/>
  <c r="B7444" i="1"/>
  <c r="C7444" i="1"/>
  <c r="D7444" i="1"/>
  <c r="E7444" i="1"/>
  <c r="F7444" i="1"/>
  <c r="G7444" i="1"/>
  <c r="H7444" i="1"/>
  <c r="A7445" i="1"/>
  <c r="B7445" i="1"/>
  <c r="C7445" i="1"/>
  <c r="D7445" i="1"/>
  <c r="E7445" i="1"/>
  <c r="F7445" i="1"/>
  <c r="G7445" i="1"/>
  <c r="H7445" i="1"/>
  <c r="A7446" i="1"/>
  <c r="B7446" i="1"/>
  <c r="C7446" i="1"/>
  <c r="D7446" i="1"/>
  <c r="E7446" i="1"/>
  <c r="F7446" i="1"/>
  <c r="G7446" i="1"/>
  <c r="H7446" i="1"/>
  <c r="A7447" i="1"/>
  <c r="B7447" i="1"/>
  <c r="C7447" i="1"/>
  <c r="D7447" i="1"/>
  <c r="E7447" i="1"/>
  <c r="F7447" i="1"/>
  <c r="G7447" i="1"/>
  <c r="H7447" i="1"/>
  <c r="A7448" i="1"/>
  <c r="B7448" i="1"/>
  <c r="C7448" i="1"/>
  <c r="D7448" i="1"/>
  <c r="E7448" i="1"/>
  <c r="F7448" i="1"/>
  <c r="G7448" i="1"/>
  <c r="H7448" i="1"/>
  <c r="A7449" i="1"/>
  <c r="B7449" i="1"/>
  <c r="C7449" i="1"/>
  <c r="D7449" i="1"/>
  <c r="E7449" i="1"/>
  <c r="F7449" i="1"/>
  <c r="G7449" i="1"/>
  <c r="H7449" i="1"/>
  <c r="A7450" i="1"/>
  <c r="B7450" i="1"/>
  <c r="C7450" i="1"/>
  <c r="D7450" i="1"/>
  <c r="E7450" i="1"/>
  <c r="F7450" i="1"/>
  <c r="G7450" i="1"/>
  <c r="H7450" i="1"/>
  <c r="A7451" i="1"/>
  <c r="B7451" i="1"/>
  <c r="C7451" i="1"/>
  <c r="D7451" i="1"/>
  <c r="E7451" i="1"/>
  <c r="F7451" i="1"/>
  <c r="G7451" i="1"/>
  <c r="H7451" i="1"/>
  <c r="A7452" i="1"/>
  <c r="B7452" i="1"/>
  <c r="C7452" i="1"/>
  <c r="D7452" i="1"/>
  <c r="E7452" i="1"/>
  <c r="F7452" i="1"/>
  <c r="G7452" i="1"/>
  <c r="H7452" i="1"/>
  <c r="A7453" i="1"/>
  <c r="B7453" i="1"/>
  <c r="C7453" i="1"/>
  <c r="D7453" i="1"/>
  <c r="E7453" i="1"/>
  <c r="F7453" i="1"/>
  <c r="G7453" i="1"/>
  <c r="H7453" i="1"/>
  <c r="A7454" i="1"/>
  <c r="B7454" i="1"/>
  <c r="C7454" i="1"/>
  <c r="D7454" i="1"/>
  <c r="E7454" i="1"/>
  <c r="F7454" i="1"/>
  <c r="G7454" i="1"/>
  <c r="H7454" i="1"/>
  <c r="A7455" i="1"/>
  <c r="B7455" i="1"/>
  <c r="C7455" i="1"/>
  <c r="D7455" i="1"/>
  <c r="E7455" i="1"/>
  <c r="F7455" i="1"/>
  <c r="G7455" i="1"/>
  <c r="H7455" i="1"/>
  <c r="A7456" i="1"/>
  <c r="B7456" i="1"/>
  <c r="C7456" i="1"/>
  <c r="D7456" i="1"/>
  <c r="E7456" i="1"/>
  <c r="F7456" i="1"/>
  <c r="G7456" i="1"/>
  <c r="H7456" i="1"/>
  <c r="A7457" i="1"/>
  <c r="B7457" i="1"/>
  <c r="C7457" i="1"/>
  <c r="D7457" i="1"/>
  <c r="E7457" i="1"/>
  <c r="F7457" i="1"/>
  <c r="G7457" i="1"/>
  <c r="H7457" i="1"/>
  <c r="A7458" i="1"/>
  <c r="B7458" i="1"/>
  <c r="C7458" i="1"/>
  <c r="D7458" i="1"/>
  <c r="E7458" i="1"/>
  <c r="F7458" i="1"/>
  <c r="G7458" i="1"/>
  <c r="H7458" i="1"/>
  <c r="A7459" i="1"/>
  <c r="B7459" i="1"/>
  <c r="C7459" i="1"/>
  <c r="D7459" i="1"/>
  <c r="E7459" i="1"/>
  <c r="F7459" i="1"/>
  <c r="G7459" i="1"/>
  <c r="H7459" i="1"/>
  <c r="A7460" i="1"/>
  <c r="B7460" i="1"/>
  <c r="C7460" i="1"/>
  <c r="D7460" i="1"/>
  <c r="E7460" i="1"/>
  <c r="F7460" i="1"/>
  <c r="G7460" i="1"/>
  <c r="H7460" i="1"/>
  <c r="A7461" i="1"/>
  <c r="B7461" i="1"/>
  <c r="C7461" i="1"/>
  <c r="D7461" i="1"/>
  <c r="E7461" i="1"/>
  <c r="F7461" i="1"/>
  <c r="G7461" i="1"/>
  <c r="H7461" i="1"/>
  <c r="A7462" i="1"/>
  <c r="B7462" i="1"/>
  <c r="C7462" i="1"/>
  <c r="D7462" i="1"/>
  <c r="E7462" i="1"/>
  <c r="F7462" i="1"/>
  <c r="G7462" i="1"/>
  <c r="H7462" i="1"/>
  <c r="A7463" i="1"/>
  <c r="B7463" i="1"/>
  <c r="C7463" i="1"/>
  <c r="D7463" i="1"/>
  <c r="E7463" i="1"/>
  <c r="F7463" i="1"/>
  <c r="G7463" i="1"/>
  <c r="H7463" i="1"/>
  <c r="A7464" i="1"/>
  <c r="B7464" i="1"/>
  <c r="C7464" i="1"/>
  <c r="D7464" i="1"/>
  <c r="E7464" i="1"/>
  <c r="F7464" i="1"/>
  <c r="G7464" i="1"/>
  <c r="H7464" i="1"/>
  <c r="A7465" i="1"/>
  <c r="B7465" i="1"/>
  <c r="C7465" i="1"/>
  <c r="D7465" i="1"/>
  <c r="E7465" i="1"/>
  <c r="F7465" i="1"/>
  <c r="G7465" i="1"/>
  <c r="H7465" i="1"/>
  <c r="A7466" i="1"/>
  <c r="B7466" i="1"/>
  <c r="C7466" i="1"/>
  <c r="D7466" i="1"/>
  <c r="E7466" i="1"/>
  <c r="F7466" i="1"/>
  <c r="G7466" i="1"/>
  <c r="H7466" i="1"/>
  <c r="A7467" i="1"/>
  <c r="B7467" i="1"/>
  <c r="C7467" i="1"/>
  <c r="D7467" i="1"/>
  <c r="E7467" i="1"/>
  <c r="F7467" i="1"/>
  <c r="G7467" i="1"/>
  <c r="H7467" i="1"/>
  <c r="A7468" i="1"/>
  <c r="B7468" i="1"/>
  <c r="C7468" i="1"/>
  <c r="D7468" i="1"/>
  <c r="E7468" i="1"/>
  <c r="F7468" i="1"/>
  <c r="G7468" i="1"/>
  <c r="H7468" i="1"/>
  <c r="A7469" i="1"/>
  <c r="B7469" i="1"/>
  <c r="C7469" i="1"/>
  <c r="D7469" i="1"/>
  <c r="E7469" i="1"/>
  <c r="F7469" i="1"/>
  <c r="G7469" i="1"/>
  <c r="H7469" i="1"/>
  <c r="A7470" i="1"/>
  <c r="B7470" i="1"/>
  <c r="C7470" i="1"/>
  <c r="D7470" i="1"/>
  <c r="E7470" i="1"/>
  <c r="F7470" i="1"/>
  <c r="G7470" i="1"/>
  <c r="H7470" i="1"/>
  <c r="A7471" i="1"/>
  <c r="B7471" i="1"/>
  <c r="C7471" i="1"/>
  <c r="D7471" i="1"/>
  <c r="E7471" i="1"/>
  <c r="F7471" i="1"/>
  <c r="G7471" i="1"/>
  <c r="H7471" i="1"/>
  <c r="A7472" i="1"/>
  <c r="B7472" i="1"/>
  <c r="C7472" i="1"/>
  <c r="D7472" i="1"/>
  <c r="E7472" i="1"/>
  <c r="F7472" i="1"/>
  <c r="G7472" i="1"/>
  <c r="H7472" i="1"/>
  <c r="A7473" i="1"/>
  <c r="B7473" i="1"/>
  <c r="C7473" i="1"/>
  <c r="D7473" i="1"/>
  <c r="E7473" i="1"/>
  <c r="F7473" i="1"/>
  <c r="G7473" i="1"/>
  <c r="H7473" i="1"/>
  <c r="A7474" i="1"/>
  <c r="B7474" i="1"/>
  <c r="C7474" i="1"/>
  <c r="D7474" i="1"/>
  <c r="E7474" i="1"/>
  <c r="F7474" i="1"/>
  <c r="G7474" i="1"/>
  <c r="H7474" i="1"/>
  <c r="A7475" i="1"/>
  <c r="B7475" i="1"/>
  <c r="C7475" i="1"/>
  <c r="D7475" i="1"/>
  <c r="E7475" i="1"/>
  <c r="F7475" i="1"/>
  <c r="G7475" i="1"/>
  <c r="H7475" i="1"/>
  <c r="A7476" i="1"/>
  <c r="B7476" i="1"/>
  <c r="C7476" i="1"/>
  <c r="D7476" i="1"/>
  <c r="E7476" i="1"/>
  <c r="F7476" i="1"/>
  <c r="G7476" i="1"/>
  <c r="H7476" i="1"/>
  <c r="A7477" i="1"/>
  <c r="B7477" i="1"/>
  <c r="C7477" i="1"/>
  <c r="D7477" i="1"/>
  <c r="E7477" i="1"/>
  <c r="F7477" i="1"/>
  <c r="G7477" i="1"/>
  <c r="H7477" i="1"/>
  <c r="A7478" i="1"/>
  <c r="B7478" i="1"/>
  <c r="C7478" i="1"/>
  <c r="D7478" i="1"/>
  <c r="E7478" i="1"/>
  <c r="F7478" i="1"/>
  <c r="G7478" i="1"/>
  <c r="H7478" i="1"/>
  <c r="A7479" i="1"/>
  <c r="B7479" i="1"/>
  <c r="C7479" i="1"/>
  <c r="D7479" i="1"/>
  <c r="E7479" i="1"/>
  <c r="F7479" i="1"/>
  <c r="G7479" i="1"/>
  <c r="H7479" i="1"/>
  <c r="A7480" i="1"/>
  <c r="B7480" i="1"/>
  <c r="C7480" i="1"/>
  <c r="D7480" i="1"/>
  <c r="E7480" i="1"/>
  <c r="F7480" i="1"/>
  <c r="G7480" i="1"/>
  <c r="H7480" i="1"/>
  <c r="A7481" i="1"/>
  <c r="B7481" i="1"/>
  <c r="C7481" i="1"/>
  <c r="D7481" i="1"/>
  <c r="E7481" i="1"/>
  <c r="F7481" i="1"/>
  <c r="G7481" i="1"/>
  <c r="H7481" i="1"/>
  <c r="A7482" i="1"/>
  <c r="B7482" i="1"/>
  <c r="C7482" i="1"/>
  <c r="D7482" i="1"/>
  <c r="E7482" i="1"/>
  <c r="F7482" i="1"/>
  <c r="G7482" i="1"/>
  <c r="H7482" i="1"/>
  <c r="A7483" i="1"/>
  <c r="B7483" i="1"/>
  <c r="C7483" i="1"/>
  <c r="D7483" i="1"/>
  <c r="E7483" i="1"/>
  <c r="F7483" i="1"/>
  <c r="G7483" i="1"/>
  <c r="H7483" i="1"/>
  <c r="A7484" i="1"/>
  <c r="B7484" i="1"/>
  <c r="C7484" i="1"/>
  <c r="D7484" i="1"/>
  <c r="E7484" i="1"/>
  <c r="F7484" i="1"/>
  <c r="G7484" i="1"/>
  <c r="H7484" i="1"/>
  <c r="A7485" i="1"/>
  <c r="B7485" i="1"/>
  <c r="C7485" i="1"/>
  <c r="D7485" i="1"/>
  <c r="E7485" i="1"/>
  <c r="F7485" i="1"/>
  <c r="G7485" i="1"/>
  <c r="H7485" i="1"/>
  <c r="A7486" i="1"/>
  <c r="B7486" i="1"/>
  <c r="C7486" i="1"/>
  <c r="D7486" i="1"/>
  <c r="E7486" i="1"/>
  <c r="F7486" i="1"/>
  <c r="G7486" i="1"/>
  <c r="H7486" i="1"/>
  <c r="A7487" i="1"/>
  <c r="B7487" i="1"/>
  <c r="C7487" i="1"/>
  <c r="D7487" i="1"/>
  <c r="E7487" i="1"/>
  <c r="F7487" i="1"/>
  <c r="G7487" i="1"/>
  <c r="H7487" i="1"/>
  <c r="A7488" i="1"/>
  <c r="B7488" i="1"/>
  <c r="C7488" i="1"/>
  <c r="D7488" i="1"/>
  <c r="E7488" i="1"/>
  <c r="F7488" i="1"/>
  <c r="G7488" i="1"/>
  <c r="H7488" i="1"/>
  <c r="A7489" i="1"/>
  <c r="B7489" i="1"/>
  <c r="C7489" i="1"/>
  <c r="D7489" i="1"/>
  <c r="E7489" i="1"/>
  <c r="F7489" i="1"/>
  <c r="G7489" i="1"/>
  <c r="H7489" i="1"/>
  <c r="A7490" i="1"/>
  <c r="B7490" i="1"/>
  <c r="C7490" i="1"/>
  <c r="D7490" i="1"/>
  <c r="E7490" i="1"/>
  <c r="F7490" i="1"/>
  <c r="G7490" i="1"/>
  <c r="H7490" i="1"/>
  <c r="A7491" i="1"/>
  <c r="B7491" i="1"/>
  <c r="C7491" i="1"/>
  <c r="D7491" i="1"/>
  <c r="E7491" i="1"/>
  <c r="F7491" i="1"/>
  <c r="G7491" i="1"/>
  <c r="H7491" i="1"/>
  <c r="A7492" i="1"/>
  <c r="B7492" i="1"/>
  <c r="C7492" i="1"/>
  <c r="D7492" i="1"/>
  <c r="E7492" i="1"/>
  <c r="F7492" i="1"/>
  <c r="G7492" i="1"/>
  <c r="H7492" i="1"/>
  <c r="A7493" i="1"/>
  <c r="B7493" i="1"/>
  <c r="C7493" i="1"/>
  <c r="D7493" i="1"/>
  <c r="E7493" i="1"/>
  <c r="F7493" i="1"/>
  <c r="G7493" i="1"/>
  <c r="H7493" i="1"/>
  <c r="A7494" i="1"/>
  <c r="B7494" i="1"/>
  <c r="C7494" i="1"/>
  <c r="D7494" i="1"/>
  <c r="E7494" i="1"/>
  <c r="F7494" i="1"/>
  <c r="G7494" i="1"/>
  <c r="H7494" i="1"/>
  <c r="A7495" i="1"/>
  <c r="B7495" i="1"/>
  <c r="C7495" i="1"/>
  <c r="D7495" i="1"/>
  <c r="E7495" i="1"/>
  <c r="F7495" i="1"/>
  <c r="G7495" i="1"/>
  <c r="H7495" i="1"/>
  <c r="A7496" i="1"/>
  <c r="B7496" i="1"/>
  <c r="C7496" i="1"/>
  <c r="D7496" i="1"/>
  <c r="E7496" i="1"/>
  <c r="F7496" i="1"/>
  <c r="G7496" i="1"/>
  <c r="H7496" i="1"/>
  <c r="A7497" i="1"/>
  <c r="B7497" i="1"/>
  <c r="C7497" i="1"/>
  <c r="D7497" i="1"/>
  <c r="E7497" i="1"/>
  <c r="F7497" i="1"/>
  <c r="G7497" i="1"/>
  <c r="H7497" i="1"/>
  <c r="A7498" i="1"/>
  <c r="B7498" i="1"/>
  <c r="C7498" i="1"/>
  <c r="D7498" i="1"/>
  <c r="E7498" i="1"/>
  <c r="F7498" i="1"/>
  <c r="G7498" i="1"/>
  <c r="H7498" i="1"/>
  <c r="A7499" i="1"/>
  <c r="B7499" i="1"/>
  <c r="C7499" i="1"/>
  <c r="D7499" i="1"/>
  <c r="E7499" i="1"/>
  <c r="F7499" i="1"/>
  <c r="G7499" i="1"/>
  <c r="H7499" i="1"/>
  <c r="A7500" i="1"/>
  <c r="B7500" i="1"/>
  <c r="C7500" i="1"/>
  <c r="D7500" i="1"/>
  <c r="E7500" i="1"/>
  <c r="F7500" i="1"/>
  <c r="G7500" i="1"/>
  <c r="H7500" i="1"/>
  <c r="A7501" i="1"/>
  <c r="B7501" i="1"/>
  <c r="C7501" i="1"/>
  <c r="D7501" i="1"/>
  <c r="E7501" i="1"/>
  <c r="F7501" i="1"/>
  <c r="G7501" i="1"/>
  <c r="H7501" i="1"/>
  <c r="A7502" i="1"/>
  <c r="B7502" i="1"/>
  <c r="C7502" i="1"/>
  <c r="D7502" i="1"/>
  <c r="E7502" i="1"/>
  <c r="F7502" i="1"/>
  <c r="G7502" i="1"/>
  <c r="H7502" i="1"/>
  <c r="A7503" i="1"/>
  <c r="B7503" i="1"/>
  <c r="C7503" i="1"/>
  <c r="D7503" i="1"/>
  <c r="E7503" i="1"/>
  <c r="F7503" i="1"/>
  <c r="G7503" i="1"/>
  <c r="H7503" i="1"/>
  <c r="A7504" i="1"/>
  <c r="B7504" i="1"/>
  <c r="C7504" i="1"/>
  <c r="D7504" i="1"/>
  <c r="E7504" i="1"/>
  <c r="F7504" i="1"/>
  <c r="G7504" i="1"/>
  <c r="H7504" i="1"/>
  <c r="A7505" i="1"/>
  <c r="B7505" i="1"/>
  <c r="C7505" i="1"/>
  <c r="D7505" i="1"/>
  <c r="E7505" i="1"/>
  <c r="F7505" i="1"/>
  <c r="G7505" i="1"/>
  <c r="H7505" i="1"/>
  <c r="A7506" i="1"/>
  <c r="B7506" i="1"/>
  <c r="C7506" i="1"/>
  <c r="D7506" i="1"/>
  <c r="E7506" i="1"/>
  <c r="F7506" i="1"/>
  <c r="G7506" i="1"/>
  <c r="H7506" i="1"/>
  <c r="A7507" i="1"/>
  <c r="B7507" i="1"/>
  <c r="C7507" i="1"/>
  <c r="D7507" i="1"/>
  <c r="E7507" i="1"/>
  <c r="F7507" i="1"/>
  <c r="G7507" i="1"/>
  <c r="H7507" i="1"/>
  <c r="A7508" i="1"/>
  <c r="B7508" i="1"/>
  <c r="C7508" i="1"/>
  <c r="D7508" i="1"/>
  <c r="E7508" i="1"/>
  <c r="F7508" i="1"/>
  <c r="G7508" i="1"/>
  <c r="H7508" i="1"/>
  <c r="A7509" i="1"/>
  <c r="B7509" i="1"/>
  <c r="C7509" i="1"/>
  <c r="D7509" i="1"/>
  <c r="E7509" i="1"/>
  <c r="F7509" i="1"/>
  <c r="G7509" i="1"/>
  <c r="H7509" i="1"/>
  <c r="A7510" i="1"/>
  <c r="B7510" i="1"/>
  <c r="C7510" i="1"/>
  <c r="D7510" i="1"/>
  <c r="E7510" i="1"/>
  <c r="F7510" i="1"/>
  <c r="G7510" i="1"/>
  <c r="H7510" i="1"/>
  <c r="A7511" i="1"/>
  <c r="B7511" i="1"/>
  <c r="C7511" i="1"/>
  <c r="D7511" i="1"/>
  <c r="E7511" i="1"/>
  <c r="F7511" i="1"/>
  <c r="G7511" i="1"/>
  <c r="H7511" i="1"/>
  <c r="A7512" i="1"/>
  <c r="B7512" i="1"/>
  <c r="C7512" i="1"/>
  <c r="D7512" i="1"/>
  <c r="E7512" i="1"/>
  <c r="F7512" i="1"/>
  <c r="G7512" i="1"/>
  <c r="H7512" i="1"/>
  <c r="A7513" i="1"/>
  <c r="B7513" i="1"/>
  <c r="C7513" i="1"/>
  <c r="D7513" i="1"/>
  <c r="E7513" i="1"/>
  <c r="F7513" i="1"/>
  <c r="G7513" i="1"/>
  <c r="H7513" i="1"/>
  <c r="A7514" i="1"/>
  <c r="B7514" i="1"/>
  <c r="C7514" i="1"/>
  <c r="D7514" i="1"/>
  <c r="E7514" i="1"/>
  <c r="F7514" i="1"/>
  <c r="G7514" i="1"/>
  <c r="H7514" i="1"/>
  <c r="A7515" i="1"/>
  <c r="B7515" i="1"/>
  <c r="C7515" i="1"/>
  <c r="D7515" i="1"/>
  <c r="E7515" i="1"/>
  <c r="F7515" i="1"/>
  <c r="G7515" i="1"/>
  <c r="H7515" i="1"/>
  <c r="A7516" i="1"/>
  <c r="B7516" i="1"/>
  <c r="C7516" i="1"/>
  <c r="D7516" i="1"/>
  <c r="E7516" i="1"/>
  <c r="F7516" i="1"/>
  <c r="G7516" i="1"/>
  <c r="H7516" i="1"/>
  <c r="A7517" i="1"/>
  <c r="B7517" i="1"/>
  <c r="C7517" i="1"/>
  <c r="D7517" i="1"/>
  <c r="E7517" i="1"/>
  <c r="F7517" i="1"/>
  <c r="G7517" i="1"/>
  <c r="H7517" i="1"/>
  <c r="A7518" i="1"/>
  <c r="B7518" i="1"/>
  <c r="C7518" i="1"/>
  <c r="D7518" i="1"/>
  <c r="E7518" i="1"/>
  <c r="F7518" i="1"/>
  <c r="G7518" i="1"/>
  <c r="H7518" i="1"/>
  <c r="A7519" i="1"/>
  <c r="B7519" i="1"/>
  <c r="C7519" i="1"/>
  <c r="D7519" i="1"/>
  <c r="E7519" i="1"/>
  <c r="F7519" i="1"/>
  <c r="G7519" i="1"/>
  <c r="H7519" i="1"/>
  <c r="A7520" i="1"/>
  <c r="B7520" i="1"/>
  <c r="C7520" i="1"/>
  <c r="D7520" i="1"/>
  <c r="E7520" i="1"/>
  <c r="F7520" i="1"/>
  <c r="G7520" i="1"/>
  <c r="H7520" i="1"/>
  <c r="A7521" i="1"/>
  <c r="B7521" i="1"/>
  <c r="C7521" i="1"/>
  <c r="D7521" i="1"/>
  <c r="E7521" i="1"/>
  <c r="F7521" i="1"/>
  <c r="G7521" i="1"/>
  <c r="H7521" i="1"/>
  <c r="A7522" i="1"/>
  <c r="B7522" i="1"/>
  <c r="C7522" i="1"/>
  <c r="D7522" i="1"/>
  <c r="E7522" i="1"/>
  <c r="F7522" i="1"/>
  <c r="G7522" i="1"/>
  <c r="H7522" i="1"/>
  <c r="A7523" i="1"/>
  <c r="B7523" i="1"/>
  <c r="C7523" i="1"/>
  <c r="D7523" i="1"/>
  <c r="E7523" i="1"/>
  <c r="F7523" i="1"/>
  <c r="G7523" i="1"/>
  <c r="H7523" i="1"/>
  <c r="A7524" i="1"/>
  <c r="B7524" i="1"/>
  <c r="C7524" i="1"/>
  <c r="D7524" i="1"/>
  <c r="E7524" i="1"/>
  <c r="F7524" i="1"/>
  <c r="G7524" i="1"/>
  <c r="H7524" i="1"/>
  <c r="A7525" i="1"/>
  <c r="B7525" i="1"/>
  <c r="C7525" i="1"/>
  <c r="D7525" i="1"/>
  <c r="E7525" i="1"/>
  <c r="F7525" i="1"/>
  <c r="G7525" i="1"/>
  <c r="H7525" i="1"/>
  <c r="A7526" i="1"/>
  <c r="B7526" i="1"/>
  <c r="C7526" i="1"/>
  <c r="D7526" i="1"/>
  <c r="E7526" i="1"/>
  <c r="F7526" i="1"/>
  <c r="G7526" i="1"/>
  <c r="H7526" i="1"/>
  <c r="A7527" i="1"/>
  <c r="B7527" i="1"/>
  <c r="C7527" i="1"/>
  <c r="D7527" i="1"/>
  <c r="E7527" i="1"/>
  <c r="F7527" i="1"/>
  <c r="G7527" i="1"/>
  <c r="H7527" i="1"/>
  <c r="A7528" i="1"/>
  <c r="B7528" i="1"/>
  <c r="C7528" i="1"/>
  <c r="D7528" i="1"/>
  <c r="E7528" i="1"/>
  <c r="F7528" i="1"/>
  <c r="G7528" i="1"/>
  <c r="H7528" i="1"/>
  <c r="A7529" i="1"/>
  <c r="B7529" i="1"/>
  <c r="C7529" i="1"/>
  <c r="D7529" i="1"/>
  <c r="E7529" i="1"/>
  <c r="F7529" i="1"/>
  <c r="G7529" i="1"/>
  <c r="H7529" i="1"/>
  <c r="A7530" i="1"/>
  <c r="B7530" i="1"/>
  <c r="C7530" i="1"/>
  <c r="D7530" i="1"/>
  <c r="E7530" i="1"/>
  <c r="F7530" i="1"/>
  <c r="G7530" i="1"/>
  <c r="H7530" i="1"/>
  <c r="A7531" i="1"/>
  <c r="B7531" i="1"/>
  <c r="C7531" i="1"/>
  <c r="D7531" i="1"/>
  <c r="E7531" i="1"/>
  <c r="F7531" i="1"/>
  <c r="G7531" i="1"/>
  <c r="H7531" i="1"/>
  <c r="A7532" i="1"/>
  <c r="B7532" i="1"/>
  <c r="C7532" i="1"/>
  <c r="D7532" i="1"/>
  <c r="E7532" i="1"/>
  <c r="F7532" i="1"/>
  <c r="G7532" i="1"/>
  <c r="H7532" i="1"/>
  <c r="A7533" i="1"/>
  <c r="B7533" i="1"/>
  <c r="C7533" i="1"/>
  <c r="D7533" i="1"/>
  <c r="E7533" i="1"/>
  <c r="F7533" i="1"/>
  <c r="G7533" i="1"/>
  <c r="H7533" i="1"/>
  <c r="A7534" i="1"/>
  <c r="B7534" i="1"/>
  <c r="C7534" i="1"/>
  <c r="D7534" i="1"/>
  <c r="E7534" i="1"/>
  <c r="F7534" i="1"/>
  <c r="G7534" i="1"/>
  <c r="H7534" i="1"/>
  <c r="A7535" i="1"/>
  <c r="B7535" i="1"/>
  <c r="C7535" i="1"/>
  <c r="D7535" i="1"/>
  <c r="E7535" i="1"/>
  <c r="F7535" i="1"/>
  <c r="G7535" i="1"/>
  <c r="H7535" i="1"/>
  <c r="A7536" i="1"/>
  <c r="B7536" i="1"/>
  <c r="C7536" i="1"/>
  <c r="D7536" i="1"/>
  <c r="E7536" i="1"/>
  <c r="F7536" i="1"/>
  <c r="G7536" i="1"/>
  <c r="H7536" i="1"/>
  <c r="A7537" i="1"/>
  <c r="B7537" i="1"/>
  <c r="C7537" i="1"/>
  <c r="D7537" i="1"/>
  <c r="E7537" i="1"/>
  <c r="F7537" i="1"/>
  <c r="G7537" i="1"/>
  <c r="H7537" i="1"/>
  <c r="A7538" i="1"/>
  <c r="B7538" i="1"/>
  <c r="C7538" i="1"/>
  <c r="D7538" i="1"/>
  <c r="E7538" i="1"/>
  <c r="F7538" i="1"/>
  <c r="G7538" i="1"/>
  <c r="H7538" i="1"/>
  <c r="A7539" i="1"/>
  <c r="B7539" i="1"/>
  <c r="C7539" i="1"/>
  <c r="D7539" i="1"/>
  <c r="E7539" i="1"/>
  <c r="F7539" i="1"/>
  <c r="G7539" i="1"/>
  <c r="H7539" i="1"/>
  <c r="A7540" i="1"/>
  <c r="B7540" i="1"/>
  <c r="C7540" i="1"/>
  <c r="D7540" i="1"/>
  <c r="E7540" i="1"/>
  <c r="F7540" i="1"/>
  <c r="G7540" i="1"/>
  <c r="H7540" i="1"/>
  <c r="A7541" i="1"/>
  <c r="B7541" i="1"/>
  <c r="C7541" i="1"/>
  <c r="D7541" i="1"/>
  <c r="E7541" i="1"/>
  <c r="F7541" i="1"/>
  <c r="G7541" i="1"/>
  <c r="H7541" i="1"/>
  <c r="A7542" i="1"/>
  <c r="B7542" i="1"/>
  <c r="C7542" i="1"/>
  <c r="D7542" i="1"/>
  <c r="E7542" i="1"/>
  <c r="F7542" i="1"/>
  <c r="G7542" i="1"/>
  <c r="H7542" i="1"/>
  <c r="A7543" i="1"/>
  <c r="B7543" i="1"/>
  <c r="C7543" i="1"/>
  <c r="D7543" i="1"/>
  <c r="E7543" i="1"/>
  <c r="F7543" i="1"/>
  <c r="G7543" i="1"/>
  <c r="H7543" i="1"/>
  <c r="A7544" i="1"/>
  <c r="B7544" i="1"/>
  <c r="C7544" i="1"/>
  <c r="D7544" i="1"/>
  <c r="E7544" i="1"/>
  <c r="F7544" i="1"/>
  <c r="G7544" i="1"/>
  <c r="H7544" i="1"/>
  <c r="A7545" i="1"/>
  <c r="B7545" i="1"/>
  <c r="C7545" i="1"/>
  <c r="D7545" i="1"/>
  <c r="E7545" i="1"/>
  <c r="F7545" i="1"/>
  <c r="G7545" i="1"/>
  <c r="H7545" i="1"/>
  <c r="A7546" i="1"/>
  <c r="B7546" i="1"/>
  <c r="C7546" i="1"/>
  <c r="D7546" i="1"/>
  <c r="E7546" i="1"/>
  <c r="F7546" i="1"/>
  <c r="G7546" i="1"/>
  <c r="H7546" i="1"/>
  <c r="A7547" i="1"/>
  <c r="B7547" i="1"/>
  <c r="C7547" i="1"/>
  <c r="D7547" i="1"/>
  <c r="E7547" i="1"/>
  <c r="F7547" i="1"/>
  <c r="G7547" i="1"/>
  <c r="H7547" i="1"/>
  <c r="A7548" i="1"/>
  <c r="B7548" i="1"/>
  <c r="C7548" i="1"/>
  <c r="D7548" i="1"/>
  <c r="E7548" i="1"/>
  <c r="F7548" i="1"/>
  <c r="G7548" i="1"/>
  <c r="H7548" i="1"/>
  <c r="A7549" i="1"/>
  <c r="B7549" i="1"/>
  <c r="C7549" i="1"/>
  <c r="D7549" i="1"/>
  <c r="E7549" i="1"/>
  <c r="F7549" i="1"/>
  <c r="G7549" i="1"/>
  <c r="H7549" i="1"/>
  <c r="A7550" i="1"/>
  <c r="B7550" i="1"/>
  <c r="C7550" i="1"/>
  <c r="D7550" i="1"/>
  <c r="E7550" i="1"/>
  <c r="F7550" i="1"/>
  <c r="G7550" i="1"/>
  <c r="H7550" i="1"/>
  <c r="A7551" i="1"/>
  <c r="B7551" i="1"/>
  <c r="C7551" i="1"/>
  <c r="D7551" i="1"/>
  <c r="E7551" i="1"/>
  <c r="F7551" i="1"/>
  <c r="G7551" i="1"/>
  <c r="H7551" i="1"/>
  <c r="A7552" i="1"/>
  <c r="B7552" i="1"/>
  <c r="C7552" i="1"/>
  <c r="D7552" i="1"/>
  <c r="E7552" i="1"/>
  <c r="F7552" i="1"/>
  <c r="G7552" i="1"/>
  <c r="H7552" i="1"/>
  <c r="A7553" i="1"/>
  <c r="B7553" i="1"/>
  <c r="C7553" i="1"/>
  <c r="D7553" i="1"/>
  <c r="E7553" i="1"/>
  <c r="F7553" i="1"/>
  <c r="G7553" i="1"/>
  <c r="H7553" i="1"/>
  <c r="A7554" i="1"/>
  <c r="B7554" i="1"/>
  <c r="C7554" i="1"/>
  <c r="D7554" i="1"/>
  <c r="E7554" i="1"/>
  <c r="F7554" i="1"/>
  <c r="G7554" i="1"/>
  <c r="H7554" i="1"/>
  <c r="A7555" i="1"/>
  <c r="B7555" i="1"/>
  <c r="C7555" i="1"/>
  <c r="D7555" i="1"/>
  <c r="E7555" i="1"/>
  <c r="F7555" i="1"/>
  <c r="G7555" i="1"/>
  <c r="H7555" i="1"/>
  <c r="A7556" i="1"/>
  <c r="B7556" i="1"/>
  <c r="C7556" i="1"/>
  <c r="D7556" i="1"/>
  <c r="E7556" i="1"/>
  <c r="F7556" i="1"/>
  <c r="G7556" i="1"/>
  <c r="H7556" i="1"/>
  <c r="A7557" i="1"/>
  <c r="B7557" i="1"/>
  <c r="C7557" i="1"/>
  <c r="D7557" i="1"/>
  <c r="E7557" i="1"/>
  <c r="F7557" i="1"/>
  <c r="G7557" i="1"/>
  <c r="H7557" i="1"/>
  <c r="A7558" i="1"/>
  <c r="B7558" i="1"/>
  <c r="C7558" i="1"/>
  <c r="D7558" i="1"/>
  <c r="E7558" i="1"/>
  <c r="F7558" i="1"/>
  <c r="G7558" i="1"/>
  <c r="H7558" i="1"/>
  <c r="A7559" i="1"/>
  <c r="B7559" i="1"/>
  <c r="C7559" i="1"/>
  <c r="D7559" i="1"/>
  <c r="E7559" i="1"/>
  <c r="F7559" i="1"/>
  <c r="G7559" i="1"/>
  <c r="H7559" i="1"/>
  <c r="A7560" i="1"/>
  <c r="B7560" i="1"/>
  <c r="C7560" i="1"/>
  <c r="D7560" i="1"/>
  <c r="E7560" i="1"/>
  <c r="F7560" i="1"/>
  <c r="G7560" i="1"/>
  <c r="H7560" i="1"/>
  <c r="A7561" i="1"/>
  <c r="B7561" i="1"/>
  <c r="C7561" i="1"/>
  <c r="D7561" i="1"/>
  <c r="E7561" i="1"/>
  <c r="F7561" i="1"/>
  <c r="G7561" i="1"/>
  <c r="H7561" i="1"/>
  <c r="A7562" i="1"/>
  <c r="B7562" i="1"/>
  <c r="C7562" i="1"/>
  <c r="D7562" i="1"/>
  <c r="E7562" i="1"/>
  <c r="F7562" i="1"/>
  <c r="G7562" i="1"/>
  <c r="H7562" i="1"/>
  <c r="A7563" i="1"/>
  <c r="B7563" i="1"/>
  <c r="C7563" i="1"/>
  <c r="D7563" i="1"/>
  <c r="E7563" i="1"/>
  <c r="F7563" i="1"/>
  <c r="G7563" i="1"/>
  <c r="H7563" i="1"/>
  <c r="A7564" i="1"/>
  <c r="B7564" i="1"/>
  <c r="C7564" i="1"/>
  <c r="D7564" i="1"/>
  <c r="E7564" i="1"/>
  <c r="F7564" i="1"/>
  <c r="G7564" i="1"/>
  <c r="H7564" i="1"/>
  <c r="A7565" i="1"/>
  <c r="B7565" i="1"/>
  <c r="C7565" i="1"/>
  <c r="D7565" i="1"/>
  <c r="E7565" i="1"/>
  <c r="F7565" i="1"/>
  <c r="G7565" i="1"/>
  <c r="H7565" i="1"/>
  <c r="A7566" i="1"/>
  <c r="B7566" i="1"/>
  <c r="C7566" i="1"/>
  <c r="D7566" i="1"/>
  <c r="E7566" i="1"/>
  <c r="F7566" i="1"/>
  <c r="G7566" i="1"/>
  <c r="H7566" i="1"/>
  <c r="A7567" i="1"/>
  <c r="B7567" i="1"/>
  <c r="C7567" i="1"/>
  <c r="D7567" i="1"/>
  <c r="E7567" i="1"/>
  <c r="F7567" i="1"/>
  <c r="G7567" i="1"/>
  <c r="H7567" i="1"/>
  <c r="A7568" i="1"/>
  <c r="B7568" i="1"/>
  <c r="C7568" i="1"/>
  <c r="D7568" i="1"/>
  <c r="E7568" i="1"/>
  <c r="F7568" i="1"/>
  <c r="G7568" i="1"/>
  <c r="H7568" i="1"/>
  <c r="A7569" i="1"/>
  <c r="B7569" i="1"/>
  <c r="C7569" i="1"/>
  <c r="D7569" i="1"/>
  <c r="E7569" i="1"/>
  <c r="F7569" i="1"/>
  <c r="G7569" i="1"/>
  <c r="H7569" i="1"/>
  <c r="A7570" i="1"/>
  <c r="B7570" i="1"/>
  <c r="C7570" i="1"/>
  <c r="D7570" i="1"/>
  <c r="E7570" i="1"/>
  <c r="F7570" i="1"/>
  <c r="G7570" i="1"/>
  <c r="H7570" i="1"/>
  <c r="A7571" i="1"/>
  <c r="B7571" i="1"/>
  <c r="C7571" i="1"/>
  <c r="D7571" i="1"/>
  <c r="E7571" i="1"/>
  <c r="F7571" i="1"/>
  <c r="G7571" i="1"/>
  <c r="H7571" i="1"/>
  <c r="A7572" i="1"/>
  <c r="B7572" i="1"/>
  <c r="C7572" i="1"/>
  <c r="D7572" i="1"/>
  <c r="E7572" i="1"/>
  <c r="F7572" i="1"/>
  <c r="G7572" i="1"/>
  <c r="H7572" i="1"/>
  <c r="A7573" i="1"/>
  <c r="B7573" i="1"/>
  <c r="C7573" i="1"/>
  <c r="D7573" i="1"/>
  <c r="E7573" i="1"/>
  <c r="F7573" i="1"/>
  <c r="G7573" i="1"/>
  <c r="H7573" i="1"/>
  <c r="A7574" i="1"/>
  <c r="B7574" i="1"/>
  <c r="C7574" i="1"/>
  <c r="D7574" i="1"/>
  <c r="E7574" i="1"/>
  <c r="F7574" i="1"/>
  <c r="G7574" i="1"/>
  <c r="H7574" i="1"/>
  <c r="A7575" i="1"/>
  <c r="B7575" i="1"/>
  <c r="C7575" i="1"/>
  <c r="D7575" i="1"/>
  <c r="E7575" i="1"/>
  <c r="F7575" i="1"/>
  <c r="G7575" i="1"/>
  <c r="H7575" i="1"/>
  <c r="A7576" i="1"/>
  <c r="B7576" i="1"/>
  <c r="C7576" i="1"/>
  <c r="D7576" i="1"/>
  <c r="E7576" i="1"/>
  <c r="F7576" i="1"/>
  <c r="G7576" i="1"/>
  <c r="H7576" i="1"/>
  <c r="A7577" i="1"/>
  <c r="B7577" i="1"/>
  <c r="C7577" i="1"/>
  <c r="D7577" i="1"/>
  <c r="E7577" i="1"/>
  <c r="F7577" i="1"/>
  <c r="G7577" i="1"/>
  <c r="H7577" i="1"/>
  <c r="A7578" i="1"/>
  <c r="B7578" i="1"/>
  <c r="C7578" i="1"/>
  <c r="D7578" i="1"/>
  <c r="E7578" i="1"/>
  <c r="F7578" i="1"/>
  <c r="G7578" i="1"/>
  <c r="H7578" i="1"/>
  <c r="A7579" i="1"/>
  <c r="B7579" i="1"/>
  <c r="C7579" i="1"/>
  <c r="D7579" i="1"/>
  <c r="E7579" i="1"/>
  <c r="F7579" i="1"/>
  <c r="G7579" i="1"/>
  <c r="H7579" i="1"/>
  <c r="A7580" i="1"/>
  <c r="B7580" i="1"/>
  <c r="C7580" i="1"/>
  <c r="D7580" i="1"/>
  <c r="E7580" i="1"/>
  <c r="F7580" i="1"/>
  <c r="G7580" i="1"/>
  <c r="H7580" i="1"/>
  <c r="A7581" i="1"/>
  <c r="B7581" i="1"/>
  <c r="C7581" i="1"/>
  <c r="D7581" i="1"/>
  <c r="E7581" i="1"/>
  <c r="F7581" i="1"/>
  <c r="G7581" i="1"/>
  <c r="H7581" i="1"/>
  <c r="A7582" i="1"/>
  <c r="B7582" i="1"/>
  <c r="C7582" i="1"/>
  <c r="D7582" i="1"/>
  <c r="E7582" i="1"/>
  <c r="F7582" i="1"/>
  <c r="G7582" i="1"/>
  <c r="H7582" i="1"/>
  <c r="A7583" i="1"/>
  <c r="B7583" i="1"/>
  <c r="C7583" i="1"/>
  <c r="D7583" i="1"/>
  <c r="E7583" i="1"/>
  <c r="F7583" i="1"/>
  <c r="G7583" i="1"/>
  <c r="H7583" i="1"/>
  <c r="A7584" i="1"/>
  <c r="B7584" i="1"/>
  <c r="C7584" i="1"/>
  <c r="D7584" i="1"/>
  <c r="E7584" i="1"/>
  <c r="F7584" i="1"/>
  <c r="G7584" i="1"/>
  <c r="H7584" i="1"/>
  <c r="A7585" i="1"/>
  <c r="B7585" i="1"/>
  <c r="C7585" i="1"/>
  <c r="D7585" i="1"/>
  <c r="E7585" i="1"/>
  <c r="F7585" i="1"/>
  <c r="G7585" i="1"/>
  <c r="H7585" i="1"/>
  <c r="A7586" i="1"/>
  <c r="B7586" i="1"/>
  <c r="C7586" i="1"/>
  <c r="D7586" i="1"/>
  <c r="E7586" i="1"/>
  <c r="F7586" i="1"/>
  <c r="G7586" i="1"/>
  <c r="H7586" i="1"/>
  <c r="A7587" i="1"/>
  <c r="B7587" i="1"/>
  <c r="C7587" i="1"/>
  <c r="D7587" i="1"/>
  <c r="E7587" i="1"/>
  <c r="F7587" i="1"/>
  <c r="G7587" i="1"/>
  <c r="H7587" i="1"/>
  <c r="A7588" i="1"/>
  <c r="B7588" i="1"/>
  <c r="C7588" i="1"/>
  <c r="D7588" i="1"/>
  <c r="E7588" i="1"/>
  <c r="F7588" i="1"/>
  <c r="G7588" i="1"/>
  <c r="H7588" i="1"/>
  <c r="A7589" i="1"/>
  <c r="B7589" i="1"/>
  <c r="C7589" i="1"/>
  <c r="D7589" i="1"/>
  <c r="E7589" i="1"/>
  <c r="F7589" i="1"/>
  <c r="G7589" i="1"/>
  <c r="H7589" i="1"/>
  <c r="A7590" i="1"/>
  <c r="B7590" i="1"/>
  <c r="C7590" i="1"/>
  <c r="D7590" i="1"/>
  <c r="E7590" i="1"/>
  <c r="F7590" i="1"/>
  <c r="G7590" i="1"/>
  <c r="H7590" i="1"/>
  <c r="A7591" i="1"/>
  <c r="B7591" i="1"/>
  <c r="C7591" i="1"/>
  <c r="D7591" i="1"/>
  <c r="E7591" i="1"/>
  <c r="F7591" i="1"/>
  <c r="G7591" i="1"/>
  <c r="H7591" i="1"/>
  <c r="A7592" i="1"/>
  <c r="B7592" i="1"/>
  <c r="C7592" i="1"/>
  <c r="D7592" i="1"/>
  <c r="E7592" i="1"/>
  <c r="F7592" i="1"/>
  <c r="G7592" i="1"/>
  <c r="H7592" i="1"/>
  <c r="A7593" i="1"/>
  <c r="B7593" i="1"/>
  <c r="C7593" i="1"/>
  <c r="D7593" i="1"/>
  <c r="E7593" i="1"/>
  <c r="F7593" i="1"/>
  <c r="G7593" i="1"/>
  <c r="H7593" i="1"/>
  <c r="A7594" i="1"/>
  <c r="B7594" i="1"/>
  <c r="C7594" i="1"/>
  <c r="D7594" i="1"/>
  <c r="E7594" i="1"/>
  <c r="F7594" i="1"/>
  <c r="G7594" i="1"/>
  <c r="H7594" i="1"/>
  <c r="A7595" i="1"/>
  <c r="B7595" i="1"/>
  <c r="C7595" i="1"/>
  <c r="D7595" i="1"/>
  <c r="E7595" i="1"/>
  <c r="F7595" i="1"/>
  <c r="G7595" i="1"/>
  <c r="H7595" i="1"/>
  <c r="A7596" i="1"/>
  <c r="B7596" i="1"/>
  <c r="C7596" i="1"/>
  <c r="D7596" i="1"/>
  <c r="E7596" i="1"/>
  <c r="F7596" i="1"/>
  <c r="G7596" i="1"/>
  <c r="H7596" i="1"/>
  <c r="A7597" i="1"/>
  <c r="B7597" i="1"/>
  <c r="C7597" i="1"/>
  <c r="D7597" i="1"/>
  <c r="E7597" i="1"/>
  <c r="F7597" i="1"/>
  <c r="G7597" i="1"/>
  <c r="H7597" i="1"/>
  <c r="A7598" i="1"/>
  <c r="B7598" i="1"/>
  <c r="C7598" i="1"/>
  <c r="D7598" i="1"/>
  <c r="E7598" i="1"/>
  <c r="F7598" i="1"/>
  <c r="G7598" i="1"/>
  <c r="H7598" i="1"/>
  <c r="A7599" i="1"/>
  <c r="B7599" i="1"/>
  <c r="C7599" i="1"/>
  <c r="D7599" i="1"/>
  <c r="E7599" i="1"/>
  <c r="F7599" i="1"/>
  <c r="G7599" i="1"/>
  <c r="H7599" i="1"/>
  <c r="A7600" i="1"/>
  <c r="B7600" i="1"/>
  <c r="C7600" i="1"/>
  <c r="D7600" i="1"/>
  <c r="E7600" i="1"/>
  <c r="F7600" i="1"/>
  <c r="G7600" i="1"/>
  <c r="H7600" i="1"/>
  <c r="A7601" i="1"/>
  <c r="B7601" i="1"/>
  <c r="C7601" i="1"/>
  <c r="D7601" i="1"/>
  <c r="E7601" i="1"/>
  <c r="F7601" i="1"/>
  <c r="G7601" i="1"/>
  <c r="H7601" i="1"/>
  <c r="A7602" i="1"/>
  <c r="B7602" i="1"/>
  <c r="C7602" i="1"/>
  <c r="D7602" i="1"/>
  <c r="E7602" i="1"/>
  <c r="F7602" i="1"/>
  <c r="G7602" i="1"/>
  <c r="H7602" i="1"/>
  <c r="A7603" i="1"/>
  <c r="B7603" i="1"/>
  <c r="C7603" i="1"/>
  <c r="D7603" i="1"/>
  <c r="E7603" i="1"/>
  <c r="F7603" i="1"/>
  <c r="G7603" i="1"/>
  <c r="H7603" i="1"/>
  <c r="A7604" i="1"/>
  <c r="B7604" i="1"/>
  <c r="C7604" i="1"/>
  <c r="D7604" i="1"/>
  <c r="E7604" i="1"/>
  <c r="F7604" i="1"/>
  <c r="G7604" i="1"/>
  <c r="H7604" i="1"/>
  <c r="A7605" i="1"/>
  <c r="B7605" i="1"/>
  <c r="C7605" i="1"/>
  <c r="D7605" i="1"/>
  <c r="E7605" i="1"/>
  <c r="F7605" i="1"/>
  <c r="G7605" i="1"/>
  <c r="H7605" i="1"/>
  <c r="A7606" i="1"/>
  <c r="B7606" i="1"/>
  <c r="C7606" i="1"/>
  <c r="D7606" i="1"/>
  <c r="E7606" i="1"/>
  <c r="F7606" i="1"/>
  <c r="G7606" i="1"/>
  <c r="H7606" i="1"/>
  <c r="A7607" i="1"/>
  <c r="B7607" i="1"/>
  <c r="C7607" i="1"/>
  <c r="D7607" i="1"/>
  <c r="E7607" i="1"/>
  <c r="F7607" i="1"/>
  <c r="G7607" i="1"/>
  <c r="H7607" i="1"/>
  <c r="A7608" i="1"/>
  <c r="B7608" i="1"/>
  <c r="C7608" i="1"/>
  <c r="D7608" i="1"/>
  <c r="E7608" i="1"/>
  <c r="F7608" i="1"/>
  <c r="G7608" i="1"/>
  <c r="H7608" i="1"/>
  <c r="A7609" i="1"/>
  <c r="B7609" i="1"/>
  <c r="C7609" i="1"/>
  <c r="D7609" i="1"/>
  <c r="E7609" i="1"/>
  <c r="F7609" i="1"/>
  <c r="G7609" i="1"/>
  <c r="H7609" i="1"/>
  <c r="A7610" i="1"/>
  <c r="B7610" i="1"/>
  <c r="C7610" i="1"/>
  <c r="D7610" i="1"/>
  <c r="E7610" i="1"/>
  <c r="F7610" i="1"/>
  <c r="G7610" i="1"/>
  <c r="H7610" i="1"/>
  <c r="A7611" i="1"/>
  <c r="B7611" i="1"/>
  <c r="C7611" i="1"/>
  <c r="D7611" i="1"/>
  <c r="E7611" i="1"/>
  <c r="F7611" i="1"/>
  <c r="G7611" i="1"/>
  <c r="H7611" i="1"/>
  <c r="A7612" i="1"/>
  <c r="B7612" i="1"/>
  <c r="C7612" i="1"/>
  <c r="D7612" i="1"/>
  <c r="E7612" i="1"/>
  <c r="F7612" i="1"/>
  <c r="G7612" i="1"/>
  <c r="H7612" i="1"/>
  <c r="A7613" i="1"/>
  <c r="B7613" i="1"/>
  <c r="C7613" i="1"/>
  <c r="D7613" i="1"/>
  <c r="E7613" i="1"/>
  <c r="F7613" i="1"/>
  <c r="G7613" i="1"/>
  <c r="H7613" i="1"/>
  <c r="A7614" i="1"/>
  <c r="B7614" i="1"/>
  <c r="C7614" i="1"/>
  <c r="D7614" i="1"/>
  <c r="E7614" i="1"/>
  <c r="F7614" i="1"/>
  <c r="G7614" i="1"/>
  <c r="H7614" i="1"/>
  <c r="A7615" i="1"/>
  <c r="B7615" i="1"/>
  <c r="C7615" i="1"/>
  <c r="D7615" i="1"/>
  <c r="E7615" i="1"/>
  <c r="F7615" i="1"/>
  <c r="G7615" i="1"/>
  <c r="H7615" i="1"/>
  <c r="A7616" i="1"/>
  <c r="B7616" i="1"/>
  <c r="C7616" i="1"/>
  <c r="D7616" i="1"/>
  <c r="E7616" i="1"/>
  <c r="F7616" i="1"/>
  <c r="G7616" i="1"/>
  <c r="H7616" i="1"/>
  <c r="A7617" i="1"/>
  <c r="B7617" i="1"/>
  <c r="C7617" i="1"/>
  <c r="D7617" i="1"/>
  <c r="E7617" i="1"/>
  <c r="F7617" i="1"/>
  <c r="G7617" i="1"/>
  <c r="H7617" i="1"/>
  <c r="A7618" i="1"/>
  <c r="B7618" i="1"/>
  <c r="C7618" i="1"/>
  <c r="D7618" i="1"/>
  <c r="E7618" i="1"/>
  <c r="F7618" i="1"/>
  <c r="G7618" i="1"/>
  <c r="H7618" i="1"/>
  <c r="A7619" i="1"/>
  <c r="B7619" i="1"/>
  <c r="C7619" i="1"/>
  <c r="D7619" i="1"/>
  <c r="E7619" i="1"/>
  <c r="F7619" i="1"/>
  <c r="G7619" i="1"/>
  <c r="H7619" i="1"/>
  <c r="A7620" i="1"/>
  <c r="B7620" i="1"/>
  <c r="C7620" i="1"/>
  <c r="D7620" i="1"/>
  <c r="E7620" i="1"/>
  <c r="F7620" i="1"/>
  <c r="G7620" i="1"/>
  <c r="H7620" i="1"/>
  <c r="A7621" i="1"/>
  <c r="B7621" i="1"/>
  <c r="C7621" i="1"/>
  <c r="D7621" i="1"/>
  <c r="E7621" i="1"/>
  <c r="F7621" i="1"/>
  <c r="G7621" i="1"/>
  <c r="H7621" i="1"/>
  <c r="A7622" i="1"/>
  <c r="B7622" i="1"/>
  <c r="C7622" i="1"/>
  <c r="D7622" i="1"/>
  <c r="E7622" i="1"/>
  <c r="F7622" i="1"/>
  <c r="G7622" i="1"/>
  <c r="H7622" i="1"/>
  <c r="A7623" i="1"/>
  <c r="B7623" i="1"/>
  <c r="C7623" i="1"/>
  <c r="D7623" i="1"/>
  <c r="E7623" i="1"/>
  <c r="F7623" i="1"/>
  <c r="G7623" i="1"/>
  <c r="H7623" i="1"/>
  <c r="A7624" i="1"/>
  <c r="B7624" i="1"/>
  <c r="C7624" i="1"/>
  <c r="D7624" i="1"/>
  <c r="E7624" i="1"/>
  <c r="F7624" i="1"/>
  <c r="G7624" i="1"/>
  <c r="H7624" i="1"/>
  <c r="A7625" i="1"/>
  <c r="B7625" i="1"/>
  <c r="C7625" i="1"/>
  <c r="D7625" i="1"/>
  <c r="E7625" i="1"/>
  <c r="F7625" i="1"/>
  <c r="G7625" i="1"/>
  <c r="H7625" i="1"/>
  <c r="A7626" i="1"/>
  <c r="B7626" i="1"/>
  <c r="C7626" i="1"/>
  <c r="D7626" i="1"/>
  <c r="E7626" i="1"/>
  <c r="F7626" i="1"/>
  <c r="G7626" i="1"/>
  <c r="H7626" i="1"/>
  <c r="A7627" i="1"/>
  <c r="B7627" i="1"/>
  <c r="C7627" i="1"/>
  <c r="D7627" i="1"/>
  <c r="E7627" i="1"/>
  <c r="F7627" i="1"/>
  <c r="G7627" i="1"/>
  <c r="H7627" i="1"/>
  <c r="A7628" i="1"/>
  <c r="B7628" i="1"/>
  <c r="C7628" i="1"/>
  <c r="D7628" i="1"/>
  <c r="E7628" i="1"/>
  <c r="F7628" i="1"/>
  <c r="G7628" i="1"/>
  <c r="H7628" i="1"/>
  <c r="A7629" i="1"/>
  <c r="B7629" i="1"/>
  <c r="C7629" i="1"/>
  <c r="D7629" i="1"/>
  <c r="E7629" i="1"/>
  <c r="F7629" i="1"/>
  <c r="G7629" i="1"/>
  <c r="H7629" i="1"/>
  <c r="A7630" i="1"/>
  <c r="B7630" i="1"/>
  <c r="C7630" i="1"/>
  <c r="D7630" i="1"/>
  <c r="E7630" i="1"/>
  <c r="F7630" i="1"/>
  <c r="G7630" i="1"/>
  <c r="H7630" i="1"/>
  <c r="A7631" i="1"/>
  <c r="B7631" i="1"/>
  <c r="C7631" i="1"/>
  <c r="D7631" i="1"/>
  <c r="E7631" i="1"/>
  <c r="F7631" i="1"/>
  <c r="G7631" i="1"/>
  <c r="H7631" i="1"/>
  <c r="A7632" i="1"/>
  <c r="B7632" i="1"/>
  <c r="C7632" i="1"/>
  <c r="D7632" i="1"/>
  <c r="E7632" i="1"/>
  <c r="F7632" i="1"/>
  <c r="G7632" i="1"/>
  <c r="H7632" i="1"/>
  <c r="A7633" i="1"/>
  <c r="B7633" i="1"/>
  <c r="C7633" i="1"/>
  <c r="D7633" i="1"/>
  <c r="E7633" i="1"/>
  <c r="F7633" i="1"/>
  <c r="G7633" i="1"/>
  <c r="H7633" i="1"/>
  <c r="A7634" i="1"/>
  <c r="B7634" i="1"/>
  <c r="C7634" i="1"/>
  <c r="D7634" i="1"/>
  <c r="E7634" i="1"/>
  <c r="F7634" i="1"/>
  <c r="G7634" i="1"/>
  <c r="H7634" i="1"/>
  <c r="A7635" i="1"/>
  <c r="B7635" i="1"/>
  <c r="C7635" i="1"/>
  <c r="D7635" i="1"/>
  <c r="E7635" i="1"/>
  <c r="F7635" i="1"/>
  <c r="G7635" i="1"/>
  <c r="H7635" i="1"/>
  <c r="A7636" i="1"/>
  <c r="B7636" i="1"/>
  <c r="C7636" i="1"/>
  <c r="D7636" i="1"/>
  <c r="E7636" i="1"/>
  <c r="F7636" i="1"/>
  <c r="G7636" i="1"/>
  <c r="H7636" i="1"/>
  <c r="A7637" i="1"/>
  <c r="B7637" i="1"/>
  <c r="C7637" i="1"/>
  <c r="D7637" i="1"/>
  <c r="E7637" i="1"/>
  <c r="F7637" i="1"/>
  <c r="G7637" i="1"/>
  <c r="H7637" i="1"/>
  <c r="A7638" i="1"/>
  <c r="B7638" i="1"/>
  <c r="C7638" i="1"/>
  <c r="D7638" i="1"/>
  <c r="E7638" i="1"/>
  <c r="F7638" i="1"/>
  <c r="G7638" i="1"/>
  <c r="H7638" i="1"/>
  <c r="A7639" i="1"/>
  <c r="B7639" i="1"/>
  <c r="C7639" i="1"/>
  <c r="D7639" i="1"/>
  <c r="E7639" i="1"/>
  <c r="F7639" i="1"/>
  <c r="G7639" i="1"/>
  <c r="H7639" i="1"/>
  <c r="A7640" i="1"/>
  <c r="B7640" i="1"/>
  <c r="C7640" i="1"/>
  <c r="D7640" i="1"/>
  <c r="E7640" i="1"/>
  <c r="F7640" i="1"/>
  <c r="G7640" i="1"/>
  <c r="H7640" i="1"/>
  <c r="A7641" i="1"/>
  <c r="B7641" i="1"/>
  <c r="C7641" i="1"/>
  <c r="D7641" i="1"/>
  <c r="E7641" i="1"/>
  <c r="F7641" i="1"/>
  <c r="G7641" i="1"/>
  <c r="H7641" i="1"/>
  <c r="A7642" i="1"/>
  <c r="B7642" i="1"/>
  <c r="C7642" i="1"/>
  <c r="D7642" i="1"/>
  <c r="E7642" i="1"/>
  <c r="F7642" i="1"/>
  <c r="G7642" i="1"/>
  <c r="H7642" i="1"/>
  <c r="A7643" i="1"/>
  <c r="B7643" i="1"/>
  <c r="C7643" i="1"/>
  <c r="D7643" i="1"/>
  <c r="E7643" i="1"/>
  <c r="F7643" i="1"/>
  <c r="G7643" i="1"/>
  <c r="H7643" i="1"/>
  <c r="A7644" i="1"/>
  <c r="B7644" i="1"/>
  <c r="C7644" i="1"/>
  <c r="D7644" i="1"/>
  <c r="E7644" i="1"/>
  <c r="F7644" i="1"/>
  <c r="G7644" i="1"/>
  <c r="H7644" i="1"/>
  <c r="A7645" i="1"/>
  <c r="B7645" i="1"/>
  <c r="C7645" i="1"/>
  <c r="D7645" i="1"/>
  <c r="E7645" i="1"/>
  <c r="F7645" i="1"/>
  <c r="G7645" i="1"/>
  <c r="H7645" i="1"/>
  <c r="A7646" i="1"/>
  <c r="B7646" i="1"/>
  <c r="C7646" i="1"/>
  <c r="D7646" i="1"/>
  <c r="E7646" i="1"/>
  <c r="F7646" i="1"/>
  <c r="G7646" i="1"/>
  <c r="H7646" i="1"/>
  <c r="A7647" i="1"/>
  <c r="B7647" i="1"/>
  <c r="C7647" i="1"/>
  <c r="D7647" i="1"/>
  <c r="E7647" i="1"/>
  <c r="F7647" i="1"/>
  <c r="G7647" i="1"/>
  <c r="H7647" i="1"/>
  <c r="A7648" i="1"/>
  <c r="B7648" i="1"/>
  <c r="C7648" i="1"/>
  <c r="D7648" i="1"/>
  <c r="E7648" i="1"/>
  <c r="F7648" i="1"/>
  <c r="G7648" i="1"/>
  <c r="H7648" i="1"/>
  <c r="A7649" i="1"/>
  <c r="B7649" i="1"/>
  <c r="C7649" i="1"/>
  <c r="D7649" i="1"/>
  <c r="E7649" i="1"/>
  <c r="F7649" i="1"/>
  <c r="G7649" i="1"/>
  <c r="H7649" i="1"/>
  <c r="A7650" i="1"/>
  <c r="B7650" i="1"/>
  <c r="C7650" i="1"/>
  <c r="D7650" i="1"/>
  <c r="E7650" i="1"/>
  <c r="F7650" i="1"/>
  <c r="G7650" i="1"/>
  <c r="H7650" i="1"/>
  <c r="A7651" i="1"/>
  <c r="B7651" i="1"/>
  <c r="C7651" i="1"/>
  <c r="D7651" i="1"/>
  <c r="E7651" i="1"/>
  <c r="F7651" i="1"/>
  <c r="G7651" i="1"/>
  <c r="H7651" i="1"/>
  <c r="A7652" i="1"/>
  <c r="B7652" i="1"/>
  <c r="C7652" i="1"/>
  <c r="D7652" i="1"/>
  <c r="E7652" i="1"/>
  <c r="F7652" i="1"/>
  <c r="G7652" i="1"/>
  <c r="H7652" i="1"/>
  <c r="A7653" i="1"/>
  <c r="B7653" i="1"/>
  <c r="C7653" i="1"/>
  <c r="D7653" i="1"/>
  <c r="E7653" i="1"/>
  <c r="F7653" i="1"/>
  <c r="G7653" i="1"/>
  <c r="H7653" i="1"/>
  <c r="A7654" i="1"/>
  <c r="B7654" i="1"/>
  <c r="C7654" i="1"/>
  <c r="D7654" i="1"/>
  <c r="E7654" i="1"/>
  <c r="F7654" i="1"/>
  <c r="G7654" i="1"/>
  <c r="H7654" i="1"/>
  <c r="A7655" i="1"/>
  <c r="B7655" i="1"/>
  <c r="C7655" i="1"/>
  <c r="D7655" i="1"/>
  <c r="E7655" i="1"/>
  <c r="F7655" i="1"/>
  <c r="G7655" i="1"/>
  <c r="H7655" i="1"/>
  <c r="A7656" i="1"/>
  <c r="B7656" i="1"/>
  <c r="C7656" i="1"/>
  <c r="D7656" i="1"/>
  <c r="E7656" i="1"/>
  <c r="F7656" i="1"/>
  <c r="G7656" i="1"/>
  <c r="H7656" i="1"/>
  <c r="A7657" i="1"/>
  <c r="B7657" i="1"/>
  <c r="C7657" i="1"/>
  <c r="D7657" i="1"/>
  <c r="E7657" i="1"/>
  <c r="F7657" i="1"/>
  <c r="G7657" i="1"/>
  <c r="H7657" i="1"/>
  <c r="A7658" i="1"/>
  <c r="B7658" i="1"/>
  <c r="C7658" i="1"/>
  <c r="D7658" i="1"/>
  <c r="E7658" i="1"/>
  <c r="F7658" i="1"/>
  <c r="G7658" i="1"/>
  <c r="H7658" i="1"/>
  <c r="A7659" i="1"/>
  <c r="B7659" i="1"/>
  <c r="C7659" i="1"/>
  <c r="D7659" i="1"/>
  <c r="E7659" i="1"/>
  <c r="F7659" i="1"/>
  <c r="G7659" i="1"/>
  <c r="H7659" i="1"/>
  <c r="A7660" i="1"/>
  <c r="B7660" i="1"/>
  <c r="C7660" i="1"/>
  <c r="D7660" i="1"/>
  <c r="E7660" i="1"/>
  <c r="F7660" i="1"/>
  <c r="G7660" i="1"/>
  <c r="H7660" i="1"/>
  <c r="A7661" i="1"/>
  <c r="B7661" i="1"/>
  <c r="C7661" i="1"/>
  <c r="D7661" i="1"/>
  <c r="E7661" i="1"/>
  <c r="F7661" i="1"/>
  <c r="G7661" i="1"/>
  <c r="H7661" i="1"/>
  <c r="A7662" i="1"/>
  <c r="B7662" i="1"/>
  <c r="C7662" i="1"/>
  <c r="D7662" i="1"/>
  <c r="E7662" i="1"/>
  <c r="F7662" i="1"/>
  <c r="G7662" i="1"/>
  <c r="H7662" i="1"/>
  <c r="A7663" i="1"/>
  <c r="B7663" i="1"/>
  <c r="C7663" i="1"/>
  <c r="D7663" i="1"/>
  <c r="E7663" i="1"/>
  <c r="F7663" i="1"/>
  <c r="G7663" i="1"/>
  <c r="H7663" i="1"/>
  <c r="A7664" i="1"/>
  <c r="B7664" i="1"/>
  <c r="C7664" i="1"/>
  <c r="D7664" i="1"/>
  <c r="E7664" i="1"/>
  <c r="F7664" i="1"/>
  <c r="G7664" i="1"/>
  <c r="H7664" i="1"/>
  <c r="A7665" i="1"/>
  <c r="B7665" i="1"/>
  <c r="C7665" i="1"/>
  <c r="D7665" i="1"/>
  <c r="E7665" i="1"/>
  <c r="F7665" i="1"/>
  <c r="G7665" i="1"/>
  <c r="H7665" i="1"/>
  <c r="A7666" i="1"/>
  <c r="B7666" i="1"/>
  <c r="C7666" i="1"/>
  <c r="D7666" i="1"/>
  <c r="E7666" i="1"/>
  <c r="F7666" i="1"/>
  <c r="G7666" i="1"/>
  <c r="H7666" i="1"/>
  <c r="A7667" i="1"/>
  <c r="B7667" i="1"/>
  <c r="C7667" i="1"/>
  <c r="D7667" i="1"/>
  <c r="E7667" i="1"/>
  <c r="F7667" i="1"/>
  <c r="G7667" i="1"/>
  <c r="H7667" i="1"/>
  <c r="A7668" i="1"/>
  <c r="B7668" i="1"/>
  <c r="C7668" i="1"/>
  <c r="D7668" i="1"/>
  <c r="E7668" i="1"/>
  <c r="F7668" i="1"/>
  <c r="G7668" i="1"/>
  <c r="H7668" i="1"/>
  <c r="A7669" i="1"/>
  <c r="B7669" i="1"/>
  <c r="C7669" i="1"/>
  <c r="D7669" i="1"/>
  <c r="E7669" i="1"/>
  <c r="F7669" i="1"/>
  <c r="G7669" i="1"/>
  <c r="H7669" i="1"/>
  <c r="A7670" i="1"/>
  <c r="B7670" i="1"/>
  <c r="C7670" i="1"/>
  <c r="D7670" i="1"/>
  <c r="E7670" i="1"/>
  <c r="F7670" i="1"/>
  <c r="G7670" i="1"/>
  <c r="H7670" i="1"/>
  <c r="A7671" i="1"/>
  <c r="B7671" i="1"/>
  <c r="C7671" i="1"/>
  <c r="D7671" i="1"/>
  <c r="E7671" i="1"/>
  <c r="F7671" i="1"/>
  <c r="G7671" i="1"/>
  <c r="H7671" i="1"/>
  <c r="A7672" i="1"/>
  <c r="B7672" i="1"/>
  <c r="C7672" i="1"/>
  <c r="D7672" i="1"/>
  <c r="E7672" i="1"/>
  <c r="F7672" i="1"/>
  <c r="G7672" i="1"/>
  <c r="H7672" i="1"/>
  <c r="A7673" i="1"/>
  <c r="B7673" i="1"/>
  <c r="C7673" i="1"/>
  <c r="D7673" i="1"/>
  <c r="E7673" i="1"/>
  <c r="F7673" i="1"/>
  <c r="G7673" i="1"/>
  <c r="H7673" i="1"/>
  <c r="A7674" i="1"/>
  <c r="B7674" i="1"/>
  <c r="C7674" i="1"/>
  <c r="D7674" i="1"/>
  <c r="E7674" i="1"/>
  <c r="F7674" i="1"/>
  <c r="G7674" i="1"/>
  <c r="H7674" i="1"/>
  <c r="A7675" i="1"/>
  <c r="B7675" i="1"/>
  <c r="C7675" i="1"/>
  <c r="D7675" i="1"/>
  <c r="E7675" i="1"/>
  <c r="F7675" i="1"/>
  <c r="G7675" i="1"/>
  <c r="H7675" i="1"/>
  <c r="A7676" i="1"/>
  <c r="B7676" i="1"/>
  <c r="C7676" i="1"/>
  <c r="D7676" i="1"/>
  <c r="E7676" i="1"/>
  <c r="F7676" i="1"/>
  <c r="G7676" i="1"/>
  <c r="H7676" i="1"/>
  <c r="A7677" i="1"/>
  <c r="B7677" i="1"/>
  <c r="C7677" i="1"/>
  <c r="D7677" i="1"/>
  <c r="E7677" i="1"/>
  <c r="F7677" i="1"/>
  <c r="G7677" i="1"/>
  <c r="H7677" i="1"/>
  <c r="A7678" i="1"/>
  <c r="B7678" i="1"/>
  <c r="C7678" i="1"/>
  <c r="D7678" i="1"/>
  <c r="E7678" i="1"/>
  <c r="F7678" i="1"/>
  <c r="G7678" i="1"/>
  <c r="H7678" i="1"/>
  <c r="A7679" i="1"/>
  <c r="B7679" i="1"/>
  <c r="C7679" i="1"/>
  <c r="D7679" i="1"/>
  <c r="E7679" i="1"/>
  <c r="F7679" i="1"/>
  <c r="G7679" i="1"/>
  <c r="H7679" i="1"/>
  <c r="A7680" i="1"/>
  <c r="B7680" i="1"/>
  <c r="C7680" i="1"/>
  <c r="D7680" i="1"/>
  <c r="E7680" i="1"/>
  <c r="F7680" i="1"/>
  <c r="G7680" i="1"/>
  <c r="H7680" i="1"/>
  <c r="A7681" i="1"/>
  <c r="B7681" i="1"/>
  <c r="C7681" i="1"/>
  <c r="D7681" i="1"/>
  <c r="E7681" i="1"/>
  <c r="F7681" i="1"/>
  <c r="G7681" i="1"/>
  <c r="H7681" i="1"/>
  <c r="A7682" i="1"/>
  <c r="B7682" i="1"/>
  <c r="C7682" i="1"/>
  <c r="D7682" i="1"/>
  <c r="E7682" i="1"/>
  <c r="F7682" i="1"/>
  <c r="G7682" i="1"/>
  <c r="H7682" i="1"/>
  <c r="A7683" i="1"/>
  <c r="B7683" i="1"/>
  <c r="C7683" i="1"/>
  <c r="D7683" i="1"/>
  <c r="E7683" i="1"/>
  <c r="F7683" i="1"/>
  <c r="G7683" i="1"/>
  <c r="H7683" i="1"/>
  <c r="A7684" i="1"/>
  <c r="B7684" i="1"/>
  <c r="C7684" i="1"/>
  <c r="D7684" i="1"/>
  <c r="E7684" i="1"/>
  <c r="F7684" i="1"/>
  <c r="G7684" i="1"/>
  <c r="H7684" i="1"/>
  <c r="A7685" i="1"/>
  <c r="B7685" i="1"/>
  <c r="C7685" i="1"/>
  <c r="D7685" i="1"/>
  <c r="E7685" i="1"/>
  <c r="F7685" i="1"/>
  <c r="G7685" i="1"/>
  <c r="H7685" i="1"/>
  <c r="A7686" i="1"/>
  <c r="B7686" i="1"/>
  <c r="C7686" i="1"/>
  <c r="D7686" i="1"/>
  <c r="E7686" i="1"/>
  <c r="F7686" i="1"/>
  <c r="G7686" i="1"/>
  <c r="H7686" i="1"/>
  <c r="A7687" i="1"/>
  <c r="B7687" i="1"/>
  <c r="C7687" i="1"/>
  <c r="D7687" i="1"/>
  <c r="E7687" i="1"/>
  <c r="F7687" i="1"/>
  <c r="G7687" i="1"/>
  <c r="H7687" i="1"/>
  <c r="A7688" i="1"/>
  <c r="B7688" i="1"/>
  <c r="C7688" i="1"/>
  <c r="D7688" i="1"/>
  <c r="E7688" i="1"/>
  <c r="F7688" i="1"/>
  <c r="G7688" i="1"/>
  <c r="H7688" i="1"/>
  <c r="A7689" i="1"/>
  <c r="B7689" i="1"/>
  <c r="C7689" i="1"/>
  <c r="D7689" i="1"/>
  <c r="E7689" i="1"/>
  <c r="F7689" i="1"/>
  <c r="G7689" i="1"/>
  <c r="H7689" i="1"/>
  <c r="A7690" i="1"/>
  <c r="B7690" i="1"/>
  <c r="C7690" i="1"/>
  <c r="D7690" i="1"/>
  <c r="E7690" i="1"/>
  <c r="F7690" i="1"/>
  <c r="G7690" i="1"/>
  <c r="H7690" i="1"/>
  <c r="A7691" i="1"/>
  <c r="B7691" i="1"/>
  <c r="C7691" i="1"/>
  <c r="D7691" i="1"/>
  <c r="E7691" i="1"/>
  <c r="F7691" i="1"/>
  <c r="G7691" i="1"/>
  <c r="H7691" i="1"/>
  <c r="A7692" i="1"/>
  <c r="B7692" i="1"/>
  <c r="C7692" i="1"/>
  <c r="D7692" i="1"/>
  <c r="E7692" i="1"/>
  <c r="F7692" i="1"/>
  <c r="G7692" i="1"/>
  <c r="H7692" i="1"/>
  <c r="A7693" i="1"/>
  <c r="B7693" i="1"/>
  <c r="C7693" i="1"/>
  <c r="D7693" i="1"/>
  <c r="E7693" i="1"/>
  <c r="F7693" i="1"/>
  <c r="G7693" i="1"/>
  <c r="H7693" i="1"/>
  <c r="A7694" i="1"/>
  <c r="B7694" i="1"/>
  <c r="C7694" i="1"/>
  <c r="D7694" i="1"/>
  <c r="E7694" i="1"/>
  <c r="F7694" i="1"/>
  <c r="G7694" i="1"/>
  <c r="H7694" i="1"/>
  <c r="A7695" i="1"/>
  <c r="B7695" i="1"/>
  <c r="C7695" i="1"/>
  <c r="D7695" i="1"/>
  <c r="E7695" i="1"/>
  <c r="F7695" i="1"/>
  <c r="G7695" i="1"/>
  <c r="H7695" i="1"/>
  <c r="A7696" i="1"/>
  <c r="B7696" i="1"/>
  <c r="C7696" i="1"/>
  <c r="D7696" i="1"/>
  <c r="E7696" i="1"/>
  <c r="F7696" i="1"/>
  <c r="G7696" i="1"/>
  <c r="H7696" i="1"/>
  <c r="A7697" i="1"/>
  <c r="B7697" i="1"/>
  <c r="C7697" i="1"/>
  <c r="D7697" i="1"/>
  <c r="E7697" i="1"/>
  <c r="F7697" i="1"/>
  <c r="G7697" i="1"/>
  <c r="H7697" i="1"/>
  <c r="A7698" i="1"/>
  <c r="B7698" i="1"/>
  <c r="C7698" i="1"/>
  <c r="D7698" i="1"/>
  <c r="E7698" i="1"/>
  <c r="F7698" i="1"/>
  <c r="G7698" i="1"/>
  <c r="H7698" i="1"/>
  <c r="A7699" i="1"/>
  <c r="B7699" i="1"/>
  <c r="C7699" i="1"/>
  <c r="D7699" i="1"/>
  <c r="E7699" i="1"/>
  <c r="F7699" i="1"/>
  <c r="G7699" i="1"/>
  <c r="H7699" i="1"/>
  <c r="A7700" i="1"/>
  <c r="B7700" i="1"/>
  <c r="C7700" i="1"/>
  <c r="D7700" i="1"/>
  <c r="E7700" i="1"/>
  <c r="F7700" i="1"/>
  <c r="G7700" i="1"/>
  <c r="H7700" i="1"/>
  <c r="A7701" i="1"/>
  <c r="B7701" i="1"/>
  <c r="C7701" i="1"/>
  <c r="D7701" i="1"/>
  <c r="E7701" i="1"/>
  <c r="F7701" i="1"/>
  <c r="G7701" i="1"/>
  <c r="H7701" i="1"/>
  <c r="A7702" i="1"/>
  <c r="B7702" i="1"/>
  <c r="C7702" i="1"/>
  <c r="D7702" i="1"/>
  <c r="E7702" i="1"/>
  <c r="F7702" i="1"/>
  <c r="G7702" i="1"/>
  <c r="H7702" i="1"/>
  <c r="A7703" i="1"/>
  <c r="B7703" i="1"/>
  <c r="C7703" i="1"/>
  <c r="D7703" i="1"/>
  <c r="E7703" i="1"/>
  <c r="F7703" i="1"/>
  <c r="G7703" i="1"/>
  <c r="H7703" i="1"/>
  <c r="A7704" i="1"/>
  <c r="B7704" i="1"/>
  <c r="C7704" i="1"/>
  <c r="D7704" i="1"/>
  <c r="E7704" i="1"/>
  <c r="F7704" i="1"/>
  <c r="G7704" i="1"/>
  <c r="H7704" i="1"/>
  <c r="A7705" i="1"/>
  <c r="B7705" i="1"/>
  <c r="C7705" i="1"/>
  <c r="D7705" i="1"/>
  <c r="E7705" i="1"/>
  <c r="F7705" i="1"/>
  <c r="G7705" i="1"/>
  <c r="H7705" i="1"/>
  <c r="A7706" i="1"/>
  <c r="B7706" i="1"/>
  <c r="C7706" i="1"/>
  <c r="D7706" i="1"/>
  <c r="E7706" i="1"/>
  <c r="F7706" i="1"/>
  <c r="G7706" i="1"/>
  <c r="H7706" i="1"/>
  <c r="A7707" i="1"/>
  <c r="B7707" i="1"/>
  <c r="C7707" i="1"/>
  <c r="D7707" i="1"/>
  <c r="E7707" i="1"/>
  <c r="F7707" i="1"/>
  <c r="G7707" i="1"/>
  <c r="H7707" i="1"/>
  <c r="A7708" i="1"/>
  <c r="B7708" i="1"/>
  <c r="C7708" i="1"/>
  <c r="D7708" i="1"/>
  <c r="E7708" i="1"/>
  <c r="F7708" i="1"/>
  <c r="G7708" i="1"/>
  <c r="H7708" i="1"/>
  <c r="A7709" i="1"/>
  <c r="B7709" i="1"/>
  <c r="C7709" i="1"/>
  <c r="D7709" i="1"/>
  <c r="E7709" i="1"/>
  <c r="F7709" i="1"/>
  <c r="G7709" i="1"/>
  <c r="H7709" i="1"/>
  <c r="A7710" i="1"/>
  <c r="B7710" i="1"/>
  <c r="C7710" i="1"/>
  <c r="D7710" i="1"/>
  <c r="E7710" i="1"/>
  <c r="F7710" i="1"/>
  <c r="G7710" i="1"/>
  <c r="H7710" i="1"/>
  <c r="A7711" i="1"/>
  <c r="B7711" i="1"/>
  <c r="C7711" i="1"/>
  <c r="D7711" i="1"/>
  <c r="E7711" i="1"/>
  <c r="F7711" i="1"/>
  <c r="G7711" i="1"/>
  <c r="H7711" i="1"/>
  <c r="A7712" i="1"/>
  <c r="B7712" i="1"/>
  <c r="C7712" i="1"/>
  <c r="D7712" i="1"/>
  <c r="E7712" i="1"/>
  <c r="F7712" i="1"/>
  <c r="G7712" i="1"/>
  <c r="H7712" i="1"/>
  <c r="A7713" i="1"/>
  <c r="B7713" i="1"/>
  <c r="C7713" i="1"/>
  <c r="D7713" i="1"/>
  <c r="E7713" i="1"/>
  <c r="F7713" i="1"/>
  <c r="G7713" i="1"/>
  <c r="H7713" i="1"/>
  <c r="A7714" i="1"/>
  <c r="B7714" i="1"/>
  <c r="C7714" i="1"/>
  <c r="D7714" i="1"/>
  <c r="E7714" i="1"/>
  <c r="F7714" i="1"/>
  <c r="G7714" i="1"/>
  <c r="H7714" i="1"/>
  <c r="A7715" i="1"/>
  <c r="B7715" i="1"/>
  <c r="C7715" i="1"/>
  <c r="D7715" i="1"/>
  <c r="E7715" i="1"/>
  <c r="F7715" i="1"/>
  <c r="G7715" i="1"/>
  <c r="H7715" i="1"/>
  <c r="A7716" i="1"/>
  <c r="B7716" i="1"/>
  <c r="C7716" i="1"/>
  <c r="D7716" i="1"/>
  <c r="E7716" i="1"/>
  <c r="F7716" i="1"/>
  <c r="G7716" i="1"/>
  <c r="H7716" i="1"/>
  <c r="A7717" i="1"/>
  <c r="B7717" i="1"/>
  <c r="C7717" i="1"/>
  <c r="D7717" i="1"/>
  <c r="E7717" i="1"/>
  <c r="F7717" i="1"/>
  <c r="G7717" i="1"/>
  <c r="H7717" i="1"/>
  <c r="A7718" i="1"/>
  <c r="B7718" i="1"/>
  <c r="C7718" i="1"/>
  <c r="D7718" i="1"/>
  <c r="E7718" i="1"/>
  <c r="F7718" i="1"/>
  <c r="G7718" i="1"/>
  <c r="H7718" i="1"/>
  <c r="A7719" i="1"/>
  <c r="B7719" i="1"/>
  <c r="C7719" i="1"/>
  <c r="D7719" i="1"/>
  <c r="E7719" i="1"/>
  <c r="F7719" i="1"/>
  <c r="G7719" i="1"/>
  <c r="H7719" i="1"/>
  <c r="A7720" i="1"/>
  <c r="B7720" i="1"/>
  <c r="C7720" i="1"/>
  <c r="D7720" i="1"/>
  <c r="E7720" i="1"/>
  <c r="F7720" i="1"/>
  <c r="G7720" i="1"/>
  <c r="H7720" i="1"/>
  <c r="A7721" i="1"/>
  <c r="B7721" i="1"/>
  <c r="C7721" i="1"/>
  <c r="D7721" i="1"/>
  <c r="E7721" i="1"/>
  <c r="F7721" i="1"/>
  <c r="G7721" i="1"/>
  <c r="H7721" i="1"/>
  <c r="A7722" i="1"/>
  <c r="B7722" i="1"/>
  <c r="C7722" i="1"/>
  <c r="D7722" i="1"/>
  <c r="E7722" i="1"/>
  <c r="F7722" i="1"/>
  <c r="G7722" i="1"/>
  <c r="H7722" i="1"/>
  <c r="A7723" i="1"/>
  <c r="B7723" i="1"/>
  <c r="C7723" i="1"/>
  <c r="D7723" i="1"/>
  <c r="E7723" i="1"/>
  <c r="F7723" i="1"/>
  <c r="G7723" i="1"/>
  <c r="H7723" i="1"/>
  <c r="A7724" i="1"/>
  <c r="B7724" i="1"/>
  <c r="C7724" i="1"/>
  <c r="D7724" i="1"/>
  <c r="E7724" i="1"/>
  <c r="F7724" i="1"/>
  <c r="G7724" i="1"/>
  <c r="H7724" i="1"/>
  <c r="A7725" i="1"/>
  <c r="B7725" i="1"/>
  <c r="C7725" i="1"/>
  <c r="D7725" i="1"/>
  <c r="E7725" i="1"/>
  <c r="F7725" i="1"/>
  <c r="G7725" i="1"/>
  <c r="H7725" i="1"/>
  <c r="A7726" i="1"/>
  <c r="B7726" i="1"/>
  <c r="C7726" i="1"/>
  <c r="D7726" i="1"/>
  <c r="E7726" i="1"/>
  <c r="F7726" i="1"/>
  <c r="G7726" i="1"/>
  <c r="H7726" i="1"/>
  <c r="A7727" i="1"/>
  <c r="B7727" i="1"/>
  <c r="C7727" i="1"/>
  <c r="D7727" i="1"/>
  <c r="E7727" i="1"/>
  <c r="F7727" i="1"/>
  <c r="G7727" i="1"/>
  <c r="H7727" i="1"/>
  <c r="A7728" i="1"/>
  <c r="B7728" i="1"/>
  <c r="C7728" i="1"/>
  <c r="D7728" i="1"/>
  <c r="E7728" i="1"/>
  <c r="F7728" i="1"/>
  <c r="G7728" i="1"/>
  <c r="H7728" i="1"/>
  <c r="A7729" i="1"/>
  <c r="B7729" i="1"/>
  <c r="C7729" i="1"/>
  <c r="D7729" i="1"/>
  <c r="E7729" i="1"/>
  <c r="F7729" i="1"/>
  <c r="G7729" i="1"/>
  <c r="H7729" i="1"/>
  <c r="A7730" i="1"/>
  <c r="B7730" i="1"/>
  <c r="C7730" i="1"/>
  <c r="D7730" i="1"/>
  <c r="E7730" i="1"/>
  <c r="F7730" i="1"/>
  <c r="G7730" i="1"/>
  <c r="H7730" i="1"/>
  <c r="A7731" i="1"/>
  <c r="B7731" i="1"/>
  <c r="C7731" i="1"/>
  <c r="D7731" i="1"/>
  <c r="E7731" i="1"/>
  <c r="F7731" i="1"/>
  <c r="G7731" i="1"/>
  <c r="H7731" i="1"/>
  <c r="A7732" i="1"/>
  <c r="B7732" i="1"/>
  <c r="C7732" i="1"/>
  <c r="D7732" i="1"/>
  <c r="E7732" i="1"/>
  <c r="F7732" i="1"/>
  <c r="G7732" i="1"/>
  <c r="H7732" i="1"/>
  <c r="A7733" i="1"/>
  <c r="B7733" i="1"/>
  <c r="C7733" i="1"/>
  <c r="D7733" i="1"/>
  <c r="E7733" i="1"/>
  <c r="F7733" i="1"/>
  <c r="G7733" i="1"/>
  <c r="H7733" i="1"/>
  <c r="A7734" i="1"/>
  <c r="B7734" i="1"/>
  <c r="C7734" i="1"/>
  <c r="D7734" i="1"/>
  <c r="E7734" i="1"/>
  <c r="F7734" i="1"/>
  <c r="G7734" i="1"/>
  <c r="H7734" i="1"/>
  <c r="A7735" i="1"/>
  <c r="B7735" i="1"/>
  <c r="C7735" i="1"/>
  <c r="D7735" i="1"/>
  <c r="E7735" i="1"/>
  <c r="F7735" i="1"/>
  <c r="G7735" i="1"/>
  <c r="H7735" i="1"/>
  <c r="A7736" i="1"/>
  <c r="B7736" i="1"/>
  <c r="C7736" i="1"/>
  <c r="D7736" i="1"/>
  <c r="E7736" i="1"/>
  <c r="F7736" i="1"/>
  <c r="G7736" i="1"/>
  <c r="H7736" i="1"/>
  <c r="A7737" i="1"/>
  <c r="B7737" i="1"/>
  <c r="C7737" i="1"/>
  <c r="D7737" i="1"/>
  <c r="E7737" i="1"/>
  <c r="F7737" i="1"/>
  <c r="G7737" i="1"/>
  <c r="H7737" i="1"/>
  <c r="A7738" i="1"/>
  <c r="B7738" i="1"/>
  <c r="C7738" i="1"/>
  <c r="D7738" i="1"/>
  <c r="E7738" i="1"/>
  <c r="F7738" i="1"/>
  <c r="G7738" i="1"/>
  <c r="H7738" i="1"/>
  <c r="A7739" i="1"/>
  <c r="B7739" i="1"/>
  <c r="C7739" i="1"/>
  <c r="D7739" i="1"/>
  <c r="E7739" i="1"/>
  <c r="F7739" i="1"/>
  <c r="G7739" i="1"/>
  <c r="H7739" i="1"/>
  <c r="A7740" i="1"/>
  <c r="B7740" i="1"/>
  <c r="C7740" i="1"/>
  <c r="D7740" i="1"/>
  <c r="E7740" i="1"/>
  <c r="F7740" i="1"/>
  <c r="G7740" i="1"/>
  <c r="H7740" i="1"/>
  <c r="A7741" i="1"/>
  <c r="B7741" i="1"/>
  <c r="C7741" i="1"/>
  <c r="D7741" i="1"/>
  <c r="E7741" i="1"/>
  <c r="F7741" i="1"/>
  <c r="G7741" i="1"/>
  <c r="H7741" i="1"/>
  <c r="A7742" i="1"/>
  <c r="B7742" i="1"/>
  <c r="C7742" i="1"/>
  <c r="D7742" i="1"/>
  <c r="E7742" i="1"/>
  <c r="F7742" i="1"/>
  <c r="G7742" i="1"/>
  <c r="H7742" i="1"/>
  <c r="A7743" i="1"/>
  <c r="B7743" i="1"/>
  <c r="C7743" i="1"/>
  <c r="D7743" i="1"/>
  <c r="E7743" i="1"/>
  <c r="F7743" i="1"/>
  <c r="G7743" i="1"/>
  <c r="H7743" i="1"/>
  <c r="A7744" i="1"/>
  <c r="B7744" i="1"/>
  <c r="C7744" i="1"/>
  <c r="D7744" i="1"/>
  <c r="E7744" i="1"/>
  <c r="F7744" i="1"/>
  <c r="G7744" i="1"/>
  <c r="H7744" i="1"/>
  <c r="A7745" i="1"/>
  <c r="B7745" i="1"/>
  <c r="C7745" i="1"/>
  <c r="D7745" i="1"/>
  <c r="E7745" i="1"/>
  <c r="F7745" i="1"/>
  <c r="G7745" i="1"/>
  <c r="H7745" i="1"/>
  <c r="A7746" i="1"/>
  <c r="B7746" i="1"/>
  <c r="C7746" i="1"/>
  <c r="D7746" i="1"/>
  <c r="E7746" i="1"/>
  <c r="F7746" i="1"/>
  <c r="G7746" i="1"/>
  <c r="H7746" i="1"/>
  <c r="A7747" i="1"/>
  <c r="B7747" i="1"/>
  <c r="C7747" i="1"/>
  <c r="D7747" i="1"/>
  <c r="E7747" i="1"/>
  <c r="F7747" i="1"/>
  <c r="G7747" i="1"/>
  <c r="H7747" i="1"/>
  <c r="A7748" i="1"/>
  <c r="B7748" i="1"/>
  <c r="C7748" i="1"/>
  <c r="D7748" i="1"/>
  <c r="E7748" i="1"/>
  <c r="F7748" i="1"/>
  <c r="G7748" i="1"/>
  <c r="H7748" i="1"/>
  <c r="A7749" i="1"/>
  <c r="B7749" i="1"/>
  <c r="C7749" i="1"/>
  <c r="D7749" i="1"/>
  <c r="E7749" i="1"/>
  <c r="F7749" i="1"/>
  <c r="G7749" i="1"/>
  <c r="H7749" i="1"/>
  <c r="A7750" i="1"/>
  <c r="B7750" i="1"/>
  <c r="C7750" i="1"/>
  <c r="D7750" i="1"/>
  <c r="E7750" i="1"/>
  <c r="F7750" i="1"/>
  <c r="G7750" i="1"/>
  <c r="H7750" i="1"/>
  <c r="A7751" i="1"/>
  <c r="B7751" i="1"/>
  <c r="C7751" i="1"/>
  <c r="D7751" i="1"/>
  <c r="E7751" i="1"/>
  <c r="F7751" i="1"/>
  <c r="G7751" i="1"/>
  <c r="H7751" i="1"/>
  <c r="A7752" i="1"/>
  <c r="B7752" i="1"/>
  <c r="C7752" i="1"/>
  <c r="D7752" i="1"/>
  <c r="E7752" i="1"/>
  <c r="F7752" i="1"/>
  <c r="G7752" i="1"/>
  <c r="H7752" i="1"/>
  <c r="A7753" i="1"/>
  <c r="B7753" i="1"/>
  <c r="C7753" i="1"/>
  <c r="D7753" i="1"/>
  <c r="E7753" i="1"/>
  <c r="F7753" i="1"/>
  <c r="G7753" i="1"/>
  <c r="H7753" i="1"/>
  <c r="A7754" i="1"/>
  <c r="B7754" i="1"/>
  <c r="C7754" i="1"/>
  <c r="D7754" i="1"/>
  <c r="E7754" i="1"/>
  <c r="F7754" i="1"/>
  <c r="G7754" i="1"/>
  <c r="H7754" i="1"/>
  <c r="A7755" i="1"/>
  <c r="B7755" i="1"/>
  <c r="C7755" i="1"/>
  <c r="D7755" i="1"/>
  <c r="E7755" i="1"/>
  <c r="F7755" i="1"/>
  <c r="G7755" i="1"/>
  <c r="H7755" i="1"/>
  <c r="A7756" i="1"/>
  <c r="B7756" i="1"/>
  <c r="C7756" i="1"/>
  <c r="D7756" i="1"/>
  <c r="E7756" i="1"/>
  <c r="F7756" i="1"/>
  <c r="G7756" i="1"/>
  <c r="H7756" i="1"/>
  <c r="A7757" i="1"/>
  <c r="B7757" i="1"/>
  <c r="C7757" i="1"/>
  <c r="D7757" i="1"/>
  <c r="E7757" i="1"/>
  <c r="F7757" i="1"/>
  <c r="G7757" i="1"/>
  <c r="H7757" i="1"/>
  <c r="A7758" i="1"/>
  <c r="B7758" i="1"/>
  <c r="C7758" i="1"/>
  <c r="D7758" i="1"/>
  <c r="E7758" i="1"/>
  <c r="F7758" i="1"/>
  <c r="G7758" i="1"/>
  <c r="H7758" i="1"/>
  <c r="A7759" i="1"/>
  <c r="B7759" i="1"/>
  <c r="C7759" i="1"/>
  <c r="D7759" i="1"/>
  <c r="E7759" i="1"/>
  <c r="F7759" i="1"/>
  <c r="G7759" i="1"/>
  <c r="H7759" i="1"/>
  <c r="A7760" i="1"/>
  <c r="B7760" i="1"/>
  <c r="C7760" i="1"/>
  <c r="D7760" i="1"/>
  <c r="E7760" i="1"/>
  <c r="F7760" i="1"/>
  <c r="G7760" i="1"/>
  <c r="H7760" i="1"/>
  <c r="A7761" i="1"/>
  <c r="B7761" i="1"/>
  <c r="C7761" i="1"/>
  <c r="D7761" i="1"/>
  <c r="E7761" i="1"/>
  <c r="F7761" i="1"/>
  <c r="G7761" i="1"/>
  <c r="H7761" i="1"/>
  <c r="A7762" i="1"/>
  <c r="B7762" i="1"/>
  <c r="C7762" i="1"/>
  <c r="D7762" i="1"/>
  <c r="E7762" i="1"/>
  <c r="F7762" i="1"/>
  <c r="G7762" i="1"/>
  <c r="H7762" i="1"/>
  <c r="A7763" i="1"/>
  <c r="B7763" i="1"/>
  <c r="C7763" i="1"/>
  <c r="D7763" i="1"/>
  <c r="E7763" i="1"/>
  <c r="F7763" i="1"/>
  <c r="G7763" i="1"/>
  <c r="H7763" i="1"/>
  <c r="A7764" i="1"/>
  <c r="B7764" i="1"/>
  <c r="C7764" i="1"/>
  <c r="D7764" i="1"/>
  <c r="E7764" i="1"/>
  <c r="F7764" i="1"/>
  <c r="G7764" i="1"/>
  <c r="H7764" i="1"/>
  <c r="A7765" i="1"/>
  <c r="B7765" i="1"/>
  <c r="C7765" i="1"/>
  <c r="D7765" i="1"/>
  <c r="E7765" i="1"/>
  <c r="F7765" i="1"/>
  <c r="G7765" i="1"/>
  <c r="H7765" i="1"/>
  <c r="A7766" i="1"/>
  <c r="B7766" i="1"/>
  <c r="C7766" i="1"/>
  <c r="D7766" i="1"/>
  <c r="E7766" i="1"/>
  <c r="F7766" i="1"/>
  <c r="G7766" i="1"/>
  <c r="H7766" i="1"/>
  <c r="A7767" i="1"/>
  <c r="B7767" i="1"/>
  <c r="C7767" i="1"/>
  <c r="D7767" i="1"/>
  <c r="E7767" i="1"/>
  <c r="F7767" i="1"/>
  <c r="G7767" i="1"/>
  <c r="H7767" i="1"/>
  <c r="A7768" i="1"/>
  <c r="B7768" i="1"/>
  <c r="C7768" i="1"/>
  <c r="D7768" i="1"/>
  <c r="E7768" i="1"/>
  <c r="F7768" i="1"/>
  <c r="G7768" i="1"/>
  <c r="H7768" i="1"/>
  <c r="A7769" i="1"/>
  <c r="B7769" i="1"/>
  <c r="C7769" i="1"/>
  <c r="D7769" i="1"/>
  <c r="E7769" i="1"/>
  <c r="F7769" i="1"/>
  <c r="G7769" i="1"/>
  <c r="H7769" i="1"/>
  <c r="A7770" i="1"/>
  <c r="B7770" i="1"/>
  <c r="C7770" i="1"/>
  <c r="D7770" i="1"/>
  <c r="E7770" i="1"/>
  <c r="F7770" i="1"/>
  <c r="G7770" i="1"/>
  <c r="H7770" i="1"/>
  <c r="A7771" i="1"/>
  <c r="B7771" i="1"/>
  <c r="C7771" i="1"/>
  <c r="D7771" i="1"/>
  <c r="E7771" i="1"/>
  <c r="F7771" i="1"/>
  <c r="G7771" i="1"/>
  <c r="H7771" i="1"/>
  <c r="A7772" i="1"/>
  <c r="B7772" i="1"/>
  <c r="C7772" i="1"/>
  <c r="D7772" i="1"/>
  <c r="E7772" i="1"/>
  <c r="F7772" i="1"/>
  <c r="G7772" i="1"/>
  <c r="H7772" i="1"/>
  <c r="A7773" i="1"/>
  <c r="B7773" i="1"/>
  <c r="C7773" i="1"/>
  <c r="D7773" i="1"/>
  <c r="E7773" i="1"/>
  <c r="F7773" i="1"/>
  <c r="G7773" i="1"/>
  <c r="H7773" i="1"/>
  <c r="A7774" i="1"/>
  <c r="B7774" i="1"/>
  <c r="C7774" i="1"/>
  <c r="D7774" i="1"/>
  <c r="E7774" i="1"/>
  <c r="F7774" i="1"/>
  <c r="G7774" i="1"/>
  <c r="H7774" i="1"/>
  <c r="A7775" i="1"/>
  <c r="B7775" i="1"/>
  <c r="C7775" i="1"/>
  <c r="D7775" i="1"/>
  <c r="E7775" i="1"/>
  <c r="F7775" i="1"/>
  <c r="G7775" i="1"/>
  <c r="H7775" i="1"/>
  <c r="A7776" i="1"/>
  <c r="B7776" i="1"/>
  <c r="C7776" i="1"/>
  <c r="D7776" i="1"/>
  <c r="E7776" i="1"/>
  <c r="F7776" i="1"/>
  <c r="G7776" i="1"/>
  <c r="H7776" i="1"/>
  <c r="A7777" i="1"/>
  <c r="B7777" i="1"/>
  <c r="C7777" i="1"/>
  <c r="D7777" i="1"/>
  <c r="E7777" i="1"/>
  <c r="F7777" i="1"/>
  <c r="G7777" i="1"/>
  <c r="H7777" i="1"/>
  <c r="A7778" i="1"/>
  <c r="B7778" i="1"/>
  <c r="C7778" i="1"/>
  <c r="D7778" i="1"/>
  <c r="E7778" i="1"/>
  <c r="F7778" i="1"/>
  <c r="G7778" i="1"/>
  <c r="H7778" i="1"/>
  <c r="A7779" i="1"/>
  <c r="B7779" i="1"/>
  <c r="C7779" i="1"/>
  <c r="D7779" i="1"/>
  <c r="E7779" i="1"/>
  <c r="F7779" i="1"/>
  <c r="G7779" i="1"/>
  <c r="H7779" i="1"/>
  <c r="A7780" i="1"/>
  <c r="B7780" i="1"/>
  <c r="C7780" i="1"/>
  <c r="D7780" i="1"/>
  <c r="E7780" i="1"/>
  <c r="F7780" i="1"/>
  <c r="G7780" i="1"/>
  <c r="H7780" i="1"/>
  <c r="A7781" i="1"/>
  <c r="B7781" i="1"/>
  <c r="C7781" i="1"/>
  <c r="D7781" i="1"/>
  <c r="E7781" i="1"/>
  <c r="F7781" i="1"/>
  <c r="G7781" i="1"/>
  <c r="H7781" i="1"/>
  <c r="A7782" i="1"/>
  <c r="B7782" i="1"/>
  <c r="C7782" i="1"/>
  <c r="D7782" i="1"/>
  <c r="E7782" i="1"/>
  <c r="F7782" i="1"/>
  <c r="G7782" i="1"/>
  <c r="H7782" i="1"/>
  <c r="A7783" i="1"/>
  <c r="B7783" i="1"/>
  <c r="C7783" i="1"/>
  <c r="D7783" i="1"/>
  <c r="E7783" i="1"/>
  <c r="F7783" i="1"/>
  <c r="G7783" i="1"/>
  <c r="H7783" i="1"/>
  <c r="A7784" i="1"/>
  <c r="B7784" i="1"/>
  <c r="C7784" i="1"/>
  <c r="D7784" i="1"/>
  <c r="E7784" i="1"/>
  <c r="F7784" i="1"/>
  <c r="G7784" i="1"/>
  <c r="H7784" i="1"/>
  <c r="A7785" i="1"/>
  <c r="B7785" i="1"/>
  <c r="C7785" i="1"/>
  <c r="D7785" i="1"/>
  <c r="E7785" i="1"/>
  <c r="F7785" i="1"/>
  <c r="G7785" i="1"/>
  <c r="H7785" i="1"/>
  <c r="A7786" i="1"/>
  <c r="B7786" i="1"/>
  <c r="C7786" i="1"/>
  <c r="D7786" i="1"/>
  <c r="E7786" i="1"/>
  <c r="F7786" i="1"/>
  <c r="G7786" i="1"/>
  <c r="H7786" i="1"/>
  <c r="A7787" i="1"/>
  <c r="B7787" i="1"/>
  <c r="C7787" i="1"/>
  <c r="D7787" i="1"/>
  <c r="E7787" i="1"/>
  <c r="F7787" i="1"/>
  <c r="G7787" i="1"/>
  <c r="H7787" i="1"/>
  <c r="A7788" i="1"/>
  <c r="B7788" i="1"/>
  <c r="C7788" i="1"/>
  <c r="D7788" i="1"/>
  <c r="E7788" i="1"/>
  <c r="F7788" i="1"/>
  <c r="G7788" i="1"/>
  <c r="H7788" i="1"/>
  <c r="A7789" i="1"/>
  <c r="B7789" i="1"/>
  <c r="C7789" i="1"/>
  <c r="D7789" i="1"/>
  <c r="E7789" i="1"/>
  <c r="F7789" i="1"/>
  <c r="G7789" i="1"/>
  <c r="H7789" i="1"/>
  <c r="A7790" i="1"/>
  <c r="B7790" i="1"/>
  <c r="C7790" i="1"/>
  <c r="D7790" i="1"/>
  <c r="E7790" i="1"/>
  <c r="F7790" i="1"/>
  <c r="G7790" i="1"/>
  <c r="H7790" i="1"/>
  <c r="A7791" i="1"/>
  <c r="B7791" i="1"/>
  <c r="C7791" i="1"/>
  <c r="D7791" i="1"/>
  <c r="E7791" i="1"/>
  <c r="F7791" i="1"/>
  <c r="G7791" i="1"/>
  <c r="H7791" i="1"/>
  <c r="A7792" i="1"/>
  <c r="B7792" i="1"/>
  <c r="C7792" i="1"/>
  <c r="D7792" i="1"/>
  <c r="E7792" i="1"/>
  <c r="F7792" i="1"/>
  <c r="G7792" i="1"/>
  <c r="H7792" i="1"/>
  <c r="A7793" i="1"/>
  <c r="B7793" i="1"/>
  <c r="C7793" i="1"/>
  <c r="D7793" i="1"/>
  <c r="E7793" i="1"/>
  <c r="F7793" i="1"/>
  <c r="G7793" i="1"/>
  <c r="H7793" i="1"/>
  <c r="A7794" i="1"/>
  <c r="B7794" i="1"/>
  <c r="C7794" i="1"/>
  <c r="D7794" i="1"/>
  <c r="E7794" i="1"/>
  <c r="F7794" i="1"/>
  <c r="G7794" i="1"/>
  <c r="H7794" i="1"/>
  <c r="A7795" i="1"/>
  <c r="B7795" i="1"/>
  <c r="C7795" i="1"/>
  <c r="D7795" i="1"/>
  <c r="E7795" i="1"/>
  <c r="F7795" i="1"/>
  <c r="G7795" i="1"/>
  <c r="H7795" i="1"/>
  <c r="A7796" i="1"/>
  <c r="B7796" i="1"/>
  <c r="C7796" i="1"/>
  <c r="D7796" i="1"/>
  <c r="E7796" i="1"/>
  <c r="F7796" i="1"/>
  <c r="G7796" i="1"/>
  <c r="H7796" i="1"/>
  <c r="A7797" i="1"/>
  <c r="B7797" i="1"/>
  <c r="C7797" i="1"/>
  <c r="D7797" i="1"/>
  <c r="E7797" i="1"/>
  <c r="F7797" i="1"/>
  <c r="G7797" i="1"/>
  <c r="H7797" i="1"/>
  <c r="A7798" i="1"/>
  <c r="B7798" i="1"/>
  <c r="C7798" i="1"/>
  <c r="D7798" i="1"/>
  <c r="E7798" i="1"/>
  <c r="F7798" i="1"/>
  <c r="G7798" i="1"/>
  <c r="H7798" i="1"/>
  <c r="A7799" i="1"/>
  <c r="B7799" i="1"/>
  <c r="C7799" i="1"/>
  <c r="D7799" i="1"/>
  <c r="E7799" i="1"/>
  <c r="F7799" i="1"/>
  <c r="G7799" i="1"/>
  <c r="H7799" i="1"/>
  <c r="A7800" i="1"/>
  <c r="B7800" i="1"/>
  <c r="C7800" i="1"/>
  <c r="D7800" i="1"/>
  <c r="E7800" i="1"/>
  <c r="F7800" i="1"/>
  <c r="G7800" i="1"/>
  <c r="H7800" i="1"/>
  <c r="A7801" i="1"/>
  <c r="B7801" i="1"/>
  <c r="C7801" i="1"/>
  <c r="D7801" i="1"/>
  <c r="E7801" i="1"/>
  <c r="F7801" i="1"/>
  <c r="G7801" i="1"/>
  <c r="H7801" i="1"/>
  <c r="A7802" i="1"/>
  <c r="B7802" i="1"/>
  <c r="C7802" i="1"/>
  <c r="D7802" i="1"/>
  <c r="E7802" i="1"/>
  <c r="F7802" i="1"/>
  <c r="G7802" i="1"/>
  <c r="H7802" i="1"/>
  <c r="A7803" i="1"/>
  <c r="B7803" i="1"/>
  <c r="C7803" i="1"/>
  <c r="D7803" i="1"/>
  <c r="E7803" i="1"/>
  <c r="F7803" i="1"/>
  <c r="G7803" i="1"/>
  <c r="H7803" i="1"/>
  <c r="A7804" i="1"/>
  <c r="B7804" i="1"/>
  <c r="C7804" i="1"/>
  <c r="D7804" i="1"/>
  <c r="E7804" i="1"/>
  <c r="F7804" i="1"/>
  <c r="G7804" i="1"/>
  <c r="H7804" i="1"/>
  <c r="A7805" i="1"/>
  <c r="B7805" i="1"/>
  <c r="C7805" i="1"/>
  <c r="D7805" i="1"/>
  <c r="E7805" i="1"/>
  <c r="F7805" i="1"/>
  <c r="G7805" i="1"/>
  <c r="H7805" i="1"/>
  <c r="A7806" i="1"/>
  <c r="B7806" i="1"/>
  <c r="C7806" i="1"/>
  <c r="D7806" i="1"/>
  <c r="E7806" i="1"/>
  <c r="F7806" i="1"/>
  <c r="G7806" i="1"/>
  <c r="H7806" i="1"/>
  <c r="A7807" i="1"/>
  <c r="B7807" i="1"/>
  <c r="C7807" i="1"/>
  <c r="D7807" i="1"/>
  <c r="E7807" i="1"/>
  <c r="F7807" i="1"/>
  <c r="G7807" i="1"/>
  <c r="H7807" i="1"/>
  <c r="A7808" i="1"/>
  <c r="B7808" i="1"/>
  <c r="C7808" i="1"/>
  <c r="D7808" i="1"/>
  <c r="E7808" i="1"/>
  <c r="F7808" i="1"/>
  <c r="G7808" i="1"/>
  <c r="H7808" i="1"/>
  <c r="A7809" i="1"/>
  <c r="B7809" i="1"/>
  <c r="C7809" i="1"/>
  <c r="D7809" i="1"/>
  <c r="E7809" i="1"/>
  <c r="F7809" i="1"/>
  <c r="G7809" i="1"/>
  <c r="H7809" i="1"/>
  <c r="A7810" i="1"/>
  <c r="B7810" i="1"/>
  <c r="C7810" i="1"/>
  <c r="D7810" i="1"/>
  <c r="E7810" i="1"/>
  <c r="F7810" i="1"/>
  <c r="G7810" i="1"/>
  <c r="H7810" i="1"/>
  <c r="A7811" i="1"/>
  <c r="B7811" i="1"/>
  <c r="C7811" i="1"/>
  <c r="D7811" i="1"/>
  <c r="E7811" i="1"/>
  <c r="F7811" i="1"/>
  <c r="G7811" i="1"/>
  <c r="H7811" i="1"/>
  <c r="A7812" i="1"/>
  <c r="B7812" i="1"/>
  <c r="C7812" i="1"/>
  <c r="D7812" i="1"/>
  <c r="E7812" i="1"/>
  <c r="F7812" i="1"/>
  <c r="G7812" i="1"/>
  <c r="H7812" i="1"/>
  <c r="A7813" i="1"/>
  <c r="B7813" i="1"/>
  <c r="C7813" i="1"/>
  <c r="D7813" i="1"/>
  <c r="E7813" i="1"/>
  <c r="F7813" i="1"/>
  <c r="G7813" i="1"/>
  <c r="H7813" i="1"/>
  <c r="A7814" i="1"/>
  <c r="B7814" i="1"/>
  <c r="C7814" i="1"/>
  <c r="D7814" i="1"/>
  <c r="E7814" i="1"/>
  <c r="F7814" i="1"/>
  <c r="G7814" i="1"/>
  <c r="H7814" i="1"/>
  <c r="A7815" i="1"/>
  <c r="B7815" i="1"/>
  <c r="C7815" i="1"/>
  <c r="D7815" i="1"/>
  <c r="E7815" i="1"/>
  <c r="F7815" i="1"/>
  <c r="G7815" i="1"/>
  <c r="H7815" i="1"/>
  <c r="A7816" i="1"/>
  <c r="B7816" i="1"/>
  <c r="C7816" i="1"/>
  <c r="D7816" i="1"/>
  <c r="E7816" i="1"/>
  <c r="F7816" i="1"/>
  <c r="G7816" i="1"/>
  <c r="H7816" i="1"/>
  <c r="A7817" i="1"/>
  <c r="B7817" i="1"/>
  <c r="C7817" i="1"/>
  <c r="D7817" i="1"/>
  <c r="E7817" i="1"/>
  <c r="F7817" i="1"/>
  <c r="G7817" i="1"/>
  <c r="H7817" i="1"/>
  <c r="A7818" i="1"/>
  <c r="B7818" i="1"/>
  <c r="C7818" i="1"/>
  <c r="D7818" i="1"/>
  <c r="E7818" i="1"/>
  <c r="F7818" i="1"/>
  <c r="G7818" i="1"/>
  <c r="H7818" i="1"/>
  <c r="A7819" i="1"/>
  <c r="B7819" i="1"/>
  <c r="C7819" i="1"/>
  <c r="D7819" i="1"/>
  <c r="E7819" i="1"/>
  <c r="F7819" i="1"/>
  <c r="G7819" i="1"/>
  <c r="H7819" i="1"/>
  <c r="A7820" i="1"/>
  <c r="B7820" i="1"/>
  <c r="C7820" i="1"/>
  <c r="D7820" i="1"/>
  <c r="E7820" i="1"/>
  <c r="F7820" i="1"/>
  <c r="G7820" i="1"/>
  <c r="H7820" i="1"/>
  <c r="A7821" i="1"/>
  <c r="B7821" i="1"/>
  <c r="C7821" i="1"/>
  <c r="D7821" i="1"/>
  <c r="E7821" i="1"/>
  <c r="F7821" i="1"/>
  <c r="G7821" i="1"/>
  <c r="H7821" i="1"/>
  <c r="A7822" i="1"/>
  <c r="B7822" i="1"/>
  <c r="C7822" i="1"/>
  <c r="D7822" i="1"/>
  <c r="E7822" i="1"/>
  <c r="F7822" i="1"/>
  <c r="G7822" i="1"/>
  <c r="H7822" i="1"/>
  <c r="A7823" i="1"/>
  <c r="B7823" i="1"/>
  <c r="C7823" i="1"/>
  <c r="D7823" i="1"/>
  <c r="E7823" i="1"/>
  <c r="F7823" i="1"/>
  <c r="G7823" i="1"/>
  <c r="H7823" i="1"/>
  <c r="A7824" i="1"/>
  <c r="B7824" i="1"/>
  <c r="C7824" i="1"/>
  <c r="D7824" i="1"/>
  <c r="E7824" i="1"/>
  <c r="F7824" i="1"/>
  <c r="G7824" i="1"/>
  <c r="H7824" i="1"/>
  <c r="A7825" i="1"/>
  <c r="B7825" i="1"/>
  <c r="C7825" i="1"/>
  <c r="D7825" i="1"/>
  <c r="E7825" i="1"/>
  <c r="F7825" i="1"/>
  <c r="G7825" i="1"/>
  <c r="H7825" i="1"/>
  <c r="A7826" i="1"/>
  <c r="B7826" i="1"/>
  <c r="C7826" i="1"/>
  <c r="D7826" i="1"/>
  <c r="E7826" i="1"/>
  <c r="F7826" i="1"/>
  <c r="G7826" i="1"/>
  <c r="H7826" i="1"/>
  <c r="A7827" i="1"/>
  <c r="B7827" i="1"/>
  <c r="C7827" i="1"/>
  <c r="D7827" i="1"/>
  <c r="E7827" i="1"/>
  <c r="F7827" i="1"/>
  <c r="G7827" i="1"/>
  <c r="H7827" i="1"/>
  <c r="A7828" i="1"/>
  <c r="B7828" i="1"/>
  <c r="C7828" i="1"/>
  <c r="D7828" i="1"/>
  <c r="E7828" i="1"/>
  <c r="F7828" i="1"/>
  <c r="G7828" i="1"/>
  <c r="H7828" i="1"/>
  <c r="A7829" i="1"/>
  <c r="B7829" i="1"/>
  <c r="C7829" i="1"/>
  <c r="D7829" i="1"/>
  <c r="E7829" i="1"/>
  <c r="F7829" i="1"/>
  <c r="G7829" i="1"/>
  <c r="H7829" i="1"/>
  <c r="A7830" i="1"/>
  <c r="B7830" i="1"/>
  <c r="C7830" i="1"/>
  <c r="D7830" i="1"/>
  <c r="E7830" i="1"/>
  <c r="F7830" i="1"/>
  <c r="G7830" i="1"/>
  <c r="H7830" i="1"/>
  <c r="A7831" i="1"/>
  <c r="B7831" i="1"/>
  <c r="C7831" i="1"/>
  <c r="D7831" i="1"/>
  <c r="E7831" i="1"/>
  <c r="F7831" i="1"/>
  <c r="G7831" i="1"/>
  <c r="H7831" i="1"/>
  <c r="A7832" i="1"/>
  <c r="B7832" i="1"/>
  <c r="C7832" i="1"/>
  <c r="D7832" i="1"/>
  <c r="E7832" i="1"/>
  <c r="F7832" i="1"/>
  <c r="G7832" i="1"/>
  <c r="H7832" i="1"/>
  <c r="A7833" i="1"/>
  <c r="B7833" i="1"/>
  <c r="C7833" i="1"/>
  <c r="D7833" i="1"/>
  <c r="E7833" i="1"/>
  <c r="F7833" i="1"/>
  <c r="G7833" i="1"/>
  <c r="H7833" i="1"/>
  <c r="A7834" i="1"/>
  <c r="B7834" i="1"/>
  <c r="C7834" i="1"/>
  <c r="D7834" i="1"/>
  <c r="E7834" i="1"/>
  <c r="F7834" i="1"/>
  <c r="G7834" i="1"/>
  <c r="H7834" i="1"/>
  <c r="A7835" i="1"/>
  <c r="B7835" i="1"/>
  <c r="C7835" i="1"/>
  <c r="D7835" i="1"/>
  <c r="E7835" i="1"/>
  <c r="F7835" i="1"/>
  <c r="G7835" i="1"/>
  <c r="H7835" i="1"/>
  <c r="A7836" i="1"/>
  <c r="B7836" i="1"/>
  <c r="C7836" i="1"/>
  <c r="D7836" i="1"/>
  <c r="E7836" i="1"/>
  <c r="F7836" i="1"/>
  <c r="G7836" i="1"/>
  <c r="H7836" i="1"/>
  <c r="A7837" i="1"/>
  <c r="B7837" i="1"/>
  <c r="C7837" i="1"/>
  <c r="D7837" i="1"/>
  <c r="E7837" i="1"/>
  <c r="F7837" i="1"/>
  <c r="G7837" i="1"/>
  <c r="H7837" i="1"/>
  <c r="A7838" i="1"/>
  <c r="B7838" i="1"/>
  <c r="C7838" i="1"/>
  <c r="D7838" i="1"/>
  <c r="E7838" i="1"/>
  <c r="F7838" i="1"/>
  <c r="G7838" i="1"/>
  <c r="H7838" i="1"/>
  <c r="A7839" i="1"/>
  <c r="B7839" i="1"/>
  <c r="C7839" i="1"/>
  <c r="D7839" i="1"/>
  <c r="E7839" i="1"/>
  <c r="F7839" i="1"/>
  <c r="G7839" i="1"/>
  <c r="H7839" i="1"/>
  <c r="A7840" i="1"/>
  <c r="B7840" i="1"/>
  <c r="C7840" i="1"/>
  <c r="D7840" i="1"/>
  <c r="E7840" i="1"/>
  <c r="F7840" i="1"/>
  <c r="G7840" i="1"/>
  <c r="H7840" i="1"/>
  <c r="A7841" i="1"/>
  <c r="B7841" i="1"/>
  <c r="C7841" i="1"/>
  <c r="D7841" i="1"/>
  <c r="E7841" i="1"/>
  <c r="F7841" i="1"/>
  <c r="G7841" i="1"/>
  <c r="H7841" i="1"/>
  <c r="A7842" i="1"/>
  <c r="B7842" i="1"/>
  <c r="C7842" i="1"/>
  <c r="D7842" i="1"/>
  <c r="E7842" i="1"/>
  <c r="F7842" i="1"/>
  <c r="G7842" i="1"/>
  <c r="H7842" i="1"/>
  <c r="A7843" i="1"/>
  <c r="B7843" i="1"/>
  <c r="C7843" i="1"/>
  <c r="D7843" i="1"/>
  <c r="E7843" i="1"/>
  <c r="F7843" i="1"/>
  <c r="G7843" i="1"/>
  <c r="H7843" i="1"/>
  <c r="A7844" i="1"/>
  <c r="B7844" i="1"/>
  <c r="C7844" i="1"/>
  <c r="D7844" i="1"/>
  <c r="E7844" i="1"/>
  <c r="F7844" i="1"/>
  <c r="G7844" i="1"/>
  <c r="H7844" i="1"/>
  <c r="A7845" i="1"/>
  <c r="B7845" i="1"/>
  <c r="C7845" i="1"/>
  <c r="D7845" i="1"/>
  <c r="E7845" i="1"/>
  <c r="F7845" i="1"/>
  <c r="G7845" i="1"/>
  <c r="H7845" i="1"/>
  <c r="A7846" i="1"/>
  <c r="B7846" i="1"/>
  <c r="C7846" i="1"/>
  <c r="D7846" i="1"/>
  <c r="E7846" i="1"/>
  <c r="F7846" i="1"/>
  <c r="G7846" i="1"/>
  <c r="H7846" i="1"/>
  <c r="A7847" i="1"/>
  <c r="B7847" i="1"/>
  <c r="C7847" i="1"/>
  <c r="D7847" i="1"/>
  <c r="E7847" i="1"/>
  <c r="F7847" i="1"/>
  <c r="G7847" i="1"/>
  <c r="H7847" i="1"/>
  <c r="A7848" i="1"/>
  <c r="B7848" i="1"/>
  <c r="C7848" i="1"/>
  <c r="D7848" i="1"/>
  <c r="E7848" i="1"/>
  <c r="F7848" i="1"/>
  <c r="G7848" i="1"/>
  <c r="H7848" i="1"/>
  <c r="A7849" i="1"/>
  <c r="B7849" i="1"/>
  <c r="C7849" i="1"/>
  <c r="D7849" i="1"/>
  <c r="E7849" i="1"/>
  <c r="F7849" i="1"/>
  <c r="G7849" i="1"/>
  <c r="H7849" i="1"/>
  <c r="A7850" i="1"/>
  <c r="B7850" i="1"/>
  <c r="C7850" i="1"/>
  <c r="D7850" i="1"/>
  <c r="E7850" i="1"/>
  <c r="F7850" i="1"/>
  <c r="G7850" i="1"/>
  <c r="H7850" i="1"/>
  <c r="A7851" i="1"/>
  <c r="B7851" i="1"/>
  <c r="C7851" i="1"/>
  <c r="D7851" i="1"/>
  <c r="E7851" i="1"/>
  <c r="F7851" i="1"/>
  <c r="G7851" i="1"/>
  <c r="H7851" i="1"/>
  <c r="A7852" i="1"/>
  <c r="B7852" i="1"/>
  <c r="C7852" i="1"/>
  <c r="D7852" i="1"/>
  <c r="E7852" i="1"/>
  <c r="F7852" i="1"/>
  <c r="G7852" i="1"/>
  <c r="H7852" i="1"/>
  <c r="A7853" i="1"/>
  <c r="B7853" i="1"/>
  <c r="C7853" i="1"/>
  <c r="D7853" i="1"/>
  <c r="E7853" i="1"/>
  <c r="F7853" i="1"/>
  <c r="G7853" i="1"/>
  <c r="H7853" i="1"/>
  <c r="A7854" i="1"/>
  <c r="B7854" i="1"/>
  <c r="C7854" i="1"/>
  <c r="D7854" i="1"/>
  <c r="E7854" i="1"/>
  <c r="F7854" i="1"/>
  <c r="G7854" i="1"/>
  <c r="H7854" i="1"/>
  <c r="A7855" i="1"/>
  <c r="B7855" i="1"/>
  <c r="C7855" i="1"/>
  <c r="D7855" i="1"/>
  <c r="E7855" i="1"/>
  <c r="F7855" i="1"/>
  <c r="G7855" i="1"/>
  <c r="H7855" i="1"/>
  <c r="A7856" i="1"/>
  <c r="B7856" i="1"/>
  <c r="C7856" i="1"/>
  <c r="D7856" i="1"/>
  <c r="E7856" i="1"/>
  <c r="F7856" i="1"/>
  <c r="G7856" i="1"/>
  <c r="H7856" i="1"/>
  <c r="A7857" i="1"/>
  <c r="B7857" i="1"/>
  <c r="C7857" i="1"/>
  <c r="D7857" i="1"/>
  <c r="E7857" i="1"/>
  <c r="F7857" i="1"/>
  <c r="G7857" i="1"/>
  <c r="H7857" i="1"/>
  <c r="A7858" i="1"/>
  <c r="B7858" i="1"/>
  <c r="C7858" i="1"/>
  <c r="D7858" i="1"/>
  <c r="E7858" i="1"/>
  <c r="F7858" i="1"/>
  <c r="G7858" i="1"/>
  <c r="H7858" i="1"/>
  <c r="A7859" i="1"/>
  <c r="B7859" i="1"/>
  <c r="C7859" i="1"/>
  <c r="D7859" i="1"/>
  <c r="E7859" i="1"/>
  <c r="F7859" i="1"/>
  <c r="G7859" i="1"/>
  <c r="H7859" i="1"/>
  <c r="A7860" i="1"/>
  <c r="B7860" i="1"/>
  <c r="C7860" i="1"/>
  <c r="D7860" i="1"/>
  <c r="E7860" i="1"/>
  <c r="F7860" i="1"/>
  <c r="G7860" i="1"/>
  <c r="H7860" i="1"/>
  <c r="A7861" i="1"/>
  <c r="B7861" i="1"/>
  <c r="C7861" i="1"/>
  <c r="D7861" i="1"/>
  <c r="E7861" i="1"/>
  <c r="F7861" i="1"/>
  <c r="G7861" i="1"/>
  <c r="H7861" i="1"/>
  <c r="A7862" i="1"/>
  <c r="B7862" i="1"/>
  <c r="C7862" i="1"/>
  <c r="D7862" i="1"/>
  <c r="E7862" i="1"/>
  <c r="F7862" i="1"/>
  <c r="G7862" i="1"/>
  <c r="H7862" i="1"/>
  <c r="A7863" i="1"/>
  <c r="B7863" i="1"/>
  <c r="C7863" i="1"/>
  <c r="D7863" i="1"/>
  <c r="E7863" i="1"/>
  <c r="F7863" i="1"/>
  <c r="G7863" i="1"/>
  <c r="H7863" i="1"/>
  <c r="A7864" i="1"/>
  <c r="B7864" i="1"/>
  <c r="C7864" i="1"/>
  <c r="D7864" i="1"/>
  <c r="E7864" i="1"/>
  <c r="F7864" i="1"/>
  <c r="G7864" i="1"/>
  <c r="H7864" i="1"/>
  <c r="A7865" i="1"/>
  <c r="B7865" i="1"/>
  <c r="C7865" i="1"/>
  <c r="D7865" i="1"/>
  <c r="E7865" i="1"/>
  <c r="F7865" i="1"/>
  <c r="G7865" i="1"/>
  <c r="H7865" i="1"/>
  <c r="A7866" i="1"/>
  <c r="B7866" i="1"/>
  <c r="C7866" i="1"/>
  <c r="D7866" i="1"/>
  <c r="E7866" i="1"/>
  <c r="F7866" i="1"/>
  <c r="G7866" i="1"/>
  <c r="H7866" i="1"/>
  <c r="A7867" i="1"/>
  <c r="B7867" i="1"/>
  <c r="C7867" i="1"/>
  <c r="D7867" i="1"/>
  <c r="E7867" i="1"/>
  <c r="F7867" i="1"/>
  <c r="G7867" i="1"/>
  <c r="H7867" i="1"/>
  <c r="A7868" i="1"/>
  <c r="B7868" i="1"/>
  <c r="C7868" i="1"/>
  <c r="D7868" i="1"/>
  <c r="E7868" i="1"/>
  <c r="F7868" i="1"/>
  <c r="G7868" i="1"/>
  <c r="H7868" i="1"/>
  <c r="A7869" i="1"/>
  <c r="B7869" i="1"/>
  <c r="C7869" i="1"/>
  <c r="D7869" i="1"/>
  <c r="E7869" i="1"/>
  <c r="F7869" i="1"/>
  <c r="G7869" i="1"/>
  <c r="H7869" i="1"/>
  <c r="A7870" i="1"/>
  <c r="B7870" i="1"/>
  <c r="C7870" i="1"/>
  <c r="D7870" i="1"/>
  <c r="E7870" i="1"/>
  <c r="F7870" i="1"/>
  <c r="G7870" i="1"/>
  <c r="H7870" i="1"/>
  <c r="A7871" i="1"/>
  <c r="B7871" i="1"/>
  <c r="C7871" i="1"/>
  <c r="D7871" i="1"/>
  <c r="E7871" i="1"/>
  <c r="F7871" i="1"/>
  <c r="G7871" i="1"/>
  <c r="H7871" i="1"/>
  <c r="A7872" i="1"/>
  <c r="B7872" i="1"/>
  <c r="C7872" i="1"/>
  <c r="D7872" i="1"/>
  <c r="E7872" i="1"/>
  <c r="F7872" i="1"/>
  <c r="G7872" i="1"/>
  <c r="H7872" i="1"/>
  <c r="A7873" i="1"/>
  <c r="B7873" i="1"/>
  <c r="C7873" i="1"/>
  <c r="D7873" i="1"/>
  <c r="E7873" i="1"/>
  <c r="F7873" i="1"/>
  <c r="G7873" i="1"/>
  <c r="H7873" i="1"/>
  <c r="A7874" i="1"/>
  <c r="B7874" i="1"/>
  <c r="C7874" i="1"/>
  <c r="D7874" i="1"/>
  <c r="E7874" i="1"/>
  <c r="F7874" i="1"/>
  <c r="G7874" i="1"/>
  <c r="H7874" i="1"/>
  <c r="A7875" i="1"/>
  <c r="B7875" i="1"/>
  <c r="C7875" i="1"/>
  <c r="D7875" i="1"/>
  <c r="E7875" i="1"/>
  <c r="F7875" i="1"/>
  <c r="G7875" i="1"/>
  <c r="H7875" i="1"/>
  <c r="A7876" i="1"/>
  <c r="B7876" i="1"/>
  <c r="C7876" i="1"/>
  <c r="D7876" i="1"/>
  <c r="E7876" i="1"/>
  <c r="F7876" i="1"/>
  <c r="G7876" i="1"/>
  <c r="H7876" i="1"/>
  <c r="A7877" i="1"/>
  <c r="B7877" i="1"/>
  <c r="C7877" i="1"/>
  <c r="D7877" i="1"/>
  <c r="E7877" i="1"/>
  <c r="F7877" i="1"/>
  <c r="G7877" i="1"/>
  <c r="H7877" i="1"/>
  <c r="A7878" i="1"/>
  <c r="B7878" i="1"/>
  <c r="C7878" i="1"/>
  <c r="D7878" i="1"/>
  <c r="E7878" i="1"/>
  <c r="F7878" i="1"/>
  <c r="G7878" i="1"/>
  <c r="H7878" i="1"/>
  <c r="A7879" i="1"/>
  <c r="B7879" i="1"/>
  <c r="C7879" i="1"/>
  <c r="D7879" i="1"/>
  <c r="E7879" i="1"/>
  <c r="F7879" i="1"/>
  <c r="G7879" i="1"/>
  <c r="H7879" i="1"/>
  <c r="A7880" i="1"/>
  <c r="B7880" i="1"/>
  <c r="C7880" i="1"/>
  <c r="D7880" i="1"/>
  <c r="E7880" i="1"/>
  <c r="F7880" i="1"/>
  <c r="G7880" i="1"/>
  <c r="H7880" i="1"/>
  <c r="A7881" i="1"/>
  <c r="B7881" i="1"/>
  <c r="C7881" i="1"/>
  <c r="D7881" i="1"/>
  <c r="E7881" i="1"/>
  <c r="F7881" i="1"/>
  <c r="G7881" i="1"/>
  <c r="H7881" i="1"/>
  <c r="A7882" i="1"/>
  <c r="B7882" i="1"/>
  <c r="C7882" i="1"/>
  <c r="D7882" i="1"/>
  <c r="E7882" i="1"/>
  <c r="F7882" i="1"/>
  <c r="G7882" i="1"/>
  <c r="H7882" i="1"/>
  <c r="A7883" i="1"/>
  <c r="B7883" i="1"/>
  <c r="C7883" i="1"/>
  <c r="D7883" i="1"/>
  <c r="E7883" i="1"/>
  <c r="F7883" i="1"/>
  <c r="G7883" i="1"/>
  <c r="H7883" i="1"/>
  <c r="A7884" i="1"/>
  <c r="B7884" i="1"/>
  <c r="C7884" i="1"/>
  <c r="D7884" i="1"/>
  <c r="E7884" i="1"/>
  <c r="F7884" i="1"/>
  <c r="G7884" i="1"/>
  <c r="H7884" i="1"/>
  <c r="A7885" i="1"/>
  <c r="B7885" i="1"/>
  <c r="C7885" i="1"/>
  <c r="D7885" i="1"/>
  <c r="E7885" i="1"/>
  <c r="F7885" i="1"/>
  <c r="G7885" i="1"/>
  <c r="H7885" i="1"/>
  <c r="A7886" i="1"/>
  <c r="B7886" i="1"/>
  <c r="C7886" i="1"/>
  <c r="D7886" i="1"/>
  <c r="E7886" i="1"/>
  <c r="F7886" i="1"/>
  <c r="G7886" i="1"/>
  <c r="H7886" i="1"/>
  <c r="A7887" i="1"/>
  <c r="B7887" i="1"/>
  <c r="C7887" i="1"/>
  <c r="D7887" i="1"/>
  <c r="E7887" i="1"/>
  <c r="F7887" i="1"/>
  <c r="G7887" i="1"/>
  <c r="H7887" i="1"/>
  <c r="A7888" i="1"/>
  <c r="B7888" i="1"/>
  <c r="C7888" i="1"/>
  <c r="D7888" i="1"/>
  <c r="E7888" i="1"/>
  <c r="F7888" i="1"/>
  <c r="G7888" i="1"/>
  <c r="H7888" i="1"/>
  <c r="A7889" i="1"/>
  <c r="B7889" i="1"/>
  <c r="C7889" i="1"/>
  <c r="D7889" i="1"/>
  <c r="E7889" i="1"/>
  <c r="F7889" i="1"/>
  <c r="G7889" i="1"/>
  <c r="H7889" i="1"/>
  <c r="A7890" i="1"/>
  <c r="B7890" i="1"/>
  <c r="C7890" i="1"/>
  <c r="D7890" i="1"/>
  <c r="E7890" i="1"/>
  <c r="F7890" i="1"/>
  <c r="G7890" i="1"/>
  <c r="H7890" i="1"/>
  <c r="A7891" i="1"/>
  <c r="B7891" i="1"/>
  <c r="C7891" i="1"/>
  <c r="D7891" i="1"/>
  <c r="E7891" i="1"/>
  <c r="F7891" i="1"/>
  <c r="G7891" i="1"/>
  <c r="H7891" i="1"/>
  <c r="A7892" i="1"/>
  <c r="B7892" i="1"/>
  <c r="C7892" i="1"/>
  <c r="D7892" i="1"/>
  <c r="E7892" i="1"/>
  <c r="F7892" i="1"/>
  <c r="G7892" i="1"/>
  <c r="H7892" i="1"/>
  <c r="A7893" i="1"/>
  <c r="B7893" i="1"/>
  <c r="C7893" i="1"/>
  <c r="D7893" i="1"/>
  <c r="E7893" i="1"/>
  <c r="F7893" i="1"/>
  <c r="G7893" i="1"/>
  <c r="H7893" i="1"/>
  <c r="A7894" i="1"/>
  <c r="B7894" i="1"/>
  <c r="C7894" i="1"/>
  <c r="D7894" i="1"/>
  <c r="E7894" i="1"/>
  <c r="F7894" i="1"/>
  <c r="G7894" i="1"/>
  <c r="H7894" i="1"/>
  <c r="A7895" i="1"/>
  <c r="B7895" i="1"/>
  <c r="C7895" i="1"/>
  <c r="D7895" i="1"/>
  <c r="E7895" i="1"/>
  <c r="F7895" i="1"/>
  <c r="G7895" i="1"/>
  <c r="H7895" i="1"/>
  <c r="A7896" i="1"/>
  <c r="B7896" i="1"/>
  <c r="C7896" i="1"/>
  <c r="D7896" i="1"/>
  <c r="E7896" i="1"/>
  <c r="F7896" i="1"/>
  <c r="G7896" i="1"/>
  <c r="H7896" i="1"/>
  <c r="A7897" i="1"/>
  <c r="B7897" i="1"/>
  <c r="C7897" i="1"/>
  <c r="D7897" i="1"/>
  <c r="E7897" i="1"/>
  <c r="F7897" i="1"/>
  <c r="G7897" i="1"/>
  <c r="H7897" i="1"/>
  <c r="A7898" i="1"/>
  <c r="B7898" i="1"/>
  <c r="C7898" i="1"/>
  <c r="D7898" i="1"/>
  <c r="E7898" i="1"/>
  <c r="F7898" i="1"/>
  <c r="G7898" i="1"/>
  <c r="H7898" i="1"/>
  <c r="A7899" i="1"/>
  <c r="B7899" i="1"/>
  <c r="C7899" i="1"/>
  <c r="D7899" i="1"/>
  <c r="E7899" i="1"/>
  <c r="F7899" i="1"/>
  <c r="G7899" i="1"/>
  <c r="H7899" i="1"/>
  <c r="A7900" i="1"/>
  <c r="B7900" i="1"/>
  <c r="C7900" i="1"/>
  <c r="D7900" i="1"/>
  <c r="E7900" i="1"/>
  <c r="F7900" i="1"/>
  <c r="G7900" i="1"/>
  <c r="H7900" i="1"/>
  <c r="A7901" i="1"/>
  <c r="B7901" i="1"/>
  <c r="C7901" i="1"/>
  <c r="D7901" i="1"/>
  <c r="E7901" i="1"/>
  <c r="F7901" i="1"/>
  <c r="G7901" i="1"/>
  <c r="H7901" i="1"/>
  <c r="A7902" i="1"/>
  <c r="B7902" i="1"/>
  <c r="C7902" i="1"/>
  <c r="D7902" i="1"/>
  <c r="E7902" i="1"/>
  <c r="F7902" i="1"/>
  <c r="G7902" i="1"/>
  <c r="H7902" i="1"/>
  <c r="A7903" i="1"/>
  <c r="B7903" i="1"/>
  <c r="C7903" i="1"/>
  <c r="D7903" i="1"/>
  <c r="E7903" i="1"/>
  <c r="F7903" i="1"/>
  <c r="G7903" i="1"/>
  <c r="H7903" i="1"/>
  <c r="A7904" i="1"/>
  <c r="B7904" i="1"/>
  <c r="C7904" i="1"/>
  <c r="D7904" i="1"/>
  <c r="E7904" i="1"/>
  <c r="F7904" i="1"/>
  <c r="G7904" i="1"/>
  <c r="H7904" i="1"/>
  <c r="A7905" i="1"/>
  <c r="B7905" i="1"/>
  <c r="C7905" i="1"/>
  <c r="D7905" i="1"/>
  <c r="E7905" i="1"/>
  <c r="F7905" i="1"/>
  <c r="G7905" i="1"/>
  <c r="H7905" i="1"/>
  <c r="A7906" i="1"/>
  <c r="B7906" i="1"/>
  <c r="C7906" i="1"/>
  <c r="D7906" i="1"/>
  <c r="E7906" i="1"/>
  <c r="F7906" i="1"/>
  <c r="G7906" i="1"/>
  <c r="H7906" i="1"/>
  <c r="A7907" i="1"/>
  <c r="B7907" i="1"/>
  <c r="C7907" i="1"/>
  <c r="D7907" i="1"/>
  <c r="E7907" i="1"/>
  <c r="F7907" i="1"/>
  <c r="G7907" i="1"/>
  <c r="H7907" i="1"/>
  <c r="A7908" i="1"/>
  <c r="B7908" i="1"/>
  <c r="C7908" i="1"/>
  <c r="D7908" i="1"/>
  <c r="E7908" i="1"/>
  <c r="F7908" i="1"/>
  <c r="G7908" i="1"/>
  <c r="H7908" i="1"/>
  <c r="A7909" i="1"/>
  <c r="B7909" i="1"/>
  <c r="C7909" i="1"/>
  <c r="D7909" i="1"/>
  <c r="E7909" i="1"/>
  <c r="F7909" i="1"/>
  <c r="G7909" i="1"/>
  <c r="H7909" i="1"/>
  <c r="A7910" i="1"/>
  <c r="B7910" i="1"/>
  <c r="C7910" i="1"/>
  <c r="D7910" i="1"/>
  <c r="E7910" i="1"/>
  <c r="F7910" i="1"/>
  <c r="G7910" i="1"/>
  <c r="H7910" i="1"/>
  <c r="A7911" i="1"/>
  <c r="B7911" i="1"/>
  <c r="C7911" i="1"/>
  <c r="D7911" i="1"/>
  <c r="E7911" i="1"/>
  <c r="F7911" i="1"/>
  <c r="G7911" i="1"/>
  <c r="H7911" i="1"/>
  <c r="A7912" i="1"/>
  <c r="B7912" i="1"/>
  <c r="C7912" i="1"/>
  <c r="D7912" i="1"/>
  <c r="E7912" i="1"/>
  <c r="F7912" i="1"/>
  <c r="G7912" i="1"/>
  <c r="H7912" i="1"/>
  <c r="A7913" i="1"/>
  <c r="B7913" i="1"/>
  <c r="C7913" i="1"/>
  <c r="D7913" i="1"/>
  <c r="E7913" i="1"/>
  <c r="F7913" i="1"/>
  <c r="G7913" i="1"/>
  <c r="H7913" i="1"/>
  <c r="A7914" i="1"/>
  <c r="B7914" i="1"/>
  <c r="C7914" i="1"/>
  <c r="D7914" i="1"/>
  <c r="E7914" i="1"/>
  <c r="F7914" i="1"/>
  <c r="G7914" i="1"/>
  <c r="H7914" i="1"/>
  <c r="A7915" i="1"/>
  <c r="B7915" i="1"/>
  <c r="C7915" i="1"/>
  <c r="D7915" i="1"/>
  <c r="E7915" i="1"/>
  <c r="F7915" i="1"/>
  <c r="G7915" i="1"/>
  <c r="H7915" i="1"/>
  <c r="A7916" i="1"/>
  <c r="B7916" i="1"/>
  <c r="C7916" i="1"/>
  <c r="D7916" i="1"/>
  <c r="E7916" i="1"/>
  <c r="F7916" i="1"/>
  <c r="G7916" i="1"/>
  <c r="H7916" i="1"/>
  <c r="A7917" i="1"/>
  <c r="B7917" i="1"/>
  <c r="C7917" i="1"/>
  <c r="D7917" i="1"/>
  <c r="E7917" i="1"/>
  <c r="F7917" i="1"/>
  <c r="G7917" i="1"/>
  <c r="H7917" i="1"/>
  <c r="A7918" i="1"/>
  <c r="B7918" i="1"/>
  <c r="C7918" i="1"/>
  <c r="D7918" i="1"/>
  <c r="E7918" i="1"/>
  <c r="F7918" i="1"/>
  <c r="G7918" i="1"/>
  <c r="H7918" i="1"/>
  <c r="A7919" i="1"/>
  <c r="B7919" i="1"/>
  <c r="C7919" i="1"/>
  <c r="D7919" i="1"/>
  <c r="E7919" i="1"/>
  <c r="F7919" i="1"/>
  <c r="G7919" i="1"/>
  <c r="H7919" i="1"/>
  <c r="A7920" i="1"/>
  <c r="B7920" i="1"/>
  <c r="C7920" i="1"/>
  <c r="D7920" i="1"/>
  <c r="E7920" i="1"/>
  <c r="F7920" i="1"/>
  <c r="G7920" i="1"/>
  <c r="H7920" i="1"/>
  <c r="A7921" i="1"/>
  <c r="B7921" i="1"/>
  <c r="C7921" i="1"/>
  <c r="D7921" i="1"/>
  <c r="E7921" i="1"/>
  <c r="F7921" i="1"/>
  <c r="G7921" i="1"/>
  <c r="H7921" i="1"/>
  <c r="A7922" i="1"/>
  <c r="B7922" i="1"/>
  <c r="C7922" i="1"/>
  <c r="D7922" i="1"/>
  <c r="E7922" i="1"/>
  <c r="F7922" i="1"/>
  <c r="G7922" i="1"/>
  <c r="H7922" i="1"/>
  <c r="A7923" i="1"/>
  <c r="B7923" i="1"/>
  <c r="C7923" i="1"/>
  <c r="D7923" i="1"/>
  <c r="E7923" i="1"/>
  <c r="F7923" i="1"/>
  <c r="G7923" i="1"/>
  <c r="H7923" i="1"/>
  <c r="A7924" i="1"/>
  <c r="B7924" i="1"/>
  <c r="C7924" i="1"/>
  <c r="D7924" i="1"/>
  <c r="E7924" i="1"/>
  <c r="F7924" i="1"/>
  <c r="G7924" i="1"/>
  <c r="H7924" i="1"/>
  <c r="A7925" i="1"/>
  <c r="B7925" i="1"/>
  <c r="C7925" i="1"/>
  <c r="D7925" i="1"/>
  <c r="E7925" i="1"/>
  <c r="F7925" i="1"/>
  <c r="G7925" i="1"/>
  <c r="H7925" i="1"/>
  <c r="A7926" i="1"/>
  <c r="B7926" i="1"/>
  <c r="C7926" i="1"/>
  <c r="D7926" i="1"/>
  <c r="E7926" i="1"/>
  <c r="F7926" i="1"/>
  <c r="G7926" i="1"/>
  <c r="H7926" i="1"/>
  <c r="A7927" i="1"/>
  <c r="B7927" i="1"/>
  <c r="C7927" i="1"/>
  <c r="D7927" i="1"/>
  <c r="E7927" i="1"/>
  <c r="F7927" i="1"/>
  <c r="G7927" i="1"/>
  <c r="H7927" i="1"/>
  <c r="A7928" i="1"/>
  <c r="B7928" i="1"/>
  <c r="C7928" i="1"/>
  <c r="D7928" i="1"/>
  <c r="E7928" i="1"/>
  <c r="F7928" i="1"/>
  <c r="G7928" i="1"/>
  <c r="H7928" i="1"/>
  <c r="A7929" i="1"/>
  <c r="B7929" i="1"/>
  <c r="C7929" i="1"/>
  <c r="D7929" i="1"/>
  <c r="E7929" i="1"/>
  <c r="F7929" i="1"/>
  <c r="G7929" i="1"/>
  <c r="H7929" i="1"/>
  <c r="A7930" i="1"/>
  <c r="B7930" i="1"/>
  <c r="C7930" i="1"/>
  <c r="D7930" i="1"/>
  <c r="E7930" i="1"/>
  <c r="F7930" i="1"/>
  <c r="G7930" i="1"/>
  <c r="H7930" i="1"/>
  <c r="A7931" i="1"/>
  <c r="B7931" i="1"/>
  <c r="C7931" i="1"/>
  <c r="D7931" i="1"/>
  <c r="E7931" i="1"/>
  <c r="F7931" i="1"/>
  <c r="G7931" i="1"/>
  <c r="H7931" i="1"/>
  <c r="A7932" i="1"/>
  <c r="B7932" i="1"/>
  <c r="C7932" i="1"/>
  <c r="D7932" i="1"/>
  <c r="E7932" i="1"/>
  <c r="F7932" i="1"/>
  <c r="G7932" i="1"/>
  <c r="H7932" i="1"/>
  <c r="A7933" i="1"/>
  <c r="B7933" i="1"/>
  <c r="C7933" i="1"/>
  <c r="D7933" i="1"/>
  <c r="E7933" i="1"/>
  <c r="F7933" i="1"/>
  <c r="G7933" i="1"/>
  <c r="H7933" i="1"/>
  <c r="A7934" i="1"/>
  <c r="B7934" i="1"/>
  <c r="C7934" i="1"/>
  <c r="D7934" i="1"/>
  <c r="E7934" i="1"/>
  <c r="F7934" i="1"/>
  <c r="G7934" i="1"/>
  <c r="H7934" i="1"/>
  <c r="A7935" i="1"/>
  <c r="B7935" i="1"/>
  <c r="C7935" i="1"/>
  <c r="D7935" i="1"/>
  <c r="E7935" i="1"/>
  <c r="F7935" i="1"/>
  <c r="G7935" i="1"/>
  <c r="H7935" i="1"/>
  <c r="A7936" i="1"/>
  <c r="B7936" i="1"/>
  <c r="C7936" i="1"/>
  <c r="D7936" i="1"/>
  <c r="E7936" i="1"/>
  <c r="F7936" i="1"/>
  <c r="G7936" i="1"/>
  <c r="H7936" i="1"/>
  <c r="A7937" i="1"/>
  <c r="B7937" i="1"/>
  <c r="C7937" i="1"/>
  <c r="D7937" i="1"/>
  <c r="E7937" i="1"/>
  <c r="F7937" i="1"/>
  <c r="G7937" i="1"/>
  <c r="H7937" i="1"/>
  <c r="A7938" i="1"/>
  <c r="B7938" i="1"/>
  <c r="C7938" i="1"/>
  <c r="D7938" i="1"/>
  <c r="E7938" i="1"/>
  <c r="F7938" i="1"/>
  <c r="G7938" i="1"/>
  <c r="H7938" i="1"/>
  <c r="A7939" i="1"/>
  <c r="B7939" i="1"/>
  <c r="C7939" i="1"/>
  <c r="D7939" i="1"/>
  <c r="E7939" i="1"/>
  <c r="F7939" i="1"/>
  <c r="G7939" i="1"/>
  <c r="H7939" i="1"/>
  <c r="A7940" i="1"/>
  <c r="B7940" i="1"/>
  <c r="C7940" i="1"/>
  <c r="D7940" i="1"/>
  <c r="E7940" i="1"/>
  <c r="F7940" i="1"/>
  <c r="G7940" i="1"/>
  <c r="H7940" i="1"/>
  <c r="A7941" i="1"/>
  <c r="B7941" i="1"/>
  <c r="C7941" i="1"/>
  <c r="D7941" i="1"/>
  <c r="E7941" i="1"/>
  <c r="F7941" i="1"/>
  <c r="G7941" i="1"/>
  <c r="H7941" i="1"/>
  <c r="A7942" i="1"/>
  <c r="B7942" i="1"/>
  <c r="C7942" i="1"/>
  <c r="D7942" i="1"/>
  <c r="E7942" i="1"/>
  <c r="F7942" i="1"/>
  <c r="G7942" i="1"/>
  <c r="H7942" i="1"/>
  <c r="A7943" i="1"/>
  <c r="B7943" i="1"/>
  <c r="C7943" i="1"/>
  <c r="D7943" i="1"/>
  <c r="E7943" i="1"/>
  <c r="F7943" i="1"/>
  <c r="G7943" i="1"/>
  <c r="H7943" i="1"/>
  <c r="A7944" i="1"/>
  <c r="B7944" i="1"/>
  <c r="C7944" i="1"/>
  <c r="D7944" i="1"/>
  <c r="E7944" i="1"/>
  <c r="F7944" i="1"/>
  <c r="G7944" i="1"/>
  <c r="H7944" i="1"/>
  <c r="A7945" i="1"/>
  <c r="B7945" i="1"/>
  <c r="C7945" i="1"/>
  <c r="D7945" i="1"/>
  <c r="E7945" i="1"/>
  <c r="F7945" i="1"/>
  <c r="G7945" i="1"/>
  <c r="H7945" i="1"/>
  <c r="A7946" i="1"/>
  <c r="B7946" i="1"/>
  <c r="C7946" i="1"/>
  <c r="D7946" i="1"/>
  <c r="E7946" i="1"/>
  <c r="F7946" i="1"/>
  <c r="G7946" i="1"/>
  <c r="H7946" i="1"/>
  <c r="A7947" i="1"/>
  <c r="B7947" i="1"/>
  <c r="C7947" i="1"/>
  <c r="D7947" i="1"/>
  <c r="E7947" i="1"/>
  <c r="F7947" i="1"/>
  <c r="G7947" i="1"/>
  <c r="H7947" i="1"/>
  <c r="A7948" i="1"/>
  <c r="B7948" i="1"/>
  <c r="C7948" i="1"/>
  <c r="D7948" i="1"/>
  <c r="E7948" i="1"/>
  <c r="F7948" i="1"/>
  <c r="G7948" i="1"/>
  <c r="H7948" i="1"/>
  <c r="A7949" i="1"/>
  <c r="B7949" i="1"/>
  <c r="C7949" i="1"/>
  <c r="D7949" i="1"/>
  <c r="E7949" i="1"/>
  <c r="F7949" i="1"/>
  <c r="G7949" i="1"/>
  <c r="H7949" i="1"/>
  <c r="A7950" i="1"/>
  <c r="B7950" i="1"/>
  <c r="C7950" i="1"/>
  <c r="D7950" i="1"/>
  <c r="E7950" i="1"/>
  <c r="F7950" i="1"/>
  <c r="G7950" i="1"/>
  <c r="H7950" i="1"/>
  <c r="A7951" i="1"/>
  <c r="B7951" i="1"/>
  <c r="C7951" i="1"/>
  <c r="D7951" i="1"/>
  <c r="E7951" i="1"/>
  <c r="F7951" i="1"/>
  <c r="G7951" i="1"/>
  <c r="H7951" i="1"/>
  <c r="A7952" i="1"/>
  <c r="B7952" i="1"/>
  <c r="C7952" i="1"/>
  <c r="D7952" i="1"/>
  <c r="E7952" i="1"/>
  <c r="F7952" i="1"/>
  <c r="G7952" i="1"/>
  <c r="H7952" i="1"/>
  <c r="A7953" i="1"/>
  <c r="B7953" i="1"/>
  <c r="C7953" i="1"/>
  <c r="D7953" i="1"/>
  <c r="E7953" i="1"/>
  <c r="F7953" i="1"/>
  <c r="G7953" i="1"/>
  <c r="H7953" i="1"/>
  <c r="A7954" i="1"/>
  <c r="B7954" i="1"/>
  <c r="C7954" i="1"/>
  <c r="D7954" i="1"/>
  <c r="E7954" i="1"/>
  <c r="F7954" i="1"/>
  <c r="G7954" i="1"/>
  <c r="H7954" i="1"/>
  <c r="A7955" i="1"/>
  <c r="B7955" i="1"/>
  <c r="C7955" i="1"/>
  <c r="D7955" i="1"/>
  <c r="E7955" i="1"/>
  <c r="F7955" i="1"/>
  <c r="G7955" i="1"/>
  <c r="H7955" i="1"/>
  <c r="A7956" i="1"/>
  <c r="B7956" i="1"/>
  <c r="C7956" i="1"/>
  <c r="D7956" i="1"/>
  <c r="E7956" i="1"/>
  <c r="F7956" i="1"/>
  <c r="G7956" i="1"/>
  <c r="H7956" i="1"/>
  <c r="A7957" i="1"/>
  <c r="B7957" i="1"/>
  <c r="C7957" i="1"/>
  <c r="D7957" i="1"/>
  <c r="E7957" i="1"/>
  <c r="F7957" i="1"/>
  <c r="G7957" i="1"/>
  <c r="H7957" i="1"/>
  <c r="A7958" i="1"/>
  <c r="B7958" i="1"/>
  <c r="C7958" i="1"/>
  <c r="D7958" i="1"/>
  <c r="E7958" i="1"/>
  <c r="F7958" i="1"/>
  <c r="G7958" i="1"/>
  <c r="H7958" i="1"/>
  <c r="A7959" i="1"/>
  <c r="B7959" i="1"/>
  <c r="C7959" i="1"/>
  <c r="D7959" i="1"/>
  <c r="E7959" i="1"/>
  <c r="F7959" i="1"/>
  <c r="G7959" i="1"/>
  <c r="H7959" i="1"/>
  <c r="A7960" i="1"/>
  <c r="B7960" i="1"/>
  <c r="C7960" i="1"/>
  <c r="D7960" i="1"/>
  <c r="E7960" i="1"/>
  <c r="F7960" i="1"/>
  <c r="G7960" i="1"/>
  <c r="H7960" i="1"/>
  <c r="A7961" i="1"/>
  <c r="B7961" i="1"/>
  <c r="C7961" i="1"/>
  <c r="D7961" i="1"/>
  <c r="E7961" i="1"/>
  <c r="F7961" i="1"/>
  <c r="G7961" i="1"/>
  <c r="H7961" i="1"/>
  <c r="A7962" i="1"/>
  <c r="B7962" i="1"/>
  <c r="C7962" i="1"/>
  <c r="D7962" i="1"/>
  <c r="E7962" i="1"/>
  <c r="F7962" i="1"/>
  <c r="G7962" i="1"/>
  <c r="H7962" i="1"/>
  <c r="A7963" i="1"/>
  <c r="B7963" i="1"/>
  <c r="C7963" i="1"/>
  <c r="D7963" i="1"/>
  <c r="E7963" i="1"/>
  <c r="F7963" i="1"/>
  <c r="G7963" i="1"/>
  <c r="H7963" i="1"/>
  <c r="A7964" i="1"/>
  <c r="B7964" i="1"/>
  <c r="C7964" i="1"/>
  <c r="D7964" i="1"/>
  <c r="E7964" i="1"/>
  <c r="F7964" i="1"/>
  <c r="G7964" i="1"/>
  <c r="H7964" i="1"/>
  <c r="A7965" i="1"/>
  <c r="B7965" i="1"/>
  <c r="C7965" i="1"/>
  <c r="D7965" i="1"/>
  <c r="E7965" i="1"/>
  <c r="F7965" i="1"/>
  <c r="G7965" i="1"/>
  <c r="H7965" i="1"/>
  <c r="A7966" i="1"/>
  <c r="B7966" i="1"/>
  <c r="C7966" i="1"/>
  <c r="D7966" i="1"/>
  <c r="E7966" i="1"/>
  <c r="F7966" i="1"/>
  <c r="G7966" i="1"/>
  <c r="H7966" i="1"/>
  <c r="A7967" i="1"/>
  <c r="B7967" i="1"/>
  <c r="C7967" i="1"/>
  <c r="D7967" i="1"/>
  <c r="E7967" i="1"/>
  <c r="F7967" i="1"/>
  <c r="G7967" i="1"/>
  <c r="H7967" i="1"/>
  <c r="A7968" i="1"/>
  <c r="B7968" i="1"/>
  <c r="C7968" i="1"/>
  <c r="D7968" i="1"/>
  <c r="E7968" i="1"/>
  <c r="F7968" i="1"/>
  <c r="G7968" i="1"/>
  <c r="H7968" i="1"/>
  <c r="A7969" i="1"/>
  <c r="B7969" i="1"/>
  <c r="C7969" i="1"/>
  <c r="D7969" i="1"/>
  <c r="E7969" i="1"/>
  <c r="F7969" i="1"/>
  <c r="G7969" i="1"/>
  <c r="H7969" i="1"/>
  <c r="A7970" i="1"/>
  <c r="B7970" i="1"/>
  <c r="C7970" i="1"/>
  <c r="D7970" i="1"/>
  <c r="E7970" i="1"/>
  <c r="F7970" i="1"/>
  <c r="G7970" i="1"/>
  <c r="H7970" i="1"/>
  <c r="A7971" i="1"/>
  <c r="B7971" i="1"/>
  <c r="C7971" i="1"/>
  <c r="D7971" i="1"/>
  <c r="E7971" i="1"/>
  <c r="F7971" i="1"/>
  <c r="G7971" i="1"/>
  <c r="H7971" i="1"/>
  <c r="A7972" i="1"/>
  <c r="B7972" i="1"/>
  <c r="C7972" i="1"/>
  <c r="D7972" i="1"/>
  <c r="E7972" i="1"/>
  <c r="F7972" i="1"/>
  <c r="G7972" i="1"/>
  <c r="H7972" i="1"/>
  <c r="A7973" i="1"/>
  <c r="B7973" i="1"/>
  <c r="C7973" i="1"/>
  <c r="D7973" i="1"/>
  <c r="E7973" i="1"/>
  <c r="F7973" i="1"/>
  <c r="G7973" i="1"/>
  <c r="H7973" i="1"/>
  <c r="A7974" i="1"/>
  <c r="B7974" i="1"/>
  <c r="C7974" i="1"/>
  <c r="D7974" i="1"/>
  <c r="E7974" i="1"/>
  <c r="F7974" i="1"/>
  <c r="G7974" i="1"/>
  <c r="H7974" i="1"/>
  <c r="A7975" i="1"/>
  <c r="B7975" i="1"/>
  <c r="C7975" i="1"/>
  <c r="D7975" i="1"/>
  <c r="E7975" i="1"/>
  <c r="F7975" i="1"/>
  <c r="G7975" i="1"/>
  <c r="H7975" i="1"/>
  <c r="A7976" i="1"/>
  <c r="B7976" i="1"/>
  <c r="C7976" i="1"/>
  <c r="D7976" i="1"/>
  <c r="E7976" i="1"/>
  <c r="F7976" i="1"/>
  <c r="G7976" i="1"/>
  <c r="H7976" i="1"/>
  <c r="A7977" i="1"/>
  <c r="B7977" i="1"/>
  <c r="C7977" i="1"/>
  <c r="D7977" i="1"/>
  <c r="E7977" i="1"/>
  <c r="F7977" i="1"/>
  <c r="G7977" i="1"/>
  <c r="H7977" i="1"/>
  <c r="A7978" i="1"/>
  <c r="B7978" i="1"/>
  <c r="C7978" i="1"/>
  <c r="D7978" i="1"/>
  <c r="E7978" i="1"/>
  <c r="F7978" i="1"/>
  <c r="G7978" i="1"/>
  <c r="H7978" i="1"/>
  <c r="A7979" i="1"/>
  <c r="B7979" i="1"/>
  <c r="C7979" i="1"/>
  <c r="D7979" i="1"/>
  <c r="E7979" i="1"/>
  <c r="F7979" i="1"/>
  <c r="G7979" i="1"/>
  <c r="H7979" i="1"/>
  <c r="A7980" i="1"/>
  <c r="B7980" i="1"/>
  <c r="C7980" i="1"/>
  <c r="D7980" i="1"/>
  <c r="E7980" i="1"/>
  <c r="F7980" i="1"/>
  <c r="G7980" i="1"/>
  <c r="H7980" i="1"/>
  <c r="A7981" i="1"/>
  <c r="B7981" i="1"/>
  <c r="C7981" i="1"/>
  <c r="D7981" i="1"/>
  <c r="E7981" i="1"/>
  <c r="F7981" i="1"/>
  <c r="G7981" i="1"/>
  <c r="H7981" i="1"/>
  <c r="A7982" i="1"/>
  <c r="B7982" i="1"/>
  <c r="C7982" i="1"/>
  <c r="D7982" i="1"/>
  <c r="E7982" i="1"/>
  <c r="F7982" i="1"/>
  <c r="G7982" i="1"/>
  <c r="H7982" i="1"/>
  <c r="A7983" i="1"/>
  <c r="B7983" i="1"/>
  <c r="C7983" i="1"/>
  <c r="D7983" i="1"/>
  <c r="E7983" i="1"/>
  <c r="F7983" i="1"/>
  <c r="G7983" i="1"/>
  <c r="H7983" i="1"/>
  <c r="A7984" i="1"/>
  <c r="B7984" i="1"/>
  <c r="C7984" i="1"/>
  <c r="D7984" i="1"/>
  <c r="E7984" i="1"/>
  <c r="F7984" i="1"/>
  <c r="G7984" i="1"/>
  <c r="H7984" i="1"/>
  <c r="A7985" i="1"/>
  <c r="B7985" i="1"/>
  <c r="C7985" i="1"/>
  <c r="D7985" i="1"/>
  <c r="E7985" i="1"/>
  <c r="F7985" i="1"/>
  <c r="G7985" i="1"/>
  <c r="H7985" i="1"/>
  <c r="A7986" i="1"/>
  <c r="B7986" i="1"/>
  <c r="C7986" i="1"/>
  <c r="D7986" i="1"/>
  <c r="E7986" i="1"/>
  <c r="F7986" i="1"/>
  <c r="G7986" i="1"/>
  <c r="H7986" i="1"/>
  <c r="A7987" i="1"/>
  <c r="B7987" i="1"/>
  <c r="C7987" i="1"/>
  <c r="D7987" i="1"/>
  <c r="E7987" i="1"/>
  <c r="F7987" i="1"/>
  <c r="G7987" i="1"/>
  <c r="H7987" i="1"/>
  <c r="A7988" i="1"/>
  <c r="B7988" i="1"/>
  <c r="C7988" i="1"/>
  <c r="D7988" i="1"/>
  <c r="E7988" i="1"/>
  <c r="F7988" i="1"/>
  <c r="G7988" i="1"/>
  <c r="H7988" i="1"/>
  <c r="A7989" i="1"/>
  <c r="B7989" i="1"/>
  <c r="C7989" i="1"/>
  <c r="D7989" i="1"/>
  <c r="E7989" i="1"/>
  <c r="F7989" i="1"/>
  <c r="G7989" i="1"/>
  <c r="H7989" i="1"/>
  <c r="A7990" i="1"/>
  <c r="B7990" i="1"/>
  <c r="C7990" i="1"/>
  <c r="D7990" i="1"/>
  <c r="E7990" i="1"/>
  <c r="F7990" i="1"/>
  <c r="G7990" i="1"/>
  <c r="H7990" i="1"/>
  <c r="A7991" i="1"/>
  <c r="B7991" i="1"/>
  <c r="C7991" i="1"/>
  <c r="D7991" i="1"/>
  <c r="E7991" i="1"/>
  <c r="F7991" i="1"/>
  <c r="G7991" i="1"/>
  <c r="H7991" i="1"/>
  <c r="A7992" i="1"/>
  <c r="B7992" i="1"/>
  <c r="C7992" i="1"/>
  <c r="D7992" i="1"/>
  <c r="E7992" i="1"/>
  <c r="F7992" i="1"/>
  <c r="G7992" i="1"/>
  <c r="H7992" i="1"/>
  <c r="A7993" i="1"/>
  <c r="B7993" i="1"/>
  <c r="C7993" i="1"/>
  <c r="D7993" i="1"/>
  <c r="E7993" i="1"/>
  <c r="F7993" i="1"/>
  <c r="G7993" i="1"/>
  <c r="H7993" i="1"/>
  <c r="A7994" i="1"/>
  <c r="B7994" i="1"/>
  <c r="C7994" i="1"/>
  <c r="D7994" i="1"/>
  <c r="E7994" i="1"/>
  <c r="F7994" i="1"/>
  <c r="G7994" i="1"/>
  <c r="H7994" i="1"/>
  <c r="A7995" i="1"/>
  <c r="B7995" i="1"/>
  <c r="C7995" i="1"/>
  <c r="D7995" i="1"/>
  <c r="E7995" i="1"/>
  <c r="F7995" i="1"/>
  <c r="G7995" i="1"/>
  <c r="H7995" i="1"/>
  <c r="A7996" i="1"/>
  <c r="B7996" i="1"/>
  <c r="C7996" i="1"/>
  <c r="D7996" i="1"/>
  <c r="E7996" i="1"/>
  <c r="F7996" i="1"/>
  <c r="G7996" i="1"/>
  <c r="H7996" i="1"/>
  <c r="A7997" i="1"/>
  <c r="B7997" i="1"/>
  <c r="C7997" i="1"/>
  <c r="D7997" i="1"/>
  <c r="E7997" i="1"/>
  <c r="F7997" i="1"/>
  <c r="G7997" i="1"/>
  <c r="H7997" i="1"/>
  <c r="A7998" i="1"/>
  <c r="B7998" i="1"/>
  <c r="C7998" i="1"/>
  <c r="D7998" i="1"/>
  <c r="E7998" i="1"/>
  <c r="F7998" i="1"/>
  <c r="G7998" i="1"/>
  <c r="H7998" i="1"/>
  <c r="A7999" i="1"/>
  <c r="B7999" i="1"/>
  <c r="C7999" i="1"/>
  <c r="D7999" i="1"/>
  <c r="E7999" i="1"/>
  <c r="F7999" i="1"/>
  <c r="G7999" i="1"/>
  <c r="H7999" i="1"/>
  <c r="A8000" i="1"/>
  <c r="B8000" i="1"/>
  <c r="C8000" i="1"/>
  <c r="D8000" i="1"/>
  <c r="E8000" i="1"/>
  <c r="F8000" i="1"/>
  <c r="G8000" i="1"/>
  <c r="H8000" i="1"/>
  <c r="A8001" i="1"/>
  <c r="B8001" i="1"/>
  <c r="C8001" i="1"/>
  <c r="D8001" i="1"/>
  <c r="E8001" i="1"/>
  <c r="F8001" i="1"/>
  <c r="G8001" i="1"/>
  <c r="H8001" i="1"/>
  <c r="A8002" i="1"/>
  <c r="B8002" i="1"/>
  <c r="C8002" i="1"/>
  <c r="D8002" i="1"/>
  <c r="E8002" i="1"/>
  <c r="F8002" i="1"/>
  <c r="G8002" i="1"/>
  <c r="H8002" i="1"/>
  <c r="A8003" i="1"/>
  <c r="B8003" i="1"/>
  <c r="C8003" i="1"/>
  <c r="D8003" i="1"/>
  <c r="E8003" i="1"/>
  <c r="F8003" i="1"/>
  <c r="G8003" i="1"/>
  <c r="H8003" i="1"/>
  <c r="A8004" i="1"/>
  <c r="B8004" i="1"/>
  <c r="C8004" i="1"/>
  <c r="D8004" i="1"/>
  <c r="E8004" i="1"/>
  <c r="F8004" i="1"/>
  <c r="G8004" i="1"/>
  <c r="H8004" i="1"/>
  <c r="A8005" i="1"/>
  <c r="B8005" i="1"/>
  <c r="C8005" i="1"/>
  <c r="D8005" i="1"/>
  <c r="E8005" i="1"/>
  <c r="F8005" i="1"/>
  <c r="G8005" i="1"/>
  <c r="H8005" i="1"/>
  <c r="A8006" i="1"/>
  <c r="B8006" i="1"/>
  <c r="C8006" i="1"/>
  <c r="D8006" i="1"/>
  <c r="E8006" i="1"/>
  <c r="F8006" i="1"/>
  <c r="G8006" i="1"/>
  <c r="H8006" i="1"/>
  <c r="A8007" i="1"/>
  <c r="B8007" i="1"/>
  <c r="C8007" i="1"/>
  <c r="D8007" i="1"/>
  <c r="E8007" i="1"/>
  <c r="F8007" i="1"/>
  <c r="G8007" i="1"/>
  <c r="H8007" i="1"/>
  <c r="A8008" i="1"/>
  <c r="B8008" i="1"/>
  <c r="C8008" i="1"/>
  <c r="D8008" i="1"/>
  <c r="E8008" i="1"/>
  <c r="F8008" i="1"/>
  <c r="G8008" i="1"/>
  <c r="H8008" i="1"/>
  <c r="A8009" i="1"/>
  <c r="B8009" i="1"/>
  <c r="C8009" i="1"/>
  <c r="D8009" i="1"/>
  <c r="E8009" i="1"/>
  <c r="F8009" i="1"/>
  <c r="G8009" i="1"/>
  <c r="H8009" i="1"/>
  <c r="A8010" i="1"/>
  <c r="B8010" i="1"/>
  <c r="C8010" i="1"/>
  <c r="D8010" i="1"/>
  <c r="E8010" i="1"/>
  <c r="F8010" i="1"/>
  <c r="G8010" i="1"/>
  <c r="H8010" i="1"/>
  <c r="A8011" i="1"/>
  <c r="B8011" i="1"/>
  <c r="C8011" i="1"/>
  <c r="D8011" i="1"/>
  <c r="E8011" i="1"/>
  <c r="F8011" i="1"/>
  <c r="G8011" i="1"/>
  <c r="H8011" i="1"/>
  <c r="A8012" i="1"/>
  <c r="B8012" i="1"/>
  <c r="C8012" i="1"/>
  <c r="D8012" i="1"/>
  <c r="E8012" i="1"/>
  <c r="F8012" i="1"/>
  <c r="G8012" i="1"/>
  <c r="H8012" i="1"/>
  <c r="A8013" i="1"/>
  <c r="B8013" i="1"/>
  <c r="C8013" i="1"/>
  <c r="D8013" i="1"/>
  <c r="E8013" i="1"/>
  <c r="F8013" i="1"/>
  <c r="G8013" i="1"/>
  <c r="H8013" i="1"/>
  <c r="A8014" i="1"/>
  <c r="B8014" i="1"/>
  <c r="C8014" i="1"/>
  <c r="D8014" i="1"/>
  <c r="E8014" i="1"/>
  <c r="F8014" i="1"/>
  <c r="G8014" i="1"/>
  <c r="H8014" i="1"/>
  <c r="A8015" i="1"/>
  <c r="B8015" i="1"/>
  <c r="C8015" i="1"/>
  <c r="D8015" i="1"/>
  <c r="E8015" i="1"/>
  <c r="F8015" i="1"/>
  <c r="G8015" i="1"/>
  <c r="H8015" i="1"/>
  <c r="A8016" i="1"/>
  <c r="B8016" i="1"/>
  <c r="C8016" i="1"/>
  <c r="D8016" i="1"/>
  <c r="E8016" i="1"/>
  <c r="F8016" i="1"/>
  <c r="G8016" i="1"/>
  <c r="H8016" i="1"/>
  <c r="A8017" i="1"/>
  <c r="B8017" i="1"/>
  <c r="C8017" i="1"/>
  <c r="D8017" i="1"/>
  <c r="E8017" i="1"/>
  <c r="F8017" i="1"/>
  <c r="G8017" i="1"/>
  <c r="H8017" i="1"/>
  <c r="A8018" i="1"/>
  <c r="B8018" i="1"/>
  <c r="C8018" i="1"/>
  <c r="D8018" i="1"/>
  <c r="E8018" i="1"/>
  <c r="F8018" i="1"/>
  <c r="G8018" i="1"/>
  <c r="H8018" i="1"/>
  <c r="A8019" i="1"/>
  <c r="B8019" i="1"/>
  <c r="C8019" i="1"/>
  <c r="D8019" i="1"/>
  <c r="E8019" i="1"/>
  <c r="F8019" i="1"/>
  <c r="G8019" i="1"/>
  <c r="H8019" i="1"/>
  <c r="A8020" i="1"/>
  <c r="B8020" i="1"/>
  <c r="C8020" i="1"/>
  <c r="D8020" i="1"/>
  <c r="E8020" i="1"/>
  <c r="F8020" i="1"/>
  <c r="G8020" i="1"/>
  <c r="H8020" i="1"/>
  <c r="A8021" i="1"/>
  <c r="B8021" i="1"/>
  <c r="C8021" i="1"/>
  <c r="D8021" i="1"/>
  <c r="E8021" i="1"/>
  <c r="F8021" i="1"/>
  <c r="G8021" i="1"/>
  <c r="H8021" i="1"/>
  <c r="A8022" i="1"/>
  <c r="B8022" i="1"/>
  <c r="C8022" i="1"/>
  <c r="D8022" i="1"/>
  <c r="E8022" i="1"/>
  <c r="F8022" i="1"/>
  <c r="G8022" i="1"/>
  <c r="H8022" i="1"/>
  <c r="A8023" i="1"/>
  <c r="B8023" i="1"/>
  <c r="C8023" i="1"/>
  <c r="D8023" i="1"/>
  <c r="E8023" i="1"/>
  <c r="F8023" i="1"/>
  <c r="G8023" i="1"/>
  <c r="H8023" i="1"/>
  <c r="A8024" i="1"/>
  <c r="B8024" i="1"/>
  <c r="C8024" i="1"/>
  <c r="D8024" i="1"/>
  <c r="E8024" i="1"/>
  <c r="F8024" i="1"/>
  <c r="G8024" i="1"/>
  <c r="H8024" i="1"/>
  <c r="A8025" i="1"/>
  <c r="B8025" i="1"/>
  <c r="C8025" i="1"/>
  <c r="D8025" i="1"/>
  <c r="E8025" i="1"/>
  <c r="F8025" i="1"/>
  <c r="G8025" i="1"/>
  <c r="H8025" i="1"/>
  <c r="A8026" i="1"/>
  <c r="B8026" i="1"/>
  <c r="C8026" i="1"/>
  <c r="D8026" i="1"/>
  <c r="E8026" i="1"/>
  <c r="F8026" i="1"/>
  <c r="G8026" i="1"/>
  <c r="H8026" i="1"/>
  <c r="A8027" i="1"/>
  <c r="B8027" i="1"/>
  <c r="C8027" i="1"/>
  <c r="D8027" i="1"/>
  <c r="E8027" i="1"/>
  <c r="F8027" i="1"/>
  <c r="G8027" i="1"/>
  <c r="H8027" i="1"/>
  <c r="A8028" i="1"/>
  <c r="B8028" i="1"/>
  <c r="C8028" i="1"/>
  <c r="D8028" i="1"/>
  <c r="E8028" i="1"/>
  <c r="F8028" i="1"/>
  <c r="G8028" i="1"/>
  <c r="H8028" i="1"/>
  <c r="A8029" i="1"/>
  <c r="B8029" i="1"/>
  <c r="C8029" i="1"/>
  <c r="D8029" i="1"/>
  <c r="E8029" i="1"/>
  <c r="F8029" i="1"/>
  <c r="G8029" i="1"/>
  <c r="H8029" i="1"/>
  <c r="A8030" i="1"/>
  <c r="B8030" i="1"/>
  <c r="C8030" i="1"/>
  <c r="D8030" i="1"/>
  <c r="E8030" i="1"/>
  <c r="F8030" i="1"/>
  <c r="G8030" i="1"/>
  <c r="H8030" i="1"/>
  <c r="A8031" i="1"/>
  <c r="B8031" i="1"/>
  <c r="C8031" i="1"/>
  <c r="D8031" i="1"/>
  <c r="E8031" i="1"/>
  <c r="F8031" i="1"/>
  <c r="G8031" i="1"/>
  <c r="H8031" i="1"/>
  <c r="A8032" i="1"/>
  <c r="B8032" i="1"/>
  <c r="C8032" i="1"/>
  <c r="D8032" i="1"/>
  <c r="E8032" i="1"/>
  <c r="F8032" i="1"/>
  <c r="G8032" i="1"/>
  <c r="H8032" i="1"/>
  <c r="A8033" i="1"/>
  <c r="B8033" i="1"/>
  <c r="C8033" i="1"/>
  <c r="D8033" i="1"/>
  <c r="E8033" i="1"/>
  <c r="F8033" i="1"/>
  <c r="G8033" i="1"/>
  <c r="H8033" i="1"/>
  <c r="A8034" i="1"/>
  <c r="B8034" i="1"/>
  <c r="C8034" i="1"/>
  <c r="D8034" i="1"/>
  <c r="E8034" i="1"/>
  <c r="F8034" i="1"/>
  <c r="G8034" i="1"/>
  <c r="H8034" i="1"/>
  <c r="A8035" i="1"/>
  <c r="B8035" i="1"/>
  <c r="C8035" i="1"/>
  <c r="D8035" i="1"/>
  <c r="E8035" i="1"/>
  <c r="F8035" i="1"/>
  <c r="G8035" i="1"/>
  <c r="H8035" i="1"/>
  <c r="A8036" i="1"/>
  <c r="B8036" i="1"/>
  <c r="C8036" i="1"/>
  <c r="D8036" i="1"/>
  <c r="E8036" i="1"/>
  <c r="F8036" i="1"/>
  <c r="G8036" i="1"/>
  <c r="H8036" i="1"/>
  <c r="A8037" i="1"/>
  <c r="B8037" i="1"/>
  <c r="C8037" i="1"/>
  <c r="D8037" i="1"/>
  <c r="E8037" i="1"/>
  <c r="F8037" i="1"/>
  <c r="G8037" i="1"/>
  <c r="H8037" i="1"/>
  <c r="A8038" i="1"/>
  <c r="B8038" i="1"/>
  <c r="C8038" i="1"/>
  <c r="D8038" i="1"/>
  <c r="E8038" i="1"/>
  <c r="F8038" i="1"/>
  <c r="G8038" i="1"/>
  <c r="H8038" i="1"/>
  <c r="A8039" i="1"/>
  <c r="B8039" i="1"/>
  <c r="C8039" i="1"/>
  <c r="D8039" i="1"/>
  <c r="E8039" i="1"/>
  <c r="F8039" i="1"/>
  <c r="G8039" i="1"/>
  <c r="H8039" i="1"/>
  <c r="A8040" i="1"/>
  <c r="B8040" i="1"/>
  <c r="C8040" i="1"/>
  <c r="D8040" i="1"/>
  <c r="E8040" i="1"/>
  <c r="F8040" i="1"/>
  <c r="G8040" i="1"/>
  <c r="H8040" i="1"/>
  <c r="A8041" i="1"/>
  <c r="B8041" i="1"/>
  <c r="C8041" i="1"/>
  <c r="D8041" i="1"/>
  <c r="E8041" i="1"/>
  <c r="F8041" i="1"/>
  <c r="G8041" i="1"/>
  <c r="H8041" i="1"/>
  <c r="A8042" i="1"/>
  <c r="B8042" i="1"/>
  <c r="C8042" i="1"/>
  <c r="D8042" i="1"/>
  <c r="E8042" i="1"/>
  <c r="F8042" i="1"/>
  <c r="G8042" i="1"/>
  <c r="H8042" i="1"/>
  <c r="A8043" i="1"/>
  <c r="B8043" i="1"/>
  <c r="C8043" i="1"/>
  <c r="D8043" i="1"/>
  <c r="E8043" i="1"/>
  <c r="F8043" i="1"/>
  <c r="G8043" i="1"/>
  <c r="H8043" i="1"/>
  <c r="A8044" i="1"/>
  <c r="B8044" i="1"/>
  <c r="C8044" i="1"/>
  <c r="D8044" i="1"/>
  <c r="E8044" i="1"/>
  <c r="F8044" i="1"/>
  <c r="G8044" i="1"/>
  <c r="H8044" i="1"/>
  <c r="A8045" i="1"/>
  <c r="B8045" i="1"/>
  <c r="C8045" i="1"/>
  <c r="D8045" i="1"/>
  <c r="E8045" i="1"/>
  <c r="F8045" i="1"/>
  <c r="G8045" i="1"/>
  <c r="H8045" i="1"/>
  <c r="A8046" i="1"/>
  <c r="B8046" i="1"/>
  <c r="C8046" i="1"/>
  <c r="D8046" i="1"/>
  <c r="E8046" i="1"/>
  <c r="F8046" i="1"/>
  <c r="G8046" i="1"/>
  <c r="H8046" i="1"/>
  <c r="A8047" i="1"/>
  <c r="B8047" i="1"/>
  <c r="C8047" i="1"/>
  <c r="D8047" i="1"/>
  <c r="E8047" i="1"/>
  <c r="F8047" i="1"/>
  <c r="G8047" i="1"/>
  <c r="H8047" i="1"/>
  <c r="A8048" i="1"/>
  <c r="B8048" i="1"/>
  <c r="C8048" i="1"/>
  <c r="D8048" i="1"/>
  <c r="E8048" i="1"/>
  <c r="F8048" i="1"/>
  <c r="G8048" i="1"/>
  <c r="H8048" i="1"/>
  <c r="A8049" i="1"/>
  <c r="B8049" i="1"/>
  <c r="C8049" i="1"/>
  <c r="D8049" i="1"/>
  <c r="E8049" i="1"/>
  <c r="F8049" i="1"/>
  <c r="G8049" i="1"/>
  <c r="H8049" i="1"/>
  <c r="A8050" i="1"/>
  <c r="B8050" i="1"/>
  <c r="C8050" i="1"/>
  <c r="D8050" i="1"/>
  <c r="E8050" i="1"/>
  <c r="F8050" i="1"/>
  <c r="G8050" i="1"/>
  <c r="H8050" i="1"/>
  <c r="A8051" i="1"/>
  <c r="B8051" i="1"/>
  <c r="C8051" i="1"/>
  <c r="D8051" i="1"/>
  <c r="E8051" i="1"/>
  <c r="F8051" i="1"/>
  <c r="G8051" i="1"/>
  <c r="H8051" i="1"/>
  <c r="A8052" i="1"/>
  <c r="B8052" i="1"/>
  <c r="C8052" i="1"/>
  <c r="D8052" i="1"/>
  <c r="E8052" i="1"/>
  <c r="F8052" i="1"/>
  <c r="G8052" i="1"/>
  <c r="H8052" i="1"/>
  <c r="A8053" i="1"/>
  <c r="B8053" i="1"/>
  <c r="C8053" i="1"/>
  <c r="D8053" i="1"/>
  <c r="E8053" i="1"/>
  <c r="F8053" i="1"/>
  <c r="G8053" i="1"/>
  <c r="H8053" i="1"/>
  <c r="A8054" i="1"/>
  <c r="B8054" i="1"/>
  <c r="C8054" i="1"/>
  <c r="D8054" i="1"/>
  <c r="E8054" i="1"/>
  <c r="F8054" i="1"/>
  <c r="G8054" i="1"/>
  <c r="H8054" i="1"/>
  <c r="A8055" i="1"/>
  <c r="B8055" i="1"/>
  <c r="C8055" i="1"/>
  <c r="D8055" i="1"/>
  <c r="E8055" i="1"/>
  <c r="F8055" i="1"/>
  <c r="G8055" i="1"/>
  <c r="H8055" i="1"/>
  <c r="A8056" i="1"/>
  <c r="B8056" i="1"/>
  <c r="C8056" i="1"/>
  <c r="D8056" i="1"/>
  <c r="E8056" i="1"/>
  <c r="F8056" i="1"/>
  <c r="G8056" i="1"/>
  <c r="H8056" i="1"/>
  <c r="A8057" i="1"/>
  <c r="B8057" i="1"/>
  <c r="C8057" i="1"/>
  <c r="D8057" i="1"/>
  <c r="E8057" i="1"/>
  <c r="F8057" i="1"/>
  <c r="G8057" i="1"/>
  <c r="H8057" i="1"/>
  <c r="A8058" i="1"/>
  <c r="B8058" i="1"/>
  <c r="C8058" i="1"/>
  <c r="D8058" i="1"/>
  <c r="E8058" i="1"/>
  <c r="F8058" i="1"/>
  <c r="G8058" i="1"/>
  <c r="H8058" i="1"/>
  <c r="A8059" i="1"/>
  <c r="B8059" i="1"/>
  <c r="C8059" i="1"/>
  <c r="D8059" i="1"/>
  <c r="E8059" i="1"/>
  <c r="F8059" i="1"/>
  <c r="G8059" i="1"/>
  <c r="H8059" i="1"/>
  <c r="A8060" i="1"/>
  <c r="B8060" i="1"/>
  <c r="C8060" i="1"/>
  <c r="D8060" i="1"/>
  <c r="E8060" i="1"/>
  <c r="F8060" i="1"/>
  <c r="G8060" i="1"/>
  <c r="H8060" i="1"/>
  <c r="A8061" i="1"/>
  <c r="B8061" i="1"/>
  <c r="C8061" i="1"/>
  <c r="D8061" i="1"/>
  <c r="E8061" i="1"/>
  <c r="F8061" i="1"/>
  <c r="G8061" i="1"/>
  <c r="H8061" i="1"/>
  <c r="A8062" i="1"/>
  <c r="B8062" i="1"/>
  <c r="C8062" i="1"/>
  <c r="D8062" i="1"/>
  <c r="E8062" i="1"/>
  <c r="F8062" i="1"/>
  <c r="G8062" i="1"/>
  <c r="H8062" i="1"/>
  <c r="A8063" i="1"/>
  <c r="B8063" i="1"/>
  <c r="C8063" i="1"/>
  <c r="D8063" i="1"/>
  <c r="E8063" i="1"/>
  <c r="F8063" i="1"/>
  <c r="G8063" i="1"/>
  <c r="H8063" i="1"/>
  <c r="A8064" i="1"/>
  <c r="B8064" i="1"/>
  <c r="C8064" i="1"/>
  <c r="D8064" i="1"/>
  <c r="E8064" i="1"/>
  <c r="F8064" i="1"/>
  <c r="G8064" i="1"/>
  <c r="H8064" i="1"/>
  <c r="A8065" i="1"/>
  <c r="B8065" i="1"/>
  <c r="C8065" i="1"/>
  <c r="D8065" i="1"/>
  <c r="E8065" i="1"/>
  <c r="F8065" i="1"/>
  <c r="G8065" i="1"/>
  <c r="H8065" i="1"/>
  <c r="A8066" i="1"/>
  <c r="B8066" i="1"/>
  <c r="C8066" i="1"/>
  <c r="D8066" i="1"/>
  <c r="E8066" i="1"/>
  <c r="F8066" i="1"/>
  <c r="G8066" i="1"/>
  <c r="H8066" i="1"/>
  <c r="A8067" i="1"/>
  <c r="B8067" i="1"/>
  <c r="C8067" i="1"/>
  <c r="D8067" i="1"/>
  <c r="E8067" i="1"/>
  <c r="F8067" i="1"/>
  <c r="G8067" i="1"/>
  <c r="H8067" i="1"/>
  <c r="A8068" i="1"/>
  <c r="B8068" i="1"/>
  <c r="C8068" i="1"/>
  <c r="D8068" i="1"/>
  <c r="E8068" i="1"/>
  <c r="F8068" i="1"/>
  <c r="G8068" i="1"/>
  <c r="H8068" i="1"/>
  <c r="A8069" i="1"/>
  <c r="B8069" i="1"/>
  <c r="C8069" i="1"/>
  <c r="D8069" i="1"/>
  <c r="E8069" i="1"/>
  <c r="F8069" i="1"/>
  <c r="G8069" i="1"/>
  <c r="H8069" i="1"/>
  <c r="A8070" i="1"/>
  <c r="B8070" i="1"/>
  <c r="C8070" i="1"/>
  <c r="D8070" i="1"/>
  <c r="E8070" i="1"/>
  <c r="F8070" i="1"/>
  <c r="G8070" i="1"/>
  <c r="H8070" i="1"/>
  <c r="A8071" i="1"/>
  <c r="B8071" i="1"/>
  <c r="C8071" i="1"/>
  <c r="D8071" i="1"/>
  <c r="E8071" i="1"/>
  <c r="F8071" i="1"/>
  <c r="G8071" i="1"/>
  <c r="H8071" i="1"/>
  <c r="A8072" i="1"/>
  <c r="B8072" i="1"/>
  <c r="C8072" i="1"/>
  <c r="D8072" i="1"/>
  <c r="E8072" i="1"/>
  <c r="F8072" i="1"/>
  <c r="G8072" i="1"/>
  <c r="H8072" i="1"/>
  <c r="A8073" i="1"/>
  <c r="B8073" i="1"/>
  <c r="C8073" i="1"/>
  <c r="D8073" i="1"/>
  <c r="E8073" i="1"/>
  <c r="F8073" i="1"/>
  <c r="G8073" i="1"/>
  <c r="H8073" i="1"/>
  <c r="A8074" i="1"/>
  <c r="B8074" i="1"/>
  <c r="C8074" i="1"/>
  <c r="D8074" i="1"/>
  <c r="E8074" i="1"/>
  <c r="F8074" i="1"/>
  <c r="G8074" i="1"/>
  <c r="H8074" i="1"/>
  <c r="A8075" i="1"/>
  <c r="B8075" i="1"/>
  <c r="C8075" i="1"/>
  <c r="D8075" i="1"/>
  <c r="E8075" i="1"/>
  <c r="F8075" i="1"/>
  <c r="G8075" i="1"/>
  <c r="H8075" i="1"/>
  <c r="A8076" i="1"/>
  <c r="B8076" i="1"/>
  <c r="C8076" i="1"/>
  <c r="D8076" i="1"/>
  <c r="E8076" i="1"/>
  <c r="F8076" i="1"/>
  <c r="G8076" i="1"/>
  <c r="H8076" i="1"/>
  <c r="A8077" i="1"/>
  <c r="B8077" i="1"/>
  <c r="C8077" i="1"/>
  <c r="D8077" i="1"/>
  <c r="E8077" i="1"/>
  <c r="F8077" i="1"/>
  <c r="G8077" i="1"/>
  <c r="H8077" i="1"/>
  <c r="A8078" i="1"/>
  <c r="B8078" i="1"/>
  <c r="C8078" i="1"/>
  <c r="D8078" i="1"/>
  <c r="E8078" i="1"/>
  <c r="F8078" i="1"/>
  <c r="G8078" i="1"/>
  <c r="H8078" i="1"/>
  <c r="A8079" i="1"/>
  <c r="B8079" i="1"/>
  <c r="C8079" i="1"/>
  <c r="D8079" i="1"/>
  <c r="E8079" i="1"/>
  <c r="F8079" i="1"/>
  <c r="G8079" i="1"/>
  <c r="H8079" i="1"/>
  <c r="A8080" i="1"/>
  <c r="B8080" i="1"/>
  <c r="C8080" i="1"/>
  <c r="D8080" i="1"/>
  <c r="E8080" i="1"/>
  <c r="F8080" i="1"/>
  <c r="G8080" i="1"/>
  <c r="H8080" i="1"/>
  <c r="A8081" i="1"/>
  <c r="B8081" i="1"/>
  <c r="C8081" i="1"/>
  <c r="D8081" i="1"/>
  <c r="E8081" i="1"/>
  <c r="F8081" i="1"/>
  <c r="G8081" i="1"/>
  <c r="H8081" i="1"/>
  <c r="A8082" i="1"/>
  <c r="B8082" i="1"/>
  <c r="C8082" i="1"/>
  <c r="D8082" i="1"/>
  <c r="E8082" i="1"/>
  <c r="F8082" i="1"/>
  <c r="G8082" i="1"/>
  <c r="H8082" i="1"/>
  <c r="A8083" i="1"/>
  <c r="B8083" i="1"/>
  <c r="C8083" i="1"/>
  <c r="D8083" i="1"/>
  <c r="E8083" i="1"/>
  <c r="F8083" i="1"/>
  <c r="G8083" i="1"/>
  <c r="H8083" i="1"/>
  <c r="A8084" i="1"/>
  <c r="B8084" i="1"/>
  <c r="C8084" i="1"/>
  <c r="D8084" i="1"/>
  <c r="E8084" i="1"/>
  <c r="F8084" i="1"/>
  <c r="G8084" i="1"/>
  <c r="H8084" i="1"/>
  <c r="A8085" i="1"/>
  <c r="B8085" i="1"/>
  <c r="C8085" i="1"/>
  <c r="D8085" i="1"/>
  <c r="E8085" i="1"/>
  <c r="F8085" i="1"/>
  <c r="G8085" i="1"/>
  <c r="H8085" i="1"/>
  <c r="A8086" i="1"/>
  <c r="B8086" i="1"/>
  <c r="C8086" i="1"/>
  <c r="D8086" i="1"/>
  <c r="E8086" i="1"/>
  <c r="F8086" i="1"/>
  <c r="G8086" i="1"/>
  <c r="H8086" i="1"/>
  <c r="A8087" i="1"/>
  <c r="B8087" i="1"/>
  <c r="C8087" i="1"/>
  <c r="D8087" i="1"/>
  <c r="E8087" i="1"/>
  <c r="F8087" i="1"/>
  <c r="G8087" i="1"/>
  <c r="H8087" i="1"/>
  <c r="A8088" i="1"/>
  <c r="B8088" i="1"/>
  <c r="C8088" i="1"/>
  <c r="D8088" i="1"/>
  <c r="E8088" i="1"/>
  <c r="F8088" i="1"/>
  <c r="G8088" i="1"/>
  <c r="H8088" i="1"/>
  <c r="A8089" i="1"/>
  <c r="B8089" i="1"/>
  <c r="C8089" i="1"/>
  <c r="D8089" i="1"/>
  <c r="E8089" i="1"/>
  <c r="F8089" i="1"/>
  <c r="G8089" i="1"/>
  <c r="H8089" i="1"/>
  <c r="A8090" i="1"/>
  <c r="B8090" i="1"/>
  <c r="C8090" i="1"/>
  <c r="D8090" i="1"/>
  <c r="E8090" i="1"/>
  <c r="F8090" i="1"/>
  <c r="G8090" i="1"/>
  <c r="H8090" i="1"/>
  <c r="A8091" i="1"/>
  <c r="B8091" i="1"/>
  <c r="C8091" i="1"/>
  <c r="D8091" i="1"/>
  <c r="E8091" i="1"/>
  <c r="F8091" i="1"/>
  <c r="G8091" i="1"/>
  <c r="H8091" i="1"/>
  <c r="A8092" i="1"/>
  <c r="B8092" i="1"/>
  <c r="C8092" i="1"/>
  <c r="D8092" i="1"/>
  <c r="E8092" i="1"/>
  <c r="F8092" i="1"/>
  <c r="G8092" i="1"/>
  <c r="H8092" i="1"/>
  <c r="A8093" i="1"/>
  <c r="B8093" i="1"/>
  <c r="C8093" i="1"/>
  <c r="D8093" i="1"/>
  <c r="E8093" i="1"/>
  <c r="F8093" i="1"/>
  <c r="G8093" i="1"/>
  <c r="H8093" i="1"/>
  <c r="A8094" i="1"/>
  <c r="B8094" i="1"/>
  <c r="C8094" i="1"/>
  <c r="D8094" i="1"/>
  <c r="E8094" i="1"/>
  <c r="F8094" i="1"/>
  <c r="G8094" i="1"/>
  <c r="H8094" i="1"/>
  <c r="A8095" i="1"/>
  <c r="B8095" i="1"/>
  <c r="C8095" i="1"/>
  <c r="D8095" i="1"/>
  <c r="E8095" i="1"/>
  <c r="F8095" i="1"/>
  <c r="G8095" i="1"/>
  <c r="H8095" i="1"/>
  <c r="A8096" i="1"/>
  <c r="B8096" i="1"/>
  <c r="C8096" i="1"/>
  <c r="D8096" i="1"/>
  <c r="E8096" i="1"/>
  <c r="F8096" i="1"/>
  <c r="G8096" i="1"/>
  <c r="H8096" i="1"/>
  <c r="A8097" i="1"/>
  <c r="B8097" i="1"/>
  <c r="C8097" i="1"/>
  <c r="D8097" i="1"/>
  <c r="E8097" i="1"/>
  <c r="F8097" i="1"/>
  <c r="G8097" i="1"/>
  <c r="H8097" i="1"/>
  <c r="A8098" i="1"/>
  <c r="B8098" i="1"/>
  <c r="C8098" i="1"/>
  <c r="D8098" i="1"/>
  <c r="E8098" i="1"/>
  <c r="F8098" i="1"/>
  <c r="G8098" i="1"/>
  <c r="H8098" i="1"/>
  <c r="A8099" i="1"/>
  <c r="B8099" i="1"/>
  <c r="C8099" i="1"/>
  <c r="D8099" i="1"/>
  <c r="E8099" i="1"/>
  <c r="F8099" i="1"/>
  <c r="G8099" i="1"/>
  <c r="H8099" i="1"/>
  <c r="A8100" i="1"/>
  <c r="B8100" i="1"/>
  <c r="C8100" i="1"/>
  <c r="D8100" i="1"/>
  <c r="E8100" i="1"/>
  <c r="F8100" i="1"/>
  <c r="G8100" i="1"/>
  <c r="H8100" i="1"/>
  <c r="A8101" i="1"/>
  <c r="B8101" i="1"/>
  <c r="C8101" i="1"/>
  <c r="D8101" i="1"/>
  <c r="E8101" i="1"/>
  <c r="F8101" i="1"/>
  <c r="G8101" i="1"/>
  <c r="H8101" i="1"/>
  <c r="A8102" i="1"/>
  <c r="B8102" i="1"/>
  <c r="C8102" i="1"/>
  <c r="D8102" i="1"/>
  <c r="E8102" i="1"/>
  <c r="F8102" i="1"/>
  <c r="G8102" i="1"/>
  <c r="H8102" i="1"/>
  <c r="A8103" i="1"/>
  <c r="B8103" i="1"/>
  <c r="C8103" i="1"/>
  <c r="D8103" i="1"/>
  <c r="E8103" i="1"/>
  <c r="F8103" i="1"/>
  <c r="G8103" i="1"/>
  <c r="H8103" i="1"/>
  <c r="A8104" i="1"/>
  <c r="B8104" i="1"/>
  <c r="C8104" i="1"/>
  <c r="D8104" i="1"/>
  <c r="E8104" i="1"/>
  <c r="F8104" i="1"/>
  <c r="G8104" i="1"/>
  <c r="H8104" i="1"/>
  <c r="A8105" i="1"/>
  <c r="B8105" i="1"/>
  <c r="C8105" i="1"/>
  <c r="D8105" i="1"/>
  <c r="E8105" i="1"/>
  <c r="F8105" i="1"/>
  <c r="G8105" i="1"/>
  <c r="H8105" i="1"/>
  <c r="A8106" i="1"/>
  <c r="B8106" i="1"/>
  <c r="C8106" i="1"/>
  <c r="D8106" i="1"/>
  <c r="E8106" i="1"/>
  <c r="F8106" i="1"/>
  <c r="G8106" i="1"/>
  <c r="H8106" i="1"/>
  <c r="A8107" i="1"/>
  <c r="B8107" i="1"/>
  <c r="C8107" i="1"/>
  <c r="D8107" i="1"/>
  <c r="E8107" i="1"/>
  <c r="F8107" i="1"/>
  <c r="G8107" i="1"/>
  <c r="H8107" i="1"/>
  <c r="A8108" i="1"/>
  <c r="B8108" i="1"/>
  <c r="C8108" i="1"/>
  <c r="D8108" i="1"/>
  <c r="E8108" i="1"/>
  <c r="F8108" i="1"/>
  <c r="G8108" i="1"/>
  <c r="H8108" i="1"/>
  <c r="A8109" i="1"/>
  <c r="B8109" i="1"/>
  <c r="C8109" i="1"/>
  <c r="D8109" i="1"/>
  <c r="E8109" i="1"/>
  <c r="F8109" i="1"/>
  <c r="G8109" i="1"/>
  <c r="H8109" i="1"/>
  <c r="A8110" i="1"/>
  <c r="B8110" i="1"/>
  <c r="C8110" i="1"/>
  <c r="D8110" i="1"/>
  <c r="E8110" i="1"/>
  <c r="F8110" i="1"/>
  <c r="G8110" i="1"/>
  <c r="H8110" i="1"/>
  <c r="A8111" i="1"/>
  <c r="B8111" i="1"/>
  <c r="C8111" i="1"/>
  <c r="D8111" i="1"/>
  <c r="E8111" i="1"/>
  <c r="F8111" i="1"/>
  <c r="G8111" i="1"/>
  <c r="H8111" i="1"/>
  <c r="A8112" i="1"/>
  <c r="B8112" i="1"/>
  <c r="C8112" i="1"/>
  <c r="D8112" i="1"/>
  <c r="E8112" i="1"/>
  <c r="F8112" i="1"/>
  <c r="G8112" i="1"/>
  <c r="H8112" i="1"/>
  <c r="A8113" i="1"/>
  <c r="B8113" i="1"/>
  <c r="C8113" i="1"/>
  <c r="D8113" i="1"/>
  <c r="E8113" i="1"/>
  <c r="F8113" i="1"/>
  <c r="G8113" i="1"/>
  <c r="H8113" i="1"/>
  <c r="A8114" i="1"/>
  <c r="B8114" i="1"/>
  <c r="C8114" i="1"/>
  <c r="D8114" i="1"/>
  <c r="E8114" i="1"/>
  <c r="F8114" i="1"/>
  <c r="G8114" i="1"/>
  <c r="H8114" i="1"/>
  <c r="A8115" i="1"/>
  <c r="B8115" i="1"/>
  <c r="C8115" i="1"/>
  <c r="D8115" i="1"/>
  <c r="E8115" i="1"/>
  <c r="F8115" i="1"/>
  <c r="G8115" i="1"/>
  <c r="H8115" i="1"/>
  <c r="A8116" i="1"/>
  <c r="B8116" i="1"/>
  <c r="C8116" i="1"/>
  <c r="D8116" i="1"/>
  <c r="E8116" i="1"/>
  <c r="F8116" i="1"/>
  <c r="G8116" i="1"/>
  <c r="H8116" i="1"/>
  <c r="A8117" i="1"/>
  <c r="B8117" i="1"/>
  <c r="C8117" i="1"/>
  <c r="D8117" i="1"/>
  <c r="E8117" i="1"/>
  <c r="F8117" i="1"/>
  <c r="G8117" i="1"/>
  <c r="H8117" i="1"/>
  <c r="A8118" i="1"/>
  <c r="B8118" i="1"/>
  <c r="C8118" i="1"/>
  <c r="D8118" i="1"/>
  <c r="E8118" i="1"/>
  <c r="F8118" i="1"/>
  <c r="G8118" i="1"/>
  <c r="H8118" i="1"/>
  <c r="A8119" i="1"/>
  <c r="B8119" i="1"/>
  <c r="C8119" i="1"/>
  <c r="D8119" i="1"/>
  <c r="E8119" i="1"/>
  <c r="F8119" i="1"/>
  <c r="G8119" i="1"/>
  <c r="H8119" i="1"/>
  <c r="A8120" i="1"/>
  <c r="B8120" i="1"/>
  <c r="C8120" i="1"/>
  <c r="D8120" i="1"/>
  <c r="E8120" i="1"/>
  <c r="F8120" i="1"/>
  <c r="G8120" i="1"/>
  <c r="H8120" i="1"/>
  <c r="A8121" i="1"/>
  <c r="B8121" i="1"/>
  <c r="C8121" i="1"/>
  <c r="D8121" i="1"/>
  <c r="E8121" i="1"/>
  <c r="F8121" i="1"/>
  <c r="G8121" i="1"/>
  <c r="H8121" i="1"/>
  <c r="A8122" i="1"/>
  <c r="B8122" i="1"/>
  <c r="C8122" i="1"/>
  <c r="D8122" i="1"/>
  <c r="E8122" i="1"/>
  <c r="F8122" i="1"/>
  <c r="G8122" i="1"/>
  <c r="H8122" i="1"/>
  <c r="A8123" i="1"/>
  <c r="B8123" i="1"/>
  <c r="C8123" i="1"/>
  <c r="D8123" i="1"/>
  <c r="E8123" i="1"/>
  <c r="F8123" i="1"/>
  <c r="G8123" i="1"/>
  <c r="H8123" i="1"/>
  <c r="A8124" i="1"/>
  <c r="B8124" i="1"/>
  <c r="C8124" i="1"/>
  <c r="D8124" i="1"/>
  <c r="E8124" i="1"/>
  <c r="F8124" i="1"/>
  <c r="G8124" i="1"/>
  <c r="H8124" i="1"/>
  <c r="A8125" i="1"/>
  <c r="B8125" i="1"/>
  <c r="C8125" i="1"/>
  <c r="D8125" i="1"/>
  <c r="E8125" i="1"/>
  <c r="F8125" i="1"/>
  <c r="G8125" i="1"/>
  <c r="H8125" i="1"/>
  <c r="A8126" i="1"/>
  <c r="B8126" i="1"/>
  <c r="C8126" i="1"/>
  <c r="D8126" i="1"/>
  <c r="E8126" i="1"/>
  <c r="F8126" i="1"/>
  <c r="G8126" i="1"/>
  <c r="H8126" i="1"/>
  <c r="A8127" i="1"/>
  <c r="B8127" i="1"/>
  <c r="C8127" i="1"/>
  <c r="D8127" i="1"/>
  <c r="E8127" i="1"/>
  <c r="F8127" i="1"/>
  <c r="G8127" i="1"/>
  <c r="H8127" i="1"/>
  <c r="A8128" i="1"/>
  <c r="B8128" i="1"/>
  <c r="C8128" i="1"/>
  <c r="D8128" i="1"/>
  <c r="E8128" i="1"/>
  <c r="F8128" i="1"/>
  <c r="G8128" i="1"/>
  <c r="H8128" i="1"/>
  <c r="A8129" i="1"/>
  <c r="B8129" i="1"/>
  <c r="C8129" i="1"/>
  <c r="D8129" i="1"/>
  <c r="E8129" i="1"/>
  <c r="F8129" i="1"/>
  <c r="G8129" i="1"/>
  <c r="H8129" i="1"/>
  <c r="A8130" i="1"/>
  <c r="B8130" i="1"/>
  <c r="C8130" i="1"/>
  <c r="D8130" i="1"/>
  <c r="E8130" i="1"/>
  <c r="F8130" i="1"/>
  <c r="G8130" i="1"/>
  <c r="H8130" i="1"/>
  <c r="A8131" i="1"/>
  <c r="B8131" i="1"/>
  <c r="C8131" i="1"/>
  <c r="D8131" i="1"/>
  <c r="E8131" i="1"/>
  <c r="F8131" i="1"/>
  <c r="G8131" i="1"/>
  <c r="H8131" i="1"/>
  <c r="A8132" i="1"/>
  <c r="B8132" i="1"/>
  <c r="C8132" i="1"/>
  <c r="D8132" i="1"/>
  <c r="E8132" i="1"/>
  <c r="F8132" i="1"/>
  <c r="G8132" i="1"/>
  <c r="H8132" i="1"/>
  <c r="A8133" i="1"/>
  <c r="B8133" i="1"/>
  <c r="C8133" i="1"/>
  <c r="D8133" i="1"/>
  <c r="E8133" i="1"/>
  <c r="F8133" i="1"/>
  <c r="G8133" i="1"/>
  <c r="H8133" i="1"/>
  <c r="A8134" i="1"/>
  <c r="B8134" i="1"/>
  <c r="C8134" i="1"/>
  <c r="D8134" i="1"/>
  <c r="E8134" i="1"/>
  <c r="F8134" i="1"/>
  <c r="G8134" i="1"/>
  <c r="H8134" i="1"/>
  <c r="A8135" i="1"/>
  <c r="B8135" i="1"/>
  <c r="C8135" i="1"/>
  <c r="D8135" i="1"/>
  <c r="E8135" i="1"/>
  <c r="F8135" i="1"/>
  <c r="G8135" i="1"/>
  <c r="H8135" i="1"/>
  <c r="A8136" i="1"/>
  <c r="B8136" i="1"/>
  <c r="C8136" i="1"/>
  <c r="D8136" i="1"/>
  <c r="E8136" i="1"/>
  <c r="F8136" i="1"/>
  <c r="G8136" i="1"/>
  <c r="H8136" i="1"/>
  <c r="A8137" i="1"/>
  <c r="B8137" i="1"/>
  <c r="C8137" i="1"/>
  <c r="D8137" i="1"/>
  <c r="E8137" i="1"/>
  <c r="F8137" i="1"/>
  <c r="G8137" i="1"/>
  <c r="H8137" i="1"/>
  <c r="A8138" i="1"/>
  <c r="B8138" i="1"/>
  <c r="C8138" i="1"/>
  <c r="D8138" i="1"/>
  <c r="E8138" i="1"/>
  <c r="F8138" i="1"/>
  <c r="G8138" i="1"/>
  <c r="H8138" i="1"/>
  <c r="A8139" i="1"/>
  <c r="B8139" i="1"/>
  <c r="C8139" i="1"/>
  <c r="D8139" i="1"/>
  <c r="E8139" i="1"/>
  <c r="F8139" i="1"/>
  <c r="G8139" i="1"/>
  <c r="H8139" i="1"/>
  <c r="A8140" i="1"/>
  <c r="B8140" i="1"/>
  <c r="C8140" i="1"/>
  <c r="D8140" i="1"/>
  <c r="E8140" i="1"/>
  <c r="F8140" i="1"/>
  <c r="G8140" i="1"/>
  <c r="H8140" i="1"/>
  <c r="A8141" i="1"/>
  <c r="B8141" i="1"/>
  <c r="C8141" i="1"/>
  <c r="D8141" i="1"/>
  <c r="E8141" i="1"/>
  <c r="F8141" i="1"/>
  <c r="G8141" i="1"/>
  <c r="H8141" i="1"/>
  <c r="A8142" i="1"/>
  <c r="B8142" i="1"/>
  <c r="C8142" i="1"/>
  <c r="D8142" i="1"/>
  <c r="E8142" i="1"/>
  <c r="F8142" i="1"/>
  <c r="G8142" i="1"/>
  <c r="H8142" i="1"/>
  <c r="A8143" i="1"/>
  <c r="B8143" i="1"/>
  <c r="C8143" i="1"/>
  <c r="D8143" i="1"/>
  <c r="E8143" i="1"/>
  <c r="F8143" i="1"/>
  <c r="G8143" i="1"/>
  <c r="H8143" i="1"/>
  <c r="A8144" i="1"/>
  <c r="B8144" i="1"/>
  <c r="C8144" i="1"/>
  <c r="D8144" i="1"/>
  <c r="E8144" i="1"/>
  <c r="F8144" i="1"/>
  <c r="G8144" i="1"/>
  <c r="H8144" i="1"/>
  <c r="A8145" i="1"/>
  <c r="B8145" i="1"/>
  <c r="C8145" i="1"/>
  <c r="D8145" i="1"/>
  <c r="E8145" i="1"/>
  <c r="F8145" i="1"/>
  <c r="G8145" i="1"/>
  <c r="H8145" i="1"/>
  <c r="A8146" i="1"/>
  <c r="B8146" i="1"/>
  <c r="C8146" i="1"/>
  <c r="D8146" i="1"/>
  <c r="E8146" i="1"/>
  <c r="F8146" i="1"/>
  <c r="G8146" i="1"/>
  <c r="H8146" i="1"/>
  <c r="A8147" i="1"/>
  <c r="B8147" i="1"/>
  <c r="C8147" i="1"/>
  <c r="D8147" i="1"/>
  <c r="E8147" i="1"/>
  <c r="F8147" i="1"/>
  <c r="G8147" i="1"/>
  <c r="H8147" i="1"/>
  <c r="A8148" i="1"/>
  <c r="B8148" i="1"/>
  <c r="C8148" i="1"/>
  <c r="D8148" i="1"/>
  <c r="E8148" i="1"/>
  <c r="F8148" i="1"/>
  <c r="G8148" i="1"/>
  <c r="H8148" i="1"/>
  <c r="A8149" i="1"/>
  <c r="B8149" i="1"/>
  <c r="C8149" i="1"/>
  <c r="D8149" i="1"/>
  <c r="E8149" i="1"/>
  <c r="F8149" i="1"/>
  <c r="G8149" i="1"/>
  <c r="H8149" i="1"/>
  <c r="A8150" i="1"/>
  <c r="B8150" i="1"/>
  <c r="C8150" i="1"/>
  <c r="D8150" i="1"/>
  <c r="E8150" i="1"/>
  <c r="F8150" i="1"/>
  <c r="G8150" i="1"/>
  <c r="H8150" i="1"/>
  <c r="A8151" i="1"/>
  <c r="B8151" i="1"/>
  <c r="C8151" i="1"/>
  <c r="D8151" i="1"/>
  <c r="E8151" i="1"/>
  <c r="F8151" i="1"/>
  <c r="G8151" i="1"/>
  <c r="H8151" i="1"/>
  <c r="A8152" i="1"/>
  <c r="B8152" i="1"/>
  <c r="C8152" i="1"/>
  <c r="D8152" i="1"/>
  <c r="E8152" i="1"/>
  <c r="F8152" i="1"/>
  <c r="G8152" i="1"/>
  <c r="H8152" i="1"/>
  <c r="A8153" i="1"/>
  <c r="B8153" i="1"/>
  <c r="C8153" i="1"/>
  <c r="D8153" i="1"/>
  <c r="E8153" i="1"/>
  <c r="F8153" i="1"/>
  <c r="G8153" i="1"/>
  <c r="H8153" i="1"/>
  <c r="A8154" i="1"/>
  <c r="B8154" i="1"/>
  <c r="C8154" i="1"/>
  <c r="D8154" i="1"/>
  <c r="E8154" i="1"/>
  <c r="F8154" i="1"/>
  <c r="G8154" i="1"/>
  <c r="H8154" i="1"/>
  <c r="A8155" i="1"/>
  <c r="B8155" i="1"/>
  <c r="C8155" i="1"/>
  <c r="D8155" i="1"/>
  <c r="E8155" i="1"/>
  <c r="F8155" i="1"/>
  <c r="G8155" i="1"/>
  <c r="H8155" i="1"/>
  <c r="A8156" i="1"/>
  <c r="B8156" i="1"/>
  <c r="C8156" i="1"/>
  <c r="D8156" i="1"/>
  <c r="E8156" i="1"/>
  <c r="F8156" i="1"/>
  <c r="G8156" i="1"/>
  <c r="H8156" i="1"/>
  <c r="A8157" i="1"/>
  <c r="B8157" i="1"/>
  <c r="C8157" i="1"/>
  <c r="D8157" i="1"/>
  <c r="E8157" i="1"/>
  <c r="F8157" i="1"/>
  <c r="G8157" i="1"/>
  <c r="H8157" i="1"/>
  <c r="A8158" i="1"/>
  <c r="B8158" i="1"/>
  <c r="C8158" i="1"/>
  <c r="D8158" i="1"/>
  <c r="E8158" i="1"/>
  <c r="F8158" i="1"/>
  <c r="G8158" i="1"/>
  <c r="H8158" i="1"/>
  <c r="A8159" i="1"/>
  <c r="B8159" i="1"/>
  <c r="C8159" i="1"/>
  <c r="D8159" i="1"/>
  <c r="E8159" i="1"/>
  <c r="F8159" i="1"/>
  <c r="G8159" i="1"/>
  <c r="H8159" i="1"/>
  <c r="A8160" i="1"/>
  <c r="B8160" i="1"/>
  <c r="C8160" i="1"/>
  <c r="D8160" i="1"/>
  <c r="E8160" i="1"/>
  <c r="F8160" i="1"/>
  <c r="G8160" i="1"/>
  <c r="H8160" i="1"/>
  <c r="A8161" i="1"/>
  <c r="B8161" i="1"/>
  <c r="C8161" i="1"/>
  <c r="D8161" i="1"/>
  <c r="E8161" i="1"/>
  <c r="F8161" i="1"/>
  <c r="G8161" i="1"/>
  <c r="H8161" i="1"/>
  <c r="A8162" i="1"/>
  <c r="B8162" i="1"/>
  <c r="C8162" i="1"/>
  <c r="D8162" i="1"/>
  <c r="E8162" i="1"/>
  <c r="F8162" i="1"/>
  <c r="G8162" i="1"/>
  <c r="H8162" i="1"/>
  <c r="A8163" i="1"/>
  <c r="B8163" i="1"/>
  <c r="C8163" i="1"/>
  <c r="D8163" i="1"/>
  <c r="E8163" i="1"/>
  <c r="F8163" i="1"/>
  <c r="G8163" i="1"/>
  <c r="H8163" i="1"/>
  <c r="A8164" i="1"/>
  <c r="B8164" i="1"/>
  <c r="C8164" i="1"/>
  <c r="D8164" i="1"/>
  <c r="E8164" i="1"/>
  <c r="F8164" i="1"/>
  <c r="G8164" i="1"/>
  <c r="H8164" i="1"/>
  <c r="A8165" i="1"/>
  <c r="B8165" i="1"/>
  <c r="C8165" i="1"/>
  <c r="D8165" i="1"/>
  <c r="E8165" i="1"/>
  <c r="F8165" i="1"/>
  <c r="G8165" i="1"/>
  <c r="H8165" i="1"/>
  <c r="A8166" i="1"/>
  <c r="B8166" i="1"/>
  <c r="C8166" i="1"/>
  <c r="D8166" i="1"/>
  <c r="E8166" i="1"/>
  <c r="F8166" i="1"/>
  <c r="G8166" i="1"/>
  <c r="H8166" i="1"/>
  <c r="A8167" i="1"/>
  <c r="B8167" i="1"/>
  <c r="C8167" i="1"/>
  <c r="D8167" i="1"/>
  <c r="E8167" i="1"/>
  <c r="F8167" i="1"/>
  <c r="G8167" i="1"/>
  <c r="H8167" i="1"/>
  <c r="A8168" i="1"/>
  <c r="B8168" i="1"/>
  <c r="C8168" i="1"/>
  <c r="D8168" i="1"/>
  <c r="E8168" i="1"/>
  <c r="F8168" i="1"/>
  <c r="G8168" i="1"/>
  <c r="H8168" i="1"/>
  <c r="A8169" i="1"/>
  <c r="B8169" i="1"/>
  <c r="C8169" i="1"/>
  <c r="D8169" i="1"/>
  <c r="E8169" i="1"/>
  <c r="F8169" i="1"/>
  <c r="G8169" i="1"/>
  <c r="H8169" i="1"/>
  <c r="A8170" i="1"/>
  <c r="B8170" i="1"/>
  <c r="C8170" i="1"/>
  <c r="D8170" i="1"/>
  <c r="E8170" i="1"/>
  <c r="F8170" i="1"/>
  <c r="G8170" i="1"/>
  <c r="H8170" i="1"/>
  <c r="A8171" i="1"/>
  <c r="B8171" i="1"/>
  <c r="C8171" i="1"/>
  <c r="D8171" i="1"/>
  <c r="E8171" i="1"/>
  <c r="F8171" i="1"/>
  <c r="G8171" i="1"/>
  <c r="H8171" i="1"/>
  <c r="A8172" i="1"/>
  <c r="B8172" i="1"/>
  <c r="C8172" i="1"/>
  <c r="D8172" i="1"/>
  <c r="E8172" i="1"/>
  <c r="F8172" i="1"/>
  <c r="G8172" i="1"/>
  <c r="H8172" i="1"/>
  <c r="A8173" i="1"/>
  <c r="B8173" i="1"/>
  <c r="C8173" i="1"/>
  <c r="D8173" i="1"/>
  <c r="E8173" i="1"/>
  <c r="F8173" i="1"/>
  <c r="G8173" i="1"/>
  <c r="H8173" i="1"/>
  <c r="A8174" i="1"/>
  <c r="B8174" i="1"/>
  <c r="C8174" i="1"/>
  <c r="D8174" i="1"/>
  <c r="E8174" i="1"/>
  <c r="F8174" i="1"/>
  <c r="G8174" i="1"/>
  <c r="H8174" i="1"/>
  <c r="A8175" i="1"/>
  <c r="B8175" i="1"/>
  <c r="C8175" i="1"/>
  <c r="D8175" i="1"/>
  <c r="E8175" i="1"/>
  <c r="F8175" i="1"/>
  <c r="G8175" i="1"/>
  <c r="H8175" i="1"/>
  <c r="A8176" i="1"/>
  <c r="B8176" i="1"/>
  <c r="C8176" i="1"/>
  <c r="D8176" i="1"/>
  <c r="E8176" i="1"/>
  <c r="F8176" i="1"/>
  <c r="G8176" i="1"/>
  <c r="H8176" i="1"/>
  <c r="A8177" i="1"/>
  <c r="B8177" i="1"/>
  <c r="C8177" i="1"/>
  <c r="D8177" i="1"/>
  <c r="E8177" i="1"/>
  <c r="F8177" i="1"/>
  <c r="G8177" i="1"/>
  <c r="H8177" i="1"/>
  <c r="A8178" i="1"/>
  <c r="B8178" i="1"/>
  <c r="C8178" i="1"/>
  <c r="D8178" i="1"/>
  <c r="E8178" i="1"/>
  <c r="F8178" i="1"/>
  <c r="G8178" i="1"/>
  <c r="H8178" i="1"/>
  <c r="A8179" i="1"/>
  <c r="B8179" i="1"/>
  <c r="C8179" i="1"/>
  <c r="D8179" i="1"/>
  <c r="E8179" i="1"/>
  <c r="F8179" i="1"/>
  <c r="G8179" i="1"/>
  <c r="H8179" i="1"/>
  <c r="A8180" i="1"/>
  <c r="B8180" i="1"/>
  <c r="C8180" i="1"/>
  <c r="D8180" i="1"/>
  <c r="E8180" i="1"/>
  <c r="F8180" i="1"/>
  <c r="G8180" i="1"/>
  <c r="H8180" i="1"/>
  <c r="A8181" i="1"/>
  <c r="B8181" i="1"/>
  <c r="C8181" i="1"/>
  <c r="D8181" i="1"/>
  <c r="E8181" i="1"/>
  <c r="F8181" i="1"/>
  <c r="G8181" i="1"/>
  <c r="H8181" i="1"/>
  <c r="A8182" i="1"/>
  <c r="B8182" i="1"/>
  <c r="C8182" i="1"/>
  <c r="D8182" i="1"/>
  <c r="E8182" i="1"/>
  <c r="F8182" i="1"/>
  <c r="G8182" i="1"/>
  <c r="H8182" i="1"/>
  <c r="A8183" i="1"/>
  <c r="B8183" i="1"/>
  <c r="C8183" i="1"/>
  <c r="D8183" i="1"/>
  <c r="E8183" i="1"/>
  <c r="F8183" i="1"/>
  <c r="G8183" i="1"/>
  <c r="H8183" i="1"/>
  <c r="A8184" i="1"/>
  <c r="B8184" i="1"/>
  <c r="C8184" i="1"/>
  <c r="D8184" i="1"/>
  <c r="E8184" i="1"/>
  <c r="F8184" i="1"/>
  <c r="G8184" i="1"/>
  <c r="H8184" i="1"/>
  <c r="A8185" i="1"/>
  <c r="B8185" i="1"/>
  <c r="C8185" i="1"/>
  <c r="D8185" i="1"/>
  <c r="E8185" i="1"/>
  <c r="F8185" i="1"/>
  <c r="G8185" i="1"/>
  <c r="H8185" i="1"/>
  <c r="A8186" i="1"/>
  <c r="B8186" i="1"/>
  <c r="C8186" i="1"/>
  <c r="D8186" i="1"/>
  <c r="E8186" i="1"/>
  <c r="F8186" i="1"/>
  <c r="G8186" i="1"/>
  <c r="H8186" i="1"/>
  <c r="A8187" i="1"/>
  <c r="B8187" i="1"/>
  <c r="C8187" i="1"/>
  <c r="D8187" i="1"/>
  <c r="E8187" i="1"/>
  <c r="F8187" i="1"/>
  <c r="G8187" i="1"/>
  <c r="H8187" i="1"/>
  <c r="A8188" i="1"/>
  <c r="B8188" i="1"/>
  <c r="C8188" i="1"/>
  <c r="D8188" i="1"/>
  <c r="E8188" i="1"/>
  <c r="F8188" i="1"/>
  <c r="G8188" i="1"/>
  <c r="H8188" i="1"/>
  <c r="A8189" i="1"/>
  <c r="B8189" i="1"/>
  <c r="C8189" i="1"/>
  <c r="D8189" i="1"/>
  <c r="E8189" i="1"/>
  <c r="F8189" i="1"/>
  <c r="G8189" i="1"/>
  <c r="H8189" i="1"/>
  <c r="A8190" i="1"/>
  <c r="B8190" i="1"/>
  <c r="C8190" i="1"/>
  <c r="D8190" i="1"/>
  <c r="E8190" i="1"/>
  <c r="F8190" i="1"/>
  <c r="G8190" i="1"/>
  <c r="H8190" i="1"/>
  <c r="A8191" i="1"/>
  <c r="B8191" i="1"/>
  <c r="C8191" i="1"/>
  <c r="D8191" i="1"/>
  <c r="E8191" i="1"/>
  <c r="F8191" i="1"/>
  <c r="G8191" i="1"/>
  <c r="H8191" i="1"/>
  <c r="A8192" i="1"/>
  <c r="B8192" i="1"/>
  <c r="C8192" i="1"/>
  <c r="D8192" i="1"/>
  <c r="E8192" i="1"/>
  <c r="F8192" i="1"/>
  <c r="G8192" i="1"/>
  <c r="H8192" i="1"/>
  <c r="A8193" i="1"/>
  <c r="B8193" i="1"/>
  <c r="C8193" i="1"/>
  <c r="D8193" i="1"/>
  <c r="E8193" i="1"/>
  <c r="F8193" i="1"/>
  <c r="G8193" i="1"/>
  <c r="H8193" i="1"/>
  <c r="A8194" i="1"/>
  <c r="B8194" i="1"/>
  <c r="C8194" i="1"/>
  <c r="D8194" i="1"/>
  <c r="E8194" i="1"/>
  <c r="F8194" i="1"/>
  <c r="G8194" i="1"/>
  <c r="H8194" i="1"/>
  <c r="A8195" i="1"/>
  <c r="B8195" i="1"/>
  <c r="C8195" i="1"/>
  <c r="D8195" i="1"/>
  <c r="E8195" i="1"/>
  <c r="F8195" i="1"/>
  <c r="G8195" i="1"/>
  <c r="H8195" i="1"/>
  <c r="A8196" i="1"/>
  <c r="B8196" i="1"/>
  <c r="C8196" i="1"/>
  <c r="D8196" i="1"/>
  <c r="E8196" i="1"/>
  <c r="F8196" i="1"/>
  <c r="G8196" i="1"/>
  <c r="H8196" i="1"/>
  <c r="A8197" i="1"/>
  <c r="B8197" i="1"/>
  <c r="C8197" i="1"/>
  <c r="D8197" i="1"/>
  <c r="E8197" i="1"/>
  <c r="F8197" i="1"/>
  <c r="G8197" i="1"/>
  <c r="H8197" i="1"/>
  <c r="A8198" i="1"/>
  <c r="B8198" i="1"/>
  <c r="C8198" i="1"/>
  <c r="D8198" i="1"/>
  <c r="E8198" i="1"/>
  <c r="F8198" i="1"/>
  <c r="G8198" i="1"/>
  <c r="H8198" i="1"/>
  <c r="A8199" i="1"/>
  <c r="B8199" i="1"/>
  <c r="C8199" i="1"/>
  <c r="D8199" i="1"/>
  <c r="E8199" i="1"/>
  <c r="F8199" i="1"/>
  <c r="G8199" i="1"/>
  <c r="H8199" i="1"/>
  <c r="A8200" i="1"/>
  <c r="B8200" i="1"/>
  <c r="C8200" i="1"/>
  <c r="D8200" i="1"/>
  <c r="E8200" i="1"/>
  <c r="F8200" i="1"/>
  <c r="G8200" i="1"/>
  <c r="H8200" i="1"/>
  <c r="A8201" i="1"/>
  <c r="B8201" i="1"/>
  <c r="C8201" i="1"/>
  <c r="D8201" i="1"/>
  <c r="E8201" i="1"/>
  <c r="F8201" i="1"/>
  <c r="G8201" i="1"/>
  <c r="H8201" i="1"/>
  <c r="A8202" i="1"/>
  <c r="B8202" i="1"/>
  <c r="C8202" i="1"/>
  <c r="D8202" i="1"/>
  <c r="E8202" i="1"/>
  <c r="F8202" i="1"/>
  <c r="G8202" i="1"/>
  <c r="H8202" i="1"/>
  <c r="A8203" i="1"/>
  <c r="B8203" i="1"/>
  <c r="C8203" i="1"/>
  <c r="D8203" i="1"/>
  <c r="E8203" i="1"/>
  <c r="F8203" i="1"/>
  <c r="G8203" i="1"/>
  <c r="H8203" i="1"/>
  <c r="A8204" i="1"/>
  <c r="B8204" i="1"/>
  <c r="C8204" i="1"/>
  <c r="D8204" i="1"/>
  <c r="E8204" i="1"/>
  <c r="F8204" i="1"/>
  <c r="G8204" i="1"/>
  <c r="H8204" i="1"/>
  <c r="A8205" i="1"/>
  <c r="B8205" i="1"/>
  <c r="C8205" i="1"/>
  <c r="D8205" i="1"/>
  <c r="E8205" i="1"/>
  <c r="F8205" i="1"/>
  <c r="G8205" i="1"/>
  <c r="H8205" i="1"/>
  <c r="A8206" i="1"/>
  <c r="B8206" i="1"/>
  <c r="C8206" i="1"/>
  <c r="D8206" i="1"/>
  <c r="E8206" i="1"/>
  <c r="F8206" i="1"/>
  <c r="G8206" i="1"/>
  <c r="H8206" i="1"/>
  <c r="A8207" i="1"/>
  <c r="B8207" i="1"/>
  <c r="C8207" i="1"/>
  <c r="D8207" i="1"/>
  <c r="E8207" i="1"/>
  <c r="F8207" i="1"/>
  <c r="G8207" i="1"/>
  <c r="H8207" i="1"/>
  <c r="A8208" i="1"/>
  <c r="B8208" i="1"/>
  <c r="C8208" i="1"/>
  <c r="D8208" i="1"/>
  <c r="E8208" i="1"/>
  <c r="F8208" i="1"/>
  <c r="G8208" i="1"/>
  <c r="H8208" i="1"/>
  <c r="A8209" i="1"/>
  <c r="B8209" i="1"/>
  <c r="C8209" i="1"/>
  <c r="D8209" i="1"/>
  <c r="E8209" i="1"/>
  <c r="F8209" i="1"/>
  <c r="G8209" i="1"/>
  <c r="H8209" i="1"/>
  <c r="A8210" i="1"/>
  <c r="B8210" i="1"/>
  <c r="C8210" i="1"/>
  <c r="D8210" i="1"/>
  <c r="E8210" i="1"/>
  <c r="F8210" i="1"/>
  <c r="G8210" i="1"/>
  <c r="H8210" i="1"/>
  <c r="A8211" i="1"/>
  <c r="B8211" i="1"/>
  <c r="C8211" i="1"/>
  <c r="D8211" i="1"/>
  <c r="E8211" i="1"/>
  <c r="F8211" i="1"/>
  <c r="G8211" i="1"/>
  <c r="H8211" i="1"/>
  <c r="A8212" i="1"/>
  <c r="B8212" i="1"/>
  <c r="C8212" i="1"/>
  <c r="D8212" i="1"/>
  <c r="E8212" i="1"/>
  <c r="F8212" i="1"/>
  <c r="G8212" i="1"/>
  <c r="H8212" i="1"/>
  <c r="A8213" i="1"/>
  <c r="B8213" i="1"/>
  <c r="C8213" i="1"/>
  <c r="D8213" i="1"/>
  <c r="E8213" i="1"/>
  <c r="F8213" i="1"/>
  <c r="G8213" i="1"/>
  <c r="H8213" i="1"/>
  <c r="A8214" i="1"/>
  <c r="B8214" i="1"/>
  <c r="C8214" i="1"/>
  <c r="D8214" i="1"/>
  <c r="E8214" i="1"/>
  <c r="F8214" i="1"/>
  <c r="G8214" i="1"/>
  <c r="H8214" i="1"/>
  <c r="A8215" i="1"/>
  <c r="B8215" i="1"/>
  <c r="C8215" i="1"/>
  <c r="D8215" i="1"/>
  <c r="E8215" i="1"/>
  <c r="F8215" i="1"/>
  <c r="G8215" i="1"/>
  <c r="H8215" i="1"/>
  <c r="A8216" i="1"/>
  <c r="B8216" i="1"/>
  <c r="C8216" i="1"/>
  <c r="D8216" i="1"/>
  <c r="E8216" i="1"/>
  <c r="F8216" i="1"/>
  <c r="G8216" i="1"/>
  <c r="H8216" i="1"/>
  <c r="A8217" i="1"/>
  <c r="B8217" i="1"/>
  <c r="C8217" i="1"/>
  <c r="D8217" i="1"/>
  <c r="E8217" i="1"/>
  <c r="F8217" i="1"/>
  <c r="G8217" i="1"/>
  <c r="H8217" i="1"/>
  <c r="A8218" i="1"/>
  <c r="B8218" i="1"/>
  <c r="C8218" i="1"/>
  <c r="D8218" i="1"/>
  <c r="E8218" i="1"/>
  <c r="F8218" i="1"/>
  <c r="G8218" i="1"/>
  <c r="H8218" i="1"/>
  <c r="A8219" i="1"/>
  <c r="B8219" i="1"/>
  <c r="C8219" i="1"/>
  <c r="D8219" i="1"/>
  <c r="E8219" i="1"/>
  <c r="F8219" i="1"/>
  <c r="G8219" i="1"/>
  <c r="H8219" i="1"/>
  <c r="A8220" i="1"/>
  <c r="B8220" i="1"/>
  <c r="C8220" i="1"/>
  <c r="D8220" i="1"/>
  <c r="E8220" i="1"/>
  <c r="F8220" i="1"/>
  <c r="G8220" i="1"/>
  <c r="H8220" i="1"/>
  <c r="A8221" i="1"/>
  <c r="B8221" i="1"/>
  <c r="C8221" i="1"/>
  <c r="D8221" i="1"/>
  <c r="E8221" i="1"/>
  <c r="F8221" i="1"/>
  <c r="G8221" i="1"/>
  <c r="H8221" i="1"/>
  <c r="A8222" i="1"/>
  <c r="B8222" i="1"/>
  <c r="C8222" i="1"/>
  <c r="D8222" i="1"/>
  <c r="E8222" i="1"/>
  <c r="F8222" i="1"/>
  <c r="G8222" i="1"/>
  <c r="H8222" i="1"/>
  <c r="A8223" i="1"/>
  <c r="B8223" i="1"/>
  <c r="C8223" i="1"/>
  <c r="D8223" i="1"/>
  <c r="E8223" i="1"/>
  <c r="F8223" i="1"/>
  <c r="G8223" i="1"/>
  <c r="H8223" i="1"/>
  <c r="A8224" i="1"/>
  <c r="B8224" i="1"/>
  <c r="C8224" i="1"/>
  <c r="D8224" i="1"/>
  <c r="E8224" i="1"/>
  <c r="F8224" i="1"/>
  <c r="G8224" i="1"/>
  <c r="H8224" i="1"/>
  <c r="A8225" i="1"/>
  <c r="B8225" i="1"/>
  <c r="C8225" i="1"/>
  <c r="D8225" i="1"/>
  <c r="E8225" i="1"/>
  <c r="F8225" i="1"/>
  <c r="G8225" i="1"/>
  <c r="H8225" i="1"/>
  <c r="A8226" i="1"/>
  <c r="B8226" i="1"/>
  <c r="C8226" i="1"/>
  <c r="D8226" i="1"/>
  <c r="E8226" i="1"/>
  <c r="F8226" i="1"/>
  <c r="G8226" i="1"/>
  <c r="H8226" i="1"/>
  <c r="A8227" i="1"/>
  <c r="B8227" i="1"/>
  <c r="C8227" i="1"/>
  <c r="D8227" i="1"/>
  <c r="E8227" i="1"/>
  <c r="F8227" i="1"/>
  <c r="G8227" i="1"/>
  <c r="H8227" i="1"/>
  <c r="A8228" i="1"/>
  <c r="B8228" i="1"/>
  <c r="C8228" i="1"/>
  <c r="D8228" i="1"/>
  <c r="E8228" i="1"/>
  <c r="F8228" i="1"/>
  <c r="G8228" i="1"/>
  <c r="H8228" i="1"/>
  <c r="A8229" i="1"/>
  <c r="B8229" i="1"/>
  <c r="C8229" i="1"/>
  <c r="D8229" i="1"/>
  <c r="E8229" i="1"/>
  <c r="F8229" i="1"/>
  <c r="G8229" i="1"/>
  <c r="H8229" i="1"/>
  <c r="A8230" i="1"/>
  <c r="B8230" i="1"/>
  <c r="C8230" i="1"/>
  <c r="D8230" i="1"/>
  <c r="E8230" i="1"/>
  <c r="F8230" i="1"/>
  <c r="G8230" i="1"/>
  <c r="H8230" i="1"/>
  <c r="A8231" i="1"/>
  <c r="B8231" i="1"/>
  <c r="C8231" i="1"/>
  <c r="D8231" i="1"/>
  <c r="E8231" i="1"/>
  <c r="F8231" i="1"/>
  <c r="G8231" i="1"/>
  <c r="H8231" i="1"/>
  <c r="A8232" i="1"/>
  <c r="B8232" i="1"/>
  <c r="C8232" i="1"/>
  <c r="D8232" i="1"/>
  <c r="E8232" i="1"/>
  <c r="F8232" i="1"/>
  <c r="G8232" i="1"/>
  <c r="H8232" i="1"/>
  <c r="A8233" i="1"/>
  <c r="B8233" i="1"/>
  <c r="C8233" i="1"/>
  <c r="D8233" i="1"/>
  <c r="E8233" i="1"/>
  <c r="F8233" i="1"/>
  <c r="G8233" i="1"/>
  <c r="H8233" i="1"/>
  <c r="A8234" i="1"/>
  <c r="B8234" i="1"/>
  <c r="C8234" i="1"/>
  <c r="D8234" i="1"/>
  <c r="E8234" i="1"/>
  <c r="F8234" i="1"/>
  <c r="G8234" i="1"/>
  <c r="H8234" i="1"/>
  <c r="A8235" i="1"/>
  <c r="B8235" i="1"/>
  <c r="C8235" i="1"/>
  <c r="D8235" i="1"/>
  <c r="E8235" i="1"/>
  <c r="F8235" i="1"/>
  <c r="G8235" i="1"/>
  <c r="H8235" i="1"/>
  <c r="A8236" i="1"/>
  <c r="B8236" i="1"/>
  <c r="C8236" i="1"/>
  <c r="D8236" i="1"/>
  <c r="E8236" i="1"/>
  <c r="F8236" i="1"/>
  <c r="G8236" i="1"/>
  <c r="H8236" i="1"/>
  <c r="A8237" i="1"/>
  <c r="B8237" i="1"/>
  <c r="C8237" i="1"/>
  <c r="D8237" i="1"/>
  <c r="E8237" i="1"/>
  <c r="F8237" i="1"/>
  <c r="G8237" i="1"/>
  <c r="H8237" i="1"/>
  <c r="A8238" i="1"/>
  <c r="B8238" i="1"/>
  <c r="C8238" i="1"/>
  <c r="D8238" i="1"/>
  <c r="E8238" i="1"/>
  <c r="F8238" i="1"/>
  <c r="G8238" i="1"/>
  <c r="H8238" i="1"/>
  <c r="A8239" i="1"/>
  <c r="B8239" i="1"/>
  <c r="C8239" i="1"/>
  <c r="D8239" i="1"/>
  <c r="E8239" i="1"/>
  <c r="F8239" i="1"/>
  <c r="G8239" i="1"/>
  <c r="H8239" i="1"/>
  <c r="A8240" i="1"/>
  <c r="B8240" i="1"/>
  <c r="C8240" i="1"/>
  <c r="D8240" i="1"/>
  <c r="E8240" i="1"/>
  <c r="F8240" i="1"/>
  <c r="G8240" i="1"/>
  <c r="H8240" i="1"/>
  <c r="A8241" i="1"/>
  <c r="B8241" i="1"/>
  <c r="C8241" i="1"/>
  <c r="D8241" i="1"/>
  <c r="E8241" i="1"/>
  <c r="F8241" i="1"/>
  <c r="G8241" i="1"/>
  <c r="H8241" i="1"/>
  <c r="A8242" i="1"/>
  <c r="B8242" i="1"/>
  <c r="C8242" i="1"/>
  <c r="D8242" i="1"/>
  <c r="E8242" i="1"/>
  <c r="F8242" i="1"/>
  <c r="G8242" i="1"/>
  <c r="H8242" i="1"/>
  <c r="A8243" i="1"/>
  <c r="B8243" i="1"/>
  <c r="C8243" i="1"/>
  <c r="D8243" i="1"/>
  <c r="E8243" i="1"/>
  <c r="F8243" i="1"/>
  <c r="G8243" i="1"/>
  <c r="H8243" i="1"/>
  <c r="A8244" i="1"/>
  <c r="B8244" i="1"/>
  <c r="C8244" i="1"/>
  <c r="D8244" i="1"/>
  <c r="E8244" i="1"/>
  <c r="F8244" i="1"/>
  <c r="G8244" i="1"/>
  <c r="H8244" i="1"/>
  <c r="A8245" i="1"/>
  <c r="B8245" i="1"/>
  <c r="C8245" i="1"/>
  <c r="D8245" i="1"/>
  <c r="E8245" i="1"/>
  <c r="F8245" i="1"/>
  <c r="G8245" i="1"/>
  <c r="H8245" i="1"/>
  <c r="A8246" i="1"/>
  <c r="B8246" i="1"/>
  <c r="C8246" i="1"/>
  <c r="D8246" i="1"/>
  <c r="E8246" i="1"/>
  <c r="F8246" i="1"/>
  <c r="G8246" i="1"/>
  <c r="H8246" i="1"/>
  <c r="A8247" i="1"/>
  <c r="B8247" i="1"/>
  <c r="C8247" i="1"/>
  <c r="D8247" i="1"/>
  <c r="E8247" i="1"/>
  <c r="F8247" i="1"/>
  <c r="G8247" i="1"/>
  <c r="H8247" i="1"/>
  <c r="A8248" i="1"/>
  <c r="B8248" i="1"/>
  <c r="C8248" i="1"/>
  <c r="D8248" i="1"/>
  <c r="E8248" i="1"/>
  <c r="F8248" i="1"/>
  <c r="G8248" i="1"/>
  <c r="H8248" i="1"/>
  <c r="A8249" i="1"/>
  <c r="B8249" i="1"/>
  <c r="C8249" i="1"/>
  <c r="D8249" i="1"/>
  <c r="E8249" i="1"/>
  <c r="F8249" i="1"/>
  <c r="G8249" i="1"/>
  <c r="H8249" i="1"/>
  <c r="A8250" i="1"/>
  <c r="B8250" i="1"/>
  <c r="C8250" i="1"/>
  <c r="D8250" i="1"/>
  <c r="E8250" i="1"/>
  <c r="F8250" i="1"/>
  <c r="G8250" i="1"/>
  <c r="H8250" i="1"/>
  <c r="A8251" i="1"/>
  <c r="B8251" i="1"/>
  <c r="C8251" i="1"/>
  <c r="D8251" i="1"/>
  <c r="E8251" i="1"/>
  <c r="F8251" i="1"/>
  <c r="G8251" i="1"/>
  <c r="H8251" i="1"/>
  <c r="A8252" i="1"/>
  <c r="B8252" i="1"/>
  <c r="C8252" i="1"/>
  <c r="D8252" i="1"/>
  <c r="E8252" i="1"/>
  <c r="F8252" i="1"/>
  <c r="G8252" i="1"/>
  <c r="H8252" i="1"/>
  <c r="A8253" i="1"/>
  <c r="B8253" i="1"/>
  <c r="C8253" i="1"/>
  <c r="D8253" i="1"/>
  <c r="E8253" i="1"/>
  <c r="F8253" i="1"/>
  <c r="G8253" i="1"/>
  <c r="H8253" i="1"/>
  <c r="A8254" i="1"/>
  <c r="B8254" i="1"/>
  <c r="C8254" i="1"/>
  <c r="D8254" i="1"/>
  <c r="E8254" i="1"/>
  <c r="F8254" i="1"/>
  <c r="G8254" i="1"/>
  <c r="H8254" i="1"/>
  <c r="A8255" i="1"/>
  <c r="B8255" i="1"/>
  <c r="C8255" i="1"/>
  <c r="D8255" i="1"/>
  <c r="E8255" i="1"/>
  <c r="F8255" i="1"/>
  <c r="G8255" i="1"/>
  <c r="H8255" i="1"/>
  <c r="A8256" i="1"/>
  <c r="B8256" i="1"/>
  <c r="C8256" i="1"/>
  <c r="D8256" i="1"/>
  <c r="E8256" i="1"/>
  <c r="F8256" i="1"/>
  <c r="G8256" i="1"/>
  <c r="H8256" i="1"/>
  <c r="A8257" i="1"/>
  <c r="B8257" i="1"/>
  <c r="C8257" i="1"/>
  <c r="D8257" i="1"/>
  <c r="E8257" i="1"/>
  <c r="F8257" i="1"/>
  <c r="G8257" i="1"/>
  <c r="H8257" i="1"/>
  <c r="A8258" i="1"/>
  <c r="B8258" i="1"/>
  <c r="C8258" i="1"/>
  <c r="D8258" i="1"/>
  <c r="E8258" i="1"/>
  <c r="F8258" i="1"/>
  <c r="G8258" i="1"/>
  <c r="H8258" i="1"/>
  <c r="A8259" i="1"/>
  <c r="B8259" i="1"/>
  <c r="C8259" i="1"/>
  <c r="D8259" i="1"/>
  <c r="E8259" i="1"/>
  <c r="F8259" i="1"/>
  <c r="G8259" i="1"/>
  <c r="H8259" i="1"/>
  <c r="A8260" i="1"/>
  <c r="B8260" i="1"/>
  <c r="C8260" i="1"/>
  <c r="D8260" i="1"/>
  <c r="E8260" i="1"/>
  <c r="F8260" i="1"/>
  <c r="G8260" i="1"/>
  <c r="H8260" i="1"/>
  <c r="A8261" i="1"/>
  <c r="B8261" i="1"/>
  <c r="C8261" i="1"/>
  <c r="D8261" i="1"/>
  <c r="E8261" i="1"/>
  <c r="F8261" i="1"/>
  <c r="G8261" i="1"/>
  <c r="H8261" i="1"/>
  <c r="A8262" i="1"/>
  <c r="B8262" i="1"/>
  <c r="C8262" i="1"/>
  <c r="D8262" i="1"/>
  <c r="E8262" i="1"/>
  <c r="F8262" i="1"/>
  <c r="G8262" i="1"/>
  <c r="H8262" i="1"/>
  <c r="A8263" i="1"/>
  <c r="B8263" i="1"/>
  <c r="C8263" i="1"/>
  <c r="D8263" i="1"/>
  <c r="E8263" i="1"/>
  <c r="F8263" i="1"/>
  <c r="G8263" i="1"/>
  <c r="H8263" i="1"/>
  <c r="A8264" i="1"/>
  <c r="B8264" i="1"/>
  <c r="C8264" i="1"/>
  <c r="D8264" i="1"/>
  <c r="E8264" i="1"/>
  <c r="F8264" i="1"/>
  <c r="G8264" i="1"/>
  <c r="H8264" i="1"/>
  <c r="A8265" i="1"/>
  <c r="B8265" i="1"/>
  <c r="C8265" i="1"/>
  <c r="D8265" i="1"/>
  <c r="E8265" i="1"/>
  <c r="F8265" i="1"/>
  <c r="G8265" i="1"/>
  <c r="H8265" i="1"/>
  <c r="A8266" i="1"/>
  <c r="B8266" i="1"/>
  <c r="C8266" i="1"/>
  <c r="D8266" i="1"/>
  <c r="E8266" i="1"/>
  <c r="F8266" i="1"/>
  <c r="G8266" i="1"/>
  <c r="H8266" i="1"/>
  <c r="A8267" i="1"/>
  <c r="B8267" i="1"/>
  <c r="C8267" i="1"/>
  <c r="D8267" i="1"/>
  <c r="E8267" i="1"/>
  <c r="F8267" i="1"/>
  <c r="G8267" i="1"/>
  <c r="H8267" i="1"/>
  <c r="A8268" i="1"/>
  <c r="B8268" i="1"/>
  <c r="C8268" i="1"/>
  <c r="D8268" i="1"/>
  <c r="E8268" i="1"/>
  <c r="F8268" i="1"/>
  <c r="G8268" i="1"/>
  <c r="H8268" i="1"/>
  <c r="A8269" i="1"/>
  <c r="B8269" i="1"/>
  <c r="C8269" i="1"/>
  <c r="D8269" i="1"/>
  <c r="E8269" i="1"/>
  <c r="F8269" i="1"/>
  <c r="G8269" i="1"/>
  <c r="H8269" i="1"/>
  <c r="A8270" i="1"/>
  <c r="B8270" i="1"/>
  <c r="C8270" i="1"/>
  <c r="D8270" i="1"/>
  <c r="E8270" i="1"/>
  <c r="F8270" i="1"/>
  <c r="G8270" i="1"/>
  <c r="H8270" i="1"/>
  <c r="A8271" i="1"/>
  <c r="B8271" i="1"/>
  <c r="C8271" i="1"/>
  <c r="D8271" i="1"/>
  <c r="E8271" i="1"/>
  <c r="F8271" i="1"/>
  <c r="G8271" i="1"/>
  <c r="H8271" i="1"/>
  <c r="A8272" i="1"/>
  <c r="B8272" i="1"/>
  <c r="C8272" i="1"/>
  <c r="D8272" i="1"/>
  <c r="E8272" i="1"/>
  <c r="F8272" i="1"/>
  <c r="G8272" i="1"/>
  <c r="H8272" i="1"/>
  <c r="A8273" i="1"/>
  <c r="B8273" i="1"/>
  <c r="C8273" i="1"/>
  <c r="D8273" i="1"/>
  <c r="E8273" i="1"/>
  <c r="F8273" i="1"/>
  <c r="G8273" i="1"/>
  <c r="H8273" i="1"/>
  <c r="A8274" i="1"/>
  <c r="B8274" i="1"/>
  <c r="C8274" i="1"/>
  <c r="D8274" i="1"/>
  <c r="E8274" i="1"/>
  <c r="F8274" i="1"/>
  <c r="G8274" i="1"/>
  <c r="H8274" i="1"/>
  <c r="A8275" i="1"/>
  <c r="B8275" i="1"/>
  <c r="C8275" i="1"/>
  <c r="D8275" i="1"/>
  <c r="E8275" i="1"/>
  <c r="F8275" i="1"/>
  <c r="G8275" i="1"/>
  <c r="H8275" i="1"/>
  <c r="A8276" i="1"/>
  <c r="B8276" i="1"/>
  <c r="C8276" i="1"/>
  <c r="D8276" i="1"/>
  <c r="E8276" i="1"/>
  <c r="F8276" i="1"/>
  <c r="G8276" i="1"/>
  <c r="H8276" i="1"/>
  <c r="A8277" i="1"/>
  <c r="B8277" i="1"/>
  <c r="C8277" i="1"/>
  <c r="D8277" i="1"/>
  <c r="E8277" i="1"/>
  <c r="F8277" i="1"/>
  <c r="G8277" i="1"/>
  <c r="H8277" i="1"/>
  <c r="A8278" i="1"/>
  <c r="B8278" i="1"/>
  <c r="C8278" i="1"/>
  <c r="D8278" i="1"/>
  <c r="E8278" i="1"/>
  <c r="F8278" i="1"/>
  <c r="G8278" i="1"/>
  <c r="H8278" i="1"/>
  <c r="A8279" i="1"/>
  <c r="B8279" i="1"/>
  <c r="C8279" i="1"/>
  <c r="D8279" i="1"/>
  <c r="E8279" i="1"/>
  <c r="F8279" i="1"/>
  <c r="G8279" i="1"/>
  <c r="H8279" i="1"/>
  <c r="A8280" i="1"/>
  <c r="B8280" i="1"/>
  <c r="C8280" i="1"/>
  <c r="D8280" i="1"/>
  <c r="E8280" i="1"/>
  <c r="F8280" i="1"/>
  <c r="G8280" i="1"/>
  <c r="H8280" i="1"/>
  <c r="A8281" i="1"/>
  <c r="B8281" i="1"/>
  <c r="C8281" i="1"/>
  <c r="D8281" i="1"/>
  <c r="E8281" i="1"/>
  <c r="F8281" i="1"/>
  <c r="G8281" i="1"/>
  <c r="H8281" i="1"/>
  <c r="A8282" i="1"/>
  <c r="B8282" i="1"/>
  <c r="C8282" i="1"/>
  <c r="D8282" i="1"/>
  <c r="E8282" i="1"/>
  <c r="F8282" i="1"/>
  <c r="G8282" i="1"/>
  <c r="H8282" i="1"/>
  <c r="A8283" i="1"/>
  <c r="B8283" i="1"/>
  <c r="C8283" i="1"/>
  <c r="D8283" i="1"/>
  <c r="E8283" i="1"/>
  <c r="F8283" i="1"/>
  <c r="G8283" i="1"/>
  <c r="H8283" i="1"/>
  <c r="A8284" i="1"/>
  <c r="B8284" i="1"/>
  <c r="C8284" i="1"/>
  <c r="D8284" i="1"/>
  <c r="E8284" i="1"/>
  <c r="F8284" i="1"/>
  <c r="G8284" i="1"/>
  <c r="H8284" i="1"/>
  <c r="A8285" i="1"/>
  <c r="B8285" i="1"/>
  <c r="C8285" i="1"/>
  <c r="D8285" i="1"/>
  <c r="E8285" i="1"/>
  <c r="F8285" i="1"/>
  <c r="G8285" i="1"/>
  <c r="H8285" i="1"/>
  <c r="A8286" i="1"/>
  <c r="B8286" i="1"/>
  <c r="C8286" i="1"/>
  <c r="D8286" i="1"/>
  <c r="E8286" i="1"/>
  <c r="F8286" i="1"/>
  <c r="G8286" i="1"/>
  <c r="H8286" i="1"/>
  <c r="A8287" i="1"/>
  <c r="B8287" i="1"/>
  <c r="C8287" i="1"/>
  <c r="D8287" i="1"/>
  <c r="E8287" i="1"/>
  <c r="F8287" i="1"/>
  <c r="G8287" i="1"/>
  <c r="H8287" i="1"/>
  <c r="A8288" i="1"/>
  <c r="B8288" i="1"/>
  <c r="C8288" i="1"/>
  <c r="D8288" i="1"/>
  <c r="E8288" i="1"/>
  <c r="F8288" i="1"/>
  <c r="G8288" i="1"/>
  <c r="H8288" i="1"/>
  <c r="A8289" i="1"/>
  <c r="B8289" i="1"/>
  <c r="C8289" i="1"/>
  <c r="D8289" i="1"/>
  <c r="E8289" i="1"/>
  <c r="F8289" i="1"/>
  <c r="G8289" i="1"/>
  <c r="H8289" i="1"/>
  <c r="A8290" i="1"/>
  <c r="B8290" i="1"/>
  <c r="C8290" i="1"/>
  <c r="D8290" i="1"/>
  <c r="E8290" i="1"/>
  <c r="F8290" i="1"/>
  <c r="G8290" i="1"/>
  <c r="H8290" i="1"/>
  <c r="A8291" i="1"/>
  <c r="B8291" i="1"/>
  <c r="C8291" i="1"/>
  <c r="D8291" i="1"/>
  <c r="E8291" i="1"/>
  <c r="F8291" i="1"/>
  <c r="G8291" i="1"/>
  <c r="H8291" i="1"/>
  <c r="A8292" i="1"/>
  <c r="B8292" i="1"/>
  <c r="C8292" i="1"/>
  <c r="D8292" i="1"/>
  <c r="E8292" i="1"/>
  <c r="F8292" i="1"/>
  <c r="G8292" i="1"/>
  <c r="H8292" i="1"/>
  <c r="A8293" i="1"/>
  <c r="B8293" i="1"/>
  <c r="C8293" i="1"/>
  <c r="D8293" i="1"/>
  <c r="E8293" i="1"/>
  <c r="F8293" i="1"/>
  <c r="G8293" i="1"/>
  <c r="H8293" i="1"/>
  <c r="A8294" i="1"/>
  <c r="B8294" i="1"/>
  <c r="C8294" i="1"/>
  <c r="D8294" i="1"/>
  <c r="E8294" i="1"/>
  <c r="F8294" i="1"/>
  <c r="G8294" i="1"/>
  <c r="H8294" i="1"/>
  <c r="A8295" i="1"/>
  <c r="B8295" i="1"/>
  <c r="C8295" i="1"/>
  <c r="D8295" i="1"/>
  <c r="E8295" i="1"/>
  <c r="F8295" i="1"/>
  <c r="G8295" i="1"/>
  <c r="H8295" i="1"/>
  <c r="A8296" i="1"/>
  <c r="B8296" i="1"/>
  <c r="C8296" i="1"/>
  <c r="D8296" i="1"/>
  <c r="E8296" i="1"/>
  <c r="F8296" i="1"/>
  <c r="G8296" i="1"/>
  <c r="H8296" i="1"/>
  <c r="A8297" i="1"/>
  <c r="B8297" i="1"/>
  <c r="C8297" i="1"/>
  <c r="D8297" i="1"/>
  <c r="E8297" i="1"/>
  <c r="F8297" i="1"/>
  <c r="G8297" i="1"/>
  <c r="H8297" i="1"/>
  <c r="A8298" i="1"/>
  <c r="B8298" i="1"/>
  <c r="C8298" i="1"/>
  <c r="D8298" i="1"/>
  <c r="E8298" i="1"/>
  <c r="F8298" i="1"/>
  <c r="G8298" i="1"/>
  <c r="H8298" i="1"/>
  <c r="A8299" i="1"/>
  <c r="B8299" i="1"/>
  <c r="C8299" i="1"/>
  <c r="D8299" i="1"/>
  <c r="E8299" i="1"/>
  <c r="F8299" i="1"/>
  <c r="G8299" i="1"/>
  <c r="H8299" i="1"/>
  <c r="A8300" i="1"/>
  <c r="B8300" i="1"/>
  <c r="C8300" i="1"/>
  <c r="D8300" i="1"/>
  <c r="E8300" i="1"/>
  <c r="F8300" i="1"/>
  <c r="G8300" i="1"/>
  <c r="H8300" i="1"/>
  <c r="A8301" i="1"/>
  <c r="B8301" i="1"/>
  <c r="C8301" i="1"/>
  <c r="D8301" i="1"/>
  <c r="E8301" i="1"/>
  <c r="F8301" i="1"/>
  <c r="G8301" i="1"/>
  <c r="H8301" i="1"/>
  <c r="A8302" i="1"/>
  <c r="B8302" i="1"/>
  <c r="C8302" i="1"/>
  <c r="D8302" i="1"/>
  <c r="E8302" i="1"/>
  <c r="F8302" i="1"/>
  <c r="G8302" i="1"/>
  <c r="H8302" i="1"/>
  <c r="A8303" i="1"/>
  <c r="B8303" i="1"/>
  <c r="C8303" i="1"/>
  <c r="D8303" i="1"/>
  <c r="E8303" i="1"/>
  <c r="F8303" i="1"/>
  <c r="G8303" i="1"/>
  <c r="H8303" i="1"/>
  <c r="A8304" i="1"/>
  <c r="B8304" i="1"/>
  <c r="C8304" i="1"/>
  <c r="D8304" i="1"/>
  <c r="E8304" i="1"/>
  <c r="F8304" i="1"/>
  <c r="G8304" i="1"/>
  <c r="H8304" i="1"/>
  <c r="A8305" i="1"/>
  <c r="B8305" i="1"/>
  <c r="C8305" i="1"/>
  <c r="D8305" i="1"/>
  <c r="E8305" i="1"/>
  <c r="F8305" i="1"/>
  <c r="G8305" i="1"/>
  <c r="H8305" i="1"/>
  <c r="A8306" i="1"/>
  <c r="B8306" i="1"/>
  <c r="C8306" i="1"/>
  <c r="D8306" i="1"/>
  <c r="E8306" i="1"/>
  <c r="F8306" i="1"/>
  <c r="G8306" i="1"/>
  <c r="H8306" i="1"/>
  <c r="A8307" i="1"/>
  <c r="B8307" i="1"/>
  <c r="C8307" i="1"/>
  <c r="D8307" i="1"/>
  <c r="E8307" i="1"/>
  <c r="F8307" i="1"/>
  <c r="G8307" i="1"/>
  <c r="H8307" i="1"/>
  <c r="A8308" i="1"/>
  <c r="B8308" i="1"/>
  <c r="C8308" i="1"/>
  <c r="D8308" i="1"/>
  <c r="E8308" i="1"/>
  <c r="F8308" i="1"/>
  <c r="G8308" i="1"/>
  <c r="H8308" i="1"/>
  <c r="A8309" i="1"/>
  <c r="B8309" i="1"/>
  <c r="C8309" i="1"/>
  <c r="D8309" i="1"/>
  <c r="E8309" i="1"/>
  <c r="F8309" i="1"/>
  <c r="G8309" i="1"/>
  <c r="H8309" i="1"/>
  <c r="A8310" i="1"/>
  <c r="B8310" i="1"/>
  <c r="C8310" i="1"/>
  <c r="D8310" i="1"/>
  <c r="E8310" i="1"/>
  <c r="F8310" i="1"/>
  <c r="G8310" i="1"/>
  <c r="H8310" i="1"/>
  <c r="A8311" i="1"/>
  <c r="B8311" i="1"/>
  <c r="C8311" i="1"/>
  <c r="D8311" i="1"/>
  <c r="E8311" i="1"/>
  <c r="F8311" i="1"/>
  <c r="G8311" i="1"/>
  <c r="H8311" i="1"/>
  <c r="A8312" i="1"/>
  <c r="B8312" i="1"/>
  <c r="C8312" i="1"/>
  <c r="D8312" i="1"/>
  <c r="E8312" i="1"/>
  <c r="F8312" i="1"/>
  <c r="G8312" i="1"/>
  <c r="H8312" i="1"/>
  <c r="A8313" i="1"/>
  <c r="B8313" i="1"/>
  <c r="C8313" i="1"/>
  <c r="D8313" i="1"/>
  <c r="E8313" i="1"/>
  <c r="F8313" i="1"/>
  <c r="G8313" i="1"/>
  <c r="H8313" i="1"/>
  <c r="A8314" i="1"/>
  <c r="B8314" i="1"/>
  <c r="C8314" i="1"/>
  <c r="D8314" i="1"/>
  <c r="E8314" i="1"/>
  <c r="F8314" i="1"/>
  <c r="G8314" i="1"/>
  <c r="H8314" i="1"/>
  <c r="A8315" i="1"/>
  <c r="B8315" i="1"/>
  <c r="C8315" i="1"/>
  <c r="D8315" i="1"/>
  <c r="E8315" i="1"/>
  <c r="F8315" i="1"/>
  <c r="G8315" i="1"/>
  <c r="H8315" i="1"/>
  <c r="A8316" i="1"/>
  <c r="B8316" i="1"/>
  <c r="C8316" i="1"/>
  <c r="D8316" i="1"/>
  <c r="E8316" i="1"/>
  <c r="F8316" i="1"/>
  <c r="G8316" i="1"/>
  <c r="H8316" i="1"/>
  <c r="A8317" i="1"/>
  <c r="B8317" i="1"/>
  <c r="C8317" i="1"/>
  <c r="D8317" i="1"/>
  <c r="E8317" i="1"/>
  <c r="F8317" i="1"/>
  <c r="G8317" i="1"/>
  <c r="H8317" i="1"/>
  <c r="A8318" i="1"/>
  <c r="B8318" i="1"/>
  <c r="C8318" i="1"/>
  <c r="D8318" i="1"/>
  <c r="E8318" i="1"/>
  <c r="F8318" i="1"/>
  <c r="G8318" i="1"/>
  <c r="H8318" i="1"/>
  <c r="A8319" i="1"/>
  <c r="B8319" i="1"/>
  <c r="C8319" i="1"/>
  <c r="D8319" i="1"/>
  <c r="E8319" i="1"/>
  <c r="F8319" i="1"/>
  <c r="G8319" i="1"/>
  <c r="H8319" i="1"/>
  <c r="A8320" i="1"/>
  <c r="B8320" i="1"/>
  <c r="C8320" i="1"/>
  <c r="D8320" i="1"/>
  <c r="E8320" i="1"/>
  <c r="F8320" i="1"/>
  <c r="G8320" i="1"/>
  <c r="H8320" i="1"/>
  <c r="A8321" i="1"/>
  <c r="B8321" i="1"/>
  <c r="C8321" i="1"/>
  <c r="D8321" i="1"/>
  <c r="E8321" i="1"/>
  <c r="F8321" i="1"/>
  <c r="G8321" i="1"/>
  <c r="H8321" i="1"/>
  <c r="A8322" i="1"/>
  <c r="B8322" i="1"/>
  <c r="C8322" i="1"/>
  <c r="D8322" i="1"/>
  <c r="E8322" i="1"/>
  <c r="F8322" i="1"/>
  <c r="G8322" i="1"/>
  <c r="H8322" i="1"/>
  <c r="A8323" i="1"/>
  <c r="B8323" i="1"/>
  <c r="C8323" i="1"/>
  <c r="D8323" i="1"/>
  <c r="E8323" i="1"/>
  <c r="F8323" i="1"/>
  <c r="G8323" i="1"/>
  <c r="H8323" i="1"/>
  <c r="A8324" i="1"/>
  <c r="B8324" i="1"/>
  <c r="C8324" i="1"/>
  <c r="D8324" i="1"/>
  <c r="E8324" i="1"/>
  <c r="F8324" i="1"/>
  <c r="G8324" i="1"/>
  <c r="H8324" i="1"/>
  <c r="A8325" i="1"/>
  <c r="B8325" i="1"/>
  <c r="C8325" i="1"/>
  <c r="D8325" i="1"/>
  <c r="E8325" i="1"/>
  <c r="F8325" i="1"/>
  <c r="G8325" i="1"/>
  <c r="H8325" i="1"/>
  <c r="A8326" i="1"/>
  <c r="B8326" i="1"/>
  <c r="C8326" i="1"/>
  <c r="D8326" i="1"/>
  <c r="E8326" i="1"/>
  <c r="F8326" i="1"/>
  <c r="G8326" i="1"/>
  <c r="H8326" i="1"/>
  <c r="A8327" i="1"/>
  <c r="B8327" i="1"/>
  <c r="C8327" i="1"/>
  <c r="D8327" i="1"/>
  <c r="E8327" i="1"/>
  <c r="F8327" i="1"/>
  <c r="G8327" i="1"/>
  <c r="H8327" i="1"/>
  <c r="A8328" i="1"/>
  <c r="B8328" i="1"/>
  <c r="C8328" i="1"/>
  <c r="D8328" i="1"/>
  <c r="E8328" i="1"/>
  <c r="F8328" i="1"/>
  <c r="G8328" i="1"/>
  <c r="H8328" i="1"/>
  <c r="A8329" i="1"/>
  <c r="B8329" i="1"/>
  <c r="C8329" i="1"/>
  <c r="D8329" i="1"/>
  <c r="E8329" i="1"/>
  <c r="F8329" i="1"/>
  <c r="G8329" i="1"/>
  <c r="H8329" i="1"/>
  <c r="A8330" i="1"/>
  <c r="B8330" i="1"/>
  <c r="C8330" i="1"/>
  <c r="D8330" i="1"/>
  <c r="E8330" i="1"/>
  <c r="F8330" i="1"/>
  <c r="G8330" i="1"/>
  <c r="H8330" i="1"/>
  <c r="A8331" i="1"/>
  <c r="B8331" i="1"/>
  <c r="C8331" i="1"/>
  <c r="D8331" i="1"/>
  <c r="E8331" i="1"/>
  <c r="F8331" i="1"/>
  <c r="G8331" i="1"/>
  <c r="H8331" i="1"/>
  <c r="A8332" i="1"/>
  <c r="B8332" i="1"/>
  <c r="C8332" i="1"/>
  <c r="D8332" i="1"/>
  <c r="E8332" i="1"/>
  <c r="F8332" i="1"/>
  <c r="G8332" i="1"/>
  <c r="H8332" i="1"/>
  <c r="A8333" i="1"/>
  <c r="B8333" i="1"/>
  <c r="C8333" i="1"/>
  <c r="D8333" i="1"/>
  <c r="E8333" i="1"/>
  <c r="F8333" i="1"/>
  <c r="G8333" i="1"/>
  <c r="H8333" i="1"/>
  <c r="A8334" i="1"/>
  <c r="B8334" i="1"/>
  <c r="C8334" i="1"/>
  <c r="D8334" i="1"/>
  <c r="E8334" i="1"/>
  <c r="F8334" i="1"/>
  <c r="G8334" i="1"/>
  <c r="H8334" i="1"/>
  <c r="A8335" i="1"/>
  <c r="B8335" i="1"/>
  <c r="C8335" i="1"/>
  <c r="D8335" i="1"/>
  <c r="E8335" i="1"/>
  <c r="F8335" i="1"/>
  <c r="G8335" i="1"/>
  <c r="H8335" i="1"/>
  <c r="A8336" i="1"/>
  <c r="B8336" i="1"/>
  <c r="C8336" i="1"/>
  <c r="D8336" i="1"/>
  <c r="E8336" i="1"/>
  <c r="F8336" i="1"/>
  <c r="G8336" i="1"/>
  <c r="H8336" i="1"/>
  <c r="A8337" i="1"/>
  <c r="B8337" i="1"/>
  <c r="C8337" i="1"/>
  <c r="D8337" i="1"/>
  <c r="E8337" i="1"/>
  <c r="F8337" i="1"/>
  <c r="G8337" i="1"/>
  <c r="H8337" i="1"/>
  <c r="A8338" i="1"/>
  <c r="B8338" i="1"/>
  <c r="C8338" i="1"/>
  <c r="D8338" i="1"/>
  <c r="E8338" i="1"/>
  <c r="F8338" i="1"/>
  <c r="G8338" i="1"/>
  <c r="H8338" i="1"/>
  <c r="A8339" i="1"/>
  <c r="B8339" i="1"/>
  <c r="C8339" i="1"/>
  <c r="D8339" i="1"/>
  <c r="E8339" i="1"/>
  <c r="F8339" i="1"/>
  <c r="G8339" i="1"/>
  <c r="H8339" i="1"/>
  <c r="A8340" i="1"/>
  <c r="B8340" i="1"/>
  <c r="C8340" i="1"/>
  <c r="D8340" i="1"/>
  <c r="E8340" i="1"/>
  <c r="F8340" i="1"/>
  <c r="G8340" i="1"/>
  <c r="H8340" i="1"/>
  <c r="A8341" i="1"/>
  <c r="B8341" i="1"/>
  <c r="C8341" i="1"/>
  <c r="D8341" i="1"/>
  <c r="E8341" i="1"/>
  <c r="F8341" i="1"/>
  <c r="G8341" i="1"/>
  <c r="H8341" i="1"/>
  <c r="A8342" i="1"/>
  <c r="B8342" i="1"/>
  <c r="C8342" i="1"/>
  <c r="D8342" i="1"/>
  <c r="E8342" i="1"/>
  <c r="F8342" i="1"/>
  <c r="G8342" i="1"/>
  <c r="H8342" i="1"/>
  <c r="A8343" i="1"/>
  <c r="B8343" i="1"/>
  <c r="C8343" i="1"/>
  <c r="D8343" i="1"/>
  <c r="E8343" i="1"/>
  <c r="F8343" i="1"/>
  <c r="G8343" i="1"/>
  <c r="H8343" i="1"/>
  <c r="A8344" i="1"/>
  <c r="B8344" i="1"/>
  <c r="C8344" i="1"/>
  <c r="D8344" i="1"/>
  <c r="E8344" i="1"/>
  <c r="F8344" i="1"/>
  <c r="G8344" i="1"/>
  <c r="H8344" i="1"/>
  <c r="A8345" i="1"/>
  <c r="B8345" i="1"/>
  <c r="C8345" i="1"/>
  <c r="D8345" i="1"/>
  <c r="E8345" i="1"/>
  <c r="F8345" i="1"/>
  <c r="G8345" i="1"/>
  <c r="H8345" i="1"/>
  <c r="A8346" i="1"/>
  <c r="B8346" i="1"/>
  <c r="C8346" i="1"/>
  <c r="D8346" i="1"/>
  <c r="E8346" i="1"/>
  <c r="F8346" i="1"/>
  <c r="G8346" i="1"/>
  <c r="H8346" i="1"/>
  <c r="A8347" i="1"/>
  <c r="B8347" i="1"/>
  <c r="C8347" i="1"/>
  <c r="D8347" i="1"/>
  <c r="E8347" i="1"/>
  <c r="F8347" i="1"/>
  <c r="G8347" i="1"/>
  <c r="H8347" i="1"/>
  <c r="A8348" i="1"/>
  <c r="B8348" i="1"/>
  <c r="C8348" i="1"/>
  <c r="D8348" i="1"/>
  <c r="E8348" i="1"/>
  <c r="F8348" i="1"/>
  <c r="G8348" i="1"/>
  <c r="H8348" i="1"/>
  <c r="A8349" i="1"/>
  <c r="B8349" i="1"/>
  <c r="C8349" i="1"/>
  <c r="D8349" i="1"/>
  <c r="E8349" i="1"/>
  <c r="F8349" i="1"/>
  <c r="G8349" i="1"/>
  <c r="H8349" i="1"/>
  <c r="A8350" i="1"/>
  <c r="B8350" i="1"/>
  <c r="C8350" i="1"/>
  <c r="D8350" i="1"/>
  <c r="E8350" i="1"/>
  <c r="F8350" i="1"/>
  <c r="G8350" i="1"/>
  <c r="H8350" i="1"/>
  <c r="A8351" i="1"/>
  <c r="B8351" i="1"/>
  <c r="C8351" i="1"/>
  <c r="D8351" i="1"/>
  <c r="E8351" i="1"/>
  <c r="F8351" i="1"/>
  <c r="G8351" i="1"/>
  <c r="H8351" i="1"/>
  <c r="A8352" i="1"/>
  <c r="B8352" i="1"/>
  <c r="C8352" i="1"/>
  <c r="D8352" i="1"/>
  <c r="E8352" i="1"/>
  <c r="F8352" i="1"/>
  <c r="G8352" i="1"/>
  <c r="H8352" i="1"/>
  <c r="A8353" i="1"/>
  <c r="B8353" i="1"/>
  <c r="C8353" i="1"/>
  <c r="D8353" i="1"/>
  <c r="E8353" i="1"/>
  <c r="F8353" i="1"/>
  <c r="G8353" i="1"/>
  <c r="H8353" i="1"/>
  <c r="A8354" i="1"/>
  <c r="B8354" i="1"/>
  <c r="C8354" i="1"/>
  <c r="D8354" i="1"/>
  <c r="E8354" i="1"/>
  <c r="F8354" i="1"/>
  <c r="G8354" i="1"/>
  <c r="H8354" i="1"/>
  <c r="A8355" i="1"/>
  <c r="B8355" i="1"/>
  <c r="C8355" i="1"/>
  <c r="D8355" i="1"/>
  <c r="E8355" i="1"/>
  <c r="F8355" i="1"/>
  <c r="G8355" i="1"/>
  <c r="H8355" i="1"/>
  <c r="A8356" i="1"/>
  <c r="B8356" i="1"/>
  <c r="C8356" i="1"/>
  <c r="D8356" i="1"/>
  <c r="E8356" i="1"/>
  <c r="F8356" i="1"/>
  <c r="G8356" i="1"/>
  <c r="H8356" i="1"/>
  <c r="A8357" i="1"/>
  <c r="B8357" i="1"/>
  <c r="C8357" i="1"/>
  <c r="D8357" i="1"/>
  <c r="E8357" i="1"/>
  <c r="F8357" i="1"/>
  <c r="G8357" i="1"/>
  <c r="H8357" i="1"/>
  <c r="A8358" i="1"/>
  <c r="B8358" i="1"/>
  <c r="C8358" i="1"/>
  <c r="D8358" i="1"/>
  <c r="E8358" i="1"/>
  <c r="F8358" i="1"/>
  <c r="G8358" i="1"/>
  <c r="H8358" i="1"/>
  <c r="A8359" i="1"/>
  <c r="B8359" i="1"/>
  <c r="C8359" i="1"/>
  <c r="D8359" i="1"/>
  <c r="E8359" i="1"/>
  <c r="F8359" i="1"/>
  <c r="G8359" i="1"/>
  <c r="H8359" i="1"/>
  <c r="A8360" i="1"/>
  <c r="B8360" i="1"/>
  <c r="C8360" i="1"/>
  <c r="D8360" i="1"/>
  <c r="E8360" i="1"/>
  <c r="F8360" i="1"/>
  <c r="G8360" i="1"/>
  <c r="H8360" i="1"/>
  <c r="A8361" i="1"/>
  <c r="B8361" i="1"/>
  <c r="C8361" i="1"/>
  <c r="D8361" i="1"/>
  <c r="E8361" i="1"/>
  <c r="F8361" i="1"/>
  <c r="G8361" i="1"/>
  <c r="H8361" i="1"/>
  <c r="A8362" i="1"/>
  <c r="B8362" i="1"/>
  <c r="C8362" i="1"/>
  <c r="D8362" i="1"/>
  <c r="E8362" i="1"/>
  <c r="F8362" i="1"/>
  <c r="G8362" i="1"/>
  <c r="H8362" i="1"/>
  <c r="A8363" i="1"/>
  <c r="B8363" i="1"/>
  <c r="C8363" i="1"/>
  <c r="D8363" i="1"/>
  <c r="E8363" i="1"/>
  <c r="F8363" i="1"/>
  <c r="G8363" i="1"/>
  <c r="H8363" i="1"/>
  <c r="A8364" i="1"/>
  <c r="B8364" i="1"/>
  <c r="C8364" i="1"/>
  <c r="D8364" i="1"/>
  <c r="E8364" i="1"/>
  <c r="F8364" i="1"/>
  <c r="G8364" i="1"/>
  <c r="H8364" i="1"/>
  <c r="A8365" i="1"/>
  <c r="B8365" i="1"/>
  <c r="C8365" i="1"/>
  <c r="D8365" i="1"/>
  <c r="E8365" i="1"/>
  <c r="F8365" i="1"/>
  <c r="G8365" i="1"/>
  <c r="H8365" i="1"/>
  <c r="A8366" i="1"/>
  <c r="B8366" i="1"/>
  <c r="C8366" i="1"/>
  <c r="D8366" i="1"/>
  <c r="E8366" i="1"/>
  <c r="F8366" i="1"/>
  <c r="G8366" i="1"/>
  <c r="H8366" i="1"/>
  <c r="A8367" i="1"/>
  <c r="B8367" i="1"/>
  <c r="C8367" i="1"/>
  <c r="D8367" i="1"/>
  <c r="E8367" i="1"/>
  <c r="F8367" i="1"/>
  <c r="G8367" i="1"/>
  <c r="H8367" i="1"/>
  <c r="A8368" i="1"/>
  <c r="B8368" i="1"/>
  <c r="C8368" i="1"/>
  <c r="D8368" i="1"/>
  <c r="E8368" i="1"/>
  <c r="F8368" i="1"/>
  <c r="G8368" i="1"/>
  <c r="H8368" i="1"/>
  <c r="A8369" i="1"/>
  <c r="B8369" i="1"/>
  <c r="C8369" i="1"/>
  <c r="D8369" i="1"/>
  <c r="E8369" i="1"/>
  <c r="F8369" i="1"/>
  <c r="G8369" i="1"/>
  <c r="H8369" i="1"/>
  <c r="A8370" i="1"/>
  <c r="B8370" i="1"/>
  <c r="C8370" i="1"/>
  <c r="D8370" i="1"/>
  <c r="E8370" i="1"/>
  <c r="F8370" i="1"/>
  <c r="G8370" i="1"/>
  <c r="H8370" i="1"/>
  <c r="A8371" i="1"/>
  <c r="B8371" i="1"/>
  <c r="C8371" i="1"/>
  <c r="D8371" i="1"/>
  <c r="E8371" i="1"/>
  <c r="F8371" i="1"/>
  <c r="G8371" i="1"/>
  <c r="H8371" i="1"/>
  <c r="A8372" i="1"/>
  <c r="B8372" i="1"/>
  <c r="C8372" i="1"/>
  <c r="D8372" i="1"/>
  <c r="E8372" i="1"/>
  <c r="F8372" i="1"/>
  <c r="G8372" i="1"/>
  <c r="H8372" i="1"/>
  <c r="A8373" i="1"/>
  <c r="B8373" i="1"/>
  <c r="C8373" i="1"/>
  <c r="D8373" i="1"/>
  <c r="E8373" i="1"/>
  <c r="F8373" i="1"/>
  <c r="G8373" i="1"/>
  <c r="H8373" i="1"/>
  <c r="A8374" i="1"/>
  <c r="B8374" i="1"/>
  <c r="C8374" i="1"/>
  <c r="D8374" i="1"/>
  <c r="E8374" i="1"/>
  <c r="F8374" i="1"/>
  <c r="G8374" i="1"/>
  <c r="H8374" i="1"/>
  <c r="A8375" i="1"/>
  <c r="B8375" i="1"/>
  <c r="C8375" i="1"/>
  <c r="D8375" i="1"/>
  <c r="E8375" i="1"/>
  <c r="F8375" i="1"/>
  <c r="G8375" i="1"/>
  <c r="H8375" i="1"/>
  <c r="A8376" i="1"/>
  <c r="B8376" i="1"/>
  <c r="C8376" i="1"/>
  <c r="D8376" i="1"/>
  <c r="E8376" i="1"/>
  <c r="F8376" i="1"/>
  <c r="G8376" i="1"/>
  <c r="H8376" i="1"/>
  <c r="A8377" i="1"/>
  <c r="B8377" i="1"/>
  <c r="C8377" i="1"/>
  <c r="D8377" i="1"/>
  <c r="E8377" i="1"/>
  <c r="F8377" i="1"/>
  <c r="G8377" i="1"/>
  <c r="H8377" i="1"/>
  <c r="A8378" i="1"/>
  <c r="B8378" i="1"/>
  <c r="C8378" i="1"/>
  <c r="D8378" i="1"/>
  <c r="E8378" i="1"/>
  <c r="F8378" i="1"/>
  <c r="G8378" i="1"/>
  <c r="H8378" i="1"/>
  <c r="A8379" i="1"/>
  <c r="B8379" i="1"/>
  <c r="C8379" i="1"/>
  <c r="D8379" i="1"/>
  <c r="E8379" i="1"/>
  <c r="F8379" i="1"/>
  <c r="G8379" i="1"/>
  <c r="H8379" i="1"/>
  <c r="A8380" i="1"/>
  <c r="B8380" i="1"/>
  <c r="C8380" i="1"/>
  <c r="D8380" i="1"/>
  <c r="E8380" i="1"/>
  <c r="F8380" i="1"/>
  <c r="G8380" i="1"/>
  <c r="H8380" i="1"/>
  <c r="A8381" i="1"/>
  <c r="B8381" i="1"/>
  <c r="C8381" i="1"/>
  <c r="D8381" i="1"/>
  <c r="E8381" i="1"/>
  <c r="F8381" i="1"/>
  <c r="G8381" i="1"/>
  <c r="H8381" i="1"/>
  <c r="A8382" i="1"/>
  <c r="B8382" i="1"/>
  <c r="C8382" i="1"/>
  <c r="D8382" i="1"/>
  <c r="E8382" i="1"/>
  <c r="F8382" i="1"/>
  <c r="G8382" i="1"/>
  <c r="H8382" i="1"/>
  <c r="A8383" i="1"/>
  <c r="B8383" i="1"/>
  <c r="C8383" i="1"/>
  <c r="D8383" i="1"/>
  <c r="E8383" i="1"/>
  <c r="F8383" i="1"/>
  <c r="G8383" i="1"/>
  <c r="H8383" i="1"/>
  <c r="A8384" i="1"/>
  <c r="B8384" i="1"/>
  <c r="C8384" i="1"/>
  <c r="D8384" i="1"/>
  <c r="E8384" i="1"/>
  <c r="F8384" i="1"/>
  <c r="G8384" i="1"/>
  <c r="H8384" i="1"/>
  <c r="A8385" i="1"/>
  <c r="B8385" i="1"/>
  <c r="C8385" i="1"/>
  <c r="D8385" i="1"/>
  <c r="E8385" i="1"/>
  <c r="F8385" i="1"/>
  <c r="G8385" i="1"/>
  <c r="H8385" i="1"/>
  <c r="A8386" i="1"/>
  <c r="B8386" i="1"/>
  <c r="C8386" i="1"/>
  <c r="D8386" i="1"/>
  <c r="E8386" i="1"/>
  <c r="F8386" i="1"/>
  <c r="G8386" i="1"/>
  <c r="H8386" i="1"/>
  <c r="A8387" i="1"/>
  <c r="B8387" i="1"/>
  <c r="C8387" i="1"/>
  <c r="D8387" i="1"/>
  <c r="E8387" i="1"/>
  <c r="F8387" i="1"/>
  <c r="G8387" i="1"/>
  <c r="H8387" i="1"/>
  <c r="A8388" i="1"/>
  <c r="B8388" i="1"/>
  <c r="C8388" i="1"/>
  <c r="D8388" i="1"/>
  <c r="E8388" i="1"/>
  <c r="F8388" i="1"/>
  <c r="G8388" i="1"/>
  <c r="H8388" i="1"/>
  <c r="A8389" i="1"/>
  <c r="B8389" i="1"/>
  <c r="C8389" i="1"/>
  <c r="D8389" i="1"/>
  <c r="E8389" i="1"/>
  <c r="F8389" i="1"/>
  <c r="G8389" i="1"/>
  <c r="H8389" i="1"/>
  <c r="A8390" i="1"/>
  <c r="B8390" i="1"/>
  <c r="C8390" i="1"/>
  <c r="D8390" i="1"/>
  <c r="E8390" i="1"/>
  <c r="F8390" i="1"/>
  <c r="G8390" i="1"/>
  <c r="H8390" i="1"/>
  <c r="A8391" i="1"/>
  <c r="B8391" i="1"/>
  <c r="C8391" i="1"/>
  <c r="D8391" i="1"/>
  <c r="E8391" i="1"/>
  <c r="F8391" i="1"/>
  <c r="G8391" i="1"/>
  <c r="H8391" i="1"/>
  <c r="A8392" i="1"/>
  <c r="B8392" i="1"/>
  <c r="C8392" i="1"/>
  <c r="D8392" i="1"/>
  <c r="E8392" i="1"/>
  <c r="F8392" i="1"/>
  <c r="G8392" i="1"/>
  <c r="H8392" i="1"/>
  <c r="A8393" i="1"/>
  <c r="B8393" i="1"/>
  <c r="C8393" i="1"/>
  <c r="D8393" i="1"/>
  <c r="E8393" i="1"/>
  <c r="F8393" i="1"/>
  <c r="G8393" i="1"/>
  <c r="H8393" i="1"/>
  <c r="A8394" i="1"/>
  <c r="B8394" i="1"/>
  <c r="C8394" i="1"/>
  <c r="D8394" i="1"/>
  <c r="E8394" i="1"/>
  <c r="F8394" i="1"/>
  <c r="G8394" i="1"/>
  <c r="H8394" i="1"/>
  <c r="A8395" i="1"/>
  <c r="B8395" i="1"/>
  <c r="C8395" i="1"/>
  <c r="D8395" i="1"/>
  <c r="E8395" i="1"/>
  <c r="F8395" i="1"/>
  <c r="G8395" i="1"/>
  <c r="H8395" i="1"/>
  <c r="A8396" i="1"/>
  <c r="B8396" i="1"/>
  <c r="C8396" i="1"/>
  <c r="D8396" i="1"/>
  <c r="E8396" i="1"/>
  <c r="F8396" i="1"/>
  <c r="G8396" i="1"/>
  <c r="H8396" i="1"/>
  <c r="A8397" i="1"/>
  <c r="B8397" i="1"/>
  <c r="C8397" i="1"/>
  <c r="D8397" i="1"/>
  <c r="E8397" i="1"/>
  <c r="F8397" i="1"/>
  <c r="G8397" i="1"/>
  <c r="H8397" i="1"/>
  <c r="A8398" i="1"/>
  <c r="B8398" i="1"/>
  <c r="C8398" i="1"/>
  <c r="D8398" i="1"/>
  <c r="E8398" i="1"/>
  <c r="F8398" i="1"/>
  <c r="G8398" i="1"/>
  <c r="H8398" i="1"/>
  <c r="A8399" i="1"/>
  <c r="B8399" i="1"/>
  <c r="C8399" i="1"/>
  <c r="D8399" i="1"/>
  <c r="E8399" i="1"/>
  <c r="F8399" i="1"/>
  <c r="G8399" i="1"/>
  <c r="H8399" i="1"/>
  <c r="A8400" i="1"/>
  <c r="B8400" i="1"/>
  <c r="C8400" i="1"/>
  <c r="D8400" i="1"/>
  <c r="E8400" i="1"/>
  <c r="F8400" i="1"/>
  <c r="G8400" i="1"/>
  <c r="H8400" i="1"/>
  <c r="A8401" i="1"/>
  <c r="B8401" i="1"/>
  <c r="C8401" i="1"/>
  <c r="D8401" i="1"/>
  <c r="E8401" i="1"/>
  <c r="F8401" i="1"/>
  <c r="G8401" i="1"/>
  <c r="H8401" i="1"/>
  <c r="A8402" i="1"/>
  <c r="B8402" i="1"/>
  <c r="C8402" i="1"/>
  <c r="D8402" i="1"/>
  <c r="E8402" i="1"/>
  <c r="F8402" i="1"/>
  <c r="G8402" i="1"/>
  <c r="H8402" i="1"/>
  <c r="A8403" i="1"/>
  <c r="B8403" i="1"/>
  <c r="C8403" i="1"/>
  <c r="D8403" i="1"/>
  <c r="E8403" i="1"/>
  <c r="F8403" i="1"/>
  <c r="G8403" i="1"/>
  <c r="H8403" i="1"/>
  <c r="A8404" i="1"/>
  <c r="B8404" i="1"/>
  <c r="C8404" i="1"/>
  <c r="D8404" i="1"/>
  <c r="E8404" i="1"/>
  <c r="F8404" i="1"/>
  <c r="G8404" i="1"/>
  <c r="H8404" i="1"/>
  <c r="A8405" i="1"/>
  <c r="B8405" i="1"/>
  <c r="C8405" i="1"/>
  <c r="D8405" i="1"/>
  <c r="E8405" i="1"/>
  <c r="F8405" i="1"/>
  <c r="G8405" i="1"/>
  <c r="H8405" i="1"/>
  <c r="A8406" i="1"/>
  <c r="B8406" i="1"/>
  <c r="C8406" i="1"/>
  <c r="D8406" i="1"/>
  <c r="E8406" i="1"/>
  <c r="F8406" i="1"/>
  <c r="G8406" i="1"/>
  <c r="H8406" i="1"/>
  <c r="A8407" i="1"/>
  <c r="B8407" i="1"/>
  <c r="C8407" i="1"/>
  <c r="D8407" i="1"/>
  <c r="E8407" i="1"/>
  <c r="F8407" i="1"/>
  <c r="G8407" i="1"/>
  <c r="H8407" i="1"/>
  <c r="A8408" i="1"/>
  <c r="B8408" i="1"/>
  <c r="C8408" i="1"/>
  <c r="D8408" i="1"/>
  <c r="E8408" i="1"/>
  <c r="F8408" i="1"/>
  <c r="G8408" i="1"/>
  <c r="H8408" i="1"/>
  <c r="A8409" i="1"/>
  <c r="B8409" i="1"/>
  <c r="C8409" i="1"/>
  <c r="D8409" i="1"/>
  <c r="E8409" i="1"/>
  <c r="F8409" i="1"/>
  <c r="G8409" i="1"/>
  <c r="H8409" i="1"/>
  <c r="A8410" i="1"/>
  <c r="B8410" i="1"/>
  <c r="C8410" i="1"/>
  <c r="D8410" i="1"/>
  <c r="E8410" i="1"/>
  <c r="F8410" i="1"/>
  <c r="G8410" i="1"/>
  <c r="H8410" i="1"/>
  <c r="A8411" i="1"/>
  <c r="B8411" i="1"/>
  <c r="C8411" i="1"/>
  <c r="D8411" i="1"/>
  <c r="E8411" i="1"/>
  <c r="F8411" i="1"/>
  <c r="G8411" i="1"/>
  <c r="H8411" i="1"/>
  <c r="A8412" i="1"/>
  <c r="B8412" i="1"/>
  <c r="C8412" i="1"/>
  <c r="D8412" i="1"/>
  <c r="E8412" i="1"/>
  <c r="F8412" i="1"/>
  <c r="G8412" i="1"/>
  <c r="H8412" i="1"/>
  <c r="A8413" i="1"/>
  <c r="B8413" i="1"/>
  <c r="C8413" i="1"/>
  <c r="D8413" i="1"/>
  <c r="E8413" i="1"/>
  <c r="F8413" i="1"/>
  <c r="G8413" i="1"/>
  <c r="H8413" i="1"/>
  <c r="A8414" i="1"/>
  <c r="B8414" i="1"/>
  <c r="C8414" i="1"/>
  <c r="D8414" i="1"/>
  <c r="E8414" i="1"/>
  <c r="F8414" i="1"/>
  <c r="G8414" i="1"/>
  <c r="H8414" i="1"/>
  <c r="A8415" i="1"/>
  <c r="B8415" i="1"/>
  <c r="C8415" i="1"/>
  <c r="D8415" i="1"/>
  <c r="E8415" i="1"/>
  <c r="F8415" i="1"/>
  <c r="G8415" i="1"/>
  <c r="H8415" i="1"/>
  <c r="A8416" i="1"/>
  <c r="B8416" i="1"/>
  <c r="C8416" i="1"/>
  <c r="D8416" i="1"/>
  <c r="E8416" i="1"/>
  <c r="F8416" i="1"/>
  <c r="G8416" i="1"/>
  <c r="H8416" i="1"/>
  <c r="A8417" i="1"/>
  <c r="B8417" i="1"/>
  <c r="C8417" i="1"/>
  <c r="D8417" i="1"/>
  <c r="E8417" i="1"/>
  <c r="F8417" i="1"/>
  <c r="G8417" i="1"/>
  <c r="H8417" i="1"/>
  <c r="A8418" i="1"/>
  <c r="B8418" i="1"/>
  <c r="C8418" i="1"/>
  <c r="D8418" i="1"/>
  <c r="E8418" i="1"/>
  <c r="F8418" i="1"/>
  <c r="G8418" i="1"/>
  <c r="H8418" i="1"/>
  <c r="A8419" i="1"/>
  <c r="B8419" i="1"/>
  <c r="C8419" i="1"/>
  <c r="D8419" i="1"/>
  <c r="E8419" i="1"/>
  <c r="F8419" i="1"/>
  <c r="G8419" i="1"/>
  <c r="H8419" i="1"/>
  <c r="A8420" i="1"/>
  <c r="B8420" i="1"/>
  <c r="C8420" i="1"/>
  <c r="D8420" i="1"/>
  <c r="E8420" i="1"/>
  <c r="F8420" i="1"/>
  <c r="G8420" i="1"/>
  <c r="H8420" i="1"/>
  <c r="A8421" i="1"/>
  <c r="B8421" i="1"/>
  <c r="C8421" i="1"/>
  <c r="D8421" i="1"/>
  <c r="E8421" i="1"/>
  <c r="F8421" i="1"/>
  <c r="G8421" i="1"/>
  <c r="H8421" i="1"/>
  <c r="A8422" i="1"/>
  <c r="B8422" i="1"/>
  <c r="C8422" i="1"/>
  <c r="D8422" i="1"/>
  <c r="E8422" i="1"/>
  <c r="F8422" i="1"/>
  <c r="G8422" i="1"/>
  <c r="H8422" i="1"/>
  <c r="A8423" i="1"/>
  <c r="B8423" i="1"/>
  <c r="C8423" i="1"/>
  <c r="D8423" i="1"/>
  <c r="E8423" i="1"/>
  <c r="F8423" i="1"/>
  <c r="G8423" i="1"/>
  <c r="H8423" i="1"/>
  <c r="A8424" i="1"/>
  <c r="B8424" i="1"/>
  <c r="C8424" i="1"/>
  <c r="D8424" i="1"/>
  <c r="E8424" i="1"/>
  <c r="F8424" i="1"/>
  <c r="G8424" i="1"/>
  <c r="H8424" i="1"/>
  <c r="A8425" i="1"/>
  <c r="B8425" i="1"/>
  <c r="C8425" i="1"/>
  <c r="D8425" i="1"/>
  <c r="E8425" i="1"/>
  <c r="F8425" i="1"/>
  <c r="G8425" i="1"/>
  <c r="H8425" i="1"/>
  <c r="A8426" i="1"/>
  <c r="B8426" i="1"/>
  <c r="C8426" i="1"/>
  <c r="D8426" i="1"/>
  <c r="E8426" i="1"/>
  <c r="F8426" i="1"/>
  <c r="G8426" i="1"/>
  <c r="H8426" i="1"/>
  <c r="A8427" i="1"/>
  <c r="B8427" i="1"/>
  <c r="C8427" i="1"/>
  <c r="D8427" i="1"/>
  <c r="E8427" i="1"/>
  <c r="F8427" i="1"/>
  <c r="G8427" i="1"/>
  <c r="H8427" i="1"/>
  <c r="A8428" i="1"/>
  <c r="B8428" i="1"/>
  <c r="C8428" i="1"/>
  <c r="D8428" i="1"/>
  <c r="E8428" i="1"/>
  <c r="F8428" i="1"/>
  <c r="G8428" i="1"/>
  <c r="H8428" i="1"/>
  <c r="A8429" i="1"/>
  <c r="B8429" i="1"/>
  <c r="C8429" i="1"/>
  <c r="D8429" i="1"/>
  <c r="E8429" i="1"/>
  <c r="F8429" i="1"/>
  <c r="G8429" i="1"/>
  <c r="H8429" i="1"/>
  <c r="A8430" i="1"/>
  <c r="B8430" i="1"/>
  <c r="C8430" i="1"/>
  <c r="D8430" i="1"/>
  <c r="E8430" i="1"/>
  <c r="F8430" i="1"/>
  <c r="G8430" i="1"/>
  <c r="H8430" i="1"/>
  <c r="A8431" i="1"/>
  <c r="B8431" i="1"/>
  <c r="C8431" i="1"/>
  <c r="D8431" i="1"/>
  <c r="E8431" i="1"/>
  <c r="F8431" i="1"/>
  <c r="G8431" i="1"/>
  <c r="H8431" i="1"/>
  <c r="A8432" i="1"/>
  <c r="B8432" i="1"/>
  <c r="C8432" i="1"/>
  <c r="D8432" i="1"/>
  <c r="E8432" i="1"/>
  <c r="F8432" i="1"/>
  <c r="G8432" i="1"/>
  <c r="H8432" i="1"/>
  <c r="A8433" i="1"/>
  <c r="B8433" i="1"/>
  <c r="C8433" i="1"/>
  <c r="D8433" i="1"/>
  <c r="E8433" i="1"/>
  <c r="F8433" i="1"/>
  <c r="G8433" i="1"/>
  <c r="H8433" i="1"/>
  <c r="A8434" i="1"/>
  <c r="B8434" i="1"/>
  <c r="C8434" i="1"/>
  <c r="D8434" i="1"/>
  <c r="E8434" i="1"/>
  <c r="F8434" i="1"/>
  <c r="G8434" i="1"/>
  <c r="H8434" i="1"/>
  <c r="A8435" i="1"/>
  <c r="B8435" i="1"/>
  <c r="C8435" i="1"/>
  <c r="D8435" i="1"/>
  <c r="E8435" i="1"/>
  <c r="F8435" i="1"/>
  <c r="G8435" i="1"/>
  <c r="H8435" i="1"/>
  <c r="A8436" i="1"/>
  <c r="B8436" i="1"/>
  <c r="C8436" i="1"/>
  <c r="D8436" i="1"/>
  <c r="E8436" i="1"/>
  <c r="F8436" i="1"/>
  <c r="G8436" i="1"/>
  <c r="H8436" i="1"/>
  <c r="A8437" i="1"/>
  <c r="B8437" i="1"/>
  <c r="C8437" i="1"/>
  <c r="D8437" i="1"/>
  <c r="E8437" i="1"/>
  <c r="F8437" i="1"/>
  <c r="G8437" i="1"/>
  <c r="H8437" i="1"/>
  <c r="A8438" i="1"/>
  <c r="B8438" i="1"/>
  <c r="C8438" i="1"/>
  <c r="D8438" i="1"/>
  <c r="E8438" i="1"/>
  <c r="F8438" i="1"/>
  <c r="G8438" i="1"/>
  <c r="H8438" i="1"/>
  <c r="A8439" i="1"/>
  <c r="B8439" i="1"/>
  <c r="C8439" i="1"/>
  <c r="D8439" i="1"/>
  <c r="E8439" i="1"/>
  <c r="F8439" i="1"/>
  <c r="G8439" i="1"/>
  <c r="H8439" i="1"/>
  <c r="A8440" i="1"/>
  <c r="B8440" i="1"/>
  <c r="C8440" i="1"/>
  <c r="D8440" i="1"/>
  <c r="E8440" i="1"/>
  <c r="F8440" i="1"/>
  <c r="G8440" i="1"/>
  <c r="H8440" i="1"/>
  <c r="A8441" i="1"/>
  <c r="B8441" i="1"/>
  <c r="C8441" i="1"/>
  <c r="D8441" i="1"/>
  <c r="E8441" i="1"/>
  <c r="F8441" i="1"/>
  <c r="G8441" i="1"/>
  <c r="H8441" i="1"/>
  <c r="A8442" i="1"/>
  <c r="B8442" i="1"/>
  <c r="C8442" i="1"/>
  <c r="D8442" i="1"/>
  <c r="E8442" i="1"/>
  <c r="F8442" i="1"/>
  <c r="G8442" i="1"/>
  <c r="H8442" i="1"/>
  <c r="A8443" i="1"/>
  <c r="B8443" i="1"/>
  <c r="C8443" i="1"/>
  <c r="D8443" i="1"/>
  <c r="E8443" i="1"/>
  <c r="F8443" i="1"/>
  <c r="G8443" i="1"/>
  <c r="H8443" i="1"/>
  <c r="A8444" i="1"/>
  <c r="B8444" i="1"/>
  <c r="C8444" i="1"/>
  <c r="D8444" i="1"/>
  <c r="E8444" i="1"/>
  <c r="F8444" i="1"/>
  <c r="G8444" i="1"/>
  <c r="H8444" i="1"/>
  <c r="A8445" i="1"/>
  <c r="B8445" i="1"/>
  <c r="C8445" i="1"/>
  <c r="D8445" i="1"/>
  <c r="E8445" i="1"/>
  <c r="F8445" i="1"/>
  <c r="G8445" i="1"/>
  <c r="H8445" i="1"/>
  <c r="A8446" i="1"/>
  <c r="B8446" i="1"/>
  <c r="C8446" i="1"/>
  <c r="D8446" i="1"/>
  <c r="E8446" i="1"/>
  <c r="F8446" i="1"/>
  <c r="G8446" i="1"/>
  <c r="H8446" i="1"/>
  <c r="A8447" i="1"/>
  <c r="B8447" i="1"/>
  <c r="C8447" i="1"/>
  <c r="D8447" i="1"/>
  <c r="E8447" i="1"/>
  <c r="F8447" i="1"/>
  <c r="G8447" i="1"/>
  <c r="H8447" i="1"/>
  <c r="A8448" i="1"/>
  <c r="B8448" i="1"/>
  <c r="C8448" i="1"/>
  <c r="D8448" i="1"/>
  <c r="E8448" i="1"/>
  <c r="F8448" i="1"/>
  <c r="G8448" i="1"/>
  <c r="H8448" i="1"/>
  <c r="A8449" i="1"/>
  <c r="B8449" i="1"/>
  <c r="C8449" i="1"/>
  <c r="D8449" i="1"/>
  <c r="E8449" i="1"/>
  <c r="F8449" i="1"/>
  <c r="G8449" i="1"/>
  <c r="H8449" i="1"/>
  <c r="A8450" i="1"/>
  <c r="B8450" i="1"/>
  <c r="C8450" i="1"/>
  <c r="D8450" i="1"/>
  <c r="E8450" i="1"/>
  <c r="F8450" i="1"/>
  <c r="G8450" i="1"/>
  <c r="H8450" i="1"/>
  <c r="A8451" i="1"/>
  <c r="B8451" i="1"/>
  <c r="C8451" i="1"/>
  <c r="D8451" i="1"/>
  <c r="E8451" i="1"/>
  <c r="F8451" i="1"/>
  <c r="G8451" i="1"/>
  <c r="H8451" i="1"/>
  <c r="A8452" i="1"/>
  <c r="B8452" i="1"/>
  <c r="C8452" i="1"/>
  <c r="D8452" i="1"/>
  <c r="E8452" i="1"/>
  <c r="F8452" i="1"/>
  <c r="G8452" i="1"/>
  <c r="H8452" i="1"/>
  <c r="A8453" i="1"/>
  <c r="B8453" i="1"/>
  <c r="C8453" i="1"/>
  <c r="D8453" i="1"/>
  <c r="E8453" i="1"/>
  <c r="F8453" i="1"/>
  <c r="G8453" i="1"/>
  <c r="H8453" i="1"/>
  <c r="A8454" i="1"/>
  <c r="B8454" i="1"/>
  <c r="C8454" i="1"/>
  <c r="D8454" i="1"/>
  <c r="E8454" i="1"/>
  <c r="F8454" i="1"/>
  <c r="G8454" i="1"/>
  <c r="H8454" i="1"/>
  <c r="A8455" i="1"/>
  <c r="B8455" i="1"/>
  <c r="C8455" i="1"/>
  <c r="D8455" i="1"/>
  <c r="E8455" i="1"/>
  <c r="F8455" i="1"/>
  <c r="G8455" i="1"/>
  <c r="H8455" i="1"/>
  <c r="A8456" i="1"/>
  <c r="B8456" i="1"/>
  <c r="C8456" i="1"/>
  <c r="D8456" i="1"/>
  <c r="E8456" i="1"/>
  <c r="F8456" i="1"/>
  <c r="G8456" i="1"/>
  <c r="H8456" i="1"/>
  <c r="A8457" i="1"/>
  <c r="B8457" i="1"/>
  <c r="C8457" i="1"/>
  <c r="D8457" i="1"/>
  <c r="E8457" i="1"/>
  <c r="F8457" i="1"/>
  <c r="G8457" i="1"/>
  <c r="H8457" i="1"/>
  <c r="A8458" i="1"/>
  <c r="B8458" i="1"/>
  <c r="C8458" i="1"/>
  <c r="D8458" i="1"/>
  <c r="E8458" i="1"/>
  <c r="F8458" i="1"/>
  <c r="G8458" i="1"/>
  <c r="H8458" i="1"/>
  <c r="A8459" i="1"/>
  <c r="B8459" i="1"/>
  <c r="C8459" i="1"/>
  <c r="D8459" i="1"/>
  <c r="E8459" i="1"/>
  <c r="F8459" i="1"/>
  <c r="G8459" i="1"/>
  <c r="H8459" i="1"/>
  <c r="A8460" i="1"/>
  <c r="B8460" i="1"/>
  <c r="C8460" i="1"/>
  <c r="D8460" i="1"/>
  <c r="E8460" i="1"/>
  <c r="F8460" i="1"/>
  <c r="G8460" i="1"/>
  <c r="H8460" i="1"/>
  <c r="A8461" i="1"/>
  <c r="B8461" i="1"/>
  <c r="C8461" i="1"/>
  <c r="D8461" i="1"/>
  <c r="E8461" i="1"/>
  <c r="F8461" i="1"/>
  <c r="G8461" i="1"/>
  <c r="H8461" i="1"/>
  <c r="A8462" i="1"/>
  <c r="B8462" i="1"/>
  <c r="C8462" i="1"/>
  <c r="D8462" i="1"/>
  <c r="E8462" i="1"/>
  <c r="F8462" i="1"/>
  <c r="G8462" i="1"/>
  <c r="H8462" i="1"/>
  <c r="A8463" i="1"/>
  <c r="B8463" i="1"/>
  <c r="C8463" i="1"/>
  <c r="D8463" i="1"/>
  <c r="E8463" i="1"/>
  <c r="F8463" i="1"/>
  <c r="G8463" i="1"/>
  <c r="H8463" i="1"/>
  <c r="A8464" i="1"/>
  <c r="B8464" i="1"/>
  <c r="C8464" i="1"/>
  <c r="D8464" i="1"/>
  <c r="E8464" i="1"/>
  <c r="F8464" i="1"/>
  <c r="G8464" i="1"/>
  <c r="H8464" i="1"/>
  <c r="A8465" i="1"/>
  <c r="B8465" i="1"/>
  <c r="C8465" i="1"/>
  <c r="D8465" i="1"/>
  <c r="E8465" i="1"/>
  <c r="F8465" i="1"/>
  <c r="G8465" i="1"/>
  <c r="H8465" i="1"/>
  <c r="A8466" i="1"/>
  <c r="B8466" i="1"/>
  <c r="C8466" i="1"/>
  <c r="D8466" i="1"/>
  <c r="E8466" i="1"/>
  <c r="F8466" i="1"/>
  <c r="G8466" i="1"/>
  <c r="H8466" i="1"/>
  <c r="A8467" i="1"/>
  <c r="B8467" i="1"/>
  <c r="C8467" i="1"/>
  <c r="D8467" i="1"/>
  <c r="E8467" i="1"/>
  <c r="F8467" i="1"/>
  <c r="G8467" i="1"/>
  <c r="H8467" i="1"/>
  <c r="A8468" i="1"/>
  <c r="B8468" i="1"/>
  <c r="C8468" i="1"/>
  <c r="D8468" i="1"/>
  <c r="E8468" i="1"/>
  <c r="F8468" i="1"/>
  <c r="G8468" i="1"/>
  <c r="H8468" i="1"/>
  <c r="A8469" i="1"/>
  <c r="B8469" i="1"/>
  <c r="C8469" i="1"/>
  <c r="D8469" i="1"/>
  <c r="E8469" i="1"/>
  <c r="F8469" i="1"/>
  <c r="G8469" i="1"/>
  <c r="H8469" i="1"/>
  <c r="A8470" i="1"/>
  <c r="B8470" i="1"/>
  <c r="C8470" i="1"/>
  <c r="D8470" i="1"/>
  <c r="E8470" i="1"/>
  <c r="F8470" i="1"/>
  <c r="G8470" i="1"/>
  <c r="H8470" i="1"/>
  <c r="A8471" i="1"/>
  <c r="B8471" i="1"/>
  <c r="C8471" i="1"/>
  <c r="D8471" i="1"/>
  <c r="E8471" i="1"/>
  <c r="F8471" i="1"/>
  <c r="G8471" i="1"/>
  <c r="H8471" i="1"/>
  <c r="A8472" i="1"/>
  <c r="B8472" i="1"/>
  <c r="C8472" i="1"/>
  <c r="D8472" i="1"/>
  <c r="E8472" i="1"/>
  <c r="F8472" i="1"/>
  <c r="G8472" i="1"/>
  <c r="H8472" i="1"/>
  <c r="A8473" i="1"/>
  <c r="B8473" i="1"/>
  <c r="C8473" i="1"/>
  <c r="D8473" i="1"/>
  <c r="E8473" i="1"/>
  <c r="F8473" i="1"/>
  <c r="G8473" i="1"/>
  <c r="H8473" i="1"/>
  <c r="A8474" i="1"/>
  <c r="B8474" i="1"/>
  <c r="C8474" i="1"/>
  <c r="D8474" i="1"/>
  <c r="E8474" i="1"/>
  <c r="F8474" i="1"/>
  <c r="G8474" i="1"/>
  <c r="H8474" i="1"/>
  <c r="A8475" i="1"/>
  <c r="B8475" i="1"/>
  <c r="C8475" i="1"/>
  <c r="D8475" i="1"/>
  <c r="E8475" i="1"/>
  <c r="F8475" i="1"/>
  <c r="G8475" i="1"/>
  <c r="H8475" i="1"/>
  <c r="A8476" i="1"/>
  <c r="B8476" i="1"/>
  <c r="C8476" i="1"/>
  <c r="D8476" i="1"/>
  <c r="E8476" i="1"/>
  <c r="F8476" i="1"/>
  <c r="G8476" i="1"/>
  <c r="H8476" i="1"/>
  <c r="A8477" i="1"/>
  <c r="B8477" i="1"/>
  <c r="C8477" i="1"/>
  <c r="D8477" i="1"/>
  <c r="E8477" i="1"/>
  <c r="F8477" i="1"/>
  <c r="G8477" i="1"/>
  <c r="H8477" i="1"/>
  <c r="A8478" i="1"/>
  <c r="B8478" i="1"/>
  <c r="C8478" i="1"/>
  <c r="D8478" i="1"/>
  <c r="E8478" i="1"/>
  <c r="F8478" i="1"/>
  <c r="G8478" i="1"/>
  <c r="H8478" i="1"/>
  <c r="A8479" i="1"/>
  <c r="B8479" i="1"/>
  <c r="C8479" i="1"/>
  <c r="D8479" i="1"/>
  <c r="E8479" i="1"/>
  <c r="F8479" i="1"/>
  <c r="G8479" i="1"/>
  <c r="H8479" i="1"/>
  <c r="A8480" i="1"/>
  <c r="B8480" i="1"/>
  <c r="C8480" i="1"/>
  <c r="D8480" i="1"/>
  <c r="E8480" i="1"/>
  <c r="F8480" i="1"/>
  <c r="G8480" i="1"/>
  <c r="H8480" i="1"/>
  <c r="A8481" i="1"/>
  <c r="B8481" i="1"/>
  <c r="C8481" i="1"/>
  <c r="D8481" i="1"/>
  <c r="E8481" i="1"/>
  <c r="F8481" i="1"/>
  <c r="G8481" i="1"/>
  <c r="H8481" i="1"/>
  <c r="A8482" i="1"/>
  <c r="B8482" i="1"/>
  <c r="C8482" i="1"/>
  <c r="D8482" i="1"/>
  <c r="E8482" i="1"/>
  <c r="F8482" i="1"/>
  <c r="G8482" i="1"/>
  <c r="H8482" i="1"/>
  <c r="A8483" i="1"/>
  <c r="B8483" i="1"/>
  <c r="C8483" i="1"/>
  <c r="D8483" i="1"/>
  <c r="E8483" i="1"/>
  <c r="F8483" i="1"/>
  <c r="G8483" i="1"/>
  <c r="H8483" i="1"/>
  <c r="A8484" i="1"/>
  <c r="B8484" i="1"/>
  <c r="C8484" i="1"/>
  <c r="D8484" i="1"/>
  <c r="E8484" i="1"/>
  <c r="F8484" i="1"/>
  <c r="G8484" i="1"/>
  <c r="H8484" i="1"/>
  <c r="A8485" i="1"/>
  <c r="B8485" i="1"/>
  <c r="C8485" i="1"/>
  <c r="D8485" i="1"/>
  <c r="E8485" i="1"/>
  <c r="F8485" i="1"/>
  <c r="G8485" i="1"/>
  <c r="H8485" i="1"/>
  <c r="A8486" i="1"/>
  <c r="B8486" i="1"/>
  <c r="C8486" i="1"/>
  <c r="D8486" i="1"/>
  <c r="E8486" i="1"/>
  <c r="F8486" i="1"/>
  <c r="G8486" i="1"/>
  <c r="H8486" i="1"/>
  <c r="A8487" i="1"/>
  <c r="B8487" i="1"/>
  <c r="C8487" i="1"/>
  <c r="D8487" i="1"/>
  <c r="E8487" i="1"/>
  <c r="F8487" i="1"/>
  <c r="G8487" i="1"/>
  <c r="H8487" i="1"/>
  <c r="A8488" i="1"/>
  <c r="B8488" i="1"/>
  <c r="C8488" i="1"/>
  <c r="D8488" i="1"/>
  <c r="E8488" i="1"/>
  <c r="F8488" i="1"/>
  <c r="G8488" i="1"/>
  <c r="H8488" i="1"/>
  <c r="A8489" i="1"/>
  <c r="B8489" i="1"/>
  <c r="C8489" i="1"/>
  <c r="D8489" i="1"/>
  <c r="E8489" i="1"/>
  <c r="F8489" i="1"/>
  <c r="G8489" i="1"/>
  <c r="H8489" i="1"/>
  <c r="A8490" i="1"/>
  <c r="B8490" i="1"/>
  <c r="C8490" i="1"/>
  <c r="D8490" i="1"/>
  <c r="E8490" i="1"/>
  <c r="F8490" i="1"/>
  <c r="G8490" i="1"/>
  <c r="H8490" i="1"/>
  <c r="A8491" i="1"/>
  <c r="B8491" i="1"/>
  <c r="C8491" i="1"/>
  <c r="D8491" i="1"/>
  <c r="E8491" i="1"/>
  <c r="F8491" i="1"/>
  <c r="G8491" i="1"/>
  <c r="H8491" i="1"/>
  <c r="A8492" i="1"/>
  <c r="B8492" i="1"/>
  <c r="C8492" i="1"/>
  <c r="D8492" i="1"/>
  <c r="E8492" i="1"/>
  <c r="F8492" i="1"/>
  <c r="G8492" i="1"/>
  <c r="H8492" i="1"/>
  <c r="A8493" i="1"/>
  <c r="B8493" i="1"/>
  <c r="C8493" i="1"/>
  <c r="D8493" i="1"/>
  <c r="E8493" i="1"/>
  <c r="F8493" i="1"/>
  <c r="G8493" i="1"/>
  <c r="H8493" i="1"/>
  <c r="A8494" i="1"/>
  <c r="B8494" i="1"/>
  <c r="C8494" i="1"/>
  <c r="D8494" i="1"/>
  <c r="E8494" i="1"/>
  <c r="F8494" i="1"/>
  <c r="G8494" i="1"/>
  <c r="H8494" i="1"/>
  <c r="A8495" i="1"/>
  <c r="B8495" i="1"/>
  <c r="C8495" i="1"/>
  <c r="D8495" i="1"/>
  <c r="E8495" i="1"/>
  <c r="F8495" i="1"/>
  <c r="G8495" i="1"/>
  <c r="H8495" i="1"/>
  <c r="A8496" i="1"/>
  <c r="B8496" i="1"/>
  <c r="C8496" i="1"/>
  <c r="D8496" i="1"/>
  <c r="E8496" i="1"/>
  <c r="F8496" i="1"/>
  <c r="G8496" i="1"/>
  <c r="H8496" i="1"/>
  <c r="A8497" i="1"/>
  <c r="B8497" i="1"/>
  <c r="C8497" i="1"/>
  <c r="D8497" i="1"/>
  <c r="E8497" i="1"/>
  <c r="F8497" i="1"/>
  <c r="G8497" i="1"/>
  <c r="H8497" i="1"/>
  <c r="A8498" i="1"/>
  <c r="B8498" i="1"/>
  <c r="C8498" i="1"/>
  <c r="D8498" i="1"/>
  <c r="E8498" i="1"/>
  <c r="F8498" i="1"/>
  <c r="G8498" i="1"/>
  <c r="H8498" i="1"/>
  <c r="A8499" i="1"/>
  <c r="B8499" i="1"/>
  <c r="C8499" i="1"/>
  <c r="D8499" i="1"/>
  <c r="E8499" i="1"/>
  <c r="F8499" i="1"/>
  <c r="G8499" i="1"/>
  <c r="H8499" i="1"/>
  <c r="A8500" i="1"/>
  <c r="B8500" i="1"/>
  <c r="C8500" i="1"/>
  <c r="D8500" i="1"/>
  <c r="E8500" i="1"/>
  <c r="F8500" i="1"/>
  <c r="G8500" i="1"/>
  <c r="H8500" i="1"/>
  <c r="A8501" i="1"/>
  <c r="B8501" i="1"/>
  <c r="C8501" i="1"/>
  <c r="D8501" i="1"/>
  <c r="E8501" i="1"/>
  <c r="F8501" i="1"/>
  <c r="G8501" i="1"/>
  <c r="H8501" i="1"/>
  <c r="A8502" i="1"/>
  <c r="B8502" i="1"/>
  <c r="C8502" i="1"/>
  <c r="D8502" i="1"/>
  <c r="E8502" i="1"/>
  <c r="F8502" i="1"/>
  <c r="G8502" i="1"/>
  <c r="H8502" i="1"/>
  <c r="A8503" i="1"/>
  <c r="B8503" i="1"/>
  <c r="C8503" i="1"/>
  <c r="D8503" i="1"/>
  <c r="E8503" i="1"/>
  <c r="F8503" i="1"/>
  <c r="G8503" i="1"/>
  <c r="H8503" i="1"/>
  <c r="A8504" i="1"/>
  <c r="B8504" i="1"/>
  <c r="C8504" i="1"/>
  <c r="D8504" i="1"/>
  <c r="E8504" i="1"/>
  <c r="F8504" i="1"/>
  <c r="G8504" i="1"/>
  <c r="H8504" i="1"/>
  <c r="A8505" i="1"/>
  <c r="B8505" i="1"/>
  <c r="C8505" i="1"/>
  <c r="D8505" i="1"/>
  <c r="E8505" i="1"/>
  <c r="F8505" i="1"/>
  <c r="G8505" i="1"/>
  <c r="H8505" i="1"/>
  <c r="A8506" i="1"/>
  <c r="B8506" i="1"/>
  <c r="C8506" i="1"/>
  <c r="D8506" i="1"/>
  <c r="E8506" i="1"/>
  <c r="F8506" i="1"/>
  <c r="G8506" i="1"/>
  <c r="H8506" i="1"/>
  <c r="A8507" i="1"/>
  <c r="B8507" i="1"/>
  <c r="C8507" i="1"/>
  <c r="D8507" i="1"/>
  <c r="E8507" i="1"/>
  <c r="F8507" i="1"/>
  <c r="G8507" i="1"/>
  <c r="H8507" i="1"/>
  <c r="A8508" i="1"/>
  <c r="B8508" i="1"/>
  <c r="C8508" i="1"/>
  <c r="D8508" i="1"/>
  <c r="E8508" i="1"/>
  <c r="F8508" i="1"/>
  <c r="G8508" i="1"/>
  <c r="H8508" i="1"/>
  <c r="A8509" i="1"/>
  <c r="B8509" i="1"/>
  <c r="C8509" i="1"/>
  <c r="D8509" i="1"/>
  <c r="E8509" i="1"/>
  <c r="F8509" i="1"/>
  <c r="G8509" i="1"/>
  <c r="H8509" i="1"/>
  <c r="A8510" i="1"/>
  <c r="B8510" i="1"/>
  <c r="C8510" i="1"/>
  <c r="D8510" i="1"/>
  <c r="E8510" i="1"/>
  <c r="F8510" i="1"/>
  <c r="G8510" i="1"/>
  <c r="H8510" i="1"/>
  <c r="A8511" i="1"/>
  <c r="B8511" i="1"/>
  <c r="C8511" i="1"/>
  <c r="D8511" i="1"/>
  <c r="E8511" i="1"/>
  <c r="F8511" i="1"/>
  <c r="G8511" i="1"/>
  <c r="H8511" i="1"/>
  <c r="A8512" i="1"/>
  <c r="B8512" i="1"/>
  <c r="C8512" i="1"/>
  <c r="D8512" i="1"/>
  <c r="E8512" i="1"/>
  <c r="F8512" i="1"/>
  <c r="G8512" i="1"/>
  <c r="H8512" i="1"/>
  <c r="A8513" i="1"/>
  <c r="B8513" i="1"/>
  <c r="C8513" i="1"/>
  <c r="D8513" i="1"/>
  <c r="E8513" i="1"/>
  <c r="F8513" i="1"/>
  <c r="G8513" i="1"/>
  <c r="H8513" i="1"/>
  <c r="A8514" i="1"/>
  <c r="B8514" i="1"/>
  <c r="C8514" i="1"/>
  <c r="D8514" i="1"/>
  <c r="E8514" i="1"/>
  <c r="F8514" i="1"/>
  <c r="G8514" i="1"/>
  <c r="H8514" i="1"/>
  <c r="A8515" i="1"/>
  <c r="B8515" i="1"/>
  <c r="C8515" i="1"/>
  <c r="D8515" i="1"/>
  <c r="E8515" i="1"/>
  <c r="F8515" i="1"/>
  <c r="G8515" i="1"/>
  <c r="H8515" i="1"/>
  <c r="A8516" i="1"/>
  <c r="B8516" i="1"/>
  <c r="C8516" i="1"/>
  <c r="D8516" i="1"/>
  <c r="E8516" i="1"/>
  <c r="F8516" i="1"/>
  <c r="G8516" i="1"/>
  <c r="H8516" i="1"/>
  <c r="A8517" i="1"/>
  <c r="B8517" i="1"/>
  <c r="C8517" i="1"/>
  <c r="D8517" i="1"/>
  <c r="E8517" i="1"/>
  <c r="F8517" i="1"/>
  <c r="G8517" i="1"/>
  <c r="H8517" i="1"/>
  <c r="A8518" i="1"/>
  <c r="B8518" i="1"/>
  <c r="C8518" i="1"/>
  <c r="D8518" i="1"/>
  <c r="E8518" i="1"/>
  <c r="F8518" i="1"/>
  <c r="G8518" i="1"/>
  <c r="H8518" i="1"/>
  <c r="A8519" i="1"/>
  <c r="B8519" i="1"/>
  <c r="C8519" i="1"/>
  <c r="D8519" i="1"/>
  <c r="E8519" i="1"/>
  <c r="F8519" i="1"/>
  <c r="G8519" i="1"/>
  <c r="H8519" i="1"/>
  <c r="A8520" i="1"/>
  <c r="B8520" i="1"/>
  <c r="C8520" i="1"/>
  <c r="D8520" i="1"/>
  <c r="E8520" i="1"/>
  <c r="F8520" i="1"/>
  <c r="G8520" i="1"/>
  <c r="H8520" i="1"/>
  <c r="A8521" i="1"/>
  <c r="B8521" i="1"/>
  <c r="C8521" i="1"/>
  <c r="D8521" i="1"/>
  <c r="E8521" i="1"/>
  <c r="F8521" i="1"/>
  <c r="G8521" i="1"/>
  <c r="H8521" i="1"/>
  <c r="A8522" i="1"/>
  <c r="B8522" i="1"/>
  <c r="C8522" i="1"/>
  <c r="D8522" i="1"/>
  <c r="E8522" i="1"/>
  <c r="F8522" i="1"/>
  <c r="G8522" i="1"/>
  <c r="H8522" i="1"/>
  <c r="A8523" i="1"/>
  <c r="B8523" i="1"/>
  <c r="C8523" i="1"/>
  <c r="D8523" i="1"/>
  <c r="E8523" i="1"/>
  <c r="F8523" i="1"/>
  <c r="G8523" i="1"/>
  <c r="H8523" i="1"/>
  <c r="A8524" i="1"/>
  <c r="B8524" i="1"/>
  <c r="C8524" i="1"/>
  <c r="D8524" i="1"/>
  <c r="E8524" i="1"/>
  <c r="F8524" i="1"/>
  <c r="G8524" i="1"/>
  <c r="H8524" i="1"/>
  <c r="A8525" i="1"/>
  <c r="B8525" i="1"/>
  <c r="C8525" i="1"/>
  <c r="D8525" i="1"/>
  <c r="E8525" i="1"/>
  <c r="F8525" i="1"/>
  <c r="G8525" i="1"/>
  <c r="H8525" i="1"/>
  <c r="A8526" i="1"/>
  <c r="B8526" i="1"/>
  <c r="C8526" i="1"/>
  <c r="D8526" i="1"/>
  <c r="E8526" i="1"/>
  <c r="F8526" i="1"/>
  <c r="G8526" i="1"/>
  <c r="H8526" i="1"/>
  <c r="A8527" i="1"/>
  <c r="B8527" i="1"/>
  <c r="C8527" i="1"/>
  <c r="D8527" i="1"/>
  <c r="E8527" i="1"/>
  <c r="F8527" i="1"/>
  <c r="G8527" i="1"/>
  <c r="H8527" i="1"/>
  <c r="A8528" i="1"/>
  <c r="B8528" i="1"/>
  <c r="C8528" i="1"/>
  <c r="D8528" i="1"/>
  <c r="E8528" i="1"/>
  <c r="F8528" i="1"/>
  <c r="G8528" i="1"/>
  <c r="H8528" i="1"/>
  <c r="A8529" i="1"/>
  <c r="B8529" i="1"/>
  <c r="C8529" i="1"/>
  <c r="D8529" i="1"/>
  <c r="E8529" i="1"/>
  <c r="F8529" i="1"/>
  <c r="G8529" i="1"/>
  <c r="H8529" i="1"/>
  <c r="A8530" i="1"/>
  <c r="B8530" i="1"/>
  <c r="C8530" i="1"/>
  <c r="D8530" i="1"/>
  <c r="E8530" i="1"/>
  <c r="F8530" i="1"/>
  <c r="G8530" i="1"/>
  <c r="H8530" i="1"/>
  <c r="A8531" i="1"/>
  <c r="B8531" i="1"/>
  <c r="C8531" i="1"/>
  <c r="D8531" i="1"/>
  <c r="E8531" i="1"/>
  <c r="F8531" i="1"/>
  <c r="G8531" i="1"/>
  <c r="H8531" i="1"/>
  <c r="A8532" i="1"/>
  <c r="B8532" i="1"/>
  <c r="C8532" i="1"/>
  <c r="D8532" i="1"/>
  <c r="E8532" i="1"/>
  <c r="F8532" i="1"/>
  <c r="G8532" i="1"/>
  <c r="H8532" i="1"/>
  <c r="A8533" i="1"/>
  <c r="B8533" i="1"/>
  <c r="C8533" i="1"/>
  <c r="D8533" i="1"/>
  <c r="E8533" i="1"/>
  <c r="F8533" i="1"/>
  <c r="G8533" i="1"/>
  <c r="H8533" i="1"/>
  <c r="A8534" i="1"/>
  <c r="B8534" i="1"/>
  <c r="C8534" i="1"/>
  <c r="D8534" i="1"/>
  <c r="E8534" i="1"/>
  <c r="F8534" i="1"/>
  <c r="G8534" i="1"/>
  <c r="H8534" i="1"/>
  <c r="A8535" i="1"/>
  <c r="B8535" i="1"/>
  <c r="C8535" i="1"/>
  <c r="D8535" i="1"/>
  <c r="E8535" i="1"/>
  <c r="F8535" i="1"/>
  <c r="G8535" i="1"/>
  <c r="H8535" i="1"/>
  <c r="A8536" i="1"/>
  <c r="B8536" i="1"/>
  <c r="C8536" i="1"/>
  <c r="D8536" i="1"/>
  <c r="E8536" i="1"/>
  <c r="F8536" i="1"/>
  <c r="G8536" i="1"/>
  <c r="H8536" i="1"/>
  <c r="A8537" i="1"/>
  <c r="B8537" i="1"/>
  <c r="C8537" i="1"/>
  <c r="D8537" i="1"/>
  <c r="E8537" i="1"/>
  <c r="F8537" i="1"/>
  <c r="G8537" i="1"/>
  <c r="H8537" i="1"/>
  <c r="A8538" i="1"/>
  <c r="B8538" i="1"/>
  <c r="C8538" i="1"/>
  <c r="D8538" i="1"/>
  <c r="E8538" i="1"/>
  <c r="F8538" i="1"/>
  <c r="G8538" i="1"/>
  <c r="H8538" i="1"/>
  <c r="A8539" i="1"/>
  <c r="B8539" i="1"/>
  <c r="C8539" i="1"/>
  <c r="D8539" i="1"/>
  <c r="E8539" i="1"/>
  <c r="F8539" i="1"/>
  <c r="G8539" i="1"/>
  <c r="H8539" i="1"/>
  <c r="A8540" i="1"/>
  <c r="B8540" i="1"/>
  <c r="C8540" i="1"/>
  <c r="D8540" i="1"/>
  <c r="E8540" i="1"/>
  <c r="F8540" i="1"/>
  <c r="G8540" i="1"/>
  <c r="H8540" i="1"/>
  <c r="A8541" i="1"/>
  <c r="B8541" i="1"/>
  <c r="C8541" i="1"/>
  <c r="D8541" i="1"/>
  <c r="E8541" i="1"/>
  <c r="F8541" i="1"/>
  <c r="G8541" i="1"/>
  <c r="H8541" i="1"/>
  <c r="A8542" i="1"/>
  <c r="B8542" i="1"/>
  <c r="C8542" i="1"/>
  <c r="D8542" i="1"/>
  <c r="E8542" i="1"/>
  <c r="F8542" i="1"/>
  <c r="G8542" i="1"/>
  <c r="H8542" i="1"/>
  <c r="A8543" i="1"/>
  <c r="B8543" i="1"/>
  <c r="C8543" i="1"/>
  <c r="D8543" i="1"/>
  <c r="E8543" i="1"/>
  <c r="F8543" i="1"/>
  <c r="G8543" i="1"/>
  <c r="H8543" i="1"/>
  <c r="A8544" i="1"/>
  <c r="B8544" i="1"/>
  <c r="C8544" i="1"/>
  <c r="D8544" i="1"/>
  <c r="E8544" i="1"/>
  <c r="F8544" i="1"/>
  <c r="G8544" i="1"/>
  <c r="H8544" i="1"/>
  <c r="A8545" i="1"/>
  <c r="B8545" i="1"/>
  <c r="C8545" i="1"/>
  <c r="D8545" i="1"/>
  <c r="E8545" i="1"/>
  <c r="F8545" i="1"/>
  <c r="G8545" i="1"/>
  <c r="H8545" i="1"/>
  <c r="A8546" i="1"/>
  <c r="B8546" i="1"/>
  <c r="C8546" i="1"/>
  <c r="D8546" i="1"/>
  <c r="E8546" i="1"/>
  <c r="F8546" i="1"/>
  <c r="G8546" i="1"/>
  <c r="H8546" i="1"/>
  <c r="A8547" i="1"/>
  <c r="B8547" i="1"/>
  <c r="C8547" i="1"/>
  <c r="D8547" i="1"/>
  <c r="E8547" i="1"/>
  <c r="F8547" i="1"/>
  <c r="G8547" i="1"/>
  <c r="H8547" i="1"/>
  <c r="A8548" i="1"/>
  <c r="B8548" i="1"/>
  <c r="C8548" i="1"/>
  <c r="D8548" i="1"/>
  <c r="E8548" i="1"/>
  <c r="F8548" i="1"/>
  <c r="G8548" i="1"/>
  <c r="H8548" i="1"/>
  <c r="A8549" i="1"/>
  <c r="B8549" i="1"/>
  <c r="C8549" i="1"/>
  <c r="D8549" i="1"/>
  <c r="E8549" i="1"/>
  <c r="F8549" i="1"/>
  <c r="G8549" i="1"/>
  <c r="H8549" i="1"/>
  <c r="A8550" i="1"/>
  <c r="B8550" i="1"/>
  <c r="C8550" i="1"/>
  <c r="D8550" i="1"/>
  <c r="E8550" i="1"/>
  <c r="F8550" i="1"/>
  <c r="G8550" i="1"/>
  <c r="H8550" i="1"/>
  <c r="A8551" i="1"/>
  <c r="B8551" i="1"/>
  <c r="C8551" i="1"/>
  <c r="D8551" i="1"/>
  <c r="E8551" i="1"/>
  <c r="F8551" i="1"/>
  <c r="G8551" i="1"/>
  <c r="H8551" i="1"/>
  <c r="A8552" i="1"/>
  <c r="B8552" i="1"/>
  <c r="C8552" i="1"/>
  <c r="D8552" i="1"/>
  <c r="E8552" i="1"/>
  <c r="F8552" i="1"/>
  <c r="G8552" i="1"/>
  <c r="H8552" i="1"/>
  <c r="A8553" i="1"/>
  <c r="B8553" i="1"/>
  <c r="C8553" i="1"/>
  <c r="D8553" i="1"/>
  <c r="E8553" i="1"/>
  <c r="F8553" i="1"/>
  <c r="G8553" i="1"/>
  <c r="H8553" i="1"/>
  <c r="A8554" i="1"/>
  <c r="B8554" i="1"/>
  <c r="C8554" i="1"/>
  <c r="D8554" i="1"/>
  <c r="E8554" i="1"/>
  <c r="F8554" i="1"/>
  <c r="G8554" i="1"/>
  <c r="H8554" i="1"/>
  <c r="A8555" i="1"/>
  <c r="B8555" i="1"/>
  <c r="C8555" i="1"/>
  <c r="D8555" i="1"/>
  <c r="E8555" i="1"/>
  <c r="F8555" i="1"/>
  <c r="G8555" i="1"/>
  <c r="H8555" i="1"/>
  <c r="A8556" i="1"/>
  <c r="B8556" i="1"/>
  <c r="C8556" i="1"/>
  <c r="D8556" i="1"/>
  <c r="E8556" i="1"/>
  <c r="F8556" i="1"/>
  <c r="G8556" i="1"/>
  <c r="H8556" i="1"/>
  <c r="A8557" i="1"/>
  <c r="B8557" i="1"/>
  <c r="C8557" i="1"/>
  <c r="D8557" i="1"/>
  <c r="E8557" i="1"/>
  <c r="F8557" i="1"/>
  <c r="G8557" i="1"/>
  <c r="H8557" i="1"/>
  <c r="A8558" i="1"/>
  <c r="B8558" i="1"/>
  <c r="C8558" i="1"/>
  <c r="D8558" i="1"/>
  <c r="E8558" i="1"/>
  <c r="F8558" i="1"/>
  <c r="G8558" i="1"/>
  <c r="H8558" i="1"/>
  <c r="A8559" i="1"/>
  <c r="B8559" i="1"/>
  <c r="C8559" i="1"/>
  <c r="D8559" i="1"/>
  <c r="E8559" i="1"/>
  <c r="F8559" i="1"/>
  <c r="G8559" i="1"/>
  <c r="H8559" i="1"/>
  <c r="A8560" i="1"/>
  <c r="B8560" i="1"/>
  <c r="C8560" i="1"/>
  <c r="D8560" i="1"/>
  <c r="E8560" i="1"/>
  <c r="F8560" i="1"/>
  <c r="G8560" i="1"/>
  <c r="H8560" i="1"/>
  <c r="A8561" i="1"/>
  <c r="B8561" i="1"/>
  <c r="C8561" i="1"/>
  <c r="D8561" i="1"/>
  <c r="E8561" i="1"/>
  <c r="F8561" i="1"/>
  <c r="G8561" i="1"/>
  <c r="H8561" i="1"/>
  <c r="A8562" i="1"/>
  <c r="B8562" i="1"/>
  <c r="C8562" i="1"/>
  <c r="D8562" i="1"/>
  <c r="E8562" i="1"/>
  <c r="F8562" i="1"/>
  <c r="G8562" i="1"/>
  <c r="H8562" i="1"/>
  <c r="A8563" i="1"/>
  <c r="B8563" i="1"/>
  <c r="C8563" i="1"/>
  <c r="D8563" i="1"/>
  <c r="E8563" i="1"/>
  <c r="F8563" i="1"/>
  <c r="G8563" i="1"/>
  <c r="H8563" i="1"/>
  <c r="A8564" i="1"/>
  <c r="B8564" i="1"/>
  <c r="C8564" i="1"/>
  <c r="D8564" i="1"/>
  <c r="E8564" i="1"/>
  <c r="F8564" i="1"/>
  <c r="G8564" i="1"/>
  <c r="H8564" i="1"/>
  <c r="A8565" i="1"/>
  <c r="B8565" i="1"/>
  <c r="C8565" i="1"/>
  <c r="D8565" i="1"/>
  <c r="E8565" i="1"/>
  <c r="F8565" i="1"/>
  <c r="G8565" i="1"/>
  <c r="H8565" i="1"/>
  <c r="A8566" i="1"/>
  <c r="B8566" i="1"/>
  <c r="C8566" i="1"/>
  <c r="D8566" i="1"/>
  <c r="E8566" i="1"/>
  <c r="F8566" i="1"/>
  <c r="G8566" i="1"/>
  <c r="H8566" i="1"/>
  <c r="A8567" i="1"/>
  <c r="B8567" i="1"/>
  <c r="C8567" i="1"/>
  <c r="D8567" i="1"/>
  <c r="E8567" i="1"/>
  <c r="F8567" i="1"/>
  <c r="G8567" i="1"/>
  <c r="H8567" i="1"/>
  <c r="A8568" i="1"/>
  <c r="B8568" i="1"/>
  <c r="C8568" i="1"/>
  <c r="D8568" i="1"/>
  <c r="E8568" i="1"/>
  <c r="F8568" i="1"/>
  <c r="G8568" i="1"/>
  <c r="H8568" i="1"/>
  <c r="A8569" i="1"/>
  <c r="B8569" i="1"/>
  <c r="C8569" i="1"/>
  <c r="D8569" i="1"/>
  <c r="E8569" i="1"/>
  <c r="F8569" i="1"/>
  <c r="G8569" i="1"/>
  <c r="H8569" i="1"/>
  <c r="A8570" i="1"/>
  <c r="B8570" i="1"/>
  <c r="C8570" i="1"/>
  <c r="D8570" i="1"/>
  <c r="E8570" i="1"/>
  <c r="F8570" i="1"/>
  <c r="G8570" i="1"/>
  <c r="H8570" i="1"/>
  <c r="A8571" i="1"/>
  <c r="B8571" i="1"/>
  <c r="C8571" i="1"/>
  <c r="D8571" i="1"/>
  <c r="E8571" i="1"/>
  <c r="F8571" i="1"/>
  <c r="G8571" i="1"/>
  <c r="H8571" i="1"/>
  <c r="A8572" i="1"/>
  <c r="B8572" i="1"/>
  <c r="C8572" i="1"/>
  <c r="D8572" i="1"/>
  <c r="E8572" i="1"/>
  <c r="F8572" i="1"/>
  <c r="G8572" i="1"/>
  <c r="H8572" i="1"/>
  <c r="A8573" i="1"/>
  <c r="B8573" i="1"/>
  <c r="C8573" i="1"/>
  <c r="D8573" i="1"/>
  <c r="E8573" i="1"/>
  <c r="F8573" i="1"/>
  <c r="G8573" i="1"/>
  <c r="H8573" i="1"/>
  <c r="A8574" i="1"/>
  <c r="B8574" i="1"/>
  <c r="C8574" i="1"/>
  <c r="D8574" i="1"/>
  <c r="E8574" i="1"/>
  <c r="F8574" i="1"/>
  <c r="G8574" i="1"/>
  <c r="H8574" i="1"/>
  <c r="A8575" i="1"/>
  <c r="B8575" i="1"/>
  <c r="C8575" i="1"/>
  <c r="D8575" i="1"/>
  <c r="E8575" i="1"/>
  <c r="F8575" i="1"/>
  <c r="G8575" i="1"/>
  <c r="H8575" i="1"/>
  <c r="A8576" i="1"/>
  <c r="B8576" i="1"/>
  <c r="C8576" i="1"/>
  <c r="D8576" i="1"/>
  <c r="E8576" i="1"/>
  <c r="F8576" i="1"/>
  <c r="G8576" i="1"/>
  <c r="H8576" i="1"/>
  <c r="A8577" i="1"/>
  <c r="B8577" i="1"/>
  <c r="C8577" i="1"/>
  <c r="D8577" i="1"/>
  <c r="E8577" i="1"/>
  <c r="F8577" i="1"/>
  <c r="G8577" i="1"/>
  <c r="H8577" i="1"/>
  <c r="A8578" i="1"/>
  <c r="B8578" i="1"/>
  <c r="C8578" i="1"/>
  <c r="D8578" i="1"/>
  <c r="E8578" i="1"/>
  <c r="F8578" i="1"/>
  <c r="G8578" i="1"/>
  <c r="H8578" i="1"/>
  <c r="A8579" i="1"/>
  <c r="B8579" i="1"/>
  <c r="C8579" i="1"/>
  <c r="D8579" i="1"/>
  <c r="E8579" i="1"/>
  <c r="F8579" i="1"/>
  <c r="G8579" i="1"/>
  <c r="H8579" i="1"/>
  <c r="A8580" i="1"/>
  <c r="B8580" i="1"/>
  <c r="C8580" i="1"/>
  <c r="D8580" i="1"/>
  <c r="E8580" i="1"/>
  <c r="F8580" i="1"/>
  <c r="G8580" i="1"/>
  <c r="H8580" i="1"/>
  <c r="A8581" i="1"/>
  <c r="B8581" i="1"/>
  <c r="C8581" i="1"/>
  <c r="D8581" i="1"/>
  <c r="E8581" i="1"/>
  <c r="F8581" i="1"/>
  <c r="G8581" i="1"/>
  <c r="H8581" i="1"/>
  <c r="A8582" i="1"/>
  <c r="B8582" i="1"/>
  <c r="C8582" i="1"/>
  <c r="D8582" i="1"/>
  <c r="E8582" i="1"/>
  <c r="F8582" i="1"/>
  <c r="G8582" i="1"/>
  <c r="H8582" i="1"/>
  <c r="A8583" i="1"/>
  <c r="B8583" i="1"/>
  <c r="C8583" i="1"/>
  <c r="D8583" i="1"/>
  <c r="E8583" i="1"/>
  <c r="F8583" i="1"/>
  <c r="G8583" i="1"/>
  <c r="H8583" i="1"/>
  <c r="A8584" i="1"/>
  <c r="B8584" i="1"/>
  <c r="C8584" i="1"/>
  <c r="D8584" i="1"/>
  <c r="E8584" i="1"/>
  <c r="F8584" i="1"/>
  <c r="G8584" i="1"/>
  <c r="H8584" i="1"/>
  <c r="A8585" i="1"/>
  <c r="B8585" i="1"/>
  <c r="C8585" i="1"/>
  <c r="D8585" i="1"/>
  <c r="E8585" i="1"/>
  <c r="F8585" i="1"/>
  <c r="G8585" i="1"/>
  <c r="H8585" i="1"/>
  <c r="A8586" i="1"/>
  <c r="B8586" i="1"/>
  <c r="C8586" i="1"/>
  <c r="D8586" i="1"/>
  <c r="E8586" i="1"/>
  <c r="F8586" i="1"/>
  <c r="G8586" i="1"/>
  <c r="H8586" i="1"/>
  <c r="A8587" i="1"/>
  <c r="B8587" i="1"/>
  <c r="C8587" i="1"/>
  <c r="D8587" i="1"/>
  <c r="E8587" i="1"/>
  <c r="F8587" i="1"/>
  <c r="G8587" i="1"/>
  <c r="H8587" i="1"/>
  <c r="A8588" i="1"/>
  <c r="B8588" i="1"/>
  <c r="C8588" i="1"/>
  <c r="D8588" i="1"/>
  <c r="E8588" i="1"/>
  <c r="F8588" i="1"/>
  <c r="G8588" i="1"/>
  <c r="H8588" i="1"/>
  <c r="A8589" i="1"/>
  <c r="B8589" i="1"/>
  <c r="C8589" i="1"/>
  <c r="D8589" i="1"/>
  <c r="E8589" i="1"/>
  <c r="F8589" i="1"/>
  <c r="G8589" i="1"/>
  <c r="H8589" i="1"/>
  <c r="A8590" i="1"/>
  <c r="B8590" i="1"/>
  <c r="C8590" i="1"/>
  <c r="D8590" i="1"/>
  <c r="E8590" i="1"/>
  <c r="F8590" i="1"/>
  <c r="G8590" i="1"/>
  <c r="H8590" i="1"/>
  <c r="A8591" i="1"/>
  <c r="B8591" i="1"/>
  <c r="C8591" i="1"/>
  <c r="D8591" i="1"/>
  <c r="E8591" i="1"/>
  <c r="F8591" i="1"/>
  <c r="G8591" i="1"/>
  <c r="H8591" i="1"/>
  <c r="A8592" i="1"/>
  <c r="B8592" i="1"/>
  <c r="C8592" i="1"/>
  <c r="D8592" i="1"/>
  <c r="E8592" i="1"/>
  <c r="F8592" i="1"/>
  <c r="G8592" i="1"/>
  <c r="H8592" i="1"/>
  <c r="A8593" i="1"/>
  <c r="B8593" i="1"/>
  <c r="C8593" i="1"/>
  <c r="D8593" i="1"/>
  <c r="E8593" i="1"/>
  <c r="F8593" i="1"/>
  <c r="G8593" i="1"/>
  <c r="H8593" i="1"/>
  <c r="A8594" i="1"/>
  <c r="B8594" i="1"/>
  <c r="C8594" i="1"/>
  <c r="D8594" i="1"/>
  <c r="E8594" i="1"/>
  <c r="F8594" i="1"/>
  <c r="G8594" i="1"/>
  <c r="H8594" i="1"/>
  <c r="A8595" i="1"/>
  <c r="B8595" i="1"/>
  <c r="C8595" i="1"/>
  <c r="D8595" i="1"/>
  <c r="E8595" i="1"/>
  <c r="F8595" i="1"/>
  <c r="G8595" i="1"/>
  <c r="H8595" i="1"/>
  <c r="A8596" i="1"/>
  <c r="B8596" i="1"/>
  <c r="C8596" i="1"/>
  <c r="D8596" i="1"/>
  <c r="E8596" i="1"/>
  <c r="F8596" i="1"/>
  <c r="G8596" i="1"/>
  <c r="H8596" i="1"/>
  <c r="A8597" i="1"/>
  <c r="B8597" i="1"/>
  <c r="C8597" i="1"/>
  <c r="D8597" i="1"/>
  <c r="E8597" i="1"/>
  <c r="F8597" i="1"/>
  <c r="G8597" i="1"/>
  <c r="H8597" i="1"/>
  <c r="A8598" i="1"/>
  <c r="B8598" i="1"/>
  <c r="C8598" i="1"/>
  <c r="D8598" i="1"/>
  <c r="E8598" i="1"/>
  <c r="F8598" i="1"/>
  <c r="G8598" i="1"/>
  <c r="H8598" i="1"/>
  <c r="A8599" i="1"/>
  <c r="B8599" i="1"/>
  <c r="C8599" i="1"/>
  <c r="D8599" i="1"/>
  <c r="E8599" i="1"/>
  <c r="F8599" i="1"/>
  <c r="G8599" i="1"/>
  <c r="H8599" i="1"/>
  <c r="A8600" i="1"/>
  <c r="B8600" i="1"/>
  <c r="C8600" i="1"/>
  <c r="D8600" i="1"/>
  <c r="E8600" i="1"/>
  <c r="F8600" i="1"/>
  <c r="G8600" i="1"/>
  <c r="H8600" i="1"/>
  <c r="A8601" i="1"/>
  <c r="B8601" i="1"/>
  <c r="C8601" i="1"/>
  <c r="D8601" i="1"/>
  <c r="E8601" i="1"/>
  <c r="F8601" i="1"/>
  <c r="G8601" i="1"/>
  <c r="H8601" i="1"/>
  <c r="A8602" i="1"/>
  <c r="B8602" i="1"/>
  <c r="C8602" i="1"/>
  <c r="D8602" i="1"/>
  <c r="E8602" i="1"/>
  <c r="F8602" i="1"/>
  <c r="G8602" i="1"/>
  <c r="H8602" i="1"/>
  <c r="A8603" i="1"/>
  <c r="B8603" i="1"/>
  <c r="C8603" i="1"/>
  <c r="D8603" i="1"/>
  <c r="E8603" i="1"/>
  <c r="F8603" i="1"/>
  <c r="G8603" i="1"/>
  <c r="H8603" i="1"/>
  <c r="A8604" i="1"/>
  <c r="B8604" i="1"/>
  <c r="C8604" i="1"/>
  <c r="D8604" i="1"/>
  <c r="E8604" i="1"/>
  <c r="F8604" i="1"/>
  <c r="G8604" i="1"/>
  <c r="H8604" i="1"/>
  <c r="A8605" i="1"/>
  <c r="B8605" i="1"/>
  <c r="C8605" i="1"/>
  <c r="D8605" i="1"/>
  <c r="E8605" i="1"/>
  <c r="F8605" i="1"/>
  <c r="G8605" i="1"/>
  <c r="H8605" i="1"/>
  <c r="A8606" i="1"/>
  <c r="B8606" i="1"/>
  <c r="C8606" i="1"/>
  <c r="D8606" i="1"/>
  <c r="E8606" i="1"/>
  <c r="F8606" i="1"/>
  <c r="G8606" i="1"/>
  <c r="H8606" i="1"/>
  <c r="A8607" i="1"/>
  <c r="B8607" i="1"/>
  <c r="C8607" i="1"/>
  <c r="D8607" i="1"/>
  <c r="E8607" i="1"/>
  <c r="F8607" i="1"/>
  <c r="G8607" i="1"/>
  <c r="H8607" i="1"/>
  <c r="A8608" i="1"/>
  <c r="B8608" i="1"/>
  <c r="C8608" i="1"/>
  <c r="D8608" i="1"/>
  <c r="E8608" i="1"/>
  <c r="F8608" i="1"/>
  <c r="G8608" i="1"/>
  <c r="H8608" i="1"/>
  <c r="A8609" i="1"/>
  <c r="B8609" i="1"/>
  <c r="C8609" i="1"/>
  <c r="D8609" i="1"/>
  <c r="E8609" i="1"/>
  <c r="F8609" i="1"/>
  <c r="G8609" i="1"/>
  <c r="H8609" i="1"/>
  <c r="A8610" i="1"/>
  <c r="B8610" i="1"/>
  <c r="C8610" i="1"/>
  <c r="D8610" i="1"/>
  <c r="E8610" i="1"/>
  <c r="F8610" i="1"/>
  <c r="G8610" i="1"/>
  <c r="H8610" i="1"/>
  <c r="A8611" i="1"/>
  <c r="B8611" i="1"/>
  <c r="C8611" i="1"/>
  <c r="D8611" i="1"/>
  <c r="E8611" i="1"/>
  <c r="F8611" i="1"/>
  <c r="G8611" i="1"/>
  <c r="H8611" i="1"/>
  <c r="A8612" i="1"/>
  <c r="B8612" i="1"/>
  <c r="C8612" i="1"/>
  <c r="D8612" i="1"/>
  <c r="E8612" i="1"/>
  <c r="F8612" i="1"/>
  <c r="G8612" i="1"/>
  <c r="H8612" i="1"/>
  <c r="A8613" i="1"/>
  <c r="B8613" i="1"/>
  <c r="C8613" i="1"/>
  <c r="D8613" i="1"/>
  <c r="E8613" i="1"/>
  <c r="F8613" i="1"/>
  <c r="G8613" i="1"/>
  <c r="H8613" i="1"/>
  <c r="A8614" i="1"/>
  <c r="B8614" i="1"/>
  <c r="C8614" i="1"/>
  <c r="D8614" i="1"/>
  <c r="E8614" i="1"/>
  <c r="F8614" i="1"/>
  <c r="G8614" i="1"/>
  <c r="H8614" i="1"/>
  <c r="A8615" i="1"/>
  <c r="B8615" i="1"/>
  <c r="C8615" i="1"/>
  <c r="D8615" i="1"/>
  <c r="E8615" i="1"/>
  <c r="F8615" i="1"/>
  <c r="G8615" i="1"/>
  <c r="H8615" i="1"/>
  <c r="A8616" i="1"/>
  <c r="B8616" i="1"/>
  <c r="C8616" i="1"/>
  <c r="D8616" i="1"/>
  <c r="E8616" i="1"/>
  <c r="F8616" i="1"/>
  <c r="G8616" i="1"/>
  <c r="H8616" i="1"/>
  <c r="A8617" i="1"/>
  <c r="B8617" i="1"/>
  <c r="C8617" i="1"/>
  <c r="D8617" i="1"/>
  <c r="E8617" i="1"/>
  <c r="F8617" i="1"/>
  <c r="G8617" i="1"/>
  <c r="H8617" i="1"/>
  <c r="A8618" i="1"/>
  <c r="B8618" i="1"/>
  <c r="C8618" i="1"/>
  <c r="D8618" i="1"/>
  <c r="E8618" i="1"/>
  <c r="F8618" i="1"/>
  <c r="G8618" i="1"/>
  <c r="H8618" i="1"/>
  <c r="A8619" i="1"/>
  <c r="B8619" i="1"/>
  <c r="C8619" i="1"/>
  <c r="D8619" i="1"/>
  <c r="E8619" i="1"/>
  <c r="F8619" i="1"/>
  <c r="G8619" i="1"/>
  <c r="H8619" i="1"/>
  <c r="A8620" i="1"/>
  <c r="B8620" i="1"/>
  <c r="C8620" i="1"/>
  <c r="D8620" i="1"/>
  <c r="E8620" i="1"/>
  <c r="F8620" i="1"/>
  <c r="G8620" i="1"/>
  <c r="H8620" i="1"/>
  <c r="A8621" i="1"/>
  <c r="B8621" i="1"/>
  <c r="C8621" i="1"/>
  <c r="D8621" i="1"/>
  <c r="E8621" i="1"/>
  <c r="F8621" i="1"/>
  <c r="G8621" i="1"/>
  <c r="H8621" i="1"/>
  <c r="A8622" i="1"/>
  <c r="B8622" i="1"/>
  <c r="C8622" i="1"/>
  <c r="D8622" i="1"/>
  <c r="E8622" i="1"/>
  <c r="F8622" i="1"/>
  <c r="G8622" i="1"/>
  <c r="H8622" i="1"/>
  <c r="A8623" i="1"/>
  <c r="B8623" i="1"/>
  <c r="C8623" i="1"/>
  <c r="D8623" i="1"/>
  <c r="E8623" i="1"/>
  <c r="F8623" i="1"/>
  <c r="G8623" i="1"/>
  <c r="H8623" i="1"/>
  <c r="A8624" i="1"/>
  <c r="B8624" i="1"/>
  <c r="C8624" i="1"/>
  <c r="D8624" i="1"/>
  <c r="E8624" i="1"/>
  <c r="F8624" i="1"/>
  <c r="G8624" i="1"/>
  <c r="H8624" i="1"/>
  <c r="A8625" i="1"/>
  <c r="B8625" i="1"/>
  <c r="C8625" i="1"/>
  <c r="D8625" i="1"/>
  <c r="E8625" i="1"/>
  <c r="F8625" i="1"/>
  <c r="G8625" i="1"/>
  <c r="H8625" i="1"/>
  <c r="A8626" i="1"/>
  <c r="B8626" i="1"/>
  <c r="C8626" i="1"/>
  <c r="D8626" i="1"/>
  <c r="E8626" i="1"/>
  <c r="F8626" i="1"/>
  <c r="G8626" i="1"/>
  <c r="H8626" i="1"/>
  <c r="A8627" i="1"/>
  <c r="B8627" i="1"/>
  <c r="C8627" i="1"/>
  <c r="D8627" i="1"/>
  <c r="E8627" i="1"/>
  <c r="F8627" i="1"/>
  <c r="G8627" i="1"/>
  <c r="H8627" i="1"/>
  <c r="A8628" i="1"/>
  <c r="B8628" i="1"/>
  <c r="C8628" i="1"/>
  <c r="D8628" i="1"/>
  <c r="E8628" i="1"/>
  <c r="F8628" i="1"/>
  <c r="G8628" i="1"/>
  <c r="H8628" i="1"/>
  <c r="A8629" i="1"/>
  <c r="B8629" i="1"/>
  <c r="C8629" i="1"/>
  <c r="D8629" i="1"/>
  <c r="E8629" i="1"/>
  <c r="F8629" i="1"/>
  <c r="G8629" i="1"/>
  <c r="H8629" i="1"/>
  <c r="A8630" i="1"/>
  <c r="B8630" i="1"/>
  <c r="C8630" i="1"/>
  <c r="D8630" i="1"/>
  <c r="E8630" i="1"/>
  <c r="F8630" i="1"/>
  <c r="G8630" i="1"/>
  <c r="H8630" i="1"/>
  <c r="A8631" i="1"/>
  <c r="B8631" i="1"/>
  <c r="C8631" i="1"/>
  <c r="D8631" i="1"/>
  <c r="E8631" i="1"/>
  <c r="F8631" i="1"/>
  <c r="G8631" i="1"/>
  <c r="H8631" i="1"/>
  <c r="A8632" i="1"/>
  <c r="B8632" i="1"/>
  <c r="C8632" i="1"/>
  <c r="D8632" i="1"/>
  <c r="E8632" i="1"/>
  <c r="F8632" i="1"/>
  <c r="G8632" i="1"/>
  <c r="H8632" i="1"/>
  <c r="A8633" i="1"/>
  <c r="B8633" i="1"/>
  <c r="C8633" i="1"/>
  <c r="D8633" i="1"/>
  <c r="E8633" i="1"/>
  <c r="F8633" i="1"/>
  <c r="G8633" i="1"/>
  <c r="H8633" i="1"/>
  <c r="A8634" i="1"/>
  <c r="B8634" i="1"/>
  <c r="C8634" i="1"/>
  <c r="D8634" i="1"/>
  <c r="E8634" i="1"/>
  <c r="F8634" i="1"/>
  <c r="G8634" i="1"/>
  <c r="H8634" i="1"/>
  <c r="A8635" i="1"/>
  <c r="B8635" i="1"/>
  <c r="C8635" i="1"/>
  <c r="D8635" i="1"/>
  <c r="E8635" i="1"/>
  <c r="F8635" i="1"/>
  <c r="G8635" i="1"/>
  <c r="H8635" i="1"/>
  <c r="A8636" i="1"/>
  <c r="B8636" i="1"/>
  <c r="C8636" i="1"/>
  <c r="D8636" i="1"/>
  <c r="E8636" i="1"/>
  <c r="F8636" i="1"/>
  <c r="G8636" i="1"/>
  <c r="H8636" i="1"/>
  <c r="A8637" i="1"/>
  <c r="B8637" i="1"/>
  <c r="C8637" i="1"/>
  <c r="D8637" i="1"/>
  <c r="E8637" i="1"/>
  <c r="F8637" i="1"/>
  <c r="G8637" i="1"/>
  <c r="H8637" i="1"/>
  <c r="A8638" i="1"/>
  <c r="B8638" i="1"/>
  <c r="C8638" i="1"/>
  <c r="D8638" i="1"/>
  <c r="E8638" i="1"/>
  <c r="F8638" i="1"/>
  <c r="G8638" i="1"/>
  <c r="H8638" i="1"/>
  <c r="A8639" i="1"/>
  <c r="B8639" i="1"/>
  <c r="C8639" i="1"/>
  <c r="D8639" i="1"/>
  <c r="E8639" i="1"/>
  <c r="F8639" i="1"/>
  <c r="G8639" i="1"/>
  <c r="H8639" i="1"/>
  <c r="A8640" i="1"/>
  <c r="B8640" i="1"/>
  <c r="C8640" i="1"/>
  <c r="D8640" i="1"/>
  <c r="E8640" i="1"/>
  <c r="F8640" i="1"/>
  <c r="G8640" i="1"/>
  <c r="H8640" i="1"/>
  <c r="A8641" i="1"/>
  <c r="B8641" i="1"/>
  <c r="C8641" i="1"/>
  <c r="D8641" i="1"/>
  <c r="E8641" i="1"/>
  <c r="F8641" i="1"/>
  <c r="G8641" i="1"/>
  <c r="H8641" i="1"/>
  <c r="A8642" i="1"/>
  <c r="B8642" i="1"/>
  <c r="C8642" i="1"/>
  <c r="D8642" i="1"/>
  <c r="E8642" i="1"/>
  <c r="F8642" i="1"/>
  <c r="G8642" i="1"/>
  <c r="H8642" i="1"/>
  <c r="A8643" i="1"/>
  <c r="B8643" i="1"/>
  <c r="C8643" i="1"/>
  <c r="D8643" i="1"/>
  <c r="E8643" i="1"/>
  <c r="F8643" i="1"/>
  <c r="G8643" i="1"/>
  <c r="H8643" i="1"/>
  <c r="A8644" i="1"/>
  <c r="B8644" i="1"/>
  <c r="C8644" i="1"/>
  <c r="D8644" i="1"/>
  <c r="E8644" i="1"/>
  <c r="F8644" i="1"/>
  <c r="G8644" i="1"/>
  <c r="H8644" i="1"/>
  <c r="A8645" i="1"/>
  <c r="B8645" i="1"/>
  <c r="C8645" i="1"/>
  <c r="D8645" i="1"/>
  <c r="E8645" i="1"/>
  <c r="F8645" i="1"/>
  <c r="G8645" i="1"/>
  <c r="H8645" i="1"/>
  <c r="A8646" i="1"/>
  <c r="B8646" i="1"/>
  <c r="C8646" i="1"/>
  <c r="D8646" i="1"/>
  <c r="E8646" i="1"/>
  <c r="F8646" i="1"/>
  <c r="G8646" i="1"/>
  <c r="H8646" i="1"/>
  <c r="A8647" i="1"/>
  <c r="B8647" i="1"/>
  <c r="C8647" i="1"/>
  <c r="D8647" i="1"/>
  <c r="E8647" i="1"/>
  <c r="F8647" i="1"/>
  <c r="G8647" i="1"/>
  <c r="H8647" i="1"/>
  <c r="A8648" i="1"/>
  <c r="B8648" i="1"/>
  <c r="C8648" i="1"/>
  <c r="D8648" i="1"/>
  <c r="E8648" i="1"/>
  <c r="F8648" i="1"/>
  <c r="G8648" i="1"/>
  <c r="H8648" i="1"/>
  <c r="A8649" i="1"/>
  <c r="B8649" i="1"/>
  <c r="C8649" i="1"/>
  <c r="D8649" i="1"/>
  <c r="E8649" i="1"/>
  <c r="F8649" i="1"/>
  <c r="G8649" i="1"/>
  <c r="H8649" i="1"/>
  <c r="A8650" i="1"/>
  <c r="B8650" i="1"/>
  <c r="C8650" i="1"/>
  <c r="D8650" i="1"/>
  <c r="E8650" i="1"/>
  <c r="F8650" i="1"/>
  <c r="G8650" i="1"/>
  <c r="H8650" i="1"/>
  <c r="A8651" i="1"/>
  <c r="B8651" i="1"/>
  <c r="C8651" i="1"/>
  <c r="D8651" i="1"/>
  <c r="E8651" i="1"/>
  <c r="F8651" i="1"/>
  <c r="G8651" i="1"/>
  <c r="H8651" i="1"/>
  <c r="A8652" i="1"/>
  <c r="B8652" i="1"/>
  <c r="C8652" i="1"/>
  <c r="D8652" i="1"/>
  <c r="E8652" i="1"/>
  <c r="F8652" i="1"/>
  <c r="G8652" i="1"/>
  <c r="H8652" i="1"/>
  <c r="A8653" i="1"/>
  <c r="B8653" i="1"/>
  <c r="C8653" i="1"/>
  <c r="D8653" i="1"/>
  <c r="E8653" i="1"/>
  <c r="F8653" i="1"/>
  <c r="G8653" i="1"/>
  <c r="H8653" i="1"/>
  <c r="A8654" i="1"/>
  <c r="B8654" i="1"/>
  <c r="C8654" i="1"/>
  <c r="D8654" i="1"/>
  <c r="E8654" i="1"/>
  <c r="F8654" i="1"/>
  <c r="G8654" i="1"/>
  <c r="H8654" i="1"/>
  <c r="A8655" i="1"/>
  <c r="B8655" i="1"/>
  <c r="C8655" i="1"/>
  <c r="D8655" i="1"/>
  <c r="E8655" i="1"/>
  <c r="F8655" i="1"/>
  <c r="G8655" i="1"/>
  <c r="H8655" i="1"/>
  <c r="A8656" i="1"/>
  <c r="B8656" i="1"/>
  <c r="C8656" i="1"/>
  <c r="D8656" i="1"/>
  <c r="E8656" i="1"/>
  <c r="F8656" i="1"/>
  <c r="G8656" i="1"/>
  <c r="H8656" i="1"/>
  <c r="A8657" i="1"/>
  <c r="B8657" i="1"/>
  <c r="C8657" i="1"/>
  <c r="D8657" i="1"/>
  <c r="E8657" i="1"/>
  <c r="F8657" i="1"/>
  <c r="G8657" i="1"/>
  <c r="H8657" i="1"/>
  <c r="A8658" i="1"/>
  <c r="B8658" i="1"/>
  <c r="C8658" i="1"/>
  <c r="D8658" i="1"/>
  <c r="E8658" i="1"/>
  <c r="F8658" i="1"/>
  <c r="G8658" i="1"/>
  <c r="H8658" i="1"/>
  <c r="A8659" i="1"/>
  <c r="B8659" i="1"/>
  <c r="C8659" i="1"/>
  <c r="D8659" i="1"/>
  <c r="E8659" i="1"/>
  <c r="F8659" i="1"/>
  <c r="G8659" i="1"/>
  <c r="H8659" i="1"/>
  <c r="A8660" i="1"/>
  <c r="B8660" i="1"/>
  <c r="C8660" i="1"/>
  <c r="D8660" i="1"/>
  <c r="E8660" i="1"/>
  <c r="F8660" i="1"/>
  <c r="G8660" i="1"/>
  <c r="H8660" i="1"/>
  <c r="A8661" i="1"/>
  <c r="B8661" i="1"/>
  <c r="C8661" i="1"/>
  <c r="D8661" i="1"/>
  <c r="E8661" i="1"/>
  <c r="F8661" i="1"/>
  <c r="G8661" i="1"/>
  <c r="H8661" i="1"/>
  <c r="A8662" i="1"/>
  <c r="B8662" i="1"/>
  <c r="C8662" i="1"/>
  <c r="D8662" i="1"/>
  <c r="E8662" i="1"/>
  <c r="F8662" i="1"/>
  <c r="G8662" i="1"/>
  <c r="H8662" i="1"/>
  <c r="A8663" i="1"/>
  <c r="B8663" i="1"/>
  <c r="C8663" i="1"/>
  <c r="D8663" i="1"/>
  <c r="E8663" i="1"/>
  <c r="F8663" i="1"/>
  <c r="G8663" i="1"/>
  <c r="H8663" i="1"/>
  <c r="A8664" i="1"/>
  <c r="B8664" i="1"/>
  <c r="C8664" i="1"/>
  <c r="D8664" i="1"/>
  <c r="E8664" i="1"/>
  <c r="F8664" i="1"/>
  <c r="G8664" i="1"/>
  <c r="H8664" i="1"/>
  <c r="A8665" i="1"/>
  <c r="B8665" i="1"/>
  <c r="C8665" i="1"/>
  <c r="D8665" i="1"/>
  <c r="E8665" i="1"/>
  <c r="F8665" i="1"/>
  <c r="G8665" i="1"/>
  <c r="H8665" i="1"/>
  <c r="A8666" i="1"/>
  <c r="B8666" i="1"/>
  <c r="C8666" i="1"/>
  <c r="D8666" i="1"/>
  <c r="E8666" i="1"/>
  <c r="F8666" i="1"/>
  <c r="G8666" i="1"/>
  <c r="H8666" i="1"/>
  <c r="A8667" i="1"/>
  <c r="B8667" i="1"/>
  <c r="C8667" i="1"/>
  <c r="D8667" i="1"/>
  <c r="E8667" i="1"/>
  <c r="F8667" i="1"/>
  <c r="G8667" i="1"/>
  <c r="H8667" i="1"/>
  <c r="A8668" i="1"/>
  <c r="B8668" i="1"/>
  <c r="C8668" i="1"/>
  <c r="D8668" i="1"/>
  <c r="E8668" i="1"/>
  <c r="F8668" i="1"/>
  <c r="G8668" i="1"/>
  <c r="H8668" i="1"/>
  <c r="A8669" i="1"/>
  <c r="B8669" i="1"/>
  <c r="C8669" i="1"/>
  <c r="D8669" i="1"/>
  <c r="E8669" i="1"/>
  <c r="F8669" i="1"/>
  <c r="G8669" i="1"/>
  <c r="H8669" i="1"/>
  <c r="A8670" i="1"/>
  <c r="B8670" i="1"/>
  <c r="C8670" i="1"/>
  <c r="D8670" i="1"/>
  <c r="E8670" i="1"/>
  <c r="F8670" i="1"/>
  <c r="G8670" i="1"/>
  <c r="H8670" i="1"/>
  <c r="A8671" i="1"/>
  <c r="B8671" i="1"/>
  <c r="C8671" i="1"/>
  <c r="D8671" i="1"/>
  <c r="E8671" i="1"/>
  <c r="F8671" i="1"/>
  <c r="G8671" i="1"/>
  <c r="H8671" i="1"/>
  <c r="A8672" i="1"/>
  <c r="B8672" i="1"/>
  <c r="C8672" i="1"/>
  <c r="D8672" i="1"/>
  <c r="E8672" i="1"/>
  <c r="F8672" i="1"/>
  <c r="G8672" i="1"/>
  <c r="H8672" i="1"/>
  <c r="A8673" i="1"/>
  <c r="B8673" i="1"/>
  <c r="C8673" i="1"/>
  <c r="D8673" i="1"/>
  <c r="E8673" i="1"/>
  <c r="F8673" i="1"/>
  <c r="G8673" i="1"/>
  <c r="H8673" i="1"/>
  <c r="A8674" i="1"/>
  <c r="B8674" i="1"/>
  <c r="C8674" i="1"/>
  <c r="D8674" i="1"/>
  <c r="E8674" i="1"/>
  <c r="F8674" i="1"/>
  <c r="G8674" i="1"/>
  <c r="H8674" i="1"/>
  <c r="A8675" i="1"/>
  <c r="B8675" i="1"/>
  <c r="C8675" i="1"/>
  <c r="D8675" i="1"/>
  <c r="E8675" i="1"/>
  <c r="F8675" i="1"/>
  <c r="G8675" i="1"/>
  <c r="H8675" i="1"/>
  <c r="A8676" i="1"/>
  <c r="B8676" i="1"/>
  <c r="C8676" i="1"/>
  <c r="D8676" i="1"/>
  <c r="E8676" i="1"/>
  <c r="F8676" i="1"/>
  <c r="G8676" i="1"/>
  <c r="H8676" i="1"/>
  <c r="A8677" i="1"/>
  <c r="B8677" i="1"/>
  <c r="C8677" i="1"/>
  <c r="D8677" i="1"/>
  <c r="E8677" i="1"/>
  <c r="F8677" i="1"/>
  <c r="G8677" i="1"/>
  <c r="H8677" i="1"/>
  <c r="A8678" i="1"/>
  <c r="B8678" i="1"/>
  <c r="C8678" i="1"/>
  <c r="D8678" i="1"/>
  <c r="E8678" i="1"/>
  <c r="F8678" i="1"/>
  <c r="G8678" i="1"/>
  <c r="H8678" i="1"/>
  <c r="A8679" i="1"/>
  <c r="B8679" i="1"/>
  <c r="C8679" i="1"/>
  <c r="D8679" i="1"/>
  <c r="E8679" i="1"/>
  <c r="F8679" i="1"/>
  <c r="G8679" i="1"/>
  <c r="H8679" i="1"/>
  <c r="A8680" i="1"/>
  <c r="B8680" i="1"/>
  <c r="C8680" i="1"/>
  <c r="D8680" i="1"/>
  <c r="E8680" i="1"/>
  <c r="F8680" i="1"/>
  <c r="G8680" i="1"/>
  <c r="H8680" i="1"/>
  <c r="A8681" i="1"/>
  <c r="B8681" i="1"/>
  <c r="C8681" i="1"/>
  <c r="D8681" i="1"/>
  <c r="E8681" i="1"/>
  <c r="F8681" i="1"/>
  <c r="G8681" i="1"/>
  <c r="H8681" i="1"/>
  <c r="A8682" i="1"/>
  <c r="B8682" i="1"/>
  <c r="C8682" i="1"/>
  <c r="D8682" i="1"/>
  <c r="E8682" i="1"/>
  <c r="F8682" i="1"/>
  <c r="G8682" i="1"/>
  <c r="H8682" i="1"/>
  <c r="A8683" i="1"/>
  <c r="B8683" i="1"/>
  <c r="C8683" i="1"/>
  <c r="D8683" i="1"/>
  <c r="E8683" i="1"/>
  <c r="F8683" i="1"/>
  <c r="G8683" i="1"/>
  <c r="H8683" i="1"/>
  <c r="A8684" i="1"/>
  <c r="B8684" i="1"/>
  <c r="C8684" i="1"/>
  <c r="D8684" i="1"/>
  <c r="E8684" i="1"/>
  <c r="F8684" i="1"/>
  <c r="G8684" i="1"/>
  <c r="H8684" i="1"/>
  <c r="A8685" i="1"/>
  <c r="B8685" i="1"/>
  <c r="C8685" i="1"/>
  <c r="D8685" i="1"/>
  <c r="E8685" i="1"/>
  <c r="F8685" i="1"/>
  <c r="G8685" i="1"/>
  <c r="H8685" i="1"/>
  <c r="A8686" i="1"/>
  <c r="B8686" i="1"/>
  <c r="C8686" i="1"/>
  <c r="D8686" i="1"/>
  <c r="E8686" i="1"/>
  <c r="F8686" i="1"/>
  <c r="G8686" i="1"/>
  <c r="H8686" i="1"/>
  <c r="A8687" i="1"/>
  <c r="B8687" i="1"/>
  <c r="C8687" i="1"/>
  <c r="D8687" i="1"/>
  <c r="E8687" i="1"/>
  <c r="F8687" i="1"/>
  <c r="G8687" i="1"/>
  <c r="H8687" i="1"/>
  <c r="A8688" i="1"/>
  <c r="B8688" i="1"/>
  <c r="C8688" i="1"/>
  <c r="D8688" i="1"/>
  <c r="E8688" i="1"/>
  <c r="F8688" i="1"/>
  <c r="G8688" i="1"/>
  <c r="H8688" i="1"/>
  <c r="A8689" i="1"/>
  <c r="B8689" i="1"/>
  <c r="C8689" i="1"/>
  <c r="D8689" i="1"/>
  <c r="E8689" i="1"/>
  <c r="F8689" i="1"/>
  <c r="G8689" i="1"/>
  <c r="H8689" i="1"/>
  <c r="A8690" i="1"/>
  <c r="B8690" i="1"/>
  <c r="C8690" i="1"/>
  <c r="D8690" i="1"/>
  <c r="E8690" i="1"/>
  <c r="F8690" i="1"/>
  <c r="G8690" i="1"/>
  <c r="H8690" i="1"/>
  <c r="A8691" i="1"/>
  <c r="B8691" i="1"/>
  <c r="C8691" i="1"/>
  <c r="D8691" i="1"/>
  <c r="E8691" i="1"/>
  <c r="F8691" i="1"/>
  <c r="G8691" i="1"/>
  <c r="H8691" i="1"/>
  <c r="A8692" i="1"/>
  <c r="B8692" i="1"/>
  <c r="C8692" i="1"/>
  <c r="D8692" i="1"/>
  <c r="E8692" i="1"/>
  <c r="F8692" i="1"/>
  <c r="G8692" i="1"/>
  <c r="H8692" i="1"/>
  <c r="A8693" i="1"/>
  <c r="B8693" i="1"/>
  <c r="C8693" i="1"/>
  <c r="D8693" i="1"/>
  <c r="E8693" i="1"/>
  <c r="F8693" i="1"/>
  <c r="G8693" i="1"/>
  <c r="H8693" i="1"/>
  <c r="A8694" i="1"/>
  <c r="B8694" i="1"/>
  <c r="C8694" i="1"/>
  <c r="D8694" i="1"/>
  <c r="E8694" i="1"/>
  <c r="F8694" i="1"/>
  <c r="G8694" i="1"/>
  <c r="H8694" i="1"/>
  <c r="A8695" i="1"/>
  <c r="B8695" i="1"/>
  <c r="C8695" i="1"/>
  <c r="D8695" i="1"/>
  <c r="E8695" i="1"/>
  <c r="F8695" i="1"/>
  <c r="G8695" i="1"/>
  <c r="H8695" i="1"/>
  <c r="A8696" i="1"/>
  <c r="B8696" i="1"/>
  <c r="C8696" i="1"/>
  <c r="D8696" i="1"/>
  <c r="E8696" i="1"/>
  <c r="F8696" i="1"/>
  <c r="G8696" i="1"/>
  <c r="H8696" i="1"/>
  <c r="A8697" i="1"/>
  <c r="B8697" i="1"/>
  <c r="C8697" i="1"/>
  <c r="D8697" i="1"/>
  <c r="E8697" i="1"/>
  <c r="F8697" i="1"/>
  <c r="G8697" i="1"/>
  <c r="H8697" i="1"/>
  <c r="A8698" i="1"/>
  <c r="B8698" i="1"/>
  <c r="C8698" i="1"/>
  <c r="D8698" i="1"/>
  <c r="E8698" i="1"/>
  <c r="F8698" i="1"/>
  <c r="G8698" i="1"/>
  <c r="H8698" i="1"/>
  <c r="A8699" i="1"/>
  <c r="B8699" i="1"/>
  <c r="C8699" i="1"/>
  <c r="D8699" i="1"/>
  <c r="E8699" i="1"/>
  <c r="F8699" i="1"/>
  <c r="G8699" i="1"/>
  <c r="H8699" i="1"/>
  <c r="A8700" i="1"/>
  <c r="B8700" i="1"/>
  <c r="C8700" i="1"/>
  <c r="D8700" i="1"/>
  <c r="E8700" i="1"/>
  <c r="F8700" i="1"/>
  <c r="G8700" i="1"/>
  <c r="H8700" i="1"/>
  <c r="A8701" i="1"/>
  <c r="B8701" i="1"/>
  <c r="C8701" i="1"/>
  <c r="D8701" i="1"/>
  <c r="E8701" i="1"/>
  <c r="F8701" i="1"/>
  <c r="G8701" i="1"/>
  <c r="H8701" i="1"/>
  <c r="A8702" i="1"/>
  <c r="B8702" i="1"/>
  <c r="C8702" i="1"/>
  <c r="D8702" i="1"/>
  <c r="E8702" i="1"/>
  <c r="F8702" i="1"/>
  <c r="G8702" i="1"/>
  <c r="H8702" i="1"/>
  <c r="A8703" i="1"/>
  <c r="B8703" i="1"/>
  <c r="C8703" i="1"/>
  <c r="D8703" i="1"/>
  <c r="E8703" i="1"/>
  <c r="F8703" i="1"/>
  <c r="G8703" i="1"/>
  <c r="H8703" i="1"/>
  <c r="A8704" i="1"/>
  <c r="B8704" i="1"/>
  <c r="C8704" i="1"/>
  <c r="D8704" i="1"/>
  <c r="E8704" i="1"/>
  <c r="F8704" i="1"/>
  <c r="G8704" i="1"/>
  <c r="H8704" i="1"/>
  <c r="A8705" i="1"/>
  <c r="B8705" i="1"/>
  <c r="C8705" i="1"/>
  <c r="D8705" i="1"/>
  <c r="E8705" i="1"/>
  <c r="F8705" i="1"/>
  <c r="G8705" i="1"/>
  <c r="H8705" i="1"/>
  <c r="A8706" i="1"/>
  <c r="B8706" i="1"/>
  <c r="C8706" i="1"/>
  <c r="D8706" i="1"/>
  <c r="E8706" i="1"/>
  <c r="F8706" i="1"/>
  <c r="G8706" i="1"/>
  <c r="H8706" i="1"/>
  <c r="A8707" i="1"/>
  <c r="B8707" i="1"/>
  <c r="C8707" i="1"/>
  <c r="D8707" i="1"/>
  <c r="E8707" i="1"/>
  <c r="F8707" i="1"/>
  <c r="G8707" i="1"/>
  <c r="H8707" i="1"/>
  <c r="A8708" i="1"/>
  <c r="B8708" i="1"/>
  <c r="C8708" i="1"/>
  <c r="D8708" i="1"/>
  <c r="E8708" i="1"/>
  <c r="F8708" i="1"/>
  <c r="G8708" i="1"/>
  <c r="H8708" i="1"/>
  <c r="A8709" i="1"/>
  <c r="B8709" i="1"/>
  <c r="C8709" i="1"/>
  <c r="D8709" i="1"/>
  <c r="E8709" i="1"/>
  <c r="F8709" i="1"/>
  <c r="G8709" i="1"/>
  <c r="H8709" i="1"/>
  <c r="A8710" i="1"/>
  <c r="B8710" i="1"/>
  <c r="C8710" i="1"/>
  <c r="D8710" i="1"/>
  <c r="E8710" i="1"/>
  <c r="F8710" i="1"/>
  <c r="G8710" i="1"/>
  <c r="H8710" i="1"/>
  <c r="A8711" i="1"/>
  <c r="B8711" i="1"/>
  <c r="C8711" i="1"/>
  <c r="D8711" i="1"/>
  <c r="E8711" i="1"/>
  <c r="F8711" i="1"/>
  <c r="G8711" i="1"/>
  <c r="H8711" i="1"/>
  <c r="A8712" i="1"/>
  <c r="B8712" i="1"/>
  <c r="C8712" i="1"/>
  <c r="D8712" i="1"/>
  <c r="E8712" i="1"/>
  <c r="F8712" i="1"/>
  <c r="G8712" i="1"/>
  <c r="H8712" i="1"/>
  <c r="A8713" i="1"/>
  <c r="B8713" i="1"/>
  <c r="C8713" i="1"/>
  <c r="D8713" i="1"/>
  <c r="E8713" i="1"/>
  <c r="F8713" i="1"/>
  <c r="G8713" i="1"/>
  <c r="H8713" i="1"/>
  <c r="A8714" i="1"/>
  <c r="B8714" i="1"/>
  <c r="C8714" i="1"/>
  <c r="D8714" i="1"/>
  <c r="E8714" i="1"/>
  <c r="F8714" i="1"/>
  <c r="G8714" i="1"/>
  <c r="H8714" i="1"/>
  <c r="A8715" i="1"/>
  <c r="B8715" i="1"/>
  <c r="C8715" i="1"/>
  <c r="D8715" i="1"/>
  <c r="E8715" i="1"/>
  <c r="F8715" i="1"/>
  <c r="G8715" i="1"/>
  <c r="H8715" i="1"/>
  <c r="A8716" i="1"/>
  <c r="B8716" i="1"/>
  <c r="C8716" i="1"/>
  <c r="D8716" i="1"/>
  <c r="E8716" i="1"/>
  <c r="F8716" i="1"/>
  <c r="G8716" i="1"/>
  <c r="H8716" i="1"/>
  <c r="A8717" i="1"/>
  <c r="B8717" i="1"/>
  <c r="C8717" i="1"/>
  <c r="D8717" i="1"/>
  <c r="E8717" i="1"/>
  <c r="F8717" i="1"/>
  <c r="G8717" i="1"/>
  <c r="H8717" i="1"/>
  <c r="A8718" i="1"/>
  <c r="B8718" i="1"/>
  <c r="C8718" i="1"/>
  <c r="D8718" i="1"/>
  <c r="E8718" i="1"/>
  <c r="F8718" i="1"/>
  <c r="G8718" i="1"/>
  <c r="H8718" i="1"/>
  <c r="A8719" i="1"/>
  <c r="B8719" i="1"/>
  <c r="C8719" i="1"/>
  <c r="D8719" i="1"/>
  <c r="E8719" i="1"/>
  <c r="F8719" i="1"/>
  <c r="G8719" i="1"/>
  <c r="H8719" i="1"/>
  <c r="A8720" i="1"/>
  <c r="B8720" i="1"/>
  <c r="C8720" i="1"/>
  <c r="D8720" i="1"/>
  <c r="E8720" i="1"/>
  <c r="F8720" i="1"/>
  <c r="G8720" i="1"/>
  <c r="H8720" i="1"/>
  <c r="A8721" i="1"/>
  <c r="B8721" i="1"/>
  <c r="C8721" i="1"/>
  <c r="D8721" i="1"/>
  <c r="E8721" i="1"/>
  <c r="F8721" i="1"/>
  <c r="G8721" i="1"/>
  <c r="H8721" i="1"/>
  <c r="A8722" i="1"/>
  <c r="B8722" i="1"/>
  <c r="C8722" i="1"/>
  <c r="D8722" i="1"/>
  <c r="E8722" i="1"/>
  <c r="F8722" i="1"/>
  <c r="G8722" i="1"/>
  <c r="H8722" i="1"/>
  <c r="A8723" i="1"/>
  <c r="B8723" i="1"/>
  <c r="C8723" i="1"/>
  <c r="D8723" i="1"/>
  <c r="E8723" i="1"/>
  <c r="F8723" i="1"/>
  <c r="G8723" i="1"/>
  <c r="H8723" i="1"/>
  <c r="A8724" i="1"/>
  <c r="B8724" i="1"/>
  <c r="C8724" i="1"/>
  <c r="D8724" i="1"/>
  <c r="E8724" i="1"/>
  <c r="F8724" i="1"/>
  <c r="G8724" i="1"/>
  <c r="H8724" i="1"/>
  <c r="A8725" i="1"/>
  <c r="B8725" i="1"/>
  <c r="C8725" i="1"/>
  <c r="D8725" i="1"/>
  <c r="E8725" i="1"/>
  <c r="F8725" i="1"/>
  <c r="G8725" i="1"/>
  <c r="H8725" i="1"/>
  <c r="A8726" i="1"/>
  <c r="B8726" i="1"/>
  <c r="C8726" i="1"/>
  <c r="D8726" i="1"/>
  <c r="E8726" i="1"/>
  <c r="F8726" i="1"/>
  <c r="G8726" i="1"/>
  <c r="H8726" i="1"/>
  <c r="A8727" i="1"/>
  <c r="B8727" i="1"/>
  <c r="C8727" i="1"/>
  <c r="D8727" i="1"/>
  <c r="E8727" i="1"/>
  <c r="F8727" i="1"/>
  <c r="G8727" i="1"/>
  <c r="H8727" i="1"/>
  <c r="A8728" i="1"/>
  <c r="B8728" i="1"/>
  <c r="C8728" i="1"/>
  <c r="D8728" i="1"/>
  <c r="E8728" i="1"/>
  <c r="F8728" i="1"/>
  <c r="G8728" i="1"/>
  <c r="H8728" i="1"/>
  <c r="A8729" i="1"/>
  <c r="B8729" i="1"/>
  <c r="C8729" i="1"/>
  <c r="D8729" i="1"/>
  <c r="E8729" i="1"/>
  <c r="F8729" i="1"/>
  <c r="G8729" i="1"/>
  <c r="H8729" i="1"/>
  <c r="A8730" i="1"/>
  <c r="B8730" i="1"/>
  <c r="C8730" i="1"/>
  <c r="D8730" i="1"/>
  <c r="E8730" i="1"/>
  <c r="F8730" i="1"/>
  <c r="G8730" i="1"/>
  <c r="H8730" i="1"/>
  <c r="A8731" i="1"/>
  <c r="B8731" i="1"/>
  <c r="C8731" i="1"/>
  <c r="D8731" i="1"/>
  <c r="E8731" i="1"/>
  <c r="F8731" i="1"/>
  <c r="G8731" i="1"/>
  <c r="H8731" i="1"/>
  <c r="A8732" i="1"/>
  <c r="B8732" i="1"/>
  <c r="C8732" i="1"/>
  <c r="D8732" i="1"/>
  <c r="E8732" i="1"/>
  <c r="F8732" i="1"/>
  <c r="G8732" i="1"/>
  <c r="H8732" i="1"/>
  <c r="A8733" i="1"/>
  <c r="B8733" i="1"/>
  <c r="C8733" i="1"/>
  <c r="D8733" i="1"/>
  <c r="E8733" i="1"/>
  <c r="F8733" i="1"/>
  <c r="G8733" i="1"/>
  <c r="H8733" i="1"/>
  <c r="A8734" i="1"/>
  <c r="B8734" i="1"/>
  <c r="C8734" i="1"/>
  <c r="D8734" i="1"/>
  <c r="E8734" i="1"/>
  <c r="F8734" i="1"/>
  <c r="G8734" i="1"/>
  <c r="H8734" i="1"/>
  <c r="A8735" i="1"/>
  <c r="B8735" i="1"/>
  <c r="C8735" i="1"/>
  <c r="D8735" i="1"/>
  <c r="E8735" i="1"/>
  <c r="F8735" i="1"/>
  <c r="G8735" i="1"/>
  <c r="H8735" i="1"/>
  <c r="A8736" i="1"/>
  <c r="B8736" i="1"/>
  <c r="C8736" i="1"/>
  <c r="D8736" i="1"/>
  <c r="E8736" i="1"/>
  <c r="F8736" i="1"/>
  <c r="G8736" i="1"/>
  <c r="H8736" i="1"/>
  <c r="A8737" i="1"/>
  <c r="B8737" i="1"/>
  <c r="C8737" i="1"/>
  <c r="D8737" i="1"/>
  <c r="E8737" i="1"/>
  <c r="F8737" i="1"/>
  <c r="G8737" i="1"/>
  <c r="H8737" i="1"/>
  <c r="A8738" i="1"/>
  <c r="B8738" i="1"/>
  <c r="C8738" i="1"/>
  <c r="D8738" i="1"/>
  <c r="E8738" i="1"/>
  <c r="F8738" i="1"/>
  <c r="G8738" i="1"/>
  <c r="H8738" i="1"/>
  <c r="A8739" i="1"/>
  <c r="B8739" i="1"/>
  <c r="C8739" i="1"/>
  <c r="D8739" i="1"/>
  <c r="E8739" i="1"/>
  <c r="F8739" i="1"/>
  <c r="G8739" i="1"/>
  <c r="H8739" i="1"/>
  <c r="A8740" i="1"/>
  <c r="B8740" i="1"/>
  <c r="C8740" i="1"/>
  <c r="D8740" i="1"/>
  <c r="E8740" i="1"/>
  <c r="F8740" i="1"/>
  <c r="G8740" i="1"/>
  <c r="H8740" i="1"/>
  <c r="A8741" i="1"/>
  <c r="B8741" i="1"/>
  <c r="C8741" i="1"/>
  <c r="D8741" i="1"/>
  <c r="E8741" i="1"/>
  <c r="F8741" i="1"/>
  <c r="G8741" i="1"/>
  <c r="H8741" i="1"/>
  <c r="A8742" i="1"/>
  <c r="B8742" i="1"/>
  <c r="C8742" i="1"/>
  <c r="D8742" i="1"/>
  <c r="E8742" i="1"/>
  <c r="F8742" i="1"/>
  <c r="G8742" i="1"/>
  <c r="H8742" i="1"/>
  <c r="A8743" i="1"/>
  <c r="B8743" i="1"/>
  <c r="C8743" i="1"/>
  <c r="D8743" i="1"/>
  <c r="E8743" i="1"/>
  <c r="F8743" i="1"/>
  <c r="G8743" i="1"/>
  <c r="H8743" i="1"/>
  <c r="A8744" i="1"/>
  <c r="B8744" i="1"/>
  <c r="C8744" i="1"/>
  <c r="D8744" i="1"/>
  <c r="E8744" i="1"/>
  <c r="F8744" i="1"/>
  <c r="G8744" i="1"/>
  <c r="H8744" i="1"/>
  <c r="A8745" i="1"/>
  <c r="B8745" i="1"/>
  <c r="C8745" i="1"/>
  <c r="D8745" i="1"/>
  <c r="E8745" i="1"/>
  <c r="F8745" i="1"/>
  <c r="G8745" i="1"/>
  <c r="H8745" i="1"/>
  <c r="A8746" i="1"/>
  <c r="B8746" i="1"/>
  <c r="C8746" i="1"/>
  <c r="D8746" i="1"/>
  <c r="E8746" i="1"/>
  <c r="F8746" i="1"/>
  <c r="G8746" i="1"/>
  <c r="H8746" i="1"/>
  <c r="A8747" i="1"/>
  <c r="B8747" i="1"/>
  <c r="C8747" i="1"/>
  <c r="D8747" i="1"/>
  <c r="E8747" i="1"/>
  <c r="F8747" i="1"/>
  <c r="G8747" i="1"/>
  <c r="H8747" i="1"/>
  <c r="A8748" i="1"/>
  <c r="B8748" i="1"/>
  <c r="C8748" i="1"/>
  <c r="D8748" i="1"/>
  <c r="E8748" i="1"/>
  <c r="F8748" i="1"/>
  <c r="G8748" i="1"/>
  <c r="H8748" i="1"/>
  <c r="A8749" i="1"/>
  <c r="B8749" i="1"/>
  <c r="C8749" i="1"/>
  <c r="D8749" i="1"/>
  <c r="E8749" i="1"/>
  <c r="F8749" i="1"/>
  <c r="G8749" i="1"/>
  <c r="H8749" i="1"/>
  <c r="A8750" i="1"/>
  <c r="B8750" i="1"/>
  <c r="C8750" i="1"/>
  <c r="D8750" i="1"/>
  <c r="E8750" i="1"/>
  <c r="F8750" i="1"/>
  <c r="G8750" i="1"/>
  <c r="H8750" i="1"/>
  <c r="A8751" i="1"/>
  <c r="B8751" i="1"/>
  <c r="C8751" i="1"/>
  <c r="D8751" i="1"/>
  <c r="E8751" i="1"/>
  <c r="F8751" i="1"/>
  <c r="G8751" i="1"/>
  <c r="H8751" i="1"/>
  <c r="A8752" i="1"/>
  <c r="B8752" i="1"/>
  <c r="C8752" i="1"/>
  <c r="D8752" i="1"/>
  <c r="E8752" i="1"/>
  <c r="F8752" i="1"/>
  <c r="G8752" i="1"/>
  <c r="H8752" i="1"/>
  <c r="A8753" i="1"/>
  <c r="B8753" i="1"/>
  <c r="C8753" i="1"/>
  <c r="D8753" i="1"/>
  <c r="E8753" i="1"/>
  <c r="F8753" i="1"/>
  <c r="G8753" i="1"/>
  <c r="H8753" i="1"/>
  <c r="A8754" i="1"/>
  <c r="B8754" i="1"/>
  <c r="C8754" i="1"/>
  <c r="D8754" i="1"/>
  <c r="E8754" i="1"/>
  <c r="F8754" i="1"/>
  <c r="G8754" i="1"/>
  <c r="H8754" i="1"/>
  <c r="A8755" i="1"/>
  <c r="B8755" i="1"/>
  <c r="C8755" i="1"/>
  <c r="D8755" i="1"/>
  <c r="E8755" i="1"/>
  <c r="F8755" i="1"/>
  <c r="G8755" i="1"/>
  <c r="H8755" i="1"/>
  <c r="A8756" i="1"/>
  <c r="B8756" i="1"/>
  <c r="C8756" i="1"/>
  <c r="D8756" i="1"/>
  <c r="E8756" i="1"/>
  <c r="F8756" i="1"/>
  <c r="G8756" i="1"/>
  <c r="H8756" i="1"/>
  <c r="A8757" i="1"/>
  <c r="B8757" i="1"/>
  <c r="C8757" i="1"/>
  <c r="D8757" i="1"/>
  <c r="E8757" i="1"/>
  <c r="F8757" i="1"/>
  <c r="G8757" i="1"/>
  <c r="H8757" i="1"/>
  <c r="A8758" i="1"/>
  <c r="B8758" i="1"/>
  <c r="C8758" i="1"/>
  <c r="D8758" i="1"/>
  <c r="E8758" i="1"/>
  <c r="F8758" i="1"/>
  <c r="G8758" i="1"/>
  <c r="H8758" i="1"/>
  <c r="A8759" i="1"/>
  <c r="B8759" i="1"/>
  <c r="C8759" i="1"/>
  <c r="D8759" i="1"/>
  <c r="E8759" i="1"/>
  <c r="F8759" i="1"/>
  <c r="G8759" i="1"/>
  <c r="H8759" i="1"/>
  <c r="A8760" i="1"/>
  <c r="B8760" i="1"/>
  <c r="C8760" i="1"/>
  <c r="D8760" i="1"/>
  <c r="E8760" i="1"/>
  <c r="F8760" i="1"/>
  <c r="G8760" i="1"/>
  <c r="H8760" i="1"/>
  <c r="A8761" i="1"/>
  <c r="B8761" i="1"/>
  <c r="C8761" i="1"/>
  <c r="D8761" i="1"/>
  <c r="E8761" i="1"/>
  <c r="F8761" i="1"/>
  <c r="G8761" i="1"/>
  <c r="H8761" i="1"/>
  <c r="A8762" i="1"/>
  <c r="B8762" i="1"/>
  <c r="C8762" i="1"/>
  <c r="D8762" i="1"/>
  <c r="E8762" i="1"/>
  <c r="F8762" i="1"/>
  <c r="G8762" i="1"/>
  <c r="H8762" i="1"/>
  <c r="A8763" i="1"/>
  <c r="B8763" i="1"/>
  <c r="C8763" i="1"/>
  <c r="D8763" i="1"/>
  <c r="E8763" i="1"/>
  <c r="F8763" i="1"/>
  <c r="G8763" i="1"/>
  <c r="H8763" i="1"/>
  <c r="A8764" i="1"/>
  <c r="B8764" i="1"/>
  <c r="C8764" i="1"/>
  <c r="D8764" i="1"/>
  <c r="E8764" i="1"/>
  <c r="F8764" i="1"/>
  <c r="G8764" i="1"/>
  <c r="H8764" i="1"/>
  <c r="A8765" i="1"/>
  <c r="B8765" i="1"/>
  <c r="C8765" i="1"/>
  <c r="D8765" i="1"/>
  <c r="E8765" i="1"/>
  <c r="F8765" i="1"/>
  <c r="G8765" i="1"/>
  <c r="H8765" i="1"/>
  <c r="A8766" i="1"/>
  <c r="B8766" i="1"/>
  <c r="C8766" i="1"/>
  <c r="D8766" i="1"/>
  <c r="E8766" i="1"/>
  <c r="F8766" i="1"/>
  <c r="G8766" i="1"/>
  <c r="H8766" i="1"/>
  <c r="A8767" i="1"/>
  <c r="B8767" i="1"/>
  <c r="C8767" i="1"/>
  <c r="D8767" i="1"/>
  <c r="E8767" i="1"/>
  <c r="F8767" i="1"/>
  <c r="G8767" i="1"/>
  <c r="H8767" i="1"/>
  <c r="A8768" i="1"/>
  <c r="B8768" i="1"/>
  <c r="C8768" i="1"/>
  <c r="D8768" i="1"/>
  <c r="E8768" i="1"/>
  <c r="F8768" i="1"/>
  <c r="G8768" i="1"/>
  <c r="H8768" i="1"/>
  <c r="A8769" i="1"/>
  <c r="B8769" i="1"/>
  <c r="C8769" i="1"/>
  <c r="D8769" i="1"/>
  <c r="E8769" i="1"/>
  <c r="F8769" i="1"/>
  <c r="G8769" i="1"/>
  <c r="H8769" i="1"/>
  <c r="A8770" i="1"/>
  <c r="B8770" i="1"/>
  <c r="C8770" i="1"/>
  <c r="D8770" i="1"/>
  <c r="E8770" i="1"/>
  <c r="F8770" i="1"/>
  <c r="G8770" i="1"/>
  <c r="H8770" i="1"/>
  <c r="A8771" i="1"/>
  <c r="B8771" i="1"/>
  <c r="C8771" i="1"/>
  <c r="D8771" i="1"/>
  <c r="E8771" i="1"/>
  <c r="F8771" i="1"/>
  <c r="G8771" i="1"/>
  <c r="H8771" i="1"/>
  <c r="A8772" i="1"/>
  <c r="B8772" i="1"/>
  <c r="C8772" i="1"/>
  <c r="D8772" i="1"/>
  <c r="E8772" i="1"/>
  <c r="F8772" i="1"/>
  <c r="G8772" i="1"/>
  <c r="H8772" i="1"/>
  <c r="A8773" i="1"/>
  <c r="B8773" i="1"/>
  <c r="C8773" i="1"/>
  <c r="D8773" i="1"/>
  <c r="E8773" i="1"/>
  <c r="F8773" i="1"/>
  <c r="G8773" i="1"/>
  <c r="H8773" i="1"/>
  <c r="A8774" i="1"/>
  <c r="B8774" i="1"/>
  <c r="C8774" i="1"/>
  <c r="D8774" i="1"/>
  <c r="E8774" i="1"/>
  <c r="F8774" i="1"/>
  <c r="G8774" i="1"/>
  <c r="H8774" i="1"/>
  <c r="A8775" i="1"/>
  <c r="B8775" i="1"/>
  <c r="C8775" i="1"/>
  <c r="D8775" i="1"/>
  <c r="E8775" i="1"/>
  <c r="F8775" i="1"/>
  <c r="G8775" i="1"/>
  <c r="H8775" i="1"/>
  <c r="A8776" i="1"/>
  <c r="B8776" i="1"/>
  <c r="C8776" i="1"/>
  <c r="D8776" i="1"/>
  <c r="E8776" i="1"/>
  <c r="F8776" i="1"/>
  <c r="G8776" i="1"/>
  <c r="H8776" i="1"/>
  <c r="A8777" i="1"/>
  <c r="B8777" i="1"/>
  <c r="C8777" i="1"/>
  <c r="D8777" i="1"/>
  <c r="E8777" i="1"/>
  <c r="F8777" i="1"/>
  <c r="G8777" i="1"/>
  <c r="H8777" i="1"/>
  <c r="A8778" i="1"/>
  <c r="B8778" i="1"/>
  <c r="C8778" i="1"/>
  <c r="D8778" i="1"/>
  <c r="E8778" i="1"/>
  <c r="F8778" i="1"/>
  <c r="G8778" i="1"/>
  <c r="H8778" i="1"/>
  <c r="A8779" i="1"/>
  <c r="B8779" i="1"/>
  <c r="C8779" i="1"/>
  <c r="D8779" i="1"/>
  <c r="E8779" i="1"/>
  <c r="F8779" i="1"/>
  <c r="G8779" i="1"/>
  <c r="H8779" i="1"/>
  <c r="A8780" i="1"/>
  <c r="B8780" i="1"/>
  <c r="C8780" i="1"/>
  <c r="D8780" i="1"/>
  <c r="E8780" i="1"/>
  <c r="F8780" i="1"/>
  <c r="G8780" i="1"/>
  <c r="H8780" i="1"/>
  <c r="A8781" i="1"/>
  <c r="B8781" i="1"/>
  <c r="C8781" i="1"/>
  <c r="D8781" i="1"/>
  <c r="E8781" i="1"/>
  <c r="F8781" i="1"/>
  <c r="G8781" i="1"/>
  <c r="H8781" i="1"/>
  <c r="A8782" i="1"/>
  <c r="B8782" i="1"/>
  <c r="C8782" i="1"/>
  <c r="D8782" i="1"/>
  <c r="E8782" i="1"/>
  <c r="F8782" i="1"/>
  <c r="G8782" i="1"/>
  <c r="H8782" i="1"/>
  <c r="A8783" i="1"/>
  <c r="B8783" i="1"/>
  <c r="C8783" i="1"/>
  <c r="D8783" i="1"/>
  <c r="E8783" i="1"/>
  <c r="F8783" i="1"/>
  <c r="G8783" i="1"/>
  <c r="H8783" i="1"/>
  <c r="A8784" i="1"/>
  <c r="B8784" i="1"/>
  <c r="C8784" i="1"/>
  <c r="D8784" i="1"/>
  <c r="E8784" i="1"/>
  <c r="F8784" i="1"/>
  <c r="G8784" i="1"/>
  <c r="H8784" i="1"/>
  <c r="A8785" i="1"/>
  <c r="B8785" i="1"/>
  <c r="C8785" i="1"/>
  <c r="D8785" i="1"/>
  <c r="E8785" i="1"/>
  <c r="F8785" i="1"/>
  <c r="G8785" i="1"/>
  <c r="H8785" i="1"/>
  <c r="A8786" i="1"/>
  <c r="B8786" i="1"/>
  <c r="C8786" i="1"/>
  <c r="D8786" i="1"/>
  <c r="E8786" i="1"/>
  <c r="F8786" i="1"/>
  <c r="G8786" i="1"/>
  <c r="H8786" i="1"/>
  <c r="A8787" i="1"/>
  <c r="B8787" i="1"/>
  <c r="C8787" i="1"/>
  <c r="D8787" i="1"/>
  <c r="E8787" i="1"/>
  <c r="F8787" i="1"/>
  <c r="G8787" i="1"/>
  <c r="H8787" i="1"/>
  <c r="A8788" i="1"/>
  <c r="B8788" i="1"/>
  <c r="C8788" i="1"/>
  <c r="D8788" i="1"/>
  <c r="E8788" i="1"/>
  <c r="F8788" i="1"/>
  <c r="G8788" i="1"/>
  <c r="H8788" i="1"/>
  <c r="A8789" i="1"/>
  <c r="B8789" i="1"/>
  <c r="C8789" i="1"/>
  <c r="D8789" i="1"/>
  <c r="E8789" i="1"/>
  <c r="F8789" i="1"/>
  <c r="G8789" i="1"/>
  <c r="H8789" i="1"/>
  <c r="A8790" i="1"/>
  <c r="B8790" i="1"/>
  <c r="C8790" i="1"/>
  <c r="D8790" i="1"/>
  <c r="E8790" i="1"/>
  <c r="F8790" i="1"/>
  <c r="G8790" i="1"/>
  <c r="H8790" i="1"/>
  <c r="A8791" i="1"/>
  <c r="B8791" i="1"/>
  <c r="C8791" i="1"/>
  <c r="D8791" i="1"/>
  <c r="E8791" i="1"/>
  <c r="F8791" i="1"/>
  <c r="G8791" i="1"/>
  <c r="H8791" i="1"/>
  <c r="A8792" i="1"/>
  <c r="B8792" i="1"/>
  <c r="C8792" i="1"/>
  <c r="D8792" i="1"/>
  <c r="E8792" i="1"/>
  <c r="F8792" i="1"/>
  <c r="G8792" i="1"/>
  <c r="H8792" i="1"/>
  <c r="A8793" i="1"/>
  <c r="B8793" i="1"/>
  <c r="C8793" i="1"/>
  <c r="D8793" i="1"/>
  <c r="E8793" i="1"/>
  <c r="F8793" i="1"/>
  <c r="G8793" i="1"/>
  <c r="H8793" i="1"/>
  <c r="A8794" i="1"/>
  <c r="B8794" i="1"/>
  <c r="C8794" i="1"/>
  <c r="D8794" i="1"/>
  <c r="E8794" i="1"/>
  <c r="F8794" i="1"/>
  <c r="G8794" i="1"/>
  <c r="H8794" i="1"/>
  <c r="A8795" i="1"/>
  <c r="B8795" i="1"/>
  <c r="C8795" i="1"/>
  <c r="D8795" i="1"/>
  <c r="E8795" i="1"/>
  <c r="F8795" i="1"/>
  <c r="G8795" i="1"/>
  <c r="H8795" i="1"/>
  <c r="A8796" i="1"/>
  <c r="B8796" i="1"/>
  <c r="C8796" i="1"/>
  <c r="D8796" i="1"/>
  <c r="E8796" i="1"/>
  <c r="F8796" i="1"/>
  <c r="G8796" i="1"/>
  <c r="H8796" i="1"/>
  <c r="A8797" i="1"/>
  <c r="B8797" i="1"/>
  <c r="C8797" i="1"/>
  <c r="D8797" i="1"/>
  <c r="E8797" i="1"/>
  <c r="F8797" i="1"/>
  <c r="G8797" i="1"/>
  <c r="H8797" i="1"/>
  <c r="A8798" i="1"/>
  <c r="B8798" i="1"/>
  <c r="C8798" i="1"/>
  <c r="D8798" i="1"/>
  <c r="E8798" i="1"/>
  <c r="F8798" i="1"/>
  <c r="G8798" i="1"/>
  <c r="H8798" i="1"/>
  <c r="A8799" i="1"/>
  <c r="B8799" i="1"/>
  <c r="C8799" i="1"/>
  <c r="D8799" i="1"/>
  <c r="E8799" i="1"/>
  <c r="F8799" i="1"/>
  <c r="G8799" i="1"/>
  <c r="H8799" i="1"/>
  <c r="A8800" i="1"/>
  <c r="B8800" i="1"/>
  <c r="C8800" i="1"/>
  <c r="D8800" i="1"/>
  <c r="E8800" i="1"/>
  <c r="F8800" i="1"/>
  <c r="G8800" i="1"/>
  <c r="H8800" i="1"/>
  <c r="A8801" i="1"/>
  <c r="B8801" i="1"/>
  <c r="C8801" i="1"/>
  <c r="D8801" i="1"/>
  <c r="E8801" i="1"/>
  <c r="F8801" i="1"/>
  <c r="G8801" i="1"/>
  <c r="H8801" i="1"/>
  <c r="A8802" i="1"/>
  <c r="B8802" i="1"/>
  <c r="C8802" i="1"/>
  <c r="D8802" i="1"/>
  <c r="E8802" i="1"/>
  <c r="F8802" i="1"/>
  <c r="G8802" i="1"/>
  <c r="H8802" i="1"/>
  <c r="A8803" i="1"/>
  <c r="B8803" i="1"/>
  <c r="C8803" i="1"/>
  <c r="D8803" i="1"/>
  <c r="E8803" i="1"/>
  <c r="F8803" i="1"/>
  <c r="G8803" i="1"/>
  <c r="H8803" i="1"/>
  <c r="A8804" i="1"/>
  <c r="B8804" i="1"/>
  <c r="C8804" i="1"/>
  <c r="D8804" i="1"/>
  <c r="E8804" i="1"/>
  <c r="F8804" i="1"/>
  <c r="G8804" i="1"/>
  <c r="H8804" i="1"/>
  <c r="A8805" i="1"/>
  <c r="B8805" i="1"/>
  <c r="C8805" i="1"/>
  <c r="D8805" i="1"/>
  <c r="E8805" i="1"/>
  <c r="F8805" i="1"/>
  <c r="G8805" i="1"/>
  <c r="H8805" i="1"/>
  <c r="A8806" i="1"/>
  <c r="B8806" i="1"/>
  <c r="C8806" i="1"/>
  <c r="D8806" i="1"/>
  <c r="E8806" i="1"/>
  <c r="F8806" i="1"/>
  <c r="G8806" i="1"/>
  <c r="H8806" i="1"/>
  <c r="A8807" i="1"/>
  <c r="B8807" i="1"/>
  <c r="C8807" i="1"/>
  <c r="D8807" i="1"/>
  <c r="E8807" i="1"/>
  <c r="F8807" i="1"/>
  <c r="G8807" i="1"/>
  <c r="H8807" i="1"/>
  <c r="A8808" i="1"/>
  <c r="B8808" i="1"/>
  <c r="C8808" i="1"/>
  <c r="D8808" i="1"/>
  <c r="E8808" i="1"/>
  <c r="F8808" i="1"/>
  <c r="G8808" i="1"/>
  <c r="H8808" i="1"/>
  <c r="A8809" i="1"/>
  <c r="B8809" i="1"/>
  <c r="C8809" i="1"/>
  <c r="D8809" i="1"/>
  <c r="E8809" i="1"/>
  <c r="F8809" i="1"/>
  <c r="G8809" i="1"/>
  <c r="H8809" i="1"/>
  <c r="A8810" i="1"/>
  <c r="B8810" i="1"/>
  <c r="C8810" i="1"/>
  <c r="D8810" i="1"/>
  <c r="E8810" i="1"/>
  <c r="F8810" i="1"/>
  <c r="G8810" i="1"/>
  <c r="H8810" i="1"/>
  <c r="A8811" i="1"/>
  <c r="B8811" i="1"/>
  <c r="C8811" i="1"/>
  <c r="D8811" i="1"/>
  <c r="E8811" i="1"/>
  <c r="F8811" i="1"/>
  <c r="G8811" i="1"/>
  <c r="H8811" i="1"/>
  <c r="A8812" i="1"/>
  <c r="B8812" i="1"/>
  <c r="C8812" i="1"/>
  <c r="D8812" i="1"/>
  <c r="E8812" i="1"/>
  <c r="F8812" i="1"/>
  <c r="G8812" i="1"/>
  <c r="H8812" i="1"/>
  <c r="A8813" i="1"/>
  <c r="B8813" i="1"/>
  <c r="C8813" i="1"/>
  <c r="D8813" i="1"/>
  <c r="E8813" i="1"/>
  <c r="F8813" i="1"/>
  <c r="G8813" i="1"/>
  <c r="H8813" i="1"/>
  <c r="A8814" i="1"/>
  <c r="B8814" i="1"/>
  <c r="C8814" i="1"/>
  <c r="D8814" i="1"/>
  <c r="E8814" i="1"/>
  <c r="F8814" i="1"/>
  <c r="G8814" i="1"/>
  <c r="H8814" i="1"/>
  <c r="A8815" i="1"/>
  <c r="B8815" i="1"/>
  <c r="C8815" i="1"/>
  <c r="D8815" i="1"/>
  <c r="E8815" i="1"/>
  <c r="F8815" i="1"/>
  <c r="G8815" i="1"/>
  <c r="H8815" i="1"/>
  <c r="A8816" i="1"/>
  <c r="B8816" i="1"/>
  <c r="C8816" i="1"/>
  <c r="D8816" i="1"/>
  <c r="E8816" i="1"/>
  <c r="F8816" i="1"/>
  <c r="G8816" i="1"/>
  <c r="H8816" i="1"/>
  <c r="A8817" i="1"/>
  <c r="B8817" i="1"/>
  <c r="C8817" i="1"/>
  <c r="D8817" i="1"/>
  <c r="E8817" i="1"/>
  <c r="F8817" i="1"/>
  <c r="G8817" i="1"/>
  <c r="H8817" i="1"/>
  <c r="A8818" i="1"/>
  <c r="B8818" i="1"/>
  <c r="C8818" i="1"/>
  <c r="D8818" i="1"/>
  <c r="E8818" i="1"/>
  <c r="F8818" i="1"/>
  <c r="G8818" i="1"/>
  <c r="H8818" i="1"/>
  <c r="A8819" i="1"/>
  <c r="B8819" i="1"/>
  <c r="C8819" i="1"/>
  <c r="D8819" i="1"/>
  <c r="E8819" i="1"/>
  <c r="F8819" i="1"/>
  <c r="G8819" i="1"/>
  <c r="H8819" i="1"/>
  <c r="A8820" i="1"/>
  <c r="B8820" i="1"/>
  <c r="C8820" i="1"/>
  <c r="D8820" i="1"/>
  <c r="E8820" i="1"/>
  <c r="F8820" i="1"/>
  <c r="G8820" i="1"/>
  <c r="H8820" i="1"/>
  <c r="A8821" i="1"/>
  <c r="B8821" i="1"/>
  <c r="C8821" i="1"/>
  <c r="D8821" i="1"/>
  <c r="E8821" i="1"/>
  <c r="F8821" i="1"/>
  <c r="G8821" i="1"/>
  <c r="H8821" i="1"/>
  <c r="A8822" i="1"/>
  <c r="B8822" i="1"/>
  <c r="C8822" i="1"/>
  <c r="D8822" i="1"/>
  <c r="E8822" i="1"/>
  <c r="F8822" i="1"/>
  <c r="G8822" i="1"/>
  <c r="H8822" i="1"/>
  <c r="A8823" i="1"/>
  <c r="B8823" i="1"/>
  <c r="C8823" i="1"/>
  <c r="D8823" i="1"/>
  <c r="E8823" i="1"/>
  <c r="F8823" i="1"/>
  <c r="G8823" i="1"/>
  <c r="H8823" i="1"/>
  <c r="A8824" i="1"/>
  <c r="B8824" i="1"/>
  <c r="C8824" i="1"/>
  <c r="D8824" i="1"/>
  <c r="E8824" i="1"/>
  <c r="F8824" i="1"/>
  <c r="G8824" i="1"/>
  <c r="H8824" i="1"/>
  <c r="A8825" i="1"/>
  <c r="B8825" i="1"/>
  <c r="C8825" i="1"/>
  <c r="D8825" i="1"/>
  <c r="E8825" i="1"/>
  <c r="F8825" i="1"/>
  <c r="G8825" i="1"/>
  <c r="H8825" i="1"/>
  <c r="A8826" i="1"/>
  <c r="B8826" i="1"/>
  <c r="C8826" i="1"/>
  <c r="D8826" i="1"/>
  <c r="E8826" i="1"/>
  <c r="F8826" i="1"/>
  <c r="G8826" i="1"/>
  <c r="H8826" i="1"/>
  <c r="A8827" i="1"/>
  <c r="B8827" i="1"/>
  <c r="C8827" i="1"/>
  <c r="D8827" i="1"/>
  <c r="E8827" i="1"/>
  <c r="F8827" i="1"/>
  <c r="G8827" i="1"/>
  <c r="H8827" i="1"/>
  <c r="A8828" i="1"/>
  <c r="B8828" i="1"/>
  <c r="C8828" i="1"/>
  <c r="D8828" i="1"/>
  <c r="E8828" i="1"/>
  <c r="F8828" i="1"/>
  <c r="G8828" i="1"/>
  <c r="H8828" i="1"/>
  <c r="A8829" i="1"/>
  <c r="B8829" i="1"/>
  <c r="C8829" i="1"/>
  <c r="D8829" i="1"/>
  <c r="E8829" i="1"/>
  <c r="F8829" i="1"/>
  <c r="G8829" i="1"/>
  <c r="H8829" i="1"/>
  <c r="A8830" i="1"/>
  <c r="B8830" i="1"/>
  <c r="C8830" i="1"/>
  <c r="D8830" i="1"/>
  <c r="E8830" i="1"/>
  <c r="F8830" i="1"/>
  <c r="G8830" i="1"/>
  <c r="H8830" i="1"/>
  <c r="A8831" i="1"/>
  <c r="B8831" i="1"/>
  <c r="C8831" i="1"/>
  <c r="D8831" i="1"/>
  <c r="E8831" i="1"/>
  <c r="F8831" i="1"/>
  <c r="G8831" i="1"/>
  <c r="H8831" i="1"/>
  <c r="A8832" i="1"/>
  <c r="B8832" i="1"/>
  <c r="C8832" i="1"/>
  <c r="D8832" i="1"/>
  <c r="E8832" i="1"/>
  <c r="F8832" i="1"/>
  <c r="G8832" i="1"/>
  <c r="H8832" i="1"/>
  <c r="A8833" i="1"/>
  <c r="B8833" i="1"/>
  <c r="C8833" i="1"/>
  <c r="D8833" i="1"/>
  <c r="E8833" i="1"/>
  <c r="F8833" i="1"/>
  <c r="G8833" i="1"/>
  <c r="H8833" i="1"/>
  <c r="A8834" i="1"/>
  <c r="B8834" i="1"/>
  <c r="C8834" i="1"/>
  <c r="D8834" i="1"/>
  <c r="E8834" i="1"/>
  <c r="F8834" i="1"/>
  <c r="G8834" i="1"/>
  <c r="H8834" i="1"/>
  <c r="A8835" i="1"/>
  <c r="B8835" i="1"/>
  <c r="C8835" i="1"/>
  <c r="D8835" i="1"/>
  <c r="E8835" i="1"/>
  <c r="F8835" i="1"/>
  <c r="G8835" i="1"/>
  <c r="H8835" i="1"/>
  <c r="A8836" i="1"/>
  <c r="B8836" i="1"/>
  <c r="C8836" i="1"/>
  <c r="D8836" i="1"/>
  <c r="E8836" i="1"/>
  <c r="F8836" i="1"/>
  <c r="G8836" i="1"/>
  <c r="H8836" i="1"/>
  <c r="A8837" i="1"/>
  <c r="B8837" i="1"/>
  <c r="C8837" i="1"/>
  <c r="D8837" i="1"/>
  <c r="E8837" i="1"/>
  <c r="F8837" i="1"/>
  <c r="G8837" i="1"/>
  <c r="H8837" i="1"/>
  <c r="A8838" i="1"/>
  <c r="B8838" i="1"/>
  <c r="C8838" i="1"/>
  <c r="D8838" i="1"/>
  <c r="E8838" i="1"/>
  <c r="F8838" i="1"/>
  <c r="G8838" i="1"/>
  <c r="H8838" i="1"/>
  <c r="A8839" i="1"/>
  <c r="B8839" i="1"/>
  <c r="C8839" i="1"/>
  <c r="D8839" i="1"/>
  <c r="E8839" i="1"/>
  <c r="F8839" i="1"/>
  <c r="G8839" i="1"/>
  <c r="H8839" i="1"/>
  <c r="A8840" i="1"/>
  <c r="B8840" i="1"/>
  <c r="C8840" i="1"/>
  <c r="D8840" i="1"/>
  <c r="E8840" i="1"/>
  <c r="F8840" i="1"/>
  <c r="G8840" i="1"/>
  <c r="H8840" i="1"/>
  <c r="A8841" i="1"/>
  <c r="B8841" i="1"/>
  <c r="C8841" i="1"/>
  <c r="D8841" i="1"/>
  <c r="E8841" i="1"/>
  <c r="F8841" i="1"/>
  <c r="G8841" i="1"/>
  <c r="H8841" i="1"/>
  <c r="A8842" i="1"/>
  <c r="B8842" i="1"/>
  <c r="C8842" i="1"/>
  <c r="D8842" i="1"/>
  <c r="E8842" i="1"/>
  <c r="F8842" i="1"/>
  <c r="G8842" i="1"/>
  <c r="H8842" i="1"/>
  <c r="A8843" i="1"/>
  <c r="B8843" i="1"/>
  <c r="C8843" i="1"/>
  <c r="D8843" i="1"/>
  <c r="E8843" i="1"/>
  <c r="F8843" i="1"/>
  <c r="G8843" i="1"/>
  <c r="H8843" i="1"/>
  <c r="A8844" i="1"/>
  <c r="B8844" i="1"/>
  <c r="C8844" i="1"/>
  <c r="D8844" i="1"/>
  <c r="E8844" i="1"/>
  <c r="F8844" i="1"/>
  <c r="G8844" i="1"/>
  <c r="H8844" i="1"/>
  <c r="A8845" i="1"/>
  <c r="B8845" i="1"/>
  <c r="C8845" i="1"/>
  <c r="D8845" i="1"/>
  <c r="E8845" i="1"/>
  <c r="F8845" i="1"/>
  <c r="G8845" i="1"/>
  <c r="H8845" i="1"/>
  <c r="A8846" i="1"/>
  <c r="B8846" i="1"/>
  <c r="C8846" i="1"/>
  <c r="D8846" i="1"/>
  <c r="E8846" i="1"/>
  <c r="F8846" i="1"/>
  <c r="G8846" i="1"/>
  <c r="H8846" i="1"/>
  <c r="A8847" i="1"/>
  <c r="B8847" i="1"/>
  <c r="C8847" i="1"/>
  <c r="D8847" i="1"/>
  <c r="E8847" i="1"/>
  <c r="F8847" i="1"/>
  <c r="G8847" i="1"/>
  <c r="H8847" i="1"/>
  <c r="A8848" i="1"/>
  <c r="B8848" i="1"/>
  <c r="C8848" i="1"/>
  <c r="D8848" i="1"/>
  <c r="E8848" i="1"/>
  <c r="F8848" i="1"/>
  <c r="G8848" i="1"/>
  <c r="H8848" i="1"/>
  <c r="A8849" i="1"/>
  <c r="B8849" i="1"/>
  <c r="C8849" i="1"/>
  <c r="D8849" i="1"/>
  <c r="E8849" i="1"/>
  <c r="F8849" i="1"/>
  <c r="G8849" i="1"/>
  <c r="H8849" i="1"/>
  <c r="A8850" i="1"/>
  <c r="B8850" i="1"/>
  <c r="C8850" i="1"/>
  <c r="D8850" i="1"/>
  <c r="E8850" i="1"/>
  <c r="F8850" i="1"/>
  <c r="G8850" i="1"/>
  <c r="H8850" i="1"/>
  <c r="A8851" i="1"/>
  <c r="B8851" i="1"/>
  <c r="C8851" i="1"/>
  <c r="D8851" i="1"/>
  <c r="E8851" i="1"/>
  <c r="F8851" i="1"/>
  <c r="G8851" i="1"/>
  <c r="H8851" i="1"/>
  <c r="A8852" i="1"/>
  <c r="B8852" i="1"/>
  <c r="C8852" i="1"/>
  <c r="D8852" i="1"/>
  <c r="E8852" i="1"/>
  <c r="F8852" i="1"/>
  <c r="G8852" i="1"/>
  <c r="H8852" i="1"/>
  <c r="A8853" i="1"/>
  <c r="B8853" i="1"/>
  <c r="C8853" i="1"/>
  <c r="D8853" i="1"/>
  <c r="E8853" i="1"/>
  <c r="F8853" i="1"/>
  <c r="G8853" i="1"/>
  <c r="H8853" i="1"/>
  <c r="A8854" i="1"/>
  <c r="B8854" i="1"/>
  <c r="C8854" i="1"/>
  <c r="D8854" i="1"/>
  <c r="E8854" i="1"/>
  <c r="F8854" i="1"/>
  <c r="G8854" i="1"/>
  <c r="H8854" i="1"/>
  <c r="A8855" i="1"/>
  <c r="B8855" i="1"/>
  <c r="C8855" i="1"/>
  <c r="D8855" i="1"/>
  <c r="E8855" i="1"/>
  <c r="F8855" i="1"/>
  <c r="G8855" i="1"/>
  <c r="H8855" i="1"/>
  <c r="A8856" i="1"/>
  <c r="B8856" i="1"/>
  <c r="C8856" i="1"/>
  <c r="D8856" i="1"/>
  <c r="E8856" i="1"/>
  <c r="F8856" i="1"/>
  <c r="G8856" i="1"/>
  <c r="H8856" i="1"/>
  <c r="A8857" i="1"/>
  <c r="B8857" i="1"/>
  <c r="C8857" i="1"/>
  <c r="D8857" i="1"/>
  <c r="E8857" i="1"/>
  <c r="F8857" i="1"/>
  <c r="G8857" i="1"/>
  <c r="H8857" i="1"/>
  <c r="A8858" i="1"/>
  <c r="B8858" i="1"/>
  <c r="C8858" i="1"/>
  <c r="D8858" i="1"/>
  <c r="E8858" i="1"/>
  <c r="F8858" i="1"/>
  <c r="G8858" i="1"/>
  <c r="H8858" i="1"/>
  <c r="A8859" i="1"/>
  <c r="B8859" i="1"/>
  <c r="C8859" i="1"/>
  <c r="D8859" i="1"/>
  <c r="E8859" i="1"/>
  <c r="F8859" i="1"/>
  <c r="G8859" i="1"/>
  <c r="H8859" i="1"/>
  <c r="A8860" i="1"/>
  <c r="B8860" i="1"/>
  <c r="C8860" i="1"/>
  <c r="D8860" i="1"/>
  <c r="E8860" i="1"/>
  <c r="F8860" i="1"/>
  <c r="G8860" i="1"/>
  <c r="H8860" i="1"/>
  <c r="A8861" i="1"/>
  <c r="B8861" i="1"/>
  <c r="C8861" i="1"/>
  <c r="D8861" i="1"/>
  <c r="E8861" i="1"/>
  <c r="F8861" i="1"/>
  <c r="G8861" i="1"/>
  <c r="H8861" i="1"/>
  <c r="A8862" i="1"/>
  <c r="B8862" i="1"/>
  <c r="C8862" i="1"/>
  <c r="D8862" i="1"/>
  <c r="E8862" i="1"/>
  <c r="F8862" i="1"/>
  <c r="G8862" i="1"/>
  <c r="H8862" i="1"/>
  <c r="A8863" i="1"/>
  <c r="B8863" i="1"/>
  <c r="C8863" i="1"/>
  <c r="D8863" i="1"/>
  <c r="E8863" i="1"/>
  <c r="F8863" i="1"/>
  <c r="G8863" i="1"/>
  <c r="H8863" i="1"/>
  <c r="A8864" i="1"/>
  <c r="B8864" i="1"/>
  <c r="C8864" i="1"/>
  <c r="D8864" i="1"/>
  <c r="E8864" i="1"/>
  <c r="F8864" i="1"/>
  <c r="G8864" i="1"/>
  <c r="H8864" i="1"/>
  <c r="A8865" i="1"/>
  <c r="B8865" i="1"/>
  <c r="C8865" i="1"/>
  <c r="D8865" i="1"/>
  <c r="E8865" i="1"/>
  <c r="F8865" i="1"/>
  <c r="G8865" i="1"/>
  <c r="H8865" i="1"/>
  <c r="A8866" i="1"/>
  <c r="B8866" i="1"/>
  <c r="C8866" i="1"/>
  <c r="D8866" i="1"/>
  <c r="E8866" i="1"/>
  <c r="F8866" i="1"/>
  <c r="G8866" i="1"/>
  <c r="H8866" i="1"/>
  <c r="A8867" i="1"/>
  <c r="B8867" i="1"/>
  <c r="C8867" i="1"/>
  <c r="D8867" i="1"/>
  <c r="E8867" i="1"/>
  <c r="F8867" i="1"/>
  <c r="G8867" i="1"/>
  <c r="H8867" i="1"/>
  <c r="A8868" i="1"/>
  <c r="B8868" i="1"/>
  <c r="C8868" i="1"/>
  <c r="D8868" i="1"/>
  <c r="E8868" i="1"/>
  <c r="F8868" i="1"/>
  <c r="G8868" i="1"/>
  <c r="H8868" i="1"/>
  <c r="A8869" i="1"/>
  <c r="B8869" i="1"/>
  <c r="C8869" i="1"/>
  <c r="D8869" i="1"/>
  <c r="E8869" i="1"/>
  <c r="F8869" i="1"/>
  <c r="G8869" i="1"/>
  <c r="H8869" i="1"/>
  <c r="A8870" i="1"/>
  <c r="B8870" i="1"/>
  <c r="C8870" i="1"/>
  <c r="D8870" i="1"/>
  <c r="E8870" i="1"/>
  <c r="F8870" i="1"/>
  <c r="G8870" i="1"/>
  <c r="H8870" i="1"/>
  <c r="A8871" i="1"/>
  <c r="B8871" i="1"/>
  <c r="C8871" i="1"/>
  <c r="D8871" i="1"/>
  <c r="E8871" i="1"/>
  <c r="F8871" i="1"/>
  <c r="G8871" i="1"/>
  <c r="H8871" i="1"/>
  <c r="A8872" i="1"/>
  <c r="B8872" i="1"/>
  <c r="C8872" i="1"/>
  <c r="D8872" i="1"/>
  <c r="E8872" i="1"/>
  <c r="F8872" i="1"/>
  <c r="G8872" i="1"/>
  <c r="H8872" i="1"/>
  <c r="A8873" i="1"/>
  <c r="B8873" i="1"/>
  <c r="C8873" i="1"/>
  <c r="D8873" i="1"/>
  <c r="E8873" i="1"/>
  <c r="F8873" i="1"/>
  <c r="G8873" i="1"/>
  <c r="H8873" i="1"/>
  <c r="A8874" i="1"/>
  <c r="B8874" i="1"/>
  <c r="C8874" i="1"/>
  <c r="D8874" i="1"/>
  <c r="E8874" i="1"/>
  <c r="F8874" i="1"/>
  <c r="G8874" i="1"/>
  <c r="H8874" i="1"/>
  <c r="A8875" i="1"/>
  <c r="B8875" i="1"/>
  <c r="C8875" i="1"/>
  <c r="D8875" i="1"/>
  <c r="E8875" i="1"/>
  <c r="F8875" i="1"/>
  <c r="G8875" i="1"/>
  <c r="H8875" i="1"/>
  <c r="A8876" i="1"/>
  <c r="B8876" i="1"/>
  <c r="C8876" i="1"/>
  <c r="D8876" i="1"/>
  <c r="E8876" i="1"/>
  <c r="F8876" i="1"/>
  <c r="G8876" i="1"/>
  <c r="H8876" i="1"/>
  <c r="A8877" i="1"/>
  <c r="B8877" i="1"/>
  <c r="C8877" i="1"/>
  <c r="D8877" i="1"/>
  <c r="E8877" i="1"/>
  <c r="F8877" i="1"/>
  <c r="G8877" i="1"/>
  <c r="H8877" i="1"/>
  <c r="A8878" i="1"/>
  <c r="B8878" i="1"/>
  <c r="C8878" i="1"/>
  <c r="D8878" i="1"/>
  <c r="E8878" i="1"/>
  <c r="F8878" i="1"/>
  <c r="G8878" i="1"/>
  <c r="H8878" i="1"/>
  <c r="A8879" i="1"/>
  <c r="B8879" i="1"/>
  <c r="C8879" i="1"/>
  <c r="D8879" i="1"/>
  <c r="E8879" i="1"/>
  <c r="F8879" i="1"/>
  <c r="G8879" i="1"/>
  <c r="H8879" i="1"/>
  <c r="A8880" i="1"/>
  <c r="B8880" i="1"/>
  <c r="C8880" i="1"/>
  <c r="D8880" i="1"/>
  <c r="E8880" i="1"/>
  <c r="F8880" i="1"/>
  <c r="G8880" i="1"/>
  <c r="H8880" i="1"/>
  <c r="A8881" i="1"/>
  <c r="B8881" i="1"/>
  <c r="C8881" i="1"/>
  <c r="D8881" i="1"/>
  <c r="E8881" i="1"/>
  <c r="F8881" i="1"/>
  <c r="G8881" i="1"/>
  <c r="H8881" i="1"/>
  <c r="A8882" i="1"/>
  <c r="B8882" i="1"/>
  <c r="C8882" i="1"/>
  <c r="D8882" i="1"/>
  <c r="E8882" i="1"/>
  <c r="F8882" i="1"/>
  <c r="G8882" i="1"/>
  <c r="H8882" i="1"/>
  <c r="A8883" i="1"/>
  <c r="B8883" i="1"/>
  <c r="C8883" i="1"/>
  <c r="D8883" i="1"/>
  <c r="E8883" i="1"/>
  <c r="F8883" i="1"/>
  <c r="G8883" i="1"/>
  <c r="H8883" i="1"/>
  <c r="A8884" i="1"/>
  <c r="B8884" i="1"/>
  <c r="C8884" i="1"/>
  <c r="D8884" i="1"/>
  <c r="E8884" i="1"/>
  <c r="F8884" i="1"/>
  <c r="G8884" i="1"/>
  <c r="H8884" i="1"/>
  <c r="A8885" i="1"/>
  <c r="B8885" i="1"/>
  <c r="C8885" i="1"/>
  <c r="D8885" i="1"/>
  <c r="E8885" i="1"/>
  <c r="F8885" i="1"/>
  <c r="G8885" i="1"/>
  <c r="H8885" i="1"/>
  <c r="A8886" i="1"/>
  <c r="B8886" i="1"/>
  <c r="C8886" i="1"/>
  <c r="D8886" i="1"/>
  <c r="E8886" i="1"/>
  <c r="F8886" i="1"/>
  <c r="G8886" i="1"/>
  <c r="H8886" i="1"/>
  <c r="A8887" i="1"/>
  <c r="B8887" i="1"/>
  <c r="C8887" i="1"/>
  <c r="D8887" i="1"/>
  <c r="E8887" i="1"/>
  <c r="F8887" i="1"/>
  <c r="G8887" i="1"/>
  <c r="H8887" i="1"/>
  <c r="A8888" i="1"/>
  <c r="B8888" i="1"/>
  <c r="C8888" i="1"/>
  <c r="D8888" i="1"/>
  <c r="E8888" i="1"/>
  <c r="F8888" i="1"/>
  <c r="G8888" i="1"/>
  <c r="H8888" i="1"/>
  <c r="A8889" i="1"/>
  <c r="B8889" i="1"/>
  <c r="C8889" i="1"/>
  <c r="D8889" i="1"/>
  <c r="E8889" i="1"/>
  <c r="F8889" i="1"/>
  <c r="G8889" i="1"/>
  <c r="H8889" i="1"/>
  <c r="A8890" i="1"/>
  <c r="B8890" i="1"/>
  <c r="C8890" i="1"/>
  <c r="D8890" i="1"/>
  <c r="E8890" i="1"/>
  <c r="F8890" i="1"/>
  <c r="G8890" i="1"/>
  <c r="H8890" i="1"/>
  <c r="A8891" i="1"/>
  <c r="B8891" i="1"/>
  <c r="C8891" i="1"/>
  <c r="D8891" i="1"/>
  <c r="E8891" i="1"/>
  <c r="F8891" i="1"/>
  <c r="G8891" i="1"/>
  <c r="H8891" i="1"/>
  <c r="A8892" i="1"/>
  <c r="B8892" i="1"/>
  <c r="C8892" i="1"/>
  <c r="D8892" i="1"/>
  <c r="E8892" i="1"/>
  <c r="F8892" i="1"/>
  <c r="G8892" i="1"/>
  <c r="H8892" i="1"/>
  <c r="A8893" i="1"/>
  <c r="B8893" i="1"/>
  <c r="C8893" i="1"/>
  <c r="D8893" i="1"/>
  <c r="E8893" i="1"/>
  <c r="F8893" i="1"/>
  <c r="G8893" i="1"/>
  <c r="H8893" i="1"/>
  <c r="A8894" i="1"/>
  <c r="B8894" i="1"/>
  <c r="C8894" i="1"/>
  <c r="D8894" i="1"/>
  <c r="E8894" i="1"/>
  <c r="F8894" i="1"/>
  <c r="G8894" i="1"/>
  <c r="H8894" i="1"/>
  <c r="A8895" i="1"/>
  <c r="B8895" i="1"/>
  <c r="C8895" i="1"/>
  <c r="D8895" i="1"/>
  <c r="E8895" i="1"/>
  <c r="F8895" i="1"/>
  <c r="G8895" i="1"/>
  <c r="H8895" i="1"/>
  <c r="A8896" i="1"/>
  <c r="B8896" i="1"/>
  <c r="C8896" i="1"/>
  <c r="D8896" i="1"/>
  <c r="E8896" i="1"/>
  <c r="F8896" i="1"/>
  <c r="G8896" i="1"/>
  <c r="H8896" i="1"/>
  <c r="A8897" i="1"/>
  <c r="B8897" i="1"/>
  <c r="C8897" i="1"/>
  <c r="D8897" i="1"/>
  <c r="E8897" i="1"/>
  <c r="F8897" i="1"/>
  <c r="G8897" i="1"/>
  <c r="H8897" i="1"/>
  <c r="A8898" i="1"/>
  <c r="B8898" i="1"/>
  <c r="C8898" i="1"/>
  <c r="D8898" i="1"/>
  <c r="E8898" i="1"/>
  <c r="F8898" i="1"/>
  <c r="G8898" i="1"/>
  <c r="H8898" i="1"/>
  <c r="A8899" i="1"/>
  <c r="B8899" i="1"/>
  <c r="C8899" i="1"/>
  <c r="D8899" i="1"/>
  <c r="E8899" i="1"/>
  <c r="F8899" i="1"/>
  <c r="G8899" i="1"/>
  <c r="H8899" i="1"/>
  <c r="A8900" i="1"/>
  <c r="B8900" i="1"/>
  <c r="C8900" i="1"/>
  <c r="D8900" i="1"/>
  <c r="E8900" i="1"/>
  <c r="F8900" i="1"/>
  <c r="G8900" i="1"/>
  <c r="H8900" i="1"/>
  <c r="A8901" i="1"/>
  <c r="B8901" i="1"/>
  <c r="C8901" i="1"/>
  <c r="D8901" i="1"/>
  <c r="E8901" i="1"/>
  <c r="F8901" i="1"/>
  <c r="G8901" i="1"/>
  <c r="H8901" i="1"/>
  <c r="A8902" i="1"/>
  <c r="B8902" i="1"/>
  <c r="C8902" i="1"/>
  <c r="D8902" i="1"/>
  <c r="E8902" i="1"/>
  <c r="F8902" i="1"/>
  <c r="G8902" i="1"/>
  <c r="H8902" i="1"/>
  <c r="A8903" i="1"/>
  <c r="B8903" i="1"/>
  <c r="C8903" i="1"/>
  <c r="D8903" i="1"/>
  <c r="E8903" i="1"/>
  <c r="F8903" i="1"/>
  <c r="G8903" i="1"/>
  <c r="H8903" i="1"/>
  <c r="A8904" i="1"/>
  <c r="B8904" i="1"/>
  <c r="C8904" i="1"/>
  <c r="D8904" i="1"/>
  <c r="E8904" i="1"/>
  <c r="F8904" i="1"/>
  <c r="G8904" i="1"/>
  <c r="H8904" i="1"/>
  <c r="A8905" i="1"/>
  <c r="B8905" i="1"/>
  <c r="C8905" i="1"/>
  <c r="D8905" i="1"/>
  <c r="E8905" i="1"/>
  <c r="F8905" i="1"/>
  <c r="G8905" i="1"/>
  <c r="H8905" i="1"/>
  <c r="A8906" i="1"/>
  <c r="B8906" i="1"/>
  <c r="C8906" i="1"/>
  <c r="D8906" i="1"/>
  <c r="E8906" i="1"/>
  <c r="F8906" i="1"/>
  <c r="G8906" i="1"/>
  <c r="H8906" i="1"/>
  <c r="A8907" i="1"/>
  <c r="B8907" i="1"/>
  <c r="C8907" i="1"/>
  <c r="D8907" i="1"/>
  <c r="E8907" i="1"/>
  <c r="F8907" i="1"/>
  <c r="G8907" i="1"/>
  <c r="H8907" i="1"/>
  <c r="A8908" i="1"/>
  <c r="B8908" i="1"/>
  <c r="C8908" i="1"/>
  <c r="D8908" i="1"/>
  <c r="E8908" i="1"/>
  <c r="F8908" i="1"/>
  <c r="G8908" i="1"/>
  <c r="H8908" i="1"/>
  <c r="A8909" i="1"/>
  <c r="B8909" i="1"/>
  <c r="C8909" i="1"/>
  <c r="D8909" i="1"/>
  <c r="E8909" i="1"/>
  <c r="F8909" i="1"/>
  <c r="G8909" i="1"/>
  <c r="H8909" i="1"/>
  <c r="A8910" i="1"/>
  <c r="B8910" i="1"/>
  <c r="C8910" i="1"/>
  <c r="D8910" i="1"/>
  <c r="E8910" i="1"/>
  <c r="F8910" i="1"/>
  <c r="G8910" i="1"/>
  <c r="H8910" i="1"/>
  <c r="A8911" i="1"/>
  <c r="B8911" i="1"/>
  <c r="C8911" i="1"/>
  <c r="D8911" i="1"/>
  <c r="E8911" i="1"/>
  <c r="F8911" i="1"/>
  <c r="G8911" i="1"/>
  <c r="H8911" i="1"/>
  <c r="A8912" i="1"/>
  <c r="B8912" i="1"/>
  <c r="C8912" i="1"/>
  <c r="D8912" i="1"/>
  <c r="E8912" i="1"/>
  <c r="F8912" i="1"/>
  <c r="G8912" i="1"/>
  <c r="H8912" i="1"/>
  <c r="A8913" i="1"/>
  <c r="B8913" i="1"/>
  <c r="C8913" i="1"/>
  <c r="D8913" i="1"/>
  <c r="E8913" i="1"/>
  <c r="F8913" i="1"/>
  <c r="G8913" i="1"/>
  <c r="H8913" i="1"/>
  <c r="A8914" i="1"/>
  <c r="B8914" i="1"/>
  <c r="C8914" i="1"/>
  <c r="D8914" i="1"/>
  <c r="E8914" i="1"/>
  <c r="F8914" i="1"/>
  <c r="G8914" i="1"/>
  <c r="H8914" i="1"/>
  <c r="A8915" i="1"/>
  <c r="B8915" i="1"/>
  <c r="C8915" i="1"/>
  <c r="D8915" i="1"/>
  <c r="E8915" i="1"/>
  <c r="F8915" i="1"/>
  <c r="G8915" i="1"/>
  <c r="H8915" i="1"/>
  <c r="A8916" i="1"/>
  <c r="B8916" i="1"/>
  <c r="C8916" i="1"/>
  <c r="D8916" i="1"/>
  <c r="E8916" i="1"/>
  <c r="F8916" i="1"/>
  <c r="G8916" i="1"/>
  <c r="H8916" i="1"/>
  <c r="A8917" i="1"/>
  <c r="B8917" i="1"/>
  <c r="C8917" i="1"/>
  <c r="D8917" i="1"/>
  <c r="E8917" i="1"/>
  <c r="F8917" i="1"/>
  <c r="G8917" i="1"/>
  <c r="H8917" i="1"/>
  <c r="A8918" i="1"/>
  <c r="B8918" i="1"/>
  <c r="C8918" i="1"/>
  <c r="D8918" i="1"/>
  <c r="E8918" i="1"/>
  <c r="F8918" i="1"/>
  <c r="G8918" i="1"/>
  <c r="H8918" i="1"/>
  <c r="A8919" i="1"/>
  <c r="B8919" i="1"/>
  <c r="C8919" i="1"/>
  <c r="D8919" i="1"/>
  <c r="E8919" i="1"/>
  <c r="F8919" i="1"/>
  <c r="G8919" i="1"/>
  <c r="H8919" i="1"/>
  <c r="A8920" i="1"/>
  <c r="B8920" i="1"/>
  <c r="C8920" i="1"/>
  <c r="D8920" i="1"/>
  <c r="E8920" i="1"/>
  <c r="F8920" i="1"/>
  <c r="G8920" i="1"/>
  <c r="H8920" i="1"/>
  <c r="A8921" i="1"/>
  <c r="B8921" i="1"/>
  <c r="C8921" i="1"/>
  <c r="D8921" i="1"/>
  <c r="E8921" i="1"/>
  <c r="F8921" i="1"/>
  <c r="G8921" i="1"/>
  <c r="H8921" i="1"/>
  <c r="A8922" i="1"/>
  <c r="B8922" i="1"/>
  <c r="C8922" i="1"/>
  <c r="D8922" i="1"/>
  <c r="E8922" i="1"/>
  <c r="F8922" i="1"/>
  <c r="G8922" i="1"/>
  <c r="H8922" i="1"/>
  <c r="A8923" i="1"/>
  <c r="B8923" i="1"/>
  <c r="C8923" i="1"/>
  <c r="D8923" i="1"/>
  <c r="E8923" i="1"/>
  <c r="F8923" i="1"/>
  <c r="G8923" i="1"/>
  <c r="H8923" i="1"/>
  <c r="A8924" i="1"/>
  <c r="B8924" i="1"/>
  <c r="C8924" i="1"/>
  <c r="D8924" i="1"/>
  <c r="E8924" i="1"/>
  <c r="F8924" i="1"/>
  <c r="G8924" i="1"/>
  <c r="H8924" i="1"/>
  <c r="A8925" i="1"/>
  <c r="B8925" i="1"/>
  <c r="C8925" i="1"/>
  <c r="D8925" i="1"/>
  <c r="E8925" i="1"/>
  <c r="F8925" i="1"/>
  <c r="G8925" i="1"/>
  <c r="H8925" i="1"/>
  <c r="A8926" i="1"/>
  <c r="B8926" i="1"/>
  <c r="C8926" i="1"/>
  <c r="D8926" i="1"/>
  <c r="E8926" i="1"/>
  <c r="F8926" i="1"/>
  <c r="G8926" i="1"/>
  <c r="H8926" i="1"/>
  <c r="A8927" i="1"/>
  <c r="B8927" i="1"/>
  <c r="C8927" i="1"/>
  <c r="D8927" i="1"/>
  <c r="E8927" i="1"/>
  <c r="F8927" i="1"/>
  <c r="G8927" i="1"/>
  <c r="H8927" i="1"/>
  <c r="A8928" i="1"/>
  <c r="B8928" i="1"/>
  <c r="C8928" i="1"/>
  <c r="D8928" i="1"/>
  <c r="E8928" i="1"/>
  <c r="F8928" i="1"/>
  <c r="G8928" i="1"/>
  <c r="H8928" i="1"/>
  <c r="A8929" i="1"/>
  <c r="B8929" i="1"/>
  <c r="C8929" i="1"/>
  <c r="D8929" i="1"/>
  <c r="E8929" i="1"/>
  <c r="F8929" i="1"/>
  <c r="G8929" i="1"/>
  <c r="H8929" i="1"/>
  <c r="A8930" i="1"/>
  <c r="B8930" i="1"/>
  <c r="C8930" i="1"/>
  <c r="D8930" i="1"/>
  <c r="E8930" i="1"/>
  <c r="F8930" i="1"/>
  <c r="G8930" i="1"/>
  <c r="H8930" i="1"/>
  <c r="A8931" i="1"/>
  <c r="B8931" i="1"/>
  <c r="C8931" i="1"/>
  <c r="D8931" i="1"/>
  <c r="E8931" i="1"/>
  <c r="F8931" i="1"/>
  <c r="G8931" i="1"/>
  <c r="H8931" i="1"/>
  <c r="A8932" i="1"/>
  <c r="B8932" i="1"/>
  <c r="C8932" i="1"/>
  <c r="D8932" i="1"/>
  <c r="E8932" i="1"/>
  <c r="F8932" i="1"/>
  <c r="G8932" i="1"/>
  <c r="H8932" i="1"/>
  <c r="A8933" i="1"/>
  <c r="B8933" i="1"/>
  <c r="C8933" i="1"/>
  <c r="D8933" i="1"/>
  <c r="E8933" i="1"/>
  <c r="F8933" i="1"/>
  <c r="G8933" i="1"/>
  <c r="H8933" i="1"/>
  <c r="A8934" i="1"/>
  <c r="B8934" i="1"/>
  <c r="C8934" i="1"/>
  <c r="D8934" i="1"/>
  <c r="E8934" i="1"/>
  <c r="F8934" i="1"/>
  <c r="G8934" i="1"/>
  <c r="H8934" i="1"/>
  <c r="A8935" i="1"/>
  <c r="B8935" i="1"/>
  <c r="C8935" i="1"/>
  <c r="D8935" i="1"/>
  <c r="E8935" i="1"/>
  <c r="F8935" i="1"/>
  <c r="G8935" i="1"/>
  <c r="H8935" i="1"/>
  <c r="A8936" i="1"/>
  <c r="B8936" i="1"/>
  <c r="C8936" i="1"/>
  <c r="D8936" i="1"/>
  <c r="E8936" i="1"/>
  <c r="F8936" i="1"/>
  <c r="G8936" i="1"/>
  <c r="H8936" i="1"/>
  <c r="A8937" i="1"/>
  <c r="B8937" i="1"/>
  <c r="C8937" i="1"/>
  <c r="D8937" i="1"/>
  <c r="E8937" i="1"/>
  <c r="F8937" i="1"/>
  <c r="G8937" i="1"/>
  <c r="H8937" i="1"/>
  <c r="A8938" i="1"/>
  <c r="B8938" i="1"/>
  <c r="C8938" i="1"/>
  <c r="D8938" i="1"/>
  <c r="E8938" i="1"/>
  <c r="F8938" i="1"/>
  <c r="G8938" i="1"/>
  <c r="H8938" i="1"/>
  <c r="A8939" i="1"/>
  <c r="B8939" i="1"/>
  <c r="C8939" i="1"/>
  <c r="D8939" i="1"/>
  <c r="E8939" i="1"/>
  <c r="F8939" i="1"/>
  <c r="G8939" i="1"/>
  <c r="H8939" i="1"/>
  <c r="A8940" i="1"/>
  <c r="B8940" i="1"/>
  <c r="C8940" i="1"/>
  <c r="D8940" i="1"/>
  <c r="E8940" i="1"/>
  <c r="F8940" i="1"/>
  <c r="G8940" i="1"/>
  <c r="H8940" i="1"/>
  <c r="A8941" i="1"/>
  <c r="B8941" i="1"/>
  <c r="C8941" i="1"/>
  <c r="D8941" i="1"/>
  <c r="E8941" i="1"/>
  <c r="F8941" i="1"/>
  <c r="G8941" i="1"/>
  <c r="H8941" i="1"/>
  <c r="A8942" i="1"/>
  <c r="B8942" i="1"/>
  <c r="C8942" i="1"/>
  <c r="D8942" i="1"/>
  <c r="E8942" i="1"/>
  <c r="F8942" i="1"/>
  <c r="G8942" i="1"/>
  <c r="H8942" i="1"/>
  <c r="A8943" i="1"/>
  <c r="B8943" i="1"/>
  <c r="C8943" i="1"/>
  <c r="D8943" i="1"/>
  <c r="E8943" i="1"/>
  <c r="F8943" i="1"/>
  <c r="G8943" i="1"/>
  <c r="H8943" i="1"/>
  <c r="A8944" i="1"/>
  <c r="B8944" i="1"/>
  <c r="C8944" i="1"/>
  <c r="D8944" i="1"/>
  <c r="E8944" i="1"/>
  <c r="F8944" i="1"/>
  <c r="G8944" i="1"/>
  <c r="H8944" i="1"/>
  <c r="A8945" i="1"/>
  <c r="B8945" i="1"/>
  <c r="C8945" i="1"/>
  <c r="D8945" i="1"/>
  <c r="E8945" i="1"/>
  <c r="F8945" i="1"/>
  <c r="G8945" i="1"/>
  <c r="H8945" i="1"/>
  <c r="A8946" i="1"/>
  <c r="B8946" i="1"/>
  <c r="C8946" i="1"/>
  <c r="D8946" i="1"/>
  <c r="E8946" i="1"/>
  <c r="F8946" i="1"/>
  <c r="G8946" i="1"/>
  <c r="H8946" i="1"/>
  <c r="A8947" i="1"/>
  <c r="B8947" i="1"/>
  <c r="C8947" i="1"/>
  <c r="D8947" i="1"/>
  <c r="E8947" i="1"/>
  <c r="F8947" i="1"/>
  <c r="G8947" i="1"/>
  <c r="H8947" i="1"/>
  <c r="A8948" i="1"/>
  <c r="B8948" i="1"/>
  <c r="C8948" i="1"/>
  <c r="D8948" i="1"/>
  <c r="E8948" i="1"/>
  <c r="F8948" i="1"/>
  <c r="G8948" i="1"/>
  <c r="H8948" i="1"/>
  <c r="A8949" i="1"/>
  <c r="B8949" i="1"/>
  <c r="C8949" i="1"/>
  <c r="D8949" i="1"/>
  <c r="E8949" i="1"/>
  <c r="F8949" i="1"/>
  <c r="G8949" i="1"/>
  <c r="H8949" i="1"/>
  <c r="A8950" i="1"/>
  <c r="B8950" i="1"/>
  <c r="C8950" i="1"/>
  <c r="D8950" i="1"/>
  <c r="E8950" i="1"/>
  <c r="F8950" i="1"/>
  <c r="G8950" i="1"/>
  <c r="H8950" i="1"/>
  <c r="A8951" i="1"/>
  <c r="B8951" i="1"/>
  <c r="C8951" i="1"/>
  <c r="D8951" i="1"/>
  <c r="E8951" i="1"/>
  <c r="F8951" i="1"/>
  <c r="G8951" i="1"/>
  <c r="H8951" i="1"/>
  <c r="A8952" i="1"/>
  <c r="B8952" i="1"/>
  <c r="C8952" i="1"/>
  <c r="D8952" i="1"/>
  <c r="E8952" i="1"/>
  <c r="F8952" i="1"/>
  <c r="G8952" i="1"/>
  <c r="H8952" i="1"/>
  <c r="A8953" i="1"/>
  <c r="B8953" i="1"/>
  <c r="C8953" i="1"/>
  <c r="D8953" i="1"/>
  <c r="E8953" i="1"/>
  <c r="F8953" i="1"/>
  <c r="G8953" i="1"/>
  <c r="H8953" i="1"/>
  <c r="A8954" i="1"/>
  <c r="B8954" i="1"/>
  <c r="C8954" i="1"/>
  <c r="D8954" i="1"/>
  <c r="E8954" i="1"/>
  <c r="F8954" i="1"/>
  <c r="G8954" i="1"/>
  <c r="H8954" i="1"/>
  <c r="A8955" i="1"/>
  <c r="B8955" i="1"/>
  <c r="C8955" i="1"/>
  <c r="D8955" i="1"/>
  <c r="E8955" i="1"/>
  <c r="F8955" i="1"/>
  <c r="G8955" i="1"/>
  <c r="H8955" i="1"/>
  <c r="A8956" i="1"/>
  <c r="B8956" i="1"/>
  <c r="C8956" i="1"/>
  <c r="D8956" i="1"/>
  <c r="E8956" i="1"/>
  <c r="F8956" i="1"/>
  <c r="G8956" i="1"/>
  <c r="H8956" i="1"/>
  <c r="A8957" i="1"/>
  <c r="B8957" i="1"/>
  <c r="C8957" i="1"/>
  <c r="D8957" i="1"/>
  <c r="E8957" i="1"/>
  <c r="F8957" i="1"/>
  <c r="G8957" i="1"/>
  <c r="H8957" i="1"/>
  <c r="A8958" i="1"/>
  <c r="B8958" i="1"/>
  <c r="C8958" i="1"/>
  <c r="D8958" i="1"/>
  <c r="E8958" i="1"/>
  <c r="F8958" i="1"/>
  <c r="G8958" i="1"/>
  <c r="H8958" i="1"/>
  <c r="A8959" i="1"/>
  <c r="B8959" i="1"/>
  <c r="C8959" i="1"/>
  <c r="D8959" i="1"/>
  <c r="E8959" i="1"/>
  <c r="F8959" i="1"/>
  <c r="G8959" i="1"/>
  <c r="H8959" i="1"/>
  <c r="A8960" i="1"/>
  <c r="B8960" i="1"/>
  <c r="C8960" i="1"/>
  <c r="D8960" i="1"/>
  <c r="E8960" i="1"/>
  <c r="F8960" i="1"/>
  <c r="G8960" i="1"/>
  <c r="H8960" i="1"/>
  <c r="A8961" i="1"/>
  <c r="B8961" i="1"/>
  <c r="C8961" i="1"/>
  <c r="D8961" i="1"/>
  <c r="E8961" i="1"/>
  <c r="F8961" i="1"/>
  <c r="G8961" i="1"/>
  <c r="H8961" i="1"/>
  <c r="A8962" i="1"/>
  <c r="B8962" i="1"/>
  <c r="C8962" i="1"/>
  <c r="D8962" i="1"/>
  <c r="E8962" i="1"/>
  <c r="F8962" i="1"/>
  <c r="G8962" i="1"/>
  <c r="H8962" i="1"/>
  <c r="A8963" i="1"/>
  <c r="B8963" i="1"/>
  <c r="C8963" i="1"/>
  <c r="D8963" i="1"/>
  <c r="E8963" i="1"/>
  <c r="F8963" i="1"/>
  <c r="G8963" i="1"/>
  <c r="H8963" i="1"/>
  <c r="A8964" i="1"/>
  <c r="B8964" i="1"/>
  <c r="C8964" i="1"/>
  <c r="D8964" i="1"/>
  <c r="E8964" i="1"/>
  <c r="F8964" i="1"/>
  <c r="G8964" i="1"/>
  <c r="H8964" i="1"/>
  <c r="A8965" i="1"/>
  <c r="B8965" i="1"/>
  <c r="C8965" i="1"/>
  <c r="D8965" i="1"/>
  <c r="E8965" i="1"/>
  <c r="F8965" i="1"/>
  <c r="G8965" i="1"/>
  <c r="H8965" i="1"/>
  <c r="A8966" i="1"/>
  <c r="B8966" i="1"/>
  <c r="C8966" i="1"/>
  <c r="D8966" i="1"/>
  <c r="E8966" i="1"/>
  <c r="F8966" i="1"/>
  <c r="G8966" i="1"/>
  <c r="H8966" i="1"/>
  <c r="A8967" i="1"/>
  <c r="B8967" i="1"/>
  <c r="C8967" i="1"/>
  <c r="D8967" i="1"/>
  <c r="E8967" i="1"/>
  <c r="F8967" i="1"/>
  <c r="G8967" i="1"/>
  <c r="H8967" i="1"/>
  <c r="A8968" i="1"/>
  <c r="B8968" i="1"/>
  <c r="C8968" i="1"/>
  <c r="D8968" i="1"/>
  <c r="E8968" i="1"/>
  <c r="F8968" i="1"/>
  <c r="G8968" i="1"/>
  <c r="H8968" i="1"/>
  <c r="A8969" i="1"/>
  <c r="B8969" i="1"/>
  <c r="C8969" i="1"/>
  <c r="D8969" i="1"/>
  <c r="E8969" i="1"/>
  <c r="F8969" i="1"/>
  <c r="G8969" i="1"/>
  <c r="H8969" i="1"/>
  <c r="A8970" i="1"/>
  <c r="B8970" i="1"/>
  <c r="C8970" i="1"/>
  <c r="D8970" i="1"/>
  <c r="E8970" i="1"/>
  <c r="F8970" i="1"/>
  <c r="G8970" i="1"/>
  <c r="H8970" i="1"/>
  <c r="A8971" i="1"/>
  <c r="B8971" i="1"/>
  <c r="C8971" i="1"/>
  <c r="D8971" i="1"/>
  <c r="E8971" i="1"/>
  <c r="F8971" i="1"/>
  <c r="G8971" i="1"/>
  <c r="H8971" i="1"/>
  <c r="A8972" i="1"/>
  <c r="B8972" i="1"/>
  <c r="C8972" i="1"/>
  <c r="D8972" i="1"/>
  <c r="E8972" i="1"/>
  <c r="F8972" i="1"/>
  <c r="G8972" i="1"/>
  <c r="H8972" i="1"/>
  <c r="A8973" i="1"/>
  <c r="B8973" i="1"/>
  <c r="C8973" i="1"/>
  <c r="D8973" i="1"/>
  <c r="E8973" i="1"/>
  <c r="F8973" i="1"/>
  <c r="G8973" i="1"/>
  <c r="H8973" i="1"/>
  <c r="A8974" i="1"/>
  <c r="B8974" i="1"/>
  <c r="C8974" i="1"/>
  <c r="D8974" i="1"/>
  <c r="E8974" i="1"/>
  <c r="F8974" i="1"/>
  <c r="G8974" i="1"/>
  <c r="H8974" i="1"/>
  <c r="A8975" i="1"/>
  <c r="B8975" i="1"/>
  <c r="C8975" i="1"/>
  <c r="D8975" i="1"/>
  <c r="E8975" i="1"/>
  <c r="F8975" i="1"/>
  <c r="G8975" i="1"/>
  <c r="H8975" i="1"/>
  <c r="A8976" i="1"/>
  <c r="B8976" i="1"/>
  <c r="C8976" i="1"/>
  <c r="D8976" i="1"/>
  <c r="E8976" i="1"/>
  <c r="F8976" i="1"/>
  <c r="G8976" i="1"/>
  <c r="H8976" i="1"/>
  <c r="A8977" i="1"/>
  <c r="B8977" i="1"/>
  <c r="C8977" i="1"/>
  <c r="D8977" i="1"/>
  <c r="E8977" i="1"/>
  <c r="F8977" i="1"/>
  <c r="G8977" i="1"/>
  <c r="H8977" i="1"/>
  <c r="A8978" i="1"/>
  <c r="B8978" i="1"/>
  <c r="C8978" i="1"/>
  <c r="D8978" i="1"/>
  <c r="E8978" i="1"/>
  <c r="F8978" i="1"/>
  <c r="G8978" i="1"/>
  <c r="H8978" i="1"/>
  <c r="A8979" i="1"/>
  <c r="B8979" i="1"/>
  <c r="C8979" i="1"/>
  <c r="D8979" i="1"/>
  <c r="E8979" i="1"/>
  <c r="F8979" i="1"/>
  <c r="G8979" i="1"/>
  <c r="H8979" i="1"/>
  <c r="A8980" i="1"/>
  <c r="B8980" i="1"/>
  <c r="C8980" i="1"/>
  <c r="D8980" i="1"/>
  <c r="E8980" i="1"/>
  <c r="F8980" i="1"/>
  <c r="G8980" i="1"/>
  <c r="H8980" i="1"/>
  <c r="A8981" i="1"/>
  <c r="B8981" i="1"/>
  <c r="C8981" i="1"/>
  <c r="D8981" i="1"/>
  <c r="E8981" i="1"/>
  <c r="F8981" i="1"/>
  <c r="G8981" i="1"/>
  <c r="H8981" i="1"/>
  <c r="A8982" i="1"/>
  <c r="B8982" i="1"/>
  <c r="C8982" i="1"/>
  <c r="D8982" i="1"/>
  <c r="E8982" i="1"/>
  <c r="F8982" i="1"/>
  <c r="G8982" i="1"/>
  <c r="H8982" i="1"/>
  <c r="A8983" i="1"/>
  <c r="B8983" i="1"/>
  <c r="C8983" i="1"/>
  <c r="D8983" i="1"/>
  <c r="E8983" i="1"/>
  <c r="F8983" i="1"/>
  <c r="G8983" i="1"/>
  <c r="H8983" i="1"/>
  <c r="A8984" i="1"/>
  <c r="B8984" i="1"/>
  <c r="C8984" i="1"/>
  <c r="D8984" i="1"/>
  <c r="E8984" i="1"/>
  <c r="F8984" i="1"/>
  <c r="G8984" i="1"/>
  <c r="H8984" i="1"/>
  <c r="A8985" i="1"/>
  <c r="B8985" i="1"/>
  <c r="C8985" i="1"/>
  <c r="D8985" i="1"/>
  <c r="E8985" i="1"/>
  <c r="F8985" i="1"/>
  <c r="G8985" i="1"/>
  <c r="H8985" i="1"/>
  <c r="A8986" i="1"/>
  <c r="B8986" i="1"/>
  <c r="C8986" i="1"/>
  <c r="D8986" i="1"/>
  <c r="E8986" i="1"/>
  <c r="F8986" i="1"/>
  <c r="G8986" i="1"/>
  <c r="H8986" i="1"/>
  <c r="A8987" i="1"/>
  <c r="B8987" i="1"/>
  <c r="C8987" i="1"/>
  <c r="D8987" i="1"/>
  <c r="E8987" i="1"/>
  <c r="F8987" i="1"/>
  <c r="G8987" i="1"/>
  <c r="H8987" i="1"/>
  <c r="A8988" i="1"/>
  <c r="B8988" i="1"/>
  <c r="C8988" i="1"/>
  <c r="D8988" i="1"/>
  <c r="E8988" i="1"/>
  <c r="F8988" i="1"/>
  <c r="G8988" i="1"/>
  <c r="H8988" i="1"/>
  <c r="A8989" i="1"/>
  <c r="B8989" i="1"/>
  <c r="C8989" i="1"/>
  <c r="D8989" i="1"/>
  <c r="E8989" i="1"/>
  <c r="F8989" i="1"/>
  <c r="G8989" i="1"/>
  <c r="H8989" i="1"/>
  <c r="A8990" i="1"/>
  <c r="B8990" i="1"/>
  <c r="C8990" i="1"/>
  <c r="D8990" i="1"/>
  <c r="E8990" i="1"/>
  <c r="F8990" i="1"/>
  <c r="G8990" i="1"/>
  <c r="H8990" i="1"/>
  <c r="A8991" i="1"/>
  <c r="B8991" i="1"/>
  <c r="C8991" i="1"/>
  <c r="D8991" i="1"/>
  <c r="E8991" i="1"/>
  <c r="F8991" i="1"/>
  <c r="G8991" i="1"/>
  <c r="H8991" i="1"/>
  <c r="A8992" i="1"/>
  <c r="B8992" i="1"/>
  <c r="C8992" i="1"/>
  <c r="D8992" i="1"/>
  <c r="E8992" i="1"/>
  <c r="F8992" i="1"/>
  <c r="G8992" i="1"/>
  <c r="H8992" i="1"/>
  <c r="A8993" i="1"/>
  <c r="B8993" i="1"/>
  <c r="C8993" i="1"/>
  <c r="D8993" i="1"/>
  <c r="E8993" i="1"/>
  <c r="F8993" i="1"/>
  <c r="G8993" i="1"/>
  <c r="H8993" i="1"/>
  <c r="A8994" i="1"/>
  <c r="B8994" i="1"/>
  <c r="C8994" i="1"/>
  <c r="D8994" i="1"/>
  <c r="E8994" i="1"/>
  <c r="F8994" i="1"/>
  <c r="G8994" i="1"/>
  <c r="H8994" i="1"/>
  <c r="A8995" i="1"/>
  <c r="B8995" i="1"/>
  <c r="C8995" i="1"/>
  <c r="D8995" i="1"/>
  <c r="E8995" i="1"/>
  <c r="F8995" i="1"/>
  <c r="G8995" i="1"/>
  <c r="H8995" i="1"/>
  <c r="A8996" i="1"/>
  <c r="B8996" i="1"/>
  <c r="C8996" i="1"/>
  <c r="D8996" i="1"/>
  <c r="E8996" i="1"/>
  <c r="F8996" i="1"/>
  <c r="G8996" i="1"/>
  <c r="H8996" i="1"/>
  <c r="A8997" i="1"/>
  <c r="B8997" i="1"/>
  <c r="C8997" i="1"/>
  <c r="D8997" i="1"/>
  <c r="E8997" i="1"/>
  <c r="F8997" i="1"/>
  <c r="G8997" i="1"/>
  <c r="H8997" i="1"/>
  <c r="A8998" i="1"/>
  <c r="B8998" i="1"/>
  <c r="C8998" i="1"/>
  <c r="D8998" i="1"/>
  <c r="E8998" i="1"/>
  <c r="F8998" i="1"/>
  <c r="G8998" i="1"/>
  <c r="H8998" i="1"/>
  <c r="A8999" i="1"/>
  <c r="B8999" i="1"/>
  <c r="C8999" i="1"/>
  <c r="D8999" i="1"/>
  <c r="E8999" i="1"/>
  <c r="F8999" i="1"/>
  <c r="G8999" i="1"/>
  <c r="H8999" i="1"/>
  <c r="A9000" i="1"/>
  <c r="B9000" i="1"/>
  <c r="C9000" i="1"/>
  <c r="D9000" i="1"/>
  <c r="E9000" i="1"/>
  <c r="F9000" i="1"/>
  <c r="G9000" i="1"/>
  <c r="H9000" i="1"/>
  <c r="A9001" i="1"/>
  <c r="B9001" i="1"/>
  <c r="C9001" i="1"/>
  <c r="D9001" i="1"/>
  <c r="E9001" i="1"/>
  <c r="F9001" i="1"/>
  <c r="G9001" i="1"/>
  <c r="H9001" i="1"/>
  <c r="A9002" i="1"/>
  <c r="B9002" i="1"/>
  <c r="C9002" i="1"/>
  <c r="D9002" i="1"/>
  <c r="E9002" i="1"/>
  <c r="F9002" i="1"/>
  <c r="G9002" i="1"/>
  <c r="H9002" i="1"/>
  <c r="A9003" i="1"/>
  <c r="B9003" i="1"/>
  <c r="C9003" i="1"/>
  <c r="D9003" i="1"/>
  <c r="E9003" i="1"/>
  <c r="F9003" i="1"/>
  <c r="G9003" i="1"/>
  <c r="H9003" i="1"/>
  <c r="A9004" i="1"/>
  <c r="B9004" i="1"/>
  <c r="C9004" i="1"/>
  <c r="D9004" i="1"/>
  <c r="E9004" i="1"/>
  <c r="F9004" i="1"/>
  <c r="G9004" i="1"/>
  <c r="H9004" i="1"/>
  <c r="A9005" i="1"/>
  <c r="B9005" i="1"/>
  <c r="C9005" i="1"/>
  <c r="D9005" i="1"/>
  <c r="E9005" i="1"/>
  <c r="F9005" i="1"/>
  <c r="G9005" i="1"/>
  <c r="H9005" i="1"/>
  <c r="A9006" i="1"/>
  <c r="B9006" i="1"/>
  <c r="C9006" i="1"/>
  <c r="D9006" i="1"/>
  <c r="E9006" i="1"/>
  <c r="F9006" i="1"/>
  <c r="G9006" i="1"/>
  <c r="H9006" i="1"/>
  <c r="A9007" i="1"/>
  <c r="B9007" i="1"/>
  <c r="C9007" i="1"/>
  <c r="D9007" i="1"/>
  <c r="E9007" i="1"/>
  <c r="F9007" i="1"/>
  <c r="G9007" i="1"/>
  <c r="H9007" i="1"/>
  <c r="A9008" i="1"/>
  <c r="B9008" i="1"/>
  <c r="C9008" i="1"/>
  <c r="D9008" i="1"/>
  <c r="E9008" i="1"/>
  <c r="F9008" i="1"/>
  <c r="G9008" i="1"/>
  <c r="H9008" i="1"/>
  <c r="A9009" i="1"/>
  <c r="B9009" i="1"/>
  <c r="C9009" i="1"/>
  <c r="D9009" i="1"/>
  <c r="E9009" i="1"/>
  <c r="F9009" i="1"/>
  <c r="G9009" i="1"/>
  <c r="H9009" i="1"/>
  <c r="A9010" i="1"/>
  <c r="B9010" i="1"/>
  <c r="C9010" i="1"/>
  <c r="D9010" i="1"/>
  <c r="E9010" i="1"/>
  <c r="F9010" i="1"/>
  <c r="G9010" i="1"/>
  <c r="H9010" i="1"/>
  <c r="A9011" i="1"/>
  <c r="B9011" i="1"/>
  <c r="C9011" i="1"/>
  <c r="D9011" i="1"/>
  <c r="E9011" i="1"/>
  <c r="F9011" i="1"/>
  <c r="G9011" i="1"/>
  <c r="H9011" i="1"/>
  <c r="A9012" i="1"/>
  <c r="B9012" i="1"/>
  <c r="C9012" i="1"/>
  <c r="D9012" i="1"/>
  <c r="E9012" i="1"/>
  <c r="F9012" i="1"/>
  <c r="G9012" i="1"/>
  <c r="H9012" i="1"/>
  <c r="A9013" i="1"/>
  <c r="B9013" i="1"/>
  <c r="C9013" i="1"/>
  <c r="D9013" i="1"/>
  <c r="E9013" i="1"/>
  <c r="F9013" i="1"/>
  <c r="G9013" i="1"/>
  <c r="H9013" i="1"/>
  <c r="A9014" i="1"/>
  <c r="B9014" i="1"/>
  <c r="C9014" i="1"/>
  <c r="D9014" i="1"/>
  <c r="E9014" i="1"/>
  <c r="F9014" i="1"/>
  <c r="G9014" i="1"/>
  <c r="H9014" i="1"/>
  <c r="A9015" i="1"/>
  <c r="B9015" i="1"/>
  <c r="C9015" i="1"/>
  <c r="D9015" i="1"/>
  <c r="E9015" i="1"/>
  <c r="F9015" i="1"/>
  <c r="G9015" i="1"/>
  <c r="H9015" i="1"/>
  <c r="A9016" i="1"/>
  <c r="B9016" i="1"/>
  <c r="C9016" i="1"/>
  <c r="D9016" i="1"/>
  <c r="E9016" i="1"/>
  <c r="F9016" i="1"/>
  <c r="G9016" i="1"/>
  <c r="H9016" i="1"/>
  <c r="A9017" i="1"/>
  <c r="B9017" i="1"/>
  <c r="C9017" i="1"/>
  <c r="D9017" i="1"/>
  <c r="E9017" i="1"/>
  <c r="F9017" i="1"/>
  <c r="G9017" i="1"/>
  <c r="H9017" i="1"/>
  <c r="A9018" i="1"/>
  <c r="B9018" i="1"/>
  <c r="C9018" i="1"/>
  <c r="D9018" i="1"/>
  <c r="E9018" i="1"/>
  <c r="F9018" i="1"/>
  <c r="G9018" i="1"/>
  <c r="H9018" i="1"/>
  <c r="A9019" i="1"/>
  <c r="B9019" i="1"/>
  <c r="C9019" i="1"/>
  <c r="D9019" i="1"/>
  <c r="E9019" i="1"/>
  <c r="F9019" i="1"/>
  <c r="G9019" i="1"/>
  <c r="H9019" i="1"/>
  <c r="A9020" i="1"/>
  <c r="B9020" i="1"/>
  <c r="C9020" i="1"/>
  <c r="D9020" i="1"/>
  <c r="E9020" i="1"/>
  <c r="F9020" i="1"/>
  <c r="G9020" i="1"/>
  <c r="H9020" i="1"/>
  <c r="A9021" i="1"/>
  <c r="B9021" i="1"/>
  <c r="C9021" i="1"/>
  <c r="D9021" i="1"/>
  <c r="E9021" i="1"/>
  <c r="F9021" i="1"/>
  <c r="G9021" i="1"/>
  <c r="H9021" i="1"/>
  <c r="A9022" i="1"/>
  <c r="B9022" i="1"/>
  <c r="C9022" i="1"/>
  <c r="D9022" i="1"/>
  <c r="E9022" i="1"/>
  <c r="F9022" i="1"/>
  <c r="G9022" i="1"/>
  <c r="H9022" i="1"/>
  <c r="A9023" i="1"/>
  <c r="B9023" i="1"/>
  <c r="C9023" i="1"/>
  <c r="D9023" i="1"/>
  <c r="E9023" i="1"/>
  <c r="F9023" i="1"/>
  <c r="G9023" i="1"/>
  <c r="H9023" i="1"/>
  <c r="A9024" i="1"/>
  <c r="B9024" i="1"/>
  <c r="C9024" i="1"/>
  <c r="D9024" i="1"/>
  <c r="E9024" i="1"/>
  <c r="F9024" i="1"/>
  <c r="G9024" i="1"/>
  <c r="H9024" i="1"/>
  <c r="A9025" i="1"/>
  <c r="B9025" i="1"/>
  <c r="C9025" i="1"/>
  <c r="D9025" i="1"/>
  <c r="E9025" i="1"/>
  <c r="F9025" i="1"/>
  <c r="G9025" i="1"/>
  <c r="H9025" i="1"/>
  <c r="A9026" i="1"/>
  <c r="B9026" i="1"/>
  <c r="C9026" i="1"/>
  <c r="D9026" i="1"/>
  <c r="E9026" i="1"/>
  <c r="F9026" i="1"/>
  <c r="G9026" i="1"/>
  <c r="H9026" i="1"/>
  <c r="A9027" i="1"/>
  <c r="B9027" i="1"/>
  <c r="C9027" i="1"/>
  <c r="D9027" i="1"/>
  <c r="E9027" i="1"/>
  <c r="F9027" i="1"/>
  <c r="G9027" i="1"/>
  <c r="H9027" i="1"/>
  <c r="A9028" i="1"/>
  <c r="B9028" i="1"/>
  <c r="C9028" i="1"/>
  <c r="D9028" i="1"/>
  <c r="E9028" i="1"/>
  <c r="F9028" i="1"/>
  <c r="G9028" i="1"/>
  <c r="H9028" i="1"/>
  <c r="A9029" i="1"/>
  <c r="B9029" i="1"/>
  <c r="C9029" i="1"/>
  <c r="D9029" i="1"/>
  <c r="E9029" i="1"/>
  <c r="F9029" i="1"/>
  <c r="G9029" i="1"/>
  <c r="H9029" i="1"/>
  <c r="A9030" i="1"/>
  <c r="B9030" i="1"/>
  <c r="C9030" i="1"/>
  <c r="D9030" i="1"/>
  <c r="E9030" i="1"/>
  <c r="F9030" i="1"/>
  <c r="G9030" i="1"/>
  <c r="H9030" i="1"/>
  <c r="A9031" i="1"/>
  <c r="B9031" i="1"/>
  <c r="C9031" i="1"/>
  <c r="D9031" i="1"/>
  <c r="E9031" i="1"/>
  <c r="F9031" i="1"/>
  <c r="G9031" i="1"/>
  <c r="H9031" i="1"/>
  <c r="A9032" i="1"/>
  <c r="B9032" i="1"/>
  <c r="C9032" i="1"/>
  <c r="D9032" i="1"/>
  <c r="E9032" i="1"/>
  <c r="F9032" i="1"/>
  <c r="G9032" i="1"/>
  <c r="H9032" i="1"/>
  <c r="A9033" i="1"/>
  <c r="B9033" i="1"/>
  <c r="C9033" i="1"/>
  <c r="D9033" i="1"/>
  <c r="E9033" i="1"/>
  <c r="F9033" i="1"/>
  <c r="G9033" i="1"/>
  <c r="H9033" i="1"/>
  <c r="A9034" i="1"/>
  <c r="B9034" i="1"/>
  <c r="C9034" i="1"/>
  <c r="D9034" i="1"/>
  <c r="E9034" i="1"/>
  <c r="F9034" i="1"/>
  <c r="G9034" i="1"/>
  <c r="H9034" i="1"/>
  <c r="A9035" i="1"/>
  <c r="B9035" i="1"/>
  <c r="C9035" i="1"/>
  <c r="D9035" i="1"/>
  <c r="E9035" i="1"/>
  <c r="F9035" i="1"/>
  <c r="G9035" i="1"/>
  <c r="H9035" i="1"/>
  <c r="A9036" i="1"/>
  <c r="B9036" i="1"/>
  <c r="C9036" i="1"/>
  <c r="D9036" i="1"/>
  <c r="E9036" i="1"/>
  <c r="F9036" i="1"/>
  <c r="G9036" i="1"/>
  <c r="H9036" i="1"/>
  <c r="A9037" i="1"/>
  <c r="B9037" i="1"/>
  <c r="C9037" i="1"/>
  <c r="D9037" i="1"/>
  <c r="E9037" i="1"/>
  <c r="F9037" i="1"/>
  <c r="G9037" i="1"/>
  <c r="H9037" i="1"/>
  <c r="A9038" i="1"/>
  <c r="B9038" i="1"/>
  <c r="C9038" i="1"/>
  <c r="D9038" i="1"/>
  <c r="E9038" i="1"/>
  <c r="F9038" i="1"/>
  <c r="G9038" i="1"/>
  <c r="H9038" i="1"/>
  <c r="A9039" i="1"/>
  <c r="B9039" i="1"/>
  <c r="C9039" i="1"/>
  <c r="D9039" i="1"/>
  <c r="E9039" i="1"/>
  <c r="F9039" i="1"/>
  <c r="G9039" i="1"/>
  <c r="H9039" i="1"/>
  <c r="A9040" i="1"/>
  <c r="B9040" i="1"/>
  <c r="C9040" i="1"/>
  <c r="D9040" i="1"/>
  <c r="E9040" i="1"/>
  <c r="F9040" i="1"/>
  <c r="G9040" i="1"/>
  <c r="H9040" i="1"/>
  <c r="A9041" i="1"/>
  <c r="B9041" i="1"/>
  <c r="C9041" i="1"/>
  <c r="D9041" i="1"/>
  <c r="E9041" i="1"/>
  <c r="F9041" i="1"/>
  <c r="G9041" i="1"/>
  <c r="H9041" i="1"/>
  <c r="A9042" i="1"/>
  <c r="B9042" i="1"/>
  <c r="C9042" i="1"/>
  <c r="D9042" i="1"/>
  <c r="E9042" i="1"/>
  <c r="F9042" i="1"/>
  <c r="G9042" i="1"/>
  <c r="H9042" i="1"/>
  <c r="A9043" i="1"/>
  <c r="B9043" i="1"/>
  <c r="C9043" i="1"/>
  <c r="D9043" i="1"/>
  <c r="E9043" i="1"/>
  <c r="F9043" i="1"/>
  <c r="G9043" i="1"/>
  <c r="H9043" i="1"/>
  <c r="A9044" i="1"/>
  <c r="B9044" i="1"/>
  <c r="C9044" i="1"/>
  <c r="D9044" i="1"/>
  <c r="E9044" i="1"/>
  <c r="F9044" i="1"/>
  <c r="G9044" i="1"/>
  <c r="H9044" i="1"/>
  <c r="A9045" i="1"/>
  <c r="B9045" i="1"/>
  <c r="C9045" i="1"/>
  <c r="D9045" i="1"/>
  <c r="E9045" i="1"/>
  <c r="F9045" i="1"/>
  <c r="G9045" i="1"/>
  <c r="H9045" i="1"/>
  <c r="A9046" i="1"/>
  <c r="B9046" i="1"/>
  <c r="C9046" i="1"/>
  <c r="D9046" i="1"/>
  <c r="E9046" i="1"/>
  <c r="F9046" i="1"/>
  <c r="G9046" i="1"/>
  <c r="H9046" i="1"/>
  <c r="A9047" i="1"/>
  <c r="B9047" i="1"/>
  <c r="C9047" i="1"/>
  <c r="D9047" i="1"/>
  <c r="E9047" i="1"/>
  <c r="F9047" i="1"/>
  <c r="G9047" i="1"/>
  <c r="H9047" i="1"/>
  <c r="A9048" i="1"/>
  <c r="B9048" i="1"/>
  <c r="C9048" i="1"/>
  <c r="D9048" i="1"/>
  <c r="E9048" i="1"/>
  <c r="F9048" i="1"/>
  <c r="G9048" i="1"/>
  <c r="H9048" i="1"/>
  <c r="A9049" i="1"/>
  <c r="B9049" i="1"/>
  <c r="C9049" i="1"/>
  <c r="D9049" i="1"/>
  <c r="E9049" i="1"/>
  <c r="F9049" i="1"/>
  <c r="G9049" i="1"/>
  <c r="H9049" i="1"/>
  <c r="A9050" i="1"/>
  <c r="B9050" i="1"/>
  <c r="C9050" i="1"/>
  <c r="D9050" i="1"/>
  <c r="E9050" i="1"/>
  <c r="F9050" i="1"/>
  <c r="G9050" i="1"/>
  <c r="H9050" i="1"/>
  <c r="A9051" i="1"/>
  <c r="B9051" i="1"/>
  <c r="C9051" i="1"/>
  <c r="D9051" i="1"/>
  <c r="E9051" i="1"/>
  <c r="F9051" i="1"/>
  <c r="G9051" i="1"/>
  <c r="H9051" i="1"/>
  <c r="A9052" i="1"/>
  <c r="B9052" i="1"/>
  <c r="C9052" i="1"/>
  <c r="D9052" i="1"/>
  <c r="E9052" i="1"/>
  <c r="F9052" i="1"/>
  <c r="G9052" i="1"/>
  <c r="H9052" i="1"/>
  <c r="A9053" i="1"/>
  <c r="B9053" i="1"/>
  <c r="C9053" i="1"/>
  <c r="D9053" i="1"/>
  <c r="E9053" i="1"/>
  <c r="F9053" i="1"/>
  <c r="G9053" i="1"/>
  <c r="H9053" i="1"/>
  <c r="A9054" i="1"/>
  <c r="B9054" i="1"/>
  <c r="C9054" i="1"/>
  <c r="D9054" i="1"/>
  <c r="E9054" i="1"/>
  <c r="F9054" i="1"/>
  <c r="G9054" i="1"/>
  <c r="H9054" i="1"/>
  <c r="A9055" i="1"/>
  <c r="B9055" i="1"/>
  <c r="C9055" i="1"/>
  <c r="D9055" i="1"/>
  <c r="E9055" i="1"/>
  <c r="F9055" i="1"/>
  <c r="G9055" i="1"/>
  <c r="H9055" i="1"/>
  <c r="A9056" i="1"/>
  <c r="B9056" i="1"/>
  <c r="C9056" i="1"/>
  <c r="D9056" i="1"/>
  <c r="E9056" i="1"/>
  <c r="F9056" i="1"/>
  <c r="G9056" i="1"/>
  <c r="H9056" i="1"/>
  <c r="A9057" i="1"/>
  <c r="B9057" i="1"/>
  <c r="C9057" i="1"/>
  <c r="D9057" i="1"/>
  <c r="E9057" i="1"/>
  <c r="F9057" i="1"/>
  <c r="G9057" i="1"/>
  <c r="H9057" i="1"/>
  <c r="A9058" i="1"/>
  <c r="B9058" i="1"/>
  <c r="C9058" i="1"/>
  <c r="D9058" i="1"/>
  <c r="E9058" i="1"/>
  <c r="F9058" i="1"/>
  <c r="G9058" i="1"/>
  <c r="H9058" i="1"/>
  <c r="A9059" i="1"/>
  <c r="B9059" i="1"/>
  <c r="C9059" i="1"/>
  <c r="D9059" i="1"/>
  <c r="E9059" i="1"/>
  <c r="F9059" i="1"/>
  <c r="G9059" i="1"/>
  <c r="H9059" i="1"/>
  <c r="A9060" i="1"/>
  <c r="B9060" i="1"/>
  <c r="C9060" i="1"/>
  <c r="D9060" i="1"/>
  <c r="E9060" i="1"/>
  <c r="F9060" i="1"/>
  <c r="G9060" i="1"/>
  <c r="H9060" i="1"/>
  <c r="A9061" i="1"/>
  <c r="B9061" i="1"/>
  <c r="C9061" i="1"/>
  <c r="D9061" i="1"/>
  <c r="E9061" i="1"/>
  <c r="F9061" i="1"/>
  <c r="G9061" i="1"/>
  <c r="H9061" i="1"/>
  <c r="A9062" i="1"/>
  <c r="B9062" i="1"/>
  <c r="C9062" i="1"/>
  <c r="D9062" i="1"/>
  <c r="E9062" i="1"/>
  <c r="F9062" i="1"/>
  <c r="G9062" i="1"/>
  <c r="H9062" i="1"/>
  <c r="A9063" i="1"/>
  <c r="B9063" i="1"/>
  <c r="C9063" i="1"/>
  <c r="D9063" i="1"/>
  <c r="E9063" i="1"/>
  <c r="F9063" i="1"/>
  <c r="G9063" i="1"/>
  <c r="H9063" i="1"/>
  <c r="A9064" i="1"/>
  <c r="B9064" i="1"/>
  <c r="C9064" i="1"/>
  <c r="D9064" i="1"/>
  <c r="E9064" i="1"/>
  <c r="F9064" i="1"/>
  <c r="G9064" i="1"/>
  <c r="H9064" i="1"/>
  <c r="A9065" i="1"/>
  <c r="B9065" i="1"/>
  <c r="C9065" i="1"/>
  <c r="D9065" i="1"/>
  <c r="E9065" i="1"/>
  <c r="F9065" i="1"/>
  <c r="G9065" i="1"/>
  <c r="H9065" i="1"/>
  <c r="A9066" i="1"/>
  <c r="B9066" i="1"/>
  <c r="C9066" i="1"/>
  <c r="D9066" i="1"/>
  <c r="E9066" i="1"/>
  <c r="F9066" i="1"/>
  <c r="G9066" i="1"/>
  <c r="H9066" i="1"/>
  <c r="A9067" i="1"/>
  <c r="B9067" i="1"/>
  <c r="C9067" i="1"/>
  <c r="D9067" i="1"/>
  <c r="E9067" i="1"/>
  <c r="F9067" i="1"/>
  <c r="G9067" i="1"/>
  <c r="H9067" i="1"/>
  <c r="A9068" i="1"/>
  <c r="B9068" i="1"/>
  <c r="C9068" i="1"/>
  <c r="D9068" i="1"/>
  <c r="E9068" i="1"/>
  <c r="F9068" i="1"/>
  <c r="G9068" i="1"/>
  <c r="H9068" i="1"/>
  <c r="A9069" i="1"/>
  <c r="B9069" i="1"/>
  <c r="C9069" i="1"/>
  <c r="D9069" i="1"/>
  <c r="E9069" i="1"/>
  <c r="F9069" i="1"/>
  <c r="G9069" i="1"/>
  <c r="H9069" i="1"/>
  <c r="A9070" i="1"/>
  <c r="B9070" i="1"/>
  <c r="C9070" i="1"/>
  <c r="D9070" i="1"/>
  <c r="E9070" i="1"/>
  <c r="F9070" i="1"/>
  <c r="G9070" i="1"/>
  <c r="H9070" i="1"/>
  <c r="A9071" i="1"/>
  <c r="B9071" i="1"/>
  <c r="C9071" i="1"/>
  <c r="D9071" i="1"/>
  <c r="E9071" i="1"/>
  <c r="F9071" i="1"/>
  <c r="G9071" i="1"/>
  <c r="H9071" i="1"/>
  <c r="A9072" i="1"/>
  <c r="B9072" i="1"/>
  <c r="C9072" i="1"/>
  <c r="D9072" i="1"/>
  <c r="E9072" i="1"/>
  <c r="F9072" i="1"/>
  <c r="G9072" i="1"/>
  <c r="H9072" i="1"/>
  <c r="A9073" i="1"/>
  <c r="B9073" i="1"/>
  <c r="C9073" i="1"/>
  <c r="D9073" i="1"/>
  <c r="E9073" i="1"/>
  <c r="F9073" i="1"/>
  <c r="G9073" i="1"/>
  <c r="H9073" i="1"/>
  <c r="A9074" i="1"/>
  <c r="B9074" i="1"/>
  <c r="C9074" i="1"/>
  <c r="D9074" i="1"/>
  <c r="E9074" i="1"/>
  <c r="F9074" i="1"/>
  <c r="G9074" i="1"/>
  <c r="H9074" i="1"/>
  <c r="A9075" i="1"/>
  <c r="B9075" i="1"/>
  <c r="C9075" i="1"/>
  <c r="D9075" i="1"/>
  <c r="E9075" i="1"/>
  <c r="F9075" i="1"/>
  <c r="G9075" i="1"/>
  <c r="H9075" i="1"/>
  <c r="A9076" i="1"/>
  <c r="B9076" i="1"/>
  <c r="C9076" i="1"/>
  <c r="D9076" i="1"/>
  <c r="E9076" i="1"/>
  <c r="F9076" i="1"/>
  <c r="G9076" i="1"/>
  <c r="H9076" i="1"/>
  <c r="A9077" i="1"/>
  <c r="B9077" i="1"/>
  <c r="C9077" i="1"/>
  <c r="D9077" i="1"/>
  <c r="E9077" i="1"/>
  <c r="F9077" i="1"/>
  <c r="G9077" i="1"/>
  <c r="H9077" i="1"/>
  <c r="A9078" i="1"/>
  <c r="B9078" i="1"/>
  <c r="C9078" i="1"/>
  <c r="D9078" i="1"/>
  <c r="E9078" i="1"/>
  <c r="F9078" i="1"/>
  <c r="G9078" i="1"/>
  <c r="H9078" i="1"/>
  <c r="A9079" i="1"/>
  <c r="B9079" i="1"/>
  <c r="C9079" i="1"/>
  <c r="D9079" i="1"/>
  <c r="E9079" i="1"/>
  <c r="F9079" i="1"/>
  <c r="G9079" i="1"/>
  <c r="H9079" i="1"/>
  <c r="A9080" i="1"/>
  <c r="B9080" i="1"/>
  <c r="C9080" i="1"/>
  <c r="D9080" i="1"/>
  <c r="E9080" i="1"/>
  <c r="F9080" i="1"/>
  <c r="G9080" i="1"/>
  <c r="H9080" i="1"/>
  <c r="A9081" i="1"/>
  <c r="B9081" i="1"/>
  <c r="C9081" i="1"/>
  <c r="D9081" i="1"/>
  <c r="E9081" i="1"/>
  <c r="F9081" i="1"/>
  <c r="G9081" i="1"/>
  <c r="H9081" i="1"/>
  <c r="A9082" i="1"/>
  <c r="B9082" i="1"/>
  <c r="C9082" i="1"/>
  <c r="D9082" i="1"/>
  <c r="E9082" i="1"/>
  <c r="F9082" i="1"/>
  <c r="G9082" i="1"/>
  <c r="H9082" i="1"/>
  <c r="A9083" i="1"/>
  <c r="B9083" i="1"/>
  <c r="C9083" i="1"/>
  <c r="D9083" i="1"/>
  <c r="E9083" i="1"/>
  <c r="F9083" i="1"/>
  <c r="G9083" i="1"/>
  <c r="H9083" i="1"/>
  <c r="A9084" i="1"/>
  <c r="B9084" i="1"/>
  <c r="C9084" i="1"/>
  <c r="D9084" i="1"/>
  <c r="E9084" i="1"/>
  <c r="F9084" i="1"/>
  <c r="G9084" i="1"/>
  <c r="H9084" i="1"/>
  <c r="A9085" i="1"/>
  <c r="B9085" i="1"/>
  <c r="C9085" i="1"/>
  <c r="D9085" i="1"/>
  <c r="E9085" i="1"/>
  <c r="F9085" i="1"/>
  <c r="G9085" i="1"/>
  <c r="H9085" i="1"/>
  <c r="A9086" i="1"/>
  <c r="B9086" i="1"/>
  <c r="C9086" i="1"/>
  <c r="D9086" i="1"/>
  <c r="E9086" i="1"/>
  <c r="F9086" i="1"/>
  <c r="G9086" i="1"/>
  <c r="H9086" i="1"/>
  <c r="A9087" i="1"/>
  <c r="B9087" i="1"/>
  <c r="C9087" i="1"/>
  <c r="D9087" i="1"/>
  <c r="E9087" i="1"/>
  <c r="F9087" i="1"/>
  <c r="G9087" i="1"/>
  <c r="H9087" i="1"/>
  <c r="A9088" i="1"/>
  <c r="B9088" i="1"/>
  <c r="C9088" i="1"/>
  <c r="D9088" i="1"/>
  <c r="E9088" i="1"/>
  <c r="F9088" i="1"/>
  <c r="G9088" i="1"/>
  <c r="H9088" i="1"/>
  <c r="A9089" i="1"/>
  <c r="B9089" i="1"/>
  <c r="C9089" i="1"/>
  <c r="D9089" i="1"/>
  <c r="E9089" i="1"/>
  <c r="F9089" i="1"/>
  <c r="G9089" i="1"/>
  <c r="H9089" i="1"/>
  <c r="A9090" i="1"/>
  <c r="B9090" i="1"/>
  <c r="C9090" i="1"/>
  <c r="D9090" i="1"/>
  <c r="E9090" i="1"/>
  <c r="F9090" i="1"/>
  <c r="G9090" i="1"/>
  <c r="H9090" i="1"/>
  <c r="A9091" i="1"/>
  <c r="B9091" i="1"/>
  <c r="C9091" i="1"/>
  <c r="D9091" i="1"/>
  <c r="E9091" i="1"/>
  <c r="F9091" i="1"/>
  <c r="G9091" i="1"/>
  <c r="H9091" i="1"/>
  <c r="A9092" i="1"/>
  <c r="B9092" i="1"/>
  <c r="C9092" i="1"/>
  <c r="D9092" i="1"/>
  <c r="E9092" i="1"/>
  <c r="F9092" i="1"/>
  <c r="G9092" i="1"/>
  <c r="H9092" i="1"/>
  <c r="A9093" i="1"/>
  <c r="B9093" i="1"/>
  <c r="C9093" i="1"/>
  <c r="D9093" i="1"/>
  <c r="E9093" i="1"/>
  <c r="F9093" i="1"/>
  <c r="G9093" i="1"/>
  <c r="H9093" i="1"/>
  <c r="A9094" i="1"/>
  <c r="B9094" i="1"/>
  <c r="C9094" i="1"/>
  <c r="D9094" i="1"/>
  <c r="E9094" i="1"/>
  <c r="F9094" i="1"/>
  <c r="G9094" i="1"/>
  <c r="H9094" i="1"/>
  <c r="A9095" i="1"/>
  <c r="B9095" i="1"/>
  <c r="C9095" i="1"/>
  <c r="D9095" i="1"/>
  <c r="E9095" i="1"/>
  <c r="F9095" i="1"/>
  <c r="G9095" i="1"/>
  <c r="H9095" i="1"/>
  <c r="A9096" i="1"/>
  <c r="B9096" i="1"/>
  <c r="C9096" i="1"/>
  <c r="D9096" i="1"/>
  <c r="E9096" i="1"/>
  <c r="F9096" i="1"/>
  <c r="G9096" i="1"/>
  <c r="H9096" i="1"/>
  <c r="A9097" i="1"/>
  <c r="B9097" i="1"/>
  <c r="C9097" i="1"/>
  <c r="D9097" i="1"/>
  <c r="E9097" i="1"/>
  <c r="F9097" i="1"/>
  <c r="G9097" i="1"/>
  <c r="H9097" i="1"/>
  <c r="A9098" i="1"/>
  <c r="B9098" i="1"/>
  <c r="C9098" i="1"/>
  <c r="D9098" i="1"/>
  <c r="E9098" i="1"/>
  <c r="F9098" i="1"/>
  <c r="G9098" i="1"/>
  <c r="H9098" i="1"/>
  <c r="A9099" i="1"/>
  <c r="B9099" i="1"/>
  <c r="C9099" i="1"/>
  <c r="D9099" i="1"/>
  <c r="E9099" i="1"/>
  <c r="F9099" i="1"/>
  <c r="G9099" i="1"/>
  <c r="H9099" i="1"/>
  <c r="A9100" i="1"/>
  <c r="B9100" i="1"/>
  <c r="C9100" i="1"/>
  <c r="D9100" i="1"/>
  <c r="E9100" i="1"/>
  <c r="F9100" i="1"/>
  <c r="G9100" i="1"/>
  <c r="H9100" i="1"/>
  <c r="A9101" i="1"/>
  <c r="B9101" i="1"/>
  <c r="C9101" i="1"/>
  <c r="D9101" i="1"/>
  <c r="E9101" i="1"/>
  <c r="F9101" i="1"/>
  <c r="G9101" i="1"/>
  <c r="H9101" i="1"/>
  <c r="A9102" i="1"/>
  <c r="B9102" i="1"/>
  <c r="C9102" i="1"/>
  <c r="D9102" i="1"/>
  <c r="E9102" i="1"/>
  <c r="F9102" i="1"/>
  <c r="G9102" i="1"/>
  <c r="H9102" i="1"/>
  <c r="A9103" i="1"/>
  <c r="B9103" i="1"/>
  <c r="C9103" i="1"/>
  <c r="D9103" i="1"/>
  <c r="E9103" i="1"/>
  <c r="F9103" i="1"/>
  <c r="G9103" i="1"/>
  <c r="H9103" i="1"/>
  <c r="A9104" i="1"/>
  <c r="B9104" i="1"/>
  <c r="C9104" i="1"/>
  <c r="D9104" i="1"/>
  <c r="E9104" i="1"/>
  <c r="F9104" i="1"/>
  <c r="G9104" i="1"/>
  <c r="H9104" i="1"/>
  <c r="A9105" i="1"/>
  <c r="B9105" i="1"/>
  <c r="C9105" i="1"/>
  <c r="D9105" i="1"/>
  <c r="E9105" i="1"/>
  <c r="F9105" i="1"/>
  <c r="G9105" i="1"/>
  <c r="H9105" i="1"/>
  <c r="A9106" i="1"/>
  <c r="B9106" i="1"/>
  <c r="C9106" i="1"/>
  <c r="D9106" i="1"/>
  <c r="E9106" i="1"/>
  <c r="F9106" i="1"/>
  <c r="G9106" i="1"/>
  <c r="H9106" i="1"/>
  <c r="A9107" i="1"/>
  <c r="B9107" i="1"/>
  <c r="C9107" i="1"/>
  <c r="D9107" i="1"/>
  <c r="E9107" i="1"/>
  <c r="F9107" i="1"/>
  <c r="G9107" i="1"/>
  <c r="H9107" i="1"/>
  <c r="A9108" i="1"/>
  <c r="B9108" i="1"/>
  <c r="C9108" i="1"/>
  <c r="D9108" i="1"/>
  <c r="E9108" i="1"/>
  <c r="F9108" i="1"/>
  <c r="G9108" i="1"/>
  <c r="H9108" i="1"/>
  <c r="A9109" i="1"/>
  <c r="B9109" i="1"/>
  <c r="C9109" i="1"/>
  <c r="D9109" i="1"/>
  <c r="E9109" i="1"/>
  <c r="F9109" i="1"/>
  <c r="G9109" i="1"/>
  <c r="H9109" i="1"/>
  <c r="A9110" i="1"/>
  <c r="B9110" i="1"/>
  <c r="C9110" i="1"/>
  <c r="D9110" i="1"/>
  <c r="E9110" i="1"/>
  <c r="F9110" i="1"/>
  <c r="G9110" i="1"/>
  <c r="H9110" i="1"/>
  <c r="A9111" i="1"/>
  <c r="B9111" i="1"/>
  <c r="C9111" i="1"/>
  <c r="D9111" i="1"/>
  <c r="E9111" i="1"/>
  <c r="F9111" i="1"/>
  <c r="G9111" i="1"/>
  <c r="H9111" i="1"/>
  <c r="A9112" i="1"/>
  <c r="B9112" i="1"/>
  <c r="C9112" i="1"/>
  <c r="D9112" i="1"/>
  <c r="E9112" i="1"/>
  <c r="F9112" i="1"/>
  <c r="G9112" i="1"/>
  <c r="H9112" i="1"/>
  <c r="A9113" i="1"/>
  <c r="B9113" i="1"/>
  <c r="C9113" i="1"/>
  <c r="D9113" i="1"/>
  <c r="E9113" i="1"/>
  <c r="F9113" i="1"/>
  <c r="G9113" i="1"/>
  <c r="H9113" i="1"/>
  <c r="A9114" i="1"/>
  <c r="B9114" i="1"/>
  <c r="C9114" i="1"/>
  <c r="D9114" i="1"/>
  <c r="E9114" i="1"/>
  <c r="F9114" i="1"/>
  <c r="G9114" i="1"/>
  <c r="H9114" i="1"/>
  <c r="A9115" i="1"/>
  <c r="B9115" i="1"/>
  <c r="C9115" i="1"/>
  <c r="D9115" i="1"/>
  <c r="E9115" i="1"/>
  <c r="F9115" i="1"/>
  <c r="G9115" i="1"/>
  <c r="H9115" i="1"/>
  <c r="A9116" i="1"/>
  <c r="B9116" i="1"/>
  <c r="C9116" i="1"/>
  <c r="D9116" i="1"/>
  <c r="E9116" i="1"/>
  <c r="F9116" i="1"/>
  <c r="G9116" i="1"/>
  <c r="H9116" i="1"/>
  <c r="A9117" i="1"/>
  <c r="B9117" i="1"/>
  <c r="C9117" i="1"/>
  <c r="D9117" i="1"/>
  <c r="E9117" i="1"/>
  <c r="F9117" i="1"/>
  <c r="G9117" i="1"/>
  <c r="H9117" i="1"/>
  <c r="A9118" i="1"/>
  <c r="B9118" i="1"/>
  <c r="C9118" i="1"/>
  <c r="D9118" i="1"/>
  <c r="E9118" i="1"/>
  <c r="F9118" i="1"/>
  <c r="G9118" i="1"/>
  <c r="H9118" i="1"/>
  <c r="A9119" i="1"/>
  <c r="B9119" i="1"/>
  <c r="C9119" i="1"/>
  <c r="D9119" i="1"/>
  <c r="E9119" i="1"/>
  <c r="F9119" i="1"/>
  <c r="G9119" i="1"/>
  <c r="H9119" i="1"/>
  <c r="A9120" i="1"/>
  <c r="B9120" i="1"/>
  <c r="C9120" i="1"/>
  <c r="D9120" i="1"/>
  <c r="E9120" i="1"/>
  <c r="F9120" i="1"/>
  <c r="G9120" i="1"/>
  <c r="H9120" i="1"/>
  <c r="A9121" i="1"/>
  <c r="B9121" i="1"/>
  <c r="C9121" i="1"/>
  <c r="D9121" i="1"/>
  <c r="E9121" i="1"/>
  <c r="F9121" i="1"/>
  <c r="G9121" i="1"/>
  <c r="H9121" i="1"/>
  <c r="A9122" i="1"/>
  <c r="B9122" i="1"/>
  <c r="C9122" i="1"/>
  <c r="D9122" i="1"/>
  <c r="E9122" i="1"/>
  <c r="F9122" i="1"/>
  <c r="G9122" i="1"/>
  <c r="H9122" i="1"/>
  <c r="A9123" i="1"/>
  <c r="B9123" i="1"/>
  <c r="C9123" i="1"/>
  <c r="D9123" i="1"/>
  <c r="E9123" i="1"/>
  <c r="F9123" i="1"/>
  <c r="G9123" i="1"/>
  <c r="H9123" i="1"/>
  <c r="A9124" i="1"/>
  <c r="B9124" i="1"/>
  <c r="C9124" i="1"/>
  <c r="D9124" i="1"/>
  <c r="E9124" i="1"/>
  <c r="F9124" i="1"/>
  <c r="G9124" i="1"/>
  <c r="H9124" i="1"/>
  <c r="A9125" i="1"/>
  <c r="B9125" i="1"/>
  <c r="C9125" i="1"/>
  <c r="D9125" i="1"/>
  <c r="E9125" i="1"/>
  <c r="F9125" i="1"/>
  <c r="G9125" i="1"/>
  <c r="H9125" i="1"/>
  <c r="A9126" i="1"/>
  <c r="B9126" i="1"/>
  <c r="C9126" i="1"/>
  <c r="D9126" i="1"/>
  <c r="E9126" i="1"/>
  <c r="F9126" i="1"/>
  <c r="G9126" i="1"/>
  <c r="H9126" i="1"/>
  <c r="A9127" i="1"/>
  <c r="B9127" i="1"/>
  <c r="C9127" i="1"/>
  <c r="D9127" i="1"/>
  <c r="E9127" i="1"/>
  <c r="F9127" i="1"/>
  <c r="G9127" i="1"/>
  <c r="H9127" i="1"/>
  <c r="A9128" i="1"/>
  <c r="B9128" i="1"/>
  <c r="C9128" i="1"/>
  <c r="D9128" i="1"/>
  <c r="E9128" i="1"/>
  <c r="F9128" i="1"/>
  <c r="G9128" i="1"/>
  <c r="H9128" i="1"/>
  <c r="A9129" i="1"/>
  <c r="B9129" i="1"/>
  <c r="C9129" i="1"/>
  <c r="D9129" i="1"/>
  <c r="E9129" i="1"/>
  <c r="F9129" i="1"/>
  <c r="G9129" i="1"/>
  <c r="H9129" i="1"/>
  <c r="A9130" i="1"/>
  <c r="B9130" i="1"/>
  <c r="C9130" i="1"/>
  <c r="D9130" i="1"/>
  <c r="E9130" i="1"/>
  <c r="F9130" i="1"/>
  <c r="G9130" i="1"/>
  <c r="H9130" i="1"/>
  <c r="A9131" i="1"/>
  <c r="B9131" i="1"/>
  <c r="C9131" i="1"/>
  <c r="D9131" i="1"/>
  <c r="E9131" i="1"/>
  <c r="F9131" i="1"/>
  <c r="G9131" i="1"/>
  <c r="H9131" i="1"/>
  <c r="A9132" i="1"/>
  <c r="B9132" i="1"/>
  <c r="C9132" i="1"/>
  <c r="D9132" i="1"/>
  <c r="E9132" i="1"/>
  <c r="F9132" i="1"/>
  <c r="G9132" i="1"/>
  <c r="H9132" i="1"/>
  <c r="A9133" i="1"/>
  <c r="B9133" i="1"/>
  <c r="C9133" i="1"/>
  <c r="D9133" i="1"/>
  <c r="E9133" i="1"/>
  <c r="F9133" i="1"/>
  <c r="G9133" i="1"/>
  <c r="H9133" i="1"/>
  <c r="A9134" i="1"/>
  <c r="B9134" i="1"/>
  <c r="C9134" i="1"/>
  <c r="D9134" i="1"/>
  <c r="E9134" i="1"/>
  <c r="F9134" i="1"/>
  <c r="G9134" i="1"/>
  <c r="H9134" i="1"/>
  <c r="A9135" i="1"/>
  <c r="B9135" i="1"/>
  <c r="C9135" i="1"/>
  <c r="D9135" i="1"/>
  <c r="E9135" i="1"/>
  <c r="F9135" i="1"/>
  <c r="G9135" i="1"/>
  <c r="H9135" i="1"/>
  <c r="A9136" i="1"/>
  <c r="B9136" i="1"/>
  <c r="C9136" i="1"/>
  <c r="D9136" i="1"/>
  <c r="E9136" i="1"/>
  <c r="F9136" i="1"/>
  <c r="G9136" i="1"/>
  <c r="H9136" i="1"/>
  <c r="A9137" i="1"/>
  <c r="B9137" i="1"/>
  <c r="C9137" i="1"/>
  <c r="D9137" i="1"/>
  <c r="E9137" i="1"/>
  <c r="F9137" i="1"/>
  <c r="G9137" i="1"/>
  <c r="H9137" i="1"/>
  <c r="A9138" i="1"/>
  <c r="B9138" i="1"/>
  <c r="C9138" i="1"/>
  <c r="D9138" i="1"/>
  <c r="E9138" i="1"/>
  <c r="F9138" i="1"/>
  <c r="G9138" i="1"/>
  <c r="H9138" i="1"/>
  <c r="A9139" i="1"/>
  <c r="B9139" i="1"/>
  <c r="C9139" i="1"/>
  <c r="D9139" i="1"/>
  <c r="E9139" i="1"/>
  <c r="F9139" i="1"/>
  <c r="G9139" i="1"/>
  <c r="H9139" i="1"/>
  <c r="A9140" i="1"/>
  <c r="B9140" i="1"/>
  <c r="C9140" i="1"/>
  <c r="D9140" i="1"/>
  <c r="E9140" i="1"/>
  <c r="F9140" i="1"/>
  <c r="G9140" i="1"/>
  <c r="H9140" i="1"/>
  <c r="A9141" i="1"/>
  <c r="B9141" i="1"/>
  <c r="C9141" i="1"/>
  <c r="D9141" i="1"/>
  <c r="E9141" i="1"/>
  <c r="F9141" i="1"/>
  <c r="G9141" i="1"/>
  <c r="H9141" i="1"/>
  <c r="A9142" i="1"/>
  <c r="B9142" i="1"/>
  <c r="C9142" i="1"/>
  <c r="D9142" i="1"/>
  <c r="E9142" i="1"/>
  <c r="F9142" i="1"/>
  <c r="G9142" i="1"/>
  <c r="H9142" i="1"/>
  <c r="A9143" i="1"/>
  <c r="B9143" i="1"/>
  <c r="C9143" i="1"/>
  <c r="D9143" i="1"/>
  <c r="E9143" i="1"/>
  <c r="F9143" i="1"/>
  <c r="G9143" i="1"/>
  <c r="H9143" i="1"/>
  <c r="A9144" i="1"/>
  <c r="B9144" i="1"/>
  <c r="C9144" i="1"/>
  <c r="D9144" i="1"/>
  <c r="E9144" i="1"/>
  <c r="F9144" i="1"/>
  <c r="G9144" i="1"/>
  <c r="H9144" i="1"/>
  <c r="A9145" i="1"/>
  <c r="B9145" i="1"/>
  <c r="C9145" i="1"/>
  <c r="D9145" i="1"/>
  <c r="E9145" i="1"/>
  <c r="F9145" i="1"/>
  <c r="G9145" i="1"/>
  <c r="H9145" i="1"/>
  <c r="A9146" i="1"/>
  <c r="B9146" i="1"/>
  <c r="C9146" i="1"/>
  <c r="D9146" i="1"/>
  <c r="E9146" i="1"/>
  <c r="F9146" i="1"/>
  <c r="G9146" i="1"/>
  <c r="H9146" i="1"/>
  <c r="A9147" i="1"/>
  <c r="B9147" i="1"/>
  <c r="C9147" i="1"/>
  <c r="D9147" i="1"/>
  <c r="E9147" i="1"/>
  <c r="F9147" i="1"/>
  <c r="G9147" i="1"/>
  <c r="H9147" i="1"/>
  <c r="A9148" i="1"/>
  <c r="B9148" i="1"/>
  <c r="C9148" i="1"/>
  <c r="D9148" i="1"/>
  <c r="E9148" i="1"/>
  <c r="F9148" i="1"/>
  <c r="G9148" i="1"/>
  <c r="H9148" i="1"/>
  <c r="A9149" i="1"/>
  <c r="B9149" i="1"/>
  <c r="C9149" i="1"/>
  <c r="D9149" i="1"/>
  <c r="E9149" i="1"/>
  <c r="F9149" i="1"/>
  <c r="G9149" i="1"/>
  <c r="H9149" i="1"/>
  <c r="A9150" i="1"/>
  <c r="B9150" i="1"/>
  <c r="C9150" i="1"/>
  <c r="D9150" i="1"/>
  <c r="E9150" i="1"/>
  <c r="F9150" i="1"/>
  <c r="G9150" i="1"/>
  <c r="H9150" i="1"/>
  <c r="A9151" i="1"/>
  <c r="B9151" i="1"/>
  <c r="C9151" i="1"/>
  <c r="D9151" i="1"/>
  <c r="E9151" i="1"/>
  <c r="F9151" i="1"/>
  <c r="G9151" i="1"/>
  <c r="H9151" i="1"/>
  <c r="A9152" i="1"/>
  <c r="B9152" i="1"/>
  <c r="C9152" i="1"/>
  <c r="D9152" i="1"/>
  <c r="E9152" i="1"/>
  <c r="F9152" i="1"/>
  <c r="G9152" i="1"/>
  <c r="H9152" i="1"/>
  <c r="A9153" i="1"/>
  <c r="B9153" i="1"/>
  <c r="C9153" i="1"/>
  <c r="D9153" i="1"/>
  <c r="E9153" i="1"/>
  <c r="F9153" i="1"/>
  <c r="G9153" i="1"/>
  <c r="H9153" i="1"/>
  <c r="A9154" i="1"/>
  <c r="B9154" i="1"/>
  <c r="C9154" i="1"/>
  <c r="D9154" i="1"/>
  <c r="E9154" i="1"/>
  <c r="F9154" i="1"/>
  <c r="G9154" i="1"/>
  <c r="H9154" i="1"/>
  <c r="A9155" i="1"/>
  <c r="B9155" i="1"/>
  <c r="C9155" i="1"/>
  <c r="D9155" i="1"/>
  <c r="E9155" i="1"/>
  <c r="F9155" i="1"/>
  <c r="G9155" i="1"/>
  <c r="H9155" i="1"/>
  <c r="A9156" i="1"/>
  <c r="B9156" i="1"/>
  <c r="C9156" i="1"/>
  <c r="D9156" i="1"/>
  <c r="E9156" i="1"/>
  <c r="F9156" i="1"/>
  <c r="G9156" i="1"/>
  <c r="H9156" i="1"/>
  <c r="A9157" i="1"/>
  <c r="B9157" i="1"/>
  <c r="C9157" i="1"/>
  <c r="D9157" i="1"/>
  <c r="E9157" i="1"/>
  <c r="F9157" i="1"/>
  <c r="G9157" i="1"/>
  <c r="H9157" i="1"/>
  <c r="A9158" i="1"/>
  <c r="B9158" i="1"/>
  <c r="C9158" i="1"/>
  <c r="D9158" i="1"/>
  <c r="E9158" i="1"/>
  <c r="F9158" i="1"/>
  <c r="G9158" i="1"/>
  <c r="H9158" i="1"/>
  <c r="A9159" i="1"/>
  <c r="B9159" i="1"/>
  <c r="C9159" i="1"/>
  <c r="D9159" i="1"/>
  <c r="E9159" i="1"/>
  <c r="F9159" i="1"/>
  <c r="G9159" i="1"/>
  <c r="H9159" i="1"/>
  <c r="A9160" i="1"/>
  <c r="B9160" i="1"/>
  <c r="C9160" i="1"/>
  <c r="D9160" i="1"/>
  <c r="E9160" i="1"/>
  <c r="F9160" i="1"/>
  <c r="G9160" i="1"/>
  <c r="H9160" i="1"/>
  <c r="A9161" i="1"/>
  <c r="B9161" i="1"/>
  <c r="C9161" i="1"/>
  <c r="D9161" i="1"/>
  <c r="E9161" i="1"/>
  <c r="F9161" i="1"/>
  <c r="G9161" i="1"/>
  <c r="H9161" i="1"/>
  <c r="A9162" i="1"/>
  <c r="B9162" i="1"/>
  <c r="C9162" i="1"/>
  <c r="D9162" i="1"/>
  <c r="E9162" i="1"/>
  <c r="F9162" i="1"/>
  <c r="G9162" i="1"/>
  <c r="H9162" i="1"/>
  <c r="A9163" i="1"/>
  <c r="B9163" i="1"/>
  <c r="C9163" i="1"/>
  <c r="D9163" i="1"/>
  <c r="E9163" i="1"/>
  <c r="F9163" i="1"/>
  <c r="G9163" i="1"/>
  <c r="H9163" i="1"/>
  <c r="A9164" i="1"/>
  <c r="B9164" i="1"/>
  <c r="C9164" i="1"/>
  <c r="D9164" i="1"/>
  <c r="E9164" i="1"/>
  <c r="F9164" i="1"/>
  <c r="G9164" i="1"/>
  <c r="H9164" i="1"/>
  <c r="A9165" i="1"/>
  <c r="B9165" i="1"/>
  <c r="C9165" i="1"/>
  <c r="D9165" i="1"/>
  <c r="E9165" i="1"/>
  <c r="F9165" i="1"/>
  <c r="G9165" i="1"/>
  <c r="H9165" i="1"/>
  <c r="A9166" i="1"/>
  <c r="B9166" i="1"/>
  <c r="C9166" i="1"/>
  <c r="D9166" i="1"/>
  <c r="E9166" i="1"/>
  <c r="F9166" i="1"/>
  <c r="G9166" i="1"/>
  <c r="H9166" i="1"/>
  <c r="A9167" i="1"/>
  <c r="B9167" i="1"/>
  <c r="C9167" i="1"/>
  <c r="D9167" i="1"/>
  <c r="E9167" i="1"/>
  <c r="F9167" i="1"/>
  <c r="G9167" i="1"/>
  <c r="H9167" i="1"/>
  <c r="A9168" i="1"/>
  <c r="B9168" i="1"/>
  <c r="C9168" i="1"/>
  <c r="D9168" i="1"/>
  <c r="E9168" i="1"/>
  <c r="F9168" i="1"/>
  <c r="G9168" i="1"/>
  <c r="H9168" i="1"/>
  <c r="A9169" i="1"/>
  <c r="B9169" i="1"/>
  <c r="C9169" i="1"/>
  <c r="D9169" i="1"/>
  <c r="E9169" i="1"/>
  <c r="F9169" i="1"/>
  <c r="G9169" i="1"/>
  <c r="H9169" i="1"/>
  <c r="A9170" i="1"/>
  <c r="B9170" i="1"/>
  <c r="C9170" i="1"/>
  <c r="D9170" i="1"/>
  <c r="E9170" i="1"/>
  <c r="F9170" i="1"/>
  <c r="G9170" i="1"/>
  <c r="H9170" i="1"/>
  <c r="A9171" i="1"/>
  <c r="B9171" i="1"/>
  <c r="C9171" i="1"/>
  <c r="D9171" i="1"/>
  <c r="E9171" i="1"/>
  <c r="F9171" i="1"/>
  <c r="G9171" i="1"/>
  <c r="H9171" i="1"/>
  <c r="A9172" i="1"/>
  <c r="B9172" i="1"/>
  <c r="C9172" i="1"/>
  <c r="D9172" i="1"/>
  <c r="E9172" i="1"/>
  <c r="F9172" i="1"/>
  <c r="G9172" i="1"/>
  <c r="H9172" i="1"/>
  <c r="A9173" i="1"/>
  <c r="B9173" i="1"/>
  <c r="C9173" i="1"/>
  <c r="D9173" i="1"/>
  <c r="E9173" i="1"/>
  <c r="F9173" i="1"/>
  <c r="G9173" i="1"/>
  <c r="H9173" i="1"/>
  <c r="A9174" i="1"/>
  <c r="B9174" i="1"/>
  <c r="C9174" i="1"/>
  <c r="D9174" i="1"/>
  <c r="E9174" i="1"/>
  <c r="F9174" i="1"/>
  <c r="G9174" i="1"/>
  <c r="H9174" i="1"/>
  <c r="A9175" i="1"/>
  <c r="B9175" i="1"/>
  <c r="C9175" i="1"/>
  <c r="D9175" i="1"/>
  <c r="E9175" i="1"/>
  <c r="F9175" i="1"/>
  <c r="G9175" i="1"/>
  <c r="H9175" i="1"/>
  <c r="A9176" i="1"/>
  <c r="B9176" i="1"/>
  <c r="C9176" i="1"/>
  <c r="D9176" i="1"/>
  <c r="E9176" i="1"/>
  <c r="F9176" i="1"/>
  <c r="G9176" i="1"/>
  <c r="H9176" i="1"/>
  <c r="A9177" i="1"/>
  <c r="B9177" i="1"/>
  <c r="C9177" i="1"/>
  <c r="D9177" i="1"/>
  <c r="E9177" i="1"/>
  <c r="F9177" i="1"/>
  <c r="G9177" i="1"/>
  <c r="H9177" i="1"/>
  <c r="A9178" i="1"/>
  <c r="B9178" i="1"/>
  <c r="C9178" i="1"/>
  <c r="D9178" i="1"/>
  <c r="E9178" i="1"/>
  <c r="F9178" i="1"/>
  <c r="G9178" i="1"/>
  <c r="H9178" i="1"/>
  <c r="A9179" i="1"/>
  <c r="B9179" i="1"/>
  <c r="C9179" i="1"/>
  <c r="D9179" i="1"/>
  <c r="E9179" i="1"/>
  <c r="F9179" i="1"/>
  <c r="G9179" i="1"/>
  <c r="H9179" i="1"/>
  <c r="A9180" i="1"/>
  <c r="B9180" i="1"/>
  <c r="C9180" i="1"/>
  <c r="D9180" i="1"/>
  <c r="E9180" i="1"/>
  <c r="F9180" i="1"/>
  <c r="G9180" i="1"/>
  <c r="H9180" i="1"/>
  <c r="A9181" i="1"/>
  <c r="B9181" i="1"/>
  <c r="C9181" i="1"/>
  <c r="D9181" i="1"/>
  <c r="E9181" i="1"/>
  <c r="F9181" i="1"/>
  <c r="G9181" i="1"/>
  <c r="H9181" i="1"/>
  <c r="A9182" i="1"/>
  <c r="B9182" i="1"/>
  <c r="C9182" i="1"/>
  <c r="D9182" i="1"/>
  <c r="E9182" i="1"/>
  <c r="F9182" i="1"/>
  <c r="G9182" i="1"/>
  <c r="H9182" i="1"/>
  <c r="A9183" i="1"/>
  <c r="B9183" i="1"/>
  <c r="C9183" i="1"/>
  <c r="D9183" i="1"/>
  <c r="E9183" i="1"/>
  <c r="F9183" i="1"/>
  <c r="G9183" i="1"/>
  <c r="H9183" i="1"/>
  <c r="A9184" i="1"/>
  <c r="B9184" i="1"/>
  <c r="C9184" i="1"/>
  <c r="D9184" i="1"/>
  <c r="E9184" i="1"/>
  <c r="F9184" i="1"/>
  <c r="G9184" i="1"/>
  <c r="H9184" i="1"/>
  <c r="A9185" i="1"/>
  <c r="B9185" i="1"/>
  <c r="C9185" i="1"/>
  <c r="D9185" i="1"/>
  <c r="E9185" i="1"/>
  <c r="F9185" i="1"/>
  <c r="G9185" i="1"/>
  <c r="H9185" i="1"/>
  <c r="A9186" i="1"/>
  <c r="B9186" i="1"/>
  <c r="C9186" i="1"/>
  <c r="D9186" i="1"/>
  <c r="E9186" i="1"/>
  <c r="F9186" i="1"/>
  <c r="G9186" i="1"/>
  <c r="H9186" i="1"/>
  <c r="A9187" i="1"/>
  <c r="B9187" i="1"/>
  <c r="C9187" i="1"/>
  <c r="D9187" i="1"/>
  <c r="E9187" i="1"/>
  <c r="F9187" i="1"/>
  <c r="G9187" i="1"/>
  <c r="H9187" i="1"/>
  <c r="A9188" i="1"/>
  <c r="B9188" i="1"/>
  <c r="C9188" i="1"/>
  <c r="D9188" i="1"/>
  <c r="E9188" i="1"/>
  <c r="F9188" i="1"/>
  <c r="G9188" i="1"/>
  <c r="H9188" i="1"/>
  <c r="A9189" i="1"/>
  <c r="B9189" i="1"/>
  <c r="C9189" i="1"/>
  <c r="D9189" i="1"/>
  <c r="E9189" i="1"/>
  <c r="F9189" i="1"/>
  <c r="G9189" i="1"/>
  <c r="H9189" i="1"/>
  <c r="A9190" i="1"/>
  <c r="B9190" i="1"/>
  <c r="C9190" i="1"/>
  <c r="D9190" i="1"/>
  <c r="E9190" i="1"/>
  <c r="F9190" i="1"/>
  <c r="G9190" i="1"/>
  <c r="H9190" i="1"/>
  <c r="A9191" i="1"/>
  <c r="B9191" i="1"/>
  <c r="C9191" i="1"/>
  <c r="D9191" i="1"/>
  <c r="E9191" i="1"/>
  <c r="F9191" i="1"/>
  <c r="G9191" i="1"/>
  <c r="H9191" i="1"/>
  <c r="A9192" i="1"/>
  <c r="B9192" i="1"/>
  <c r="C9192" i="1"/>
  <c r="D9192" i="1"/>
  <c r="E9192" i="1"/>
  <c r="F9192" i="1"/>
  <c r="G9192" i="1"/>
  <c r="H9192" i="1"/>
  <c r="A9193" i="1"/>
  <c r="B9193" i="1"/>
  <c r="C9193" i="1"/>
  <c r="D9193" i="1"/>
  <c r="E9193" i="1"/>
  <c r="F9193" i="1"/>
  <c r="G9193" i="1"/>
  <c r="H9193" i="1"/>
  <c r="A9194" i="1"/>
  <c r="B9194" i="1"/>
  <c r="C9194" i="1"/>
  <c r="D9194" i="1"/>
  <c r="E9194" i="1"/>
  <c r="F9194" i="1"/>
  <c r="G9194" i="1"/>
  <c r="H9194" i="1"/>
  <c r="A9195" i="1"/>
  <c r="B9195" i="1"/>
  <c r="C9195" i="1"/>
  <c r="D9195" i="1"/>
  <c r="E9195" i="1"/>
  <c r="F9195" i="1"/>
  <c r="G9195" i="1"/>
  <c r="H9195" i="1"/>
  <c r="A9196" i="1"/>
  <c r="B9196" i="1"/>
  <c r="C9196" i="1"/>
  <c r="D9196" i="1"/>
  <c r="E9196" i="1"/>
  <c r="F9196" i="1"/>
  <c r="G9196" i="1"/>
  <c r="H9196" i="1"/>
  <c r="A9197" i="1"/>
  <c r="B9197" i="1"/>
  <c r="C9197" i="1"/>
  <c r="D9197" i="1"/>
  <c r="E9197" i="1"/>
  <c r="F9197" i="1"/>
  <c r="G9197" i="1"/>
  <c r="H9197" i="1"/>
  <c r="A9198" i="1"/>
  <c r="B9198" i="1"/>
  <c r="C9198" i="1"/>
  <c r="D9198" i="1"/>
  <c r="E9198" i="1"/>
  <c r="F9198" i="1"/>
  <c r="G9198" i="1"/>
  <c r="H9198" i="1"/>
  <c r="A9199" i="1"/>
  <c r="B9199" i="1"/>
  <c r="C9199" i="1"/>
  <c r="D9199" i="1"/>
  <c r="E9199" i="1"/>
  <c r="F9199" i="1"/>
  <c r="G9199" i="1"/>
  <c r="H9199" i="1"/>
  <c r="A9200" i="1"/>
  <c r="B9200" i="1"/>
  <c r="C9200" i="1"/>
  <c r="D9200" i="1"/>
  <c r="E9200" i="1"/>
  <c r="F9200" i="1"/>
  <c r="G9200" i="1"/>
  <c r="H9200" i="1"/>
  <c r="A9201" i="1"/>
  <c r="B9201" i="1"/>
  <c r="C9201" i="1"/>
  <c r="D9201" i="1"/>
  <c r="E9201" i="1"/>
  <c r="F9201" i="1"/>
  <c r="G9201" i="1"/>
  <c r="H9201" i="1"/>
  <c r="A9202" i="1"/>
  <c r="B9202" i="1"/>
  <c r="C9202" i="1"/>
  <c r="D9202" i="1"/>
  <c r="E9202" i="1"/>
  <c r="F9202" i="1"/>
  <c r="G9202" i="1"/>
  <c r="H9202" i="1"/>
  <c r="A9203" i="1"/>
  <c r="B9203" i="1"/>
  <c r="C9203" i="1"/>
  <c r="D9203" i="1"/>
  <c r="E9203" i="1"/>
  <c r="F9203" i="1"/>
  <c r="G9203" i="1"/>
  <c r="H9203" i="1"/>
  <c r="A9204" i="1"/>
  <c r="B9204" i="1"/>
  <c r="C9204" i="1"/>
  <c r="D9204" i="1"/>
  <c r="E9204" i="1"/>
  <c r="F9204" i="1"/>
  <c r="G9204" i="1"/>
  <c r="H9204" i="1"/>
  <c r="A9205" i="1"/>
  <c r="B9205" i="1"/>
  <c r="C9205" i="1"/>
  <c r="D9205" i="1"/>
  <c r="E9205" i="1"/>
  <c r="F9205" i="1"/>
  <c r="G9205" i="1"/>
  <c r="H9205" i="1"/>
  <c r="A9206" i="1"/>
  <c r="B9206" i="1"/>
  <c r="C9206" i="1"/>
  <c r="D9206" i="1"/>
  <c r="E9206" i="1"/>
  <c r="F9206" i="1"/>
  <c r="G9206" i="1"/>
  <c r="H9206" i="1"/>
  <c r="A9207" i="1"/>
  <c r="B9207" i="1"/>
  <c r="C9207" i="1"/>
  <c r="D9207" i="1"/>
  <c r="E9207" i="1"/>
  <c r="F9207" i="1"/>
  <c r="G9207" i="1"/>
  <c r="H9207" i="1"/>
  <c r="A9208" i="1"/>
  <c r="B9208" i="1"/>
  <c r="C9208" i="1"/>
  <c r="D9208" i="1"/>
  <c r="E9208" i="1"/>
  <c r="F9208" i="1"/>
  <c r="G9208" i="1"/>
  <c r="H9208" i="1"/>
  <c r="A9209" i="1"/>
  <c r="B9209" i="1"/>
  <c r="C9209" i="1"/>
  <c r="D9209" i="1"/>
  <c r="E9209" i="1"/>
  <c r="F9209" i="1"/>
  <c r="G9209" i="1"/>
  <c r="H9209" i="1"/>
  <c r="A9210" i="1"/>
  <c r="B9210" i="1"/>
  <c r="C9210" i="1"/>
  <c r="D9210" i="1"/>
  <c r="E9210" i="1"/>
  <c r="F9210" i="1"/>
  <c r="G9210" i="1"/>
  <c r="H9210" i="1"/>
  <c r="A9211" i="1"/>
  <c r="B9211" i="1"/>
  <c r="C9211" i="1"/>
  <c r="D9211" i="1"/>
  <c r="E9211" i="1"/>
  <c r="F9211" i="1"/>
  <c r="G9211" i="1"/>
  <c r="H9211" i="1"/>
  <c r="A9212" i="1"/>
  <c r="B9212" i="1"/>
  <c r="C9212" i="1"/>
  <c r="D9212" i="1"/>
  <c r="E9212" i="1"/>
  <c r="F9212" i="1"/>
  <c r="G9212" i="1"/>
  <c r="H9212" i="1"/>
  <c r="A9213" i="1"/>
  <c r="B9213" i="1"/>
  <c r="C9213" i="1"/>
  <c r="D9213" i="1"/>
  <c r="E9213" i="1"/>
  <c r="F9213" i="1"/>
  <c r="G9213" i="1"/>
  <c r="H9213" i="1"/>
  <c r="A9214" i="1"/>
  <c r="B9214" i="1"/>
  <c r="C9214" i="1"/>
  <c r="D9214" i="1"/>
  <c r="E9214" i="1"/>
  <c r="F9214" i="1"/>
  <c r="G9214" i="1"/>
  <c r="H9214" i="1"/>
  <c r="A9215" i="1"/>
  <c r="B9215" i="1"/>
  <c r="C9215" i="1"/>
  <c r="D9215" i="1"/>
  <c r="E9215" i="1"/>
  <c r="F9215" i="1"/>
  <c r="G9215" i="1"/>
  <c r="H9215" i="1"/>
  <c r="A9216" i="1"/>
  <c r="B9216" i="1"/>
  <c r="C9216" i="1"/>
  <c r="D9216" i="1"/>
  <c r="E9216" i="1"/>
  <c r="F9216" i="1"/>
  <c r="G9216" i="1"/>
  <c r="H9216" i="1"/>
  <c r="A9217" i="1"/>
  <c r="B9217" i="1"/>
  <c r="C9217" i="1"/>
  <c r="D9217" i="1"/>
  <c r="E9217" i="1"/>
  <c r="F9217" i="1"/>
  <c r="G9217" i="1"/>
  <c r="H9217" i="1"/>
  <c r="A9218" i="1"/>
  <c r="B9218" i="1"/>
  <c r="C9218" i="1"/>
  <c r="D9218" i="1"/>
  <c r="E9218" i="1"/>
  <c r="F9218" i="1"/>
  <c r="G9218" i="1"/>
  <c r="H9218" i="1"/>
  <c r="A9219" i="1"/>
  <c r="B9219" i="1"/>
  <c r="C9219" i="1"/>
  <c r="D9219" i="1"/>
  <c r="E9219" i="1"/>
  <c r="F9219" i="1"/>
  <c r="G9219" i="1"/>
  <c r="H9219" i="1"/>
  <c r="A9220" i="1"/>
  <c r="B9220" i="1"/>
  <c r="C9220" i="1"/>
  <c r="D9220" i="1"/>
  <c r="E9220" i="1"/>
  <c r="F9220" i="1"/>
  <c r="G9220" i="1"/>
  <c r="H9220" i="1"/>
  <c r="A9221" i="1"/>
  <c r="B9221" i="1"/>
  <c r="C9221" i="1"/>
  <c r="D9221" i="1"/>
  <c r="E9221" i="1"/>
  <c r="F9221" i="1"/>
  <c r="G9221" i="1"/>
  <c r="H9221" i="1"/>
  <c r="A9222" i="1"/>
  <c r="B9222" i="1"/>
  <c r="C9222" i="1"/>
  <c r="D9222" i="1"/>
  <c r="E9222" i="1"/>
  <c r="F9222" i="1"/>
  <c r="G9222" i="1"/>
  <c r="H9222" i="1"/>
  <c r="A9223" i="1"/>
  <c r="B9223" i="1"/>
  <c r="C9223" i="1"/>
  <c r="D9223" i="1"/>
  <c r="E9223" i="1"/>
  <c r="F9223" i="1"/>
  <c r="G9223" i="1"/>
  <c r="H9223" i="1"/>
  <c r="A9224" i="1"/>
  <c r="B9224" i="1"/>
  <c r="C9224" i="1"/>
  <c r="D9224" i="1"/>
  <c r="E9224" i="1"/>
  <c r="F9224" i="1"/>
  <c r="G9224" i="1"/>
  <c r="H9224" i="1"/>
  <c r="A9225" i="1"/>
  <c r="B9225" i="1"/>
  <c r="C9225" i="1"/>
  <c r="D9225" i="1"/>
  <c r="E9225" i="1"/>
  <c r="F9225" i="1"/>
  <c r="G9225" i="1"/>
  <c r="H9225" i="1"/>
  <c r="A9226" i="1"/>
  <c r="B9226" i="1"/>
  <c r="C9226" i="1"/>
  <c r="D9226" i="1"/>
  <c r="E9226" i="1"/>
  <c r="F9226" i="1"/>
  <c r="G9226" i="1"/>
  <c r="H9226" i="1"/>
  <c r="A9227" i="1"/>
  <c r="B9227" i="1"/>
  <c r="C9227" i="1"/>
  <c r="D9227" i="1"/>
  <c r="E9227" i="1"/>
  <c r="F9227" i="1"/>
  <c r="G9227" i="1"/>
  <c r="H9227" i="1"/>
  <c r="A9228" i="1"/>
  <c r="B9228" i="1"/>
  <c r="C9228" i="1"/>
  <c r="D9228" i="1"/>
  <c r="E9228" i="1"/>
  <c r="F9228" i="1"/>
  <c r="G9228" i="1"/>
  <c r="H9228" i="1"/>
  <c r="A9229" i="1"/>
  <c r="B9229" i="1"/>
  <c r="C9229" i="1"/>
  <c r="D9229" i="1"/>
  <c r="E9229" i="1"/>
  <c r="F9229" i="1"/>
  <c r="G9229" i="1"/>
  <c r="H9229" i="1"/>
  <c r="A9230" i="1"/>
  <c r="B9230" i="1"/>
  <c r="C9230" i="1"/>
  <c r="D9230" i="1"/>
  <c r="E9230" i="1"/>
  <c r="F9230" i="1"/>
  <c r="G9230" i="1"/>
  <c r="H9230" i="1"/>
  <c r="A9231" i="1"/>
  <c r="B9231" i="1"/>
  <c r="C9231" i="1"/>
  <c r="D9231" i="1"/>
  <c r="E9231" i="1"/>
  <c r="F9231" i="1"/>
  <c r="G9231" i="1"/>
  <c r="H9231" i="1"/>
  <c r="A9232" i="1"/>
  <c r="B9232" i="1"/>
  <c r="C9232" i="1"/>
  <c r="D9232" i="1"/>
  <c r="E9232" i="1"/>
  <c r="F9232" i="1"/>
  <c r="G9232" i="1"/>
  <c r="H9232" i="1"/>
  <c r="A9233" i="1"/>
  <c r="B9233" i="1"/>
  <c r="C9233" i="1"/>
  <c r="D9233" i="1"/>
  <c r="E9233" i="1"/>
  <c r="F9233" i="1"/>
  <c r="G9233" i="1"/>
  <c r="H9233" i="1"/>
  <c r="A9234" i="1"/>
  <c r="B9234" i="1"/>
  <c r="C9234" i="1"/>
  <c r="D9234" i="1"/>
  <c r="E9234" i="1"/>
  <c r="F9234" i="1"/>
  <c r="G9234" i="1"/>
  <c r="H9234" i="1"/>
  <c r="A9235" i="1"/>
  <c r="B9235" i="1"/>
  <c r="C9235" i="1"/>
  <c r="D9235" i="1"/>
  <c r="E9235" i="1"/>
  <c r="F9235" i="1"/>
  <c r="G9235" i="1"/>
  <c r="H9235" i="1"/>
  <c r="A9236" i="1"/>
  <c r="B9236" i="1"/>
  <c r="C9236" i="1"/>
  <c r="D9236" i="1"/>
  <c r="E9236" i="1"/>
  <c r="F9236" i="1"/>
  <c r="G9236" i="1"/>
  <c r="H9236" i="1"/>
  <c r="A9237" i="1"/>
  <c r="B9237" i="1"/>
  <c r="C9237" i="1"/>
  <c r="D9237" i="1"/>
  <c r="E9237" i="1"/>
  <c r="F9237" i="1"/>
  <c r="G9237" i="1"/>
  <c r="H9237" i="1"/>
  <c r="A9238" i="1"/>
  <c r="B9238" i="1"/>
  <c r="C9238" i="1"/>
  <c r="D9238" i="1"/>
  <c r="E9238" i="1"/>
  <c r="F9238" i="1"/>
  <c r="G9238" i="1"/>
  <c r="H9238" i="1"/>
  <c r="A9239" i="1"/>
  <c r="B9239" i="1"/>
  <c r="C9239" i="1"/>
  <c r="D9239" i="1"/>
  <c r="E9239" i="1"/>
  <c r="F9239" i="1"/>
  <c r="G9239" i="1"/>
  <c r="H9239" i="1"/>
  <c r="A9240" i="1"/>
  <c r="B9240" i="1"/>
  <c r="C9240" i="1"/>
  <c r="D9240" i="1"/>
  <c r="E9240" i="1"/>
  <c r="F9240" i="1"/>
  <c r="G9240" i="1"/>
  <c r="H9240" i="1"/>
  <c r="A9241" i="1"/>
  <c r="B9241" i="1"/>
  <c r="C9241" i="1"/>
  <c r="D9241" i="1"/>
  <c r="E9241" i="1"/>
  <c r="F9241" i="1"/>
  <c r="G9241" i="1"/>
  <c r="H9241" i="1"/>
  <c r="A9242" i="1"/>
  <c r="B9242" i="1"/>
  <c r="C9242" i="1"/>
  <c r="D9242" i="1"/>
  <c r="E9242" i="1"/>
  <c r="F9242" i="1"/>
  <c r="G9242" i="1"/>
  <c r="H9242" i="1"/>
  <c r="A9243" i="1"/>
  <c r="B9243" i="1"/>
  <c r="C9243" i="1"/>
  <c r="D9243" i="1"/>
  <c r="E9243" i="1"/>
  <c r="F9243" i="1"/>
  <c r="G9243" i="1"/>
  <c r="H9243" i="1"/>
  <c r="A9244" i="1"/>
  <c r="B9244" i="1"/>
  <c r="C9244" i="1"/>
  <c r="D9244" i="1"/>
  <c r="E9244" i="1"/>
  <c r="F9244" i="1"/>
  <c r="G9244" i="1"/>
  <c r="H9244" i="1"/>
  <c r="A9245" i="1"/>
  <c r="B9245" i="1"/>
  <c r="C9245" i="1"/>
  <c r="D9245" i="1"/>
  <c r="E9245" i="1"/>
  <c r="F9245" i="1"/>
  <c r="G9245" i="1"/>
  <c r="H9245" i="1"/>
  <c r="A9246" i="1"/>
  <c r="B9246" i="1"/>
  <c r="C9246" i="1"/>
  <c r="D9246" i="1"/>
  <c r="E9246" i="1"/>
  <c r="F9246" i="1"/>
  <c r="G9246" i="1"/>
  <c r="H9246" i="1"/>
  <c r="A9247" i="1"/>
  <c r="B9247" i="1"/>
  <c r="C9247" i="1"/>
  <c r="D9247" i="1"/>
  <c r="E9247" i="1"/>
  <c r="F9247" i="1"/>
  <c r="G9247" i="1"/>
  <c r="H9247" i="1"/>
  <c r="A9248" i="1"/>
  <c r="B9248" i="1"/>
  <c r="C9248" i="1"/>
  <c r="D9248" i="1"/>
  <c r="E9248" i="1"/>
  <c r="F9248" i="1"/>
  <c r="G9248" i="1"/>
  <c r="H9248" i="1"/>
  <c r="A9249" i="1"/>
  <c r="B9249" i="1"/>
  <c r="C9249" i="1"/>
  <c r="D9249" i="1"/>
  <c r="E9249" i="1"/>
  <c r="F9249" i="1"/>
  <c r="G9249" i="1"/>
  <c r="H9249" i="1"/>
  <c r="A9250" i="1"/>
  <c r="B9250" i="1"/>
  <c r="C9250" i="1"/>
  <c r="D9250" i="1"/>
  <c r="E9250" i="1"/>
  <c r="F9250" i="1"/>
  <c r="G9250" i="1"/>
  <c r="H9250" i="1"/>
  <c r="A9251" i="1"/>
  <c r="B9251" i="1"/>
  <c r="C9251" i="1"/>
  <c r="D9251" i="1"/>
  <c r="E9251" i="1"/>
  <c r="F9251" i="1"/>
  <c r="G9251" i="1"/>
  <c r="H9251" i="1"/>
  <c r="A9252" i="1"/>
  <c r="B9252" i="1"/>
  <c r="C9252" i="1"/>
  <c r="D9252" i="1"/>
  <c r="E9252" i="1"/>
  <c r="F9252" i="1"/>
  <c r="G9252" i="1"/>
  <c r="H9252" i="1"/>
  <c r="A9253" i="1"/>
  <c r="B9253" i="1"/>
  <c r="C9253" i="1"/>
  <c r="D9253" i="1"/>
  <c r="E9253" i="1"/>
  <c r="F9253" i="1"/>
  <c r="G9253" i="1"/>
  <c r="H9253" i="1"/>
  <c r="A9254" i="1"/>
  <c r="B9254" i="1"/>
  <c r="C9254" i="1"/>
  <c r="D9254" i="1"/>
  <c r="E9254" i="1"/>
  <c r="F9254" i="1"/>
  <c r="G9254" i="1"/>
  <c r="H9254" i="1"/>
  <c r="A9255" i="1"/>
  <c r="B9255" i="1"/>
  <c r="C9255" i="1"/>
  <c r="D9255" i="1"/>
  <c r="E9255" i="1"/>
  <c r="F9255" i="1"/>
  <c r="G9255" i="1"/>
  <c r="H9255" i="1"/>
  <c r="A9256" i="1"/>
  <c r="B9256" i="1"/>
  <c r="C9256" i="1"/>
  <c r="D9256" i="1"/>
  <c r="E9256" i="1"/>
  <c r="F9256" i="1"/>
  <c r="G9256" i="1"/>
  <c r="H9256" i="1"/>
  <c r="A9257" i="1"/>
  <c r="B9257" i="1"/>
  <c r="C9257" i="1"/>
  <c r="D9257" i="1"/>
  <c r="E9257" i="1"/>
  <c r="F9257" i="1"/>
  <c r="G9257" i="1"/>
  <c r="H9257" i="1"/>
  <c r="A9258" i="1"/>
  <c r="B9258" i="1"/>
  <c r="C9258" i="1"/>
  <c r="D9258" i="1"/>
  <c r="E9258" i="1"/>
  <c r="F9258" i="1"/>
  <c r="G9258" i="1"/>
  <c r="H9258" i="1"/>
  <c r="A9259" i="1"/>
  <c r="B9259" i="1"/>
  <c r="C9259" i="1"/>
  <c r="D9259" i="1"/>
  <c r="E9259" i="1"/>
  <c r="F9259" i="1"/>
  <c r="G9259" i="1"/>
  <c r="H9259" i="1"/>
  <c r="A9260" i="1"/>
  <c r="B9260" i="1"/>
  <c r="C9260" i="1"/>
  <c r="D9260" i="1"/>
  <c r="E9260" i="1"/>
  <c r="F9260" i="1"/>
  <c r="G9260" i="1"/>
  <c r="H9260" i="1"/>
  <c r="A9261" i="1"/>
  <c r="B9261" i="1"/>
  <c r="C9261" i="1"/>
  <c r="D9261" i="1"/>
  <c r="E9261" i="1"/>
  <c r="F9261" i="1"/>
  <c r="G9261" i="1"/>
  <c r="H9261" i="1"/>
  <c r="A9262" i="1"/>
  <c r="B9262" i="1"/>
  <c r="C9262" i="1"/>
  <c r="D9262" i="1"/>
  <c r="E9262" i="1"/>
  <c r="F9262" i="1"/>
  <c r="G9262" i="1"/>
  <c r="H9262" i="1"/>
  <c r="A9263" i="1"/>
  <c r="B9263" i="1"/>
  <c r="C9263" i="1"/>
  <c r="D9263" i="1"/>
  <c r="E9263" i="1"/>
  <c r="F9263" i="1"/>
  <c r="G9263" i="1"/>
  <c r="H9263" i="1"/>
  <c r="A9264" i="1"/>
  <c r="B9264" i="1"/>
  <c r="C9264" i="1"/>
  <c r="D9264" i="1"/>
  <c r="E9264" i="1"/>
  <c r="F9264" i="1"/>
  <c r="G9264" i="1"/>
  <c r="H9264" i="1"/>
  <c r="A9265" i="1"/>
  <c r="B9265" i="1"/>
  <c r="C9265" i="1"/>
  <c r="D9265" i="1"/>
  <c r="E9265" i="1"/>
  <c r="F9265" i="1"/>
  <c r="G9265" i="1"/>
  <c r="H9265" i="1"/>
  <c r="A9266" i="1"/>
  <c r="B9266" i="1"/>
  <c r="C9266" i="1"/>
  <c r="D9266" i="1"/>
  <c r="E9266" i="1"/>
  <c r="F9266" i="1"/>
  <c r="G9266" i="1"/>
  <c r="H9266" i="1"/>
  <c r="A9267" i="1"/>
  <c r="B9267" i="1"/>
  <c r="C9267" i="1"/>
  <c r="D9267" i="1"/>
  <c r="E9267" i="1"/>
  <c r="F9267" i="1"/>
  <c r="G9267" i="1"/>
  <c r="H9267" i="1"/>
  <c r="A9268" i="1"/>
  <c r="B9268" i="1"/>
  <c r="C9268" i="1"/>
  <c r="D9268" i="1"/>
  <c r="E9268" i="1"/>
  <c r="F9268" i="1"/>
  <c r="G9268" i="1"/>
  <c r="H9268" i="1"/>
  <c r="A9269" i="1"/>
  <c r="B9269" i="1"/>
  <c r="C9269" i="1"/>
  <c r="D9269" i="1"/>
  <c r="E9269" i="1"/>
  <c r="F9269" i="1"/>
  <c r="G9269" i="1"/>
  <c r="H9269" i="1"/>
  <c r="A9270" i="1"/>
  <c r="B9270" i="1"/>
  <c r="C9270" i="1"/>
  <c r="D9270" i="1"/>
  <c r="E9270" i="1"/>
  <c r="F9270" i="1"/>
  <c r="G9270" i="1"/>
  <c r="H9270" i="1"/>
  <c r="A9271" i="1"/>
  <c r="B9271" i="1"/>
  <c r="C9271" i="1"/>
  <c r="D9271" i="1"/>
  <c r="E9271" i="1"/>
  <c r="F9271" i="1"/>
  <c r="G9271" i="1"/>
  <c r="H9271" i="1"/>
  <c r="A9272" i="1"/>
  <c r="B9272" i="1"/>
  <c r="C9272" i="1"/>
  <c r="D9272" i="1"/>
  <c r="E9272" i="1"/>
  <c r="F9272" i="1"/>
  <c r="G9272" i="1"/>
  <c r="H9272" i="1"/>
  <c r="A9273" i="1"/>
  <c r="B9273" i="1"/>
  <c r="C9273" i="1"/>
  <c r="D9273" i="1"/>
  <c r="E9273" i="1"/>
  <c r="F9273" i="1"/>
  <c r="G9273" i="1"/>
  <c r="H9273" i="1"/>
  <c r="A9274" i="1"/>
  <c r="B9274" i="1"/>
  <c r="C9274" i="1"/>
  <c r="D9274" i="1"/>
  <c r="E9274" i="1"/>
  <c r="F9274" i="1"/>
  <c r="G9274" i="1"/>
  <c r="H9274" i="1"/>
  <c r="A9275" i="1"/>
  <c r="B9275" i="1"/>
  <c r="C9275" i="1"/>
  <c r="D9275" i="1"/>
  <c r="E9275" i="1"/>
  <c r="F9275" i="1"/>
  <c r="G9275" i="1"/>
  <c r="H9275" i="1"/>
  <c r="A9276" i="1"/>
  <c r="B9276" i="1"/>
  <c r="C9276" i="1"/>
  <c r="D9276" i="1"/>
  <c r="E9276" i="1"/>
  <c r="F9276" i="1"/>
  <c r="G9276" i="1"/>
  <c r="H9276" i="1"/>
  <c r="A9277" i="1"/>
  <c r="B9277" i="1"/>
  <c r="C9277" i="1"/>
  <c r="D9277" i="1"/>
  <c r="E9277" i="1"/>
  <c r="F9277" i="1"/>
  <c r="G9277" i="1"/>
  <c r="H9277" i="1"/>
  <c r="A9278" i="1"/>
  <c r="B9278" i="1"/>
  <c r="C9278" i="1"/>
  <c r="D9278" i="1"/>
  <c r="E9278" i="1"/>
  <c r="F9278" i="1"/>
  <c r="G9278" i="1"/>
  <c r="H9278" i="1"/>
  <c r="A9279" i="1"/>
  <c r="B9279" i="1"/>
  <c r="C9279" i="1"/>
  <c r="D9279" i="1"/>
  <c r="E9279" i="1"/>
  <c r="F9279" i="1"/>
  <c r="G9279" i="1"/>
  <c r="H9279" i="1"/>
  <c r="A9280" i="1"/>
  <c r="B9280" i="1"/>
  <c r="C9280" i="1"/>
  <c r="D9280" i="1"/>
  <c r="E9280" i="1"/>
  <c r="F9280" i="1"/>
  <c r="G9280" i="1"/>
  <c r="H9280" i="1"/>
  <c r="A9281" i="1"/>
  <c r="B9281" i="1"/>
  <c r="C9281" i="1"/>
  <c r="D9281" i="1"/>
  <c r="E9281" i="1"/>
  <c r="F9281" i="1"/>
  <c r="G9281" i="1"/>
  <c r="H9281" i="1"/>
  <c r="A9282" i="1"/>
  <c r="B9282" i="1"/>
  <c r="C9282" i="1"/>
  <c r="D9282" i="1"/>
  <c r="E9282" i="1"/>
  <c r="F9282" i="1"/>
  <c r="G9282" i="1"/>
  <c r="H9282" i="1"/>
  <c r="A9283" i="1"/>
  <c r="B9283" i="1"/>
  <c r="C9283" i="1"/>
  <c r="D9283" i="1"/>
  <c r="E9283" i="1"/>
  <c r="F9283" i="1"/>
  <c r="G9283" i="1"/>
  <c r="H9283" i="1"/>
  <c r="A9284" i="1"/>
  <c r="B9284" i="1"/>
  <c r="C9284" i="1"/>
  <c r="D9284" i="1"/>
  <c r="E9284" i="1"/>
  <c r="F9284" i="1"/>
  <c r="G9284" i="1"/>
  <c r="H9284" i="1"/>
  <c r="A9285" i="1"/>
  <c r="B9285" i="1"/>
  <c r="C9285" i="1"/>
  <c r="D9285" i="1"/>
  <c r="E9285" i="1"/>
  <c r="F9285" i="1"/>
  <c r="G9285" i="1"/>
  <c r="H9285" i="1"/>
  <c r="A9286" i="1"/>
  <c r="B9286" i="1"/>
  <c r="C9286" i="1"/>
  <c r="D9286" i="1"/>
  <c r="E9286" i="1"/>
  <c r="F9286" i="1"/>
  <c r="G9286" i="1"/>
  <c r="H9286" i="1"/>
  <c r="A9287" i="1"/>
  <c r="B9287" i="1"/>
  <c r="C9287" i="1"/>
  <c r="D9287" i="1"/>
  <c r="E9287" i="1"/>
  <c r="F9287" i="1"/>
  <c r="G9287" i="1"/>
  <c r="H9287" i="1"/>
  <c r="A9288" i="1"/>
  <c r="B9288" i="1"/>
  <c r="C9288" i="1"/>
  <c r="D9288" i="1"/>
  <c r="E9288" i="1"/>
  <c r="F9288" i="1"/>
  <c r="G9288" i="1"/>
  <c r="H9288" i="1"/>
  <c r="A9289" i="1"/>
  <c r="B9289" i="1"/>
  <c r="C9289" i="1"/>
  <c r="D9289" i="1"/>
  <c r="E9289" i="1"/>
  <c r="F9289" i="1"/>
  <c r="G9289" i="1"/>
  <c r="H9289" i="1"/>
  <c r="A9290" i="1"/>
  <c r="B9290" i="1"/>
  <c r="C9290" i="1"/>
  <c r="D9290" i="1"/>
  <c r="E9290" i="1"/>
  <c r="F9290" i="1"/>
  <c r="G9290" i="1"/>
  <c r="H9290" i="1"/>
  <c r="A9291" i="1"/>
  <c r="B9291" i="1"/>
  <c r="C9291" i="1"/>
  <c r="D9291" i="1"/>
  <c r="E9291" i="1"/>
  <c r="F9291" i="1"/>
  <c r="G9291" i="1"/>
  <c r="H9291" i="1"/>
  <c r="A9292" i="1"/>
  <c r="B9292" i="1"/>
  <c r="C9292" i="1"/>
  <c r="D9292" i="1"/>
  <c r="E9292" i="1"/>
  <c r="F9292" i="1"/>
  <c r="G9292" i="1"/>
  <c r="H9292" i="1"/>
  <c r="A9293" i="1"/>
  <c r="B9293" i="1"/>
  <c r="C9293" i="1"/>
  <c r="D9293" i="1"/>
  <c r="E9293" i="1"/>
  <c r="F9293" i="1"/>
  <c r="G9293" i="1"/>
  <c r="H9293" i="1"/>
  <c r="A9294" i="1"/>
  <c r="B9294" i="1"/>
  <c r="C9294" i="1"/>
  <c r="D9294" i="1"/>
  <c r="E9294" i="1"/>
  <c r="F9294" i="1"/>
  <c r="G9294" i="1"/>
  <c r="H9294" i="1"/>
  <c r="A9295" i="1"/>
  <c r="B9295" i="1"/>
  <c r="C9295" i="1"/>
  <c r="D9295" i="1"/>
  <c r="E9295" i="1"/>
  <c r="F9295" i="1"/>
  <c r="G9295" i="1"/>
  <c r="H9295" i="1"/>
  <c r="A9296" i="1"/>
  <c r="B9296" i="1"/>
  <c r="C9296" i="1"/>
  <c r="D9296" i="1"/>
  <c r="E9296" i="1"/>
  <c r="F9296" i="1"/>
  <c r="G9296" i="1"/>
  <c r="H9296" i="1"/>
  <c r="A9297" i="1"/>
  <c r="B9297" i="1"/>
  <c r="C9297" i="1"/>
  <c r="D9297" i="1"/>
  <c r="E9297" i="1"/>
  <c r="F9297" i="1"/>
  <c r="G9297" i="1"/>
  <c r="H9297" i="1"/>
  <c r="A9298" i="1"/>
  <c r="B9298" i="1"/>
  <c r="C9298" i="1"/>
  <c r="D9298" i="1"/>
  <c r="E9298" i="1"/>
  <c r="F9298" i="1"/>
  <c r="G9298" i="1"/>
  <c r="H9298" i="1"/>
  <c r="A9299" i="1"/>
  <c r="B9299" i="1"/>
  <c r="C9299" i="1"/>
  <c r="D9299" i="1"/>
  <c r="E9299" i="1"/>
  <c r="F9299" i="1"/>
  <c r="G9299" i="1"/>
  <c r="H9299" i="1"/>
  <c r="A9300" i="1"/>
  <c r="B9300" i="1"/>
  <c r="C9300" i="1"/>
  <c r="D9300" i="1"/>
  <c r="E9300" i="1"/>
  <c r="F9300" i="1"/>
  <c r="G9300" i="1"/>
  <c r="H9300" i="1"/>
  <c r="A9301" i="1"/>
  <c r="B9301" i="1"/>
  <c r="C9301" i="1"/>
  <c r="D9301" i="1"/>
  <c r="E9301" i="1"/>
  <c r="F9301" i="1"/>
  <c r="G9301" i="1"/>
  <c r="H9301" i="1"/>
  <c r="A9302" i="1"/>
  <c r="B9302" i="1"/>
  <c r="C9302" i="1"/>
  <c r="D9302" i="1"/>
  <c r="E9302" i="1"/>
  <c r="F9302" i="1"/>
  <c r="G9302" i="1"/>
  <c r="H9302" i="1"/>
  <c r="A9303" i="1"/>
  <c r="B9303" i="1"/>
  <c r="C9303" i="1"/>
  <c r="D9303" i="1"/>
  <c r="E9303" i="1"/>
  <c r="F9303" i="1"/>
  <c r="G9303" i="1"/>
  <c r="H9303" i="1"/>
  <c r="A9304" i="1"/>
  <c r="B9304" i="1"/>
  <c r="C9304" i="1"/>
  <c r="D9304" i="1"/>
  <c r="E9304" i="1"/>
  <c r="F9304" i="1"/>
  <c r="G9304" i="1"/>
  <c r="H9304" i="1"/>
  <c r="A9305" i="1"/>
  <c r="B9305" i="1"/>
  <c r="C9305" i="1"/>
  <c r="D9305" i="1"/>
  <c r="E9305" i="1"/>
  <c r="F9305" i="1"/>
  <c r="G9305" i="1"/>
  <c r="H9305" i="1"/>
  <c r="A9306" i="1"/>
  <c r="B9306" i="1"/>
  <c r="C9306" i="1"/>
  <c r="D9306" i="1"/>
  <c r="E9306" i="1"/>
  <c r="F9306" i="1"/>
  <c r="G9306" i="1"/>
  <c r="H9306" i="1"/>
  <c r="A9307" i="1"/>
  <c r="B9307" i="1"/>
  <c r="C9307" i="1"/>
  <c r="D9307" i="1"/>
  <c r="E9307" i="1"/>
  <c r="F9307" i="1"/>
  <c r="G9307" i="1"/>
  <c r="H9307" i="1"/>
  <c r="A9308" i="1"/>
  <c r="B9308" i="1"/>
  <c r="C9308" i="1"/>
  <c r="D9308" i="1"/>
  <c r="E9308" i="1"/>
  <c r="F9308" i="1"/>
  <c r="G9308" i="1"/>
  <c r="H9308" i="1"/>
  <c r="A9309" i="1"/>
  <c r="B9309" i="1"/>
  <c r="C9309" i="1"/>
  <c r="D9309" i="1"/>
  <c r="E9309" i="1"/>
  <c r="F9309" i="1"/>
  <c r="G9309" i="1"/>
  <c r="H9309" i="1"/>
  <c r="A9310" i="1"/>
  <c r="B9310" i="1"/>
  <c r="C9310" i="1"/>
  <c r="D9310" i="1"/>
  <c r="E9310" i="1"/>
  <c r="F9310" i="1"/>
  <c r="G9310" i="1"/>
  <c r="H9310" i="1"/>
  <c r="A9311" i="1"/>
  <c r="B9311" i="1"/>
  <c r="C9311" i="1"/>
  <c r="D9311" i="1"/>
  <c r="E9311" i="1"/>
  <c r="F9311" i="1"/>
  <c r="G9311" i="1"/>
  <c r="H9311" i="1"/>
  <c r="A9312" i="1"/>
  <c r="B9312" i="1"/>
  <c r="C9312" i="1"/>
  <c r="D9312" i="1"/>
  <c r="E9312" i="1"/>
  <c r="F9312" i="1"/>
  <c r="G9312" i="1"/>
  <c r="H9312" i="1"/>
  <c r="A9313" i="1"/>
  <c r="B9313" i="1"/>
  <c r="C9313" i="1"/>
  <c r="D9313" i="1"/>
  <c r="E9313" i="1"/>
  <c r="F9313" i="1"/>
  <c r="G9313" i="1"/>
  <c r="H9313" i="1"/>
  <c r="A9314" i="1"/>
  <c r="B9314" i="1"/>
  <c r="C9314" i="1"/>
  <c r="D9314" i="1"/>
  <c r="E9314" i="1"/>
  <c r="F9314" i="1"/>
  <c r="G9314" i="1"/>
  <c r="H9314" i="1"/>
  <c r="A9315" i="1"/>
  <c r="B9315" i="1"/>
  <c r="C9315" i="1"/>
  <c r="D9315" i="1"/>
  <c r="E9315" i="1"/>
  <c r="F9315" i="1"/>
  <c r="G9315" i="1"/>
  <c r="H9315" i="1"/>
  <c r="A9316" i="1"/>
  <c r="B9316" i="1"/>
  <c r="C9316" i="1"/>
  <c r="D9316" i="1"/>
  <c r="E9316" i="1"/>
  <c r="F9316" i="1"/>
  <c r="G9316" i="1"/>
  <c r="H9316" i="1"/>
  <c r="A9317" i="1"/>
  <c r="B9317" i="1"/>
  <c r="C9317" i="1"/>
  <c r="D9317" i="1"/>
  <c r="E9317" i="1"/>
  <c r="F9317" i="1"/>
  <c r="G9317" i="1"/>
  <c r="H9317" i="1"/>
  <c r="A9318" i="1"/>
  <c r="B9318" i="1"/>
  <c r="C9318" i="1"/>
  <c r="D9318" i="1"/>
  <c r="E9318" i="1"/>
  <c r="F9318" i="1"/>
  <c r="G9318" i="1"/>
  <c r="H9318" i="1"/>
  <c r="A9319" i="1"/>
  <c r="B9319" i="1"/>
  <c r="C9319" i="1"/>
  <c r="D9319" i="1"/>
  <c r="E9319" i="1"/>
  <c r="F9319" i="1"/>
  <c r="G9319" i="1"/>
  <c r="H9319" i="1"/>
  <c r="A9320" i="1"/>
  <c r="B9320" i="1"/>
  <c r="C9320" i="1"/>
  <c r="D9320" i="1"/>
  <c r="E9320" i="1"/>
  <c r="F9320" i="1"/>
  <c r="G9320" i="1"/>
  <c r="H9320" i="1"/>
  <c r="A9321" i="1"/>
  <c r="B9321" i="1"/>
  <c r="C9321" i="1"/>
  <c r="D9321" i="1"/>
  <c r="E9321" i="1"/>
  <c r="F9321" i="1"/>
  <c r="G9321" i="1"/>
  <c r="H9321" i="1"/>
  <c r="A9322" i="1"/>
  <c r="B9322" i="1"/>
  <c r="C9322" i="1"/>
  <c r="D9322" i="1"/>
  <c r="E9322" i="1"/>
  <c r="F9322" i="1"/>
  <c r="G9322" i="1"/>
  <c r="H9322" i="1"/>
  <c r="A9323" i="1"/>
  <c r="B9323" i="1"/>
  <c r="C9323" i="1"/>
  <c r="D9323" i="1"/>
  <c r="E9323" i="1"/>
  <c r="F9323" i="1"/>
  <c r="G9323" i="1"/>
  <c r="H9323" i="1"/>
  <c r="A9324" i="1"/>
  <c r="B9324" i="1"/>
  <c r="C9324" i="1"/>
  <c r="D9324" i="1"/>
  <c r="E9324" i="1"/>
  <c r="F9324" i="1"/>
  <c r="G9324" i="1"/>
  <c r="H9324" i="1"/>
  <c r="A9325" i="1"/>
  <c r="B9325" i="1"/>
  <c r="C9325" i="1"/>
  <c r="D9325" i="1"/>
  <c r="E9325" i="1"/>
  <c r="F9325" i="1"/>
  <c r="G9325" i="1"/>
  <c r="H9325" i="1"/>
  <c r="A9326" i="1"/>
  <c r="B9326" i="1"/>
  <c r="C9326" i="1"/>
  <c r="D9326" i="1"/>
  <c r="E9326" i="1"/>
  <c r="F9326" i="1"/>
  <c r="G9326" i="1"/>
  <c r="H9326" i="1"/>
  <c r="A9327" i="1"/>
  <c r="B9327" i="1"/>
  <c r="C9327" i="1"/>
  <c r="D9327" i="1"/>
  <c r="E9327" i="1"/>
  <c r="F9327" i="1"/>
  <c r="G9327" i="1"/>
  <c r="H9327" i="1"/>
  <c r="A9328" i="1"/>
  <c r="B9328" i="1"/>
  <c r="C9328" i="1"/>
  <c r="D9328" i="1"/>
  <c r="E9328" i="1"/>
  <c r="F9328" i="1"/>
  <c r="G9328" i="1"/>
  <c r="H9328" i="1"/>
  <c r="A9329" i="1"/>
  <c r="B9329" i="1"/>
  <c r="C9329" i="1"/>
  <c r="D9329" i="1"/>
  <c r="E9329" i="1"/>
  <c r="F9329" i="1"/>
  <c r="G9329" i="1"/>
  <c r="H9329" i="1"/>
  <c r="A9330" i="1"/>
  <c r="B9330" i="1"/>
  <c r="C9330" i="1"/>
  <c r="D9330" i="1"/>
  <c r="E9330" i="1"/>
  <c r="F9330" i="1"/>
  <c r="G9330" i="1"/>
  <c r="H9330" i="1"/>
  <c r="A9331" i="1"/>
  <c r="B9331" i="1"/>
  <c r="C9331" i="1"/>
  <c r="D9331" i="1"/>
  <c r="E9331" i="1"/>
  <c r="F9331" i="1"/>
  <c r="G9331" i="1"/>
  <c r="H9331" i="1"/>
  <c r="A9332" i="1"/>
  <c r="B9332" i="1"/>
  <c r="C9332" i="1"/>
  <c r="D9332" i="1"/>
  <c r="E9332" i="1"/>
  <c r="F9332" i="1"/>
  <c r="G9332" i="1"/>
  <c r="H9332" i="1"/>
  <c r="A9333" i="1"/>
  <c r="B9333" i="1"/>
  <c r="C9333" i="1"/>
  <c r="D9333" i="1"/>
  <c r="E9333" i="1"/>
  <c r="F9333" i="1"/>
  <c r="G9333" i="1"/>
  <c r="H9333" i="1"/>
  <c r="A9334" i="1"/>
  <c r="B9334" i="1"/>
  <c r="C9334" i="1"/>
  <c r="D9334" i="1"/>
  <c r="E9334" i="1"/>
  <c r="F9334" i="1"/>
  <c r="G9334" i="1"/>
  <c r="H9334" i="1"/>
  <c r="A9335" i="1"/>
  <c r="B9335" i="1"/>
  <c r="C9335" i="1"/>
  <c r="D9335" i="1"/>
  <c r="E9335" i="1"/>
  <c r="F9335" i="1"/>
  <c r="G9335" i="1"/>
  <c r="H9335" i="1"/>
  <c r="A9336" i="1"/>
  <c r="B9336" i="1"/>
  <c r="C9336" i="1"/>
  <c r="D9336" i="1"/>
  <c r="E9336" i="1"/>
  <c r="F9336" i="1"/>
  <c r="G9336" i="1"/>
  <c r="H9336" i="1"/>
  <c r="A9337" i="1"/>
  <c r="B9337" i="1"/>
  <c r="C9337" i="1"/>
  <c r="D9337" i="1"/>
  <c r="E9337" i="1"/>
  <c r="F9337" i="1"/>
  <c r="G9337" i="1"/>
  <c r="H9337" i="1"/>
  <c r="A9338" i="1"/>
  <c r="B9338" i="1"/>
  <c r="C9338" i="1"/>
  <c r="D9338" i="1"/>
  <c r="E9338" i="1"/>
  <c r="F9338" i="1"/>
  <c r="G9338" i="1"/>
  <c r="H9338" i="1"/>
  <c r="A9339" i="1"/>
  <c r="B9339" i="1"/>
  <c r="C9339" i="1"/>
  <c r="D9339" i="1"/>
  <c r="E9339" i="1"/>
  <c r="F9339" i="1"/>
  <c r="G9339" i="1"/>
  <c r="H9339" i="1"/>
  <c r="A9340" i="1"/>
  <c r="B9340" i="1"/>
  <c r="C9340" i="1"/>
  <c r="D9340" i="1"/>
  <c r="E9340" i="1"/>
  <c r="F9340" i="1"/>
  <c r="G9340" i="1"/>
  <c r="H9340" i="1"/>
  <c r="A9341" i="1"/>
  <c r="B9341" i="1"/>
  <c r="C9341" i="1"/>
  <c r="D9341" i="1"/>
  <c r="E9341" i="1"/>
  <c r="F9341" i="1"/>
  <c r="G9341" i="1"/>
  <c r="H9341" i="1"/>
  <c r="A9342" i="1"/>
  <c r="B9342" i="1"/>
  <c r="C9342" i="1"/>
  <c r="D9342" i="1"/>
  <c r="E9342" i="1"/>
  <c r="F9342" i="1"/>
  <c r="G9342" i="1"/>
  <c r="H9342" i="1"/>
  <c r="A9343" i="1"/>
  <c r="B9343" i="1"/>
  <c r="C9343" i="1"/>
  <c r="D9343" i="1"/>
  <c r="E9343" i="1"/>
  <c r="F9343" i="1"/>
  <c r="G9343" i="1"/>
  <c r="H9343" i="1"/>
  <c r="A9344" i="1"/>
  <c r="B9344" i="1"/>
  <c r="C9344" i="1"/>
  <c r="D9344" i="1"/>
  <c r="E9344" i="1"/>
  <c r="F9344" i="1"/>
  <c r="G9344" i="1"/>
  <c r="H9344" i="1"/>
  <c r="A9345" i="1"/>
  <c r="B9345" i="1"/>
  <c r="C9345" i="1"/>
  <c r="D9345" i="1"/>
  <c r="E9345" i="1"/>
  <c r="F9345" i="1"/>
  <c r="G9345" i="1"/>
  <c r="H9345" i="1"/>
  <c r="A9346" i="1"/>
  <c r="B9346" i="1"/>
  <c r="C9346" i="1"/>
  <c r="D9346" i="1"/>
  <c r="E9346" i="1"/>
  <c r="F9346" i="1"/>
  <c r="G9346" i="1"/>
  <c r="H9346" i="1"/>
  <c r="A9347" i="1"/>
  <c r="B9347" i="1"/>
  <c r="C9347" i="1"/>
  <c r="D9347" i="1"/>
  <c r="E9347" i="1"/>
  <c r="F9347" i="1"/>
  <c r="G9347" i="1"/>
  <c r="H9347" i="1"/>
  <c r="A9348" i="1"/>
  <c r="B9348" i="1"/>
  <c r="C9348" i="1"/>
  <c r="D9348" i="1"/>
  <c r="E9348" i="1"/>
  <c r="F9348" i="1"/>
  <c r="G9348" i="1"/>
  <c r="H9348" i="1"/>
  <c r="A9349" i="1"/>
  <c r="B9349" i="1"/>
  <c r="C9349" i="1"/>
  <c r="D9349" i="1"/>
  <c r="E9349" i="1"/>
  <c r="F9349" i="1"/>
  <c r="G9349" i="1"/>
  <c r="H9349" i="1"/>
  <c r="A9350" i="1"/>
  <c r="B9350" i="1"/>
  <c r="C9350" i="1"/>
  <c r="D9350" i="1"/>
  <c r="E9350" i="1"/>
  <c r="F9350" i="1"/>
  <c r="G9350" i="1"/>
  <c r="H9350" i="1"/>
  <c r="A9351" i="1"/>
  <c r="B9351" i="1"/>
  <c r="C9351" i="1"/>
  <c r="D9351" i="1"/>
  <c r="E9351" i="1"/>
  <c r="F9351" i="1"/>
  <c r="G9351" i="1"/>
  <c r="H9351" i="1"/>
  <c r="A9352" i="1"/>
  <c r="B9352" i="1"/>
  <c r="C9352" i="1"/>
  <c r="D9352" i="1"/>
  <c r="E9352" i="1"/>
  <c r="F9352" i="1"/>
  <c r="G9352" i="1"/>
  <c r="H9352" i="1"/>
  <c r="A9353" i="1"/>
  <c r="B9353" i="1"/>
  <c r="C9353" i="1"/>
  <c r="D9353" i="1"/>
  <c r="E9353" i="1"/>
  <c r="F9353" i="1"/>
  <c r="G9353" i="1"/>
  <c r="H9353" i="1"/>
  <c r="A9354" i="1"/>
  <c r="B9354" i="1"/>
  <c r="C9354" i="1"/>
  <c r="D9354" i="1"/>
  <c r="E9354" i="1"/>
  <c r="F9354" i="1"/>
  <c r="G9354" i="1"/>
  <c r="H9354" i="1"/>
  <c r="A9355" i="1"/>
  <c r="B9355" i="1"/>
  <c r="C9355" i="1"/>
  <c r="D9355" i="1"/>
  <c r="E9355" i="1"/>
  <c r="F9355" i="1"/>
  <c r="G9355" i="1"/>
  <c r="H9355" i="1"/>
  <c r="A9356" i="1"/>
  <c r="B9356" i="1"/>
  <c r="C9356" i="1"/>
  <c r="D9356" i="1"/>
  <c r="E9356" i="1"/>
  <c r="F9356" i="1"/>
  <c r="G9356" i="1"/>
  <c r="H9356" i="1"/>
  <c r="A9357" i="1"/>
  <c r="B9357" i="1"/>
  <c r="C9357" i="1"/>
  <c r="D9357" i="1"/>
  <c r="E9357" i="1"/>
  <c r="F9357" i="1"/>
  <c r="G9357" i="1"/>
  <c r="H9357" i="1"/>
  <c r="A9358" i="1"/>
  <c r="B9358" i="1"/>
  <c r="C9358" i="1"/>
  <c r="D9358" i="1"/>
  <c r="E9358" i="1"/>
  <c r="F9358" i="1"/>
  <c r="G9358" i="1"/>
  <c r="H9358" i="1"/>
  <c r="A9359" i="1"/>
  <c r="B9359" i="1"/>
  <c r="C9359" i="1"/>
  <c r="D9359" i="1"/>
  <c r="E9359" i="1"/>
  <c r="F9359" i="1"/>
  <c r="G9359" i="1"/>
  <c r="H9359" i="1"/>
  <c r="A9360" i="1"/>
  <c r="B9360" i="1"/>
  <c r="C9360" i="1"/>
  <c r="D9360" i="1"/>
  <c r="E9360" i="1"/>
  <c r="F9360" i="1"/>
  <c r="G9360" i="1"/>
  <c r="H9360" i="1"/>
  <c r="A9361" i="1"/>
  <c r="B9361" i="1"/>
  <c r="C9361" i="1"/>
  <c r="D9361" i="1"/>
  <c r="E9361" i="1"/>
  <c r="F9361" i="1"/>
  <c r="G9361" i="1"/>
  <c r="H9361" i="1"/>
  <c r="A9362" i="1"/>
  <c r="B9362" i="1"/>
  <c r="C9362" i="1"/>
  <c r="D9362" i="1"/>
  <c r="E9362" i="1"/>
  <c r="F9362" i="1"/>
  <c r="G9362" i="1"/>
  <c r="H9362" i="1"/>
  <c r="A9363" i="1"/>
  <c r="B9363" i="1"/>
  <c r="C9363" i="1"/>
  <c r="D9363" i="1"/>
  <c r="E9363" i="1"/>
  <c r="F9363" i="1"/>
  <c r="G9363" i="1"/>
  <c r="H9363" i="1"/>
  <c r="A9364" i="1"/>
  <c r="B9364" i="1"/>
  <c r="C9364" i="1"/>
  <c r="D9364" i="1"/>
  <c r="E9364" i="1"/>
  <c r="F9364" i="1"/>
  <c r="G9364" i="1"/>
  <c r="H9364" i="1"/>
  <c r="A9365" i="1"/>
  <c r="B9365" i="1"/>
  <c r="C9365" i="1"/>
  <c r="D9365" i="1"/>
  <c r="E9365" i="1"/>
  <c r="F9365" i="1"/>
  <c r="G9365" i="1"/>
  <c r="H9365" i="1"/>
  <c r="A9366" i="1"/>
  <c r="B9366" i="1"/>
  <c r="C9366" i="1"/>
  <c r="D9366" i="1"/>
  <c r="E9366" i="1"/>
  <c r="F9366" i="1"/>
  <c r="G9366" i="1"/>
  <c r="H9366" i="1"/>
  <c r="A9367" i="1"/>
  <c r="B9367" i="1"/>
  <c r="C9367" i="1"/>
  <c r="D9367" i="1"/>
  <c r="E9367" i="1"/>
  <c r="F9367" i="1"/>
  <c r="G9367" i="1"/>
  <c r="H9367" i="1"/>
  <c r="A9368" i="1"/>
  <c r="B9368" i="1"/>
  <c r="C9368" i="1"/>
  <c r="D9368" i="1"/>
  <c r="E9368" i="1"/>
  <c r="F9368" i="1"/>
  <c r="G9368" i="1"/>
  <c r="H9368" i="1"/>
  <c r="A9369" i="1"/>
  <c r="B9369" i="1"/>
  <c r="C9369" i="1"/>
  <c r="D9369" i="1"/>
  <c r="E9369" i="1"/>
  <c r="F9369" i="1"/>
  <c r="G9369" i="1"/>
  <c r="H9369" i="1"/>
  <c r="A9370" i="1"/>
  <c r="B9370" i="1"/>
  <c r="C9370" i="1"/>
  <c r="D9370" i="1"/>
  <c r="E9370" i="1"/>
  <c r="F9370" i="1"/>
  <c r="G9370" i="1"/>
  <c r="H9370" i="1"/>
  <c r="A9371" i="1"/>
  <c r="B9371" i="1"/>
  <c r="C9371" i="1"/>
  <c r="D9371" i="1"/>
  <c r="E9371" i="1"/>
  <c r="F9371" i="1"/>
  <c r="G9371" i="1"/>
  <c r="H9371" i="1"/>
  <c r="A9372" i="1"/>
  <c r="B9372" i="1"/>
  <c r="C9372" i="1"/>
  <c r="D9372" i="1"/>
  <c r="E9372" i="1"/>
  <c r="F9372" i="1"/>
  <c r="G9372" i="1"/>
  <c r="H9372" i="1"/>
  <c r="A9373" i="1"/>
  <c r="B9373" i="1"/>
  <c r="C9373" i="1"/>
  <c r="D9373" i="1"/>
  <c r="E9373" i="1"/>
  <c r="F9373" i="1"/>
  <c r="G9373" i="1"/>
  <c r="H9373" i="1"/>
  <c r="A9374" i="1"/>
  <c r="B9374" i="1"/>
  <c r="C9374" i="1"/>
  <c r="D9374" i="1"/>
  <c r="E9374" i="1"/>
  <c r="F9374" i="1"/>
  <c r="G9374" i="1"/>
  <c r="H9374" i="1"/>
  <c r="A9375" i="1"/>
  <c r="B9375" i="1"/>
  <c r="C9375" i="1"/>
  <c r="D9375" i="1"/>
  <c r="E9375" i="1"/>
  <c r="F9375" i="1"/>
  <c r="G9375" i="1"/>
  <c r="H9375" i="1"/>
  <c r="A9376" i="1"/>
  <c r="B9376" i="1"/>
  <c r="C9376" i="1"/>
  <c r="D9376" i="1"/>
  <c r="E9376" i="1"/>
  <c r="F9376" i="1"/>
  <c r="G9376" i="1"/>
  <c r="H9376" i="1"/>
  <c r="A9377" i="1"/>
  <c r="B9377" i="1"/>
  <c r="C9377" i="1"/>
  <c r="D9377" i="1"/>
  <c r="E9377" i="1"/>
  <c r="F9377" i="1"/>
  <c r="G9377" i="1"/>
  <c r="H9377" i="1"/>
  <c r="A9378" i="1"/>
  <c r="B9378" i="1"/>
  <c r="C9378" i="1"/>
  <c r="D9378" i="1"/>
  <c r="E9378" i="1"/>
  <c r="F9378" i="1"/>
  <c r="G9378" i="1"/>
  <c r="H9378" i="1"/>
  <c r="A9379" i="1"/>
  <c r="B9379" i="1"/>
  <c r="C9379" i="1"/>
  <c r="D9379" i="1"/>
  <c r="E9379" i="1"/>
  <c r="F9379" i="1"/>
  <c r="G9379" i="1"/>
  <c r="H9379" i="1"/>
  <c r="A9380" i="1"/>
  <c r="B9380" i="1"/>
  <c r="C9380" i="1"/>
  <c r="D9380" i="1"/>
  <c r="E9380" i="1"/>
  <c r="F9380" i="1"/>
  <c r="G9380" i="1"/>
  <c r="H9380" i="1"/>
  <c r="A9381" i="1"/>
  <c r="B9381" i="1"/>
  <c r="C9381" i="1"/>
  <c r="D9381" i="1"/>
  <c r="E9381" i="1"/>
  <c r="F9381" i="1"/>
  <c r="G9381" i="1"/>
  <c r="H9381" i="1"/>
  <c r="A9382" i="1"/>
  <c r="B9382" i="1"/>
  <c r="C9382" i="1"/>
  <c r="D9382" i="1"/>
  <c r="E9382" i="1"/>
  <c r="F9382" i="1"/>
  <c r="G9382" i="1"/>
  <c r="H9382" i="1"/>
  <c r="A9383" i="1"/>
  <c r="B9383" i="1"/>
  <c r="C9383" i="1"/>
  <c r="D9383" i="1"/>
  <c r="E9383" i="1"/>
  <c r="F9383" i="1"/>
  <c r="G9383" i="1"/>
  <c r="H9383" i="1"/>
  <c r="A9384" i="1"/>
  <c r="B9384" i="1"/>
  <c r="C9384" i="1"/>
  <c r="D9384" i="1"/>
  <c r="E9384" i="1"/>
  <c r="F9384" i="1"/>
  <c r="G9384" i="1"/>
  <c r="H9384" i="1"/>
  <c r="A9385" i="1"/>
  <c r="B9385" i="1"/>
  <c r="C9385" i="1"/>
  <c r="D9385" i="1"/>
  <c r="E9385" i="1"/>
  <c r="F9385" i="1"/>
  <c r="G9385" i="1"/>
  <c r="H9385" i="1"/>
  <c r="A9386" i="1"/>
  <c r="B9386" i="1"/>
  <c r="C9386" i="1"/>
  <c r="D9386" i="1"/>
  <c r="E9386" i="1"/>
  <c r="F9386" i="1"/>
  <c r="G9386" i="1"/>
  <c r="H9386" i="1"/>
  <c r="A9387" i="1"/>
  <c r="B9387" i="1"/>
  <c r="C9387" i="1"/>
  <c r="D9387" i="1"/>
  <c r="E9387" i="1"/>
  <c r="F9387" i="1"/>
  <c r="G9387" i="1"/>
  <c r="H9387" i="1"/>
  <c r="A9388" i="1"/>
  <c r="B9388" i="1"/>
  <c r="C9388" i="1"/>
  <c r="D9388" i="1"/>
  <c r="E9388" i="1"/>
  <c r="F9388" i="1"/>
  <c r="G9388" i="1"/>
  <c r="H9388" i="1"/>
  <c r="A9389" i="1"/>
  <c r="B9389" i="1"/>
  <c r="C9389" i="1"/>
  <c r="D9389" i="1"/>
  <c r="E9389" i="1"/>
  <c r="F9389" i="1"/>
  <c r="G9389" i="1"/>
  <c r="H9389" i="1"/>
  <c r="A9390" i="1"/>
  <c r="B9390" i="1"/>
  <c r="C9390" i="1"/>
  <c r="D9390" i="1"/>
  <c r="E9390" i="1"/>
  <c r="F9390" i="1"/>
  <c r="G9390" i="1"/>
  <c r="H9390" i="1"/>
  <c r="A9391" i="1"/>
  <c r="B9391" i="1"/>
  <c r="C9391" i="1"/>
  <c r="D9391" i="1"/>
  <c r="E9391" i="1"/>
  <c r="F9391" i="1"/>
  <c r="G9391" i="1"/>
  <c r="H9391" i="1"/>
  <c r="A9392" i="1"/>
  <c r="B9392" i="1"/>
  <c r="C9392" i="1"/>
  <c r="D9392" i="1"/>
  <c r="E9392" i="1"/>
  <c r="F9392" i="1"/>
  <c r="G9392" i="1"/>
  <c r="H9392" i="1"/>
  <c r="A9393" i="1"/>
  <c r="B9393" i="1"/>
  <c r="C9393" i="1"/>
  <c r="D9393" i="1"/>
  <c r="E9393" i="1"/>
  <c r="F9393" i="1"/>
  <c r="G9393" i="1"/>
  <c r="H9393" i="1"/>
  <c r="A9394" i="1"/>
  <c r="B9394" i="1"/>
  <c r="C9394" i="1"/>
  <c r="D9394" i="1"/>
  <c r="E9394" i="1"/>
  <c r="F9394" i="1"/>
  <c r="G9394" i="1"/>
  <c r="H9394" i="1"/>
  <c r="A9395" i="1"/>
  <c r="B9395" i="1"/>
  <c r="C9395" i="1"/>
  <c r="D9395" i="1"/>
  <c r="E9395" i="1"/>
  <c r="F9395" i="1"/>
  <c r="G9395" i="1"/>
  <c r="H9395" i="1"/>
  <c r="A9396" i="1"/>
  <c r="B9396" i="1"/>
  <c r="C9396" i="1"/>
  <c r="D9396" i="1"/>
  <c r="E9396" i="1"/>
  <c r="F9396" i="1"/>
  <c r="G9396" i="1"/>
  <c r="H9396" i="1"/>
  <c r="A9397" i="1"/>
  <c r="B9397" i="1"/>
  <c r="C9397" i="1"/>
  <c r="D9397" i="1"/>
  <c r="E9397" i="1"/>
  <c r="F9397" i="1"/>
  <c r="G9397" i="1"/>
  <c r="H9397" i="1"/>
  <c r="A9398" i="1"/>
  <c r="B9398" i="1"/>
  <c r="C9398" i="1"/>
  <c r="D9398" i="1"/>
  <c r="E9398" i="1"/>
  <c r="F9398" i="1"/>
  <c r="G9398" i="1"/>
  <c r="H9398" i="1"/>
  <c r="A9399" i="1"/>
  <c r="B9399" i="1"/>
  <c r="C9399" i="1"/>
  <c r="D9399" i="1"/>
  <c r="E9399" i="1"/>
  <c r="F9399" i="1"/>
  <c r="G9399" i="1"/>
  <c r="H9399" i="1"/>
  <c r="A9400" i="1"/>
  <c r="B9400" i="1"/>
  <c r="C9400" i="1"/>
  <c r="D9400" i="1"/>
  <c r="E9400" i="1"/>
  <c r="F9400" i="1"/>
  <c r="G9400" i="1"/>
  <c r="H9400" i="1"/>
  <c r="A9401" i="1"/>
  <c r="B9401" i="1"/>
  <c r="C9401" i="1"/>
  <c r="D9401" i="1"/>
  <c r="E9401" i="1"/>
  <c r="F9401" i="1"/>
  <c r="G9401" i="1"/>
  <c r="H9401" i="1"/>
  <c r="A9402" i="1"/>
  <c r="B9402" i="1"/>
  <c r="C9402" i="1"/>
  <c r="D9402" i="1"/>
  <c r="E9402" i="1"/>
  <c r="F9402" i="1"/>
  <c r="G9402" i="1"/>
  <c r="H9402" i="1"/>
  <c r="A9403" i="1"/>
  <c r="B9403" i="1"/>
  <c r="C9403" i="1"/>
  <c r="D9403" i="1"/>
  <c r="E9403" i="1"/>
  <c r="F9403" i="1"/>
  <c r="G9403" i="1"/>
  <c r="H9403" i="1"/>
  <c r="A9404" i="1"/>
  <c r="B9404" i="1"/>
  <c r="C9404" i="1"/>
  <c r="D9404" i="1"/>
  <c r="E9404" i="1"/>
  <c r="F9404" i="1"/>
  <c r="G9404" i="1"/>
  <c r="H9404" i="1"/>
  <c r="A9405" i="1"/>
  <c r="B9405" i="1"/>
  <c r="C9405" i="1"/>
  <c r="D9405" i="1"/>
  <c r="E9405" i="1"/>
  <c r="F9405" i="1"/>
  <c r="G9405" i="1"/>
  <c r="H9405" i="1"/>
  <c r="A9406" i="1"/>
  <c r="B9406" i="1"/>
  <c r="C9406" i="1"/>
  <c r="D9406" i="1"/>
  <c r="E9406" i="1"/>
  <c r="F9406" i="1"/>
  <c r="G9406" i="1"/>
  <c r="H9406" i="1"/>
  <c r="A9407" i="1"/>
  <c r="B9407" i="1"/>
  <c r="C9407" i="1"/>
  <c r="D9407" i="1"/>
  <c r="E9407" i="1"/>
  <c r="F9407" i="1"/>
  <c r="G9407" i="1"/>
  <c r="H9407" i="1"/>
  <c r="A9408" i="1"/>
  <c r="B9408" i="1"/>
  <c r="C9408" i="1"/>
  <c r="D9408" i="1"/>
  <c r="E9408" i="1"/>
  <c r="F9408" i="1"/>
  <c r="G9408" i="1"/>
  <c r="H9408" i="1"/>
  <c r="A9409" i="1"/>
  <c r="B9409" i="1"/>
  <c r="C9409" i="1"/>
  <c r="D9409" i="1"/>
  <c r="E9409" i="1"/>
  <c r="F9409" i="1"/>
  <c r="G9409" i="1"/>
  <c r="H9409" i="1"/>
  <c r="A9410" i="1"/>
  <c r="B9410" i="1"/>
  <c r="C9410" i="1"/>
  <c r="D9410" i="1"/>
  <c r="E9410" i="1"/>
  <c r="F9410" i="1"/>
  <c r="G9410" i="1"/>
  <c r="H9410" i="1"/>
  <c r="A9411" i="1"/>
  <c r="B9411" i="1"/>
  <c r="C9411" i="1"/>
  <c r="D9411" i="1"/>
  <c r="E9411" i="1"/>
  <c r="F9411" i="1"/>
  <c r="G9411" i="1"/>
  <c r="H9411" i="1"/>
  <c r="A9412" i="1"/>
  <c r="B9412" i="1"/>
  <c r="C9412" i="1"/>
  <c r="D9412" i="1"/>
  <c r="E9412" i="1"/>
  <c r="F9412" i="1"/>
  <c r="G9412" i="1"/>
  <c r="H9412" i="1"/>
  <c r="A9413" i="1"/>
  <c r="B9413" i="1"/>
  <c r="C9413" i="1"/>
  <c r="D9413" i="1"/>
  <c r="E9413" i="1"/>
  <c r="F9413" i="1"/>
  <c r="G9413" i="1"/>
  <c r="H9413" i="1"/>
  <c r="A9414" i="1"/>
  <c r="B9414" i="1"/>
  <c r="C9414" i="1"/>
  <c r="D9414" i="1"/>
  <c r="E9414" i="1"/>
  <c r="F9414" i="1"/>
  <c r="G9414" i="1"/>
  <c r="H9414" i="1"/>
  <c r="A9415" i="1"/>
  <c r="B9415" i="1"/>
  <c r="C9415" i="1"/>
  <c r="D9415" i="1"/>
  <c r="E9415" i="1"/>
  <c r="F9415" i="1"/>
  <c r="G9415" i="1"/>
  <c r="H9415" i="1"/>
  <c r="A9416" i="1"/>
  <c r="B9416" i="1"/>
  <c r="C9416" i="1"/>
  <c r="D9416" i="1"/>
  <c r="E9416" i="1"/>
  <c r="F9416" i="1"/>
  <c r="G9416" i="1"/>
  <c r="H9416" i="1"/>
  <c r="A9417" i="1"/>
  <c r="B9417" i="1"/>
  <c r="C9417" i="1"/>
  <c r="D9417" i="1"/>
  <c r="E9417" i="1"/>
  <c r="F9417" i="1"/>
  <c r="G9417" i="1"/>
  <c r="H9417" i="1"/>
  <c r="A9418" i="1"/>
  <c r="B9418" i="1"/>
  <c r="C9418" i="1"/>
  <c r="D9418" i="1"/>
  <c r="E9418" i="1"/>
  <c r="F9418" i="1"/>
  <c r="G9418" i="1"/>
  <c r="H9418" i="1"/>
  <c r="A9419" i="1"/>
  <c r="B9419" i="1"/>
  <c r="C9419" i="1"/>
  <c r="D9419" i="1"/>
  <c r="E9419" i="1"/>
  <c r="F9419" i="1"/>
  <c r="G9419" i="1"/>
  <c r="H9419" i="1"/>
  <c r="A9420" i="1"/>
  <c r="B9420" i="1"/>
  <c r="C9420" i="1"/>
  <c r="D9420" i="1"/>
  <c r="E9420" i="1"/>
  <c r="F9420" i="1"/>
  <c r="G9420" i="1"/>
  <c r="H9420" i="1"/>
  <c r="A9421" i="1"/>
  <c r="B9421" i="1"/>
  <c r="C9421" i="1"/>
  <c r="D9421" i="1"/>
  <c r="E9421" i="1"/>
  <c r="F9421" i="1"/>
  <c r="G9421" i="1"/>
  <c r="H9421" i="1"/>
  <c r="A9422" i="1"/>
  <c r="B9422" i="1"/>
  <c r="C9422" i="1"/>
  <c r="D9422" i="1"/>
  <c r="E9422" i="1"/>
  <c r="F9422" i="1"/>
  <c r="G9422" i="1"/>
  <c r="H9422" i="1"/>
  <c r="A9423" i="1"/>
  <c r="B9423" i="1"/>
  <c r="C9423" i="1"/>
  <c r="D9423" i="1"/>
  <c r="E9423" i="1"/>
  <c r="F9423" i="1"/>
  <c r="G9423" i="1"/>
  <c r="H9423" i="1"/>
  <c r="A9424" i="1"/>
  <c r="B9424" i="1"/>
  <c r="C9424" i="1"/>
  <c r="D9424" i="1"/>
  <c r="E9424" i="1"/>
  <c r="F9424" i="1"/>
  <c r="G9424" i="1"/>
  <c r="H9424" i="1"/>
  <c r="A9425" i="1"/>
  <c r="B9425" i="1"/>
  <c r="C9425" i="1"/>
  <c r="D9425" i="1"/>
  <c r="E9425" i="1"/>
  <c r="F9425" i="1"/>
  <c r="G9425" i="1"/>
  <c r="H9425" i="1"/>
  <c r="A9426" i="1"/>
  <c r="B9426" i="1"/>
  <c r="C9426" i="1"/>
  <c r="D9426" i="1"/>
  <c r="E9426" i="1"/>
  <c r="F9426" i="1"/>
  <c r="G9426" i="1"/>
  <c r="H9426" i="1"/>
  <c r="A9427" i="1"/>
  <c r="B9427" i="1"/>
  <c r="C9427" i="1"/>
  <c r="D9427" i="1"/>
  <c r="E9427" i="1"/>
  <c r="F9427" i="1"/>
  <c r="G9427" i="1"/>
  <c r="H9427" i="1"/>
  <c r="A9428" i="1"/>
  <c r="B9428" i="1"/>
  <c r="C9428" i="1"/>
  <c r="D9428" i="1"/>
  <c r="E9428" i="1"/>
  <c r="F9428" i="1"/>
  <c r="G9428" i="1"/>
  <c r="H9428" i="1"/>
  <c r="A9429" i="1"/>
  <c r="B9429" i="1"/>
  <c r="C9429" i="1"/>
  <c r="D9429" i="1"/>
  <c r="E9429" i="1"/>
  <c r="F9429" i="1"/>
  <c r="G9429" i="1"/>
  <c r="H9429" i="1"/>
  <c r="A9430" i="1"/>
  <c r="B9430" i="1"/>
  <c r="C9430" i="1"/>
  <c r="D9430" i="1"/>
  <c r="E9430" i="1"/>
  <c r="F9430" i="1"/>
  <c r="G9430" i="1"/>
  <c r="H9430" i="1"/>
  <c r="A9431" i="1"/>
  <c r="B9431" i="1"/>
  <c r="C9431" i="1"/>
  <c r="D9431" i="1"/>
  <c r="E9431" i="1"/>
  <c r="F9431" i="1"/>
  <c r="G9431" i="1"/>
  <c r="H9431" i="1"/>
  <c r="A9432" i="1"/>
  <c r="B9432" i="1"/>
  <c r="C9432" i="1"/>
  <c r="D9432" i="1"/>
  <c r="E9432" i="1"/>
  <c r="F9432" i="1"/>
  <c r="G9432" i="1"/>
  <c r="H9432" i="1"/>
  <c r="A9433" i="1"/>
  <c r="B9433" i="1"/>
  <c r="C9433" i="1"/>
  <c r="D9433" i="1"/>
  <c r="E9433" i="1"/>
  <c r="F9433" i="1"/>
  <c r="G9433" i="1"/>
  <c r="H9433" i="1"/>
  <c r="A9434" i="1"/>
  <c r="B9434" i="1"/>
  <c r="C9434" i="1"/>
  <c r="D9434" i="1"/>
  <c r="E9434" i="1"/>
  <c r="F9434" i="1"/>
  <c r="G9434" i="1"/>
  <c r="H9434" i="1"/>
  <c r="A9435" i="1"/>
  <c r="B9435" i="1"/>
  <c r="C9435" i="1"/>
  <c r="D9435" i="1"/>
  <c r="E9435" i="1"/>
  <c r="F9435" i="1"/>
  <c r="G9435" i="1"/>
  <c r="H9435" i="1"/>
  <c r="A9436" i="1"/>
  <c r="B9436" i="1"/>
  <c r="C9436" i="1"/>
  <c r="D9436" i="1"/>
  <c r="E9436" i="1"/>
  <c r="F9436" i="1"/>
  <c r="G9436" i="1"/>
  <c r="H9436" i="1"/>
  <c r="A9437" i="1"/>
  <c r="B9437" i="1"/>
  <c r="C9437" i="1"/>
  <c r="D9437" i="1"/>
  <c r="E9437" i="1"/>
  <c r="F9437" i="1"/>
  <c r="G9437" i="1"/>
  <c r="H9437" i="1"/>
  <c r="A9438" i="1"/>
  <c r="B9438" i="1"/>
  <c r="C9438" i="1"/>
  <c r="D9438" i="1"/>
  <c r="E9438" i="1"/>
  <c r="F9438" i="1"/>
  <c r="G9438" i="1"/>
  <c r="H9438" i="1"/>
  <c r="A9439" i="1"/>
  <c r="B9439" i="1"/>
  <c r="C9439" i="1"/>
  <c r="D9439" i="1"/>
  <c r="E9439" i="1"/>
  <c r="F9439" i="1"/>
  <c r="G9439" i="1"/>
  <c r="H9439" i="1"/>
  <c r="A9440" i="1"/>
  <c r="B9440" i="1"/>
  <c r="C9440" i="1"/>
  <c r="D9440" i="1"/>
  <c r="E9440" i="1"/>
  <c r="F9440" i="1"/>
  <c r="G9440" i="1"/>
  <c r="H9440" i="1"/>
  <c r="A9441" i="1"/>
  <c r="B9441" i="1"/>
  <c r="C9441" i="1"/>
  <c r="D9441" i="1"/>
  <c r="E9441" i="1"/>
  <c r="F9441" i="1"/>
  <c r="G9441" i="1"/>
  <c r="H9441" i="1"/>
  <c r="A9442" i="1"/>
  <c r="B9442" i="1"/>
  <c r="C9442" i="1"/>
  <c r="D9442" i="1"/>
  <c r="E9442" i="1"/>
  <c r="F9442" i="1"/>
  <c r="G9442" i="1"/>
  <c r="H9442" i="1"/>
  <c r="A9443" i="1"/>
  <c r="B9443" i="1"/>
  <c r="C9443" i="1"/>
  <c r="D9443" i="1"/>
  <c r="E9443" i="1"/>
  <c r="F9443" i="1"/>
  <c r="G9443" i="1"/>
  <c r="H9443" i="1"/>
  <c r="A9444" i="1"/>
  <c r="B9444" i="1"/>
  <c r="C9444" i="1"/>
  <c r="D9444" i="1"/>
  <c r="E9444" i="1"/>
  <c r="F9444" i="1"/>
  <c r="G9444" i="1"/>
  <c r="H9444" i="1"/>
  <c r="A9445" i="1"/>
  <c r="B9445" i="1"/>
  <c r="C9445" i="1"/>
  <c r="D9445" i="1"/>
  <c r="E9445" i="1"/>
  <c r="F9445" i="1"/>
  <c r="G9445" i="1"/>
  <c r="H9445" i="1"/>
  <c r="A9446" i="1"/>
  <c r="B9446" i="1"/>
  <c r="C9446" i="1"/>
  <c r="D9446" i="1"/>
  <c r="E9446" i="1"/>
  <c r="F9446" i="1"/>
  <c r="G9446" i="1"/>
  <c r="H9446" i="1"/>
  <c r="A9447" i="1"/>
  <c r="B9447" i="1"/>
  <c r="C9447" i="1"/>
  <c r="D9447" i="1"/>
  <c r="E9447" i="1"/>
  <c r="F9447" i="1"/>
  <c r="G9447" i="1"/>
  <c r="H9447" i="1"/>
  <c r="A9448" i="1"/>
  <c r="B9448" i="1"/>
  <c r="C9448" i="1"/>
  <c r="D9448" i="1"/>
  <c r="E9448" i="1"/>
  <c r="F9448" i="1"/>
  <c r="G9448" i="1"/>
  <c r="H9448" i="1"/>
  <c r="A9449" i="1"/>
  <c r="B9449" i="1"/>
  <c r="C9449" i="1"/>
  <c r="D9449" i="1"/>
  <c r="E9449" i="1"/>
  <c r="F9449" i="1"/>
  <c r="G9449" i="1"/>
  <c r="H9449" i="1"/>
  <c r="A9450" i="1"/>
  <c r="B9450" i="1"/>
  <c r="C9450" i="1"/>
  <c r="D9450" i="1"/>
  <c r="E9450" i="1"/>
  <c r="F9450" i="1"/>
  <c r="G9450" i="1"/>
  <c r="H9450" i="1"/>
  <c r="A9451" i="1"/>
  <c r="B9451" i="1"/>
  <c r="C9451" i="1"/>
  <c r="D9451" i="1"/>
  <c r="E9451" i="1"/>
  <c r="F9451" i="1"/>
  <c r="G9451" i="1"/>
  <c r="H9451" i="1"/>
  <c r="A9452" i="1"/>
  <c r="B9452" i="1"/>
  <c r="C9452" i="1"/>
  <c r="D9452" i="1"/>
  <c r="E9452" i="1"/>
  <c r="F9452" i="1"/>
  <c r="G9452" i="1"/>
  <c r="H9452" i="1"/>
  <c r="A9453" i="1"/>
  <c r="B9453" i="1"/>
  <c r="C9453" i="1"/>
  <c r="D9453" i="1"/>
  <c r="E9453" i="1"/>
  <c r="F9453" i="1"/>
  <c r="G9453" i="1"/>
  <c r="H9453" i="1"/>
  <c r="A9454" i="1"/>
  <c r="B9454" i="1"/>
  <c r="C9454" i="1"/>
  <c r="D9454" i="1"/>
  <c r="E9454" i="1"/>
  <c r="F9454" i="1"/>
  <c r="G9454" i="1"/>
  <c r="H9454" i="1"/>
  <c r="A9455" i="1"/>
  <c r="B9455" i="1"/>
  <c r="C9455" i="1"/>
  <c r="D9455" i="1"/>
  <c r="E9455" i="1"/>
  <c r="F9455" i="1"/>
  <c r="G9455" i="1"/>
  <c r="H9455" i="1"/>
  <c r="A9456" i="1"/>
  <c r="B9456" i="1"/>
  <c r="C9456" i="1"/>
  <c r="D9456" i="1"/>
  <c r="E9456" i="1"/>
  <c r="F9456" i="1"/>
  <c r="G9456" i="1"/>
  <c r="H9456" i="1"/>
  <c r="A9457" i="1"/>
  <c r="B9457" i="1"/>
  <c r="C9457" i="1"/>
  <c r="D9457" i="1"/>
  <c r="E9457" i="1"/>
  <c r="F9457" i="1"/>
  <c r="G9457" i="1"/>
  <c r="H9457" i="1"/>
  <c r="A9458" i="1"/>
  <c r="B9458" i="1"/>
  <c r="C9458" i="1"/>
  <c r="D9458" i="1"/>
  <c r="E9458" i="1"/>
  <c r="F9458" i="1"/>
  <c r="G9458" i="1"/>
  <c r="H9458" i="1"/>
  <c r="A9459" i="1"/>
  <c r="B9459" i="1"/>
  <c r="C9459" i="1"/>
  <c r="D9459" i="1"/>
  <c r="E9459" i="1"/>
  <c r="F9459" i="1"/>
  <c r="G9459" i="1"/>
  <c r="H9459" i="1"/>
  <c r="A9460" i="1"/>
  <c r="B9460" i="1"/>
  <c r="C9460" i="1"/>
  <c r="D9460" i="1"/>
  <c r="E9460" i="1"/>
  <c r="F9460" i="1"/>
  <c r="G9460" i="1"/>
  <c r="H9460" i="1"/>
  <c r="A9461" i="1"/>
  <c r="B9461" i="1"/>
  <c r="C9461" i="1"/>
  <c r="D9461" i="1"/>
  <c r="E9461" i="1"/>
  <c r="F9461" i="1"/>
  <c r="G9461" i="1"/>
  <c r="H9461" i="1"/>
  <c r="A9462" i="1"/>
  <c r="B9462" i="1"/>
  <c r="C9462" i="1"/>
  <c r="D9462" i="1"/>
  <c r="E9462" i="1"/>
  <c r="F9462" i="1"/>
  <c r="G9462" i="1"/>
  <c r="H9462" i="1"/>
  <c r="A9463" i="1"/>
  <c r="B9463" i="1"/>
  <c r="C9463" i="1"/>
  <c r="D9463" i="1"/>
  <c r="E9463" i="1"/>
  <c r="F9463" i="1"/>
  <c r="G9463" i="1"/>
  <c r="H9463" i="1"/>
  <c r="A9464" i="1"/>
  <c r="B9464" i="1"/>
  <c r="C9464" i="1"/>
  <c r="D9464" i="1"/>
  <c r="E9464" i="1"/>
  <c r="F9464" i="1"/>
  <c r="G9464" i="1"/>
  <c r="H9464" i="1"/>
  <c r="A9465" i="1"/>
  <c r="B9465" i="1"/>
  <c r="C9465" i="1"/>
  <c r="D9465" i="1"/>
  <c r="E9465" i="1"/>
  <c r="F9465" i="1"/>
  <c r="G9465" i="1"/>
  <c r="H9465" i="1"/>
  <c r="A9466" i="1"/>
  <c r="B9466" i="1"/>
  <c r="C9466" i="1"/>
  <c r="D9466" i="1"/>
  <c r="E9466" i="1"/>
  <c r="F9466" i="1"/>
  <c r="G9466" i="1"/>
  <c r="H9466" i="1"/>
  <c r="A9467" i="1"/>
  <c r="B9467" i="1"/>
  <c r="C9467" i="1"/>
  <c r="D9467" i="1"/>
  <c r="E9467" i="1"/>
  <c r="F9467" i="1"/>
  <c r="G9467" i="1"/>
  <c r="H9467" i="1"/>
  <c r="A9468" i="1"/>
  <c r="B9468" i="1"/>
  <c r="C9468" i="1"/>
  <c r="D9468" i="1"/>
  <c r="E9468" i="1"/>
  <c r="F9468" i="1"/>
  <c r="G9468" i="1"/>
  <c r="H9468" i="1"/>
  <c r="A9469" i="1"/>
  <c r="B9469" i="1"/>
  <c r="C9469" i="1"/>
  <c r="D9469" i="1"/>
  <c r="E9469" i="1"/>
  <c r="F9469" i="1"/>
  <c r="G9469" i="1"/>
  <c r="H9469" i="1"/>
  <c r="A9470" i="1"/>
  <c r="B9470" i="1"/>
  <c r="C9470" i="1"/>
  <c r="D9470" i="1"/>
  <c r="E9470" i="1"/>
  <c r="F9470" i="1"/>
  <c r="G9470" i="1"/>
  <c r="H9470" i="1"/>
  <c r="A9471" i="1"/>
  <c r="B9471" i="1"/>
  <c r="C9471" i="1"/>
  <c r="D9471" i="1"/>
  <c r="E9471" i="1"/>
  <c r="F9471" i="1"/>
  <c r="G9471" i="1"/>
  <c r="H9471" i="1"/>
  <c r="A9472" i="1"/>
  <c r="B9472" i="1"/>
  <c r="C9472" i="1"/>
  <c r="D9472" i="1"/>
  <c r="E9472" i="1"/>
  <c r="F9472" i="1"/>
  <c r="G9472" i="1"/>
  <c r="H9472" i="1"/>
  <c r="A9473" i="1"/>
  <c r="B9473" i="1"/>
  <c r="C9473" i="1"/>
  <c r="D9473" i="1"/>
  <c r="E9473" i="1"/>
  <c r="F9473" i="1"/>
  <c r="G9473" i="1"/>
  <c r="H9473" i="1"/>
  <c r="A9474" i="1"/>
  <c r="B9474" i="1"/>
  <c r="C9474" i="1"/>
  <c r="D9474" i="1"/>
  <c r="E9474" i="1"/>
  <c r="F9474" i="1"/>
  <c r="G9474" i="1"/>
  <c r="H9474" i="1"/>
  <c r="A9475" i="1"/>
  <c r="B9475" i="1"/>
  <c r="C9475" i="1"/>
  <c r="D9475" i="1"/>
  <c r="E9475" i="1"/>
  <c r="F9475" i="1"/>
  <c r="G9475" i="1"/>
  <c r="H9475" i="1"/>
  <c r="A9476" i="1"/>
  <c r="B9476" i="1"/>
  <c r="C9476" i="1"/>
  <c r="D9476" i="1"/>
  <c r="E9476" i="1"/>
  <c r="F9476" i="1"/>
  <c r="G9476" i="1"/>
  <c r="H9476" i="1"/>
  <c r="A9477" i="1"/>
  <c r="B9477" i="1"/>
  <c r="C9477" i="1"/>
  <c r="D9477" i="1"/>
  <c r="E9477" i="1"/>
  <c r="F9477" i="1"/>
  <c r="G9477" i="1"/>
  <c r="H9477" i="1"/>
  <c r="A9478" i="1"/>
  <c r="B9478" i="1"/>
  <c r="C9478" i="1"/>
  <c r="D9478" i="1"/>
  <c r="E9478" i="1"/>
  <c r="F9478" i="1"/>
  <c r="G9478" i="1"/>
  <c r="H9478" i="1"/>
  <c r="A9479" i="1"/>
  <c r="B9479" i="1"/>
  <c r="C9479" i="1"/>
  <c r="D9479" i="1"/>
  <c r="E9479" i="1"/>
  <c r="F9479" i="1"/>
  <c r="G9479" i="1"/>
  <c r="H9479" i="1"/>
  <c r="A9480" i="1"/>
  <c r="B9480" i="1"/>
  <c r="C9480" i="1"/>
  <c r="D9480" i="1"/>
  <c r="E9480" i="1"/>
  <c r="F9480" i="1"/>
  <c r="G9480" i="1"/>
  <c r="H9480" i="1"/>
  <c r="A9481" i="1"/>
  <c r="B9481" i="1"/>
  <c r="C9481" i="1"/>
  <c r="D9481" i="1"/>
  <c r="E9481" i="1"/>
  <c r="F9481" i="1"/>
  <c r="G9481" i="1"/>
  <c r="H9481" i="1"/>
  <c r="A9482" i="1"/>
  <c r="B9482" i="1"/>
  <c r="C9482" i="1"/>
  <c r="D9482" i="1"/>
  <c r="E9482" i="1"/>
  <c r="F9482" i="1"/>
  <c r="G9482" i="1"/>
  <c r="H9482" i="1"/>
  <c r="A9483" i="1"/>
  <c r="B9483" i="1"/>
  <c r="C9483" i="1"/>
  <c r="D9483" i="1"/>
  <c r="E9483" i="1"/>
  <c r="F9483" i="1"/>
  <c r="G9483" i="1"/>
  <c r="H9483" i="1"/>
  <c r="A9484" i="1"/>
  <c r="B9484" i="1"/>
  <c r="C9484" i="1"/>
  <c r="D9484" i="1"/>
  <c r="E9484" i="1"/>
  <c r="F9484" i="1"/>
  <c r="G9484" i="1"/>
  <c r="H9484" i="1"/>
  <c r="A9485" i="1"/>
  <c r="B9485" i="1"/>
  <c r="C9485" i="1"/>
  <c r="D9485" i="1"/>
  <c r="E9485" i="1"/>
  <c r="F9485" i="1"/>
  <c r="G9485" i="1"/>
  <c r="H9485" i="1"/>
  <c r="A9486" i="1"/>
  <c r="B9486" i="1"/>
  <c r="C9486" i="1"/>
  <c r="D9486" i="1"/>
  <c r="E9486" i="1"/>
  <c r="F9486" i="1"/>
  <c r="G9486" i="1"/>
  <c r="H9486" i="1"/>
  <c r="A9487" i="1"/>
  <c r="B9487" i="1"/>
  <c r="C9487" i="1"/>
  <c r="D9487" i="1"/>
  <c r="E9487" i="1"/>
  <c r="F9487" i="1"/>
  <c r="G9487" i="1"/>
  <c r="H9487" i="1"/>
  <c r="A9488" i="1"/>
  <c r="B9488" i="1"/>
  <c r="C9488" i="1"/>
  <c r="D9488" i="1"/>
  <c r="E9488" i="1"/>
  <c r="F9488" i="1"/>
  <c r="G9488" i="1"/>
  <c r="H9488" i="1"/>
  <c r="A9489" i="1"/>
  <c r="B9489" i="1"/>
  <c r="C9489" i="1"/>
  <c r="D9489" i="1"/>
  <c r="E9489" i="1"/>
  <c r="F9489" i="1"/>
  <c r="G9489" i="1"/>
  <c r="H9489" i="1"/>
  <c r="A9490" i="1"/>
  <c r="B9490" i="1"/>
  <c r="C9490" i="1"/>
  <c r="D9490" i="1"/>
  <c r="E9490" i="1"/>
  <c r="F9490" i="1"/>
  <c r="G9490" i="1"/>
  <c r="H9490" i="1"/>
  <c r="A9491" i="1"/>
  <c r="B9491" i="1"/>
  <c r="C9491" i="1"/>
  <c r="D9491" i="1"/>
  <c r="E9491" i="1"/>
  <c r="F9491" i="1"/>
  <c r="G9491" i="1"/>
  <c r="H9491" i="1"/>
  <c r="A9492" i="1"/>
  <c r="B9492" i="1"/>
  <c r="C9492" i="1"/>
  <c r="D9492" i="1"/>
  <c r="E9492" i="1"/>
  <c r="F9492" i="1"/>
  <c r="G9492" i="1"/>
  <c r="H9492" i="1"/>
  <c r="A9493" i="1"/>
  <c r="B9493" i="1"/>
  <c r="C9493" i="1"/>
  <c r="D9493" i="1"/>
  <c r="E9493" i="1"/>
  <c r="F9493" i="1"/>
  <c r="G9493" i="1"/>
  <c r="H9493" i="1"/>
  <c r="A9494" i="1"/>
  <c r="B9494" i="1"/>
  <c r="C9494" i="1"/>
  <c r="D9494" i="1"/>
  <c r="E9494" i="1"/>
  <c r="F9494" i="1"/>
  <c r="G9494" i="1"/>
  <c r="H9494" i="1"/>
  <c r="A9495" i="1"/>
  <c r="B9495" i="1"/>
  <c r="C9495" i="1"/>
  <c r="D9495" i="1"/>
  <c r="E9495" i="1"/>
  <c r="F9495" i="1"/>
  <c r="G9495" i="1"/>
  <c r="H9495" i="1"/>
  <c r="A9496" i="1"/>
  <c r="B9496" i="1"/>
  <c r="C9496" i="1"/>
  <c r="D9496" i="1"/>
  <c r="E9496" i="1"/>
  <c r="F9496" i="1"/>
  <c r="G9496" i="1"/>
  <c r="H9496" i="1"/>
  <c r="A9497" i="1"/>
  <c r="B9497" i="1"/>
  <c r="C9497" i="1"/>
  <c r="D9497" i="1"/>
  <c r="E9497" i="1"/>
  <c r="F9497" i="1"/>
  <c r="G9497" i="1"/>
  <c r="H9497" i="1"/>
  <c r="A9498" i="1"/>
  <c r="B9498" i="1"/>
  <c r="C9498" i="1"/>
  <c r="D9498" i="1"/>
  <c r="E9498" i="1"/>
  <c r="F9498" i="1"/>
  <c r="G9498" i="1"/>
  <c r="H9498" i="1"/>
  <c r="A9499" i="1"/>
  <c r="B9499" i="1"/>
  <c r="C9499" i="1"/>
  <c r="D9499" i="1"/>
  <c r="E9499" i="1"/>
  <c r="F9499" i="1"/>
  <c r="G9499" i="1"/>
  <c r="H9499" i="1"/>
  <c r="A9500" i="1"/>
  <c r="B9500" i="1"/>
  <c r="C9500" i="1"/>
  <c r="D9500" i="1"/>
  <c r="E9500" i="1"/>
  <c r="F9500" i="1"/>
  <c r="G9500" i="1"/>
  <c r="H9500" i="1"/>
  <c r="A9501" i="1"/>
  <c r="B9501" i="1"/>
  <c r="C9501" i="1"/>
  <c r="D9501" i="1"/>
  <c r="E9501" i="1"/>
  <c r="F9501" i="1"/>
  <c r="G9501" i="1"/>
  <c r="H9501" i="1"/>
  <c r="A9502" i="1"/>
  <c r="B9502" i="1"/>
  <c r="C9502" i="1"/>
  <c r="D9502" i="1"/>
  <c r="E9502" i="1"/>
  <c r="F9502" i="1"/>
  <c r="G9502" i="1"/>
  <c r="H9502" i="1"/>
  <c r="A9503" i="1"/>
  <c r="B9503" i="1"/>
  <c r="C9503" i="1"/>
  <c r="D9503" i="1"/>
  <c r="E9503" i="1"/>
  <c r="F9503" i="1"/>
  <c r="G9503" i="1"/>
  <c r="H9503" i="1"/>
  <c r="A9504" i="1"/>
  <c r="B9504" i="1"/>
  <c r="C9504" i="1"/>
  <c r="D9504" i="1"/>
  <c r="E9504" i="1"/>
  <c r="F9504" i="1"/>
  <c r="G9504" i="1"/>
  <c r="H9504" i="1"/>
  <c r="A9505" i="1"/>
  <c r="B9505" i="1"/>
  <c r="C9505" i="1"/>
  <c r="D9505" i="1"/>
  <c r="E9505" i="1"/>
  <c r="F9505" i="1"/>
  <c r="G9505" i="1"/>
  <c r="H9505" i="1"/>
  <c r="A9506" i="1"/>
  <c r="B9506" i="1"/>
  <c r="C9506" i="1"/>
  <c r="D9506" i="1"/>
  <c r="E9506" i="1"/>
  <c r="F9506" i="1"/>
  <c r="G9506" i="1"/>
  <c r="H9506" i="1"/>
  <c r="A9507" i="1"/>
  <c r="B9507" i="1"/>
  <c r="C9507" i="1"/>
  <c r="D9507" i="1"/>
  <c r="E9507" i="1"/>
  <c r="F9507" i="1"/>
  <c r="G9507" i="1"/>
  <c r="H9507" i="1"/>
  <c r="A9508" i="1"/>
  <c r="B9508" i="1"/>
  <c r="C9508" i="1"/>
  <c r="D9508" i="1"/>
  <c r="E9508" i="1"/>
  <c r="F9508" i="1"/>
  <c r="G9508" i="1"/>
  <c r="H9508" i="1"/>
  <c r="A9509" i="1"/>
  <c r="B9509" i="1"/>
  <c r="C9509" i="1"/>
  <c r="D9509" i="1"/>
  <c r="E9509" i="1"/>
  <c r="F9509" i="1"/>
  <c r="G9509" i="1"/>
  <c r="H9509" i="1"/>
  <c r="A9510" i="1"/>
  <c r="B9510" i="1"/>
  <c r="C9510" i="1"/>
  <c r="D9510" i="1"/>
  <c r="E9510" i="1"/>
  <c r="F9510" i="1"/>
  <c r="G9510" i="1"/>
  <c r="H9510" i="1"/>
  <c r="A9511" i="1"/>
  <c r="B9511" i="1"/>
  <c r="C9511" i="1"/>
  <c r="D9511" i="1"/>
  <c r="E9511" i="1"/>
  <c r="F9511" i="1"/>
  <c r="G9511" i="1"/>
  <c r="H9511" i="1"/>
  <c r="A9512" i="1"/>
  <c r="B9512" i="1"/>
  <c r="C9512" i="1"/>
  <c r="D9512" i="1"/>
  <c r="E9512" i="1"/>
  <c r="F9512" i="1"/>
  <c r="G9512" i="1"/>
  <c r="H9512" i="1"/>
  <c r="A9513" i="1"/>
  <c r="B9513" i="1"/>
  <c r="C9513" i="1"/>
  <c r="D9513" i="1"/>
  <c r="E9513" i="1"/>
  <c r="F9513" i="1"/>
  <c r="G9513" i="1"/>
  <c r="H9513" i="1"/>
  <c r="A9514" i="1"/>
  <c r="B9514" i="1"/>
  <c r="C9514" i="1"/>
  <c r="D9514" i="1"/>
  <c r="E9514" i="1"/>
  <c r="F9514" i="1"/>
  <c r="G9514" i="1"/>
  <c r="H9514" i="1"/>
  <c r="A9515" i="1"/>
  <c r="B9515" i="1"/>
  <c r="C9515" i="1"/>
  <c r="D9515" i="1"/>
  <c r="E9515" i="1"/>
  <c r="F9515" i="1"/>
  <c r="G9515" i="1"/>
  <c r="H9515" i="1"/>
  <c r="A9516" i="1"/>
  <c r="B9516" i="1"/>
  <c r="C9516" i="1"/>
  <c r="D9516" i="1"/>
  <c r="E9516" i="1"/>
  <c r="F9516" i="1"/>
  <c r="G9516" i="1"/>
  <c r="H9516" i="1"/>
  <c r="A9517" i="1"/>
  <c r="B9517" i="1"/>
  <c r="C9517" i="1"/>
  <c r="D9517" i="1"/>
  <c r="E9517" i="1"/>
  <c r="F9517" i="1"/>
  <c r="G9517" i="1"/>
  <c r="H9517" i="1"/>
  <c r="A9518" i="1"/>
  <c r="B9518" i="1"/>
  <c r="C9518" i="1"/>
  <c r="D9518" i="1"/>
  <c r="E9518" i="1"/>
  <c r="F9518" i="1"/>
  <c r="G9518" i="1"/>
  <c r="H9518" i="1"/>
  <c r="A9519" i="1"/>
  <c r="B9519" i="1"/>
  <c r="C9519" i="1"/>
  <c r="D9519" i="1"/>
  <c r="E9519" i="1"/>
  <c r="F9519" i="1"/>
  <c r="G9519" i="1"/>
  <c r="H9519" i="1"/>
  <c r="A9520" i="1"/>
  <c r="B9520" i="1"/>
  <c r="C9520" i="1"/>
  <c r="D9520" i="1"/>
  <c r="E9520" i="1"/>
  <c r="F9520" i="1"/>
  <c r="G9520" i="1"/>
  <c r="H9520" i="1"/>
  <c r="A9521" i="1"/>
  <c r="B9521" i="1"/>
  <c r="C9521" i="1"/>
  <c r="D9521" i="1"/>
  <c r="E9521" i="1"/>
  <c r="F9521" i="1"/>
  <c r="G9521" i="1"/>
  <c r="H9521" i="1"/>
  <c r="A9522" i="1"/>
  <c r="B9522" i="1"/>
  <c r="C9522" i="1"/>
  <c r="D9522" i="1"/>
  <c r="E9522" i="1"/>
  <c r="F9522" i="1"/>
  <c r="G9522" i="1"/>
  <c r="H9522" i="1"/>
  <c r="A9523" i="1"/>
  <c r="B9523" i="1"/>
  <c r="C9523" i="1"/>
  <c r="D9523" i="1"/>
  <c r="E9523" i="1"/>
  <c r="F9523" i="1"/>
  <c r="G9523" i="1"/>
  <c r="H9523" i="1"/>
  <c r="A9524" i="1"/>
  <c r="B9524" i="1"/>
  <c r="C9524" i="1"/>
  <c r="D9524" i="1"/>
  <c r="E9524" i="1"/>
  <c r="F9524" i="1"/>
  <c r="G9524" i="1"/>
  <c r="H9524" i="1"/>
  <c r="A9525" i="1"/>
  <c r="B9525" i="1"/>
  <c r="C9525" i="1"/>
  <c r="D9525" i="1"/>
  <c r="E9525" i="1"/>
  <c r="F9525" i="1"/>
  <c r="G9525" i="1"/>
  <c r="H9525" i="1"/>
  <c r="A9526" i="1"/>
  <c r="B9526" i="1"/>
  <c r="C9526" i="1"/>
  <c r="D9526" i="1"/>
  <c r="E9526" i="1"/>
  <c r="F9526" i="1"/>
  <c r="G9526" i="1"/>
  <c r="H9526" i="1"/>
  <c r="A9527" i="1"/>
  <c r="B9527" i="1"/>
  <c r="C9527" i="1"/>
  <c r="D9527" i="1"/>
  <c r="E9527" i="1"/>
  <c r="F9527" i="1"/>
  <c r="G9527" i="1"/>
  <c r="H9527" i="1"/>
  <c r="A9528" i="1"/>
  <c r="B9528" i="1"/>
  <c r="C9528" i="1"/>
  <c r="D9528" i="1"/>
  <c r="E9528" i="1"/>
  <c r="F9528" i="1"/>
  <c r="G9528" i="1"/>
  <c r="H9528" i="1"/>
  <c r="A9529" i="1"/>
  <c r="B9529" i="1"/>
  <c r="C9529" i="1"/>
  <c r="D9529" i="1"/>
  <c r="E9529" i="1"/>
  <c r="F9529" i="1"/>
  <c r="G9529" i="1"/>
  <c r="H9529" i="1"/>
  <c r="A9530" i="1"/>
  <c r="B9530" i="1"/>
  <c r="C9530" i="1"/>
  <c r="D9530" i="1"/>
  <c r="E9530" i="1"/>
  <c r="F9530" i="1"/>
  <c r="G9530" i="1"/>
  <c r="H9530" i="1"/>
  <c r="A9531" i="1"/>
  <c r="B9531" i="1"/>
  <c r="C9531" i="1"/>
  <c r="D9531" i="1"/>
  <c r="E9531" i="1"/>
  <c r="F9531" i="1"/>
  <c r="G9531" i="1"/>
  <c r="H9531" i="1"/>
  <c r="A9532" i="1"/>
  <c r="B9532" i="1"/>
  <c r="C9532" i="1"/>
  <c r="D9532" i="1"/>
  <c r="E9532" i="1"/>
  <c r="F9532" i="1"/>
  <c r="G9532" i="1"/>
  <c r="H9532" i="1"/>
  <c r="A9533" i="1"/>
  <c r="B9533" i="1"/>
  <c r="C9533" i="1"/>
  <c r="D9533" i="1"/>
  <c r="E9533" i="1"/>
  <c r="F9533" i="1"/>
  <c r="G9533" i="1"/>
  <c r="H9533" i="1"/>
  <c r="A9534" i="1"/>
  <c r="B9534" i="1"/>
  <c r="C9534" i="1"/>
  <c r="D9534" i="1"/>
  <c r="E9534" i="1"/>
  <c r="F9534" i="1"/>
  <c r="G9534" i="1"/>
  <c r="H9534" i="1"/>
  <c r="A9535" i="1"/>
  <c r="B9535" i="1"/>
  <c r="C9535" i="1"/>
  <c r="D9535" i="1"/>
  <c r="E9535" i="1"/>
  <c r="F9535" i="1"/>
  <c r="G9535" i="1"/>
  <c r="H9535" i="1"/>
  <c r="A9536" i="1"/>
  <c r="B9536" i="1"/>
  <c r="C9536" i="1"/>
  <c r="D9536" i="1"/>
  <c r="E9536" i="1"/>
  <c r="F9536" i="1"/>
  <c r="G9536" i="1"/>
  <c r="H9536" i="1"/>
  <c r="A9537" i="1"/>
  <c r="B9537" i="1"/>
  <c r="C9537" i="1"/>
  <c r="D9537" i="1"/>
  <c r="E9537" i="1"/>
  <c r="F9537" i="1"/>
  <c r="G9537" i="1"/>
  <c r="H9537" i="1"/>
  <c r="A9538" i="1"/>
  <c r="B9538" i="1"/>
  <c r="C9538" i="1"/>
  <c r="D9538" i="1"/>
  <c r="E9538" i="1"/>
  <c r="F9538" i="1"/>
  <c r="G9538" i="1"/>
  <c r="H9538" i="1"/>
  <c r="A9539" i="1"/>
  <c r="B9539" i="1"/>
  <c r="C9539" i="1"/>
  <c r="D9539" i="1"/>
  <c r="E9539" i="1"/>
  <c r="F9539" i="1"/>
  <c r="G9539" i="1"/>
  <c r="H9539" i="1"/>
  <c r="A9540" i="1"/>
  <c r="B9540" i="1"/>
  <c r="C9540" i="1"/>
  <c r="D9540" i="1"/>
  <c r="E9540" i="1"/>
  <c r="F9540" i="1"/>
  <c r="G9540" i="1"/>
  <c r="H9540" i="1"/>
  <c r="A9541" i="1"/>
  <c r="B9541" i="1"/>
  <c r="C9541" i="1"/>
  <c r="D9541" i="1"/>
  <c r="E9541" i="1"/>
  <c r="F9541" i="1"/>
  <c r="G9541" i="1"/>
  <c r="H9541" i="1"/>
  <c r="A9542" i="1"/>
  <c r="B9542" i="1"/>
  <c r="C9542" i="1"/>
  <c r="D9542" i="1"/>
  <c r="E9542" i="1"/>
  <c r="F9542" i="1"/>
  <c r="G9542" i="1"/>
  <c r="H9542" i="1"/>
  <c r="A9543" i="1"/>
  <c r="B9543" i="1"/>
  <c r="C9543" i="1"/>
  <c r="D9543" i="1"/>
  <c r="E9543" i="1"/>
  <c r="F9543" i="1"/>
  <c r="G9543" i="1"/>
  <c r="H9543" i="1"/>
  <c r="A9544" i="1"/>
  <c r="B9544" i="1"/>
  <c r="C9544" i="1"/>
  <c r="D9544" i="1"/>
  <c r="E9544" i="1"/>
  <c r="F9544" i="1"/>
  <c r="G9544" i="1"/>
  <c r="H9544" i="1"/>
  <c r="A9545" i="1"/>
  <c r="B9545" i="1"/>
  <c r="C9545" i="1"/>
  <c r="D9545" i="1"/>
  <c r="E9545" i="1"/>
  <c r="F9545" i="1"/>
  <c r="G9545" i="1"/>
  <c r="H9545" i="1"/>
  <c r="A9546" i="1"/>
  <c r="B9546" i="1"/>
  <c r="C9546" i="1"/>
  <c r="D9546" i="1"/>
  <c r="E9546" i="1"/>
  <c r="F9546" i="1"/>
  <c r="G9546" i="1"/>
  <c r="H9546" i="1"/>
  <c r="A9547" i="1"/>
  <c r="B9547" i="1"/>
  <c r="C9547" i="1"/>
  <c r="D9547" i="1"/>
  <c r="E9547" i="1"/>
  <c r="F9547" i="1"/>
  <c r="G9547" i="1"/>
  <c r="H9547" i="1"/>
  <c r="A9548" i="1"/>
  <c r="B9548" i="1"/>
  <c r="C9548" i="1"/>
  <c r="D9548" i="1"/>
  <c r="E9548" i="1"/>
  <c r="F9548" i="1"/>
  <c r="G9548" i="1"/>
  <c r="H9548" i="1"/>
  <c r="A9549" i="1"/>
  <c r="B9549" i="1"/>
  <c r="C9549" i="1"/>
  <c r="D9549" i="1"/>
  <c r="E9549" i="1"/>
  <c r="F9549" i="1"/>
  <c r="G9549" i="1"/>
  <c r="H9549" i="1"/>
  <c r="A9550" i="1"/>
  <c r="B9550" i="1"/>
  <c r="C9550" i="1"/>
  <c r="D9550" i="1"/>
  <c r="E9550" i="1"/>
  <c r="F9550" i="1"/>
  <c r="G9550" i="1"/>
  <c r="H9550" i="1"/>
  <c r="A9551" i="1"/>
  <c r="B9551" i="1"/>
  <c r="C9551" i="1"/>
  <c r="D9551" i="1"/>
  <c r="E9551" i="1"/>
  <c r="F9551" i="1"/>
  <c r="G9551" i="1"/>
  <c r="H9551" i="1"/>
  <c r="A9552" i="1"/>
  <c r="B9552" i="1"/>
  <c r="C9552" i="1"/>
  <c r="D9552" i="1"/>
  <c r="E9552" i="1"/>
  <c r="F9552" i="1"/>
  <c r="G9552" i="1"/>
  <c r="H9552" i="1"/>
  <c r="A9553" i="1"/>
  <c r="B9553" i="1"/>
  <c r="C9553" i="1"/>
  <c r="D9553" i="1"/>
  <c r="E9553" i="1"/>
  <c r="F9553" i="1"/>
  <c r="G9553" i="1"/>
  <c r="H9553" i="1"/>
  <c r="A9554" i="1"/>
  <c r="B9554" i="1"/>
  <c r="C9554" i="1"/>
  <c r="D9554" i="1"/>
  <c r="E9554" i="1"/>
  <c r="F9554" i="1"/>
  <c r="G9554" i="1"/>
  <c r="H9554" i="1"/>
  <c r="A9555" i="1"/>
  <c r="B9555" i="1"/>
  <c r="C9555" i="1"/>
  <c r="D9555" i="1"/>
  <c r="E9555" i="1"/>
  <c r="F9555" i="1"/>
  <c r="G9555" i="1"/>
  <c r="H9555" i="1"/>
  <c r="A9556" i="1"/>
  <c r="B9556" i="1"/>
  <c r="C9556" i="1"/>
  <c r="D9556" i="1"/>
  <c r="E9556" i="1"/>
  <c r="F9556" i="1"/>
  <c r="G9556" i="1"/>
  <c r="H9556" i="1"/>
  <c r="A9557" i="1"/>
  <c r="B9557" i="1"/>
  <c r="C9557" i="1"/>
  <c r="D9557" i="1"/>
  <c r="E9557" i="1"/>
  <c r="F9557" i="1"/>
  <c r="G9557" i="1"/>
  <c r="H9557" i="1"/>
  <c r="A9558" i="1"/>
  <c r="B9558" i="1"/>
  <c r="C9558" i="1"/>
  <c r="D9558" i="1"/>
  <c r="E9558" i="1"/>
  <c r="F9558" i="1"/>
  <c r="G9558" i="1"/>
  <c r="H9558" i="1"/>
  <c r="A9559" i="1"/>
  <c r="B9559" i="1"/>
  <c r="C9559" i="1"/>
  <c r="D9559" i="1"/>
  <c r="E9559" i="1"/>
  <c r="F9559" i="1"/>
  <c r="G9559" i="1"/>
  <c r="H9559" i="1"/>
  <c r="A9560" i="1"/>
  <c r="B9560" i="1"/>
  <c r="C9560" i="1"/>
  <c r="D9560" i="1"/>
  <c r="E9560" i="1"/>
  <c r="F9560" i="1"/>
  <c r="G9560" i="1"/>
  <c r="H9560" i="1"/>
  <c r="A9561" i="1"/>
  <c r="B9561" i="1"/>
  <c r="C9561" i="1"/>
  <c r="D9561" i="1"/>
  <c r="E9561" i="1"/>
  <c r="F9561" i="1"/>
  <c r="G9561" i="1"/>
  <c r="H9561" i="1"/>
  <c r="A9562" i="1"/>
  <c r="B9562" i="1"/>
  <c r="C9562" i="1"/>
  <c r="D9562" i="1"/>
  <c r="E9562" i="1"/>
  <c r="F9562" i="1"/>
  <c r="G9562" i="1"/>
  <c r="H9562" i="1"/>
  <c r="A9563" i="1"/>
  <c r="B9563" i="1"/>
  <c r="C9563" i="1"/>
  <c r="D9563" i="1"/>
  <c r="E9563" i="1"/>
  <c r="F9563" i="1"/>
  <c r="G9563" i="1"/>
  <c r="H9563" i="1"/>
  <c r="A9564" i="1"/>
  <c r="B9564" i="1"/>
  <c r="C9564" i="1"/>
  <c r="D9564" i="1"/>
  <c r="E9564" i="1"/>
  <c r="F9564" i="1"/>
  <c r="G9564" i="1"/>
  <c r="H9564" i="1"/>
  <c r="A9565" i="1"/>
  <c r="B9565" i="1"/>
  <c r="C9565" i="1"/>
  <c r="D9565" i="1"/>
  <c r="E9565" i="1"/>
  <c r="F9565" i="1"/>
  <c r="G9565" i="1"/>
  <c r="H9565" i="1"/>
  <c r="A9566" i="1"/>
  <c r="B9566" i="1"/>
  <c r="C9566" i="1"/>
  <c r="D9566" i="1"/>
  <c r="E9566" i="1"/>
  <c r="F9566" i="1"/>
  <c r="G9566" i="1"/>
  <c r="H9566" i="1"/>
  <c r="A9567" i="1"/>
  <c r="B9567" i="1"/>
  <c r="C9567" i="1"/>
  <c r="D9567" i="1"/>
  <c r="E9567" i="1"/>
  <c r="F9567" i="1"/>
  <c r="G9567" i="1"/>
  <c r="H9567" i="1"/>
  <c r="A9568" i="1"/>
  <c r="B9568" i="1"/>
  <c r="C9568" i="1"/>
  <c r="D9568" i="1"/>
  <c r="E9568" i="1"/>
  <c r="F9568" i="1"/>
  <c r="G9568" i="1"/>
  <c r="H9568" i="1"/>
  <c r="A9569" i="1"/>
  <c r="B9569" i="1"/>
  <c r="C9569" i="1"/>
  <c r="D9569" i="1"/>
  <c r="E9569" i="1"/>
  <c r="F9569" i="1"/>
  <c r="G9569" i="1"/>
  <c r="H9569" i="1"/>
  <c r="A9570" i="1"/>
  <c r="B9570" i="1"/>
  <c r="C9570" i="1"/>
  <c r="D9570" i="1"/>
  <c r="E9570" i="1"/>
  <c r="F9570" i="1"/>
  <c r="G9570" i="1"/>
  <c r="H9570" i="1"/>
  <c r="A9571" i="1"/>
  <c r="B9571" i="1"/>
  <c r="C9571" i="1"/>
  <c r="D9571" i="1"/>
  <c r="E9571" i="1"/>
  <c r="F9571" i="1"/>
  <c r="G9571" i="1"/>
  <c r="H9571" i="1"/>
  <c r="A9572" i="1"/>
  <c r="B9572" i="1"/>
  <c r="C9572" i="1"/>
  <c r="D9572" i="1"/>
  <c r="E9572" i="1"/>
  <c r="F9572" i="1"/>
  <c r="G9572" i="1"/>
  <c r="H9572" i="1"/>
  <c r="A9573" i="1"/>
  <c r="B9573" i="1"/>
  <c r="C9573" i="1"/>
  <c r="D9573" i="1"/>
  <c r="E9573" i="1"/>
  <c r="F9573" i="1"/>
  <c r="G9573" i="1"/>
  <c r="H9573" i="1"/>
  <c r="A9574" i="1"/>
  <c r="B9574" i="1"/>
  <c r="C9574" i="1"/>
  <c r="D9574" i="1"/>
  <c r="E9574" i="1"/>
  <c r="F9574" i="1"/>
  <c r="G9574" i="1"/>
  <c r="H9574" i="1"/>
  <c r="A9575" i="1"/>
  <c r="B9575" i="1"/>
  <c r="C9575" i="1"/>
  <c r="D9575" i="1"/>
  <c r="E9575" i="1"/>
  <c r="F9575" i="1"/>
  <c r="G9575" i="1"/>
  <c r="H9575" i="1"/>
  <c r="A9576" i="1"/>
  <c r="B9576" i="1"/>
  <c r="C9576" i="1"/>
  <c r="D9576" i="1"/>
  <c r="E9576" i="1"/>
  <c r="F9576" i="1"/>
  <c r="G9576" i="1"/>
  <c r="H9576" i="1"/>
  <c r="A9577" i="1"/>
  <c r="B9577" i="1"/>
  <c r="C9577" i="1"/>
  <c r="D9577" i="1"/>
  <c r="E9577" i="1"/>
  <c r="F9577" i="1"/>
  <c r="G9577" i="1"/>
  <c r="H9577" i="1"/>
  <c r="A9578" i="1"/>
  <c r="B9578" i="1"/>
  <c r="C9578" i="1"/>
  <c r="D9578" i="1"/>
  <c r="E9578" i="1"/>
  <c r="F9578" i="1"/>
  <c r="G9578" i="1"/>
  <c r="H9578" i="1"/>
  <c r="A9579" i="1"/>
  <c r="B9579" i="1"/>
  <c r="C9579" i="1"/>
  <c r="D9579" i="1"/>
  <c r="E9579" i="1"/>
  <c r="F9579" i="1"/>
  <c r="G9579" i="1"/>
  <c r="H9579" i="1"/>
  <c r="A9580" i="1"/>
  <c r="B9580" i="1"/>
  <c r="C9580" i="1"/>
  <c r="D9580" i="1"/>
  <c r="E9580" i="1"/>
  <c r="F9580" i="1"/>
  <c r="G9580" i="1"/>
  <c r="H9580" i="1"/>
  <c r="A9581" i="1"/>
  <c r="B9581" i="1"/>
  <c r="C9581" i="1"/>
  <c r="D9581" i="1"/>
  <c r="E9581" i="1"/>
  <c r="F9581" i="1"/>
  <c r="G9581" i="1"/>
  <c r="H9581" i="1"/>
  <c r="A9582" i="1"/>
  <c r="B9582" i="1"/>
  <c r="C9582" i="1"/>
  <c r="D9582" i="1"/>
  <c r="E9582" i="1"/>
  <c r="F9582" i="1"/>
  <c r="G9582" i="1"/>
  <c r="H9582" i="1"/>
  <c r="A9583" i="1"/>
  <c r="B9583" i="1"/>
  <c r="C9583" i="1"/>
  <c r="D9583" i="1"/>
  <c r="E9583" i="1"/>
  <c r="F9583" i="1"/>
  <c r="G9583" i="1"/>
  <c r="H9583" i="1"/>
  <c r="A9584" i="1"/>
  <c r="B9584" i="1"/>
  <c r="C9584" i="1"/>
  <c r="D9584" i="1"/>
  <c r="E9584" i="1"/>
  <c r="F9584" i="1"/>
  <c r="G9584" i="1"/>
  <c r="H9584" i="1"/>
  <c r="A9585" i="1"/>
  <c r="B9585" i="1"/>
  <c r="C9585" i="1"/>
  <c r="D9585" i="1"/>
  <c r="E9585" i="1"/>
  <c r="F9585" i="1"/>
  <c r="G9585" i="1"/>
  <c r="H9585" i="1"/>
  <c r="A9586" i="1"/>
  <c r="B9586" i="1"/>
  <c r="C9586" i="1"/>
  <c r="D9586" i="1"/>
  <c r="E9586" i="1"/>
  <c r="F9586" i="1"/>
  <c r="G9586" i="1"/>
  <c r="H9586" i="1"/>
  <c r="A9587" i="1"/>
  <c r="B9587" i="1"/>
  <c r="C9587" i="1"/>
  <c r="D9587" i="1"/>
  <c r="E9587" i="1"/>
  <c r="F9587" i="1"/>
  <c r="G9587" i="1"/>
  <c r="H9587" i="1"/>
  <c r="A9588" i="1"/>
  <c r="B9588" i="1"/>
  <c r="C9588" i="1"/>
  <c r="D9588" i="1"/>
  <c r="E9588" i="1"/>
  <c r="F9588" i="1"/>
  <c r="G9588" i="1"/>
  <c r="H9588" i="1"/>
  <c r="A9589" i="1"/>
  <c r="B9589" i="1"/>
  <c r="C9589" i="1"/>
  <c r="D9589" i="1"/>
  <c r="E9589" i="1"/>
  <c r="F9589" i="1"/>
  <c r="G9589" i="1"/>
  <c r="H9589" i="1"/>
  <c r="A9590" i="1"/>
  <c r="B9590" i="1"/>
  <c r="C9590" i="1"/>
  <c r="D9590" i="1"/>
  <c r="E9590" i="1"/>
  <c r="F9590" i="1"/>
  <c r="G9590" i="1"/>
  <c r="H9590" i="1"/>
  <c r="A9591" i="1"/>
  <c r="B9591" i="1"/>
  <c r="C9591" i="1"/>
  <c r="D9591" i="1"/>
  <c r="E9591" i="1"/>
  <c r="F9591" i="1"/>
  <c r="G9591" i="1"/>
  <c r="H9591" i="1"/>
  <c r="A9592" i="1"/>
  <c r="B9592" i="1"/>
  <c r="C9592" i="1"/>
  <c r="D9592" i="1"/>
  <c r="E9592" i="1"/>
  <c r="F9592" i="1"/>
  <c r="G9592" i="1"/>
  <c r="H9592" i="1"/>
  <c r="A9593" i="1"/>
  <c r="B9593" i="1"/>
  <c r="C9593" i="1"/>
  <c r="D9593" i="1"/>
  <c r="E9593" i="1"/>
  <c r="F9593" i="1"/>
  <c r="G9593" i="1"/>
  <c r="H9593" i="1"/>
  <c r="A9594" i="1"/>
  <c r="B9594" i="1"/>
  <c r="C9594" i="1"/>
  <c r="D9594" i="1"/>
  <c r="E9594" i="1"/>
  <c r="F9594" i="1"/>
  <c r="G9594" i="1"/>
  <c r="H9594" i="1"/>
  <c r="A9595" i="1"/>
  <c r="B9595" i="1"/>
  <c r="C9595" i="1"/>
  <c r="D9595" i="1"/>
  <c r="E9595" i="1"/>
  <c r="F9595" i="1"/>
  <c r="G9595" i="1"/>
  <c r="H9595" i="1"/>
  <c r="A9596" i="1"/>
  <c r="B9596" i="1"/>
  <c r="C9596" i="1"/>
  <c r="D9596" i="1"/>
  <c r="E9596" i="1"/>
  <c r="F9596" i="1"/>
  <c r="G9596" i="1"/>
  <c r="H9596" i="1"/>
  <c r="A9597" i="1"/>
  <c r="B9597" i="1"/>
  <c r="C9597" i="1"/>
  <c r="D9597" i="1"/>
  <c r="E9597" i="1"/>
  <c r="F9597" i="1"/>
  <c r="G9597" i="1"/>
  <c r="H9597" i="1"/>
  <c r="A9598" i="1"/>
  <c r="B9598" i="1"/>
  <c r="C9598" i="1"/>
  <c r="D9598" i="1"/>
  <c r="E9598" i="1"/>
  <c r="F9598" i="1"/>
  <c r="G9598" i="1"/>
  <c r="H9598" i="1"/>
  <c r="A9599" i="1"/>
  <c r="B9599" i="1"/>
  <c r="C9599" i="1"/>
  <c r="D9599" i="1"/>
  <c r="E9599" i="1"/>
  <c r="F9599" i="1"/>
  <c r="G9599" i="1"/>
  <c r="H9599" i="1"/>
  <c r="A9600" i="1"/>
  <c r="B9600" i="1"/>
  <c r="C9600" i="1"/>
  <c r="D9600" i="1"/>
  <c r="E9600" i="1"/>
  <c r="F9600" i="1"/>
  <c r="G9600" i="1"/>
  <c r="H9600" i="1"/>
  <c r="A9601" i="1"/>
  <c r="B9601" i="1"/>
  <c r="C9601" i="1"/>
  <c r="D9601" i="1"/>
  <c r="E9601" i="1"/>
  <c r="F9601" i="1"/>
  <c r="G9601" i="1"/>
  <c r="H9601" i="1"/>
  <c r="A9602" i="1"/>
  <c r="B9602" i="1"/>
  <c r="C9602" i="1"/>
  <c r="D9602" i="1"/>
  <c r="E9602" i="1"/>
  <c r="F9602" i="1"/>
  <c r="G9602" i="1"/>
  <c r="H9602" i="1"/>
  <c r="A9603" i="1"/>
  <c r="B9603" i="1"/>
  <c r="C9603" i="1"/>
  <c r="D9603" i="1"/>
  <c r="E9603" i="1"/>
  <c r="F9603" i="1"/>
  <c r="G9603" i="1"/>
  <c r="H9603" i="1"/>
  <c r="A9604" i="1"/>
  <c r="B9604" i="1"/>
  <c r="C9604" i="1"/>
  <c r="D9604" i="1"/>
  <c r="E9604" i="1"/>
  <c r="F9604" i="1"/>
  <c r="G9604" i="1"/>
  <c r="H9604" i="1"/>
  <c r="A9605" i="1"/>
  <c r="B9605" i="1"/>
  <c r="C9605" i="1"/>
  <c r="D9605" i="1"/>
  <c r="E9605" i="1"/>
  <c r="F9605" i="1"/>
  <c r="G9605" i="1"/>
  <c r="H9605" i="1"/>
  <c r="A9606" i="1"/>
  <c r="B9606" i="1"/>
  <c r="C9606" i="1"/>
  <c r="D9606" i="1"/>
  <c r="E9606" i="1"/>
  <c r="F9606" i="1"/>
  <c r="G9606" i="1"/>
  <c r="H9606" i="1"/>
  <c r="A9607" i="1"/>
  <c r="B9607" i="1"/>
  <c r="C9607" i="1"/>
  <c r="D9607" i="1"/>
  <c r="E9607" i="1"/>
  <c r="F9607" i="1"/>
  <c r="G9607" i="1"/>
  <c r="H9607" i="1"/>
  <c r="A9608" i="1"/>
  <c r="B9608" i="1"/>
  <c r="C9608" i="1"/>
  <c r="D9608" i="1"/>
  <c r="E9608" i="1"/>
  <c r="F9608" i="1"/>
  <c r="G9608" i="1"/>
  <c r="H9608" i="1"/>
  <c r="A9609" i="1"/>
  <c r="B9609" i="1"/>
  <c r="C9609" i="1"/>
  <c r="D9609" i="1"/>
  <c r="E9609" i="1"/>
  <c r="F9609" i="1"/>
  <c r="G9609" i="1"/>
  <c r="H9609" i="1"/>
  <c r="A9610" i="1"/>
  <c r="B9610" i="1"/>
  <c r="C9610" i="1"/>
  <c r="D9610" i="1"/>
  <c r="E9610" i="1"/>
  <c r="F9610" i="1"/>
  <c r="G9610" i="1"/>
  <c r="H9610" i="1"/>
  <c r="A9611" i="1"/>
  <c r="B9611" i="1"/>
  <c r="C9611" i="1"/>
  <c r="D9611" i="1"/>
  <c r="E9611" i="1"/>
  <c r="F9611" i="1"/>
  <c r="G9611" i="1"/>
  <c r="H9611" i="1"/>
  <c r="A9612" i="1"/>
  <c r="B9612" i="1"/>
  <c r="C9612" i="1"/>
  <c r="D9612" i="1"/>
  <c r="E9612" i="1"/>
  <c r="F9612" i="1"/>
  <c r="G9612" i="1"/>
  <c r="H9612" i="1"/>
  <c r="A9613" i="1"/>
  <c r="B9613" i="1"/>
  <c r="C9613" i="1"/>
  <c r="D9613" i="1"/>
  <c r="E9613" i="1"/>
  <c r="F9613" i="1"/>
  <c r="G9613" i="1"/>
  <c r="H9613" i="1"/>
  <c r="A9614" i="1"/>
  <c r="B9614" i="1"/>
  <c r="C9614" i="1"/>
  <c r="D9614" i="1"/>
  <c r="E9614" i="1"/>
  <c r="F9614" i="1"/>
  <c r="G9614" i="1"/>
  <c r="H9614" i="1"/>
  <c r="A9615" i="1"/>
  <c r="B9615" i="1"/>
  <c r="C9615" i="1"/>
  <c r="D9615" i="1"/>
  <c r="E9615" i="1"/>
  <c r="F9615" i="1"/>
  <c r="G9615" i="1"/>
  <c r="H9615" i="1"/>
  <c r="A9616" i="1"/>
  <c r="B9616" i="1"/>
  <c r="C9616" i="1"/>
  <c r="D9616" i="1"/>
  <c r="E9616" i="1"/>
  <c r="F9616" i="1"/>
  <c r="G9616" i="1"/>
  <c r="H9616" i="1"/>
  <c r="A9617" i="1"/>
  <c r="B9617" i="1"/>
  <c r="C9617" i="1"/>
  <c r="D9617" i="1"/>
  <c r="E9617" i="1"/>
  <c r="F9617" i="1"/>
  <c r="G9617" i="1"/>
  <c r="H9617" i="1"/>
  <c r="A9618" i="1"/>
  <c r="B9618" i="1"/>
  <c r="C9618" i="1"/>
  <c r="D9618" i="1"/>
  <c r="E9618" i="1"/>
  <c r="F9618" i="1"/>
  <c r="G9618" i="1"/>
  <c r="H9618" i="1"/>
  <c r="A9619" i="1"/>
  <c r="B9619" i="1"/>
  <c r="C9619" i="1"/>
  <c r="D9619" i="1"/>
  <c r="E9619" i="1"/>
  <c r="F9619" i="1"/>
  <c r="G9619" i="1"/>
  <c r="H9619" i="1"/>
  <c r="A9620" i="1"/>
  <c r="B9620" i="1"/>
  <c r="C9620" i="1"/>
  <c r="D9620" i="1"/>
  <c r="E9620" i="1"/>
  <c r="F9620" i="1"/>
  <c r="G9620" i="1"/>
  <c r="H9620" i="1"/>
  <c r="A9621" i="1"/>
  <c r="B9621" i="1"/>
  <c r="C9621" i="1"/>
  <c r="D9621" i="1"/>
  <c r="E9621" i="1"/>
  <c r="F9621" i="1"/>
  <c r="G9621" i="1"/>
  <c r="H9621" i="1"/>
  <c r="A9622" i="1"/>
  <c r="B9622" i="1"/>
  <c r="C9622" i="1"/>
  <c r="D9622" i="1"/>
  <c r="E9622" i="1"/>
  <c r="F9622" i="1"/>
  <c r="G9622" i="1"/>
  <c r="H9622" i="1"/>
  <c r="A9623" i="1"/>
  <c r="B9623" i="1"/>
  <c r="C9623" i="1"/>
  <c r="D9623" i="1"/>
  <c r="E9623" i="1"/>
  <c r="F9623" i="1"/>
  <c r="G9623" i="1"/>
  <c r="H9623" i="1"/>
  <c r="A9624" i="1"/>
  <c r="B9624" i="1"/>
  <c r="C9624" i="1"/>
  <c r="D9624" i="1"/>
  <c r="E9624" i="1"/>
  <c r="F9624" i="1"/>
  <c r="G9624" i="1"/>
  <c r="H9624" i="1"/>
  <c r="A9625" i="1"/>
  <c r="B9625" i="1"/>
  <c r="C9625" i="1"/>
  <c r="D9625" i="1"/>
  <c r="E9625" i="1"/>
  <c r="F9625" i="1"/>
  <c r="G9625" i="1"/>
  <c r="H9625" i="1"/>
  <c r="A9626" i="1"/>
  <c r="B9626" i="1"/>
  <c r="C9626" i="1"/>
  <c r="D9626" i="1"/>
  <c r="E9626" i="1"/>
  <c r="F9626" i="1"/>
  <c r="G9626" i="1"/>
  <c r="H9626" i="1"/>
  <c r="A9627" i="1"/>
  <c r="B9627" i="1"/>
  <c r="C9627" i="1"/>
  <c r="D9627" i="1"/>
  <c r="E9627" i="1"/>
  <c r="F9627" i="1"/>
  <c r="G9627" i="1"/>
  <c r="H9627" i="1"/>
  <c r="A9628" i="1"/>
  <c r="B9628" i="1"/>
  <c r="C9628" i="1"/>
  <c r="D9628" i="1"/>
  <c r="E9628" i="1"/>
  <c r="F9628" i="1"/>
  <c r="G9628" i="1"/>
  <c r="H9628" i="1"/>
  <c r="A9629" i="1"/>
  <c r="B9629" i="1"/>
  <c r="C9629" i="1"/>
  <c r="D9629" i="1"/>
  <c r="E9629" i="1"/>
  <c r="F9629" i="1"/>
  <c r="G9629" i="1"/>
  <c r="H9629" i="1"/>
  <c r="A9630" i="1"/>
  <c r="B9630" i="1"/>
  <c r="C9630" i="1"/>
  <c r="D9630" i="1"/>
  <c r="E9630" i="1"/>
  <c r="F9630" i="1"/>
  <c r="G9630" i="1"/>
  <c r="H9630" i="1"/>
  <c r="A9631" i="1"/>
  <c r="B9631" i="1"/>
  <c r="C9631" i="1"/>
  <c r="D9631" i="1"/>
  <c r="E9631" i="1"/>
  <c r="F9631" i="1"/>
  <c r="G9631" i="1"/>
  <c r="H9631" i="1"/>
  <c r="A9632" i="1"/>
  <c r="B9632" i="1"/>
  <c r="C9632" i="1"/>
  <c r="D9632" i="1"/>
  <c r="E9632" i="1"/>
  <c r="F9632" i="1"/>
  <c r="G9632" i="1"/>
  <c r="H9632" i="1"/>
  <c r="A9633" i="1"/>
  <c r="B9633" i="1"/>
  <c r="C9633" i="1"/>
  <c r="D9633" i="1"/>
  <c r="E9633" i="1"/>
  <c r="F9633" i="1"/>
  <c r="G9633" i="1"/>
  <c r="H9633" i="1"/>
  <c r="A9634" i="1"/>
  <c r="B9634" i="1"/>
  <c r="C9634" i="1"/>
  <c r="D9634" i="1"/>
  <c r="E9634" i="1"/>
  <c r="F9634" i="1"/>
  <c r="G9634" i="1"/>
  <c r="H9634" i="1"/>
  <c r="A9635" i="1"/>
  <c r="B9635" i="1"/>
  <c r="C9635" i="1"/>
  <c r="D9635" i="1"/>
  <c r="E9635" i="1"/>
  <c r="F9635" i="1"/>
  <c r="G9635" i="1"/>
  <c r="H9635" i="1"/>
  <c r="A9636" i="1"/>
  <c r="B9636" i="1"/>
  <c r="C9636" i="1"/>
  <c r="D9636" i="1"/>
  <c r="E9636" i="1"/>
  <c r="F9636" i="1"/>
  <c r="G9636" i="1"/>
  <c r="H9636" i="1"/>
  <c r="A9637" i="1"/>
  <c r="B9637" i="1"/>
  <c r="C9637" i="1"/>
  <c r="D9637" i="1"/>
  <c r="E9637" i="1"/>
  <c r="F9637" i="1"/>
  <c r="G9637" i="1"/>
  <c r="H9637" i="1"/>
  <c r="A9638" i="1"/>
  <c r="B9638" i="1"/>
  <c r="C9638" i="1"/>
  <c r="D9638" i="1"/>
  <c r="E9638" i="1"/>
  <c r="F9638" i="1"/>
  <c r="G9638" i="1"/>
  <c r="H9638" i="1"/>
  <c r="A9639" i="1"/>
  <c r="B9639" i="1"/>
  <c r="C9639" i="1"/>
  <c r="D9639" i="1"/>
  <c r="E9639" i="1"/>
  <c r="F9639" i="1"/>
  <c r="G9639" i="1"/>
  <c r="H9639" i="1"/>
  <c r="A9640" i="1"/>
  <c r="B9640" i="1"/>
  <c r="C9640" i="1"/>
  <c r="D9640" i="1"/>
  <c r="E9640" i="1"/>
  <c r="F9640" i="1"/>
  <c r="G9640" i="1"/>
  <c r="H9640" i="1"/>
  <c r="A9641" i="1"/>
  <c r="B9641" i="1"/>
  <c r="C9641" i="1"/>
  <c r="D9641" i="1"/>
  <c r="E9641" i="1"/>
  <c r="F9641" i="1"/>
  <c r="G9641" i="1"/>
  <c r="H9641" i="1"/>
  <c r="A9642" i="1"/>
  <c r="B9642" i="1"/>
  <c r="C9642" i="1"/>
  <c r="D9642" i="1"/>
  <c r="E9642" i="1"/>
  <c r="F9642" i="1"/>
  <c r="G9642" i="1"/>
  <c r="H9642" i="1"/>
  <c r="A9643" i="1"/>
  <c r="B9643" i="1"/>
  <c r="C9643" i="1"/>
  <c r="D9643" i="1"/>
  <c r="E9643" i="1"/>
  <c r="F9643" i="1"/>
  <c r="G9643" i="1"/>
  <c r="H9643" i="1"/>
  <c r="A9644" i="1"/>
  <c r="B9644" i="1"/>
  <c r="C9644" i="1"/>
  <c r="D9644" i="1"/>
  <c r="E9644" i="1"/>
  <c r="F9644" i="1"/>
  <c r="G9644" i="1"/>
  <c r="H9644" i="1"/>
  <c r="A9645" i="1"/>
  <c r="B9645" i="1"/>
  <c r="C9645" i="1"/>
  <c r="D9645" i="1"/>
  <c r="E9645" i="1"/>
  <c r="F9645" i="1"/>
  <c r="G9645" i="1"/>
  <c r="H9645" i="1"/>
  <c r="A9646" i="1"/>
  <c r="B9646" i="1"/>
  <c r="C9646" i="1"/>
  <c r="D9646" i="1"/>
  <c r="E9646" i="1"/>
  <c r="F9646" i="1"/>
  <c r="G9646" i="1"/>
  <c r="H9646" i="1"/>
  <c r="A9647" i="1"/>
  <c r="B9647" i="1"/>
  <c r="C9647" i="1"/>
  <c r="D9647" i="1"/>
  <c r="E9647" i="1"/>
  <c r="F9647" i="1"/>
  <c r="G9647" i="1"/>
  <c r="H9647" i="1"/>
  <c r="A9648" i="1"/>
  <c r="B9648" i="1"/>
  <c r="C9648" i="1"/>
  <c r="D9648" i="1"/>
  <c r="E9648" i="1"/>
  <c r="F9648" i="1"/>
  <c r="G9648" i="1"/>
  <c r="H9648" i="1"/>
  <c r="A9649" i="1"/>
  <c r="B9649" i="1"/>
  <c r="C9649" i="1"/>
  <c r="D9649" i="1"/>
  <c r="E9649" i="1"/>
  <c r="F9649" i="1"/>
  <c r="G9649" i="1"/>
  <c r="H9649" i="1"/>
  <c r="A9650" i="1"/>
  <c r="B9650" i="1"/>
  <c r="C9650" i="1"/>
  <c r="D9650" i="1"/>
  <c r="E9650" i="1"/>
  <c r="F9650" i="1"/>
  <c r="G9650" i="1"/>
  <c r="H9650" i="1"/>
  <c r="A9651" i="1"/>
  <c r="B9651" i="1"/>
  <c r="C9651" i="1"/>
  <c r="D9651" i="1"/>
  <c r="E9651" i="1"/>
  <c r="F9651" i="1"/>
  <c r="G9651" i="1"/>
  <c r="H9651" i="1"/>
  <c r="A9652" i="1"/>
  <c r="B9652" i="1"/>
  <c r="C9652" i="1"/>
  <c r="D9652" i="1"/>
  <c r="E9652" i="1"/>
  <c r="F9652" i="1"/>
  <c r="G9652" i="1"/>
  <c r="H9652" i="1"/>
  <c r="A9653" i="1"/>
  <c r="B9653" i="1"/>
  <c r="C9653" i="1"/>
  <c r="D9653" i="1"/>
  <c r="E9653" i="1"/>
  <c r="F9653" i="1"/>
  <c r="G9653" i="1"/>
  <c r="H9653" i="1"/>
  <c r="A9654" i="1"/>
  <c r="B9654" i="1"/>
  <c r="C9654" i="1"/>
  <c r="D9654" i="1"/>
  <c r="E9654" i="1"/>
  <c r="F9654" i="1"/>
  <c r="G9654" i="1"/>
  <c r="H9654" i="1"/>
  <c r="A9655" i="1"/>
  <c r="B9655" i="1"/>
  <c r="C9655" i="1"/>
  <c r="D9655" i="1"/>
  <c r="E9655" i="1"/>
  <c r="F9655" i="1"/>
  <c r="G9655" i="1"/>
  <c r="H9655" i="1"/>
  <c r="A9656" i="1"/>
  <c r="B9656" i="1"/>
  <c r="C9656" i="1"/>
  <c r="D9656" i="1"/>
  <c r="E9656" i="1"/>
  <c r="F9656" i="1"/>
  <c r="G9656" i="1"/>
  <c r="H9656" i="1"/>
  <c r="A9657" i="1"/>
  <c r="B9657" i="1"/>
  <c r="C9657" i="1"/>
  <c r="D9657" i="1"/>
  <c r="E9657" i="1"/>
  <c r="F9657" i="1"/>
  <c r="G9657" i="1"/>
  <c r="H9657" i="1"/>
  <c r="A9658" i="1"/>
  <c r="B9658" i="1"/>
  <c r="C9658" i="1"/>
  <c r="D9658" i="1"/>
  <c r="E9658" i="1"/>
  <c r="F9658" i="1"/>
  <c r="G9658" i="1"/>
  <c r="H9658" i="1"/>
  <c r="A9659" i="1"/>
  <c r="B9659" i="1"/>
  <c r="C9659" i="1"/>
  <c r="D9659" i="1"/>
  <c r="E9659" i="1"/>
  <c r="F9659" i="1"/>
  <c r="G9659" i="1"/>
  <c r="H9659" i="1"/>
  <c r="A9660" i="1"/>
  <c r="B9660" i="1"/>
  <c r="C9660" i="1"/>
  <c r="D9660" i="1"/>
  <c r="E9660" i="1"/>
  <c r="F9660" i="1"/>
  <c r="G9660" i="1"/>
  <c r="H9660" i="1"/>
  <c r="A9661" i="1"/>
  <c r="B9661" i="1"/>
  <c r="C9661" i="1"/>
  <c r="D9661" i="1"/>
  <c r="E9661" i="1"/>
  <c r="F9661" i="1"/>
  <c r="G9661" i="1"/>
  <c r="H9661" i="1"/>
  <c r="A9662" i="1"/>
  <c r="B9662" i="1"/>
  <c r="C9662" i="1"/>
  <c r="D9662" i="1"/>
  <c r="E9662" i="1"/>
  <c r="F9662" i="1"/>
  <c r="G9662" i="1"/>
  <c r="H9662" i="1"/>
  <c r="A9663" i="1"/>
  <c r="B9663" i="1"/>
  <c r="C9663" i="1"/>
  <c r="D9663" i="1"/>
  <c r="E9663" i="1"/>
  <c r="F9663" i="1"/>
  <c r="G9663" i="1"/>
  <c r="H9663" i="1"/>
  <c r="A9664" i="1"/>
  <c r="B9664" i="1"/>
  <c r="C9664" i="1"/>
  <c r="D9664" i="1"/>
  <c r="E9664" i="1"/>
  <c r="F9664" i="1"/>
  <c r="G9664" i="1"/>
  <c r="H9664" i="1"/>
  <c r="A9665" i="1"/>
  <c r="B9665" i="1"/>
  <c r="C9665" i="1"/>
  <c r="D9665" i="1"/>
  <c r="E9665" i="1"/>
  <c r="F9665" i="1"/>
  <c r="G9665" i="1"/>
  <c r="H9665" i="1"/>
  <c r="A9666" i="1"/>
  <c r="B9666" i="1"/>
  <c r="C9666" i="1"/>
  <c r="D9666" i="1"/>
  <c r="E9666" i="1"/>
  <c r="F9666" i="1"/>
  <c r="G9666" i="1"/>
  <c r="H9666" i="1"/>
  <c r="A9667" i="1"/>
  <c r="B9667" i="1"/>
  <c r="C9667" i="1"/>
  <c r="D9667" i="1"/>
  <c r="E9667" i="1"/>
  <c r="F9667" i="1"/>
  <c r="G9667" i="1"/>
  <c r="H9667" i="1"/>
  <c r="A9668" i="1"/>
  <c r="B9668" i="1"/>
  <c r="C9668" i="1"/>
  <c r="D9668" i="1"/>
  <c r="E9668" i="1"/>
  <c r="F9668" i="1"/>
  <c r="G9668" i="1"/>
  <c r="H9668" i="1"/>
  <c r="A9669" i="1"/>
  <c r="B9669" i="1"/>
  <c r="C9669" i="1"/>
  <c r="D9669" i="1"/>
  <c r="E9669" i="1"/>
  <c r="F9669" i="1"/>
  <c r="G9669" i="1"/>
  <c r="H9669" i="1"/>
  <c r="A9670" i="1"/>
  <c r="B9670" i="1"/>
  <c r="C9670" i="1"/>
  <c r="D9670" i="1"/>
  <c r="E9670" i="1"/>
  <c r="F9670" i="1"/>
  <c r="G9670" i="1"/>
  <c r="H9670" i="1"/>
  <c r="A9671" i="1"/>
  <c r="B9671" i="1"/>
  <c r="C9671" i="1"/>
  <c r="D9671" i="1"/>
  <c r="E9671" i="1"/>
  <c r="F9671" i="1"/>
  <c r="G9671" i="1"/>
  <c r="H9671" i="1"/>
  <c r="A9672" i="1"/>
  <c r="B9672" i="1"/>
  <c r="C9672" i="1"/>
  <c r="D9672" i="1"/>
  <c r="E9672" i="1"/>
  <c r="F9672" i="1"/>
  <c r="G9672" i="1"/>
  <c r="H9672" i="1"/>
  <c r="A9673" i="1"/>
  <c r="B9673" i="1"/>
  <c r="C9673" i="1"/>
  <c r="D9673" i="1"/>
  <c r="E9673" i="1"/>
  <c r="F9673" i="1"/>
  <c r="G9673" i="1"/>
  <c r="H9673" i="1"/>
  <c r="A9674" i="1"/>
  <c r="B9674" i="1"/>
  <c r="C9674" i="1"/>
  <c r="D9674" i="1"/>
  <c r="E9674" i="1"/>
  <c r="F9674" i="1"/>
  <c r="G9674" i="1"/>
  <c r="H9674" i="1"/>
  <c r="A9675" i="1"/>
  <c r="B9675" i="1"/>
  <c r="C9675" i="1"/>
  <c r="D9675" i="1"/>
  <c r="E9675" i="1"/>
  <c r="F9675" i="1"/>
  <c r="G9675" i="1"/>
  <c r="H9675" i="1"/>
  <c r="A9676" i="1"/>
  <c r="B9676" i="1"/>
  <c r="C9676" i="1"/>
  <c r="D9676" i="1"/>
  <c r="E9676" i="1"/>
  <c r="F9676" i="1"/>
  <c r="G9676" i="1"/>
  <c r="H9676" i="1"/>
  <c r="A9677" i="1"/>
  <c r="B9677" i="1"/>
  <c r="C9677" i="1"/>
  <c r="D9677" i="1"/>
  <c r="E9677" i="1"/>
  <c r="F9677" i="1"/>
  <c r="G9677" i="1"/>
  <c r="H9677" i="1"/>
  <c r="A9678" i="1"/>
  <c r="B9678" i="1"/>
  <c r="C9678" i="1"/>
  <c r="D9678" i="1"/>
  <c r="E9678" i="1"/>
  <c r="F9678" i="1"/>
  <c r="G9678" i="1"/>
  <c r="H9678" i="1"/>
  <c r="A9679" i="1"/>
  <c r="B9679" i="1"/>
  <c r="C9679" i="1"/>
  <c r="D9679" i="1"/>
  <c r="E9679" i="1"/>
  <c r="F9679" i="1"/>
  <c r="G9679" i="1"/>
  <c r="H9679" i="1"/>
  <c r="A9680" i="1"/>
  <c r="B9680" i="1"/>
  <c r="C9680" i="1"/>
  <c r="D9680" i="1"/>
  <c r="E9680" i="1"/>
  <c r="F9680" i="1"/>
  <c r="G9680" i="1"/>
  <c r="H9680" i="1"/>
  <c r="A9681" i="1"/>
  <c r="B9681" i="1"/>
  <c r="C9681" i="1"/>
  <c r="D9681" i="1"/>
  <c r="E9681" i="1"/>
  <c r="F9681" i="1"/>
  <c r="G9681" i="1"/>
  <c r="H9681" i="1"/>
  <c r="A9682" i="1"/>
  <c r="B9682" i="1"/>
  <c r="C9682" i="1"/>
  <c r="D9682" i="1"/>
  <c r="E9682" i="1"/>
  <c r="F9682" i="1"/>
  <c r="G9682" i="1"/>
  <c r="H9682" i="1"/>
  <c r="A9683" i="1"/>
  <c r="B9683" i="1"/>
  <c r="C9683" i="1"/>
  <c r="D9683" i="1"/>
  <c r="E9683" i="1"/>
  <c r="F9683" i="1"/>
  <c r="G9683" i="1"/>
  <c r="H9683" i="1"/>
  <c r="A9684" i="1"/>
  <c r="B9684" i="1"/>
  <c r="C9684" i="1"/>
  <c r="D9684" i="1"/>
  <c r="E9684" i="1"/>
  <c r="F9684" i="1"/>
  <c r="G9684" i="1"/>
  <c r="H9684" i="1"/>
  <c r="A9685" i="1"/>
  <c r="B9685" i="1"/>
  <c r="C9685" i="1"/>
  <c r="D9685" i="1"/>
  <c r="E9685" i="1"/>
  <c r="F9685" i="1"/>
  <c r="G9685" i="1"/>
  <c r="H9685" i="1"/>
  <c r="A9686" i="1"/>
  <c r="B9686" i="1"/>
  <c r="C9686" i="1"/>
  <c r="D9686" i="1"/>
  <c r="E9686" i="1"/>
  <c r="F9686" i="1"/>
  <c r="G9686" i="1"/>
  <c r="H9686" i="1"/>
  <c r="A9687" i="1"/>
  <c r="B9687" i="1"/>
  <c r="C9687" i="1"/>
  <c r="D9687" i="1"/>
  <c r="E9687" i="1"/>
  <c r="F9687" i="1"/>
  <c r="G9687" i="1"/>
  <c r="H9687" i="1"/>
  <c r="A9688" i="1"/>
  <c r="B9688" i="1"/>
  <c r="C9688" i="1"/>
  <c r="D9688" i="1"/>
  <c r="E9688" i="1"/>
  <c r="F9688" i="1"/>
  <c r="G9688" i="1"/>
  <c r="H9688" i="1"/>
  <c r="A9689" i="1"/>
  <c r="B9689" i="1"/>
  <c r="C9689" i="1"/>
  <c r="D9689" i="1"/>
  <c r="E9689" i="1"/>
  <c r="F9689" i="1"/>
  <c r="G9689" i="1"/>
  <c r="H9689" i="1"/>
  <c r="A9690" i="1"/>
  <c r="B9690" i="1"/>
  <c r="C9690" i="1"/>
  <c r="D9690" i="1"/>
  <c r="E9690" i="1"/>
  <c r="F9690" i="1"/>
  <c r="G9690" i="1"/>
  <c r="H9690" i="1"/>
  <c r="A9691" i="1"/>
  <c r="B9691" i="1"/>
  <c r="C9691" i="1"/>
  <c r="D9691" i="1"/>
  <c r="E9691" i="1"/>
  <c r="F9691" i="1"/>
  <c r="G9691" i="1"/>
  <c r="H9691" i="1"/>
  <c r="A9692" i="1"/>
  <c r="B9692" i="1"/>
  <c r="C9692" i="1"/>
  <c r="D9692" i="1"/>
  <c r="E9692" i="1"/>
  <c r="F9692" i="1"/>
  <c r="G9692" i="1"/>
  <c r="H9692" i="1"/>
  <c r="A9693" i="1"/>
  <c r="B9693" i="1"/>
  <c r="C9693" i="1"/>
  <c r="D9693" i="1"/>
  <c r="E9693" i="1"/>
  <c r="F9693" i="1"/>
  <c r="G9693" i="1"/>
  <c r="H9693" i="1"/>
  <c r="A9694" i="1"/>
  <c r="B9694" i="1"/>
  <c r="C9694" i="1"/>
  <c r="D9694" i="1"/>
  <c r="E9694" i="1"/>
  <c r="F9694" i="1"/>
  <c r="G9694" i="1"/>
  <c r="H9694" i="1"/>
  <c r="A9695" i="1"/>
  <c r="B9695" i="1"/>
  <c r="C9695" i="1"/>
  <c r="D9695" i="1"/>
  <c r="E9695" i="1"/>
  <c r="F9695" i="1"/>
  <c r="G9695" i="1"/>
  <c r="H9695" i="1"/>
  <c r="A9696" i="1"/>
  <c r="B9696" i="1"/>
  <c r="C9696" i="1"/>
  <c r="D9696" i="1"/>
  <c r="E9696" i="1"/>
  <c r="F9696" i="1"/>
  <c r="G9696" i="1"/>
  <c r="H9696" i="1"/>
  <c r="A9697" i="1"/>
  <c r="B9697" i="1"/>
  <c r="C9697" i="1"/>
  <c r="D9697" i="1"/>
  <c r="E9697" i="1"/>
  <c r="F9697" i="1"/>
  <c r="G9697" i="1"/>
  <c r="H9697" i="1"/>
  <c r="A9698" i="1"/>
  <c r="B9698" i="1"/>
  <c r="C9698" i="1"/>
  <c r="D9698" i="1"/>
  <c r="E9698" i="1"/>
  <c r="F9698" i="1"/>
  <c r="G9698" i="1"/>
  <c r="H9698" i="1"/>
  <c r="A9699" i="1"/>
  <c r="B9699" i="1"/>
  <c r="C9699" i="1"/>
  <c r="D9699" i="1"/>
  <c r="E9699" i="1"/>
  <c r="F9699" i="1"/>
  <c r="G9699" i="1"/>
  <c r="H9699" i="1"/>
  <c r="A9700" i="1"/>
  <c r="B9700" i="1"/>
  <c r="C9700" i="1"/>
  <c r="D9700" i="1"/>
  <c r="E9700" i="1"/>
  <c r="F9700" i="1"/>
  <c r="G9700" i="1"/>
  <c r="H9700" i="1"/>
  <c r="A9701" i="1"/>
  <c r="B9701" i="1"/>
  <c r="C9701" i="1"/>
  <c r="D9701" i="1"/>
  <c r="E9701" i="1"/>
  <c r="F9701" i="1"/>
  <c r="G9701" i="1"/>
  <c r="H9701" i="1"/>
  <c r="A9702" i="1"/>
  <c r="B9702" i="1"/>
  <c r="C9702" i="1"/>
  <c r="D9702" i="1"/>
  <c r="E9702" i="1"/>
  <c r="F9702" i="1"/>
  <c r="G9702" i="1"/>
  <c r="H9702" i="1"/>
  <c r="A9703" i="1"/>
  <c r="B9703" i="1"/>
  <c r="C9703" i="1"/>
  <c r="D9703" i="1"/>
  <c r="E9703" i="1"/>
  <c r="F9703" i="1"/>
  <c r="G9703" i="1"/>
  <c r="H9703" i="1"/>
  <c r="A9704" i="1"/>
  <c r="B9704" i="1"/>
  <c r="C9704" i="1"/>
  <c r="D9704" i="1"/>
  <c r="E9704" i="1"/>
  <c r="F9704" i="1"/>
  <c r="G9704" i="1"/>
  <c r="H9704" i="1"/>
  <c r="A9705" i="1"/>
  <c r="B9705" i="1"/>
  <c r="C9705" i="1"/>
  <c r="D9705" i="1"/>
  <c r="E9705" i="1"/>
  <c r="F9705" i="1"/>
  <c r="G9705" i="1"/>
  <c r="H9705" i="1"/>
  <c r="A9706" i="1"/>
  <c r="B9706" i="1"/>
  <c r="C9706" i="1"/>
  <c r="D9706" i="1"/>
  <c r="E9706" i="1"/>
  <c r="F9706" i="1"/>
  <c r="G9706" i="1"/>
  <c r="H9706" i="1"/>
  <c r="A9707" i="1"/>
  <c r="B9707" i="1"/>
  <c r="C9707" i="1"/>
  <c r="D9707" i="1"/>
  <c r="E9707" i="1"/>
  <c r="F9707" i="1"/>
  <c r="G9707" i="1"/>
  <c r="H9707" i="1"/>
  <c r="A9708" i="1"/>
  <c r="B9708" i="1"/>
  <c r="C9708" i="1"/>
  <c r="D9708" i="1"/>
  <c r="E9708" i="1"/>
  <c r="F9708" i="1"/>
  <c r="G9708" i="1"/>
  <c r="H9708" i="1"/>
  <c r="A9709" i="1"/>
  <c r="B9709" i="1"/>
  <c r="C9709" i="1"/>
  <c r="D9709" i="1"/>
  <c r="E9709" i="1"/>
  <c r="F9709" i="1"/>
  <c r="G9709" i="1"/>
  <c r="H9709" i="1"/>
  <c r="A9710" i="1"/>
  <c r="B9710" i="1"/>
  <c r="C9710" i="1"/>
  <c r="D9710" i="1"/>
  <c r="E9710" i="1"/>
  <c r="F9710" i="1"/>
  <c r="G9710" i="1"/>
  <c r="H9710" i="1"/>
  <c r="A9711" i="1"/>
  <c r="B9711" i="1"/>
  <c r="C9711" i="1"/>
  <c r="D9711" i="1"/>
  <c r="E9711" i="1"/>
  <c r="F9711" i="1"/>
  <c r="G9711" i="1"/>
  <c r="H9711" i="1"/>
  <c r="A9712" i="1"/>
  <c r="B9712" i="1"/>
  <c r="C9712" i="1"/>
  <c r="D9712" i="1"/>
  <c r="E9712" i="1"/>
  <c r="F9712" i="1"/>
  <c r="G9712" i="1"/>
  <c r="H9712" i="1"/>
  <c r="A9713" i="1"/>
  <c r="B9713" i="1"/>
  <c r="C9713" i="1"/>
  <c r="D9713" i="1"/>
  <c r="E9713" i="1"/>
  <c r="F9713" i="1"/>
  <c r="G9713" i="1"/>
  <c r="H9713" i="1"/>
  <c r="A9714" i="1"/>
  <c r="B9714" i="1"/>
  <c r="C9714" i="1"/>
  <c r="D9714" i="1"/>
  <c r="E9714" i="1"/>
  <c r="F9714" i="1"/>
  <c r="G9714" i="1"/>
  <c r="H9714" i="1"/>
  <c r="A9715" i="1"/>
  <c r="B9715" i="1"/>
  <c r="C9715" i="1"/>
  <c r="D9715" i="1"/>
  <c r="E9715" i="1"/>
  <c r="F9715" i="1"/>
  <c r="G9715" i="1"/>
  <c r="H9715" i="1"/>
  <c r="A9716" i="1"/>
  <c r="B9716" i="1"/>
  <c r="C9716" i="1"/>
  <c r="D9716" i="1"/>
  <c r="E9716" i="1"/>
  <c r="F9716" i="1"/>
  <c r="G9716" i="1"/>
  <c r="H9716" i="1"/>
  <c r="A9717" i="1"/>
  <c r="B9717" i="1"/>
  <c r="C9717" i="1"/>
  <c r="D9717" i="1"/>
  <c r="E9717" i="1"/>
  <c r="F9717" i="1"/>
  <c r="G9717" i="1"/>
  <c r="H9717" i="1"/>
  <c r="A9718" i="1"/>
  <c r="B9718" i="1"/>
  <c r="C9718" i="1"/>
  <c r="D9718" i="1"/>
  <c r="E9718" i="1"/>
  <c r="F9718" i="1"/>
  <c r="G9718" i="1"/>
  <c r="H9718" i="1"/>
  <c r="A9719" i="1"/>
  <c r="B9719" i="1"/>
  <c r="C9719" i="1"/>
  <c r="D9719" i="1"/>
  <c r="E9719" i="1"/>
  <c r="F9719" i="1"/>
  <c r="G9719" i="1"/>
  <c r="H9719" i="1"/>
  <c r="A9720" i="1"/>
  <c r="B9720" i="1"/>
  <c r="C9720" i="1"/>
  <c r="D9720" i="1"/>
  <c r="E9720" i="1"/>
  <c r="F9720" i="1"/>
  <c r="G9720" i="1"/>
  <c r="H9720" i="1"/>
  <c r="A9721" i="1"/>
  <c r="B9721" i="1"/>
  <c r="C9721" i="1"/>
  <c r="D9721" i="1"/>
  <c r="E9721" i="1"/>
  <c r="F9721" i="1"/>
  <c r="G9721" i="1"/>
  <c r="H9721" i="1"/>
  <c r="A9722" i="1"/>
  <c r="B9722" i="1"/>
  <c r="C9722" i="1"/>
  <c r="D9722" i="1"/>
  <c r="E9722" i="1"/>
  <c r="F9722" i="1"/>
  <c r="G9722" i="1"/>
  <c r="H9722" i="1"/>
  <c r="A9723" i="1"/>
  <c r="B9723" i="1"/>
  <c r="C9723" i="1"/>
  <c r="D9723" i="1"/>
  <c r="E9723" i="1"/>
  <c r="F9723" i="1"/>
  <c r="G9723" i="1"/>
  <c r="H9723" i="1"/>
  <c r="A9724" i="1"/>
  <c r="B9724" i="1"/>
  <c r="C9724" i="1"/>
  <c r="D9724" i="1"/>
  <c r="E9724" i="1"/>
  <c r="F9724" i="1"/>
  <c r="G9724" i="1"/>
  <c r="H9724" i="1"/>
  <c r="A9725" i="1"/>
  <c r="B9725" i="1"/>
  <c r="C9725" i="1"/>
  <c r="D9725" i="1"/>
  <c r="E9725" i="1"/>
  <c r="F9725" i="1"/>
  <c r="G9725" i="1"/>
  <c r="H9725" i="1"/>
  <c r="A9726" i="1"/>
  <c r="B9726" i="1"/>
  <c r="C9726" i="1"/>
  <c r="D9726" i="1"/>
  <c r="E9726" i="1"/>
  <c r="F9726" i="1"/>
  <c r="G9726" i="1"/>
  <c r="H9726" i="1"/>
  <c r="A9727" i="1"/>
  <c r="B9727" i="1"/>
  <c r="C9727" i="1"/>
  <c r="D9727" i="1"/>
  <c r="E9727" i="1"/>
  <c r="F9727" i="1"/>
  <c r="G9727" i="1"/>
  <c r="H9727" i="1"/>
  <c r="A9728" i="1"/>
  <c r="B9728" i="1"/>
  <c r="C9728" i="1"/>
  <c r="D9728" i="1"/>
  <c r="E9728" i="1"/>
  <c r="F9728" i="1"/>
  <c r="G9728" i="1"/>
  <c r="H9728" i="1"/>
  <c r="A9729" i="1"/>
  <c r="B9729" i="1"/>
  <c r="C9729" i="1"/>
  <c r="D9729" i="1"/>
  <c r="E9729" i="1"/>
  <c r="F9729" i="1"/>
  <c r="G9729" i="1"/>
  <c r="H9729" i="1"/>
  <c r="A9730" i="1"/>
  <c r="B9730" i="1"/>
  <c r="C9730" i="1"/>
  <c r="D9730" i="1"/>
  <c r="E9730" i="1"/>
  <c r="F9730" i="1"/>
  <c r="G9730" i="1"/>
  <c r="H9730" i="1"/>
  <c r="A9731" i="1"/>
  <c r="B9731" i="1"/>
  <c r="C9731" i="1"/>
  <c r="D9731" i="1"/>
  <c r="E9731" i="1"/>
  <c r="F9731" i="1"/>
  <c r="G9731" i="1"/>
  <c r="H9731" i="1"/>
  <c r="A9732" i="1"/>
  <c r="B9732" i="1"/>
  <c r="C9732" i="1"/>
  <c r="D9732" i="1"/>
  <c r="E9732" i="1"/>
  <c r="F9732" i="1"/>
  <c r="G9732" i="1"/>
  <c r="H9732" i="1"/>
  <c r="A9733" i="1"/>
  <c r="B9733" i="1"/>
  <c r="C9733" i="1"/>
  <c r="D9733" i="1"/>
  <c r="E9733" i="1"/>
  <c r="F9733" i="1"/>
  <c r="G9733" i="1"/>
  <c r="H9733" i="1"/>
  <c r="A9734" i="1"/>
  <c r="B9734" i="1"/>
  <c r="C9734" i="1"/>
  <c r="D9734" i="1"/>
  <c r="E9734" i="1"/>
  <c r="F9734" i="1"/>
  <c r="G9734" i="1"/>
  <c r="H9734" i="1"/>
  <c r="A9735" i="1"/>
  <c r="B9735" i="1"/>
  <c r="C9735" i="1"/>
  <c r="D9735" i="1"/>
  <c r="E9735" i="1"/>
  <c r="F9735" i="1"/>
  <c r="G9735" i="1"/>
  <c r="H9735" i="1"/>
  <c r="A9736" i="1"/>
  <c r="B9736" i="1"/>
  <c r="C9736" i="1"/>
  <c r="D9736" i="1"/>
  <c r="E9736" i="1"/>
  <c r="F9736" i="1"/>
  <c r="G9736" i="1"/>
  <c r="H9736" i="1"/>
  <c r="A9737" i="1"/>
  <c r="B9737" i="1"/>
  <c r="C9737" i="1"/>
  <c r="D9737" i="1"/>
  <c r="E9737" i="1"/>
  <c r="F9737" i="1"/>
  <c r="G9737" i="1"/>
  <c r="H9737" i="1"/>
  <c r="A9738" i="1"/>
  <c r="B9738" i="1"/>
  <c r="C9738" i="1"/>
  <c r="D9738" i="1"/>
  <c r="E9738" i="1"/>
  <c r="F9738" i="1"/>
  <c r="G9738" i="1"/>
  <c r="H9738" i="1"/>
  <c r="A9739" i="1"/>
  <c r="B9739" i="1"/>
  <c r="C9739" i="1"/>
  <c r="D9739" i="1"/>
  <c r="E9739" i="1"/>
  <c r="F9739" i="1"/>
  <c r="G9739" i="1"/>
  <c r="H9739" i="1"/>
  <c r="A9740" i="1"/>
  <c r="B9740" i="1"/>
  <c r="C9740" i="1"/>
  <c r="D9740" i="1"/>
  <c r="E9740" i="1"/>
  <c r="F9740" i="1"/>
  <c r="G9740" i="1"/>
  <c r="H9740" i="1"/>
  <c r="A9741" i="1"/>
  <c r="B9741" i="1"/>
  <c r="C9741" i="1"/>
  <c r="D9741" i="1"/>
  <c r="E9741" i="1"/>
  <c r="F9741" i="1"/>
  <c r="G9741" i="1"/>
  <c r="H9741" i="1"/>
  <c r="A9742" i="1"/>
  <c r="B9742" i="1"/>
  <c r="C9742" i="1"/>
  <c r="D9742" i="1"/>
  <c r="E9742" i="1"/>
  <c r="F9742" i="1"/>
  <c r="G9742" i="1"/>
  <c r="H9742" i="1"/>
  <c r="A9743" i="1"/>
  <c r="B9743" i="1"/>
  <c r="C9743" i="1"/>
  <c r="D9743" i="1"/>
  <c r="E9743" i="1"/>
  <c r="F9743" i="1"/>
  <c r="G9743" i="1"/>
  <c r="H9743" i="1"/>
  <c r="A9744" i="1"/>
  <c r="B9744" i="1"/>
  <c r="C9744" i="1"/>
  <c r="D9744" i="1"/>
  <c r="E9744" i="1"/>
  <c r="F9744" i="1"/>
  <c r="G9744" i="1"/>
  <c r="H9744" i="1"/>
  <c r="A9745" i="1"/>
  <c r="B9745" i="1"/>
  <c r="C9745" i="1"/>
  <c r="D9745" i="1"/>
  <c r="E9745" i="1"/>
  <c r="F9745" i="1"/>
  <c r="G9745" i="1"/>
  <c r="H9745" i="1"/>
  <c r="A9746" i="1"/>
  <c r="B9746" i="1"/>
  <c r="C9746" i="1"/>
  <c r="D9746" i="1"/>
  <c r="E9746" i="1"/>
  <c r="F9746" i="1"/>
  <c r="G9746" i="1"/>
  <c r="H9746" i="1"/>
  <c r="A9747" i="1"/>
  <c r="B9747" i="1"/>
  <c r="C9747" i="1"/>
  <c r="D9747" i="1"/>
  <c r="E9747" i="1"/>
  <c r="F9747" i="1"/>
  <c r="G9747" i="1"/>
  <c r="H9747" i="1"/>
  <c r="A9748" i="1"/>
  <c r="B9748" i="1"/>
  <c r="C9748" i="1"/>
  <c r="D9748" i="1"/>
  <c r="E9748" i="1"/>
  <c r="F9748" i="1"/>
  <c r="G9748" i="1"/>
  <c r="H9748" i="1"/>
  <c r="A9749" i="1"/>
  <c r="B9749" i="1"/>
  <c r="C9749" i="1"/>
  <c r="D9749" i="1"/>
  <c r="E9749" i="1"/>
  <c r="F9749" i="1"/>
  <c r="G9749" i="1"/>
  <c r="H9749" i="1"/>
  <c r="A9750" i="1"/>
  <c r="B9750" i="1"/>
  <c r="C9750" i="1"/>
  <c r="D9750" i="1"/>
  <c r="E9750" i="1"/>
  <c r="F9750" i="1"/>
  <c r="G9750" i="1"/>
  <c r="H9750" i="1"/>
  <c r="A9751" i="1"/>
  <c r="B9751" i="1"/>
  <c r="C9751" i="1"/>
  <c r="D9751" i="1"/>
  <c r="E9751" i="1"/>
  <c r="F9751" i="1"/>
  <c r="G9751" i="1"/>
  <c r="H9751" i="1"/>
  <c r="A9752" i="1"/>
  <c r="B9752" i="1"/>
  <c r="C9752" i="1"/>
  <c r="D9752" i="1"/>
  <c r="E9752" i="1"/>
  <c r="F9752" i="1"/>
  <c r="G9752" i="1"/>
  <c r="H9752" i="1"/>
  <c r="A9753" i="1"/>
  <c r="B9753" i="1"/>
  <c r="C9753" i="1"/>
  <c r="D9753" i="1"/>
  <c r="E9753" i="1"/>
  <c r="F9753" i="1"/>
  <c r="G9753" i="1"/>
  <c r="H9753" i="1"/>
  <c r="A9754" i="1"/>
  <c r="B9754" i="1"/>
  <c r="C9754" i="1"/>
  <c r="D9754" i="1"/>
  <c r="E9754" i="1"/>
  <c r="F9754" i="1"/>
  <c r="G9754" i="1"/>
  <c r="H9754" i="1"/>
  <c r="A9755" i="1"/>
  <c r="B9755" i="1"/>
  <c r="C9755" i="1"/>
  <c r="D9755" i="1"/>
  <c r="E9755" i="1"/>
  <c r="F9755" i="1"/>
  <c r="G9755" i="1"/>
  <c r="H9755" i="1"/>
  <c r="A9756" i="1"/>
  <c r="B9756" i="1"/>
  <c r="C9756" i="1"/>
  <c r="D9756" i="1"/>
  <c r="E9756" i="1"/>
  <c r="F9756" i="1"/>
  <c r="G9756" i="1"/>
  <c r="H9756" i="1"/>
  <c r="A9757" i="1"/>
  <c r="B9757" i="1"/>
  <c r="C9757" i="1"/>
  <c r="D9757" i="1"/>
  <c r="E9757" i="1"/>
  <c r="F9757" i="1"/>
  <c r="G9757" i="1"/>
  <c r="H9757" i="1"/>
  <c r="A9758" i="1"/>
  <c r="B9758" i="1"/>
  <c r="C9758" i="1"/>
  <c r="D9758" i="1"/>
  <c r="E9758" i="1"/>
  <c r="F9758" i="1"/>
  <c r="G9758" i="1"/>
  <c r="H9758" i="1"/>
  <c r="A9759" i="1"/>
  <c r="B9759" i="1"/>
  <c r="C9759" i="1"/>
  <c r="D9759" i="1"/>
  <c r="E9759" i="1"/>
  <c r="F9759" i="1"/>
  <c r="G9759" i="1"/>
  <c r="H9759" i="1"/>
  <c r="A9760" i="1"/>
  <c r="B9760" i="1"/>
  <c r="C9760" i="1"/>
  <c r="D9760" i="1"/>
  <c r="E9760" i="1"/>
  <c r="F9760" i="1"/>
  <c r="G9760" i="1"/>
  <c r="H9760" i="1"/>
  <c r="A9761" i="1"/>
  <c r="B9761" i="1"/>
  <c r="C9761" i="1"/>
  <c r="D9761" i="1"/>
  <c r="E9761" i="1"/>
  <c r="F9761" i="1"/>
  <c r="G9761" i="1"/>
  <c r="H9761" i="1"/>
  <c r="A9762" i="1"/>
  <c r="B9762" i="1"/>
  <c r="C9762" i="1"/>
  <c r="D9762" i="1"/>
  <c r="E9762" i="1"/>
  <c r="F9762" i="1"/>
  <c r="G9762" i="1"/>
  <c r="H9762" i="1"/>
  <c r="A9763" i="1"/>
  <c r="B9763" i="1"/>
  <c r="C9763" i="1"/>
  <c r="D9763" i="1"/>
  <c r="E9763" i="1"/>
  <c r="F9763" i="1"/>
  <c r="G9763" i="1"/>
  <c r="H9763" i="1"/>
  <c r="A9764" i="1"/>
  <c r="B9764" i="1"/>
  <c r="C9764" i="1"/>
  <c r="D9764" i="1"/>
  <c r="E9764" i="1"/>
  <c r="F9764" i="1"/>
  <c r="G9764" i="1"/>
  <c r="H9764" i="1"/>
  <c r="A9765" i="1"/>
  <c r="B9765" i="1"/>
  <c r="C9765" i="1"/>
  <c r="D9765" i="1"/>
  <c r="E9765" i="1"/>
  <c r="F9765" i="1"/>
  <c r="G9765" i="1"/>
  <c r="H9765" i="1"/>
  <c r="A9766" i="1"/>
  <c r="B9766" i="1"/>
  <c r="C9766" i="1"/>
  <c r="D9766" i="1"/>
  <c r="E9766" i="1"/>
  <c r="F9766" i="1"/>
  <c r="G9766" i="1"/>
  <c r="H9766" i="1"/>
  <c r="A9767" i="1"/>
  <c r="B9767" i="1"/>
  <c r="C9767" i="1"/>
  <c r="D9767" i="1"/>
  <c r="E9767" i="1"/>
  <c r="F9767" i="1"/>
  <c r="G9767" i="1"/>
  <c r="H9767" i="1"/>
  <c r="A9768" i="1"/>
  <c r="B9768" i="1"/>
  <c r="C9768" i="1"/>
  <c r="D9768" i="1"/>
  <c r="E9768" i="1"/>
  <c r="F9768" i="1"/>
  <c r="G9768" i="1"/>
  <c r="H9768" i="1"/>
  <c r="A9769" i="1"/>
  <c r="B9769" i="1"/>
  <c r="C9769" i="1"/>
  <c r="D9769" i="1"/>
  <c r="E9769" i="1"/>
  <c r="F9769" i="1"/>
  <c r="G9769" i="1"/>
  <c r="H9769" i="1"/>
  <c r="A9770" i="1"/>
  <c r="B9770" i="1"/>
  <c r="C9770" i="1"/>
  <c r="D9770" i="1"/>
  <c r="E9770" i="1"/>
  <c r="F9770" i="1"/>
  <c r="G9770" i="1"/>
  <c r="H9770" i="1"/>
  <c r="A9771" i="1"/>
  <c r="B9771" i="1"/>
  <c r="C9771" i="1"/>
  <c r="D9771" i="1"/>
  <c r="E9771" i="1"/>
  <c r="F9771" i="1"/>
  <c r="G9771" i="1"/>
  <c r="H9771" i="1"/>
  <c r="A9772" i="1"/>
  <c r="B9772" i="1"/>
  <c r="C9772" i="1"/>
  <c r="D9772" i="1"/>
  <c r="E9772" i="1"/>
  <c r="F9772" i="1"/>
  <c r="G9772" i="1"/>
  <c r="H9772" i="1"/>
  <c r="A9773" i="1"/>
  <c r="B9773" i="1"/>
  <c r="C9773" i="1"/>
  <c r="D9773" i="1"/>
  <c r="E9773" i="1"/>
  <c r="F9773" i="1"/>
  <c r="G9773" i="1"/>
  <c r="H9773" i="1"/>
  <c r="A9774" i="1"/>
  <c r="B9774" i="1"/>
  <c r="C9774" i="1"/>
  <c r="D9774" i="1"/>
  <c r="E9774" i="1"/>
  <c r="F9774" i="1"/>
  <c r="G9774" i="1"/>
  <c r="H9774" i="1"/>
  <c r="A9775" i="1"/>
  <c r="B9775" i="1"/>
  <c r="C9775" i="1"/>
  <c r="D9775" i="1"/>
  <c r="E9775" i="1"/>
  <c r="F9775" i="1"/>
  <c r="G9775" i="1"/>
  <c r="H9775" i="1"/>
  <c r="A9776" i="1"/>
  <c r="B9776" i="1"/>
  <c r="C9776" i="1"/>
  <c r="D9776" i="1"/>
  <c r="E9776" i="1"/>
  <c r="F9776" i="1"/>
  <c r="G9776" i="1"/>
  <c r="H9776" i="1"/>
  <c r="A9777" i="1"/>
  <c r="B9777" i="1"/>
  <c r="C9777" i="1"/>
  <c r="D9777" i="1"/>
  <c r="E9777" i="1"/>
  <c r="F9777" i="1"/>
  <c r="G9777" i="1"/>
  <c r="H9777" i="1"/>
  <c r="A9778" i="1"/>
  <c r="B9778" i="1"/>
  <c r="C9778" i="1"/>
  <c r="D9778" i="1"/>
  <c r="E9778" i="1"/>
  <c r="F9778" i="1"/>
  <c r="G9778" i="1"/>
  <c r="H9778" i="1"/>
  <c r="A9779" i="1"/>
  <c r="B9779" i="1"/>
  <c r="C9779" i="1"/>
  <c r="D9779" i="1"/>
  <c r="E9779" i="1"/>
  <c r="F9779" i="1"/>
  <c r="G9779" i="1"/>
  <c r="H9779" i="1"/>
  <c r="A9780" i="1"/>
  <c r="B9780" i="1"/>
  <c r="C9780" i="1"/>
  <c r="D9780" i="1"/>
  <c r="E9780" i="1"/>
  <c r="F9780" i="1"/>
  <c r="G9780" i="1"/>
  <c r="H9780" i="1"/>
  <c r="A9781" i="1"/>
  <c r="B9781" i="1"/>
  <c r="C9781" i="1"/>
  <c r="D9781" i="1"/>
  <c r="E9781" i="1"/>
  <c r="F9781" i="1"/>
  <c r="G9781" i="1"/>
  <c r="H9781" i="1"/>
  <c r="A9782" i="1"/>
  <c r="B9782" i="1"/>
  <c r="C9782" i="1"/>
  <c r="D9782" i="1"/>
  <c r="E9782" i="1"/>
  <c r="F9782" i="1"/>
  <c r="G9782" i="1"/>
  <c r="H9782" i="1"/>
  <c r="A9783" i="1"/>
  <c r="B9783" i="1"/>
  <c r="C9783" i="1"/>
  <c r="D9783" i="1"/>
  <c r="E9783" i="1"/>
  <c r="F9783" i="1"/>
  <c r="G9783" i="1"/>
  <c r="H9783" i="1"/>
  <c r="A9784" i="1"/>
  <c r="B9784" i="1"/>
  <c r="C9784" i="1"/>
  <c r="D9784" i="1"/>
  <c r="E9784" i="1"/>
  <c r="F9784" i="1"/>
  <c r="G9784" i="1"/>
  <c r="H9784" i="1"/>
  <c r="A9785" i="1"/>
  <c r="B9785" i="1"/>
  <c r="C9785" i="1"/>
  <c r="D9785" i="1"/>
  <c r="E9785" i="1"/>
  <c r="F9785" i="1"/>
  <c r="G9785" i="1"/>
  <c r="H9785" i="1"/>
  <c r="A9786" i="1"/>
  <c r="B9786" i="1"/>
  <c r="C9786" i="1"/>
  <c r="D9786" i="1"/>
  <c r="E9786" i="1"/>
  <c r="F9786" i="1"/>
  <c r="G9786" i="1"/>
  <c r="H9786" i="1"/>
  <c r="A9787" i="1"/>
  <c r="B9787" i="1"/>
  <c r="C9787" i="1"/>
  <c r="D9787" i="1"/>
  <c r="E9787" i="1"/>
  <c r="F9787" i="1"/>
  <c r="G9787" i="1"/>
  <c r="H9787" i="1"/>
  <c r="A9788" i="1"/>
  <c r="B9788" i="1"/>
  <c r="C9788" i="1"/>
  <c r="D9788" i="1"/>
  <c r="E9788" i="1"/>
  <c r="F9788" i="1"/>
  <c r="G9788" i="1"/>
  <c r="H9788" i="1"/>
  <c r="A9789" i="1"/>
  <c r="B9789" i="1"/>
  <c r="C9789" i="1"/>
  <c r="D9789" i="1"/>
  <c r="E9789" i="1"/>
  <c r="F9789" i="1"/>
  <c r="G9789" i="1"/>
  <c r="H9789" i="1"/>
  <c r="A9790" i="1"/>
  <c r="B9790" i="1"/>
  <c r="C9790" i="1"/>
  <c r="D9790" i="1"/>
  <c r="E9790" i="1"/>
  <c r="F9790" i="1"/>
  <c r="G9790" i="1"/>
  <c r="H9790" i="1"/>
  <c r="A9791" i="1"/>
  <c r="B9791" i="1"/>
  <c r="C9791" i="1"/>
  <c r="D9791" i="1"/>
  <c r="E9791" i="1"/>
  <c r="F9791" i="1"/>
  <c r="G9791" i="1"/>
  <c r="H9791" i="1"/>
  <c r="A9792" i="1"/>
  <c r="B9792" i="1"/>
  <c r="C9792" i="1"/>
  <c r="D9792" i="1"/>
  <c r="E9792" i="1"/>
  <c r="F9792" i="1"/>
  <c r="G9792" i="1"/>
  <c r="H9792" i="1"/>
  <c r="A9793" i="1"/>
  <c r="B9793" i="1"/>
  <c r="C9793" i="1"/>
  <c r="D9793" i="1"/>
  <c r="E9793" i="1"/>
  <c r="F9793" i="1"/>
  <c r="G9793" i="1"/>
  <c r="H9793" i="1"/>
  <c r="A9794" i="1"/>
  <c r="B9794" i="1"/>
  <c r="C9794" i="1"/>
  <c r="D9794" i="1"/>
  <c r="E9794" i="1"/>
  <c r="F9794" i="1"/>
  <c r="G9794" i="1"/>
  <c r="H9794" i="1"/>
  <c r="A9795" i="1"/>
  <c r="B9795" i="1"/>
  <c r="C9795" i="1"/>
  <c r="D9795" i="1"/>
  <c r="E9795" i="1"/>
  <c r="F9795" i="1"/>
  <c r="G9795" i="1"/>
  <c r="H9795" i="1"/>
  <c r="A9796" i="1"/>
  <c r="B9796" i="1"/>
  <c r="C9796" i="1"/>
  <c r="D9796" i="1"/>
  <c r="E9796" i="1"/>
  <c r="F9796" i="1"/>
  <c r="G9796" i="1"/>
  <c r="H9796" i="1"/>
  <c r="A9797" i="1"/>
  <c r="B9797" i="1"/>
  <c r="C9797" i="1"/>
  <c r="D9797" i="1"/>
  <c r="E9797" i="1"/>
  <c r="F9797" i="1"/>
  <c r="G9797" i="1"/>
  <c r="H9797" i="1"/>
  <c r="A9798" i="1"/>
  <c r="B9798" i="1"/>
  <c r="C9798" i="1"/>
  <c r="D9798" i="1"/>
  <c r="E9798" i="1"/>
  <c r="F9798" i="1"/>
  <c r="G9798" i="1"/>
  <c r="H9798" i="1"/>
  <c r="A9799" i="1"/>
  <c r="B9799" i="1"/>
  <c r="C9799" i="1"/>
  <c r="D9799" i="1"/>
  <c r="E9799" i="1"/>
  <c r="F9799" i="1"/>
  <c r="G9799" i="1"/>
  <c r="H9799" i="1"/>
  <c r="A9800" i="1"/>
  <c r="B9800" i="1"/>
  <c r="C9800" i="1"/>
  <c r="D9800" i="1"/>
  <c r="E9800" i="1"/>
  <c r="F9800" i="1"/>
  <c r="G9800" i="1"/>
  <c r="H9800" i="1"/>
  <c r="A9801" i="1"/>
  <c r="B9801" i="1"/>
  <c r="C9801" i="1"/>
  <c r="D9801" i="1"/>
  <c r="E9801" i="1"/>
  <c r="F9801" i="1"/>
  <c r="G9801" i="1"/>
  <c r="H9801" i="1"/>
  <c r="A9802" i="1"/>
  <c r="B9802" i="1"/>
  <c r="C9802" i="1"/>
  <c r="D9802" i="1"/>
  <c r="E9802" i="1"/>
  <c r="F9802" i="1"/>
  <c r="G9802" i="1"/>
  <c r="H9802" i="1"/>
  <c r="A9803" i="1"/>
  <c r="B9803" i="1"/>
  <c r="C9803" i="1"/>
  <c r="D9803" i="1"/>
  <c r="E9803" i="1"/>
  <c r="F9803" i="1"/>
  <c r="G9803" i="1"/>
  <c r="H9803" i="1"/>
  <c r="A9804" i="1"/>
  <c r="B9804" i="1"/>
  <c r="C9804" i="1"/>
  <c r="D9804" i="1"/>
  <c r="E9804" i="1"/>
  <c r="F9804" i="1"/>
  <c r="G9804" i="1"/>
  <c r="H9804" i="1"/>
  <c r="A9805" i="1"/>
  <c r="B9805" i="1"/>
  <c r="C9805" i="1"/>
  <c r="D9805" i="1"/>
  <c r="E9805" i="1"/>
  <c r="F9805" i="1"/>
  <c r="G9805" i="1"/>
  <c r="H9805" i="1"/>
  <c r="A9806" i="1"/>
  <c r="B9806" i="1"/>
  <c r="C9806" i="1"/>
  <c r="D9806" i="1"/>
  <c r="E9806" i="1"/>
  <c r="F9806" i="1"/>
  <c r="G9806" i="1"/>
  <c r="H9806" i="1"/>
  <c r="A9807" i="1"/>
  <c r="B9807" i="1"/>
  <c r="C9807" i="1"/>
  <c r="D9807" i="1"/>
  <c r="E9807" i="1"/>
  <c r="F9807" i="1"/>
  <c r="G9807" i="1"/>
  <c r="H9807" i="1"/>
  <c r="A9808" i="1"/>
  <c r="B9808" i="1"/>
  <c r="C9808" i="1"/>
  <c r="D9808" i="1"/>
  <c r="E9808" i="1"/>
  <c r="F9808" i="1"/>
  <c r="G9808" i="1"/>
  <c r="H9808" i="1"/>
  <c r="A9809" i="1"/>
  <c r="B9809" i="1"/>
  <c r="C9809" i="1"/>
  <c r="D9809" i="1"/>
  <c r="E9809" i="1"/>
  <c r="F9809" i="1"/>
  <c r="G9809" i="1"/>
  <c r="H9809" i="1"/>
  <c r="A9810" i="1"/>
  <c r="B9810" i="1"/>
  <c r="C9810" i="1"/>
  <c r="D9810" i="1"/>
  <c r="E9810" i="1"/>
  <c r="F9810" i="1"/>
  <c r="G9810" i="1"/>
  <c r="H9810" i="1"/>
  <c r="A9811" i="1"/>
  <c r="B9811" i="1"/>
  <c r="C9811" i="1"/>
  <c r="D9811" i="1"/>
  <c r="E9811" i="1"/>
  <c r="F9811" i="1"/>
  <c r="G9811" i="1"/>
  <c r="H9811" i="1"/>
  <c r="A9812" i="1"/>
  <c r="B9812" i="1"/>
  <c r="C9812" i="1"/>
  <c r="D9812" i="1"/>
  <c r="E9812" i="1"/>
  <c r="F9812" i="1"/>
  <c r="G9812" i="1"/>
  <c r="H9812" i="1"/>
  <c r="A9813" i="1"/>
  <c r="B9813" i="1"/>
  <c r="C9813" i="1"/>
  <c r="D9813" i="1"/>
  <c r="E9813" i="1"/>
  <c r="F9813" i="1"/>
  <c r="G9813" i="1"/>
  <c r="H9813" i="1"/>
  <c r="A9814" i="1"/>
  <c r="B9814" i="1"/>
  <c r="C9814" i="1"/>
  <c r="D9814" i="1"/>
  <c r="E9814" i="1"/>
  <c r="F9814" i="1"/>
  <c r="G9814" i="1"/>
  <c r="H9814" i="1"/>
  <c r="A9815" i="1"/>
  <c r="B9815" i="1"/>
  <c r="C9815" i="1"/>
  <c r="D9815" i="1"/>
  <c r="E9815" i="1"/>
  <c r="F9815" i="1"/>
  <c r="G9815" i="1"/>
  <c r="H9815" i="1"/>
  <c r="A9816" i="1"/>
  <c r="B9816" i="1"/>
  <c r="C9816" i="1"/>
  <c r="D9816" i="1"/>
  <c r="E9816" i="1"/>
  <c r="F9816" i="1"/>
  <c r="G9816" i="1"/>
  <c r="H9816" i="1"/>
  <c r="A9817" i="1"/>
  <c r="B9817" i="1"/>
  <c r="C9817" i="1"/>
  <c r="D9817" i="1"/>
  <c r="E9817" i="1"/>
  <c r="F9817" i="1"/>
  <c r="G9817" i="1"/>
  <c r="H9817" i="1"/>
  <c r="A9818" i="1"/>
  <c r="B9818" i="1"/>
  <c r="C9818" i="1"/>
  <c r="D9818" i="1"/>
  <c r="E9818" i="1"/>
  <c r="F9818" i="1"/>
  <c r="G9818" i="1"/>
  <c r="H9818" i="1"/>
  <c r="A9819" i="1"/>
  <c r="B9819" i="1"/>
  <c r="C9819" i="1"/>
  <c r="D9819" i="1"/>
  <c r="E9819" i="1"/>
  <c r="F9819" i="1"/>
  <c r="G9819" i="1"/>
  <c r="H9819" i="1"/>
  <c r="A9820" i="1"/>
  <c r="B9820" i="1"/>
  <c r="C9820" i="1"/>
  <c r="D9820" i="1"/>
  <c r="E9820" i="1"/>
  <c r="F9820" i="1"/>
  <c r="G9820" i="1"/>
  <c r="H9820" i="1"/>
  <c r="A9821" i="1"/>
  <c r="B9821" i="1"/>
  <c r="C9821" i="1"/>
  <c r="D9821" i="1"/>
  <c r="E9821" i="1"/>
  <c r="F9821" i="1"/>
  <c r="G9821" i="1"/>
  <c r="H9821" i="1"/>
  <c r="A9822" i="1"/>
  <c r="B9822" i="1"/>
  <c r="C9822" i="1"/>
  <c r="D9822" i="1"/>
  <c r="E9822" i="1"/>
  <c r="F9822" i="1"/>
  <c r="G9822" i="1"/>
  <c r="H9822" i="1"/>
  <c r="A9823" i="1"/>
  <c r="B9823" i="1"/>
  <c r="C9823" i="1"/>
  <c r="D9823" i="1"/>
  <c r="E9823" i="1"/>
  <c r="F9823" i="1"/>
  <c r="G9823" i="1"/>
  <c r="H9823" i="1"/>
  <c r="A9824" i="1"/>
  <c r="B9824" i="1"/>
  <c r="C9824" i="1"/>
  <c r="D9824" i="1"/>
  <c r="E9824" i="1"/>
  <c r="F9824" i="1"/>
  <c r="G9824" i="1"/>
  <c r="H9824" i="1"/>
  <c r="A9825" i="1"/>
  <c r="B9825" i="1"/>
  <c r="C9825" i="1"/>
  <c r="D9825" i="1"/>
  <c r="E9825" i="1"/>
  <c r="F9825" i="1"/>
  <c r="G9825" i="1"/>
  <c r="H9825" i="1"/>
  <c r="A9826" i="1"/>
  <c r="B9826" i="1"/>
  <c r="C9826" i="1"/>
  <c r="D9826" i="1"/>
  <c r="E9826" i="1"/>
  <c r="F9826" i="1"/>
  <c r="G9826" i="1"/>
  <c r="H9826" i="1"/>
  <c r="A9827" i="1"/>
  <c r="B9827" i="1"/>
  <c r="C9827" i="1"/>
  <c r="D9827" i="1"/>
  <c r="E9827" i="1"/>
  <c r="F9827" i="1"/>
  <c r="G9827" i="1"/>
  <c r="H9827" i="1"/>
  <c r="A9828" i="1"/>
  <c r="B9828" i="1"/>
  <c r="C9828" i="1"/>
  <c r="D9828" i="1"/>
  <c r="E9828" i="1"/>
  <c r="F9828" i="1"/>
  <c r="G9828" i="1"/>
  <c r="H9828" i="1"/>
  <c r="A9829" i="1"/>
  <c r="B9829" i="1"/>
  <c r="C9829" i="1"/>
  <c r="D9829" i="1"/>
  <c r="E9829" i="1"/>
  <c r="F9829" i="1"/>
  <c r="G9829" i="1"/>
  <c r="H9829" i="1"/>
  <c r="A9830" i="1"/>
  <c r="B9830" i="1"/>
  <c r="C9830" i="1"/>
  <c r="D9830" i="1"/>
  <c r="E9830" i="1"/>
  <c r="F9830" i="1"/>
  <c r="G9830" i="1"/>
  <c r="H9830" i="1"/>
  <c r="A9831" i="1"/>
  <c r="B9831" i="1"/>
  <c r="C9831" i="1"/>
  <c r="D9831" i="1"/>
  <c r="E9831" i="1"/>
  <c r="F9831" i="1"/>
  <c r="G9831" i="1"/>
  <c r="H9831" i="1"/>
  <c r="A9832" i="1"/>
  <c r="B9832" i="1"/>
  <c r="C9832" i="1"/>
  <c r="D9832" i="1"/>
  <c r="E9832" i="1"/>
  <c r="F9832" i="1"/>
  <c r="G9832" i="1"/>
  <c r="H9832" i="1"/>
  <c r="A9833" i="1"/>
  <c r="B9833" i="1"/>
  <c r="C9833" i="1"/>
  <c r="D9833" i="1"/>
  <c r="E9833" i="1"/>
  <c r="F9833" i="1"/>
  <c r="G9833" i="1"/>
  <c r="H9833" i="1"/>
  <c r="A9834" i="1"/>
  <c r="B9834" i="1"/>
  <c r="C9834" i="1"/>
  <c r="D9834" i="1"/>
  <c r="E9834" i="1"/>
  <c r="F9834" i="1"/>
  <c r="G9834" i="1"/>
  <c r="H9834" i="1"/>
  <c r="A9835" i="1"/>
  <c r="B9835" i="1"/>
  <c r="C9835" i="1"/>
  <c r="D9835" i="1"/>
  <c r="E9835" i="1"/>
  <c r="F9835" i="1"/>
  <c r="G9835" i="1"/>
  <c r="H9835" i="1"/>
  <c r="A9836" i="1"/>
  <c r="B9836" i="1"/>
  <c r="C9836" i="1"/>
  <c r="D9836" i="1"/>
  <c r="E9836" i="1"/>
  <c r="F9836" i="1"/>
  <c r="G9836" i="1"/>
  <c r="H9836" i="1"/>
  <c r="A9837" i="1"/>
  <c r="B9837" i="1"/>
  <c r="C9837" i="1"/>
  <c r="D9837" i="1"/>
  <c r="E9837" i="1"/>
  <c r="F9837" i="1"/>
  <c r="G9837" i="1"/>
  <c r="H9837" i="1"/>
  <c r="A9838" i="1"/>
  <c r="B9838" i="1"/>
  <c r="C9838" i="1"/>
  <c r="D9838" i="1"/>
  <c r="E9838" i="1"/>
  <c r="F9838" i="1"/>
  <c r="G9838" i="1"/>
  <c r="H9838" i="1"/>
  <c r="A9839" i="1"/>
  <c r="B9839" i="1"/>
  <c r="C9839" i="1"/>
  <c r="D9839" i="1"/>
  <c r="E9839" i="1"/>
  <c r="F9839" i="1"/>
  <c r="G9839" i="1"/>
  <c r="H9839" i="1"/>
  <c r="A9840" i="1"/>
  <c r="B9840" i="1"/>
  <c r="C9840" i="1"/>
  <c r="D9840" i="1"/>
  <c r="E9840" i="1"/>
  <c r="F9840" i="1"/>
  <c r="G9840" i="1"/>
  <c r="H9840" i="1"/>
  <c r="A9841" i="1"/>
  <c r="B9841" i="1"/>
  <c r="C9841" i="1"/>
  <c r="D9841" i="1"/>
  <c r="E9841" i="1"/>
  <c r="F9841" i="1"/>
  <c r="G9841" i="1"/>
  <c r="H9841" i="1"/>
  <c r="A9842" i="1"/>
  <c r="B9842" i="1"/>
  <c r="C9842" i="1"/>
  <c r="D9842" i="1"/>
  <c r="E9842" i="1"/>
  <c r="F9842" i="1"/>
  <c r="G9842" i="1"/>
  <c r="H9842" i="1"/>
  <c r="A9843" i="1"/>
  <c r="B9843" i="1"/>
  <c r="C9843" i="1"/>
  <c r="D9843" i="1"/>
  <c r="E9843" i="1"/>
  <c r="F9843" i="1"/>
  <c r="G9843" i="1"/>
  <c r="H9843" i="1"/>
  <c r="A9844" i="1"/>
  <c r="B9844" i="1"/>
  <c r="C9844" i="1"/>
  <c r="D9844" i="1"/>
  <c r="E9844" i="1"/>
  <c r="F9844" i="1"/>
  <c r="G9844" i="1"/>
  <c r="H9844" i="1"/>
  <c r="A9845" i="1"/>
  <c r="B9845" i="1"/>
  <c r="C9845" i="1"/>
  <c r="D9845" i="1"/>
  <c r="E9845" i="1"/>
  <c r="F9845" i="1"/>
  <c r="G9845" i="1"/>
  <c r="H9845" i="1"/>
  <c r="A9846" i="1"/>
  <c r="B9846" i="1"/>
  <c r="C9846" i="1"/>
  <c r="D9846" i="1"/>
  <c r="E9846" i="1"/>
  <c r="F9846" i="1"/>
  <c r="G9846" i="1"/>
  <c r="H9846" i="1"/>
  <c r="A9847" i="1"/>
  <c r="B9847" i="1"/>
  <c r="C9847" i="1"/>
  <c r="D9847" i="1"/>
  <c r="E9847" i="1"/>
  <c r="F9847" i="1"/>
  <c r="G9847" i="1"/>
  <c r="H9847" i="1"/>
  <c r="A9848" i="1"/>
  <c r="B9848" i="1"/>
  <c r="C9848" i="1"/>
  <c r="D9848" i="1"/>
  <c r="E9848" i="1"/>
  <c r="F9848" i="1"/>
  <c r="G9848" i="1"/>
  <c r="H9848" i="1"/>
  <c r="A9849" i="1"/>
  <c r="B9849" i="1"/>
  <c r="C9849" i="1"/>
  <c r="D9849" i="1"/>
  <c r="E9849" i="1"/>
  <c r="F9849" i="1"/>
  <c r="G9849" i="1"/>
  <c r="H9849" i="1"/>
  <c r="A9850" i="1"/>
  <c r="B9850" i="1"/>
  <c r="C9850" i="1"/>
  <c r="D9850" i="1"/>
  <c r="E9850" i="1"/>
  <c r="F9850" i="1"/>
  <c r="G9850" i="1"/>
  <c r="H9850" i="1"/>
  <c r="A9851" i="1"/>
  <c r="B9851" i="1"/>
  <c r="C9851" i="1"/>
  <c r="D9851" i="1"/>
  <c r="E9851" i="1"/>
  <c r="F9851" i="1"/>
  <c r="G9851" i="1"/>
  <c r="H9851" i="1"/>
  <c r="A9852" i="1"/>
  <c r="B9852" i="1"/>
  <c r="C9852" i="1"/>
  <c r="D9852" i="1"/>
  <c r="E9852" i="1"/>
  <c r="F9852" i="1"/>
  <c r="G9852" i="1"/>
  <c r="H9852" i="1"/>
  <c r="A9853" i="1"/>
  <c r="B9853" i="1"/>
  <c r="C9853" i="1"/>
  <c r="D9853" i="1"/>
  <c r="E9853" i="1"/>
  <c r="F9853" i="1"/>
  <c r="G9853" i="1"/>
  <c r="H9853" i="1"/>
  <c r="A9854" i="1"/>
  <c r="B9854" i="1"/>
  <c r="C9854" i="1"/>
  <c r="D9854" i="1"/>
  <c r="E9854" i="1"/>
  <c r="F9854" i="1"/>
  <c r="G9854" i="1"/>
  <c r="H9854" i="1"/>
  <c r="A9855" i="1"/>
  <c r="B9855" i="1"/>
  <c r="C9855" i="1"/>
  <c r="D9855" i="1"/>
  <c r="E9855" i="1"/>
  <c r="F9855" i="1"/>
  <c r="G9855" i="1"/>
  <c r="H9855" i="1"/>
  <c r="A9856" i="1"/>
  <c r="B9856" i="1"/>
  <c r="C9856" i="1"/>
  <c r="D9856" i="1"/>
  <c r="E9856" i="1"/>
  <c r="F9856" i="1"/>
  <c r="G9856" i="1"/>
  <c r="H9856" i="1"/>
  <c r="A9857" i="1"/>
  <c r="B9857" i="1"/>
  <c r="C9857" i="1"/>
  <c r="D9857" i="1"/>
  <c r="E9857" i="1"/>
  <c r="F9857" i="1"/>
  <c r="G9857" i="1"/>
  <c r="H9857" i="1"/>
  <c r="A9858" i="1"/>
  <c r="B9858" i="1"/>
  <c r="C9858" i="1"/>
  <c r="D9858" i="1"/>
  <c r="E9858" i="1"/>
  <c r="F9858" i="1"/>
  <c r="G9858" i="1"/>
  <c r="H9858" i="1"/>
  <c r="A9859" i="1"/>
  <c r="B9859" i="1"/>
  <c r="C9859" i="1"/>
  <c r="D9859" i="1"/>
  <c r="E9859" i="1"/>
  <c r="F9859" i="1"/>
  <c r="G9859" i="1"/>
  <c r="H9859" i="1"/>
  <c r="A9860" i="1"/>
  <c r="B9860" i="1"/>
  <c r="C9860" i="1"/>
  <c r="D9860" i="1"/>
  <c r="E9860" i="1"/>
  <c r="F9860" i="1"/>
  <c r="G9860" i="1"/>
  <c r="H9860" i="1"/>
  <c r="A9861" i="1"/>
  <c r="B9861" i="1"/>
  <c r="C9861" i="1"/>
  <c r="D9861" i="1"/>
  <c r="E9861" i="1"/>
  <c r="F9861" i="1"/>
  <c r="G9861" i="1"/>
  <c r="H9861" i="1"/>
  <c r="A9862" i="1"/>
  <c r="B9862" i="1"/>
  <c r="C9862" i="1"/>
  <c r="D9862" i="1"/>
  <c r="E9862" i="1"/>
  <c r="F9862" i="1"/>
  <c r="G9862" i="1"/>
  <c r="H9862" i="1"/>
  <c r="A9863" i="1"/>
  <c r="B9863" i="1"/>
  <c r="C9863" i="1"/>
  <c r="D9863" i="1"/>
  <c r="E9863" i="1"/>
  <c r="F9863" i="1"/>
  <c r="G9863" i="1"/>
  <c r="H9863" i="1"/>
  <c r="A9864" i="1"/>
  <c r="B9864" i="1"/>
  <c r="C9864" i="1"/>
  <c r="D9864" i="1"/>
  <c r="E9864" i="1"/>
  <c r="F9864" i="1"/>
  <c r="G9864" i="1"/>
  <c r="H9864" i="1"/>
  <c r="A9865" i="1"/>
  <c r="B9865" i="1"/>
  <c r="C9865" i="1"/>
  <c r="D9865" i="1"/>
  <c r="E9865" i="1"/>
  <c r="F9865" i="1"/>
  <c r="G9865" i="1"/>
  <c r="H9865" i="1"/>
  <c r="A9866" i="1"/>
  <c r="B9866" i="1"/>
  <c r="C9866" i="1"/>
  <c r="D9866" i="1"/>
  <c r="E9866" i="1"/>
  <c r="F9866" i="1"/>
  <c r="G9866" i="1"/>
  <c r="H9866" i="1"/>
  <c r="A9867" i="1"/>
  <c r="B9867" i="1"/>
  <c r="C9867" i="1"/>
  <c r="D9867" i="1"/>
  <c r="E9867" i="1"/>
  <c r="F9867" i="1"/>
  <c r="G9867" i="1"/>
  <c r="H9867" i="1"/>
  <c r="A9868" i="1"/>
  <c r="B9868" i="1"/>
  <c r="C9868" i="1"/>
  <c r="D9868" i="1"/>
  <c r="E9868" i="1"/>
  <c r="F9868" i="1"/>
  <c r="G9868" i="1"/>
  <c r="H9868" i="1"/>
  <c r="A9869" i="1"/>
  <c r="B9869" i="1"/>
  <c r="C9869" i="1"/>
  <c r="D9869" i="1"/>
  <c r="E9869" i="1"/>
  <c r="F9869" i="1"/>
  <c r="G9869" i="1"/>
  <c r="H9869" i="1"/>
  <c r="A9870" i="1"/>
  <c r="B9870" i="1"/>
  <c r="C9870" i="1"/>
  <c r="D9870" i="1"/>
  <c r="E9870" i="1"/>
  <c r="F9870" i="1"/>
  <c r="G9870" i="1"/>
  <c r="H9870" i="1"/>
  <c r="A9871" i="1"/>
  <c r="B9871" i="1"/>
  <c r="C9871" i="1"/>
  <c r="D9871" i="1"/>
  <c r="E9871" i="1"/>
  <c r="F9871" i="1"/>
  <c r="G9871" i="1"/>
  <c r="H9871" i="1"/>
  <c r="A9872" i="1"/>
  <c r="B9872" i="1"/>
  <c r="C9872" i="1"/>
  <c r="D9872" i="1"/>
  <c r="E9872" i="1"/>
  <c r="F9872" i="1"/>
  <c r="G9872" i="1"/>
  <c r="H9872" i="1"/>
  <c r="A9873" i="1"/>
  <c r="B9873" i="1"/>
  <c r="C9873" i="1"/>
  <c r="D9873" i="1"/>
  <c r="E9873" i="1"/>
  <c r="F9873" i="1"/>
  <c r="G9873" i="1"/>
  <c r="H9873" i="1"/>
  <c r="A9874" i="1"/>
  <c r="B9874" i="1"/>
  <c r="C9874" i="1"/>
  <c r="D9874" i="1"/>
  <c r="E9874" i="1"/>
  <c r="F9874" i="1"/>
  <c r="G9874" i="1"/>
  <c r="H9874" i="1"/>
  <c r="A9875" i="1"/>
  <c r="B9875" i="1"/>
  <c r="C9875" i="1"/>
  <c r="D9875" i="1"/>
  <c r="E9875" i="1"/>
  <c r="F9875" i="1"/>
  <c r="G9875" i="1"/>
  <c r="H9875" i="1"/>
  <c r="A9876" i="1"/>
  <c r="B9876" i="1"/>
  <c r="C9876" i="1"/>
  <c r="D9876" i="1"/>
  <c r="E9876" i="1"/>
  <c r="F9876" i="1"/>
  <c r="G9876" i="1"/>
  <c r="H9876" i="1"/>
  <c r="A9877" i="1"/>
  <c r="B9877" i="1"/>
  <c r="C9877" i="1"/>
  <c r="D9877" i="1"/>
  <c r="E9877" i="1"/>
  <c r="F9877" i="1"/>
  <c r="G9877" i="1"/>
  <c r="H9877" i="1"/>
  <c r="A9878" i="1"/>
  <c r="B9878" i="1"/>
  <c r="C9878" i="1"/>
  <c r="D9878" i="1"/>
  <c r="E9878" i="1"/>
  <c r="F9878" i="1"/>
  <c r="G9878" i="1"/>
  <c r="H9878" i="1"/>
  <c r="A9879" i="1"/>
  <c r="B9879" i="1"/>
  <c r="C9879" i="1"/>
  <c r="D9879" i="1"/>
  <c r="E9879" i="1"/>
  <c r="F9879" i="1"/>
  <c r="G9879" i="1"/>
  <c r="H9879" i="1"/>
  <c r="A9880" i="1"/>
  <c r="B9880" i="1"/>
  <c r="C9880" i="1"/>
  <c r="D9880" i="1"/>
  <c r="E9880" i="1"/>
  <c r="F9880" i="1"/>
  <c r="G9880" i="1"/>
  <c r="H9880" i="1"/>
  <c r="A9881" i="1"/>
  <c r="B9881" i="1"/>
  <c r="C9881" i="1"/>
  <c r="D9881" i="1"/>
  <c r="E9881" i="1"/>
  <c r="F9881" i="1"/>
  <c r="G9881" i="1"/>
  <c r="H9881" i="1"/>
  <c r="A9882" i="1"/>
  <c r="B9882" i="1"/>
  <c r="C9882" i="1"/>
  <c r="D9882" i="1"/>
  <c r="E9882" i="1"/>
  <c r="F9882" i="1"/>
  <c r="G9882" i="1"/>
  <c r="H9882" i="1"/>
  <c r="A9883" i="1"/>
  <c r="B9883" i="1"/>
  <c r="C9883" i="1"/>
  <c r="D9883" i="1"/>
  <c r="E9883" i="1"/>
  <c r="F9883" i="1"/>
  <c r="G9883" i="1"/>
  <c r="H9883" i="1"/>
  <c r="A9884" i="1"/>
  <c r="B9884" i="1"/>
  <c r="C9884" i="1"/>
  <c r="D9884" i="1"/>
  <c r="E9884" i="1"/>
  <c r="F9884" i="1"/>
  <c r="G9884" i="1"/>
  <c r="H9884" i="1"/>
  <c r="A9885" i="1"/>
  <c r="B9885" i="1"/>
  <c r="C9885" i="1"/>
  <c r="D9885" i="1"/>
  <c r="E9885" i="1"/>
  <c r="F9885" i="1"/>
  <c r="G9885" i="1"/>
  <c r="H9885" i="1"/>
  <c r="A9886" i="1"/>
  <c r="B9886" i="1"/>
  <c r="C9886" i="1"/>
  <c r="D9886" i="1"/>
  <c r="E9886" i="1"/>
  <c r="F9886" i="1"/>
  <c r="G9886" i="1"/>
  <c r="H9886" i="1"/>
  <c r="A9887" i="1"/>
  <c r="B9887" i="1"/>
  <c r="C9887" i="1"/>
  <c r="D9887" i="1"/>
  <c r="E9887" i="1"/>
  <c r="F9887" i="1"/>
  <c r="G9887" i="1"/>
  <c r="H9887" i="1"/>
  <c r="A9888" i="1"/>
  <c r="B9888" i="1"/>
  <c r="C9888" i="1"/>
  <c r="D9888" i="1"/>
  <c r="E9888" i="1"/>
  <c r="F9888" i="1"/>
  <c r="G9888" i="1"/>
  <c r="H9888" i="1"/>
  <c r="A9889" i="1"/>
  <c r="B9889" i="1"/>
  <c r="C9889" i="1"/>
  <c r="D9889" i="1"/>
  <c r="E9889" i="1"/>
  <c r="F9889" i="1"/>
  <c r="G9889" i="1"/>
  <c r="H9889" i="1"/>
  <c r="A9890" i="1"/>
  <c r="B9890" i="1"/>
  <c r="C9890" i="1"/>
  <c r="D9890" i="1"/>
  <c r="E9890" i="1"/>
  <c r="F9890" i="1"/>
  <c r="G9890" i="1"/>
  <c r="H9890" i="1"/>
  <c r="A9891" i="1"/>
  <c r="B9891" i="1"/>
  <c r="C9891" i="1"/>
  <c r="D9891" i="1"/>
  <c r="E9891" i="1"/>
  <c r="F9891" i="1"/>
  <c r="G9891" i="1"/>
  <c r="H9891" i="1"/>
  <c r="A9892" i="1"/>
  <c r="B9892" i="1"/>
  <c r="C9892" i="1"/>
  <c r="D9892" i="1"/>
  <c r="E9892" i="1"/>
  <c r="F9892" i="1"/>
  <c r="G9892" i="1"/>
  <c r="H9892" i="1"/>
  <c r="A9893" i="1"/>
  <c r="B9893" i="1"/>
  <c r="C9893" i="1"/>
  <c r="D9893" i="1"/>
  <c r="E9893" i="1"/>
  <c r="F9893" i="1"/>
  <c r="G9893" i="1"/>
  <c r="H9893" i="1"/>
  <c r="A9894" i="1"/>
  <c r="B9894" i="1"/>
  <c r="C9894" i="1"/>
  <c r="D9894" i="1"/>
  <c r="E9894" i="1"/>
  <c r="F9894" i="1"/>
  <c r="G9894" i="1"/>
  <c r="H9894" i="1"/>
  <c r="A9895" i="1"/>
  <c r="B9895" i="1"/>
  <c r="C9895" i="1"/>
  <c r="D9895" i="1"/>
  <c r="E9895" i="1"/>
  <c r="F9895" i="1"/>
  <c r="G9895" i="1"/>
  <c r="H9895" i="1"/>
  <c r="A9896" i="1"/>
  <c r="B9896" i="1"/>
  <c r="C9896" i="1"/>
  <c r="D9896" i="1"/>
  <c r="E9896" i="1"/>
  <c r="F9896" i="1"/>
  <c r="G9896" i="1"/>
  <c r="H9896" i="1"/>
  <c r="A9897" i="1"/>
  <c r="B9897" i="1"/>
  <c r="C9897" i="1"/>
  <c r="D9897" i="1"/>
  <c r="E9897" i="1"/>
  <c r="F9897" i="1"/>
  <c r="G9897" i="1"/>
  <c r="H9897" i="1"/>
  <c r="A9898" i="1"/>
  <c r="B9898" i="1"/>
  <c r="C9898" i="1"/>
  <c r="D9898" i="1"/>
  <c r="E9898" i="1"/>
  <c r="F9898" i="1"/>
  <c r="G9898" i="1"/>
  <c r="H9898" i="1"/>
  <c r="A9899" i="1"/>
  <c r="B9899" i="1"/>
  <c r="C9899" i="1"/>
  <c r="D9899" i="1"/>
  <c r="E9899" i="1"/>
  <c r="F9899" i="1"/>
  <c r="G9899" i="1"/>
  <c r="H9899" i="1"/>
  <c r="A9900" i="1"/>
  <c r="B9900" i="1"/>
  <c r="C9900" i="1"/>
  <c r="D9900" i="1"/>
  <c r="E9900" i="1"/>
  <c r="F9900" i="1"/>
  <c r="G9900" i="1"/>
  <c r="H9900" i="1"/>
  <c r="A9901" i="1"/>
  <c r="B9901" i="1"/>
  <c r="C9901" i="1"/>
  <c r="D9901" i="1"/>
  <c r="E9901" i="1"/>
  <c r="F9901" i="1"/>
  <c r="G9901" i="1"/>
  <c r="H9901" i="1"/>
  <c r="A9902" i="1"/>
  <c r="B9902" i="1"/>
  <c r="C9902" i="1"/>
  <c r="D9902" i="1"/>
  <c r="E9902" i="1"/>
  <c r="F9902" i="1"/>
  <c r="G9902" i="1"/>
  <c r="H9902" i="1"/>
  <c r="A9903" i="1"/>
  <c r="B9903" i="1"/>
  <c r="C9903" i="1"/>
  <c r="D9903" i="1"/>
  <c r="E9903" i="1"/>
  <c r="F9903" i="1"/>
  <c r="G9903" i="1"/>
  <c r="H9903" i="1"/>
  <c r="A9904" i="1"/>
  <c r="B9904" i="1"/>
  <c r="C9904" i="1"/>
  <c r="D9904" i="1"/>
  <c r="E9904" i="1"/>
  <c r="F9904" i="1"/>
  <c r="G9904" i="1"/>
  <c r="H9904" i="1"/>
  <c r="A9905" i="1"/>
  <c r="B9905" i="1"/>
  <c r="C9905" i="1"/>
  <c r="D9905" i="1"/>
  <c r="E9905" i="1"/>
  <c r="F9905" i="1"/>
  <c r="G9905" i="1"/>
  <c r="H9905" i="1"/>
  <c r="A9906" i="1"/>
  <c r="B9906" i="1"/>
  <c r="C9906" i="1"/>
  <c r="D9906" i="1"/>
  <c r="E9906" i="1"/>
  <c r="F9906" i="1"/>
  <c r="G9906" i="1"/>
  <c r="H9906" i="1"/>
  <c r="A9907" i="1"/>
  <c r="B9907" i="1"/>
  <c r="C9907" i="1"/>
  <c r="D9907" i="1"/>
  <c r="E9907" i="1"/>
  <c r="F9907" i="1"/>
  <c r="G9907" i="1"/>
  <c r="H9907" i="1"/>
  <c r="A9908" i="1"/>
  <c r="B9908" i="1"/>
  <c r="C9908" i="1"/>
  <c r="D9908" i="1"/>
  <c r="E9908" i="1"/>
  <c r="F9908" i="1"/>
  <c r="G9908" i="1"/>
  <c r="H9908" i="1"/>
  <c r="A9909" i="1"/>
  <c r="B9909" i="1"/>
  <c r="C9909" i="1"/>
  <c r="D9909" i="1"/>
  <c r="E9909" i="1"/>
  <c r="F9909" i="1"/>
  <c r="G9909" i="1"/>
  <c r="H9909" i="1"/>
  <c r="A9910" i="1"/>
  <c r="B9910" i="1"/>
  <c r="C9910" i="1"/>
  <c r="D9910" i="1"/>
  <c r="E9910" i="1"/>
  <c r="F9910" i="1"/>
  <c r="G9910" i="1"/>
  <c r="H9910" i="1"/>
  <c r="A9911" i="1"/>
  <c r="B9911" i="1"/>
  <c r="C9911" i="1"/>
  <c r="D9911" i="1"/>
  <c r="E9911" i="1"/>
  <c r="F9911" i="1"/>
  <c r="G9911" i="1"/>
  <c r="H9911" i="1"/>
  <c r="A9912" i="1"/>
  <c r="B9912" i="1"/>
  <c r="C9912" i="1"/>
  <c r="D9912" i="1"/>
  <c r="E9912" i="1"/>
  <c r="F9912" i="1"/>
  <c r="G9912" i="1"/>
  <c r="H9912" i="1"/>
  <c r="A9913" i="1"/>
  <c r="B9913" i="1"/>
  <c r="C9913" i="1"/>
  <c r="D9913" i="1"/>
  <c r="E9913" i="1"/>
  <c r="F9913" i="1"/>
  <c r="G9913" i="1"/>
  <c r="H9913" i="1"/>
  <c r="A9914" i="1"/>
  <c r="B9914" i="1"/>
  <c r="C9914" i="1"/>
  <c r="D9914" i="1"/>
  <c r="E9914" i="1"/>
  <c r="F9914" i="1"/>
  <c r="G9914" i="1"/>
  <c r="H9914" i="1"/>
  <c r="A9915" i="1"/>
  <c r="B9915" i="1"/>
  <c r="C9915" i="1"/>
  <c r="D9915" i="1"/>
  <c r="E9915" i="1"/>
  <c r="F9915" i="1"/>
  <c r="G9915" i="1"/>
  <c r="H9915" i="1"/>
  <c r="A9916" i="1"/>
  <c r="B9916" i="1"/>
  <c r="C9916" i="1"/>
  <c r="D9916" i="1"/>
  <c r="E9916" i="1"/>
  <c r="F9916" i="1"/>
  <c r="G9916" i="1"/>
  <c r="H9916" i="1"/>
  <c r="A9917" i="1"/>
  <c r="B9917" i="1"/>
  <c r="C9917" i="1"/>
  <c r="D9917" i="1"/>
  <c r="E9917" i="1"/>
  <c r="F9917" i="1"/>
  <c r="G9917" i="1"/>
  <c r="H9917" i="1"/>
  <c r="A9918" i="1"/>
  <c r="B9918" i="1"/>
  <c r="C9918" i="1"/>
  <c r="D9918" i="1"/>
  <c r="E9918" i="1"/>
  <c r="F9918" i="1"/>
  <c r="G9918" i="1"/>
  <c r="H9918" i="1"/>
  <c r="A9919" i="1"/>
  <c r="B9919" i="1"/>
  <c r="C9919" i="1"/>
  <c r="D9919" i="1"/>
  <c r="E9919" i="1"/>
  <c r="F9919" i="1"/>
  <c r="G9919" i="1"/>
  <c r="H9919" i="1"/>
  <c r="A9920" i="1"/>
  <c r="B9920" i="1"/>
  <c r="C9920" i="1"/>
  <c r="D9920" i="1"/>
  <c r="E9920" i="1"/>
  <c r="F9920" i="1"/>
  <c r="G9920" i="1"/>
  <c r="H9920" i="1"/>
  <c r="A9921" i="1"/>
  <c r="B9921" i="1"/>
  <c r="C9921" i="1"/>
  <c r="D9921" i="1"/>
  <c r="E9921" i="1"/>
  <c r="F9921" i="1"/>
  <c r="G9921" i="1"/>
  <c r="H9921" i="1"/>
  <c r="A9922" i="1"/>
  <c r="B9922" i="1"/>
  <c r="C9922" i="1"/>
  <c r="D9922" i="1"/>
  <c r="E9922" i="1"/>
  <c r="F9922" i="1"/>
  <c r="G9922" i="1"/>
  <c r="H9922" i="1"/>
  <c r="A9923" i="1"/>
  <c r="B9923" i="1"/>
  <c r="C9923" i="1"/>
  <c r="D9923" i="1"/>
  <c r="E9923" i="1"/>
  <c r="F9923" i="1"/>
  <c r="G9923" i="1"/>
  <c r="H9923" i="1"/>
  <c r="A9924" i="1"/>
  <c r="B9924" i="1"/>
  <c r="C9924" i="1"/>
  <c r="D9924" i="1"/>
  <c r="E9924" i="1"/>
  <c r="F9924" i="1"/>
  <c r="G9924" i="1"/>
  <c r="H9924" i="1"/>
  <c r="A9925" i="1"/>
  <c r="B9925" i="1"/>
  <c r="C9925" i="1"/>
  <c r="D9925" i="1"/>
  <c r="E9925" i="1"/>
  <c r="F9925" i="1"/>
  <c r="G9925" i="1"/>
  <c r="H9925" i="1"/>
  <c r="A9926" i="1"/>
  <c r="B9926" i="1"/>
  <c r="C9926" i="1"/>
  <c r="D9926" i="1"/>
  <c r="E9926" i="1"/>
  <c r="F9926" i="1"/>
  <c r="G9926" i="1"/>
  <c r="H9926" i="1"/>
  <c r="A9927" i="1"/>
  <c r="B9927" i="1"/>
  <c r="C9927" i="1"/>
  <c r="D9927" i="1"/>
  <c r="E9927" i="1"/>
  <c r="F9927" i="1"/>
  <c r="G9927" i="1"/>
  <c r="H9927" i="1"/>
  <c r="A9928" i="1"/>
  <c r="B9928" i="1"/>
  <c r="C9928" i="1"/>
  <c r="D9928" i="1"/>
  <c r="E9928" i="1"/>
  <c r="F9928" i="1"/>
  <c r="G9928" i="1"/>
  <c r="H9928" i="1"/>
  <c r="A9929" i="1"/>
  <c r="B9929" i="1"/>
  <c r="C9929" i="1"/>
  <c r="D9929" i="1"/>
  <c r="E9929" i="1"/>
  <c r="F9929" i="1"/>
  <c r="G9929" i="1"/>
  <c r="H9929" i="1"/>
  <c r="A9930" i="1"/>
  <c r="B9930" i="1"/>
  <c r="C9930" i="1"/>
  <c r="D9930" i="1"/>
  <c r="E9930" i="1"/>
  <c r="F9930" i="1"/>
  <c r="G9930" i="1"/>
  <c r="H9930" i="1"/>
  <c r="A9931" i="1"/>
  <c r="B9931" i="1"/>
  <c r="C9931" i="1"/>
  <c r="D9931" i="1"/>
  <c r="E9931" i="1"/>
  <c r="F9931" i="1"/>
  <c r="G9931" i="1"/>
  <c r="H9931" i="1"/>
  <c r="A9932" i="1"/>
  <c r="B9932" i="1"/>
  <c r="C9932" i="1"/>
  <c r="D9932" i="1"/>
  <c r="E9932" i="1"/>
  <c r="F9932" i="1"/>
  <c r="G9932" i="1"/>
  <c r="H9932" i="1"/>
  <c r="A9933" i="1"/>
  <c r="B9933" i="1"/>
  <c r="C9933" i="1"/>
  <c r="D9933" i="1"/>
  <c r="E9933" i="1"/>
  <c r="F9933" i="1"/>
  <c r="G9933" i="1"/>
  <c r="H9933" i="1"/>
  <c r="A9934" i="1"/>
  <c r="B9934" i="1"/>
  <c r="C9934" i="1"/>
  <c r="D9934" i="1"/>
  <c r="E9934" i="1"/>
  <c r="F9934" i="1"/>
  <c r="G9934" i="1"/>
  <c r="H9934" i="1"/>
  <c r="A9935" i="1"/>
  <c r="B9935" i="1"/>
  <c r="C9935" i="1"/>
  <c r="D9935" i="1"/>
  <c r="E9935" i="1"/>
  <c r="F9935" i="1"/>
  <c r="G9935" i="1"/>
  <c r="H9935" i="1"/>
  <c r="A9936" i="1"/>
  <c r="B9936" i="1"/>
  <c r="C9936" i="1"/>
  <c r="D9936" i="1"/>
  <c r="E9936" i="1"/>
  <c r="F9936" i="1"/>
  <c r="G9936" i="1"/>
  <c r="H9936" i="1"/>
  <c r="A9937" i="1"/>
  <c r="B9937" i="1"/>
  <c r="C9937" i="1"/>
  <c r="D9937" i="1"/>
  <c r="E9937" i="1"/>
  <c r="F9937" i="1"/>
  <c r="G9937" i="1"/>
  <c r="H9937" i="1"/>
  <c r="A9938" i="1"/>
  <c r="B9938" i="1"/>
  <c r="C9938" i="1"/>
  <c r="D9938" i="1"/>
  <c r="E9938" i="1"/>
  <c r="F9938" i="1"/>
  <c r="G9938" i="1"/>
  <c r="H9938" i="1"/>
  <c r="A9939" i="1"/>
  <c r="B9939" i="1"/>
  <c r="C9939" i="1"/>
  <c r="D9939" i="1"/>
  <c r="E9939" i="1"/>
  <c r="F9939" i="1"/>
  <c r="G9939" i="1"/>
  <c r="H9939" i="1"/>
  <c r="A9940" i="1"/>
  <c r="B9940" i="1"/>
  <c r="C9940" i="1"/>
  <c r="D9940" i="1"/>
  <c r="E9940" i="1"/>
  <c r="F9940" i="1"/>
  <c r="G9940" i="1"/>
  <c r="H9940" i="1"/>
  <c r="A9941" i="1"/>
  <c r="B9941" i="1"/>
  <c r="C9941" i="1"/>
  <c r="D9941" i="1"/>
  <c r="E9941" i="1"/>
  <c r="F9941" i="1"/>
  <c r="G9941" i="1"/>
  <c r="H9941" i="1"/>
  <c r="A9942" i="1"/>
  <c r="B9942" i="1"/>
  <c r="C9942" i="1"/>
  <c r="D9942" i="1"/>
  <c r="E9942" i="1"/>
  <c r="F9942" i="1"/>
  <c r="G9942" i="1"/>
  <c r="H9942" i="1"/>
  <c r="A9943" i="1"/>
  <c r="B9943" i="1"/>
  <c r="C9943" i="1"/>
  <c r="D9943" i="1"/>
  <c r="E9943" i="1"/>
  <c r="F9943" i="1"/>
  <c r="G9943" i="1"/>
  <c r="H9943" i="1"/>
  <c r="A9944" i="1"/>
  <c r="B9944" i="1"/>
  <c r="C9944" i="1"/>
  <c r="D9944" i="1"/>
  <c r="E9944" i="1"/>
  <c r="F9944" i="1"/>
  <c r="G9944" i="1"/>
  <c r="H9944" i="1"/>
  <c r="A9945" i="1"/>
  <c r="B9945" i="1"/>
  <c r="C9945" i="1"/>
  <c r="D9945" i="1"/>
  <c r="E9945" i="1"/>
  <c r="F9945" i="1"/>
  <c r="G9945" i="1"/>
  <c r="H9945" i="1"/>
  <c r="A9946" i="1"/>
  <c r="B9946" i="1"/>
  <c r="C9946" i="1"/>
  <c r="D9946" i="1"/>
  <c r="E9946" i="1"/>
  <c r="F9946" i="1"/>
  <c r="G9946" i="1"/>
  <c r="H9946" i="1"/>
  <c r="A9947" i="1"/>
  <c r="B9947" i="1"/>
  <c r="C9947" i="1"/>
  <c r="D9947" i="1"/>
  <c r="E9947" i="1"/>
  <c r="F9947" i="1"/>
  <c r="G9947" i="1"/>
  <c r="H9947" i="1"/>
  <c r="A9948" i="1"/>
  <c r="B9948" i="1"/>
  <c r="C9948" i="1"/>
  <c r="D9948" i="1"/>
  <c r="E9948" i="1"/>
  <c r="F9948" i="1"/>
  <c r="G9948" i="1"/>
  <c r="H9948" i="1"/>
  <c r="A9949" i="1"/>
  <c r="B9949" i="1"/>
  <c r="C9949" i="1"/>
  <c r="D9949" i="1"/>
  <c r="E9949" i="1"/>
  <c r="F9949" i="1"/>
  <c r="G9949" i="1"/>
  <c r="H9949" i="1"/>
  <c r="A9950" i="1"/>
  <c r="B9950" i="1"/>
  <c r="C9950" i="1"/>
  <c r="D9950" i="1"/>
  <c r="E9950" i="1"/>
  <c r="F9950" i="1"/>
  <c r="G9950" i="1"/>
  <c r="H9950" i="1"/>
  <c r="A9951" i="1"/>
  <c r="B9951" i="1"/>
  <c r="C9951" i="1"/>
  <c r="D9951" i="1"/>
  <c r="E9951" i="1"/>
  <c r="F9951" i="1"/>
  <c r="G9951" i="1"/>
  <c r="H9951" i="1"/>
  <c r="A9952" i="1"/>
  <c r="B9952" i="1"/>
  <c r="C9952" i="1"/>
  <c r="D9952" i="1"/>
  <c r="E9952" i="1"/>
  <c r="F9952" i="1"/>
  <c r="G9952" i="1"/>
  <c r="H9952" i="1"/>
  <c r="A9953" i="1"/>
  <c r="B9953" i="1"/>
  <c r="C9953" i="1"/>
  <c r="D9953" i="1"/>
  <c r="E9953" i="1"/>
  <c r="F9953" i="1"/>
  <c r="G9953" i="1"/>
  <c r="H9953" i="1"/>
  <c r="A9954" i="1"/>
  <c r="B9954" i="1"/>
  <c r="C9954" i="1"/>
  <c r="D9954" i="1"/>
  <c r="E9954" i="1"/>
  <c r="F9954" i="1"/>
  <c r="G9954" i="1"/>
  <c r="H9954" i="1"/>
  <c r="A9955" i="1"/>
  <c r="B9955" i="1"/>
  <c r="C9955" i="1"/>
  <c r="D9955" i="1"/>
  <c r="E9955" i="1"/>
  <c r="F9955" i="1"/>
  <c r="G9955" i="1"/>
  <c r="H9955" i="1"/>
  <c r="A9956" i="1"/>
  <c r="B9956" i="1"/>
  <c r="C9956" i="1"/>
  <c r="D9956" i="1"/>
  <c r="E9956" i="1"/>
  <c r="F9956" i="1"/>
  <c r="G9956" i="1"/>
  <c r="H9956" i="1"/>
  <c r="A9957" i="1"/>
  <c r="B9957" i="1"/>
  <c r="C9957" i="1"/>
  <c r="D9957" i="1"/>
  <c r="E9957" i="1"/>
  <c r="F9957" i="1"/>
  <c r="G9957" i="1"/>
  <c r="H9957" i="1"/>
  <c r="A9958" i="1"/>
  <c r="B9958" i="1"/>
  <c r="C9958" i="1"/>
  <c r="D9958" i="1"/>
  <c r="E9958" i="1"/>
  <c r="F9958" i="1"/>
  <c r="G9958" i="1"/>
  <c r="H9958" i="1"/>
  <c r="A9959" i="1"/>
  <c r="B9959" i="1"/>
  <c r="C9959" i="1"/>
  <c r="D9959" i="1"/>
  <c r="E9959" i="1"/>
  <c r="F9959" i="1"/>
  <c r="G9959" i="1"/>
  <c r="H9959" i="1"/>
  <c r="A9960" i="1"/>
  <c r="B9960" i="1"/>
  <c r="C9960" i="1"/>
  <c r="D9960" i="1"/>
  <c r="E9960" i="1"/>
  <c r="F9960" i="1"/>
  <c r="G9960" i="1"/>
  <c r="H9960" i="1"/>
  <c r="A9961" i="1"/>
  <c r="B9961" i="1"/>
  <c r="C9961" i="1"/>
  <c r="D9961" i="1"/>
  <c r="E9961" i="1"/>
  <c r="F9961" i="1"/>
  <c r="G9961" i="1"/>
  <c r="H9961" i="1"/>
  <c r="A9962" i="1"/>
  <c r="B9962" i="1"/>
  <c r="C9962" i="1"/>
  <c r="D9962" i="1"/>
  <c r="E9962" i="1"/>
  <c r="F9962" i="1"/>
  <c r="G9962" i="1"/>
  <c r="H9962" i="1"/>
  <c r="A9963" i="1"/>
  <c r="B9963" i="1"/>
  <c r="C9963" i="1"/>
  <c r="D9963" i="1"/>
  <c r="E9963" i="1"/>
  <c r="F9963" i="1"/>
  <c r="G9963" i="1"/>
  <c r="H9963" i="1"/>
  <c r="A9964" i="1"/>
  <c r="B9964" i="1"/>
  <c r="C9964" i="1"/>
  <c r="D9964" i="1"/>
  <c r="E9964" i="1"/>
  <c r="F9964" i="1"/>
  <c r="G9964" i="1"/>
  <c r="H9964" i="1"/>
  <c r="A9965" i="1"/>
  <c r="B9965" i="1"/>
  <c r="C9965" i="1"/>
  <c r="D9965" i="1"/>
  <c r="E9965" i="1"/>
  <c r="F9965" i="1"/>
  <c r="G9965" i="1"/>
  <c r="H9965" i="1"/>
  <c r="A9966" i="1"/>
  <c r="B9966" i="1"/>
  <c r="C9966" i="1"/>
  <c r="D9966" i="1"/>
  <c r="E9966" i="1"/>
  <c r="F9966" i="1"/>
  <c r="G9966" i="1"/>
  <c r="H9966" i="1"/>
  <c r="A9967" i="1"/>
  <c r="B9967" i="1"/>
  <c r="C9967" i="1"/>
  <c r="D9967" i="1"/>
  <c r="E9967" i="1"/>
  <c r="F9967" i="1"/>
  <c r="G9967" i="1"/>
  <c r="H9967" i="1"/>
  <c r="A9968" i="1"/>
  <c r="B9968" i="1"/>
  <c r="C9968" i="1"/>
  <c r="D9968" i="1"/>
  <c r="E9968" i="1"/>
  <c r="F9968" i="1"/>
  <c r="G9968" i="1"/>
  <c r="H9968" i="1"/>
  <c r="A9969" i="1"/>
  <c r="B9969" i="1"/>
  <c r="C9969" i="1"/>
  <c r="D9969" i="1"/>
  <c r="E9969" i="1"/>
  <c r="F9969" i="1"/>
  <c r="G9969" i="1"/>
  <c r="H9969" i="1"/>
  <c r="A9970" i="1"/>
  <c r="B9970" i="1"/>
  <c r="C9970" i="1"/>
  <c r="D9970" i="1"/>
  <c r="E9970" i="1"/>
  <c r="F9970" i="1"/>
  <c r="G9970" i="1"/>
  <c r="H9970" i="1"/>
  <c r="A9971" i="1"/>
  <c r="B9971" i="1"/>
  <c r="C9971" i="1"/>
  <c r="D9971" i="1"/>
  <c r="E9971" i="1"/>
  <c r="F9971" i="1"/>
  <c r="G9971" i="1"/>
  <c r="H9971" i="1"/>
  <c r="A9972" i="1"/>
  <c r="B9972" i="1"/>
  <c r="C9972" i="1"/>
  <c r="D9972" i="1"/>
  <c r="E9972" i="1"/>
  <c r="F9972" i="1"/>
  <c r="G9972" i="1"/>
  <c r="H9972" i="1"/>
  <c r="A9973" i="1"/>
  <c r="B9973" i="1"/>
  <c r="C9973" i="1"/>
  <c r="D9973" i="1"/>
  <c r="E9973" i="1"/>
  <c r="F9973" i="1"/>
  <c r="G9973" i="1"/>
  <c r="H9973" i="1"/>
  <c r="A9974" i="1"/>
  <c r="B9974" i="1"/>
  <c r="C9974" i="1"/>
  <c r="D9974" i="1"/>
  <c r="E9974" i="1"/>
  <c r="F9974" i="1"/>
  <c r="G9974" i="1"/>
  <c r="H9974" i="1"/>
  <c r="A9975" i="1"/>
  <c r="B9975" i="1"/>
  <c r="C9975" i="1"/>
  <c r="D9975" i="1"/>
  <c r="E9975" i="1"/>
  <c r="F9975" i="1"/>
  <c r="G9975" i="1"/>
  <c r="H9975" i="1"/>
  <c r="A9976" i="1"/>
  <c r="B9976" i="1"/>
  <c r="C9976" i="1"/>
  <c r="D9976" i="1"/>
  <c r="E9976" i="1"/>
  <c r="F9976" i="1"/>
  <c r="G9976" i="1"/>
  <c r="H9976" i="1"/>
  <c r="A9977" i="1"/>
  <c r="B9977" i="1"/>
  <c r="C9977" i="1"/>
  <c r="D9977" i="1"/>
  <c r="E9977" i="1"/>
  <c r="F9977" i="1"/>
  <c r="G9977" i="1"/>
  <c r="H9977" i="1"/>
  <c r="A9978" i="1"/>
  <c r="B9978" i="1"/>
  <c r="C9978" i="1"/>
  <c r="D9978" i="1"/>
  <c r="E9978" i="1"/>
  <c r="F9978" i="1"/>
  <c r="G9978" i="1"/>
  <c r="H9978" i="1"/>
  <c r="A9979" i="1"/>
  <c r="B9979" i="1"/>
  <c r="C9979" i="1"/>
  <c r="D9979" i="1"/>
  <c r="E9979" i="1"/>
  <c r="F9979" i="1"/>
  <c r="G9979" i="1"/>
  <c r="H9979" i="1"/>
  <c r="A9980" i="1"/>
  <c r="B9980" i="1"/>
  <c r="C9980" i="1"/>
  <c r="D9980" i="1"/>
  <c r="E9980" i="1"/>
  <c r="F9980" i="1"/>
  <c r="G9980" i="1"/>
  <c r="H9980" i="1"/>
  <c r="A9981" i="1"/>
  <c r="B9981" i="1"/>
  <c r="C9981" i="1"/>
  <c r="D9981" i="1"/>
  <c r="E9981" i="1"/>
  <c r="F9981" i="1"/>
  <c r="G9981" i="1"/>
  <c r="H9981" i="1"/>
  <c r="A9982" i="1"/>
  <c r="B9982" i="1"/>
  <c r="C9982" i="1"/>
  <c r="D9982" i="1"/>
  <c r="E9982" i="1"/>
  <c r="F9982" i="1"/>
  <c r="G9982" i="1"/>
  <c r="H9982" i="1"/>
  <c r="A9983" i="1"/>
  <c r="B9983" i="1"/>
  <c r="C9983" i="1"/>
  <c r="D9983" i="1"/>
  <c r="E9983" i="1"/>
  <c r="F9983" i="1"/>
  <c r="G9983" i="1"/>
  <c r="H9983" i="1"/>
  <c r="A9984" i="1"/>
  <c r="B9984" i="1"/>
  <c r="C9984" i="1"/>
  <c r="D9984" i="1"/>
  <c r="E9984" i="1"/>
  <c r="F9984" i="1"/>
  <c r="G9984" i="1"/>
  <c r="H9984" i="1"/>
  <c r="A9985" i="1"/>
  <c r="B9985" i="1"/>
  <c r="C9985" i="1"/>
  <c r="D9985" i="1"/>
  <c r="E9985" i="1"/>
  <c r="F9985" i="1"/>
  <c r="G9985" i="1"/>
  <c r="H9985" i="1"/>
  <c r="A9986" i="1"/>
  <c r="B9986" i="1"/>
  <c r="C9986" i="1"/>
  <c r="D9986" i="1"/>
  <c r="E9986" i="1"/>
  <c r="F9986" i="1"/>
  <c r="G9986" i="1"/>
  <c r="H9986" i="1"/>
  <c r="A9987" i="1"/>
  <c r="B9987" i="1"/>
  <c r="C9987" i="1"/>
  <c r="D9987" i="1"/>
  <c r="E9987" i="1"/>
  <c r="F9987" i="1"/>
  <c r="G9987" i="1"/>
  <c r="H9987" i="1"/>
  <c r="A9988" i="1"/>
  <c r="B9988" i="1"/>
  <c r="C9988" i="1"/>
  <c r="D9988" i="1"/>
  <c r="E9988" i="1"/>
  <c r="F9988" i="1"/>
  <c r="G9988" i="1"/>
  <c r="H9988" i="1"/>
  <c r="A9989" i="1"/>
  <c r="B9989" i="1"/>
  <c r="C9989" i="1"/>
  <c r="D9989" i="1"/>
  <c r="E9989" i="1"/>
  <c r="F9989" i="1"/>
  <c r="G9989" i="1"/>
  <c r="H9989" i="1"/>
  <c r="A9990" i="1"/>
  <c r="B9990" i="1"/>
  <c r="C9990" i="1"/>
  <c r="D9990" i="1"/>
  <c r="E9990" i="1"/>
  <c r="F9990" i="1"/>
  <c r="G9990" i="1"/>
  <c r="H9990" i="1"/>
  <c r="A9991" i="1"/>
  <c r="B9991" i="1"/>
  <c r="C9991" i="1"/>
  <c r="D9991" i="1"/>
  <c r="E9991" i="1"/>
  <c r="F9991" i="1"/>
  <c r="G9991" i="1"/>
  <c r="H9991" i="1"/>
  <c r="A9992" i="1"/>
  <c r="B9992" i="1"/>
  <c r="C9992" i="1"/>
  <c r="D9992" i="1"/>
  <c r="E9992" i="1"/>
  <c r="F9992" i="1"/>
  <c r="G9992" i="1"/>
  <c r="H9992" i="1"/>
  <c r="A9993" i="1"/>
  <c r="B9993" i="1"/>
  <c r="C9993" i="1"/>
  <c r="D9993" i="1"/>
  <c r="E9993" i="1"/>
  <c r="F9993" i="1"/>
  <c r="G9993" i="1"/>
  <c r="H9993" i="1"/>
  <c r="A9994" i="1"/>
  <c r="B9994" i="1"/>
  <c r="C9994" i="1"/>
  <c r="D9994" i="1"/>
  <c r="E9994" i="1"/>
  <c r="F9994" i="1"/>
  <c r="G9994" i="1"/>
  <c r="H9994" i="1"/>
  <c r="A9995" i="1"/>
  <c r="B9995" i="1"/>
  <c r="C9995" i="1"/>
  <c r="D9995" i="1"/>
  <c r="E9995" i="1"/>
  <c r="F9995" i="1"/>
  <c r="G9995" i="1"/>
  <c r="H9995" i="1"/>
  <c r="A9996" i="1"/>
  <c r="B9996" i="1"/>
  <c r="C9996" i="1"/>
  <c r="D9996" i="1"/>
  <c r="E9996" i="1"/>
  <c r="F9996" i="1"/>
  <c r="G9996" i="1"/>
  <c r="H9996" i="1"/>
  <c r="A9997" i="1"/>
  <c r="B9997" i="1"/>
  <c r="C9997" i="1"/>
  <c r="D9997" i="1"/>
  <c r="E9997" i="1"/>
  <c r="F9997" i="1"/>
  <c r="G9997" i="1"/>
  <c r="H9997" i="1"/>
  <c r="A9998" i="1"/>
  <c r="B9998" i="1"/>
  <c r="C9998" i="1"/>
  <c r="D9998" i="1"/>
  <c r="E9998" i="1"/>
  <c r="F9998" i="1"/>
  <c r="G9998" i="1"/>
  <c r="H9998" i="1"/>
  <c r="A9999" i="1"/>
  <c r="B9999" i="1"/>
  <c r="C9999" i="1"/>
  <c r="D9999" i="1"/>
  <c r="E9999" i="1"/>
  <c r="F9999" i="1"/>
  <c r="G9999" i="1"/>
  <c r="H9999" i="1"/>
  <c r="A10000" i="1"/>
  <c r="B10000" i="1"/>
  <c r="C10000" i="1"/>
  <c r="D10000" i="1"/>
  <c r="E10000" i="1"/>
  <c r="F10000" i="1"/>
  <c r="G10000" i="1"/>
  <c r="H10000" i="1"/>
  <c r="A10001" i="1"/>
  <c r="B10001" i="1"/>
  <c r="C10001" i="1"/>
  <c r="D10001" i="1"/>
  <c r="E10001" i="1"/>
  <c r="F10001" i="1"/>
  <c r="G10001" i="1"/>
  <c r="H10001" i="1"/>
  <c r="A10002" i="1"/>
  <c r="B10002" i="1"/>
  <c r="C10002" i="1"/>
  <c r="D10002" i="1"/>
  <c r="E10002" i="1"/>
  <c r="F10002" i="1"/>
  <c r="G10002" i="1"/>
  <c r="H10002" i="1"/>
  <c r="A10003" i="1"/>
  <c r="B10003" i="1"/>
  <c r="C10003" i="1"/>
  <c r="D10003" i="1"/>
  <c r="E10003" i="1"/>
  <c r="F10003" i="1"/>
  <c r="G10003" i="1"/>
  <c r="H10003" i="1"/>
  <c r="A10004" i="1"/>
  <c r="B10004" i="1"/>
  <c r="C10004" i="1"/>
  <c r="D10004" i="1"/>
  <c r="E10004" i="1"/>
  <c r="F10004" i="1"/>
  <c r="G10004" i="1"/>
  <c r="H10004" i="1"/>
  <c r="A10005" i="1"/>
  <c r="B10005" i="1"/>
  <c r="C10005" i="1"/>
  <c r="D10005" i="1"/>
  <c r="E10005" i="1"/>
  <c r="F10005" i="1"/>
  <c r="G10005" i="1"/>
  <c r="H10005" i="1"/>
  <c r="A10006" i="1"/>
  <c r="B10006" i="1"/>
  <c r="C10006" i="1"/>
  <c r="D10006" i="1"/>
  <c r="E10006" i="1"/>
  <c r="F10006" i="1"/>
  <c r="G10006" i="1"/>
  <c r="H10006" i="1"/>
  <c r="A10007" i="1"/>
  <c r="B10007" i="1"/>
  <c r="C10007" i="1"/>
  <c r="D10007" i="1"/>
  <c r="E10007" i="1"/>
  <c r="F10007" i="1"/>
  <c r="G10007" i="1"/>
  <c r="H10007" i="1"/>
  <c r="A10008" i="1"/>
  <c r="B10008" i="1"/>
  <c r="C10008" i="1"/>
  <c r="D10008" i="1"/>
  <c r="E10008" i="1"/>
  <c r="F10008" i="1"/>
  <c r="G10008" i="1"/>
  <c r="H10008" i="1"/>
  <c r="A10009" i="1"/>
  <c r="B10009" i="1"/>
  <c r="C10009" i="1"/>
  <c r="D10009" i="1"/>
  <c r="E10009" i="1"/>
  <c r="F10009" i="1"/>
  <c r="G10009" i="1"/>
  <c r="H10009" i="1"/>
  <c r="A10010" i="1"/>
  <c r="B10010" i="1"/>
  <c r="C10010" i="1"/>
  <c r="D10010" i="1"/>
  <c r="E10010" i="1"/>
  <c r="F10010" i="1"/>
  <c r="G10010" i="1"/>
  <c r="H10010" i="1"/>
  <c r="A10011" i="1"/>
  <c r="B10011" i="1"/>
  <c r="C10011" i="1"/>
  <c r="D10011" i="1"/>
  <c r="E10011" i="1"/>
  <c r="F10011" i="1"/>
  <c r="G10011" i="1"/>
  <c r="H10011" i="1"/>
  <c r="A10012" i="1"/>
  <c r="B10012" i="1"/>
  <c r="C10012" i="1"/>
  <c r="D10012" i="1"/>
  <c r="E10012" i="1"/>
  <c r="F10012" i="1"/>
  <c r="G10012" i="1"/>
  <c r="H10012" i="1"/>
  <c r="A10013" i="1"/>
  <c r="B10013" i="1"/>
  <c r="C10013" i="1"/>
  <c r="D10013" i="1"/>
  <c r="E10013" i="1"/>
  <c r="F10013" i="1"/>
  <c r="G10013" i="1"/>
  <c r="H10013" i="1"/>
  <c r="A10014" i="1"/>
  <c r="B10014" i="1"/>
  <c r="C10014" i="1"/>
  <c r="D10014" i="1"/>
  <c r="E10014" i="1"/>
  <c r="F10014" i="1"/>
  <c r="G10014" i="1"/>
  <c r="H10014" i="1"/>
  <c r="A10015" i="1"/>
  <c r="B10015" i="1"/>
  <c r="C10015" i="1"/>
  <c r="D10015" i="1"/>
  <c r="E10015" i="1"/>
  <c r="F10015" i="1"/>
  <c r="G10015" i="1"/>
  <c r="H10015" i="1"/>
  <c r="A10016" i="1"/>
  <c r="B10016" i="1"/>
  <c r="C10016" i="1"/>
  <c r="D10016" i="1"/>
  <c r="E10016" i="1"/>
  <c r="F10016" i="1"/>
  <c r="G10016" i="1"/>
  <c r="H10016" i="1"/>
  <c r="A10017" i="1"/>
  <c r="B10017" i="1"/>
  <c r="C10017" i="1"/>
  <c r="D10017" i="1"/>
  <c r="E10017" i="1"/>
  <c r="F10017" i="1"/>
  <c r="G10017" i="1"/>
  <c r="H10017" i="1"/>
  <c r="A10018" i="1"/>
  <c r="B10018" i="1"/>
  <c r="C10018" i="1"/>
  <c r="D10018" i="1"/>
  <c r="E10018" i="1"/>
  <c r="F10018" i="1"/>
  <c r="G10018" i="1"/>
  <c r="H10018" i="1"/>
  <c r="A10019" i="1"/>
  <c r="B10019" i="1"/>
  <c r="C10019" i="1"/>
  <c r="D10019" i="1"/>
  <c r="E10019" i="1"/>
  <c r="F10019" i="1"/>
  <c r="G10019" i="1"/>
  <c r="H10019" i="1"/>
  <c r="A10020" i="1"/>
  <c r="B10020" i="1"/>
  <c r="C10020" i="1"/>
  <c r="D10020" i="1"/>
  <c r="E10020" i="1"/>
  <c r="F10020" i="1"/>
  <c r="G10020" i="1"/>
  <c r="H10020" i="1"/>
  <c r="A10021" i="1"/>
  <c r="B10021" i="1"/>
  <c r="C10021" i="1"/>
  <c r="D10021" i="1"/>
  <c r="E10021" i="1"/>
  <c r="F10021" i="1"/>
  <c r="G10021" i="1"/>
  <c r="H10021" i="1"/>
  <c r="A10022" i="1"/>
  <c r="B10022" i="1"/>
  <c r="C10022" i="1"/>
  <c r="D10022" i="1"/>
  <c r="E10022" i="1"/>
  <c r="F10022" i="1"/>
  <c r="G10022" i="1"/>
  <c r="H10022" i="1"/>
  <c r="A10023" i="1"/>
  <c r="B10023" i="1"/>
  <c r="C10023" i="1"/>
  <c r="D10023" i="1"/>
  <c r="E10023" i="1"/>
  <c r="F10023" i="1"/>
  <c r="G10023" i="1"/>
  <c r="H10023" i="1"/>
  <c r="A10024" i="1"/>
  <c r="B10024" i="1"/>
  <c r="C10024" i="1"/>
  <c r="D10024" i="1"/>
  <c r="E10024" i="1"/>
  <c r="F10024" i="1"/>
  <c r="G10024" i="1"/>
  <c r="H10024" i="1"/>
  <c r="A10025" i="1"/>
  <c r="B10025" i="1"/>
  <c r="C10025" i="1"/>
  <c r="D10025" i="1"/>
  <c r="E10025" i="1"/>
  <c r="F10025" i="1"/>
  <c r="G10025" i="1"/>
  <c r="H10025" i="1"/>
  <c r="A10026" i="1"/>
  <c r="B10026" i="1"/>
  <c r="C10026" i="1"/>
  <c r="D10026" i="1"/>
  <c r="E10026" i="1"/>
  <c r="F10026" i="1"/>
  <c r="G10026" i="1"/>
  <c r="H10026" i="1"/>
  <c r="A10027" i="1"/>
  <c r="B10027" i="1"/>
  <c r="C10027" i="1"/>
  <c r="D10027" i="1"/>
  <c r="E10027" i="1"/>
  <c r="F10027" i="1"/>
  <c r="G10027" i="1"/>
  <c r="H10027" i="1"/>
  <c r="A10028" i="1"/>
  <c r="B10028" i="1"/>
  <c r="C10028" i="1"/>
  <c r="D10028" i="1"/>
  <c r="E10028" i="1"/>
  <c r="F10028" i="1"/>
  <c r="G10028" i="1"/>
  <c r="H10028" i="1"/>
  <c r="A10029" i="1"/>
  <c r="B10029" i="1"/>
  <c r="C10029" i="1"/>
  <c r="D10029" i="1"/>
  <c r="E10029" i="1"/>
  <c r="F10029" i="1"/>
  <c r="G10029" i="1"/>
  <c r="H10029" i="1"/>
  <c r="A10030" i="1"/>
  <c r="B10030" i="1"/>
  <c r="C10030" i="1"/>
  <c r="D10030" i="1"/>
  <c r="E10030" i="1"/>
  <c r="F10030" i="1"/>
  <c r="G10030" i="1"/>
  <c r="H10030" i="1"/>
  <c r="A10031" i="1"/>
  <c r="B10031" i="1"/>
  <c r="C10031" i="1"/>
  <c r="D10031" i="1"/>
  <c r="E10031" i="1"/>
  <c r="F10031" i="1"/>
  <c r="G10031" i="1"/>
  <c r="H10031" i="1"/>
  <c r="A10032" i="1"/>
  <c r="B10032" i="1"/>
  <c r="C10032" i="1"/>
  <c r="D10032" i="1"/>
  <c r="E10032" i="1"/>
  <c r="F10032" i="1"/>
  <c r="G10032" i="1"/>
  <c r="H10032" i="1"/>
  <c r="A10033" i="1"/>
  <c r="B10033" i="1"/>
  <c r="C10033" i="1"/>
  <c r="D10033" i="1"/>
  <c r="E10033" i="1"/>
  <c r="F10033" i="1"/>
  <c r="G10033" i="1"/>
  <c r="H10033" i="1"/>
  <c r="A10034" i="1"/>
  <c r="B10034" i="1"/>
  <c r="C10034" i="1"/>
  <c r="D10034" i="1"/>
  <c r="E10034" i="1"/>
  <c r="F10034" i="1"/>
  <c r="G10034" i="1"/>
  <c r="H10034" i="1"/>
  <c r="A10035" i="1"/>
  <c r="B10035" i="1"/>
  <c r="C10035" i="1"/>
  <c r="D10035" i="1"/>
  <c r="E10035" i="1"/>
  <c r="F10035" i="1"/>
  <c r="G10035" i="1"/>
  <c r="H10035" i="1"/>
  <c r="A10036" i="1"/>
  <c r="B10036" i="1"/>
  <c r="C10036" i="1"/>
  <c r="D10036" i="1"/>
  <c r="E10036" i="1"/>
  <c r="F10036" i="1"/>
  <c r="G10036" i="1"/>
  <c r="H10036" i="1"/>
  <c r="A10037" i="1"/>
  <c r="B10037" i="1"/>
  <c r="C10037" i="1"/>
  <c r="D10037" i="1"/>
  <c r="E10037" i="1"/>
  <c r="F10037" i="1"/>
  <c r="G10037" i="1"/>
  <c r="H10037" i="1"/>
  <c r="A10038" i="1"/>
  <c r="B10038" i="1"/>
  <c r="C10038" i="1"/>
  <c r="D10038" i="1"/>
  <c r="E10038" i="1"/>
  <c r="F10038" i="1"/>
  <c r="G10038" i="1"/>
  <c r="H10038" i="1"/>
  <c r="A10039" i="1"/>
  <c r="B10039" i="1"/>
  <c r="C10039" i="1"/>
  <c r="D10039" i="1"/>
  <c r="E10039" i="1"/>
  <c r="F10039" i="1"/>
  <c r="G10039" i="1"/>
  <c r="H10039" i="1"/>
  <c r="A10040" i="1"/>
  <c r="B10040" i="1"/>
  <c r="C10040" i="1"/>
  <c r="D10040" i="1"/>
  <c r="E10040" i="1"/>
  <c r="F10040" i="1"/>
  <c r="G10040" i="1"/>
  <c r="H10040" i="1"/>
  <c r="A10041" i="1"/>
  <c r="B10041" i="1"/>
  <c r="C10041" i="1"/>
  <c r="D10041" i="1"/>
  <c r="E10041" i="1"/>
  <c r="F10041" i="1"/>
  <c r="G10041" i="1"/>
  <c r="H10041" i="1"/>
  <c r="A10042" i="1"/>
  <c r="B10042" i="1"/>
  <c r="C10042" i="1"/>
  <c r="D10042" i="1"/>
  <c r="E10042" i="1"/>
  <c r="F10042" i="1"/>
  <c r="G10042" i="1"/>
  <c r="H10042" i="1"/>
  <c r="A10043" i="1"/>
  <c r="B10043" i="1"/>
  <c r="C10043" i="1"/>
  <c r="D10043" i="1"/>
  <c r="E10043" i="1"/>
  <c r="F10043" i="1"/>
  <c r="G10043" i="1"/>
  <c r="H10043" i="1"/>
  <c r="A10044" i="1"/>
  <c r="B10044" i="1"/>
  <c r="C10044" i="1"/>
  <c r="D10044" i="1"/>
  <c r="E10044" i="1"/>
  <c r="F10044" i="1"/>
  <c r="G10044" i="1"/>
  <c r="H10044" i="1"/>
  <c r="A10045" i="1"/>
  <c r="B10045" i="1"/>
  <c r="C10045" i="1"/>
  <c r="D10045" i="1"/>
  <c r="E10045" i="1"/>
  <c r="F10045" i="1"/>
  <c r="G10045" i="1"/>
  <c r="H10045" i="1"/>
  <c r="A10046" i="1"/>
  <c r="B10046" i="1"/>
  <c r="C10046" i="1"/>
  <c r="D10046" i="1"/>
  <c r="E10046" i="1"/>
  <c r="F10046" i="1"/>
  <c r="G10046" i="1"/>
  <c r="H10046" i="1"/>
  <c r="A10047" i="1"/>
  <c r="B10047" i="1"/>
  <c r="C10047" i="1"/>
  <c r="D10047" i="1"/>
  <c r="E10047" i="1"/>
  <c r="F10047" i="1"/>
  <c r="G10047" i="1"/>
  <c r="H10047" i="1"/>
  <c r="A10048" i="1"/>
  <c r="B10048" i="1"/>
  <c r="C10048" i="1"/>
  <c r="D10048" i="1"/>
  <c r="E10048" i="1"/>
  <c r="F10048" i="1"/>
  <c r="G10048" i="1"/>
  <c r="H10048" i="1"/>
  <c r="A10049" i="1"/>
  <c r="B10049" i="1"/>
  <c r="C10049" i="1"/>
  <c r="D10049" i="1"/>
  <c r="E10049" i="1"/>
  <c r="F10049" i="1"/>
  <c r="G10049" i="1"/>
  <c r="H10049" i="1"/>
  <c r="A10050" i="1"/>
  <c r="B10050" i="1"/>
  <c r="C10050" i="1"/>
  <c r="D10050" i="1"/>
  <c r="E10050" i="1"/>
  <c r="F10050" i="1"/>
  <c r="G10050" i="1"/>
  <c r="H10050" i="1"/>
  <c r="A10051" i="1"/>
  <c r="B10051" i="1"/>
  <c r="C10051" i="1"/>
  <c r="D10051" i="1"/>
  <c r="E10051" i="1"/>
  <c r="F10051" i="1"/>
  <c r="G10051" i="1"/>
  <c r="H10051" i="1"/>
  <c r="A10052" i="1"/>
  <c r="B10052" i="1"/>
  <c r="C10052" i="1"/>
  <c r="D10052" i="1"/>
  <c r="E10052" i="1"/>
  <c r="F10052" i="1"/>
  <c r="G10052" i="1"/>
  <c r="H10052" i="1"/>
  <c r="A10053" i="1"/>
  <c r="B10053" i="1"/>
  <c r="C10053" i="1"/>
  <c r="D10053" i="1"/>
  <c r="E10053" i="1"/>
  <c r="F10053" i="1"/>
  <c r="G10053" i="1"/>
  <c r="H10053" i="1"/>
  <c r="A10054" i="1"/>
  <c r="B10054" i="1"/>
  <c r="C10054" i="1"/>
  <c r="D10054" i="1"/>
  <c r="E10054" i="1"/>
  <c r="F10054" i="1"/>
  <c r="G10054" i="1"/>
  <c r="H10054" i="1"/>
  <c r="A10055" i="1"/>
  <c r="B10055" i="1"/>
  <c r="C10055" i="1"/>
  <c r="D10055" i="1"/>
  <c r="E10055" i="1"/>
  <c r="F10055" i="1"/>
  <c r="G10055" i="1"/>
  <c r="H10055" i="1"/>
  <c r="A10056" i="1"/>
  <c r="B10056" i="1"/>
  <c r="C10056" i="1"/>
  <c r="D10056" i="1"/>
  <c r="E10056" i="1"/>
  <c r="F10056" i="1"/>
  <c r="G10056" i="1"/>
  <c r="H10056" i="1"/>
  <c r="A10057" i="1"/>
  <c r="B10057" i="1"/>
  <c r="C10057" i="1"/>
  <c r="D10057" i="1"/>
  <c r="E10057" i="1"/>
  <c r="F10057" i="1"/>
  <c r="G10057" i="1"/>
  <c r="H10057" i="1"/>
  <c r="A10058" i="1"/>
  <c r="B10058" i="1"/>
  <c r="C10058" i="1"/>
  <c r="D10058" i="1"/>
  <c r="E10058" i="1"/>
  <c r="F10058" i="1"/>
  <c r="G10058" i="1"/>
  <c r="H10058" i="1"/>
  <c r="A10059" i="1"/>
  <c r="B10059" i="1"/>
  <c r="C10059" i="1"/>
  <c r="D10059" i="1"/>
  <c r="E10059" i="1"/>
  <c r="F10059" i="1"/>
  <c r="G10059" i="1"/>
  <c r="H10059" i="1"/>
  <c r="A10060" i="1"/>
  <c r="B10060" i="1"/>
  <c r="C10060" i="1"/>
  <c r="D10060" i="1"/>
  <c r="E10060" i="1"/>
  <c r="F10060" i="1"/>
  <c r="G10060" i="1"/>
  <c r="H10060" i="1"/>
  <c r="A10061" i="1"/>
  <c r="B10061" i="1"/>
  <c r="C10061" i="1"/>
  <c r="D10061" i="1"/>
  <c r="E10061" i="1"/>
  <c r="F10061" i="1"/>
  <c r="G10061" i="1"/>
  <c r="H10061" i="1"/>
  <c r="A10062" i="1"/>
  <c r="B10062" i="1"/>
  <c r="C10062" i="1"/>
  <c r="D10062" i="1"/>
  <c r="E10062" i="1"/>
  <c r="F10062" i="1"/>
  <c r="G10062" i="1"/>
  <c r="H10062" i="1"/>
  <c r="A10063" i="1"/>
  <c r="B10063" i="1"/>
  <c r="C10063" i="1"/>
  <c r="D10063" i="1"/>
  <c r="E10063" i="1"/>
  <c r="F10063" i="1"/>
  <c r="G10063" i="1"/>
  <c r="H10063" i="1"/>
  <c r="A10064" i="1"/>
  <c r="B10064" i="1"/>
  <c r="C10064" i="1"/>
  <c r="D10064" i="1"/>
  <c r="E10064" i="1"/>
  <c r="F10064" i="1"/>
  <c r="G10064" i="1"/>
  <c r="H10064" i="1"/>
  <c r="A10065" i="1"/>
  <c r="B10065" i="1"/>
  <c r="C10065" i="1"/>
  <c r="D10065" i="1"/>
  <c r="E10065" i="1"/>
  <c r="F10065" i="1"/>
  <c r="G10065" i="1"/>
  <c r="H10065" i="1"/>
  <c r="A10066" i="1"/>
  <c r="B10066" i="1"/>
  <c r="C10066" i="1"/>
  <c r="D10066" i="1"/>
  <c r="E10066" i="1"/>
  <c r="F10066" i="1"/>
  <c r="G10066" i="1"/>
  <c r="H10066" i="1"/>
  <c r="A10067" i="1"/>
  <c r="B10067" i="1"/>
  <c r="C10067" i="1"/>
  <c r="D10067" i="1"/>
  <c r="E10067" i="1"/>
  <c r="F10067" i="1"/>
  <c r="G10067" i="1"/>
  <c r="H10067" i="1"/>
  <c r="A10068" i="1"/>
  <c r="B10068" i="1"/>
  <c r="C10068" i="1"/>
  <c r="D10068" i="1"/>
  <c r="E10068" i="1"/>
  <c r="F10068" i="1"/>
  <c r="G10068" i="1"/>
  <c r="H10068" i="1"/>
  <c r="A10069" i="1"/>
  <c r="B10069" i="1"/>
  <c r="C10069" i="1"/>
  <c r="D10069" i="1"/>
  <c r="E10069" i="1"/>
  <c r="F10069" i="1"/>
  <c r="G10069" i="1"/>
  <c r="H10069" i="1"/>
  <c r="A10070" i="1"/>
  <c r="B10070" i="1"/>
  <c r="C10070" i="1"/>
  <c r="D10070" i="1"/>
  <c r="E10070" i="1"/>
  <c r="F10070" i="1"/>
  <c r="G10070" i="1"/>
  <c r="H10070" i="1"/>
  <c r="A10071" i="1"/>
  <c r="B10071" i="1"/>
  <c r="C10071" i="1"/>
  <c r="D10071" i="1"/>
  <c r="E10071" i="1"/>
  <c r="F10071" i="1"/>
  <c r="G10071" i="1"/>
  <c r="H10071" i="1"/>
  <c r="A10072" i="1"/>
  <c r="B10072" i="1"/>
  <c r="C10072" i="1"/>
  <c r="D10072" i="1"/>
  <c r="E10072" i="1"/>
  <c r="F10072" i="1"/>
  <c r="G10072" i="1"/>
  <c r="H10072" i="1"/>
  <c r="A10073" i="1"/>
  <c r="B10073" i="1"/>
  <c r="C10073" i="1"/>
  <c r="D10073" i="1"/>
  <c r="E10073" i="1"/>
  <c r="F10073" i="1"/>
  <c r="G10073" i="1"/>
  <c r="H10073" i="1"/>
  <c r="A10074" i="1"/>
  <c r="B10074" i="1"/>
  <c r="C10074" i="1"/>
  <c r="D10074" i="1"/>
  <c r="E10074" i="1"/>
  <c r="F10074" i="1"/>
  <c r="G10074" i="1"/>
  <c r="H10074" i="1"/>
  <c r="A10075" i="1"/>
  <c r="B10075" i="1"/>
  <c r="C10075" i="1"/>
  <c r="D10075" i="1"/>
  <c r="E10075" i="1"/>
  <c r="F10075" i="1"/>
  <c r="G10075" i="1"/>
  <c r="H10075" i="1"/>
  <c r="A10076" i="1"/>
  <c r="B10076" i="1"/>
  <c r="C10076" i="1"/>
  <c r="D10076" i="1"/>
  <c r="E10076" i="1"/>
  <c r="F10076" i="1"/>
  <c r="G10076" i="1"/>
  <c r="H10076" i="1"/>
  <c r="A10077" i="1"/>
  <c r="B10077" i="1"/>
  <c r="C10077" i="1"/>
  <c r="D10077" i="1"/>
  <c r="E10077" i="1"/>
  <c r="F10077" i="1"/>
  <c r="G10077" i="1"/>
  <c r="H10077" i="1"/>
  <c r="A10078" i="1"/>
  <c r="B10078" i="1"/>
  <c r="C10078" i="1"/>
  <c r="D10078" i="1"/>
  <c r="E10078" i="1"/>
  <c r="F10078" i="1"/>
  <c r="G10078" i="1"/>
  <c r="H10078" i="1"/>
  <c r="A10079" i="1"/>
  <c r="B10079" i="1"/>
  <c r="C10079" i="1"/>
  <c r="D10079" i="1"/>
  <c r="E10079" i="1"/>
  <c r="F10079" i="1"/>
  <c r="G10079" i="1"/>
  <c r="H10079" i="1"/>
  <c r="A10080" i="1"/>
  <c r="B10080" i="1"/>
  <c r="C10080" i="1"/>
  <c r="D10080" i="1"/>
  <c r="E10080" i="1"/>
  <c r="F10080" i="1"/>
  <c r="G10080" i="1"/>
  <c r="H10080" i="1"/>
  <c r="A10081" i="1"/>
  <c r="B10081" i="1"/>
  <c r="C10081" i="1"/>
  <c r="D10081" i="1"/>
  <c r="E10081" i="1"/>
  <c r="F10081" i="1"/>
  <c r="G10081" i="1"/>
  <c r="H10081" i="1"/>
  <c r="A10082" i="1"/>
  <c r="B10082" i="1"/>
  <c r="C10082" i="1"/>
  <c r="D10082" i="1"/>
  <c r="E10082" i="1"/>
  <c r="F10082" i="1"/>
  <c r="G10082" i="1"/>
  <c r="H10082" i="1"/>
  <c r="A10083" i="1"/>
  <c r="B10083" i="1"/>
  <c r="C10083" i="1"/>
  <c r="D10083" i="1"/>
  <c r="E10083" i="1"/>
  <c r="F10083" i="1"/>
  <c r="G10083" i="1"/>
  <c r="H10083" i="1"/>
  <c r="A10084" i="1"/>
  <c r="B10084" i="1"/>
  <c r="C10084" i="1"/>
  <c r="D10084" i="1"/>
  <c r="E10084" i="1"/>
  <c r="F10084" i="1"/>
  <c r="G10084" i="1"/>
  <c r="H10084" i="1"/>
  <c r="A10085" i="1"/>
  <c r="B10085" i="1"/>
  <c r="C10085" i="1"/>
  <c r="D10085" i="1"/>
  <c r="E10085" i="1"/>
  <c r="F10085" i="1"/>
  <c r="G10085" i="1"/>
  <c r="H10085" i="1"/>
  <c r="A10086" i="1"/>
  <c r="B10086" i="1"/>
  <c r="C10086" i="1"/>
  <c r="D10086" i="1"/>
  <c r="E10086" i="1"/>
  <c r="F10086" i="1"/>
  <c r="G10086" i="1"/>
  <c r="H10086" i="1"/>
  <c r="A10087" i="1"/>
  <c r="B10087" i="1"/>
  <c r="C10087" i="1"/>
  <c r="D10087" i="1"/>
  <c r="E10087" i="1"/>
  <c r="F10087" i="1"/>
  <c r="G10087" i="1"/>
  <c r="H10087" i="1"/>
  <c r="A10088" i="1"/>
  <c r="B10088" i="1"/>
  <c r="C10088" i="1"/>
  <c r="D10088" i="1"/>
  <c r="E10088" i="1"/>
  <c r="F10088" i="1"/>
  <c r="G10088" i="1"/>
  <c r="H10088" i="1"/>
  <c r="A10089" i="1"/>
  <c r="B10089" i="1"/>
  <c r="C10089" i="1"/>
  <c r="D10089" i="1"/>
  <c r="E10089" i="1"/>
  <c r="F10089" i="1"/>
  <c r="G10089" i="1"/>
  <c r="H10089" i="1"/>
  <c r="A10090" i="1"/>
  <c r="B10090" i="1"/>
  <c r="C10090" i="1"/>
  <c r="D10090" i="1"/>
  <c r="E10090" i="1"/>
  <c r="F10090" i="1"/>
  <c r="G10090" i="1"/>
  <c r="H10090" i="1"/>
  <c r="A10091" i="1"/>
  <c r="B10091" i="1"/>
  <c r="C10091" i="1"/>
  <c r="D10091" i="1"/>
  <c r="E10091" i="1"/>
  <c r="F10091" i="1"/>
  <c r="G10091" i="1"/>
  <c r="H10091" i="1"/>
  <c r="A10092" i="1"/>
  <c r="B10092" i="1"/>
  <c r="C10092" i="1"/>
  <c r="D10092" i="1"/>
  <c r="E10092" i="1"/>
  <c r="F10092" i="1"/>
  <c r="G10092" i="1"/>
  <c r="H10092" i="1"/>
  <c r="A10093" i="1"/>
  <c r="B10093" i="1"/>
  <c r="C10093" i="1"/>
  <c r="D10093" i="1"/>
  <c r="E10093" i="1"/>
  <c r="F10093" i="1"/>
  <c r="G10093" i="1"/>
  <c r="H10093" i="1"/>
  <c r="A10094" i="1"/>
  <c r="B10094" i="1"/>
  <c r="C10094" i="1"/>
  <c r="D10094" i="1"/>
  <c r="E10094" i="1"/>
  <c r="F10094" i="1"/>
  <c r="G10094" i="1"/>
  <c r="H10094" i="1"/>
  <c r="A10095" i="1"/>
  <c r="B10095" i="1"/>
  <c r="C10095" i="1"/>
  <c r="D10095" i="1"/>
  <c r="E10095" i="1"/>
  <c r="F10095" i="1"/>
  <c r="G10095" i="1"/>
  <c r="H10095" i="1"/>
  <c r="A10096" i="1"/>
  <c r="B10096" i="1"/>
  <c r="C10096" i="1"/>
  <c r="D10096" i="1"/>
  <c r="E10096" i="1"/>
  <c r="F10096" i="1"/>
  <c r="G10096" i="1"/>
  <c r="H10096" i="1"/>
  <c r="A10097" i="1"/>
  <c r="B10097" i="1"/>
  <c r="C10097" i="1"/>
  <c r="D10097" i="1"/>
  <c r="E10097" i="1"/>
  <c r="F10097" i="1"/>
  <c r="G10097" i="1"/>
  <c r="H10097" i="1"/>
  <c r="A10098" i="1"/>
  <c r="B10098" i="1"/>
  <c r="C10098" i="1"/>
  <c r="D10098" i="1"/>
  <c r="E10098" i="1"/>
  <c r="F10098" i="1"/>
  <c r="G10098" i="1"/>
  <c r="H10098" i="1"/>
  <c r="A10099" i="1"/>
  <c r="B10099" i="1"/>
  <c r="C10099" i="1"/>
  <c r="D10099" i="1"/>
  <c r="E10099" i="1"/>
  <c r="F10099" i="1"/>
  <c r="G10099" i="1"/>
  <c r="H10099" i="1"/>
  <c r="A10100" i="1"/>
  <c r="B10100" i="1"/>
  <c r="C10100" i="1"/>
  <c r="D10100" i="1"/>
  <c r="E10100" i="1"/>
  <c r="F10100" i="1"/>
  <c r="G10100" i="1"/>
  <c r="H10100" i="1"/>
  <c r="A10101" i="1"/>
  <c r="B10101" i="1"/>
  <c r="C10101" i="1"/>
  <c r="D10101" i="1"/>
  <c r="E10101" i="1"/>
  <c r="F10101" i="1"/>
  <c r="G10101" i="1"/>
  <c r="H10101" i="1"/>
  <c r="A10102" i="1"/>
  <c r="B10102" i="1"/>
  <c r="C10102" i="1"/>
  <c r="D10102" i="1"/>
  <c r="E10102" i="1"/>
  <c r="F10102" i="1"/>
  <c r="G10102" i="1"/>
  <c r="H10102" i="1"/>
  <c r="A10103" i="1"/>
  <c r="B10103" i="1"/>
  <c r="C10103" i="1"/>
  <c r="D10103" i="1"/>
  <c r="E10103" i="1"/>
  <c r="F10103" i="1"/>
  <c r="G10103" i="1"/>
  <c r="H10103" i="1"/>
  <c r="A10104" i="1"/>
  <c r="B10104" i="1"/>
  <c r="C10104" i="1"/>
  <c r="D10104" i="1"/>
  <c r="E10104" i="1"/>
  <c r="F10104" i="1"/>
  <c r="G10104" i="1"/>
  <c r="H10104" i="1"/>
  <c r="A10105" i="1"/>
  <c r="B10105" i="1"/>
  <c r="C10105" i="1"/>
  <c r="D10105" i="1"/>
  <c r="E10105" i="1"/>
  <c r="F10105" i="1"/>
  <c r="G10105" i="1"/>
  <c r="H10105" i="1"/>
  <c r="A10106" i="1"/>
  <c r="B10106" i="1"/>
  <c r="C10106" i="1"/>
  <c r="D10106" i="1"/>
  <c r="E10106" i="1"/>
  <c r="F10106" i="1"/>
  <c r="G10106" i="1"/>
  <c r="H10106" i="1"/>
  <c r="A10107" i="1"/>
  <c r="B10107" i="1"/>
  <c r="C10107" i="1"/>
  <c r="D10107" i="1"/>
  <c r="E10107" i="1"/>
  <c r="F10107" i="1"/>
  <c r="G10107" i="1"/>
  <c r="H10107" i="1"/>
  <c r="A10108" i="1"/>
  <c r="B10108" i="1"/>
  <c r="C10108" i="1"/>
  <c r="D10108" i="1"/>
  <c r="E10108" i="1"/>
  <c r="F10108" i="1"/>
  <c r="G10108" i="1"/>
  <c r="H10108" i="1"/>
  <c r="A10109" i="1"/>
  <c r="B10109" i="1"/>
  <c r="C10109" i="1"/>
  <c r="D10109" i="1"/>
  <c r="E10109" i="1"/>
  <c r="F10109" i="1"/>
  <c r="G10109" i="1"/>
  <c r="H10109" i="1"/>
  <c r="A10110" i="1"/>
  <c r="B10110" i="1"/>
  <c r="C10110" i="1"/>
  <c r="D10110" i="1"/>
  <c r="E10110" i="1"/>
  <c r="F10110" i="1"/>
  <c r="G10110" i="1"/>
  <c r="H10110" i="1"/>
  <c r="A10111" i="1"/>
  <c r="B10111" i="1"/>
  <c r="C10111" i="1"/>
  <c r="D10111" i="1"/>
  <c r="E10111" i="1"/>
  <c r="F10111" i="1"/>
  <c r="G10111" i="1"/>
  <c r="H10111" i="1"/>
  <c r="A10112" i="1"/>
  <c r="B10112" i="1"/>
  <c r="C10112" i="1"/>
  <c r="D10112" i="1"/>
  <c r="E10112" i="1"/>
  <c r="F10112" i="1"/>
  <c r="G10112" i="1"/>
  <c r="H10112" i="1"/>
  <c r="A10113" i="1"/>
  <c r="B10113" i="1"/>
  <c r="C10113" i="1"/>
  <c r="D10113" i="1"/>
  <c r="E10113" i="1"/>
  <c r="F10113" i="1"/>
  <c r="G10113" i="1"/>
  <c r="H10113" i="1"/>
  <c r="A10114" i="1"/>
  <c r="B10114" i="1"/>
  <c r="C10114" i="1"/>
  <c r="D10114" i="1"/>
  <c r="E10114" i="1"/>
  <c r="F10114" i="1"/>
  <c r="G10114" i="1"/>
  <c r="H10114" i="1"/>
  <c r="A10115" i="1"/>
  <c r="B10115" i="1"/>
  <c r="C10115" i="1"/>
  <c r="D10115" i="1"/>
  <c r="E10115" i="1"/>
  <c r="F10115" i="1"/>
  <c r="G10115" i="1"/>
  <c r="H10115" i="1"/>
  <c r="A10116" i="1"/>
  <c r="B10116" i="1"/>
  <c r="C10116" i="1"/>
  <c r="D10116" i="1"/>
  <c r="E10116" i="1"/>
  <c r="F10116" i="1"/>
  <c r="G10116" i="1"/>
  <c r="H10116" i="1"/>
  <c r="A10117" i="1"/>
  <c r="B10117" i="1"/>
  <c r="C10117" i="1"/>
  <c r="D10117" i="1"/>
  <c r="E10117" i="1"/>
  <c r="F10117" i="1"/>
  <c r="G10117" i="1"/>
  <c r="H10117" i="1"/>
  <c r="A10118" i="1"/>
  <c r="B10118" i="1"/>
  <c r="C10118" i="1"/>
  <c r="D10118" i="1"/>
  <c r="E10118" i="1"/>
  <c r="F10118" i="1"/>
  <c r="G10118" i="1"/>
  <c r="H10118" i="1"/>
  <c r="A10119" i="1"/>
  <c r="B10119" i="1"/>
  <c r="C10119" i="1"/>
  <c r="D10119" i="1"/>
  <c r="E10119" i="1"/>
  <c r="F10119" i="1"/>
  <c r="G10119" i="1"/>
  <c r="H10119" i="1"/>
  <c r="A10120" i="1"/>
  <c r="B10120" i="1"/>
  <c r="C10120" i="1"/>
  <c r="D10120" i="1"/>
  <c r="E10120" i="1"/>
  <c r="F10120" i="1"/>
  <c r="G10120" i="1"/>
  <c r="H10120" i="1"/>
  <c r="A10121" i="1"/>
  <c r="B10121" i="1"/>
  <c r="C10121" i="1"/>
  <c r="D10121" i="1"/>
  <c r="E10121" i="1"/>
  <c r="F10121" i="1"/>
  <c r="G10121" i="1"/>
  <c r="H10121" i="1"/>
  <c r="A10122" i="1"/>
  <c r="B10122" i="1"/>
  <c r="C10122" i="1"/>
  <c r="D10122" i="1"/>
  <c r="E10122" i="1"/>
  <c r="F10122" i="1"/>
  <c r="G10122" i="1"/>
  <c r="H10122" i="1"/>
  <c r="A10123" i="1"/>
  <c r="B10123" i="1"/>
  <c r="C10123" i="1"/>
  <c r="D10123" i="1"/>
  <c r="E10123" i="1"/>
  <c r="F10123" i="1"/>
  <c r="G10123" i="1"/>
  <c r="H10123" i="1"/>
  <c r="A10124" i="1"/>
  <c r="B10124" i="1"/>
  <c r="C10124" i="1"/>
  <c r="D10124" i="1"/>
  <c r="E10124" i="1"/>
  <c r="F10124" i="1"/>
  <c r="G10124" i="1"/>
  <c r="H10124" i="1"/>
  <c r="A10125" i="1"/>
  <c r="B10125" i="1"/>
  <c r="C10125" i="1"/>
  <c r="D10125" i="1"/>
  <c r="E10125" i="1"/>
  <c r="F10125" i="1"/>
  <c r="G10125" i="1"/>
  <c r="H10125" i="1"/>
  <c r="A10126" i="1"/>
  <c r="B10126" i="1"/>
  <c r="C10126" i="1"/>
  <c r="D10126" i="1"/>
  <c r="E10126" i="1"/>
  <c r="F10126" i="1"/>
  <c r="G10126" i="1"/>
  <c r="H10126" i="1"/>
  <c r="A10127" i="1"/>
  <c r="B10127" i="1"/>
  <c r="C10127" i="1"/>
  <c r="D10127" i="1"/>
  <c r="E10127" i="1"/>
  <c r="F10127" i="1"/>
  <c r="G10127" i="1"/>
  <c r="H10127" i="1"/>
  <c r="A10128" i="1"/>
  <c r="B10128" i="1"/>
  <c r="C10128" i="1"/>
  <c r="D10128" i="1"/>
  <c r="E10128" i="1"/>
  <c r="F10128" i="1"/>
  <c r="G10128" i="1"/>
  <c r="H10128" i="1"/>
  <c r="A10129" i="1"/>
  <c r="B10129" i="1"/>
  <c r="C10129" i="1"/>
  <c r="D10129" i="1"/>
  <c r="E10129" i="1"/>
  <c r="F10129" i="1"/>
  <c r="G10129" i="1"/>
  <c r="H10129" i="1"/>
  <c r="A10130" i="1"/>
  <c r="B10130" i="1"/>
  <c r="C10130" i="1"/>
  <c r="D10130" i="1"/>
  <c r="E10130" i="1"/>
  <c r="F10130" i="1"/>
  <c r="G10130" i="1"/>
  <c r="H10130" i="1"/>
  <c r="A10131" i="1"/>
  <c r="B10131" i="1"/>
  <c r="C10131" i="1"/>
  <c r="D10131" i="1"/>
  <c r="E10131" i="1"/>
  <c r="F10131" i="1"/>
  <c r="G10131" i="1"/>
  <c r="H10131" i="1"/>
  <c r="A10132" i="1"/>
  <c r="B10132" i="1"/>
  <c r="C10132" i="1"/>
  <c r="D10132" i="1"/>
  <c r="E10132" i="1"/>
  <c r="F10132" i="1"/>
  <c r="G10132" i="1"/>
  <c r="H10132" i="1"/>
  <c r="A10133" i="1"/>
  <c r="B10133" i="1"/>
  <c r="C10133" i="1"/>
  <c r="D10133" i="1"/>
  <c r="E10133" i="1"/>
  <c r="F10133" i="1"/>
  <c r="G10133" i="1"/>
  <c r="H10133" i="1"/>
  <c r="A10134" i="1"/>
  <c r="B10134" i="1"/>
  <c r="C10134" i="1"/>
  <c r="D10134" i="1"/>
  <c r="E10134" i="1"/>
  <c r="F10134" i="1"/>
  <c r="G10134" i="1"/>
  <c r="H10134" i="1"/>
  <c r="A10135" i="1"/>
  <c r="B10135" i="1"/>
  <c r="C10135" i="1"/>
  <c r="D10135" i="1"/>
  <c r="E10135" i="1"/>
  <c r="F10135" i="1"/>
  <c r="G10135" i="1"/>
  <c r="H10135" i="1"/>
  <c r="A10136" i="1"/>
  <c r="B10136" i="1"/>
  <c r="C10136" i="1"/>
  <c r="D10136" i="1"/>
  <c r="E10136" i="1"/>
  <c r="F10136" i="1"/>
  <c r="G10136" i="1"/>
  <c r="H10136" i="1"/>
  <c r="A10137" i="1"/>
  <c r="B10137" i="1"/>
  <c r="C10137" i="1"/>
  <c r="D10137" i="1"/>
  <c r="E10137" i="1"/>
  <c r="F10137" i="1"/>
  <c r="G10137" i="1"/>
  <c r="H10137" i="1"/>
  <c r="A10138" i="1"/>
  <c r="B10138" i="1"/>
  <c r="C10138" i="1"/>
  <c r="D10138" i="1"/>
  <c r="E10138" i="1"/>
  <c r="F10138" i="1"/>
  <c r="G10138" i="1"/>
  <c r="H10138" i="1"/>
  <c r="A10139" i="1"/>
  <c r="B10139" i="1"/>
  <c r="C10139" i="1"/>
  <c r="D10139" i="1"/>
  <c r="E10139" i="1"/>
  <c r="F10139" i="1"/>
  <c r="G10139" i="1"/>
  <c r="H10139" i="1"/>
  <c r="A10140" i="1"/>
  <c r="B10140" i="1"/>
  <c r="C10140" i="1"/>
  <c r="D10140" i="1"/>
  <c r="E10140" i="1"/>
  <c r="F10140" i="1"/>
  <c r="G10140" i="1"/>
  <c r="H10140" i="1"/>
  <c r="A10141" i="1"/>
  <c r="B10141" i="1"/>
  <c r="C10141" i="1"/>
  <c r="D10141" i="1"/>
  <c r="E10141" i="1"/>
  <c r="F10141" i="1"/>
  <c r="G10141" i="1"/>
  <c r="H10141" i="1"/>
  <c r="A10142" i="1"/>
  <c r="B10142" i="1"/>
  <c r="C10142" i="1"/>
  <c r="D10142" i="1"/>
  <c r="E10142" i="1"/>
  <c r="F10142" i="1"/>
  <c r="G10142" i="1"/>
  <c r="H10142" i="1"/>
  <c r="A10143" i="1"/>
  <c r="B10143" i="1"/>
  <c r="C10143" i="1"/>
  <c r="D10143" i="1"/>
  <c r="E10143" i="1"/>
  <c r="F10143" i="1"/>
  <c r="G10143" i="1"/>
  <c r="H10143" i="1"/>
  <c r="A10144" i="1"/>
  <c r="B10144" i="1"/>
  <c r="C10144" i="1"/>
  <c r="D10144" i="1"/>
  <c r="E10144" i="1"/>
  <c r="F10144" i="1"/>
  <c r="G10144" i="1"/>
  <c r="H10144" i="1"/>
  <c r="A10145" i="1"/>
  <c r="B10145" i="1"/>
  <c r="C10145" i="1"/>
  <c r="D10145" i="1"/>
  <c r="E10145" i="1"/>
  <c r="F10145" i="1"/>
  <c r="G10145" i="1"/>
  <c r="H10145" i="1"/>
  <c r="A10146" i="1"/>
  <c r="B10146" i="1"/>
  <c r="C10146" i="1"/>
  <c r="D10146" i="1"/>
  <c r="E10146" i="1"/>
  <c r="F10146" i="1"/>
  <c r="G10146" i="1"/>
  <c r="H10146" i="1"/>
  <c r="A10147" i="1"/>
  <c r="B10147" i="1"/>
  <c r="C10147" i="1"/>
  <c r="D10147" i="1"/>
  <c r="E10147" i="1"/>
  <c r="F10147" i="1"/>
  <c r="G10147" i="1"/>
  <c r="H10147" i="1"/>
  <c r="A10148" i="1"/>
  <c r="B10148" i="1"/>
  <c r="C10148" i="1"/>
  <c r="D10148" i="1"/>
  <c r="E10148" i="1"/>
  <c r="F10148" i="1"/>
  <c r="G10148" i="1"/>
  <c r="H10148" i="1"/>
  <c r="A10149" i="1"/>
  <c r="B10149" i="1"/>
  <c r="C10149" i="1"/>
  <c r="D10149" i="1"/>
  <c r="E10149" i="1"/>
  <c r="F10149" i="1"/>
  <c r="G10149" i="1"/>
  <c r="H10149" i="1"/>
  <c r="A10150" i="1"/>
  <c r="B10150" i="1"/>
  <c r="C10150" i="1"/>
  <c r="D10150" i="1"/>
  <c r="E10150" i="1"/>
  <c r="F10150" i="1"/>
  <c r="G10150" i="1"/>
  <c r="H10150" i="1"/>
  <c r="A10151" i="1"/>
  <c r="B10151" i="1"/>
  <c r="C10151" i="1"/>
  <c r="D10151" i="1"/>
  <c r="E10151" i="1"/>
  <c r="F10151" i="1"/>
  <c r="G10151" i="1"/>
  <c r="H10151" i="1"/>
  <c r="A10152" i="1"/>
  <c r="B10152" i="1"/>
  <c r="C10152" i="1"/>
  <c r="D10152" i="1"/>
  <c r="E10152" i="1"/>
  <c r="F10152" i="1"/>
  <c r="G10152" i="1"/>
  <c r="H10152" i="1"/>
  <c r="A10153" i="1"/>
  <c r="B10153" i="1"/>
  <c r="C10153" i="1"/>
  <c r="D10153" i="1"/>
  <c r="E10153" i="1"/>
  <c r="F10153" i="1"/>
  <c r="G10153" i="1"/>
  <c r="H10153" i="1"/>
  <c r="A10154" i="1"/>
  <c r="B10154" i="1"/>
  <c r="C10154" i="1"/>
  <c r="D10154" i="1"/>
  <c r="E10154" i="1"/>
  <c r="F10154" i="1"/>
  <c r="G10154" i="1"/>
  <c r="H10154" i="1"/>
  <c r="A10155" i="1"/>
  <c r="B10155" i="1"/>
  <c r="C10155" i="1"/>
  <c r="D10155" i="1"/>
  <c r="E10155" i="1"/>
  <c r="F10155" i="1"/>
  <c r="G10155" i="1"/>
  <c r="H10155" i="1"/>
  <c r="A10156" i="1"/>
  <c r="B10156" i="1"/>
  <c r="C10156" i="1"/>
  <c r="D10156" i="1"/>
  <c r="E10156" i="1"/>
  <c r="F10156" i="1"/>
  <c r="G10156" i="1"/>
  <c r="H10156" i="1"/>
  <c r="A10157" i="1"/>
  <c r="B10157" i="1"/>
  <c r="C10157" i="1"/>
  <c r="D10157" i="1"/>
  <c r="E10157" i="1"/>
  <c r="F10157" i="1"/>
  <c r="G10157" i="1"/>
  <c r="H10157" i="1"/>
  <c r="A10158" i="1"/>
  <c r="B10158" i="1"/>
  <c r="C10158" i="1"/>
  <c r="D10158" i="1"/>
  <c r="E10158" i="1"/>
  <c r="F10158" i="1"/>
  <c r="G10158" i="1"/>
  <c r="H10158" i="1"/>
  <c r="A10159" i="1"/>
  <c r="B10159" i="1"/>
  <c r="C10159" i="1"/>
  <c r="D10159" i="1"/>
  <c r="E10159" i="1"/>
  <c r="F10159" i="1"/>
  <c r="G10159" i="1"/>
  <c r="H10159" i="1"/>
  <c r="A10160" i="1"/>
  <c r="B10160" i="1"/>
  <c r="C10160" i="1"/>
  <c r="D10160" i="1"/>
  <c r="E10160" i="1"/>
  <c r="F10160" i="1"/>
  <c r="G10160" i="1"/>
  <c r="H10160" i="1"/>
  <c r="A10161" i="1"/>
  <c r="B10161" i="1"/>
  <c r="C10161" i="1"/>
  <c r="D10161" i="1"/>
  <c r="E10161" i="1"/>
  <c r="F10161" i="1"/>
  <c r="G10161" i="1"/>
  <c r="H10161" i="1"/>
  <c r="A10162" i="1"/>
  <c r="B10162" i="1"/>
  <c r="C10162" i="1"/>
  <c r="D10162" i="1"/>
  <c r="E10162" i="1"/>
  <c r="F10162" i="1"/>
  <c r="G10162" i="1"/>
  <c r="H10162" i="1"/>
  <c r="A10163" i="1"/>
  <c r="B10163" i="1"/>
  <c r="C10163" i="1"/>
  <c r="D10163" i="1"/>
  <c r="E10163" i="1"/>
  <c r="F10163" i="1"/>
  <c r="G10163" i="1"/>
  <c r="H10163" i="1"/>
  <c r="A10164" i="1"/>
  <c r="B10164" i="1"/>
  <c r="C10164" i="1"/>
  <c r="D10164" i="1"/>
  <c r="E10164" i="1"/>
  <c r="F10164" i="1"/>
  <c r="G10164" i="1"/>
  <c r="H10164" i="1"/>
  <c r="A10165" i="1"/>
  <c r="B10165" i="1"/>
  <c r="C10165" i="1"/>
  <c r="D10165" i="1"/>
  <c r="E10165" i="1"/>
  <c r="F10165" i="1"/>
  <c r="G10165" i="1"/>
  <c r="H10165" i="1"/>
  <c r="A10166" i="1"/>
  <c r="B10166" i="1"/>
  <c r="C10166" i="1"/>
  <c r="D10166" i="1"/>
  <c r="E10166" i="1"/>
  <c r="F10166" i="1"/>
  <c r="G10166" i="1"/>
  <c r="H10166" i="1"/>
  <c r="A10167" i="1"/>
  <c r="B10167" i="1"/>
  <c r="C10167" i="1"/>
  <c r="D10167" i="1"/>
  <c r="E10167" i="1"/>
  <c r="F10167" i="1"/>
  <c r="G10167" i="1"/>
  <c r="H10167" i="1"/>
  <c r="A10168" i="1"/>
  <c r="B10168" i="1"/>
  <c r="C10168" i="1"/>
  <c r="D10168" i="1"/>
  <c r="E10168" i="1"/>
  <c r="F10168" i="1"/>
  <c r="G10168" i="1"/>
  <c r="H10168" i="1"/>
  <c r="A10169" i="1"/>
  <c r="B10169" i="1"/>
  <c r="C10169" i="1"/>
  <c r="D10169" i="1"/>
  <c r="E10169" i="1"/>
  <c r="F10169" i="1"/>
  <c r="G10169" i="1"/>
  <c r="H10169" i="1"/>
  <c r="A10170" i="1"/>
  <c r="B10170" i="1"/>
  <c r="C10170" i="1"/>
  <c r="D10170" i="1"/>
  <c r="E10170" i="1"/>
  <c r="F10170" i="1"/>
  <c r="G10170" i="1"/>
  <c r="H10170" i="1"/>
  <c r="A10171" i="1"/>
  <c r="B10171" i="1"/>
  <c r="C10171" i="1"/>
  <c r="D10171" i="1"/>
  <c r="E10171" i="1"/>
  <c r="F10171" i="1"/>
  <c r="G10171" i="1"/>
  <c r="H10171" i="1"/>
  <c r="A10172" i="1"/>
  <c r="B10172" i="1"/>
  <c r="C10172" i="1"/>
  <c r="D10172" i="1"/>
  <c r="E10172" i="1"/>
  <c r="F10172" i="1"/>
  <c r="G10172" i="1"/>
  <c r="H10172" i="1"/>
  <c r="A10173" i="1"/>
  <c r="B10173" i="1"/>
  <c r="C10173" i="1"/>
  <c r="D10173" i="1"/>
  <c r="E10173" i="1"/>
  <c r="F10173" i="1"/>
  <c r="G10173" i="1"/>
  <c r="H10173" i="1"/>
  <c r="A10174" i="1"/>
  <c r="B10174" i="1"/>
  <c r="C10174" i="1"/>
  <c r="D10174" i="1"/>
  <c r="E10174" i="1"/>
  <c r="F10174" i="1"/>
  <c r="G10174" i="1"/>
  <c r="H10174" i="1"/>
  <c r="A10175" i="1"/>
  <c r="B10175" i="1"/>
  <c r="C10175" i="1"/>
  <c r="D10175" i="1"/>
  <c r="E10175" i="1"/>
  <c r="F10175" i="1"/>
  <c r="G10175" i="1"/>
  <c r="H10175" i="1"/>
  <c r="A10176" i="1"/>
  <c r="B10176" i="1"/>
  <c r="C10176" i="1"/>
  <c r="D10176" i="1"/>
  <c r="E10176" i="1"/>
  <c r="F10176" i="1"/>
  <c r="G10176" i="1"/>
  <c r="H10176" i="1"/>
  <c r="A10177" i="1"/>
  <c r="B10177" i="1"/>
  <c r="C10177" i="1"/>
  <c r="D10177" i="1"/>
  <c r="E10177" i="1"/>
  <c r="F10177" i="1"/>
  <c r="G10177" i="1"/>
  <c r="H10177" i="1"/>
  <c r="A10178" i="1"/>
  <c r="B10178" i="1"/>
  <c r="C10178" i="1"/>
  <c r="D10178" i="1"/>
  <c r="E10178" i="1"/>
  <c r="F10178" i="1"/>
  <c r="G10178" i="1"/>
  <c r="H10178" i="1"/>
  <c r="A10179" i="1"/>
  <c r="B10179" i="1"/>
  <c r="C10179" i="1"/>
  <c r="D10179" i="1"/>
  <c r="E10179" i="1"/>
  <c r="F10179" i="1"/>
  <c r="G10179" i="1"/>
  <c r="H10179" i="1"/>
  <c r="A10180" i="1"/>
  <c r="B10180" i="1"/>
  <c r="C10180" i="1"/>
  <c r="D10180" i="1"/>
  <c r="E10180" i="1"/>
  <c r="F10180" i="1"/>
  <c r="G10180" i="1"/>
  <c r="H10180" i="1"/>
  <c r="A10181" i="1"/>
  <c r="B10181" i="1"/>
  <c r="C10181" i="1"/>
  <c r="D10181" i="1"/>
  <c r="E10181" i="1"/>
  <c r="F10181" i="1"/>
  <c r="G10181" i="1"/>
  <c r="H10181" i="1"/>
  <c r="A10182" i="1"/>
  <c r="B10182" i="1"/>
  <c r="C10182" i="1"/>
  <c r="D10182" i="1"/>
  <c r="E10182" i="1"/>
  <c r="F10182" i="1"/>
  <c r="G10182" i="1"/>
  <c r="H10182" i="1"/>
  <c r="A10183" i="1"/>
  <c r="B10183" i="1"/>
  <c r="C10183" i="1"/>
  <c r="D10183" i="1"/>
  <c r="E10183" i="1"/>
  <c r="F10183" i="1"/>
  <c r="G10183" i="1"/>
  <c r="H10183" i="1"/>
  <c r="A10184" i="1"/>
  <c r="B10184" i="1"/>
  <c r="C10184" i="1"/>
  <c r="D10184" i="1"/>
  <c r="E10184" i="1"/>
  <c r="F10184" i="1"/>
  <c r="G10184" i="1"/>
  <c r="H10184" i="1"/>
  <c r="A10185" i="1"/>
  <c r="B10185" i="1"/>
  <c r="C10185" i="1"/>
  <c r="D10185" i="1"/>
  <c r="E10185" i="1"/>
  <c r="F10185" i="1"/>
  <c r="G10185" i="1"/>
  <c r="H10185" i="1"/>
  <c r="A10186" i="1"/>
  <c r="B10186" i="1"/>
  <c r="C10186" i="1"/>
  <c r="D10186" i="1"/>
  <c r="E10186" i="1"/>
  <c r="F10186" i="1"/>
  <c r="G10186" i="1"/>
  <c r="H10186" i="1"/>
  <c r="A10187" i="1"/>
  <c r="B10187" i="1"/>
  <c r="C10187" i="1"/>
  <c r="D10187" i="1"/>
  <c r="E10187" i="1"/>
  <c r="F10187" i="1"/>
  <c r="G10187" i="1"/>
  <c r="H10187" i="1"/>
  <c r="A10188" i="1"/>
  <c r="B10188" i="1"/>
  <c r="C10188" i="1"/>
  <c r="D10188" i="1"/>
  <c r="E10188" i="1"/>
  <c r="F10188" i="1"/>
  <c r="G10188" i="1"/>
  <c r="H10188" i="1"/>
  <c r="A10189" i="1"/>
  <c r="B10189" i="1"/>
  <c r="C10189" i="1"/>
  <c r="D10189" i="1"/>
  <c r="E10189" i="1"/>
  <c r="F10189" i="1"/>
  <c r="G10189" i="1"/>
  <c r="H10189" i="1"/>
  <c r="A10190" i="1"/>
  <c r="B10190" i="1"/>
  <c r="C10190" i="1"/>
  <c r="D10190" i="1"/>
  <c r="E10190" i="1"/>
  <c r="F10190" i="1"/>
  <c r="G10190" i="1"/>
  <c r="H10190" i="1"/>
  <c r="A10191" i="1"/>
  <c r="B10191" i="1"/>
  <c r="C10191" i="1"/>
  <c r="D10191" i="1"/>
  <c r="E10191" i="1"/>
  <c r="F10191" i="1"/>
  <c r="G10191" i="1"/>
  <c r="H10191" i="1"/>
  <c r="A10192" i="1"/>
  <c r="B10192" i="1"/>
  <c r="C10192" i="1"/>
  <c r="D10192" i="1"/>
  <c r="E10192" i="1"/>
  <c r="F10192" i="1"/>
  <c r="G10192" i="1"/>
  <c r="H10192" i="1"/>
  <c r="A10193" i="1"/>
  <c r="B10193" i="1"/>
  <c r="C10193" i="1"/>
  <c r="D10193" i="1"/>
  <c r="E10193" i="1"/>
  <c r="F10193" i="1"/>
  <c r="G10193" i="1"/>
  <c r="H10193" i="1"/>
  <c r="A10194" i="1"/>
  <c r="B10194" i="1"/>
  <c r="C10194" i="1"/>
  <c r="D10194" i="1"/>
  <c r="E10194" i="1"/>
  <c r="F10194" i="1"/>
  <c r="G10194" i="1"/>
  <c r="H10194" i="1"/>
  <c r="A10195" i="1"/>
  <c r="B10195" i="1"/>
  <c r="C10195" i="1"/>
  <c r="D10195" i="1"/>
  <c r="E10195" i="1"/>
  <c r="F10195" i="1"/>
  <c r="G10195" i="1"/>
  <c r="H10195" i="1"/>
  <c r="A10196" i="1"/>
  <c r="B10196" i="1"/>
  <c r="C10196" i="1"/>
  <c r="D10196" i="1"/>
  <c r="E10196" i="1"/>
  <c r="F10196" i="1"/>
  <c r="G10196" i="1"/>
  <c r="H10196" i="1"/>
  <c r="A10197" i="1"/>
  <c r="B10197" i="1"/>
  <c r="C10197" i="1"/>
  <c r="D10197" i="1"/>
  <c r="E10197" i="1"/>
  <c r="F10197" i="1"/>
  <c r="G10197" i="1"/>
  <c r="H10197" i="1"/>
  <c r="A10198" i="1"/>
  <c r="B10198" i="1"/>
  <c r="C10198" i="1"/>
  <c r="D10198" i="1"/>
  <c r="E10198" i="1"/>
  <c r="F10198" i="1"/>
  <c r="G10198" i="1"/>
  <c r="H10198" i="1"/>
  <c r="A10199" i="1"/>
  <c r="B10199" i="1"/>
  <c r="C10199" i="1"/>
  <c r="D10199" i="1"/>
  <c r="E10199" i="1"/>
  <c r="F10199" i="1"/>
  <c r="G10199" i="1"/>
  <c r="H10199" i="1"/>
  <c r="A10200" i="1"/>
  <c r="B10200" i="1"/>
  <c r="C10200" i="1"/>
  <c r="D10200" i="1"/>
  <c r="E10200" i="1"/>
  <c r="F10200" i="1"/>
  <c r="G10200" i="1"/>
  <c r="H10200" i="1"/>
  <c r="A10201" i="1"/>
  <c r="B10201" i="1"/>
  <c r="C10201" i="1"/>
  <c r="D10201" i="1"/>
  <c r="E10201" i="1"/>
  <c r="F10201" i="1"/>
  <c r="G10201" i="1"/>
  <c r="H10201" i="1"/>
  <c r="A10202" i="1"/>
  <c r="B10202" i="1"/>
  <c r="C10202" i="1"/>
  <c r="D10202" i="1"/>
  <c r="E10202" i="1"/>
  <c r="F10202" i="1"/>
  <c r="G10202" i="1"/>
  <c r="H10202" i="1"/>
  <c r="A10203" i="1"/>
  <c r="B10203" i="1"/>
  <c r="C10203" i="1"/>
  <c r="D10203" i="1"/>
  <c r="E10203" i="1"/>
  <c r="F10203" i="1"/>
  <c r="G10203" i="1"/>
  <c r="H10203" i="1"/>
  <c r="A10204" i="1"/>
  <c r="B10204" i="1"/>
  <c r="C10204" i="1"/>
  <c r="D10204" i="1"/>
  <c r="E10204" i="1"/>
  <c r="F10204" i="1"/>
  <c r="G10204" i="1"/>
  <c r="H10204" i="1"/>
  <c r="A10205" i="1"/>
  <c r="B10205" i="1"/>
  <c r="C10205" i="1"/>
  <c r="D10205" i="1"/>
  <c r="E10205" i="1"/>
  <c r="F10205" i="1"/>
  <c r="G10205" i="1"/>
  <c r="H10205" i="1"/>
  <c r="A10206" i="1"/>
  <c r="B10206" i="1"/>
  <c r="C10206" i="1"/>
  <c r="D10206" i="1"/>
  <c r="E10206" i="1"/>
  <c r="F10206" i="1"/>
  <c r="G10206" i="1"/>
  <c r="H10206" i="1"/>
  <c r="A10207" i="1"/>
  <c r="B10207" i="1"/>
  <c r="C10207" i="1"/>
  <c r="D10207" i="1"/>
  <c r="E10207" i="1"/>
  <c r="F10207" i="1"/>
  <c r="G10207" i="1"/>
  <c r="H10207" i="1"/>
  <c r="A10208" i="1"/>
  <c r="B10208" i="1"/>
  <c r="C10208" i="1"/>
  <c r="D10208" i="1"/>
  <c r="E10208" i="1"/>
  <c r="F10208" i="1"/>
  <c r="G10208" i="1"/>
  <c r="H10208" i="1"/>
  <c r="A10209" i="1"/>
  <c r="B10209" i="1"/>
  <c r="C10209" i="1"/>
  <c r="D10209" i="1"/>
  <c r="E10209" i="1"/>
  <c r="F10209" i="1"/>
  <c r="G10209" i="1"/>
  <c r="H10209" i="1"/>
  <c r="A10210" i="1"/>
  <c r="B10210" i="1"/>
  <c r="C10210" i="1"/>
  <c r="D10210" i="1"/>
  <c r="E10210" i="1"/>
  <c r="F10210" i="1"/>
  <c r="G10210" i="1"/>
  <c r="H10210" i="1"/>
  <c r="A10211" i="1"/>
  <c r="B10211" i="1"/>
  <c r="C10211" i="1"/>
  <c r="D10211" i="1"/>
  <c r="E10211" i="1"/>
  <c r="F10211" i="1"/>
  <c r="G10211" i="1"/>
  <c r="H10211" i="1"/>
  <c r="A10212" i="1"/>
  <c r="B10212" i="1"/>
  <c r="C10212" i="1"/>
  <c r="D10212" i="1"/>
  <c r="E10212" i="1"/>
  <c r="F10212" i="1"/>
  <c r="G10212" i="1"/>
  <c r="H10212" i="1"/>
  <c r="A10213" i="1"/>
  <c r="B10213" i="1"/>
  <c r="C10213" i="1"/>
  <c r="D10213" i="1"/>
  <c r="E10213" i="1"/>
  <c r="F10213" i="1"/>
  <c r="G10213" i="1"/>
  <c r="H10213" i="1"/>
  <c r="A10214" i="1"/>
  <c r="B10214" i="1"/>
  <c r="C10214" i="1"/>
  <c r="D10214" i="1"/>
  <c r="E10214" i="1"/>
  <c r="F10214" i="1"/>
  <c r="G10214" i="1"/>
  <c r="H10214" i="1"/>
  <c r="A10215" i="1"/>
  <c r="B10215" i="1"/>
  <c r="C10215" i="1"/>
  <c r="D10215" i="1"/>
  <c r="E10215" i="1"/>
  <c r="F10215" i="1"/>
  <c r="G10215" i="1"/>
  <c r="H10215" i="1"/>
  <c r="A10216" i="1"/>
  <c r="B10216" i="1"/>
  <c r="C10216" i="1"/>
  <c r="D10216" i="1"/>
  <c r="E10216" i="1"/>
  <c r="F10216" i="1"/>
  <c r="G10216" i="1"/>
  <c r="H10216" i="1"/>
  <c r="A10217" i="1"/>
  <c r="B10217" i="1"/>
  <c r="C10217" i="1"/>
  <c r="D10217" i="1"/>
  <c r="E10217" i="1"/>
  <c r="F10217" i="1"/>
  <c r="G10217" i="1"/>
  <c r="H10217" i="1"/>
  <c r="A10218" i="1"/>
  <c r="B10218" i="1"/>
  <c r="C10218" i="1"/>
  <c r="D10218" i="1"/>
  <c r="E10218" i="1"/>
  <c r="F10218" i="1"/>
  <c r="G10218" i="1"/>
  <c r="H10218" i="1"/>
  <c r="A10219" i="1"/>
  <c r="B10219" i="1"/>
  <c r="C10219" i="1"/>
  <c r="D10219" i="1"/>
  <c r="E10219" i="1"/>
  <c r="F10219" i="1"/>
  <c r="G10219" i="1"/>
  <c r="H10219" i="1"/>
  <c r="A10220" i="1"/>
  <c r="B10220" i="1"/>
  <c r="C10220" i="1"/>
  <c r="D10220" i="1"/>
  <c r="E10220" i="1"/>
  <c r="F10220" i="1"/>
  <c r="G10220" i="1"/>
  <c r="H10220" i="1"/>
  <c r="A10221" i="1"/>
  <c r="B10221" i="1"/>
  <c r="C10221" i="1"/>
  <c r="D10221" i="1"/>
  <c r="E10221" i="1"/>
  <c r="F10221" i="1"/>
  <c r="G10221" i="1"/>
  <c r="H10221" i="1"/>
  <c r="A10222" i="1"/>
  <c r="B10222" i="1"/>
  <c r="C10222" i="1"/>
  <c r="D10222" i="1"/>
  <c r="E10222" i="1"/>
  <c r="F10222" i="1"/>
  <c r="G10222" i="1"/>
  <c r="H10222" i="1"/>
  <c r="A10223" i="1"/>
  <c r="B10223" i="1"/>
  <c r="C10223" i="1"/>
  <c r="D10223" i="1"/>
  <c r="E10223" i="1"/>
  <c r="F10223" i="1"/>
  <c r="G10223" i="1"/>
  <c r="H10223" i="1"/>
  <c r="A10224" i="1"/>
  <c r="B10224" i="1"/>
  <c r="C10224" i="1"/>
  <c r="D10224" i="1"/>
  <c r="E10224" i="1"/>
  <c r="F10224" i="1"/>
  <c r="G10224" i="1"/>
  <c r="H10224" i="1"/>
  <c r="A10225" i="1"/>
  <c r="B10225" i="1"/>
  <c r="C10225" i="1"/>
  <c r="D10225" i="1"/>
  <c r="E10225" i="1"/>
  <c r="F10225" i="1"/>
  <c r="G10225" i="1"/>
  <c r="H10225" i="1"/>
  <c r="A10226" i="1"/>
  <c r="B10226" i="1"/>
  <c r="C10226" i="1"/>
  <c r="D10226" i="1"/>
  <c r="E10226" i="1"/>
  <c r="F10226" i="1"/>
  <c r="G10226" i="1"/>
  <c r="H10226" i="1"/>
  <c r="A10227" i="1"/>
  <c r="B10227" i="1"/>
  <c r="C10227" i="1"/>
  <c r="D10227" i="1"/>
  <c r="E10227" i="1"/>
  <c r="F10227" i="1"/>
  <c r="G10227" i="1"/>
  <c r="H10227" i="1"/>
  <c r="A10228" i="1"/>
  <c r="B10228" i="1"/>
  <c r="C10228" i="1"/>
  <c r="D10228" i="1"/>
  <c r="E10228" i="1"/>
  <c r="F10228" i="1"/>
  <c r="G10228" i="1"/>
  <c r="H10228" i="1"/>
  <c r="A10229" i="1"/>
  <c r="B10229" i="1"/>
  <c r="C10229" i="1"/>
  <c r="D10229" i="1"/>
  <c r="E10229" i="1"/>
  <c r="F10229" i="1"/>
  <c r="G10229" i="1"/>
  <c r="H10229" i="1"/>
  <c r="A10230" i="1"/>
  <c r="B10230" i="1"/>
  <c r="C10230" i="1"/>
  <c r="D10230" i="1"/>
  <c r="E10230" i="1"/>
  <c r="F10230" i="1"/>
  <c r="G10230" i="1"/>
  <c r="H10230" i="1"/>
  <c r="A10231" i="1"/>
  <c r="B10231" i="1"/>
  <c r="C10231" i="1"/>
  <c r="D10231" i="1"/>
  <c r="E10231" i="1"/>
  <c r="F10231" i="1"/>
  <c r="G10231" i="1"/>
  <c r="H10231" i="1"/>
  <c r="A10232" i="1"/>
  <c r="B10232" i="1"/>
  <c r="C10232" i="1"/>
  <c r="D10232" i="1"/>
  <c r="E10232" i="1"/>
  <c r="F10232" i="1"/>
  <c r="G10232" i="1"/>
  <c r="H10232" i="1"/>
  <c r="A10233" i="1"/>
  <c r="B10233" i="1"/>
  <c r="C10233" i="1"/>
  <c r="D10233" i="1"/>
  <c r="E10233" i="1"/>
  <c r="F10233" i="1"/>
  <c r="G10233" i="1"/>
  <c r="H10233" i="1"/>
  <c r="A10234" i="1"/>
  <c r="B10234" i="1"/>
  <c r="C10234" i="1"/>
  <c r="D10234" i="1"/>
  <c r="E10234" i="1"/>
  <c r="F10234" i="1"/>
  <c r="G10234" i="1"/>
  <c r="H10234" i="1"/>
  <c r="A10235" i="1"/>
  <c r="B10235" i="1"/>
  <c r="C10235" i="1"/>
  <c r="D10235" i="1"/>
  <c r="E10235" i="1"/>
  <c r="F10235" i="1"/>
  <c r="G10235" i="1"/>
  <c r="H10235" i="1"/>
  <c r="A10236" i="1"/>
  <c r="B10236" i="1"/>
  <c r="C10236" i="1"/>
  <c r="D10236" i="1"/>
  <c r="E10236" i="1"/>
  <c r="F10236" i="1"/>
  <c r="G10236" i="1"/>
  <c r="H10236" i="1"/>
  <c r="A10237" i="1"/>
  <c r="B10237" i="1"/>
  <c r="C10237" i="1"/>
  <c r="D10237" i="1"/>
  <c r="E10237" i="1"/>
  <c r="F10237" i="1"/>
  <c r="G10237" i="1"/>
  <c r="H10237" i="1"/>
  <c r="A10238" i="1"/>
  <c r="B10238" i="1"/>
  <c r="C10238" i="1"/>
  <c r="D10238" i="1"/>
  <c r="E10238" i="1"/>
  <c r="F10238" i="1"/>
  <c r="G10238" i="1"/>
  <c r="H10238" i="1"/>
  <c r="A10239" i="1"/>
  <c r="B10239" i="1"/>
  <c r="C10239" i="1"/>
  <c r="D10239" i="1"/>
  <c r="E10239" i="1"/>
  <c r="F10239" i="1"/>
  <c r="G10239" i="1"/>
  <c r="H10239" i="1"/>
  <c r="A10240" i="1"/>
  <c r="B10240" i="1"/>
  <c r="C10240" i="1"/>
  <c r="D10240" i="1"/>
  <c r="E10240" i="1"/>
  <c r="F10240" i="1"/>
  <c r="G10240" i="1"/>
  <c r="H10240" i="1"/>
  <c r="A10241" i="1"/>
  <c r="B10241" i="1"/>
  <c r="C10241" i="1"/>
  <c r="D10241" i="1"/>
  <c r="E10241" i="1"/>
  <c r="F10241" i="1"/>
  <c r="G10241" i="1"/>
  <c r="H10241" i="1"/>
  <c r="A10242" i="1"/>
  <c r="B10242" i="1"/>
  <c r="C10242" i="1"/>
  <c r="D10242" i="1"/>
  <c r="E10242" i="1"/>
  <c r="F10242" i="1"/>
  <c r="G10242" i="1"/>
  <c r="H10242" i="1"/>
  <c r="A10243" i="1"/>
  <c r="B10243" i="1"/>
  <c r="C10243" i="1"/>
  <c r="D10243" i="1"/>
  <c r="E10243" i="1"/>
  <c r="F10243" i="1"/>
  <c r="G10243" i="1"/>
  <c r="H10243" i="1"/>
  <c r="A10244" i="1"/>
  <c r="B10244" i="1"/>
  <c r="C10244" i="1"/>
  <c r="D10244" i="1"/>
  <c r="E10244" i="1"/>
  <c r="F10244" i="1"/>
  <c r="G10244" i="1"/>
  <c r="H10244" i="1"/>
  <c r="A10245" i="1"/>
  <c r="B10245" i="1"/>
  <c r="C10245" i="1"/>
  <c r="D10245" i="1"/>
  <c r="E10245" i="1"/>
  <c r="F10245" i="1"/>
  <c r="G10245" i="1"/>
  <c r="H10245" i="1"/>
  <c r="A10246" i="1"/>
  <c r="B10246" i="1"/>
  <c r="C10246" i="1"/>
  <c r="D10246" i="1"/>
  <c r="E10246" i="1"/>
  <c r="F10246" i="1"/>
  <c r="G10246" i="1"/>
  <c r="H10246" i="1"/>
  <c r="A10247" i="1"/>
  <c r="B10247" i="1"/>
  <c r="C10247" i="1"/>
  <c r="D10247" i="1"/>
  <c r="E10247" i="1"/>
  <c r="F10247" i="1"/>
  <c r="G10247" i="1"/>
  <c r="H10247" i="1"/>
  <c r="A10248" i="1"/>
  <c r="B10248" i="1"/>
  <c r="C10248" i="1"/>
  <c r="D10248" i="1"/>
  <c r="E10248" i="1"/>
  <c r="F10248" i="1"/>
  <c r="G10248" i="1"/>
  <c r="H10248" i="1"/>
  <c r="A10249" i="1"/>
  <c r="B10249" i="1"/>
  <c r="C10249" i="1"/>
  <c r="D10249" i="1"/>
  <c r="E10249" i="1"/>
  <c r="F10249" i="1"/>
  <c r="G10249" i="1"/>
  <c r="H10249" i="1"/>
  <c r="A10250" i="1"/>
  <c r="B10250" i="1"/>
  <c r="C10250" i="1"/>
  <c r="D10250" i="1"/>
  <c r="E10250" i="1"/>
  <c r="F10250" i="1"/>
  <c r="G10250" i="1"/>
  <c r="H10250" i="1"/>
  <c r="A10251" i="1"/>
  <c r="B10251" i="1"/>
  <c r="C10251" i="1"/>
  <c r="D10251" i="1"/>
  <c r="E10251" i="1"/>
  <c r="F10251" i="1"/>
  <c r="G10251" i="1"/>
  <c r="H10251" i="1"/>
  <c r="A10252" i="1"/>
  <c r="B10252" i="1"/>
  <c r="C10252" i="1"/>
  <c r="D10252" i="1"/>
  <c r="E10252" i="1"/>
  <c r="F10252" i="1"/>
  <c r="G10252" i="1"/>
  <c r="H10252" i="1"/>
  <c r="A10253" i="1"/>
  <c r="B10253" i="1"/>
  <c r="C10253" i="1"/>
  <c r="D10253" i="1"/>
  <c r="E10253" i="1"/>
  <c r="F10253" i="1"/>
  <c r="G10253" i="1"/>
  <c r="H10253" i="1"/>
  <c r="A10254" i="1"/>
  <c r="B10254" i="1"/>
  <c r="C10254" i="1"/>
  <c r="D10254" i="1"/>
  <c r="E10254" i="1"/>
  <c r="F10254" i="1"/>
  <c r="G10254" i="1"/>
  <c r="H10254" i="1"/>
  <c r="A10255" i="1"/>
  <c r="B10255" i="1"/>
  <c r="C10255" i="1"/>
  <c r="D10255" i="1"/>
  <c r="E10255" i="1"/>
  <c r="F10255" i="1"/>
  <c r="G10255" i="1"/>
  <c r="H10255" i="1"/>
  <c r="A10256" i="1"/>
  <c r="B10256" i="1"/>
  <c r="C10256" i="1"/>
  <c r="D10256" i="1"/>
  <c r="E10256" i="1"/>
  <c r="F10256" i="1"/>
  <c r="G10256" i="1"/>
  <c r="H10256" i="1"/>
  <c r="A10257" i="1"/>
  <c r="B10257" i="1"/>
  <c r="C10257" i="1"/>
  <c r="D10257" i="1"/>
  <c r="E10257" i="1"/>
  <c r="F10257" i="1"/>
  <c r="G10257" i="1"/>
  <c r="H10257" i="1"/>
  <c r="A10258" i="1"/>
  <c r="B10258" i="1"/>
  <c r="C10258" i="1"/>
  <c r="D10258" i="1"/>
  <c r="E10258" i="1"/>
  <c r="F10258" i="1"/>
  <c r="G10258" i="1"/>
  <c r="H10258" i="1"/>
  <c r="A10259" i="1"/>
  <c r="B10259" i="1"/>
  <c r="C10259" i="1"/>
  <c r="D10259" i="1"/>
  <c r="E10259" i="1"/>
  <c r="F10259" i="1"/>
  <c r="G10259" i="1"/>
  <c r="H10259" i="1"/>
  <c r="A10260" i="1"/>
  <c r="B10260" i="1"/>
  <c r="C10260" i="1"/>
  <c r="D10260" i="1"/>
  <c r="E10260" i="1"/>
  <c r="F10260" i="1"/>
  <c r="G10260" i="1"/>
  <c r="H10260" i="1"/>
  <c r="A10261" i="1"/>
  <c r="B10261" i="1"/>
  <c r="C10261" i="1"/>
  <c r="D10261" i="1"/>
  <c r="E10261" i="1"/>
  <c r="F10261" i="1"/>
  <c r="G10261" i="1"/>
  <c r="H10261" i="1"/>
  <c r="A10262" i="1"/>
  <c r="B10262" i="1"/>
  <c r="C10262" i="1"/>
  <c r="D10262" i="1"/>
  <c r="E10262" i="1"/>
  <c r="F10262" i="1"/>
  <c r="G10262" i="1"/>
  <c r="H10262" i="1"/>
  <c r="A10263" i="1"/>
  <c r="B10263" i="1"/>
  <c r="C10263" i="1"/>
  <c r="D10263" i="1"/>
  <c r="E10263" i="1"/>
  <c r="F10263" i="1"/>
  <c r="G10263" i="1"/>
  <c r="H10263" i="1"/>
  <c r="A10264" i="1"/>
  <c r="B10264" i="1"/>
  <c r="C10264" i="1"/>
  <c r="D10264" i="1"/>
  <c r="E10264" i="1"/>
  <c r="F10264" i="1"/>
  <c r="G10264" i="1"/>
  <c r="H10264" i="1"/>
  <c r="A10265" i="1"/>
  <c r="B10265" i="1"/>
  <c r="C10265" i="1"/>
  <c r="D10265" i="1"/>
  <c r="E10265" i="1"/>
  <c r="F10265" i="1"/>
  <c r="G10265" i="1"/>
  <c r="H10265" i="1"/>
  <c r="A10266" i="1"/>
  <c r="B10266" i="1"/>
  <c r="C10266" i="1"/>
  <c r="D10266" i="1"/>
  <c r="E10266" i="1"/>
  <c r="F10266" i="1"/>
  <c r="G10266" i="1"/>
  <c r="H10266" i="1"/>
  <c r="A10267" i="1"/>
  <c r="B10267" i="1"/>
  <c r="C10267" i="1"/>
  <c r="D10267" i="1"/>
  <c r="E10267" i="1"/>
  <c r="F10267" i="1"/>
  <c r="G10267" i="1"/>
  <c r="H10267" i="1"/>
  <c r="A10268" i="1"/>
  <c r="B10268" i="1"/>
  <c r="C10268" i="1"/>
  <c r="D10268" i="1"/>
  <c r="E10268" i="1"/>
  <c r="F10268" i="1"/>
  <c r="G10268" i="1"/>
  <c r="H10268" i="1"/>
  <c r="A10269" i="1"/>
  <c r="B10269" i="1"/>
  <c r="C10269" i="1"/>
  <c r="D10269" i="1"/>
  <c r="E10269" i="1"/>
  <c r="F10269" i="1"/>
  <c r="G10269" i="1"/>
  <c r="H10269" i="1"/>
  <c r="A10270" i="1"/>
  <c r="B10270" i="1"/>
  <c r="C10270" i="1"/>
  <c r="D10270" i="1"/>
  <c r="E10270" i="1"/>
  <c r="F10270" i="1"/>
  <c r="G10270" i="1"/>
  <c r="H10270" i="1"/>
  <c r="A10271" i="1"/>
  <c r="B10271" i="1"/>
  <c r="C10271" i="1"/>
  <c r="D10271" i="1"/>
  <c r="E10271" i="1"/>
  <c r="F10271" i="1"/>
  <c r="G10271" i="1"/>
  <c r="H10271" i="1"/>
  <c r="A10272" i="1"/>
  <c r="B10272" i="1"/>
  <c r="C10272" i="1"/>
  <c r="D10272" i="1"/>
  <c r="E10272" i="1"/>
  <c r="F10272" i="1"/>
  <c r="G10272" i="1"/>
  <c r="H10272" i="1"/>
  <c r="A10273" i="1"/>
  <c r="B10273" i="1"/>
  <c r="C10273" i="1"/>
  <c r="D10273" i="1"/>
  <c r="E10273" i="1"/>
  <c r="F10273" i="1"/>
  <c r="G10273" i="1"/>
  <c r="H10273" i="1"/>
  <c r="A10274" i="1"/>
  <c r="B10274" i="1"/>
  <c r="C10274" i="1"/>
  <c r="D10274" i="1"/>
  <c r="E10274" i="1"/>
  <c r="F10274" i="1"/>
  <c r="G10274" i="1"/>
  <c r="H10274" i="1"/>
  <c r="A10275" i="1"/>
  <c r="B10275" i="1"/>
  <c r="C10275" i="1"/>
  <c r="D10275" i="1"/>
  <c r="E10275" i="1"/>
  <c r="F10275" i="1"/>
  <c r="G10275" i="1"/>
  <c r="H10275" i="1"/>
  <c r="A10276" i="1"/>
  <c r="B10276" i="1"/>
  <c r="C10276" i="1"/>
  <c r="D10276" i="1"/>
  <c r="E10276" i="1"/>
  <c r="F10276" i="1"/>
  <c r="G10276" i="1"/>
  <c r="H10276" i="1"/>
  <c r="A10277" i="1"/>
  <c r="B10277" i="1"/>
  <c r="C10277" i="1"/>
  <c r="D10277" i="1"/>
  <c r="E10277" i="1"/>
  <c r="F10277" i="1"/>
  <c r="G10277" i="1"/>
  <c r="H10277" i="1"/>
  <c r="A10278" i="1"/>
  <c r="B10278" i="1"/>
  <c r="C10278" i="1"/>
  <c r="D10278" i="1"/>
  <c r="E10278" i="1"/>
  <c r="F10278" i="1"/>
  <c r="G10278" i="1"/>
  <c r="H10278" i="1"/>
  <c r="A10279" i="1"/>
  <c r="B10279" i="1"/>
  <c r="C10279" i="1"/>
  <c r="D10279" i="1"/>
  <c r="E10279" i="1"/>
  <c r="F10279" i="1"/>
  <c r="G10279" i="1"/>
  <c r="H10279" i="1"/>
  <c r="A10280" i="1"/>
  <c r="B10280" i="1"/>
  <c r="C10280" i="1"/>
  <c r="D10280" i="1"/>
  <c r="E10280" i="1"/>
  <c r="F10280" i="1"/>
  <c r="G10280" i="1"/>
  <c r="H10280" i="1"/>
  <c r="A10281" i="1"/>
  <c r="B10281" i="1"/>
  <c r="C10281" i="1"/>
  <c r="D10281" i="1"/>
  <c r="E10281" i="1"/>
  <c r="F10281" i="1"/>
  <c r="G10281" i="1"/>
  <c r="H10281" i="1"/>
  <c r="A10282" i="1"/>
  <c r="B10282" i="1"/>
  <c r="C10282" i="1"/>
  <c r="D10282" i="1"/>
  <c r="E10282" i="1"/>
  <c r="F10282" i="1"/>
  <c r="G10282" i="1"/>
  <c r="H10282" i="1"/>
  <c r="A10283" i="1"/>
  <c r="B10283" i="1"/>
  <c r="C10283" i="1"/>
  <c r="D10283" i="1"/>
  <c r="E10283" i="1"/>
  <c r="F10283" i="1"/>
  <c r="G10283" i="1"/>
  <c r="H10283" i="1"/>
  <c r="A10284" i="1"/>
  <c r="B10284" i="1"/>
  <c r="C10284" i="1"/>
  <c r="D10284" i="1"/>
  <c r="E10284" i="1"/>
  <c r="F10284" i="1"/>
  <c r="G10284" i="1"/>
  <c r="H10284" i="1"/>
  <c r="A10285" i="1"/>
  <c r="B10285" i="1"/>
  <c r="C10285" i="1"/>
  <c r="D10285" i="1"/>
  <c r="E10285" i="1"/>
  <c r="F10285" i="1"/>
  <c r="G10285" i="1"/>
  <c r="H10285" i="1"/>
  <c r="A10286" i="1"/>
  <c r="B10286" i="1"/>
  <c r="C10286" i="1"/>
  <c r="D10286" i="1"/>
  <c r="E10286" i="1"/>
  <c r="F10286" i="1"/>
  <c r="G10286" i="1"/>
  <c r="H10286" i="1"/>
  <c r="A10287" i="1"/>
  <c r="B10287" i="1"/>
  <c r="C10287" i="1"/>
  <c r="D10287" i="1"/>
  <c r="E10287" i="1"/>
  <c r="F10287" i="1"/>
  <c r="G10287" i="1"/>
  <c r="H10287" i="1"/>
  <c r="A10288" i="1"/>
  <c r="B10288" i="1"/>
  <c r="C10288" i="1"/>
  <c r="D10288" i="1"/>
  <c r="E10288" i="1"/>
  <c r="F10288" i="1"/>
  <c r="G10288" i="1"/>
  <c r="H10288" i="1"/>
  <c r="A10289" i="1"/>
  <c r="B10289" i="1"/>
  <c r="C10289" i="1"/>
  <c r="D10289" i="1"/>
  <c r="E10289" i="1"/>
  <c r="F10289" i="1"/>
  <c r="G10289" i="1"/>
  <c r="H10289" i="1"/>
  <c r="A10290" i="1"/>
  <c r="B10290" i="1"/>
  <c r="C10290" i="1"/>
  <c r="D10290" i="1"/>
  <c r="E10290" i="1"/>
  <c r="F10290" i="1"/>
  <c r="G10290" i="1"/>
  <c r="H10290" i="1"/>
  <c r="A10291" i="1"/>
  <c r="B10291" i="1"/>
  <c r="C10291" i="1"/>
  <c r="D10291" i="1"/>
  <c r="E10291" i="1"/>
  <c r="F10291" i="1"/>
  <c r="G10291" i="1"/>
  <c r="H10291" i="1"/>
  <c r="A10292" i="1"/>
  <c r="B10292" i="1"/>
  <c r="C10292" i="1"/>
  <c r="D10292" i="1"/>
  <c r="E10292" i="1"/>
  <c r="F10292" i="1"/>
  <c r="G10292" i="1"/>
  <c r="H10292" i="1"/>
  <c r="A10293" i="1"/>
  <c r="B10293" i="1"/>
  <c r="C10293" i="1"/>
  <c r="D10293" i="1"/>
  <c r="E10293" i="1"/>
  <c r="F10293" i="1"/>
  <c r="G10293" i="1"/>
  <c r="H10293" i="1"/>
  <c r="A10294" i="1"/>
  <c r="B10294" i="1"/>
  <c r="C10294" i="1"/>
  <c r="D10294" i="1"/>
  <c r="E10294" i="1"/>
  <c r="F10294" i="1"/>
  <c r="G10294" i="1"/>
  <c r="H10294" i="1"/>
  <c r="A10295" i="1"/>
  <c r="B10295" i="1"/>
  <c r="C10295" i="1"/>
  <c r="D10295" i="1"/>
  <c r="E10295" i="1"/>
  <c r="F10295" i="1"/>
  <c r="G10295" i="1"/>
  <c r="H10295" i="1"/>
  <c r="A10296" i="1"/>
  <c r="B10296" i="1"/>
  <c r="C10296" i="1"/>
  <c r="D10296" i="1"/>
  <c r="E10296" i="1"/>
  <c r="F10296" i="1"/>
  <c r="G10296" i="1"/>
  <c r="H10296" i="1"/>
  <c r="A10297" i="1"/>
  <c r="B10297" i="1"/>
  <c r="C10297" i="1"/>
  <c r="D10297" i="1"/>
  <c r="E10297" i="1"/>
  <c r="F10297" i="1"/>
  <c r="G10297" i="1"/>
  <c r="H10297" i="1"/>
  <c r="A10298" i="1"/>
  <c r="B10298" i="1"/>
  <c r="C10298" i="1"/>
  <c r="D10298" i="1"/>
  <c r="E10298" i="1"/>
  <c r="F10298" i="1"/>
  <c r="G10298" i="1"/>
  <c r="H10298" i="1"/>
  <c r="A10299" i="1"/>
  <c r="B10299" i="1"/>
  <c r="C10299" i="1"/>
  <c r="D10299" i="1"/>
  <c r="E10299" i="1"/>
  <c r="F10299" i="1"/>
  <c r="G10299" i="1"/>
  <c r="H10299" i="1"/>
  <c r="A10300" i="1"/>
  <c r="B10300" i="1"/>
  <c r="C10300" i="1"/>
  <c r="D10300" i="1"/>
  <c r="E10300" i="1"/>
  <c r="F10300" i="1"/>
  <c r="G10300" i="1"/>
  <c r="H10300" i="1"/>
  <c r="A10301" i="1"/>
  <c r="B10301" i="1"/>
  <c r="C10301" i="1"/>
  <c r="D10301" i="1"/>
  <c r="E10301" i="1"/>
  <c r="F10301" i="1"/>
  <c r="G10301" i="1"/>
  <c r="H10301" i="1"/>
  <c r="A10302" i="1"/>
  <c r="B10302" i="1"/>
  <c r="C10302" i="1"/>
  <c r="D10302" i="1"/>
  <c r="E10302" i="1"/>
  <c r="F10302" i="1"/>
  <c r="G10302" i="1"/>
  <c r="H10302" i="1"/>
  <c r="A10303" i="1"/>
  <c r="B10303" i="1"/>
  <c r="C10303" i="1"/>
  <c r="D10303" i="1"/>
  <c r="E10303" i="1"/>
  <c r="F10303" i="1"/>
  <c r="G10303" i="1"/>
  <c r="H10303" i="1"/>
  <c r="A10304" i="1"/>
  <c r="B10304" i="1"/>
  <c r="C10304" i="1"/>
  <c r="D10304" i="1"/>
  <c r="E10304" i="1"/>
  <c r="F10304" i="1"/>
  <c r="G10304" i="1"/>
  <c r="H10304" i="1"/>
  <c r="A10305" i="1"/>
  <c r="B10305" i="1"/>
  <c r="C10305" i="1"/>
  <c r="D10305" i="1"/>
  <c r="E10305" i="1"/>
  <c r="F10305" i="1"/>
  <c r="G10305" i="1"/>
  <c r="H10305" i="1"/>
  <c r="A10306" i="1"/>
  <c r="B10306" i="1"/>
  <c r="C10306" i="1"/>
  <c r="D10306" i="1"/>
  <c r="E10306" i="1"/>
  <c r="F10306" i="1"/>
  <c r="G10306" i="1"/>
  <c r="H10306" i="1"/>
  <c r="A10307" i="1"/>
  <c r="B10307" i="1"/>
  <c r="C10307" i="1"/>
  <c r="D10307" i="1"/>
  <c r="E10307" i="1"/>
  <c r="F10307" i="1"/>
  <c r="G10307" i="1"/>
  <c r="H10307" i="1"/>
  <c r="A10308" i="1"/>
  <c r="B10308" i="1"/>
  <c r="C10308" i="1"/>
  <c r="D10308" i="1"/>
  <c r="E10308" i="1"/>
  <c r="F10308" i="1"/>
  <c r="G10308" i="1"/>
  <c r="H10308" i="1"/>
  <c r="A10309" i="1"/>
  <c r="B10309" i="1"/>
  <c r="C10309" i="1"/>
  <c r="D10309" i="1"/>
  <c r="E10309" i="1"/>
  <c r="F10309" i="1"/>
  <c r="G10309" i="1"/>
  <c r="H10309" i="1"/>
  <c r="A10310" i="1"/>
  <c r="B10310" i="1"/>
  <c r="C10310" i="1"/>
  <c r="D10310" i="1"/>
  <c r="E10310" i="1"/>
  <c r="F10310" i="1"/>
  <c r="G10310" i="1"/>
  <c r="H10310" i="1"/>
  <c r="A10311" i="1"/>
  <c r="B10311" i="1"/>
  <c r="C10311" i="1"/>
  <c r="D10311" i="1"/>
  <c r="E10311" i="1"/>
  <c r="F10311" i="1"/>
  <c r="G10311" i="1"/>
  <c r="H10311" i="1"/>
  <c r="A10312" i="1"/>
  <c r="B10312" i="1"/>
  <c r="C10312" i="1"/>
  <c r="D10312" i="1"/>
  <c r="E10312" i="1"/>
  <c r="F10312" i="1"/>
  <c r="G10312" i="1"/>
  <c r="H10312" i="1"/>
  <c r="A10313" i="1"/>
  <c r="B10313" i="1"/>
  <c r="C10313" i="1"/>
  <c r="D10313" i="1"/>
  <c r="E10313" i="1"/>
  <c r="F10313" i="1"/>
  <c r="G10313" i="1"/>
  <c r="H10313" i="1"/>
  <c r="A10314" i="1"/>
  <c r="B10314" i="1"/>
  <c r="C10314" i="1"/>
  <c r="D10314" i="1"/>
  <c r="E10314" i="1"/>
  <c r="F10314" i="1"/>
  <c r="G10314" i="1"/>
  <c r="H10314" i="1"/>
  <c r="A10315" i="1"/>
  <c r="B10315" i="1"/>
  <c r="C10315" i="1"/>
  <c r="D10315" i="1"/>
  <c r="E10315" i="1"/>
  <c r="F10315" i="1"/>
  <c r="G10315" i="1"/>
  <c r="H10315" i="1"/>
  <c r="A10316" i="1"/>
  <c r="B10316" i="1"/>
  <c r="C10316" i="1"/>
  <c r="D10316" i="1"/>
  <c r="E10316" i="1"/>
  <c r="F10316" i="1"/>
  <c r="G10316" i="1"/>
  <c r="H10316" i="1"/>
  <c r="A10317" i="1"/>
  <c r="B10317" i="1"/>
  <c r="C10317" i="1"/>
  <c r="D10317" i="1"/>
  <c r="E10317" i="1"/>
  <c r="F10317" i="1"/>
  <c r="G10317" i="1"/>
  <c r="H10317" i="1"/>
  <c r="A10318" i="1"/>
  <c r="B10318" i="1"/>
  <c r="C10318" i="1"/>
  <c r="D10318" i="1"/>
  <c r="E10318" i="1"/>
  <c r="F10318" i="1"/>
  <c r="G10318" i="1"/>
  <c r="H10318" i="1"/>
  <c r="A10319" i="1"/>
  <c r="B10319" i="1"/>
  <c r="C10319" i="1"/>
  <c r="D10319" i="1"/>
  <c r="E10319" i="1"/>
  <c r="F10319" i="1"/>
  <c r="G10319" i="1"/>
  <c r="H10319" i="1"/>
  <c r="A10320" i="1"/>
  <c r="B10320" i="1"/>
  <c r="C10320" i="1"/>
  <c r="D10320" i="1"/>
  <c r="E10320" i="1"/>
  <c r="F10320" i="1"/>
  <c r="G10320" i="1"/>
  <c r="H10320" i="1"/>
  <c r="A10321" i="1"/>
  <c r="B10321" i="1"/>
  <c r="C10321" i="1"/>
  <c r="D10321" i="1"/>
  <c r="E10321" i="1"/>
  <c r="F10321" i="1"/>
  <c r="G10321" i="1"/>
  <c r="H10321" i="1"/>
  <c r="A10322" i="1"/>
  <c r="B10322" i="1"/>
  <c r="C10322" i="1"/>
  <c r="D10322" i="1"/>
  <c r="E10322" i="1"/>
  <c r="F10322" i="1"/>
  <c r="G10322" i="1"/>
  <c r="H10322" i="1"/>
  <c r="A10323" i="1"/>
  <c r="B10323" i="1"/>
  <c r="C10323" i="1"/>
  <c r="D10323" i="1"/>
  <c r="E10323" i="1"/>
  <c r="F10323" i="1"/>
  <c r="G10323" i="1"/>
  <c r="H10323" i="1"/>
  <c r="A10324" i="1"/>
  <c r="B10324" i="1"/>
  <c r="C10324" i="1"/>
  <c r="D10324" i="1"/>
  <c r="E10324" i="1"/>
  <c r="F10324" i="1"/>
  <c r="G10324" i="1"/>
  <c r="H10324" i="1"/>
  <c r="A10325" i="1"/>
  <c r="B10325" i="1"/>
  <c r="C10325" i="1"/>
  <c r="D10325" i="1"/>
  <c r="E10325" i="1"/>
  <c r="F10325" i="1"/>
  <c r="G10325" i="1"/>
  <c r="H10325" i="1"/>
  <c r="A10326" i="1"/>
  <c r="B10326" i="1"/>
  <c r="C10326" i="1"/>
  <c r="D10326" i="1"/>
  <c r="E10326" i="1"/>
  <c r="F10326" i="1"/>
  <c r="G10326" i="1"/>
  <c r="H10326" i="1"/>
  <c r="A10327" i="1"/>
  <c r="B10327" i="1"/>
  <c r="C10327" i="1"/>
  <c r="D10327" i="1"/>
  <c r="E10327" i="1"/>
  <c r="F10327" i="1"/>
  <c r="G10327" i="1"/>
  <c r="H10327" i="1"/>
  <c r="A10328" i="1"/>
  <c r="B10328" i="1"/>
  <c r="C10328" i="1"/>
  <c r="D10328" i="1"/>
  <c r="E10328" i="1"/>
  <c r="F10328" i="1"/>
  <c r="G10328" i="1"/>
  <c r="H10328" i="1"/>
  <c r="A10329" i="1"/>
  <c r="B10329" i="1"/>
  <c r="C10329" i="1"/>
  <c r="D10329" i="1"/>
  <c r="E10329" i="1"/>
  <c r="F10329" i="1"/>
  <c r="G10329" i="1"/>
  <c r="H10329" i="1"/>
  <c r="A10330" i="1"/>
  <c r="B10330" i="1"/>
  <c r="C10330" i="1"/>
  <c r="D10330" i="1"/>
  <c r="E10330" i="1"/>
  <c r="F10330" i="1"/>
  <c r="G10330" i="1"/>
  <c r="H10330" i="1"/>
  <c r="A10331" i="1"/>
  <c r="B10331" i="1"/>
  <c r="C10331" i="1"/>
  <c r="D10331" i="1"/>
  <c r="E10331" i="1"/>
  <c r="F10331" i="1"/>
  <c r="G10331" i="1"/>
  <c r="H10331" i="1"/>
  <c r="A10332" i="1"/>
  <c r="B10332" i="1"/>
  <c r="C10332" i="1"/>
  <c r="D10332" i="1"/>
  <c r="E10332" i="1"/>
  <c r="F10332" i="1"/>
  <c r="G10332" i="1"/>
  <c r="H10332" i="1"/>
  <c r="A10333" i="1"/>
  <c r="B10333" i="1"/>
  <c r="C10333" i="1"/>
  <c r="D10333" i="1"/>
  <c r="E10333" i="1"/>
  <c r="F10333" i="1"/>
  <c r="G10333" i="1"/>
  <c r="H10333" i="1"/>
  <c r="A10334" i="1"/>
  <c r="B10334" i="1"/>
  <c r="C10334" i="1"/>
  <c r="D10334" i="1"/>
  <c r="E10334" i="1"/>
  <c r="F10334" i="1"/>
  <c r="G10334" i="1"/>
  <c r="H10334" i="1"/>
  <c r="A10335" i="1"/>
  <c r="B10335" i="1"/>
  <c r="C10335" i="1"/>
  <c r="D10335" i="1"/>
  <c r="E10335" i="1"/>
  <c r="F10335" i="1"/>
  <c r="G10335" i="1"/>
  <c r="H10335" i="1"/>
  <c r="A10336" i="1"/>
  <c r="B10336" i="1"/>
  <c r="C10336" i="1"/>
  <c r="D10336" i="1"/>
  <c r="E10336" i="1"/>
  <c r="F10336" i="1"/>
  <c r="G10336" i="1"/>
  <c r="H10336" i="1"/>
  <c r="A10337" i="1"/>
  <c r="B10337" i="1"/>
  <c r="C10337" i="1"/>
  <c r="D10337" i="1"/>
  <c r="E10337" i="1"/>
  <c r="F10337" i="1"/>
  <c r="G10337" i="1"/>
  <c r="H10337" i="1"/>
  <c r="A10338" i="1"/>
  <c r="B10338" i="1"/>
  <c r="C10338" i="1"/>
  <c r="D10338" i="1"/>
  <c r="E10338" i="1"/>
  <c r="F10338" i="1"/>
  <c r="G10338" i="1"/>
  <c r="H10338" i="1"/>
  <c r="A10339" i="1"/>
  <c r="B10339" i="1"/>
  <c r="C10339" i="1"/>
  <c r="D10339" i="1"/>
  <c r="E10339" i="1"/>
  <c r="F10339" i="1"/>
  <c r="G10339" i="1"/>
  <c r="H10339" i="1"/>
  <c r="A10340" i="1"/>
  <c r="B10340" i="1"/>
  <c r="C10340" i="1"/>
  <c r="D10340" i="1"/>
  <c r="E10340" i="1"/>
  <c r="F10340" i="1"/>
  <c r="G10340" i="1"/>
  <c r="H10340" i="1"/>
  <c r="A10341" i="1"/>
  <c r="B10341" i="1"/>
  <c r="C10341" i="1"/>
  <c r="D10341" i="1"/>
  <c r="E10341" i="1"/>
  <c r="F10341" i="1"/>
  <c r="G10341" i="1"/>
  <c r="H10341" i="1"/>
  <c r="A10342" i="1"/>
  <c r="B10342" i="1"/>
  <c r="C10342" i="1"/>
  <c r="D10342" i="1"/>
  <c r="E10342" i="1"/>
  <c r="F10342" i="1"/>
  <c r="G10342" i="1"/>
  <c r="H10342" i="1"/>
  <c r="A10343" i="1"/>
  <c r="B10343" i="1"/>
  <c r="C10343" i="1"/>
  <c r="D10343" i="1"/>
  <c r="E10343" i="1"/>
  <c r="F10343" i="1"/>
  <c r="G10343" i="1"/>
  <c r="H10343" i="1"/>
  <c r="A10344" i="1"/>
  <c r="B10344" i="1"/>
  <c r="C10344" i="1"/>
  <c r="D10344" i="1"/>
  <c r="E10344" i="1"/>
  <c r="F10344" i="1"/>
  <c r="G10344" i="1"/>
  <c r="H10344" i="1"/>
  <c r="A10345" i="1"/>
  <c r="B10345" i="1"/>
  <c r="C10345" i="1"/>
  <c r="D10345" i="1"/>
  <c r="E10345" i="1"/>
  <c r="F10345" i="1"/>
  <c r="G10345" i="1"/>
  <c r="H10345" i="1"/>
  <c r="A10346" i="1"/>
  <c r="B10346" i="1"/>
  <c r="C10346" i="1"/>
  <c r="D10346" i="1"/>
  <c r="E10346" i="1"/>
  <c r="F10346" i="1"/>
  <c r="G10346" i="1"/>
  <c r="H10346" i="1"/>
  <c r="A10347" i="1"/>
  <c r="B10347" i="1"/>
  <c r="C10347" i="1"/>
  <c r="D10347" i="1"/>
  <c r="E10347" i="1"/>
  <c r="F10347" i="1"/>
  <c r="G10347" i="1"/>
  <c r="H10347" i="1"/>
  <c r="A10348" i="1"/>
  <c r="B10348" i="1"/>
  <c r="C10348" i="1"/>
  <c r="D10348" i="1"/>
  <c r="E10348" i="1"/>
  <c r="F10348" i="1"/>
  <c r="G10348" i="1"/>
  <c r="H10348" i="1"/>
  <c r="A10349" i="1"/>
  <c r="B10349" i="1"/>
  <c r="C10349" i="1"/>
  <c r="D10349" i="1"/>
  <c r="E10349" i="1"/>
  <c r="F10349" i="1"/>
  <c r="G10349" i="1"/>
  <c r="H10349" i="1"/>
  <c r="A10350" i="1"/>
  <c r="B10350" i="1"/>
  <c r="C10350" i="1"/>
  <c r="D10350" i="1"/>
  <c r="E10350" i="1"/>
  <c r="F10350" i="1"/>
  <c r="G10350" i="1"/>
  <c r="H10350" i="1"/>
  <c r="A10351" i="1"/>
  <c r="B10351" i="1"/>
  <c r="C10351" i="1"/>
  <c r="D10351" i="1"/>
  <c r="E10351" i="1"/>
  <c r="F10351" i="1"/>
  <c r="G10351" i="1"/>
  <c r="H10351" i="1"/>
  <c r="A10352" i="1"/>
  <c r="B10352" i="1"/>
  <c r="C10352" i="1"/>
  <c r="D10352" i="1"/>
  <c r="E10352" i="1"/>
  <c r="F10352" i="1"/>
  <c r="G10352" i="1"/>
  <c r="H10352" i="1"/>
  <c r="A10353" i="1"/>
  <c r="B10353" i="1"/>
  <c r="C10353" i="1"/>
  <c r="D10353" i="1"/>
  <c r="E10353" i="1"/>
  <c r="F10353" i="1"/>
  <c r="G10353" i="1"/>
  <c r="H10353" i="1"/>
  <c r="A10354" i="1"/>
  <c r="B10354" i="1"/>
  <c r="C10354" i="1"/>
  <c r="D10354" i="1"/>
  <c r="E10354" i="1"/>
  <c r="F10354" i="1"/>
  <c r="G10354" i="1"/>
  <c r="H10354" i="1"/>
  <c r="A10355" i="1"/>
  <c r="B10355" i="1"/>
  <c r="C10355" i="1"/>
  <c r="D10355" i="1"/>
  <c r="E10355" i="1"/>
  <c r="F10355" i="1"/>
  <c r="G10355" i="1"/>
  <c r="H10355" i="1"/>
  <c r="A10356" i="1"/>
  <c r="B10356" i="1"/>
  <c r="C10356" i="1"/>
  <c r="D10356" i="1"/>
  <c r="E10356" i="1"/>
  <c r="F10356" i="1"/>
  <c r="G10356" i="1"/>
  <c r="H10356" i="1"/>
  <c r="A10357" i="1"/>
  <c r="B10357" i="1"/>
  <c r="C10357" i="1"/>
  <c r="D10357" i="1"/>
  <c r="E10357" i="1"/>
  <c r="F10357" i="1"/>
  <c r="G10357" i="1"/>
  <c r="H10357" i="1"/>
  <c r="A10358" i="1"/>
  <c r="B10358" i="1"/>
  <c r="C10358" i="1"/>
  <c r="D10358" i="1"/>
  <c r="E10358" i="1"/>
  <c r="F10358" i="1"/>
  <c r="G10358" i="1"/>
  <c r="H10358" i="1"/>
  <c r="A10359" i="1"/>
  <c r="B10359" i="1"/>
  <c r="C10359" i="1"/>
  <c r="D10359" i="1"/>
  <c r="E10359" i="1"/>
  <c r="F10359" i="1"/>
  <c r="G10359" i="1"/>
  <c r="H10359" i="1"/>
  <c r="A10360" i="1"/>
  <c r="B10360" i="1"/>
  <c r="C10360" i="1"/>
  <c r="D10360" i="1"/>
  <c r="E10360" i="1"/>
  <c r="F10360" i="1"/>
  <c r="G10360" i="1"/>
  <c r="H10360" i="1"/>
  <c r="A10361" i="1"/>
  <c r="B10361" i="1"/>
  <c r="C10361" i="1"/>
  <c r="D10361" i="1"/>
  <c r="E10361" i="1"/>
  <c r="F10361" i="1"/>
  <c r="G10361" i="1"/>
  <c r="H10361" i="1"/>
  <c r="A10362" i="1"/>
  <c r="B10362" i="1"/>
  <c r="C10362" i="1"/>
  <c r="D10362" i="1"/>
  <c r="E10362" i="1"/>
  <c r="F10362" i="1"/>
  <c r="G10362" i="1"/>
  <c r="H10362" i="1"/>
  <c r="A10363" i="1"/>
  <c r="B10363" i="1"/>
  <c r="C10363" i="1"/>
  <c r="D10363" i="1"/>
  <c r="E10363" i="1"/>
  <c r="F10363" i="1"/>
  <c r="G10363" i="1"/>
  <c r="H10363" i="1"/>
  <c r="A10364" i="1"/>
  <c r="B10364" i="1"/>
  <c r="C10364" i="1"/>
  <c r="D10364" i="1"/>
  <c r="E10364" i="1"/>
  <c r="F10364" i="1"/>
  <c r="G10364" i="1"/>
  <c r="H10364" i="1"/>
  <c r="A10365" i="1"/>
  <c r="B10365" i="1"/>
  <c r="C10365" i="1"/>
  <c r="D10365" i="1"/>
  <c r="E10365" i="1"/>
  <c r="F10365" i="1"/>
  <c r="G10365" i="1"/>
  <c r="H10365" i="1"/>
  <c r="A10366" i="1"/>
  <c r="B10366" i="1"/>
  <c r="C10366" i="1"/>
  <c r="D10366" i="1"/>
  <c r="E10366" i="1"/>
  <c r="F10366" i="1"/>
  <c r="G10366" i="1"/>
  <c r="H10366" i="1"/>
  <c r="A10367" i="1"/>
  <c r="B10367" i="1"/>
  <c r="C10367" i="1"/>
  <c r="D10367" i="1"/>
  <c r="E10367" i="1"/>
  <c r="F10367" i="1"/>
  <c r="G10367" i="1"/>
  <c r="H10367" i="1"/>
  <c r="A10368" i="1"/>
  <c r="B10368" i="1"/>
  <c r="C10368" i="1"/>
  <c r="D10368" i="1"/>
  <c r="E10368" i="1"/>
  <c r="F10368" i="1"/>
  <c r="G10368" i="1"/>
  <c r="H10368" i="1"/>
  <c r="A10369" i="1"/>
  <c r="B10369" i="1"/>
  <c r="C10369" i="1"/>
  <c r="D10369" i="1"/>
  <c r="E10369" i="1"/>
  <c r="F10369" i="1"/>
  <c r="G10369" i="1"/>
  <c r="H10369" i="1"/>
  <c r="A10370" i="1"/>
  <c r="B10370" i="1"/>
  <c r="C10370" i="1"/>
  <c r="D10370" i="1"/>
  <c r="E10370" i="1"/>
  <c r="F10370" i="1"/>
  <c r="G10370" i="1"/>
  <c r="H10370" i="1"/>
  <c r="A10371" i="1"/>
  <c r="B10371" i="1"/>
  <c r="C10371" i="1"/>
  <c r="D10371" i="1"/>
  <c r="E10371" i="1"/>
  <c r="F10371" i="1"/>
  <c r="G10371" i="1"/>
  <c r="H10371" i="1"/>
  <c r="A10372" i="1"/>
  <c r="B10372" i="1"/>
  <c r="C10372" i="1"/>
  <c r="D10372" i="1"/>
  <c r="E10372" i="1"/>
  <c r="F10372" i="1"/>
  <c r="G10372" i="1"/>
  <c r="H10372" i="1"/>
  <c r="A10373" i="1"/>
  <c r="B10373" i="1"/>
  <c r="C10373" i="1"/>
  <c r="D10373" i="1"/>
  <c r="E10373" i="1"/>
  <c r="F10373" i="1"/>
  <c r="G10373" i="1"/>
  <c r="H10373" i="1"/>
  <c r="A10374" i="1"/>
  <c r="B10374" i="1"/>
  <c r="C10374" i="1"/>
  <c r="D10374" i="1"/>
  <c r="E10374" i="1"/>
  <c r="F10374" i="1"/>
  <c r="G10374" i="1"/>
  <c r="H10374" i="1"/>
  <c r="A10375" i="1"/>
  <c r="B10375" i="1"/>
  <c r="C10375" i="1"/>
  <c r="D10375" i="1"/>
  <c r="E10375" i="1"/>
  <c r="F10375" i="1"/>
  <c r="G10375" i="1"/>
  <c r="H10375" i="1"/>
  <c r="A10376" i="1"/>
  <c r="B10376" i="1"/>
  <c r="C10376" i="1"/>
  <c r="D10376" i="1"/>
  <c r="E10376" i="1"/>
  <c r="F10376" i="1"/>
  <c r="G10376" i="1"/>
  <c r="H10376" i="1"/>
  <c r="A10377" i="1"/>
  <c r="B10377" i="1"/>
  <c r="C10377" i="1"/>
  <c r="D10377" i="1"/>
  <c r="E10377" i="1"/>
  <c r="F10377" i="1"/>
  <c r="G10377" i="1"/>
  <c r="H10377" i="1"/>
  <c r="A10378" i="1"/>
  <c r="B10378" i="1"/>
  <c r="C10378" i="1"/>
  <c r="D10378" i="1"/>
  <c r="E10378" i="1"/>
  <c r="F10378" i="1"/>
  <c r="G10378" i="1"/>
  <c r="H10378" i="1"/>
  <c r="A10379" i="1"/>
  <c r="B10379" i="1"/>
  <c r="C10379" i="1"/>
  <c r="D10379" i="1"/>
  <c r="E10379" i="1"/>
  <c r="F10379" i="1"/>
  <c r="G10379" i="1"/>
  <c r="H10379" i="1"/>
  <c r="A10380" i="1"/>
  <c r="B10380" i="1"/>
  <c r="C10380" i="1"/>
  <c r="D10380" i="1"/>
  <c r="E10380" i="1"/>
  <c r="F10380" i="1"/>
  <c r="G10380" i="1"/>
  <c r="H10380" i="1"/>
  <c r="A10381" i="1"/>
  <c r="B10381" i="1"/>
  <c r="C10381" i="1"/>
  <c r="D10381" i="1"/>
  <c r="E10381" i="1"/>
  <c r="F10381" i="1"/>
  <c r="G10381" i="1"/>
  <c r="H10381" i="1"/>
  <c r="A10382" i="1"/>
  <c r="B10382" i="1"/>
  <c r="C10382" i="1"/>
  <c r="D10382" i="1"/>
  <c r="E10382" i="1"/>
  <c r="F10382" i="1"/>
  <c r="G10382" i="1"/>
  <c r="H10382" i="1"/>
  <c r="A10383" i="1"/>
  <c r="B10383" i="1"/>
  <c r="C10383" i="1"/>
  <c r="D10383" i="1"/>
  <c r="E10383" i="1"/>
  <c r="F10383" i="1"/>
  <c r="G10383" i="1"/>
  <c r="H10383" i="1"/>
  <c r="A10384" i="1"/>
  <c r="B10384" i="1"/>
  <c r="C10384" i="1"/>
  <c r="D10384" i="1"/>
  <c r="E10384" i="1"/>
  <c r="F10384" i="1"/>
  <c r="G10384" i="1"/>
  <c r="H10384" i="1"/>
  <c r="A10385" i="1"/>
  <c r="B10385" i="1"/>
  <c r="C10385" i="1"/>
  <c r="D10385" i="1"/>
  <c r="E10385" i="1"/>
  <c r="F10385" i="1"/>
  <c r="G10385" i="1"/>
  <c r="H10385" i="1"/>
  <c r="A10386" i="1"/>
  <c r="B10386" i="1"/>
  <c r="C10386" i="1"/>
  <c r="D10386" i="1"/>
  <c r="E10386" i="1"/>
  <c r="F10386" i="1"/>
  <c r="G10386" i="1"/>
  <c r="H10386" i="1"/>
  <c r="A10387" i="1"/>
  <c r="B10387" i="1"/>
  <c r="C10387" i="1"/>
  <c r="D10387" i="1"/>
  <c r="E10387" i="1"/>
  <c r="F10387" i="1"/>
  <c r="G10387" i="1"/>
  <c r="H10387" i="1"/>
  <c r="A10388" i="1"/>
  <c r="B10388" i="1"/>
  <c r="C10388" i="1"/>
  <c r="D10388" i="1"/>
  <c r="E10388" i="1"/>
  <c r="F10388" i="1"/>
  <c r="G10388" i="1"/>
  <c r="H10388" i="1"/>
  <c r="A10389" i="1"/>
  <c r="B10389" i="1"/>
  <c r="C10389" i="1"/>
  <c r="D10389" i="1"/>
  <c r="E10389" i="1"/>
  <c r="F10389" i="1"/>
  <c r="G10389" i="1"/>
  <c r="H10389" i="1"/>
  <c r="A10390" i="1"/>
  <c r="B10390" i="1"/>
  <c r="C10390" i="1"/>
  <c r="D10390" i="1"/>
  <c r="E10390" i="1"/>
  <c r="F10390" i="1"/>
  <c r="G10390" i="1"/>
  <c r="H10390" i="1"/>
  <c r="A10391" i="1"/>
  <c r="B10391" i="1"/>
  <c r="C10391" i="1"/>
  <c r="D10391" i="1"/>
  <c r="E10391" i="1"/>
  <c r="F10391" i="1"/>
  <c r="G10391" i="1"/>
  <c r="H10391" i="1"/>
  <c r="A10392" i="1"/>
  <c r="B10392" i="1"/>
  <c r="C10392" i="1"/>
  <c r="D10392" i="1"/>
  <c r="E10392" i="1"/>
  <c r="F10392" i="1"/>
  <c r="G10392" i="1"/>
  <c r="H10392" i="1"/>
  <c r="A10393" i="1"/>
  <c r="B10393" i="1"/>
  <c r="C10393" i="1"/>
  <c r="D10393" i="1"/>
  <c r="E10393" i="1"/>
  <c r="F10393" i="1"/>
  <c r="G10393" i="1"/>
  <c r="H10393" i="1"/>
  <c r="A10394" i="1"/>
  <c r="B10394" i="1"/>
  <c r="C10394" i="1"/>
  <c r="D10394" i="1"/>
  <c r="E10394" i="1"/>
  <c r="F10394" i="1"/>
  <c r="G10394" i="1"/>
  <c r="H10394" i="1"/>
  <c r="A10395" i="1"/>
  <c r="B10395" i="1"/>
  <c r="C10395" i="1"/>
  <c r="D10395" i="1"/>
  <c r="E10395" i="1"/>
  <c r="F10395" i="1"/>
  <c r="G10395" i="1"/>
  <c r="H10395" i="1"/>
  <c r="A10396" i="1"/>
  <c r="B10396" i="1"/>
  <c r="C10396" i="1"/>
  <c r="D10396" i="1"/>
  <c r="E10396" i="1"/>
  <c r="F10396" i="1"/>
  <c r="G10396" i="1"/>
  <c r="H10396" i="1"/>
  <c r="A10397" i="1"/>
  <c r="B10397" i="1"/>
  <c r="C10397" i="1"/>
  <c r="D10397" i="1"/>
  <c r="E10397" i="1"/>
  <c r="F10397" i="1"/>
  <c r="G10397" i="1"/>
  <c r="H10397" i="1"/>
  <c r="A10398" i="1"/>
  <c r="B10398" i="1"/>
  <c r="C10398" i="1"/>
  <c r="D10398" i="1"/>
  <c r="E10398" i="1"/>
  <c r="F10398" i="1"/>
  <c r="G10398" i="1"/>
  <c r="H10398" i="1"/>
  <c r="A10399" i="1"/>
  <c r="B10399" i="1"/>
  <c r="C10399" i="1"/>
  <c r="D10399" i="1"/>
  <c r="E10399" i="1"/>
  <c r="F10399" i="1"/>
  <c r="G10399" i="1"/>
  <c r="H10399" i="1"/>
  <c r="A10400" i="1"/>
  <c r="B10400" i="1"/>
  <c r="C10400" i="1"/>
  <c r="D10400" i="1"/>
  <c r="E10400" i="1"/>
  <c r="F10400" i="1"/>
  <c r="G10400" i="1"/>
  <c r="H10400" i="1"/>
  <c r="A10401" i="1"/>
  <c r="B10401" i="1"/>
  <c r="C10401" i="1"/>
  <c r="D10401" i="1"/>
  <c r="E10401" i="1"/>
  <c r="F10401" i="1"/>
  <c r="G10401" i="1"/>
  <c r="H10401" i="1"/>
  <c r="A10402" i="1"/>
  <c r="B10402" i="1"/>
  <c r="C10402" i="1"/>
  <c r="D10402" i="1"/>
  <c r="E10402" i="1"/>
  <c r="F10402" i="1"/>
  <c r="G10402" i="1"/>
  <c r="H10402" i="1"/>
  <c r="A10403" i="1"/>
  <c r="B10403" i="1"/>
  <c r="C10403" i="1"/>
  <c r="D10403" i="1"/>
  <c r="E10403" i="1"/>
  <c r="F10403" i="1"/>
  <c r="G10403" i="1"/>
  <c r="H10403" i="1"/>
  <c r="A10404" i="1"/>
  <c r="B10404" i="1"/>
  <c r="C10404" i="1"/>
  <c r="D10404" i="1"/>
  <c r="E10404" i="1"/>
  <c r="F10404" i="1"/>
  <c r="G10404" i="1"/>
  <c r="H10404" i="1"/>
  <c r="A10405" i="1"/>
  <c r="B10405" i="1"/>
  <c r="C10405" i="1"/>
  <c r="D10405" i="1"/>
  <c r="E10405" i="1"/>
  <c r="F10405" i="1"/>
  <c r="G10405" i="1"/>
  <c r="H10405" i="1"/>
  <c r="A10406" i="1"/>
  <c r="B10406" i="1"/>
  <c r="C10406" i="1"/>
  <c r="D10406" i="1"/>
  <c r="E10406" i="1"/>
  <c r="F10406" i="1"/>
  <c r="G10406" i="1"/>
  <c r="H10406" i="1"/>
  <c r="A10407" i="1"/>
  <c r="B10407" i="1"/>
  <c r="C10407" i="1"/>
  <c r="D10407" i="1"/>
  <c r="E10407" i="1"/>
  <c r="F10407" i="1"/>
  <c r="G10407" i="1"/>
  <c r="H10407" i="1"/>
  <c r="A10408" i="1"/>
  <c r="B10408" i="1"/>
  <c r="C10408" i="1"/>
  <c r="D10408" i="1"/>
  <c r="E10408" i="1"/>
  <c r="F10408" i="1"/>
  <c r="G10408" i="1"/>
  <c r="H10408" i="1"/>
  <c r="A10409" i="1"/>
  <c r="B10409" i="1"/>
  <c r="C10409" i="1"/>
  <c r="D10409" i="1"/>
  <c r="E10409" i="1"/>
  <c r="F10409" i="1"/>
  <c r="G10409" i="1"/>
  <c r="H10409" i="1"/>
  <c r="A10410" i="1"/>
  <c r="B10410" i="1"/>
  <c r="C10410" i="1"/>
  <c r="D10410" i="1"/>
  <c r="E10410" i="1"/>
  <c r="F10410" i="1"/>
  <c r="G10410" i="1"/>
  <c r="H10410" i="1"/>
  <c r="A10411" i="1"/>
  <c r="B10411" i="1"/>
  <c r="C10411" i="1"/>
  <c r="D10411" i="1"/>
  <c r="E10411" i="1"/>
  <c r="F10411" i="1"/>
  <c r="G10411" i="1"/>
  <c r="H10411" i="1"/>
  <c r="A10412" i="1"/>
  <c r="B10412" i="1"/>
  <c r="C10412" i="1"/>
  <c r="D10412" i="1"/>
  <c r="E10412" i="1"/>
  <c r="F10412" i="1"/>
  <c r="G10412" i="1"/>
  <c r="H10412" i="1"/>
  <c r="A10413" i="1"/>
  <c r="B10413" i="1"/>
  <c r="C10413" i="1"/>
  <c r="D10413" i="1"/>
  <c r="E10413" i="1"/>
  <c r="F10413" i="1"/>
  <c r="G10413" i="1"/>
  <c r="H10413" i="1"/>
  <c r="A10414" i="1"/>
  <c r="B10414" i="1"/>
  <c r="C10414" i="1"/>
  <c r="D10414" i="1"/>
  <c r="E10414" i="1"/>
  <c r="F10414" i="1"/>
  <c r="G10414" i="1"/>
  <c r="H10414" i="1"/>
  <c r="A10415" i="1"/>
  <c r="B10415" i="1"/>
  <c r="C10415" i="1"/>
  <c r="D10415" i="1"/>
  <c r="E10415" i="1"/>
  <c r="F10415" i="1"/>
  <c r="G10415" i="1"/>
  <c r="H10415" i="1"/>
  <c r="A10416" i="1"/>
  <c r="B10416" i="1"/>
  <c r="C10416" i="1"/>
  <c r="D10416" i="1"/>
  <c r="E10416" i="1"/>
  <c r="F10416" i="1"/>
  <c r="G10416" i="1"/>
  <c r="H10416" i="1"/>
  <c r="A10417" i="1"/>
  <c r="B10417" i="1"/>
  <c r="C10417" i="1"/>
  <c r="D10417" i="1"/>
  <c r="E10417" i="1"/>
  <c r="F10417" i="1"/>
  <c r="G10417" i="1"/>
  <c r="H10417" i="1"/>
  <c r="A10418" i="1"/>
  <c r="B10418" i="1"/>
  <c r="C10418" i="1"/>
  <c r="D10418" i="1"/>
  <c r="E10418" i="1"/>
  <c r="F10418" i="1"/>
  <c r="G10418" i="1"/>
  <c r="H10418" i="1"/>
  <c r="A10419" i="1"/>
  <c r="B10419" i="1"/>
  <c r="C10419" i="1"/>
  <c r="D10419" i="1"/>
  <c r="E10419" i="1"/>
  <c r="F10419" i="1"/>
  <c r="G10419" i="1"/>
  <c r="H10419" i="1"/>
  <c r="A10420" i="1"/>
  <c r="B10420" i="1"/>
  <c r="C10420" i="1"/>
  <c r="D10420" i="1"/>
  <c r="E10420" i="1"/>
  <c r="F10420" i="1"/>
  <c r="G10420" i="1"/>
  <c r="H10420" i="1"/>
  <c r="A10421" i="1"/>
  <c r="B10421" i="1"/>
  <c r="C10421" i="1"/>
  <c r="D10421" i="1"/>
  <c r="E10421" i="1"/>
  <c r="F10421" i="1"/>
  <c r="G10421" i="1"/>
  <c r="H10421" i="1"/>
  <c r="A10422" i="1"/>
  <c r="B10422" i="1"/>
  <c r="C10422" i="1"/>
  <c r="D10422" i="1"/>
  <c r="E10422" i="1"/>
  <c r="F10422" i="1"/>
  <c r="G10422" i="1"/>
  <c r="H10422" i="1"/>
  <c r="A10423" i="1"/>
  <c r="B10423" i="1"/>
  <c r="C10423" i="1"/>
  <c r="D10423" i="1"/>
  <c r="E10423" i="1"/>
  <c r="F10423" i="1"/>
  <c r="G10423" i="1"/>
  <c r="H10423" i="1"/>
  <c r="A10424" i="1"/>
  <c r="B10424" i="1"/>
  <c r="C10424" i="1"/>
  <c r="D10424" i="1"/>
  <c r="E10424" i="1"/>
  <c r="F10424" i="1"/>
  <c r="G10424" i="1"/>
  <c r="H10424" i="1"/>
  <c r="A10425" i="1"/>
  <c r="B10425" i="1"/>
  <c r="C10425" i="1"/>
  <c r="D10425" i="1"/>
  <c r="E10425" i="1"/>
  <c r="F10425" i="1"/>
  <c r="G10425" i="1"/>
  <c r="H10425" i="1"/>
  <c r="A10426" i="1"/>
  <c r="B10426" i="1"/>
  <c r="C10426" i="1"/>
  <c r="D10426" i="1"/>
  <c r="E10426" i="1"/>
  <c r="F10426" i="1"/>
  <c r="G10426" i="1"/>
  <c r="H10426" i="1"/>
  <c r="A10427" i="1"/>
  <c r="B10427" i="1"/>
  <c r="C10427" i="1"/>
  <c r="D10427" i="1"/>
  <c r="E10427" i="1"/>
  <c r="F10427" i="1"/>
  <c r="G10427" i="1"/>
  <c r="H10427" i="1"/>
  <c r="A10428" i="1"/>
  <c r="B10428" i="1"/>
  <c r="C10428" i="1"/>
  <c r="D10428" i="1"/>
  <c r="E10428" i="1"/>
  <c r="F10428" i="1"/>
  <c r="G10428" i="1"/>
  <c r="H10428" i="1"/>
  <c r="A10429" i="1"/>
  <c r="B10429" i="1"/>
  <c r="C10429" i="1"/>
  <c r="D10429" i="1"/>
  <c r="E10429" i="1"/>
  <c r="F10429" i="1"/>
  <c r="G10429" i="1"/>
  <c r="H10429" i="1"/>
  <c r="A10430" i="1"/>
  <c r="B10430" i="1"/>
  <c r="C10430" i="1"/>
  <c r="D10430" i="1"/>
  <c r="E10430" i="1"/>
  <c r="F10430" i="1"/>
  <c r="G10430" i="1"/>
  <c r="H10430" i="1"/>
  <c r="A10431" i="1"/>
  <c r="B10431" i="1"/>
  <c r="C10431" i="1"/>
  <c r="D10431" i="1"/>
  <c r="E10431" i="1"/>
  <c r="F10431" i="1"/>
  <c r="G10431" i="1"/>
  <c r="H10431" i="1"/>
  <c r="A10432" i="1"/>
  <c r="B10432" i="1"/>
  <c r="C10432" i="1"/>
  <c r="D10432" i="1"/>
  <c r="E10432" i="1"/>
  <c r="F10432" i="1"/>
  <c r="G10432" i="1"/>
  <c r="H10432" i="1"/>
  <c r="A10433" i="1"/>
  <c r="B10433" i="1"/>
  <c r="C10433" i="1"/>
  <c r="D10433" i="1"/>
  <c r="E10433" i="1"/>
  <c r="F10433" i="1"/>
  <c r="G10433" i="1"/>
  <c r="H10433" i="1"/>
  <c r="A10434" i="1"/>
  <c r="B10434" i="1"/>
  <c r="C10434" i="1"/>
  <c r="D10434" i="1"/>
  <c r="E10434" i="1"/>
  <c r="F10434" i="1"/>
  <c r="G10434" i="1"/>
  <c r="H10434" i="1"/>
  <c r="A10435" i="1"/>
  <c r="B10435" i="1"/>
  <c r="C10435" i="1"/>
  <c r="D10435" i="1"/>
  <c r="E10435" i="1"/>
  <c r="F10435" i="1"/>
  <c r="G10435" i="1"/>
  <c r="H10435" i="1"/>
  <c r="A10436" i="1"/>
  <c r="B10436" i="1"/>
  <c r="C10436" i="1"/>
  <c r="D10436" i="1"/>
  <c r="E10436" i="1"/>
  <c r="F10436" i="1"/>
  <c r="G10436" i="1"/>
  <c r="H10436" i="1"/>
  <c r="A10437" i="1"/>
  <c r="B10437" i="1"/>
  <c r="C10437" i="1"/>
  <c r="D10437" i="1"/>
  <c r="E10437" i="1"/>
  <c r="F10437" i="1"/>
  <c r="G10437" i="1"/>
  <c r="H10437" i="1"/>
  <c r="A10438" i="1"/>
  <c r="B10438" i="1"/>
  <c r="C10438" i="1"/>
  <c r="D10438" i="1"/>
  <c r="E10438" i="1"/>
  <c r="F10438" i="1"/>
  <c r="G10438" i="1"/>
  <c r="H10438" i="1"/>
  <c r="A10439" i="1"/>
  <c r="B10439" i="1"/>
  <c r="C10439" i="1"/>
  <c r="D10439" i="1"/>
  <c r="E10439" i="1"/>
  <c r="F10439" i="1"/>
  <c r="G10439" i="1"/>
  <c r="H10439" i="1"/>
  <c r="A10440" i="1"/>
  <c r="B10440" i="1"/>
  <c r="C10440" i="1"/>
  <c r="D10440" i="1"/>
  <c r="E10440" i="1"/>
  <c r="F10440" i="1"/>
  <c r="G10440" i="1"/>
  <c r="H10440" i="1"/>
  <c r="A10441" i="1"/>
  <c r="B10441" i="1"/>
  <c r="C10441" i="1"/>
  <c r="D10441" i="1"/>
  <c r="E10441" i="1"/>
  <c r="F10441" i="1"/>
  <c r="G10441" i="1"/>
  <c r="H10441" i="1"/>
  <c r="A10442" i="1"/>
  <c r="B10442" i="1"/>
  <c r="C10442" i="1"/>
  <c r="D10442" i="1"/>
  <c r="E10442" i="1"/>
  <c r="F10442" i="1"/>
  <c r="G10442" i="1"/>
  <c r="H10442" i="1"/>
  <c r="A10443" i="1"/>
  <c r="B10443" i="1"/>
  <c r="C10443" i="1"/>
  <c r="D10443" i="1"/>
  <c r="E10443" i="1"/>
  <c r="F10443" i="1"/>
  <c r="G10443" i="1"/>
  <c r="H10443" i="1"/>
  <c r="A10444" i="1"/>
  <c r="B10444" i="1"/>
  <c r="C10444" i="1"/>
  <c r="D10444" i="1"/>
  <c r="E10444" i="1"/>
  <c r="F10444" i="1"/>
  <c r="G10444" i="1"/>
  <c r="H10444" i="1"/>
  <c r="A10445" i="1"/>
  <c r="B10445" i="1"/>
  <c r="C10445" i="1"/>
  <c r="D10445" i="1"/>
  <c r="E10445" i="1"/>
  <c r="F10445" i="1"/>
  <c r="G10445" i="1"/>
  <c r="H10445" i="1"/>
  <c r="A10446" i="1"/>
  <c r="B10446" i="1"/>
  <c r="C10446" i="1"/>
  <c r="D10446" i="1"/>
  <c r="E10446" i="1"/>
  <c r="F10446" i="1"/>
  <c r="G10446" i="1"/>
  <c r="H10446" i="1"/>
  <c r="A10447" i="1"/>
  <c r="B10447" i="1"/>
  <c r="C10447" i="1"/>
  <c r="D10447" i="1"/>
  <c r="E10447" i="1"/>
  <c r="F10447" i="1"/>
  <c r="G10447" i="1"/>
  <c r="H10447" i="1"/>
  <c r="A10448" i="1"/>
  <c r="B10448" i="1"/>
  <c r="C10448" i="1"/>
  <c r="D10448" i="1"/>
  <c r="E10448" i="1"/>
  <c r="F10448" i="1"/>
  <c r="G10448" i="1"/>
  <c r="H10448" i="1"/>
  <c r="A10449" i="1"/>
  <c r="B10449" i="1"/>
  <c r="C10449" i="1"/>
  <c r="D10449" i="1"/>
  <c r="E10449" i="1"/>
  <c r="F10449" i="1"/>
  <c r="G10449" i="1"/>
  <c r="H10449" i="1"/>
  <c r="A10450" i="1"/>
  <c r="B10450" i="1"/>
  <c r="C10450" i="1"/>
  <c r="D10450" i="1"/>
  <c r="E10450" i="1"/>
  <c r="F10450" i="1"/>
  <c r="G10450" i="1"/>
  <c r="H10450" i="1"/>
  <c r="A10451" i="1"/>
  <c r="B10451" i="1"/>
  <c r="C10451" i="1"/>
  <c r="D10451" i="1"/>
  <c r="E10451" i="1"/>
  <c r="F10451" i="1"/>
  <c r="G10451" i="1"/>
  <c r="H10451" i="1"/>
  <c r="A10452" i="1"/>
  <c r="B10452" i="1"/>
  <c r="C10452" i="1"/>
  <c r="D10452" i="1"/>
  <c r="E10452" i="1"/>
  <c r="F10452" i="1"/>
  <c r="G10452" i="1"/>
  <c r="H10452" i="1"/>
  <c r="A10453" i="1"/>
  <c r="B10453" i="1"/>
  <c r="C10453" i="1"/>
  <c r="D10453" i="1"/>
  <c r="E10453" i="1"/>
  <c r="F10453" i="1"/>
  <c r="G10453" i="1"/>
  <c r="H10453" i="1"/>
  <c r="A10454" i="1"/>
  <c r="B10454" i="1"/>
  <c r="C10454" i="1"/>
  <c r="D10454" i="1"/>
  <c r="E10454" i="1"/>
  <c r="F10454" i="1"/>
  <c r="G10454" i="1"/>
  <c r="H10454" i="1"/>
  <c r="A10455" i="1"/>
  <c r="B10455" i="1"/>
  <c r="C10455" i="1"/>
  <c r="D10455" i="1"/>
  <c r="E10455" i="1"/>
  <c r="F10455" i="1"/>
  <c r="G10455" i="1"/>
  <c r="H10455" i="1"/>
  <c r="A10456" i="1"/>
  <c r="B10456" i="1"/>
  <c r="C10456" i="1"/>
  <c r="D10456" i="1"/>
  <c r="E10456" i="1"/>
  <c r="F10456" i="1"/>
  <c r="G10456" i="1"/>
  <c r="H10456" i="1"/>
  <c r="A10457" i="1"/>
  <c r="B10457" i="1"/>
  <c r="C10457" i="1"/>
  <c r="D10457" i="1"/>
  <c r="E10457" i="1"/>
  <c r="F10457" i="1"/>
  <c r="G10457" i="1"/>
  <c r="H10457" i="1"/>
  <c r="A10458" i="1"/>
  <c r="B10458" i="1"/>
  <c r="C10458" i="1"/>
  <c r="D10458" i="1"/>
  <c r="E10458" i="1"/>
  <c r="F10458" i="1"/>
  <c r="G10458" i="1"/>
  <c r="H10458" i="1"/>
  <c r="A10459" i="1"/>
  <c r="B10459" i="1"/>
  <c r="C10459" i="1"/>
  <c r="D10459" i="1"/>
  <c r="E10459" i="1"/>
  <c r="F10459" i="1"/>
  <c r="G10459" i="1"/>
  <c r="H10459" i="1"/>
  <c r="A10460" i="1"/>
  <c r="B10460" i="1"/>
  <c r="C10460" i="1"/>
  <c r="D10460" i="1"/>
  <c r="E10460" i="1"/>
  <c r="F10460" i="1"/>
  <c r="G10460" i="1"/>
  <c r="H10460" i="1"/>
  <c r="A10461" i="1"/>
  <c r="B10461" i="1"/>
  <c r="C10461" i="1"/>
  <c r="D10461" i="1"/>
  <c r="E10461" i="1"/>
  <c r="F10461" i="1"/>
  <c r="G10461" i="1"/>
  <c r="H10461" i="1"/>
  <c r="A10462" i="1"/>
  <c r="B10462" i="1"/>
  <c r="C10462" i="1"/>
  <c r="D10462" i="1"/>
  <c r="E10462" i="1"/>
  <c r="F10462" i="1"/>
  <c r="G10462" i="1"/>
  <c r="H10462" i="1"/>
  <c r="A10463" i="1"/>
  <c r="B10463" i="1"/>
  <c r="C10463" i="1"/>
  <c r="D10463" i="1"/>
  <c r="E10463" i="1"/>
  <c r="F10463" i="1"/>
  <c r="G10463" i="1"/>
  <c r="H10463" i="1"/>
  <c r="A10464" i="1"/>
  <c r="B10464" i="1"/>
  <c r="C10464" i="1"/>
  <c r="D10464" i="1"/>
  <c r="E10464" i="1"/>
  <c r="F10464" i="1"/>
  <c r="G10464" i="1"/>
  <c r="H10464" i="1"/>
  <c r="A10465" i="1"/>
  <c r="B10465" i="1"/>
  <c r="C10465" i="1"/>
  <c r="D10465" i="1"/>
  <c r="E10465" i="1"/>
  <c r="F10465" i="1"/>
  <c r="G10465" i="1"/>
  <c r="H10465" i="1"/>
  <c r="A10466" i="1"/>
  <c r="B10466" i="1"/>
  <c r="C10466" i="1"/>
  <c r="D10466" i="1"/>
  <c r="E10466" i="1"/>
  <c r="F10466" i="1"/>
  <c r="G10466" i="1"/>
  <c r="H10466" i="1"/>
  <c r="A10467" i="1"/>
  <c r="B10467" i="1"/>
  <c r="C10467" i="1"/>
  <c r="D10467" i="1"/>
  <c r="E10467" i="1"/>
  <c r="F10467" i="1"/>
  <c r="G10467" i="1"/>
  <c r="H10467" i="1"/>
  <c r="A10468" i="1"/>
  <c r="B10468" i="1"/>
  <c r="C10468" i="1"/>
  <c r="D10468" i="1"/>
  <c r="E10468" i="1"/>
  <c r="F10468" i="1"/>
  <c r="G10468" i="1"/>
  <c r="H10468" i="1"/>
  <c r="A10469" i="1"/>
  <c r="B10469" i="1"/>
  <c r="C10469" i="1"/>
  <c r="D10469" i="1"/>
  <c r="E10469" i="1"/>
  <c r="F10469" i="1"/>
  <c r="G10469" i="1"/>
  <c r="H10469" i="1"/>
  <c r="A10470" i="1"/>
  <c r="B10470" i="1"/>
  <c r="C10470" i="1"/>
  <c r="D10470" i="1"/>
  <c r="E10470" i="1"/>
  <c r="F10470" i="1"/>
  <c r="G10470" i="1"/>
  <c r="H10470" i="1"/>
  <c r="A10471" i="1"/>
  <c r="B10471" i="1"/>
  <c r="C10471" i="1"/>
  <c r="D10471" i="1"/>
  <c r="E10471" i="1"/>
  <c r="F10471" i="1"/>
  <c r="G10471" i="1"/>
  <c r="H10471" i="1"/>
  <c r="A10472" i="1"/>
  <c r="B10472" i="1"/>
  <c r="C10472" i="1"/>
  <c r="D10472" i="1"/>
  <c r="E10472" i="1"/>
  <c r="F10472" i="1"/>
  <c r="G10472" i="1"/>
  <c r="H10472" i="1"/>
  <c r="A10473" i="1"/>
  <c r="B10473" i="1"/>
  <c r="C10473" i="1"/>
  <c r="D10473" i="1"/>
  <c r="E10473" i="1"/>
  <c r="F10473" i="1"/>
  <c r="G10473" i="1"/>
  <c r="H10473" i="1"/>
  <c r="A10474" i="1"/>
  <c r="B10474" i="1"/>
  <c r="C10474" i="1"/>
  <c r="D10474" i="1"/>
  <c r="E10474" i="1"/>
  <c r="F10474" i="1"/>
  <c r="G10474" i="1"/>
  <c r="H10474" i="1"/>
  <c r="A10475" i="1"/>
  <c r="B10475" i="1"/>
  <c r="C10475" i="1"/>
  <c r="D10475" i="1"/>
  <c r="E10475" i="1"/>
  <c r="F10475" i="1"/>
  <c r="G10475" i="1"/>
  <c r="H10475" i="1"/>
  <c r="A10476" i="1"/>
  <c r="B10476" i="1"/>
  <c r="C10476" i="1"/>
  <c r="D10476" i="1"/>
  <c r="E10476" i="1"/>
  <c r="F10476" i="1"/>
  <c r="G10476" i="1"/>
  <c r="H10476" i="1"/>
  <c r="A10477" i="1"/>
  <c r="B10477" i="1"/>
  <c r="C10477" i="1"/>
  <c r="D10477" i="1"/>
  <c r="E10477" i="1"/>
  <c r="F10477" i="1"/>
  <c r="G10477" i="1"/>
  <c r="H10477" i="1"/>
  <c r="A10478" i="1"/>
  <c r="B10478" i="1"/>
  <c r="C10478" i="1"/>
  <c r="D10478" i="1"/>
  <c r="E10478" i="1"/>
  <c r="F10478" i="1"/>
  <c r="G10478" i="1"/>
  <c r="H10478" i="1"/>
  <c r="A10479" i="1"/>
  <c r="B10479" i="1"/>
  <c r="C10479" i="1"/>
  <c r="D10479" i="1"/>
  <c r="E10479" i="1"/>
  <c r="F10479" i="1"/>
  <c r="G10479" i="1"/>
  <c r="H10479" i="1"/>
  <c r="A10480" i="1"/>
  <c r="B10480" i="1"/>
  <c r="C10480" i="1"/>
  <c r="D10480" i="1"/>
  <c r="E10480" i="1"/>
  <c r="F10480" i="1"/>
  <c r="G10480" i="1"/>
  <c r="H10480" i="1"/>
  <c r="A10481" i="1"/>
  <c r="B10481" i="1"/>
  <c r="C10481" i="1"/>
  <c r="D10481" i="1"/>
  <c r="E10481" i="1"/>
  <c r="F10481" i="1"/>
  <c r="G10481" i="1"/>
  <c r="H10481" i="1"/>
  <c r="A10482" i="1"/>
  <c r="B10482" i="1"/>
  <c r="C10482" i="1"/>
  <c r="D10482" i="1"/>
  <c r="E10482" i="1"/>
  <c r="F10482" i="1"/>
  <c r="G10482" i="1"/>
  <c r="H10482" i="1"/>
  <c r="A10483" i="1"/>
  <c r="B10483" i="1"/>
  <c r="C10483" i="1"/>
  <c r="D10483" i="1"/>
  <c r="E10483" i="1"/>
  <c r="F10483" i="1"/>
  <c r="G10483" i="1"/>
  <c r="H10483" i="1"/>
  <c r="A10484" i="1"/>
  <c r="B10484" i="1"/>
  <c r="C10484" i="1"/>
  <c r="D10484" i="1"/>
  <c r="E10484" i="1"/>
  <c r="F10484" i="1"/>
  <c r="G10484" i="1"/>
  <c r="H10484" i="1"/>
  <c r="A10485" i="1"/>
  <c r="B10485" i="1"/>
  <c r="C10485" i="1"/>
  <c r="D10485" i="1"/>
  <c r="E10485" i="1"/>
  <c r="F10485" i="1"/>
  <c r="G10485" i="1"/>
  <c r="H10485" i="1"/>
  <c r="A10486" i="1"/>
  <c r="B10486" i="1"/>
  <c r="C10486" i="1"/>
  <c r="D10486" i="1"/>
  <c r="E10486" i="1"/>
  <c r="F10486" i="1"/>
  <c r="G10486" i="1"/>
  <c r="H10486" i="1"/>
  <c r="A10487" i="1"/>
  <c r="B10487" i="1"/>
  <c r="C10487" i="1"/>
  <c r="D10487" i="1"/>
  <c r="E10487" i="1"/>
  <c r="F10487" i="1"/>
  <c r="G10487" i="1"/>
  <c r="H10487" i="1"/>
  <c r="A10488" i="1"/>
  <c r="B10488" i="1"/>
  <c r="C10488" i="1"/>
  <c r="D10488" i="1"/>
  <c r="E10488" i="1"/>
  <c r="F10488" i="1"/>
  <c r="G10488" i="1"/>
  <c r="H10488" i="1"/>
  <c r="A10489" i="1"/>
  <c r="B10489" i="1"/>
  <c r="C10489" i="1"/>
  <c r="D10489" i="1"/>
  <c r="E10489" i="1"/>
  <c r="F10489" i="1"/>
  <c r="G10489" i="1"/>
  <c r="H10489" i="1"/>
  <c r="A10490" i="1"/>
  <c r="B10490" i="1"/>
  <c r="C10490" i="1"/>
  <c r="D10490" i="1"/>
  <c r="E10490" i="1"/>
  <c r="F10490" i="1"/>
  <c r="G10490" i="1"/>
  <c r="H10490" i="1"/>
  <c r="A10491" i="1"/>
  <c r="B10491" i="1"/>
  <c r="C10491" i="1"/>
  <c r="D10491" i="1"/>
  <c r="E10491" i="1"/>
  <c r="F10491" i="1"/>
  <c r="G10491" i="1"/>
  <c r="H10491" i="1"/>
  <c r="A10492" i="1"/>
  <c r="B10492" i="1"/>
  <c r="C10492" i="1"/>
  <c r="D10492" i="1"/>
  <c r="E10492" i="1"/>
  <c r="F10492" i="1"/>
  <c r="G10492" i="1"/>
  <c r="H10492" i="1"/>
  <c r="A10493" i="1"/>
  <c r="B10493" i="1"/>
  <c r="C10493" i="1"/>
  <c r="D10493" i="1"/>
  <c r="E10493" i="1"/>
  <c r="F10493" i="1"/>
  <c r="G10493" i="1"/>
  <c r="H10493" i="1"/>
  <c r="A10494" i="1"/>
  <c r="B10494" i="1"/>
  <c r="C10494" i="1"/>
  <c r="D10494" i="1"/>
  <c r="E10494" i="1"/>
  <c r="F10494" i="1"/>
  <c r="G10494" i="1"/>
  <c r="H10494" i="1"/>
  <c r="A10495" i="1"/>
  <c r="B10495" i="1"/>
  <c r="C10495" i="1"/>
  <c r="D10495" i="1"/>
  <c r="E10495" i="1"/>
  <c r="F10495" i="1"/>
  <c r="G10495" i="1"/>
  <c r="H10495" i="1"/>
  <c r="A10496" i="1"/>
  <c r="B10496" i="1"/>
  <c r="C10496" i="1"/>
  <c r="D10496" i="1"/>
  <c r="E10496" i="1"/>
  <c r="F10496" i="1"/>
  <c r="G10496" i="1"/>
  <c r="H10496" i="1"/>
  <c r="A10497" i="1"/>
  <c r="B10497" i="1"/>
  <c r="C10497" i="1"/>
  <c r="D10497" i="1"/>
  <c r="E10497" i="1"/>
  <c r="F10497" i="1"/>
  <c r="G10497" i="1"/>
  <c r="H10497" i="1"/>
  <c r="A10498" i="1"/>
  <c r="B10498" i="1"/>
  <c r="C10498" i="1"/>
  <c r="D10498" i="1"/>
  <c r="E10498" i="1"/>
  <c r="F10498" i="1"/>
  <c r="G10498" i="1"/>
  <c r="H10498" i="1"/>
  <c r="A10499" i="1"/>
  <c r="B10499" i="1"/>
  <c r="C10499" i="1"/>
  <c r="D10499" i="1"/>
  <c r="E10499" i="1"/>
  <c r="F10499" i="1"/>
  <c r="G10499" i="1"/>
  <c r="H10499" i="1"/>
  <c r="A10500" i="1"/>
  <c r="B10500" i="1"/>
  <c r="C10500" i="1"/>
  <c r="D10500" i="1"/>
  <c r="E10500" i="1"/>
  <c r="F10500" i="1"/>
  <c r="G10500" i="1"/>
  <c r="H10500" i="1"/>
  <c r="A10501" i="1"/>
  <c r="B10501" i="1"/>
  <c r="C10501" i="1"/>
  <c r="D10501" i="1"/>
  <c r="E10501" i="1"/>
  <c r="F10501" i="1"/>
  <c r="G10501" i="1"/>
  <c r="H10501" i="1"/>
  <c r="A10502" i="1"/>
  <c r="B10502" i="1"/>
  <c r="C10502" i="1"/>
  <c r="D10502" i="1"/>
  <c r="E10502" i="1"/>
  <c r="F10502" i="1"/>
  <c r="G10502" i="1"/>
  <c r="H10502" i="1"/>
  <c r="A10503" i="1"/>
  <c r="B10503" i="1"/>
  <c r="C10503" i="1"/>
  <c r="D10503" i="1"/>
  <c r="E10503" i="1"/>
  <c r="F10503" i="1"/>
  <c r="G10503" i="1"/>
  <c r="H10503" i="1"/>
  <c r="A10504" i="1"/>
  <c r="B10504" i="1"/>
  <c r="C10504" i="1"/>
  <c r="D10504" i="1"/>
  <c r="E10504" i="1"/>
  <c r="F10504" i="1"/>
  <c r="G10504" i="1"/>
  <c r="H10504" i="1"/>
  <c r="A10505" i="1"/>
  <c r="B10505" i="1"/>
  <c r="C10505" i="1"/>
  <c r="D10505" i="1"/>
  <c r="E10505" i="1"/>
  <c r="F10505" i="1"/>
  <c r="G10505" i="1"/>
  <c r="H10505" i="1"/>
  <c r="A10506" i="1"/>
  <c r="B10506" i="1"/>
  <c r="C10506" i="1"/>
  <c r="D10506" i="1"/>
  <c r="E10506" i="1"/>
  <c r="F10506" i="1"/>
  <c r="G10506" i="1"/>
  <c r="H10506" i="1"/>
  <c r="A10507" i="1"/>
  <c r="B10507" i="1"/>
  <c r="C10507" i="1"/>
  <c r="D10507" i="1"/>
  <c r="E10507" i="1"/>
  <c r="F10507" i="1"/>
  <c r="G10507" i="1"/>
  <c r="H10507" i="1"/>
  <c r="A10508" i="1"/>
  <c r="B10508" i="1"/>
  <c r="C10508" i="1"/>
  <c r="D10508" i="1"/>
  <c r="E10508" i="1"/>
  <c r="F10508" i="1"/>
  <c r="G10508" i="1"/>
  <c r="H10508" i="1"/>
  <c r="A10509" i="1"/>
  <c r="B10509" i="1"/>
  <c r="C10509" i="1"/>
  <c r="D10509" i="1"/>
  <c r="E10509" i="1"/>
  <c r="F10509" i="1"/>
  <c r="G10509" i="1"/>
  <c r="H10509" i="1"/>
  <c r="A10510" i="1"/>
  <c r="B10510" i="1"/>
  <c r="C10510" i="1"/>
  <c r="D10510" i="1"/>
  <c r="E10510" i="1"/>
  <c r="F10510" i="1"/>
  <c r="G10510" i="1"/>
  <c r="H10510" i="1"/>
  <c r="A10511" i="1"/>
  <c r="B10511" i="1"/>
  <c r="C10511" i="1"/>
  <c r="D10511" i="1"/>
  <c r="E10511" i="1"/>
  <c r="F10511" i="1"/>
  <c r="G10511" i="1"/>
  <c r="H10511" i="1"/>
  <c r="A10512" i="1"/>
  <c r="B10512" i="1"/>
  <c r="C10512" i="1"/>
  <c r="D10512" i="1"/>
  <c r="E10512" i="1"/>
  <c r="F10512" i="1"/>
  <c r="G10512" i="1"/>
  <c r="H10512" i="1"/>
  <c r="A10513" i="1"/>
  <c r="B10513" i="1"/>
  <c r="C10513" i="1"/>
  <c r="D10513" i="1"/>
  <c r="E10513" i="1"/>
  <c r="F10513" i="1"/>
  <c r="G10513" i="1"/>
  <c r="H10513" i="1"/>
  <c r="A10514" i="1"/>
  <c r="B10514" i="1"/>
  <c r="C10514" i="1"/>
  <c r="D10514" i="1"/>
  <c r="E10514" i="1"/>
  <c r="F10514" i="1"/>
  <c r="G10514" i="1"/>
  <c r="H10514" i="1"/>
  <c r="A10515" i="1"/>
  <c r="B10515" i="1"/>
  <c r="C10515" i="1"/>
  <c r="D10515" i="1"/>
  <c r="E10515" i="1"/>
  <c r="F10515" i="1"/>
  <c r="G10515" i="1"/>
  <c r="H10515" i="1"/>
  <c r="A10516" i="1"/>
  <c r="B10516" i="1"/>
  <c r="C10516" i="1"/>
  <c r="D10516" i="1"/>
  <c r="E10516" i="1"/>
  <c r="F10516" i="1"/>
  <c r="G10516" i="1"/>
  <c r="H10516" i="1"/>
  <c r="A10517" i="1"/>
  <c r="B10517" i="1"/>
  <c r="C10517" i="1"/>
  <c r="D10517" i="1"/>
  <c r="E10517" i="1"/>
  <c r="F10517" i="1"/>
  <c r="G10517" i="1"/>
  <c r="H10517" i="1"/>
  <c r="A10518" i="1"/>
  <c r="B10518" i="1"/>
  <c r="C10518" i="1"/>
  <c r="D10518" i="1"/>
  <c r="E10518" i="1"/>
  <c r="F10518" i="1"/>
  <c r="G10518" i="1"/>
  <c r="H10518" i="1"/>
  <c r="A10519" i="1"/>
  <c r="B10519" i="1"/>
  <c r="C10519" i="1"/>
  <c r="D10519" i="1"/>
  <c r="E10519" i="1"/>
  <c r="F10519" i="1"/>
  <c r="G10519" i="1"/>
  <c r="H10519" i="1"/>
  <c r="A10520" i="1"/>
  <c r="B10520" i="1"/>
  <c r="C10520" i="1"/>
  <c r="D10520" i="1"/>
  <c r="E10520" i="1"/>
  <c r="F10520" i="1"/>
  <c r="G10520" i="1"/>
  <c r="H10520" i="1"/>
  <c r="A10521" i="1"/>
  <c r="B10521" i="1"/>
  <c r="C10521" i="1"/>
  <c r="D10521" i="1"/>
  <c r="E10521" i="1"/>
  <c r="F10521" i="1"/>
  <c r="G10521" i="1"/>
  <c r="H10521" i="1"/>
  <c r="A10522" i="1"/>
  <c r="B10522" i="1"/>
  <c r="C10522" i="1"/>
  <c r="D10522" i="1"/>
  <c r="E10522" i="1"/>
  <c r="F10522" i="1"/>
  <c r="G10522" i="1"/>
  <c r="H10522" i="1"/>
  <c r="A10523" i="1"/>
  <c r="B10523" i="1"/>
  <c r="C10523" i="1"/>
  <c r="D10523" i="1"/>
  <c r="E10523" i="1"/>
  <c r="F10523" i="1"/>
  <c r="G10523" i="1"/>
  <c r="H10523" i="1"/>
  <c r="A10524" i="1"/>
  <c r="B10524" i="1"/>
  <c r="C10524" i="1"/>
  <c r="D10524" i="1"/>
  <c r="E10524" i="1"/>
  <c r="F10524" i="1"/>
  <c r="G10524" i="1"/>
  <c r="H10524" i="1"/>
  <c r="A10525" i="1"/>
  <c r="B10525" i="1"/>
  <c r="C10525" i="1"/>
  <c r="D10525" i="1"/>
  <c r="E10525" i="1"/>
  <c r="F10525" i="1"/>
  <c r="G10525" i="1"/>
  <c r="H10525" i="1"/>
  <c r="A10526" i="1"/>
  <c r="B10526" i="1"/>
  <c r="C10526" i="1"/>
  <c r="D10526" i="1"/>
  <c r="E10526" i="1"/>
  <c r="F10526" i="1"/>
  <c r="G10526" i="1"/>
  <c r="H10526" i="1"/>
  <c r="A10527" i="1"/>
  <c r="B10527" i="1"/>
  <c r="C10527" i="1"/>
  <c r="D10527" i="1"/>
  <c r="E10527" i="1"/>
  <c r="F10527" i="1"/>
  <c r="G10527" i="1"/>
  <c r="H10527" i="1"/>
  <c r="A10528" i="1"/>
  <c r="B10528" i="1"/>
  <c r="C10528" i="1"/>
  <c r="D10528" i="1"/>
  <c r="E10528" i="1"/>
  <c r="F10528" i="1"/>
  <c r="G10528" i="1"/>
  <c r="H10528" i="1"/>
  <c r="A10529" i="1"/>
  <c r="B10529" i="1"/>
  <c r="C10529" i="1"/>
  <c r="D10529" i="1"/>
  <c r="E10529" i="1"/>
  <c r="F10529" i="1"/>
  <c r="G10529" i="1"/>
  <c r="H10529" i="1"/>
  <c r="A10530" i="1"/>
  <c r="B10530" i="1"/>
  <c r="C10530" i="1"/>
  <c r="D10530" i="1"/>
  <c r="E10530" i="1"/>
  <c r="F10530" i="1"/>
  <c r="G10530" i="1"/>
  <c r="H10530" i="1"/>
  <c r="A10531" i="1"/>
  <c r="B10531" i="1"/>
  <c r="C10531" i="1"/>
  <c r="D10531" i="1"/>
  <c r="E10531" i="1"/>
  <c r="F10531" i="1"/>
  <c r="G10531" i="1"/>
  <c r="H10531" i="1"/>
  <c r="A10532" i="1"/>
  <c r="B10532" i="1"/>
  <c r="C10532" i="1"/>
  <c r="D10532" i="1"/>
  <c r="E10532" i="1"/>
  <c r="F10532" i="1"/>
  <c r="G10532" i="1"/>
  <c r="H10532" i="1"/>
  <c r="A10533" i="1"/>
  <c r="B10533" i="1"/>
  <c r="C10533" i="1"/>
  <c r="D10533" i="1"/>
  <c r="E10533" i="1"/>
  <c r="F10533" i="1"/>
  <c r="G10533" i="1"/>
  <c r="H10533" i="1"/>
  <c r="A10534" i="1"/>
  <c r="B10534" i="1"/>
  <c r="C10534" i="1"/>
  <c r="D10534" i="1"/>
  <c r="E10534" i="1"/>
  <c r="F10534" i="1"/>
  <c r="G10534" i="1"/>
  <c r="H10534" i="1"/>
  <c r="A10535" i="1"/>
  <c r="B10535" i="1"/>
  <c r="C10535" i="1"/>
  <c r="D10535" i="1"/>
  <c r="E10535" i="1"/>
  <c r="F10535" i="1"/>
  <c r="G10535" i="1"/>
  <c r="H10535" i="1"/>
  <c r="A10536" i="1"/>
  <c r="B10536" i="1"/>
  <c r="C10536" i="1"/>
  <c r="D10536" i="1"/>
  <c r="E10536" i="1"/>
  <c r="F10536" i="1"/>
  <c r="G10536" i="1"/>
  <c r="H10536" i="1"/>
  <c r="A10537" i="1"/>
  <c r="B10537" i="1"/>
  <c r="C10537" i="1"/>
  <c r="D10537" i="1"/>
  <c r="E10537" i="1"/>
  <c r="F10537" i="1"/>
  <c r="G10537" i="1"/>
  <c r="H10537" i="1"/>
  <c r="A10538" i="1"/>
  <c r="B10538" i="1"/>
  <c r="C10538" i="1"/>
  <c r="D10538" i="1"/>
  <c r="E10538" i="1"/>
  <c r="F10538" i="1"/>
  <c r="G10538" i="1"/>
  <c r="H10538" i="1"/>
  <c r="A10539" i="1"/>
  <c r="B10539" i="1"/>
  <c r="C10539" i="1"/>
  <c r="D10539" i="1"/>
  <c r="E10539" i="1"/>
  <c r="F10539" i="1"/>
  <c r="G10539" i="1"/>
  <c r="H10539" i="1"/>
  <c r="A10540" i="1"/>
  <c r="B10540" i="1"/>
  <c r="C10540" i="1"/>
  <c r="D10540" i="1"/>
  <c r="E10540" i="1"/>
  <c r="F10540" i="1"/>
  <c r="G10540" i="1"/>
  <c r="H10540" i="1"/>
  <c r="A10541" i="1"/>
  <c r="B10541" i="1"/>
  <c r="C10541" i="1"/>
  <c r="D10541" i="1"/>
  <c r="E10541" i="1"/>
  <c r="F10541" i="1"/>
  <c r="G10541" i="1"/>
  <c r="H10541" i="1"/>
  <c r="A10542" i="1"/>
  <c r="B10542" i="1"/>
  <c r="C10542" i="1"/>
  <c r="D10542" i="1"/>
  <c r="E10542" i="1"/>
  <c r="F10542" i="1"/>
  <c r="G10542" i="1"/>
  <c r="H10542" i="1"/>
  <c r="A10543" i="1"/>
  <c r="B10543" i="1"/>
  <c r="C10543" i="1"/>
  <c r="D10543" i="1"/>
  <c r="E10543" i="1"/>
  <c r="F10543" i="1"/>
  <c r="G10543" i="1"/>
  <c r="H10543" i="1"/>
  <c r="A10544" i="1"/>
  <c r="B10544" i="1"/>
  <c r="C10544" i="1"/>
  <c r="D10544" i="1"/>
  <c r="E10544" i="1"/>
  <c r="F10544" i="1"/>
  <c r="G10544" i="1"/>
  <c r="H10544" i="1"/>
  <c r="A10545" i="1"/>
  <c r="B10545" i="1"/>
  <c r="C10545" i="1"/>
  <c r="D10545" i="1"/>
  <c r="E10545" i="1"/>
  <c r="F10545" i="1"/>
  <c r="G10545" i="1"/>
  <c r="H10545" i="1"/>
  <c r="A10546" i="1"/>
  <c r="B10546" i="1"/>
  <c r="C10546" i="1"/>
  <c r="D10546" i="1"/>
  <c r="E10546" i="1"/>
  <c r="F10546" i="1"/>
  <c r="G10546" i="1"/>
  <c r="H10546" i="1"/>
  <c r="A10547" i="1"/>
  <c r="B10547" i="1"/>
  <c r="C10547" i="1"/>
  <c r="D10547" i="1"/>
  <c r="E10547" i="1"/>
  <c r="F10547" i="1"/>
  <c r="G10547" i="1"/>
  <c r="H10547" i="1"/>
  <c r="A10548" i="1"/>
  <c r="B10548" i="1"/>
  <c r="C10548" i="1"/>
  <c r="D10548" i="1"/>
  <c r="E10548" i="1"/>
  <c r="F10548" i="1"/>
  <c r="G10548" i="1"/>
  <c r="H10548" i="1"/>
  <c r="A10549" i="1"/>
  <c r="B10549" i="1"/>
  <c r="C10549" i="1"/>
  <c r="D10549" i="1"/>
  <c r="E10549" i="1"/>
  <c r="F10549" i="1"/>
  <c r="G10549" i="1"/>
  <c r="H10549" i="1"/>
  <c r="A10550" i="1"/>
  <c r="B10550" i="1"/>
  <c r="C10550" i="1"/>
  <c r="D10550" i="1"/>
  <c r="E10550" i="1"/>
  <c r="F10550" i="1"/>
  <c r="G10550" i="1"/>
  <c r="H10550" i="1"/>
  <c r="A10551" i="1"/>
  <c r="B10551" i="1"/>
  <c r="C10551" i="1"/>
  <c r="D10551" i="1"/>
  <c r="E10551" i="1"/>
  <c r="F10551" i="1"/>
  <c r="G10551" i="1"/>
  <c r="H10551" i="1"/>
  <c r="A10552" i="1"/>
  <c r="B10552" i="1"/>
  <c r="C10552" i="1"/>
  <c r="D10552" i="1"/>
  <c r="E10552" i="1"/>
  <c r="F10552" i="1"/>
  <c r="G10552" i="1"/>
  <c r="H10552" i="1"/>
  <c r="A10553" i="1"/>
  <c r="B10553" i="1"/>
  <c r="C10553" i="1"/>
  <c r="D10553" i="1"/>
  <c r="E10553" i="1"/>
  <c r="F10553" i="1"/>
  <c r="G10553" i="1"/>
  <c r="H10553" i="1"/>
  <c r="A10554" i="1"/>
  <c r="B10554" i="1"/>
  <c r="C10554" i="1"/>
  <c r="D10554" i="1"/>
  <c r="E10554" i="1"/>
  <c r="F10554" i="1"/>
  <c r="G10554" i="1"/>
  <c r="H10554" i="1"/>
  <c r="A10555" i="1"/>
  <c r="B10555" i="1"/>
  <c r="C10555" i="1"/>
  <c r="D10555" i="1"/>
  <c r="E10555" i="1"/>
  <c r="F10555" i="1"/>
  <c r="G10555" i="1"/>
  <c r="H10555" i="1"/>
  <c r="A10556" i="1"/>
  <c r="B10556" i="1"/>
  <c r="C10556" i="1"/>
  <c r="D10556" i="1"/>
  <c r="E10556" i="1"/>
  <c r="F10556" i="1"/>
  <c r="G10556" i="1"/>
  <c r="H10556" i="1"/>
  <c r="A10557" i="1"/>
  <c r="B10557" i="1"/>
  <c r="C10557" i="1"/>
  <c r="D10557" i="1"/>
  <c r="E10557" i="1"/>
  <c r="F10557" i="1"/>
  <c r="G10557" i="1"/>
  <c r="H10557" i="1"/>
  <c r="A10558" i="1"/>
  <c r="B10558" i="1"/>
  <c r="C10558" i="1"/>
  <c r="D10558" i="1"/>
  <c r="E10558" i="1"/>
  <c r="F10558" i="1"/>
  <c r="G10558" i="1"/>
  <c r="H10558" i="1"/>
  <c r="A10559" i="1"/>
  <c r="B10559" i="1"/>
  <c r="C10559" i="1"/>
  <c r="D10559" i="1"/>
  <c r="E10559" i="1"/>
  <c r="F10559" i="1"/>
  <c r="G10559" i="1"/>
  <c r="H10559" i="1"/>
  <c r="A10560" i="1"/>
  <c r="B10560" i="1"/>
  <c r="C10560" i="1"/>
  <c r="D10560" i="1"/>
  <c r="E10560" i="1"/>
  <c r="F10560" i="1"/>
  <c r="G10560" i="1"/>
  <c r="H10560" i="1"/>
  <c r="A10561" i="1"/>
  <c r="B10561" i="1"/>
  <c r="C10561" i="1"/>
  <c r="D10561" i="1"/>
  <c r="E10561" i="1"/>
  <c r="F10561" i="1"/>
  <c r="G10561" i="1"/>
  <c r="H10561" i="1"/>
  <c r="A10562" i="1"/>
  <c r="B10562" i="1"/>
  <c r="C10562" i="1"/>
  <c r="D10562" i="1"/>
  <c r="E10562" i="1"/>
  <c r="F10562" i="1"/>
  <c r="G10562" i="1"/>
  <c r="H10562" i="1"/>
  <c r="A10563" i="1"/>
  <c r="B10563" i="1"/>
  <c r="C10563" i="1"/>
  <c r="D10563" i="1"/>
  <c r="E10563" i="1"/>
  <c r="F10563" i="1"/>
  <c r="G10563" i="1"/>
  <c r="H10563" i="1"/>
  <c r="A10564" i="1"/>
  <c r="B10564" i="1"/>
  <c r="C10564" i="1"/>
  <c r="D10564" i="1"/>
  <c r="E10564" i="1"/>
  <c r="F10564" i="1"/>
  <c r="G10564" i="1"/>
  <c r="H10564" i="1"/>
  <c r="A10565" i="1"/>
  <c r="B10565" i="1"/>
  <c r="C10565" i="1"/>
  <c r="D10565" i="1"/>
  <c r="E10565" i="1"/>
  <c r="F10565" i="1"/>
  <c r="G10565" i="1"/>
  <c r="H10565" i="1"/>
  <c r="A10566" i="1"/>
  <c r="B10566" i="1"/>
  <c r="C10566" i="1"/>
  <c r="D10566" i="1"/>
  <c r="E10566" i="1"/>
  <c r="F10566" i="1"/>
  <c r="G10566" i="1"/>
  <c r="H10566" i="1"/>
  <c r="A10567" i="1"/>
  <c r="B10567" i="1"/>
  <c r="C10567" i="1"/>
  <c r="D10567" i="1"/>
  <c r="E10567" i="1"/>
  <c r="F10567" i="1"/>
  <c r="G10567" i="1"/>
  <c r="H10567" i="1"/>
  <c r="A10568" i="1"/>
  <c r="B10568" i="1"/>
  <c r="C10568" i="1"/>
  <c r="D10568" i="1"/>
  <c r="E10568" i="1"/>
  <c r="F10568" i="1"/>
  <c r="G10568" i="1"/>
  <c r="H10568" i="1"/>
  <c r="A10569" i="1"/>
  <c r="B10569" i="1"/>
  <c r="C10569" i="1"/>
  <c r="D10569" i="1"/>
  <c r="E10569" i="1"/>
  <c r="F10569" i="1"/>
  <c r="G10569" i="1"/>
  <c r="H10569" i="1"/>
  <c r="A10570" i="1"/>
  <c r="B10570" i="1"/>
  <c r="C10570" i="1"/>
  <c r="D10570" i="1"/>
  <c r="E10570" i="1"/>
  <c r="F10570" i="1"/>
  <c r="G10570" i="1"/>
  <c r="H10570" i="1"/>
  <c r="A10571" i="1"/>
  <c r="B10571" i="1"/>
  <c r="C10571" i="1"/>
  <c r="D10571" i="1"/>
  <c r="E10571" i="1"/>
  <c r="F10571" i="1"/>
  <c r="G10571" i="1"/>
  <c r="H10571" i="1"/>
  <c r="A10572" i="1"/>
  <c r="B10572" i="1"/>
  <c r="C10572" i="1"/>
  <c r="D10572" i="1"/>
  <c r="E10572" i="1"/>
  <c r="F10572" i="1"/>
  <c r="G10572" i="1"/>
  <c r="H10572" i="1"/>
  <c r="A10573" i="1"/>
  <c r="B10573" i="1"/>
  <c r="C10573" i="1"/>
  <c r="D10573" i="1"/>
  <c r="E10573" i="1"/>
  <c r="F10573" i="1"/>
  <c r="G10573" i="1"/>
  <c r="H10573" i="1"/>
  <c r="A10574" i="1"/>
  <c r="B10574" i="1"/>
  <c r="C10574" i="1"/>
  <c r="D10574" i="1"/>
  <c r="E10574" i="1"/>
  <c r="F10574" i="1"/>
  <c r="G10574" i="1"/>
  <c r="H10574" i="1"/>
  <c r="A10575" i="1"/>
  <c r="B10575" i="1"/>
  <c r="C10575" i="1"/>
  <c r="D10575" i="1"/>
  <c r="E10575" i="1"/>
  <c r="F10575" i="1"/>
  <c r="G10575" i="1"/>
  <c r="H10575" i="1"/>
  <c r="A10576" i="1"/>
  <c r="B10576" i="1"/>
  <c r="C10576" i="1"/>
  <c r="D10576" i="1"/>
  <c r="E10576" i="1"/>
  <c r="F10576" i="1"/>
  <c r="G10576" i="1"/>
  <c r="H10576" i="1"/>
  <c r="A10577" i="1"/>
  <c r="B10577" i="1"/>
  <c r="C10577" i="1"/>
  <c r="D10577" i="1"/>
  <c r="E10577" i="1"/>
  <c r="F10577" i="1"/>
  <c r="G10577" i="1"/>
  <c r="H10577" i="1"/>
  <c r="A10578" i="1"/>
  <c r="B10578" i="1"/>
  <c r="C10578" i="1"/>
  <c r="D10578" i="1"/>
  <c r="E10578" i="1"/>
  <c r="F10578" i="1"/>
  <c r="G10578" i="1"/>
  <c r="H10578" i="1"/>
  <c r="A10579" i="1"/>
  <c r="B10579" i="1"/>
  <c r="C10579" i="1"/>
  <c r="D10579" i="1"/>
  <c r="E10579" i="1"/>
  <c r="F10579" i="1"/>
  <c r="G10579" i="1"/>
  <c r="H10579" i="1"/>
  <c r="A10580" i="1"/>
  <c r="B10580" i="1"/>
  <c r="C10580" i="1"/>
  <c r="D10580" i="1"/>
  <c r="E10580" i="1"/>
  <c r="F10580" i="1"/>
  <c r="G10580" i="1"/>
  <c r="H10580" i="1"/>
  <c r="A10581" i="1"/>
  <c r="B10581" i="1"/>
  <c r="C10581" i="1"/>
  <c r="D10581" i="1"/>
  <c r="E10581" i="1"/>
  <c r="F10581" i="1"/>
  <c r="G10581" i="1"/>
  <c r="H10581" i="1"/>
  <c r="A10582" i="1"/>
  <c r="B10582" i="1"/>
  <c r="C10582" i="1"/>
  <c r="D10582" i="1"/>
  <c r="E10582" i="1"/>
  <c r="F10582" i="1"/>
  <c r="G10582" i="1"/>
  <c r="H10582" i="1"/>
  <c r="A10583" i="1"/>
  <c r="B10583" i="1"/>
  <c r="C10583" i="1"/>
  <c r="D10583" i="1"/>
  <c r="E10583" i="1"/>
  <c r="F10583" i="1"/>
  <c r="G10583" i="1"/>
  <c r="H10583" i="1"/>
  <c r="A10584" i="1"/>
  <c r="B10584" i="1"/>
  <c r="C10584" i="1"/>
  <c r="D10584" i="1"/>
  <c r="E10584" i="1"/>
  <c r="F10584" i="1"/>
  <c r="G10584" i="1"/>
  <c r="H10584" i="1"/>
  <c r="A10585" i="1"/>
  <c r="B10585" i="1"/>
  <c r="C10585" i="1"/>
  <c r="D10585" i="1"/>
  <c r="E10585" i="1"/>
  <c r="F10585" i="1"/>
  <c r="G10585" i="1"/>
  <c r="H10585" i="1"/>
  <c r="A10586" i="1"/>
  <c r="B10586" i="1"/>
  <c r="C10586" i="1"/>
  <c r="D10586" i="1"/>
  <c r="E10586" i="1"/>
  <c r="F10586" i="1"/>
  <c r="G10586" i="1"/>
  <c r="H10586" i="1"/>
  <c r="A10587" i="1"/>
  <c r="B10587" i="1"/>
  <c r="C10587" i="1"/>
  <c r="D10587" i="1"/>
  <c r="E10587" i="1"/>
  <c r="F10587" i="1"/>
  <c r="G10587" i="1"/>
  <c r="H10587" i="1"/>
  <c r="A10588" i="1"/>
  <c r="B10588" i="1"/>
  <c r="C10588" i="1"/>
  <c r="D10588" i="1"/>
  <c r="E10588" i="1"/>
  <c r="F10588" i="1"/>
  <c r="G10588" i="1"/>
  <c r="H10588" i="1"/>
  <c r="A10589" i="1"/>
  <c r="B10589" i="1"/>
  <c r="C10589" i="1"/>
  <c r="D10589" i="1"/>
  <c r="E10589" i="1"/>
  <c r="F10589" i="1"/>
  <c r="G10589" i="1"/>
  <c r="H10589" i="1"/>
  <c r="A10590" i="1"/>
  <c r="B10590" i="1"/>
  <c r="C10590" i="1"/>
  <c r="D10590" i="1"/>
  <c r="E10590" i="1"/>
  <c r="F10590" i="1"/>
  <c r="G10590" i="1"/>
  <c r="H10590" i="1"/>
  <c r="A10591" i="1"/>
  <c r="B10591" i="1"/>
  <c r="C10591" i="1"/>
  <c r="D10591" i="1"/>
  <c r="E10591" i="1"/>
  <c r="F10591" i="1"/>
  <c r="G10591" i="1"/>
  <c r="H10591" i="1"/>
  <c r="A10592" i="1"/>
  <c r="B10592" i="1"/>
  <c r="C10592" i="1"/>
  <c r="D10592" i="1"/>
  <c r="E10592" i="1"/>
  <c r="F10592" i="1"/>
  <c r="G10592" i="1"/>
  <c r="H10592" i="1"/>
  <c r="A10593" i="1"/>
  <c r="B10593" i="1"/>
  <c r="C10593" i="1"/>
  <c r="D10593" i="1"/>
  <c r="E10593" i="1"/>
  <c r="F10593" i="1"/>
  <c r="G10593" i="1"/>
  <c r="H10593" i="1"/>
  <c r="A10594" i="1"/>
  <c r="B10594" i="1"/>
  <c r="C10594" i="1"/>
  <c r="D10594" i="1"/>
  <c r="E10594" i="1"/>
  <c r="F10594" i="1"/>
  <c r="G10594" i="1"/>
  <c r="H10594" i="1"/>
  <c r="A10595" i="1"/>
  <c r="B10595" i="1"/>
  <c r="C10595" i="1"/>
  <c r="D10595" i="1"/>
  <c r="E10595" i="1"/>
  <c r="F10595" i="1"/>
  <c r="G10595" i="1"/>
  <c r="H10595" i="1"/>
  <c r="A10596" i="1"/>
  <c r="B10596" i="1"/>
  <c r="C10596" i="1"/>
  <c r="D10596" i="1"/>
  <c r="E10596" i="1"/>
  <c r="F10596" i="1"/>
  <c r="G10596" i="1"/>
  <c r="H10596" i="1"/>
  <c r="A10597" i="1"/>
  <c r="B10597" i="1"/>
  <c r="C10597" i="1"/>
  <c r="D10597" i="1"/>
  <c r="E10597" i="1"/>
  <c r="F10597" i="1"/>
  <c r="G10597" i="1"/>
  <c r="H10597" i="1"/>
  <c r="A10598" i="1"/>
  <c r="B10598" i="1"/>
  <c r="C10598" i="1"/>
  <c r="D10598" i="1"/>
  <c r="E10598" i="1"/>
  <c r="F10598" i="1"/>
  <c r="G10598" i="1"/>
  <c r="H10598" i="1"/>
  <c r="A10599" i="1"/>
  <c r="B10599" i="1"/>
  <c r="C10599" i="1"/>
  <c r="D10599" i="1"/>
  <c r="E10599" i="1"/>
  <c r="F10599" i="1"/>
  <c r="G10599" i="1"/>
  <c r="H10599" i="1"/>
  <c r="A10600" i="1"/>
  <c r="B10600" i="1"/>
  <c r="C10600" i="1"/>
  <c r="D10600" i="1"/>
  <c r="E10600" i="1"/>
  <c r="F10600" i="1"/>
  <c r="G10600" i="1"/>
  <c r="H10600" i="1"/>
  <c r="A10601" i="1"/>
  <c r="B10601" i="1"/>
  <c r="C10601" i="1"/>
  <c r="D10601" i="1"/>
  <c r="E10601" i="1"/>
  <c r="F10601" i="1"/>
  <c r="G10601" i="1"/>
  <c r="H10601" i="1"/>
  <c r="A10602" i="1"/>
  <c r="B10602" i="1"/>
  <c r="C10602" i="1"/>
  <c r="D10602" i="1"/>
  <c r="E10602" i="1"/>
  <c r="F10602" i="1"/>
  <c r="G10602" i="1"/>
  <c r="H10602" i="1"/>
  <c r="A10603" i="1"/>
  <c r="B10603" i="1"/>
  <c r="C10603" i="1"/>
  <c r="D10603" i="1"/>
  <c r="E10603" i="1"/>
  <c r="F10603" i="1"/>
  <c r="G10603" i="1"/>
  <c r="H10603" i="1"/>
  <c r="A10604" i="1"/>
  <c r="B10604" i="1"/>
  <c r="C10604" i="1"/>
  <c r="D10604" i="1"/>
  <c r="E10604" i="1"/>
  <c r="F10604" i="1"/>
  <c r="G10604" i="1"/>
  <c r="H10604" i="1"/>
  <c r="A10605" i="1"/>
  <c r="B10605" i="1"/>
  <c r="C10605" i="1"/>
  <c r="D10605" i="1"/>
  <c r="E10605" i="1"/>
  <c r="F10605" i="1"/>
  <c r="G10605" i="1"/>
  <c r="H10605" i="1"/>
  <c r="A10606" i="1"/>
  <c r="B10606" i="1"/>
  <c r="C10606" i="1"/>
  <c r="D10606" i="1"/>
  <c r="E10606" i="1"/>
  <c r="F10606" i="1"/>
  <c r="G10606" i="1"/>
  <c r="H10606" i="1"/>
  <c r="A10607" i="1"/>
  <c r="B10607" i="1"/>
  <c r="C10607" i="1"/>
  <c r="D10607" i="1"/>
  <c r="E10607" i="1"/>
  <c r="F10607" i="1"/>
  <c r="G10607" i="1"/>
  <c r="H10607" i="1"/>
  <c r="A10608" i="1"/>
  <c r="B10608" i="1"/>
  <c r="C10608" i="1"/>
  <c r="D10608" i="1"/>
  <c r="E10608" i="1"/>
  <c r="F10608" i="1"/>
  <c r="G10608" i="1"/>
  <c r="H10608" i="1"/>
  <c r="A10609" i="1"/>
  <c r="B10609" i="1"/>
  <c r="C10609" i="1"/>
  <c r="D10609" i="1"/>
  <c r="E10609" i="1"/>
  <c r="F10609" i="1"/>
  <c r="G10609" i="1"/>
  <c r="H10609" i="1"/>
  <c r="A10610" i="1"/>
  <c r="B10610" i="1"/>
  <c r="C10610" i="1"/>
  <c r="D10610" i="1"/>
  <c r="E10610" i="1"/>
  <c r="F10610" i="1"/>
  <c r="G10610" i="1"/>
  <c r="H10610" i="1"/>
  <c r="A10611" i="1"/>
  <c r="B10611" i="1"/>
  <c r="C10611" i="1"/>
  <c r="D10611" i="1"/>
  <c r="E10611" i="1"/>
  <c r="F10611" i="1"/>
  <c r="G10611" i="1"/>
  <c r="H10611" i="1"/>
  <c r="A10612" i="1"/>
  <c r="B10612" i="1"/>
  <c r="C10612" i="1"/>
  <c r="D10612" i="1"/>
  <c r="E10612" i="1"/>
  <c r="F10612" i="1"/>
  <c r="G10612" i="1"/>
  <c r="H10612" i="1"/>
  <c r="A10613" i="1"/>
  <c r="B10613" i="1"/>
  <c r="C10613" i="1"/>
  <c r="D10613" i="1"/>
  <c r="E10613" i="1"/>
  <c r="F10613" i="1"/>
  <c r="G10613" i="1"/>
  <c r="H10613" i="1"/>
  <c r="A10614" i="1"/>
  <c r="B10614" i="1"/>
  <c r="C10614" i="1"/>
  <c r="D10614" i="1"/>
  <c r="E10614" i="1"/>
  <c r="F10614" i="1"/>
  <c r="G10614" i="1"/>
  <c r="H10614" i="1"/>
  <c r="A10615" i="1"/>
  <c r="B10615" i="1"/>
  <c r="C10615" i="1"/>
  <c r="D10615" i="1"/>
  <c r="E10615" i="1"/>
  <c r="F10615" i="1"/>
  <c r="G10615" i="1"/>
  <c r="H10615" i="1"/>
  <c r="A10616" i="1"/>
  <c r="B10616" i="1"/>
  <c r="C10616" i="1"/>
  <c r="D10616" i="1"/>
  <c r="E10616" i="1"/>
  <c r="F10616" i="1"/>
  <c r="G10616" i="1"/>
  <c r="H10616" i="1"/>
  <c r="A10617" i="1"/>
  <c r="B10617" i="1"/>
  <c r="C10617" i="1"/>
  <c r="D10617" i="1"/>
  <c r="E10617" i="1"/>
  <c r="F10617" i="1"/>
  <c r="G10617" i="1"/>
  <c r="H10617" i="1"/>
  <c r="A10618" i="1"/>
  <c r="B10618" i="1"/>
  <c r="C10618" i="1"/>
  <c r="D10618" i="1"/>
  <c r="E10618" i="1"/>
  <c r="F10618" i="1"/>
  <c r="G10618" i="1"/>
  <c r="H10618" i="1"/>
  <c r="A10619" i="1"/>
  <c r="B10619" i="1"/>
  <c r="C10619" i="1"/>
  <c r="D10619" i="1"/>
  <c r="E10619" i="1"/>
  <c r="F10619" i="1"/>
  <c r="G10619" i="1"/>
  <c r="H10619" i="1"/>
  <c r="A10620" i="1"/>
  <c r="B10620" i="1"/>
  <c r="C10620" i="1"/>
  <c r="D10620" i="1"/>
  <c r="E10620" i="1"/>
  <c r="F10620" i="1"/>
  <c r="G10620" i="1"/>
  <c r="H10620" i="1"/>
  <c r="A10621" i="1"/>
  <c r="B10621" i="1"/>
  <c r="C10621" i="1"/>
  <c r="D10621" i="1"/>
  <c r="E10621" i="1"/>
  <c r="F10621" i="1"/>
  <c r="G10621" i="1"/>
  <c r="H10621" i="1"/>
  <c r="A10622" i="1"/>
  <c r="B10622" i="1"/>
  <c r="C10622" i="1"/>
  <c r="D10622" i="1"/>
  <c r="E10622" i="1"/>
  <c r="F10622" i="1"/>
  <c r="G10622" i="1"/>
  <c r="H10622" i="1"/>
  <c r="A10623" i="1"/>
  <c r="B10623" i="1"/>
  <c r="C10623" i="1"/>
  <c r="D10623" i="1"/>
  <c r="E10623" i="1"/>
  <c r="F10623" i="1"/>
  <c r="G10623" i="1"/>
  <c r="H10623" i="1"/>
  <c r="A10624" i="1"/>
  <c r="B10624" i="1"/>
  <c r="C10624" i="1"/>
  <c r="D10624" i="1"/>
  <c r="E10624" i="1"/>
  <c r="F10624" i="1"/>
  <c r="G10624" i="1"/>
  <c r="H10624" i="1"/>
  <c r="A10625" i="1"/>
  <c r="B10625" i="1"/>
  <c r="C10625" i="1"/>
  <c r="D10625" i="1"/>
  <c r="E10625" i="1"/>
  <c r="F10625" i="1"/>
  <c r="G10625" i="1"/>
  <c r="H10625" i="1"/>
  <c r="A10626" i="1"/>
  <c r="B10626" i="1"/>
  <c r="C10626" i="1"/>
  <c r="D10626" i="1"/>
  <c r="E10626" i="1"/>
  <c r="F10626" i="1"/>
  <c r="G10626" i="1"/>
  <c r="H10626" i="1"/>
  <c r="A10627" i="1"/>
  <c r="B10627" i="1"/>
  <c r="C10627" i="1"/>
  <c r="D10627" i="1"/>
  <c r="E10627" i="1"/>
  <c r="F10627" i="1"/>
  <c r="G10627" i="1"/>
  <c r="H10627" i="1"/>
  <c r="A10628" i="1"/>
  <c r="B10628" i="1"/>
  <c r="C10628" i="1"/>
  <c r="D10628" i="1"/>
  <c r="E10628" i="1"/>
  <c r="F10628" i="1"/>
  <c r="G10628" i="1"/>
  <c r="H10628" i="1"/>
  <c r="A10629" i="1"/>
  <c r="B10629" i="1"/>
  <c r="C10629" i="1"/>
  <c r="D10629" i="1"/>
  <c r="E10629" i="1"/>
  <c r="F10629" i="1"/>
  <c r="G10629" i="1"/>
  <c r="H10629" i="1"/>
  <c r="A10630" i="1"/>
  <c r="B10630" i="1"/>
  <c r="C10630" i="1"/>
  <c r="D10630" i="1"/>
  <c r="E10630" i="1"/>
  <c r="F10630" i="1"/>
  <c r="G10630" i="1"/>
  <c r="H10630" i="1"/>
  <c r="A10631" i="1"/>
  <c r="B10631" i="1"/>
  <c r="C10631" i="1"/>
  <c r="D10631" i="1"/>
  <c r="E10631" i="1"/>
  <c r="F10631" i="1"/>
  <c r="G10631" i="1"/>
  <c r="H10631" i="1"/>
  <c r="A10632" i="1"/>
  <c r="B10632" i="1"/>
  <c r="C10632" i="1"/>
  <c r="D10632" i="1"/>
  <c r="E10632" i="1"/>
  <c r="F10632" i="1"/>
  <c r="G10632" i="1"/>
  <c r="H10632" i="1"/>
  <c r="A10633" i="1"/>
  <c r="B10633" i="1"/>
  <c r="C10633" i="1"/>
  <c r="D10633" i="1"/>
  <c r="E10633" i="1"/>
  <c r="F10633" i="1"/>
  <c r="G10633" i="1"/>
  <c r="H10633" i="1"/>
  <c r="A10634" i="1"/>
  <c r="B10634" i="1"/>
  <c r="C10634" i="1"/>
  <c r="D10634" i="1"/>
  <c r="E10634" i="1"/>
  <c r="F10634" i="1"/>
  <c r="G10634" i="1"/>
  <c r="H10634" i="1"/>
  <c r="A10635" i="1"/>
  <c r="B10635" i="1"/>
  <c r="C10635" i="1"/>
  <c r="D10635" i="1"/>
  <c r="E10635" i="1"/>
  <c r="F10635" i="1"/>
  <c r="G10635" i="1"/>
  <c r="H10635" i="1"/>
  <c r="A10636" i="1"/>
  <c r="B10636" i="1"/>
  <c r="C10636" i="1"/>
  <c r="D10636" i="1"/>
  <c r="E10636" i="1"/>
  <c r="F10636" i="1"/>
  <c r="G10636" i="1"/>
  <c r="H10636" i="1"/>
  <c r="A10637" i="1"/>
  <c r="B10637" i="1"/>
  <c r="C10637" i="1"/>
  <c r="D10637" i="1"/>
  <c r="E10637" i="1"/>
  <c r="F10637" i="1"/>
  <c r="G10637" i="1"/>
  <c r="H10637" i="1"/>
  <c r="A10638" i="1"/>
  <c r="B10638" i="1"/>
  <c r="C10638" i="1"/>
  <c r="D10638" i="1"/>
  <c r="E10638" i="1"/>
  <c r="F10638" i="1"/>
  <c r="G10638" i="1"/>
  <c r="H10638" i="1"/>
  <c r="A10639" i="1"/>
  <c r="B10639" i="1"/>
  <c r="C10639" i="1"/>
  <c r="D10639" i="1"/>
  <c r="E10639" i="1"/>
  <c r="F10639" i="1"/>
  <c r="G10639" i="1"/>
  <c r="H10639" i="1"/>
  <c r="A10640" i="1"/>
  <c r="B10640" i="1"/>
  <c r="C10640" i="1"/>
  <c r="D10640" i="1"/>
  <c r="E10640" i="1"/>
  <c r="F10640" i="1"/>
  <c r="G10640" i="1"/>
  <c r="H10640" i="1"/>
  <c r="A10641" i="1"/>
  <c r="B10641" i="1"/>
  <c r="C10641" i="1"/>
  <c r="D10641" i="1"/>
  <c r="E10641" i="1"/>
  <c r="F10641" i="1"/>
  <c r="G10641" i="1"/>
  <c r="H10641" i="1"/>
  <c r="A10642" i="1"/>
  <c r="B10642" i="1"/>
  <c r="C10642" i="1"/>
  <c r="D10642" i="1"/>
  <c r="E10642" i="1"/>
  <c r="F10642" i="1"/>
  <c r="G10642" i="1"/>
  <c r="H10642" i="1"/>
  <c r="A10643" i="1"/>
  <c r="B10643" i="1"/>
  <c r="C10643" i="1"/>
  <c r="D10643" i="1"/>
  <c r="E10643" i="1"/>
  <c r="F10643" i="1"/>
  <c r="G10643" i="1"/>
  <c r="H10643" i="1"/>
  <c r="A10644" i="1"/>
  <c r="B10644" i="1"/>
  <c r="C10644" i="1"/>
  <c r="D10644" i="1"/>
  <c r="E10644" i="1"/>
  <c r="F10644" i="1"/>
  <c r="G10644" i="1"/>
  <c r="H10644" i="1"/>
  <c r="A10645" i="1"/>
  <c r="B10645" i="1"/>
  <c r="C10645" i="1"/>
  <c r="D10645" i="1"/>
  <c r="E10645" i="1"/>
  <c r="F10645" i="1"/>
  <c r="G10645" i="1"/>
  <c r="H10645" i="1"/>
  <c r="A10646" i="1"/>
  <c r="B10646" i="1"/>
  <c r="C10646" i="1"/>
  <c r="D10646" i="1"/>
  <c r="E10646" i="1"/>
  <c r="F10646" i="1"/>
  <c r="G10646" i="1"/>
  <c r="H10646" i="1"/>
  <c r="A10647" i="1"/>
  <c r="B10647" i="1"/>
  <c r="C10647" i="1"/>
  <c r="D10647" i="1"/>
  <c r="E10647" i="1"/>
  <c r="F10647" i="1"/>
  <c r="G10647" i="1"/>
  <c r="H10647" i="1"/>
  <c r="A10648" i="1"/>
  <c r="B10648" i="1"/>
  <c r="C10648" i="1"/>
  <c r="D10648" i="1"/>
  <c r="E10648" i="1"/>
  <c r="F10648" i="1"/>
  <c r="G10648" i="1"/>
  <c r="H10648" i="1"/>
  <c r="A10649" i="1"/>
  <c r="B10649" i="1"/>
  <c r="C10649" i="1"/>
  <c r="D10649" i="1"/>
  <c r="E10649" i="1"/>
  <c r="F10649" i="1"/>
  <c r="G10649" i="1"/>
  <c r="H10649" i="1"/>
  <c r="A10650" i="1"/>
  <c r="B10650" i="1"/>
  <c r="C10650" i="1"/>
  <c r="D10650" i="1"/>
  <c r="E10650" i="1"/>
  <c r="F10650" i="1"/>
  <c r="G10650" i="1"/>
  <c r="H10650" i="1"/>
  <c r="A10651" i="1"/>
  <c r="B10651" i="1"/>
  <c r="C10651" i="1"/>
  <c r="D10651" i="1"/>
  <c r="E10651" i="1"/>
  <c r="F10651" i="1"/>
  <c r="G10651" i="1"/>
  <c r="H10651" i="1"/>
  <c r="A10652" i="1"/>
  <c r="B10652" i="1"/>
  <c r="C10652" i="1"/>
  <c r="D10652" i="1"/>
  <c r="E10652" i="1"/>
  <c r="F10652" i="1"/>
  <c r="G10652" i="1"/>
  <c r="H10652" i="1"/>
  <c r="A10653" i="1"/>
  <c r="B10653" i="1"/>
  <c r="C10653" i="1"/>
  <c r="D10653" i="1"/>
  <c r="E10653" i="1"/>
  <c r="F10653" i="1"/>
  <c r="G10653" i="1"/>
  <c r="H10653" i="1"/>
  <c r="A10654" i="1"/>
  <c r="B10654" i="1"/>
  <c r="C10654" i="1"/>
  <c r="D10654" i="1"/>
  <c r="E10654" i="1"/>
  <c r="F10654" i="1"/>
  <c r="G10654" i="1"/>
  <c r="H10654" i="1"/>
  <c r="A10655" i="1"/>
  <c r="B10655" i="1"/>
  <c r="C10655" i="1"/>
  <c r="D10655" i="1"/>
  <c r="E10655" i="1"/>
  <c r="F10655" i="1"/>
  <c r="G10655" i="1"/>
  <c r="H10655" i="1"/>
  <c r="A10656" i="1"/>
  <c r="B10656" i="1"/>
  <c r="C10656" i="1"/>
  <c r="D10656" i="1"/>
  <c r="E10656" i="1"/>
  <c r="F10656" i="1"/>
  <c r="G10656" i="1"/>
  <c r="H10656" i="1"/>
  <c r="A10657" i="1"/>
  <c r="B10657" i="1"/>
  <c r="C10657" i="1"/>
  <c r="D10657" i="1"/>
  <c r="E10657" i="1"/>
  <c r="F10657" i="1"/>
  <c r="G10657" i="1"/>
  <c r="H10657" i="1"/>
  <c r="A10658" i="1"/>
  <c r="B10658" i="1"/>
  <c r="C10658" i="1"/>
  <c r="D10658" i="1"/>
  <c r="E10658" i="1"/>
  <c r="F10658" i="1"/>
  <c r="G10658" i="1"/>
  <c r="H10658" i="1"/>
  <c r="A10659" i="1"/>
  <c r="B10659" i="1"/>
  <c r="C10659" i="1"/>
  <c r="D10659" i="1"/>
  <c r="E10659" i="1"/>
  <c r="F10659" i="1"/>
  <c r="G10659" i="1"/>
  <c r="H10659" i="1"/>
  <c r="A10660" i="1"/>
  <c r="B10660" i="1"/>
  <c r="C10660" i="1"/>
  <c r="D10660" i="1"/>
  <c r="E10660" i="1"/>
  <c r="F10660" i="1"/>
  <c r="G10660" i="1"/>
  <c r="H10660" i="1"/>
  <c r="A10661" i="1"/>
  <c r="B10661" i="1"/>
  <c r="C10661" i="1"/>
  <c r="D10661" i="1"/>
  <c r="E10661" i="1"/>
  <c r="F10661" i="1"/>
  <c r="G10661" i="1"/>
  <c r="H10661" i="1"/>
  <c r="A10662" i="1"/>
  <c r="B10662" i="1"/>
  <c r="C10662" i="1"/>
  <c r="D10662" i="1"/>
  <c r="E10662" i="1"/>
  <c r="F10662" i="1"/>
  <c r="G10662" i="1"/>
  <c r="H10662" i="1"/>
  <c r="A10663" i="1"/>
  <c r="B10663" i="1"/>
  <c r="C10663" i="1"/>
  <c r="D10663" i="1"/>
  <c r="E10663" i="1"/>
  <c r="F10663" i="1"/>
  <c r="G10663" i="1"/>
  <c r="H10663" i="1"/>
  <c r="A10664" i="1"/>
  <c r="B10664" i="1"/>
  <c r="C10664" i="1"/>
  <c r="D10664" i="1"/>
  <c r="E10664" i="1"/>
  <c r="F10664" i="1"/>
  <c r="G10664" i="1"/>
  <c r="H10664" i="1"/>
  <c r="A10665" i="1"/>
  <c r="B10665" i="1"/>
  <c r="C10665" i="1"/>
  <c r="D10665" i="1"/>
  <c r="E10665" i="1"/>
  <c r="F10665" i="1"/>
  <c r="G10665" i="1"/>
  <c r="H10665" i="1"/>
  <c r="A10666" i="1"/>
  <c r="B10666" i="1"/>
  <c r="C10666" i="1"/>
  <c r="D10666" i="1"/>
  <c r="E10666" i="1"/>
  <c r="F10666" i="1"/>
  <c r="G10666" i="1"/>
  <c r="H10666" i="1"/>
  <c r="A10667" i="1"/>
  <c r="B10667" i="1"/>
  <c r="C10667" i="1"/>
  <c r="D10667" i="1"/>
  <c r="E10667" i="1"/>
  <c r="F10667" i="1"/>
  <c r="G10667" i="1"/>
  <c r="H10667" i="1"/>
  <c r="A10668" i="1"/>
  <c r="B10668" i="1"/>
  <c r="C10668" i="1"/>
  <c r="D10668" i="1"/>
  <c r="E10668" i="1"/>
  <c r="F10668" i="1"/>
  <c r="G10668" i="1"/>
  <c r="H10668" i="1"/>
  <c r="A10669" i="1"/>
  <c r="B10669" i="1"/>
  <c r="C10669" i="1"/>
  <c r="D10669" i="1"/>
  <c r="E10669" i="1"/>
  <c r="F10669" i="1"/>
  <c r="G10669" i="1"/>
  <c r="H10669" i="1"/>
  <c r="A10670" i="1"/>
  <c r="B10670" i="1"/>
  <c r="C10670" i="1"/>
  <c r="D10670" i="1"/>
  <c r="E10670" i="1"/>
  <c r="F10670" i="1"/>
  <c r="G10670" i="1"/>
  <c r="H10670" i="1"/>
  <c r="A10671" i="1"/>
  <c r="B10671" i="1"/>
  <c r="C10671" i="1"/>
  <c r="D10671" i="1"/>
  <c r="E10671" i="1"/>
  <c r="F10671" i="1"/>
  <c r="G10671" i="1"/>
  <c r="H10671" i="1"/>
  <c r="A10672" i="1"/>
  <c r="B10672" i="1"/>
  <c r="C10672" i="1"/>
  <c r="D10672" i="1"/>
  <c r="E10672" i="1"/>
  <c r="F10672" i="1"/>
  <c r="G10672" i="1"/>
  <c r="H10672" i="1"/>
  <c r="A10673" i="1"/>
  <c r="B10673" i="1"/>
  <c r="C10673" i="1"/>
  <c r="D10673" i="1"/>
  <c r="E10673" i="1"/>
  <c r="F10673" i="1"/>
  <c r="G10673" i="1"/>
  <c r="H10673" i="1"/>
  <c r="A10674" i="1"/>
  <c r="B10674" i="1"/>
  <c r="C10674" i="1"/>
  <c r="D10674" i="1"/>
  <c r="E10674" i="1"/>
  <c r="F10674" i="1"/>
  <c r="G10674" i="1"/>
  <c r="H10674" i="1"/>
  <c r="A10675" i="1"/>
  <c r="B10675" i="1"/>
  <c r="C10675" i="1"/>
  <c r="D10675" i="1"/>
  <c r="E10675" i="1"/>
  <c r="F10675" i="1"/>
  <c r="G10675" i="1"/>
  <c r="H10675" i="1"/>
  <c r="A10676" i="1"/>
  <c r="B10676" i="1"/>
  <c r="C10676" i="1"/>
  <c r="D10676" i="1"/>
  <c r="E10676" i="1"/>
  <c r="F10676" i="1"/>
  <c r="G10676" i="1"/>
  <c r="H10676" i="1"/>
  <c r="A10677" i="1"/>
  <c r="B10677" i="1"/>
  <c r="C10677" i="1"/>
  <c r="D10677" i="1"/>
  <c r="E10677" i="1"/>
  <c r="F10677" i="1"/>
  <c r="G10677" i="1"/>
  <c r="H10677" i="1"/>
  <c r="A10678" i="1"/>
  <c r="B10678" i="1"/>
  <c r="C10678" i="1"/>
  <c r="D10678" i="1"/>
  <c r="E10678" i="1"/>
  <c r="F10678" i="1"/>
  <c r="G10678" i="1"/>
  <c r="H10678" i="1"/>
  <c r="A10679" i="1"/>
  <c r="B10679" i="1"/>
  <c r="C10679" i="1"/>
  <c r="D10679" i="1"/>
  <c r="E10679" i="1"/>
  <c r="F10679" i="1"/>
  <c r="G10679" i="1"/>
  <c r="H10679" i="1"/>
  <c r="A10680" i="1"/>
  <c r="B10680" i="1"/>
  <c r="C10680" i="1"/>
  <c r="D10680" i="1"/>
  <c r="E10680" i="1"/>
  <c r="F10680" i="1"/>
  <c r="G10680" i="1"/>
  <c r="H10680" i="1"/>
  <c r="A10681" i="1"/>
  <c r="B10681" i="1"/>
  <c r="C10681" i="1"/>
  <c r="D10681" i="1"/>
  <c r="E10681" i="1"/>
  <c r="F10681" i="1"/>
  <c r="G10681" i="1"/>
  <c r="H10681" i="1"/>
  <c r="A10682" i="1"/>
  <c r="B10682" i="1"/>
  <c r="C10682" i="1"/>
  <c r="D10682" i="1"/>
  <c r="E10682" i="1"/>
  <c r="F10682" i="1"/>
  <c r="G10682" i="1"/>
  <c r="H10682" i="1"/>
  <c r="A10683" i="1"/>
  <c r="B10683" i="1"/>
  <c r="C10683" i="1"/>
  <c r="D10683" i="1"/>
  <c r="E10683" i="1"/>
  <c r="F10683" i="1"/>
  <c r="G10683" i="1"/>
  <c r="H10683" i="1"/>
  <c r="A10684" i="1"/>
  <c r="B10684" i="1"/>
  <c r="C10684" i="1"/>
  <c r="D10684" i="1"/>
  <c r="E10684" i="1"/>
  <c r="F10684" i="1"/>
  <c r="G10684" i="1"/>
  <c r="H10684" i="1"/>
  <c r="A10685" i="1"/>
  <c r="B10685" i="1"/>
  <c r="C10685" i="1"/>
  <c r="D10685" i="1"/>
  <c r="E10685" i="1"/>
  <c r="F10685" i="1"/>
  <c r="G10685" i="1"/>
  <c r="H10685" i="1"/>
  <c r="A10686" i="1"/>
  <c r="B10686" i="1"/>
  <c r="C10686" i="1"/>
  <c r="D10686" i="1"/>
  <c r="E10686" i="1"/>
  <c r="F10686" i="1"/>
  <c r="G10686" i="1"/>
  <c r="H10686" i="1"/>
  <c r="A10687" i="1"/>
  <c r="B10687" i="1"/>
  <c r="C10687" i="1"/>
  <c r="D10687" i="1"/>
  <c r="E10687" i="1"/>
  <c r="F10687" i="1"/>
  <c r="G10687" i="1"/>
  <c r="H10687" i="1"/>
  <c r="A10688" i="1"/>
  <c r="B10688" i="1"/>
  <c r="C10688" i="1"/>
  <c r="D10688" i="1"/>
  <c r="E10688" i="1"/>
  <c r="F10688" i="1"/>
  <c r="G10688" i="1"/>
  <c r="H10688" i="1"/>
  <c r="A10689" i="1"/>
  <c r="B10689" i="1"/>
  <c r="C10689" i="1"/>
  <c r="D10689" i="1"/>
  <c r="E10689" i="1"/>
  <c r="F10689" i="1"/>
  <c r="G10689" i="1"/>
  <c r="H10689" i="1"/>
  <c r="A10690" i="1"/>
  <c r="B10690" i="1"/>
  <c r="C10690" i="1"/>
  <c r="D10690" i="1"/>
  <c r="E10690" i="1"/>
  <c r="F10690" i="1"/>
  <c r="G10690" i="1"/>
  <c r="H10690" i="1"/>
  <c r="A10691" i="1"/>
  <c r="B10691" i="1"/>
  <c r="C10691" i="1"/>
  <c r="D10691" i="1"/>
  <c r="E10691" i="1"/>
  <c r="F10691" i="1"/>
  <c r="G10691" i="1"/>
  <c r="H10691" i="1"/>
  <c r="A10692" i="1"/>
  <c r="B10692" i="1"/>
  <c r="C10692" i="1"/>
  <c r="D10692" i="1"/>
  <c r="E10692" i="1"/>
  <c r="F10692" i="1"/>
  <c r="G10692" i="1"/>
  <c r="H10692" i="1"/>
  <c r="A10693" i="1"/>
  <c r="B10693" i="1"/>
  <c r="C10693" i="1"/>
  <c r="D10693" i="1"/>
  <c r="E10693" i="1"/>
  <c r="F10693" i="1"/>
  <c r="G10693" i="1"/>
  <c r="H10693" i="1"/>
  <c r="A10694" i="1"/>
  <c r="B10694" i="1"/>
  <c r="C10694" i="1"/>
  <c r="D10694" i="1"/>
  <c r="E10694" i="1"/>
  <c r="F10694" i="1"/>
  <c r="G10694" i="1"/>
  <c r="H10694" i="1"/>
  <c r="A10695" i="1"/>
  <c r="B10695" i="1"/>
  <c r="C10695" i="1"/>
  <c r="D10695" i="1"/>
  <c r="E10695" i="1"/>
  <c r="F10695" i="1"/>
  <c r="G10695" i="1"/>
  <c r="H10695" i="1"/>
  <c r="A10696" i="1"/>
  <c r="B10696" i="1"/>
  <c r="C10696" i="1"/>
  <c r="D10696" i="1"/>
  <c r="E10696" i="1"/>
  <c r="F10696" i="1"/>
  <c r="G10696" i="1"/>
  <c r="H10696" i="1"/>
  <c r="A10697" i="1"/>
  <c r="B10697" i="1"/>
  <c r="C10697" i="1"/>
  <c r="D10697" i="1"/>
  <c r="E10697" i="1"/>
  <c r="F10697" i="1"/>
  <c r="G10697" i="1"/>
  <c r="H10697" i="1"/>
  <c r="A10698" i="1"/>
  <c r="B10698" i="1"/>
  <c r="C10698" i="1"/>
  <c r="D10698" i="1"/>
  <c r="E10698" i="1"/>
  <c r="F10698" i="1"/>
  <c r="G10698" i="1"/>
  <c r="H10698" i="1"/>
  <c r="A10699" i="1"/>
  <c r="B10699" i="1"/>
  <c r="C10699" i="1"/>
  <c r="D10699" i="1"/>
  <c r="E10699" i="1"/>
  <c r="F10699" i="1"/>
  <c r="G10699" i="1"/>
  <c r="H10699" i="1"/>
  <c r="A10700" i="1"/>
  <c r="B10700" i="1"/>
  <c r="C10700" i="1"/>
  <c r="D10700" i="1"/>
  <c r="E10700" i="1"/>
  <c r="F10700" i="1"/>
  <c r="G10700" i="1"/>
  <c r="H10700" i="1"/>
  <c r="A10701" i="1"/>
  <c r="B10701" i="1"/>
  <c r="C10701" i="1"/>
  <c r="D10701" i="1"/>
  <c r="E10701" i="1"/>
  <c r="F10701" i="1"/>
  <c r="G10701" i="1"/>
  <c r="H10701" i="1"/>
  <c r="A10702" i="1"/>
  <c r="B10702" i="1"/>
  <c r="C10702" i="1"/>
  <c r="D10702" i="1"/>
  <c r="E10702" i="1"/>
  <c r="F10702" i="1"/>
  <c r="G10702" i="1"/>
  <c r="H10702" i="1"/>
  <c r="A10703" i="1"/>
  <c r="B10703" i="1"/>
  <c r="C10703" i="1"/>
  <c r="D10703" i="1"/>
  <c r="E10703" i="1"/>
  <c r="F10703" i="1"/>
  <c r="G10703" i="1"/>
  <c r="H10703" i="1"/>
  <c r="A10704" i="1"/>
  <c r="B10704" i="1"/>
  <c r="C10704" i="1"/>
  <c r="D10704" i="1"/>
  <c r="E10704" i="1"/>
  <c r="F10704" i="1"/>
  <c r="G10704" i="1"/>
  <c r="H10704" i="1"/>
  <c r="A10705" i="1"/>
  <c r="B10705" i="1"/>
  <c r="C10705" i="1"/>
  <c r="D10705" i="1"/>
  <c r="E10705" i="1"/>
  <c r="F10705" i="1"/>
  <c r="G10705" i="1"/>
  <c r="H10705" i="1"/>
  <c r="A10706" i="1"/>
  <c r="B10706" i="1"/>
  <c r="C10706" i="1"/>
  <c r="D10706" i="1"/>
  <c r="E10706" i="1"/>
  <c r="F10706" i="1"/>
  <c r="G10706" i="1"/>
  <c r="H10706" i="1"/>
  <c r="A10707" i="1"/>
  <c r="B10707" i="1"/>
  <c r="C10707" i="1"/>
  <c r="D10707" i="1"/>
  <c r="E10707" i="1"/>
  <c r="F10707" i="1"/>
  <c r="G10707" i="1"/>
  <c r="H10707" i="1"/>
  <c r="A10708" i="1"/>
  <c r="B10708" i="1"/>
  <c r="C10708" i="1"/>
  <c r="D10708" i="1"/>
  <c r="E10708" i="1"/>
  <c r="F10708" i="1"/>
  <c r="G10708" i="1"/>
  <c r="H10708" i="1"/>
  <c r="A10709" i="1"/>
  <c r="B10709" i="1"/>
  <c r="C10709" i="1"/>
  <c r="D10709" i="1"/>
  <c r="E10709" i="1"/>
  <c r="F10709" i="1"/>
  <c r="G10709" i="1"/>
  <c r="H10709" i="1"/>
  <c r="A10710" i="1"/>
  <c r="B10710" i="1"/>
  <c r="C10710" i="1"/>
  <c r="D10710" i="1"/>
  <c r="E10710" i="1"/>
  <c r="F10710" i="1"/>
  <c r="G10710" i="1"/>
  <c r="H10710" i="1"/>
  <c r="A10711" i="1"/>
  <c r="B10711" i="1"/>
  <c r="C10711" i="1"/>
  <c r="D10711" i="1"/>
  <c r="E10711" i="1"/>
  <c r="F10711" i="1"/>
  <c r="G10711" i="1"/>
  <c r="H10711" i="1"/>
  <c r="A10712" i="1"/>
  <c r="B10712" i="1"/>
  <c r="C10712" i="1"/>
  <c r="D10712" i="1"/>
  <c r="E10712" i="1"/>
  <c r="F10712" i="1"/>
  <c r="G10712" i="1"/>
  <c r="H10712" i="1"/>
  <c r="A10713" i="1"/>
  <c r="B10713" i="1"/>
  <c r="C10713" i="1"/>
  <c r="D10713" i="1"/>
  <c r="E10713" i="1"/>
  <c r="F10713" i="1"/>
  <c r="G10713" i="1"/>
  <c r="H10713" i="1"/>
  <c r="A10714" i="1"/>
  <c r="B10714" i="1"/>
  <c r="C10714" i="1"/>
  <c r="D10714" i="1"/>
  <c r="E10714" i="1"/>
  <c r="F10714" i="1"/>
  <c r="G10714" i="1"/>
  <c r="H10714" i="1"/>
  <c r="A10715" i="1"/>
  <c r="B10715" i="1"/>
  <c r="C10715" i="1"/>
  <c r="D10715" i="1"/>
  <c r="E10715" i="1"/>
  <c r="F10715" i="1"/>
  <c r="G10715" i="1"/>
  <c r="H10715" i="1"/>
  <c r="A10716" i="1"/>
  <c r="B10716" i="1"/>
  <c r="C10716" i="1"/>
  <c r="D10716" i="1"/>
  <c r="E10716" i="1"/>
  <c r="F10716" i="1"/>
  <c r="G10716" i="1"/>
  <c r="H10716" i="1"/>
  <c r="A10717" i="1"/>
  <c r="B10717" i="1"/>
  <c r="C10717" i="1"/>
  <c r="D10717" i="1"/>
  <c r="E10717" i="1"/>
  <c r="F10717" i="1"/>
  <c r="G10717" i="1"/>
  <c r="H10717" i="1"/>
  <c r="A10718" i="1"/>
  <c r="B10718" i="1"/>
  <c r="C10718" i="1"/>
  <c r="D10718" i="1"/>
  <c r="E10718" i="1"/>
  <c r="F10718" i="1"/>
  <c r="G10718" i="1"/>
  <c r="H10718" i="1"/>
  <c r="A10719" i="1"/>
  <c r="B10719" i="1"/>
  <c r="C10719" i="1"/>
  <c r="D10719" i="1"/>
  <c r="E10719" i="1"/>
  <c r="F10719" i="1"/>
  <c r="G10719" i="1"/>
  <c r="H10719" i="1"/>
  <c r="A10720" i="1"/>
  <c r="B10720" i="1"/>
  <c r="C10720" i="1"/>
  <c r="D10720" i="1"/>
  <c r="E10720" i="1"/>
  <c r="F10720" i="1"/>
  <c r="G10720" i="1"/>
  <c r="H10720" i="1"/>
  <c r="A10721" i="1"/>
  <c r="B10721" i="1"/>
  <c r="C10721" i="1"/>
  <c r="D10721" i="1"/>
  <c r="E10721" i="1"/>
  <c r="F10721" i="1"/>
  <c r="G10721" i="1"/>
  <c r="H10721" i="1"/>
  <c r="A10722" i="1"/>
  <c r="B10722" i="1"/>
  <c r="C10722" i="1"/>
  <c r="D10722" i="1"/>
  <c r="E10722" i="1"/>
  <c r="F10722" i="1"/>
  <c r="G10722" i="1"/>
  <c r="H10722" i="1"/>
  <c r="A10723" i="1"/>
  <c r="B10723" i="1"/>
  <c r="C10723" i="1"/>
  <c r="D10723" i="1"/>
  <c r="E10723" i="1"/>
  <c r="F10723" i="1"/>
  <c r="G10723" i="1"/>
  <c r="H10723" i="1"/>
  <c r="A10724" i="1"/>
  <c r="B10724" i="1"/>
  <c r="C10724" i="1"/>
  <c r="D10724" i="1"/>
  <c r="E10724" i="1"/>
  <c r="F10724" i="1"/>
  <c r="G10724" i="1"/>
  <c r="H10724" i="1"/>
  <c r="A10725" i="1"/>
  <c r="B10725" i="1"/>
  <c r="C10725" i="1"/>
  <c r="D10725" i="1"/>
  <c r="E10725" i="1"/>
  <c r="F10725" i="1"/>
  <c r="G10725" i="1"/>
  <c r="H10725" i="1"/>
  <c r="A10726" i="1"/>
  <c r="B10726" i="1"/>
  <c r="C10726" i="1"/>
  <c r="D10726" i="1"/>
  <c r="E10726" i="1"/>
  <c r="F10726" i="1"/>
  <c r="G10726" i="1"/>
  <c r="H10726" i="1"/>
  <c r="A10727" i="1"/>
  <c r="B10727" i="1"/>
  <c r="C10727" i="1"/>
  <c r="D10727" i="1"/>
  <c r="E10727" i="1"/>
  <c r="F10727" i="1"/>
  <c r="G10727" i="1"/>
  <c r="H10727" i="1"/>
  <c r="A10728" i="1"/>
  <c r="B10728" i="1"/>
  <c r="C10728" i="1"/>
  <c r="D10728" i="1"/>
  <c r="E10728" i="1"/>
  <c r="F10728" i="1"/>
  <c r="G10728" i="1"/>
  <c r="H10728" i="1"/>
  <c r="A10729" i="1"/>
  <c r="B10729" i="1"/>
  <c r="C10729" i="1"/>
  <c r="D10729" i="1"/>
  <c r="E10729" i="1"/>
  <c r="F10729" i="1"/>
  <c r="G10729" i="1"/>
  <c r="H10729" i="1"/>
  <c r="A10730" i="1"/>
  <c r="B10730" i="1"/>
  <c r="C10730" i="1"/>
  <c r="D10730" i="1"/>
  <c r="E10730" i="1"/>
  <c r="F10730" i="1"/>
  <c r="G10730" i="1"/>
  <c r="H10730" i="1"/>
  <c r="A10731" i="1"/>
  <c r="B10731" i="1"/>
  <c r="C10731" i="1"/>
  <c r="D10731" i="1"/>
  <c r="E10731" i="1"/>
  <c r="F10731" i="1"/>
  <c r="G10731" i="1"/>
  <c r="H10731" i="1"/>
  <c r="A10732" i="1"/>
  <c r="B10732" i="1"/>
  <c r="C10732" i="1"/>
  <c r="D10732" i="1"/>
  <c r="E10732" i="1"/>
  <c r="F10732" i="1"/>
  <c r="G10732" i="1"/>
  <c r="H10732" i="1"/>
  <c r="A10733" i="1"/>
  <c r="B10733" i="1"/>
  <c r="C10733" i="1"/>
  <c r="D10733" i="1"/>
  <c r="E10733" i="1"/>
  <c r="F10733" i="1"/>
  <c r="G10733" i="1"/>
  <c r="H10733" i="1"/>
  <c r="A10734" i="1"/>
  <c r="B10734" i="1"/>
  <c r="C10734" i="1"/>
  <c r="D10734" i="1"/>
  <c r="E10734" i="1"/>
  <c r="F10734" i="1"/>
  <c r="G10734" i="1"/>
  <c r="H10734" i="1"/>
  <c r="A10735" i="1"/>
  <c r="B10735" i="1"/>
  <c r="C10735" i="1"/>
  <c r="D10735" i="1"/>
  <c r="E10735" i="1"/>
  <c r="F10735" i="1"/>
  <c r="G10735" i="1"/>
  <c r="H10735" i="1"/>
  <c r="A10736" i="1"/>
  <c r="B10736" i="1"/>
  <c r="C10736" i="1"/>
  <c r="D10736" i="1"/>
  <c r="E10736" i="1"/>
  <c r="F10736" i="1"/>
  <c r="G10736" i="1"/>
  <c r="H10736" i="1"/>
  <c r="A10737" i="1"/>
  <c r="B10737" i="1"/>
  <c r="C10737" i="1"/>
  <c r="D10737" i="1"/>
  <c r="E10737" i="1"/>
  <c r="F10737" i="1"/>
  <c r="G10737" i="1"/>
  <c r="H10737" i="1"/>
  <c r="A10738" i="1"/>
  <c r="B10738" i="1"/>
  <c r="C10738" i="1"/>
  <c r="D10738" i="1"/>
  <c r="E10738" i="1"/>
  <c r="F10738" i="1"/>
  <c r="G10738" i="1"/>
  <c r="H10738" i="1"/>
  <c r="A10739" i="1"/>
  <c r="B10739" i="1"/>
  <c r="C10739" i="1"/>
  <c r="D10739" i="1"/>
  <c r="E10739" i="1"/>
  <c r="F10739" i="1"/>
  <c r="G10739" i="1"/>
  <c r="H10739" i="1"/>
  <c r="A10740" i="1"/>
  <c r="B10740" i="1"/>
  <c r="C10740" i="1"/>
  <c r="D10740" i="1"/>
  <c r="E10740" i="1"/>
  <c r="F10740" i="1"/>
  <c r="G10740" i="1"/>
  <c r="H10740" i="1"/>
  <c r="A10741" i="1"/>
  <c r="B10741" i="1"/>
  <c r="C10741" i="1"/>
  <c r="D10741" i="1"/>
  <c r="E10741" i="1"/>
  <c r="F10741" i="1"/>
  <c r="G10741" i="1"/>
  <c r="H10741" i="1"/>
  <c r="A10742" i="1"/>
  <c r="B10742" i="1"/>
  <c r="C10742" i="1"/>
  <c r="D10742" i="1"/>
  <c r="E10742" i="1"/>
  <c r="F10742" i="1"/>
  <c r="G10742" i="1"/>
  <c r="H10742" i="1"/>
  <c r="A10743" i="1"/>
  <c r="B10743" i="1"/>
  <c r="C10743" i="1"/>
  <c r="D10743" i="1"/>
  <c r="E10743" i="1"/>
  <c r="F10743" i="1"/>
  <c r="G10743" i="1"/>
  <c r="H10743" i="1"/>
  <c r="A10744" i="1"/>
  <c r="B10744" i="1"/>
  <c r="C10744" i="1"/>
  <c r="D10744" i="1"/>
  <c r="E10744" i="1"/>
  <c r="F10744" i="1"/>
  <c r="G10744" i="1"/>
  <c r="H10744" i="1"/>
  <c r="A10745" i="1"/>
  <c r="B10745" i="1"/>
  <c r="C10745" i="1"/>
  <c r="D10745" i="1"/>
  <c r="E10745" i="1"/>
  <c r="F10745" i="1"/>
  <c r="G10745" i="1"/>
  <c r="H10745" i="1"/>
  <c r="A10746" i="1"/>
  <c r="B10746" i="1"/>
  <c r="C10746" i="1"/>
  <c r="D10746" i="1"/>
  <c r="E10746" i="1"/>
  <c r="F10746" i="1"/>
  <c r="G10746" i="1"/>
  <c r="H10746" i="1"/>
  <c r="A10747" i="1"/>
  <c r="B10747" i="1"/>
  <c r="C10747" i="1"/>
  <c r="D10747" i="1"/>
  <c r="E10747" i="1"/>
  <c r="F10747" i="1"/>
  <c r="G10747" i="1"/>
  <c r="H10747" i="1"/>
  <c r="A10748" i="1"/>
  <c r="B10748" i="1"/>
  <c r="C10748" i="1"/>
  <c r="D10748" i="1"/>
  <c r="E10748" i="1"/>
  <c r="F10748" i="1"/>
  <c r="G10748" i="1"/>
  <c r="H10748" i="1"/>
  <c r="A10749" i="1"/>
  <c r="B10749" i="1"/>
  <c r="C10749" i="1"/>
  <c r="D10749" i="1"/>
  <c r="E10749" i="1"/>
  <c r="F10749" i="1"/>
  <c r="G10749" i="1"/>
  <c r="H10749" i="1"/>
  <c r="A10750" i="1"/>
  <c r="B10750" i="1"/>
  <c r="C10750" i="1"/>
  <c r="D10750" i="1"/>
  <c r="E10750" i="1"/>
  <c r="F10750" i="1"/>
  <c r="G10750" i="1"/>
  <c r="H10750" i="1"/>
  <c r="A10751" i="1"/>
  <c r="B10751" i="1"/>
  <c r="C10751" i="1"/>
  <c r="D10751" i="1"/>
  <c r="E10751" i="1"/>
  <c r="F10751" i="1"/>
  <c r="G10751" i="1"/>
  <c r="H10751" i="1"/>
  <c r="A10752" i="1"/>
  <c r="B10752" i="1"/>
  <c r="C10752" i="1"/>
  <c r="D10752" i="1"/>
  <c r="E10752" i="1"/>
  <c r="F10752" i="1"/>
  <c r="G10752" i="1"/>
  <c r="H10752" i="1"/>
  <c r="A10753" i="1"/>
  <c r="B10753" i="1"/>
  <c r="C10753" i="1"/>
  <c r="D10753" i="1"/>
  <c r="E10753" i="1"/>
  <c r="F10753" i="1"/>
  <c r="G10753" i="1"/>
  <c r="H10753" i="1"/>
  <c r="A10754" i="1"/>
  <c r="B10754" i="1"/>
  <c r="C10754" i="1"/>
  <c r="D10754" i="1"/>
  <c r="E10754" i="1"/>
  <c r="F10754" i="1"/>
  <c r="G10754" i="1"/>
  <c r="H10754" i="1"/>
  <c r="A10755" i="1"/>
  <c r="B10755" i="1"/>
  <c r="C10755" i="1"/>
  <c r="D10755" i="1"/>
  <c r="E10755" i="1"/>
  <c r="F10755" i="1"/>
  <c r="G10755" i="1"/>
  <c r="H10755" i="1"/>
  <c r="A10756" i="1"/>
  <c r="B10756" i="1"/>
  <c r="C10756" i="1"/>
  <c r="D10756" i="1"/>
  <c r="E10756" i="1"/>
  <c r="F10756" i="1"/>
  <c r="G10756" i="1"/>
  <c r="H10756" i="1"/>
  <c r="A10757" i="1"/>
  <c r="B10757" i="1"/>
  <c r="C10757" i="1"/>
  <c r="D10757" i="1"/>
  <c r="E10757" i="1"/>
  <c r="F10757" i="1"/>
  <c r="G10757" i="1"/>
  <c r="H10757" i="1"/>
  <c r="A10758" i="1"/>
  <c r="B10758" i="1"/>
  <c r="C10758" i="1"/>
  <c r="D10758" i="1"/>
  <c r="E10758" i="1"/>
  <c r="F10758" i="1"/>
  <c r="G10758" i="1"/>
  <c r="H10758" i="1"/>
  <c r="A10759" i="1"/>
  <c r="B10759" i="1"/>
  <c r="C10759" i="1"/>
  <c r="D10759" i="1"/>
  <c r="E10759" i="1"/>
  <c r="F10759" i="1"/>
  <c r="G10759" i="1"/>
  <c r="H10759" i="1"/>
  <c r="A10760" i="1"/>
  <c r="B10760" i="1"/>
  <c r="C10760" i="1"/>
  <c r="D10760" i="1"/>
  <c r="E10760" i="1"/>
  <c r="F10760" i="1"/>
  <c r="G10760" i="1"/>
  <c r="H10760" i="1"/>
  <c r="A10761" i="1"/>
  <c r="B10761" i="1"/>
  <c r="C10761" i="1"/>
  <c r="D10761" i="1"/>
  <c r="E10761" i="1"/>
  <c r="F10761" i="1"/>
  <c r="G10761" i="1"/>
  <c r="H10761" i="1"/>
  <c r="A10762" i="1"/>
  <c r="B10762" i="1"/>
  <c r="C10762" i="1"/>
  <c r="D10762" i="1"/>
  <c r="E10762" i="1"/>
  <c r="F10762" i="1"/>
  <c r="G10762" i="1"/>
  <c r="H10762" i="1"/>
  <c r="A10763" i="1"/>
  <c r="B10763" i="1"/>
  <c r="C10763" i="1"/>
  <c r="D10763" i="1"/>
  <c r="E10763" i="1"/>
  <c r="F10763" i="1"/>
  <c r="G10763" i="1"/>
  <c r="H10763" i="1"/>
  <c r="A10764" i="1"/>
  <c r="B10764" i="1"/>
  <c r="C10764" i="1"/>
  <c r="D10764" i="1"/>
  <c r="E10764" i="1"/>
  <c r="F10764" i="1"/>
  <c r="G10764" i="1"/>
  <c r="H10764" i="1"/>
  <c r="A10765" i="1"/>
  <c r="B10765" i="1"/>
  <c r="C10765" i="1"/>
  <c r="D10765" i="1"/>
  <c r="E10765" i="1"/>
  <c r="F10765" i="1"/>
  <c r="G10765" i="1"/>
  <c r="H10765" i="1"/>
  <c r="A10766" i="1"/>
  <c r="B10766" i="1"/>
  <c r="C10766" i="1"/>
  <c r="D10766" i="1"/>
  <c r="E10766" i="1"/>
  <c r="F10766" i="1"/>
  <c r="G10766" i="1"/>
  <c r="H10766" i="1"/>
  <c r="A10767" i="1"/>
  <c r="B10767" i="1"/>
  <c r="C10767" i="1"/>
  <c r="D10767" i="1"/>
  <c r="E10767" i="1"/>
  <c r="F10767" i="1"/>
  <c r="G10767" i="1"/>
  <c r="H10767" i="1"/>
  <c r="A10768" i="1"/>
  <c r="B10768" i="1"/>
  <c r="C10768" i="1"/>
  <c r="D10768" i="1"/>
  <c r="E10768" i="1"/>
  <c r="F10768" i="1"/>
  <c r="G10768" i="1"/>
  <c r="H10768" i="1"/>
  <c r="A10769" i="1"/>
  <c r="B10769" i="1"/>
  <c r="C10769" i="1"/>
  <c r="D10769" i="1"/>
  <c r="E10769" i="1"/>
  <c r="F10769" i="1"/>
  <c r="G10769" i="1"/>
  <c r="H10769" i="1"/>
  <c r="A10770" i="1"/>
  <c r="B10770" i="1"/>
  <c r="C10770" i="1"/>
  <c r="D10770" i="1"/>
  <c r="E10770" i="1"/>
  <c r="F10770" i="1"/>
  <c r="G10770" i="1"/>
  <c r="H10770" i="1"/>
  <c r="A10771" i="1"/>
  <c r="B10771" i="1"/>
  <c r="C10771" i="1"/>
  <c r="D10771" i="1"/>
  <c r="E10771" i="1"/>
  <c r="F10771" i="1"/>
  <c r="G10771" i="1"/>
  <c r="H10771" i="1"/>
  <c r="A10772" i="1"/>
  <c r="B10772" i="1"/>
  <c r="C10772" i="1"/>
  <c r="D10772" i="1"/>
  <c r="E10772" i="1"/>
  <c r="F10772" i="1"/>
  <c r="G10772" i="1"/>
  <c r="H10772" i="1"/>
  <c r="A10773" i="1"/>
  <c r="B10773" i="1"/>
  <c r="C10773" i="1"/>
  <c r="D10773" i="1"/>
  <c r="E10773" i="1"/>
  <c r="F10773" i="1"/>
  <c r="G10773" i="1"/>
  <c r="H10773" i="1"/>
  <c r="A10774" i="1"/>
  <c r="B10774" i="1"/>
  <c r="C10774" i="1"/>
  <c r="D10774" i="1"/>
  <c r="E10774" i="1"/>
  <c r="F10774" i="1"/>
  <c r="G10774" i="1"/>
  <c r="H10774" i="1"/>
  <c r="A10775" i="1"/>
  <c r="B10775" i="1"/>
  <c r="C10775" i="1"/>
  <c r="D10775" i="1"/>
  <c r="E10775" i="1"/>
  <c r="F10775" i="1"/>
  <c r="G10775" i="1"/>
  <c r="H10775" i="1"/>
  <c r="A10776" i="1"/>
  <c r="B10776" i="1"/>
  <c r="C10776" i="1"/>
  <c r="D10776" i="1"/>
  <c r="E10776" i="1"/>
  <c r="F10776" i="1"/>
  <c r="G10776" i="1"/>
  <c r="H10776" i="1"/>
  <c r="A10777" i="1"/>
  <c r="B10777" i="1"/>
  <c r="C10777" i="1"/>
  <c r="D10777" i="1"/>
  <c r="E10777" i="1"/>
  <c r="F10777" i="1"/>
  <c r="G10777" i="1"/>
  <c r="H10777" i="1"/>
  <c r="A10778" i="1"/>
  <c r="B10778" i="1"/>
  <c r="C10778" i="1"/>
  <c r="D10778" i="1"/>
  <c r="E10778" i="1"/>
  <c r="F10778" i="1"/>
  <c r="G10778" i="1"/>
  <c r="H10778" i="1"/>
  <c r="A10779" i="1"/>
  <c r="B10779" i="1"/>
  <c r="C10779" i="1"/>
  <c r="D10779" i="1"/>
  <c r="E10779" i="1"/>
  <c r="F10779" i="1"/>
  <c r="G10779" i="1"/>
  <c r="H10779" i="1"/>
  <c r="A10780" i="1"/>
  <c r="B10780" i="1"/>
  <c r="C10780" i="1"/>
  <c r="D10780" i="1"/>
  <c r="E10780" i="1"/>
  <c r="F10780" i="1"/>
  <c r="G10780" i="1"/>
  <c r="H10780" i="1"/>
  <c r="A10781" i="1"/>
  <c r="B10781" i="1"/>
  <c r="C10781" i="1"/>
  <c r="D10781" i="1"/>
  <c r="E10781" i="1"/>
  <c r="F10781" i="1"/>
  <c r="G10781" i="1"/>
  <c r="H10781" i="1"/>
  <c r="A10782" i="1"/>
  <c r="B10782" i="1"/>
  <c r="C10782" i="1"/>
  <c r="D10782" i="1"/>
  <c r="E10782" i="1"/>
  <c r="F10782" i="1"/>
  <c r="G10782" i="1"/>
  <c r="H10782" i="1"/>
  <c r="A10783" i="1"/>
  <c r="B10783" i="1"/>
  <c r="C10783" i="1"/>
  <c r="D10783" i="1"/>
  <c r="E10783" i="1"/>
  <c r="F10783" i="1"/>
  <c r="G10783" i="1"/>
  <c r="H10783" i="1"/>
  <c r="A10784" i="1"/>
  <c r="B10784" i="1"/>
  <c r="C10784" i="1"/>
  <c r="D10784" i="1"/>
  <c r="E10784" i="1"/>
  <c r="F10784" i="1"/>
  <c r="G10784" i="1"/>
  <c r="H10784" i="1"/>
  <c r="A10785" i="1"/>
  <c r="B10785" i="1"/>
  <c r="C10785" i="1"/>
  <c r="D10785" i="1"/>
  <c r="E10785" i="1"/>
  <c r="F10785" i="1"/>
  <c r="G10785" i="1"/>
  <c r="H10785" i="1"/>
  <c r="A10786" i="1"/>
  <c r="B10786" i="1"/>
  <c r="C10786" i="1"/>
  <c r="D10786" i="1"/>
  <c r="E10786" i="1"/>
  <c r="F10786" i="1"/>
  <c r="G10786" i="1"/>
  <c r="H10786" i="1"/>
  <c r="A10787" i="1"/>
  <c r="B10787" i="1"/>
  <c r="C10787" i="1"/>
  <c r="D10787" i="1"/>
  <c r="E10787" i="1"/>
  <c r="F10787" i="1"/>
  <c r="G10787" i="1"/>
  <c r="H10787" i="1"/>
  <c r="A10788" i="1"/>
  <c r="B10788" i="1"/>
  <c r="C10788" i="1"/>
  <c r="D10788" i="1"/>
  <c r="E10788" i="1"/>
  <c r="F10788" i="1"/>
  <c r="G10788" i="1"/>
  <c r="H10788" i="1"/>
  <c r="A10789" i="1"/>
  <c r="B10789" i="1"/>
  <c r="C10789" i="1"/>
  <c r="D10789" i="1"/>
  <c r="E10789" i="1"/>
  <c r="F10789" i="1"/>
  <c r="G10789" i="1"/>
  <c r="H10789" i="1"/>
  <c r="A10790" i="1"/>
  <c r="B10790" i="1"/>
  <c r="C10790" i="1"/>
  <c r="D10790" i="1"/>
  <c r="E10790" i="1"/>
  <c r="F10790" i="1"/>
  <c r="G10790" i="1"/>
  <c r="H10790" i="1"/>
  <c r="A10791" i="1"/>
  <c r="B10791" i="1"/>
  <c r="C10791" i="1"/>
  <c r="D10791" i="1"/>
  <c r="E10791" i="1"/>
  <c r="F10791" i="1"/>
  <c r="G10791" i="1"/>
  <c r="H10791" i="1"/>
  <c r="A10792" i="1"/>
  <c r="B10792" i="1"/>
  <c r="C10792" i="1"/>
  <c r="D10792" i="1"/>
  <c r="E10792" i="1"/>
  <c r="F10792" i="1"/>
  <c r="G10792" i="1"/>
  <c r="H10792" i="1"/>
  <c r="A10793" i="1"/>
  <c r="B10793" i="1"/>
  <c r="C10793" i="1"/>
  <c r="D10793" i="1"/>
  <c r="E10793" i="1"/>
  <c r="F10793" i="1"/>
  <c r="G10793" i="1"/>
  <c r="H10793" i="1"/>
  <c r="A10794" i="1"/>
  <c r="B10794" i="1"/>
  <c r="C10794" i="1"/>
  <c r="D10794" i="1"/>
  <c r="E10794" i="1"/>
  <c r="F10794" i="1"/>
  <c r="G10794" i="1"/>
  <c r="H10794" i="1"/>
  <c r="A10795" i="1"/>
  <c r="B10795" i="1"/>
  <c r="C10795" i="1"/>
  <c r="D10795" i="1"/>
  <c r="E10795" i="1"/>
  <c r="F10795" i="1"/>
  <c r="G10795" i="1"/>
  <c r="H10795" i="1"/>
  <c r="A10796" i="1"/>
  <c r="B10796" i="1"/>
  <c r="C10796" i="1"/>
  <c r="D10796" i="1"/>
  <c r="E10796" i="1"/>
  <c r="F10796" i="1"/>
  <c r="G10796" i="1"/>
  <c r="H10796" i="1"/>
  <c r="A10797" i="1"/>
  <c r="B10797" i="1"/>
  <c r="C10797" i="1"/>
  <c r="D10797" i="1"/>
  <c r="E10797" i="1"/>
  <c r="F10797" i="1"/>
  <c r="G10797" i="1"/>
  <c r="H10797" i="1"/>
  <c r="A10798" i="1"/>
  <c r="B10798" i="1"/>
  <c r="C10798" i="1"/>
  <c r="D10798" i="1"/>
  <c r="E10798" i="1"/>
  <c r="F10798" i="1"/>
  <c r="G10798" i="1"/>
  <c r="H10798" i="1"/>
  <c r="A10799" i="1"/>
  <c r="B10799" i="1"/>
  <c r="C10799" i="1"/>
  <c r="D10799" i="1"/>
  <c r="E10799" i="1"/>
  <c r="F10799" i="1"/>
  <c r="G10799" i="1"/>
  <c r="H10799" i="1"/>
  <c r="A10800" i="1"/>
  <c r="B10800" i="1"/>
  <c r="C10800" i="1"/>
  <c r="D10800" i="1"/>
  <c r="E10800" i="1"/>
  <c r="F10800" i="1"/>
  <c r="G10800" i="1"/>
  <c r="H10800" i="1"/>
  <c r="A10801" i="1"/>
  <c r="B10801" i="1"/>
  <c r="C10801" i="1"/>
  <c r="D10801" i="1"/>
  <c r="E10801" i="1"/>
  <c r="F10801" i="1"/>
  <c r="G10801" i="1"/>
  <c r="H10801" i="1"/>
  <c r="A10802" i="1"/>
  <c r="B10802" i="1"/>
  <c r="C10802" i="1"/>
  <c r="D10802" i="1"/>
  <c r="E10802" i="1"/>
  <c r="F10802" i="1"/>
  <c r="G10802" i="1"/>
  <c r="H10802" i="1"/>
  <c r="A10803" i="1"/>
  <c r="B10803" i="1"/>
  <c r="C10803" i="1"/>
  <c r="D10803" i="1"/>
  <c r="E10803" i="1"/>
  <c r="F10803" i="1"/>
  <c r="G10803" i="1"/>
  <c r="H10803" i="1"/>
  <c r="A10804" i="1"/>
  <c r="B10804" i="1"/>
  <c r="C10804" i="1"/>
  <c r="D10804" i="1"/>
  <c r="E10804" i="1"/>
  <c r="F10804" i="1"/>
  <c r="G10804" i="1"/>
  <c r="H10804" i="1"/>
  <c r="A10805" i="1"/>
  <c r="B10805" i="1"/>
  <c r="C10805" i="1"/>
  <c r="D10805" i="1"/>
  <c r="E10805" i="1"/>
  <c r="F10805" i="1"/>
  <c r="G10805" i="1"/>
  <c r="H10805" i="1"/>
  <c r="A10806" i="1"/>
  <c r="B10806" i="1"/>
  <c r="C10806" i="1"/>
  <c r="D10806" i="1"/>
  <c r="E10806" i="1"/>
  <c r="F10806" i="1"/>
  <c r="G10806" i="1"/>
  <c r="H10806" i="1"/>
  <c r="A10807" i="1"/>
  <c r="B10807" i="1"/>
  <c r="C10807" i="1"/>
  <c r="D10807" i="1"/>
  <c r="E10807" i="1"/>
  <c r="F10807" i="1"/>
  <c r="G10807" i="1"/>
  <c r="H10807" i="1"/>
  <c r="A10808" i="1"/>
  <c r="B10808" i="1"/>
  <c r="C10808" i="1"/>
  <c r="D10808" i="1"/>
  <c r="E10808" i="1"/>
  <c r="F10808" i="1"/>
  <c r="G10808" i="1"/>
  <c r="H10808" i="1"/>
  <c r="A10809" i="1"/>
  <c r="B10809" i="1"/>
  <c r="C10809" i="1"/>
  <c r="D10809" i="1"/>
  <c r="E10809" i="1"/>
  <c r="F10809" i="1"/>
  <c r="G10809" i="1"/>
  <c r="H10809" i="1"/>
  <c r="A10810" i="1"/>
  <c r="B10810" i="1"/>
  <c r="C10810" i="1"/>
  <c r="D10810" i="1"/>
  <c r="E10810" i="1"/>
  <c r="F10810" i="1"/>
  <c r="G10810" i="1"/>
  <c r="H10810" i="1"/>
  <c r="A10811" i="1"/>
  <c r="B10811" i="1"/>
  <c r="C10811" i="1"/>
  <c r="D10811" i="1"/>
  <c r="E10811" i="1"/>
  <c r="F10811" i="1"/>
  <c r="G10811" i="1"/>
  <c r="H10811" i="1"/>
  <c r="A10812" i="1"/>
  <c r="B10812" i="1"/>
  <c r="C10812" i="1"/>
  <c r="D10812" i="1"/>
  <c r="E10812" i="1"/>
  <c r="F10812" i="1"/>
  <c r="G10812" i="1"/>
  <c r="H10812" i="1"/>
  <c r="A10813" i="1"/>
  <c r="B10813" i="1"/>
  <c r="C10813" i="1"/>
  <c r="D10813" i="1"/>
  <c r="E10813" i="1"/>
  <c r="F10813" i="1"/>
  <c r="G10813" i="1"/>
  <c r="H10813" i="1"/>
  <c r="A10814" i="1"/>
  <c r="B10814" i="1"/>
  <c r="C10814" i="1"/>
  <c r="D10814" i="1"/>
  <c r="E10814" i="1"/>
  <c r="F10814" i="1"/>
  <c r="G10814" i="1"/>
  <c r="H10814" i="1"/>
  <c r="A10815" i="1"/>
  <c r="B10815" i="1"/>
  <c r="C10815" i="1"/>
  <c r="D10815" i="1"/>
  <c r="E10815" i="1"/>
  <c r="F10815" i="1"/>
  <c r="G10815" i="1"/>
  <c r="H10815" i="1"/>
  <c r="A10816" i="1"/>
  <c r="B10816" i="1"/>
  <c r="C10816" i="1"/>
  <c r="D10816" i="1"/>
  <c r="E10816" i="1"/>
  <c r="F10816" i="1"/>
  <c r="G10816" i="1"/>
  <c r="H10816" i="1"/>
  <c r="A10817" i="1"/>
  <c r="B10817" i="1"/>
  <c r="C10817" i="1"/>
  <c r="D10817" i="1"/>
  <c r="E10817" i="1"/>
  <c r="F10817" i="1"/>
  <c r="G10817" i="1"/>
  <c r="H10817" i="1"/>
  <c r="A10818" i="1"/>
  <c r="B10818" i="1"/>
  <c r="C10818" i="1"/>
  <c r="D10818" i="1"/>
  <c r="E10818" i="1"/>
  <c r="F10818" i="1"/>
  <c r="G10818" i="1"/>
  <c r="H10818" i="1"/>
  <c r="A10819" i="1"/>
  <c r="B10819" i="1"/>
  <c r="C10819" i="1"/>
  <c r="D10819" i="1"/>
  <c r="E10819" i="1"/>
  <c r="F10819" i="1"/>
  <c r="G10819" i="1"/>
  <c r="H10819" i="1"/>
  <c r="A10820" i="1"/>
  <c r="B10820" i="1"/>
  <c r="C10820" i="1"/>
  <c r="D10820" i="1"/>
  <c r="E10820" i="1"/>
  <c r="F10820" i="1"/>
  <c r="G10820" i="1"/>
  <c r="H10820" i="1"/>
  <c r="A10821" i="1"/>
  <c r="B10821" i="1"/>
  <c r="C10821" i="1"/>
  <c r="D10821" i="1"/>
  <c r="E10821" i="1"/>
  <c r="F10821" i="1"/>
  <c r="G10821" i="1"/>
  <c r="H10821" i="1"/>
  <c r="A10822" i="1"/>
  <c r="B10822" i="1"/>
  <c r="C10822" i="1"/>
  <c r="D10822" i="1"/>
  <c r="E10822" i="1"/>
  <c r="F10822" i="1"/>
  <c r="G10822" i="1"/>
  <c r="H10822" i="1"/>
  <c r="A10823" i="1"/>
  <c r="B10823" i="1"/>
  <c r="C10823" i="1"/>
  <c r="D10823" i="1"/>
  <c r="E10823" i="1"/>
  <c r="F10823" i="1"/>
  <c r="G10823" i="1"/>
  <c r="H10823" i="1"/>
  <c r="A10824" i="1"/>
  <c r="B10824" i="1"/>
  <c r="C10824" i="1"/>
  <c r="D10824" i="1"/>
  <c r="E10824" i="1"/>
  <c r="F10824" i="1"/>
  <c r="G10824" i="1"/>
  <c r="H10824" i="1"/>
  <c r="A10825" i="1"/>
  <c r="B10825" i="1"/>
  <c r="C10825" i="1"/>
  <c r="D10825" i="1"/>
  <c r="E10825" i="1"/>
  <c r="F10825" i="1"/>
  <c r="G10825" i="1"/>
  <c r="H10825" i="1"/>
  <c r="A10826" i="1"/>
  <c r="B10826" i="1"/>
  <c r="C10826" i="1"/>
  <c r="D10826" i="1"/>
  <c r="E10826" i="1"/>
  <c r="F10826" i="1"/>
  <c r="G10826" i="1"/>
  <c r="H10826" i="1"/>
  <c r="A10827" i="1"/>
  <c r="B10827" i="1"/>
  <c r="C10827" i="1"/>
  <c r="D10827" i="1"/>
  <c r="E10827" i="1"/>
  <c r="F10827" i="1"/>
  <c r="G10827" i="1"/>
  <c r="H10827" i="1"/>
  <c r="A10828" i="1"/>
  <c r="B10828" i="1"/>
  <c r="C10828" i="1"/>
  <c r="D10828" i="1"/>
  <c r="E10828" i="1"/>
  <c r="F10828" i="1"/>
  <c r="G10828" i="1"/>
  <c r="H10828" i="1"/>
  <c r="A10829" i="1"/>
  <c r="B10829" i="1"/>
  <c r="C10829" i="1"/>
  <c r="D10829" i="1"/>
  <c r="E10829" i="1"/>
  <c r="F10829" i="1"/>
  <c r="G10829" i="1"/>
  <c r="H10829" i="1"/>
  <c r="A10830" i="1"/>
  <c r="B10830" i="1"/>
  <c r="C10830" i="1"/>
  <c r="D10830" i="1"/>
  <c r="E10830" i="1"/>
  <c r="F10830" i="1"/>
  <c r="G10830" i="1"/>
  <c r="H10830" i="1"/>
  <c r="A10831" i="1"/>
  <c r="B10831" i="1"/>
  <c r="C10831" i="1"/>
  <c r="D10831" i="1"/>
  <c r="E10831" i="1"/>
  <c r="F10831" i="1"/>
  <c r="G10831" i="1"/>
  <c r="H10831" i="1"/>
  <c r="A10832" i="1"/>
  <c r="B10832" i="1"/>
  <c r="C10832" i="1"/>
  <c r="D10832" i="1"/>
  <c r="E10832" i="1"/>
  <c r="F10832" i="1"/>
  <c r="G10832" i="1"/>
  <c r="H10832" i="1"/>
  <c r="A10833" i="1"/>
  <c r="B10833" i="1"/>
  <c r="C10833" i="1"/>
  <c r="D10833" i="1"/>
  <c r="E10833" i="1"/>
  <c r="F10833" i="1"/>
  <c r="G10833" i="1"/>
  <c r="H10833" i="1"/>
  <c r="A10834" i="1"/>
  <c r="B10834" i="1"/>
  <c r="C10834" i="1"/>
  <c r="D10834" i="1"/>
  <c r="E10834" i="1"/>
  <c r="F10834" i="1"/>
  <c r="G10834" i="1"/>
  <c r="H10834" i="1"/>
  <c r="A10835" i="1"/>
  <c r="B10835" i="1"/>
  <c r="C10835" i="1"/>
  <c r="D10835" i="1"/>
  <c r="E10835" i="1"/>
  <c r="F10835" i="1"/>
  <c r="G10835" i="1"/>
  <c r="H10835" i="1"/>
  <c r="A10836" i="1"/>
  <c r="B10836" i="1"/>
  <c r="C10836" i="1"/>
  <c r="D10836" i="1"/>
  <c r="E10836" i="1"/>
  <c r="F10836" i="1"/>
  <c r="G10836" i="1"/>
  <c r="H10836" i="1"/>
  <c r="A10837" i="1"/>
  <c r="B10837" i="1"/>
  <c r="C10837" i="1"/>
  <c r="D10837" i="1"/>
  <c r="E10837" i="1"/>
  <c r="F10837" i="1"/>
  <c r="G10837" i="1"/>
  <c r="H10837" i="1"/>
  <c r="A10838" i="1"/>
  <c r="B10838" i="1"/>
  <c r="C10838" i="1"/>
  <c r="D10838" i="1"/>
  <c r="E10838" i="1"/>
  <c r="F10838" i="1"/>
  <c r="G10838" i="1"/>
  <c r="H10838" i="1"/>
  <c r="A10839" i="1"/>
  <c r="B10839" i="1"/>
  <c r="C10839" i="1"/>
  <c r="D10839" i="1"/>
  <c r="E10839" i="1"/>
  <c r="F10839" i="1"/>
  <c r="G10839" i="1"/>
  <c r="H10839" i="1"/>
  <c r="A10840" i="1"/>
  <c r="B10840" i="1"/>
  <c r="C10840" i="1"/>
  <c r="D10840" i="1"/>
  <c r="E10840" i="1"/>
  <c r="F10840" i="1"/>
  <c r="G10840" i="1"/>
  <c r="H10840" i="1"/>
  <c r="A10841" i="1"/>
  <c r="B10841" i="1"/>
  <c r="C10841" i="1"/>
  <c r="D10841" i="1"/>
  <c r="E10841" i="1"/>
  <c r="F10841" i="1"/>
  <c r="G10841" i="1"/>
  <c r="H10841" i="1"/>
  <c r="A10842" i="1"/>
  <c r="B10842" i="1"/>
  <c r="C10842" i="1"/>
  <c r="D10842" i="1"/>
  <c r="E10842" i="1"/>
  <c r="F10842" i="1"/>
  <c r="G10842" i="1"/>
  <c r="H10842" i="1"/>
  <c r="A10843" i="1"/>
  <c r="B10843" i="1"/>
  <c r="C10843" i="1"/>
  <c r="D10843" i="1"/>
  <c r="E10843" i="1"/>
  <c r="F10843" i="1"/>
  <c r="G10843" i="1"/>
  <c r="H10843" i="1"/>
  <c r="A10844" i="1"/>
  <c r="B10844" i="1"/>
  <c r="C10844" i="1"/>
  <c r="D10844" i="1"/>
  <c r="E10844" i="1"/>
  <c r="F10844" i="1"/>
  <c r="G10844" i="1"/>
  <c r="H10844" i="1"/>
  <c r="A10845" i="1"/>
  <c r="B10845" i="1"/>
  <c r="C10845" i="1"/>
  <c r="D10845" i="1"/>
  <c r="E10845" i="1"/>
  <c r="F10845" i="1"/>
  <c r="G10845" i="1"/>
  <c r="H10845" i="1"/>
  <c r="A10846" i="1"/>
  <c r="B10846" i="1"/>
  <c r="C10846" i="1"/>
  <c r="D10846" i="1"/>
  <c r="E10846" i="1"/>
  <c r="F10846" i="1"/>
  <c r="G10846" i="1"/>
  <c r="H10846" i="1"/>
  <c r="A10847" i="1"/>
  <c r="B10847" i="1"/>
  <c r="C10847" i="1"/>
  <c r="D10847" i="1"/>
  <c r="E10847" i="1"/>
  <c r="F10847" i="1"/>
  <c r="G10847" i="1"/>
  <c r="H10847" i="1"/>
  <c r="A10848" i="1"/>
  <c r="B10848" i="1"/>
  <c r="C10848" i="1"/>
  <c r="D10848" i="1"/>
  <c r="E10848" i="1"/>
  <c r="F10848" i="1"/>
  <c r="G10848" i="1"/>
  <c r="H10848" i="1"/>
  <c r="A10849" i="1"/>
  <c r="B10849" i="1"/>
  <c r="C10849" i="1"/>
  <c r="D10849" i="1"/>
  <c r="E10849" i="1"/>
  <c r="F10849" i="1"/>
  <c r="G10849" i="1"/>
  <c r="H10849" i="1"/>
  <c r="A10850" i="1"/>
  <c r="B10850" i="1"/>
  <c r="C10850" i="1"/>
  <c r="D10850" i="1"/>
  <c r="E10850" i="1"/>
  <c r="F10850" i="1"/>
  <c r="G10850" i="1"/>
  <c r="H10850" i="1"/>
  <c r="A10851" i="1"/>
  <c r="B10851" i="1"/>
  <c r="C10851" i="1"/>
  <c r="D10851" i="1"/>
  <c r="E10851" i="1"/>
  <c r="F10851" i="1"/>
  <c r="G10851" i="1"/>
  <c r="H10851" i="1"/>
  <c r="A10852" i="1"/>
  <c r="B10852" i="1"/>
  <c r="C10852" i="1"/>
  <c r="D10852" i="1"/>
  <c r="E10852" i="1"/>
  <c r="F10852" i="1"/>
  <c r="G10852" i="1"/>
  <c r="H10852" i="1"/>
  <c r="A10853" i="1"/>
  <c r="B10853" i="1"/>
  <c r="C10853" i="1"/>
  <c r="D10853" i="1"/>
  <c r="E10853" i="1"/>
  <c r="F10853" i="1"/>
  <c r="G10853" i="1"/>
  <c r="H10853" i="1"/>
  <c r="A10854" i="1"/>
  <c r="B10854" i="1"/>
  <c r="C10854" i="1"/>
  <c r="D10854" i="1"/>
  <c r="E10854" i="1"/>
  <c r="F10854" i="1"/>
  <c r="G10854" i="1"/>
  <c r="H10854" i="1"/>
  <c r="A10855" i="1"/>
  <c r="B10855" i="1"/>
  <c r="C10855" i="1"/>
  <c r="D10855" i="1"/>
  <c r="E10855" i="1"/>
  <c r="F10855" i="1"/>
  <c r="G10855" i="1"/>
  <c r="H10855" i="1"/>
  <c r="A10856" i="1"/>
  <c r="B10856" i="1"/>
  <c r="C10856" i="1"/>
  <c r="D10856" i="1"/>
  <c r="E10856" i="1"/>
  <c r="F10856" i="1"/>
  <c r="G10856" i="1"/>
  <c r="H10856" i="1"/>
  <c r="A10857" i="1"/>
  <c r="B10857" i="1"/>
  <c r="C10857" i="1"/>
  <c r="D10857" i="1"/>
  <c r="E10857" i="1"/>
  <c r="F10857" i="1"/>
  <c r="G10857" i="1"/>
  <c r="H10857" i="1"/>
  <c r="A10858" i="1"/>
  <c r="B10858" i="1"/>
  <c r="C10858" i="1"/>
  <c r="D10858" i="1"/>
  <c r="E10858" i="1"/>
  <c r="F10858" i="1"/>
  <c r="G10858" i="1"/>
  <c r="H10858" i="1"/>
  <c r="A10859" i="1"/>
  <c r="B10859" i="1"/>
  <c r="C10859" i="1"/>
  <c r="D10859" i="1"/>
  <c r="E10859" i="1"/>
  <c r="F10859" i="1"/>
  <c r="G10859" i="1"/>
  <c r="H10859" i="1"/>
  <c r="A10860" i="1"/>
  <c r="B10860" i="1"/>
  <c r="C10860" i="1"/>
  <c r="D10860" i="1"/>
  <c r="E10860" i="1"/>
  <c r="F10860" i="1"/>
  <c r="G10860" i="1"/>
  <c r="H10860" i="1"/>
  <c r="A10861" i="1"/>
  <c r="B10861" i="1"/>
  <c r="C10861" i="1"/>
  <c r="D10861" i="1"/>
  <c r="E10861" i="1"/>
  <c r="F10861" i="1"/>
  <c r="G10861" i="1"/>
  <c r="H10861" i="1"/>
  <c r="A10862" i="1"/>
  <c r="B10862" i="1"/>
  <c r="C10862" i="1"/>
  <c r="D10862" i="1"/>
  <c r="E10862" i="1"/>
  <c r="F10862" i="1"/>
  <c r="G10862" i="1"/>
  <c r="H10862" i="1"/>
  <c r="A10863" i="1"/>
  <c r="B10863" i="1"/>
  <c r="C10863" i="1"/>
  <c r="D10863" i="1"/>
  <c r="E10863" i="1"/>
  <c r="F10863" i="1"/>
  <c r="G10863" i="1"/>
  <c r="H10863" i="1"/>
  <c r="A10864" i="1"/>
  <c r="B10864" i="1"/>
  <c r="C10864" i="1"/>
  <c r="D10864" i="1"/>
  <c r="E10864" i="1"/>
  <c r="F10864" i="1"/>
  <c r="G10864" i="1"/>
  <c r="H10864" i="1"/>
  <c r="A10865" i="1"/>
  <c r="B10865" i="1"/>
  <c r="C10865" i="1"/>
  <c r="D10865" i="1"/>
  <c r="E10865" i="1"/>
  <c r="F10865" i="1"/>
  <c r="G10865" i="1"/>
  <c r="H10865" i="1"/>
  <c r="A10866" i="1"/>
  <c r="B10866" i="1"/>
  <c r="C10866" i="1"/>
  <c r="D10866" i="1"/>
  <c r="E10866" i="1"/>
  <c r="F10866" i="1"/>
  <c r="G10866" i="1"/>
  <c r="H10866" i="1"/>
  <c r="A10867" i="1"/>
  <c r="B10867" i="1"/>
  <c r="C10867" i="1"/>
  <c r="D10867" i="1"/>
  <c r="E10867" i="1"/>
  <c r="F10867" i="1"/>
  <c r="G10867" i="1"/>
  <c r="H10867" i="1"/>
  <c r="A10868" i="1"/>
  <c r="B10868" i="1"/>
  <c r="C10868" i="1"/>
  <c r="D10868" i="1"/>
  <c r="E10868" i="1"/>
  <c r="F10868" i="1"/>
  <c r="G10868" i="1"/>
  <c r="H10868" i="1"/>
  <c r="A10869" i="1"/>
  <c r="B10869" i="1"/>
  <c r="C10869" i="1"/>
  <c r="D10869" i="1"/>
  <c r="E10869" i="1"/>
  <c r="F10869" i="1"/>
  <c r="G10869" i="1"/>
  <c r="H10869" i="1"/>
  <c r="A10870" i="1"/>
  <c r="B10870" i="1"/>
  <c r="C10870" i="1"/>
  <c r="D10870" i="1"/>
  <c r="E10870" i="1"/>
  <c r="F10870" i="1"/>
  <c r="G10870" i="1"/>
  <c r="H10870" i="1"/>
  <c r="A10871" i="1"/>
  <c r="B10871" i="1"/>
  <c r="C10871" i="1"/>
  <c r="D10871" i="1"/>
  <c r="E10871" i="1"/>
  <c r="F10871" i="1"/>
  <c r="G10871" i="1"/>
  <c r="H10871" i="1"/>
  <c r="A10872" i="1"/>
  <c r="B10872" i="1"/>
  <c r="C10872" i="1"/>
  <c r="D10872" i="1"/>
  <c r="E10872" i="1"/>
  <c r="F10872" i="1"/>
  <c r="G10872" i="1"/>
  <c r="H10872" i="1"/>
  <c r="A10873" i="1"/>
  <c r="B10873" i="1"/>
  <c r="C10873" i="1"/>
  <c r="D10873" i="1"/>
  <c r="E10873" i="1"/>
  <c r="F10873" i="1"/>
  <c r="G10873" i="1"/>
  <c r="H10873" i="1"/>
  <c r="A10874" i="1"/>
  <c r="B10874" i="1"/>
  <c r="C10874" i="1"/>
  <c r="D10874" i="1"/>
  <c r="E10874" i="1"/>
  <c r="F10874" i="1"/>
  <c r="G10874" i="1"/>
  <c r="H10874" i="1"/>
  <c r="A10875" i="1"/>
  <c r="B10875" i="1"/>
  <c r="C10875" i="1"/>
  <c r="D10875" i="1"/>
  <c r="E10875" i="1"/>
  <c r="F10875" i="1"/>
  <c r="G10875" i="1"/>
  <c r="H10875" i="1"/>
  <c r="A10876" i="1"/>
  <c r="B10876" i="1"/>
  <c r="C10876" i="1"/>
  <c r="D10876" i="1"/>
  <c r="E10876" i="1"/>
  <c r="F10876" i="1"/>
  <c r="G10876" i="1"/>
  <c r="H10876" i="1"/>
  <c r="A10877" i="1"/>
  <c r="B10877" i="1"/>
  <c r="C10877" i="1"/>
  <c r="D10877" i="1"/>
  <c r="E10877" i="1"/>
  <c r="F10877" i="1"/>
  <c r="G10877" i="1"/>
  <c r="H10877" i="1"/>
  <c r="A10878" i="1"/>
  <c r="B10878" i="1"/>
  <c r="C10878" i="1"/>
  <c r="D10878" i="1"/>
  <c r="E10878" i="1"/>
  <c r="F10878" i="1"/>
  <c r="G10878" i="1"/>
  <c r="H10878" i="1"/>
  <c r="A10879" i="1"/>
  <c r="B10879" i="1"/>
  <c r="C10879" i="1"/>
  <c r="D10879" i="1"/>
  <c r="E10879" i="1"/>
  <c r="F10879" i="1"/>
  <c r="G10879" i="1"/>
  <c r="H10879" i="1"/>
  <c r="A10880" i="1"/>
  <c r="B10880" i="1"/>
  <c r="C10880" i="1"/>
  <c r="D10880" i="1"/>
  <c r="E10880" i="1"/>
  <c r="F10880" i="1"/>
  <c r="G10880" i="1"/>
  <c r="H10880" i="1"/>
  <c r="A10881" i="1"/>
  <c r="B10881" i="1"/>
  <c r="C10881" i="1"/>
  <c r="D10881" i="1"/>
  <c r="E10881" i="1"/>
  <c r="F10881" i="1"/>
  <c r="G10881" i="1"/>
  <c r="H10881" i="1"/>
  <c r="A10882" i="1"/>
  <c r="B10882" i="1"/>
  <c r="C10882" i="1"/>
  <c r="D10882" i="1"/>
  <c r="E10882" i="1"/>
  <c r="F10882" i="1"/>
  <c r="G10882" i="1"/>
  <c r="H10882" i="1"/>
  <c r="A10883" i="1"/>
  <c r="B10883" i="1"/>
  <c r="C10883" i="1"/>
  <c r="D10883" i="1"/>
  <c r="E10883" i="1"/>
  <c r="F10883" i="1"/>
  <c r="G10883" i="1"/>
  <c r="H10883" i="1"/>
  <c r="A10884" i="1"/>
  <c r="B10884" i="1"/>
  <c r="C10884" i="1"/>
  <c r="D10884" i="1"/>
  <c r="E10884" i="1"/>
  <c r="F10884" i="1"/>
  <c r="G10884" i="1"/>
  <c r="H10884" i="1"/>
  <c r="A10885" i="1"/>
  <c r="B10885" i="1"/>
  <c r="C10885" i="1"/>
  <c r="D10885" i="1"/>
  <c r="E10885" i="1"/>
  <c r="F10885" i="1"/>
  <c r="G10885" i="1"/>
  <c r="H10885" i="1"/>
  <c r="A10886" i="1"/>
  <c r="B10886" i="1"/>
  <c r="C10886" i="1"/>
  <c r="D10886" i="1"/>
  <c r="E10886" i="1"/>
  <c r="F10886" i="1"/>
  <c r="G10886" i="1"/>
  <c r="H10886" i="1"/>
  <c r="A10887" i="1"/>
  <c r="B10887" i="1"/>
  <c r="C10887" i="1"/>
  <c r="D10887" i="1"/>
  <c r="E10887" i="1"/>
  <c r="F10887" i="1"/>
  <c r="G10887" i="1"/>
  <c r="H10887" i="1"/>
  <c r="A10888" i="1"/>
  <c r="B10888" i="1"/>
  <c r="C10888" i="1"/>
  <c r="D10888" i="1"/>
  <c r="E10888" i="1"/>
  <c r="F10888" i="1"/>
  <c r="G10888" i="1"/>
  <c r="H10888" i="1"/>
  <c r="A10889" i="1"/>
  <c r="B10889" i="1"/>
  <c r="C10889" i="1"/>
  <c r="D10889" i="1"/>
  <c r="E10889" i="1"/>
  <c r="F10889" i="1"/>
  <c r="G10889" i="1"/>
  <c r="H10889" i="1"/>
  <c r="A10890" i="1"/>
  <c r="B10890" i="1"/>
  <c r="C10890" i="1"/>
  <c r="D10890" i="1"/>
  <c r="E10890" i="1"/>
  <c r="F10890" i="1"/>
  <c r="G10890" i="1"/>
  <c r="H10890" i="1"/>
  <c r="A10891" i="1"/>
  <c r="B10891" i="1"/>
  <c r="C10891" i="1"/>
  <c r="D10891" i="1"/>
  <c r="E10891" i="1"/>
  <c r="F10891" i="1"/>
  <c r="G10891" i="1"/>
  <c r="H10891" i="1"/>
  <c r="A10892" i="1"/>
  <c r="B10892" i="1"/>
  <c r="C10892" i="1"/>
  <c r="D10892" i="1"/>
  <c r="E10892" i="1"/>
  <c r="F10892" i="1"/>
  <c r="G10892" i="1"/>
  <c r="H10892" i="1"/>
  <c r="A10893" i="1"/>
  <c r="B10893" i="1"/>
  <c r="C10893" i="1"/>
  <c r="D10893" i="1"/>
  <c r="E10893" i="1"/>
  <c r="F10893" i="1"/>
  <c r="G10893" i="1"/>
  <c r="H10893" i="1"/>
  <c r="A10894" i="1"/>
  <c r="B10894" i="1"/>
  <c r="C10894" i="1"/>
  <c r="D10894" i="1"/>
  <c r="E10894" i="1"/>
  <c r="F10894" i="1"/>
  <c r="G10894" i="1"/>
  <c r="H10894" i="1"/>
  <c r="A10895" i="1"/>
  <c r="B10895" i="1"/>
  <c r="C10895" i="1"/>
  <c r="D10895" i="1"/>
  <c r="E10895" i="1"/>
  <c r="F10895" i="1"/>
  <c r="G10895" i="1"/>
  <c r="H10895" i="1"/>
  <c r="A10896" i="1"/>
  <c r="B10896" i="1"/>
  <c r="C10896" i="1"/>
  <c r="D10896" i="1"/>
  <c r="E10896" i="1"/>
  <c r="F10896" i="1"/>
  <c r="G10896" i="1"/>
  <c r="H10896" i="1"/>
  <c r="A10897" i="1"/>
  <c r="B10897" i="1"/>
  <c r="C10897" i="1"/>
  <c r="D10897" i="1"/>
  <c r="E10897" i="1"/>
  <c r="F10897" i="1"/>
  <c r="G10897" i="1"/>
  <c r="H10897" i="1"/>
  <c r="A10898" i="1"/>
  <c r="B10898" i="1"/>
  <c r="C10898" i="1"/>
  <c r="D10898" i="1"/>
  <c r="E10898" i="1"/>
  <c r="F10898" i="1"/>
  <c r="G10898" i="1"/>
  <c r="H10898" i="1"/>
  <c r="A10899" i="1"/>
  <c r="B10899" i="1"/>
  <c r="C10899" i="1"/>
  <c r="D10899" i="1"/>
  <c r="E10899" i="1"/>
  <c r="F10899" i="1"/>
  <c r="G10899" i="1"/>
  <c r="H10899" i="1"/>
  <c r="A10900" i="1"/>
  <c r="B10900" i="1"/>
  <c r="C10900" i="1"/>
  <c r="D10900" i="1"/>
  <c r="E10900" i="1"/>
  <c r="F10900" i="1"/>
  <c r="G10900" i="1"/>
  <c r="H10900" i="1"/>
  <c r="A10901" i="1"/>
  <c r="B10901" i="1"/>
  <c r="C10901" i="1"/>
  <c r="D10901" i="1"/>
  <c r="E10901" i="1"/>
  <c r="F10901" i="1"/>
  <c r="G10901" i="1"/>
  <c r="H10901" i="1"/>
  <c r="A10902" i="1"/>
  <c r="B10902" i="1"/>
  <c r="C10902" i="1"/>
  <c r="D10902" i="1"/>
  <c r="E10902" i="1"/>
  <c r="F10902" i="1"/>
  <c r="G10902" i="1"/>
  <c r="H10902" i="1"/>
  <c r="A10903" i="1"/>
  <c r="B10903" i="1"/>
  <c r="C10903" i="1"/>
  <c r="D10903" i="1"/>
  <c r="E10903" i="1"/>
  <c r="F10903" i="1"/>
  <c r="G10903" i="1"/>
  <c r="H10903" i="1"/>
  <c r="A10904" i="1"/>
  <c r="B10904" i="1"/>
  <c r="C10904" i="1"/>
  <c r="D10904" i="1"/>
  <c r="E10904" i="1"/>
  <c r="F10904" i="1"/>
  <c r="G10904" i="1"/>
  <c r="H10904" i="1"/>
  <c r="A10905" i="1"/>
  <c r="B10905" i="1"/>
  <c r="C10905" i="1"/>
  <c r="D10905" i="1"/>
  <c r="E10905" i="1"/>
  <c r="F10905" i="1"/>
  <c r="G10905" i="1"/>
  <c r="H10905" i="1"/>
  <c r="A10906" i="1"/>
  <c r="B10906" i="1"/>
  <c r="C10906" i="1"/>
  <c r="D10906" i="1"/>
  <c r="E10906" i="1"/>
  <c r="F10906" i="1"/>
  <c r="G10906" i="1"/>
  <c r="H10906" i="1"/>
  <c r="A10907" i="1"/>
  <c r="B10907" i="1"/>
  <c r="C10907" i="1"/>
  <c r="D10907" i="1"/>
  <c r="E10907" i="1"/>
  <c r="F10907" i="1"/>
  <c r="G10907" i="1"/>
  <c r="H10907" i="1"/>
  <c r="A10908" i="1"/>
  <c r="B10908" i="1"/>
  <c r="C10908" i="1"/>
  <c r="D10908" i="1"/>
  <c r="E10908" i="1"/>
  <c r="F10908" i="1"/>
  <c r="G10908" i="1"/>
  <c r="H10908" i="1"/>
  <c r="A10909" i="1"/>
  <c r="B10909" i="1"/>
  <c r="C10909" i="1"/>
  <c r="D10909" i="1"/>
  <c r="E10909" i="1"/>
  <c r="F10909" i="1"/>
  <c r="G10909" i="1"/>
  <c r="H10909" i="1"/>
  <c r="A10910" i="1"/>
  <c r="B10910" i="1"/>
  <c r="C10910" i="1"/>
  <c r="D10910" i="1"/>
  <c r="E10910" i="1"/>
  <c r="F10910" i="1"/>
  <c r="G10910" i="1"/>
  <c r="H10910" i="1"/>
  <c r="A10911" i="1"/>
  <c r="B10911" i="1"/>
  <c r="C10911" i="1"/>
  <c r="D10911" i="1"/>
  <c r="E10911" i="1"/>
  <c r="F10911" i="1"/>
  <c r="G10911" i="1"/>
  <c r="H10911" i="1"/>
  <c r="A10912" i="1"/>
  <c r="B10912" i="1"/>
  <c r="C10912" i="1"/>
  <c r="D10912" i="1"/>
  <c r="E10912" i="1"/>
  <c r="F10912" i="1"/>
  <c r="G10912" i="1"/>
  <c r="H10912" i="1"/>
  <c r="A10913" i="1"/>
  <c r="B10913" i="1"/>
  <c r="C10913" i="1"/>
  <c r="D10913" i="1"/>
  <c r="E10913" i="1"/>
  <c r="F10913" i="1"/>
  <c r="G10913" i="1"/>
  <c r="H10913" i="1"/>
  <c r="A10914" i="1"/>
  <c r="B10914" i="1"/>
  <c r="C10914" i="1"/>
  <c r="D10914" i="1"/>
  <c r="E10914" i="1"/>
  <c r="F10914" i="1"/>
  <c r="G10914" i="1"/>
  <c r="H10914" i="1"/>
  <c r="A10915" i="1"/>
  <c r="B10915" i="1"/>
  <c r="C10915" i="1"/>
  <c r="D10915" i="1"/>
  <c r="E10915" i="1"/>
  <c r="F10915" i="1"/>
  <c r="G10915" i="1"/>
  <c r="H10915" i="1"/>
  <c r="A10916" i="1"/>
  <c r="B10916" i="1"/>
  <c r="C10916" i="1"/>
  <c r="D10916" i="1"/>
  <c r="E10916" i="1"/>
  <c r="F10916" i="1"/>
  <c r="G10916" i="1"/>
  <c r="H10916" i="1"/>
  <c r="A10917" i="1"/>
  <c r="B10917" i="1"/>
  <c r="C10917" i="1"/>
  <c r="D10917" i="1"/>
  <c r="E10917" i="1"/>
  <c r="F10917" i="1"/>
  <c r="G10917" i="1"/>
  <c r="H10917" i="1"/>
  <c r="A10918" i="1"/>
  <c r="B10918" i="1"/>
  <c r="C10918" i="1"/>
  <c r="D10918" i="1"/>
  <c r="E10918" i="1"/>
  <c r="F10918" i="1"/>
  <c r="G10918" i="1"/>
  <c r="H10918" i="1"/>
  <c r="A10919" i="1"/>
  <c r="B10919" i="1"/>
  <c r="C10919" i="1"/>
  <c r="D10919" i="1"/>
  <c r="E10919" i="1"/>
  <c r="F10919" i="1"/>
  <c r="G10919" i="1"/>
  <c r="H10919" i="1"/>
  <c r="A10920" i="1"/>
  <c r="B10920" i="1"/>
  <c r="C10920" i="1"/>
  <c r="D10920" i="1"/>
  <c r="E10920" i="1"/>
  <c r="F10920" i="1"/>
  <c r="G10920" i="1"/>
  <c r="H10920" i="1"/>
  <c r="A10921" i="1"/>
  <c r="B10921" i="1"/>
  <c r="C10921" i="1"/>
  <c r="D10921" i="1"/>
  <c r="E10921" i="1"/>
  <c r="F10921" i="1"/>
  <c r="G10921" i="1"/>
  <c r="H10921" i="1"/>
  <c r="A10922" i="1"/>
  <c r="B10922" i="1"/>
  <c r="C10922" i="1"/>
  <c r="D10922" i="1"/>
  <c r="E10922" i="1"/>
  <c r="F10922" i="1"/>
  <c r="G10922" i="1"/>
  <c r="H10922" i="1"/>
  <c r="A10923" i="1"/>
  <c r="B10923" i="1"/>
  <c r="C10923" i="1"/>
  <c r="D10923" i="1"/>
  <c r="E10923" i="1"/>
  <c r="F10923" i="1"/>
  <c r="G10923" i="1"/>
  <c r="H10923" i="1"/>
  <c r="A10924" i="1"/>
  <c r="B10924" i="1"/>
  <c r="C10924" i="1"/>
  <c r="D10924" i="1"/>
  <c r="E10924" i="1"/>
  <c r="F10924" i="1"/>
  <c r="G10924" i="1"/>
  <c r="H10924" i="1"/>
  <c r="A10925" i="1"/>
  <c r="B10925" i="1"/>
  <c r="C10925" i="1"/>
  <c r="D10925" i="1"/>
  <c r="E10925" i="1"/>
  <c r="F10925" i="1"/>
  <c r="G10925" i="1"/>
  <c r="H10925" i="1"/>
  <c r="A10926" i="1"/>
  <c r="B10926" i="1"/>
  <c r="C10926" i="1"/>
  <c r="D10926" i="1"/>
  <c r="E10926" i="1"/>
  <c r="F10926" i="1"/>
  <c r="G10926" i="1"/>
  <c r="H10926" i="1"/>
  <c r="A10927" i="1"/>
  <c r="B10927" i="1"/>
  <c r="C10927" i="1"/>
  <c r="D10927" i="1"/>
  <c r="E10927" i="1"/>
  <c r="F10927" i="1"/>
  <c r="G10927" i="1"/>
  <c r="H10927" i="1"/>
  <c r="A10928" i="1"/>
  <c r="B10928" i="1"/>
  <c r="C10928" i="1"/>
  <c r="D10928" i="1"/>
  <c r="E10928" i="1"/>
  <c r="F10928" i="1"/>
  <c r="G10928" i="1"/>
  <c r="H10928" i="1"/>
  <c r="A10929" i="1"/>
  <c r="B10929" i="1"/>
  <c r="C10929" i="1"/>
  <c r="D10929" i="1"/>
  <c r="E10929" i="1"/>
  <c r="F10929" i="1"/>
  <c r="G10929" i="1"/>
  <c r="H10929" i="1"/>
  <c r="A10930" i="1"/>
  <c r="B10930" i="1"/>
  <c r="C10930" i="1"/>
  <c r="D10930" i="1"/>
  <c r="E10930" i="1"/>
  <c r="F10930" i="1"/>
  <c r="G10930" i="1"/>
  <c r="H10930" i="1"/>
  <c r="A10931" i="1"/>
  <c r="B10931" i="1"/>
  <c r="C10931" i="1"/>
  <c r="D10931" i="1"/>
  <c r="E10931" i="1"/>
  <c r="F10931" i="1"/>
  <c r="G10931" i="1"/>
  <c r="H10931" i="1"/>
  <c r="A10932" i="1"/>
  <c r="B10932" i="1"/>
  <c r="C10932" i="1"/>
  <c r="D10932" i="1"/>
  <c r="E10932" i="1"/>
  <c r="F10932" i="1"/>
  <c r="G10932" i="1"/>
  <c r="H10932" i="1"/>
  <c r="A10933" i="1"/>
  <c r="B10933" i="1"/>
  <c r="C10933" i="1"/>
  <c r="D10933" i="1"/>
  <c r="E10933" i="1"/>
  <c r="F10933" i="1"/>
  <c r="G10933" i="1"/>
  <c r="H10933" i="1"/>
  <c r="A10934" i="1"/>
  <c r="B10934" i="1"/>
  <c r="C10934" i="1"/>
  <c r="D10934" i="1"/>
  <c r="E10934" i="1"/>
  <c r="F10934" i="1"/>
  <c r="G10934" i="1"/>
  <c r="H10934" i="1"/>
  <c r="A10935" i="1"/>
  <c r="B10935" i="1"/>
  <c r="C10935" i="1"/>
  <c r="D10935" i="1"/>
  <c r="E10935" i="1"/>
  <c r="F10935" i="1"/>
  <c r="G10935" i="1"/>
  <c r="H10935" i="1"/>
  <c r="A10936" i="1"/>
  <c r="B10936" i="1"/>
  <c r="C10936" i="1"/>
  <c r="D10936" i="1"/>
  <c r="E10936" i="1"/>
  <c r="F10936" i="1"/>
  <c r="G10936" i="1"/>
  <c r="H10936" i="1"/>
  <c r="A10937" i="1"/>
  <c r="B10937" i="1"/>
  <c r="C10937" i="1"/>
  <c r="D10937" i="1"/>
  <c r="E10937" i="1"/>
  <c r="F10937" i="1"/>
  <c r="G10937" i="1"/>
  <c r="H10937" i="1"/>
  <c r="A10938" i="1"/>
  <c r="B10938" i="1"/>
  <c r="C10938" i="1"/>
  <c r="D10938" i="1"/>
  <c r="E10938" i="1"/>
  <c r="F10938" i="1"/>
  <c r="G10938" i="1"/>
  <c r="H10938" i="1"/>
  <c r="A10939" i="1"/>
  <c r="B10939" i="1"/>
  <c r="C10939" i="1"/>
  <c r="D10939" i="1"/>
  <c r="E10939" i="1"/>
  <c r="F10939" i="1"/>
  <c r="G10939" i="1"/>
  <c r="H10939" i="1"/>
  <c r="A10940" i="1"/>
  <c r="B10940" i="1"/>
  <c r="C10940" i="1"/>
  <c r="D10940" i="1"/>
  <c r="E10940" i="1"/>
  <c r="F10940" i="1"/>
  <c r="G10940" i="1"/>
  <c r="H10940" i="1"/>
  <c r="A10941" i="1"/>
  <c r="B10941" i="1"/>
  <c r="C10941" i="1"/>
  <c r="D10941" i="1"/>
  <c r="E10941" i="1"/>
  <c r="F10941" i="1"/>
  <c r="G10941" i="1"/>
  <c r="H10941" i="1"/>
  <c r="A10942" i="1"/>
  <c r="B10942" i="1"/>
  <c r="C10942" i="1"/>
  <c r="D10942" i="1"/>
  <c r="E10942" i="1"/>
  <c r="F10942" i="1"/>
  <c r="G10942" i="1"/>
  <c r="H10942" i="1"/>
  <c r="A10943" i="1"/>
  <c r="B10943" i="1"/>
  <c r="C10943" i="1"/>
  <c r="D10943" i="1"/>
  <c r="E10943" i="1"/>
  <c r="F10943" i="1"/>
  <c r="G10943" i="1"/>
  <c r="H10943" i="1"/>
  <c r="A10944" i="1"/>
  <c r="B10944" i="1"/>
  <c r="C10944" i="1"/>
  <c r="D10944" i="1"/>
  <c r="E10944" i="1"/>
  <c r="F10944" i="1"/>
  <c r="G10944" i="1"/>
  <c r="H10944" i="1"/>
  <c r="A10945" i="1"/>
  <c r="B10945" i="1"/>
  <c r="C10945" i="1"/>
  <c r="D10945" i="1"/>
  <c r="E10945" i="1"/>
  <c r="F10945" i="1"/>
  <c r="G10945" i="1"/>
  <c r="H10945" i="1"/>
  <c r="A10946" i="1"/>
  <c r="B10946" i="1"/>
  <c r="C10946" i="1"/>
  <c r="D10946" i="1"/>
  <c r="E10946" i="1"/>
  <c r="F10946" i="1"/>
  <c r="G10946" i="1"/>
  <c r="H10946" i="1"/>
  <c r="A10947" i="1"/>
  <c r="B10947" i="1"/>
  <c r="C10947" i="1"/>
  <c r="D10947" i="1"/>
  <c r="E10947" i="1"/>
  <c r="F10947" i="1"/>
  <c r="G10947" i="1"/>
  <c r="H10947" i="1"/>
  <c r="A10948" i="1"/>
  <c r="B10948" i="1"/>
  <c r="C10948" i="1"/>
  <c r="D10948" i="1"/>
  <c r="E10948" i="1"/>
  <c r="F10948" i="1"/>
  <c r="G10948" i="1"/>
  <c r="H10948" i="1"/>
  <c r="A10949" i="1"/>
  <c r="B10949" i="1"/>
  <c r="C10949" i="1"/>
  <c r="D10949" i="1"/>
  <c r="E10949" i="1"/>
  <c r="F10949" i="1"/>
  <c r="G10949" i="1"/>
  <c r="H10949" i="1"/>
  <c r="A10950" i="1"/>
  <c r="B10950" i="1"/>
  <c r="C10950" i="1"/>
  <c r="D10950" i="1"/>
  <c r="E10950" i="1"/>
  <c r="F10950" i="1"/>
  <c r="G10950" i="1"/>
  <c r="H10950" i="1"/>
  <c r="A10951" i="1"/>
  <c r="B10951" i="1"/>
  <c r="C10951" i="1"/>
  <c r="D10951" i="1"/>
  <c r="E10951" i="1"/>
  <c r="F10951" i="1"/>
  <c r="G10951" i="1"/>
  <c r="H10951" i="1"/>
  <c r="A10952" i="1"/>
  <c r="B10952" i="1"/>
  <c r="C10952" i="1"/>
  <c r="D10952" i="1"/>
  <c r="E10952" i="1"/>
  <c r="F10952" i="1"/>
  <c r="G10952" i="1"/>
  <c r="H10952" i="1"/>
  <c r="A10953" i="1"/>
  <c r="B10953" i="1"/>
  <c r="C10953" i="1"/>
  <c r="D10953" i="1"/>
  <c r="E10953" i="1"/>
  <c r="F10953" i="1"/>
  <c r="G10953" i="1"/>
  <c r="H10953" i="1"/>
  <c r="A10954" i="1"/>
  <c r="B10954" i="1"/>
  <c r="C10954" i="1"/>
  <c r="D10954" i="1"/>
  <c r="E10954" i="1"/>
  <c r="F10954" i="1"/>
  <c r="G10954" i="1"/>
  <c r="H10954" i="1"/>
  <c r="A10955" i="1"/>
  <c r="B10955" i="1"/>
  <c r="C10955" i="1"/>
  <c r="D10955" i="1"/>
  <c r="E10955" i="1"/>
  <c r="F10955" i="1"/>
  <c r="G10955" i="1"/>
  <c r="H10955" i="1"/>
  <c r="A10956" i="1"/>
  <c r="B10956" i="1"/>
  <c r="C10956" i="1"/>
  <c r="D10956" i="1"/>
  <c r="E10956" i="1"/>
  <c r="F10956" i="1"/>
  <c r="G10956" i="1"/>
  <c r="H10956" i="1"/>
  <c r="A10957" i="1"/>
  <c r="B10957" i="1"/>
  <c r="C10957" i="1"/>
  <c r="D10957" i="1"/>
  <c r="E10957" i="1"/>
  <c r="F10957" i="1"/>
  <c r="G10957" i="1"/>
  <c r="H10957" i="1"/>
  <c r="A10958" i="1"/>
  <c r="B10958" i="1"/>
  <c r="C10958" i="1"/>
  <c r="D10958" i="1"/>
  <c r="E10958" i="1"/>
  <c r="F10958" i="1"/>
  <c r="G10958" i="1"/>
  <c r="H10958" i="1"/>
  <c r="A10959" i="1"/>
  <c r="B10959" i="1"/>
  <c r="C10959" i="1"/>
  <c r="D10959" i="1"/>
  <c r="E10959" i="1"/>
  <c r="F10959" i="1"/>
  <c r="G10959" i="1"/>
  <c r="H10959" i="1"/>
  <c r="A10960" i="1"/>
  <c r="B10960" i="1"/>
  <c r="C10960" i="1"/>
  <c r="D10960" i="1"/>
  <c r="E10960" i="1"/>
  <c r="F10960" i="1"/>
  <c r="G10960" i="1"/>
  <c r="H10960" i="1"/>
  <c r="A10961" i="1"/>
  <c r="B10961" i="1"/>
  <c r="C10961" i="1"/>
  <c r="D10961" i="1"/>
  <c r="E10961" i="1"/>
  <c r="F10961" i="1"/>
  <c r="G10961" i="1"/>
  <c r="H10961" i="1"/>
  <c r="A10962" i="1"/>
  <c r="B10962" i="1"/>
  <c r="C10962" i="1"/>
  <c r="D10962" i="1"/>
  <c r="E10962" i="1"/>
  <c r="F10962" i="1"/>
  <c r="G10962" i="1"/>
  <c r="H10962" i="1"/>
  <c r="A10963" i="1"/>
  <c r="B10963" i="1"/>
  <c r="C10963" i="1"/>
  <c r="D10963" i="1"/>
  <c r="E10963" i="1"/>
  <c r="F10963" i="1"/>
  <c r="G10963" i="1"/>
  <c r="H10963" i="1"/>
  <c r="A10964" i="1"/>
  <c r="B10964" i="1"/>
  <c r="C10964" i="1"/>
  <c r="D10964" i="1"/>
  <c r="E10964" i="1"/>
  <c r="F10964" i="1"/>
  <c r="G10964" i="1"/>
  <c r="H10964" i="1"/>
  <c r="A10965" i="1"/>
  <c r="B10965" i="1"/>
  <c r="C10965" i="1"/>
  <c r="D10965" i="1"/>
  <c r="E10965" i="1"/>
  <c r="F10965" i="1"/>
  <c r="G10965" i="1"/>
  <c r="H10965" i="1"/>
  <c r="A10966" i="1"/>
  <c r="B10966" i="1"/>
  <c r="C10966" i="1"/>
  <c r="D10966" i="1"/>
  <c r="E10966" i="1"/>
  <c r="F10966" i="1"/>
  <c r="G10966" i="1"/>
  <c r="H10966" i="1"/>
  <c r="A10967" i="1"/>
  <c r="B10967" i="1"/>
  <c r="C10967" i="1"/>
  <c r="D10967" i="1"/>
  <c r="E10967" i="1"/>
  <c r="F10967" i="1"/>
  <c r="G10967" i="1"/>
  <c r="H10967" i="1"/>
  <c r="A10968" i="1"/>
  <c r="B10968" i="1"/>
  <c r="C10968" i="1"/>
  <c r="D10968" i="1"/>
  <c r="E10968" i="1"/>
  <c r="F10968" i="1"/>
  <c r="G10968" i="1"/>
  <c r="H10968" i="1"/>
  <c r="A10969" i="1"/>
  <c r="B10969" i="1"/>
  <c r="C10969" i="1"/>
  <c r="D10969" i="1"/>
  <c r="E10969" i="1"/>
  <c r="F10969" i="1"/>
  <c r="G10969" i="1"/>
  <c r="H10969" i="1"/>
  <c r="A10970" i="1"/>
  <c r="B10970" i="1"/>
  <c r="C10970" i="1"/>
  <c r="D10970" i="1"/>
  <c r="E10970" i="1"/>
  <c r="F10970" i="1"/>
  <c r="G10970" i="1"/>
  <c r="H10970" i="1"/>
  <c r="A10971" i="1"/>
  <c r="B10971" i="1"/>
  <c r="C10971" i="1"/>
  <c r="D10971" i="1"/>
  <c r="E10971" i="1"/>
  <c r="F10971" i="1"/>
  <c r="G10971" i="1"/>
  <c r="H10971" i="1"/>
  <c r="A10972" i="1"/>
  <c r="B10972" i="1"/>
  <c r="C10972" i="1"/>
  <c r="D10972" i="1"/>
  <c r="E10972" i="1"/>
  <c r="F10972" i="1"/>
  <c r="G10972" i="1"/>
  <c r="H10972" i="1"/>
  <c r="A10973" i="1"/>
  <c r="B10973" i="1"/>
  <c r="C10973" i="1"/>
  <c r="D10973" i="1"/>
  <c r="E10973" i="1"/>
  <c r="F10973" i="1"/>
  <c r="G10973" i="1"/>
  <c r="H10973" i="1"/>
  <c r="A10974" i="1"/>
  <c r="B10974" i="1"/>
  <c r="C10974" i="1"/>
  <c r="D10974" i="1"/>
  <c r="E10974" i="1"/>
  <c r="F10974" i="1"/>
  <c r="G10974" i="1"/>
  <c r="H10974" i="1"/>
  <c r="A10975" i="1"/>
  <c r="B10975" i="1"/>
  <c r="C10975" i="1"/>
  <c r="D10975" i="1"/>
  <c r="E10975" i="1"/>
  <c r="F10975" i="1"/>
  <c r="G10975" i="1"/>
  <c r="H10975" i="1"/>
  <c r="A10976" i="1"/>
  <c r="B10976" i="1"/>
  <c r="C10976" i="1"/>
  <c r="D10976" i="1"/>
  <c r="E10976" i="1"/>
  <c r="F10976" i="1"/>
  <c r="G10976" i="1"/>
  <c r="H10976" i="1"/>
  <c r="A10977" i="1"/>
  <c r="B10977" i="1"/>
  <c r="C10977" i="1"/>
  <c r="D10977" i="1"/>
  <c r="E10977" i="1"/>
  <c r="F10977" i="1"/>
  <c r="G10977" i="1"/>
  <c r="H10977" i="1"/>
  <c r="A10978" i="1"/>
  <c r="B10978" i="1"/>
  <c r="C10978" i="1"/>
  <c r="D10978" i="1"/>
  <c r="E10978" i="1"/>
  <c r="F10978" i="1"/>
  <c r="G10978" i="1"/>
  <c r="H10978" i="1"/>
  <c r="A10979" i="1"/>
  <c r="B10979" i="1"/>
  <c r="C10979" i="1"/>
  <c r="D10979" i="1"/>
  <c r="E10979" i="1"/>
  <c r="F10979" i="1"/>
  <c r="G10979" i="1"/>
  <c r="H10979" i="1"/>
  <c r="A10980" i="1"/>
  <c r="B10980" i="1"/>
  <c r="C10980" i="1"/>
  <c r="D10980" i="1"/>
  <c r="E10980" i="1"/>
  <c r="F10980" i="1"/>
  <c r="G10980" i="1"/>
  <c r="H10980" i="1"/>
  <c r="A10981" i="1"/>
  <c r="B10981" i="1"/>
  <c r="C10981" i="1"/>
  <c r="D10981" i="1"/>
  <c r="E10981" i="1"/>
  <c r="F10981" i="1"/>
  <c r="G10981" i="1"/>
  <c r="H10981" i="1"/>
  <c r="A10982" i="1"/>
  <c r="B10982" i="1"/>
  <c r="C10982" i="1"/>
  <c r="D10982" i="1"/>
  <c r="E10982" i="1"/>
  <c r="F10982" i="1"/>
  <c r="G10982" i="1"/>
  <c r="H10982" i="1"/>
  <c r="A10983" i="1"/>
  <c r="B10983" i="1"/>
  <c r="C10983" i="1"/>
  <c r="D10983" i="1"/>
  <c r="E10983" i="1"/>
  <c r="F10983" i="1"/>
  <c r="G10983" i="1"/>
  <c r="H10983" i="1"/>
  <c r="A10984" i="1"/>
  <c r="B10984" i="1"/>
  <c r="C10984" i="1"/>
  <c r="D10984" i="1"/>
  <c r="E10984" i="1"/>
  <c r="F10984" i="1"/>
  <c r="G10984" i="1"/>
  <c r="H10984" i="1"/>
  <c r="A10985" i="1"/>
  <c r="B10985" i="1"/>
  <c r="C10985" i="1"/>
  <c r="D10985" i="1"/>
  <c r="E10985" i="1"/>
  <c r="F10985" i="1"/>
  <c r="G10985" i="1"/>
  <c r="H10985" i="1"/>
  <c r="A10986" i="1"/>
  <c r="B10986" i="1"/>
  <c r="C10986" i="1"/>
  <c r="D10986" i="1"/>
  <c r="E10986" i="1"/>
  <c r="F10986" i="1"/>
  <c r="G10986" i="1"/>
  <c r="H10986" i="1"/>
  <c r="A10987" i="1"/>
  <c r="B10987" i="1"/>
  <c r="C10987" i="1"/>
  <c r="D10987" i="1"/>
  <c r="E10987" i="1"/>
  <c r="F10987" i="1"/>
  <c r="G10987" i="1"/>
  <c r="H10987" i="1"/>
  <c r="A10988" i="1"/>
  <c r="B10988" i="1"/>
  <c r="C10988" i="1"/>
  <c r="D10988" i="1"/>
  <c r="E10988" i="1"/>
  <c r="F10988" i="1"/>
  <c r="G10988" i="1"/>
  <c r="H10988" i="1"/>
  <c r="A10989" i="1"/>
  <c r="B10989" i="1"/>
  <c r="C10989" i="1"/>
  <c r="D10989" i="1"/>
  <c r="E10989" i="1"/>
  <c r="F10989" i="1"/>
  <c r="G10989" i="1"/>
  <c r="H10989" i="1"/>
  <c r="A10990" i="1"/>
  <c r="B10990" i="1"/>
  <c r="C10990" i="1"/>
  <c r="D10990" i="1"/>
  <c r="E10990" i="1"/>
  <c r="F10990" i="1"/>
  <c r="G10990" i="1"/>
  <c r="H10990" i="1"/>
  <c r="A10991" i="1"/>
  <c r="B10991" i="1"/>
  <c r="C10991" i="1"/>
  <c r="D10991" i="1"/>
  <c r="E10991" i="1"/>
  <c r="F10991" i="1"/>
  <c r="G10991" i="1"/>
  <c r="H10991" i="1"/>
  <c r="A10992" i="1"/>
  <c r="B10992" i="1"/>
  <c r="C10992" i="1"/>
  <c r="D10992" i="1"/>
  <c r="E10992" i="1"/>
  <c r="F10992" i="1"/>
  <c r="G10992" i="1"/>
  <c r="H10992" i="1"/>
  <c r="A10993" i="1"/>
  <c r="B10993" i="1"/>
  <c r="C10993" i="1"/>
  <c r="D10993" i="1"/>
  <c r="E10993" i="1"/>
  <c r="F10993" i="1"/>
  <c r="G10993" i="1"/>
  <c r="H10993" i="1"/>
  <c r="A10994" i="1"/>
  <c r="B10994" i="1"/>
  <c r="C10994" i="1"/>
  <c r="D10994" i="1"/>
  <c r="E10994" i="1"/>
  <c r="F10994" i="1"/>
  <c r="G10994" i="1"/>
  <c r="H10994" i="1"/>
  <c r="A10995" i="1"/>
  <c r="B10995" i="1"/>
  <c r="C10995" i="1"/>
  <c r="D10995" i="1"/>
  <c r="E10995" i="1"/>
  <c r="F10995" i="1"/>
  <c r="G10995" i="1"/>
  <c r="H10995" i="1"/>
  <c r="A10996" i="1"/>
  <c r="B10996" i="1"/>
  <c r="C10996" i="1"/>
  <c r="D10996" i="1"/>
  <c r="E10996" i="1"/>
  <c r="F10996" i="1"/>
  <c r="G10996" i="1"/>
  <c r="H10996" i="1"/>
  <c r="A10997" i="1"/>
  <c r="B10997" i="1"/>
  <c r="C10997" i="1"/>
  <c r="D10997" i="1"/>
  <c r="E10997" i="1"/>
  <c r="F10997" i="1"/>
  <c r="G10997" i="1"/>
  <c r="H10997" i="1"/>
  <c r="A10998" i="1"/>
  <c r="B10998" i="1"/>
  <c r="C10998" i="1"/>
  <c r="D10998" i="1"/>
  <c r="E10998" i="1"/>
  <c r="F10998" i="1"/>
  <c r="G10998" i="1"/>
  <c r="H10998" i="1"/>
  <c r="A10999" i="1"/>
  <c r="B10999" i="1"/>
  <c r="C10999" i="1"/>
  <c r="D10999" i="1"/>
  <c r="E10999" i="1"/>
  <c r="F10999" i="1"/>
  <c r="G10999" i="1"/>
  <c r="H10999" i="1"/>
  <c r="A11000" i="1"/>
  <c r="B11000" i="1"/>
  <c r="C11000" i="1"/>
  <c r="D11000" i="1"/>
  <c r="E11000" i="1"/>
  <c r="F11000" i="1"/>
  <c r="G11000" i="1"/>
  <c r="H11000" i="1"/>
  <c r="A11001" i="1"/>
  <c r="B11001" i="1"/>
  <c r="C11001" i="1"/>
  <c r="D11001" i="1"/>
  <c r="E11001" i="1"/>
  <c r="F11001" i="1"/>
  <c r="G11001" i="1"/>
  <c r="H11001" i="1"/>
  <c r="A11002" i="1"/>
  <c r="B11002" i="1"/>
  <c r="C11002" i="1"/>
  <c r="D11002" i="1"/>
  <c r="E11002" i="1"/>
  <c r="F11002" i="1"/>
  <c r="G11002" i="1"/>
  <c r="H11002" i="1"/>
  <c r="A11003" i="1"/>
  <c r="B11003" i="1"/>
  <c r="C11003" i="1"/>
  <c r="D11003" i="1"/>
  <c r="E11003" i="1"/>
  <c r="F11003" i="1"/>
  <c r="G11003" i="1"/>
  <c r="H11003" i="1"/>
  <c r="A11004" i="1"/>
  <c r="B11004" i="1"/>
  <c r="C11004" i="1"/>
  <c r="D11004" i="1"/>
  <c r="E11004" i="1"/>
  <c r="F11004" i="1"/>
  <c r="G11004" i="1"/>
  <c r="H11004" i="1"/>
  <c r="A11005" i="1"/>
  <c r="B11005" i="1"/>
  <c r="C11005" i="1"/>
  <c r="D11005" i="1"/>
  <c r="E11005" i="1"/>
  <c r="F11005" i="1"/>
  <c r="G11005" i="1"/>
  <c r="H11005" i="1"/>
  <c r="A11006" i="1"/>
  <c r="B11006" i="1"/>
  <c r="C11006" i="1"/>
  <c r="D11006" i="1"/>
  <c r="E11006" i="1"/>
  <c r="F11006" i="1"/>
  <c r="G11006" i="1"/>
  <c r="H11006" i="1"/>
  <c r="A11007" i="1"/>
  <c r="B11007" i="1"/>
  <c r="C11007" i="1"/>
  <c r="D11007" i="1"/>
  <c r="E11007" i="1"/>
  <c r="F11007" i="1"/>
  <c r="G11007" i="1"/>
  <c r="H11007" i="1"/>
  <c r="A11008" i="1"/>
  <c r="B11008" i="1"/>
  <c r="C11008" i="1"/>
  <c r="D11008" i="1"/>
  <c r="E11008" i="1"/>
  <c r="F11008" i="1"/>
  <c r="G11008" i="1"/>
  <c r="H11008" i="1"/>
  <c r="A11009" i="1"/>
  <c r="B11009" i="1"/>
  <c r="C11009" i="1"/>
  <c r="D11009" i="1"/>
  <c r="E11009" i="1"/>
  <c r="F11009" i="1"/>
  <c r="G11009" i="1"/>
  <c r="H11009" i="1"/>
  <c r="A11010" i="1"/>
  <c r="B11010" i="1"/>
  <c r="C11010" i="1"/>
  <c r="D11010" i="1"/>
  <c r="E11010" i="1"/>
  <c r="F11010" i="1"/>
  <c r="G11010" i="1"/>
  <c r="H11010" i="1"/>
  <c r="A11011" i="1"/>
  <c r="B11011" i="1"/>
  <c r="C11011" i="1"/>
  <c r="D11011" i="1"/>
  <c r="E11011" i="1"/>
  <c r="F11011" i="1"/>
  <c r="G11011" i="1"/>
  <c r="H11011" i="1"/>
  <c r="A11012" i="1"/>
  <c r="B11012" i="1"/>
  <c r="C11012" i="1"/>
  <c r="D11012" i="1"/>
  <c r="E11012" i="1"/>
  <c r="F11012" i="1"/>
  <c r="G11012" i="1"/>
  <c r="H11012" i="1"/>
  <c r="A11013" i="1"/>
  <c r="B11013" i="1"/>
  <c r="C11013" i="1"/>
  <c r="D11013" i="1"/>
  <c r="E11013" i="1"/>
  <c r="F11013" i="1"/>
  <c r="G11013" i="1"/>
  <c r="H11013" i="1"/>
  <c r="A11014" i="1"/>
  <c r="B11014" i="1"/>
  <c r="C11014" i="1"/>
  <c r="D11014" i="1"/>
  <c r="E11014" i="1"/>
  <c r="F11014" i="1"/>
  <c r="G11014" i="1"/>
  <c r="H11014" i="1"/>
  <c r="A11015" i="1"/>
  <c r="B11015" i="1"/>
  <c r="C11015" i="1"/>
  <c r="D11015" i="1"/>
  <c r="E11015" i="1"/>
  <c r="F11015" i="1"/>
  <c r="G11015" i="1"/>
  <c r="H11015" i="1"/>
  <c r="A11016" i="1"/>
  <c r="B11016" i="1"/>
  <c r="C11016" i="1"/>
  <c r="D11016" i="1"/>
  <c r="E11016" i="1"/>
  <c r="F11016" i="1"/>
  <c r="G11016" i="1"/>
  <c r="H11016" i="1"/>
  <c r="A11017" i="1"/>
  <c r="B11017" i="1"/>
  <c r="C11017" i="1"/>
  <c r="D11017" i="1"/>
  <c r="E11017" i="1"/>
  <c r="F11017" i="1"/>
  <c r="G11017" i="1"/>
  <c r="H11017" i="1"/>
  <c r="A11018" i="1"/>
  <c r="B11018" i="1"/>
  <c r="C11018" i="1"/>
  <c r="D11018" i="1"/>
  <c r="E11018" i="1"/>
  <c r="F11018" i="1"/>
  <c r="G11018" i="1"/>
  <c r="H11018" i="1"/>
  <c r="A11019" i="1"/>
  <c r="B11019" i="1"/>
  <c r="C11019" i="1"/>
  <c r="D11019" i="1"/>
  <c r="E11019" i="1"/>
  <c r="F11019" i="1"/>
  <c r="G11019" i="1"/>
  <c r="H11019" i="1"/>
  <c r="A11020" i="1"/>
  <c r="B11020" i="1"/>
  <c r="C11020" i="1"/>
  <c r="D11020" i="1"/>
  <c r="E11020" i="1"/>
  <c r="F11020" i="1"/>
  <c r="G11020" i="1"/>
  <c r="H11020" i="1"/>
  <c r="A11021" i="1"/>
  <c r="B11021" i="1"/>
  <c r="C11021" i="1"/>
  <c r="D11021" i="1"/>
  <c r="E11021" i="1"/>
  <c r="F11021" i="1"/>
  <c r="G11021" i="1"/>
  <c r="H11021" i="1"/>
  <c r="A11022" i="1"/>
  <c r="B11022" i="1"/>
  <c r="C11022" i="1"/>
  <c r="D11022" i="1"/>
  <c r="E11022" i="1"/>
  <c r="F11022" i="1"/>
  <c r="G11022" i="1"/>
  <c r="H11022" i="1"/>
  <c r="A11023" i="1"/>
  <c r="B11023" i="1"/>
  <c r="C11023" i="1"/>
  <c r="D11023" i="1"/>
  <c r="E11023" i="1"/>
  <c r="F11023" i="1"/>
  <c r="G11023" i="1"/>
  <c r="H11023" i="1"/>
  <c r="A11024" i="1"/>
  <c r="B11024" i="1"/>
  <c r="C11024" i="1"/>
  <c r="D11024" i="1"/>
  <c r="E11024" i="1"/>
  <c r="F11024" i="1"/>
  <c r="G11024" i="1"/>
  <c r="H11024" i="1"/>
  <c r="A11025" i="1"/>
  <c r="B11025" i="1"/>
  <c r="C11025" i="1"/>
  <c r="D11025" i="1"/>
  <c r="E11025" i="1"/>
  <c r="F11025" i="1"/>
  <c r="G11025" i="1"/>
  <c r="H11025" i="1"/>
  <c r="A11026" i="1"/>
  <c r="B11026" i="1"/>
  <c r="C11026" i="1"/>
  <c r="D11026" i="1"/>
  <c r="E11026" i="1"/>
  <c r="F11026" i="1"/>
  <c r="G11026" i="1"/>
  <c r="H11026" i="1"/>
  <c r="A11027" i="1"/>
  <c r="B11027" i="1"/>
  <c r="C11027" i="1"/>
  <c r="D11027" i="1"/>
  <c r="E11027" i="1"/>
  <c r="F11027" i="1"/>
  <c r="G11027" i="1"/>
  <c r="H11027" i="1"/>
  <c r="A11028" i="1"/>
  <c r="B11028" i="1"/>
  <c r="C11028" i="1"/>
  <c r="D11028" i="1"/>
  <c r="E11028" i="1"/>
  <c r="F11028" i="1"/>
  <c r="G11028" i="1"/>
  <c r="H11028" i="1"/>
  <c r="A11029" i="1"/>
  <c r="B11029" i="1"/>
  <c r="C11029" i="1"/>
  <c r="D11029" i="1"/>
  <c r="E11029" i="1"/>
  <c r="F11029" i="1"/>
  <c r="G11029" i="1"/>
  <c r="H11029" i="1"/>
  <c r="A11030" i="1"/>
  <c r="B11030" i="1"/>
  <c r="C11030" i="1"/>
  <c r="D11030" i="1"/>
  <c r="E11030" i="1"/>
  <c r="F11030" i="1"/>
  <c r="G11030" i="1"/>
  <c r="H11030" i="1"/>
  <c r="A11031" i="1"/>
  <c r="B11031" i="1"/>
  <c r="C11031" i="1"/>
  <c r="D11031" i="1"/>
  <c r="E11031" i="1"/>
  <c r="F11031" i="1"/>
  <c r="G11031" i="1"/>
  <c r="H11031" i="1"/>
  <c r="A11032" i="1"/>
  <c r="B11032" i="1"/>
  <c r="C11032" i="1"/>
  <c r="D11032" i="1"/>
  <c r="E11032" i="1"/>
  <c r="F11032" i="1"/>
  <c r="G11032" i="1"/>
  <c r="H11032" i="1"/>
  <c r="A11033" i="1"/>
  <c r="B11033" i="1"/>
  <c r="C11033" i="1"/>
  <c r="D11033" i="1"/>
  <c r="E11033" i="1"/>
  <c r="F11033" i="1"/>
  <c r="G11033" i="1"/>
  <c r="H11033" i="1"/>
  <c r="A11034" i="1"/>
  <c r="B11034" i="1"/>
  <c r="C11034" i="1"/>
  <c r="D11034" i="1"/>
  <c r="E11034" i="1"/>
  <c r="F11034" i="1"/>
  <c r="G11034" i="1"/>
  <c r="H11034" i="1"/>
  <c r="A11035" i="1"/>
  <c r="B11035" i="1"/>
  <c r="C11035" i="1"/>
  <c r="D11035" i="1"/>
  <c r="E11035" i="1"/>
  <c r="F11035" i="1"/>
  <c r="G11035" i="1"/>
  <c r="H11035" i="1"/>
  <c r="A11036" i="1"/>
  <c r="B11036" i="1"/>
  <c r="C11036" i="1"/>
  <c r="D11036" i="1"/>
  <c r="E11036" i="1"/>
  <c r="F11036" i="1"/>
  <c r="G11036" i="1"/>
  <c r="H11036" i="1"/>
  <c r="A11037" i="1"/>
  <c r="B11037" i="1"/>
  <c r="C11037" i="1"/>
  <c r="D11037" i="1"/>
  <c r="E11037" i="1"/>
  <c r="F11037" i="1"/>
  <c r="G11037" i="1"/>
  <c r="H11037" i="1"/>
  <c r="A11038" i="1"/>
  <c r="B11038" i="1"/>
  <c r="C11038" i="1"/>
  <c r="D11038" i="1"/>
  <c r="E11038" i="1"/>
  <c r="F11038" i="1"/>
  <c r="G11038" i="1"/>
  <c r="H11038" i="1"/>
  <c r="A11039" i="1"/>
  <c r="B11039" i="1"/>
  <c r="C11039" i="1"/>
  <c r="D11039" i="1"/>
  <c r="E11039" i="1"/>
  <c r="F11039" i="1"/>
  <c r="G11039" i="1"/>
  <c r="H11039" i="1"/>
  <c r="A11040" i="1"/>
  <c r="B11040" i="1"/>
  <c r="C11040" i="1"/>
  <c r="D11040" i="1"/>
  <c r="E11040" i="1"/>
  <c r="F11040" i="1"/>
  <c r="G11040" i="1"/>
  <c r="H11040" i="1"/>
  <c r="A11041" i="1"/>
  <c r="B11041" i="1"/>
  <c r="C11041" i="1"/>
  <c r="D11041" i="1"/>
  <c r="E11041" i="1"/>
  <c r="F11041" i="1"/>
  <c r="G11041" i="1"/>
  <c r="H11041" i="1"/>
  <c r="A11042" i="1"/>
  <c r="B11042" i="1"/>
  <c r="C11042" i="1"/>
  <c r="D11042" i="1"/>
  <c r="E11042" i="1"/>
  <c r="F11042" i="1"/>
  <c r="G11042" i="1"/>
  <c r="H11042" i="1"/>
  <c r="A11043" i="1"/>
  <c r="B11043" i="1"/>
  <c r="C11043" i="1"/>
  <c r="D11043" i="1"/>
  <c r="E11043" i="1"/>
  <c r="F11043" i="1"/>
  <c r="G11043" i="1"/>
  <c r="H11043" i="1"/>
  <c r="A11044" i="1"/>
  <c r="B11044" i="1"/>
  <c r="C11044" i="1"/>
  <c r="D11044" i="1"/>
  <c r="E11044" i="1"/>
  <c r="F11044" i="1"/>
  <c r="G11044" i="1"/>
  <c r="H11044" i="1"/>
  <c r="A11045" i="1"/>
  <c r="B11045" i="1"/>
  <c r="C11045" i="1"/>
  <c r="D11045" i="1"/>
  <c r="E11045" i="1"/>
  <c r="F11045" i="1"/>
  <c r="G11045" i="1"/>
  <c r="H11045" i="1"/>
  <c r="A11046" i="1"/>
  <c r="B11046" i="1"/>
  <c r="C11046" i="1"/>
  <c r="D11046" i="1"/>
  <c r="E11046" i="1"/>
  <c r="F11046" i="1"/>
  <c r="G11046" i="1"/>
  <c r="H11046" i="1"/>
  <c r="A11047" i="1"/>
  <c r="B11047" i="1"/>
  <c r="C11047" i="1"/>
  <c r="D11047" i="1"/>
  <c r="E11047" i="1"/>
  <c r="F11047" i="1"/>
  <c r="G11047" i="1"/>
  <c r="H11047" i="1"/>
  <c r="A11048" i="1"/>
  <c r="B11048" i="1"/>
  <c r="C11048" i="1"/>
  <c r="D11048" i="1"/>
  <c r="E11048" i="1"/>
  <c r="F11048" i="1"/>
  <c r="G11048" i="1"/>
  <c r="H11048" i="1"/>
  <c r="A11049" i="1"/>
  <c r="B11049" i="1"/>
  <c r="C11049" i="1"/>
  <c r="D11049" i="1"/>
  <c r="E11049" i="1"/>
  <c r="F11049" i="1"/>
  <c r="G11049" i="1"/>
  <c r="H11049" i="1"/>
  <c r="A11050" i="1"/>
  <c r="B11050" i="1"/>
  <c r="C11050" i="1"/>
  <c r="D11050" i="1"/>
  <c r="E11050" i="1"/>
  <c r="F11050" i="1"/>
  <c r="G11050" i="1"/>
  <c r="H11050" i="1"/>
  <c r="A11051" i="1"/>
  <c r="B11051" i="1"/>
  <c r="C11051" i="1"/>
  <c r="D11051" i="1"/>
  <c r="E11051" i="1"/>
  <c r="F11051" i="1"/>
  <c r="G11051" i="1"/>
  <c r="H11051" i="1"/>
  <c r="A11052" i="1"/>
  <c r="B11052" i="1"/>
  <c r="C11052" i="1"/>
  <c r="D11052" i="1"/>
  <c r="E11052" i="1"/>
  <c r="F11052" i="1"/>
  <c r="G11052" i="1"/>
  <c r="H11052" i="1"/>
  <c r="A11053" i="1"/>
  <c r="B11053" i="1"/>
  <c r="C11053" i="1"/>
  <c r="D11053" i="1"/>
  <c r="E11053" i="1"/>
  <c r="F11053" i="1"/>
  <c r="G11053" i="1"/>
  <c r="H11053" i="1"/>
  <c r="A11054" i="1"/>
  <c r="B11054" i="1"/>
  <c r="C11054" i="1"/>
  <c r="D11054" i="1"/>
  <c r="E11054" i="1"/>
  <c r="F11054" i="1"/>
  <c r="G11054" i="1"/>
  <c r="H11054" i="1"/>
  <c r="A11055" i="1"/>
  <c r="B11055" i="1"/>
  <c r="C11055" i="1"/>
  <c r="D11055" i="1"/>
  <c r="E11055" i="1"/>
  <c r="F11055" i="1"/>
  <c r="G11055" i="1"/>
  <c r="H11055" i="1"/>
  <c r="A11056" i="1"/>
  <c r="B11056" i="1"/>
  <c r="C11056" i="1"/>
  <c r="D11056" i="1"/>
  <c r="E11056" i="1"/>
  <c r="F11056" i="1"/>
  <c r="G11056" i="1"/>
  <c r="H11056" i="1"/>
  <c r="A11057" i="1"/>
  <c r="B11057" i="1"/>
  <c r="C11057" i="1"/>
  <c r="D11057" i="1"/>
  <c r="E11057" i="1"/>
  <c r="F11057" i="1"/>
  <c r="G11057" i="1"/>
  <c r="H11057" i="1"/>
  <c r="A11058" i="1"/>
  <c r="B11058" i="1"/>
  <c r="C11058" i="1"/>
  <c r="D11058" i="1"/>
  <c r="E11058" i="1"/>
  <c r="F11058" i="1"/>
  <c r="G11058" i="1"/>
  <c r="H11058" i="1"/>
  <c r="A11059" i="1"/>
  <c r="B11059" i="1"/>
  <c r="C11059" i="1"/>
  <c r="D11059" i="1"/>
  <c r="E11059" i="1"/>
  <c r="F11059" i="1"/>
  <c r="G11059" i="1"/>
  <c r="H11059" i="1"/>
  <c r="A11060" i="1"/>
  <c r="B11060" i="1"/>
  <c r="C11060" i="1"/>
  <c r="D11060" i="1"/>
  <c r="E11060" i="1"/>
  <c r="F11060" i="1"/>
  <c r="G11060" i="1"/>
  <c r="H11060" i="1"/>
  <c r="A11061" i="1"/>
  <c r="B11061" i="1"/>
  <c r="C11061" i="1"/>
  <c r="D11061" i="1"/>
  <c r="E11061" i="1"/>
  <c r="F11061" i="1"/>
  <c r="G11061" i="1"/>
  <c r="H11061" i="1"/>
  <c r="A11062" i="1"/>
  <c r="B11062" i="1"/>
  <c r="C11062" i="1"/>
  <c r="D11062" i="1"/>
  <c r="E11062" i="1"/>
  <c r="F11062" i="1"/>
  <c r="G11062" i="1"/>
  <c r="H11062" i="1"/>
  <c r="A11063" i="1"/>
  <c r="B11063" i="1"/>
  <c r="C11063" i="1"/>
  <c r="D11063" i="1"/>
  <c r="E11063" i="1"/>
  <c r="F11063" i="1"/>
  <c r="G11063" i="1"/>
  <c r="H11063" i="1"/>
  <c r="A11064" i="1"/>
  <c r="B11064" i="1"/>
  <c r="C11064" i="1"/>
  <c r="D11064" i="1"/>
  <c r="E11064" i="1"/>
  <c r="F11064" i="1"/>
  <c r="G11064" i="1"/>
  <c r="H11064" i="1"/>
  <c r="A11065" i="1"/>
  <c r="B11065" i="1"/>
  <c r="C11065" i="1"/>
  <c r="D11065" i="1"/>
  <c r="E11065" i="1"/>
  <c r="F11065" i="1"/>
  <c r="G11065" i="1"/>
  <c r="H11065" i="1"/>
  <c r="A11066" i="1"/>
  <c r="B11066" i="1"/>
  <c r="C11066" i="1"/>
  <c r="D11066" i="1"/>
  <c r="E11066" i="1"/>
  <c r="F11066" i="1"/>
  <c r="G11066" i="1"/>
  <c r="H11066" i="1"/>
  <c r="A11067" i="1"/>
  <c r="B11067" i="1"/>
  <c r="C11067" i="1"/>
  <c r="D11067" i="1"/>
  <c r="E11067" i="1"/>
  <c r="F11067" i="1"/>
  <c r="G11067" i="1"/>
  <c r="H11067" i="1"/>
  <c r="A11068" i="1"/>
  <c r="B11068" i="1"/>
  <c r="C11068" i="1"/>
  <c r="D11068" i="1"/>
  <c r="E11068" i="1"/>
  <c r="F11068" i="1"/>
  <c r="G11068" i="1"/>
  <c r="H11068" i="1"/>
  <c r="A11069" i="1"/>
  <c r="B11069" i="1"/>
  <c r="C11069" i="1"/>
  <c r="D11069" i="1"/>
  <c r="E11069" i="1"/>
  <c r="F11069" i="1"/>
  <c r="G11069" i="1"/>
  <c r="H11069" i="1"/>
  <c r="A11070" i="1"/>
  <c r="B11070" i="1"/>
  <c r="C11070" i="1"/>
  <c r="D11070" i="1"/>
  <c r="E11070" i="1"/>
  <c r="F11070" i="1"/>
  <c r="G11070" i="1"/>
  <c r="H11070" i="1"/>
  <c r="A11071" i="1"/>
  <c r="B11071" i="1"/>
  <c r="C11071" i="1"/>
  <c r="D11071" i="1"/>
  <c r="E11071" i="1"/>
  <c r="F11071" i="1"/>
  <c r="G11071" i="1"/>
  <c r="H11071" i="1"/>
  <c r="A11072" i="1"/>
  <c r="B11072" i="1"/>
  <c r="C11072" i="1"/>
  <c r="D11072" i="1"/>
  <c r="E11072" i="1"/>
  <c r="F11072" i="1"/>
  <c r="G11072" i="1"/>
  <c r="H11072" i="1"/>
  <c r="A11073" i="1"/>
  <c r="B11073" i="1"/>
  <c r="C11073" i="1"/>
  <c r="D11073" i="1"/>
  <c r="E11073" i="1"/>
  <c r="F11073" i="1"/>
  <c r="G11073" i="1"/>
  <c r="H11073" i="1"/>
  <c r="A11074" i="1"/>
  <c r="B11074" i="1"/>
  <c r="C11074" i="1"/>
  <c r="D11074" i="1"/>
  <c r="E11074" i="1"/>
  <c r="F11074" i="1"/>
  <c r="G11074" i="1"/>
  <c r="H11074" i="1"/>
  <c r="A11075" i="1"/>
  <c r="B11075" i="1"/>
  <c r="C11075" i="1"/>
  <c r="D11075" i="1"/>
  <c r="E11075" i="1"/>
  <c r="F11075" i="1"/>
  <c r="G11075" i="1"/>
  <c r="H11075" i="1"/>
  <c r="A11076" i="1"/>
  <c r="B11076" i="1"/>
  <c r="C11076" i="1"/>
  <c r="D11076" i="1"/>
  <c r="E11076" i="1"/>
  <c r="F11076" i="1"/>
  <c r="G11076" i="1"/>
  <c r="H11076" i="1"/>
  <c r="A11077" i="1"/>
  <c r="B11077" i="1"/>
  <c r="C11077" i="1"/>
  <c r="D11077" i="1"/>
  <c r="E11077" i="1"/>
  <c r="F11077" i="1"/>
  <c r="G11077" i="1"/>
  <c r="H11077" i="1"/>
  <c r="A11078" i="1"/>
  <c r="B11078" i="1"/>
  <c r="C11078" i="1"/>
  <c r="D11078" i="1"/>
  <c r="E11078" i="1"/>
  <c r="F11078" i="1"/>
  <c r="G11078" i="1"/>
  <c r="H11078" i="1"/>
  <c r="A11079" i="1"/>
  <c r="B11079" i="1"/>
  <c r="C11079" i="1"/>
  <c r="D11079" i="1"/>
  <c r="E11079" i="1"/>
  <c r="F11079" i="1"/>
  <c r="G11079" i="1"/>
  <c r="H11079" i="1"/>
  <c r="A11080" i="1"/>
  <c r="B11080" i="1"/>
  <c r="C11080" i="1"/>
  <c r="D11080" i="1"/>
  <c r="E11080" i="1"/>
  <c r="F11080" i="1"/>
  <c r="G11080" i="1"/>
  <c r="H11080" i="1"/>
  <c r="A11081" i="1"/>
  <c r="B11081" i="1"/>
  <c r="C11081" i="1"/>
  <c r="D11081" i="1"/>
  <c r="E11081" i="1"/>
  <c r="F11081" i="1"/>
  <c r="G11081" i="1"/>
  <c r="H11081" i="1"/>
  <c r="A11082" i="1"/>
  <c r="B11082" i="1"/>
  <c r="C11082" i="1"/>
  <c r="D11082" i="1"/>
  <c r="E11082" i="1"/>
  <c r="F11082" i="1"/>
  <c r="G11082" i="1"/>
  <c r="H11082" i="1"/>
  <c r="A11083" i="1"/>
  <c r="B11083" i="1"/>
  <c r="C11083" i="1"/>
  <c r="D11083" i="1"/>
  <c r="E11083" i="1"/>
  <c r="F11083" i="1"/>
  <c r="G11083" i="1"/>
  <c r="H11083" i="1"/>
  <c r="A11084" i="1"/>
  <c r="B11084" i="1"/>
  <c r="C11084" i="1"/>
  <c r="D11084" i="1"/>
  <c r="E11084" i="1"/>
  <c r="F11084" i="1"/>
  <c r="G11084" i="1"/>
  <c r="H11084" i="1"/>
  <c r="A11085" i="1"/>
  <c r="B11085" i="1"/>
  <c r="C11085" i="1"/>
  <c r="D11085" i="1"/>
  <c r="E11085" i="1"/>
  <c r="F11085" i="1"/>
  <c r="G11085" i="1"/>
  <c r="H11085" i="1"/>
  <c r="A11086" i="1"/>
  <c r="B11086" i="1"/>
  <c r="C11086" i="1"/>
  <c r="D11086" i="1"/>
  <c r="E11086" i="1"/>
  <c r="F11086" i="1"/>
  <c r="G11086" i="1"/>
  <c r="H11086" i="1"/>
  <c r="A11087" i="1"/>
  <c r="B11087" i="1"/>
  <c r="C11087" i="1"/>
  <c r="D11087" i="1"/>
  <c r="E11087" i="1"/>
  <c r="F11087" i="1"/>
  <c r="G11087" i="1"/>
  <c r="H11087" i="1"/>
  <c r="A11088" i="1"/>
  <c r="B11088" i="1"/>
  <c r="C11088" i="1"/>
  <c r="D11088" i="1"/>
  <c r="E11088" i="1"/>
  <c r="F11088" i="1"/>
  <c r="G11088" i="1"/>
  <c r="H11088" i="1"/>
  <c r="A11089" i="1"/>
  <c r="B11089" i="1"/>
  <c r="C11089" i="1"/>
  <c r="D11089" i="1"/>
  <c r="E11089" i="1"/>
  <c r="F11089" i="1"/>
  <c r="G11089" i="1"/>
  <c r="H11089" i="1"/>
  <c r="A11090" i="1"/>
  <c r="B11090" i="1"/>
  <c r="C11090" i="1"/>
  <c r="D11090" i="1"/>
  <c r="E11090" i="1"/>
  <c r="F11090" i="1"/>
  <c r="G11090" i="1"/>
  <c r="H11090" i="1"/>
  <c r="A11091" i="1"/>
  <c r="B11091" i="1"/>
  <c r="C11091" i="1"/>
  <c r="D11091" i="1"/>
  <c r="E11091" i="1"/>
  <c r="F11091" i="1"/>
  <c r="G11091" i="1"/>
  <c r="H11091" i="1"/>
  <c r="A11092" i="1"/>
  <c r="B11092" i="1"/>
  <c r="C11092" i="1"/>
  <c r="D11092" i="1"/>
  <c r="E11092" i="1"/>
  <c r="F11092" i="1"/>
  <c r="G11092" i="1"/>
  <c r="H11092" i="1"/>
  <c r="A11093" i="1"/>
  <c r="B11093" i="1"/>
  <c r="C11093" i="1"/>
  <c r="D11093" i="1"/>
  <c r="E11093" i="1"/>
  <c r="F11093" i="1"/>
  <c r="G11093" i="1"/>
  <c r="H11093" i="1"/>
  <c r="A11094" i="1"/>
  <c r="B11094" i="1"/>
  <c r="C11094" i="1"/>
  <c r="D11094" i="1"/>
  <c r="E11094" i="1"/>
  <c r="F11094" i="1"/>
  <c r="G11094" i="1"/>
  <c r="H11094" i="1"/>
  <c r="A11095" i="1"/>
  <c r="B11095" i="1"/>
  <c r="C11095" i="1"/>
  <c r="D11095" i="1"/>
  <c r="E11095" i="1"/>
  <c r="F11095" i="1"/>
  <c r="G11095" i="1"/>
  <c r="H11095" i="1"/>
  <c r="A11096" i="1"/>
  <c r="B11096" i="1"/>
  <c r="C11096" i="1"/>
  <c r="D11096" i="1"/>
  <c r="E11096" i="1"/>
  <c r="F11096" i="1"/>
  <c r="G11096" i="1"/>
  <c r="H11096" i="1"/>
  <c r="A11097" i="1"/>
  <c r="B11097" i="1"/>
  <c r="C11097" i="1"/>
  <c r="D11097" i="1"/>
  <c r="E11097" i="1"/>
  <c r="F11097" i="1"/>
  <c r="G11097" i="1"/>
  <c r="H11097" i="1"/>
  <c r="A11098" i="1"/>
  <c r="B11098" i="1"/>
  <c r="C11098" i="1"/>
  <c r="D11098" i="1"/>
  <c r="E11098" i="1"/>
  <c r="F11098" i="1"/>
  <c r="G11098" i="1"/>
  <c r="H11098" i="1"/>
  <c r="A11099" i="1"/>
  <c r="B11099" i="1"/>
  <c r="C11099" i="1"/>
  <c r="D11099" i="1"/>
  <c r="E11099" i="1"/>
  <c r="F11099" i="1"/>
  <c r="G11099" i="1"/>
  <c r="H11099" i="1"/>
  <c r="A11100" i="1"/>
  <c r="B11100" i="1"/>
  <c r="C11100" i="1"/>
  <c r="D11100" i="1"/>
  <c r="E11100" i="1"/>
  <c r="F11100" i="1"/>
  <c r="G11100" i="1"/>
  <c r="H11100" i="1"/>
  <c r="A11101" i="1"/>
  <c r="B11101" i="1"/>
  <c r="C11101" i="1"/>
  <c r="D11101" i="1"/>
  <c r="E11101" i="1"/>
  <c r="F11101" i="1"/>
  <c r="G11101" i="1"/>
  <c r="H11101" i="1"/>
  <c r="A11102" i="1"/>
  <c r="B11102" i="1"/>
  <c r="C11102" i="1"/>
  <c r="D11102" i="1"/>
  <c r="E11102" i="1"/>
  <c r="F11102" i="1"/>
  <c r="G11102" i="1"/>
  <c r="H11102" i="1"/>
  <c r="A11103" i="1"/>
  <c r="B11103" i="1"/>
  <c r="C11103" i="1"/>
  <c r="D11103" i="1"/>
  <c r="E11103" i="1"/>
  <c r="F11103" i="1"/>
  <c r="G11103" i="1"/>
  <c r="H11103" i="1"/>
  <c r="A11104" i="1"/>
  <c r="B11104" i="1"/>
  <c r="C11104" i="1"/>
  <c r="D11104" i="1"/>
  <c r="E11104" i="1"/>
  <c r="F11104" i="1"/>
  <c r="G11104" i="1"/>
  <c r="H11104" i="1"/>
  <c r="A11105" i="1"/>
  <c r="B11105" i="1"/>
  <c r="C11105" i="1"/>
  <c r="D11105" i="1"/>
  <c r="E11105" i="1"/>
  <c r="F11105" i="1"/>
  <c r="G11105" i="1"/>
  <c r="H11105" i="1"/>
  <c r="A11106" i="1"/>
  <c r="B11106" i="1"/>
  <c r="C11106" i="1"/>
  <c r="D11106" i="1"/>
  <c r="E11106" i="1"/>
  <c r="F11106" i="1"/>
  <c r="G11106" i="1"/>
  <c r="H11106" i="1"/>
  <c r="A11107" i="1"/>
  <c r="B11107" i="1"/>
  <c r="C11107" i="1"/>
  <c r="D11107" i="1"/>
  <c r="E11107" i="1"/>
  <c r="F11107" i="1"/>
  <c r="G11107" i="1"/>
  <c r="H11107" i="1"/>
  <c r="A11108" i="1"/>
  <c r="B11108" i="1"/>
  <c r="C11108" i="1"/>
  <c r="D11108" i="1"/>
  <c r="E11108" i="1"/>
  <c r="F11108" i="1"/>
  <c r="G11108" i="1"/>
  <c r="H11108" i="1"/>
  <c r="A11109" i="1"/>
  <c r="B11109" i="1"/>
  <c r="C11109" i="1"/>
  <c r="D11109" i="1"/>
  <c r="E11109" i="1"/>
  <c r="F11109" i="1"/>
  <c r="G11109" i="1"/>
  <c r="H11109" i="1"/>
  <c r="A11110" i="1"/>
  <c r="B11110" i="1"/>
  <c r="C11110" i="1"/>
  <c r="D11110" i="1"/>
  <c r="E11110" i="1"/>
  <c r="F11110" i="1"/>
  <c r="G11110" i="1"/>
  <c r="H11110" i="1"/>
  <c r="A11111" i="1"/>
  <c r="B11111" i="1"/>
  <c r="C11111" i="1"/>
  <c r="D11111" i="1"/>
  <c r="E11111" i="1"/>
  <c r="F11111" i="1"/>
  <c r="G11111" i="1"/>
  <c r="H11111" i="1"/>
  <c r="A11112" i="1"/>
  <c r="B11112" i="1"/>
  <c r="C11112" i="1"/>
  <c r="D11112" i="1"/>
  <c r="E11112" i="1"/>
  <c r="F11112" i="1"/>
  <c r="G11112" i="1"/>
  <c r="H11112" i="1"/>
  <c r="A11113" i="1"/>
  <c r="B11113" i="1"/>
  <c r="C11113" i="1"/>
  <c r="D11113" i="1"/>
  <c r="E11113" i="1"/>
  <c r="F11113" i="1"/>
  <c r="G11113" i="1"/>
  <c r="H11113" i="1"/>
  <c r="A11114" i="1"/>
  <c r="B11114" i="1"/>
  <c r="C11114" i="1"/>
  <c r="D11114" i="1"/>
  <c r="E11114" i="1"/>
  <c r="F11114" i="1"/>
  <c r="G11114" i="1"/>
  <c r="H11114" i="1"/>
  <c r="A11115" i="1"/>
  <c r="B11115" i="1"/>
  <c r="C11115" i="1"/>
  <c r="D11115" i="1"/>
  <c r="E11115" i="1"/>
  <c r="F11115" i="1"/>
  <c r="G11115" i="1"/>
  <c r="H11115" i="1"/>
  <c r="A11116" i="1"/>
  <c r="B11116" i="1"/>
  <c r="C11116" i="1"/>
  <c r="D11116" i="1"/>
  <c r="E11116" i="1"/>
  <c r="F11116" i="1"/>
  <c r="G11116" i="1"/>
  <c r="H11116" i="1"/>
  <c r="A11117" i="1"/>
  <c r="B11117" i="1"/>
  <c r="C11117" i="1"/>
  <c r="D11117" i="1"/>
  <c r="E11117" i="1"/>
  <c r="F11117" i="1"/>
  <c r="G11117" i="1"/>
  <c r="H11117" i="1"/>
  <c r="A11118" i="1"/>
  <c r="B11118" i="1"/>
  <c r="C11118" i="1"/>
  <c r="D11118" i="1"/>
  <c r="E11118" i="1"/>
  <c r="F11118" i="1"/>
  <c r="G11118" i="1"/>
  <c r="H11118" i="1"/>
  <c r="A11119" i="1"/>
  <c r="B11119" i="1"/>
  <c r="C11119" i="1"/>
  <c r="D11119" i="1"/>
  <c r="E11119" i="1"/>
  <c r="F11119" i="1"/>
  <c r="G11119" i="1"/>
  <c r="H11119" i="1"/>
  <c r="A11120" i="1"/>
  <c r="B11120" i="1"/>
  <c r="C11120" i="1"/>
  <c r="D11120" i="1"/>
  <c r="E11120" i="1"/>
  <c r="F11120" i="1"/>
  <c r="G11120" i="1"/>
  <c r="H11120" i="1"/>
  <c r="A11121" i="1"/>
  <c r="B11121" i="1"/>
  <c r="C11121" i="1"/>
  <c r="D11121" i="1"/>
  <c r="E11121" i="1"/>
  <c r="F11121" i="1"/>
  <c r="G11121" i="1"/>
  <c r="H11121" i="1"/>
  <c r="A11122" i="1"/>
  <c r="B11122" i="1"/>
  <c r="C11122" i="1"/>
  <c r="D11122" i="1"/>
  <c r="E11122" i="1"/>
  <c r="F11122" i="1"/>
  <c r="G11122" i="1"/>
  <c r="H11122" i="1"/>
  <c r="A11123" i="1"/>
  <c r="B11123" i="1"/>
  <c r="C11123" i="1"/>
  <c r="D11123" i="1"/>
  <c r="E11123" i="1"/>
  <c r="F11123" i="1"/>
  <c r="G11123" i="1"/>
  <c r="H11123" i="1"/>
  <c r="A11124" i="1"/>
  <c r="B11124" i="1"/>
  <c r="C11124" i="1"/>
  <c r="D11124" i="1"/>
  <c r="E11124" i="1"/>
  <c r="F11124" i="1"/>
  <c r="G11124" i="1"/>
  <c r="H11124" i="1"/>
  <c r="A11125" i="1"/>
  <c r="B11125" i="1"/>
  <c r="C11125" i="1"/>
  <c r="D11125" i="1"/>
  <c r="E11125" i="1"/>
  <c r="F11125" i="1"/>
  <c r="G11125" i="1"/>
  <c r="H11125" i="1"/>
  <c r="A11126" i="1"/>
  <c r="B11126" i="1"/>
  <c r="C11126" i="1"/>
  <c r="D11126" i="1"/>
  <c r="E11126" i="1"/>
  <c r="F11126" i="1"/>
  <c r="G11126" i="1"/>
  <c r="H11126" i="1"/>
  <c r="A11127" i="1"/>
  <c r="B11127" i="1"/>
  <c r="C11127" i="1"/>
  <c r="D11127" i="1"/>
  <c r="E11127" i="1"/>
  <c r="F11127" i="1"/>
  <c r="G11127" i="1"/>
  <c r="H11127" i="1"/>
  <c r="A11128" i="1"/>
  <c r="B11128" i="1"/>
  <c r="C11128" i="1"/>
  <c r="D11128" i="1"/>
  <c r="E11128" i="1"/>
  <c r="F11128" i="1"/>
  <c r="G11128" i="1"/>
  <c r="H11128" i="1"/>
  <c r="A11129" i="1"/>
  <c r="B11129" i="1"/>
  <c r="C11129" i="1"/>
  <c r="D11129" i="1"/>
  <c r="E11129" i="1"/>
  <c r="F11129" i="1"/>
  <c r="G11129" i="1"/>
  <c r="H11129" i="1"/>
  <c r="A11130" i="1"/>
  <c r="B11130" i="1"/>
  <c r="C11130" i="1"/>
  <c r="D11130" i="1"/>
  <c r="E11130" i="1"/>
  <c r="F11130" i="1"/>
  <c r="G11130" i="1"/>
  <c r="H11130" i="1"/>
  <c r="A11131" i="1"/>
  <c r="B11131" i="1"/>
  <c r="C11131" i="1"/>
  <c r="D11131" i="1"/>
  <c r="E11131" i="1"/>
  <c r="F11131" i="1"/>
  <c r="G11131" i="1"/>
  <c r="H11131" i="1"/>
  <c r="A11132" i="1"/>
  <c r="B11132" i="1"/>
  <c r="C11132" i="1"/>
  <c r="D11132" i="1"/>
  <c r="E11132" i="1"/>
  <c r="F11132" i="1"/>
  <c r="G11132" i="1"/>
  <c r="H11132" i="1"/>
  <c r="A11133" i="1"/>
  <c r="B11133" i="1"/>
  <c r="C11133" i="1"/>
  <c r="D11133" i="1"/>
  <c r="E11133" i="1"/>
  <c r="F11133" i="1"/>
  <c r="G11133" i="1"/>
  <c r="H11133" i="1"/>
  <c r="A11134" i="1"/>
  <c r="B11134" i="1"/>
  <c r="C11134" i="1"/>
  <c r="D11134" i="1"/>
  <c r="E11134" i="1"/>
  <c r="F11134" i="1"/>
  <c r="G11134" i="1"/>
  <c r="H11134" i="1"/>
  <c r="A11135" i="1"/>
  <c r="B11135" i="1"/>
  <c r="C11135" i="1"/>
  <c r="D11135" i="1"/>
  <c r="E11135" i="1"/>
  <c r="F11135" i="1"/>
  <c r="G11135" i="1"/>
  <c r="H11135" i="1"/>
  <c r="A11136" i="1"/>
  <c r="B11136" i="1"/>
  <c r="C11136" i="1"/>
  <c r="D11136" i="1"/>
  <c r="E11136" i="1"/>
  <c r="F11136" i="1"/>
  <c r="G11136" i="1"/>
  <c r="H11136" i="1"/>
  <c r="A11137" i="1"/>
  <c r="B11137" i="1"/>
  <c r="C11137" i="1"/>
  <c r="D11137" i="1"/>
  <c r="E11137" i="1"/>
  <c r="F11137" i="1"/>
  <c r="G11137" i="1"/>
  <c r="H11137" i="1"/>
  <c r="A11138" i="1"/>
  <c r="B11138" i="1"/>
  <c r="C11138" i="1"/>
  <c r="D11138" i="1"/>
  <c r="E11138" i="1"/>
  <c r="F11138" i="1"/>
  <c r="G11138" i="1"/>
  <c r="H11138" i="1"/>
  <c r="A11139" i="1"/>
  <c r="B11139" i="1"/>
  <c r="C11139" i="1"/>
  <c r="D11139" i="1"/>
  <c r="E11139" i="1"/>
  <c r="F11139" i="1"/>
  <c r="G11139" i="1"/>
  <c r="H11139" i="1"/>
  <c r="A11140" i="1"/>
  <c r="B11140" i="1"/>
  <c r="C11140" i="1"/>
  <c r="D11140" i="1"/>
  <c r="E11140" i="1"/>
  <c r="F11140" i="1"/>
  <c r="G11140" i="1"/>
  <c r="H11140" i="1"/>
  <c r="A11141" i="1"/>
  <c r="B11141" i="1"/>
  <c r="C11141" i="1"/>
  <c r="D11141" i="1"/>
  <c r="E11141" i="1"/>
  <c r="F11141" i="1"/>
  <c r="G11141" i="1"/>
  <c r="H11141" i="1"/>
  <c r="A11142" i="1"/>
  <c r="B11142" i="1"/>
  <c r="C11142" i="1"/>
  <c r="D11142" i="1"/>
  <c r="E11142" i="1"/>
  <c r="F11142" i="1"/>
  <c r="G11142" i="1"/>
  <c r="H11142" i="1"/>
  <c r="A11143" i="1"/>
  <c r="B11143" i="1"/>
  <c r="C11143" i="1"/>
  <c r="D11143" i="1"/>
  <c r="E11143" i="1"/>
  <c r="F11143" i="1"/>
  <c r="G11143" i="1"/>
  <c r="H11143" i="1"/>
  <c r="A11144" i="1"/>
  <c r="B11144" i="1"/>
  <c r="C11144" i="1"/>
  <c r="D11144" i="1"/>
  <c r="E11144" i="1"/>
  <c r="F11144" i="1"/>
  <c r="G11144" i="1"/>
  <c r="H11144" i="1"/>
  <c r="A11145" i="1"/>
  <c r="B11145" i="1"/>
  <c r="C11145" i="1"/>
  <c r="D11145" i="1"/>
  <c r="E11145" i="1"/>
  <c r="F11145" i="1"/>
  <c r="G11145" i="1"/>
  <c r="H11145" i="1"/>
  <c r="A11146" i="1"/>
  <c r="B11146" i="1"/>
  <c r="C11146" i="1"/>
  <c r="D11146" i="1"/>
  <c r="E11146" i="1"/>
  <c r="F11146" i="1"/>
  <c r="G11146" i="1"/>
  <c r="H11146" i="1"/>
  <c r="A11147" i="1"/>
  <c r="B11147" i="1"/>
  <c r="C11147" i="1"/>
  <c r="D11147" i="1"/>
  <c r="E11147" i="1"/>
  <c r="F11147" i="1"/>
  <c r="G11147" i="1"/>
  <c r="H11147" i="1"/>
  <c r="A11148" i="1"/>
  <c r="B11148" i="1"/>
  <c r="C11148" i="1"/>
  <c r="D11148" i="1"/>
  <c r="E11148" i="1"/>
  <c r="F11148" i="1"/>
  <c r="G11148" i="1"/>
  <c r="H11148" i="1"/>
  <c r="A11149" i="1"/>
  <c r="B11149" i="1"/>
  <c r="C11149" i="1"/>
  <c r="D11149" i="1"/>
  <c r="E11149" i="1"/>
  <c r="F11149" i="1"/>
  <c r="G11149" i="1"/>
  <c r="H11149" i="1"/>
  <c r="A11150" i="1"/>
  <c r="B11150" i="1"/>
  <c r="C11150" i="1"/>
  <c r="D11150" i="1"/>
  <c r="E11150" i="1"/>
  <c r="F11150" i="1"/>
  <c r="G11150" i="1"/>
  <c r="H11150" i="1"/>
  <c r="A11151" i="1"/>
  <c r="B11151" i="1"/>
  <c r="C11151" i="1"/>
  <c r="D11151" i="1"/>
  <c r="E11151" i="1"/>
  <c r="F11151" i="1"/>
  <c r="G11151" i="1"/>
  <c r="H11151" i="1"/>
  <c r="A11152" i="1"/>
  <c r="B11152" i="1"/>
  <c r="C11152" i="1"/>
  <c r="D11152" i="1"/>
  <c r="E11152" i="1"/>
  <c r="F11152" i="1"/>
  <c r="G11152" i="1"/>
  <c r="H11152" i="1"/>
  <c r="A11153" i="1"/>
  <c r="B11153" i="1"/>
  <c r="C11153" i="1"/>
  <c r="D11153" i="1"/>
  <c r="E11153" i="1"/>
  <c r="F11153" i="1"/>
  <c r="G11153" i="1"/>
  <c r="H11153" i="1"/>
  <c r="A11154" i="1"/>
  <c r="B11154" i="1"/>
  <c r="C11154" i="1"/>
  <c r="D11154" i="1"/>
  <c r="E11154" i="1"/>
  <c r="F11154" i="1"/>
  <c r="G11154" i="1"/>
  <c r="H11154" i="1"/>
  <c r="A11155" i="1"/>
  <c r="B11155" i="1"/>
  <c r="C11155" i="1"/>
  <c r="D11155" i="1"/>
  <c r="E11155" i="1"/>
  <c r="F11155" i="1"/>
  <c r="G11155" i="1"/>
  <c r="H11155" i="1"/>
  <c r="A11156" i="1"/>
  <c r="B11156" i="1"/>
  <c r="C11156" i="1"/>
  <c r="D11156" i="1"/>
  <c r="E11156" i="1"/>
  <c r="F11156" i="1"/>
  <c r="G11156" i="1"/>
  <c r="H11156" i="1"/>
  <c r="A11157" i="1"/>
  <c r="B11157" i="1"/>
  <c r="C11157" i="1"/>
  <c r="D11157" i="1"/>
  <c r="E11157" i="1"/>
  <c r="F11157" i="1"/>
  <c r="G11157" i="1"/>
  <c r="H11157" i="1"/>
  <c r="A11158" i="1"/>
  <c r="B11158" i="1"/>
  <c r="C11158" i="1"/>
  <c r="D11158" i="1"/>
  <c r="E11158" i="1"/>
  <c r="F11158" i="1"/>
  <c r="G11158" i="1"/>
  <c r="H11158" i="1"/>
  <c r="A11159" i="1"/>
  <c r="B11159" i="1"/>
  <c r="C11159" i="1"/>
  <c r="D11159" i="1"/>
  <c r="E11159" i="1"/>
  <c r="F11159" i="1"/>
  <c r="G11159" i="1"/>
  <c r="H11159" i="1"/>
  <c r="A11160" i="1"/>
  <c r="B11160" i="1"/>
  <c r="C11160" i="1"/>
  <c r="D11160" i="1"/>
  <c r="E11160" i="1"/>
  <c r="F11160" i="1"/>
  <c r="G11160" i="1"/>
  <c r="H11160" i="1"/>
  <c r="A11161" i="1"/>
  <c r="B11161" i="1"/>
  <c r="C11161" i="1"/>
  <c r="D11161" i="1"/>
  <c r="E11161" i="1"/>
  <c r="F11161" i="1"/>
  <c r="G11161" i="1"/>
  <c r="H11161" i="1"/>
  <c r="A11162" i="1"/>
  <c r="B11162" i="1"/>
  <c r="C11162" i="1"/>
  <c r="D11162" i="1"/>
  <c r="E11162" i="1"/>
  <c r="F11162" i="1"/>
  <c r="G11162" i="1"/>
  <c r="H11162" i="1"/>
  <c r="A11163" i="1"/>
  <c r="B11163" i="1"/>
  <c r="C11163" i="1"/>
  <c r="D11163" i="1"/>
  <c r="E11163" i="1"/>
  <c r="F11163" i="1"/>
  <c r="G11163" i="1"/>
  <c r="H11163" i="1"/>
  <c r="A11164" i="1"/>
  <c r="B11164" i="1"/>
  <c r="C11164" i="1"/>
  <c r="D11164" i="1"/>
  <c r="E11164" i="1"/>
  <c r="F11164" i="1"/>
  <c r="G11164" i="1"/>
  <c r="H11164" i="1"/>
  <c r="A11165" i="1"/>
  <c r="B11165" i="1"/>
  <c r="C11165" i="1"/>
  <c r="D11165" i="1"/>
  <c r="E11165" i="1"/>
  <c r="F11165" i="1"/>
  <c r="G11165" i="1"/>
  <c r="H11165" i="1"/>
  <c r="A11166" i="1"/>
  <c r="B11166" i="1"/>
  <c r="C11166" i="1"/>
  <c r="D11166" i="1"/>
  <c r="E11166" i="1"/>
  <c r="F11166" i="1"/>
  <c r="G11166" i="1"/>
  <c r="H11166" i="1"/>
  <c r="A11167" i="1"/>
  <c r="B11167" i="1"/>
  <c r="C11167" i="1"/>
  <c r="D11167" i="1"/>
  <c r="E11167" i="1"/>
  <c r="F11167" i="1"/>
  <c r="G11167" i="1"/>
  <c r="H11167" i="1"/>
  <c r="A11168" i="1"/>
  <c r="B11168" i="1"/>
  <c r="C11168" i="1"/>
  <c r="D11168" i="1"/>
  <c r="E11168" i="1"/>
  <c r="F11168" i="1"/>
  <c r="G11168" i="1"/>
  <c r="H11168" i="1"/>
  <c r="A11169" i="1"/>
  <c r="B11169" i="1"/>
  <c r="C11169" i="1"/>
  <c r="D11169" i="1"/>
  <c r="E11169" i="1"/>
  <c r="F11169" i="1"/>
  <c r="G11169" i="1"/>
  <c r="H11169" i="1"/>
  <c r="A11170" i="1"/>
  <c r="B11170" i="1"/>
  <c r="C11170" i="1"/>
  <c r="D11170" i="1"/>
  <c r="E11170" i="1"/>
  <c r="F11170" i="1"/>
  <c r="G11170" i="1"/>
  <c r="H11170" i="1"/>
  <c r="A11171" i="1"/>
  <c r="B11171" i="1"/>
  <c r="C11171" i="1"/>
  <c r="D11171" i="1"/>
  <c r="E11171" i="1"/>
  <c r="F11171" i="1"/>
  <c r="G11171" i="1"/>
  <c r="H11171" i="1"/>
  <c r="A11172" i="1"/>
  <c r="B11172" i="1"/>
  <c r="C11172" i="1"/>
  <c r="D11172" i="1"/>
  <c r="E11172" i="1"/>
  <c r="F11172" i="1"/>
  <c r="G11172" i="1"/>
  <c r="H11172" i="1"/>
  <c r="A11173" i="1"/>
  <c r="B11173" i="1"/>
  <c r="C11173" i="1"/>
  <c r="D11173" i="1"/>
  <c r="E11173" i="1"/>
  <c r="F11173" i="1"/>
  <c r="G11173" i="1"/>
  <c r="H11173" i="1"/>
  <c r="A11174" i="1"/>
  <c r="B11174" i="1"/>
  <c r="C11174" i="1"/>
  <c r="D11174" i="1"/>
  <c r="E11174" i="1"/>
  <c r="F11174" i="1"/>
  <c r="G11174" i="1"/>
  <c r="H11174" i="1"/>
  <c r="A11175" i="1"/>
  <c r="B11175" i="1"/>
  <c r="C11175" i="1"/>
  <c r="D11175" i="1"/>
  <c r="E11175" i="1"/>
  <c r="F11175" i="1"/>
  <c r="G11175" i="1"/>
  <c r="H11175" i="1"/>
  <c r="A11176" i="1"/>
  <c r="B11176" i="1"/>
  <c r="C11176" i="1"/>
  <c r="D11176" i="1"/>
  <c r="E11176" i="1"/>
  <c r="F11176" i="1"/>
  <c r="G11176" i="1"/>
  <c r="H11176" i="1"/>
  <c r="A11177" i="1"/>
  <c r="B11177" i="1"/>
  <c r="C11177" i="1"/>
  <c r="D11177" i="1"/>
  <c r="E11177" i="1"/>
  <c r="F11177" i="1"/>
  <c r="G11177" i="1"/>
  <c r="H11177" i="1"/>
  <c r="A11178" i="1"/>
  <c r="B11178" i="1"/>
  <c r="C11178" i="1"/>
  <c r="D11178" i="1"/>
  <c r="E11178" i="1"/>
  <c r="F11178" i="1"/>
  <c r="G11178" i="1"/>
  <c r="H11178" i="1"/>
  <c r="A11179" i="1"/>
  <c r="B11179" i="1"/>
  <c r="C11179" i="1"/>
  <c r="D11179" i="1"/>
  <c r="E11179" i="1"/>
  <c r="F11179" i="1"/>
  <c r="G11179" i="1"/>
  <c r="H11179" i="1"/>
  <c r="A11180" i="1"/>
  <c r="B11180" i="1"/>
  <c r="C11180" i="1"/>
  <c r="D11180" i="1"/>
  <c r="E11180" i="1"/>
  <c r="F11180" i="1"/>
  <c r="G11180" i="1"/>
  <c r="H11180" i="1"/>
  <c r="A11181" i="1"/>
  <c r="B11181" i="1"/>
  <c r="C11181" i="1"/>
  <c r="D11181" i="1"/>
  <c r="E11181" i="1"/>
  <c r="F11181" i="1"/>
  <c r="G11181" i="1"/>
  <c r="H11181" i="1"/>
  <c r="A11182" i="1"/>
  <c r="B11182" i="1"/>
  <c r="C11182" i="1"/>
  <c r="D11182" i="1"/>
  <c r="E11182" i="1"/>
  <c r="F11182" i="1"/>
  <c r="G11182" i="1"/>
  <c r="H11182" i="1"/>
  <c r="A11183" i="1"/>
  <c r="B11183" i="1"/>
  <c r="C11183" i="1"/>
  <c r="D11183" i="1"/>
  <c r="E11183" i="1"/>
  <c r="F11183" i="1"/>
  <c r="G11183" i="1"/>
  <c r="H11183" i="1"/>
  <c r="A11184" i="1"/>
  <c r="B11184" i="1"/>
  <c r="C11184" i="1"/>
  <c r="D11184" i="1"/>
  <c r="E11184" i="1"/>
  <c r="F11184" i="1"/>
  <c r="G11184" i="1"/>
  <c r="H11184" i="1"/>
  <c r="A11185" i="1"/>
  <c r="B11185" i="1"/>
  <c r="C11185" i="1"/>
  <c r="D11185" i="1"/>
  <c r="E11185" i="1"/>
  <c r="F11185" i="1"/>
  <c r="G11185" i="1"/>
  <c r="H11185" i="1"/>
  <c r="A11186" i="1"/>
  <c r="B11186" i="1"/>
  <c r="C11186" i="1"/>
  <c r="D11186" i="1"/>
  <c r="E11186" i="1"/>
  <c r="F11186" i="1"/>
  <c r="G11186" i="1"/>
  <c r="H11186" i="1"/>
  <c r="A11187" i="1"/>
  <c r="B11187" i="1"/>
  <c r="C11187" i="1"/>
  <c r="D11187" i="1"/>
  <c r="E11187" i="1"/>
  <c r="F11187" i="1"/>
  <c r="G11187" i="1"/>
  <c r="H11187" i="1"/>
  <c r="A11188" i="1"/>
  <c r="B11188" i="1"/>
  <c r="C11188" i="1"/>
  <c r="D11188" i="1"/>
  <c r="E11188" i="1"/>
  <c r="F11188" i="1"/>
  <c r="G11188" i="1"/>
  <c r="H11188" i="1"/>
  <c r="A11189" i="1"/>
  <c r="B11189" i="1"/>
  <c r="C11189" i="1"/>
  <c r="D11189" i="1"/>
  <c r="E11189" i="1"/>
  <c r="F11189" i="1"/>
  <c r="G11189" i="1"/>
  <c r="H11189" i="1"/>
  <c r="A11190" i="1"/>
  <c r="B11190" i="1"/>
  <c r="C11190" i="1"/>
  <c r="D11190" i="1"/>
  <c r="E11190" i="1"/>
  <c r="F11190" i="1"/>
  <c r="G11190" i="1"/>
  <c r="H11190" i="1"/>
  <c r="A11191" i="1"/>
  <c r="B11191" i="1"/>
  <c r="C11191" i="1"/>
  <c r="D11191" i="1"/>
  <c r="E11191" i="1"/>
  <c r="F11191" i="1"/>
  <c r="G11191" i="1"/>
  <c r="H11191" i="1"/>
  <c r="A11192" i="1"/>
  <c r="B11192" i="1"/>
  <c r="C11192" i="1"/>
  <c r="D11192" i="1"/>
  <c r="E11192" i="1"/>
  <c r="F11192" i="1"/>
  <c r="G11192" i="1"/>
  <c r="H11192" i="1"/>
  <c r="A11193" i="1"/>
  <c r="B11193" i="1"/>
  <c r="C11193" i="1"/>
  <c r="D11193" i="1"/>
  <c r="E11193" i="1"/>
  <c r="F11193" i="1"/>
  <c r="G11193" i="1"/>
  <c r="H11193" i="1"/>
  <c r="A11194" i="1"/>
  <c r="B11194" i="1"/>
  <c r="C11194" i="1"/>
  <c r="D11194" i="1"/>
  <c r="E11194" i="1"/>
  <c r="F11194" i="1"/>
  <c r="G11194" i="1"/>
  <c r="H11194" i="1"/>
  <c r="A11195" i="1"/>
  <c r="B11195" i="1"/>
  <c r="C11195" i="1"/>
  <c r="D11195" i="1"/>
  <c r="E11195" i="1"/>
  <c r="F11195" i="1"/>
  <c r="G11195" i="1"/>
  <c r="H11195" i="1"/>
  <c r="A11196" i="1"/>
  <c r="B11196" i="1"/>
  <c r="C11196" i="1"/>
  <c r="D11196" i="1"/>
  <c r="E11196" i="1"/>
  <c r="F11196" i="1"/>
  <c r="G11196" i="1"/>
  <c r="H11196" i="1"/>
  <c r="A11197" i="1"/>
  <c r="B11197" i="1"/>
  <c r="C11197" i="1"/>
  <c r="D11197" i="1"/>
  <c r="E11197" i="1"/>
  <c r="F11197" i="1"/>
  <c r="G11197" i="1"/>
  <c r="H11197" i="1"/>
  <c r="A11198" i="1"/>
  <c r="B11198" i="1"/>
  <c r="C11198" i="1"/>
  <c r="D11198" i="1"/>
  <c r="E11198" i="1"/>
  <c r="F11198" i="1"/>
  <c r="G11198" i="1"/>
  <c r="H11198" i="1"/>
  <c r="A11199" i="1"/>
  <c r="B11199" i="1"/>
  <c r="C11199" i="1"/>
  <c r="D11199" i="1"/>
  <c r="E11199" i="1"/>
  <c r="F11199" i="1"/>
  <c r="G11199" i="1"/>
  <c r="H11199" i="1"/>
  <c r="A11200" i="1"/>
  <c r="B11200" i="1"/>
  <c r="C11200" i="1"/>
  <c r="D11200" i="1"/>
  <c r="E11200" i="1"/>
  <c r="F11200" i="1"/>
  <c r="G11200" i="1"/>
  <c r="H11200" i="1"/>
  <c r="A11201" i="1"/>
  <c r="B11201" i="1"/>
  <c r="C11201" i="1"/>
  <c r="D11201" i="1"/>
  <c r="E11201" i="1"/>
  <c r="F11201" i="1"/>
  <c r="G11201" i="1"/>
  <c r="H11201" i="1"/>
  <c r="A11202" i="1"/>
  <c r="B11202" i="1"/>
  <c r="C11202" i="1"/>
  <c r="D11202" i="1"/>
  <c r="E11202" i="1"/>
  <c r="F11202" i="1"/>
  <c r="G11202" i="1"/>
  <c r="H11202" i="1"/>
  <c r="A11203" i="1"/>
  <c r="B11203" i="1"/>
  <c r="C11203" i="1"/>
  <c r="D11203" i="1"/>
  <c r="E11203" i="1"/>
  <c r="F11203" i="1"/>
  <c r="G11203" i="1"/>
  <c r="H11203" i="1"/>
  <c r="A11204" i="1"/>
  <c r="B11204" i="1"/>
  <c r="C11204" i="1"/>
  <c r="D11204" i="1"/>
  <c r="E11204" i="1"/>
  <c r="F11204" i="1"/>
  <c r="G11204" i="1"/>
  <c r="H11204" i="1"/>
  <c r="A11205" i="1"/>
  <c r="B11205" i="1"/>
  <c r="C11205" i="1"/>
  <c r="D11205" i="1"/>
  <c r="E11205" i="1"/>
  <c r="F11205" i="1"/>
  <c r="G11205" i="1"/>
  <c r="H11205" i="1"/>
  <c r="A11206" i="1"/>
  <c r="B11206" i="1"/>
  <c r="C11206" i="1"/>
  <c r="D11206" i="1"/>
  <c r="E11206" i="1"/>
  <c r="F11206" i="1"/>
  <c r="G11206" i="1"/>
  <c r="H11206" i="1"/>
  <c r="A11207" i="1"/>
  <c r="B11207" i="1"/>
  <c r="C11207" i="1"/>
  <c r="D11207" i="1"/>
  <c r="E11207" i="1"/>
  <c r="F11207" i="1"/>
  <c r="G11207" i="1"/>
  <c r="H11207" i="1"/>
  <c r="A11208" i="1"/>
  <c r="B11208" i="1"/>
  <c r="C11208" i="1"/>
  <c r="D11208" i="1"/>
  <c r="E11208" i="1"/>
  <c r="F11208" i="1"/>
  <c r="G11208" i="1"/>
  <c r="H11208" i="1"/>
  <c r="A11209" i="1"/>
  <c r="B11209" i="1"/>
  <c r="C11209" i="1"/>
  <c r="D11209" i="1"/>
  <c r="E11209" i="1"/>
  <c r="F11209" i="1"/>
  <c r="G11209" i="1"/>
  <c r="H11209" i="1"/>
  <c r="A11210" i="1"/>
  <c r="B11210" i="1"/>
  <c r="C11210" i="1"/>
  <c r="D11210" i="1"/>
  <c r="E11210" i="1"/>
  <c r="F11210" i="1"/>
  <c r="G11210" i="1"/>
  <c r="H11210" i="1"/>
  <c r="A11211" i="1"/>
  <c r="B11211" i="1"/>
  <c r="C11211" i="1"/>
  <c r="D11211" i="1"/>
  <c r="E11211" i="1"/>
  <c r="F11211" i="1"/>
  <c r="G11211" i="1"/>
  <c r="H11211" i="1"/>
  <c r="A11212" i="1"/>
  <c r="B11212" i="1"/>
  <c r="C11212" i="1"/>
  <c r="D11212" i="1"/>
  <c r="E11212" i="1"/>
  <c r="F11212" i="1"/>
  <c r="G11212" i="1"/>
  <c r="H11212" i="1"/>
  <c r="A11213" i="1"/>
  <c r="B11213" i="1"/>
  <c r="C11213" i="1"/>
  <c r="D11213" i="1"/>
  <c r="E11213" i="1"/>
  <c r="F11213" i="1"/>
  <c r="G11213" i="1"/>
  <c r="H11213" i="1"/>
  <c r="A11214" i="1"/>
  <c r="B11214" i="1"/>
  <c r="C11214" i="1"/>
  <c r="D11214" i="1"/>
  <c r="E11214" i="1"/>
  <c r="F11214" i="1"/>
  <c r="G11214" i="1"/>
  <c r="H11214" i="1"/>
  <c r="A11215" i="1"/>
  <c r="B11215" i="1"/>
  <c r="C11215" i="1"/>
  <c r="D11215" i="1"/>
  <c r="E11215" i="1"/>
  <c r="F11215" i="1"/>
  <c r="G11215" i="1"/>
  <c r="H11215" i="1"/>
  <c r="A11216" i="1"/>
  <c r="B11216" i="1"/>
  <c r="C11216" i="1"/>
  <c r="D11216" i="1"/>
  <c r="E11216" i="1"/>
  <c r="F11216" i="1"/>
  <c r="G11216" i="1"/>
  <c r="H11216" i="1"/>
  <c r="A11217" i="1"/>
  <c r="B11217" i="1"/>
  <c r="C11217" i="1"/>
  <c r="D11217" i="1"/>
  <c r="E11217" i="1"/>
  <c r="F11217" i="1"/>
  <c r="G11217" i="1"/>
  <c r="H11217" i="1"/>
  <c r="A11218" i="1"/>
  <c r="B11218" i="1"/>
  <c r="C11218" i="1"/>
  <c r="D11218" i="1"/>
  <c r="E11218" i="1"/>
  <c r="F11218" i="1"/>
  <c r="G11218" i="1"/>
  <c r="H11218" i="1"/>
  <c r="A11219" i="1"/>
  <c r="B11219" i="1"/>
  <c r="C11219" i="1"/>
  <c r="D11219" i="1"/>
  <c r="E11219" i="1"/>
  <c r="F11219" i="1"/>
  <c r="G11219" i="1"/>
  <c r="H11219" i="1"/>
  <c r="A11220" i="1"/>
  <c r="B11220" i="1"/>
  <c r="C11220" i="1"/>
  <c r="D11220" i="1"/>
  <c r="E11220" i="1"/>
  <c r="F11220" i="1"/>
  <c r="G11220" i="1"/>
  <c r="H11220" i="1"/>
  <c r="A11221" i="1"/>
  <c r="B11221" i="1"/>
  <c r="C11221" i="1"/>
  <c r="D11221" i="1"/>
  <c r="E11221" i="1"/>
  <c r="F11221" i="1"/>
  <c r="G11221" i="1"/>
  <c r="H11221" i="1"/>
  <c r="A11222" i="1"/>
  <c r="B11222" i="1"/>
  <c r="C11222" i="1"/>
  <c r="D11222" i="1"/>
  <c r="E11222" i="1"/>
  <c r="F11222" i="1"/>
  <c r="G11222" i="1"/>
  <c r="H11222" i="1"/>
  <c r="A11223" i="1"/>
  <c r="B11223" i="1"/>
  <c r="C11223" i="1"/>
  <c r="D11223" i="1"/>
  <c r="E11223" i="1"/>
  <c r="F11223" i="1"/>
  <c r="G11223" i="1"/>
  <c r="H11223" i="1"/>
  <c r="A11224" i="1"/>
  <c r="B11224" i="1"/>
  <c r="C11224" i="1"/>
  <c r="D11224" i="1"/>
  <c r="E11224" i="1"/>
  <c r="F11224" i="1"/>
  <c r="G11224" i="1"/>
  <c r="H11224" i="1"/>
  <c r="A11225" i="1"/>
  <c r="B11225" i="1"/>
  <c r="C11225" i="1"/>
  <c r="D11225" i="1"/>
  <c r="E11225" i="1"/>
  <c r="F11225" i="1"/>
  <c r="G11225" i="1"/>
  <c r="H11225" i="1"/>
  <c r="A11226" i="1"/>
  <c r="B11226" i="1"/>
  <c r="C11226" i="1"/>
  <c r="D11226" i="1"/>
  <c r="E11226" i="1"/>
  <c r="F11226" i="1"/>
  <c r="G11226" i="1"/>
  <c r="H11226" i="1"/>
  <c r="A11227" i="1"/>
  <c r="B11227" i="1"/>
  <c r="C11227" i="1"/>
  <c r="D11227" i="1"/>
  <c r="E11227" i="1"/>
  <c r="F11227" i="1"/>
  <c r="G11227" i="1"/>
  <c r="H11227" i="1"/>
  <c r="A11228" i="1"/>
  <c r="B11228" i="1"/>
  <c r="C11228" i="1"/>
  <c r="D11228" i="1"/>
  <c r="E11228" i="1"/>
  <c r="F11228" i="1"/>
  <c r="G11228" i="1"/>
  <c r="H11228" i="1"/>
  <c r="A11229" i="1"/>
  <c r="B11229" i="1"/>
  <c r="C11229" i="1"/>
  <c r="D11229" i="1"/>
  <c r="E11229" i="1"/>
  <c r="F11229" i="1"/>
  <c r="G11229" i="1"/>
  <c r="H11229" i="1"/>
  <c r="A11230" i="1"/>
  <c r="B11230" i="1"/>
  <c r="C11230" i="1"/>
  <c r="D11230" i="1"/>
  <c r="E11230" i="1"/>
  <c r="F11230" i="1"/>
  <c r="G11230" i="1"/>
  <c r="H11230" i="1"/>
  <c r="A11231" i="1"/>
  <c r="B11231" i="1"/>
  <c r="C11231" i="1"/>
  <c r="D11231" i="1"/>
  <c r="E11231" i="1"/>
  <c r="F11231" i="1"/>
  <c r="G11231" i="1"/>
  <c r="H11231" i="1"/>
  <c r="A11232" i="1"/>
  <c r="B11232" i="1"/>
  <c r="C11232" i="1"/>
  <c r="D11232" i="1"/>
  <c r="E11232" i="1"/>
  <c r="F11232" i="1"/>
  <c r="G11232" i="1"/>
  <c r="H11232" i="1"/>
  <c r="A11233" i="1"/>
  <c r="B11233" i="1"/>
  <c r="C11233" i="1"/>
  <c r="D11233" i="1"/>
  <c r="E11233" i="1"/>
  <c r="F11233" i="1"/>
  <c r="G11233" i="1"/>
  <c r="H11233" i="1"/>
  <c r="A11234" i="1"/>
  <c r="B11234" i="1"/>
  <c r="C11234" i="1"/>
  <c r="D11234" i="1"/>
  <c r="E11234" i="1"/>
  <c r="F11234" i="1"/>
  <c r="G11234" i="1"/>
  <c r="H11234" i="1"/>
  <c r="A11235" i="1"/>
  <c r="B11235" i="1"/>
  <c r="C11235" i="1"/>
  <c r="D11235" i="1"/>
  <c r="E11235" i="1"/>
  <c r="F11235" i="1"/>
  <c r="G11235" i="1"/>
  <c r="H11235" i="1"/>
  <c r="A11236" i="1"/>
  <c r="B11236" i="1"/>
  <c r="C11236" i="1"/>
  <c r="D11236" i="1"/>
  <c r="E11236" i="1"/>
  <c r="F11236" i="1"/>
  <c r="G11236" i="1"/>
  <c r="H11236" i="1"/>
  <c r="A11237" i="1"/>
  <c r="B11237" i="1"/>
  <c r="C11237" i="1"/>
  <c r="D11237" i="1"/>
  <c r="E11237" i="1"/>
  <c r="F11237" i="1"/>
  <c r="G11237" i="1"/>
  <c r="H11237" i="1"/>
  <c r="A11238" i="1"/>
  <c r="B11238" i="1"/>
  <c r="C11238" i="1"/>
  <c r="D11238" i="1"/>
  <c r="E11238" i="1"/>
  <c r="F11238" i="1"/>
  <c r="G11238" i="1"/>
  <c r="H11238" i="1"/>
  <c r="A11239" i="1"/>
  <c r="B11239" i="1"/>
  <c r="C11239" i="1"/>
  <c r="D11239" i="1"/>
  <c r="E11239" i="1"/>
  <c r="F11239" i="1"/>
  <c r="G11239" i="1"/>
  <c r="H11239" i="1"/>
  <c r="A11240" i="1"/>
  <c r="B11240" i="1"/>
  <c r="C11240" i="1"/>
  <c r="D11240" i="1"/>
  <c r="E11240" i="1"/>
  <c r="F11240" i="1"/>
  <c r="G11240" i="1"/>
  <c r="H11240" i="1"/>
  <c r="A11241" i="1"/>
  <c r="B11241" i="1"/>
  <c r="C11241" i="1"/>
  <c r="D11241" i="1"/>
  <c r="E11241" i="1"/>
  <c r="F11241" i="1"/>
  <c r="G11241" i="1"/>
  <c r="H11241" i="1"/>
  <c r="A11242" i="1"/>
  <c r="B11242" i="1"/>
  <c r="C11242" i="1"/>
  <c r="D11242" i="1"/>
  <c r="E11242" i="1"/>
  <c r="F11242" i="1"/>
  <c r="G11242" i="1"/>
  <c r="H11242" i="1"/>
  <c r="A11243" i="1"/>
  <c r="B11243" i="1"/>
  <c r="C11243" i="1"/>
  <c r="D11243" i="1"/>
  <c r="E11243" i="1"/>
  <c r="F11243" i="1"/>
  <c r="G11243" i="1"/>
  <c r="H11243" i="1"/>
  <c r="A11244" i="1"/>
  <c r="B11244" i="1"/>
  <c r="C11244" i="1"/>
  <c r="D11244" i="1"/>
  <c r="E11244" i="1"/>
  <c r="F11244" i="1"/>
  <c r="G11244" i="1"/>
  <c r="H11244" i="1"/>
  <c r="A11245" i="1"/>
  <c r="B11245" i="1"/>
  <c r="C11245" i="1"/>
  <c r="D11245" i="1"/>
  <c r="E11245" i="1"/>
  <c r="F11245" i="1"/>
  <c r="G11245" i="1"/>
  <c r="H11245" i="1"/>
  <c r="A11246" i="1"/>
  <c r="B11246" i="1"/>
  <c r="C11246" i="1"/>
  <c r="D11246" i="1"/>
  <c r="E11246" i="1"/>
  <c r="F11246" i="1"/>
  <c r="G11246" i="1"/>
  <c r="H11246" i="1"/>
  <c r="A11247" i="1"/>
  <c r="B11247" i="1"/>
  <c r="C11247" i="1"/>
  <c r="D11247" i="1"/>
  <c r="E11247" i="1"/>
  <c r="F11247" i="1"/>
  <c r="G11247" i="1"/>
  <c r="H11247" i="1"/>
  <c r="A11248" i="1"/>
  <c r="B11248" i="1"/>
  <c r="C11248" i="1"/>
  <c r="D11248" i="1"/>
  <c r="E11248" i="1"/>
  <c r="F11248" i="1"/>
  <c r="G11248" i="1"/>
  <c r="H11248" i="1"/>
  <c r="A11249" i="1"/>
  <c r="B11249" i="1"/>
  <c r="C11249" i="1"/>
  <c r="D11249" i="1"/>
  <c r="E11249" i="1"/>
  <c r="F11249" i="1"/>
  <c r="G11249" i="1"/>
  <c r="H11249" i="1"/>
  <c r="A11250" i="1"/>
  <c r="B11250" i="1"/>
  <c r="C11250" i="1"/>
  <c r="D11250" i="1"/>
  <c r="E11250" i="1"/>
  <c r="F11250" i="1"/>
  <c r="G11250" i="1"/>
  <c r="H11250" i="1"/>
  <c r="A11251" i="1"/>
  <c r="B11251" i="1"/>
  <c r="C11251" i="1"/>
  <c r="D11251" i="1"/>
  <c r="E11251" i="1"/>
  <c r="F11251" i="1"/>
  <c r="G11251" i="1"/>
  <c r="H11251" i="1"/>
  <c r="A11252" i="1"/>
  <c r="B11252" i="1"/>
  <c r="C11252" i="1"/>
  <c r="D11252" i="1"/>
  <c r="E11252" i="1"/>
  <c r="F11252" i="1"/>
  <c r="G11252" i="1"/>
  <c r="H11252" i="1"/>
  <c r="A11253" i="1"/>
  <c r="B11253" i="1"/>
  <c r="C11253" i="1"/>
  <c r="D11253" i="1"/>
  <c r="E11253" i="1"/>
  <c r="F11253" i="1"/>
  <c r="G11253" i="1"/>
  <c r="H11253" i="1"/>
  <c r="A11254" i="1"/>
  <c r="B11254" i="1"/>
  <c r="C11254" i="1"/>
  <c r="D11254" i="1"/>
  <c r="E11254" i="1"/>
  <c r="F11254" i="1"/>
  <c r="G11254" i="1"/>
  <c r="H11254" i="1"/>
  <c r="A11255" i="1"/>
  <c r="B11255" i="1"/>
  <c r="C11255" i="1"/>
  <c r="D11255" i="1"/>
  <c r="E11255" i="1"/>
  <c r="F11255" i="1"/>
  <c r="G11255" i="1"/>
  <c r="H11255" i="1"/>
  <c r="A11256" i="1"/>
  <c r="B11256" i="1"/>
  <c r="C11256" i="1"/>
  <c r="D11256" i="1"/>
  <c r="E11256" i="1"/>
  <c r="F11256" i="1"/>
  <c r="G11256" i="1"/>
  <c r="H11256" i="1"/>
  <c r="A11257" i="1"/>
  <c r="B11257" i="1"/>
  <c r="C11257" i="1"/>
  <c r="D11257" i="1"/>
  <c r="E11257" i="1"/>
  <c r="F11257" i="1"/>
  <c r="G11257" i="1"/>
  <c r="H11257" i="1"/>
  <c r="A11258" i="1"/>
  <c r="B11258" i="1"/>
  <c r="C11258" i="1"/>
  <c r="D11258" i="1"/>
  <c r="E11258" i="1"/>
  <c r="F11258" i="1"/>
  <c r="G11258" i="1"/>
  <c r="H11258" i="1"/>
  <c r="A11259" i="1"/>
  <c r="B11259" i="1"/>
  <c r="C11259" i="1"/>
  <c r="D11259" i="1"/>
  <c r="E11259" i="1"/>
  <c r="F11259" i="1"/>
  <c r="G11259" i="1"/>
  <c r="H11259" i="1"/>
  <c r="A11260" i="1"/>
  <c r="B11260" i="1"/>
  <c r="C11260" i="1"/>
  <c r="D11260" i="1"/>
  <c r="E11260" i="1"/>
  <c r="F11260" i="1"/>
  <c r="G11260" i="1"/>
  <c r="H11260" i="1"/>
  <c r="A11261" i="1"/>
  <c r="B11261" i="1"/>
  <c r="C11261" i="1"/>
  <c r="D11261" i="1"/>
  <c r="E11261" i="1"/>
  <c r="F11261" i="1"/>
  <c r="G11261" i="1"/>
  <c r="H11261" i="1"/>
  <c r="A11262" i="1"/>
  <c r="B11262" i="1"/>
  <c r="C11262" i="1"/>
  <c r="D11262" i="1"/>
  <c r="E11262" i="1"/>
  <c r="F11262" i="1"/>
  <c r="G11262" i="1"/>
  <c r="H11262" i="1"/>
  <c r="A11263" i="1"/>
  <c r="B11263" i="1"/>
  <c r="C11263" i="1"/>
  <c r="D11263" i="1"/>
  <c r="E11263" i="1"/>
  <c r="F11263" i="1"/>
  <c r="G11263" i="1"/>
  <c r="H11263" i="1"/>
  <c r="A11264" i="1"/>
  <c r="B11264" i="1"/>
  <c r="C11264" i="1"/>
  <c r="D11264" i="1"/>
  <c r="E11264" i="1"/>
  <c r="F11264" i="1"/>
  <c r="G11264" i="1"/>
  <c r="H11264" i="1"/>
  <c r="A11265" i="1"/>
  <c r="B11265" i="1"/>
  <c r="C11265" i="1"/>
  <c r="D11265" i="1"/>
  <c r="E11265" i="1"/>
  <c r="F11265" i="1"/>
  <c r="G11265" i="1"/>
  <c r="H11265" i="1"/>
  <c r="A11266" i="1"/>
  <c r="B11266" i="1"/>
  <c r="C11266" i="1"/>
  <c r="D11266" i="1"/>
  <c r="E11266" i="1"/>
  <c r="F11266" i="1"/>
  <c r="G11266" i="1"/>
  <c r="H11266" i="1"/>
  <c r="A11267" i="1"/>
  <c r="B11267" i="1"/>
  <c r="C11267" i="1"/>
  <c r="D11267" i="1"/>
  <c r="E11267" i="1"/>
  <c r="F11267" i="1"/>
  <c r="G11267" i="1"/>
  <c r="H11267" i="1"/>
  <c r="A11268" i="1"/>
  <c r="B11268" i="1"/>
  <c r="C11268" i="1"/>
  <c r="D11268" i="1"/>
  <c r="E11268" i="1"/>
  <c r="F11268" i="1"/>
  <c r="G11268" i="1"/>
  <c r="H11268" i="1"/>
  <c r="A11269" i="1"/>
  <c r="B11269" i="1"/>
  <c r="C11269" i="1"/>
  <c r="D11269" i="1"/>
  <c r="E11269" i="1"/>
  <c r="F11269" i="1"/>
  <c r="G11269" i="1"/>
  <c r="H11269" i="1"/>
  <c r="A11270" i="1"/>
  <c r="B11270" i="1"/>
  <c r="C11270" i="1"/>
  <c r="D11270" i="1"/>
  <c r="E11270" i="1"/>
  <c r="F11270" i="1"/>
  <c r="G11270" i="1"/>
  <c r="H11270" i="1"/>
  <c r="A11271" i="1"/>
  <c r="B11271" i="1"/>
  <c r="C11271" i="1"/>
  <c r="D11271" i="1"/>
  <c r="E11271" i="1"/>
  <c r="F11271" i="1"/>
  <c r="G11271" i="1"/>
  <c r="H11271" i="1"/>
  <c r="A11272" i="1"/>
  <c r="B11272" i="1"/>
  <c r="C11272" i="1"/>
  <c r="D11272" i="1"/>
  <c r="E11272" i="1"/>
  <c r="F11272" i="1"/>
  <c r="G11272" i="1"/>
  <c r="H11272" i="1"/>
  <c r="A11273" i="1"/>
  <c r="B11273" i="1"/>
  <c r="C11273" i="1"/>
  <c r="D11273" i="1"/>
  <c r="E11273" i="1"/>
  <c r="F11273" i="1"/>
  <c r="G11273" i="1"/>
  <c r="H11273" i="1"/>
  <c r="A11274" i="1"/>
  <c r="B11274" i="1"/>
  <c r="C11274" i="1"/>
  <c r="D11274" i="1"/>
  <c r="E11274" i="1"/>
  <c r="F11274" i="1"/>
  <c r="G11274" i="1"/>
  <c r="H11274" i="1"/>
  <c r="A11275" i="1"/>
  <c r="B11275" i="1"/>
  <c r="C11275" i="1"/>
  <c r="D11275" i="1"/>
  <c r="E11275" i="1"/>
  <c r="F11275" i="1"/>
  <c r="G11275" i="1"/>
  <c r="H11275" i="1"/>
  <c r="A11276" i="1"/>
  <c r="B11276" i="1"/>
  <c r="C11276" i="1"/>
  <c r="D11276" i="1"/>
  <c r="E11276" i="1"/>
  <c r="F11276" i="1"/>
  <c r="G11276" i="1"/>
  <c r="H11276" i="1"/>
  <c r="A11277" i="1"/>
  <c r="B11277" i="1"/>
  <c r="C11277" i="1"/>
  <c r="D11277" i="1"/>
  <c r="E11277" i="1"/>
  <c r="F11277" i="1"/>
  <c r="G11277" i="1"/>
  <c r="H11277" i="1"/>
  <c r="A11278" i="1"/>
  <c r="B11278" i="1"/>
  <c r="C11278" i="1"/>
  <c r="D11278" i="1"/>
  <c r="E11278" i="1"/>
  <c r="F11278" i="1"/>
  <c r="G11278" i="1"/>
  <c r="H11278" i="1"/>
  <c r="A11279" i="1"/>
  <c r="B11279" i="1"/>
  <c r="C11279" i="1"/>
  <c r="D11279" i="1"/>
  <c r="E11279" i="1"/>
  <c r="F11279" i="1"/>
  <c r="G11279" i="1"/>
  <c r="H11279" i="1"/>
  <c r="A11280" i="1"/>
  <c r="B11280" i="1"/>
  <c r="C11280" i="1"/>
  <c r="D11280" i="1"/>
  <c r="E11280" i="1"/>
  <c r="F11280" i="1"/>
  <c r="G11280" i="1"/>
  <c r="H11280" i="1"/>
  <c r="A11281" i="1"/>
  <c r="B11281" i="1"/>
  <c r="C11281" i="1"/>
  <c r="D11281" i="1"/>
  <c r="E11281" i="1"/>
  <c r="F11281" i="1"/>
  <c r="G11281" i="1"/>
  <c r="H11281" i="1"/>
  <c r="A11282" i="1"/>
  <c r="B11282" i="1"/>
  <c r="C11282" i="1"/>
  <c r="D11282" i="1"/>
  <c r="E11282" i="1"/>
  <c r="F11282" i="1"/>
  <c r="G11282" i="1"/>
  <c r="H11282" i="1"/>
  <c r="A11283" i="1"/>
  <c r="B11283" i="1"/>
  <c r="C11283" i="1"/>
  <c r="D11283" i="1"/>
  <c r="E11283" i="1"/>
  <c r="F11283" i="1"/>
  <c r="G11283" i="1"/>
  <c r="H11283" i="1"/>
  <c r="A11284" i="1"/>
  <c r="B11284" i="1"/>
  <c r="C11284" i="1"/>
  <c r="D11284" i="1"/>
  <c r="E11284" i="1"/>
  <c r="F11284" i="1"/>
  <c r="G11284" i="1"/>
  <c r="H11284" i="1"/>
  <c r="A11285" i="1"/>
  <c r="B11285" i="1"/>
  <c r="C11285" i="1"/>
  <c r="D11285" i="1"/>
  <c r="E11285" i="1"/>
  <c r="F11285" i="1"/>
  <c r="G11285" i="1"/>
  <c r="H11285" i="1"/>
  <c r="A11286" i="1"/>
  <c r="B11286" i="1"/>
  <c r="C11286" i="1"/>
  <c r="D11286" i="1"/>
  <c r="E11286" i="1"/>
  <c r="F11286" i="1"/>
  <c r="G11286" i="1"/>
  <c r="H11286" i="1"/>
  <c r="A11287" i="1"/>
  <c r="B11287" i="1"/>
  <c r="C11287" i="1"/>
  <c r="D11287" i="1"/>
  <c r="E11287" i="1"/>
  <c r="F11287" i="1"/>
  <c r="G11287" i="1"/>
  <c r="H11287" i="1"/>
  <c r="A11288" i="1"/>
  <c r="B11288" i="1"/>
  <c r="C11288" i="1"/>
  <c r="D11288" i="1"/>
  <c r="E11288" i="1"/>
  <c r="F11288" i="1"/>
  <c r="G11288" i="1"/>
  <c r="H11288" i="1"/>
  <c r="A11289" i="1"/>
  <c r="B11289" i="1"/>
  <c r="C11289" i="1"/>
  <c r="D11289" i="1"/>
  <c r="E11289" i="1"/>
  <c r="F11289" i="1"/>
  <c r="G11289" i="1"/>
  <c r="H11289" i="1"/>
  <c r="A11290" i="1"/>
  <c r="B11290" i="1"/>
  <c r="C11290" i="1"/>
  <c r="D11290" i="1"/>
  <c r="E11290" i="1"/>
  <c r="F11290" i="1"/>
  <c r="G11290" i="1"/>
  <c r="H11290" i="1"/>
  <c r="A11291" i="1"/>
  <c r="B11291" i="1"/>
  <c r="C11291" i="1"/>
  <c r="D11291" i="1"/>
  <c r="E11291" i="1"/>
  <c r="F11291" i="1"/>
  <c r="G11291" i="1"/>
  <c r="H11291" i="1"/>
  <c r="A11292" i="1"/>
  <c r="B11292" i="1"/>
  <c r="C11292" i="1"/>
  <c r="D11292" i="1"/>
  <c r="E11292" i="1"/>
  <c r="F11292" i="1"/>
  <c r="G11292" i="1"/>
  <c r="H11292" i="1"/>
  <c r="A11293" i="1"/>
  <c r="B11293" i="1"/>
  <c r="C11293" i="1"/>
  <c r="D11293" i="1"/>
  <c r="E11293" i="1"/>
  <c r="F11293" i="1"/>
  <c r="G11293" i="1"/>
  <c r="H11293" i="1"/>
  <c r="A11294" i="1"/>
  <c r="B11294" i="1"/>
  <c r="C11294" i="1"/>
  <c r="D11294" i="1"/>
  <c r="E11294" i="1"/>
  <c r="F11294" i="1"/>
  <c r="G11294" i="1"/>
  <c r="H11294" i="1"/>
  <c r="A11295" i="1"/>
  <c r="B11295" i="1"/>
  <c r="C11295" i="1"/>
  <c r="D11295" i="1"/>
  <c r="E11295" i="1"/>
  <c r="F11295" i="1"/>
  <c r="G11295" i="1"/>
  <c r="H11295" i="1"/>
  <c r="A11296" i="1"/>
  <c r="B11296" i="1"/>
  <c r="C11296" i="1"/>
  <c r="D11296" i="1"/>
  <c r="E11296" i="1"/>
  <c r="F11296" i="1"/>
  <c r="G11296" i="1"/>
  <c r="H11296" i="1"/>
  <c r="A11297" i="1"/>
  <c r="B11297" i="1"/>
  <c r="C11297" i="1"/>
  <c r="D11297" i="1"/>
  <c r="E11297" i="1"/>
  <c r="F11297" i="1"/>
  <c r="G11297" i="1"/>
  <c r="H11297" i="1"/>
  <c r="A11298" i="1"/>
  <c r="B11298" i="1"/>
  <c r="C11298" i="1"/>
  <c r="D11298" i="1"/>
  <c r="E11298" i="1"/>
  <c r="F11298" i="1"/>
  <c r="G11298" i="1"/>
  <c r="H11298" i="1"/>
  <c r="A11299" i="1"/>
  <c r="B11299" i="1"/>
  <c r="C11299" i="1"/>
  <c r="D11299" i="1"/>
  <c r="E11299" i="1"/>
  <c r="F11299" i="1"/>
  <c r="G11299" i="1"/>
  <c r="H11299" i="1"/>
  <c r="A11300" i="1"/>
  <c r="B11300" i="1"/>
  <c r="C11300" i="1"/>
  <c r="D11300" i="1"/>
  <c r="E11300" i="1"/>
  <c r="F11300" i="1"/>
  <c r="G11300" i="1"/>
  <c r="H11300" i="1"/>
  <c r="A11301" i="1"/>
  <c r="B11301" i="1"/>
  <c r="C11301" i="1"/>
  <c r="D11301" i="1"/>
  <c r="E11301" i="1"/>
  <c r="F11301" i="1"/>
  <c r="G11301" i="1"/>
  <c r="H11301" i="1"/>
  <c r="A11302" i="1"/>
  <c r="B11302" i="1"/>
  <c r="C11302" i="1"/>
  <c r="D11302" i="1"/>
  <c r="E11302" i="1"/>
  <c r="F11302" i="1"/>
  <c r="G11302" i="1"/>
  <c r="H11302" i="1"/>
  <c r="A11303" i="1"/>
  <c r="B11303" i="1"/>
  <c r="C11303" i="1"/>
  <c r="D11303" i="1"/>
  <c r="E11303" i="1"/>
  <c r="F11303" i="1"/>
  <c r="G11303" i="1"/>
  <c r="H11303" i="1"/>
  <c r="A11304" i="1"/>
  <c r="B11304" i="1"/>
  <c r="C11304" i="1"/>
  <c r="D11304" i="1"/>
  <c r="E11304" i="1"/>
  <c r="F11304" i="1"/>
  <c r="G11304" i="1"/>
  <c r="H11304" i="1"/>
  <c r="A11305" i="1"/>
  <c r="B11305" i="1"/>
  <c r="C11305" i="1"/>
  <c r="D11305" i="1"/>
  <c r="E11305" i="1"/>
  <c r="F11305" i="1"/>
  <c r="G11305" i="1"/>
  <c r="H11305" i="1"/>
  <c r="A11306" i="1"/>
  <c r="B11306" i="1"/>
  <c r="C11306" i="1"/>
  <c r="D11306" i="1"/>
  <c r="E11306" i="1"/>
  <c r="F11306" i="1"/>
  <c r="G11306" i="1"/>
  <c r="H11306" i="1"/>
  <c r="A11307" i="1"/>
  <c r="B11307" i="1"/>
  <c r="C11307" i="1"/>
  <c r="D11307" i="1"/>
  <c r="E11307" i="1"/>
  <c r="F11307" i="1"/>
  <c r="G11307" i="1"/>
  <c r="H11307" i="1"/>
  <c r="A11308" i="1"/>
  <c r="B11308" i="1"/>
  <c r="C11308" i="1"/>
  <c r="D11308" i="1"/>
  <c r="E11308" i="1"/>
  <c r="F11308" i="1"/>
  <c r="G11308" i="1"/>
  <c r="H11308" i="1"/>
  <c r="A11309" i="1"/>
  <c r="B11309" i="1"/>
  <c r="C11309" i="1"/>
  <c r="D11309" i="1"/>
  <c r="E11309" i="1"/>
  <c r="F11309" i="1"/>
  <c r="G11309" i="1"/>
  <c r="H11309" i="1"/>
  <c r="A11310" i="1"/>
  <c r="B11310" i="1"/>
  <c r="C11310" i="1"/>
  <c r="D11310" i="1"/>
  <c r="E11310" i="1"/>
  <c r="F11310" i="1"/>
  <c r="G11310" i="1"/>
  <c r="H11310" i="1"/>
  <c r="A11311" i="1"/>
  <c r="B11311" i="1"/>
  <c r="C11311" i="1"/>
  <c r="D11311" i="1"/>
  <c r="E11311" i="1"/>
  <c r="F11311" i="1"/>
  <c r="G11311" i="1"/>
  <c r="H11311" i="1"/>
  <c r="A11312" i="1"/>
  <c r="B11312" i="1"/>
  <c r="C11312" i="1"/>
  <c r="D11312" i="1"/>
  <c r="E11312" i="1"/>
  <c r="F11312" i="1"/>
  <c r="G11312" i="1"/>
  <c r="H11312" i="1"/>
  <c r="A11313" i="1"/>
  <c r="B11313" i="1"/>
  <c r="C11313" i="1"/>
  <c r="D11313" i="1"/>
  <c r="E11313" i="1"/>
  <c r="F11313" i="1"/>
  <c r="G11313" i="1"/>
  <c r="H11313" i="1"/>
  <c r="A11314" i="1"/>
  <c r="B11314" i="1"/>
  <c r="C11314" i="1"/>
  <c r="D11314" i="1"/>
  <c r="E11314" i="1"/>
  <c r="F11314" i="1"/>
  <c r="G11314" i="1"/>
  <c r="H11314" i="1"/>
  <c r="A11315" i="1"/>
  <c r="B11315" i="1"/>
  <c r="C11315" i="1"/>
  <c r="D11315" i="1"/>
  <c r="E11315" i="1"/>
  <c r="F11315" i="1"/>
  <c r="G11315" i="1"/>
  <c r="H11315" i="1"/>
  <c r="A11316" i="1"/>
  <c r="B11316" i="1"/>
  <c r="C11316" i="1"/>
  <c r="D11316" i="1"/>
  <c r="E11316" i="1"/>
  <c r="F11316" i="1"/>
  <c r="G11316" i="1"/>
  <c r="H11316" i="1"/>
  <c r="A11317" i="1"/>
  <c r="B11317" i="1"/>
  <c r="C11317" i="1"/>
  <c r="D11317" i="1"/>
  <c r="E11317" i="1"/>
  <c r="F11317" i="1"/>
  <c r="G11317" i="1"/>
  <c r="H11317" i="1"/>
  <c r="A11318" i="1"/>
  <c r="B11318" i="1"/>
  <c r="C11318" i="1"/>
  <c r="D11318" i="1"/>
  <c r="E11318" i="1"/>
  <c r="F11318" i="1"/>
  <c r="G11318" i="1"/>
  <c r="H11318" i="1"/>
  <c r="A11319" i="1"/>
  <c r="B11319" i="1"/>
  <c r="C11319" i="1"/>
  <c r="D11319" i="1"/>
  <c r="E11319" i="1"/>
  <c r="F11319" i="1"/>
  <c r="G11319" i="1"/>
  <c r="H11319" i="1"/>
  <c r="A11320" i="1"/>
  <c r="B11320" i="1"/>
  <c r="C11320" i="1"/>
  <c r="D11320" i="1"/>
  <c r="E11320" i="1"/>
  <c r="F11320" i="1"/>
  <c r="G11320" i="1"/>
  <c r="H11320" i="1"/>
  <c r="A11321" i="1"/>
  <c r="B11321" i="1"/>
  <c r="C11321" i="1"/>
  <c r="D11321" i="1"/>
  <c r="E11321" i="1"/>
  <c r="F11321" i="1"/>
  <c r="G11321" i="1"/>
  <c r="H11321" i="1"/>
  <c r="A11322" i="1"/>
  <c r="B11322" i="1"/>
  <c r="C11322" i="1"/>
  <c r="D11322" i="1"/>
  <c r="E11322" i="1"/>
  <c r="F11322" i="1"/>
  <c r="G11322" i="1"/>
  <c r="H11322" i="1"/>
  <c r="A11323" i="1"/>
  <c r="B11323" i="1"/>
  <c r="C11323" i="1"/>
  <c r="D11323" i="1"/>
  <c r="E11323" i="1"/>
  <c r="F11323" i="1"/>
  <c r="G11323" i="1"/>
  <c r="H11323" i="1"/>
  <c r="A11324" i="1"/>
  <c r="B11324" i="1"/>
  <c r="C11324" i="1"/>
  <c r="D11324" i="1"/>
  <c r="E11324" i="1"/>
  <c r="F11324" i="1"/>
  <c r="G11324" i="1"/>
  <c r="H11324" i="1"/>
  <c r="A11325" i="1"/>
  <c r="B11325" i="1"/>
  <c r="C11325" i="1"/>
  <c r="D11325" i="1"/>
  <c r="E11325" i="1"/>
  <c r="F11325" i="1"/>
  <c r="G11325" i="1"/>
  <c r="H11325" i="1"/>
  <c r="A11326" i="1"/>
  <c r="B11326" i="1"/>
  <c r="C11326" i="1"/>
  <c r="D11326" i="1"/>
  <c r="E11326" i="1"/>
  <c r="F11326" i="1"/>
  <c r="G11326" i="1"/>
  <c r="H11326" i="1"/>
  <c r="A11327" i="1"/>
  <c r="B11327" i="1"/>
  <c r="C11327" i="1"/>
  <c r="D11327" i="1"/>
  <c r="E11327" i="1"/>
  <c r="F11327" i="1"/>
  <c r="G11327" i="1"/>
  <c r="H11327" i="1"/>
  <c r="A11328" i="1"/>
  <c r="B11328" i="1"/>
  <c r="C11328" i="1"/>
  <c r="D11328" i="1"/>
  <c r="E11328" i="1"/>
  <c r="F11328" i="1"/>
  <c r="G11328" i="1"/>
  <c r="H11328" i="1"/>
  <c r="A11329" i="1"/>
  <c r="B11329" i="1"/>
  <c r="C11329" i="1"/>
  <c r="D11329" i="1"/>
  <c r="E11329" i="1"/>
  <c r="F11329" i="1"/>
  <c r="G11329" i="1"/>
  <c r="H11329" i="1"/>
  <c r="A11330" i="1"/>
  <c r="B11330" i="1"/>
  <c r="C11330" i="1"/>
  <c r="D11330" i="1"/>
  <c r="E11330" i="1"/>
  <c r="F11330" i="1"/>
  <c r="G11330" i="1"/>
  <c r="H11330" i="1"/>
  <c r="A11331" i="1"/>
  <c r="B11331" i="1"/>
  <c r="C11331" i="1"/>
  <c r="D11331" i="1"/>
  <c r="E11331" i="1"/>
  <c r="F11331" i="1"/>
  <c r="G11331" i="1"/>
  <c r="H11331" i="1"/>
  <c r="A11332" i="1"/>
  <c r="B11332" i="1"/>
  <c r="C11332" i="1"/>
  <c r="D11332" i="1"/>
  <c r="E11332" i="1"/>
  <c r="F11332" i="1"/>
  <c r="G11332" i="1"/>
  <c r="H11332" i="1"/>
  <c r="A11333" i="1"/>
  <c r="B11333" i="1"/>
  <c r="C11333" i="1"/>
  <c r="D11333" i="1"/>
  <c r="E11333" i="1"/>
  <c r="F11333" i="1"/>
  <c r="G11333" i="1"/>
  <c r="H11333" i="1"/>
  <c r="A11334" i="1"/>
  <c r="B11334" i="1"/>
  <c r="C11334" i="1"/>
  <c r="D11334" i="1"/>
  <c r="E11334" i="1"/>
  <c r="F11334" i="1"/>
  <c r="G11334" i="1"/>
  <c r="H11334" i="1"/>
  <c r="A11335" i="1"/>
  <c r="B11335" i="1"/>
  <c r="C11335" i="1"/>
  <c r="D11335" i="1"/>
  <c r="E11335" i="1"/>
  <c r="F11335" i="1"/>
  <c r="G11335" i="1"/>
  <c r="H11335" i="1"/>
  <c r="A11336" i="1"/>
  <c r="B11336" i="1"/>
  <c r="C11336" i="1"/>
  <c r="D11336" i="1"/>
  <c r="E11336" i="1"/>
  <c r="F11336" i="1"/>
  <c r="G11336" i="1"/>
  <c r="H11336" i="1"/>
  <c r="A11337" i="1"/>
  <c r="B11337" i="1"/>
  <c r="C11337" i="1"/>
  <c r="D11337" i="1"/>
  <c r="E11337" i="1"/>
  <c r="F11337" i="1"/>
  <c r="G11337" i="1"/>
  <c r="H11337" i="1"/>
  <c r="A11338" i="1"/>
  <c r="B11338" i="1"/>
  <c r="C11338" i="1"/>
  <c r="D11338" i="1"/>
  <c r="E11338" i="1"/>
  <c r="F11338" i="1"/>
  <c r="G11338" i="1"/>
  <c r="H11338" i="1"/>
  <c r="A11339" i="1"/>
  <c r="B11339" i="1"/>
  <c r="C11339" i="1"/>
  <c r="D11339" i="1"/>
  <c r="E11339" i="1"/>
  <c r="F11339" i="1"/>
  <c r="G11339" i="1"/>
  <c r="H11339" i="1"/>
  <c r="A11340" i="1"/>
  <c r="B11340" i="1"/>
  <c r="C11340" i="1"/>
  <c r="D11340" i="1"/>
  <c r="E11340" i="1"/>
  <c r="F11340" i="1"/>
  <c r="G11340" i="1"/>
  <c r="H11340" i="1"/>
  <c r="A11341" i="1"/>
  <c r="B11341" i="1"/>
  <c r="C11341" i="1"/>
  <c r="D11341" i="1"/>
  <c r="E11341" i="1"/>
  <c r="F11341" i="1"/>
  <c r="G11341" i="1"/>
  <c r="H11341" i="1"/>
  <c r="A11342" i="1"/>
  <c r="B11342" i="1"/>
  <c r="C11342" i="1"/>
  <c r="D11342" i="1"/>
  <c r="E11342" i="1"/>
  <c r="F11342" i="1"/>
  <c r="G11342" i="1"/>
  <c r="H11342" i="1"/>
  <c r="A11343" i="1"/>
  <c r="B11343" i="1"/>
  <c r="C11343" i="1"/>
  <c r="D11343" i="1"/>
  <c r="E11343" i="1"/>
  <c r="F11343" i="1"/>
  <c r="G11343" i="1"/>
  <c r="H11343" i="1"/>
  <c r="A11344" i="1"/>
  <c r="B11344" i="1"/>
  <c r="C11344" i="1"/>
  <c r="D11344" i="1"/>
  <c r="E11344" i="1"/>
  <c r="F11344" i="1"/>
  <c r="G11344" i="1"/>
  <c r="H11344" i="1"/>
  <c r="A11345" i="1"/>
  <c r="B11345" i="1"/>
  <c r="C11345" i="1"/>
  <c r="D11345" i="1"/>
  <c r="E11345" i="1"/>
  <c r="F11345" i="1"/>
  <c r="G11345" i="1"/>
  <c r="H11345" i="1"/>
  <c r="A11346" i="1"/>
  <c r="B11346" i="1"/>
  <c r="C11346" i="1"/>
  <c r="D11346" i="1"/>
  <c r="E11346" i="1"/>
  <c r="F11346" i="1"/>
  <c r="G11346" i="1"/>
  <c r="H11346" i="1"/>
  <c r="A11347" i="1"/>
  <c r="B11347" i="1"/>
  <c r="C11347" i="1"/>
  <c r="D11347" i="1"/>
  <c r="E11347" i="1"/>
  <c r="F11347" i="1"/>
  <c r="G11347" i="1"/>
  <c r="H11347" i="1"/>
  <c r="A11348" i="1"/>
  <c r="B11348" i="1"/>
  <c r="C11348" i="1"/>
  <c r="D11348" i="1"/>
  <c r="E11348" i="1"/>
  <c r="F11348" i="1"/>
  <c r="G11348" i="1"/>
  <c r="H11348" i="1"/>
  <c r="A11349" i="1"/>
  <c r="B11349" i="1"/>
  <c r="C11349" i="1"/>
  <c r="D11349" i="1"/>
  <c r="E11349" i="1"/>
  <c r="F11349" i="1"/>
  <c r="G11349" i="1"/>
  <c r="H11349" i="1"/>
  <c r="A11350" i="1"/>
  <c r="B11350" i="1"/>
  <c r="C11350" i="1"/>
  <c r="D11350" i="1"/>
  <c r="E11350" i="1"/>
  <c r="F11350" i="1"/>
  <c r="G11350" i="1"/>
  <c r="H11350" i="1"/>
  <c r="A11351" i="1"/>
  <c r="B11351" i="1"/>
  <c r="C11351" i="1"/>
  <c r="D11351" i="1"/>
  <c r="E11351" i="1"/>
  <c r="F11351" i="1"/>
  <c r="G11351" i="1"/>
  <c r="H11351" i="1"/>
  <c r="A11352" i="1"/>
  <c r="B11352" i="1"/>
  <c r="C11352" i="1"/>
  <c r="D11352" i="1"/>
  <c r="E11352" i="1"/>
  <c r="F11352" i="1"/>
  <c r="G11352" i="1"/>
  <c r="H11352" i="1"/>
  <c r="A11353" i="1"/>
  <c r="B11353" i="1"/>
  <c r="C11353" i="1"/>
  <c r="D11353" i="1"/>
  <c r="E11353" i="1"/>
  <c r="F11353" i="1"/>
  <c r="G11353" i="1"/>
  <c r="H11353" i="1"/>
  <c r="A11354" i="1"/>
  <c r="B11354" i="1"/>
  <c r="C11354" i="1"/>
  <c r="D11354" i="1"/>
  <c r="E11354" i="1"/>
  <c r="F11354" i="1"/>
  <c r="G11354" i="1"/>
  <c r="H11354" i="1"/>
  <c r="A11355" i="1"/>
  <c r="B11355" i="1"/>
  <c r="C11355" i="1"/>
  <c r="D11355" i="1"/>
  <c r="E11355" i="1"/>
  <c r="F11355" i="1"/>
  <c r="G11355" i="1"/>
  <c r="H11355" i="1"/>
  <c r="A11356" i="1"/>
  <c r="B11356" i="1"/>
  <c r="C11356" i="1"/>
  <c r="D11356" i="1"/>
  <c r="E11356" i="1"/>
  <c r="F11356" i="1"/>
  <c r="G11356" i="1"/>
  <c r="H11356" i="1"/>
  <c r="A11357" i="1"/>
  <c r="B11357" i="1"/>
  <c r="C11357" i="1"/>
  <c r="D11357" i="1"/>
  <c r="E11357" i="1"/>
  <c r="F11357" i="1"/>
  <c r="G11357" i="1"/>
  <c r="H11357" i="1"/>
  <c r="A11358" i="1"/>
  <c r="B11358" i="1"/>
  <c r="C11358" i="1"/>
  <c r="D11358" i="1"/>
  <c r="E11358" i="1"/>
  <c r="F11358" i="1"/>
  <c r="G11358" i="1"/>
  <c r="H11358" i="1"/>
  <c r="A11359" i="1"/>
  <c r="B11359" i="1"/>
  <c r="C11359" i="1"/>
  <c r="D11359" i="1"/>
  <c r="E11359" i="1"/>
  <c r="F11359" i="1"/>
  <c r="G11359" i="1"/>
  <c r="H11359" i="1"/>
  <c r="A11360" i="1"/>
  <c r="B11360" i="1"/>
  <c r="C11360" i="1"/>
  <c r="D11360" i="1"/>
  <c r="E11360" i="1"/>
  <c r="F11360" i="1"/>
  <c r="G11360" i="1"/>
  <c r="H11360" i="1"/>
  <c r="A11361" i="1"/>
  <c r="B11361" i="1"/>
  <c r="C11361" i="1"/>
  <c r="D11361" i="1"/>
  <c r="E11361" i="1"/>
  <c r="F11361" i="1"/>
  <c r="G11361" i="1"/>
  <c r="H11361" i="1"/>
  <c r="A11362" i="1"/>
  <c r="B11362" i="1"/>
  <c r="C11362" i="1"/>
  <c r="D11362" i="1"/>
  <c r="E11362" i="1"/>
  <c r="F11362" i="1"/>
  <c r="G11362" i="1"/>
  <c r="H11362" i="1"/>
  <c r="A11363" i="1"/>
  <c r="B11363" i="1"/>
  <c r="C11363" i="1"/>
  <c r="D11363" i="1"/>
  <c r="E11363" i="1"/>
  <c r="F11363" i="1"/>
  <c r="G11363" i="1"/>
  <c r="H11363" i="1"/>
  <c r="A11364" i="1"/>
  <c r="B11364" i="1"/>
  <c r="C11364" i="1"/>
  <c r="D11364" i="1"/>
  <c r="E11364" i="1"/>
  <c r="F11364" i="1"/>
  <c r="G11364" i="1"/>
  <c r="H11364" i="1"/>
  <c r="A11365" i="1"/>
  <c r="B11365" i="1"/>
  <c r="C11365" i="1"/>
  <c r="D11365" i="1"/>
  <c r="E11365" i="1"/>
  <c r="F11365" i="1"/>
  <c r="G11365" i="1"/>
  <c r="H11365" i="1"/>
  <c r="A11366" i="1"/>
  <c r="B11366" i="1"/>
  <c r="C11366" i="1"/>
  <c r="D11366" i="1"/>
  <c r="E11366" i="1"/>
  <c r="F11366" i="1"/>
  <c r="G11366" i="1"/>
  <c r="H11366" i="1"/>
  <c r="A11367" i="1"/>
  <c r="B11367" i="1"/>
  <c r="C11367" i="1"/>
  <c r="D11367" i="1"/>
  <c r="E11367" i="1"/>
  <c r="F11367" i="1"/>
  <c r="G11367" i="1"/>
  <c r="H11367" i="1"/>
  <c r="A11368" i="1"/>
  <c r="B11368" i="1"/>
  <c r="C11368" i="1"/>
  <c r="D11368" i="1"/>
  <c r="E11368" i="1"/>
  <c r="F11368" i="1"/>
  <c r="G11368" i="1"/>
  <c r="H11368" i="1"/>
  <c r="A11369" i="1"/>
  <c r="B11369" i="1"/>
  <c r="C11369" i="1"/>
  <c r="D11369" i="1"/>
  <c r="E11369" i="1"/>
  <c r="F11369" i="1"/>
  <c r="G11369" i="1"/>
  <c r="H11369" i="1"/>
  <c r="A11370" i="1"/>
  <c r="B11370" i="1"/>
  <c r="C11370" i="1"/>
  <c r="D11370" i="1"/>
  <c r="E11370" i="1"/>
  <c r="F11370" i="1"/>
  <c r="G11370" i="1"/>
  <c r="H11370" i="1"/>
  <c r="A11371" i="1"/>
  <c r="B11371" i="1"/>
  <c r="C11371" i="1"/>
  <c r="D11371" i="1"/>
  <c r="E11371" i="1"/>
  <c r="F11371" i="1"/>
  <c r="G11371" i="1"/>
  <c r="H11371" i="1"/>
  <c r="A11372" i="1"/>
  <c r="B11372" i="1"/>
  <c r="C11372" i="1"/>
  <c r="D11372" i="1"/>
  <c r="E11372" i="1"/>
  <c r="F11372" i="1"/>
  <c r="G11372" i="1"/>
  <c r="H11372" i="1"/>
  <c r="A11373" i="1"/>
  <c r="B11373" i="1"/>
  <c r="C11373" i="1"/>
  <c r="D11373" i="1"/>
  <c r="E11373" i="1"/>
  <c r="F11373" i="1"/>
  <c r="G11373" i="1"/>
  <c r="H11373" i="1"/>
  <c r="A11374" i="1"/>
  <c r="B11374" i="1"/>
  <c r="C11374" i="1"/>
  <c r="D11374" i="1"/>
  <c r="E11374" i="1"/>
  <c r="F11374" i="1"/>
  <c r="G11374" i="1"/>
  <c r="H11374" i="1"/>
  <c r="A11375" i="1"/>
  <c r="B11375" i="1"/>
  <c r="C11375" i="1"/>
  <c r="D11375" i="1"/>
  <c r="E11375" i="1"/>
  <c r="F11375" i="1"/>
  <c r="G11375" i="1"/>
  <c r="H11375" i="1"/>
  <c r="A11376" i="1"/>
  <c r="B11376" i="1"/>
  <c r="C11376" i="1"/>
  <c r="D11376" i="1"/>
  <c r="E11376" i="1"/>
  <c r="F11376" i="1"/>
  <c r="G11376" i="1"/>
  <c r="H11376" i="1"/>
  <c r="A11377" i="1"/>
  <c r="B11377" i="1"/>
  <c r="C11377" i="1"/>
  <c r="D11377" i="1"/>
  <c r="E11377" i="1"/>
  <c r="F11377" i="1"/>
  <c r="G11377" i="1"/>
  <c r="H11377" i="1"/>
  <c r="A11378" i="1"/>
  <c r="B11378" i="1"/>
  <c r="C11378" i="1"/>
  <c r="D11378" i="1"/>
  <c r="E11378" i="1"/>
  <c r="F11378" i="1"/>
  <c r="G11378" i="1"/>
  <c r="H11378" i="1"/>
  <c r="A11379" i="1"/>
  <c r="B11379" i="1"/>
  <c r="C11379" i="1"/>
  <c r="D11379" i="1"/>
  <c r="E11379" i="1"/>
  <c r="F11379" i="1"/>
  <c r="G11379" i="1"/>
  <c r="H11379" i="1"/>
  <c r="A11380" i="1"/>
  <c r="B11380" i="1"/>
  <c r="C11380" i="1"/>
  <c r="D11380" i="1"/>
  <c r="E11380" i="1"/>
  <c r="F11380" i="1"/>
  <c r="G11380" i="1"/>
  <c r="H11380" i="1"/>
  <c r="A11381" i="1"/>
  <c r="B11381" i="1"/>
  <c r="C11381" i="1"/>
  <c r="D11381" i="1"/>
  <c r="E11381" i="1"/>
  <c r="F11381" i="1"/>
  <c r="G11381" i="1"/>
  <c r="H11381" i="1"/>
  <c r="A11382" i="1"/>
  <c r="B11382" i="1"/>
  <c r="C11382" i="1"/>
  <c r="D11382" i="1"/>
  <c r="E11382" i="1"/>
  <c r="F11382" i="1"/>
  <c r="G11382" i="1"/>
  <c r="H11382" i="1"/>
  <c r="A11383" i="1"/>
  <c r="B11383" i="1"/>
  <c r="C11383" i="1"/>
  <c r="D11383" i="1"/>
  <c r="E11383" i="1"/>
  <c r="F11383" i="1"/>
  <c r="G11383" i="1"/>
  <c r="H11383" i="1"/>
  <c r="A11384" i="1"/>
  <c r="B11384" i="1"/>
  <c r="C11384" i="1"/>
  <c r="D11384" i="1"/>
  <c r="E11384" i="1"/>
  <c r="F11384" i="1"/>
  <c r="G11384" i="1"/>
  <c r="H11384" i="1"/>
  <c r="A11385" i="1"/>
  <c r="B11385" i="1"/>
  <c r="C11385" i="1"/>
  <c r="D11385" i="1"/>
  <c r="E11385" i="1"/>
  <c r="F11385" i="1"/>
  <c r="G11385" i="1"/>
  <c r="H11385" i="1"/>
  <c r="A11386" i="1"/>
  <c r="B11386" i="1"/>
  <c r="C11386" i="1"/>
  <c r="D11386" i="1"/>
  <c r="E11386" i="1"/>
  <c r="F11386" i="1"/>
  <c r="G11386" i="1"/>
  <c r="H11386" i="1"/>
  <c r="A11387" i="1"/>
  <c r="B11387" i="1"/>
  <c r="C11387" i="1"/>
  <c r="D11387" i="1"/>
  <c r="E11387" i="1"/>
  <c r="F11387" i="1"/>
  <c r="G11387" i="1"/>
  <c r="H11387" i="1"/>
  <c r="A11388" i="1"/>
  <c r="B11388" i="1"/>
  <c r="C11388" i="1"/>
  <c r="D11388" i="1"/>
  <c r="E11388" i="1"/>
  <c r="F11388" i="1"/>
  <c r="G11388" i="1"/>
  <c r="H11388" i="1"/>
  <c r="A11389" i="1"/>
  <c r="B11389" i="1"/>
  <c r="C11389" i="1"/>
  <c r="D11389" i="1"/>
  <c r="E11389" i="1"/>
  <c r="F11389" i="1"/>
  <c r="G11389" i="1"/>
  <c r="H11389" i="1"/>
  <c r="A11390" i="1"/>
  <c r="B11390" i="1"/>
  <c r="C11390" i="1"/>
  <c r="D11390" i="1"/>
  <c r="E11390" i="1"/>
  <c r="F11390" i="1"/>
  <c r="G11390" i="1"/>
  <c r="H11390" i="1"/>
  <c r="A11391" i="1"/>
  <c r="B11391" i="1"/>
  <c r="C11391" i="1"/>
  <c r="D11391" i="1"/>
  <c r="E11391" i="1"/>
  <c r="F11391" i="1"/>
  <c r="G11391" i="1"/>
  <c r="H11391" i="1"/>
  <c r="A11392" i="1"/>
  <c r="B11392" i="1"/>
  <c r="C11392" i="1"/>
  <c r="D11392" i="1"/>
  <c r="E11392" i="1"/>
  <c r="F11392" i="1"/>
  <c r="G11392" i="1"/>
  <c r="H11392" i="1"/>
  <c r="A11393" i="1"/>
  <c r="B11393" i="1"/>
  <c r="C11393" i="1"/>
  <c r="D11393" i="1"/>
  <c r="E11393" i="1"/>
  <c r="F11393" i="1"/>
  <c r="G11393" i="1"/>
  <c r="H11393" i="1"/>
  <c r="A11394" i="1"/>
  <c r="B11394" i="1"/>
  <c r="C11394" i="1"/>
  <c r="D11394" i="1"/>
  <c r="E11394" i="1"/>
  <c r="F11394" i="1"/>
  <c r="G11394" i="1"/>
  <c r="H11394" i="1"/>
  <c r="A11395" i="1"/>
  <c r="B11395" i="1"/>
  <c r="C11395" i="1"/>
  <c r="D11395" i="1"/>
  <c r="E11395" i="1"/>
  <c r="F11395" i="1"/>
  <c r="G11395" i="1"/>
  <c r="H11395" i="1"/>
  <c r="A11396" i="1"/>
  <c r="B11396" i="1"/>
  <c r="C11396" i="1"/>
  <c r="D11396" i="1"/>
  <c r="E11396" i="1"/>
  <c r="F11396" i="1"/>
  <c r="G11396" i="1"/>
  <c r="H11396" i="1"/>
  <c r="A11397" i="1"/>
  <c r="B11397" i="1"/>
  <c r="C11397" i="1"/>
  <c r="D11397" i="1"/>
  <c r="E11397" i="1"/>
  <c r="F11397" i="1"/>
  <c r="G11397" i="1"/>
  <c r="H11397" i="1"/>
  <c r="A11398" i="1"/>
  <c r="B11398" i="1"/>
  <c r="C11398" i="1"/>
  <c r="D11398" i="1"/>
  <c r="E11398" i="1"/>
  <c r="F11398" i="1"/>
  <c r="G11398" i="1"/>
  <c r="H11398" i="1"/>
  <c r="A11399" i="1"/>
  <c r="B11399" i="1"/>
  <c r="C11399" i="1"/>
  <c r="D11399" i="1"/>
  <c r="E11399" i="1"/>
  <c r="F11399" i="1"/>
  <c r="G11399" i="1"/>
  <c r="H11399" i="1"/>
  <c r="A11400" i="1"/>
  <c r="B11400" i="1"/>
  <c r="C11400" i="1"/>
  <c r="D11400" i="1"/>
  <c r="E11400" i="1"/>
  <c r="F11400" i="1"/>
  <c r="G11400" i="1"/>
  <c r="H11400" i="1"/>
  <c r="A11401" i="1"/>
  <c r="B11401" i="1"/>
  <c r="C11401" i="1"/>
  <c r="D11401" i="1"/>
  <c r="E11401" i="1"/>
  <c r="F11401" i="1"/>
  <c r="G11401" i="1"/>
  <c r="H11401" i="1"/>
  <c r="A11402" i="1"/>
  <c r="B11402" i="1"/>
  <c r="C11402" i="1"/>
  <c r="D11402" i="1"/>
  <c r="E11402" i="1"/>
  <c r="F11402" i="1"/>
  <c r="G11402" i="1"/>
  <c r="H11402" i="1"/>
  <c r="A11403" i="1"/>
  <c r="B11403" i="1"/>
  <c r="C11403" i="1"/>
  <c r="D11403" i="1"/>
  <c r="E11403" i="1"/>
  <c r="F11403" i="1"/>
  <c r="G11403" i="1"/>
  <c r="H11403" i="1"/>
  <c r="A11404" i="1"/>
  <c r="B11404" i="1"/>
  <c r="C11404" i="1"/>
  <c r="D11404" i="1"/>
  <c r="E11404" i="1"/>
  <c r="F11404" i="1"/>
  <c r="G11404" i="1"/>
  <c r="H11404" i="1"/>
  <c r="A11405" i="1"/>
  <c r="B11405" i="1"/>
  <c r="C11405" i="1"/>
  <c r="D11405" i="1"/>
  <c r="E11405" i="1"/>
  <c r="F11405" i="1"/>
  <c r="G11405" i="1"/>
  <c r="H11405" i="1"/>
  <c r="A11406" i="1"/>
  <c r="B11406" i="1"/>
  <c r="C11406" i="1"/>
  <c r="D11406" i="1"/>
  <c r="E11406" i="1"/>
  <c r="F11406" i="1"/>
  <c r="G11406" i="1"/>
  <c r="H11406" i="1"/>
  <c r="A11407" i="1"/>
  <c r="B11407" i="1"/>
  <c r="C11407" i="1"/>
  <c r="D11407" i="1"/>
  <c r="E11407" i="1"/>
  <c r="F11407" i="1"/>
  <c r="G11407" i="1"/>
  <c r="H11407" i="1"/>
  <c r="A11408" i="1"/>
  <c r="B11408" i="1"/>
  <c r="C11408" i="1"/>
  <c r="D11408" i="1"/>
  <c r="E11408" i="1"/>
  <c r="F11408" i="1"/>
  <c r="G11408" i="1"/>
  <c r="H11408" i="1"/>
  <c r="A11409" i="1"/>
  <c r="B11409" i="1"/>
  <c r="C11409" i="1"/>
  <c r="D11409" i="1"/>
  <c r="E11409" i="1"/>
  <c r="F11409" i="1"/>
  <c r="G11409" i="1"/>
  <c r="H11409" i="1"/>
  <c r="A11410" i="1"/>
  <c r="B11410" i="1"/>
  <c r="C11410" i="1"/>
  <c r="D11410" i="1"/>
  <c r="E11410" i="1"/>
  <c r="F11410" i="1"/>
  <c r="G11410" i="1"/>
  <c r="H11410" i="1"/>
  <c r="A11411" i="1"/>
  <c r="B11411" i="1"/>
  <c r="C11411" i="1"/>
  <c r="D11411" i="1"/>
  <c r="E11411" i="1"/>
  <c r="F11411" i="1"/>
  <c r="G11411" i="1"/>
  <c r="H11411" i="1"/>
  <c r="A11412" i="1"/>
  <c r="B11412" i="1"/>
  <c r="C11412" i="1"/>
  <c r="D11412" i="1"/>
  <c r="E11412" i="1"/>
  <c r="F11412" i="1"/>
  <c r="G11412" i="1"/>
  <c r="H11412" i="1"/>
  <c r="A11413" i="1"/>
  <c r="B11413" i="1"/>
  <c r="C11413" i="1"/>
  <c r="D11413" i="1"/>
  <c r="E11413" i="1"/>
  <c r="F11413" i="1"/>
  <c r="G11413" i="1"/>
  <c r="H11413" i="1"/>
  <c r="A11414" i="1"/>
  <c r="B11414" i="1"/>
  <c r="C11414" i="1"/>
  <c r="D11414" i="1"/>
  <c r="E11414" i="1"/>
  <c r="F11414" i="1"/>
  <c r="G11414" i="1"/>
  <c r="H11414" i="1"/>
  <c r="A11415" i="1"/>
  <c r="B11415" i="1"/>
  <c r="C11415" i="1"/>
  <c r="D11415" i="1"/>
  <c r="E11415" i="1"/>
  <c r="F11415" i="1"/>
  <c r="G11415" i="1"/>
  <c r="H11415" i="1"/>
  <c r="A11416" i="1"/>
  <c r="B11416" i="1"/>
  <c r="C11416" i="1"/>
  <c r="D11416" i="1"/>
  <c r="E11416" i="1"/>
  <c r="F11416" i="1"/>
  <c r="G11416" i="1"/>
  <c r="H11416" i="1"/>
  <c r="A11417" i="1"/>
  <c r="B11417" i="1"/>
  <c r="C11417" i="1"/>
  <c r="D11417" i="1"/>
  <c r="E11417" i="1"/>
  <c r="F11417" i="1"/>
  <c r="G11417" i="1"/>
  <c r="H11417" i="1"/>
  <c r="A11418" i="1"/>
  <c r="B11418" i="1"/>
  <c r="C11418" i="1"/>
  <c r="D11418" i="1"/>
  <c r="E11418" i="1"/>
  <c r="F11418" i="1"/>
  <c r="G11418" i="1"/>
  <c r="H11418" i="1"/>
  <c r="A11419" i="1"/>
  <c r="B11419" i="1"/>
  <c r="C11419" i="1"/>
  <c r="D11419" i="1"/>
  <c r="E11419" i="1"/>
  <c r="F11419" i="1"/>
  <c r="G11419" i="1"/>
  <c r="H11419" i="1"/>
  <c r="A11420" i="1"/>
  <c r="B11420" i="1"/>
  <c r="C11420" i="1"/>
  <c r="D11420" i="1"/>
  <c r="E11420" i="1"/>
  <c r="F11420" i="1"/>
  <c r="G11420" i="1"/>
  <c r="H11420" i="1"/>
  <c r="A11421" i="1"/>
  <c r="B11421" i="1"/>
  <c r="C11421" i="1"/>
  <c r="D11421" i="1"/>
  <c r="E11421" i="1"/>
  <c r="F11421" i="1"/>
  <c r="G11421" i="1"/>
  <c r="H11421" i="1"/>
  <c r="A11422" i="1"/>
  <c r="B11422" i="1"/>
  <c r="C11422" i="1"/>
  <c r="D11422" i="1"/>
  <c r="E11422" i="1"/>
  <c r="F11422" i="1"/>
  <c r="G11422" i="1"/>
  <c r="H11422" i="1"/>
  <c r="A11423" i="1"/>
  <c r="B11423" i="1"/>
  <c r="C11423" i="1"/>
  <c r="D11423" i="1"/>
  <c r="E11423" i="1"/>
  <c r="F11423" i="1"/>
  <c r="G11423" i="1"/>
  <c r="H11423" i="1"/>
  <c r="A11424" i="1"/>
  <c r="B11424" i="1"/>
  <c r="C11424" i="1"/>
  <c r="D11424" i="1"/>
  <c r="E11424" i="1"/>
  <c r="F11424" i="1"/>
  <c r="G11424" i="1"/>
  <c r="H11424" i="1"/>
  <c r="A11425" i="1"/>
  <c r="B11425" i="1"/>
  <c r="C11425" i="1"/>
  <c r="D11425" i="1"/>
  <c r="E11425" i="1"/>
  <c r="F11425" i="1"/>
  <c r="G11425" i="1"/>
  <c r="H11425" i="1"/>
  <c r="A11426" i="1"/>
  <c r="B11426" i="1"/>
  <c r="C11426" i="1"/>
  <c r="D11426" i="1"/>
  <c r="E11426" i="1"/>
  <c r="F11426" i="1"/>
  <c r="G11426" i="1"/>
  <c r="H11426" i="1"/>
  <c r="A11427" i="1"/>
  <c r="B11427" i="1"/>
  <c r="C11427" i="1"/>
  <c r="D11427" i="1"/>
  <c r="E11427" i="1"/>
  <c r="F11427" i="1"/>
  <c r="G11427" i="1"/>
  <c r="H11427" i="1"/>
  <c r="A11428" i="1"/>
  <c r="B11428" i="1"/>
  <c r="C11428" i="1"/>
  <c r="D11428" i="1"/>
  <c r="E11428" i="1"/>
  <c r="F11428" i="1"/>
  <c r="G11428" i="1"/>
  <c r="H11428" i="1"/>
  <c r="A11429" i="1"/>
  <c r="B11429" i="1"/>
  <c r="C11429" i="1"/>
  <c r="D11429" i="1"/>
  <c r="E11429" i="1"/>
  <c r="F11429" i="1"/>
  <c r="G11429" i="1"/>
  <c r="H11429" i="1"/>
  <c r="A11430" i="1"/>
  <c r="B11430" i="1"/>
  <c r="C11430" i="1"/>
  <c r="D11430" i="1"/>
  <c r="E11430" i="1"/>
  <c r="F11430" i="1"/>
  <c r="G11430" i="1"/>
  <c r="H11430" i="1"/>
  <c r="A11431" i="1"/>
  <c r="B11431" i="1"/>
  <c r="C11431" i="1"/>
  <c r="D11431" i="1"/>
  <c r="E11431" i="1"/>
  <c r="F11431" i="1"/>
  <c r="G11431" i="1"/>
  <c r="H11431" i="1"/>
  <c r="A11432" i="1"/>
  <c r="B11432" i="1"/>
  <c r="C11432" i="1"/>
  <c r="D11432" i="1"/>
  <c r="E11432" i="1"/>
  <c r="F11432" i="1"/>
  <c r="G11432" i="1"/>
  <c r="H11432" i="1"/>
  <c r="A11433" i="1"/>
  <c r="B11433" i="1"/>
  <c r="C11433" i="1"/>
  <c r="D11433" i="1"/>
  <c r="E11433" i="1"/>
  <c r="F11433" i="1"/>
  <c r="G11433" i="1"/>
  <c r="H11433" i="1"/>
  <c r="A11434" i="1"/>
  <c r="B11434" i="1"/>
  <c r="C11434" i="1"/>
  <c r="D11434" i="1"/>
  <c r="E11434" i="1"/>
  <c r="F11434" i="1"/>
  <c r="G11434" i="1"/>
  <c r="H11434" i="1"/>
  <c r="A11435" i="1"/>
  <c r="B11435" i="1"/>
  <c r="C11435" i="1"/>
  <c r="D11435" i="1"/>
  <c r="E11435" i="1"/>
  <c r="F11435" i="1"/>
  <c r="G11435" i="1"/>
  <c r="H11435" i="1"/>
  <c r="A11436" i="1"/>
  <c r="B11436" i="1"/>
  <c r="C11436" i="1"/>
  <c r="D11436" i="1"/>
  <c r="E11436" i="1"/>
  <c r="F11436" i="1"/>
  <c r="G11436" i="1"/>
  <c r="H11436" i="1"/>
  <c r="A11437" i="1"/>
  <c r="B11437" i="1"/>
  <c r="C11437" i="1"/>
  <c r="D11437" i="1"/>
  <c r="E11437" i="1"/>
  <c r="F11437" i="1"/>
  <c r="G11437" i="1"/>
  <c r="H11437" i="1"/>
  <c r="A11438" i="1"/>
  <c r="B11438" i="1"/>
  <c r="C11438" i="1"/>
  <c r="D11438" i="1"/>
  <c r="E11438" i="1"/>
  <c r="F11438" i="1"/>
  <c r="G11438" i="1"/>
  <c r="H11438" i="1"/>
  <c r="A11439" i="1"/>
  <c r="B11439" i="1"/>
  <c r="C11439" i="1"/>
  <c r="D11439" i="1"/>
  <c r="E11439" i="1"/>
  <c r="F11439" i="1"/>
  <c r="G11439" i="1"/>
  <c r="H11439" i="1"/>
  <c r="A11440" i="1"/>
  <c r="B11440" i="1"/>
  <c r="C11440" i="1"/>
  <c r="D11440" i="1"/>
  <c r="E11440" i="1"/>
  <c r="F11440" i="1"/>
  <c r="G11440" i="1"/>
  <c r="H11440" i="1"/>
  <c r="A11441" i="1"/>
  <c r="B11441" i="1"/>
  <c r="C11441" i="1"/>
  <c r="D11441" i="1"/>
  <c r="E11441" i="1"/>
  <c r="F11441" i="1"/>
  <c r="G11441" i="1"/>
  <c r="H11441" i="1"/>
  <c r="A11442" i="1"/>
  <c r="B11442" i="1"/>
  <c r="C11442" i="1"/>
  <c r="D11442" i="1"/>
  <c r="E11442" i="1"/>
  <c r="F11442" i="1"/>
  <c r="G11442" i="1"/>
  <c r="H11442" i="1"/>
  <c r="A11443" i="1"/>
  <c r="B11443" i="1"/>
  <c r="C11443" i="1"/>
  <c r="D11443" i="1"/>
  <c r="E11443" i="1"/>
  <c r="F11443" i="1"/>
  <c r="G11443" i="1"/>
  <c r="H11443" i="1"/>
  <c r="A11444" i="1"/>
  <c r="B11444" i="1"/>
  <c r="C11444" i="1"/>
  <c r="D11444" i="1"/>
  <c r="E11444" i="1"/>
  <c r="F11444" i="1"/>
  <c r="G11444" i="1"/>
  <c r="H11444" i="1"/>
  <c r="A11445" i="1"/>
  <c r="B11445" i="1"/>
  <c r="C11445" i="1"/>
  <c r="D11445" i="1"/>
  <c r="E11445" i="1"/>
  <c r="F11445" i="1"/>
  <c r="G11445" i="1"/>
  <c r="H11445" i="1"/>
  <c r="A11446" i="1"/>
  <c r="B11446" i="1"/>
  <c r="C11446" i="1"/>
  <c r="D11446" i="1"/>
  <c r="E11446" i="1"/>
  <c r="F11446" i="1"/>
  <c r="G11446" i="1"/>
  <c r="H11446" i="1"/>
  <c r="A11447" i="1"/>
  <c r="B11447" i="1"/>
  <c r="C11447" i="1"/>
  <c r="D11447" i="1"/>
  <c r="E11447" i="1"/>
  <c r="F11447" i="1"/>
  <c r="G11447" i="1"/>
  <c r="H11447" i="1"/>
  <c r="A11448" i="1"/>
  <c r="B11448" i="1"/>
  <c r="C11448" i="1"/>
  <c r="D11448" i="1"/>
  <c r="E11448" i="1"/>
  <c r="F11448" i="1"/>
  <c r="G11448" i="1"/>
  <c r="H11448" i="1"/>
  <c r="A11449" i="1"/>
  <c r="B11449" i="1"/>
  <c r="C11449" i="1"/>
  <c r="D11449" i="1"/>
  <c r="E11449" i="1"/>
  <c r="F11449" i="1"/>
  <c r="G11449" i="1"/>
  <c r="H11449" i="1"/>
  <c r="A11450" i="1"/>
  <c r="B11450" i="1"/>
  <c r="C11450" i="1"/>
  <c r="D11450" i="1"/>
  <c r="E11450" i="1"/>
  <c r="F11450" i="1"/>
  <c r="G11450" i="1"/>
  <c r="H11450" i="1"/>
  <c r="A11451" i="1"/>
  <c r="B11451" i="1"/>
  <c r="C11451" i="1"/>
  <c r="D11451" i="1"/>
  <c r="E11451" i="1"/>
  <c r="F11451" i="1"/>
  <c r="G11451" i="1"/>
  <c r="H11451" i="1"/>
  <c r="A11452" i="1"/>
  <c r="B11452" i="1"/>
  <c r="C11452" i="1"/>
  <c r="D11452" i="1"/>
  <c r="E11452" i="1"/>
  <c r="F11452" i="1"/>
  <c r="G11452" i="1"/>
  <c r="H11452" i="1"/>
  <c r="A11453" i="1"/>
  <c r="B11453" i="1"/>
  <c r="C11453" i="1"/>
  <c r="D11453" i="1"/>
  <c r="E11453" i="1"/>
  <c r="F11453" i="1"/>
  <c r="G11453" i="1"/>
  <c r="H11453" i="1"/>
  <c r="A11454" i="1"/>
  <c r="B11454" i="1"/>
  <c r="C11454" i="1"/>
  <c r="D11454" i="1"/>
  <c r="E11454" i="1"/>
  <c r="F11454" i="1"/>
  <c r="G11454" i="1"/>
  <c r="H11454" i="1"/>
  <c r="A11455" i="1"/>
  <c r="B11455" i="1"/>
  <c r="C11455" i="1"/>
  <c r="D11455" i="1"/>
  <c r="E11455" i="1"/>
  <c r="F11455" i="1"/>
  <c r="G11455" i="1"/>
  <c r="H11455" i="1"/>
  <c r="A11456" i="1"/>
  <c r="B11456" i="1"/>
  <c r="C11456" i="1"/>
  <c r="D11456" i="1"/>
  <c r="E11456" i="1"/>
  <c r="F11456" i="1"/>
  <c r="G11456" i="1"/>
  <c r="H11456" i="1"/>
  <c r="A11457" i="1"/>
  <c r="B11457" i="1"/>
  <c r="C11457" i="1"/>
  <c r="D11457" i="1"/>
  <c r="E11457" i="1"/>
  <c r="F11457" i="1"/>
  <c r="G11457" i="1"/>
  <c r="H11457" i="1"/>
  <c r="A11458" i="1"/>
  <c r="B11458" i="1"/>
  <c r="C11458" i="1"/>
  <c r="D11458" i="1"/>
  <c r="E11458" i="1"/>
  <c r="F11458" i="1"/>
  <c r="G11458" i="1"/>
  <c r="H11458" i="1"/>
  <c r="A11459" i="1"/>
  <c r="B11459" i="1"/>
  <c r="C11459" i="1"/>
  <c r="D11459" i="1"/>
  <c r="E11459" i="1"/>
  <c r="F11459" i="1"/>
  <c r="G11459" i="1"/>
  <c r="H11459" i="1"/>
  <c r="A11460" i="1"/>
  <c r="B11460" i="1"/>
  <c r="C11460" i="1"/>
  <c r="D11460" i="1"/>
  <c r="E11460" i="1"/>
  <c r="F11460" i="1"/>
  <c r="G11460" i="1"/>
  <c r="H11460" i="1"/>
  <c r="A11461" i="1"/>
  <c r="B11461" i="1"/>
  <c r="C11461" i="1"/>
  <c r="D11461" i="1"/>
  <c r="E11461" i="1"/>
  <c r="F11461" i="1"/>
  <c r="G11461" i="1"/>
  <c r="H11461" i="1"/>
  <c r="A11462" i="1"/>
  <c r="B11462" i="1"/>
  <c r="C11462" i="1"/>
  <c r="D11462" i="1"/>
  <c r="E11462" i="1"/>
  <c r="F11462" i="1"/>
  <c r="G11462" i="1"/>
  <c r="H11462" i="1"/>
  <c r="A11463" i="1"/>
  <c r="B11463" i="1"/>
  <c r="C11463" i="1"/>
  <c r="D11463" i="1"/>
  <c r="E11463" i="1"/>
  <c r="F11463" i="1"/>
  <c r="G11463" i="1"/>
  <c r="H11463" i="1"/>
  <c r="A11464" i="1"/>
  <c r="B11464" i="1"/>
  <c r="C11464" i="1"/>
  <c r="D11464" i="1"/>
  <c r="E11464" i="1"/>
  <c r="F11464" i="1"/>
  <c r="G11464" i="1"/>
  <c r="H11464" i="1"/>
  <c r="A11465" i="1"/>
  <c r="B11465" i="1"/>
  <c r="C11465" i="1"/>
  <c r="D11465" i="1"/>
  <c r="E11465" i="1"/>
  <c r="F11465" i="1"/>
  <c r="G11465" i="1"/>
  <c r="H11465" i="1"/>
  <c r="A11466" i="1"/>
  <c r="B11466" i="1"/>
  <c r="C11466" i="1"/>
  <c r="D11466" i="1"/>
  <c r="E11466" i="1"/>
  <c r="F11466" i="1"/>
  <c r="G11466" i="1"/>
  <c r="H11466" i="1"/>
  <c r="A11467" i="1"/>
  <c r="B11467" i="1"/>
  <c r="C11467" i="1"/>
  <c r="D11467" i="1"/>
  <c r="E11467" i="1"/>
  <c r="F11467" i="1"/>
  <c r="G11467" i="1"/>
  <c r="H11467" i="1"/>
  <c r="A11468" i="1"/>
  <c r="B11468" i="1"/>
  <c r="C11468" i="1"/>
  <c r="D11468" i="1"/>
  <c r="E11468" i="1"/>
  <c r="F11468" i="1"/>
  <c r="G11468" i="1"/>
  <c r="H11468" i="1"/>
  <c r="A11469" i="1"/>
  <c r="B11469" i="1"/>
  <c r="C11469" i="1"/>
  <c r="D11469" i="1"/>
  <c r="E11469" i="1"/>
  <c r="F11469" i="1"/>
  <c r="G11469" i="1"/>
  <c r="H11469" i="1"/>
  <c r="A11470" i="1"/>
  <c r="B11470" i="1"/>
  <c r="C11470" i="1"/>
  <c r="D11470" i="1"/>
  <c r="E11470" i="1"/>
  <c r="F11470" i="1"/>
  <c r="G11470" i="1"/>
  <c r="H11470" i="1"/>
  <c r="A11471" i="1"/>
  <c r="B11471" i="1"/>
  <c r="C11471" i="1"/>
  <c r="D11471" i="1"/>
  <c r="E11471" i="1"/>
  <c r="F11471" i="1"/>
  <c r="G11471" i="1"/>
  <c r="H11471" i="1"/>
  <c r="A11472" i="1"/>
  <c r="B11472" i="1"/>
  <c r="C11472" i="1"/>
  <c r="D11472" i="1"/>
  <c r="E11472" i="1"/>
  <c r="F11472" i="1"/>
  <c r="G11472" i="1"/>
  <c r="H11472" i="1"/>
  <c r="A11473" i="1"/>
  <c r="B11473" i="1"/>
  <c r="C11473" i="1"/>
  <c r="D11473" i="1"/>
  <c r="E11473" i="1"/>
  <c r="F11473" i="1"/>
  <c r="G11473" i="1"/>
  <c r="H11473" i="1"/>
  <c r="A11474" i="1"/>
  <c r="B11474" i="1"/>
  <c r="C11474" i="1"/>
  <c r="D11474" i="1"/>
  <c r="E11474" i="1"/>
  <c r="F11474" i="1"/>
  <c r="G11474" i="1"/>
  <c r="H11474" i="1"/>
  <c r="A11475" i="1"/>
  <c r="B11475" i="1"/>
  <c r="C11475" i="1"/>
  <c r="D11475" i="1"/>
  <c r="E11475" i="1"/>
  <c r="F11475" i="1"/>
  <c r="G11475" i="1"/>
  <c r="H11475" i="1"/>
  <c r="A11476" i="1"/>
  <c r="B11476" i="1"/>
  <c r="C11476" i="1"/>
  <c r="D11476" i="1"/>
  <c r="E11476" i="1"/>
  <c r="F11476" i="1"/>
  <c r="G11476" i="1"/>
  <c r="H11476" i="1"/>
  <c r="A11477" i="1"/>
  <c r="B11477" i="1"/>
  <c r="C11477" i="1"/>
  <c r="D11477" i="1"/>
  <c r="E11477" i="1"/>
  <c r="F11477" i="1"/>
  <c r="G11477" i="1"/>
  <c r="H11477" i="1"/>
  <c r="A11478" i="1"/>
  <c r="B11478" i="1"/>
  <c r="C11478" i="1"/>
  <c r="D11478" i="1"/>
  <c r="E11478" i="1"/>
  <c r="F11478" i="1"/>
  <c r="G11478" i="1"/>
  <c r="H11478" i="1"/>
  <c r="A11479" i="1"/>
  <c r="B11479" i="1"/>
  <c r="C11479" i="1"/>
  <c r="D11479" i="1"/>
  <c r="E11479" i="1"/>
  <c r="F11479" i="1"/>
  <c r="G11479" i="1"/>
  <c r="H11479" i="1"/>
  <c r="A11480" i="1"/>
  <c r="B11480" i="1"/>
  <c r="C11480" i="1"/>
  <c r="D11480" i="1"/>
  <c r="E11480" i="1"/>
  <c r="F11480" i="1"/>
  <c r="G11480" i="1"/>
  <c r="H11480" i="1"/>
  <c r="A11481" i="1"/>
  <c r="B11481" i="1"/>
  <c r="C11481" i="1"/>
  <c r="D11481" i="1"/>
  <c r="E11481" i="1"/>
  <c r="F11481" i="1"/>
  <c r="G11481" i="1"/>
  <c r="H11481" i="1"/>
  <c r="A11482" i="1"/>
  <c r="B11482" i="1"/>
  <c r="C11482" i="1"/>
  <c r="D11482" i="1"/>
  <c r="E11482" i="1"/>
  <c r="F11482" i="1"/>
  <c r="G11482" i="1"/>
  <c r="H11482" i="1"/>
  <c r="A11483" i="1"/>
  <c r="B11483" i="1"/>
  <c r="C11483" i="1"/>
  <c r="D11483" i="1"/>
  <c r="E11483" i="1"/>
  <c r="F11483" i="1"/>
  <c r="G11483" i="1"/>
  <c r="H11483" i="1"/>
  <c r="A11484" i="1"/>
  <c r="B11484" i="1"/>
  <c r="C11484" i="1"/>
  <c r="D11484" i="1"/>
  <c r="E11484" i="1"/>
  <c r="F11484" i="1"/>
  <c r="G11484" i="1"/>
  <c r="H11484" i="1"/>
  <c r="A11485" i="1"/>
  <c r="B11485" i="1"/>
  <c r="C11485" i="1"/>
  <c r="D11485" i="1"/>
  <c r="E11485" i="1"/>
  <c r="F11485" i="1"/>
  <c r="G11485" i="1"/>
  <c r="H11485" i="1"/>
  <c r="A11486" i="1"/>
  <c r="B11486" i="1"/>
  <c r="C11486" i="1"/>
  <c r="D11486" i="1"/>
  <c r="E11486" i="1"/>
  <c r="F11486" i="1"/>
  <c r="G11486" i="1"/>
  <c r="H11486" i="1"/>
  <c r="A11487" i="1"/>
  <c r="B11487" i="1"/>
  <c r="C11487" i="1"/>
  <c r="D11487" i="1"/>
  <c r="E11487" i="1"/>
  <c r="F11487" i="1"/>
  <c r="G11487" i="1"/>
  <c r="H11487" i="1"/>
  <c r="A11488" i="1"/>
  <c r="B11488" i="1"/>
  <c r="C11488" i="1"/>
  <c r="D11488" i="1"/>
  <c r="E11488" i="1"/>
  <c r="F11488" i="1"/>
  <c r="G11488" i="1"/>
  <c r="H11488" i="1"/>
  <c r="A11489" i="1"/>
  <c r="B11489" i="1"/>
  <c r="C11489" i="1"/>
  <c r="D11489" i="1"/>
  <c r="E11489" i="1"/>
  <c r="F11489" i="1"/>
  <c r="G11489" i="1"/>
  <c r="H11489" i="1"/>
  <c r="A11490" i="1"/>
  <c r="B11490" i="1"/>
  <c r="C11490" i="1"/>
  <c r="D11490" i="1"/>
  <c r="E11490" i="1"/>
  <c r="F11490" i="1"/>
  <c r="G11490" i="1"/>
  <c r="H11490" i="1"/>
  <c r="A11491" i="1"/>
  <c r="B11491" i="1"/>
  <c r="C11491" i="1"/>
  <c r="D11491" i="1"/>
  <c r="E11491" i="1"/>
  <c r="F11491" i="1"/>
  <c r="G11491" i="1"/>
  <c r="H11491" i="1"/>
  <c r="A11492" i="1"/>
  <c r="B11492" i="1"/>
  <c r="C11492" i="1"/>
  <c r="D11492" i="1"/>
  <c r="E11492" i="1"/>
  <c r="F11492" i="1"/>
  <c r="G11492" i="1"/>
  <c r="H11492" i="1"/>
  <c r="A11493" i="1"/>
  <c r="B11493" i="1"/>
  <c r="C11493" i="1"/>
  <c r="D11493" i="1"/>
  <c r="E11493" i="1"/>
  <c r="F11493" i="1"/>
  <c r="G11493" i="1"/>
  <c r="H11493" i="1"/>
  <c r="A11494" i="1"/>
  <c r="B11494" i="1"/>
  <c r="C11494" i="1"/>
  <c r="D11494" i="1"/>
  <c r="E11494" i="1"/>
  <c r="F11494" i="1"/>
  <c r="G11494" i="1"/>
  <c r="H11494" i="1"/>
  <c r="A11495" i="1"/>
  <c r="B11495" i="1"/>
  <c r="C11495" i="1"/>
  <c r="D11495" i="1"/>
  <c r="E11495" i="1"/>
  <c r="F11495" i="1"/>
  <c r="G11495" i="1"/>
  <c r="H11495" i="1"/>
  <c r="A11496" i="1"/>
  <c r="B11496" i="1"/>
  <c r="C11496" i="1"/>
  <c r="D11496" i="1"/>
  <c r="E11496" i="1"/>
  <c r="F11496" i="1"/>
  <c r="G11496" i="1"/>
  <c r="H11496" i="1"/>
  <c r="A11497" i="1"/>
  <c r="B11497" i="1"/>
  <c r="C11497" i="1"/>
  <c r="D11497" i="1"/>
  <c r="E11497" i="1"/>
  <c r="F11497" i="1"/>
  <c r="G11497" i="1"/>
  <c r="H11497" i="1"/>
  <c r="A11498" i="1"/>
  <c r="B11498" i="1"/>
  <c r="C11498" i="1"/>
  <c r="D11498" i="1"/>
  <c r="E11498" i="1"/>
  <c r="F11498" i="1"/>
  <c r="G11498" i="1"/>
  <c r="H11498" i="1"/>
  <c r="A11499" i="1"/>
  <c r="B11499" i="1"/>
  <c r="C11499" i="1"/>
  <c r="D11499" i="1"/>
  <c r="E11499" i="1"/>
  <c r="F11499" i="1"/>
  <c r="G11499" i="1"/>
  <c r="H11499" i="1"/>
  <c r="A11500" i="1"/>
  <c r="B11500" i="1"/>
  <c r="C11500" i="1"/>
  <c r="D11500" i="1"/>
  <c r="E11500" i="1"/>
  <c r="F11500" i="1"/>
  <c r="G11500" i="1"/>
  <c r="H11500" i="1"/>
  <c r="A11501" i="1"/>
  <c r="B11501" i="1"/>
  <c r="C11501" i="1"/>
  <c r="D11501" i="1"/>
  <c r="E11501" i="1"/>
  <c r="F11501" i="1"/>
  <c r="G11501" i="1"/>
  <c r="H11501" i="1"/>
  <c r="A11502" i="1"/>
  <c r="B11502" i="1"/>
  <c r="C11502" i="1"/>
  <c r="D11502" i="1"/>
  <c r="E11502" i="1"/>
  <c r="F11502" i="1"/>
  <c r="G11502" i="1"/>
  <c r="H11502" i="1"/>
  <c r="A11503" i="1"/>
  <c r="B11503" i="1"/>
  <c r="C11503" i="1"/>
  <c r="D11503" i="1"/>
  <c r="E11503" i="1"/>
  <c r="F11503" i="1"/>
  <c r="G11503" i="1"/>
  <c r="H11503" i="1"/>
  <c r="A11504" i="1"/>
  <c r="B11504" i="1"/>
  <c r="C11504" i="1"/>
  <c r="D11504" i="1"/>
  <c r="E11504" i="1"/>
  <c r="F11504" i="1"/>
  <c r="G11504" i="1"/>
  <c r="H11504" i="1"/>
  <c r="A11505" i="1"/>
  <c r="B11505" i="1"/>
  <c r="C11505" i="1"/>
  <c r="D11505" i="1"/>
  <c r="E11505" i="1"/>
  <c r="F11505" i="1"/>
  <c r="G11505" i="1"/>
  <c r="H11505" i="1"/>
  <c r="A11506" i="1"/>
  <c r="B11506" i="1"/>
  <c r="C11506" i="1"/>
  <c r="D11506" i="1"/>
  <c r="E11506" i="1"/>
  <c r="F11506" i="1"/>
  <c r="G11506" i="1"/>
  <c r="H11506" i="1"/>
  <c r="A11507" i="1"/>
  <c r="B11507" i="1"/>
  <c r="C11507" i="1"/>
  <c r="D11507" i="1"/>
  <c r="E11507" i="1"/>
  <c r="F11507" i="1"/>
  <c r="G11507" i="1"/>
  <c r="H11507" i="1"/>
  <c r="A11508" i="1"/>
  <c r="B11508" i="1"/>
  <c r="C11508" i="1"/>
  <c r="D11508" i="1"/>
  <c r="E11508" i="1"/>
  <c r="F11508" i="1"/>
  <c r="G11508" i="1"/>
  <c r="H11508" i="1"/>
  <c r="A11509" i="1"/>
  <c r="B11509" i="1"/>
  <c r="C11509" i="1"/>
  <c r="D11509" i="1"/>
  <c r="E11509" i="1"/>
  <c r="F11509" i="1"/>
  <c r="G11509" i="1"/>
  <c r="H11509" i="1"/>
  <c r="A11510" i="1"/>
  <c r="B11510" i="1"/>
  <c r="C11510" i="1"/>
  <c r="D11510" i="1"/>
  <c r="E11510" i="1"/>
  <c r="F11510" i="1"/>
  <c r="G11510" i="1"/>
  <c r="H11510" i="1"/>
  <c r="A11511" i="1"/>
  <c r="B11511" i="1"/>
  <c r="C11511" i="1"/>
  <c r="D11511" i="1"/>
  <c r="E11511" i="1"/>
  <c r="F11511" i="1"/>
  <c r="G11511" i="1"/>
  <c r="H11511" i="1"/>
  <c r="A11512" i="1"/>
  <c r="B11512" i="1"/>
  <c r="C11512" i="1"/>
  <c r="D11512" i="1"/>
  <c r="E11512" i="1"/>
  <c r="F11512" i="1"/>
  <c r="G11512" i="1"/>
  <c r="H11512" i="1"/>
  <c r="A11513" i="1"/>
  <c r="B11513" i="1"/>
  <c r="C11513" i="1"/>
  <c r="D11513" i="1"/>
  <c r="E11513" i="1"/>
  <c r="F11513" i="1"/>
  <c r="G11513" i="1"/>
  <c r="H11513" i="1"/>
  <c r="A11514" i="1"/>
  <c r="B11514" i="1"/>
  <c r="C11514" i="1"/>
  <c r="D11514" i="1"/>
  <c r="E11514" i="1"/>
  <c r="F11514" i="1"/>
  <c r="G11514" i="1"/>
  <c r="H11514" i="1"/>
  <c r="A11515" i="1"/>
  <c r="B11515" i="1"/>
  <c r="C11515" i="1"/>
  <c r="D11515" i="1"/>
  <c r="E11515" i="1"/>
  <c r="F11515" i="1"/>
  <c r="G11515" i="1"/>
  <c r="H11515" i="1"/>
  <c r="A11516" i="1"/>
  <c r="B11516" i="1"/>
  <c r="C11516" i="1"/>
  <c r="D11516" i="1"/>
  <c r="E11516" i="1"/>
  <c r="F11516" i="1"/>
  <c r="G11516" i="1"/>
  <c r="H11516" i="1"/>
  <c r="A11517" i="1"/>
  <c r="B11517" i="1"/>
  <c r="C11517" i="1"/>
  <c r="D11517" i="1"/>
  <c r="E11517" i="1"/>
  <c r="F11517" i="1"/>
  <c r="G11517" i="1"/>
  <c r="H11517" i="1"/>
  <c r="A11518" i="1"/>
  <c r="B11518" i="1"/>
  <c r="C11518" i="1"/>
  <c r="D11518" i="1"/>
  <c r="E11518" i="1"/>
  <c r="F11518" i="1"/>
  <c r="G11518" i="1"/>
  <c r="H11518" i="1"/>
  <c r="A11519" i="1"/>
  <c r="B11519" i="1"/>
  <c r="C11519" i="1"/>
  <c r="D11519" i="1"/>
  <c r="E11519" i="1"/>
  <c r="F11519" i="1"/>
  <c r="G11519" i="1"/>
  <c r="H11519" i="1"/>
  <c r="A11520" i="1"/>
  <c r="B11520" i="1"/>
  <c r="C11520" i="1"/>
  <c r="D11520" i="1"/>
  <c r="E11520" i="1"/>
  <c r="F11520" i="1"/>
  <c r="G11520" i="1"/>
  <c r="H11520" i="1"/>
  <c r="A11521" i="1"/>
  <c r="B11521" i="1"/>
  <c r="C11521" i="1"/>
  <c r="D11521" i="1"/>
  <c r="E11521" i="1"/>
  <c r="F11521" i="1"/>
  <c r="G11521" i="1"/>
  <c r="H11521" i="1"/>
  <c r="A11522" i="1"/>
  <c r="B11522" i="1"/>
  <c r="C11522" i="1"/>
  <c r="D11522" i="1"/>
  <c r="E11522" i="1"/>
  <c r="F11522" i="1"/>
  <c r="G11522" i="1"/>
  <c r="H11522" i="1"/>
  <c r="A11523" i="1"/>
  <c r="B11523" i="1"/>
  <c r="C11523" i="1"/>
  <c r="D11523" i="1"/>
  <c r="E11523" i="1"/>
  <c r="F11523" i="1"/>
  <c r="G11523" i="1"/>
  <c r="H11523" i="1"/>
  <c r="A11524" i="1"/>
  <c r="B11524" i="1"/>
  <c r="C11524" i="1"/>
  <c r="D11524" i="1"/>
  <c r="E11524" i="1"/>
  <c r="F11524" i="1"/>
  <c r="G11524" i="1"/>
  <c r="H11524" i="1"/>
  <c r="A11525" i="1"/>
  <c r="B11525" i="1"/>
  <c r="C11525" i="1"/>
  <c r="D11525" i="1"/>
  <c r="E11525" i="1"/>
  <c r="F11525" i="1"/>
  <c r="G11525" i="1"/>
  <c r="H11525" i="1"/>
  <c r="A11526" i="1"/>
  <c r="B11526" i="1"/>
  <c r="C11526" i="1"/>
  <c r="D11526" i="1"/>
  <c r="E11526" i="1"/>
  <c r="F11526" i="1"/>
  <c r="G11526" i="1"/>
  <c r="H11526" i="1"/>
  <c r="A11527" i="1"/>
  <c r="B11527" i="1"/>
  <c r="C11527" i="1"/>
  <c r="D11527" i="1"/>
  <c r="E11527" i="1"/>
  <c r="F11527" i="1"/>
  <c r="G11527" i="1"/>
  <c r="H11527" i="1"/>
  <c r="A11528" i="1"/>
  <c r="B11528" i="1"/>
  <c r="C11528" i="1"/>
  <c r="D11528" i="1"/>
  <c r="E11528" i="1"/>
  <c r="F11528" i="1"/>
  <c r="G11528" i="1"/>
  <c r="H11528" i="1"/>
  <c r="A11529" i="1"/>
  <c r="B11529" i="1"/>
  <c r="C11529" i="1"/>
  <c r="D11529" i="1"/>
  <c r="E11529" i="1"/>
  <c r="F11529" i="1"/>
  <c r="G11529" i="1"/>
  <c r="H11529" i="1"/>
  <c r="A11530" i="1"/>
  <c r="B11530" i="1"/>
  <c r="C11530" i="1"/>
  <c r="D11530" i="1"/>
  <c r="E11530" i="1"/>
  <c r="F11530" i="1"/>
  <c r="G11530" i="1"/>
  <c r="H11530" i="1"/>
  <c r="A11531" i="1"/>
  <c r="B11531" i="1"/>
  <c r="C11531" i="1"/>
  <c r="D11531" i="1"/>
  <c r="E11531" i="1"/>
  <c r="F11531" i="1"/>
  <c r="G11531" i="1"/>
  <c r="H11531" i="1"/>
  <c r="A11532" i="1"/>
  <c r="B11532" i="1"/>
  <c r="C11532" i="1"/>
  <c r="D11532" i="1"/>
  <c r="E11532" i="1"/>
  <c r="F11532" i="1"/>
  <c r="G11532" i="1"/>
  <c r="H11532" i="1"/>
  <c r="A11533" i="1"/>
  <c r="B11533" i="1"/>
  <c r="C11533" i="1"/>
  <c r="D11533" i="1"/>
  <c r="E11533" i="1"/>
  <c r="F11533" i="1"/>
  <c r="G11533" i="1"/>
  <c r="H11533" i="1"/>
  <c r="A11534" i="1"/>
  <c r="B11534" i="1"/>
  <c r="C11534" i="1"/>
  <c r="D11534" i="1"/>
  <c r="E11534" i="1"/>
  <c r="F11534" i="1"/>
  <c r="G11534" i="1"/>
  <c r="H11534" i="1"/>
  <c r="A11535" i="1"/>
  <c r="B11535" i="1"/>
  <c r="C11535" i="1"/>
  <c r="D11535" i="1"/>
  <c r="E11535" i="1"/>
  <c r="F11535" i="1"/>
  <c r="G11535" i="1"/>
  <c r="H11535" i="1"/>
  <c r="A11536" i="1"/>
  <c r="B11536" i="1"/>
  <c r="C11536" i="1"/>
  <c r="D11536" i="1"/>
  <c r="E11536" i="1"/>
  <c r="F11536" i="1"/>
  <c r="G11536" i="1"/>
  <c r="H11536" i="1"/>
  <c r="A11537" i="1"/>
  <c r="B11537" i="1"/>
  <c r="C11537" i="1"/>
  <c r="D11537" i="1"/>
  <c r="E11537" i="1"/>
  <c r="F11537" i="1"/>
  <c r="G11537" i="1"/>
  <c r="H11537" i="1"/>
  <c r="A11538" i="1"/>
  <c r="B11538" i="1"/>
  <c r="C11538" i="1"/>
  <c r="D11538" i="1"/>
  <c r="E11538" i="1"/>
  <c r="F11538" i="1"/>
  <c r="G11538" i="1"/>
  <c r="H11538" i="1"/>
  <c r="A11539" i="1"/>
  <c r="B11539" i="1"/>
  <c r="C11539" i="1"/>
  <c r="D11539" i="1"/>
  <c r="E11539" i="1"/>
  <c r="F11539" i="1"/>
  <c r="G11539" i="1"/>
  <c r="H11539" i="1"/>
  <c r="A11540" i="1"/>
  <c r="B11540" i="1"/>
  <c r="C11540" i="1"/>
  <c r="D11540" i="1"/>
  <c r="E11540" i="1"/>
  <c r="F11540" i="1"/>
  <c r="G11540" i="1"/>
  <c r="H11540" i="1"/>
  <c r="A11541" i="1"/>
  <c r="B11541" i="1"/>
  <c r="C11541" i="1"/>
  <c r="D11541" i="1"/>
  <c r="E11541" i="1"/>
  <c r="F11541" i="1"/>
  <c r="G11541" i="1"/>
  <c r="H11541" i="1"/>
  <c r="A11542" i="1"/>
  <c r="B11542" i="1"/>
  <c r="C11542" i="1"/>
  <c r="D11542" i="1"/>
  <c r="E11542" i="1"/>
  <c r="F11542" i="1"/>
  <c r="G11542" i="1"/>
  <c r="H11542" i="1"/>
  <c r="A11543" i="1"/>
  <c r="B11543" i="1"/>
  <c r="C11543" i="1"/>
  <c r="D11543" i="1"/>
  <c r="E11543" i="1"/>
  <c r="F11543" i="1"/>
  <c r="G11543" i="1"/>
  <c r="H11543" i="1"/>
  <c r="A11544" i="1"/>
  <c r="B11544" i="1"/>
  <c r="C11544" i="1"/>
  <c r="D11544" i="1"/>
  <c r="E11544" i="1"/>
  <c r="F11544" i="1"/>
  <c r="G11544" i="1"/>
  <c r="H11544" i="1"/>
  <c r="A11545" i="1"/>
  <c r="B11545" i="1"/>
  <c r="C11545" i="1"/>
  <c r="D11545" i="1"/>
  <c r="E11545" i="1"/>
  <c r="F11545" i="1"/>
  <c r="G11545" i="1"/>
  <c r="H11545" i="1"/>
  <c r="A11546" i="1"/>
  <c r="B11546" i="1"/>
  <c r="C11546" i="1"/>
  <c r="D11546" i="1"/>
  <c r="E11546" i="1"/>
  <c r="F11546" i="1"/>
  <c r="G11546" i="1"/>
  <c r="H11546" i="1"/>
  <c r="A11547" i="1"/>
  <c r="B11547" i="1"/>
  <c r="C11547" i="1"/>
  <c r="D11547" i="1"/>
  <c r="E11547" i="1"/>
  <c r="F11547" i="1"/>
  <c r="G11547" i="1"/>
  <c r="H11547" i="1"/>
  <c r="A11548" i="1"/>
  <c r="B11548" i="1"/>
  <c r="C11548" i="1"/>
  <c r="D11548" i="1"/>
  <c r="E11548" i="1"/>
  <c r="F11548" i="1"/>
  <c r="G11548" i="1"/>
  <c r="H11548" i="1"/>
  <c r="A11549" i="1"/>
  <c r="B11549" i="1"/>
  <c r="C11549" i="1"/>
  <c r="D11549" i="1"/>
  <c r="E11549" i="1"/>
  <c r="F11549" i="1"/>
  <c r="G11549" i="1"/>
  <c r="H11549" i="1"/>
  <c r="A11550" i="1"/>
  <c r="B11550" i="1"/>
  <c r="C11550" i="1"/>
  <c r="D11550" i="1"/>
  <c r="E11550" i="1"/>
  <c r="F11550" i="1"/>
  <c r="G11550" i="1"/>
  <c r="H11550" i="1"/>
  <c r="A11551" i="1"/>
  <c r="B11551" i="1"/>
  <c r="C11551" i="1"/>
  <c r="D11551" i="1"/>
  <c r="E11551" i="1"/>
  <c r="F11551" i="1"/>
  <c r="G11551" i="1"/>
  <c r="H11551" i="1"/>
  <c r="A11552" i="1"/>
  <c r="B11552" i="1"/>
  <c r="C11552" i="1"/>
  <c r="D11552" i="1"/>
  <c r="E11552" i="1"/>
  <c r="F11552" i="1"/>
  <c r="G11552" i="1"/>
  <c r="H11552" i="1"/>
  <c r="A11553" i="1"/>
  <c r="B11553" i="1"/>
  <c r="C11553" i="1"/>
  <c r="D11553" i="1"/>
  <c r="E11553" i="1"/>
  <c r="F11553" i="1"/>
  <c r="G11553" i="1"/>
  <c r="H11553" i="1"/>
  <c r="A11554" i="1"/>
  <c r="B11554" i="1"/>
  <c r="C11554" i="1"/>
  <c r="D11554" i="1"/>
  <c r="E11554" i="1"/>
  <c r="F11554" i="1"/>
  <c r="G11554" i="1"/>
  <c r="H11554" i="1"/>
  <c r="A11555" i="1"/>
  <c r="B11555" i="1"/>
  <c r="C11555" i="1"/>
  <c r="D11555" i="1"/>
  <c r="E11555" i="1"/>
  <c r="F11555" i="1"/>
  <c r="G11555" i="1"/>
  <c r="H11555" i="1"/>
  <c r="A11556" i="1"/>
  <c r="B11556" i="1"/>
  <c r="C11556" i="1"/>
  <c r="D11556" i="1"/>
  <c r="E11556" i="1"/>
  <c r="F11556" i="1"/>
  <c r="G11556" i="1"/>
  <c r="H11556" i="1"/>
  <c r="A11557" i="1"/>
  <c r="B11557" i="1"/>
  <c r="C11557" i="1"/>
  <c r="D11557" i="1"/>
  <c r="E11557" i="1"/>
  <c r="F11557" i="1"/>
  <c r="G11557" i="1"/>
  <c r="H11557" i="1"/>
  <c r="A11558" i="1"/>
  <c r="B11558" i="1"/>
  <c r="C11558" i="1"/>
  <c r="D11558" i="1"/>
  <c r="E11558" i="1"/>
  <c r="F11558" i="1"/>
  <c r="G11558" i="1"/>
  <c r="H11558" i="1"/>
  <c r="A11559" i="1"/>
  <c r="B11559" i="1"/>
  <c r="C11559" i="1"/>
  <c r="D11559" i="1"/>
  <c r="E11559" i="1"/>
  <c r="F11559" i="1"/>
  <c r="G11559" i="1"/>
  <c r="H11559" i="1"/>
  <c r="A11560" i="1"/>
  <c r="B11560" i="1"/>
  <c r="C11560" i="1"/>
  <c r="D11560" i="1"/>
  <c r="E11560" i="1"/>
  <c r="F11560" i="1"/>
  <c r="G11560" i="1"/>
  <c r="H11560" i="1"/>
  <c r="A11561" i="1"/>
  <c r="B11561" i="1"/>
  <c r="C11561" i="1"/>
  <c r="D11561" i="1"/>
  <c r="E11561" i="1"/>
  <c r="F11561" i="1"/>
  <c r="G11561" i="1"/>
  <c r="H11561" i="1"/>
  <c r="A11562" i="1"/>
  <c r="B11562" i="1"/>
  <c r="C11562" i="1"/>
  <c r="D11562" i="1"/>
  <c r="E11562" i="1"/>
  <c r="F11562" i="1"/>
  <c r="G11562" i="1"/>
  <c r="H11562" i="1"/>
  <c r="A11563" i="1"/>
  <c r="B11563" i="1"/>
  <c r="C11563" i="1"/>
  <c r="D11563" i="1"/>
  <c r="E11563" i="1"/>
  <c r="F11563" i="1"/>
  <c r="G11563" i="1"/>
  <c r="H11563" i="1"/>
  <c r="A11564" i="1"/>
  <c r="B11564" i="1"/>
  <c r="C11564" i="1"/>
  <c r="D11564" i="1"/>
  <c r="E11564" i="1"/>
  <c r="F11564" i="1"/>
  <c r="G11564" i="1"/>
  <c r="H11564" i="1"/>
  <c r="A11565" i="1"/>
  <c r="B11565" i="1"/>
  <c r="C11565" i="1"/>
  <c r="D11565" i="1"/>
  <c r="E11565" i="1"/>
  <c r="F11565" i="1"/>
  <c r="G11565" i="1"/>
  <c r="H11565" i="1"/>
  <c r="A11566" i="1"/>
  <c r="B11566" i="1"/>
  <c r="C11566" i="1"/>
  <c r="D11566" i="1"/>
  <c r="E11566" i="1"/>
  <c r="F11566" i="1"/>
  <c r="G11566" i="1"/>
  <c r="H11566" i="1"/>
  <c r="A11567" i="1"/>
  <c r="B11567" i="1"/>
  <c r="C11567" i="1"/>
  <c r="D11567" i="1"/>
  <c r="E11567" i="1"/>
  <c r="F11567" i="1"/>
  <c r="G11567" i="1"/>
  <c r="H11567" i="1"/>
  <c r="A11568" i="1"/>
  <c r="B11568" i="1"/>
  <c r="C11568" i="1"/>
  <c r="D11568" i="1"/>
  <c r="E11568" i="1"/>
  <c r="F11568" i="1"/>
  <c r="G11568" i="1"/>
  <c r="H11568" i="1"/>
  <c r="A11569" i="1"/>
  <c r="B11569" i="1"/>
  <c r="C11569" i="1"/>
  <c r="D11569" i="1"/>
  <c r="E11569" i="1"/>
  <c r="F11569" i="1"/>
  <c r="G11569" i="1"/>
  <c r="H11569" i="1"/>
  <c r="A11570" i="1"/>
  <c r="B11570" i="1"/>
  <c r="C11570" i="1"/>
  <c r="D11570" i="1"/>
  <c r="E11570" i="1"/>
  <c r="F11570" i="1"/>
  <c r="G11570" i="1"/>
  <c r="H11570" i="1"/>
  <c r="A11571" i="1"/>
  <c r="B11571" i="1"/>
  <c r="C11571" i="1"/>
  <c r="D11571" i="1"/>
  <c r="E11571" i="1"/>
  <c r="F11571" i="1"/>
  <c r="G11571" i="1"/>
  <c r="H11571" i="1"/>
  <c r="A11572" i="1"/>
  <c r="B11572" i="1"/>
  <c r="C11572" i="1"/>
  <c r="D11572" i="1"/>
  <c r="E11572" i="1"/>
  <c r="F11572" i="1"/>
  <c r="G11572" i="1"/>
  <c r="H11572" i="1"/>
  <c r="A11573" i="1"/>
  <c r="B11573" i="1"/>
  <c r="C11573" i="1"/>
  <c r="D11573" i="1"/>
  <c r="E11573" i="1"/>
  <c r="F11573" i="1"/>
  <c r="G11573" i="1"/>
  <c r="H11573" i="1"/>
  <c r="A11574" i="1"/>
  <c r="B11574" i="1"/>
  <c r="C11574" i="1"/>
  <c r="D11574" i="1"/>
  <c r="E11574" i="1"/>
  <c r="F11574" i="1"/>
  <c r="G11574" i="1"/>
  <c r="H11574" i="1"/>
  <c r="A11575" i="1"/>
  <c r="B11575" i="1"/>
  <c r="C11575" i="1"/>
  <c r="D11575" i="1"/>
  <c r="E11575" i="1"/>
  <c r="F11575" i="1"/>
  <c r="G11575" i="1"/>
  <c r="H11575" i="1"/>
  <c r="A11576" i="1"/>
  <c r="B11576" i="1"/>
  <c r="C11576" i="1"/>
  <c r="D11576" i="1"/>
  <c r="E11576" i="1"/>
  <c r="F11576" i="1"/>
  <c r="G11576" i="1"/>
  <c r="H11576" i="1"/>
  <c r="A11577" i="1"/>
  <c r="B11577" i="1"/>
  <c r="C11577" i="1"/>
  <c r="D11577" i="1"/>
  <c r="E11577" i="1"/>
  <c r="F11577" i="1"/>
  <c r="G11577" i="1"/>
  <c r="H11577" i="1"/>
  <c r="A11578" i="1"/>
  <c r="B11578" i="1"/>
  <c r="C11578" i="1"/>
  <c r="D11578" i="1"/>
  <c r="E11578" i="1"/>
  <c r="F11578" i="1"/>
  <c r="G11578" i="1"/>
  <c r="H11578" i="1"/>
  <c r="A11579" i="1"/>
  <c r="B11579" i="1"/>
  <c r="C11579" i="1"/>
  <c r="D11579" i="1"/>
  <c r="E11579" i="1"/>
  <c r="F11579" i="1"/>
  <c r="G11579" i="1"/>
  <c r="H11579" i="1"/>
  <c r="A11580" i="1"/>
  <c r="B11580" i="1"/>
  <c r="C11580" i="1"/>
  <c r="D11580" i="1"/>
  <c r="E11580" i="1"/>
  <c r="F11580" i="1"/>
  <c r="G11580" i="1"/>
  <c r="H11580" i="1"/>
  <c r="A11581" i="1"/>
  <c r="B11581" i="1"/>
  <c r="C11581" i="1"/>
  <c r="D11581" i="1"/>
  <c r="E11581" i="1"/>
  <c r="F11581" i="1"/>
  <c r="G11581" i="1"/>
  <c r="H11581" i="1"/>
  <c r="A11582" i="1"/>
  <c r="B11582" i="1"/>
  <c r="C11582" i="1"/>
  <c r="D11582" i="1"/>
  <c r="E11582" i="1"/>
  <c r="F11582" i="1"/>
  <c r="G11582" i="1"/>
  <c r="H11582" i="1"/>
  <c r="A11583" i="1"/>
  <c r="B11583" i="1"/>
  <c r="C11583" i="1"/>
  <c r="D11583" i="1"/>
  <c r="E11583" i="1"/>
  <c r="F11583" i="1"/>
  <c r="G11583" i="1"/>
  <c r="H11583" i="1"/>
  <c r="A11584" i="1"/>
  <c r="B11584" i="1"/>
  <c r="C11584" i="1"/>
  <c r="D11584" i="1"/>
  <c r="E11584" i="1"/>
  <c r="F11584" i="1"/>
  <c r="G11584" i="1"/>
  <c r="H11584" i="1"/>
  <c r="A11585" i="1"/>
  <c r="B11585" i="1"/>
  <c r="C11585" i="1"/>
  <c r="D11585" i="1"/>
  <c r="E11585" i="1"/>
  <c r="F11585" i="1"/>
  <c r="G11585" i="1"/>
  <c r="H11585" i="1"/>
  <c r="A11586" i="1"/>
  <c r="B11586" i="1"/>
  <c r="C11586" i="1"/>
  <c r="D11586" i="1"/>
  <c r="E11586" i="1"/>
  <c r="F11586" i="1"/>
  <c r="G11586" i="1"/>
  <c r="H11586" i="1"/>
  <c r="A11587" i="1"/>
  <c r="B11587" i="1"/>
  <c r="C11587" i="1"/>
  <c r="D11587" i="1"/>
  <c r="E11587" i="1"/>
  <c r="F11587" i="1"/>
  <c r="G11587" i="1"/>
  <c r="H11587" i="1"/>
  <c r="A11588" i="1"/>
  <c r="B11588" i="1"/>
  <c r="C11588" i="1"/>
  <c r="D11588" i="1"/>
  <c r="E11588" i="1"/>
  <c r="F11588" i="1"/>
  <c r="G11588" i="1"/>
  <c r="H11588" i="1"/>
  <c r="A11589" i="1"/>
  <c r="B11589" i="1"/>
  <c r="C11589" i="1"/>
  <c r="D11589" i="1"/>
  <c r="E11589" i="1"/>
  <c r="F11589" i="1"/>
  <c r="G11589" i="1"/>
  <c r="H11589" i="1"/>
  <c r="A11590" i="1"/>
  <c r="B11590" i="1"/>
  <c r="C11590" i="1"/>
  <c r="D11590" i="1"/>
  <c r="E11590" i="1"/>
  <c r="F11590" i="1"/>
  <c r="G11590" i="1"/>
  <c r="H11590" i="1"/>
  <c r="A11591" i="1"/>
  <c r="B11591" i="1"/>
  <c r="C11591" i="1"/>
  <c r="D11591" i="1"/>
  <c r="E11591" i="1"/>
  <c r="F11591" i="1"/>
  <c r="G11591" i="1"/>
  <c r="H11591" i="1"/>
  <c r="A11592" i="1"/>
  <c r="B11592" i="1"/>
  <c r="C11592" i="1"/>
  <c r="D11592" i="1"/>
  <c r="E11592" i="1"/>
  <c r="F11592" i="1"/>
  <c r="G11592" i="1"/>
  <c r="H11592" i="1"/>
  <c r="A11593" i="1"/>
  <c r="B11593" i="1"/>
  <c r="C11593" i="1"/>
  <c r="D11593" i="1"/>
  <c r="E11593" i="1"/>
  <c r="F11593" i="1"/>
  <c r="G11593" i="1"/>
  <c r="H11593" i="1"/>
  <c r="A11594" i="1"/>
  <c r="B11594" i="1"/>
  <c r="C11594" i="1"/>
  <c r="D11594" i="1"/>
  <c r="E11594" i="1"/>
  <c r="F11594" i="1"/>
  <c r="G11594" i="1"/>
  <c r="H11594" i="1"/>
  <c r="A11595" i="1"/>
  <c r="B11595" i="1"/>
  <c r="C11595" i="1"/>
  <c r="D11595" i="1"/>
  <c r="E11595" i="1"/>
  <c r="F11595" i="1"/>
  <c r="G11595" i="1"/>
  <c r="H11595" i="1"/>
  <c r="A11596" i="1"/>
  <c r="B11596" i="1"/>
  <c r="C11596" i="1"/>
  <c r="D11596" i="1"/>
  <c r="E11596" i="1"/>
  <c r="F11596" i="1"/>
  <c r="G11596" i="1"/>
  <c r="H11596" i="1"/>
  <c r="A11597" i="1"/>
  <c r="B11597" i="1"/>
  <c r="C11597" i="1"/>
  <c r="D11597" i="1"/>
  <c r="E11597" i="1"/>
  <c r="F11597" i="1"/>
  <c r="G11597" i="1"/>
  <c r="H11597" i="1"/>
  <c r="A11598" i="1"/>
  <c r="B11598" i="1"/>
  <c r="C11598" i="1"/>
  <c r="D11598" i="1"/>
  <c r="E11598" i="1"/>
  <c r="F11598" i="1"/>
  <c r="G11598" i="1"/>
  <c r="H11598" i="1"/>
  <c r="A11599" i="1"/>
  <c r="B11599" i="1"/>
  <c r="C11599" i="1"/>
  <c r="D11599" i="1"/>
  <c r="E11599" i="1"/>
  <c r="F11599" i="1"/>
  <c r="G11599" i="1"/>
  <c r="H11599" i="1"/>
  <c r="A11600" i="1"/>
  <c r="B11600" i="1"/>
  <c r="C11600" i="1"/>
  <c r="D11600" i="1"/>
  <c r="E11600" i="1"/>
  <c r="F11600" i="1"/>
  <c r="G11600" i="1"/>
  <c r="H11600" i="1"/>
  <c r="A11601" i="1"/>
  <c r="B11601" i="1"/>
  <c r="C11601" i="1"/>
  <c r="D11601" i="1"/>
  <c r="E11601" i="1"/>
  <c r="F11601" i="1"/>
  <c r="G11601" i="1"/>
  <c r="H11601" i="1"/>
  <c r="A11602" i="1"/>
  <c r="B11602" i="1"/>
  <c r="C11602" i="1"/>
  <c r="D11602" i="1"/>
  <c r="E11602" i="1"/>
  <c r="F11602" i="1"/>
  <c r="G11602" i="1"/>
  <c r="H11602" i="1"/>
  <c r="A11603" i="1"/>
  <c r="B11603" i="1"/>
  <c r="C11603" i="1"/>
  <c r="D11603" i="1"/>
  <c r="E11603" i="1"/>
  <c r="F11603" i="1"/>
  <c r="G11603" i="1"/>
  <c r="H11603" i="1"/>
  <c r="A11604" i="1"/>
  <c r="B11604" i="1"/>
  <c r="C11604" i="1"/>
  <c r="D11604" i="1"/>
  <c r="E11604" i="1"/>
  <c r="F11604" i="1"/>
  <c r="G11604" i="1"/>
  <c r="H11604" i="1"/>
  <c r="A11605" i="1"/>
  <c r="B11605" i="1"/>
  <c r="C11605" i="1"/>
  <c r="D11605" i="1"/>
  <c r="E11605" i="1"/>
  <c r="F11605" i="1"/>
  <c r="G11605" i="1"/>
  <c r="H11605" i="1"/>
  <c r="A11606" i="1"/>
  <c r="B11606" i="1"/>
  <c r="C11606" i="1"/>
  <c r="D11606" i="1"/>
  <c r="E11606" i="1"/>
  <c r="F11606" i="1"/>
  <c r="G11606" i="1"/>
  <c r="H11606" i="1"/>
  <c r="A11607" i="1"/>
  <c r="B11607" i="1"/>
  <c r="C11607" i="1"/>
  <c r="D11607" i="1"/>
  <c r="E11607" i="1"/>
  <c r="F11607" i="1"/>
  <c r="G11607" i="1"/>
  <c r="H11607" i="1"/>
  <c r="A11608" i="1"/>
  <c r="B11608" i="1"/>
  <c r="C11608" i="1"/>
  <c r="D11608" i="1"/>
  <c r="E11608" i="1"/>
  <c r="F11608" i="1"/>
  <c r="G11608" i="1"/>
  <c r="H11608" i="1"/>
  <c r="A11609" i="1"/>
  <c r="B11609" i="1"/>
  <c r="C11609" i="1"/>
  <c r="D11609" i="1"/>
  <c r="E11609" i="1"/>
  <c r="F11609" i="1"/>
  <c r="G11609" i="1"/>
  <c r="H11609" i="1"/>
  <c r="A11610" i="1"/>
  <c r="B11610" i="1"/>
  <c r="C11610" i="1"/>
  <c r="D11610" i="1"/>
  <c r="E11610" i="1"/>
  <c r="F11610" i="1"/>
  <c r="G11610" i="1"/>
  <c r="H11610" i="1"/>
  <c r="A11611" i="1"/>
  <c r="B11611" i="1"/>
  <c r="C11611" i="1"/>
  <c r="D11611" i="1"/>
  <c r="E11611" i="1"/>
  <c r="F11611" i="1"/>
  <c r="G11611" i="1"/>
  <c r="H11611" i="1"/>
  <c r="A11612" i="1"/>
  <c r="B11612" i="1"/>
  <c r="C11612" i="1"/>
  <c r="D11612" i="1"/>
  <c r="E11612" i="1"/>
  <c r="F11612" i="1"/>
  <c r="G11612" i="1"/>
  <c r="H11612" i="1"/>
  <c r="A11613" i="1"/>
  <c r="B11613" i="1"/>
  <c r="C11613" i="1"/>
  <c r="D11613" i="1"/>
  <c r="E11613" i="1"/>
  <c r="F11613" i="1"/>
  <c r="G11613" i="1"/>
  <c r="H11613" i="1"/>
  <c r="A11614" i="1"/>
  <c r="B11614" i="1"/>
  <c r="C11614" i="1"/>
  <c r="D11614" i="1"/>
  <c r="E11614" i="1"/>
  <c r="F11614" i="1"/>
  <c r="G11614" i="1"/>
  <c r="H11614" i="1"/>
  <c r="A11615" i="1"/>
  <c r="B11615" i="1"/>
  <c r="C11615" i="1"/>
  <c r="D11615" i="1"/>
  <c r="E11615" i="1"/>
  <c r="F11615" i="1"/>
  <c r="G11615" i="1"/>
  <c r="H11615" i="1"/>
  <c r="A11616" i="1"/>
  <c r="B11616" i="1"/>
  <c r="C11616" i="1"/>
  <c r="D11616" i="1"/>
  <c r="E11616" i="1"/>
  <c r="F11616" i="1"/>
  <c r="G11616" i="1"/>
  <c r="H11616" i="1"/>
  <c r="A11617" i="1"/>
  <c r="B11617" i="1"/>
  <c r="C11617" i="1"/>
  <c r="D11617" i="1"/>
  <c r="E11617" i="1"/>
  <c r="F11617" i="1"/>
  <c r="G11617" i="1"/>
  <c r="H11617" i="1"/>
  <c r="A11618" i="1"/>
  <c r="B11618" i="1"/>
  <c r="C11618" i="1"/>
  <c r="D11618" i="1"/>
  <c r="E11618" i="1"/>
  <c r="F11618" i="1"/>
  <c r="G11618" i="1"/>
  <c r="H11618" i="1"/>
  <c r="A11619" i="1"/>
  <c r="B11619" i="1"/>
  <c r="C11619" i="1"/>
  <c r="D11619" i="1"/>
  <c r="E11619" i="1"/>
  <c r="F11619" i="1"/>
  <c r="G11619" i="1"/>
  <c r="H11619" i="1"/>
  <c r="A11620" i="1"/>
  <c r="B11620" i="1"/>
  <c r="C11620" i="1"/>
  <c r="D11620" i="1"/>
  <c r="E11620" i="1"/>
  <c r="F11620" i="1"/>
  <c r="G11620" i="1"/>
  <c r="H11620" i="1"/>
  <c r="A11621" i="1"/>
  <c r="B11621" i="1"/>
  <c r="C11621" i="1"/>
  <c r="D11621" i="1"/>
  <c r="E11621" i="1"/>
  <c r="F11621" i="1"/>
  <c r="G11621" i="1"/>
  <c r="H11621" i="1"/>
  <c r="A11622" i="1"/>
  <c r="B11622" i="1"/>
  <c r="C11622" i="1"/>
  <c r="D11622" i="1"/>
  <c r="E11622" i="1"/>
  <c r="F11622" i="1"/>
  <c r="G11622" i="1"/>
  <c r="H11622" i="1"/>
  <c r="A11623" i="1"/>
  <c r="B11623" i="1"/>
  <c r="C11623" i="1"/>
  <c r="D11623" i="1"/>
  <c r="E11623" i="1"/>
  <c r="F11623" i="1"/>
  <c r="G11623" i="1"/>
  <c r="H11623" i="1"/>
  <c r="A11624" i="1"/>
  <c r="B11624" i="1"/>
  <c r="C11624" i="1"/>
  <c r="D11624" i="1"/>
  <c r="E11624" i="1"/>
  <c r="F11624" i="1"/>
  <c r="G11624" i="1"/>
  <c r="H11624" i="1"/>
  <c r="A11625" i="1"/>
  <c r="B11625" i="1"/>
  <c r="C11625" i="1"/>
  <c r="D11625" i="1"/>
  <c r="E11625" i="1"/>
  <c r="F11625" i="1"/>
  <c r="G11625" i="1"/>
  <c r="H11625" i="1"/>
  <c r="A11626" i="1"/>
  <c r="B11626" i="1"/>
  <c r="C11626" i="1"/>
  <c r="D11626" i="1"/>
  <c r="E11626" i="1"/>
  <c r="F11626" i="1"/>
  <c r="G11626" i="1"/>
  <c r="H11626" i="1"/>
  <c r="A11627" i="1"/>
  <c r="B11627" i="1"/>
  <c r="C11627" i="1"/>
  <c r="D11627" i="1"/>
  <c r="E11627" i="1"/>
  <c r="F11627" i="1"/>
  <c r="G11627" i="1"/>
  <c r="H11627" i="1"/>
  <c r="A11628" i="1"/>
  <c r="B11628" i="1"/>
  <c r="C11628" i="1"/>
  <c r="D11628" i="1"/>
  <c r="E11628" i="1"/>
  <c r="F11628" i="1"/>
  <c r="G11628" i="1"/>
  <c r="H11628" i="1"/>
  <c r="A11629" i="1"/>
  <c r="B11629" i="1"/>
  <c r="C11629" i="1"/>
  <c r="D11629" i="1"/>
  <c r="E11629" i="1"/>
  <c r="F11629" i="1"/>
  <c r="G11629" i="1"/>
  <c r="H11629" i="1"/>
  <c r="A11630" i="1"/>
  <c r="B11630" i="1"/>
  <c r="C11630" i="1"/>
  <c r="D11630" i="1"/>
  <c r="E11630" i="1"/>
  <c r="F11630" i="1"/>
  <c r="G11630" i="1"/>
  <c r="H11630" i="1"/>
  <c r="A11631" i="1"/>
  <c r="B11631" i="1"/>
  <c r="C11631" i="1"/>
  <c r="D11631" i="1"/>
  <c r="E11631" i="1"/>
  <c r="F11631" i="1"/>
  <c r="G11631" i="1"/>
  <c r="H11631" i="1"/>
  <c r="A11632" i="1"/>
  <c r="B11632" i="1"/>
  <c r="C11632" i="1"/>
  <c r="D11632" i="1"/>
  <c r="E11632" i="1"/>
  <c r="F11632" i="1"/>
  <c r="G11632" i="1"/>
  <c r="H11632" i="1"/>
  <c r="A11633" i="1"/>
  <c r="B11633" i="1"/>
  <c r="C11633" i="1"/>
  <c r="D11633" i="1"/>
  <c r="E11633" i="1"/>
  <c r="F11633" i="1"/>
  <c r="G11633" i="1"/>
  <c r="H11633" i="1"/>
  <c r="A11634" i="1"/>
  <c r="B11634" i="1"/>
  <c r="C11634" i="1"/>
  <c r="D11634" i="1"/>
  <c r="E11634" i="1"/>
  <c r="F11634" i="1"/>
  <c r="G11634" i="1"/>
  <c r="H11634" i="1"/>
  <c r="A11635" i="1"/>
  <c r="B11635" i="1"/>
  <c r="C11635" i="1"/>
  <c r="D11635" i="1"/>
  <c r="E11635" i="1"/>
  <c r="F11635" i="1"/>
  <c r="G11635" i="1"/>
  <c r="H11635" i="1"/>
  <c r="A11636" i="1"/>
  <c r="B11636" i="1"/>
  <c r="C11636" i="1"/>
  <c r="D11636" i="1"/>
  <c r="E11636" i="1"/>
  <c r="F11636" i="1"/>
  <c r="G11636" i="1"/>
  <c r="H11636" i="1"/>
  <c r="A11637" i="1"/>
  <c r="B11637" i="1"/>
  <c r="C11637" i="1"/>
  <c r="D11637" i="1"/>
  <c r="E11637" i="1"/>
  <c r="F11637" i="1"/>
  <c r="G11637" i="1"/>
  <c r="H11637" i="1"/>
  <c r="A11638" i="1"/>
  <c r="B11638" i="1"/>
  <c r="C11638" i="1"/>
  <c r="D11638" i="1"/>
  <c r="E11638" i="1"/>
  <c r="F11638" i="1"/>
  <c r="G11638" i="1"/>
  <c r="H11638" i="1"/>
  <c r="A11639" i="1"/>
  <c r="B11639" i="1"/>
  <c r="C11639" i="1"/>
  <c r="D11639" i="1"/>
  <c r="E11639" i="1"/>
  <c r="F11639" i="1"/>
  <c r="G11639" i="1"/>
  <c r="H11639" i="1"/>
  <c r="A11640" i="1"/>
  <c r="B11640" i="1"/>
  <c r="C11640" i="1"/>
  <c r="D11640" i="1"/>
  <c r="E11640" i="1"/>
  <c r="F11640" i="1"/>
  <c r="G11640" i="1"/>
  <c r="H11640" i="1"/>
  <c r="A11641" i="1"/>
  <c r="B11641" i="1"/>
  <c r="C11641" i="1"/>
  <c r="D11641" i="1"/>
  <c r="E11641" i="1"/>
  <c r="F11641" i="1"/>
  <c r="G11641" i="1"/>
  <c r="H11641" i="1"/>
  <c r="A11642" i="1"/>
  <c r="B11642" i="1"/>
  <c r="C11642" i="1"/>
  <c r="D11642" i="1"/>
  <c r="E11642" i="1"/>
  <c r="F11642" i="1"/>
  <c r="G11642" i="1"/>
  <c r="H11642" i="1"/>
  <c r="A11643" i="1"/>
  <c r="B11643" i="1"/>
  <c r="C11643" i="1"/>
  <c r="D11643" i="1"/>
  <c r="E11643" i="1"/>
  <c r="F11643" i="1"/>
  <c r="G11643" i="1"/>
  <c r="H11643" i="1"/>
  <c r="A11644" i="1"/>
  <c r="B11644" i="1"/>
  <c r="C11644" i="1"/>
  <c r="D11644" i="1"/>
  <c r="E11644" i="1"/>
  <c r="F11644" i="1"/>
  <c r="G11644" i="1"/>
  <c r="H11644" i="1"/>
  <c r="A11645" i="1"/>
  <c r="B11645" i="1"/>
  <c r="C11645" i="1"/>
  <c r="D11645" i="1"/>
  <c r="E11645" i="1"/>
  <c r="F11645" i="1"/>
  <c r="G11645" i="1"/>
  <c r="H11645" i="1"/>
  <c r="A11646" i="1"/>
  <c r="B11646" i="1"/>
  <c r="C11646" i="1"/>
  <c r="D11646" i="1"/>
  <c r="E11646" i="1"/>
  <c r="F11646" i="1"/>
  <c r="G11646" i="1"/>
  <c r="H11646" i="1"/>
  <c r="A11647" i="1"/>
  <c r="B11647" i="1"/>
  <c r="C11647" i="1"/>
  <c r="D11647" i="1"/>
  <c r="E11647" i="1"/>
  <c r="F11647" i="1"/>
  <c r="G11647" i="1"/>
  <c r="H11647" i="1"/>
  <c r="A11648" i="1"/>
  <c r="B11648" i="1"/>
  <c r="C11648" i="1"/>
  <c r="D11648" i="1"/>
  <c r="E11648" i="1"/>
  <c r="F11648" i="1"/>
  <c r="G11648" i="1"/>
  <c r="H11648" i="1"/>
  <c r="A11649" i="1"/>
  <c r="B11649" i="1"/>
  <c r="C11649" i="1"/>
  <c r="D11649" i="1"/>
  <c r="E11649" i="1"/>
  <c r="F11649" i="1"/>
  <c r="G11649" i="1"/>
  <c r="H11649" i="1"/>
  <c r="A11650" i="1"/>
  <c r="B11650" i="1"/>
  <c r="C11650" i="1"/>
  <c r="D11650" i="1"/>
  <c r="E11650" i="1"/>
  <c r="F11650" i="1"/>
  <c r="G11650" i="1"/>
  <c r="H11650" i="1"/>
  <c r="A11651" i="1"/>
  <c r="B11651" i="1"/>
  <c r="C11651" i="1"/>
  <c r="D11651" i="1"/>
  <c r="E11651" i="1"/>
  <c r="F11651" i="1"/>
  <c r="G11651" i="1"/>
  <c r="H11651" i="1"/>
  <c r="A11652" i="1"/>
  <c r="B11652" i="1"/>
  <c r="C11652" i="1"/>
  <c r="D11652" i="1"/>
  <c r="E11652" i="1"/>
  <c r="F11652" i="1"/>
  <c r="G11652" i="1"/>
  <c r="H11652" i="1"/>
  <c r="A11653" i="1"/>
  <c r="B11653" i="1"/>
  <c r="C11653" i="1"/>
  <c r="D11653" i="1"/>
  <c r="E11653" i="1"/>
  <c r="F11653" i="1"/>
  <c r="G11653" i="1"/>
  <c r="H11653" i="1"/>
  <c r="A11654" i="1"/>
  <c r="B11654" i="1"/>
  <c r="C11654" i="1"/>
  <c r="D11654" i="1"/>
  <c r="E11654" i="1"/>
  <c r="F11654" i="1"/>
  <c r="G11654" i="1"/>
  <c r="H11654" i="1"/>
  <c r="A11655" i="1"/>
  <c r="B11655" i="1"/>
  <c r="C11655" i="1"/>
  <c r="D11655" i="1"/>
  <c r="E11655" i="1"/>
  <c r="F11655" i="1"/>
  <c r="G11655" i="1"/>
  <c r="H11655" i="1"/>
  <c r="A11656" i="1"/>
  <c r="B11656" i="1"/>
  <c r="C11656" i="1"/>
  <c r="D11656" i="1"/>
  <c r="E11656" i="1"/>
  <c r="F11656" i="1"/>
  <c r="G11656" i="1"/>
  <c r="H11656" i="1"/>
  <c r="A11657" i="1"/>
  <c r="B11657" i="1"/>
  <c r="C11657" i="1"/>
  <c r="D11657" i="1"/>
  <c r="E11657" i="1"/>
  <c r="F11657" i="1"/>
  <c r="G11657" i="1"/>
  <c r="H11657" i="1"/>
  <c r="A11658" i="1"/>
  <c r="B11658" i="1"/>
  <c r="C11658" i="1"/>
  <c r="D11658" i="1"/>
  <c r="E11658" i="1"/>
  <c r="F11658" i="1"/>
  <c r="G11658" i="1"/>
  <c r="H11658" i="1"/>
  <c r="A11659" i="1"/>
  <c r="B11659" i="1"/>
  <c r="C11659" i="1"/>
  <c r="D11659" i="1"/>
  <c r="E11659" i="1"/>
  <c r="F11659" i="1"/>
  <c r="G11659" i="1"/>
  <c r="H11659" i="1"/>
  <c r="A11660" i="1"/>
  <c r="B11660" i="1"/>
  <c r="C11660" i="1"/>
  <c r="D11660" i="1"/>
  <c r="E11660" i="1"/>
  <c r="F11660" i="1"/>
  <c r="G11660" i="1"/>
  <c r="H11660" i="1"/>
  <c r="A11661" i="1"/>
  <c r="B11661" i="1"/>
  <c r="C11661" i="1"/>
  <c r="D11661" i="1"/>
  <c r="E11661" i="1"/>
  <c r="F11661" i="1"/>
  <c r="G11661" i="1"/>
  <c r="H11661" i="1"/>
  <c r="A11662" i="1"/>
  <c r="B11662" i="1"/>
  <c r="C11662" i="1"/>
  <c r="D11662" i="1"/>
  <c r="E11662" i="1"/>
  <c r="F11662" i="1"/>
  <c r="G11662" i="1"/>
  <c r="H11662" i="1"/>
  <c r="A11663" i="1"/>
  <c r="B11663" i="1"/>
  <c r="C11663" i="1"/>
  <c r="D11663" i="1"/>
  <c r="E11663" i="1"/>
  <c r="F11663" i="1"/>
  <c r="G11663" i="1"/>
  <c r="H11663" i="1"/>
  <c r="A11664" i="1"/>
  <c r="B11664" i="1"/>
  <c r="C11664" i="1"/>
  <c r="D11664" i="1"/>
  <c r="E11664" i="1"/>
  <c r="F11664" i="1"/>
  <c r="G11664" i="1"/>
  <c r="H11664" i="1"/>
  <c r="A11665" i="1"/>
  <c r="B11665" i="1"/>
  <c r="C11665" i="1"/>
  <c r="D11665" i="1"/>
  <c r="E11665" i="1"/>
  <c r="F11665" i="1"/>
  <c r="G11665" i="1"/>
  <c r="H11665" i="1"/>
  <c r="A11666" i="1"/>
  <c r="B11666" i="1"/>
  <c r="C11666" i="1"/>
  <c r="D11666" i="1"/>
  <c r="E11666" i="1"/>
  <c r="F11666" i="1"/>
  <c r="G11666" i="1"/>
  <c r="H11666" i="1"/>
  <c r="A11667" i="1"/>
  <c r="B11667" i="1"/>
  <c r="C11667" i="1"/>
  <c r="D11667" i="1"/>
  <c r="E11667" i="1"/>
  <c r="F11667" i="1"/>
  <c r="G11667" i="1"/>
  <c r="H11667" i="1"/>
  <c r="A11668" i="1"/>
  <c r="B11668" i="1"/>
  <c r="C11668" i="1"/>
  <c r="D11668" i="1"/>
  <c r="E11668" i="1"/>
  <c r="F11668" i="1"/>
  <c r="G11668" i="1"/>
  <c r="H11668" i="1"/>
  <c r="A11669" i="1"/>
  <c r="B11669" i="1"/>
  <c r="C11669" i="1"/>
  <c r="D11669" i="1"/>
  <c r="E11669" i="1"/>
  <c r="F11669" i="1"/>
  <c r="G11669" i="1"/>
  <c r="H11669" i="1"/>
  <c r="A11670" i="1"/>
  <c r="B11670" i="1"/>
  <c r="C11670" i="1"/>
  <c r="D11670" i="1"/>
  <c r="E11670" i="1"/>
  <c r="F11670" i="1"/>
  <c r="G11670" i="1"/>
  <c r="H11670" i="1"/>
  <c r="A11671" i="1"/>
  <c r="B11671" i="1"/>
  <c r="C11671" i="1"/>
  <c r="D11671" i="1"/>
  <c r="E11671" i="1"/>
  <c r="F11671" i="1"/>
  <c r="G11671" i="1"/>
  <c r="H11671" i="1"/>
  <c r="A11672" i="1"/>
  <c r="B11672" i="1"/>
  <c r="C11672" i="1"/>
  <c r="D11672" i="1"/>
  <c r="E11672" i="1"/>
  <c r="F11672" i="1"/>
  <c r="G11672" i="1"/>
  <c r="H11672" i="1"/>
  <c r="A11673" i="1"/>
  <c r="B11673" i="1"/>
  <c r="C11673" i="1"/>
  <c r="D11673" i="1"/>
  <c r="E11673" i="1"/>
  <c r="F11673" i="1"/>
  <c r="G11673" i="1"/>
  <c r="H11673" i="1"/>
  <c r="A11674" i="1"/>
  <c r="B11674" i="1"/>
  <c r="C11674" i="1"/>
  <c r="D11674" i="1"/>
  <c r="E11674" i="1"/>
  <c r="F11674" i="1"/>
  <c r="G11674" i="1"/>
  <c r="H11674" i="1"/>
  <c r="A11675" i="1"/>
  <c r="B11675" i="1"/>
  <c r="C11675" i="1"/>
  <c r="D11675" i="1"/>
  <c r="E11675" i="1"/>
  <c r="F11675" i="1"/>
  <c r="G11675" i="1"/>
  <c r="H11675" i="1"/>
  <c r="A11676" i="1"/>
  <c r="B11676" i="1"/>
  <c r="C11676" i="1"/>
  <c r="D11676" i="1"/>
  <c r="E11676" i="1"/>
  <c r="F11676" i="1"/>
  <c r="G11676" i="1"/>
  <c r="H11676" i="1"/>
  <c r="A11677" i="1"/>
  <c r="B11677" i="1"/>
  <c r="C11677" i="1"/>
  <c r="D11677" i="1"/>
  <c r="E11677" i="1"/>
  <c r="F11677" i="1"/>
  <c r="G11677" i="1"/>
  <c r="H11677" i="1"/>
  <c r="A11678" i="1"/>
  <c r="B11678" i="1"/>
  <c r="C11678" i="1"/>
  <c r="D11678" i="1"/>
  <c r="E11678" i="1"/>
  <c r="F11678" i="1"/>
  <c r="G11678" i="1"/>
  <c r="H11678" i="1"/>
  <c r="A11679" i="1"/>
  <c r="B11679" i="1"/>
  <c r="C11679" i="1"/>
  <c r="D11679" i="1"/>
  <c r="E11679" i="1"/>
  <c r="F11679" i="1"/>
  <c r="G11679" i="1"/>
  <c r="H11679" i="1"/>
  <c r="A11680" i="1"/>
  <c r="B11680" i="1"/>
  <c r="C11680" i="1"/>
  <c r="D11680" i="1"/>
  <c r="E11680" i="1"/>
  <c r="F11680" i="1"/>
  <c r="G11680" i="1"/>
  <c r="H11680" i="1"/>
  <c r="A11681" i="1"/>
  <c r="B11681" i="1"/>
  <c r="C11681" i="1"/>
  <c r="D11681" i="1"/>
  <c r="E11681" i="1"/>
  <c r="F11681" i="1"/>
  <c r="G11681" i="1"/>
  <c r="H11681" i="1"/>
  <c r="A11682" i="1"/>
  <c r="B11682" i="1"/>
  <c r="C11682" i="1"/>
  <c r="D11682" i="1"/>
  <c r="E11682" i="1"/>
  <c r="F11682" i="1"/>
  <c r="G11682" i="1"/>
  <c r="H11682" i="1"/>
  <c r="A11683" i="1"/>
  <c r="B11683" i="1"/>
  <c r="C11683" i="1"/>
  <c r="D11683" i="1"/>
  <c r="E11683" i="1"/>
  <c r="F11683" i="1"/>
  <c r="G11683" i="1"/>
  <c r="H11683" i="1"/>
  <c r="A11684" i="1"/>
  <c r="B11684" i="1"/>
  <c r="C11684" i="1"/>
  <c r="D11684" i="1"/>
  <c r="E11684" i="1"/>
  <c r="F11684" i="1"/>
  <c r="G11684" i="1"/>
  <c r="H11684" i="1"/>
  <c r="A11685" i="1"/>
  <c r="B11685" i="1"/>
  <c r="C11685" i="1"/>
  <c r="D11685" i="1"/>
  <c r="E11685" i="1"/>
  <c r="F11685" i="1"/>
  <c r="G11685" i="1"/>
  <c r="H11685" i="1"/>
  <c r="A11686" i="1"/>
  <c r="B11686" i="1"/>
  <c r="C11686" i="1"/>
  <c r="D11686" i="1"/>
  <c r="E11686" i="1"/>
  <c r="F11686" i="1"/>
  <c r="G11686" i="1"/>
  <c r="H11686" i="1"/>
  <c r="A11687" i="1"/>
  <c r="B11687" i="1"/>
  <c r="C11687" i="1"/>
  <c r="D11687" i="1"/>
  <c r="E11687" i="1"/>
  <c r="F11687" i="1"/>
  <c r="G11687" i="1"/>
  <c r="H11687" i="1"/>
  <c r="A11688" i="1"/>
  <c r="B11688" i="1"/>
  <c r="C11688" i="1"/>
  <c r="D11688" i="1"/>
  <c r="E11688" i="1"/>
  <c r="F11688" i="1"/>
  <c r="G11688" i="1"/>
  <c r="H11688" i="1"/>
  <c r="A11689" i="1"/>
  <c r="B11689" i="1"/>
  <c r="C11689" i="1"/>
  <c r="D11689" i="1"/>
  <c r="E11689" i="1"/>
  <c r="F11689" i="1"/>
  <c r="G11689" i="1"/>
  <c r="H11689" i="1"/>
  <c r="A11690" i="1"/>
  <c r="B11690" i="1"/>
  <c r="C11690" i="1"/>
  <c r="D11690" i="1"/>
  <c r="E11690" i="1"/>
  <c r="F11690" i="1"/>
  <c r="G11690" i="1"/>
  <c r="H11690" i="1"/>
  <c r="A11691" i="1"/>
  <c r="B11691" i="1"/>
  <c r="C11691" i="1"/>
  <c r="D11691" i="1"/>
  <c r="E11691" i="1"/>
  <c r="F11691" i="1"/>
  <c r="G11691" i="1"/>
  <c r="H11691" i="1"/>
  <c r="A11692" i="1"/>
  <c r="B11692" i="1"/>
  <c r="C11692" i="1"/>
  <c r="D11692" i="1"/>
  <c r="E11692" i="1"/>
  <c r="F11692" i="1"/>
  <c r="G11692" i="1"/>
  <c r="H11692" i="1"/>
  <c r="A11693" i="1"/>
  <c r="B11693" i="1"/>
  <c r="C11693" i="1"/>
  <c r="D11693" i="1"/>
  <c r="E11693" i="1"/>
  <c r="F11693" i="1"/>
  <c r="G11693" i="1"/>
  <c r="H11693" i="1"/>
  <c r="A11694" i="1"/>
  <c r="B11694" i="1"/>
  <c r="C11694" i="1"/>
  <c r="D11694" i="1"/>
  <c r="E11694" i="1"/>
  <c r="F11694" i="1"/>
  <c r="G11694" i="1"/>
  <c r="H11694" i="1"/>
  <c r="A11695" i="1"/>
  <c r="B11695" i="1"/>
  <c r="C11695" i="1"/>
  <c r="D11695" i="1"/>
  <c r="E11695" i="1"/>
  <c r="F11695" i="1"/>
  <c r="G11695" i="1"/>
  <c r="H11695" i="1"/>
  <c r="A11696" i="1"/>
  <c r="B11696" i="1"/>
  <c r="C11696" i="1"/>
  <c r="D11696" i="1"/>
  <c r="E11696" i="1"/>
  <c r="F11696" i="1"/>
  <c r="G11696" i="1"/>
  <c r="H11696" i="1"/>
  <c r="A11697" i="1"/>
  <c r="B11697" i="1"/>
  <c r="C11697" i="1"/>
  <c r="D11697" i="1"/>
  <c r="E11697" i="1"/>
  <c r="F11697" i="1"/>
  <c r="G11697" i="1"/>
  <c r="H11697" i="1"/>
  <c r="A11698" i="1"/>
  <c r="B11698" i="1"/>
  <c r="C11698" i="1"/>
  <c r="D11698" i="1"/>
  <c r="E11698" i="1"/>
  <c r="F11698" i="1"/>
  <c r="G11698" i="1"/>
  <c r="H11698" i="1"/>
  <c r="A11699" i="1"/>
  <c r="B11699" i="1"/>
  <c r="C11699" i="1"/>
  <c r="D11699" i="1"/>
  <c r="E11699" i="1"/>
  <c r="F11699" i="1"/>
  <c r="G11699" i="1"/>
  <c r="H11699" i="1"/>
  <c r="A11700" i="1"/>
  <c r="B11700" i="1"/>
  <c r="C11700" i="1"/>
  <c r="D11700" i="1"/>
  <c r="E11700" i="1"/>
  <c r="F11700" i="1"/>
  <c r="G11700" i="1"/>
  <c r="H11700" i="1"/>
  <c r="A11701" i="1"/>
  <c r="B11701" i="1"/>
  <c r="C11701" i="1"/>
  <c r="D11701" i="1"/>
  <c r="E11701" i="1"/>
  <c r="F11701" i="1"/>
  <c r="G11701" i="1"/>
  <c r="H11701" i="1"/>
  <c r="A11702" i="1"/>
  <c r="B11702" i="1"/>
  <c r="C11702" i="1"/>
  <c r="D11702" i="1"/>
  <c r="E11702" i="1"/>
  <c r="F11702" i="1"/>
  <c r="G11702" i="1"/>
  <c r="H11702" i="1"/>
  <c r="A11703" i="1"/>
  <c r="B11703" i="1"/>
  <c r="C11703" i="1"/>
  <c r="D11703" i="1"/>
  <c r="E11703" i="1"/>
  <c r="F11703" i="1"/>
  <c r="G11703" i="1"/>
  <c r="H11703" i="1"/>
  <c r="A11704" i="1"/>
  <c r="B11704" i="1"/>
  <c r="C11704" i="1"/>
  <c r="D11704" i="1"/>
  <c r="E11704" i="1"/>
  <c r="F11704" i="1"/>
  <c r="G11704" i="1"/>
  <c r="H11704" i="1"/>
  <c r="A11705" i="1"/>
  <c r="B11705" i="1"/>
  <c r="C11705" i="1"/>
  <c r="D11705" i="1"/>
  <c r="E11705" i="1"/>
  <c r="F11705" i="1"/>
  <c r="G11705" i="1"/>
  <c r="H11705" i="1"/>
  <c r="A11706" i="1"/>
  <c r="B11706" i="1"/>
  <c r="C11706" i="1"/>
  <c r="D11706" i="1"/>
  <c r="E11706" i="1"/>
  <c r="F11706" i="1"/>
  <c r="G11706" i="1"/>
  <c r="H11706" i="1"/>
  <c r="A11707" i="1"/>
  <c r="B11707" i="1"/>
  <c r="C11707" i="1"/>
  <c r="D11707" i="1"/>
  <c r="E11707" i="1"/>
  <c r="F11707" i="1"/>
  <c r="G11707" i="1"/>
  <c r="H11707" i="1"/>
  <c r="A11708" i="1"/>
  <c r="B11708" i="1"/>
  <c r="C11708" i="1"/>
  <c r="D11708" i="1"/>
  <c r="E11708" i="1"/>
  <c r="F11708" i="1"/>
  <c r="G11708" i="1"/>
  <c r="H11708" i="1"/>
  <c r="A11709" i="1"/>
  <c r="B11709" i="1"/>
  <c r="C11709" i="1"/>
  <c r="D11709" i="1"/>
  <c r="E11709" i="1"/>
  <c r="F11709" i="1"/>
  <c r="G11709" i="1"/>
  <c r="H11709" i="1"/>
  <c r="A11710" i="1"/>
  <c r="B11710" i="1"/>
  <c r="C11710" i="1"/>
  <c r="D11710" i="1"/>
  <c r="E11710" i="1"/>
  <c r="F11710" i="1"/>
  <c r="G11710" i="1"/>
  <c r="H11710" i="1"/>
  <c r="A11711" i="1"/>
  <c r="B11711" i="1"/>
  <c r="C11711" i="1"/>
  <c r="D11711" i="1"/>
  <c r="E11711" i="1"/>
  <c r="F11711" i="1"/>
  <c r="G11711" i="1"/>
  <c r="H11711" i="1"/>
  <c r="A11712" i="1"/>
  <c r="B11712" i="1"/>
  <c r="C11712" i="1"/>
  <c r="D11712" i="1"/>
  <c r="E11712" i="1"/>
  <c r="F11712" i="1"/>
  <c r="G11712" i="1"/>
  <c r="H11712" i="1"/>
  <c r="A11713" i="1"/>
  <c r="B11713" i="1"/>
  <c r="C11713" i="1"/>
  <c r="D11713" i="1"/>
  <c r="E11713" i="1"/>
  <c r="F11713" i="1"/>
  <c r="G11713" i="1"/>
  <c r="H11713" i="1"/>
  <c r="A11714" i="1"/>
  <c r="B11714" i="1"/>
  <c r="C11714" i="1"/>
  <c r="D11714" i="1"/>
  <c r="E11714" i="1"/>
  <c r="F11714" i="1"/>
  <c r="G11714" i="1"/>
  <c r="H11714" i="1"/>
  <c r="A11715" i="1"/>
  <c r="B11715" i="1"/>
  <c r="C11715" i="1"/>
  <c r="D11715" i="1"/>
  <c r="E11715" i="1"/>
  <c r="F11715" i="1"/>
  <c r="G11715" i="1"/>
  <c r="H11715" i="1"/>
  <c r="A11716" i="1"/>
  <c r="B11716" i="1"/>
  <c r="C11716" i="1"/>
  <c r="D11716" i="1"/>
  <c r="E11716" i="1"/>
  <c r="F11716" i="1"/>
  <c r="G11716" i="1"/>
  <c r="H11716" i="1"/>
  <c r="A11717" i="1"/>
  <c r="B11717" i="1"/>
  <c r="C11717" i="1"/>
  <c r="D11717" i="1"/>
  <c r="E11717" i="1"/>
  <c r="F11717" i="1"/>
  <c r="G11717" i="1"/>
  <c r="H11717" i="1"/>
  <c r="A11718" i="1"/>
  <c r="B11718" i="1"/>
  <c r="C11718" i="1"/>
  <c r="D11718" i="1"/>
  <c r="E11718" i="1"/>
  <c r="F11718" i="1"/>
  <c r="G11718" i="1"/>
  <c r="H11718" i="1"/>
  <c r="A11719" i="1"/>
  <c r="B11719" i="1"/>
  <c r="C11719" i="1"/>
  <c r="D11719" i="1"/>
  <c r="E11719" i="1"/>
  <c r="F11719" i="1"/>
  <c r="G11719" i="1"/>
  <c r="H11719" i="1"/>
  <c r="A11720" i="1"/>
  <c r="B11720" i="1"/>
  <c r="C11720" i="1"/>
  <c r="D11720" i="1"/>
  <c r="E11720" i="1"/>
  <c r="F11720" i="1"/>
  <c r="G11720" i="1"/>
  <c r="H11720" i="1"/>
  <c r="A11721" i="1"/>
  <c r="B11721" i="1"/>
  <c r="C11721" i="1"/>
  <c r="D11721" i="1"/>
  <c r="E11721" i="1"/>
  <c r="F11721" i="1"/>
  <c r="G11721" i="1"/>
  <c r="H11721" i="1"/>
  <c r="A11722" i="1"/>
  <c r="B11722" i="1"/>
  <c r="C11722" i="1"/>
  <c r="D11722" i="1"/>
  <c r="E11722" i="1"/>
  <c r="F11722" i="1"/>
  <c r="G11722" i="1"/>
  <c r="H11722" i="1"/>
  <c r="A11723" i="1"/>
  <c r="B11723" i="1"/>
  <c r="C11723" i="1"/>
  <c r="D11723" i="1"/>
  <c r="E11723" i="1"/>
  <c r="F11723" i="1"/>
  <c r="G11723" i="1"/>
  <c r="H11723" i="1"/>
  <c r="A11724" i="1"/>
  <c r="B11724" i="1"/>
  <c r="C11724" i="1"/>
  <c r="D11724" i="1"/>
  <c r="E11724" i="1"/>
  <c r="F11724" i="1"/>
  <c r="G11724" i="1"/>
  <c r="H11724" i="1"/>
  <c r="A11725" i="1"/>
  <c r="B11725" i="1"/>
  <c r="C11725" i="1"/>
  <c r="D11725" i="1"/>
  <c r="E11725" i="1"/>
  <c r="F11725" i="1"/>
  <c r="G11725" i="1"/>
  <c r="H11725" i="1"/>
  <c r="A11726" i="1"/>
  <c r="B11726" i="1"/>
  <c r="C11726" i="1"/>
  <c r="D11726" i="1"/>
  <c r="E11726" i="1"/>
  <c r="F11726" i="1"/>
  <c r="G11726" i="1"/>
  <c r="H11726" i="1"/>
  <c r="A11727" i="1"/>
  <c r="B11727" i="1"/>
  <c r="C11727" i="1"/>
  <c r="D11727" i="1"/>
  <c r="E11727" i="1"/>
  <c r="F11727" i="1"/>
  <c r="G11727" i="1"/>
  <c r="H11727" i="1"/>
  <c r="A11728" i="1"/>
  <c r="B11728" i="1"/>
  <c r="C11728" i="1"/>
  <c r="D11728" i="1"/>
  <c r="E11728" i="1"/>
  <c r="F11728" i="1"/>
  <c r="G11728" i="1"/>
  <c r="H11728" i="1"/>
  <c r="A11729" i="1"/>
  <c r="B11729" i="1"/>
  <c r="C11729" i="1"/>
  <c r="D11729" i="1"/>
  <c r="E11729" i="1"/>
  <c r="F11729" i="1"/>
  <c r="G11729" i="1"/>
  <c r="H11729" i="1"/>
  <c r="A11730" i="1"/>
  <c r="B11730" i="1"/>
  <c r="C11730" i="1"/>
  <c r="D11730" i="1"/>
  <c r="E11730" i="1"/>
  <c r="F11730" i="1"/>
  <c r="G11730" i="1"/>
  <c r="H11730" i="1"/>
  <c r="A11731" i="1"/>
  <c r="B11731" i="1"/>
  <c r="C11731" i="1"/>
  <c r="D11731" i="1"/>
  <c r="E11731" i="1"/>
  <c r="F11731" i="1"/>
  <c r="G11731" i="1"/>
  <c r="H11731" i="1"/>
  <c r="A11732" i="1"/>
  <c r="B11732" i="1"/>
  <c r="C11732" i="1"/>
  <c r="D11732" i="1"/>
  <c r="E11732" i="1"/>
  <c r="F11732" i="1"/>
  <c r="G11732" i="1"/>
  <c r="H11732" i="1"/>
  <c r="A11733" i="1"/>
  <c r="B11733" i="1"/>
  <c r="C11733" i="1"/>
  <c r="D11733" i="1"/>
  <c r="E11733" i="1"/>
  <c r="F11733" i="1"/>
  <c r="G11733" i="1"/>
  <c r="H11733" i="1"/>
  <c r="A11734" i="1"/>
  <c r="B11734" i="1"/>
  <c r="C11734" i="1"/>
  <c r="D11734" i="1"/>
  <c r="E11734" i="1"/>
  <c r="F11734" i="1"/>
  <c r="G11734" i="1"/>
  <c r="H11734" i="1"/>
  <c r="A11735" i="1"/>
  <c r="B11735" i="1"/>
  <c r="C11735" i="1"/>
  <c r="D11735" i="1"/>
  <c r="E11735" i="1"/>
  <c r="F11735" i="1"/>
  <c r="G11735" i="1"/>
  <c r="H11735" i="1"/>
  <c r="A11736" i="1"/>
  <c r="B11736" i="1"/>
  <c r="C11736" i="1"/>
  <c r="D11736" i="1"/>
  <c r="E11736" i="1"/>
  <c r="F11736" i="1"/>
  <c r="G11736" i="1"/>
  <c r="H11736" i="1"/>
  <c r="A11737" i="1"/>
  <c r="B11737" i="1"/>
  <c r="C11737" i="1"/>
  <c r="D11737" i="1"/>
  <c r="E11737" i="1"/>
  <c r="F11737" i="1"/>
  <c r="G11737" i="1"/>
  <c r="H11737" i="1"/>
  <c r="A11738" i="1"/>
  <c r="B11738" i="1"/>
  <c r="C11738" i="1"/>
  <c r="D11738" i="1"/>
  <c r="E11738" i="1"/>
  <c r="F11738" i="1"/>
  <c r="G11738" i="1"/>
  <c r="H11738" i="1"/>
  <c r="A11739" i="1"/>
  <c r="B11739" i="1"/>
  <c r="C11739" i="1"/>
  <c r="D11739" i="1"/>
  <c r="E11739" i="1"/>
  <c r="F11739" i="1"/>
  <c r="G11739" i="1"/>
  <c r="H11739" i="1"/>
  <c r="A11740" i="1"/>
  <c r="B11740" i="1"/>
  <c r="C11740" i="1"/>
  <c r="D11740" i="1"/>
  <c r="E11740" i="1"/>
  <c r="F11740" i="1"/>
  <c r="G11740" i="1"/>
  <c r="H11740" i="1"/>
  <c r="A11741" i="1"/>
  <c r="B11741" i="1"/>
  <c r="C11741" i="1"/>
  <c r="D11741" i="1"/>
  <c r="E11741" i="1"/>
  <c r="F11741" i="1"/>
  <c r="G11741" i="1"/>
  <c r="H11741" i="1"/>
  <c r="A11742" i="1"/>
  <c r="B11742" i="1"/>
  <c r="C11742" i="1"/>
  <c r="D11742" i="1"/>
  <c r="E11742" i="1"/>
  <c r="F11742" i="1"/>
  <c r="G11742" i="1"/>
  <c r="H11742" i="1"/>
  <c r="A11743" i="1"/>
  <c r="B11743" i="1"/>
  <c r="C11743" i="1"/>
  <c r="D11743" i="1"/>
  <c r="E11743" i="1"/>
  <c r="F11743" i="1"/>
  <c r="G11743" i="1"/>
  <c r="H11743" i="1"/>
  <c r="A11744" i="1"/>
  <c r="B11744" i="1"/>
  <c r="C11744" i="1"/>
  <c r="D11744" i="1"/>
  <c r="E11744" i="1"/>
  <c r="F11744" i="1"/>
  <c r="G11744" i="1"/>
  <c r="H11744" i="1"/>
  <c r="A11745" i="1"/>
  <c r="B11745" i="1"/>
  <c r="C11745" i="1"/>
  <c r="D11745" i="1"/>
  <c r="E11745" i="1"/>
  <c r="F11745" i="1"/>
  <c r="G11745" i="1"/>
  <c r="H11745" i="1"/>
  <c r="A11746" i="1"/>
  <c r="B11746" i="1"/>
  <c r="C11746" i="1"/>
  <c r="D11746" i="1"/>
  <c r="E11746" i="1"/>
  <c r="F11746" i="1"/>
  <c r="G11746" i="1"/>
  <c r="H11746" i="1"/>
  <c r="A11747" i="1"/>
  <c r="B11747" i="1"/>
  <c r="C11747" i="1"/>
  <c r="D11747" i="1"/>
  <c r="E11747" i="1"/>
  <c r="F11747" i="1"/>
  <c r="G11747" i="1"/>
  <c r="H11747" i="1"/>
  <c r="A11748" i="1"/>
  <c r="B11748" i="1"/>
  <c r="C11748" i="1"/>
  <c r="D11748" i="1"/>
  <c r="E11748" i="1"/>
  <c r="F11748" i="1"/>
  <c r="G11748" i="1"/>
  <c r="H11748" i="1"/>
  <c r="A11749" i="1"/>
  <c r="B11749" i="1"/>
  <c r="C11749" i="1"/>
  <c r="D11749" i="1"/>
  <c r="E11749" i="1"/>
  <c r="F11749" i="1"/>
  <c r="G11749" i="1"/>
  <c r="H11749" i="1"/>
  <c r="A11750" i="1"/>
  <c r="B11750" i="1"/>
  <c r="C11750" i="1"/>
  <c r="D11750" i="1"/>
  <c r="E11750" i="1"/>
  <c r="F11750" i="1"/>
  <c r="G11750" i="1"/>
  <c r="H11750" i="1"/>
  <c r="A11751" i="1"/>
  <c r="B11751" i="1"/>
  <c r="C11751" i="1"/>
  <c r="D11751" i="1"/>
  <c r="E11751" i="1"/>
  <c r="F11751" i="1"/>
  <c r="G11751" i="1"/>
  <c r="H11751" i="1"/>
  <c r="A11752" i="1"/>
  <c r="B11752" i="1"/>
  <c r="C11752" i="1"/>
  <c r="D11752" i="1"/>
  <c r="E11752" i="1"/>
  <c r="F11752" i="1"/>
  <c r="G11752" i="1"/>
  <c r="H11752" i="1"/>
  <c r="A11753" i="1"/>
  <c r="B11753" i="1"/>
  <c r="C11753" i="1"/>
  <c r="D11753" i="1"/>
  <c r="E11753" i="1"/>
  <c r="F11753" i="1"/>
  <c r="G11753" i="1"/>
  <c r="H11753" i="1"/>
  <c r="A11754" i="1"/>
  <c r="B11754" i="1"/>
  <c r="C11754" i="1"/>
  <c r="D11754" i="1"/>
  <c r="E11754" i="1"/>
  <c r="F11754" i="1"/>
  <c r="G11754" i="1"/>
  <c r="H11754" i="1"/>
  <c r="A11755" i="1"/>
  <c r="B11755" i="1"/>
  <c r="C11755" i="1"/>
  <c r="D11755" i="1"/>
  <c r="E11755" i="1"/>
  <c r="F11755" i="1"/>
  <c r="G11755" i="1"/>
  <c r="H11755" i="1"/>
  <c r="A11756" i="1"/>
  <c r="B11756" i="1"/>
  <c r="C11756" i="1"/>
  <c r="D11756" i="1"/>
  <c r="E11756" i="1"/>
  <c r="F11756" i="1"/>
  <c r="G11756" i="1"/>
  <c r="H11756" i="1"/>
  <c r="A11757" i="1"/>
  <c r="B11757" i="1"/>
  <c r="C11757" i="1"/>
  <c r="D11757" i="1"/>
  <c r="E11757" i="1"/>
  <c r="F11757" i="1"/>
  <c r="G11757" i="1"/>
  <c r="H11757" i="1"/>
  <c r="A11758" i="1"/>
  <c r="B11758" i="1"/>
  <c r="C11758" i="1"/>
  <c r="D11758" i="1"/>
  <c r="E11758" i="1"/>
  <c r="F11758" i="1"/>
  <c r="G11758" i="1"/>
  <c r="H11758" i="1"/>
  <c r="A11759" i="1"/>
  <c r="B11759" i="1"/>
  <c r="C11759" i="1"/>
  <c r="D11759" i="1"/>
  <c r="E11759" i="1"/>
  <c r="F11759" i="1"/>
  <c r="G11759" i="1"/>
  <c r="H11759" i="1"/>
  <c r="A11760" i="1"/>
  <c r="B11760" i="1"/>
  <c r="C11760" i="1"/>
  <c r="D11760" i="1"/>
  <c r="E11760" i="1"/>
  <c r="F11760" i="1"/>
  <c r="G11760" i="1"/>
  <c r="H11760" i="1"/>
  <c r="A11761" i="1"/>
  <c r="B11761" i="1"/>
  <c r="C11761" i="1"/>
  <c r="D11761" i="1"/>
  <c r="E11761" i="1"/>
  <c r="F11761" i="1"/>
  <c r="G11761" i="1"/>
  <c r="H11761" i="1"/>
  <c r="A11762" i="1"/>
  <c r="B11762" i="1"/>
  <c r="C11762" i="1"/>
  <c r="D11762" i="1"/>
  <c r="E11762" i="1"/>
  <c r="F11762" i="1"/>
  <c r="G11762" i="1"/>
  <c r="H11762" i="1"/>
  <c r="A11763" i="1"/>
  <c r="B11763" i="1"/>
  <c r="C11763" i="1"/>
  <c r="D11763" i="1"/>
  <c r="E11763" i="1"/>
  <c r="F11763" i="1"/>
  <c r="G11763" i="1"/>
  <c r="H11763" i="1"/>
  <c r="A11764" i="1"/>
  <c r="B11764" i="1"/>
  <c r="C11764" i="1"/>
  <c r="D11764" i="1"/>
  <c r="E11764" i="1"/>
  <c r="F11764" i="1"/>
  <c r="G11764" i="1"/>
  <c r="H11764" i="1"/>
  <c r="A11765" i="1"/>
  <c r="B11765" i="1"/>
  <c r="C11765" i="1"/>
  <c r="D11765" i="1"/>
  <c r="E11765" i="1"/>
  <c r="F11765" i="1"/>
  <c r="G11765" i="1"/>
  <c r="H11765" i="1"/>
  <c r="A11766" i="1"/>
  <c r="B11766" i="1"/>
  <c r="C11766" i="1"/>
  <c r="D11766" i="1"/>
  <c r="E11766" i="1"/>
  <c r="F11766" i="1"/>
  <c r="G11766" i="1"/>
  <c r="H11766" i="1"/>
  <c r="A11767" i="1"/>
  <c r="B11767" i="1"/>
  <c r="C11767" i="1"/>
  <c r="D11767" i="1"/>
  <c r="E11767" i="1"/>
  <c r="F11767" i="1"/>
  <c r="G11767" i="1"/>
  <c r="H11767" i="1"/>
  <c r="A11768" i="1"/>
  <c r="B11768" i="1"/>
  <c r="C11768" i="1"/>
  <c r="D11768" i="1"/>
  <c r="E11768" i="1"/>
  <c r="F11768" i="1"/>
  <c r="G11768" i="1"/>
  <c r="H11768" i="1"/>
  <c r="A11769" i="1"/>
  <c r="B11769" i="1"/>
  <c r="C11769" i="1"/>
  <c r="D11769" i="1"/>
  <c r="E11769" i="1"/>
  <c r="F11769" i="1"/>
  <c r="G11769" i="1"/>
  <c r="H11769" i="1"/>
  <c r="A11770" i="1"/>
  <c r="B11770" i="1"/>
  <c r="C11770" i="1"/>
  <c r="D11770" i="1"/>
  <c r="E11770" i="1"/>
  <c r="F11770" i="1"/>
  <c r="G11770" i="1"/>
  <c r="H11770" i="1"/>
  <c r="A11771" i="1"/>
  <c r="B11771" i="1"/>
  <c r="C11771" i="1"/>
  <c r="D11771" i="1"/>
  <c r="E11771" i="1"/>
  <c r="F11771" i="1"/>
  <c r="G11771" i="1"/>
  <c r="H11771" i="1"/>
  <c r="A11772" i="1"/>
  <c r="B11772" i="1"/>
  <c r="C11772" i="1"/>
  <c r="D11772" i="1"/>
  <c r="E11772" i="1"/>
  <c r="F11772" i="1"/>
  <c r="G11772" i="1"/>
  <c r="H11772" i="1"/>
  <c r="A11773" i="1"/>
  <c r="B11773" i="1"/>
  <c r="C11773" i="1"/>
  <c r="D11773" i="1"/>
  <c r="E11773" i="1"/>
  <c r="F11773" i="1"/>
  <c r="G11773" i="1"/>
  <c r="H11773" i="1"/>
  <c r="A11774" i="1"/>
  <c r="B11774" i="1"/>
  <c r="C11774" i="1"/>
  <c r="D11774" i="1"/>
  <c r="E11774" i="1"/>
  <c r="F11774" i="1"/>
  <c r="G11774" i="1"/>
  <c r="H11774" i="1"/>
  <c r="A11775" i="1"/>
  <c r="B11775" i="1"/>
  <c r="C11775" i="1"/>
  <c r="D11775" i="1"/>
  <c r="E11775" i="1"/>
  <c r="F11775" i="1"/>
  <c r="G11775" i="1"/>
  <c r="H11775" i="1"/>
  <c r="A11776" i="1"/>
  <c r="B11776" i="1"/>
  <c r="C11776" i="1"/>
  <c r="D11776" i="1"/>
  <c r="E11776" i="1"/>
  <c r="F11776" i="1"/>
  <c r="G11776" i="1"/>
  <c r="H11776" i="1"/>
  <c r="A11777" i="1"/>
  <c r="B11777" i="1"/>
  <c r="C11777" i="1"/>
  <c r="D11777" i="1"/>
  <c r="E11777" i="1"/>
  <c r="F11777" i="1"/>
  <c r="G11777" i="1"/>
  <c r="H11777" i="1"/>
  <c r="A11778" i="1"/>
  <c r="B11778" i="1"/>
  <c r="C11778" i="1"/>
  <c r="D11778" i="1"/>
  <c r="E11778" i="1"/>
  <c r="F11778" i="1"/>
  <c r="G11778" i="1"/>
  <c r="H11778" i="1"/>
  <c r="A11779" i="1"/>
  <c r="B11779" i="1"/>
  <c r="C11779" i="1"/>
  <c r="D11779" i="1"/>
  <c r="E11779" i="1"/>
  <c r="F11779" i="1"/>
  <c r="G11779" i="1"/>
  <c r="H11779" i="1"/>
  <c r="A11780" i="1"/>
  <c r="B11780" i="1"/>
  <c r="C11780" i="1"/>
  <c r="D11780" i="1"/>
  <c r="E11780" i="1"/>
  <c r="F11780" i="1"/>
  <c r="G11780" i="1"/>
  <c r="H11780" i="1"/>
  <c r="A11781" i="1"/>
  <c r="B11781" i="1"/>
  <c r="C11781" i="1"/>
  <c r="D11781" i="1"/>
  <c r="E11781" i="1"/>
  <c r="F11781" i="1"/>
  <c r="G11781" i="1"/>
  <c r="H11781" i="1"/>
  <c r="A11782" i="1"/>
  <c r="B11782" i="1"/>
  <c r="C11782" i="1"/>
  <c r="D11782" i="1"/>
  <c r="E11782" i="1"/>
  <c r="F11782" i="1"/>
  <c r="G11782" i="1"/>
  <c r="H11782" i="1"/>
  <c r="A11783" i="1"/>
  <c r="B11783" i="1"/>
  <c r="C11783" i="1"/>
  <c r="D11783" i="1"/>
  <c r="E11783" i="1"/>
  <c r="F11783" i="1"/>
  <c r="G11783" i="1"/>
  <c r="H11783" i="1"/>
  <c r="A11784" i="1"/>
  <c r="B11784" i="1"/>
  <c r="C11784" i="1"/>
  <c r="D11784" i="1"/>
  <c r="E11784" i="1"/>
  <c r="F11784" i="1"/>
  <c r="G11784" i="1"/>
  <c r="H11784" i="1"/>
  <c r="A11785" i="1"/>
  <c r="B11785" i="1"/>
  <c r="C11785" i="1"/>
  <c r="D11785" i="1"/>
  <c r="E11785" i="1"/>
  <c r="F11785" i="1"/>
  <c r="G11785" i="1"/>
  <c r="H11785" i="1"/>
  <c r="A11786" i="1"/>
  <c r="B11786" i="1"/>
  <c r="C11786" i="1"/>
  <c r="D11786" i="1"/>
  <c r="E11786" i="1"/>
  <c r="F11786" i="1"/>
  <c r="G11786" i="1"/>
  <c r="H11786" i="1"/>
  <c r="A11787" i="1"/>
  <c r="B11787" i="1"/>
  <c r="C11787" i="1"/>
  <c r="D11787" i="1"/>
  <c r="E11787" i="1"/>
  <c r="F11787" i="1"/>
  <c r="G11787" i="1"/>
  <c r="H11787" i="1"/>
  <c r="A11788" i="1"/>
  <c r="B11788" i="1"/>
  <c r="C11788" i="1"/>
  <c r="D11788" i="1"/>
  <c r="E11788" i="1"/>
  <c r="F11788" i="1"/>
  <c r="G11788" i="1"/>
  <c r="H11788" i="1"/>
  <c r="A11789" i="1"/>
  <c r="B11789" i="1"/>
  <c r="C11789" i="1"/>
  <c r="D11789" i="1"/>
  <c r="E11789" i="1"/>
  <c r="F11789" i="1"/>
  <c r="G11789" i="1"/>
  <c r="H11789" i="1"/>
  <c r="A11790" i="1"/>
  <c r="B11790" i="1"/>
  <c r="C11790" i="1"/>
  <c r="D11790" i="1"/>
  <c r="E11790" i="1"/>
  <c r="F11790" i="1"/>
  <c r="G11790" i="1"/>
  <c r="H11790" i="1"/>
  <c r="A11791" i="1"/>
  <c r="B11791" i="1"/>
  <c r="C11791" i="1"/>
  <c r="D11791" i="1"/>
  <c r="E11791" i="1"/>
  <c r="F11791" i="1"/>
  <c r="G11791" i="1"/>
  <c r="H11791" i="1"/>
  <c r="A11792" i="1"/>
  <c r="B11792" i="1"/>
  <c r="C11792" i="1"/>
  <c r="D11792" i="1"/>
  <c r="E11792" i="1"/>
  <c r="F11792" i="1"/>
  <c r="G11792" i="1"/>
  <c r="H11792" i="1"/>
  <c r="A11793" i="1"/>
  <c r="B11793" i="1"/>
  <c r="C11793" i="1"/>
  <c r="D11793" i="1"/>
  <c r="E11793" i="1"/>
  <c r="F11793" i="1"/>
  <c r="G11793" i="1"/>
  <c r="H11793" i="1"/>
  <c r="A11794" i="1"/>
  <c r="B11794" i="1"/>
  <c r="C11794" i="1"/>
  <c r="D11794" i="1"/>
  <c r="E11794" i="1"/>
  <c r="F11794" i="1"/>
  <c r="G11794" i="1"/>
  <c r="H11794" i="1"/>
  <c r="A11795" i="1"/>
  <c r="B11795" i="1"/>
  <c r="C11795" i="1"/>
  <c r="D11795" i="1"/>
  <c r="E11795" i="1"/>
  <c r="F11795" i="1"/>
  <c r="G11795" i="1"/>
  <c r="H11795" i="1"/>
  <c r="A11796" i="1"/>
  <c r="B11796" i="1"/>
  <c r="C11796" i="1"/>
  <c r="D11796" i="1"/>
  <c r="E11796" i="1"/>
  <c r="F11796" i="1"/>
  <c r="G11796" i="1"/>
  <c r="H11796" i="1"/>
  <c r="A11797" i="1"/>
  <c r="B11797" i="1"/>
  <c r="C11797" i="1"/>
  <c r="D11797" i="1"/>
  <c r="E11797" i="1"/>
  <c r="F11797" i="1"/>
  <c r="G11797" i="1"/>
  <c r="H11797" i="1"/>
  <c r="A11798" i="1"/>
  <c r="B11798" i="1"/>
  <c r="C11798" i="1"/>
  <c r="D11798" i="1"/>
  <c r="E11798" i="1"/>
  <c r="F11798" i="1"/>
  <c r="G11798" i="1"/>
  <c r="H11798" i="1"/>
  <c r="A11799" i="1"/>
  <c r="B11799" i="1"/>
  <c r="C11799" i="1"/>
  <c r="D11799" i="1"/>
  <c r="E11799" i="1"/>
  <c r="F11799" i="1"/>
  <c r="G11799" i="1"/>
  <c r="H11799" i="1"/>
  <c r="A11800" i="1"/>
  <c r="B11800" i="1"/>
  <c r="C11800" i="1"/>
  <c r="D11800" i="1"/>
  <c r="E11800" i="1"/>
  <c r="F11800" i="1"/>
  <c r="G11800" i="1"/>
  <c r="H11800" i="1"/>
  <c r="A11801" i="1"/>
  <c r="B11801" i="1"/>
  <c r="C11801" i="1"/>
  <c r="D11801" i="1"/>
  <c r="E11801" i="1"/>
  <c r="F11801" i="1"/>
  <c r="G11801" i="1"/>
  <c r="H11801" i="1"/>
  <c r="A11802" i="1"/>
  <c r="B11802" i="1"/>
  <c r="C11802" i="1"/>
  <c r="D11802" i="1"/>
  <c r="E11802" i="1"/>
  <c r="F11802" i="1"/>
  <c r="G11802" i="1"/>
  <c r="H11802" i="1"/>
  <c r="A11803" i="1"/>
  <c r="B11803" i="1"/>
  <c r="C11803" i="1"/>
  <c r="D11803" i="1"/>
  <c r="E11803" i="1"/>
  <c r="F11803" i="1"/>
  <c r="G11803" i="1"/>
  <c r="H11803" i="1"/>
  <c r="A11804" i="1"/>
  <c r="B11804" i="1"/>
  <c r="C11804" i="1"/>
  <c r="D11804" i="1"/>
  <c r="E11804" i="1"/>
  <c r="F11804" i="1"/>
  <c r="G11804" i="1"/>
  <c r="H11804" i="1"/>
  <c r="A11805" i="1"/>
  <c r="B11805" i="1"/>
  <c r="C11805" i="1"/>
  <c r="D11805" i="1"/>
  <c r="E11805" i="1"/>
  <c r="F11805" i="1"/>
  <c r="G11805" i="1"/>
  <c r="H11805" i="1"/>
  <c r="A11806" i="1"/>
  <c r="B11806" i="1"/>
  <c r="C11806" i="1"/>
  <c r="D11806" i="1"/>
  <c r="E11806" i="1"/>
  <c r="F11806" i="1"/>
  <c r="G11806" i="1"/>
  <c r="H11806" i="1"/>
  <c r="A11807" i="1"/>
  <c r="B11807" i="1"/>
  <c r="C11807" i="1"/>
  <c r="D11807" i="1"/>
  <c r="E11807" i="1"/>
  <c r="F11807" i="1"/>
  <c r="G11807" i="1"/>
  <c r="H11807" i="1"/>
  <c r="A11808" i="1"/>
  <c r="B11808" i="1"/>
  <c r="C11808" i="1"/>
  <c r="D11808" i="1"/>
  <c r="E11808" i="1"/>
  <c r="F11808" i="1"/>
  <c r="G11808" i="1"/>
  <c r="H11808" i="1"/>
  <c r="A11809" i="1"/>
  <c r="B11809" i="1"/>
  <c r="C11809" i="1"/>
  <c r="D11809" i="1"/>
  <c r="E11809" i="1"/>
  <c r="F11809" i="1"/>
  <c r="G11809" i="1"/>
  <c r="H11809" i="1"/>
  <c r="A11810" i="1"/>
  <c r="B11810" i="1"/>
  <c r="C11810" i="1"/>
  <c r="D11810" i="1"/>
  <c r="E11810" i="1"/>
  <c r="F11810" i="1"/>
  <c r="G11810" i="1"/>
  <c r="H11810" i="1"/>
  <c r="A11811" i="1"/>
  <c r="B11811" i="1"/>
  <c r="C11811" i="1"/>
  <c r="D11811" i="1"/>
  <c r="E11811" i="1"/>
  <c r="F11811" i="1"/>
  <c r="G11811" i="1"/>
  <c r="H11811" i="1"/>
  <c r="A11812" i="1"/>
  <c r="B11812" i="1"/>
  <c r="C11812" i="1"/>
  <c r="D11812" i="1"/>
  <c r="E11812" i="1"/>
  <c r="F11812" i="1"/>
  <c r="G11812" i="1"/>
  <c r="H11812" i="1"/>
  <c r="A11813" i="1"/>
  <c r="B11813" i="1"/>
  <c r="C11813" i="1"/>
  <c r="D11813" i="1"/>
  <c r="E11813" i="1"/>
  <c r="F11813" i="1"/>
  <c r="G11813" i="1"/>
  <c r="H11813" i="1"/>
  <c r="A11814" i="1"/>
  <c r="B11814" i="1"/>
  <c r="C11814" i="1"/>
  <c r="D11814" i="1"/>
  <c r="E11814" i="1"/>
  <c r="F11814" i="1"/>
  <c r="G11814" i="1"/>
  <c r="H11814" i="1"/>
  <c r="A11815" i="1"/>
  <c r="B11815" i="1"/>
  <c r="C11815" i="1"/>
  <c r="D11815" i="1"/>
  <c r="E11815" i="1"/>
  <c r="F11815" i="1"/>
  <c r="G11815" i="1"/>
  <c r="H11815" i="1"/>
  <c r="A11816" i="1"/>
  <c r="B11816" i="1"/>
  <c r="C11816" i="1"/>
  <c r="D11816" i="1"/>
  <c r="E11816" i="1"/>
  <c r="F11816" i="1"/>
  <c r="G11816" i="1"/>
  <c r="H11816" i="1"/>
  <c r="A11817" i="1"/>
  <c r="B11817" i="1"/>
  <c r="C11817" i="1"/>
  <c r="D11817" i="1"/>
  <c r="E11817" i="1"/>
  <c r="F11817" i="1"/>
  <c r="G11817" i="1"/>
  <c r="H11817" i="1"/>
  <c r="A11818" i="1"/>
  <c r="B11818" i="1"/>
  <c r="C11818" i="1"/>
  <c r="D11818" i="1"/>
  <c r="E11818" i="1"/>
  <c r="F11818" i="1"/>
  <c r="G11818" i="1"/>
  <c r="H11818" i="1"/>
  <c r="A11819" i="1"/>
  <c r="B11819" i="1"/>
  <c r="C11819" i="1"/>
  <c r="D11819" i="1"/>
  <c r="E11819" i="1"/>
  <c r="F11819" i="1"/>
  <c r="G11819" i="1"/>
  <c r="H11819" i="1"/>
  <c r="A11820" i="1"/>
  <c r="B11820" i="1"/>
  <c r="C11820" i="1"/>
  <c r="D11820" i="1"/>
  <c r="E11820" i="1"/>
  <c r="F11820" i="1"/>
  <c r="G11820" i="1"/>
  <c r="H11820" i="1"/>
  <c r="A11821" i="1"/>
  <c r="B11821" i="1"/>
  <c r="C11821" i="1"/>
  <c r="D11821" i="1"/>
  <c r="E11821" i="1"/>
  <c r="F11821" i="1"/>
  <c r="G11821" i="1"/>
  <c r="H11821" i="1"/>
  <c r="A11822" i="1"/>
  <c r="B11822" i="1"/>
  <c r="C11822" i="1"/>
  <c r="D11822" i="1"/>
  <c r="E11822" i="1"/>
  <c r="F11822" i="1"/>
  <c r="G11822" i="1"/>
  <c r="H11822" i="1"/>
  <c r="A11823" i="1"/>
  <c r="B11823" i="1"/>
  <c r="C11823" i="1"/>
  <c r="D11823" i="1"/>
  <c r="E11823" i="1"/>
  <c r="F11823" i="1"/>
  <c r="G11823" i="1"/>
  <c r="H11823" i="1"/>
  <c r="A11824" i="1"/>
  <c r="B11824" i="1"/>
  <c r="C11824" i="1"/>
  <c r="D11824" i="1"/>
  <c r="E11824" i="1"/>
  <c r="F11824" i="1"/>
  <c r="G11824" i="1"/>
  <c r="H11824" i="1"/>
  <c r="A11825" i="1"/>
  <c r="B11825" i="1"/>
  <c r="C11825" i="1"/>
  <c r="D11825" i="1"/>
  <c r="E11825" i="1"/>
  <c r="F11825" i="1"/>
  <c r="G11825" i="1"/>
  <c r="H11825" i="1"/>
  <c r="A11826" i="1"/>
  <c r="B11826" i="1"/>
  <c r="C11826" i="1"/>
  <c r="D11826" i="1"/>
  <c r="E11826" i="1"/>
  <c r="F11826" i="1"/>
  <c r="G11826" i="1"/>
  <c r="H11826" i="1"/>
  <c r="A11827" i="1"/>
  <c r="B11827" i="1"/>
  <c r="C11827" i="1"/>
  <c r="D11827" i="1"/>
  <c r="E11827" i="1"/>
  <c r="F11827" i="1"/>
  <c r="G11827" i="1"/>
  <c r="H11827" i="1"/>
  <c r="A11828" i="1"/>
  <c r="B11828" i="1"/>
  <c r="C11828" i="1"/>
  <c r="D11828" i="1"/>
  <c r="E11828" i="1"/>
  <c r="F11828" i="1"/>
  <c r="G11828" i="1"/>
  <c r="H11828" i="1"/>
  <c r="A11829" i="1"/>
  <c r="B11829" i="1"/>
  <c r="C11829" i="1"/>
  <c r="D11829" i="1"/>
  <c r="E11829" i="1"/>
  <c r="F11829" i="1"/>
  <c r="G11829" i="1"/>
  <c r="H11829" i="1"/>
  <c r="A11830" i="1"/>
  <c r="B11830" i="1"/>
  <c r="C11830" i="1"/>
  <c r="D11830" i="1"/>
  <c r="E11830" i="1"/>
  <c r="F11830" i="1"/>
  <c r="G11830" i="1"/>
  <c r="H11830" i="1"/>
  <c r="A11831" i="1"/>
  <c r="B11831" i="1"/>
  <c r="C11831" i="1"/>
  <c r="D11831" i="1"/>
  <c r="E11831" i="1"/>
  <c r="F11831" i="1"/>
  <c r="G11831" i="1"/>
  <c r="H11831" i="1"/>
  <c r="A11832" i="1"/>
  <c r="B11832" i="1"/>
  <c r="C11832" i="1"/>
  <c r="D11832" i="1"/>
  <c r="E11832" i="1"/>
  <c r="F11832" i="1"/>
  <c r="G11832" i="1"/>
  <c r="H11832" i="1"/>
  <c r="A11833" i="1"/>
  <c r="B11833" i="1"/>
  <c r="C11833" i="1"/>
  <c r="D11833" i="1"/>
  <c r="E11833" i="1"/>
  <c r="F11833" i="1"/>
  <c r="G11833" i="1"/>
  <c r="H11833" i="1"/>
  <c r="A11834" i="1"/>
  <c r="B11834" i="1"/>
  <c r="C11834" i="1"/>
  <c r="D11834" i="1"/>
  <c r="E11834" i="1"/>
  <c r="F11834" i="1"/>
  <c r="G11834" i="1"/>
  <c r="H11834" i="1"/>
  <c r="A11835" i="1"/>
  <c r="B11835" i="1"/>
  <c r="C11835" i="1"/>
  <c r="D11835" i="1"/>
  <c r="E11835" i="1"/>
  <c r="F11835" i="1"/>
  <c r="G11835" i="1"/>
  <c r="H11835" i="1"/>
  <c r="A11836" i="1"/>
  <c r="B11836" i="1"/>
  <c r="C11836" i="1"/>
  <c r="D11836" i="1"/>
  <c r="E11836" i="1"/>
  <c r="F11836" i="1"/>
  <c r="G11836" i="1"/>
  <c r="H11836" i="1"/>
  <c r="A11837" i="1"/>
  <c r="B11837" i="1"/>
  <c r="C11837" i="1"/>
  <c r="D11837" i="1"/>
  <c r="E11837" i="1"/>
  <c r="F11837" i="1"/>
  <c r="G11837" i="1"/>
  <c r="H11837" i="1"/>
  <c r="A11838" i="1"/>
  <c r="B11838" i="1"/>
  <c r="C11838" i="1"/>
  <c r="D11838" i="1"/>
  <c r="E11838" i="1"/>
  <c r="F11838" i="1"/>
  <c r="G11838" i="1"/>
  <c r="H11838" i="1"/>
  <c r="A11839" i="1"/>
  <c r="B11839" i="1"/>
  <c r="C11839" i="1"/>
  <c r="D11839" i="1"/>
  <c r="E11839" i="1"/>
  <c r="F11839" i="1"/>
  <c r="G11839" i="1"/>
  <c r="H11839" i="1"/>
  <c r="A11840" i="1"/>
  <c r="B11840" i="1"/>
  <c r="C11840" i="1"/>
  <c r="D11840" i="1"/>
  <c r="E11840" i="1"/>
  <c r="F11840" i="1"/>
  <c r="G11840" i="1"/>
  <c r="H11840" i="1"/>
  <c r="A11841" i="1"/>
  <c r="B11841" i="1"/>
  <c r="C11841" i="1"/>
  <c r="D11841" i="1"/>
  <c r="E11841" i="1"/>
  <c r="F11841" i="1"/>
  <c r="G11841" i="1"/>
  <c r="H11841" i="1"/>
  <c r="A11842" i="1"/>
  <c r="B11842" i="1"/>
  <c r="C11842" i="1"/>
  <c r="D11842" i="1"/>
  <c r="E11842" i="1"/>
  <c r="F11842" i="1"/>
  <c r="G11842" i="1"/>
  <c r="H11842" i="1"/>
  <c r="A11843" i="1"/>
  <c r="B11843" i="1"/>
  <c r="C11843" i="1"/>
  <c r="D11843" i="1"/>
  <c r="E11843" i="1"/>
  <c r="F11843" i="1"/>
  <c r="G11843" i="1"/>
  <c r="H11843" i="1"/>
  <c r="A11844" i="1"/>
  <c r="B11844" i="1"/>
  <c r="C11844" i="1"/>
  <c r="D11844" i="1"/>
  <c r="E11844" i="1"/>
  <c r="F11844" i="1"/>
  <c r="G11844" i="1"/>
  <c r="H11844" i="1"/>
  <c r="A11845" i="1"/>
  <c r="B11845" i="1"/>
  <c r="C11845" i="1"/>
  <c r="D11845" i="1"/>
  <c r="E11845" i="1"/>
  <c r="F11845" i="1"/>
  <c r="G11845" i="1"/>
  <c r="H11845" i="1"/>
  <c r="A11846" i="1"/>
  <c r="B11846" i="1"/>
  <c r="C11846" i="1"/>
  <c r="D11846" i="1"/>
  <c r="E11846" i="1"/>
  <c r="F11846" i="1"/>
  <c r="G11846" i="1"/>
  <c r="H11846" i="1"/>
  <c r="A11847" i="1"/>
  <c r="B11847" i="1"/>
  <c r="C11847" i="1"/>
  <c r="D11847" i="1"/>
  <c r="E11847" i="1"/>
  <c r="F11847" i="1"/>
  <c r="G11847" i="1"/>
  <c r="H11847" i="1"/>
  <c r="A11848" i="1"/>
  <c r="B11848" i="1"/>
  <c r="C11848" i="1"/>
  <c r="D11848" i="1"/>
  <c r="E11848" i="1"/>
  <c r="F11848" i="1"/>
  <c r="G11848" i="1"/>
  <c r="H11848" i="1"/>
  <c r="A11849" i="1"/>
  <c r="B11849" i="1"/>
  <c r="C11849" i="1"/>
  <c r="D11849" i="1"/>
  <c r="E11849" i="1"/>
  <c r="F11849" i="1"/>
  <c r="G11849" i="1"/>
  <c r="H11849" i="1"/>
  <c r="A11850" i="1"/>
  <c r="B11850" i="1"/>
  <c r="C11850" i="1"/>
  <c r="D11850" i="1"/>
  <c r="E11850" i="1"/>
  <c r="F11850" i="1"/>
  <c r="G11850" i="1"/>
  <c r="H11850" i="1"/>
  <c r="A11851" i="1"/>
  <c r="B11851" i="1"/>
  <c r="C11851" i="1"/>
  <c r="D11851" i="1"/>
  <c r="E11851" i="1"/>
  <c r="F11851" i="1"/>
  <c r="G11851" i="1"/>
  <c r="H11851" i="1"/>
  <c r="A11852" i="1"/>
  <c r="B11852" i="1"/>
  <c r="C11852" i="1"/>
  <c r="D11852" i="1"/>
  <c r="E11852" i="1"/>
  <c r="F11852" i="1"/>
  <c r="G11852" i="1"/>
  <c r="H11852" i="1"/>
  <c r="A11853" i="1"/>
  <c r="B11853" i="1"/>
  <c r="C11853" i="1"/>
  <c r="D11853" i="1"/>
  <c r="E11853" i="1"/>
  <c r="F11853" i="1"/>
  <c r="G11853" i="1"/>
  <c r="H11853" i="1"/>
  <c r="A11854" i="1"/>
  <c r="B11854" i="1"/>
  <c r="C11854" i="1"/>
  <c r="D11854" i="1"/>
  <c r="E11854" i="1"/>
  <c r="F11854" i="1"/>
  <c r="G11854" i="1"/>
  <c r="H11854" i="1"/>
  <c r="A11855" i="1"/>
  <c r="B11855" i="1"/>
  <c r="C11855" i="1"/>
  <c r="D11855" i="1"/>
  <c r="E11855" i="1"/>
  <c r="F11855" i="1"/>
  <c r="G11855" i="1"/>
  <c r="H11855" i="1"/>
  <c r="A11856" i="1"/>
  <c r="B11856" i="1"/>
  <c r="C11856" i="1"/>
  <c r="D11856" i="1"/>
  <c r="E11856" i="1"/>
  <c r="F11856" i="1"/>
  <c r="G11856" i="1"/>
  <c r="H11856" i="1"/>
  <c r="A11857" i="1"/>
  <c r="B11857" i="1"/>
  <c r="C11857" i="1"/>
  <c r="D11857" i="1"/>
  <c r="E11857" i="1"/>
  <c r="F11857" i="1"/>
  <c r="G11857" i="1"/>
  <c r="H11857" i="1"/>
  <c r="A11858" i="1"/>
  <c r="B11858" i="1"/>
  <c r="C11858" i="1"/>
  <c r="D11858" i="1"/>
  <c r="E11858" i="1"/>
  <c r="F11858" i="1"/>
  <c r="G11858" i="1"/>
  <c r="H11858" i="1"/>
  <c r="A11859" i="1"/>
  <c r="B11859" i="1"/>
  <c r="C11859" i="1"/>
  <c r="D11859" i="1"/>
  <c r="E11859" i="1"/>
  <c r="F11859" i="1"/>
  <c r="G11859" i="1"/>
  <c r="H11859" i="1"/>
  <c r="A11860" i="1"/>
  <c r="B11860" i="1"/>
  <c r="C11860" i="1"/>
  <c r="D11860" i="1"/>
  <c r="E11860" i="1"/>
  <c r="F11860" i="1"/>
  <c r="G11860" i="1"/>
  <c r="H11860" i="1"/>
  <c r="A11861" i="1"/>
  <c r="B11861" i="1"/>
  <c r="C11861" i="1"/>
  <c r="D11861" i="1"/>
  <c r="E11861" i="1"/>
  <c r="F11861" i="1"/>
  <c r="G11861" i="1"/>
  <c r="H11861" i="1"/>
  <c r="A11862" i="1"/>
  <c r="B11862" i="1"/>
  <c r="C11862" i="1"/>
  <c r="D11862" i="1"/>
  <c r="E11862" i="1"/>
  <c r="F11862" i="1"/>
  <c r="G11862" i="1"/>
  <c r="H11862" i="1"/>
  <c r="A11863" i="1"/>
  <c r="B11863" i="1"/>
  <c r="C11863" i="1"/>
  <c r="D11863" i="1"/>
  <c r="E11863" i="1"/>
  <c r="F11863" i="1"/>
  <c r="G11863" i="1"/>
  <c r="H11863" i="1"/>
  <c r="A11864" i="1"/>
  <c r="B11864" i="1"/>
  <c r="C11864" i="1"/>
  <c r="D11864" i="1"/>
  <c r="E11864" i="1"/>
  <c r="F11864" i="1"/>
  <c r="G11864" i="1"/>
  <c r="H11864" i="1"/>
  <c r="A11865" i="1"/>
  <c r="B11865" i="1"/>
  <c r="C11865" i="1"/>
  <c r="D11865" i="1"/>
  <c r="E11865" i="1"/>
  <c r="F11865" i="1"/>
  <c r="G11865" i="1"/>
  <c r="H11865" i="1"/>
  <c r="A11866" i="1"/>
  <c r="B11866" i="1"/>
  <c r="C11866" i="1"/>
  <c r="D11866" i="1"/>
  <c r="E11866" i="1"/>
  <c r="F11866" i="1"/>
  <c r="G11866" i="1"/>
  <c r="H11866" i="1"/>
  <c r="A11867" i="1"/>
  <c r="B11867" i="1"/>
  <c r="C11867" i="1"/>
  <c r="D11867" i="1"/>
  <c r="E11867" i="1"/>
  <c r="F11867" i="1"/>
  <c r="G11867" i="1"/>
  <c r="H11867" i="1"/>
  <c r="A11868" i="1"/>
  <c r="B11868" i="1"/>
  <c r="C11868" i="1"/>
  <c r="D11868" i="1"/>
  <c r="E11868" i="1"/>
  <c r="F11868" i="1"/>
  <c r="G11868" i="1"/>
  <c r="H11868" i="1"/>
  <c r="A11869" i="1"/>
  <c r="B11869" i="1"/>
  <c r="C11869" i="1"/>
  <c r="D11869" i="1"/>
  <c r="E11869" i="1"/>
  <c r="F11869" i="1"/>
  <c r="G11869" i="1"/>
  <c r="H11869" i="1"/>
  <c r="A11870" i="1"/>
  <c r="B11870" i="1"/>
  <c r="C11870" i="1"/>
  <c r="D11870" i="1"/>
  <c r="E11870" i="1"/>
  <c r="F11870" i="1"/>
  <c r="G11870" i="1"/>
  <c r="H11870" i="1"/>
  <c r="A11871" i="1"/>
  <c r="B11871" i="1"/>
  <c r="C11871" i="1"/>
  <c r="D11871" i="1"/>
  <c r="E11871" i="1"/>
  <c r="F11871" i="1"/>
  <c r="G11871" i="1"/>
  <c r="H11871" i="1"/>
  <c r="A11872" i="1"/>
  <c r="B11872" i="1"/>
  <c r="C11872" i="1"/>
  <c r="D11872" i="1"/>
  <c r="E11872" i="1"/>
  <c r="F11872" i="1"/>
  <c r="G11872" i="1"/>
  <c r="H11872" i="1"/>
  <c r="A11873" i="1"/>
  <c r="B11873" i="1"/>
  <c r="C11873" i="1"/>
  <c r="D11873" i="1"/>
  <c r="E11873" i="1"/>
  <c r="F11873" i="1"/>
  <c r="G11873" i="1"/>
  <c r="H11873" i="1"/>
  <c r="A11874" i="1"/>
  <c r="B11874" i="1"/>
  <c r="C11874" i="1"/>
  <c r="D11874" i="1"/>
  <c r="E11874" i="1"/>
  <c r="F11874" i="1"/>
  <c r="G11874" i="1"/>
  <c r="H11874" i="1"/>
  <c r="A11875" i="1"/>
  <c r="B11875" i="1"/>
  <c r="C11875" i="1"/>
  <c r="D11875" i="1"/>
  <c r="E11875" i="1"/>
  <c r="F11875" i="1"/>
  <c r="G11875" i="1"/>
  <c r="H11875" i="1"/>
  <c r="A11876" i="1"/>
  <c r="B11876" i="1"/>
  <c r="C11876" i="1"/>
  <c r="D11876" i="1"/>
  <c r="E11876" i="1"/>
  <c r="F11876" i="1"/>
  <c r="G11876" i="1"/>
  <c r="H11876" i="1"/>
  <c r="A11877" i="1"/>
  <c r="B11877" i="1"/>
  <c r="C11877" i="1"/>
  <c r="D11877" i="1"/>
  <c r="E11877" i="1"/>
  <c r="F11877" i="1"/>
  <c r="G11877" i="1"/>
  <c r="H11877" i="1"/>
  <c r="A11878" i="1"/>
  <c r="B11878" i="1"/>
  <c r="C11878" i="1"/>
  <c r="D11878" i="1"/>
  <c r="E11878" i="1"/>
  <c r="F11878" i="1"/>
  <c r="G11878" i="1"/>
  <c r="H11878" i="1"/>
  <c r="A11879" i="1"/>
  <c r="B11879" i="1"/>
  <c r="C11879" i="1"/>
  <c r="D11879" i="1"/>
  <c r="E11879" i="1"/>
  <c r="F11879" i="1"/>
  <c r="G11879" i="1"/>
  <c r="H11879" i="1"/>
  <c r="A11880" i="1"/>
  <c r="B11880" i="1"/>
  <c r="C11880" i="1"/>
  <c r="D11880" i="1"/>
  <c r="E11880" i="1"/>
  <c r="F11880" i="1"/>
  <c r="G11880" i="1"/>
  <c r="H11880" i="1"/>
  <c r="A11881" i="1"/>
  <c r="B11881" i="1"/>
  <c r="C11881" i="1"/>
  <c r="D11881" i="1"/>
  <c r="E11881" i="1"/>
  <c r="F11881" i="1"/>
  <c r="G11881" i="1"/>
  <c r="H11881" i="1"/>
  <c r="A11882" i="1"/>
  <c r="B11882" i="1"/>
  <c r="C11882" i="1"/>
  <c r="D11882" i="1"/>
  <c r="E11882" i="1"/>
  <c r="F11882" i="1"/>
  <c r="G11882" i="1"/>
  <c r="H11882" i="1"/>
  <c r="A11883" i="1"/>
  <c r="B11883" i="1"/>
  <c r="C11883" i="1"/>
  <c r="D11883" i="1"/>
  <c r="E11883" i="1"/>
  <c r="F11883" i="1"/>
  <c r="G11883" i="1"/>
  <c r="H11883" i="1"/>
  <c r="A11884" i="1"/>
  <c r="B11884" i="1"/>
  <c r="C11884" i="1"/>
  <c r="D11884" i="1"/>
  <c r="E11884" i="1"/>
  <c r="F11884" i="1"/>
  <c r="G11884" i="1"/>
  <c r="H11884" i="1"/>
  <c r="A11885" i="1"/>
  <c r="B11885" i="1"/>
  <c r="C11885" i="1"/>
  <c r="D11885" i="1"/>
  <c r="E11885" i="1"/>
  <c r="F11885" i="1"/>
  <c r="G11885" i="1"/>
  <c r="H11885" i="1"/>
  <c r="A11886" i="1"/>
  <c r="B11886" i="1"/>
  <c r="C11886" i="1"/>
  <c r="D11886" i="1"/>
  <c r="E11886" i="1"/>
  <c r="F11886" i="1"/>
  <c r="G11886" i="1"/>
  <c r="H11886" i="1"/>
  <c r="A11887" i="1"/>
  <c r="B11887" i="1"/>
  <c r="C11887" i="1"/>
  <c r="D11887" i="1"/>
  <c r="E11887" i="1"/>
  <c r="F11887" i="1"/>
  <c r="G11887" i="1"/>
  <c r="H11887" i="1"/>
  <c r="A11888" i="1"/>
  <c r="B11888" i="1"/>
  <c r="C11888" i="1"/>
  <c r="D11888" i="1"/>
  <c r="E11888" i="1"/>
  <c r="F11888" i="1"/>
  <c r="G11888" i="1"/>
  <c r="H11888" i="1"/>
  <c r="A11889" i="1"/>
  <c r="B11889" i="1"/>
  <c r="C11889" i="1"/>
  <c r="D11889" i="1"/>
  <c r="E11889" i="1"/>
  <c r="F11889" i="1"/>
  <c r="G11889" i="1"/>
  <c r="H11889" i="1"/>
  <c r="A11890" i="1"/>
  <c r="B11890" i="1"/>
  <c r="C11890" i="1"/>
  <c r="D11890" i="1"/>
  <c r="E11890" i="1"/>
  <c r="F11890" i="1"/>
  <c r="G11890" i="1"/>
  <c r="H11890" i="1"/>
  <c r="A11891" i="1"/>
  <c r="B11891" i="1"/>
  <c r="C11891" i="1"/>
  <c r="D11891" i="1"/>
  <c r="E11891" i="1"/>
  <c r="F11891" i="1"/>
  <c r="G11891" i="1"/>
  <c r="H11891" i="1"/>
  <c r="A11892" i="1"/>
  <c r="B11892" i="1"/>
  <c r="C11892" i="1"/>
  <c r="D11892" i="1"/>
  <c r="E11892" i="1"/>
  <c r="F11892" i="1"/>
  <c r="G11892" i="1"/>
  <c r="H11892" i="1"/>
  <c r="A11893" i="1"/>
  <c r="B11893" i="1"/>
  <c r="C11893" i="1"/>
  <c r="D11893" i="1"/>
  <c r="E11893" i="1"/>
  <c r="F11893" i="1"/>
  <c r="G11893" i="1"/>
  <c r="H11893" i="1"/>
  <c r="A11894" i="1"/>
  <c r="B11894" i="1"/>
  <c r="C11894" i="1"/>
  <c r="D11894" i="1"/>
  <c r="E11894" i="1"/>
  <c r="F11894" i="1"/>
  <c r="G11894" i="1"/>
  <c r="H11894" i="1"/>
  <c r="A11895" i="1"/>
  <c r="B11895" i="1"/>
  <c r="C11895" i="1"/>
  <c r="D11895" i="1"/>
  <c r="E11895" i="1"/>
  <c r="F11895" i="1"/>
  <c r="G11895" i="1"/>
  <c r="H11895" i="1"/>
  <c r="A11896" i="1"/>
  <c r="B11896" i="1"/>
  <c r="C11896" i="1"/>
  <c r="D11896" i="1"/>
  <c r="E11896" i="1"/>
  <c r="F11896" i="1"/>
  <c r="G11896" i="1"/>
  <c r="H11896" i="1"/>
  <c r="A11897" i="1"/>
  <c r="B11897" i="1"/>
  <c r="C11897" i="1"/>
  <c r="D11897" i="1"/>
  <c r="E11897" i="1"/>
  <c r="F11897" i="1"/>
  <c r="G11897" i="1"/>
  <c r="H11897" i="1"/>
  <c r="A11898" i="1"/>
  <c r="B11898" i="1"/>
  <c r="C11898" i="1"/>
  <c r="D11898" i="1"/>
  <c r="E11898" i="1"/>
  <c r="F11898" i="1"/>
  <c r="G11898" i="1"/>
  <c r="H11898" i="1"/>
  <c r="A11899" i="1"/>
  <c r="B11899" i="1"/>
  <c r="C11899" i="1"/>
  <c r="D11899" i="1"/>
  <c r="E11899" i="1"/>
  <c r="F11899" i="1"/>
  <c r="G11899" i="1"/>
  <c r="H11899" i="1"/>
  <c r="A11900" i="1"/>
  <c r="B11900" i="1"/>
  <c r="C11900" i="1"/>
  <c r="D11900" i="1"/>
  <c r="E11900" i="1"/>
  <c r="F11900" i="1"/>
  <c r="G11900" i="1"/>
  <c r="H11900" i="1"/>
  <c r="A11901" i="1"/>
  <c r="B11901" i="1"/>
  <c r="C11901" i="1"/>
  <c r="D11901" i="1"/>
  <c r="E11901" i="1"/>
  <c r="F11901" i="1"/>
  <c r="G11901" i="1"/>
  <c r="H11901" i="1"/>
  <c r="A11902" i="1"/>
  <c r="B11902" i="1"/>
  <c r="C11902" i="1"/>
  <c r="D11902" i="1"/>
  <c r="E11902" i="1"/>
  <c r="F11902" i="1"/>
  <c r="G11902" i="1"/>
  <c r="H11902" i="1"/>
  <c r="A11903" i="1"/>
  <c r="B11903" i="1"/>
  <c r="C11903" i="1"/>
  <c r="D11903" i="1"/>
  <c r="E11903" i="1"/>
  <c r="F11903" i="1"/>
  <c r="G11903" i="1"/>
  <c r="H11903" i="1"/>
  <c r="A11904" i="1"/>
  <c r="B11904" i="1"/>
  <c r="C11904" i="1"/>
  <c r="D11904" i="1"/>
  <c r="E11904" i="1"/>
  <c r="F11904" i="1"/>
  <c r="G11904" i="1"/>
  <c r="H11904" i="1"/>
  <c r="A11905" i="1"/>
  <c r="B11905" i="1"/>
  <c r="C11905" i="1"/>
  <c r="D11905" i="1"/>
  <c r="E11905" i="1"/>
  <c r="F11905" i="1"/>
  <c r="G11905" i="1"/>
  <c r="H11905" i="1"/>
  <c r="A11906" i="1"/>
  <c r="B11906" i="1"/>
  <c r="C11906" i="1"/>
  <c r="D11906" i="1"/>
  <c r="E11906" i="1"/>
  <c r="F11906" i="1"/>
  <c r="G11906" i="1"/>
  <c r="H11906" i="1"/>
  <c r="A11907" i="1"/>
  <c r="B11907" i="1"/>
  <c r="C11907" i="1"/>
  <c r="D11907" i="1"/>
  <c r="E11907" i="1"/>
  <c r="F11907" i="1"/>
  <c r="G11907" i="1"/>
  <c r="H11907" i="1"/>
  <c r="A11908" i="1"/>
  <c r="B11908" i="1"/>
  <c r="C11908" i="1"/>
  <c r="D11908" i="1"/>
  <c r="E11908" i="1"/>
  <c r="F11908" i="1"/>
  <c r="G11908" i="1"/>
  <c r="H11908" i="1"/>
  <c r="A11909" i="1"/>
  <c r="B11909" i="1"/>
  <c r="C11909" i="1"/>
  <c r="D11909" i="1"/>
  <c r="E11909" i="1"/>
  <c r="F11909" i="1"/>
  <c r="G11909" i="1"/>
  <c r="H11909" i="1"/>
  <c r="A11910" i="1"/>
  <c r="B11910" i="1"/>
  <c r="C11910" i="1"/>
  <c r="D11910" i="1"/>
  <c r="E11910" i="1"/>
  <c r="F11910" i="1"/>
  <c r="G11910" i="1"/>
  <c r="H11910" i="1"/>
  <c r="A11911" i="1"/>
  <c r="B11911" i="1"/>
  <c r="C11911" i="1"/>
  <c r="D11911" i="1"/>
  <c r="E11911" i="1"/>
  <c r="F11911" i="1"/>
  <c r="G11911" i="1"/>
  <c r="H11911" i="1"/>
  <c r="A11912" i="1"/>
  <c r="B11912" i="1"/>
  <c r="C11912" i="1"/>
  <c r="D11912" i="1"/>
  <c r="E11912" i="1"/>
  <c r="F11912" i="1"/>
  <c r="G11912" i="1"/>
  <c r="H11912" i="1"/>
  <c r="A11913" i="1"/>
  <c r="B11913" i="1"/>
  <c r="C11913" i="1"/>
  <c r="D11913" i="1"/>
  <c r="E11913" i="1"/>
  <c r="F11913" i="1"/>
  <c r="G11913" i="1"/>
  <c r="H11913" i="1"/>
  <c r="A11914" i="1"/>
  <c r="B11914" i="1"/>
  <c r="C11914" i="1"/>
  <c r="D11914" i="1"/>
  <c r="E11914" i="1"/>
  <c r="F11914" i="1"/>
  <c r="G11914" i="1"/>
  <c r="H11914" i="1"/>
  <c r="A11915" i="1"/>
  <c r="B11915" i="1"/>
  <c r="C11915" i="1"/>
  <c r="D11915" i="1"/>
  <c r="E11915" i="1"/>
  <c r="F11915" i="1"/>
  <c r="G11915" i="1"/>
  <c r="H11915" i="1"/>
  <c r="A11916" i="1"/>
  <c r="B11916" i="1"/>
  <c r="C11916" i="1"/>
  <c r="D11916" i="1"/>
  <c r="E11916" i="1"/>
  <c r="F11916" i="1"/>
  <c r="G11916" i="1"/>
  <c r="H11916" i="1"/>
  <c r="A11917" i="1"/>
  <c r="B11917" i="1"/>
  <c r="C11917" i="1"/>
  <c r="D11917" i="1"/>
  <c r="E11917" i="1"/>
  <c r="F11917" i="1"/>
  <c r="G11917" i="1"/>
  <c r="H11917" i="1"/>
  <c r="A11918" i="1"/>
  <c r="B11918" i="1"/>
  <c r="C11918" i="1"/>
  <c r="D11918" i="1"/>
  <c r="E11918" i="1"/>
  <c r="F11918" i="1"/>
  <c r="G11918" i="1"/>
  <c r="H11918" i="1"/>
  <c r="A11919" i="1"/>
  <c r="B11919" i="1"/>
  <c r="C11919" i="1"/>
  <c r="D11919" i="1"/>
  <c r="E11919" i="1"/>
  <c r="F11919" i="1"/>
  <c r="G11919" i="1"/>
  <c r="H11919" i="1"/>
  <c r="A11920" i="1"/>
  <c r="B11920" i="1"/>
  <c r="C11920" i="1"/>
  <c r="D11920" i="1"/>
  <c r="E11920" i="1"/>
  <c r="F11920" i="1"/>
  <c r="G11920" i="1"/>
  <c r="H11920" i="1"/>
  <c r="A11921" i="1"/>
  <c r="B11921" i="1"/>
  <c r="C11921" i="1"/>
  <c r="D11921" i="1"/>
  <c r="E11921" i="1"/>
  <c r="F11921" i="1"/>
  <c r="G11921" i="1"/>
  <c r="H11921" i="1"/>
  <c r="A11922" i="1"/>
  <c r="B11922" i="1"/>
  <c r="C11922" i="1"/>
  <c r="D11922" i="1"/>
  <c r="E11922" i="1"/>
  <c r="F11922" i="1"/>
  <c r="G11922" i="1"/>
  <c r="H11922" i="1"/>
  <c r="A11923" i="1"/>
  <c r="B11923" i="1"/>
  <c r="C11923" i="1"/>
  <c r="D11923" i="1"/>
  <c r="E11923" i="1"/>
  <c r="F11923" i="1"/>
  <c r="G11923" i="1"/>
  <c r="H11923" i="1"/>
  <c r="A11924" i="1"/>
  <c r="B11924" i="1"/>
  <c r="C11924" i="1"/>
  <c r="D11924" i="1"/>
  <c r="E11924" i="1"/>
  <c r="F11924" i="1"/>
  <c r="G11924" i="1"/>
  <c r="H11924" i="1"/>
  <c r="A11925" i="1"/>
  <c r="B11925" i="1"/>
  <c r="C11925" i="1"/>
  <c r="D11925" i="1"/>
  <c r="E11925" i="1"/>
  <c r="F11925" i="1"/>
  <c r="G11925" i="1"/>
  <c r="H11925" i="1"/>
  <c r="A11926" i="1"/>
  <c r="B11926" i="1"/>
  <c r="C11926" i="1"/>
  <c r="D11926" i="1"/>
  <c r="E11926" i="1"/>
  <c r="F11926" i="1"/>
  <c r="G11926" i="1"/>
  <c r="H11926" i="1"/>
  <c r="A11927" i="1"/>
  <c r="B11927" i="1"/>
  <c r="C11927" i="1"/>
  <c r="D11927" i="1"/>
  <c r="E11927" i="1"/>
  <c r="F11927" i="1"/>
  <c r="G11927" i="1"/>
  <c r="H11927" i="1"/>
  <c r="A11928" i="1"/>
  <c r="B11928" i="1"/>
  <c r="C11928" i="1"/>
  <c r="D11928" i="1"/>
  <c r="E11928" i="1"/>
  <c r="F11928" i="1"/>
  <c r="G11928" i="1"/>
  <c r="H11928" i="1"/>
  <c r="A11929" i="1"/>
  <c r="B11929" i="1"/>
  <c r="C11929" i="1"/>
  <c r="D11929" i="1"/>
  <c r="E11929" i="1"/>
  <c r="F11929" i="1"/>
  <c r="G11929" i="1"/>
  <c r="H11929" i="1"/>
  <c r="A11930" i="1"/>
  <c r="B11930" i="1"/>
  <c r="C11930" i="1"/>
  <c r="D11930" i="1"/>
  <c r="E11930" i="1"/>
  <c r="F11930" i="1"/>
  <c r="G11930" i="1"/>
  <c r="H11930" i="1"/>
  <c r="A11931" i="1"/>
  <c r="B11931" i="1"/>
  <c r="C11931" i="1"/>
  <c r="D11931" i="1"/>
  <c r="E11931" i="1"/>
  <c r="F11931" i="1"/>
  <c r="G11931" i="1"/>
  <c r="H11931" i="1"/>
  <c r="A11932" i="1"/>
  <c r="B11932" i="1"/>
  <c r="C11932" i="1"/>
  <c r="D11932" i="1"/>
  <c r="E11932" i="1"/>
  <c r="F11932" i="1"/>
  <c r="G11932" i="1"/>
  <c r="H11932" i="1"/>
  <c r="A11933" i="1"/>
  <c r="B11933" i="1"/>
  <c r="C11933" i="1"/>
  <c r="D11933" i="1"/>
  <c r="E11933" i="1"/>
  <c r="F11933" i="1"/>
  <c r="G11933" i="1"/>
  <c r="H11933" i="1"/>
  <c r="A11934" i="1"/>
  <c r="B11934" i="1"/>
  <c r="C11934" i="1"/>
  <c r="D11934" i="1"/>
  <c r="E11934" i="1"/>
  <c r="F11934" i="1"/>
  <c r="G11934" i="1"/>
  <c r="H11934" i="1"/>
  <c r="A11935" i="1"/>
  <c r="B11935" i="1"/>
  <c r="C11935" i="1"/>
  <c r="D11935" i="1"/>
  <c r="E11935" i="1"/>
  <c r="F11935" i="1"/>
  <c r="G11935" i="1"/>
  <c r="H11935" i="1"/>
  <c r="A11936" i="1"/>
  <c r="B11936" i="1"/>
  <c r="C11936" i="1"/>
  <c r="D11936" i="1"/>
  <c r="E11936" i="1"/>
  <c r="F11936" i="1"/>
  <c r="G11936" i="1"/>
  <c r="H11936" i="1"/>
  <c r="A11937" i="1"/>
  <c r="B11937" i="1"/>
  <c r="C11937" i="1"/>
  <c r="D11937" i="1"/>
  <c r="E11937" i="1"/>
  <c r="F11937" i="1"/>
  <c r="G11937" i="1"/>
  <c r="H11937" i="1"/>
  <c r="A11938" i="1"/>
  <c r="B11938" i="1"/>
  <c r="C11938" i="1"/>
  <c r="D11938" i="1"/>
  <c r="E11938" i="1"/>
  <c r="F11938" i="1"/>
  <c r="G11938" i="1"/>
  <c r="H11938" i="1"/>
  <c r="A11939" i="1"/>
  <c r="B11939" i="1"/>
  <c r="C11939" i="1"/>
  <c r="D11939" i="1"/>
  <c r="E11939" i="1"/>
  <c r="F11939" i="1"/>
  <c r="G11939" i="1"/>
  <c r="H11939" i="1"/>
  <c r="A11940" i="1"/>
  <c r="B11940" i="1"/>
  <c r="C11940" i="1"/>
  <c r="D11940" i="1"/>
  <c r="E11940" i="1"/>
  <c r="F11940" i="1"/>
  <c r="G11940" i="1"/>
  <c r="H11940" i="1"/>
  <c r="A11941" i="1"/>
  <c r="B11941" i="1"/>
  <c r="C11941" i="1"/>
  <c r="D11941" i="1"/>
  <c r="E11941" i="1"/>
  <c r="F11941" i="1"/>
  <c r="G11941" i="1"/>
  <c r="H11941" i="1"/>
  <c r="A11942" i="1"/>
  <c r="B11942" i="1"/>
  <c r="C11942" i="1"/>
  <c r="D11942" i="1"/>
  <c r="E11942" i="1"/>
  <c r="F11942" i="1"/>
  <c r="G11942" i="1"/>
  <c r="H11942" i="1"/>
  <c r="A11943" i="1"/>
  <c r="B11943" i="1"/>
  <c r="C11943" i="1"/>
  <c r="D11943" i="1"/>
  <c r="E11943" i="1"/>
  <c r="F11943" i="1"/>
  <c r="G11943" i="1"/>
  <c r="H11943" i="1"/>
  <c r="A11944" i="1"/>
  <c r="B11944" i="1"/>
  <c r="C11944" i="1"/>
  <c r="D11944" i="1"/>
  <c r="E11944" i="1"/>
  <c r="F11944" i="1"/>
  <c r="G11944" i="1"/>
  <c r="H11944" i="1"/>
  <c r="A11945" i="1"/>
  <c r="B11945" i="1"/>
  <c r="C11945" i="1"/>
  <c r="D11945" i="1"/>
  <c r="E11945" i="1"/>
  <c r="F11945" i="1"/>
  <c r="G11945" i="1"/>
  <c r="H11945" i="1"/>
  <c r="A11946" i="1"/>
  <c r="B11946" i="1"/>
  <c r="C11946" i="1"/>
  <c r="D11946" i="1"/>
  <c r="E11946" i="1"/>
  <c r="F11946" i="1"/>
  <c r="G11946" i="1"/>
  <c r="H11946" i="1"/>
  <c r="A11947" i="1"/>
  <c r="B11947" i="1"/>
  <c r="C11947" i="1"/>
  <c r="D11947" i="1"/>
  <c r="E11947" i="1"/>
  <c r="F11947" i="1"/>
  <c r="G11947" i="1"/>
  <c r="H11947" i="1"/>
  <c r="A11948" i="1"/>
  <c r="B11948" i="1"/>
  <c r="C11948" i="1"/>
  <c r="D11948" i="1"/>
  <c r="E11948" i="1"/>
  <c r="F11948" i="1"/>
  <c r="G11948" i="1"/>
  <c r="H11948" i="1"/>
  <c r="A11949" i="1"/>
  <c r="B11949" i="1"/>
  <c r="C11949" i="1"/>
  <c r="D11949" i="1"/>
  <c r="E11949" i="1"/>
  <c r="F11949" i="1"/>
  <c r="G11949" i="1"/>
  <c r="H11949" i="1"/>
  <c r="A11950" i="1"/>
  <c r="B11950" i="1"/>
  <c r="C11950" i="1"/>
  <c r="D11950" i="1"/>
  <c r="E11950" i="1"/>
  <c r="F11950" i="1"/>
  <c r="G11950" i="1"/>
  <c r="H11950" i="1"/>
  <c r="A11951" i="1"/>
  <c r="B11951" i="1"/>
  <c r="C11951" i="1"/>
  <c r="D11951" i="1"/>
  <c r="E11951" i="1"/>
  <c r="F11951" i="1"/>
  <c r="G11951" i="1"/>
  <c r="H11951" i="1"/>
  <c r="A11952" i="1"/>
  <c r="B11952" i="1"/>
  <c r="C11952" i="1"/>
  <c r="D11952" i="1"/>
  <c r="E11952" i="1"/>
  <c r="F11952" i="1"/>
  <c r="G11952" i="1"/>
  <c r="H11952" i="1"/>
  <c r="A11953" i="1"/>
  <c r="B11953" i="1"/>
  <c r="C11953" i="1"/>
  <c r="D11953" i="1"/>
  <c r="E11953" i="1"/>
  <c r="F11953" i="1"/>
  <c r="G11953" i="1"/>
  <c r="H11953" i="1"/>
  <c r="A11954" i="1"/>
  <c r="B11954" i="1"/>
  <c r="C11954" i="1"/>
  <c r="D11954" i="1"/>
  <c r="E11954" i="1"/>
  <c r="F11954" i="1"/>
  <c r="G11954" i="1"/>
  <c r="H11954" i="1"/>
  <c r="A11955" i="1"/>
  <c r="B11955" i="1"/>
  <c r="C11955" i="1"/>
  <c r="D11955" i="1"/>
  <c r="E11955" i="1"/>
  <c r="F11955" i="1"/>
  <c r="G11955" i="1"/>
  <c r="H11955" i="1"/>
  <c r="A11956" i="1"/>
  <c r="B11956" i="1"/>
  <c r="C11956" i="1"/>
  <c r="D11956" i="1"/>
  <c r="E11956" i="1"/>
  <c r="F11956" i="1"/>
  <c r="G11956" i="1"/>
  <c r="H11956" i="1"/>
  <c r="A11957" i="1"/>
  <c r="B11957" i="1"/>
  <c r="C11957" i="1"/>
  <c r="D11957" i="1"/>
  <c r="E11957" i="1"/>
  <c r="F11957" i="1"/>
  <c r="G11957" i="1"/>
  <c r="H11957" i="1"/>
  <c r="A11958" i="1"/>
  <c r="B11958" i="1"/>
  <c r="C11958" i="1"/>
  <c r="D11958" i="1"/>
  <c r="E11958" i="1"/>
  <c r="F11958" i="1"/>
  <c r="G11958" i="1"/>
  <c r="H11958" i="1"/>
  <c r="A11959" i="1"/>
  <c r="B11959" i="1"/>
  <c r="C11959" i="1"/>
  <c r="D11959" i="1"/>
  <c r="E11959" i="1"/>
  <c r="F11959" i="1"/>
  <c r="G11959" i="1"/>
  <c r="H11959" i="1"/>
  <c r="A11960" i="1"/>
  <c r="B11960" i="1"/>
  <c r="C11960" i="1"/>
  <c r="D11960" i="1"/>
  <c r="E11960" i="1"/>
  <c r="F11960" i="1"/>
  <c r="G11960" i="1"/>
  <c r="H11960" i="1"/>
  <c r="A11961" i="1"/>
  <c r="B11961" i="1"/>
  <c r="C11961" i="1"/>
  <c r="D11961" i="1"/>
  <c r="E11961" i="1"/>
  <c r="F11961" i="1"/>
  <c r="G11961" i="1"/>
  <c r="H11961" i="1"/>
  <c r="A11962" i="1"/>
  <c r="B11962" i="1"/>
  <c r="C11962" i="1"/>
  <c r="D11962" i="1"/>
  <c r="E11962" i="1"/>
  <c r="F11962" i="1"/>
  <c r="G11962" i="1"/>
  <c r="H11962" i="1"/>
  <c r="A11963" i="1"/>
  <c r="B11963" i="1"/>
  <c r="C11963" i="1"/>
  <c r="D11963" i="1"/>
  <c r="E11963" i="1"/>
  <c r="F11963" i="1"/>
  <c r="G11963" i="1"/>
  <c r="H11963" i="1"/>
  <c r="A11964" i="1"/>
  <c r="B11964" i="1"/>
  <c r="C11964" i="1"/>
  <c r="D11964" i="1"/>
  <c r="E11964" i="1"/>
  <c r="F11964" i="1"/>
  <c r="G11964" i="1"/>
  <c r="H11964" i="1"/>
  <c r="A11965" i="1"/>
  <c r="B11965" i="1"/>
  <c r="C11965" i="1"/>
  <c r="D11965" i="1"/>
  <c r="E11965" i="1"/>
  <c r="F11965" i="1"/>
  <c r="G11965" i="1"/>
  <c r="H11965" i="1"/>
  <c r="A11966" i="1"/>
  <c r="B11966" i="1"/>
  <c r="C11966" i="1"/>
  <c r="D11966" i="1"/>
  <c r="E11966" i="1"/>
  <c r="F11966" i="1"/>
  <c r="G11966" i="1"/>
  <c r="H11966" i="1"/>
  <c r="A11967" i="1"/>
  <c r="B11967" i="1"/>
  <c r="C11967" i="1"/>
  <c r="D11967" i="1"/>
  <c r="E11967" i="1"/>
  <c r="F11967" i="1"/>
  <c r="G11967" i="1"/>
  <c r="H11967" i="1"/>
  <c r="A11968" i="1"/>
  <c r="B11968" i="1"/>
  <c r="C11968" i="1"/>
  <c r="D11968" i="1"/>
  <c r="E11968" i="1"/>
  <c r="F11968" i="1"/>
  <c r="G11968" i="1"/>
  <c r="H11968" i="1"/>
  <c r="A11969" i="1"/>
  <c r="B11969" i="1"/>
  <c r="C11969" i="1"/>
  <c r="D11969" i="1"/>
  <c r="E11969" i="1"/>
  <c r="F11969" i="1"/>
  <c r="G11969" i="1"/>
  <c r="H11969" i="1"/>
  <c r="A11970" i="1"/>
  <c r="B11970" i="1"/>
  <c r="C11970" i="1"/>
  <c r="D11970" i="1"/>
  <c r="E11970" i="1"/>
  <c r="F11970" i="1"/>
  <c r="G11970" i="1"/>
  <c r="H11970" i="1"/>
  <c r="A11971" i="1"/>
  <c r="B11971" i="1"/>
  <c r="C11971" i="1"/>
  <c r="D11971" i="1"/>
  <c r="E11971" i="1"/>
  <c r="F11971" i="1"/>
  <c r="G11971" i="1"/>
  <c r="H11971" i="1"/>
  <c r="A11972" i="1"/>
  <c r="B11972" i="1"/>
  <c r="C11972" i="1"/>
  <c r="D11972" i="1"/>
  <c r="E11972" i="1"/>
  <c r="F11972" i="1"/>
  <c r="G11972" i="1"/>
  <c r="H11972" i="1"/>
  <c r="A11973" i="1"/>
  <c r="B11973" i="1"/>
  <c r="C11973" i="1"/>
  <c r="D11973" i="1"/>
  <c r="E11973" i="1"/>
  <c r="F11973" i="1"/>
  <c r="G11973" i="1"/>
  <c r="H11973" i="1"/>
  <c r="A11974" i="1"/>
  <c r="B11974" i="1"/>
  <c r="C11974" i="1"/>
  <c r="D11974" i="1"/>
  <c r="E11974" i="1"/>
  <c r="F11974" i="1"/>
  <c r="G11974" i="1"/>
  <c r="H11974" i="1"/>
  <c r="A11975" i="1"/>
  <c r="B11975" i="1"/>
  <c r="C11975" i="1"/>
  <c r="D11975" i="1"/>
  <c r="E11975" i="1"/>
  <c r="F11975" i="1"/>
  <c r="G11975" i="1"/>
  <c r="H11975" i="1"/>
  <c r="A11976" i="1"/>
  <c r="B11976" i="1"/>
  <c r="C11976" i="1"/>
  <c r="D11976" i="1"/>
  <c r="E11976" i="1"/>
  <c r="F11976" i="1"/>
  <c r="G11976" i="1"/>
  <c r="H11976" i="1"/>
  <c r="A11977" i="1"/>
  <c r="B11977" i="1"/>
  <c r="C11977" i="1"/>
  <c r="D11977" i="1"/>
  <c r="E11977" i="1"/>
  <c r="F11977" i="1"/>
  <c r="G11977" i="1"/>
  <c r="H11977" i="1"/>
  <c r="A11978" i="1"/>
  <c r="B11978" i="1"/>
  <c r="C11978" i="1"/>
  <c r="D11978" i="1"/>
  <c r="E11978" i="1"/>
  <c r="F11978" i="1"/>
  <c r="G11978" i="1"/>
  <c r="H11978" i="1"/>
  <c r="A11979" i="1"/>
  <c r="B11979" i="1"/>
  <c r="C11979" i="1"/>
  <c r="D11979" i="1"/>
  <c r="E11979" i="1"/>
  <c r="F11979" i="1"/>
  <c r="G11979" i="1"/>
  <c r="H11979" i="1"/>
  <c r="A11980" i="1"/>
  <c r="B11980" i="1"/>
  <c r="C11980" i="1"/>
  <c r="D11980" i="1"/>
  <c r="E11980" i="1"/>
  <c r="F11980" i="1"/>
  <c r="G11980" i="1"/>
  <c r="H11980" i="1"/>
  <c r="A11981" i="1"/>
  <c r="B11981" i="1"/>
  <c r="C11981" i="1"/>
  <c r="D11981" i="1"/>
  <c r="E11981" i="1"/>
  <c r="F11981" i="1"/>
  <c r="G11981" i="1"/>
  <c r="H11981" i="1"/>
  <c r="A11982" i="1"/>
  <c r="B11982" i="1"/>
  <c r="C11982" i="1"/>
  <c r="D11982" i="1"/>
  <c r="E11982" i="1"/>
  <c r="F11982" i="1"/>
  <c r="G11982" i="1"/>
  <c r="H11982" i="1"/>
  <c r="A11983" i="1"/>
  <c r="B11983" i="1"/>
  <c r="C11983" i="1"/>
  <c r="D11983" i="1"/>
  <c r="E11983" i="1"/>
  <c r="F11983" i="1"/>
  <c r="G11983" i="1"/>
  <c r="H11983" i="1"/>
  <c r="A11984" i="1"/>
  <c r="B11984" i="1"/>
  <c r="C11984" i="1"/>
  <c r="D11984" i="1"/>
  <c r="E11984" i="1"/>
  <c r="F11984" i="1"/>
  <c r="G11984" i="1"/>
  <c r="H11984" i="1"/>
  <c r="A11985" i="1"/>
  <c r="B11985" i="1"/>
  <c r="C11985" i="1"/>
  <c r="D11985" i="1"/>
  <c r="E11985" i="1"/>
  <c r="F11985" i="1"/>
  <c r="G11985" i="1"/>
  <c r="H11985" i="1"/>
  <c r="A11986" i="1"/>
  <c r="B11986" i="1"/>
  <c r="C11986" i="1"/>
  <c r="D11986" i="1"/>
  <c r="E11986" i="1"/>
  <c r="F11986" i="1"/>
  <c r="G11986" i="1"/>
  <c r="H11986" i="1"/>
  <c r="A11987" i="1"/>
  <c r="B11987" i="1"/>
  <c r="C11987" i="1"/>
  <c r="D11987" i="1"/>
  <c r="E11987" i="1"/>
  <c r="F11987" i="1"/>
  <c r="G11987" i="1"/>
  <c r="H11987" i="1"/>
  <c r="A11988" i="1"/>
  <c r="B11988" i="1"/>
  <c r="C11988" i="1"/>
  <c r="D11988" i="1"/>
  <c r="E11988" i="1"/>
  <c r="F11988" i="1"/>
  <c r="G11988" i="1"/>
  <c r="H11988" i="1"/>
  <c r="A11989" i="1"/>
  <c r="B11989" i="1"/>
  <c r="C11989" i="1"/>
  <c r="D11989" i="1"/>
  <c r="E11989" i="1"/>
  <c r="F11989" i="1"/>
  <c r="G11989" i="1"/>
  <c r="H11989" i="1"/>
  <c r="A11990" i="1"/>
  <c r="B11990" i="1"/>
  <c r="C11990" i="1"/>
  <c r="D11990" i="1"/>
  <c r="E11990" i="1"/>
  <c r="F11990" i="1"/>
  <c r="G11990" i="1"/>
  <c r="H11990" i="1"/>
  <c r="A11991" i="1"/>
  <c r="B11991" i="1"/>
  <c r="C11991" i="1"/>
  <c r="D11991" i="1"/>
  <c r="E11991" i="1"/>
  <c r="F11991" i="1"/>
  <c r="G11991" i="1"/>
  <c r="H11991" i="1"/>
  <c r="A11992" i="1"/>
  <c r="B11992" i="1"/>
  <c r="C11992" i="1"/>
  <c r="D11992" i="1"/>
  <c r="E11992" i="1"/>
  <c r="F11992" i="1"/>
  <c r="G11992" i="1"/>
  <c r="H11992" i="1"/>
  <c r="A11993" i="1"/>
  <c r="B11993" i="1"/>
  <c r="C11993" i="1"/>
  <c r="D11993" i="1"/>
  <c r="E11993" i="1"/>
  <c r="F11993" i="1"/>
  <c r="G11993" i="1"/>
  <c r="H11993" i="1"/>
  <c r="A11994" i="1"/>
  <c r="B11994" i="1"/>
  <c r="C11994" i="1"/>
  <c r="D11994" i="1"/>
  <c r="E11994" i="1"/>
  <c r="F11994" i="1"/>
  <c r="G11994" i="1"/>
  <c r="H11994" i="1"/>
  <c r="A11995" i="1"/>
  <c r="B11995" i="1"/>
  <c r="C11995" i="1"/>
  <c r="D11995" i="1"/>
  <c r="E11995" i="1"/>
  <c r="F11995" i="1"/>
  <c r="G11995" i="1"/>
  <c r="H11995" i="1"/>
  <c r="A11996" i="1"/>
  <c r="B11996" i="1"/>
  <c r="C11996" i="1"/>
  <c r="D11996" i="1"/>
  <c r="E11996" i="1"/>
  <c r="F11996" i="1"/>
  <c r="G11996" i="1"/>
  <c r="H11996" i="1"/>
  <c r="A11997" i="1"/>
  <c r="B11997" i="1"/>
  <c r="C11997" i="1"/>
  <c r="D11997" i="1"/>
  <c r="E11997" i="1"/>
  <c r="F11997" i="1"/>
  <c r="G11997" i="1"/>
  <c r="H11997" i="1"/>
  <c r="A11998" i="1"/>
  <c r="B11998" i="1"/>
  <c r="C11998" i="1"/>
  <c r="D11998" i="1"/>
  <c r="E11998" i="1"/>
  <c r="F11998" i="1"/>
  <c r="G11998" i="1"/>
  <c r="H11998" i="1"/>
  <c r="A11999" i="1"/>
  <c r="B11999" i="1"/>
  <c r="C11999" i="1"/>
  <c r="D11999" i="1"/>
  <c r="E11999" i="1"/>
  <c r="F11999" i="1"/>
  <c r="G11999" i="1"/>
  <c r="H11999" i="1"/>
  <c r="A12000" i="1"/>
  <c r="B12000" i="1"/>
  <c r="C12000" i="1"/>
  <c r="D12000" i="1"/>
  <c r="E12000" i="1"/>
  <c r="F12000" i="1"/>
  <c r="G12000" i="1"/>
  <c r="H12000" i="1"/>
  <c r="A12001" i="1"/>
  <c r="B12001" i="1"/>
  <c r="C12001" i="1"/>
  <c r="D12001" i="1"/>
  <c r="E12001" i="1"/>
  <c r="F12001" i="1"/>
  <c r="G12001" i="1"/>
  <c r="H12001" i="1"/>
  <c r="A12002" i="1"/>
  <c r="B12002" i="1"/>
  <c r="C12002" i="1"/>
  <c r="D12002" i="1"/>
  <c r="E12002" i="1"/>
  <c r="F12002" i="1"/>
  <c r="G12002" i="1"/>
  <c r="H12002" i="1"/>
  <c r="A12003" i="1"/>
  <c r="B12003" i="1"/>
  <c r="C12003" i="1"/>
  <c r="D12003" i="1"/>
  <c r="E12003" i="1"/>
  <c r="F12003" i="1"/>
  <c r="G12003" i="1"/>
  <c r="H12003" i="1"/>
  <c r="A12004" i="1"/>
  <c r="B12004" i="1"/>
  <c r="C12004" i="1"/>
  <c r="D12004" i="1"/>
  <c r="E12004" i="1"/>
  <c r="F12004" i="1"/>
  <c r="G12004" i="1"/>
  <c r="H12004" i="1"/>
  <c r="A12005" i="1"/>
  <c r="B12005" i="1"/>
  <c r="C12005" i="1"/>
  <c r="D12005" i="1"/>
  <c r="E12005" i="1"/>
  <c r="F12005" i="1"/>
  <c r="G12005" i="1"/>
  <c r="H12005" i="1"/>
  <c r="A12006" i="1"/>
  <c r="B12006" i="1"/>
  <c r="C12006" i="1"/>
  <c r="D12006" i="1"/>
  <c r="E12006" i="1"/>
  <c r="F12006" i="1"/>
  <c r="G12006" i="1"/>
  <c r="H12006" i="1"/>
  <c r="A12007" i="1"/>
  <c r="B12007" i="1"/>
  <c r="C12007" i="1"/>
  <c r="D12007" i="1"/>
  <c r="E12007" i="1"/>
  <c r="F12007" i="1"/>
  <c r="G12007" i="1"/>
  <c r="H12007" i="1"/>
  <c r="A12008" i="1"/>
  <c r="B12008" i="1"/>
  <c r="C12008" i="1"/>
  <c r="D12008" i="1"/>
  <c r="E12008" i="1"/>
  <c r="F12008" i="1"/>
  <c r="G12008" i="1"/>
  <c r="H12008" i="1"/>
  <c r="A12009" i="1"/>
  <c r="B12009" i="1"/>
  <c r="C12009" i="1"/>
  <c r="D12009" i="1"/>
  <c r="E12009" i="1"/>
  <c r="F12009" i="1"/>
  <c r="G12009" i="1"/>
  <c r="H12009" i="1"/>
  <c r="A12010" i="1"/>
  <c r="B12010" i="1"/>
  <c r="C12010" i="1"/>
  <c r="D12010" i="1"/>
  <c r="E12010" i="1"/>
  <c r="F12010" i="1"/>
  <c r="G12010" i="1"/>
  <c r="H12010" i="1"/>
  <c r="A12011" i="1"/>
  <c r="B12011" i="1"/>
  <c r="C12011" i="1"/>
  <c r="D12011" i="1"/>
  <c r="E12011" i="1"/>
  <c r="F12011" i="1"/>
  <c r="G12011" i="1"/>
  <c r="H12011" i="1"/>
  <c r="A12012" i="1"/>
  <c r="B12012" i="1"/>
  <c r="C12012" i="1"/>
  <c r="D12012" i="1"/>
  <c r="E12012" i="1"/>
  <c r="F12012" i="1"/>
  <c r="G12012" i="1"/>
  <c r="H12012" i="1"/>
  <c r="A12013" i="1"/>
  <c r="B12013" i="1"/>
  <c r="C12013" i="1"/>
  <c r="D12013" i="1"/>
  <c r="E12013" i="1"/>
  <c r="F12013" i="1"/>
  <c r="G12013" i="1"/>
  <c r="H12013" i="1"/>
  <c r="A12014" i="1"/>
  <c r="B12014" i="1"/>
  <c r="C12014" i="1"/>
  <c r="D12014" i="1"/>
  <c r="E12014" i="1"/>
  <c r="F12014" i="1"/>
  <c r="G12014" i="1"/>
  <c r="H12014" i="1"/>
  <c r="A12015" i="1"/>
  <c r="B12015" i="1"/>
  <c r="C12015" i="1"/>
  <c r="D12015" i="1"/>
  <c r="E12015" i="1"/>
  <c r="F12015" i="1"/>
  <c r="G12015" i="1"/>
  <c r="H12015" i="1"/>
  <c r="A12016" i="1"/>
  <c r="B12016" i="1"/>
  <c r="C12016" i="1"/>
  <c r="D12016" i="1"/>
  <c r="E12016" i="1"/>
  <c r="F12016" i="1"/>
  <c r="G12016" i="1"/>
  <c r="H12016" i="1"/>
  <c r="A12017" i="1"/>
  <c r="B12017" i="1"/>
  <c r="C12017" i="1"/>
  <c r="D12017" i="1"/>
  <c r="E12017" i="1"/>
  <c r="F12017" i="1"/>
  <c r="G12017" i="1"/>
  <c r="H12017" i="1"/>
  <c r="A12018" i="1"/>
  <c r="B12018" i="1"/>
  <c r="C12018" i="1"/>
  <c r="D12018" i="1"/>
  <c r="E12018" i="1"/>
  <c r="F12018" i="1"/>
  <c r="G12018" i="1"/>
  <c r="H12018" i="1"/>
  <c r="A12019" i="1"/>
  <c r="B12019" i="1"/>
  <c r="C12019" i="1"/>
  <c r="D12019" i="1"/>
  <c r="E12019" i="1"/>
  <c r="F12019" i="1"/>
  <c r="G12019" i="1"/>
  <c r="H12019" i="1"/>
  <c r="A12020" i="1"/>
  <c r="B12020" i="1"/>
  <c r="C12020" i="1"/>
  <c r="D12020" i="1"/>
  <c r="E12020" i="1"/>
  <c r="F12020" i="1"/>
  <c r="G12020" i="1"/>
  <c r="H12020" i="1"/>
  <c r="A12021" i="1"/>
  <c r="B12021" i="1"/>
  <c r="C12021" i="1"/>
  <c r="D12021" i="1"/>
  <c r="E12021" i="1"/>
  <c r="F12021" i="1"/>
  <c r="G12021" i="1"/>
  <c r="H12021" i="1"/>
  <c r="A12022" i="1"/>
  <c r="B12022" i="1"/>
  <c r="C12022" i="1"/>
  <c r="D12022" i="1"/>
  <c r="E12022" i="1"/>
  <c r="F12022" i="1"/>
  <c r="G12022" i="1"/>
  <c r="H12022" i="1"/>
  <c r="A12023" i="1"/>
  <c r="B12023" i="1"/>
  <c r="C12023" i="1"/>
  <c r="D12023" i="1"/>
  <c r="E12023" i="1"/>
  <c r="F12023" i="1"/>
  <c r="G12023" i="1"/>
  <c r="H12023" i="1"/>
  <c r="A12024" i="1"/>
  <c r="B12024" i="1"/>
  <c r="C12024" i="1"/>
  <c r="D12024" i="1"/>
  <c r="E12024" i="1"/>
  <c r="F12024" i="1"/>
  <c r="G12024" i="1"/>
  <c r="H12024" i="1"/>
  <c r="A12025" i="1"/>
  <c r="B12025" i="1"/>
  <c r="C12025" i="1"/>
  <c r="D12025" i="1"/>
  <c r="E12025" i="1"/>
  <c r="F12025" i="1"/>
  <c r="G12025" i="1"/>
  <c r="H12025" i="1"/>
  <c r="A12026" i="1"/>
  <c r="B12026" i="1"/>
  <c r="C12026" i="1"/>
  <c r="D12026" i="1"/>
  <c r="E12026" i="1"/>
  <c r="F12026" i="1"/>
  <c r="G12026" i="1"/>
  <c r="H12026" i="1"/>
  <c r="A12027" i="1"/>
  <c r="B12027" i="1"/>
  <c r="C12027" i="1"/>
  <c r="D12027" i="1"/>
  <c r="E12027" i="1"/>
  <c r="F12027" i="1"/>
  <c r="G12027" i="1"/>
  <c r="H12027" i="1"/>
  <c r="A12028" i="1"/>
  <c r="B12028" i="1"/>
  <c r="C12028" i="1"/>
  <c r="D12028" i="1"/>
  <c r="E12028" i="1"/>
  <c r="F12028" i="1"/>
  <c r="G12028" i="1"/>
  <c r="H12028" i="1"/>
  <c r="A12029" i="1"/>
  <c r="B12029" i="1"/>
  <c r="C12029" i="1"/>
  <c r="D12029" i="1"/>
  <c r="E12029" i="1"/>
  <c r="F12029" i="1"/>
  <c r="G12029" i="1"/>
  <c r="H12029" i="1"/>
  <c r="A12030" i="1"/>
  <c r="B12030" i="1"/>
  <c r="C12030" i="1"/>
  <c r="D12030" i="1"/>
  <c r="E12030" i="1"/>
  <c r="F12030" i="1"/>
  <c r="G12030" i="1"/>
  <c r="H12030" i="1"/>
  <c r="A12031" i="1"/>
  <c r="B12031" i="1"/>
  <c r="C12031" i="1"/>
  <c r="D12031" i="1"/>
  <c r="E12031" i="1"/>
  <c r="F12031" i="1"/>
  <c r="G12031" i="1"/>
  <c r="H12031" i="1"/>
  <c r="A12032" i="1"/>
  <c r="B12032" i="1"/>
  <c r="C12032" i="1"/>
  <c r="D12032" i="1"/>
  <c r="E12032" i="1"/>
  <c r="F12032" i="1"/>
  <c r="G12032" i="1"/>
  <c r="H12032" i="1"/>
  <c r="A12033" i="1"/>
  <c r="B12033" i="1"/>
  <c r="C12033" i="1"/>
  <c r="D12033" i="1"/>
  <c r="E12033" i="1"/>
  <c r="F12033" i="1"/>
  <c r="G12033" i="1"/>
  <c r="H12033" i="1"/>
  <c r="A12034" i="1"/>
  <c r="B12034" i="1"/>
  <c r="C12034" i="1"/>
  <c r="D12034" i="1"/>
  <c r="E12034" i="1"/>
  <c r="F12034" i="1"/>
  <c r="G12034" i="1"/>
  <c r="H12034" i="1"/>
  <c r="A12035" i="1"/>
  <c r="B12035" i="1"/>
  <c r="C12035" i="1"/>
  <c r="D12035" i="1"/>
  <c r="E12035" i="1"/>
  <c r="F12035" i="1"/>
  <c r="G12035" i="1"/>
  <c r="H12035" i="1"/>
  <c r="A12036" i="1"/>
  <c r="B12036" i="1"/>
  <c r="C12036" i="1"/>
  <c r="D12036" i="1"/>
  <c r="E12036" i="1"/>
  <c r="F12036" i="1"/>
  <c r="G12036" i="1"/>
  <c r="H12036" i="1"/>
  <c r="A12037" i="1"/>
  <c r="B12037" i="1"/>
  <c r="C12037" i="1"/>
  <c r="D12037" i="1"/>
  <c r="E12037" i="1"/>
  <c r="F12037" i="1"/>
  <c r="G12037" i="1"/>
  <c r="H12037" i="1"/>
  <c r="A12038" i="1"/>
  <c r="B12038" i="1"/>
  <c r="C12038" i="1"/>
  <c r="D12038" i="1"/>
  <c r="E12038" i="1"/>
  <c r="F12038" i="1"/>
  <c r="G12038" i="1"/>
  <c r="H12038" i="1"/>
  <c r="A12039" i="1"/>
  <c r="B12039" i="1"/>
  <c r="C12039" i="1"/>
  <c r="D12039" i="1"/>
  <c r="E12039" i="1"/>
  <c r="F12039" i="1"/>
  <c r="G12039" i="1"/>
  <c r="H12039" i="1"/>
  <c r="A12040" i="1"/>
  <c r="B12040" i="1"/>
  <c r="C12040" i="1"/>
  <c r="D12040" i="1"/>
  <c r="E12040" i="1"/>
  <c r="F12040" i="1"/>
  <c r="G12040" i="1"/>
  <c r="H12040" i="1"/>
  <c r="A12041" i="1"/>
  <c r="B12041" i="1"/>
  <c r="C12041" i="1"/>
  <c r="D12041" i="1"/>
  <c r="E12041" i="1"/>
  <c r="F12041" i="1"/>
  <c r="G12041" i="1"/>
  <c r="H12041" i="1"/>
  <c r="A12042" i="1"/>
  <c r="B12042" i="1"/>
  <c r="C12042" i="1"/>
  <c r="D12042" i="1"/>
  <c r="E12042" i="1"/>
  <c r="F12042" i="1"/>
  <c r="G12042" i="1"/>
  <c r="H12042" i="1"/>
  <c r="A12043" i="1"/>
  <c r="B12043" i="1"/>
  <c r="C12043" i="1"/>
  <c r="D12043" i="1"/>
  <c r="E12043" i="1"/>
  <c r="F12043" i="1"/>
  <c r="G12043" i="1"/>
  <c r="H12043" i="1"/>
  <c r="A12044" i="1"/>
  <c r="B12044" i="1"/>
  <c r="C12044" i="1"/>
  <c r="D12044" i="1"/>
  <c r="E12044" i="1"/>
  <c r="F12044" i="1"/>
  <c r="G12044" i="1"/>
  <c r="H12044" i="1"/>
  <c r="A12045" i="1"/>
  <c r="B12045" i="1"/>
  <c r="C12045" i="1"/>
  <c r="D12045" i="1"/>
  <c r="E12045" i="1"/>
  <c r="F12045" i="1"/>
  <c r="G12045" i="1"/>
  <c r="H12045" i="1"/>
  <c r="A12046" i="1"/>
  <c r="B12046" i="1"/>
  <c r="C12046" i="1"/>
  <c r="D12046" i="1"/>
  <c r="E12046" i="1"/>
  <c r="F12046" i="1"/>
  <c r="G12046" i="1"/>
  <c r="H12046" i="1"/>
  <c r="A12047" i="1"/>
  <c r="B12047" i="1"/>
  <c r="C12047" i="1"/>
  <c r="D12047" i="1"/>
  <c r="E12047" i="1"/>
  <c r="F12047" i="1"/>
  <c r="G12047" i="1"/>
  <c r="H12047" i="1"/>
  <c r="A12048" i="1"/>
  <c r="B12048" i="1"/>
  <c r="C12048" i="1"/>
  <c r="D12048" i="1"/>
  <c r="E12048" i="1"/>
  <c r="F12048" i="1"/>
  <c r="G12048" i="1"/>
  <c r="H12048" i="1"/>
  <c r="A12049" i="1"/>
  <c r="B12049" i="1"/>
  <c r="C12049" i="1"/>
  <c r="D12049" i="1"/>
  <c r="E12049" i="1"/>
  <c r="F12049" i="1"/>
  <c r="G12049" i="1"/>
  <c r="H12049" i="1"/>
  <c r="A12050" i="1"/>
  <c r="B12050" i="1"/>
  <c r="C12050" i="1"/>
  <c r="D12050" i="1"/>
  <c r="E12050" i="1"/>
  <c r="F12050" i="1"/>
  <c r="G12050" i="1"/>
  <c r="H12050" i="1"/>
  <c r="A12051" i="1"/>
  <c r="B12051" i="1"/>
  <c r="C12051" i="1"/>
  <c r="D12051" i="1"/>
  <c r="E12051" i="1"/>
  <c r="F12051" i="1"/>
  <c r="G12051" i="1"/>
  <c r="H12051" i="1"/>
  <c r="A12052" i="1"/>
  <c r="B12052" i="1"/>
  <c r="C12052" i="1"/>
  <c r="D12052" i="1"/>
  <c r="E12052" i="1"/>
  <c r="F12052" i="1"/>
  <c r="G12052" i="1"/>
  <c r="H12052" i="1"/>
  <c r="A12053" i="1"/>
  <c r="B12053" i="1"/>
  <c r="C12053" i="1"/>
  <c r="D12053" i="1"/>
  <c r="E12053" i="1"/>
  <c r="F12053" i="1"/>
  <c r="G12053" i="1"/>
  <c r="H12053" i="1"/>
  <c r="A12054" i="1"/>
  <c r="B12054" i="1"/>
  <c r="C12054" i="1"/>
  <c r="D12054" i="1"/>
  <c r="E12054" i="1"/>
  <c r="F12054" i="1"/>
  <c r="G12054" i="1"/>
  <c r="H12054" i="1"/>
  <c r="A12055" i="1"/>
  <c r="B12055" i="1"/>
  <c r="C12055" i="1"/>
  <c r="D12055" i="1"/>
  <c r="E12055" i="1"/>
  <c r="F12055" i="1"/>
  <c r="G12055" i="1"/>
  <c r="H12055" i="1"/>
  <c r="A12056" i="1"/>
  <c r="B12056" i="1"/>
  <c r="C12056" i="1"/>
  <c r="D12056" i="1"/>
  <c r="E12056" i="1"/>
  <c r="F12056" i="1"/>
  <c r="G12056" i="1"/>
  <c r="H12056" i="1"/>
  <c r="A12057" i="1"/>
  <c r="B12057" i="1"/>
  <c r="C12057" i="1"/>
  <c r="D12057" i="1"/>
  <c r="E12057" i="1"/>
  <c r="F12057" i="1"/>
  <c r="G12057" i="1"/>
  <c r="H12057" i="1"/>
  <c r="A12058" i="1"/>
  <c r="B12058" i="1"/>
  <c r="C12058" i="1"/>
  <c r="D12058" i="1"/>
  <c r="E12058" i="1"/>
  <c r="F12058" i="1"/>
  <c r="G12058" i="1"/>
  <c r="H12058" i="1"/>
  <c r="A12059" i="1"/>
  <c r="B12059" i="1"/>
  <c r="C12059" i="1"/>
  <c r="D12059" i="1"/>
  <c r="E12059" i="1"/>
  <c r="F12059" i="1"/>
  <c r="G12059" i="1"/>
  <c r="H12059" i="1"/>
  <c r="A12060" i="1"/>
  <c r="B12060" i="1"/>
  <c r="C12060" i="1"/>
  <c r="D12060" i="1"/>
  <c r="E12060" i="1"/>
  <c r="F12060" i="1"/>
  <c r="G12060" i="1"/>
  <c r="H12060" i="1"/>
  <c r="A12061" i="1"/>
  <c r="B12061" i="1"/>
  <c r="C12061" i="1"/>
  <c r="D12061" i="1"/>
  <c r="E12061" i="1"/>
  <c r="F12061" i="1"/>
  <c r="G12061" i="1"/>
  <c r="H12061" i="1"/>
  <c r="A12062" i="1"/>
  <c r="B12062" i="1"/>
  <c r="C12062" i="1"/>
  <c r="D12062" i="1"/>
  <c r="E12062" i="1"/>
  <c r="F12062" i="1"/>
  <c r="G12062" i="1"/>
  <c r="H12062" i="1"/>
  <c r="A12063" i="1"/>
  <c r="B12063" i="1"/>
  <c r="C12063" i="1"/>
  <c r="D12063" i="1"/>
  <c r="E12063" i="1"/>
  <c r="F12063" i="1"/>
  <c r="G12063" i="1"/>
  <c r="H12063" i="1"/>
  <c r="A12064" i="1"/>
  <c r="B12064" i="1"/>
  <c r="C12064" i="1"/>
  <c r="D12064" i="1"/>
  <c r="E12064" i="1"/>
  <c r="F12064" i="1"/>
  <c r="G12064" i="1"/>
  <c r="H12064" i="1"/>
  <c r="A12065" i="1"/>
  <c r="B12065" i="1"/>
  <c r="C12065" i="1"/>
  <c r="D12065" i="1"/>
  <c r="E12065" i="1"/>
  <c r="F12065" i="1"/>
  <c r="G12065" i="1"/>
  <c r="H12065" i="1"/>
  <c r="A12066" i="1"/>
  <c r="B12066" i="1"/>
  <c r="C12066" i="1"/>
  <c r="D12066" i="1"/>
  <c r="E12066" i="1"/>
  <c r="F12066" i="1"/>
  <c r="G12066" i="1"/>
  <c r="H12066" i="1"/>
  <c r="A12067" i="1"/>
  <c r="B12067" i="1"/>
  <c r="C12067" i="1"/>
  <c r="D12067" i="1"/>
  <c r="E12067" i="1"/>
  <c r="F12067" i="1"/>
  <c r="G12067" i="1"/>
  <c r="H12067" i="1"/>
  <c r="A12068" i="1"/>
  <c r="B12068" i="1"/>
  <c r="C12068" i="1"/>
  <c r="D12068" i="1"/>
  <c r="E12068" i="1"/>
  <c r="F12068" i="1"/>
  <c r="G12068" i="1"/>
  <c r="H12068" i="1"/>
  <c r="A12069" i="1"/>
  <c r="B12069" i="1"/>
  <c r="C12069" i="1"/>
  <c r="D12069" i="1"/>
  <c r="E12069" i="1"/>
  <c r="F12069" i="1"/>
  <c r="G12069" i="1"/>
  <c r="H12069" i="1"/>
  <c r="A12070" i="1"/>
  <c r="B12070" i="1"/>
  <c r="C12070" i="1"/>
  <c r="D12070" i="1"/>
  <c r="E12070" i="1"/>
  <c r="F12070" i="1"/>
  <c r="G12070" i="1"/>
  <c r="H12070" i="1"/>
  <c r="A12071" i="1"/>
  <c r="B12071" i="1"/>
  <c r="C12071" i="1"/>
  <c r="D12071" i="1"/>
  <c r="E12071" i="1"/>
  <c r="F12071" i="1"/>
  <c r="G12071" i="1"/>
  <c r="H12071" i="1"/>
  <c r="A12072" i="1"/>
  <c r="B12072" i="1"/>
  <c r="C12072" i="1"/>
  <c r="D12072" i="1"/>
  <c r="E12072" i="1"/>
  <c r="F12072" i="1"/>
  <c r="G12072" i="1"/>
  <c r="H12072" i="1"/>
  <c r="A12073" i="1"/>
  <c r="B12073" i="1"/>
  <c r="C12073" i="1"/>
  <c r="D12073" i="1"/>
  <c r="E12073" i="1"/>
  <c r="F12073" i="1"/>
  <c r="G12073" i="1"/>
  <c r="H12073" i="1"/>
  <c r="A12074" i="1"/>
  <c r="B12074" i="1"/>
  <c r="C12074" i="1"/>
  <c r="D12074" i="1"/>
  <c r="E12074" i="1"/>
  <c r="F12074" i="1"/>
  <c r="G12074" i="1"/>
  <c r="H12074" i="1"/>
  <c r="A12075" i="1"/>
  <c r="B12075" i="1"/>
  <c r="C12075" i="1"/>
  <c r="D12075" i="1"/>
  <c r="E12075" i="1"/>
  <c r="F12075" i="1"/>
  <c r="G12075" i="1"/>
  <c r="H12075" i="1"/>
  <c r="A12076" i="1"/>
  <c r="B12076" i="1"/>
  <c r="C12076" i="1"/>
  <c r="D12076" i="1"/>
  <c r="E12076" i="1"/>
  <c r="F12076" i="1"/>
  <c r="G12076" i="1"/>
  <c r="H12076" i="1"/>
  <c r="A12077" i="1"/>
  <c r="B12077" i="1"/>
  <c r="C12077" i="1"/>
  <c r="D12077" i="1"/>
  <c r="E12077" i="1"/>
  <c r="F12077" i="1"/>
  <c r="G12077" i="1"/>
  <c r="H12077" i="1"/>
  <c r="A12078" i="1"/>
  <c r="B12078" i="1"/>
  <c r="C12078" i="1"/>
  <c r="D12078" i="1"/>
  <c r="E12078" i="1"/>
  <c r="F12078" i="1"/>
  <c r="G12078" i="1"/>
  <c r="H12078" i="1"/>
  <c r="A12079" i="1"/>
  <c r="B12079" i="1"/>
  <c r="C12079" i="1"/>
  <c r="D12079" i="1"/>
  <c r="E12079" i="1"/>
  <c r="F12079" i="1"/>
  <c r="G12079" i="1"/>
  <c r="H12079" i="1"/>
  <c r="A12080" i="1"/>
  <c r="B12080" i="1"/>
  <c r="C12080" i="1"/>
  <c r="D12080" i="1"/>
  <c r="E12080" i="1"/>
  <c r="F12080" i="1"/>
  <c r="G12080" i="1"/>
  <c r="H12080" i="1"/>
  <c r="A12081" i="1"/>
  <c r="B12081" i="1"/>
  <c r="C12081" i="1"/>
  <c r="D12081" i="1"/>
  <c r="E12081" i="1"/>
  <c r="F12081" i="1"/>
  <c r="G12081" i="1"/>
  <c r="H12081" i="1"/>
  <c r="A12082" i="1"/>
  <c r="B12082" i="1"/>
  <c r="C12082" i="1"/>
  <c r="D12082" i="1"/>
  <c r="E12082" i="1"/>
  <c r="F12082" i="1"/>
  <c r="G12082" i="1"/>
  <c r="H12082" i="1"/>
  <c r="A12083" i="1"/>
  <c r="B12083" i="1"/>
  <c r="C12083" i="1"/>
  <c r="D12083" i="1"/>
  <c r="E12083" i="1"/>
  <c r="F12083" i="1"/>
  <c r="G12083" i="1"/>
  <c r="H12083" i="1"/>
  <c r="A12084" i="1"/>
  <c r="B12084" i="1"/>
  <c r="C12084" i="1"/>
  <c r="D12084" i="1"/>
  <c r="E12084" i="1"/>
  <c r="F12084" i="1"/>
  <c r="G12084" i="1"/>
  <c r="H12084" i="1"/>
  <c r="A12085" i="1"/>
  <c r="B12085" i="1"/>
  <c r="C12085" i="1"/>
  <c r="D12085" i="1"/>
  <c r="E12085" i="1"/>
  <c r="F12085" i="1"/>
  <c r="G12085" i="1"/>
  <c r="H12085" i="1"/>
  <c r="A12086" i="1"/>
  <c r="B12086" i="1"/>
  <c r="C12086" i="1"/>
  <c r="D12086" i="1"/>
  <c r="E12086" i="1"/>
  <c r="F12086" i="1"/>
  <c r="G12086" i="1"/>
  <c r="H12086" i="1"/>
  <c r="A12087" i="1"/>
  <c r="B12087" i="1"/>
  <c r="C12087" i="1"/>
  <c r="D12087" i="1"/>
  <c r="E12087" i="1"/>
  <c r="F12087" i="1"/>
  <c r="G12087" i="1"/>
  <c r="H12087" i="1"/>
  <c r="A12088" i="1"/>
  <c r="B12088" i="1"/>
  <c r="C12088" i="1"/>
  <c r="D12088" i="1"/>
  <c r="E12088" i="1"/>
  <c r="F12088" i="1"/>
  <c r="G12088" i="1"/>
  <c r="H12088" i="1"/>
  <c r="A12089" i="1"/>
  <c r="B12089" i="1"/>
  <c r="C12089" i="1"/>
  <c r="D12089" i="1"/>
  <c r="E12089" i="1"/>
  <c r="F12089" i="1"/>
  <c r="G12089" i="1"/>
  <c r="H12089" i="1"/>
  <c r="A12090" i="1"/>
  <c r="B12090" i="1"/>
  <c r="C12090" i="1"/>
  <c r="D12090" i="1"/>
  <c r="E12090" i="1"/>
  <c r="F12090" i="1"/>
  <c r="G12090" i="1"/>
  <c r="H12090" i="1"/>
  <c r="A12091" i="1"/>
  <c r="B12091" i="1"/>
  <c r="C12091" i="1"/>
  <c r="D12091" i="1"/>
  <c r="E12091" i="1"/>
  <c r="F12091" i="1"/>
  <c r="G12091" i="1"/>
  <c r="H12091" i="1"/>
  <c r="A12092" i="1"/>
  <c r="B12092" i="1"/>
  <c r="C12092" i="1"/>
  <c r="D12092" i="1"/>
  <c r="E12092" i="1"/>
  <c r="F12092" i="1"/>
  <c r="G12092" i="1"/>
  <c r="H12092" i="1"/>
  <c r="A12093" i="1"/>
  <c r="B12093" i="1"/>
  <c r="C12093" i="1"/>
  <c r="D12093" i="1"/>
  <c r="E12093" i="1"/>
  <c r="F12093" i="1"/>
  <c r="G12093" i="1"/>
  <c r="H12093" i="1"/>
  <c r="A12094" i="1"/>
  <c r="B12094" i="1"/>
  <c r="C12094" i="1"/>
  <c r="D12094" i="1"/>
  <c r="E12094" i="1"/>
  <c r="F12094" i="1"/>
  <c r="G12094" i="1"/>
  <c r="H12094" i="1"/>
  <c r="A12095" i="1"/>
  <c r="B12095" i="1"/>
  <c r="C12095" i="1"/>
  <c r="D12095" i="1"/>
  <c r="E12095" i="1"/>
  <c r="F12095" i="1"/>
  <c r="G12095" i="1"/>
  <c r="H12095" i="1"/>
  <c r="A12096" i="1"/>
  <c r="B12096" i="1"/>
  <c r="C12096" i="1"/>
  <c r="D12096" i="1"/>
  <c r="E12096" i="1"/>
  <c r="F12096" i="1"/>
  <c r="G12096" i="1"/>
  <c r="H12096" i="1"/>
  <c r="A12097" i="1"/>
  <c r="B12097" i="1"/>
  <c r="C12097" i="1"/>
  <c r="D12097" i="1"/>
  <c r="E12097" i="1"/>
  <c r="F12097" i="1"/>
  <c r="G12097" i="1"/>
  <c r="H12097" i="1"/>
  <c r="A12098" i="1"/>
  <c r="B12098" i="1"/>
  <c r="C12098" i="1"/>
  <c r="D12098" i="1"/>
  <c r="E12098" i="1"/>
  <c r="F12098" i="1"/>
  <c r="G12098" i="1"/>
  <c r="H12098" i="1"/>
  <c r="A12099" i="1"/>
  <c r="B12099" i="1"/>
  <c r="C12099" i="1"/>
  <c r="D12099" i="1"/>
  <c r="E12099" i="1"/>
  <c r="F12099" i="1"/>
  <c r="G12099" i="1"/>
  <c r="H12099" i="1"/>
  <c r="A12100" i="1"/>
  <c r="B12100" i="1"/>
  <c r="C12100" i="1"/>
  <c r="D12100" i="1"/>
  <c r="E12100" i="1"/>
  <c r="F12100" i="1"/>
  <c r="G12100" i="1"/>
  <c r="H12100" i="1"/>
  <c r="A12101" i="1"/>
  <c r="B12101" i="1"/>
  <c r="C12101" i="1"/>
  <c r="D12101" i="1"/>
  <c r="E12101" i="1"/>
  <c r="F12101" i="1"/>
  <c r="G12101" i="1"/>
  <c r="H12101" i="1"/>
  <c r="A12102" i="1"/>
  <c r="B12102" i="1"/>
  <c r="C12102" i="1"/>
  <c r="D12102" i="1"/>
  <c r="E12102" i="1"/>
  <c r="F12102" i="1"/>
  <c r="G12102" i="1"/>
  <c r="H12102" i="1"/>
  <c r="A12103" i="1"/>
  <c r="B12103" i="1"/>
  <c r="C12103" i="1"/>
  <c r="D12103" i="1"/>
  <c r="E12103" i="1"/>
  <c r="F12103" i="1"/>
  <c r="G12103" i="1"/>
  <c r="H12103" i="1"/>
  <c r="A12104" i="1"/>
  <c r="B12104" i="1"/>
  <c r="C12104" i="1"/>
  <c r="D12104" i="1"/>
  <c r="E12104" i="1"/>
  <c r="F12104" i="1"/>
  <c r="G12104" i="1"/>
  <c r="H12104" i="1"/>
  <c r="A12105" i="1"/>
  <c r="B12105" i="1"/>
  <c r="C12105" i="1"/>
  <c r="D12105" i="1"/>
  <c r="E12105" i="1"/>
  <c r="F12105" i="1"/>
  <c r="G12105" i="1"/>
  <c r="H12105" i="1"/>
  <c r="A12106" i="1"/>
  <c r="B12106" i="1"/>
  <c r="C12106" i="1"/>
  <c r="D12106" i="1"/>
  <c r="E12106" i="1"/>
  <c r="F12106" i="1"/>
  <c r="G12106" i="1"/>
  <c r="H12106" i="1"/>
  <c r="A12107" i="1"/>
  <c r="B12107" i="1"/>
  <c r="C12107" i="1"/>
  <c r="D12107" i="1"/>
  <c r="E12107" i="1"/>
  <c r="F12107" i="1"/>
  <c r="G12107" i="1"/>
  <c r="H12107" i="1"/>
  <c r="A12108" i="1"/>
  <c r="B12108" i="1"/>
  <c r="C12108" i="1"/>
  <c r="D12108" i="1"/>
  <c r="E12108" i="1"/>
  <c r="F12108" i="1"/>
  <c r="G12108" i="1"/>
  <c r="H12108" i="1"/>
  <c r="A12109" i="1"/>
  <c r="B12109" i="1"/>
  <c r="C12109" i="1"/>
  <c r="D12109" i="1"/>
  <c r="E12109" i="1"/>
  <c r="F12109" i="1"/>
  <c r="G12109" i="1"/>
  <c r="H12109" i="1"/>
  <c r="A12110" i="1"/>
  <c r="B12110" i="1"/>
  <c r="C12110" i="1"/>
  <c r="D12110" i="1"/>
  <c r="E12110" i="1"/>
  <c r="F12110" i="1"/>
  <c r="G12110" i="1"/>
  <c r="H12110" i="1"/>
  <c r="A12111" i="1"/>
  <c r="B12111" i="1"/>
  <c r="C12111" i="1"/>
  <c r="D12111" i="1"/>
  <c r="E12111" i="1"/>
  <c r="F12111" i="1"/>
  <c r="G12111" i="1"/>
  <c r="H12111" i="1"/>
  <c r="A12112" i="1"/>
  <c r="B12112" i="1"/>
  <c r="C12112" i="1"/>
  <c r="D12112" i="1"/>
  <c r="E12112" i="1"/>
  <c r="F12112" i="1"/>
  <c r="G12112" i="1"/>
  <c r="H12112" i="1"/>
  <c r="A12113" i="1"/>
  <c r="B12113" i="1"/>
  <c r="C12113" i="1"/>
  <c r="D12113" i="1"/>
  <c r="E12113" i="1"/>
  <c r="F12113" i="1"/>
  <c r="G12113" i="1"/>
  <c r="H12113" i="1"/>
  <c r="A12114" i="1"/>
  <c r="B12114" i="1"/>
  <c r="C12114" i="1"/>
  <c r="D12114" i="1"/>
  <c r="E12114" i="1"/>
  <c r="F12114" i="1"/>
  <c r="G12114" i="1"/>
  <c r="H12114" i="1"/>
  <c r="A12115" i="1"/>
  <c r="B12115" i="1"/>
  <c r="C12115" i="1"/>
  <c r="D12115" i="1"/>
  <c r="E12115" i="1"/>
  <c r="F12115" i="1"/>
  <c r="G12115" i="1"/>
  <c r="H12115" i="1"/>
  <c r="A12116" i="1"/>
  <c r="B12116" i="1"/>
  <c r="C12116" i="1"/>
  <c r="D12116" i="1"/>
  <c r="E12116" i="1"/>
  <c r="F12116" i="1"/>
  <c r="G12116" i="1"/>
  <c r="H12116" i="1"/>
  <c r="A12117" i="1"/>
  <c r="B12117" i="1"/>
  <c r="C12117" i="1"/>
  <c r="D12117" i="1"/>
  <c r="E12117" i="1"/>
  <c r="F12117" i="1"/>
  <c r="G12117" i="1"/>
  <c r="H12117" i="1"/>
  <c r="A12118" i="1"/>
  <c r="B12118" i="1"/>
  <c r="C12118" i="1"/>
  <c r="D12118" i="1"/>
  <c r="E12118" i="1"/>
  <c r="F12118" i="1"/>
  <c r="G12118" i="1"/>
  <c r="H12118" i="1"/>
  <c r="A12119" i="1"/>
  <c r="B12119" i="1"/>
  <c r="C12119" i="1"/>
  <c r="D12119" i="1"/>
  <c r="E12119" i="1"/>
  <c r="F12119" i="1"/>
  <c r="G12119" i="1"/>
  <c r="H12119" i="1"/>
  <c r="A12120" i="1"/>
  <c r="B12120" i="1"/>
  <c r="C12120" i="1"/>
  <c r="D12120" i="1"/>
  <c r="E12120" i="1"/>
  <c r="F12120" i="1"/>
  <c r="G12120" i="1"/>
  <c r="H12120" i="1"/>
  <c r="A12121" i="1"/>
  <c r="B12121" i="1"/>
  <c r="C12121" i="1"/>
  <c r="D12121" i="1"/>
  <c r="E12121" i="1"/>
  <c r="F12121" i="1"/>
  <c r="G12121" i="1"/>
  <c r="H12121" i="1"/>
  <c r="A12122" i="1"/>
  <c r="B12122" i="1"/>
  <c r="C12122" i="1"/>
  <c r="D12122" i="1"/>
  <c r="E12122" i="1"/>
  <c r="F12122" i="1"/>
  <c r="G12122" i="1"/>
  <c r="H12122" i="1"/>
  <c r="A12123" i="1"/>
  <c r="B12123" i="1"/>
  <c r="C12123" i="1"/>
  <c r="D12123" i="1"/>
  <c r="E12123" i="1"/>
  <c r="F12123" i="1"/>
  <c r="G12123" i="1"/>
  <c r="H12123" i="1"/>
  <c r="A12124" i="1"/>
  <c r="B12124" i="1"/>
  <c r="C12124" i="1"/>
  <c r="D12124" i="1"/>
  <c r="E12124" i="1"/>
  <c r="F12124" i="1"/>
  <c r="G12124" i="1"/>
  <c r="H12124" i="1"/>
  <c r="A12125" i="1"/>
  <c r="B12125" i="1"/>
  <c r="C12125" i="1"/>
  <c r="D12125" i="1"/>
  <c r="E12125" i="1"/>
  <c r="F12125" i="1"/>
  <c r="G12125" i="1"/>
  <c r="H12125" i="1"/>
  <c r="A12126" i="1"/>
  <c r="B12126" i="1"/>
  <c r="C12126" i="1"/>
  <c r="D12126" i="1"/>
  <c r="E12126" i="1"/>
  <c r="F12126" i="1"/>
  <c r="G12126" i="1"/>
  <c r="H12126" i="1"/>
  <c r="A12127" i="1"/>
  <c r="B12127" i="1"/>
  <c r="C12127" i="1"/>
  <c r="D12127" i="1"/>
  <c r="E12127" i="1"/>
  <c r="F12127" i="1"/>
  <c r="G12127" i="1"/>
  <c r="H12127" i="1"/>
  <c r="A12128" i="1"/>
  <c r="B12128" i="1"/>
  <c r="C12128" i="1"/>
  <c r="D12128" i="1"/>
  <c r="E12128" i="1"/>
  <c r="F12128" i="1"/>
  <c r="G12128" i="1"/>
  <c r="H12128" i="1"/>
  <c r="A12129" i="1"/>
  <c r="B12129" i="1"/>
  <c r="C12129" i="1"/>
  <c r="D12129" i="1"/>
  <c r="E12129" i="1"/>
  <c r="F12129" i="1"/>
  <c r="G12129" i="1"/>
  <c r="H12129" i="1"/>
  <c r="A12130" i="1"/>
  <c r="B12130" i="1"/>
  <c r="C12130" i="1"/>
  <c r="D12130" i="1"/>
  <c r="E12130" i="1"/>
  <c r="F12130" i="1"/>
  <c r="G12130" i="1"/>
  <c r="H12130" i="1"/>
  <c r="A12131" i="1"/>
  <c r="B12131" i="1"/>
  <c r="C12131" i="1"/>
  <c r="D12131" i="1"/>
  <c r="E12131" i="1"/>
  <c r="F12131" i="1"/>
  <c r="G12131" i="1"/>
  <c r="H12131" i="1"/>
  <c r="A12132" i="1"/>
  <c r="B12132" i="1"/>
  <c r="C12132" i="1"/>
  <c r="D12132" i="1"/>
  <c r="E12132" i="1"/>
  <c r="F12132" i="1"/>
  <c r="G12132" i="1"/>
  <c r="H12132" i="1"/>
  <c r="A12133" i="1"/>
  <c r="B12133" i="1"/>
  <c r="C12133" i="1"/>
  <c r="D12133" i="1"/>
  <c r="E12133" i="1"/>
  <c r="F12133" i="1"/>
  <c r="G12133" i="1"/>
  <c r="H12133" i="1"/>
  <c r="A12134" i="1"/>
  <c r="B12134" i="1"/>
  <c r="C12134" i="1"/>
  <c r="D12134" i="1"/>
  <c r="E12134" i="1"/>
  <c r="F12134" i="1"/>
  <c r="G12134" i="1"/>
  <c r="H12134" i="1"/>
  <c r="A12135" i="1"/>
  <c r="B12135" i="1"/>
  <c r="C12135" i="1"/>
  <c r="D12135" i="1"/>
  <c r="E12135" i="1"/>
  <c r="F12135" i="1"/>
  <c r="G12135" i="1"/>
  <c r="H12135" i="1"/>
  <c r="A12136" i="1"/>
  <c r="B12136" i="1"/>
  <c r="C12136" i="1"/>
  <c r="D12136" i="1"/>
  <c r="E12136" i="1"/>
  <c r="F12136" i="1"/>
  <c r="G12136" i="1"/>
  <c r="H12136" i="1"/>
  <c r="A12137" i="1"/>
  <c r="B12137" i="1"/>
  <c r="C12137" i="1"/>
  <c r="D12137" i="1"/>
  <c r="E12137" i="1"/>
  <c r="F12137" i="1"/>
  <c r="G12137" i="1"/>
  <c r="H12137" i="1"/>
  <c r="A12138" i="1"/>
  <c r="B12138" i="1"/>
  <c r="C12138" i="1"/>
  <c r="D12138" i="1"/>
  <c r="E12138" i="1"/>
  <c r="F12138" i="1"/>
  <c r="G12138" i="1"/>
  <c r="H12138" i="1"/>
  <c r="A12139" i="1"/>
  <c r="B12139" i="1"/>
  <c r="C12139" i="1"/>
  <c r="D12139" i="1"/>
  <c r="E12139" i="1"/>
  <c r="F12139" i="1"/>
  <c r="G12139" i="1"/>
  <c r="H12139" i="1"/>
  <c r="A12140" i="1"/>
  <c r="B12140" i="1"/>
  <c r="C12140" i="1"/>
  <c r="D12140" i="1"/>
  <c r="E12140" i="1"/>
  <c r="F12140" i="1"/>
  <c r="G12140" i="1"/>
  <c r="H12140" i="1"/>
  <c r="A12141" i="1"/>
  <c r="B12141" i="1"/>
  <c r="C12141" i="1"/>
  <c r="D12141" i="1"/>
  <c r="E12141" i="1"/>
  <c r="F12141" i="1"/>
  <c r="G12141" i="1"/>
  <c r="H12141" i="1"/>
  <c r="A12142" i="1"/>
  <c r="B12142" i="1"/>
  <c r="C12142" i="1"/>
  <c r="D12142" i="1"/>
  <c r="E12142" i="1"/>
  <c r="F12142" i="1"/>
  <c r="G12142" i="1"/>
  <c r="H12142" i="1"/>
  <c r="A12143" i="1"/>
  <c r="B12143" i="1"/>
  <c r="C12143" i="1"/>
  <c r="D12143" i="1"/>
  <c r="E12143" i="1"/>
  <c r="F12143" i="1"/>
  <c r="G12143" i="1"/>
  <c r="H12143" i="1"/>
  <c r="A12144" i="1"/>
  <c r="B12144" i="1"/>
  <c r="C12144" i="1"/>
  <c r="D12144" i="1"/>
  <c r="E12144" i="1"/>
  <c r="F12144" i="1"/>
  <c r="G12144" i="1"/>
  <c r="H12144" i="1"/>
  <c r="A12145" i="1"/>
  <c r="B12145" i="1"/>
  <c r="C12145" i="1"/>
  <c r="D12145" i="1"/>
  <c r="E12145" i="1"/>
  <c r="F12145" i="1"/>
  <c r="G12145" i="1"/>
  <c r="H12145" i="1"/>
  <c r="A12146" i="1"/>
  <c r="B12146" i="1"/>
  <c r="C12146" i="1"/>
  <c r="D12146" i="1"/>
  <c r="E12146" i="1"/>
  <c r="F12146" i="1"/>
  <c r="G12146" i="1"/>
  <c r="H12146" i="1"/>
  <c r="A12147" i="1"/>
  <c r="B12147" i="1"/>
  <c r="C12147" i="1"/>
  <c r="D12147" i="1"/>
  <c r="E12147" i="1"/>
  <c r="F12147" i="1"/>
  <c r="G12147" i="1"/>
  <c r="H12147" i="1"/>
  <c r="A12148" i="1"/>
  <c r="B12148" i="1"/>
  <c r="C12148" i="1"/>
  <c r="D12148" i="1"/>
  <c r="E12148" i="1"/>
  <c r="F12148" i="1"/>
  <c r="G12148" i="1"/>
  <c r="H12148" i="1"/>
  <c r="A12149" i="1"/>
  <c r="B12149" i="1"/>
  <c r="C12149" i="1"/>
  <c r="D12149" i="1"/>
  <c r="E12149" i="1"/>
  <c r="F12149" i="1"/>
  <c r="G12149" i="1"/>
  <c r="H12149" i="1"/>
  <c r="A12150" i="1"/>
  <c r="B12150" i="1"/>
  <c r="C12150" i="1"/>
  <c r="D12150" i="1"/>
  <c r="E12150" i="1"/>
  <c r="F12150" i="1"/>
  <c r="G12150" i="1"/>
  <c r="H12150" i="1"/>
  <c r="A12151" i="1"/>
  <c r="B12151" i="1"/>
  <c r="C12151" i="1"/>
  <c r="D12151" i="1"/>
  <c r="E12151" i="1"/>
  <c r="F12151" i="1"/>
  <c r="G12151" i="1"/>
  <c r="H12151" i="1"/>
  <c r="A12152" i="1"/>
  <c r="B12152" i="1"/>
  <c r="C12152" i="1"/>
  <c r="D12152" i="1"/>
  <c r="E12152" i="1"/>
  <c r="F12152" i="1"/>
  <c r="G12152" i="1"/>
  <c r="H12152" i="1"/>
  <c r="A12153" i="1"/>
  <c r="B12153" i="1"/>
  <c r="C12153" i="1"/>
  <c r="D12153" i="1"/>
  <c r="E12153" i="1"/>
  <c r="F12153" i="1"/>
  <c r="G12153" i="1"/>
  <c r="H12153" i="1"/>
  <c r="A12154" i="1"/>
  <c r="B12154" i="1"/>
  <c r="C12154" i="1"/>
  <c r="D12154" i="1"/>
  <c r="E12154" i="1"/>
  <c r="F12154" i="1"/>
  <c r="G12154" i="1"/>
  <c r="H12154" i="1"/>
  <c r="A12155" i="1"/>
  <c r="B12155" i="1"/>
  <c r="C12155" i="1"/>
  <c r="D12155" i="1"/>
  <c r="E12155" i="1"/>
  <c r="F12155" i="1"/>
  <c r="G12155" i="1"/>
  <c r="H12155" i="1"/>
  <c r="A12156" i="1"/>
  <c r="B12156" i="1"/>
  <c r="C12156" i="1"/>
  <c r="D12156" i="1"/>
  <c r="E12156" i="1"/>
  <c r="F12156" i="1"/>
  <c r="G12156" i="1"/>
  <c r="H12156" i="1"/>
  <c r="A12157" i="1"/>
  <c r="B12157" i="1"/>
  <c r="C12157" i="1"/>
  <c r="D12157" i="1"/>
  <c r="E12157" i="1"/>
  <c r="F12157" i="1"/>
  <c r="G12157" i="1"/>
  <c r="H12157" i="1"/>
  <c r="A12158" i="1"/>
  <c r="B12158" i="1"/>
  <c r="C12158" i="1"/>
  <c r="D12158" i="1"/>
  <c r="E12158" i="1"/>
  <c r="F12158" i="1"/>
  <c r="G12158" i="1"/>
  <c r="H12158" i="1"/>
  <c r="A12159" i="1"/>
  <c r="B12159" i="1"/>
  <c r="C12159" i="1"/>
  <c r="D12159" i="1"/>
  <c r="E12159" i="1"/>
  <c r="F12159" i="1"/>
  <c r="G12159" i="1"/>
  <c r="H12159" i="1"/>
  <c r="A12160" i="1"/>
  <c r="B12160" i="1"/>
  <c r="C12160" i="1"/>
  <c r="D12160" i="1"/>
  <c r="E12160" i="1"/>
  <c r="F12160" i="1"/>
  <c r="G12160" i="1"/>
  <c r="H12160" i="1"/>
  <c r="A12161" i="1"/>
  <c r="B12161" i="1"/>
  <c r="C12161" i="1"/>
  <c r="D12161" i="1"/>
  <c r="E12161" i="1"/>
  <c r="F12161" i="1"/>
  <c r="G12161" i="1"/>
  <c r="H12161" i="1"/>
  <c r="A12162" i="1"/>
  <c r="B12162" i="1"/>
  <c r="C12162" i="1"/>
  <c r="D12162" i="1"/>
  <c r="E12162" i="1"/>
  <c r="F12162" i="1"/>
  <c r="G12162" i="1"/>
  <c r="H12162" i="1"/>
  <c r="A12163" i="1"/>
  <c r="B12163" i="1"/>
  <c r="C12163" i="1"/>
  <c r="D12163" i="1"/>
  <c r="E12163" i="1"/>
  <c r="F12163" i="1"/>
  <c r="G12163" i="1"/>
  <c r="H12163" i="1"/>
  <c r="A12164" i="1"/>
  <c r="B12164" i="1"/>
  <c r="C12164" i="1"/>
  <c r="D12164" i="1"/>
  <c r="E12164" i="1"/>
  <c r="F12164" i="1"/>
  <c r="G12164" i="1"/>
  <c r="H12164" i="1"/>
  <c r="A12165" i="1"/>
  <c r="B12165" i="1"/>
  <c r="C12165" i="1"/>
  <c r="D12165" i="1"/>
  <c r="E12165" i="1"/>
  <c r="F12165" i="1"/>
  <c r="G12165" i="1"/>
  <c r="H12165" i="1"/>
  <c r="A12166" i="1"/>
  <c r="B12166" i="1"/>
  <c r="C12166" i="1"/>
  <c r="D12166" i="1"/>
  <c r="E12166" i="1"/>
  <c r="F12166" i="1"/>
  <c r="G12166" i="1"/>
  <c r="H12166" i="1"/>
  <c r="A12167" i="1"/>
  <c r="B12167" i="1"/>
  <c r="C12167" i="1"/>
  <c r="D12167" i="1"/>
  <c r="E12167" i="1"/>
  <c r="F12167" i="1"/>
  <c r="G12167" i="1"/>
  <c r="H12167" i="1"/>
  <c r="A12168" i="1"/>
  <c r="B12168" i="1"/>
  <c r="C12168" i="1"/>
  <c r="D12168" i="1"/>
  <c r="E12168" i="1"/>
  <c r="F12168" i="1"/>
  <c r="G12168" i="1"/>
  <c r="H12168" i="1"/>
  <c r="A12169" i="1"/>
  <c r="B12169" i="1"/>
  <c r="C12169" i="1"/>
  <c r="D12169" i="1"/>
  <c r="E12169" i="1"/>
  <c r="F12169" i="1"/>
  <c r="G12169" i="1"/>
  <c r="H12169" i="1"/>
  <c r="A12170" i="1"/>
  <c r="B12170" i="1"/>
  <c r="C12170" i="1"/>
  <c r="D12170" i="1"/>
  <c r="E12170" i="1"/>
  <c r="F12170" i="1"/>
  <c r="G12170" i="1"/>
  <c r="H12170" i="1"/>
  <c r="A12171" i="1"/>
  <c r="B12171" i="1"/>
  <c r="C12171" i="1"/>
  <c r="D12171" i="1"/>
  <c r="E12171" i="1"/>
  <c r="F12171" i="1"/>
  <c r="G12171" i="1"/>
  <c r="H12171" i="1"/>
  <c r="A12172" i="1"/>
  <c r="B12172" i="1"/>
  <c r="C12172" i="1"/>
  <c r="D12172" i="1"/>
  <c r="E12172" i="1"/>
  <c r="F12172" i="1"/>
  <c r="G12172" i="1"/>
  <c r="H12172" i="1"/>
  <c r="A12173" i="1"/>
  <c r="B12173" i="1"/>
  <c r="C12173" i="1"/>
  <c r="D12173" i="1"/>
  <c r="E12173" i="1"/>
  <c r="F12173" i="1"/>
  <c r="G12173" i="1"/>
  <c r="H12173" i="1"/>
  <c r="A12174" i="1"/>
  <c r="B12174" i="1"/>
  <c r="C12174" i="1"/>
  <c r="D12174" i="1"/>
  <c r="E12174" i="1"/>
  <c r="F12174" i="1"/>
  <c r="G12174" i="1"/>
  <c r="H12174" i="1"/>
  <c r="A12175" i="1"/>
  <c r="B12175" i="1"/>
  <c r="C12175" i="1"/>
  <c r="D12175" i="1"/>
  <c r="E12175" i="1"/>
  <c r="F12175" i="1"/>
  <c r="G12175" i="1"/>
  <c r="H12175" i="1"/>
  <c r="A12176" i="1"/>
  <c r="B12176" i="1"/>
  <c r="C12176" i="1"/>
  <c r="D12176" i="1"/>
  <c r="E12176" i="1"/>
  <c r="F12176" i="1"/>
  <c r="G12176" i="1"/>
  <c r="H12176" i="1"/>
  <c r="A12177" i="1"/>
  <c r="B12177" i="1"/>
  <c r="C12177" i="1"/>
  <c r="D12177" i="1"/>
  <c r="E12177" i="1"/>
  <c r="F12177" i="1"/>
  <c r="G12177" i="1"/>
  <c r="H12177" i="1"/>
  <c r="A12178" i="1"/>
  <c r="B12178" i="1"/>
  <c r="C12178" i="1"/>
  <c r="D12178" i="1"/>
  <c r="E12178" i="1"/>
  <c r="F12178" i="1"/>
  <c r="G12178" i="1"/>
  <c r="H12178" i="1"/>
  <c r="A12179" i="1"/>
  <c r="B12179" i="1"/>
  <c r="C12179" i="1"/>
  <c r="D12179" i="1"/>
  <c r="E12179" i="1"/>
  <c r="F12179" i="1"/>
  <c r="G12179" i="1"/>
  <c r="H12179" i="1"/>
  <c r="A12180" i="1"/>
  <c r="B12180" i="1"/>
  <c r="C12180" i="1"/>
  <c r="D12180" i="1"/>
  <c r="E12180" i="1"/>
  <c r="F12180" i="1"/>
  <c r="G12180" i="1"/>
  <c r="H12180" i="1"/>
  <c r="A12181" i="1"/>
  <c r="B12181" i="1"/>
  <c r="C12181" i="1"/>
  <c r="D12181" i="1"/>
  <c r="E12181" i="1"/>
  <c r="F12181" i="1"/>
  <c r="G12181" i="1"/>
  <c r="H12181" i="1"/>
  <c r="A12182" i="1"/>
  <c r="B12182" i="1"/>
  <c r="C12182" i="1"/>
  <c r="D12182" i="1"/>
  <c r="E12182" i="1"/>
  <c r="F12182" i="1"/>
  <c r="G12182" i="1"/>
  <c r="H12182" i="1"/>
  <c r="A12183" i="1"/>
  <c r="B12183" i="1"/>
  <c r="C12183" i="1"/>
  <c r="D12183" i="1"/>
  <c r="E12183" i="1"/>
  <c r="F12183" i="1"/>
  <c r="G12183" i="1"/>
  <c r="H12183" i="1"/>
  <c r="A12184" i="1"/>
  <c r="B12184" i="1"/>
  <c r="C12184" i="1"/>
  <c r="D12184" i="1"/>
  <c r="E12184" i="1"/>
  <c r="F12184" i="1"/>
  <c r="G12184" i="1"/>
  <c r="H12184" i="1"/>
  <c r="A12185" i="1"/>
  <c r="B12185" i="1"/>
  <c r="C12185" i="1"/>
  <c r="D12185" i="1"/>
  <c r="E12185" i="1"/>
  <c r="F12185" i="1"/>
  <c r="G12185" i="1"/>
  <c r="H12185" i="1"/>
  <c r="A12186" i="1"/>
  <c r="B12186" i="1"/>
  <c r="C12186" i="1"/>
  <c r="D12186" i="1"/>
  <c r="E12186" i="1"/>
  <c r="F12186" i="1"/>
  <c r="G12186" i="1"/>
  <c r="H12186" i="1"/>
  <c r="A12187" i="1"/>
  <c r="B12187" i="1"/>
  <c r="C12187" i="1"/>
  <c r="D12187" i="1"/>
  <c r="E12187" i="1"/>
  <c r="F12187" i="1"/>
  <c r="G12187" i="1"/>
  <c r="H12187" i="1"/>
  <c r="A12188" i="1"/>
  <c r="B12188" i="1"/>
  <c r="C12188" i="1"/>
  <c r="D12188" i="1"/>
  <c r="E12188" i="1"/>
  <c r="F12188" i="1"/>
  <c r="G12188" i="1"/>
  <c r="H12188" i="1"/>
  <c r="A12189" i="1"/>
  <c r="B12189" i="1"/>
  <c r="C12189" i="1"/>
  <c r="D12189" i="1"/>
  <c r="E12189" i="1"/>
  <c r="F12189" i="1"/>
  <c r="G12189" i="1"/>
  <c r="H12189" i="1"/>
  <c r="A12190" i="1"/>
  <c r="B12190" i="1"/>
  <c r="C12190" i="1"/>
  <c r="D12190" i="1"/>
  <c r="E12190" i="1"/>
  <c r="F12190" i="1"/>
  <c r="G12190" i="1"/>
  <c r="H12190" i="1"/>
  <c r="A12191" i="1"/>
  <c r="B12191" i="1"/>
  <c r="C12191" i="1"/>
  <c r="D12191" i="1"/>
  <c r="E12191" i="1"/>
  <c r="F12191" i="1"/>
  <c r="G12191" i="1"/>
  <c r="H12191" i="1"/>
  <c r="A12192" i="1"/>
  <c r="B12192" i="1"/>
  <c r="C12192" i="1"/>
  <c r="D12192" i="1"/>
  <c r="E12192" i="1"/>
  <c r="F12192" i="1"/>
  <c r="G12192" i="1"/>
  <c r="H12192" i="1"/>
  <c r="A12193" i="1"/>
  <c r="B12193" i="1"/>
  <c r="C12193" i="1"/>
  <c r="D12193" i="1"/>
  <c r="E12193" i="1"/>
  <c r="F12193" i="1"/>
  <c r="G12193" i="1"/>
  <c r="H12193" i="1"/>
  <c r="A12194" i="1"/>
  <c r="B12194" i="1"/>
  <c r="C12194" i="1"/>
  <c r="D12194" i="1"/>
  <c r="E12194" i="1"/>
  <c r="F12194" i="1"/>
  <c r="G12194" i="1"/>
  <c r="H12194" i="1"/>
  <c r="A12195" i="1"/>
  <c r="B12195" i="1"/>
  <c r="C12195" i="1"/>
  <c r="D12195" i="1"/>
  <c r="E12195" i="1"/>
  <c r="F12195" i="1"/>
  <c r="G12195" i="1"/>
  <c r="H12195" i="1"/>
  <c r="A12196" i="1"/>
  <c r="B12196" i="1"/>
  <c r="C12196" i="1"/>
  <c r="D12196" i="1"/>
  <c r="E12196" i="1"/>
  <c r="F12196" i="1"/>
  <c r="G12196" i="1"/>
  <c r="H12196" i="1"/>
  <c r="A12197" i="1"/>
  <c r="B12197" i="1"/>
  <c r="C12197" i="1"/>
  <c r="D12197" i="1"/>
  <c r="E12197" i="1"/>
  <c r="F12197" i="1"/>
  <c r="G12197" i="1"/>
  <c r="H12197" i="1"/>
  <c r="A12198" i="1"/>
  <c r="B12198" i="1"/>
  <c r="C12198" i="1"/>
  <c r="D12198" i="1"/>
  <c r="E12198" i="1"/>
  <c r="F12198" i="1"/>
  <c r="G12198" i="1"/>
  <c r="H12198" i="1"/>
  <c r="A12199" i="1"/>
  <c r="B12199" i="1"/>
  <c r="C12199" i="1"/>
  <c r="D12199" i="1"/>
  <c r="E12199" i="1"/>
  <c r="F12199" i="1"/>
  <c r="G12199" i="1"/>
  <c r="H12199" i="1"/>
  <c r="A12200" i="1"/>
  <c r="B12200" i="1"/>
  <c r="C12200" i="1"/>
  <c r="D12200" i="1"/>
  <c r="E12200" i="1"/>
  <c r="F12200" i="1"/>
  <c r="G12200" i="1"/>
  <c r="H12200" i="1"/>
  <c r="A12201" i="1"/>
  <c r="B12201" i="1"/>
  <c r="C12201" i="1"/>
  <c r="D12201" i="1"/>
  <c r="E12201" i="1"/>
  <c r="F12201" i="1"/>
  <c r="G12201" i="1"/>
  <c r="H12201" i="1"/>
  <c r="A12202" i="1"/>
  <c r="B12202" i="1"/>
  <c r="C12202" i="1"/>
  <c r="D12202" i="1"/>
  <c r="E12202" i="1"/>
  <c r="F12202" i="1"/>
  <c r="G12202" i="1"/>
  <c r="H12202" i="1"/>
  <c r="A12203" i="1"/>
  <c r="B12203" i="1"/>
  <c r="C12203" i="1"/>
  <c r="D12203" i="1"/>
  <c r="E12203" i="1"/>
  <c r="F12203" i="1"/>
  <c r="G12203" i="1"/>
  <c r="H12203" i="1"/>
  <c r="A12204" i="1"/>
  <c r="B12204" i="1"/>
  <c r="C12204" i="1"/>
  <c r="D12204" i="1"/>
  <c r="E12204" i="1"/>
  <c r="F12204" i="1"/>
  <c r="G12204" i="1"/>
  <c r="H12204" i="1"/>
  <c r="A12205" i="1"/>
  <c r="B12205" i="1"/>
  <c r="C12205" i="1"/>
  <c r="D12205" i="1"/>
  <c r="E12205" i="1"/>
  <c r="F12205" i="1"/>
  <c r="G12205" i="1"/>
  <c r="H12205" i="1"/>
  <c r="A12206" i="1"/>
  <c r="B12206" i="1"/>
  <c r="C12206" i="1"/>
  <c r="D12206" i="1"/>
  <c r="E12206" i="1"/>
  <c r="F12206" i="1"/>
  <c r="G12206" i="1"/>
  <c r="H12206" i="1"/>
  <c r="A12207" i="1"/>
  <c r="B12207" i="1"/>
  <c r="C12207" i="1"/>
  <c r="D12207" i="1"/>
  <c r="E12207" i="1"/>
  <c r="F12207" i="1"/>
  <c r="G12207" i="1"/>
  <c r="H12207" i="1"/>
  <c r="A12208" i="1"/>
  <c r="B12208" i="1"/>
  <c r="C12208" i="1"/>
  <c r="D12208" i="1"/>
  <c r="E12208" i="1"/>
  <c r="F12208" i="1"/>
  <c r="G12208" i="1"/>
  <c r="H12208" i="1"/>
  <c r="A12209" i="1"/>
  <c r="B12209" i="1"/>
  <c r="C12209" i="1"/>
  <c r="D12209" i="1"/>
  <c r="E12209" i="1"/>
  <c r="F12209" i="1"/>
  <c r="G12209" i="1"/>
  <c r="H12209" i="1"/>
  <c r="A12210" i="1"/>
  <c r="B12210" i="1"/>
  <c r="C12210" i="1"/>
  <c r="D12210" i="1"/>
  <c r="E12210" i="1"/>
  <c r="F12210" i="1"/>
  <c r="G12210" i="1"/>
  <c r="H12210" i="1"/>
  <c r="A12211" i="1"/>
  <c r="B12211" i="1"/>
  <c r="C12211" i="1"/>
  <c r="D12211" i="1"/>
  <c r="E12211" i="1"/>
  <c r="F12211" i="1"/>
  <c r="G12211" i="1"/>
  <c r="H12211" i="1"/>
  <c r="A12212" i="1"/>
  <c r="B12212" i="1"/>
  <c r="C12212" i="1"/>
  <c r="D12212" i="1"/>
  <c r="E12212" i="1"/>
  <c r="F12212" i="1"/>
  <c r="G12212" i="1"/>
  <c r="H12212" i="1"/>
  <c r="A12213" i="1"/>
  <c r="B12213" i="1"/>
  <c r="C12213" i="1"/>
  <c r="D12213" i="1"/>
  <c r="E12213" i="1"/>
  <c r="F12213" i="1"/>
  <c r="G12213" i="1"/>
  <c r="H12213" i="1"/>
  <c r="A12214" i="1"/>
  <c r="B12214" i="1"/>
  <c r="C12214" i="1"/>
  <c r="D12214" i="1"/>
  <c r="E12214" i="1"/>
  <c r="F12214" i="1"/>
  <c r="G12214" i="1"/>
  <c r="H12214" i="1"/>
  <c r="A12215" i="1"/>
  <c r="B12215" i="1"/>
  <c r="C12215" i="1"/>
  <c r="D12215" i="1"/>
  <c r="E12215" i="1"/>
  <c r="F12215" i="1"/>
  <c r="G12215" i="1"/>
  <c r="H12215" i="1"/>
  <c r="A12216" i="1"/>
  <c r="B12216" i="1"/>
  <c r="C12216" i="1"/>
  <c r="D12216" i="1"/>
  <c r="E12216" i="1"/>
  <c r="F12216" i="1"/>
  <c r="G12216" i="1"/>
  <c r="H12216" i="1"/>
  <c r="A12217" i="1"/>
  <c r="B12217" i="1"/>
  <c r="C12217" i="1"/>
  <c r="D12217" i="1"/>
  <c r="E12217" i="1"/>
  <c r="F12217" i="1"/>
  <c r="G12217" i="1"/>
  <c r="H12217" i="1"/>
  <c r="A12218" i="1"/>
  <c r="B12218" i="1"/>
  <c r="C12218" i="1"/>
  <c r="D12218" i="1"/>
  <c r="E12218" i="1"/>
  <c r="F12218" i="1"/>
  <c r="G12218" i="1"/>
  <c r="H12218" i="1"/>
  <c r="A12219" i="1"/>
  <c r="B12219" i="1"/>
  <c r="C12219" i="1"/>
  <c r="D12219" i="1"/>
  <c r="E12219" i="1"/>
  <c r="F12219" i="1"/>
  <c r="G12219" i="1"/>
  <c r="H12219" i="1"/>
  <c r="A12220" i="1"/>
  <c r="B12220" i="1"/>
  <c r="C12220" i="1"/>
  <c r="D12220" i="1"/>
  <c r="E12220" i="1"/>
  <c r="F12220" i="1"/>
  <c r="G12220" i="1"/>
  <c r="H12220" i="1"/>
  <c r="A12221" i="1"/>
  <c r="B12221" i="1"/>
  <c r="C12221" i="1"/>
  <c r="D12221" i="1"/>
  <c r="E12221" i="1"/>
  <c r="F12221" i="1"/>
  <c r="G12221" i="1"/>
  <c r="H12221" i="1"/>
  <c r="A12222" i="1"/>
  <c r="B12222" i="1"/>
  <c r="C12222" i="1"/>
  <c r="D12222" i="1"/>
  <c r="E12222" i="1"/>
  <c r="F12222" i="1"/>
  <c r="G12222" i="1"/>
  <c r="H12222" i="1"/>
  <c r="A12223" i="1"/>
  <c r="B12223" i="1"/>
  <c r="C12223" i="1"/>
  <c r="D12223" i="1"/>
  <c r="E12223" i="1"/>
  <c r="F12223" i="1"/>
  <c r="G12223" i="1"/>
  <c r="H12223" i="1"/>
  <c r="A12224" i="1"/>
  <c r="B12224" i="1"/>
  <c r="C12224" i="1"/>
  <c r="D12224" i="1"/>
  <c r="E12224" i="1"/>
  <c r="F12224" i="1"/>
  <c r="G12224" i="1"/>
  <c r="H12224" i="1"/>
  <c r="A12225" i="1"/>
  <c r="B12225" i="1"/>
  <c r="C12225" i="1"/>
  <c r="D12225" i="1"/>
  <c r="E12225" i="1"/>
  <c r="F12225" i="1"/>
  <c r="G12225" i="1"/>
  <c r="H12225" i="1"/>
  <c r="A12226" i="1"/>
  <c r="B12226" i="1"/>
  <c r="C12226" i="1"/>
  <c r="D12226" i="1"/>
  <c r="E12226" i="1"/>
  <c r="F12226" i="1"/>
  <c r="G12226" i="1"/>
  <c r="H12226" i="1"/>
  <c r="A12227" i="1"/>
  <c r="B12227" i="1"/>
  <c r="C12227" i="1"/>
  <c r="D12227" i="1"/>
  <c r="E12227" i="1"/>
  <c r="F12227" i="1"/>
  <c r="G12227" i="1"/>
  <c r="H12227" i="1"/>
  <c r="A12228" i="1"/>
  <c r="B12228" i="1"/>
  <c r="C12228" i="1"/>
  <c r="D12228" i="1"/>
  <c r="E12228" i="1"/>
  <c r="F12228" i="1"/>
  <c r="G12228" i="1"/>
  <c r="H12228" i="1"/>
  <c r="A12229" i="1"/>
  <c r="B12229" i="1"/>
  <c r="C12229" i="1"/>
  <c r="D12229" i="1"/>
  <c r="E12229" i="1"/>
  <c r="F12229" i="1"/>
  <c r="G12229" i="1"/>
  <c r="H12229" i="1"/>
  <c r="A12230" i="1"/>
  <c r="B12230" i="1"/>
  <c r="C12230" i="1"/>
  <c r="D12230" i="1"/>
  <c r="E12230" i="1"/>
  <c r="F12230" i="1"/>
  <c r="G12230" i="1"/>
  <c r="H12230" i="1"/>
  <c r="A12231" i="1"/>
  <c r="B12231" i="1"/>
  <c r="C12231" i="1"/>
  <c r="D12231" i="1"/>
  <c r="E12231" i="1"/>
  <c r="F12231" i="1"/>
  <c r="G12231" i="1"/>
  <c r="H12231" i="1"/>
  <c r="A12232" i="1"/>
  <c r="B12232" i="1"/>
  <c r="C12232" i="1"/>
  <c r="D12232" i="1"/>
  <c r="E12232" i="1"/>
  <c r="F12232" i="1"/>
  <c r="G12232" i="1"/>
  <c r="H12232" i="1"/>
  <c r="A12233" i="1"/>
  <c r="B12233" i="1"/>
  <c r="C12233" i="1"/>
  <c r="D12233" i="1"/>
  <c r="E12233" i="1"/>
  <c r="F12233" i="1"/>
  <c r="G12233" i="1"/>
  <c r="H12233" i="1"/>
  <c r="A12234" i="1"/>
  <c r="B12234" i="1"/>
  <c r="C12234" i="1"/>
  <c r="D12234" i="1"/>
  <c r="E12234" i="1"/>
  <c r="F12234" i="1"/>
  <c r="G12234" i="1"/>
  <c r="H12234" i="1"/>
  <c r="A12235" i="1"/>
  <c r="B12235" i="1"/>
  <c r="C12235" i="1"/>
  <c r="D12235" i="1"/>
  <c r="E12235" i="1"/>
  <c r="F12235" i="1"/>
  <c r="G12235" i="1"/>
  <c r="H12235" i="1"/>
  <c r="A12236" i="1"/>
  <c r="B12236" i="1"/>
  <c r="C12236" i="1"/>
  <c r="D12236" i="1"/>
  <c r="E12236" i="1"/>
  <c r="F12236" i="1"/>
  <c r="G12236" i="1"/>
  <c r="H12236" i="1"/>
  <c r="A12237" i="1"/>
  <c r="B12237" i="1"/>
  <c r="C12237" i="1"/>
  <c r="D12237" i="1"/>
  <c r="E12237" i="1"/>
  <c r="F12237" i="1"/>
  <c r="G12237" i="1"/>
  <c r="H12237" i="1"/>
  <c r="A12238" i="1"/>
  <c r="B12238" i="1"/>
  <c r="C12238" i="1"/>
  <c r="D12238" i="1"/>
  <c r="E12238" i="1"/>
  <c r="F12238" i="1"/>
  <c r="G12238" i="1"/>
  <c r="H12238" i="1"/>
  <c r="A12239" i="1"/>
  <c r="B12239" i="1"/>
  <c r="C12239" i="1"/>
  <c r="D12239" i="1"/>
  <c r="E12239" i="1"/>
  <c r="F12239" i="1"/>
  <c r="G12239" i="1"/>
  <c r="H12239" i="1"/>
  <c r="A12240" i="1"/>
  <c r="B12240" i="1"/>
  <c r="C12240" i="1"/>
  <c r="D12240" i="1"/>
  <c r="E12240" i="1"/>
  <c r="F12240" i="1"/>
  <c r="G12240" i="1"/>
  <c r="H12240" i="1"/>
  <c r="A12241" i="1"/>
  <c r="B12241" i="1"/>
  <c r="C12241" i="1"/>
  <c r="D12241" i="1"/>
  <c r="E12241" i="1"/>
  <c r="F12241" i="1"/>
  <c r="G12241" i="1"/>
  <c r="H12241" i="1"/>
  <c r="A12242" i="1"/>
  <c r="B12242" i="1"/>
  <c r="C12242" i="1"/>
  <c r="D12242" i="1"/>
  <c r="E12242" i="1"/>
  <c r="F12242" i="1"/>
  <c r="G12242" i="1"/>
  <c r="H12242" i="1"/>
  <c r="A12243" i="1"/>
  <c r="B12243" i="1"/>
  <c r="C12243" i="1"/>
  <c r="D12243" i="1"/>
  <c r="E12243" i="1"/>
  <c r="F12243" i="1"/>
  <c r="G12243" i="1"/>
  <c r="H12243" i="1"/>
  <c r="A12244" i="1"/>
  <c r="B12244" i="1"/>
  <c r="C12244" i="1"/>
  <c r="D12244" i="1"/>
  <c r="E12244" i="1"/>
  <c r="F12244" i="1"/>
  <c r="G12244" i="1"/>
  <c r="H12244" i="1"/>
  <c r="A12245" i="1"/>
  <c r="B12245" i="1"/>
  <c r="C12245" i="1"/>
  <c r="D12245" i="1"/>
  <c r="E12245" i="1"/>
  <c r="F12245" i="1"/>
  <c r="G12245" i="1"/>
  <c r="H12245" i="1"/>
  <c r="A12246" i="1"/>
  <c r="B12246" i="1"/>
  <c r="C12246" i="1"/>
  <c r="D12246" i="1"/>
  <c r="E12246" i="1"/>
  <c r="F12246" i="1"/>
  <c r="G12246" i="1"/>
  <c r="H12246" i="1"/>
  <c r="A12247" i="1"/>
  <c r="B12247" i="1"/>
  <c r="C12247" i="1"/>
  <c r="D12247" i="1"/>
  <c r="E12247" i="1"/>
  <c r="F12247" i="1"/>
  <c r="G12247" i="1"/>
  <c r="H12247" i="1"/>
  <c r="A12248" i="1"/>
  <c r="B12248" i="1"/>
  <c r="C12248" i="1"/>
  <c r="D12248" i="1"/>
  <c r="E12248" i="1"/>
  <c r="F12248" i="1"/>
  <c r="G12248" i="1"/>
  <c r="H12248" i="1"/>
  <c r="A12249" i="1"/>
  <c r="B12249" i="1"/>
  <c r="C12249" i="1"/>
  <c r="D12249" i="1"/>
  <c r="E12249" i="1"/>
  <c r="F12249" i="1"/>
  <c r="G12249" i="1"/>
  <c r="H12249" i="1"/>
  <c r="A12250" i="1"/>
  <c r="B12250" i="1"/>
  <c r="C12250" i="1"/>
  <c r="D12250" i="1"/>
  <c r="E12250" i="1"/>
  <c r="F12250" i="1"/>
  <c r="G12250" i="1"/>
  <c r="H12250" i="1"/>
  <c r="A12251" i="1"/>
  <c r="B12251" i="1"/>
  <c r="C12251" i="1"/>
  <c r="D12251" i="1"/>
  <c r="E12251" i="1"/>
  <c r="F12251" i="1"/>
  <c r="G12251" i="1"/>
  <c r="H12251" i="1"/>
  <c r="A12252" i="1"/>
  <c r="B12252" i="1"/>
  <c r="C12252" i="1"/>
  <c r="D12252" i="1"/>
  <c r="E12252" i="1"/>
  <c r="F12252" i="1"/>
  <c r="G12252" i="1"/>
  <c r="H12252" i="1"/>
  <c r="A12253" i="1"/>
  <c r="B12253" i="1"/>
  <c r="C12253" i="1"/>
  <c r="D12253" i="1"/>
  <c r="E12253" i="1"/>
  <c r="F12253" i="1"/>
  <c r="G12253" i="1"/>
  <c r="H12253" i="1"/>
  <c r="A12254" i="1"/>
  <c r="B12254" i="1"/>
  <c r="C12254" i="1"/>
  <c r="D12254" i="1"/>
  <c r="E12254" i="1"/>
  <c r="F12254" i="1"/>
  <c r="G12254" i="1"/>
  <c r="H12254" i="1"/>
  <c r="A12255" i="1"/>
  <c r="B12255" i="1"/>
  <c r="C12255" i="1"/>
  <c r="D12255" i="1"/>
  <c r="E12255" i="1"/>
  <c r="F12255" i="1"/>
  <c r="G12255" i="1"/>
  <c r="H12255" i="1"/>
  <c r="A12256" i="1"/>
  <c r="B12256" i="1"/>
  <c r="C12256" i="1"/>
  <c r="D12256" i="1"/>
  <c r="E12256" i="1"/>
  <c r="F12256" i="1"/>
  <c r="G12256" i="1"/>
  <c r="H12256" i="1"/>
  <c r="A12257" i="1"/>
  <c r="B12257" i="1"/>
  <c r="C12257" i="1"/>
  <c r="D12257" i="1"/>
  <c r="E12257" i="1"/>
  <c r="F12257" i="1"/>
  <c r="G12257" i="1"/>
  <c r="H12257" i="1"/>
  <c r="A12258" i="1"/>
  <c r="B12258" i="1"/>
  <c r="C12258" i="1"/>
  <c r="D12258" i="1"/>
  <c r="E12258" i="1"/>
  <c r="F12258" i="1"/>
  <c r="G12258" i="1"/>
  <c r="H12258" i="1"/>
  <c r="A12259" i="1"/>
  <c r="B12259" i="1"/>
  <c r="C12259" i="1"/>
  <c r="D12259" i="1"/>
  <c r="E12259" i="1"/>
  <c r="F12259" i="1"/>
  <c r="G12259" i="1"/>
  <c r="H12259" i="1"/>
  <c r="A12260" i="1"/>
  <c r="B12260" i="1"/>
  <c r="C12260" i="1"/>
  <c r="D12260" i="1"/>
  <c r="E12260" i="1"/>
  <c r="F12260" i="1"/>
  <c r="G12260" i="1"/>
  <c r="H12260" i="1"/>
  <c r="A12261" i="1"/>
  <c r="B12261" i="1"/>
  <c r="C12261" i="1"/>
  <c r="D12261" i="1"/>
  <c r="E12261" i="1"/>
  <c r="F12261" i="1"/>
  <c r="G12261" i="1"/>
  <c r="H12261" i="1"/>
  <c r="A12262" i="1"/>
  <c r="B12262" i="1"/>
  <c r="C12262" i="1"/>
  <c r="D12262" i="1"/>
  <c r="E12262" i="1"/>
  <c r="F12262" i="1"/>
  <c r="G12262" i="1"/>
  <c r="H12262" i="1"/>
  <c r="A12263" i="1"/>
  <c r="B12263" i="1"/>
  <c r="C12263" i="1"/>
  <c r="D12263" i="1"/>
  <c r="E12263" i="1"/>
  <c r="F12263" i="1"/>
  <c r="G12263" i="1"/>
  <c r="H12263" i="1"/>
  <c r="A12264" i="1"/>
  <c r="B12264" i="1"/>
  <c r="C12264" i="1"/>
  <c r="D12264" i="1"/>
  <c r="E12264" i="1"/>
  <c r="F12264" i="1"/>
  <c r="G12264" i="1"/>
  <c r="H12264" i="1"/>
  <c r="A12265" i="1"/>
  <c r="B12265" i="1"/>
  <c r="C12265" i="1"/>
  <c r="D12265" i="1"/>
  <c r="E12265" i="1"/>
  <c r="F12265" i="1"/>
  <c r="G12265" i="1"/>
  <c r="H12265" i="1"/>
  <c r="A12266" i="1"/>
  <c r="B12266" i="1"/>
  <c r="C12266" i="1"/>
  <c r="D12266" i="1"/>
  <c r="E12266" i="1"/>
  <c r="F12266" i="1"/>
  <c r="G12266" i="1"/>
  <c r="H12266" i="1"/>
  <c r="A12267" i="1"/>
  <c r="B12267" i="1"/>
  <c r="C12267" i="1"/>
  <c r="D12267" i="1"/>
  <c r="E12267" i="1"/>
  <c r="F12267" i="1"/>
  <c r="G12267" i="1"/>
  <c r="H12267" i="1"/>
  <c r="A12268" i="1"/>
  <c r="B12268" i="1"/>
  <c r="C12268" i="1"/>
  <c r="D12268" i="1"/>
  <c r="E12268" i="1"/>
  <c r="F12268" i="1"/>
  <c r="G12268" i="1"/>
  <c r="H12268" i="1"/>
  <c r="A12269" i="1"/>
  <c r="B12269" i="1"/>
  <c r="C12269" i="1"/>
  <c r="D12269" i="1"/>
  <c r="E12269" i="1"/>
  <c r="F12269" i="1"/>
  <c r="G12269" i="1"/>
  <c r="H12269" i="1"/>
  <c r="A12270" i="1"/>
  <c r="B12270" i="1"/>
  <c r="C12270" i="1"/>
  <c r="D12270" i="1"/>
  <c r="E12270" i="1"/>
  <c r="F12270" i="1"/>
  <c r="G12270" i="1"/>
  <c r="H12270" i="1"/>
  <c r="A12271" i="1"/>
  <c r="B12271" i="1"/>
  <c r="C12271" i="1"/>
  <c r="D12271" i="1"/>
  <c r="E12271" i="1"/>
  <c r="F12271" i="1"/>
  <c r="G12271" i="1"/>
  <c r="H12271" i="1"/>
  <c r="A12272" i="1"/>
  <c r="B12272" i="1"/>
  <c r="C12272" i="1"/>
  <c r="D12272" i="1"/>
  <c r="E12272" i="1"/>
  <c r="F12272" i="1"/>
  <c r="G12272" i="1"/>
  <c r="H12272" i="1"/>
  <c r="A12273" i="1"/>
  <c r="B12273" i="1"/>
  <c r="C12273" i="1"/>
  <c r="D12273" i="1"/>
  <c r="E12273" i="1"/>
  <c r="F12273" i="1"/>
  <c r="G12273" i="1"/>
  <c r="H12273" i="1"/>
  <c r="A12274" i="1"/>
  <c r="B12274" i="1"/>
  <c r="C12274" i="1"/>
  <c r="D12274" i="1"/>
  <c r="E12274" i="1"/>
  <c r="F12274" i="1"/>
  <c r="G12274" i="1"/>
  <c r="H12274" i="1"/>
  <c r="A12275" i="1"/>
  <c r="B12275" i="1"/>
  <c r="C12275" i="1"/>
  <c r="D12275" i="1"/>
  <c r="E12275" i="1"/>
  <c r="F12275" i="1"/>
  <c r="G12275" i="1"/>
  <c r="H12275" i="1"/>
  <c r="A12276" i="1"/>
  <c r="B12276" i="1"/>
  <c r="C12276" i="1"/>
  <c r="D12276" i="1"/>
  <c r="E12276" i="1"/>
  <c r="F12276" i="1"/>
  <c r="G12276" i="1"/>
  <c r="H12276" i="1"/>
  <c r="A12277" i="1"/>
  <c r="B12277" i="1"/>
  <c r="C12277" i="1"/>
  <c r="D12277" i="1"/>
  <c r="E12277" i="1"/>
  <c r="F12277" i="1"/>
  <c r="G12277" i="1"/>
  <c r="H12277" i="1"/>
  <c r="A12278" i="1"/>
  <c r="B12278" i="1"/>
  <c r="C12278" i="1"/>
  <c r="D12278" i="1"/>
  <c r="E12278" i="1"/>
  <c r="F12278" i="1"/>
  <c r="G12278" i="1"/>
  <c r="H12278" i="1"/>
  <c r="A12279" i="1"/>
  <c r="B12279" i="1"/>
  <c r="C12279" i="1"/>
  <c r="D12279" i="1"/>
  <c r="E12279" i="1"/>
  <c r="F12279" i="1"/>
  <c r="G12279" i="1"/>
  <c r="H12279" i="1"/>
  <c r="A12280" i="1"/>
  <c r="B12280" i="1"/>
  <c r="C12280" i="1"/>
  <c r="D12280" i="1"/>
  <c r="E12280" i="1"/>
  <c r="F12280" i="1"/>
  <c r="G12280" i="1"/>
  <c r="H12280" i="1"/>
  <c r="A12281" i="1"/>
  <c r="B12281" i="1"/>
  <c r="C12281" i="1"/>
  <c r="D12281" i="1"/>
  <c r="E12281" i="1"/>
  <c r="F12281" i="1"/>
  <c r="G12281" i="1"/>
  <c r="H12281" i="1"/>
  <c r="A12282" i="1"/>
  <c r="B12282" i="1"/>
  <c r="C12282" i="1"/>
  <c r="D12282" i="1"/>
  <c r="E12282" i="1"/>
  <c r="F12282" i="1"/>
  <c r="G12282" i="1"/>
  <c r="H12282" i="1"/>
  <c r="A12283" i="1"/>
  <c r="B12283" i="1"/>
  <c r="C12283" i="1"/>
  <c r="D12283" i="1"/>
  <c r="E12283" i="1"/>
  <c r="F12283" i="1"/>
  <c r="G12283" i="1"/>
  <c r="H12283" i="1"/>
  <c r="A12284" i="1"/>
  <c r="B12284" i="1"/>
  <c r="C12284" i="1"/>
  <c r="D12284" i="1"/>
  <c r="E12284" i="1"/>
  <c r="F12284" i="1"/>
  <c r="G12284" i="1"/>
  <c r="H12284" i="1"/>
  <c r="A12285" i="1"/>
  <c r="B12285" i="1"/>
  <c r="C12285" i="1"/>
  <c r="D12285" i="1"/>
  <c r="E12285" i="1"/>
  <c r="F12285" i="1"/>
  <c r="G12285" i="1"/>
  <c r="H12285" i="1"/>
  <c r="A12286" i="1"/>
  <c r="B12286" i="1"/>
  <c r="C12286" i="1"/>
  <c r="D12286" i="1"/>
  <c r="E12286" i="1"/>
  <c r="F12286" i="1"/>
  <c r="G12286" i="1"/>
  <c r="H12286" i="1"/>
  <c r="A12287" i="1"/>
  <c r="B12287" i="1"/>
  <c r="C12287" i="1"/>
  <c r="D12287" i="1"/>
  <c r="E12287" i="1"/>
  <c r="F12287" i="1"/>
  <c r="G12287" i="1"/>
  <c r="H12287" i="1"/>
  <c r="A12288" i="1"/>
  <c r="B12288" i="1"/>
  <c r="C12288" i="1"/>
  <c r="D12288" i="1"/>
  <c r="E12288" i="1"/>
  <c r="F12288" i="1"/>
  <c r="G12288" i="1"/>
  <c r="H12288" i="1"/>
  <c r="A12289" i="1"/>
  <c r="B12289" i="1"/>
  <c r="C12289" i="1"/>
  <c r="D12289" i="1"/>
  <c r="E12289" i="1"/>
  <c r="F12289" i="1"/>
  <c r="G12289" i="1"/>
  <c r="H12289" i="1"/>
  <c r="A12290" i="1"/>
  <c r="B12290" i="1"/>
  <c r="C12290" i="1"/>
  <c r="D12290" i="1"/>
  <c r="E12290" i="1"/>
  <c r="F12290" i="1"/>
  <c r="G12290" i="1"/>
  <c r="H12290" i="1"/>
  <c r="A12291" i="1"/>
  <c r="B12291" i="1"/>
  <c r="C12291" i="1"/>
  <c r="D12291" i="1"/>
  <c r="E12291" i="1"/>
  <c r="F12291" i="1"/>
  <c r="G12291" i="1"/>
  <c r="H12291" i="1"/>
  <c r="A12292" i="1"/>
  <c r="B12292" i="1"/>
  <c r="C12292" i="1"/>
  <c r="D12292" i="1"/>
  <c r="E12292" i="1"/>
  <c r="F12292" i="1"/>
  <c r="G12292" i="1"/>
  <c r="H12292" i="1"/>
  <c r="A12293" i="1"/>
  <c r="B12293" i="1"/>
  <c r="C12293" i="1"/>
  <c r="D12293" i="1"/>
  <c r="E12293" i="1"/>
  <c r="F12293" i="1"/>
  <c r="G12293" i="1"/>
  <c r="H12293" i="1"/>
  <c r="A12294" i="1"/>
  <c r="B12294" i="1"/>
  <c r="C12294" i="1"/>
  <c r="D12294" i="1"/>
  <c r="E12294" i="1"/>
  <c r="F12294" i="1"/>
  <c r="G12294" i="1"/>
  <c r="H12294" i="1"/>
  <c r="A12295" i="1"/>
  <c r="B12295" i="1"/>
  <c r="C12295" i="1"/>
  <c r="D12295" i="1"/>
  <c r="E12295" i="1"/>
  <c r="F12295" i="1"/>
  <c r="G12295" i="1"/>
  <c r="H12295" i="1"/>
  <c r="A12296" i="1"/>
  <c r="B12296" i="1"/>
  <c r="C12296" i="1"/>
  <c r="D12296" i="1"/>
  <c r="E12296" i="1"/>
  <c r="F12296" i="1"/>
  <c r="G12296" i="1"/>
  <c r="H12296" i="1"/>
  <c r="A12297" i="1"/>
  <c r="B12297" i="1"/>
  <c r="C12297" i="1"/>
  <c r="D12297" i="1"/>
  <c r="E12297" i="1"/>
  <c r="F12297" i="1"/>
  <c r="G12297" i="1"/>
  <c r="H12297" i="1"/>
  <c r="A12298" i="1"/>
  <c r="B12298" i="1"/>
  <c r="C12298" i="1"/>
  <c r="D12298" i="1"/>
  <c r="E12298" i="1"/>
  <c r="F12298" i="1"/>
  <c r="G12298" i="1"/>
  <c r="H12298" i="1"/>
  <c r="A12299" i="1"/>
  <c r="B12299" i="1"/>
  <c r="C12299" i="1"/>
  <c r="D12299" i="1"/>
  <c r="E12299" i="1"/>
  <c r="F12299" i="1"/>
  <c r="G12299" i="1"/>
  <c r="H12299" i="1"/>
  <c r="A12300" i="1"/>
  <c r="B12300" i="1"/>
  <c r="C12300" i="1"/>
  <c r="D12300" i="1"/>
  <c r="E12300" i="1"/>
  <c r="F12300" i="1"/>
  <c r="G12300" i="1"/>
  <c r="H12300" i="1"/>
  <c r="A12301" i="1"/>
  <c r="B12301" i="1"/>
  <c r="C12301" i="1"/>
  <c r="D12301" i="1"/>
  <c r="E12301" i="1"/>
  <c r="F12301" i="1"/>
  <c r="G12301" i="1"/>
  <c r="H12301" i="1"/>
  <c r="A12302" i="1"/>
  <c r="B12302" i="1"/>
  <c r="C12302" i="1"/>
  <c r="D12302" i="1"/>
  <c r="E12302" i="1"/>
  <c r="F12302" i="1"/>
  <c r="G12302" i="1"/>
  <c r="H12302" i="1"/>
  <c r="A12303" i="1"/>
  <c r="B12303" i="1"/>
  <c r="C12303" i="1"/>
  <c r="D12303" i="1"/>
  <c r="E12303" i="1"/>
  <c r="F12303" i="1"/>
  <c r="G12303" i="1"/>
  <c r="H12303" i="1"/>
  <c r="A12304" i="1"/>
  <c r="B12304" i="1"/>
  <c r="C12304" i="1"/>
  <c r="D12304" i="1"/>
  <c r="E12304" i="1"/>
  <c r="F12304" i="1"/>
  <c r="G12304" i="1"/>
  <c r="H12304" i="1"/>
  <c r="A12305" i="1"/>
  <c r="B12305" i="1"/>
  <c r="C12305" i="1"/>
  <c r="D12305" i="1"/>
  <c r="E12305" i="1"/>
  <c r="F12305" i="1"/>
  <c r="G12305" i="1"/>
  <c r="H12305" i="1"/>
  <c r="A12306" i="1"/>
  <c r="B12306" i="1"/>
  <c r="C12306" i="1"/>
  <c r="D12306" i="1"/>
  <c r="E12306" i="1"/>
  <c r="F12306" i="1"/>
  <c r="G12306" i="1"/>
  <c r="H12306" i="1"/>
  <c r="A12307" i="1"/>
  <c r="B12307" i="1"/>
  <c r="C12307" i="1"/>
  <c r="D12307" i="1"/>
  <c r="E12307" i="1"/>
  <c r="F12307" i="1"/>
  <c r="G12307" i="1"/>
  <c r="H12307" i="1"/>
  <c r="A12308" i="1"/>
  <c r="B12308" i="1"/>
  <c r="C12308" i="1"/>
  <c r="D12308" i="1"/>
  <c r="E12308" i="1"/>
  <c r="F12308" i="1"/>
  <c r="G12308" i="1"/>
  <c r="H12308" i="1"/>
  <c r="A12309" i="1"/>
  <c r="B12309" i="1"/>
  <c r="C12309" i="1"/>
  <c r="D12309" i="1"/>
  <c r="E12309" i="1"/>
  <c r="F12309" i="1"/>
  <c r="G12309" i="1"/>
  <c r="H12309" i="1"/>
  <c r="A12310" i="1"/>
  <c r="B12310" i="1"/>
  <c r="C12310" i="1"/>
  <c r="D12310" i="1"/>
  <c r="E12310" i="1"/>
  <c r="F12310" i="1"/>
  <c r="G12310" i="1"/>
  <c r="H12310" i="1"/>
  <c r="A12311" i="1"/>
  <c r="B12311" i="1"/>
  <c r="C12311" i="1"/>
  <c r="D12311" i="1"/>
  <c r="E12311" i="1"/>
  <c r="F12311" i="1"/>
  <c r="G12311" i="1"/>
  <c r="H12311" i="1"/>
  <c r="A12312" i="1"/>
  <c r="B12312" i="1"/>
  <c r="C12312" i="1"/>
  <c r="D12312" i="1"/>
  <c r="E12312" i="1"/>
  <c r="F12312" i="1"/>
  <c r="G12312" i="1"/>
  <c r="H12312" i="1"/>
  <c r="A12313" i="1"/>
  <c r="B12313" i="1"/>
  <c r="C12313" i="1"/>
  <c r="D12313" i="1"/>
  <c r="E12313" i="1"/>
  <c r="F12313" i="1"/>
  <c r="G12313" i="1"/>
  <c r="H12313" i="1"/>
  <c r="A12314" i="1"/>
  <c r="B12314" i="1"/>
  <c r="C12314" i="1"/>
  <c r="D12314" i="1"/>
  <c r="E12314" i="1"/>
  <c r="F12314" i="1"/>
  <c r="G12314" i="1"/>
  <c r="H12314" i="1"/>
  <c r="A12315" i="1"/>
  <c r="B12315" i="1"/>
  <c r="C12315" i="1"/>
  <c r="D12315" i="1"/>
  <c r="E12315" i="1"/>
  <c r="F12315" i="1"/>
  <c r="G12315" i="1"/>
  <c r="H12315" i="1"/>
  <c r="A12316" i="1"/>
  <c r="B12316" i="1"/>
  <c r="C12316" i="1"/>
  <c r="D12316" i="1"/>
  <c r="E12316" i="1"/>
  <c r="F12316" i="1"/>
  <c r="G12316" i="1"/>
  <c r="H12316" i="1"/>
  <c r="A12317" i="1"/>
  <c r="B12317" i="1"/>
  <c r="C12317" i="1"/>
  <c r="D12317" i="1"/>
  <c r="E12317" i="1"/>
  <c r="F12317" i="1"/>
  <c r="G12317" i="1"/>
  <c r="H12317" i="1"/>
  <c r="A12318" i="1"/>
  <c r="B12318" i="1"/>
  <c r="C12318" i="1"/>
  <c r="D12318" i="1"/>
  <c r="E12318" i="1"/>
  <c r="F12318" i="1"/>
  <c r="G12318" i="1"/>
  <c r="H12318" i="1"/>
  <c r="A12319" i="1"/>
  <c r="B12319" i="1"/>
  <c r="C12319" i="1"/>
  <c r="D12319" i="1"/>
  <c r="E12319" i="1"/>
  <c r="F12319" i="1"/>
  <c r="G12319" i="1"/>
  <c r="H12319" i="1"/>
  <c r="A12320" i="1"/>
  <c r="B12320" i="1"/>
  <c r="C12320" i="1"/>
  <c r="D12320" i="1"/>
  <c r="E12320" i="1"/>
  <c r="F12320" i="1"/>
  <c r="G12320" i="1"/>
  <c r="H12320" i="1"/>
  <c r="A12321" i="1"/>
  <c r="B12321" i="1"/>
  <c r="C12321" i="1"/>
  <c r="D12321" i="1"/>
  <c r="E12321" i="1"/>
  <c r="F12321" i="1"/>
  <c r="G12321" i="1"/>
  <c r="H12321" i="1"/>
  <c r="A12322" i="1"/>
  <c r="B12322" i="1"/>
  <c r="C12322" i="1"/>
  <c r="D12322" i="1"/>
  <c r="E12322" i="1"/>
  <c r="F12322" i="1"/>
  <c r="G12322" i="1"/>
  <c r="H12322" i="1"/>
  <c r="A12323" i="1"/>
  <c r="B12323" i="1"/>
  <c r="C12323" i="1"/>
  <c r="D12323" i="1"/>
  <c r="E12323" i="1"/>
  <c r="F12323" i="1"/>
  <c r="G12323" i="1"/>
  <c r="H12323" i="1"/>
  <c r="A12324" i="1"/>
  <c r="B12324" i="1"/>
  <c r="C12324" i="1"/>
  <c r="D12324" i="1"/>
  <c r="E12324" i="1"/>
  <c r="F12324" i="1"/>
  <c r="G12324" i="1"/>
  <c r="H12324" i="1"/>
  <c r="A12325" i="1"/>
  <c r="B12325" i="1"/>
  <c r="C12325" i="1"/>
  <c r="D12325" i="1"/>
  <c r="E12325" i="1"/>
  <c r="F12325" i="1"/>
  <c r="G12325" i="1"/>
  <c r="H12325" i="1"/>
  <c r="A12326" i="1"/>
  <c r="B12326" i="1"/>
  <c r="C12326" i="1"/>
  <c r="D12326" i="1"/>
  <c r="E12326" i="1"/>
  <c r="F12326" i="1"/>
  <c r="G12326" i="1"/>
  <c r="H12326" i="1"/>
  <c r="A12327" i="1"/>
  <c r="B12327" i="1"/>
  <c r="C12327" i="1"/>
  <c r="D12327" i="1"/>
  <c r="E12327" i="1"/>
  <c r="F12327" i="1"/>
  <c r="G12327" i="1"/>
  <c r="H12327" i="1"/>
  <c r="A12328" i="1"/>
  <c r="B12328" i="1"/>
  <c r="C12328" i="1"/>
  <c r="D12328" i="1"/>
  <c r="E12328" i="1"/>
  <c r="F12328" i="1"/>
  <c r="G12328" i="1"/>
  <c r="H12328" i="1"/>
  <c r="A12329" i="1"/>
  <c r="B12329" i="1"/>
  <c r="C12329" i="1"/>
  <c r="D12329" i="1"/>
  <c r="E12329" i="1"/>
  <c r="F12329" i="1"/>
  <c r="G12329" i="1"/>
  <c r="H12329" i="1"/>
  <c r="A12330" i="1"/>
  <c r="B12330" i="1"/>
  <c r="C12330" i="1"/>
  <c r="D12330" i="1"/>
  <c r="E12330" i="1"/>
  <c r="F12330" i="1"/>
  <c r="G12330" i="1"/>
  <c r="H12330" i="1"/>
  <c r="A12331" i="1"/>
  <c r="B12331" i="1"/>
  <c r="C12331" i="1"/>
  <c r="D12331" i="1"/>
  <c r="E12331" i="1"/>
  <c r="F12331" i="1"/>
  <c r="G12331" i="1"/>
  <c r="H12331" i="1"/>
  <c r="A12332" i="1"/>
  <c r="B12332" i="1"/>
  <c r="C12332" i="1"/>
  <c r="D12332" i="1"/>
  <c r="E12332" i="1"/>
  <c r="F12332" i="1"/>
  <c r="G12332" i="1"/>
  <c r="H12332" i="1"/>
  <c r="A12333" i="1"/>
  <c r="B12333" i="1"/>
  <c r="C12333" i="1"/>
  <c r="D12333" i="1"/>
  <c r="E12333" i="1"/>
  <c r="F12333" i="1"/>
  <c r="G12333" i="1"/>
  <c r="H12333" i="1"/>
  <c r="A12334" i="1"/>
  <c r="B12334" i="1"/>
  <c r="C12334" i="1"/>
  <c r="D12334" i="1"/>
  <c r="E12334" i="1"/>
  <c r="F12334" i="1"/>
  <c r="G12334" i="1"/>
  <c r="H12334" i="1"/>
  <c r="A12335" i="1"/>
  <c r="B12335" i="1"/>
  <c r="C12335" i="1"/>
  <c r="D12335" i="1"/>
  <c r="E12335" i="1"/>
  <c r="F12335" i="1"/>
  <c r="G12335" i="1"/>
  <c r="H12335" i="1"/>
  <c r="A12336" i="1"/>
  <c r="B12336" i="1"/>
  <c r="C12336" i="1"/>
  <c r="D12336" i="1"/>
  <c r="E12336" i="1"/>
  <c r="F12336" i="1"/>
  <c r="G12336" i="1"/>
  <c r="H12336" i="1"/>
  <c r="A12337" i="1"/>
  <c r="B12337" i="1"/>
  <c r="C12337" i="1"/>
  <c r="D12337" i="1"/>
  <c r="E12337" i="1"/>
  <c r="F12337" i="1"/>
  <c r="G12337" i="1"/>
  <c r="H12337" i="1"/>
  <c r="A12338" i="1"/>
  <c r="B12338" i="1"/>
  <c r="C12338" i="1"/>
  <c r="D12338" i="1"/>
  <c r="E12338" i="1"/>
  <c r="F12338" i="1"/>
  <c r="G12338" i="1"/>
  <c r="H12338" i="1"/>
  <c r="A12339" i="1"/>
  <c r="B12339" i="1"/>
  <c r="C12339" i="1"/>
  <c r="D12339" i="1"/>
  <c r="E12339" i="1"/>
  <c r="F12339" i="1"/>
  <c r="G12339" i="1"/>
  <c r="H12339" i="1"/>
  <c r="A12340" i="1"/>
  <c r="B12340" i="1"/>
  <c r="C12340" i="1"/>
  <c r="D12340" i="1"/>
  <c r="E12340" i="1"/>
  <c r="F12340" i="1"/>
  <c r="G12340" i="1"/>
  <c r="H12340" i="1"/>
  <c r="A12341" i="1"/>
  <c r="B12341" i="1"/>
  <c r="C12341" i="1"/>
  <c r="D12341" i="1"/>
  <c r="E12341" i="1"/>
  <c r="F12341" i="1"/>
  <c r="G12341" i="1"/>
  <c r="H12341" i="1"/>
  <c r="A12342" i="1"/>
  <c r="B12342" i="1"/>
  <c r="C12342" i="1"/>
  <c r="D12342" i="1"/>
  <c r="E12342" i="1"/>
  <c r="F12342" i="1"/>
  <c r="G12342" i="1"/>
  <c r="H12342" i="1"/>
  <c r="A12343" i="1"/>
  <c r="B12343" i="1"/>
  <c r="C12343" i="1"/>
  <c r="D12343" i="1"/>
  <c r="E12343" i="1"/>
  <c r="F12343" i="1"/>
  <c r="G12343" i="1"/>
  <c r="H12343" i="1"/>
  <c r="A12344" i="1"/>
  <c r="B12344" i="1"/>
  <c r="C12344" i="1"/>
  <c r="D12344" i="1"/>
  <c r="E12344" i="1"/>
  <c r="F12344" i="1"/>
  <c r="G12344" i="1"/>
  <c r="H12344" i="1"/>
  <c r="A12345" i="1"/>
  <c r="B12345" i="1"/>
  <c r="C12345" i="1"/>
  <c r="D12345" i="1"/>
  <c r="E12345" i="1"/>
  <c r="F12345" i="1"/>
  <c r="G12345" i="1"/>
  <c r="H12345" i="1"/>
  <c r="A12346" i="1"/>
  <c r="B12346" i="1"/>
  <c r="C12346" i="1"/>
  <c r="D12346" i="1"/>
  <c r="E12346" i="1"/>
  <c r="F12346" i="1"/>
  <c r="G12346" i="1"/>
  <c r="H12346" i="1"/>
  <c r="A12347" i="1"/>
  <c r="B12347" i="1"/>
  <c r="C12347" i="1"/>
  <c r="D12347" i="1"/>
  <c r="E12347" i="1"/>
  <c r="F12347" i="1"/>
  <c r="G12347" i="1"/>
  <c r="H12347" i="1"/>
  <c r="A12348" i="1"/>
  <c r="B12348" i="1"/>
  <c r="C12348" i="1"/>
  <c r="D12348" i="1"/>
  <c r="E12348" i="1"/>
  <c r="F12348" i="1"/>
  <c r="G12348" i="1"/>
  <c r="H12348" i="1"/>
  <c r="A12349" i="1"/>
  <c r="B12349" i="1"/>
  <c r="C12349" i="1"/>
  <c r="D12349" i="1"/>
  <c r="E12349" i="1"/>
  <c r="F12349" i="1"/>
  <c r="G12349" i="1"/>
  <c r="H12349" i="1"/>
  <c r="A12350" i="1"/>
  <c r="B12350" i="1"/>
  <c r="C12350" i="1"/>
  <c r="D12350" i="1"/>
  <c r="E12350" i="1"/>
  <c r="F12350" i="1"/>
  <c r="G12350" i="1"/>
  <c r="H12350" i="1"/>
  <c r="A12351" i="1"/>
  <c r="B12351" i="1"/>
  <c r="C12351" i="1"/>
  <c r="D12351" i="1"/>
  <c r="E12351" i="1"/>
  <c r="F12351" i="1"/>
  <c r="G12351" i="1"/>
  <c r="H12351" i="1"/>
  <c r="A12352" i="1"/>
  <c r="B12352" i="1"/>
  <c r="C12352" i="1"/>
  <c r="D12352" i="1"/>
  <c r="E12352" i="1"/>
  <c r="F12352" i="1"/>
  <c r="G12352" i="1"/>
  <c r="H12352" i="1"/>
  <c r="A12353" i="1"/>
  <c r="B12353" i="1"/>
  <c r="C12353" i="1"/>
  <c r="D12353" i="1"/>
  <c r="E12353" i="1"/>
  <c r="F12353" i="1"/>
  <c r="G12353" i="1"/>
  <c r="H12353" i="1"/>
  <c r="A12354" i="1"/>
  <c r="B12354" i="1"/>
  <c r="C12354" i="1"/>
  <c r="D12354" i="1"/>
  <c r="E12354" i="1"/>
  <c r="F12354" i="1"/>
  <c r="G12354" i="1"/>
  <c r="H12354" i="1"/>
  <c r="A12355" i="1"/>
  <c r="B12355" i="1"/>
  <c r="C12355" i="1"/>
  <c r="D12355" i="1"/>
  <c r="E12355" i="1"/>
  <c r="F12355" i="1"/>
  <c r="G12355" i="1"/>
  <c r="H12355" i="1"/>
  <c r="A12356" i="1"/>
  <c r="B12356" i="1"/>
  <c r="C12356" i="1"/>
  <c r="D12356" i="1"/>
  <c r="E12356" i="1"/>
  <c r="F12356" i="1"/>
  <c r="G12356" i="1"/>
  <c r="H12356" i="1"/>
  <c r="A12357" i="1"/>
  <c r="B12357" i="1"/>
  <c r="C12357" i="1"/>
  <c r="D12357" i="1"/>
  <c r="E12357" i="1"/>
  <c r="F12357" i="1"/>
  <c r="G12357" i="1"/>
  <c r="H12357" i="1"/>
  <c r="A12358" i="1"/>
  <c r="B12358" i="1"/>
  <c r="C12358" i="1"/>
  <c r="D12358" i="1"/>
  <c r="E12358" i="1"/>
  <c r="F12358" i="1"/>
  <c r="G12358" i="1"/>
  <c r="H12358" i="1"/>
  <c r="A12359" i="1"/>
  <c r="B12359" i="1"/>
  <c r="C12359" i="1"/>
  <c r="D12359" i="1"/>
  <c r="E12359" i="1"/>
  <c r="F12359" i="1"/>
  <c r="G12359" i="1"/>
  <c r="H12359" i="1"/>
  <c r="A12360" i="1"/>
  <c r="B12360" i="1"/>
  <c r="C12360" i="1"/>
  <c r="D12360" i="1"/>
  <c r="E12360" i="1"/>
  <c r="F12360" i="1"/>
  <c r="G12360" i="1"/>
  <c r="H12360" i="1"/>
  <c r="A12361" i="1"/>
  <c r="B12361" i="1"/>
  <c r="C12361" i="1"/>
  <c r="D12361" i="1"/>
  <c r="E12361" i="1"/>
  <c r="F12361" i="1"/>
  <c r="G12361" i="1"/>
  <c r="H12361" i="1"/>
  <c r="A12362" i="1"/>
  <c r="B12362" i="1"/>
  <c r="C12362" i="1"/>
  <c r="D12362" i="1"/>
  <c r="E12362" i="1"/>
  <c r="F12362" i="1"/>
  <c r="G12362" i="1"/>
  <c r="H12362" i="1"/>
  <c r="A12363" i="1"/>
  <c r="B12363" i="1"/>
  <c r="C12363" i="1"/>
  <c r="D12363" i="1"/>
  <c r="E12363" i="1"/>
  <c r="F12363" i="1"/>
  <c r="G12363" i="1"/>
  <c r="H12363" i="1"/>
  <c r="A12364" i="1"/>
  <c r="B12364" i="1"/>
  <c r="C12364" i="1"/>
  <c r="D12364" i="1"/>
  <c r="E12364" i="1"/>
  <c r="F12364" i="1"/>
  <c r="G12364" i="1"/>
  <c r="H12364" i="1"/>
  <c r="A12365" i="1"/>
  <c r="B12365" i="1"/>
  <c r="C12365" i="1"/>
  <c r="D12365" i="1"/>
  <c r="E12365" i="1"/>
  <c r="F12365" i="1"/>
  <c r="G12365" i="1"/>
  <c r="H12365" i="1"/>
  <c r="A12366" i="1"/>
  <c r="B12366" i="1"/>
  <c r="C12366" i="1"/>
  <c r="D12366" i="1"/>
  <c r="E12366" i="1"/>
  <c r="F12366" i="1"/>
  <c r="G12366" i="1"/>
  <c r="H12366" i="1"/>
  <c r="A12367" i="1"/>
  <c r="B12367" i="1"/>
  <c r="C12367" i="1"/>
  <c r="D12367" i="1"/>
  <c r="E12367" i="1"/>
  <c r="F12367" i="1"/>
  <c r="G12367" i="1"/>
  <c r="H12367" i="1"/>
  <c r="A12368" i="1"/>
  <c r="B12368" i="1"/>
  <c r="C12368" i="1"/>
  <c r="D12368" i="1"/>
  <c r="E12368" i="1"/>
  <c r="F12368" i="1"/>
  <c r="G12368" i="1"/>
  <c r="H12368" i="1"/>
  <c r="A12369" i="1"/>
  <c r="B12369" i="1"/>
  <c r="C12369" i="1"/>
  <c r="D12369" i="1"/>
  <c r="E12369" i="1"/>
  <c r="F12369" i="1"/>
  <c r="G12369" i="1"/>
  <c r="H12369" i="1"/>
  <c r="A12370" i="1"/>
  <c r="B12370" i="1"/>
  <c r="C12370" i="1"/>
  <c r="D12370" i="1"/>
  <c r="E12370" i="1"/>
  <c r="F12370" i="1"/>
  <c r="G12370" i="1"/>
  <c r="H12370" i="1"/>
  <c r="A12371" i="1"/>
  <c r="B12371" i="1"/>
  <c r="C12371" i="1"/>
  <c r="D12371" i="1"/>
  <c r="E12371" i="1"/>
  <c r="F12371" i="1"/>
  <c r="G12371" i="1"/>
  <c r="H12371" i="1"/>
  <c r="A12372" i="1"/>
  <c r="B12372" i="1"/>
  <c r="C12372" i="1"/>
  <c r="D12372" i="1"/>
  <c r="E12372" i="1"/>
  <c r="F12372" i="1"/>
  <c r="G12372" i="1"/>
  <c r="H12372" i="1"/>
  <c r="A12373" i="1"/>
  <c r="B12373" i="1"/>
  <c r="C12373" i="1"/>
  <c r="D12373" i="1"/>
  <c r="E12373" i="1"/>
  <c r="F12373" i="1"/>
  <c r="G12373" i="1"/>
  <c r="H12373" i="1"/>
  <c r="A12374" i="1"/>
  <c r="B12374" i="1"/>
  <c r="C12374" i="1"/>
  <c r="D12374" i="1"/>
  <c r="E12374" i="1"/>
  <c r="F12374" i="1"/>
  <c r="G12374" i="1"/>
  <c r="H12374" i="1"/>
  <c r="A12375" i="1"/>
  <c r="B12375" i="1"/>
  <c r="C12375" i="1"/>
  <c r="D12375" i="1"/>
  <c r="E12375" i="1"/>
  <c r="F12375" i="1"/>
  <c r="G12375" i="1"/>
  <c r="H12375" i="1"/>
  <c r="A12376" i="1"/>
  <c r="B12376" i="1"/>
  <c r="C12376" i="1"/>
  <c r="D12376" i="1"/>
  <c r="E12376" i="1"/>
  <c r="F12376" i="1"/>
  <c r="G12376" i="1"/>
  <c r="H12376" i="1"/>
  <c r="A12377" i="1"/>
  <c r="B12377" i="1"/>
  <c r="C12377" i="1"/>
  <c r="D12377" i="1"/>
  <c r="E12377" i="1"/>
  <c r="F12377" i="1"/>
  <c r="G12377" i="1"/>
  <c r="H12377" i="1"/>
  <c r="A12378" i="1"/>
  <c r="B12378" i="1"/>
  <c r="C12378" i="1"/>
  <c r="D12378" i="1"/>
  <c r="E12378" i="1"/>
  <c r="F12378" i="1"/>
  <c r="G12378" i="1"/>
  <c r="H12378" i="1"/>
  <c r="A12379" i="1"/>
  <c r="B12379" i="1"/>
  <c r="C12379" i="1"/>
  <c r="D12379" i="1"/>
  <c r="E12379" i="1"/>
  <c r="F12379" i="1"/>
  <c r="G12379" i="1"/>
  <c r="H12379" i="1"/>
  <c r="A12380" i="1"/>
  <c r="B12380" i="1"/>
  <c r="C12380" i="1"/>
  <c r="D12380" i="1"/>
  <c r="E12380" i="1"/>
  <c r="F12380" i="1"/>
  <c r="G12380" i="1"/>
  <c r="H12380" i="1"/>
  <c r="A12381" i="1"/>
  <c r="B12381" i="1"/>
  <c r="C12381" i="1"/>
  <c r="D12381" i="1"/>
  <c r="E12381" i="1"/>
  <c r="F12381" i="1"/>
  <c r="G12381" i="1"/>
  <c r="H12381" i="1"/>
  <c r="A12382" i="1"/>
  <c r="B12382" i="1"/>
  <c r="C12382" i="1"/>
  <c r="D12382" i="1"/>
  <c r="E12382" i="1"/>
  <c r="F12382" i="1"/>
  <c r="G12382" i="1"/>
  <c r="H12382" i="1"/>
  <c r="A12383" i="1"/>
  <c r="B12383" i="1"/>
  <c r="C12383" i="1"/>
  <c r="D12383" i="1"/>
  <c r="E12383" i="1"/>
  <c r="F12383" i="1"/>
  <c r="G12383" i="1"/>
  <c r="H12383" i="1"/>
  <c r="A12384" i="1"/>
  <c r="B12384" i="1"/>
  <c r="C12384" i="1"/>
  <c r="D12384" i="1"/>
  <c r="E12384" i="1"/>
  <c r="F12384" i="1"/>
  <c r="G12384" i="1"/>
  <c r="H12384" i="1"/>
  <c r="A12385" i="1"/>
  <c r="B12385" i="1"/>
  <c r="C12385" i="1"/>
  <c r="D12385" i="1"/>
  <c r="E12385" i="1"/>
  <c r="F12385" i="1"/>
  <c r="G12385" i="1"/>
  <c r="H12385" i="1"/>
  <c r="A12386" i="1"/>
  <c r="B12386" i="1"/>
  <c r="C12386" i="1"/>
  <c r="D12386" i="1"/>
  <c r="E12386" i="1"/>
  <c r="F12386" i="1"/>
  <c r="G12386" i="1"/>
  <c r="H12386" i="1"/>
  <c r="A12387" i="1"/>
  <c r="B12387" i="1"/>
  <c r="C12387" i="1"/>
  <c r="D12387" i="1"/>
  <c r="E12387" i="1"/>
  <c r="F12387" i="1"/>
  <c r="G12387" i="1"/>
  <c r="H12387" i="1"/>
  <c r="A12388" i="1"/>
  <c r="B12388" i="1"/>
  <c r="C12388" i="1"/>
  <c r="D12388" i="1"/>
  <c r="E12388" i="1"/>
  <c r="F12388" i="1"/>
  <c r="G12388" i="1"/>
  <c r="H12388" i="1"/>
  <c r="A12389" i="1"/>
  <c r="B12389" i="1"/>
  <c r="C12389" i="1"/>
  <c r="D12389" i="1"/>
  <c r="E12389" i="1"/>
  <c r="F12389" i="1"/>
  <c r="G12389" i="1"/>
  <c r="H12389" i="1"/>
  <c r="A12390" i="1"/>
  <c r="B12390" i="1"/>
  <c r="C12390" i="1"/>
  <c r="D12390" i="1"/>
  <c r="E12390" i="1"/>
  <c r="F12390" i="1"/>
  <c r="G12390" i="1"/>
  <c r="H12390" i="1"/>
  <c r="A12391" i="1"/>
  <c r="B12391" i="1"/>
  <c r="C12391" i="1"/>
  <c r="D12391" i="1"/>
  <c r="E12391" i="1"/>
  <c r="F12391" i="1"/>
  <c r="G12391" i="1"/>
  <c r="H12391" i="1"/>
  <c r="A12392" i="1"/>
  <c r="B12392" i="1"/>
  <c r="C12392" i="1"/>
  <c r="D12392" i="1"/>
  <c r="E12392" i="1"/>
  <c r="F12392" i="1"/>
  <c r="G12392" i="1"/>
  <c r="H12392" i="1"/>
  <c r="A12393" i="1"/>
  <c r="B12393" i="1"/>
  <c r="C12393" i="1"/>
  <c r="D12393" i="1"/>
  <c r="E12393" i="1"/>
  <c r="F12393" i="1"/>
  <c r="G12393" i="1"/>
  <c r="H12393" i="1"/>
  <c r="A12394" i="1"/>
  <c r="B12394" i="1"/>
  <c r="C12394" i="1"/>
  <c r="D12394" i="1"/>
  <c r="E12394" i="1"/>
  <c r="F12394" i="1"/>
  <c r="G12394" i="1"/>
  <c r="H12394" i="1"/>
  <c r="A12395" i="1"/>
  <c r="B12395" i="1"/>
  <c r="C12395" i="1"/>
  <c r="D12395" i="1"/>
  <c r="E12395" i="1"/>
  <c r="F12395" i="1"/>
  <c r="G12395" i="1"/>
  <c r="H12395" i="1"/>
  <c r="A12396" i="1"/>
  <c r="B12396" i="1"/>
  <c r="C12396" i="1"/>
  <c r="D12396" i="1"/>
  <c r="E12396" i="1"/>
  <c r="F12396" i="1"/>
  <c r="G12396" i="1"/>
  <c r="H12396" i="1"/>
  <c r="A12397" i="1"/>
  <c r="B12397" i="1"/>
  <c r="C12397" i="1"/>
  <c r="D12397" i="1"/>
  <c r="E12397" i="1"/>
  <c r="F12397" i="1"/>
  <c r="G12397" i="1"/>
  <c r="H12397" i="1"/>
  <c r="A12398" i="1"/>
  <c r="B12398" i="1"/>
  <c r="C12398" i="1"/>
  <c r="D12398" i="1"/>
  <c r="E12398" i="1"/>
  <c r="F12398" i="1"/>
  <c r="G12398" i="1"/>
  <c r="H12398" i="1"/>
  <c r="A12399" i="1"/>
  <c r="B12399" i="1"/>
  <c r="C12399" i="1"/>
  <c r="D12399" i="1"/>
  <c r="E12399" i="1"/>
  <c r="F12399" i="1"/>
  <c r="G12399" i="1"/>
  <c r="H12399" i="1"/>
  <c r="A12400" i="1"/>
  <c r="B12400" i="1"/>
  <c r="C12400" i="1"/>
  <c r="D12400" i="1"/>
  <c r="E12400" i="1"/>
  <c r="F12400" i="1"/>
  <c r="G12400" i="1"/>
  <c r="H12400" i="1"/>
  <c r="A12401" i="1"/>
  <c r="B12401" i="1"/>
  <c r="C12401" i="1"/>
  <c r="D12401" i="1"/>
  <c r="E12401" i="1"/>
  <c r="F12401" i="1"/>
  <c r="G12401" i="1"/>
  <c r="H12401" i="1"/>
  <c r="A12402" i="1"/>
  <c r="B12402" i="1"/>
  <c r="C12402" i="1"/>
  <c r="D12402" i="1"/>
  <c r="E12402" i="1"/>
  <c r="F12402" i="1"/>
  <c r="G12402" i="1"/>
  <c r="H12402" i="1"/>
  <c r="A12403" i="1"/>
  <c r="B12403" i="1"/>
  <c r="C12403" i="1"/>
  <c r="D12403" i="1"/>
  <c r="E12403" i="1"/>
  <c r="F12403" i="1"/>
  <c r="G12403" i="1"/>
  <c r="H12403" i="1"/>
  <c r="A12404" i="1"/>
  <c r="B12404" i="1"/>
  <c r="C12404" i="1"/>
  <c r="D12404" i="1"/>
  <c r="E12404" i="1"/>
  <c r="F12404" i="1"/>
  <c r="G12404" i="1"/>
  <c r="H12404" i="1"/>
  <c r="A12405" i="1"/>
  <c r="B12405" i="1"/>
  <c r="C12405" i="1"/>
  <c r="D12405" i="1"/>
  <c r="E12405" i="1"/>
  <c r="F12405" i="1"/>
  <c r="G12405" i="1"/>
  <c r="H12405" i="1"/>
  <c r="A12406" i="1"/>
  <c r="B12406" i="1"/>
  <c r="C12406" i="1"/>
  <c r="D12406" i="1"/>
  <c r="E12406" i="1"/>
  <c r="F12406" i="1"/>
  <c r="G12406" i="1"/>
  <c r="H12406" i="1"/>
  <c r="A12407" i="1"/>
  <c r="B12407" i="1"/>
  <c r="C12407" i="1"/>
  <c r="D12407" i="1"/>
  <c r="E12407" i="1"/>
  <c r="F12407" i="1"/>
  <c r="G12407" i="1"/>
  <c r="H12407" i="1"/>
  <c r="A12408" i="1"/>
  <c r="B12408" i="1"/>
  <c r="C12408" i="1"/>
  <c r="D12408" i="1"/>
  <c r="E12408" i="1"/>
  <c r="F12408" i="1"/>
  <c r="G12408" i="1"/>
  <c r="H12408" i="1"/>
  <c r="A12409" i="1"/>
  <c r="B12409" i="1"/>
  <c r="C12409" i="1"/>
  <c r="D12409" i="1"/>
  <c r="E12409" i="1"/>
  <c r="F12409" i="1"/>
  <c r="G12409" i="1"/>
  <c r="H12409" i="1"/>
  <c r="A12410" i="1"/>
  <c r="B12410" i="1"/>
  <c r="C12410" i="1"/>
  <c r="D12410" i="1"/>
  <c r="E12410" i="1"/>
  <c r="F12410" i="1"/>
  <c r="G12410" i="1"/>
  <c r="H12410" i="1"/>
  <c r="A12411" i="1"/>
  <c r="B12411" i="1"/>
  <c r="C12411" i="1"/>
  <c r="D12411" i="1"/>
  <c r="E12411" i="1"/>
  <c r="F12411" i="1"/>
  <c r="G12411" i="1"/>
  <c r="H12411" i="1"/>
  <c r="A12412" i="1"/>
  <c r="B12412" i="1"/>
  <c r="C12412" i="1"/>
  <c r="D12412" i="1"/>
  <c r="E12412" i="1"/>
  <c r="F12412" i="1"/>
  <c r="G12412" i="1"/>
  <c r="H12412" i="1"/>
  <c r="A12413" i="1"/>
  <c r="B12413" i="1"/>
  <c r="C12413" i="1"/>
  <c r="D12413" i="1"/>
  <c r="E12413" i="1"/>
  <c r="F12413" i="1"/>
  <c r="G12413" i="1"/>
  <c r="H12413" i="1"/>
  <c r="A12414" i="1"/>
  <c r="B12414" i="1"/>
  <c r="C12414" i="1"/>
  <c r="D12414" i="1"/>
  <c r="E12414" i="1"/>
  <c r="F12414" i="1"/>
  <c r="G12414" i="1"/>
  <c r="H12414" i="1"/>
  <c r="A12415" i="1"/>
  <c r="B12415" i="1"/>
  <c r="C12415" i="1"/>
  <c r="D12415" i="1"/>
  <c r="E12415" i="1"/>
  <c r="F12415" i="1"/>
  <c r="G12415" i="1"/>
  <c r="H12415" i="1"/>
  <c r="A12416" i="1"/>
  <c r="B12416" i="1"/>
  <c r="C12416" i="1"/>
  <c r="D12416" i="1"/>
  <c r="E12416" i="1"/>
  <c r="F12416" i="1"/>
  <c r="G12416" i="1"/>
  <c r="H12416" i="1"/>
  <c r="A12417" i="1"/>
  <c r="B12417" i="1"/>
  <c r="C12417" i="1"/>
  <c r="D12417" i="1"/>
  <c r="E12417" i="1"/>
  <c r="F12417" i="1"/>
  <c r="G12417" i="1"/>
  <c r="H12417" i="1"/>
  <c r="A12418" i="1"/>
  <c r="B12418" i="1"/>
  <c r="C12418" i="1"/>
  <c r="D12418" i="1"/>
  <c r="E12418" i="1"/>
  <c r="F12418" i="1"/>
  <c r="G12418" i="1"/>
  <c r="H12418" i="1"/>
  <c r="A12419" i="1"/>
  <c r="B12419" i="1"/>
  <c r="C12419" i="1"/>
  <c r="D12419" i="1"/>
  <c r="E12419" i="1"/>
  <c r="F12419" i="1"/>
  <c r="G12419" i="1"/>
  <c r="H12419" i="1"/>
  <c r="A12420" i="1"/>
  <c r="B12420" i="1"/>
  <c r="C12420" i="1"/>
  <c r="D12420" i="1"/>
  <c r="E12420" i="1"/>
  <c r="F12420" i="1"/>
  <c r="G12420" i="1"/>
  <c r="H12420" i="1"/>
  <c r="A12421" i="1"/>
  <c r="B12421" i="1"/>
  <c r="C12421" i="1"/>
  <c r="D12421" i="1"/>
  <c r="E12421" i="1"/>
  <c r="F12421" i="1"/>
  <c r="G12421" i="1"/>
  <c r="H12421" i="1"/>
  <c r="A12422" i="1"/>
  <c r="B12422" i="1"/>
  <c r="C12422" i="1"/>
  <c r="D12422" i="1"/>
  <c r="E12422" i="1"/>
  <c r="F12422" i="1"/>
  <c r="G12422" i="1"/>
  <c r="H12422" i="1"/>
  <c r="A12423" i="1"/>
  <c r="B12423" i="1"/>
  <c r="C12423" i="1"/>
  <c r="D12423" i="1"/>
  <c r="E12423" i="1"/>
  <c r="F12423" i="1"/>
  <c r="G12423" i="1"/>
  <c r="H12423" i="1"/>
  <c r="A12424" i="1"/>
  <c r="B12424" i="1"/>
  <c r="C12424" i="1"/>
  <c r="D12424" i="1"/>
  <c r="E12424" i="1"/>
  <c r="F12424" i="1"/>
  <c r="G12424" i="1"/>
  <c r="H12424" i="1"/>
  <c r="A12425" i="1"/>
  <c r="B12425" i="1"/>
  <c r="C12425" i="1"/>
  <c r="D12425" i="1"/>
  <c r="E12425" i="1"/>
  <c r="F12425" i="1"/>
  <c r="G12425" i="1"/>
  <c r="H12425" i="1"/>
  <c r="A12426" i="1"/>
  <c r="B12426" i="1"/>
  <c r="C12426" i="1"/>
  <c r="D12426" i="1"/>
  <c r="E12426" i="1"/>
  <c r="F12426" i="1"/>
  <c r="G12426" i="1"/>
  <c r="H12426" i="1"/>
  <c r="A12427" i="1"/>
  <c r="B12427" i="1"/>
  <c r="C12427" i="1"/>
  <c r="D12427" i="1"/>
  <c r="E12427" i="1"/>
  <c r="F12427" i="1"/>
  <c r="G12427" i="1"/>
  <c r="H12427" i="1"/>
  <c r="A12428" i="1"/>
  <c r="B12428" i="1"/>
  <c r="C12428" i="1"/>
  <c r="D12428" i="1"/>
  <c r="E12428" i="1"/>
  <c r="F12428" i="1"/>
  <c r="G12428" i="1"/>
  <c r="H12428" i="1"/>
  <c r="A12429" i="1"/>
  <c r="B12429" i="1"/>
  <c r="C12429" i="1"/>
  <c r="D12429" i="1"/>
  <c r="E12429" i="1"/>
  <c r="F12429" i="1"/>
  <c r="G12429" i="1"/>
  <c r="H12429" i="1"/>
  <c r="A12430" i="1"/>
  <c r="B12430" i="1"/>
  <c r="C12430" i="1"/>
  <c r="D12430" i="1"/>
  <c r="E12430" i="1"/>
  <c r="F12430" i="1"/>
  <c r="G12430" i="1"/>
  <c r="H12430" i="1"/>
  <c r="A12431" i="1"/>
  <c r="B12431" i="1"/>
  <c r="C12431" i="1"/>
  <c r="D12431" i="1"/>
  <c r="E12431" i="1"/>
  <c r="F12431" i="1"/>
  <c r="G12431" i="1"/>
  <c r="H12431" i="1"/>
  <c r="A12432" i="1"/>
  <c r="B12432" i="1"/>
  <c r="C12432" i="1"/>
  <c r="D12432" i="1"/>
  <c r="E12432" i="1"/>
  <c r="F12432" i="1"/>
  <c r="G12432" i="1"/>
  <c r="H12432" i="1"/>
  <c r="A12433" i="1"/>
  <c r="B12433" i="1"/>
  <c r="C12433" i="1"/>
  <c r="D12433" i="1"/>
  <c r="E12433" i="1"/>
  <c r="F12433" i="1"/>
  <c r="G12433" i="1"/>
  <c r="H12433" i="1"/>
  <c r="A12434" i="1"/>
  <c r="B12434" i="1"/>
  <c r="C12434" i="1"/>
  <c r="D12434" i="1"/>
  <c r="E12434" i="1"/>
  <c r="F12434" i="1"/>
  <c r="G12434" i="1"/>
  <c r="H12434" i="1"/>
  <c r="A12435" i="1"/>
  <c r="B12435" i="1"/>
  <c r="C12435" i="1"/>
  <c r="D12435" i="1"/>
  <c r="E12435" i="1"/>
  <c r="F12435" i="1"/>
  <c r="G12435" i="1"/>
  <c r="H12435" i="1"/>
  <c r="A12436" i="1"/>
  <c r="B12436" i="1"/>
  <c r="C12436" i="1"/>
  <c r="D12436" i="1"/>
  <c r="E12436" i="1"/>
  <c r="F12436" i="1"/>
  <c r="G12436" i="1"/>
  <c r="H12436" i="1"/>
  <c r="A12437" i="1"/>
  <c r="B12437" i="1"/>
  <c r="C12437" i="1"/>
  <c r="D12437" i="1"/>
  <c r="E12437" i="1"/>
  <c r="F12437" i="1"/>
  <c r="G12437" i="1"/>
  <c r="H12437" i="1"/>
  <c r="A12438" i="1"/>
  <c r="B12438" i="1"/>
  <c r="C12438" i="1"/>
  <c r="D12438" i="1"/>
  <c r="E12438" i="1"/>
  <c r="F12438" i="1"/>
  <c r="G12438" i="1"/>
  <c r="H12438" i="1"/>
  <c r="A12439" i="1"/>
  <c r="B12439" i="1"/>
  <c r="C12439" i="1"/>
  <c r="D12439" i="1"/>
  <c r="E12439" i="1"/>
  <c r="F12439" i="1"/>
  <c r="G12439" i="1"/>
  <c r="H12439" i="1"/>
  <c r="A12440" i="1"/>
  <c r="B12440" i="1"/>
  <c r="C12440" i="1"/>
  <c r="D12440" i="1"/>
  <c r="E12440" i="1"/>
  <c r="F12440" i="1"/>
  <c r="G12440" i="1"/>
  <c r="H12440" i="1"/>
  <c r="A12441" i="1"/>
  <c r="B12441" i="1"/>
  <c r="C12441" i="1"/>
  <c r="D12441" i="1"/>
  <c r="E12441" i="1"/>
  <c r="F12441" i="1"/>
  <c r="G12441" i="1"/>
  <c r="H12441" i="1"/>
  <c r="A12442" i="1"/>
  <c r="B12442" i="1"/>
  <c r="C12442" i="1"/>
  <c r="D12442" i="1"/>
  <c r="E12442" i="1"/>
  <c r="F12442" i="1"/>
  <c r="G12442" i="1"/>
  <c r="H12442" i="1"/>
  <c r="A12443" i="1"/>
  <c r="B12443" i="1"/>
  <c r="C12443" i="1"/>
  <c r="D12443" i="1"/>
  <c r="E12443" i="1"/>
  <c r="F12443" i="1"/>
  <c r="G12443" i="1"/>
  <c r="H12443" i="1"/>
  <c r="A12444" i="1"/>
  <c r="B12444" i="1"/>
  <c r="C12444" i="1"/>
  <c r="D12444" i="1"/>
  <c r="E12444" i="1"/>
  <c r="F12444" i="1"/>
  <c r="G12444" i="1"/>
  <c r="H12444" i="1"/>
  <c r="A12445" i="1"/>
  <c r="B12445" i="1"/>
  <c r="C12445" i="1"/>
  <c r="D12445" i="1"/>
  <c r="E12445" i="1"/>
  <c r="F12445" i="1"/>
  <c r="G12445" i="1"/>
  <c r="H12445" i="1"/>
  <c r="A12446" i="1"/>
  <c r="B12446" i="1"/>
  <c r="C12446" i="1"/>
  <c r="D12446" i="1"/>
  <c r="E12446" i="1"/>
  <c r="F12446" i="1"/>
  <c r="G12446" i="1"/>
  <c r="H12446" i="1"/>
  <c r="A12447" i="1"/>
  <c r="B12447" i="1"/>
  <c r="C12447" i="1"/>
  <c r="D12447" i="1"/>
  <c r="E12447" i="1"/>
  <c r="F12447" i="1"/>
  <c r="G12447" i="1"/>
  <c r="H12447" i="1"/>
  <c r="A12448" i="1"/>
  <c r="B12448" i="1"/>
  <c r="C12448" i="1"/>
  <c r="D12448" i="1"/>
  <c r="E12448" i="1"/>
  <c r="F12448" i="1"/>
  <c r="G12448" i="1"/>
  <c r="H12448" i="1"/>
  <c r="A12449" i="1"/>
  <c r="B12449" i="1"/>
  <c r="C12449" i="1"/>
  <c r="D12449" i="1"/>
  <c r="E12449" i="1"/>
  <c r="F12449" i="1"/>
  <c r="G12449" i="1"/>
  <c r="H12449" i="1"/>
  <c r="A12450" i="1"/>
  <c r="B12450" i="1"/>
  <c r="C12450" i="1"/>
  <c r="D12450" i="1"/>
  <c r="E12450" i="1"/>
  <c r="F12450" i="1"/>
  <c r="G12450" i="1"/>
  <c r="H12450" i="1"/>
  <c r="A12451" i="1"/>
  <c r="B12451" i="1"/>
  <c r="C12451" i="1"/>
  <c r="D12451" i="1"/>
  <c r="E12451" i="1"/>
  <c r="F12451" i="1"/>
  <c r="G12451" i="1"/>
  <c r="H12451" i="1"/>
  <c r="A12452" i="1"/>
  <c r="B12452" i="1"/>
  <c r="C12452" i="1"/>
  <c r="D12452" i="1"/>
  <c r="E12452" i="1"/>
  <c r="F12452" i="1"/>
  <c r="G12452" i="1"/>
  <c r="H12452" i="1"/>
  <c r="A12453" i="1"/>
  <c r="B12453" i="1"/>
  <c r="C12453" i="1"/>
  <c r="D12453" i="1"/>
  <c r="E12453" i="1"/>
  <c r="F12453" i="1"/>
  <c r="G12453" i="1"/>
  <c r="H12453" i="1"/>
  <c r="A12454" i="1"/>
  <c r="B12454" i="1"/>
  <c r="C12454" i="1"/>
  <c r="D12454" i="1"/>
  <c r="E12454" i="1"/>
  <c r="F12454" i="1"/>
  <c r="G12454" i="1"/>
  <c r="H12454" i="1"/>
  <c r="A12455" i="1"/>
  <c r="B12455" i="1"/>
  <c r="C12455" i="1"/>
  <c r="D12455" i="1"/>
  <c r="E12455" i="1"/>
  <c r="F12455" i="1"/>
  <c r="G12455" i="1"/>
  <c r="H12455" i="1"/>
  <c r="A12456" i="1"/>
  <c r="B12456" i="1"/>
  <c r="C12456" i="1"/>
  <c r="D12456" i="1"/>
  <c r="E12456" i="1"/>
  <c r="F12456" i="1"/>
  <c r="G12456" i="1"/>
  <c r="H12456" i="1"/>
  <c r="A12457" i="1"/>
  <c r="B12457" i="1"/>
  <c r="C12457" i="1"/>
  <c r="D12457" i="1"/>
  <c r="E12457" i="1"/>
  <c r="F12457" i="1"/>
  <c r="G12457" i="1"/>
  <c r="H12457" i="1"/>
  <c r="A12458" i="1"/>
  <c r="B12458" i="1"/>
  <c r="C12458" i="1"/>
  <c r="D12458" i="1"/>
  <c r="E12458" i="1"/>
  <c r="F12458" i="1"/>
  <c r="G12458" i="1"/>
  <c r="H12458" i="1"/>
  <c r="A12459" i="1"/>
  <c r="B12459" i="1"/>
  <c r="C12459" i="1"/>
  <c r="D12459" i="1"/>
  <c r="E12459" i="1"/>
  <c r="F12459" i="1"/>
  <c r="G12459" i="1"/>
  <c r="H12459" i="1"/>
  <c r="A12460" i="1"/>
  <c r="B12460" i="1"/>
  <c r="C12460" i="1"/>
  <c r="D12460" i="1"/>
  <c r="E12460" i="1"/>
  <c r="F12460" i="1"/>
  <c r="G12460" i="1"/>
  <c r="H12460" i="1"/>
  <c r="A12461" i="1"/>
  <c r="B12461" i="1"/>
  <c r="C12461" i="1"/>
  <c r="D12461" i="1"/>
  <c r="E12461" i="1"/>
  <c r="F12461" i="1"/>
  <c r="G12461" i="1"/>
  <c r="H12461" i="1"/>
  <c r="A12462" i="1"/>
  <c r="B12462" i="1"/>
  <c r="C12462" i="1"/>
  <c r="D12462" i="1"/>
  <c r="E12462" i="1"/>
  <c r="F12462" i="1"/>
  <c r="G12462" i="1"/>
  <c r="H12462" i="1"/>
  <c r="A12463" i="1"/>
  <c r="B12463" i="1"/>
  <c r="C12463" i="1"/>
  <c r="D12463" i="1"/>
  <c r="E12463" i="1"/>
  <c r="F12463" i="1"/>
  <c r="G12463" i="1"/>
  <c r="H12463" i="1"/>
  <c r="A12464" i="1"/>
  <c r="B12464" i="1"/>
  <c r="C12464" i="1"/>
  <c r="D12464" i="1"/>
  <c r="E12464" i="1"/>
  <c r="F12464" i="1"/>
  <c r="G12464" i="1"/>
  <c r="H12464" i="1"/>
  <c r="A12465" i="1"/>
  <c r="B12465" i="1"/>
  <c r="C12465" i="1"/>
  <c r="D12465" i="1"/>
  <c r="E12465" i="1"/>
  <c r="F12465" i="1"/>
  <c r="G12465" i="1"/>
  <c r="H12465" i="1"/>
  <c r="A12466" i="1"/>
  <c r="B12466" i="1"/>
  <c r="C12466" i="1"/>
  <c r="D12466" i="1"/>
  <c r="E12466" i="1"/>
  <c r="F12466" i="1"/>
  <c r="G12466" i="1"/>
  <c r="H12466" i="1"/>
  <c r="A12467" i="1"/>
  <c r="B12467" i="1"/>
  <c r="C12467" i="1"/>
  <c r="D12467" i="1"/>
  <c r="E12467" i="1"/>
  <c r="F12467" i="1"/>
  <c r="G12467" i="1"/>
  <c r="H12467" i="1"/>
  <c r="A12468" i="1"/>
  <c r="B12468" i="1"/>
  <c r="C12468" i="1"/>
  <c r="D12468" i="1"/>
  <c r="E12468" i="1"/>
  <c r="F12468" i="1"/>
  <c r="G12468" i="1"/>
  <c r="H12468" i="1"/>
  <c r="A12469" i="1"/>
  <c r="B12469" i="1"/>
  <c r="C12469" i="1"/>
  <c r="D12469" i="1"/>
  <c r="E12469" i="1"/>
  <c r="F12469" i="1"/>
  <c r="G12469" i="1"/>
  <c r="H12469" i="1"/>
  <c r="A12470" i="1"/>
  <c r="B12470" i="1"/>
  <c r="C12470" i="1"/>
  <c r="D12470" i="1"/>
  <c r="E12470" i="1"/>
  <c r="F12470" i="1"/>
  <c r="G12470" i="1"/>
  <c r="H12470" i="1"/>
  <c r="A12471" i="1"/>
  <c r="B12471" i="1"/>
  <c r="C12471" i="1"/>
  <c r="D12471" i="1"/>
  <c r="E12471" i="1"/>
  <c r="F12471" i="1"/>
  <c r="G12471" i="1"/>
  <c r="H12471" i="1"/>
  <c r="A12472" i="1"/>
  <c r="B12472" i="1"/>
  <c r="C12472" i="1"/>
  <c r="D12472" i="1"/>
  <c r="E12472" i="1"/>
  <c r="F12472" i="1"/>
  <c r="G12472" i="1"/>
  <c r="H12472" i="1"/>
  <c r="A12473" i="1"/>
  <c r="B12473" i="1"/>
  <c r="C12473" i="1"/>
  <c r="D12473" i="1"/>
  <c r="E12473" i="1"/>
  <c r="F12473" i="1"/>
  <c r="G12473" i="1"/>
  <c r="H12473" i="1"/>
  <c r="A12474" i="1"/>
  <c r="B12474" i="1"/>
  <c r="C12474" i="1"/>
  <c r="D12474" i="1"/>
  <c r="E12474" i="1"/>
  <c r="F12474" i="1"/>
  <c r="G12474" i="1"/>
  <c r="H12474" i="1"/>
  <c r="A12475" i="1"/>
  <c r="B12475" i="1"/>
  <c r="C12475" i="1"/>
  <c r="D12475" i="1"/>
  <c r="E12475" i="1"/>
  <c r="F12475" i="1"/>
  <c r="G12475" i="1"/>
  <c r="H12475" i="1"/>
  <c r="A12476" i="1"/>
  <c r="B12476" i="1"/>
  <c r="C12476" i="1"/>
  <c r="D12476" i="1"/>
  <c r="E12476" i="1"/>
  <c r="F12476" i="1"/>
  <c r="G12476" i="1"/>
  <c r="H12476" i="1"/>
  <c r="A12477" i="1"/>
  <c r="B12477" i="1"/>
  <c r="C12477" i="1"/>
  <c r="D12477" i="1"/>
  <c r="E12477" i="1"/>
  <c r="F12477" i="1"/>
  <c r="G12477" i="1"/>
  <c r="H12477" i="1"/>
  <c r="A12478" i="1"/>
  <c r="B12478" i="1"/>
  <c r="C12478" i="1"/>
  <c r="D12478" i="1"/>
  <c r="E12478" i="1"/>
  <c r="F12478" i="1"/>
  <c r="G12478" i="1"/>
  <c r="H12478" i="1"/>
  <c r="A12479" i="1"/>
  <c r="B12479" i="1"/>
  <c r="C12479" i="1"/>
  <c r="D12479" i="1"/>
  <c r="E12479" i="1"/>
  <c r="F12479" i="1"/>
  <c r="G12479" i="1"/>
  <c r="H12479" i="1"/>
  <c r="A12480" i="1"/>
  <c r="B12480" i="1"/>
  <c r="C12480" i="1"/>
  <c r="D12480" i="1"/>
  <c r="E12480" i="1"/>
  <c r="F12480" i="1"/>
  <c r="G12480" i="1"/>
  <c r="H12480" i="1"/>
  <c r="A12481" i="1"/>
  <c r="B12481" i="1"/>
  <c r="C12481" i="1"/>
  <c r="D12481" i="1"/>
  <c r="E12481" i="1"/>
  <c r="F12481" i="1"/>
  <c r="G12481" i="1"/>
  <c r="H12481" i="1"/>
  <c r="A12482" i="1"/>
  <c r="B12482" i="1"/>
  <c r="C12482" i="1"/>
  <c r="D12482" i="1"/>
  <c r="E12482" i="1"/>
  <c r="F12482" i="1"/>
  <c r="G12482" i="1"/>
  <c r="H12482" i="1"/>
  <c r="A12483" i="1"/>
  <c r="B12483" i="1"/>
  <c r="C12483" i="1"/>
  <c r="D12483" i="1"/>
  <c r="E12483" i="1"/>
  <c r="F12483" i="1"/>
  <c r="G12483" i="1"/>
  <c r="H12483" i="1"/>
  <c r="A12484" i="1"/>
  <c r="B12484" i="1"/>
  <c r="C12484" i="1"/>
  <c r="D12484" i="1"/>
  <c r="E12484" i="1"/>
  <c r="F12484" i="1"/>
  <c r="G12484" i="1"/>
  <c r="H12484" i="1"/>
  <c r="A12485" i="1"/>
  <c r="B12485" i="1"/>
  <c r="C12485" i="1"/>
  <c r="D12485" i="1"/>
  <c r="E12485" i="1"/>
  <c r="F12485" i="1"/>
  <c r="G12485" i="1"/>
  <c r="H12485" i="1"/>
  <c r="A12486" i="1"/>
  <c r="B12486" i="1"/>
  <c r="C12486" i="1"/>
  <c r="D12486" i="1"/>
  <c r="E12486" i="1"/>
  <c r="F12486" i="1"/>
  <c r="G12486" i="1"/>
  <c r="H12486" i="1"/>
  <c r="A12487" i="1"/>
  <c r="B12487" i="1"/>
  <c r="C12487" i="1"/>
  <c r="D12487" i="1"/>
  <c r="E12487" i="1"/>
  <c r="F12487" i="1"/>
  <c r="G12487" i="1"/>
  <c r="H12487" i="1"/>
  <c r="A12488" i="1"/>
  <c r="B12488" i="1"/>
  <c r="C12488" i="1"/>
  <c r="D12488" i="1"/>
  <c r="E12488" i="1"/>
  <c r="F12488" i="1"/>
  <c r="G12488" i="1"/>
  <c r="H12488" i="1"/>
  <c r="A12489" i="1"/>
  <c r="B12489" i="1"/>
  <c r="C12489" i="1"/>
  <c r="D12489" i="1"/>
  <c r="E12489" i="1"/>
  <c r="F12489" i="1"/>
  <c r="G12489" i="1"/>
  <c r="H12489" i="1"/>
  <c r="A12490" i="1"/>
  <c r="B12490" i="1"/>
  <c r="C12490" i="1"/>
  <c r="D12490" i="1"/>
  <c r="E12490" i="1"/>
  <c r="F12490" i="1"/>
  <c r="G12490" i="1"/>
  <c r="H12490" i="1"/>
  <c r="A12491" i="1"/>
  <c r="B12491" i="1"/>
  <c r="C12491" i="1"/>
  <c r="D12491" i="1"/>
  <c r="E12491" i="1"/>
  <c r="F12491" i="1"/>
  <c r="G12491" i="1"/>
  <c r="H12491" i="1"/>
  <c r="A12492" i="1"/>
  <c r="B12492" i="1"/>
  <c r="C12492" i="1"/>
  <c r="D12492" i="1"/>
  <c r="E12492" i="1"/>
  <c r="F12492" i="1"/>
  <c r="G12492" i="1"/>
  <c r="H12492" i="1"/>
  <c r="A12493" i="1"/>
  <c r="B12493" i="1"/>
  <c r="C12493" i="1"/>
  <c r="D12493" i="1"/>
  <c r="E12493" i="1"/>
  <c r="F12493" i="1"/>
  <c r="G12493" i="1"/>
  <c r="H12493" i="1"/>
  <c r="A12494" i="1"/>
  <c r="B12494" i="1"/>
  <c r="C12494" i="1"/>
  <c r="D12494" i="1"/>
  <c r="E12494" i="1"/>
  <c r="F12494" i="1"/>
  <c r="G12494" i="1"/>
  <c r="H12494" i="1"/>
  <c r="A12495" i="1"/>
  <c r="B12495" i="1"/>
  <c r="C12495" i="1"/>
  <c r="D12495" i="1"/>
  <c r="E12495" i="1"/>
  <c r="F12495" i="1"/>
  <c r="G12495" i="1"/>
  <c r="H12495" i="1"/>
  <c r="A12496" i="1"/>
  <c r="B12496" i="1"/>
  <c r="C12496" i="1"/>
  <c r="D12496" i="1"/>
  <c r="E12496" i="1"/>
  <c r="F12496" i="1"/>
  <c r="G12496" i="1"/>
  <c r="H12496" i="1"/>
  <c r="A12497" i="1"/>
  <c r="B12497" i="1"/>
  <c r="C12497" i="1"/>
  <c r="D12497" i="1"/>
  <c r="E12497" i="1"/>
  <c r="F12497" i="1"/>
  <c r="G12497" i="1"/>
  <c r="H12497" i="1"/>
  <c r="A12498" i="1"/>
  <c r="B12498" i="1"/>
  <c r="C12498" i="1"/>
  <c r="D12498" i="1"/>
  <c r="E12498" i="1"/>
  <c r="F12498" i="1"/>
  <c r="G12498" i="1"/>
  <c r="H12498" i="1"/>
  <c r="A12499" i="1"/>
  <c r="B12499" i="1"/>
  <c r="C12499" i="1"/>
  <c r="D12499" i="1"/>
  <c r="E12499" i="1"/>
  <c r="F12499" i="1"/>
  <c r="G12499" i="1"/>
  <c r="H12499" i="1"/>
  <c r="A12500" i="1"/>
  <c r="B12500" i="1"/>
  <c r="C12500" i="1"/>
  <c r="D12500" i="1"/>
  <c r="E12500" i="1"/>
  <c r="F12500" i="1"/>
  <c r="G12500" i="1"/>
  <c r="H12500" i="1"/>
  <c r="A12501" i="1"/>
  <c r="B12501" i="1"/>
  <c r="C12501" i="1"/>
  <c r="D12501" i="1"/>
  <c r="E12501" i="1"/>
  <c r="F12501" i="1"/>
  <c r="G12501" i="1"/>
  <c r="H12501" i="1"/>
  <c r="A12502" i="1"/>
  <c r="B12502" i="1"/>
  <c r="C12502" i="1"/>
  <c r="D12502" i="1"/>
  <c r="E12502" i="1"/>
  <c r="F12502" i="1"/>
  <c r="G12502" i="1"/>
  <c r="H12502" i="1"/>
  <c r="A12503" i="1"/>
  <c r="B12503" i="1"/>
  <c r="C12503" i="1"/>
  <c r="D12503" i="1"/>
  <c r="E12503" i="1"/>
  <c r="F12503" i="1"/>
  <c r="G12503" i="1"/>
  <c r="H12503" i="1"/>
  <c r="A12504" i="1"/>
  <c r="B12504" i="1"/>
  <c r="C12504" i="1"/>
  <c r="D12504" i="1"/>
  <c r="E12504" i="1"/>
  <c r="F12504" i="1"/>
  <c r="G12504" i="1"/>
  <c r="H12504" i="1"/>
  <c r="A12505" i="1"/>
  <c r="B12505" i="1"/>
  <c r="C12505" i="1"/>
  <c r="D12505" i="1"/>
  <c r="E12505" i="1"/>
  <c r="F12505" i="1"/>
  <c r="G12505" i="1"/>
  <c r="H12505" i="1"/>
  <c r="A12506" i="1"/>
  <c r="B12506" i="1"/>
  <c r="C12506" i="1"/>
  <c r="D12506" i="1"/>
  <c r="E12506" i="1"/>
  <c r="F12506" i="1"/>
  <c r="G12506" i="1"/>
  <c r="H12506" i="1"/>
  <c r="A12507" i="1"/>
  <c r="B12507" i="1"/>
  <c r="C12507" i="1"/>
  <c r="D12507" i="1"/>
  <c r="E12507" i="1"/>
  <c r="F12507" i="1"/>
  <c r="G12507" i="1"/>
  <c r="H12507" i="1"/>
  <c r="A12508" i="1"/>
  <c r="B12508" i="1"/>
  <c r="C12508" i="1"/>
  <c r="D12508" i="1"/>
  <c r="E12508" i="1"/>
  <c r="F12508" i="1"/>
  <c r="G12508" i="1"/>
  <c r="H12508" i="1"/>
  <c r="A12509" i="1"/>
  <c r="B12509" i="1"/>
  <c r="C12509" i="1"/>
  <c r="D12509" i="1"/>
  <c r="E12509" i="1"/>
  <c r="F12509" i="1"/>
  <c r="G12509" i="1"/>
  <c r="H12509" i="1"/>
  <c r="A12510" i="1"/>
  <c r="B12510" i="1"/>
  <c r="C12510" i="1"/>
  <c r="D12510" i="1"/>
  <c r="E12510" i="1"/>
  <c r="F12510" i="1"/>
  <c r="G12510" i="1"/>
  <c r="H12510" i="1"/>
  <c r="A12511" i="1"/>
  <c r="B12511" i="1"/>
  <c r="C12511" i="1"/>
  <c r="D12511" i="1"/>
  <c r="E12511" i="1"/>
  <c r="F12511" i="1"/>
  <c r="G12511" i="1"/>
  <c r="H12511" i="1"/>
  <c r="A12512" i="1"/>
  <c r="B12512" i="1"/>
  <c r="C12512" i="1"/>
  <c r="D12512" i="1"/>
  <c r="E12512" i="1"/>
  <c r="F12512" i="1"/>
  <c r="G12512" i="1"/>
  <c r="H12512" i="1"/>
  <c r="A12513" i="1"/>
  <c r="B12513" i="1"/>
  <c r="C12513" i="1"/>
  <c r="D12513" i="1"/>
  <c r="E12513" i="1"/>
  <c r="F12513" i="1"/>
  <c r="G12513" i="1"/>
  <c r="H12513" i="1"/>
  <c r="A12514" i="1"/>
  <c r="B12514" i="1"/>
  <c r="C12514" i="1"/>
  <c r="D12514" i="1"/>
  <c r="E12514" i="1"/>
  <c r="F12514" i="1"/>
  <c r="G12514" i="1"/>
  <c r="H12514" i="1"/>
  <c r="A12515" i="1"/>
  <c r="B12515" i="1"/>
  <c r="C12515" i="1"/>
  <c r="D12515" i="1"/>
  <c r="E12515" i="1"/>
  <c r="F12515" i="1"/>
  <c r="G12515" i="1"/>
  <c r="H12515" i="1"/>
  <c r="A12516" i="1"/>
  <c r="B12516" i="1"/>
  <c r="C12516" i="1"/>
  <c r="D12516" i="1"/>
  <c r="E12516" i="1"/>
  <c r="F12516" i="1"/>
  <c r="G12516" i="1"/>
  <c r="H12516" i="1"/>
  <c r="A12517" i="1"/>
  <c r="B12517" i="1"/>
  <c r="C12517" i="1"/>
  <c r="D12517" i="1"/>
  <c r="E12517" i="1"/>
  <c r="F12517" i="1"/>
  <c r="G12517" i="1"/>
  <c r="H12517" i="1"/>
  <c r="A12518" i="1"/>
  <c r="B12518" i="1"/>
  <c r="C12518" i="1"/>
  <c r="D12518" i="1"/>
  <c r="E12518" i="1"/>
  <c r="F12518" i="1"/>
  <c r="G12518" i="1"/>
  <c r="H12518" i="1"/>
  <c r="A12519" i="1"/>
  <c r="B12519" i="1"/>
  <c r="C12519" i="1"/>
  <c r="D12519" i="1"/>
  <c r="E12519" i="1"/>
  <c r="F12519" i="1"/>
  <c r="G12519" i="1"/>
  <c r="H12519" i="1"/>
  <c r="A12520" i="1"/>
  <c r="B12520" i="1"/>
  <c r="C12520" i="1"/>
  <c r="D12520" i="1"/>
  <c r="E12520" i="1"/>
  <c r="F12520" i="1"/>
  <c r="G12520" i="1"/>
  <c r="H12520" i="1"/>
  <c r="A12521" i="1"/>
  <c r="B12521" i="1"/>
  <c r="C12521" i="1"/>
  <c r="D12521" i="1"/>
  <c r="E12521" i="1"/>
  <c r="F12521" i="1"/>
  <c r="G12521" i="1"/>
  <c r="H12521" i="1"/>
  <c r="A12522" i="1"/>
  <c r="B12522" i="1"/>
  <c r="C12522" i="1"/>
  <c r="D12522" i="1"/>
  <c r="E12522" i="1"/>
  <c r="F12522" i="1"/>
  <c r="G12522" i="1"/>
  <c r="H12522" i="1"/>
  <c r="A12523" i="1"/>
  <c r="B12523" i="1"/>
  <c r="C12523" i="1"/>
  <c r="D12523" i="1"/>
  <c r="E12523" i="1"/>
  <c r="F12523" i="1"/>
  <c r="G12523" i="1"/>
  <c r="H12523" i="1"/>
  <c r="A12524" i="1"/>
  <c r="B12524" i="1"/>
  <c r="C12524" i="1"/>
  <c r="D12524" i="1"/>
  <c r="E12524" i="1"/>
  <c r="F12524" i="1"/>
  <c r="G12524" i="1"/>
  <c r="H12524" i="1"/>
  <c r="A12525" i="1"/>
  <c r="B12525" i="1"/>
  <c r="C12525" i="1"/>
  <c r="D12525" i="1"/>
  <c r="E12525" i="1"/>
  <c r="F12525" i="1"/>
  <c r="G12525" i="1"/>
  <c r="H12525" i="1"/>
  <c r="A12526" i="1"/>
  <c r="B12526" i="1"/>
  <c r="C12526" i="1"/>
  <c r="D12526" i="1"/>
  <c r="E12526" i="1"/>
  <c r="F12526" i="1"/>
  <c r="G12526" i="1"/>
  <c r="H12526" i="1"/>
  <c r="A12527" i="1"/>
  <c r="B12527" i="1"/>
  <c r="C12527" i="1"/>
  <c r="D12527" i="1"/>
  <c r="E12527" i="1"/>
  <c r="F12527" i="1"/>
  <c r="G12527" i="1"/>
  <c r="H12527" i="1"/>
  <c r="A12528" i="1"/>
  <c r="B12528" i="1"/>
  <c r="C12528" i="1"/>
  <c r="D12528" i="1"/>
  <c r="E12528" i="1"/>
  <c r="F12528" i="1"/>
  <c r="G12528" i="1"/>
  <c r="H12528" i="1"/>
  <c r="A12529" i="1"/>
  <c r="B12529" i="1"/>
  <c r="C12529" i="1"/>
  <c r="D12529" i="1"/>
  <c r="E12529" i="1"/>
  <c r="F12529" i="1"/>
  <c r="G12529" i="1"/>
  <c r="H12529" i="1"/>
  <c r="A12530" i="1"/>
  <c r="B12530" i="1"/>
  <c r="C12530" i="1"/>
  <c r="D12530" i="1"/>
  <c r="E12530" i="1"/>
  <c r="F12530" i="1"/>
  <c r="G12530" i="1"/>
  <c r="H12530" i="1"/>
  <c r="A12531" i="1"/>
  <c r="B12531" i="1"/>
  <c r="C12531" i="1"/>
  <c r="D12531" i="1"/>
  <c r="E12531" i="1"/>
  <c r="F12531" i="1"/>
  <c r="G12531" i="1"/>
  <c r="H12531" i="1"/>
  <c r="A12532" i="1"/>
  <c r="B12532" i="1"/>
  <c r="C12532" i="1"/>
  <c r="D12532" i="1"/>
  <c r="E12532" i="1"/>
  <c r="F12532" i="1"/>
  <c r="G12532" i="1"/>
  <c r="H12532" i="1"/>
  <c r="A12533" i="1"/>
  <c r="B12533" i="1"/>
  <c r="C12533" i="1"/>
  <c r="D12533" i="1"/>
  <c r="E12533" i="1"/>
  <c r="F12533" i="1"/>
  <c r="G12533" i="1"/>
  <c r="H12533" i="1"/>
  <c r="A12534" i="1"/>
  <c r="B12534" i="1"/>
  <c r="C12534" i="1"/>
  <c r="D12534" i="1"/>
  <c r="E12534" i="1"/>
  <c r="F12534" i="1"/>
  <c r="G12534" i="1"/>
  <c r="H12534" i="1"/>
  <c r="A12535" i="1"/>
  <c r="B12535" i="1"/>
  <c r="C12535" i="1"/>
  <c r="D12535" i="1"/>
  <c r="E12535" i="1"/>
  <c r="F12535" i="1"/>
  <c r="G12535" i="1"/>
  <c r="H12535" i="1"/>
  <c r="A12536" i="1"/>
  <c r="B12536" i="1"/>
  <c r="C12536" i="1"/>
  <c r="D12536" i="1"/>
  <c r="E12536" i="1"/>
  <c r="F12536" i="1"/>
  <c r="G12536" i="1"/>
  <c r="H12536" i="1"/>
  <c r="A12537" i="1"/>
  <c r="B12537" i="1"/>
  <c r="C12537" i="1"/>
  <c r="D12537" i="1"/>
  <c r="E12537" i="1"/>
  <c r="F12537" i="1"/>
  <c r="G12537" i="1"/>
  <c r="H12537" i="1"/>
  <c r="A12538" i="1"/>
  <c r="B12538" i="1"/>
  <c r="C12538" i="1"/>
  <c r="D12538" i="1"/>
  <c r="E12538" i="1"/>
  <c r="F12538" i="1"/>
  <c r="G12538" i="1"/>
  <c r="H12538" i="1"/>
  <c r="A12539" i="1"/>
  <c r="B12539" i="1"/>
  <c r="C12539" i="1"/>
  <c r="D12539" i="1"/>
  <c r="E12539" i="1"/>
  <c r="F12539" i="1"/>
  <c r="G12539" i="1"/>
  <c r="H12539" i="1"/>
  <c r="A12540" i="1"/>
  <c r="B12540" i="1"/>
  <c r="C12540" i="1"/>
  <c r="D12540" i="1"/>
  <c r="E12540" i="1"/>
  <c r="F12540" i="1"/>
  <c r="G12540" i="1"/>
  <c r="H12540" i="1"/>
  <c r="A12541" i="1"/>
  <c r="B12541" i="1"/>
  <c r="C12541" i="1"/>
  <c r="D12541" i="1"/>
  <c r="E12541" i="1"/>
  <c r="F12541" i="1"/>
  <c r="G12541" i="1"/>
  <c r="H12541" i="1"/>
  <c r="A12542" i="1"/>
  <c r="B12542" i="1"/>
  <c r="C12542" i="1"/>
  <c r="D12542" i="1"/>
  <c r="E12542" i="1"/>
  <c r="F12542" i="1"/>
  <c r="G12542" i="1"/>
  <c r="H12542" i="1"/>
  <c r="A12543" i="1"/>
  <c r="B12543" i="1"/>
  <c r="C12543" i="1"/>
  <c r="D12543" i="1"/>
  <c r="E12543" i="1"/>
  <c r="F12543" i="1"/>
  <c r="G12543" i="1"/>
  <c r="H12543" i="1"/>
  <c r="A12544" i="1"/>
  <c r="B12544" i="1"/>
  <c r="C12544" i="1"/>
  <c r="D12544" i="1"/>
  <c r="E12544" i="1"/>
  <c r="F12544" i="1"/>
  <c r="G12544" i="1"/>
  <c r="H12544" i="1"/>
  <c r="A12545" i="1"/>
  <c r="B12545" i="1"/>
  <c r="C12545" i="1"/>
  <c r="D12545" i="1"/>
  <c r="E12545" i="1"/>
  <c r="F12545" i="1"/>
  <c r="G12545" i="1"/>
  <c r="H12545" i="1"/>
  <c r="A12546" i="1"/>
  <c r="B12546" i="1"/>
  <c r="C12546" i="1"/>
  <c r="D12546" i="1"/>
  <c r="E12546" i="1"/>
  <c r="F12546" i="1"/>
  <c r="G12546" i="1"/>
  <c r="H12546" i="1"/>
  <c r="A12547" i="1"/>
  <c r="B12547" i="1"/>
  <c r="C12547" i="1"/>
  <c r="D12547" i="1"/>
  <c r="E12547" i="1"/>
  <c r="F12547" i="1"/>
  <c r="G12547" i="1"/>
  <c r="H12547" i="1"/>
  <c r="A12548" i="1"/>
  <c r="B12548" i="1"/>
  <c r="C12548" i="1"/>
  <c r="D12548" i="1"/>
  <c r="E12548" i="1"/>
  <c r="F12548" i="1"/>
  <c r="G12548" i="1"/>
  <c r="H12548" i="1"/>
  <c r="A12549" i="1"/>
  <c r="B12549" i="1"/>
  <c r="C12549" i="1"/>
  <c r="D12549" i="1"/>
  <c r="E12549" i="1"/>
  <c r="F12549" i="1"/>
  <c r="G12549" i="1"/>
  <c r="H12549" i="1"/>
  <c r="A12550" i="1"/>
  <c r="B12550" i="1"/>
  <c r="C12550" i="1"/>
  <c r="D12550" i="1"/>
  <c r="E12550" i="1"/>
  <c r="F12550" i="1"/>
  <c r="G12550" i="1"/>
  <c r="H12550" i="1"/>
  <c r="A12551" i="1"/>
  <c r="B12551" i="1"/>
  <c r="C12551" i="1"/>
  <c r="D12551" i="1"/>
  <c r="E12551" i="1"/>
  <c r="F12551" i="1"/>
  <c r="G12551" i="1"/>
  <c r="H12551" i="1"/>
  <c r="A12552" i="1"/>
  <c r="B12552" i="1"/>
  <c r="C12552" i="1"/>
  <c r="D12552" i="1"/>
  <c r="E12552" i="1"/>
  <c r="F12552" i="1"/>
  <c r="G12552" i="1"/>
  <c r="H12552" i="1"/>
  <c r="A12553" i="1"/>
  <c r="B12553" i="1"/>
  <c r="C12553" i="1"/>
  <c r="D12553" i="1"/>
  <c r="E12553" i="1"/>
  <c r="F12553" i="1"/>
  <c r="G12553" i="1"/>
  <c r="H12553" i="1"/>
  <c r="A12554" i="1"/>
  <c r="B12554" i="1"/>
  <c r="C12554" i="1"/>
  <c r="D12554" i="1"/>
  <c r="E12554" i="1"/>
  <c r="F12554" i="1"/>
  <c r="G12554" i="1"/>
  <c r="H12554" i="1"/>
  <c r="A12555" i="1"/>
  <c r="B12555" i="1"/>
  <c r="C12555" i="1"/>
  <c r="D12555" i="1"/>
  <c r="E12555" i="1"/>
  <c r="F12555" i="1"/>
  <c r="G12555" i="1"/>
  <c r="H12555" i="1"/>
  <c r="A12556" i="1"/>
  <c r="B12556" i="1"/>
  <c r="C12556" i="1"/>
  <c r="D12556" i="1"/>
  <c r="E12556" i="1"/>
  <c r="F12556" i="1"/>
  <c r="G12556" i="1"/>
  <c r="H12556" i="1"/>
  <c r="A12557" i="1"/>
  <c r="B12557" i="1"/>
  <c r="C12557" i="1"/>
  <c r="D12557" i="1"/>
  <c r="E12557" i="1"/>
  <c r="F12557" i="1"/>
  <c r="G12557" i="1"/>
  <c r="H12557" i="1"/>
  <c r="A12558" i="1"/>
  <c r="B12558" i="1"/>
  <c r="C12558" i="1"/>
  <c r="D12558" i="1"/>
  <c r="E12558" i="1"/>
  <c r="F12558" i="1"/>
  <c r="G12558" i="1"/>
  <c r="H12558" i="1"/>
  <c r="A12559" i="1"/>
  <c r="B12559" i="1"/>
  <c r="C12559" i="1"/>
  <c r="D12559" i="1"/>
  <c r="E12559" i="1"/>
  <c r="F12559" i="1"/>
  <c r="G12559" i="1"/>
  <c r="H12559" i="1"/>
  <c r="A12560" i="1"/>
  <c r="B12560" i="1"/>
  <c r="C12560" i="1"/>
  <c r="D12560" i="1"/>
  <c r="E12560" i="1"/>
  <c r="F12560" i="1"/>
  <c r="G12560" i="1"/>
  <c r="H12560" i="1"/>
  <c r="A12561" i="1"/>
  <c r="B12561" i="1"/>
  <c r="C12561" i="1"/>
  <c r="D12561" i="1"/>
  <c r="E12561" i="1"/>
  <c r="F12561" i="1"/>
  <c r="G12561" i="1"/>
  <c r="H12561" i="1"/>
  <c r="A12562" i="1"/>
  <c r="B12562" i="1"/>
  <c r="C12562" i="1"/>
  <c r="D12562" i="1"/>
  <c r="E12562" i="1"/>
  <c r="F12562" i="1"/>
  <c r="G12562" i="1"/>
  <c r="H12562" i="1"/>
  <c r="A12563" i="1"/>
  <c r="B12563" i="1"/>
  <c r="C12563" i="1"/>
  <c r="D12563" i="1"/>
  <c r="E12563" i="1"/>
  <c r="F12563" i="1"/>
  <c r="G12563" i="1"/>
  <c r="H12563" i="1"/>
  <c r="A12564" i="1"/>
  <c r="B12564" i="1"/>
  <c r="C12564" i="1"/>
  <c r="D12564" i="1"/>
  <c r="E12564" i="1"/>
  <c r="F12564" i="1"/>
  <c r="G12564" i="1"/>
  <c r="H12564" i="1"/>
  <c r="A12565" i="1"/>
  <c r="B12565" i="1"/>
  <c r="C12565" i="1"/>
  <c r="D12565" i="1"/>
  <c r="E12565" i="1"/>
  <c r="F12565" i="1"/>
  <c r="G12565" i="1"/>
  <c r="H12565" i="1"/>
  <c r="A12566" i="1"/>
  <c r="B12566" i="1"/>
  <c r="C12566" i="1"/>
  <c r="D12566" i="1"/>
  <c r="E12566" i="1"/>
  <c r="F12566" i="1"/>
  <c r="G12566" i="1"/>
  <c r="H12566" i="1"/>
  <c r="A12567" i="1"/>
  <c r="B12567" i="1"/>
  <c r="C12567" i="1"/>
  <c r="D12567" i="1"/>
  <c r="E12567" i="1"/>
  <c r="F12567" i="1"/>
  <c r="G12567" i="1"/>
  <c r="H12567" i="1"/>
  <c r="A12568" i="1"/>
  <c r="B12568" i="1"/>
  <c r="C12568" i="1"/>
  <c r="D12568" i="1"/>
  <c r="E12568" i="1"/>
  <c r="F12568" i="1"/>
  <c r="G12568" i="1"/>
  <c r="H12568" i="1"/>
  <c r="A12569" i="1"/>
  <c r="B12569" i="1"/>
  <c r="C12569" i="1"/>
  <c r="D12569" i="1"/>
  <c r="E12569" i="1"/>
  <c r="F12569" i="1"/>
  <c r="G12569" i="1"/>
  <c r="H12569" i="1"/>
  <c r="A12570" i="1"/>
  <c r="B12570" i="1"/>
  <c r="C12570" i="1"/>
  <c r="D12570" i="1"/>
  <c r="E12570" i="1"/>
  <c r="F12570" i="1"/>
  <c r="G12570" i="1"/>
  <c r="H12570" i="1"/>
  <c r="A12571" i="1"/>
  <c r="B12571" i="1"/>
  <c r="C12571" i="1"/>
  <c r="D12571" i="1"/>
  <c r="E12571" i="1"/>
  <c r="F12571" i="1"/>
  <c r="G12571" i="1"/>
  <c r="H12571" i="1"/>
  <c r="A12572" i="1"/>
  <c r="B12572" i="1"/>
  <c r="C12572" i="1"/>
  <c r="D12572" i="1"/>
  <c r="E12572" i="1"/>
  <c r="F12572" i="1"/>
  <c r="G12572" i="1"/>
  <c r="H12572" i="1"/>
  <c r="A12573" i="1"/>
  <c r="B12573" i="1"/>
  <c r="C12573" i="1"/>
  <c r="D12573" i="1"/>
  <c r="E12573" i="1"/>
  <c r="F12573" i="1"/>
  <c r="G12573" i="1"/>
  <c r="H12573" i="1"/>
  <c r="A12574" i="1"/>
  <c r="B12574" i="1"/>
  <c r="C12574" i="1"/>
  <c r="D12574" i="1"/>
  <c r="E12574" i="1"/>
  <c r="F12574" i="1"/>
  <c r="G12574" i="1"/>
  <c r="H12574" i="1"/>
  <c r="A12575" i="1"/>
  <c r="B12575" i="1"/>
  <c r="C12575" i="1"/>
  <c r="D12575" i="1"/>
  <c r="E12575" i="1"/>
  <c r="F12575" i="1"/>
  <c r="G12575" i="1"/>
  <c r="H12575" i="1"/>
  <c r="A12576" i="1"/>
  <c r="B12576" i="1"/>
  <c r="C12576" i="1"/>
  <c r="D12576" i="1"/>
  <c r="E12576" i="1"/>
  <c r="F12576" i="1"/>
  <c r="G12576" i="1"/>
  <c r="H12576" i="1"/>
  <c r="A12577" i="1"/>
  <c r="B12577" i="1"/>
  <c r="C12577" i="1"/>
  <c r="D12577" i="1"/>
  <c r="E12577" i="1"/>
  <c r="F12577" i="1"/>
  <c r="G12577" i="1"/>
  <c r="H12577" i="1"/>
  <c r="A12578" i="1"/>
  <c r="B12578" i="1"/>
  <c r="C12578" i="1"/>
  <c r="D12578" i="1"/>
  <c r="E12578" i="1"/>
  <c r="F12578" i="1"/>
  <c r="G12578" i="1"/>
  <c r="H12578" i="1"/>
  <c r="A12579" i="1"/>
  <c r="B12579" i="1"/>
  <c r="C12579" i="1"/>
  <c r="D12579" i="1"/>
  <c r="E12579" i="1"/>
  <c r="F12579" i="1"/>
  <c r="G12579" i="1"/>
  <c r="H12579" i="1"/>
  <c r="A12580" i="1"/>
  <c r="B12580" i="1"/>
  <c r="C12580" i="1"/>
  <c r="D12580" i="1"/>
  <c r="E12580" i="1"/>
  <c r="F12580" i="1"/>
  <c r="G12580" i="1"/>
  <c r="H12580" i="1"/>
  <c r="A12581" i="1"/>
  <c r="B12581" i="1"/>
  <c r="C12581" i="1"/>
  <c r="D12581" i="1"/>
  <c r="E12581" i="1"/>
  <c r="F12581" i="1"/>
  <c r="G12581" i="1"/>
  <c r="H12581" i="1"/>
  <c r="A12582" i="1"/>
  <c r="B12582" i="1"/>
  <c r="C12582" i="1"/>
  <c r="D12582" i="1"/>
  <c r="E12582" i="1"/>
  <c r="F12582" i="1"/>
  <c r="G12582" i="1"/>
  <c r="H12582" i="1"/>
  <c r="A12583" i="1"/>
  <c r="B12583" i="1"/>
  <c r="C12583" i="1"/>
  <c r="D12583" i="1"/>
  <c r="E12583" i="1"/>
  <c r="F12583" i="1"/>
  <c r="G12583" i="1"/>
  <c r="H12583" i="1"/>
  <c r="A12584" i="1"/>
  <c r="B12584" i="1"/>
  <c r="C12584" i="1"/>
  <c r="D12584" i="1"/>
  <c r="E12584" i="1"/>
  <c r="F12584" i="1"/>
  <c r="G12584" i="1"/>
  <c r="H12584" i="1"/>
  <c r="A12585" i="1"/>
  <c r="B12585" i="1"/>
  <c r="C12585" i="1"/>
  <c r="D12585" i="1"/>
  <c r="E12585" i="1"/>
  <c r="F12585" i="1"/>
  <c r="G12585" i="1"/>
  <c r="H12585" i="1"/>
  <c r="A12586" i="1"/>
  <c r="B12586" i="1"/>
  <c r="C12586" i="1"/>
  <c r="D12586" i="1"/>
  <c r="E12586" i="1"/>
  <c r="F12586" i="1"/>
  <c r="G12586" i="1"/>
  <c r="H12586" i="1"/>
  <c r="A12587" i="1"/>
  <c r="B12587" i="1"/>
  <c r="C12587" i="1"/>
  <c r="D12587" i="1"/>
  <c r="E12587" i="1"/>
  <c r="F12587" i="1"/>
  <c r="G12587" i="1"/>
  <c r="H12587" i="1"/>
  <c r="A12588" i="1"/>
  <c r="B12588" i="1"/>
  <c r="C12588" i="1"/>
  <c r="D12588" i="1"/>
  <c r="E12588" i="1"/>
  <c r="F12588" i="1"/>
  <c r="G12588" i="1"/>
  <c r="H12588" i="1"/>
  <c r="A12589" i="1"/>
  <c r="B12589" i="1"/>
  <c r="C12589" i="1"/>
  <c r="D12589" i="1"/>
  <c r="E12589" i="1"/>
  <c r="F12589" i="1"/>
  <c r="G12589" i="1"/>
  <c r="H12589" i="1"/>
  <c r="A12590" i="1"/>
  <c r="B12590" i="1"/>
  <c r="C12590" i="1"/>
  <c r="D12590" i="1"/>
  <c r="E12590" i="1"/>
  <c r="F12590" i="1"/>
  <c r="G12590" i="1"/>
  <c r="H12590" i="1"/>
  <c r="A12591" i="1"/>
  <c r="B12591" i="1"/>
  <c r="C12591" i="1"/>
  <c r="D12591" i="1"/>
  <c r="E12591" i="1"/>
  <c r="F12591" i="1"/>
  <c r="G12591" i="1"/>
  <c r="H12591" i="1"/>
  <c r="A12592" i="1"/>
  <c r="B12592" i="1"/>
  <c r="C12592" i="1"/>
  <c r="D12592" i="1"/>
  <c r="E12592" i="1"/>
  <c r="F12592" i="1"/>
  <c r="G12592" i="1"/>
  <c r="H12592" i="1"/>
  <c r="A12593" i="1"/>
  <c r="B12593" i="1"/>
  <c r="C12593" i="1"/>
  <c r="D12593" i="1"/>
  <c r="E12593" i="1"/>
  <c r="F12593" i="1"/>
  <c r="G12593" i="1"/>
  <c r="H12593" i="1"/>
  <c r="A12594" i="1"/>
  <c r="B12594" i="1"/>
  <c r="C12594" i="1"/>
  <c r="D12594" i="1"/>
  <c r="E12594" i="1"/>
  <c r="F12594" i="1"/>
  <c r="G12594" i="1"/>
  <c r="H12594" i="1"/>
  <c r="A12595" i="1"/>
  <c r="B12595" i="1"/>
  <c r="C12595" i="1"/>
  <c r="D12595" i="1"/>
  <c r="E12595" i="1"/>
  <c r="F12595" i="1"/>
  <c r="G12595" i="1"/>
  <c r="H12595" i="1"/>
  <c r="A12596" i="1"/>
  <c r="B12596" i="1"/>
  <c r="C12596" i="1"/>
  <c r="D12596" i="1"/>
  <c r="E12596" i="1"/>
  <c r="F12596" i="1"/>
  <c r="G12596" i="1"/>
  <c r="H12596" i="1"/>
  <c r="A12597" i="1"/>
  <c r="B12597" i="1"/>
  <c r="C12597" i="1"/>
  <c r="D12597" i="1"/>
  <c r="E12597" i="1"/>
  <c r="F12597" i="1"/>
  <c r="G12597" i="1"/>
  <c r="H12597" i="1"/>
  <c r="A12598" i="1"/>
  <c r="B12598" i="1"/>
  <c r="C12598" i="1"/>
  <c r="D12598" i="1"/>
  <c r="E12598" i="1"/>
  <c r="F12598" i="1"/>
  <c r="G12598" i="1"/>
  <c r="H12598" i="1"/>
  <c r="A12599" i="1"/>
  <c r="B12599" i="1"/>
  <c r="C12599" i="1"/>
  <c r="D12599" i="1"/>
  <c r="E12599" i="1"/>
  <c r="F12599" i="1"/>
  <c r="G12599" i="1"/>
  <c r="H12599" i="1"/>
  <c r="A12600" i="1"/>
  <c r="B12600" i="1"/>
  <c r="C12600" i="1"/>
  <c r="D12600" i="1"/>
  <c r="E12600" i="1"/>
  <c r="F12600" i="1"/>
  <c r="G12600" i="1"/>
  <c r="H12600" i="1"/>
  <c r="A12601" i="1"/>
  <c r="B12601" i="1"/>
  <c r="C12601" i="1"/>
  <c r="D12601" i="1"/>
  <c r="E12601" i="1"/>
  <c r="F12601" i="1"/>
  <c r="G12601" i="1"/>
  <c r="H12601" i="1"/>
  <c r="A12602" i="1"/>
  <c r="B12602" i="1"/>
  <c r="C12602" i="1"/>
  <c r="D12602" i="1"/>
  <c r="E12602" i="1"/>
  <c r="F12602" i="1"/>
  <c r="G12602" i="1"/>
  <c r="H12602" i="1"/>
  <c r="A12603" i="1"/>
  <c r="B12603" i="1"/>
  <c r="C12603" i="1"/>
  <c r="D12603" i="1"/>
  <c r="E12603" i="1"/>
  <c r="F12603" i="1"/>
  <c r="G12603" i="1"/>
  <c r="H12603" i="1"/>
  <c r="A12604" i="1"/>
  <c r="B12604" i="1"/>
  <c r="C12604" i="1"/>
  <c r="D12604" i="1"/>
  <c r="E12604" i="1"/>
  <c r="F12604" i="1"/>
  <c r="G12604" i="1"/>
  <c r="H12604" i="1"/>
  <c r="A12605" i="1"/>
  <c r="B12605" i="1"/>
  <c r="C12605" i="1"/>
  <c r="D12605" i="1"/>
  <c r="E12605" i="1"/>
  <c r="F12605" i="1"/>
  <c r="G12605" i="1"/>
  <c r="H12605" i="1"/>
  <c r="A12606" i="1"/>
  <c r="B12606" i="1"/>
  <c r="C12606" i="1"/>
  <c r="D12606" i="1"/>
  <c r="E12606" i="1"/>
  <c r="F12606" i="1"/>
  <c r="G12606" i="1"/>
  <c r="H12606" i="1"/>
  <c r="A12607" i="1"/>
  <c r="B12607" i="1"/>
  <c r="C12607" i="1"/>
  <c r="D12607" i="1"/>
  <c r="E12607" i="1"/>
  <c r="F12607" i="1"/>
  <c r="G12607" i="1"/>
  <c r="H12607" i="1"/>
  <c r="A12608" i="1"/>
  <c r="B12608" i="1"/>
  <c r="C12608" i="1"/>
  <c r="D12608" i="1"/>
  <c r="E12608" i="1"/>
  <c r="F12608" i="1"/>
  <c r="G12608" i="1"/>
  <c r="H12608" i="1"/>
  <c r="A12609" i="1"/>
  <c r="B12609" i="1"/>
  <c r="C12609" i="1"/>
  <c r="D12609" i="1"/>
  <c r="E12609" i="1"/>
  <c r="F12609" i="1"/>
  <c r="G12609" i="1"/>
  <c r="H12609" i="1"/>
  <c r="A12610" i="1"/>
  <c r="B12610" i="1"/>
  <c r="C12610" i="1"/>
  <c r="D12610" i="1"/>
  <c r="E12610" i="1"/>
  <c r="F12610" i="1"/>
  <c r="G12610" i="1"/>
  <c r="H12610" i="1"/>
  <c r="A12611" i="1"/>
  <c r="B12611" i="1"/>
  <c r="C12611" i="1"/>
  <c r="D12611" i="1"/>
  <c r="E12611" i="1"/>
  <c r="F12611" i="1"/>
  <c r="G12611" i="1"/>
  <c r="H12611" i="1"/>
  <c r="A12612" i="1"/>
  <c r="B12612" i="1"/>
  <c r="C12612" i="1"/>
  <c r="D12612" i="1"/>
  <c r="E12612" i="1"/>
  <c r="F12612" i="1"/>
  <c r="G12612" i="1"/>
  <c r="H12612" i="1"/>
  <c r="A12613" i="1"/>
  <c r="B12613" i="1"/>
  <c r="C12613" i="1"/>
  <c r="D12613" i="1"/>
  <c r="E12613" i="1"/>
  <c r="F12613" i="1"/>
  <c r="G12613" i="1"/>
  <c r="H12613" i="1"/>
  <c r="A12614" i="1"/>
  <c r="B12614" i="1"/>
  <c r="C12614" i="1"/>
  <c r="D12614" i="1"/>
  <c r="E12614" i="1"/>
  <c r="F12614" i="1"/>
  <c r="G12614" i="1"/>
  <c r="H12614" i="1"/>
  <c r="A12615" i="1"/>
  <c r="B12615" i="1"/>
  <c r="C12615" i="1"/>
  <c r="D12615" i="1"/>
  <c r="E12615" i="1"/>
  <c r="F12615" i="1"/>
  <c r="G12615" i="1"/>
  <c r="H12615" i="1"/>
  <c r="A12616" i="1"/>
  <c r="B12616" i="1"/>
  <c r="C12616" i="1"/>
  <c r="D12616" i="1"/>
  <c r="E12616" i="1"/>
  <c r="F12616" i="1"/>
  <c r="G12616" i="1"/>
  <c r="H12616" i="1"/>
  <c r="A12617" i="1"/>
  <c r="B12617" i="1"/>
  <c r="C12617" i="1"/>
  <c r="D12617" i="1"/>
  <c r="E12617" i="1"/>
  <c r="F12617" i="1"/>
  <c r="G12617" i="1"/>
  <c r="H12617" i="1"/>
  <c r="A12618" i="1"/>
  <c r="B12618" i="1"/>
  <c r="C12618" i="1"/>
  <c r="D12618" i="1"/>
  <c r="E12618" i="1"/>
  <c r="F12618" i="1"/>
  <c r="G12618" i="1"/>
  <c r="H12618" i="1"/>
  <c r="A12619" i="1"/>
  <c r="B12619" i="1"/>
  <c r="C12619" i="1"/>
  <c r="D12619" i="1"/>
  <c r="E12619" i="1"/>
  <c r="F12619" i="1"/>
  <c r="G12619" i="1"/>
  <c r="H12619" i="1"/>
  <c r="A12620" i="1"/>
  <c r="B12620" i="1"/>
  <c r="C12620" i="1"/>
  <c r="D12620" i="1"/>
  <c r="E12620" i="1"/>
  <c r="F12620" i="1"/>
  <c r="G12620" i="1"/>
  <c r="H12620" i="1"/>
  <c r="A12621" i="1"/>
  <c r="B12621" i="1"/>
  <c r="C12621" i="1"/>
  <c r="D12621" i="1"/>
  <c r="E12621" i="1"/>
  <c r="F12621" i="1"/>
  <c r="G12621" i="1"/>
  <c r="H12621" i="1"/>
  <c r="A12622" i="1"/>
  <c r="B12622" i="1"/>
  <c r="C12622" i="1"/>
  <c r="D12622" i="1"/>
  <c r="E12622" i="1"/>
  <c r="F12622" i="1"/>
  <c r="G12622" i="1"/>
  <c r="H12622" i="1"/>
  <c r="A12623" i="1"/>
  <c r="B12623" i="1"/>
  <c r="C12623" i="1"/>
  <c r="D12623" i="1"/>
  <c r="E12623" i="1"/>
  <c r="F12623" i="1"/>
  <c r="G12623" i="1"/>
  <c r="H12623" i="1"/>
  <c r="A12624" i="1"/>
  <c r="B12624" i="1"/>
  <c r="C12624" i="1"/>
  <c r="D12624" i="1"/>
  <c r="E12624" i="1"/>
  <c r="F12624" i="1"/>
  <c r="G12624" i="1"/>
  <c r="H12624" i="1"/>
  <c r="A12625" i="1"/>
  <c r="B12625" i="1"/>
  <c r="C12625" i="1"/>
  <c r="D12625" i="1"/>
  <c r="E12625" i="1"/>
  <c r="F12625" i="1"/>
  <c r="G12625" i="1"/>
  <c r="H12625" i="1"/>
  <c r="A12626" i="1"/>
  <c r="B12626" i="1"/>
  <c r="C12626" i="1"/>
  <c r="D12626" i="1"/>
  <c r="E12626" i="1"/>
  <c r="F12626" i="1"/>
  <c r="G12626" i="1"/>
  <c r="H12626" i="1"/>
  <c r="A12627" i="1"/>
  <c r="B12627" i="1"/>
  <c r="C12627" i="1"/>
  <c r="D12627" i="1"/>
  <c r="E12627" i="1"/>
  <c r="F12627" i="1"/>
  <c r="G12627" i="1"/>
  <c r="H12627" i="1"/>
  <c r="A12628" i="1"/>
  <c r="B12628" i="1"/>
  <c r="C12628" i="1"/>
  <c r="D12628" i="1"/>
  <c r="E12628" i="1"/>
  <c r="F12628" i="1"/>
  <c r="G12628" i="1"/>
  <c r="H12628" i="1"/>
  <c r="A12629" i="1"/>
  <c r="B12629" i="1"/>
  <c r="C12629" i="1"/>
  <c r="D12629" i="1"/>
  <c r="E12629" i="1"/>
  <c r="F12629" i="1"/>
  <c r="G12629" i="1"/>
  <c r="H12629" i="1"/>
  <c r="A12630" i="1"/>
  <c r="B12630" i="1"/>
  <c r="C12630" i="1"/>
  <c r="D12630" i="1"/>
  <c r="E12630" i="1"/>
  <c r="F12630" i="1"/>
  <c r="G12630" i="1"/>
  <c r="H12630" i="1"/>
  <c r="A12631" i="1"/>
  <c r="B12631" i="1"/>
  <c r="C12631" i="1"/>
  <c r="D12631" i="1"/>
  <c r="E12631" i="1"/>
  <c r="F12631" i="1"/>
  <c r="G12631" i="1"/>
  <c r="H12631" i="1"/>
  <c r="A12632" i="1"/>
  <c r="B12632" i="1"/>
  <c r="C12632" i="1"/>
  <c r="D12632" i="1"/>
  <c r="E12632" i="1"/>
  <c r="F12632" i="1"/>
  <c r="G12632" i="1"/>
  <c r="H12632" i="1"/>
  <c r="A12633" i="1"/>
  <c r="B12633" i="1"/>
  <c r="C12633" i="1"/>
  <c r="D12633" i="1"/>
  <c r="E12633" i="1"/>
  <c r="F12633" i="1"/>
  <c r="G12633" i="1"/>
  <c r="H12633" i="1"/>
  <c r="A12634" i="1"/>
  <c r="B12634" i="1"/>
  <c r="C12634" i="1"/>
  <c r="D12634" i="1"/>
  <c r="E12634" i="1"/>
  <c r="F12634" i="1"/>
  <c r="G12634" i="1"/>
  <c r="H12634" i="1"/>
  <c r="A12635" i="1"/>
  <c r="B12635" i="1"/>
  <c r="C12635" i="1"/>
  <c r="D12635" i="1"/>
  <c r="E12635" i="1"/>
  <c r="F12635" i="1"/>
  <c r="G12635" i="1"/>
  <c r="H12635" i="1"/>
  <c r="A12636" i="1"/>
  <c r="B12636" i="1"/>
  <c r="C12636" i="1"/>
  <c r="D12636" i="1"/>
  <c r="E12636" i="1"/>
  <c r="F12636" i="1"/>
  <c r="G12636" i="1"/>
  <c r="H12636" i="1"/>
  <c r="A12637" i="1"/>
  <c r="B12637" i="1"/>
  <c r="C12637" i="1"/>
  <c r="D12637" i="1"/>
  <c r="E12637" i="1"/>
  <c r="F12637" i="1"/>
  <c r="G12637" i="1"/>
  <c r="H12637" i="1"/>
  <c r="A12638" i="1"/>
  <c r="B12638" i="1"/>
  <c r="C12638" i="1"/>
  <c r="D12638" i="1"/>
  <c r="E12638" i="1"/>
  <c r="F12638" i="1"/>
  <c r="G12638" i="1"/>
  <c r="H12638" i="1"/>
  <c r="A12639" i="1"/>
  <c r="B12639" i="1"/>
  <c r="C12639" i="1"/>
  <c r="D12639" i="1"/>
  <c r="E12639" i="1"/>
  <c r="F12639" i="1"/>
  <c r="G12639" i="1"/>
  <c r="H12639" i="1"/>
  <c r="A12640" i="1"/>
  <c r="B12640" i="1"/>
  <c r="C12640" i="1"/>
  <c r="D12640" i="1"/>
  <c r="E12640" i="1"/>
  <c r="F12640" i="1"/>
  <c r="G12640" i="1"/>
  <c r="H12640" i="1"/>
  <c r="A12641" i="1"/>
  <c r="B12641" i="1"/>
  <c r="C12641" i="1"/>
  <c r="D12641" i="1"/>
  <c r="E12641" i="1"/>
  <c r="F12641" i="1"/>
  <c r="G12641" i="1"/>
  <c r="H12641" i="1"/>
  <c r="A12642" i="1"/>
  <c r="B12642" i="1"/>
  <c r="C12642" i="1"/>
  <c r="D12642" i="1"/>
  <c r="E12642" i="1"/>
  <c r="F12642" i="1"/>
  <c r="G12642" i="1"/>
  <c r="H12642" i="1"/>
  <c r="A12643" i="1"/>
  <c r="B12643" i="1"/>
  <c r="C12643" i="1"/>
  <c r="D12643" i="1"/>
  <c r="E12643" i="1"/>
  <c r="F12643" i="1"/>
  <c r="G12643" i="1"/>
  <c r="H12643" i="1"/>
  <c r="A12644" i="1"/>
  <c r="B12644" i="1"/>
  <c r="C12644" i="1"/>
  <c r="D12644" i="1"/>
  <c r="E12644" i="1"/>
  <c r="F12644" i="1"/>
  <c r="G12644" i="1"/>
  <c r="H12644" i="1"/>
  <c r="A12645" i="1"/>
  <c r="B12645" i="1"/>
  <c r="C12645" i="1"/>
  <c r="D12645" i="1"/>
  <c r="E12645" i="1"/>
  <c r="F12645" i="1"/>
  <c r="G12645" i="1"/>
  <c r="H12645" i="1"/>
  <c r="A12646" i="1"/>
  <c r="B12646" i="1"/>
  <c r="C12646" i="1"/>
  <c r="D12646" i="1"/>
  <c r="E12646" i="1"/>
  <c r="F12646" i="1"/>
  <c r="G12646" i="1"/>
  <c r="H12646" i="1"/>
  <c r="A12647" i="1"/>
  <c r="B12647" i="1"/>
  <c r="C12647" i="1"/>
  <c r="D12647" i="1"/>
  <c r="E12647" i="1"/>
  <c r="F12647" i="1"/>
  <c r="G12647" i="1"/>
  <c r="H12647" i="1"/>
  <c r="A12648" i="1"/>
  <c r="B12648" i="1"/>
  <c r="C12648" i="1"/>
  <c r="D12648" i="1"/>
  <c r="E12648" i="1"/>
  <c r="F12648" i="1"/>
  <c r="G12648" i="1"/>
  <c r="H12648" i="1"/>
  <c r="A12649" i="1"/>
  <c r="B12649" i="1"/>
  <c r="C12649" i="1"/>
  <c r="D12649" i="1"/>
  <c r="E12649" i="1"/>
  <c r="F12649" i="1"/>
  <c r="G12649" i="1"/>
  <c r="H12649" i="1"/>
  <c r="A12650" i="1"/>
  <c r="B12650" i="1"/>
  <c r="C12650" i="1"/>
  <c r="D12650" i="1"/>
  <c r="E12650" i="1"/>
  <c r="F12650" i="1"/>
  <c r="G12650" i="1"/>
  <c r="H12650" i="1"/>
  <c r="A12651" i="1"/>
  <c r="B12651" i="1"/>
  <c r="C12651" i="1"/>
  <c r="D12651" i="1"/>
  <c r="E12651" i="1"/>
  <c r="F12651" i="1"/>
  <c r="G12651" i="1"/>
  <c r="H12651" i="1"/>
  <c r="A12652" i="1"/>
  <c r="B12652" i="1"/>
  <c r="C12652" i="1"/>
  <c r="D12652" i="1"/>
  <c r="E12652" i="1"/>
  <c r="F12652" i="1"/>
  <c r="G12652" i="1"/>
  <c r="H12652" i="1"/>
  <c r="A12653" i="1"/>
  <c r="B12653" i="1"/>
  <c r="C12653" i="1"/>
  <c r="D12653" i="1"/>
  <c r="E12653" i="1"/>
  <c r="F12653" i="1"/>
  <c r="G12653" i="1"/>
  <c r="H12653" i="1"/>
  <c r="A12654" i="1"/>
  <c r="B12654" i="1"/>
  <c r="C12654" i="1"/>
  <c r="D12654" i="1"/>
  <c r="E12654" i="1"/>
  <c r="F12654" i="1"/>
  <c r="G12654" i="1"/>
  <c r="H12654" i="1"/>
  <c r="A12655" i="1"/>
  <c r="B12655" i="1"/>
  <c r="C12655" i="1"/>
  <c r="D12655" i="1"/>
  <c r="E12655" i="1"/>
  <c r="F12655" i="1"/>
  <c r="G12655" i="1"/>
  <c r="H12655" i="1"/>
  <c r="A12656" i="1"/>
  <c r="B12656" i="1"/>
  <c r="C12656" i="1"/>
  <c r="D12656" i="1"/>
  <c r="E12656" i="1"/>
  <c r="F12656" i="1"/>
  <c r="G12656" i="1"/>
  <c r="H12656" i="1"/>
  <c r="A12657" i="1"/>
  <c r="B12657" i="1"/>
  <c r="C12657" i="1"/>
  <c r="D12657" i="1"/>
  <c r="E12657" i="1"/>
  <c r="F12657" i="1"/>
  <c r="G12657" i="1"/>
  <c r="H12657" i="1"/>
  <c r="A12658" i="1"/>
  <c r="B12658" i="1"/>
  <c r="C12658" i="1"/>
  <c r="D12658" i="1"/>
  <c r="E12658" i="1"/>
  <c r="F12658" i="1"/>
  <c r="G12658" i="1"/>
  <c r="H12658" i="1"/>
  <c r="A12659" i="1"/>
  <c r="B12659" i="1"/>
  <c r="C12659" i="1"/>
  <c r="D12659" i="1"/>
  <c r="E12659" i="1"/>
  <c r="F12659" i="1"/>
  <c r="G12659" i="1"/>
  <c r="H12659" i="1"/>
  <c r="A12660" i="1"/>
  <c r="B12660" i="1"/>
  <c r="C12660" i="1"/>
  <c r="D12660" i="1"/>
  <c r="E12660" i="1"/>
  <c r="F12660" i="1"/>
  <c r="G12660" i="1"/>
  <c r="H12660" i="1"/>
  <c r="A12661" i="1"/>
  <c r="B12661" i="1"/>
  <c r="C12661" i="1"/>
  <c r="D12661" i="1"/>
  <c r="E12661" i="1"/>
  <c r="F12661" i="1"/>
  <c r="G12661" i="1"/>
  <c r="H12661" i="1"/>
  <c r="A12662" i="1"/>
  <c r="B12662" i="1"/>
  <c r="C12662" i="1"/>
  <c r="D12662" i="1"/>
  <c r="E12662" i="1"/>
  <c r="F12662" i="1"/>
  <c r="G12662" i="1"/>
  <c r="H12662" i="1"/>
  <c r="A12663" i="1"/>
  <c r="B12663" i="1"/>
  <c r="C12663" i="1"/>
  <c r="D12663" i="1"/>
  <c r="E12663" i="1"/>
  <c r="F12663" i="1"/>
  <c r="G12663" i="1"/>
  <c r="H12663" i="1"/>
  <c r="A12664" i="1"/>
  <c r="B12664" i="1"/>
  <c r="C12664" i="1"/>
  <c r="D12664" i="1"/>
  <c r="E12664" i="1"/>
  <c r="F12664" i="1"/>
  <c r="G12664" i="1"/>
  <c r="H12664" i="1"/>
  <c r="A12665" i="1"/>
  <c r="B12665" i="1"/>
  <c r="C12665" i="1"/>
  <c r="D12665" i="1"/>
  <c r="E12665" i="1"/>
  <c r="F12665" i="1"/>
  <c r="G12665" i="1"/>
  <c r="H12665" i="1"/>
  <c r="A12666" i="1"/>
  <c r="B12666" i="1"/>
  <c r="C12666" i="1"/>
  <c r="D12666" i="1"/>
  <c r="E12666" i="1"/>
  <c r="F12666" i="1"/>
  <c r="G12666" i="1"/>
  <c r="H12666" i="1"/>
  <c r="A12667" i="1"/>
  <c r="B12667" i="1"/>
  <c r="C12667" i="1"/>
  <c r="D12667" i="1"/>
  <c r="E12667" i="1"/>
  <c r="F12667" i="1"/>
  <c r="G12667" i="1"/>
  <c r="H12667" i="1"/>
  <c r="A12668" i="1"/>
  <c r="B12668" i="1"/>
  <c r="C12668" i="1"/>
  <c r="D12668" i="1"/>
  <c r="E12668" i="1"/>
  <c r="F12668" i="1"/>
  <c r="G12668" i="1"/>
  <c r="H12668" i="1"/>
  <c r="A12669" i="1"/>
  <c r="B12669" i="1"/>
  <c r="C12669" i="1"/>
  <c r="D12669" i="1"/>
  <c r="E12669" i="1"/>
  <c r="F12669" i="1"/>
  <c r="G12669" i="1"/>
  <c r="H12669" i="1"/>
  <c r="A12670" i="1"/>
  <c r="B12670" i="1"/>
  <c r="C12670" i="1"/>
  <c r="D12670" i="1"/>
  <c r="E12670" i="1"/>
  <c r="F12670" i="1"/>
  <c r="G12670" i="1"/>
  <c r="H12670" i="1"/>
  <c r="A12671" i="1"/>
  <c r="B12671" i="1"/>
  <c r="C12671" i="1"/>
  <c r="D12671" i="1"/>
  <c r="E12671" i="1"/>
  <c r="F12671" i="1"/>
  <c r="G12671" i="1"/>
  <c r="H12671" i="1"/>
  <c r="A12672" i="1"/>
  <c r="B12672" i="1"/>
  <c r="C12672" i="1"/>
  <c r="D12672" i="1"/>
  <c r="E12672" i="1"/>
  <c r="F12672" i="1"/>
  <c r="G12672" i="1"/>
  <c r="H12672" i="1"/>
  <c r="A12673" i="1"/>
  <c r="B12673" i="1"/>
  <c r="C12673" i="1"/>
  <c r="D12673" i="1"/>
  <c r="E12673" i="1"/>
  <c r="F12673" i="1"/>
  <c r="G12673" i="1"/>
  <c r="H12673" i="1"/>
  <c r="A12674" i="1"/>
  <c r="B12674" i="1"/>
  <c r="C12674" i="1"/>
  <c r="D12674" i="1"/>
  <c r="E12674" i="1"/>
  <c r="F12674" i="1"/>
  <c r="G12674" i="1"/>
  <c r="H12674" i="1"/>
  <c r="A12675" i="1"/>
  <c r="B12675" i="1"/>
  <c r="C12675" i="1"/>
  <c r="D12675" i="1"/>
  <c r="E12675" i="1"/>
  <c r="F12675" i="1"/>
  <c r="G12675" i="1"/>
  <c r="H12675" i="1"/>
  <c r="A12676" i="1"/>
  <c r="B12676" i="1"/>
  <c r="C12676" i="1"/>
  <c r="D12676" i="1"/>
  <c r="E12676" i="1"/>
  <c r="F12676" i="1"/>
  <c r="G12676" i="1"/>
  <c r="H12676" i="1"/>
  <c r="A12677" i="1"/>
  <c r="B12677" i="1"/>
  <c r="C12677" i="1"/>
  <c r="D12677" i="1"/>
  <c r="E12677" i="1"/>
  <c r="F12677" i="1"/>
  <c r="G12677" i="1"/>
  <c r="H12677" i="1"/>
  <c r="A12678" i="1"/>
  <c r="B12678" i="1"/>
  <c r="C12678" i="1"/>
  <c r="D12678" i="1"/>
  <c r="E12678" i="1"/>
  <c r="F12678" i="1"/>
  <c r="G12678" i="1"/>
  <c r="H12678" i="1"/>
  <c r="A12679" i="1"/>
  <c r="B12679" i="1"/>
  <c r="C12679" i="1"/>
  <c r="D12679" i="1"/>
  <c r="E12679" i="1"/>
  <c r="F12679" i="1"/>
  <c r="G12679" i="1"/>
  <c r="H12679" i="1"/>
  <c r="A12680" i="1"/>
  <c r="B12680" i="1"/>
  <c r="C12680" i="1"/>
  <c r="D12680" i="1"/>
  <c r="E12680" i="1"/>
  <c r="F12680" i="1"/>
  <c r="G12680" i="1"/>
  <c r="H12680" i="1"/>
  <c r="A12681" i="1"/>
  <c r="B12681" i="1"/>
  <c r="C12681" i="1"/>
  <c r="D12681" i="1"/>
  <c r="E12681" i="1"/>
  <c r="F12681" i="1"/>
  <c r="G12681" i="1"/>
  <c r="H12681" i="1"/>
  <c r="A12682" i="1"/>
  <c r="B12682" i="1"/>
  <c r="C12682" i="1"/>
  <c r="D12682" i="1"/>
  <c r="E12682" i="1"/>
  <c r="F12682" i="1"/>
  <c r="G12682" i="1"/>
  <c r="H12682" i="1"/>
  <c r="A12683" i="1"/>
  <c r="B12683" i="1"/>
  <c r="C12683" i="1"/>
  <c r="D12683" i="1"/>
  <c r="E12683" i="1"/>
  <c r="F12683" i="1"/>
  <c r="G12683" i="1"/>
  <c r="H12683" i="1"/>
  <c r="A12684" i="1"/>
  <c r="B12684" i="1"/>
  <c r="C12684" i="1"/>
  <c r="D12684" i="1"/>
  <c r="E12684" i="1"/>
  <c r="F12684" i="1"/>
  <c r="G12684" i="1"/>
  <c r="H12684" i="1"/>
  <c r="A12685" i="1"/>
  <c r="B12685" i="1"/>
  <c r="C12685" i="1"/>
  <c r="D12685" i="1"/>
  <c r="E12685" i="1"/>
  <c r="F12685" i="1"/>
  <c r="G12685" i="1"/>
  <c r="H12685" i="1"/>
  <c r="A12686" i="1"/>
  <c r="B12686" i="1"/>
  <c r="C12686" i="1"/>
  <c r="D12686" i="1"/>
  <c r="E12686" i="1"/>
  <c r="F12686" i="1"/>
  <c r="G12686" i="1"/>
  <c r="H12686" i="1"/>
  <c r="A12687" i="1"/>
  <c r="B12687" i="1"/>
  <c r="C12687" i="1"/>
  <c r="D12687" i="1"/>
  <c r="E12687" i="1"/>
  <c r="F12687" i="1"/>
  <c r="G12687" i="1"/>
  <c r="H12687" i="1"/>
  <c r="A12688" i="1"/>
  <c r="B12688" i="1"/>
  <c r="C12688" i="1"/>
  <c r="D12688" i="1"/>
  <c r="E12688" i="1"/>
  <c r="F12688" i="1"/>
  <c r="G12688" i="1"/>
  <c r="H12688" i="1"/>
  <c r="A12689" i="1"/>
  <c r="B12689" i="1"/>
  <c r="C12689" i="1"/>
  <c r="D12689" i="1"/>
  <c r="E12689" i="1"/>
  <c r="F12689" i="1"/>
  <c r="G12689" i="1"/>
  <c r="H12689" i="1"/>
  <c r="A12690" i="1"/>
  <c r="B12690" i="1"/>
  <c r="C12690" i="1"/>
  <c r="D12690" i="1"/>
  <c r="E12690" i="1"/>
  <c r="F12690" i="1"/>
  <c r="G12690" i="1"/>
  <c r="H12690" i="1"/>
  <c r="A12691" i="1"/>
  <c r="B12691" i="1"/>
  <c r="C12691" i="1"/>
  <c r="D12691" i="1"/>
  <c r="E12691" i="1"/>
  <c r="F12691" i="1"/>
  <c r="G12691" i="1"/>
  <c r="H12691" i="1"/>
  <c r="A12692" i="1"/>
  <c r="B12692" i="1"/>
  <c r="C12692" i="1"/>
  <c r="D12692" i="1"/>
  <c r="E12692" i="1"/>
  <c r="F12692" i="1"/>
  <c r="G12692" i="1"/>
  <c r="H12692" i="1"/>
  <c r="A12693" i="1"/>
  <c r="B12693" i="1"/>
  <c r="C12693" i="1"/>
  <c r="D12693" i="1"/>
  <c r="E12693" i="1"/>
  <c r="F12693" i="1"/>
  <c r="G12693" i="1"/>
  <c r="H12693" i="1"/>
  <c r="A12694" i="1"/>
  <c r="B12694" i="1"/>
  <c r="C12694" i="1"/>
  <c r="D12694" i="1"/>
  <c r="E12694" i="1"/>
  <c r="F12694" i="1"/>
  <c r="G12694" i="1"/>
  <c r="H12694" i="1"/>
  <c r="A12695" i="1"/>
  <c r="B12695" i="1"/>
  <c r="C12695" i="1"/>
  <c r="D12695" i="1"/>
  <c r="E12695" i="1"/>
  <c r="F12695" i="1"/>
  <c r="G12695" i="1"/>
  <c r="H12695" i="1"/>
  <c r="A12696" i="1"/>
  <c r="B12696" i="1"/>
  <c r="C12696" i="1"/>
  <c r="D12696" i="1"/>
  <c r="E12696" i="1"/>
  <c r="F12696" i="1"/>
  <c r="G12696" i="1"/>
  <c r="H12696" i="1"/>
  <c r="A12697" i="1"/>
  <c r="B12697" i="1"/>
  <c r="C12697" i="1"/>
  <c r="D12697" i="1"/>
  <c r="E12697" i="1"/>
  <c r="F12697" i="1"/>
  <c r="G12697" i="1"/>
  <c r="H12697" i="1"/>
  <c r="A12698" i="1"/>
  <c r="B12698" i="1"/>
  <c r="C12698" i="1"/>
  <c r="D12698" i="1"/>
  <c r="E12698" i="1"/>
  <c r="F12698" i="1"/>
  <c r="G12698" i="1"/>
  <c r="H12698" i="1"/>
  <c r="A12699" i="1"/>
  <c r="B12699" i="1"/>
  <c r="C12699" i="1"/>
  <c r="D12699" i="1"/>
  <c r="E12699" i="1"/>
  <c r="F12699" i="1"/>
  <c r="G12699" i="1"/>
  <c r="H12699" i="1"/>
  <c r="A12700" i="1"/>
  <c r="B12700" i="1"/>
  <c r="C12700" i="1"/>
  <c r="D12700" i="1"/>
  <c r="E12700" i="1"/>
  <c r="F12700" i="1"/>
  <c r="G12700" i="1"/>
  <c r="H12700" i="1"/>
  <c r="A12701" i="1"/>
  <c r="B12701" i="1"/>
  <c r="C12701" i="1"/>
  <c r="D12701" i="1"/>
  <c r="E12701" i="1"/>
  <c r="F12701" i="1"/>
  <c r="G12701" i="1"/>
  <c r="H12701" i="1"/>
  <c r="A12702" i="1"/>
  <c r="B12702" i="1"/>
  <c r="C12702" i="1"/>
  <c r="D12702" i="1"/>
  <c r="E12702" i="1"/>
  <c r="F12702" i="1"/>
  <c r="G12702" i="1"/>
  <c r="H12702" i="1"/>
  <c r="A12703" i="1"/>
  <c r="B12703" i="1"/>
  <c r="C12703" i="1"/>
  <c r="D12703" i="1"/>
  <c r="E12703" i="1"/>
  <c r="F12703" i="1"/>
  <c r="G12703" i="1"/>
  <c r="H12703" i="1"/>
  <c r="A12704" i="1"/>
  <c r="B12704" i="1"/>
  <c r="C12704" i="1"/>
  <c r="D12704" i="1"/>
  <c r="E12704" i="1"/>
  <c r="F12704" i="1"/>
  <c r="G12704" i="1"/>
  <c r="H12704" i="1"/>
  <c r="A12705" i="1"/>
  <c r="B12705" i="1"/>
  <c r="C12705" i="1"/>
  <c r="D12705" i="1"/>
  <c r="E12705" i="1"/>
  <c r="F12705" i="1"/>
  <c r="G12705" i="1"/>
  <c r="H12705" i="1"/>
  <c r="A12706" i="1"/>
  <c r="B12706" i="1"/>
  <c r="C12706" i="1"/>
  <c r="D12706" i="1"/>
  <c r="E12706" i="1"/>
  <c r="F12706" i="1"/>
  <c r="G12706" i="1"/>
  <c r="H12706" i="1"/>
  <c r="A12707" i="1"/>
  <c r="B12707" i="1"/>
  <c r="C12707" i="1"/>
  <c r="D12707" i="1"/>
  <c r="E12707" i="1"/>
  <c r="F12707" i="1"/>
  <c r="G12707" i="1"/>
  <c r="H12707" i="1"/>
  <c r="A12708" i="1"/>
  <c r="B12708" i="1"/>
  <c r="C12708" i="1"/>
  <c r="D12708" i="1"/>
  <c r="E12708" i="1"/>
  <c r="F12708" i="1"/>
  <c r="G12708" i="1"/>
  <c r="H12708" i="1"/>
  <c r="A12709" i="1"/>
  <c r="B12709" i="1"/>
  <c r="C12709" i="1"/>
  <c r="D12709" i="1"/>
  <c r="E12709" i="1"/>
  <c r="F12709" i="1"/>
  <c r="G12709" i="1"/>
  <c r="H12709" i="1"/>
  <c r="A12710" i="1"/>
  <c r="B12710" i="1"/>
  <c r="C12710" i="1"/>
  <c r="D12710" i="1"/>
  <c r="E12710" i="1"/>
  <c r="F12710" i="1"/>
  <c r="G12710" i="1"/>
  <c r="H12710" i="1"/>
  <c r="A12711" i="1"/>
  <c r="B12711" i="1"/>
  <c r="C12711" i="1"/>
  <c r="D12711" i="1"/>
  <c r="E12711" i="1"/>
  <c r="F12711" i="1"/>
  <c r="G12711" i="1"/>
  <c r="H12711" i="1"/>
  <c r="A12712" i="1"/>
  <c r="B12712" i="1"/>
  <c r="C12712" i="1"/>
  <c r="D12712" i="1"/>
  <c r="E12712" i="1"/>
  <c r="F12712" i="1"/>
  <c r="G12712" i="1"/>
  <c r="H12712" i="1"/>
  <c r="A12713" i="1"/>
  <c r="B12713" i="1"/>
  <c r="C12713" i="1"/>
  <c r="D12713" i="1"/>
  <c r="E12713" i="1"/>
  <c r="F12713" i="1"/>
  <c r="G12713" i="1"/>
  <c r="H12713" i="1"/>
  <c r="A12714" i="1"/>
  <c r="B12714" i="1"/>
  <c r="C12714" i="1"/>
  <c r="D12714" i="1"/>
  <c r="E12714" i="1"/>
  <c r="F12714" i="1"/>
  <c r="G12714" i="1"/>
  <c r="H12714" i="1"/>
  <c r="A12715" i="1"/>
  <c r="B12715" i="1"/>
  <c r="C12715" i="1"/>
  <c r="D12715" i="1"/>
  <c r="E12715" i="1"/>
  <c r="F12715" i="1"/>
  <c r="G12715" i="1"/>
  <c r="H12715" i="1"/>
  <c r="A12716" i="1"/>
  <c r="B12716" i="1"/>
  <c r="C12716" i="1"/>
  <c r="D12716" i="1"/>
  <c r="E12716" i="1"/>
  <c r="F12716" i="1"/>
  <c r="G12716" i="1"/>
  <c r="H12716" i="1"/>
  <c r="A12717" i="1"/>
  <c r="B12717" i="1"/>
  <c r="C12717" i="1"/>
  <c r="D12717" i="1"/>
  <c r="E12717" i="1"/>
  <c r="F12717" i="1"/>
  <c r="G12717" i="1"/>
  <c r="H12717" i="1"/>
  <c r="A12718" i="1"/>
  <c r="B12718" i="1"/>
  <c r="C12718" i="1"/>
  <c r="D12718" i="1"/>
  <c r="E12718" i="1"/>
  <c r="F12718" i="1"/>
  <c r="G12718" i="1"/>
  <c r="H12718" i="1"/>
  <c r="A12719" i="1"/>
  <c r="B12719" i="1"/>
  <c r="C12719" i="1"/>
  <c r="D12719" i="1"/>
  <c r="E12719" i="1"/>
  <c r="F12719" i="1"/>
  <c r="G12719" i="1"/>
  <c r="H12719" i="1"/>
  <c r="A12720" i="1"/>
  <c r="B12720" i="1"/>
  <c r="C12720" i="1"/>
  <c r="D12720" i="1"/>
  <c r="E12720" i="1"/>
  <c r="F12720" i="1"/>
  <c r="G12720" i="1"/>
  <c r="H12720" i="1"/>
  <c r="A12721" i="1"/>
  <c r="B12721" i="1"/>
  <c r="C12721" i="1"/>
  <c r="D12721" i="1"/>
  <c r="E12721" i="1"/>
  <c r="F12721" i="1"/>
  <c r="G12721" i="1"/>
  <c r="H12721" i="1"/>
  <c r="A12722" i="1"/>
  <c r="B12722" i="1"/>
  <c r="C12722" i="1"/>
  <c r="D12722" i="1"/>
  <c r="E12722" i="1"/>
  <c r="F12722" i="1"/>
  <c r="G12722" i="1"/>
  <c r="H12722" i="1"/>
  <c r="A12723" i="1"/>
  <c r="B12723" i="1"/>
  <c r="C12723" i="1"/>
  <c r="D12723" i="1"/>
  <c r="E12723" i="1"/>
  <c r="F12723" i="1"/>
  <c r="G12723" i="1"/>
  <c r="H12723" i="1"/>
  <c r="A12724" i="1"/>
  <c r="B12724" i="1"/>
  <c r="C12724" i="1"/>
  <c r="D12724" i="1"/>
  <c r="E12724" i="1"/>
  <c r="F12724" i="1"/>
  <c r="G12724" i="1"/>
  <c r="H12724" i="1"/>
  <c r="A12725" i="1"/>
  <c r="B12725" i="1"/>
  <c r="C12725" i="1"/>
  <c r="D12725" i="1"/>
  <c r="E12725" i="1"/>
  <c r="F12725" i="1"/>
  <c r="G12725" i="1"/>
  <c r="H12725" i="1"/>
  <c r="A12726" i="1"/>
  <c r="B12726" i="1"/>
  <c r="C12726" i="1"/>
  <c r="D12726" i="1"/>
  <c r="E12726" i="1"/>
  <c r="F12726" i="1"/>
  <c r="G12726" i="1"/>
  <c r="H12726" i="1"/>
  <c r="A12727" i="1"/>
  <c r="B12727" i="1"/>
  <c r="C12727" i="1"/>
  <c r="D12727" i="1"/>
  <c r="E12727" i="1"/>
  <c r="F12727" i="1"/>
  <c r="G12727" i="1"/>
  <c r="H12727" i="1"/>
  <c r="A12728" i="1"/>
  <c r="B12728" i="1"/>
  <c r="C12728" i="1"/>
  <c r="D12728" i="1"/>
  <c r="E12728" i="1"/>
  <c r="F12728" i="1"/>
  <c r="G12728" i="1"/>
  <c r="H12728" i="1"/>
  <c r="A12729" i="1"/>
  <c r="B12729" i="1"/>
  <c r="C12729" i="1"/>
  <c r="D12729" i="1"/>
  <c r="E12729" i="1"/>
  <c r="F12729" i="1"/>
  <c r="G12729" i="1"/>
  <c r="H12729" i="1"/>
  <c r="A12730" i="1"/>
  <c r="B12730" i="1"/>
  <c r="C12730" i="1"/>
  <c r="D12730" i="1"/>
  <c r="E12730" i="1"/>
  <c r="F12730" i="1"/>
  <c r="G12730" i="1"/>
  <c r="H12730" i="1"/>
  <c r="A12731" i="1"/>
  <c r="B12731" i="1"/>
  <c r="C12731" i="1"/>
  <c r="D12731" i="1"/>
  <c r="E12731" i="1"/>
  <c r="F12731" i="1"/>
  <c r="G12731" i="1"/>
  <c r="H12731" i="1"/>
  <c r="A12732" i="1"/>
  <c r="B12732" i="1"/>
  <c r="C12732" i="1"/>
  <c r="D12732" i="1"/>
  <c r="E12732" i="1"/>
  <c r="F12732" i="1"/>
  <c r="G12732" i="1"/>
  <c r="H12732" i="1"/>
  <c r="A12733" i="1"/>
  <c r="B12733" i="1"/>
  <c r="C12733" i="1"/>
  <c r="D12733" i="1"/>
  <c r="E12733" i="1"/>
  <c r="F12733" i="1"/>
  <c r="G12733" i="1"/>
  <c r="H12733" i="1"/>
  <c r="A12734" i="1"/>
  <c r="B12734" i="1"/>
  <c r="C12734" i="1"/>
  <c r="D12734" i="1"/>
  <c r="E12734" i="1"/>
  <c r="F12734" i="1"/>
  <c r="G12734" i="1"/>
  <c r="H12734" i="1"/>
  <c r="A12735" i="1"/>
  <c r="B12735" i="1"/>
  <c r="C12735" i="1"/>
  <c r="D12735" i="1"/>
  <c r="E12735" i="1"/>
  <c r="F12735" i="1"/>
  <c r="G12735" i="1"/>
  <c r="H12735" i="1"/>
  <c r="A12736" i="1"/>
  <c r="B12736" i="1"/>
  <c r="C12736" i="1"/>
  <c r="D12736" i="1"/>
  <c r="E12736" i="1"/>
  <c r="F12736" i="1"/>
  <c r="G12736" i="1"/>
  <c r="H12736" i="1"/>
  <c r="A12737" i="1"/>
  <c r="B12737" i="1"/>
  <c r="C12737" i="1"/>
  <c r="D12737" i="1"/>
  <c r="E12737" i="1"/>
  <c r="F12737" i="1"/>
  <c r="G12737" i="1"/>
  <c r="H12737" i="1"/>
  <c r="A12738" i="1"/>
  <c r="B12738" i="1"/>
  <c r="C12738" i="1"/>
  <c r="D12738" i="1"/>
  <c r="E12738" i="1"/>
  <c r="F12738" i="1"/>
  <c r="G12738" i="1"/>
  <c r="H12738" i="1"/>
  <c r="A12739" i="1"/>
  <c r="B12739" i="1"/>
  <c r="C12739" i="1"/>
  <c r="D12739" i="1"/>
  <c r="E12739" i="1"/>
  <c r="F12739" i="1"/>
  <c r="G12739" i="1"/>
  <c r="H12739" i="1"/>
  <c r="A12740" i="1"/>
  <c r="B12740" i="1"/>
  <c r="C12740" i="1"/>
  <c r="D12740" i="1"/>
  <c r="E12740" i="1"/>
  <c r="F12740" i="1"/>
  <c r="G12740" i="1"/>
  <c r="H12740" i="1"/>
  <c r="A12741" i="1"/>
  <c r="B12741" i="1"/>
  <c r="C12741" i="1"/>
  <c r="D12741" i="1"/>
  <c r="E12741" i="1"/>
  <c r="F12741" i="1"/>
  <c r="G12741" i="1"/>
  <c r="H12741" i="1"/>
  <c r="A12742" i="1"/>
  <c r="B12742" i="1"/>
  <c r="C12742" i="1"/>
  <c r="D12742" i="1"/>
  <c r="E12742" i="1"/>
  <c r="F12742" i="1"/>
  <c r="G12742" i="1"/>
  <c r="H12742" i="1"/>
  <c r="A12743" i="1"/>
  <c r="B12743" i="1"/>
  <c r="C12743" i="1"/>
  <c r="D12743" i="1"/>
  <c r="E12743" i="1"/>
  <c r="F12743" i="1"/>
  <c r="G12743" i="1"/>
  <c r="H12743" i="1"/>
  <c r="A12744" i="1"/>
  <c r="B12744" i="1"/>
  <c r="C12744" i="1"/>
  <c r="D12744" i="1"/>
  <c r="E12744" i="1"/>
  <c r="F12744" i="1"/>
  <c r="G12744" i="1"/>
  <c r="H12744" i="1"/>
  <c r="A12745" i="1"/>
  <c r="B12745" i="1"/>
  <c r="C12745" i="1"/>
  <c r="D12745" i="1"/>
  <c r="E12745" i="1"/>
  <c r="F12745" i="1"/>
  <c r="G12745" i="1"/>
  <c r="H12745" i="1"/>
  <c r="A12746" i="1"/>
  <c r="B12746" i="1"/>
  <c r="C12746" i="1"/>
  <c r="D12746" i="1"/>
  <c r="E12746" i="1"/>
  <c r="F12746" i="1"/>
  <c r="G12746" i="1"/>
  <c r="H12746" i="1"/>
  <c r="A12747" i="1"/>
  <c r="B12747" i="1"/>
  <c r="C12747" i="1"/>
  <c r="D12747" i="1"/>
  <c r="E12747" i="1"/>
  <c r="F12747" i="1"/>
  <c r="G12747" i="1"/>
  <c r="H12747" i="1"/>
  <c r="A12748" i="1"/>
  <c r="B12748" i="1"/>
  <c r="C12748" i="1"/>
  <c r="D12748" i="1"/>
  <c r="E12748" i="1"/>
  <c r="F12748" i="1"/>
  <c r="G12748" i="1"/>
  <c r="H12748" i="1"/>
  <c r="A12749" i="1"/>
  <c r="B12749" i="1"/>
  <c r="C12749" i="1"/>
  <c r="D12749" i="1"/>
  <c r="E12749" i="1"/>
  <c r="F12749" i="1"/>
  <c r="G12749" i="1"/>
  <c r="H12749" i="1"/>
  <c r="A12750" i="1"/>
  <c r="B12750" i="1"/>
  <c r="C12750" i="1"/>
  <c r="D12750" i="1"/>
  <c r="E12750" i="1"/>
  <c r="F12750" i="1"/>
  <c r="G12750" i="1"/>
  <c r="H12750" i="1"/>
  <c r="A12751" i="1"/>
  <c r="B12751" i="1"/>
  <c r="C12751" i="1"/>
  <c r="D12751" i="1"/>
  <c r="E12751" i="1"/>
  <c r="F12751" i="1"/>
  <c r="G12751" i="1"/>
  <c r="H12751" i="1"/>
  <c r="A12752" i="1"/>
  <c r="B12752" i="1"/>
  <c r="C12752" i="1"/>
  <c r="D12752" i="1"/>
  <c r="E12752" i="1"/>
  <c r="F12752" i="1"/>
  <c r="G12752" i="1"/>
  <c r="H12752" i="1"/>
  <c r="A12753" i="1"/>
  <c r="B12753" i="1"/>
  <c r="C12753" i="1"/>
  <c r="D12753" i="1"/>
  <c r="E12753" i="1"/>
  <c r="F12753" i="1"/>
  <c r="G12753" i="1"/>
  <c r="H12753" i="1"/>
  <c r="A12754" i="1"/>
  <c r="B12754" i="1"/>
  <c r="C12754" i="1"/>
  <c r="D12754" i="1"/>
  <c r="E12754" i="1"/>
  <c r="F12754" i="1"/>
  <c r="G12754" i="1"/>
  <c r="H12754" i="1"/>
  <c r="A12755" i="1"/>
  <c r="B12755" i="1"/>
  <c r="C12755" i="1"/>
  <c r="D12755" i="1"/>
  <c r="E12755" i="1"/>
  <c r="F12755" i="1"/>
  <c r="G12755" i="1"/>
  <c r="H12755" i="1"/>
  <c r="A12756" i="1"/>
  <c r="B12756" i="1"/>
  <c r="C12756" i="1"/>
  <c r="D12756" i="1"/>
  <c r="E12756" i="1"/>
  <c r="F12756" i="1"/>
  <c r="G12756" i="1"/>
  <c r="H12756" i="1"/>
  <c r="A12757" i="1"/>
  <c r="B12757" i="1"/>
  <c r="C12757" i="1"/>
  <c r="D12757" i="1"/>
  <c r="E12757" i="1"/>
  <c r="F12757" i="1"/>
  <c r="G12757" i="1"/>
  <c r="H12757" i="1"/>
  <c r="A12758" i="1"/>
  <c r="B12758" i="1"/>
  <c r="C12758" i="1"/>
  <c r="D12758" i="1"/>
  <c r="E12758" i="1"/>
  <c r="F12758" i="1"/>
  <c r="G12758" i="1"/>
  <c r="H12758" i="1"/>
  <c r="A12759" i="1"/>
  <c r="B12759" i="1"/>
  <c r="C12759" i="1"/>
  <c r="D12759" i="1"/>
  <c r="E12759" i="1"/>
  <c r="F12759" i="1"/>
  <c r="G12759" i="1"/>
  <c r="H12759" i="1"/>
  <c r="A12760" i="1"/>
  <c r="B12760" i="1"/>
  <c r="C12760" i="1"/>
  <c r="D12760" i="1"/>
  <c r="E12760" i="1"/>
  <c r="F12760" i="1"/>
  <c r="G12760" i="1"/>
  <c r="H12760" i="1"/>
  <c r="A12761" i="1"/>
  <c r="B12761" i="1"/>
  <c r="C12761" i="1"/>
  <c r="D12761" i="1"/>
  <c r="E12761" i="1"/>
  <c r="F12761" i="1"/>
  <c r="G12761" i="1"/>
  <c r="H12761" i="1"/>
  <c r="A12762" i="1"/>
  <c r="B12762" i="1"/>
  <c r="C12762" i="1"/>
  <c r="D12762" i="1"/>
  <c r="E12762" i="1"/>
  <c r="F12762" i="1"/>
  <c r="G12762" i="1"/>
  <c r="H12762" i="1"/>
  <c r="A12763" i="1"/>
  <c r="B12763" i="1"/>
  <c r="C12763" i="1"/>
  <c r="D12763" i="1"/>
  <c r="E12763" i="1"/>
  <c r="F12763" i="1"/>
  <c r="G12763" i="1"/>
  <c r="H12763" i="1"/>
  <c r="A12764" i="1"/>
  <c r="B12764" i="1"/>
  <c r="C12764" i="1"/>
  <c r="D12764" i="1"/>
  <c r="E12764" i="1"/>
  <c r="F12764" i="1"/>
  <c r="G12764" i="1"/>
  <c r="H12764" i="1"/>
  <c r="A12765" i="1"/>
  <c r="B12765" i="1"/>
  <c r="C12765" i="1"/>
  <c r="D12765" i="1"/>
  <c r="E12765" i="1"/>
  <c r="F12765" i="1"/>
  <c r="G12765" i="1"/>
  <c r="H12765" i="1"/>
  <c r="A12766" i="1"/>
  <c r="B12766" i="1"/>
  <c r="C12766" i="1"/>
  <c r="D12766" i="1"/>
  <c r="E12766" i="1"/>
  <c r="F12766" i="1"/>
  <c r="G12766" i="1"/>
  <c r="H12766" i="1"/>
  <c r="A12767" i="1"/>
  <c r="B12767" i="1"/>
  <c r="C12767" i="1"/>
  <c r="D12767" i="1"/>
  <c r="E12767" i="1"/>
  <c r="F12767" i="1"/>
  <c r="G12767" i="1"/>
  <c r="H12767" i="1"/>
  <c r="A12768" i="1"/>
  <c r="B12768" i="1"/>
  <c r="C12768" i="1"/>
  <c r="D12768" i="1"/>
  <c r="E12768" i="1"/>
  <c r="F12768" i="1"/>
  <c r="G12768" i="1"/>
  <c r="H12768" i="1"/>
  <c r="A12769" i="1"/>
  <c r="B12769" i="1"/>
  <c r="C12769" i="1"/>
  <c r="D12769" i="1"/>
  <c r="E12769" i="1"/>
  <c r="F12769" i="1"/>
  <c r="G12769" i="1"/>
  <c r="H12769" i="1"/>
  <c r="A12770" i="1"/>
  <c r="B12770" i="1"/>
  <c r="C12770" i="1"/>
  <c r="D12770" i="1"/>
  <c r="E12770" i="1"/>
  <c r="F12770" i="1"/>
  <c r="G12770" i="1"/>
  <c r="H12770" i="1"/>
  <c r="A12771" i="1"/>
  <c r="B12771" i="1"/>
  <c r="C12771" i="1"/>
  <c r="D12771" i="1"/>
  <c r="E12771" i="1"/>
  <c r="F12771" i="1"/>
  <c r="G12771" i="1"/>
  <c r="H12771" i="1"/>
  <c r="A12772" i="1"/>
  <c r="B12772" i="1"/>
  <c r="C12772" i="1"/>
  <c r="D12772" i="1"/>
  <c r="E12772" i="1"/>
  <c r="F12772" i="1"/>
  <c r="G12772" i="1"/>
  <c r="H12772" i="1"/>
  <c r="A12773" i="1"/>
  <c r="B12773" i="1"/>
  <c r="C12773" i="1"/>
  <c r="D12773" i="1"/>
  <c r="E12773" i="1"/>
  <c r="F12773" i="1"/>
  <c r="G12773" i="1"/>
  <c r="H12773" i="1"/>
  <c r="A12774" i="1"/>
  <c r="B12774" i="1"/>
  <c r="C12774" i="1"/>
  <c r="D12774" i="1"/>
  <c r="E12774" i="1"/>
  <c r="F12774" i="1"/>
  <c r="G12774" i="1"/>
  <c r="H12774" i="1"/>
  <c r="A12775" i="1"/>
  <c r="B12775" i="1"/>
  <c r="C12775" i="1"/>
  <c r="D12775" i="1"/>
  <c r="E12775" i="1"/>
  <c r="F12775" i="1"/>
  <c r="G12775" i="1"/>
  <c r="H12775" i="1"/>
  <c r="A12776" i="1"/>
  <c r="B12776" i="1"/>
  <c r="C12776" i="1"/>
  <c r="D12776" i="1"/>
  <c r="E12776" i="1"/>
  <c r="F12776" i="1"/>
  <c r="G12776" i="1"/>
  <c r="H12776" i="1"/>
  <c r="A12777" i="1"/>
  <c r="B12777" i="1"/>
  <c r="C12777" i="1"/>
  <c r="D12777" i="1"/>
  <c r="E12777" i="1"/>
  <c r="F12777" i="1"/>
  <c r="G12777" i="1"/>
  <c r="H12777" i="1"/>
  <c r="A12778" i="1"/>
  <c r="B12778" i="1"/>
  <c r="C12778" i="1"/>
  <c r="D12778" i="1"/>
  <c r="E12778" i="1"/>
  <c r="F12778" i="1"/>
  <c r="G12778" i="1"/>
  <c r="H12778" i="1"/>
  <c r="A12779" i="1"/>
  <c r="B12779" i="1"/>
  <c r="C12779" i="1"/>
  <c r="D12779" i="1"/>
  <c r="E12779" i="1"/>
  <c r="F12779" i="1"/>
  <c r="G12779" i="1"/>
  <c r="H12779" i="1"/>
  <c r="A12780" i="1"/>
  <c r="B12780" i="1"/>
  <c r="C12780" i="1"/>
  <c r="D12780" i="1"/>
  <c r="E12780" i="1"/>
  <c r="F12780" i="1"/>
  <c r="G12780" i="1"/>
  <c r="H12780" i="1"/>
  <c r="A12781" i="1"/>
  <c r="B12781" i="1"/>
  <c r="C12781" i="1"/>
  <c r="D12781" i="1"/>
  <c r="E12781" i="1"/>
  <c r="F12781" i="1"/>
  <c r="G12781" i="1"/>
  <c r="H12781" i="1"/>
  <c r="A12782" i="1"/>
  <c r="B12782" i="1"/>
  <c r="C12782" i="1"/>
  <c r="D12782" i="1"/>
  <c r="E12782" i="1"/>
  <c r="F12782" i="1"/>
  <c r="G12782" i="1"/>
  <c r="H12782" i="1"/>
  <c r="A12783" i="1"/>
  <c r="B12783" i="1"/>
  <c r="C12783" i="1"/>
  <c r="D12783" i="1"/>
  <c r="E12783" i="1"/>
  <c r="F12783" i="1"/>
  <c r="G12783" i="1"/>
  <c r="H12783" i="1"/>
  <c r="A12784" i="1"/>
  <c r="B12784" i="1"/>
  <c r="C12784" i="1"/>
  <c r="D12784" i="1"/>
  <c r="E12784" i="1"/>
  <c r="F12784" i="1"/>
  <c r="G12784" i="1"/>
  <c r="H12784" i="1"/>
  <c r="A12785" i="1"/>
  <c r="B12785" i="1"/>
  <c r="C12785" i="1"/>
  <c r="D12785" i="1"/>
  <c r="E12785" i="1"/>
  <c r="F12785" i="1"/>
  <c r="G12785" i="1"/>
  <c r="H12785" i="1"/>
  <c r="A12786" i="1"/>
  <c r="B12786" i="1"/>
  <c r="C12786" i="1"/>
  <c r="D12786" i="1"/>
  <c r="E12786" i="1"/>
  <c r="F12786" i="1"/>
  <c r="G12786" i="1"/>
  <c r="H12786" i="1"/>
  <c r="A12787" i="1"/>
  <c r="B12787" i="1"/>
  <c r="C12787" i="1"/>
  <c r="D12787" i="1"/>
  <c r="E12787" i="1"/>
  <c r="F12787" i="1"/>
  <c r="G12787" i="1"/>
  <c r="H12787" i="1"/>
  <c r="A12788" i="1"/>
  <c r="B12788" i="1"/>
  <c r="C12788" i="1"/>
  <c r="D12788" i="1"/>
  <c r="E12788" i="1"/>
  <c r="F12788" i="1"/>
  <c r="G12788" i="1"/>
  <c r="H12788" i="1"/>
  <c r="A12789" i="1"/>
  <c r="B12789" i="1"/>
  <c r="C12789" i="1"/>
  <c r="D12789" i="1"/>
  <c r="E12789" i="1"/>
  <c r="F12789" i="1"/>
  <c r="G12789" i="1"/>
  <c r="H12789" i="1"/>
  <c r="A12790" i="1"/>
  <c r="B12790" i="1"/>
  <c r="C12790" i="1"/>
  <c r="D12790" i="1"/>
  <c r="E12790" i="1"/>
  <c r="F12790" i="1"/>
  <c r="G12790" i="1"/>
  <c r="H12790" i="1"/>
  <c r="A12791" i="1"/>
  <c r="B12791" i="1"/>
  <c r="C12791" i="1"/>
  <c r="D12791" i="1"/>
  <c r="E12791" i="1"/>
  <c r="F12791" i="1"/>
  <c r="G12791" i="1"/>
  <c r="H12791" i="1"/>
  <c r="A12792" i="1"/>
  <c r="B12792" i="1"/>
  <c r="C12792" i="1"/>
  <c r="D12792" i="1"/>
  <c r="E12792" i="1"/>
  <c r="F12792" i="1"/>
  <c r="G12792" i="1"/>
  <c r="H12792" i="1"/>
  <c r="A12793" i="1"/>
  <c r="B12793" i="1"/>
  <c r="C12793" i="1"/>
  <c r="D12793" i="1"/>
  <c r="E12793" i="1"/>
  <c r="F12793" i="1"/>
  <c r="G12793" i="1"/>
  <c r="H12793" i="1"/>
  <c r="A12794" i="1"/>
  <c r="B12794" i="1"/>
  <c r="C12794" i="1"/>
  <c r="D12794" i="1"/>
  <c r="E12794" i="1"/>
  <c r="F12794" i="1"/>
  <c r="G12794" i="1"/>
  <c r="H12794" i="1"/>
  <c r="A12795" i="1"/>
  <c r="B12795" i="1"/>
  <c r="C12795" i="1"/>
  <c r="D12795" i="1"/>
  <c r="E12795" i="1"/>
  <c r="F12795" i="1"/>
  <c r="G12795" i="1"/>
  <c r="H12795" i="1"/>
  <c r="A12796" i="1"/>
  <c r="B12796" i="1"/>
  <c r="C12796" i="1"/>
  <c r="D12796" i="1"/>
  <c r="E12796" i="1"/>
  <c r="F12796" i="1"/>
  <c r="G12796" i="1"/>
  <c r="H12796" i="1"/>
  <c r="A12797" i="1"/>
  <c r="B12797" i="1"/>
  <c r="C12797" i="1"/>
  <c r="D12797" i="1"/>
  <c r="E12797" i="1"/>
  <c r="F12797" i="1"/>
  <c r="G12797" i="1"/>
  <c r="H12797" i="1"/>
  <c r="A12798" i="1"/>
  <c r="B12798" i="1"/>
  <c r="C12798" i="1"/>
  <c r="D12798" i="1"/>
  <c r="E12798" i="1"/>
  <c r="F12798" i="1"/>
  <c r="G12798" i="1"/>
  <c r="H12798" i="1"/>
  <c r="A12799" i="1"/>
  <c r="B12799" i="1"/>
  <c r="C12799" i="1"/>
  <c r="D12799" i="1"/>
  <c r="E12799" i="1"/>
  <c r="F12799" i="1"/>
  <c r="G12799" i="1"/>
  <c r="H12799" i="1"/>
  <c r="A12800" i="1"/>
  <c r="B12800" i="1"/>
  <c r="C12800" i="1"/>
  <c r="D12800" i="1"/>
  <c r="E12800" i="1"/>
  <c r="F12800" i="1"/>
  <c r="G12800" i="1"/>
  <c r="H12800" i="1"/>
  <c r="A12801" i="1"/>
  <c r="B12801" i="1"/>
  <c r="C12801" i="1"/>
  <c r="D12801" i="1"/>
  <c r="E12801" i="1"/>
  <c r="F12801" i="1"/>
  <c r="G12801" i="1"/>
  <c r="H12801" i="1"/>
  <c r="A12802" i="1"/>
  <c r="B12802" i="1"/>
  <c r="C12802" i="1"/>
  <c r="D12802" i="1"/>
  <c r="E12802" i="1"/>
  <c r="F12802" i="1"/>
  <c r="G12802" i="1"/>
  <c r="H12802" i="1"/>
  <c r="A12803" i="1"/>
  <c r="B12803" i="1"/>
  <c r="C12803" i="1"/>
  <c r="D12803" i="1"/>
  <c r="E12803" i="1"/>
  <c r="F12803" i="1"/>
  <c r="G12803" i="1"/>
  <c r="H12803" i="1"/>
  <c r="A12804" i="1"/>
  <c r="B12804" i="1"/>
  <c r="C12804" i="1"/>
  <c r="D12804" i="1"/>
  <c r="E12804" i="1"/>
  <c r="F12804" i="1"/>
  <c r="G12804" i="1"/>
  <c r="H12804" i="1"/>
  <c r="A12805" i="1"/>
  <c r="B12805" i="1"/>
  <c r="C12805" i="1"/>
  <c r="D12805" i="1"/>
  <c r="E12805" i="1"/>
  <c r="F12805" i="1"/>
  <c r="G12805" i="1"/>
  <c r="H12805" i="1"/>
  <c r="A12806" i="1"/>
  <c r="B12806" i="1"/>
  <c r="C12806" i="1"/>
  <c r="D12806" i="1"/>
  <c r="E12806" i="1"/>
  <c r="F12806" i="1"/>
  <c r="G12806" i="1"/>
  <c r="H12806" i="1"/>
  <c r="A12807" i="1"/>
  <c r="B12807" i="1"/>
  <c r="C12807" i="1"/>
  <c r="D12807" i="1"/>
  <c r="E12807" i="1"/>
  <c r="F12807" i="1"/>
  <c r="G12807" i="1"/>
  <c r="H12807" i="1"/>
  <c r="A12808" i="1"/>
  <c r="B12808" i="1"/>
  <c r="C12808" i="1"/>
  <c r="D12808" i="1"/>
  <c r="E12808" i="1"/>
  <c r="F12808" i="1"/>
  <c r="G12808" i="1"/>
  <c r="H12808" i="1"/>
  <c r="A12809" i="1"/>
  <c r="B12809" i="1"/>
  <c r="C12809" i="1"/>
  <c r="D12809" i="1"/>
  <c r="E12809" i="1"/>
  <c r="F12809" i="1"/>
  <c r="G12809" i="1"/>
  <c r="H12809" i="1"/>
  <c r="A12810" i="1"/>
  <c r="B12810" i="1"/>
  <c r="C12810" i="1"/>
  <c r="D12810" i="1"/>
  <c r="E12810" i="1"/>
  <c r="F12810" i="1"/>
  <c r="G12810" i="1"/>
  <c r="H12810" i="1"/>
  <c r="A12811" i="1"/>
  <c r="B12811" i="1"/>
  <c r="C12811" i="1"/>
  <c r="D12811" i="1"/>
  <c r="E12811" i="1"/>
  <c r="F12811" i="1"/>
  <c r="G12811" i="1"/>
  <c r="H12811" i="1"/>
  <c r="A12812" i="1"/>
  <c r="B12812" i="1"/>
  <c r="C12812" i="1"/>
  <c r="D12812" i="1"/>
  <c r="E12812" i="1"/>
  <c r="F12812" i="1"/>
  <c r="G12812" i="1"/>
  <c r="H12812" i="1"/>
  <c r="A12813" i="1"/>
  <c r="B12813" i="1"/>
  <c r="C12813" i="1"/>
  <c r="D12813" i="1"/>
  <c r="E12813" i="1"/>
  <c r="F12813" i="1"/>
  <c r="G12813" i="1"/>
  <c r="H12813" i="1"/>
  <c r="A12814" i="1"/>
  <c r="B12814" i="1"/>
  <c r="C12814" i="1"/>
  <c r="D12814" i="1"/>
  <c r="E12814" i="1"/>
  <c r="F12814" i="1"/>
  <c r="G12814" i="1"/>
  <c r="H12814" i="1"/>
  <c r="A12815" i="1"/>
  <c r="B12815" i="1"/>
  <c r="C12815" i="1"/>
  <c r="D12815" i="1"/>
  <c r="E12815" i="1"/>
  <c r="F12815" i="1"/>
  <c r="G12815" i="1"/>
  <c r="H12815" i="1"/>
  <c r="A12816" i="1"/>
  <c r="B12816" i="1"/>
  <c r="C12816" i="1"/>
  <c r="D12816" i="1"/>
  <c r="E12816" i="1"/>
  <c r="F12816" i="1"/>
  <c r="G12816" i="1"/>
  <c r="H12816" i="1"/>
  <c r="A12817" i="1"/>
  <c r="B12817" i="1"/>
  <c r="C12817" i="1"/>
  <c r="D12817" i="1"/>
  <c r="E12817" i="1"/>
  <c r="F12817" i="1"/>
  <c r="G12817" i="1"/>
  <c r="H12817" i="1"/>
  <c r="A12818" i="1"/>
  <c r="B12818" i="1"/>
  <c r="C12818" i="1"/>
  <c r="D12818" i="1"/>
  <c r="E12818" i="1"/>
  <c r="F12818" i="1"/>
  <c r="G12818" i="1"/>
  <c r="H12818" i="1"/>
  <c r="A12819" i="1"/>
  <c r="B12819" i="1"/>
  <c r="C12819" i="1"/>
  <c r="D12819" i="1"/>
  <c r="E12819" i="1"/>
  <c r="F12819" i="1"/>
  <c r="G12819" i="1"/>
  <c r="H12819" i="1"/>
  <c r="A12820" i="1"/>
  <c r="B12820" i="1"/>
  <c r="C12820" i="1"/>
  <c r="D12820" i="1"/>
  <c r="E12820" i="1"/>
  <c r="F12820" i="1"/>
  <c r="G12820" i="1"/>
  <c r="H12820" i="1"/>
  <c r="A12821" i="1"/>
  <c r="B12821" i="1"/>
  <c r="C12821" i="1"/>
  <c r="D12821" i="1"/>
  <c r="E12821" i="1"/>
  <c r="F12821" i="1"/>
  <c r="G12821" i="1"/>
  <c r="H12821" i="1"/>
  <c r="A12822" i="1"/>
  <c r="B12822" i="1"/>
  <c r="C12822" i="1"/>
  <c r="D12822" i="1"/>
  <c r="E12822" i="1"/>
  <c r="F12822" i="1"/>
  <c r="G12822" i="1"/>
  <c r="H12822" i="1"/>
  <c r="A12823" i="1"/>
  <c r="B12823" i="1"/>
  <c r="C12823" i="1"/>
  <c r="D12823" i="1"/>
  <c r="E12823" i="1"/>
  <c r="F12823" i="1"/>
  <c r="G12823" i="1"/>
  <c r="H12823" i="1"/>
  <c r="A12824" i="1"/>
  <c r="B12824" i="1"/>
  <c r="C12824" i="1"/>
  <c r="D12824" i="1"/>
  <c r="E12824" i="1"/>
  <c r="F12824" i="1"/>
  <c r="G12824" i="1"/>
  <c r="H12824" i="1"/>
  <c r="A12825" i="1"/>
  <c r="B12825" i="1"/>
  <c r="C12825" i="1"/>
  <c r="D12825" i="1"/>
  <c r="E12825" i="1"/>
  <c r="F12825" i="1"/>
  <c r="G12825" i="1"/>
  <c r="H12825" i="1"/>
  <c r="A12826" i="1"/>
  <c r="B12826" i="1"/>
  <c r="C12826" i="1"/>
  <c r="D12826" i="1"/>
  <c r="E12826" i="1"/>
  <c r="F12826" i="1"/>
  <c r="G12826" i="1"/>
  <c r="H12826" i="1"/>
  <c r="A12827" i="1"/>
  <c r="B12827" i="1"/>
  <c r="C12827" i="1"/>
  <c r="D12827" i="1"/>
  <c r="E12827" i="1"/>
  <c r="F12827" i="1"/>
  <c r="G12827" i="1"/>
  <c r="H12827" i="1"/>
  <c r="A12828" i="1"/>
  <c r="B12828" i="1"/>
  <c r="C12828" i="1"/>
  <c r="D12828" i="1"/>
  <c r="E12828" i="1"/>
  <c r="F12828" i="1"/>
  <c r="G12828" i="1"/>
  <c r="H12828" i="1"/>
  <c r="A12829" i="1"/>
  <c r="B12829" i="1"/>
  <c r="C12829" i="1"/>
  <c r="D12829" i="1"/>
  <c r="E12829" i="1"/>
  <c r="F12829" i="1"/>
  <c r="G12829" i="1"/>
  <c r="H12829" i="1"/>
  <c r="A12830" i="1"/>
  <c r="B12830" i="1"/>
  <c r="C12830" i="1"/>
  <c r="D12830" i="1"/>
  <c r="E12830" i="1"/>
  <c r="F12830" i="1"/>
  <c r="G12830" i="1"/>
  <c r="H12830" i="1"/>
  <c r="A12831" i="1"/>
  <c r="B12831" i="1"/>
  <c r="C12831" i="1"/>
  <c r="D12831" i="1"/>
  <c r="E12831" i="1"/>
  <c r="F12831" i="1"/>
  <c r="G12831" i="1"/>
  <c r="H12831" i="1"/>
  <c r="A12832" i="1"/>
  <c r="B12832" i="1"/>
  <c r="C12832" i="1"/>
  <c r="D12832" i="1"/>
  <c r="E12832" i="1"/>
  <c r="F12832" i="1"/>
  <c r="G12832" i="1"/>
  <c r="H12832" i="1"/>
  <c r="A12833" i="1"/>
  <c r="B12833" i="1"/>
  <c r="C12833" i="1"/>
  <c r="D12833" i="1"/>
  <c r="E12833" i="1"/>
  <c r="F12833" i="1"/>
  <c r="G12833" i="1"/>
  <c r="H12833" i="1"/>
  <c r="A12834" i="1"/>
  <c r="B12834" i="1"/>
  <c r="C12834" i="1"/>
  <c r="D12834" i="1"/>
  <c r="E12834" i="1"/>
  <c r="F12834" i="1"/>
  <c r="G12834" i="1"/>
  <c r="H12834" i="1"/>
  <c r="A12835" i="1"/>
  <c r="B12835" i="1"/>
  <c r="C12835" i="1"/>
  <c r="D12835" i="1"/>
  <c r="E12835" i="1"/>
  <c r="F12835" i="1"/>
  <c r="G12835" i="1"/>
  <c r="H12835" i="1"/>
  <c r="A12836" i="1"/>
  <c r="B12836" i="1"/>
  <c r="C12836" i="1"/>
  <c r="D12836" i="1"/>
  <c r="E12836" i="1"/>
  <c r="F12836" i="1"/>
  <c r="G12836" i="1"/>
  <c r="H12836" i="1"/>
  <c r="A12837" i="1"/>
  <c r="B12837" i="1"/>
  <c r="C12837" i="1"/>
  <c r="D12837" i="1"/>
  <c r="E12837" i="1"/>
  <c r="F12837" i="1"/>
  <c r="G12837" i="1"/>
  <c r="H12837" i="1"/>
  <c r="A12838" i="1"/>
  <c r="B12838" i="1"/>
  <c r="C12838" i="1"/>
  <c r="D12838" i="1"/>
  <c r="E12838" i="1"/>
  <c r="F12838" i="1"/>
  <c r="G12838" i="1"/>
  <c r="H12838" i="1"/>
  <c r="A12839" i="1"/>
  <c r="B12839" i="1"/>
  <c r="C12839" i="1"/>
  <c r="D12839" i="1"/>
  <c r="E12839" i="1"/>
  <c r="F12839" i="1"/>
  <c r="G12839" i="1"/>
  <c r="H12839" i="1"/>
  <c r="A12840" i="1"/>
  <c r="B12840" i="1"/>
  <c r="C12840" i="1"/>
  <c r="D12840" i="1"/>
  <c r="E12840" i="1"/>
  <c r="F12840" i="1"/>
  <c r="G12840" i="1"/>
  <c r="H12840" i="1"/>
  <c r="A12841" i="1"/>
  <c r="B12841" i="1"/>
  <c r="C12841" i="1"/>
  <c r="D12841" i="1"/>
  <c r="E12841" i="1"/>
  <c r="F12841" i="1"/>
  <c r="G12841" i="1"/>
  <c r="H12841" i="1"/>
  <c r="A12842" i="1"/>
  <c r="B12842" i="1"/>
  <c r="C12842" i="1"/>
  <c r="D12842" i="1"/>
  <c r="E12842" i="1"/>
  <c r="F12842" i="1"/>
  <c r="G12842" i="1"/>
  <c r="H12842" i="1"/>
  <c r="A12843" i="1"/>
  <c r="B12843" i="1"/>
  <c r="C12843" i="1"/>
  <c r="D12843" i="1"/>
  <c r="E12843" i="1"/>
  <c r="F12843" i="1"/>
  <c r="G12843" i="1"/>
  <c r="H12843" i="1"/>
  <c r="A12844" i="1"/>
  <c r="B12844" i="1"/>
  <c r="C12844" i="1"/>
  <c r="D12844" i="1"/>
  <c r="E12844" i="1"/>
  <c r="F12844" i="1"/>
  <c r="G12844" i="1"/>
  <c r="H12844" i="1"/>
  <c r="A12845" i="1"/>
  <c r="B12845" i="1"/>
  <c r="C12845" i="1"/>
  <c r="D12845" i="1"/>
  <c r="E12845" i="1"/>
  <c r="F12845" i="1"/>
  <c r="G12845" i="1"/>
  <c r="H12845" i="1"/>
  <c r="A12846" i="1"/>
  <c r="B12846" i="1"/>
  <c r="C12846" i="1"/>
  <c r="D12846" i="1"/>
  <c r="E12846" i="1"/>
  <c r="F12846" i="1"/>
  <c r="G12846" i="1"/>
  <c r="H12846" i="1"/>
  <c r="A12847" i="1"/>
  <c r="B12847" i="1"/>
  <c r="C12847" i="1"/>
  <c r="D12847" i="1"/>
  <c r="E12847" i="1"/>
  <c r="F12847" i="1"/>
  <c r="G12847" i="1"/>
  <c r="H12847" i="1"/>
  <c r="A12848" i="1"/>
  <c r="B12848" i="1"/>
  <c r="C12848" i="1"/>
  <c r="D12848" i="1"/>
  <c r="E12848" i="1"/>
  <c r="F12848" i="1"/>
  <c r="G12848" i="1"/>
  <c r="H12848" i="1"/>
  <c r="A12849" i="1"/>
  <c r="B12849" i="1"/>
  <c r="C12849" i="1"/>
  <c r="D12849" i="1"/>
  <c r="E12849" i="1"/>
  <c r="F12849" i="1"/>
  <c r="G12849" i="1"/>
  <c r="H12849" i="1"/>
  <c r="A12850" i="1"/>
  <c r="B12850" i="1"/>
  <c r="C12850" i="1"/>
  <c r="D12850" i="1"/>
  <c r="E12850" i="1"/>
  <c r="F12850" i="1"/>
  <c r="G12850" i="1"/>
  <c r="H12850" i="1"/>
  <c r="A12851" i="1"/>
  <c r="B12851" i="1"/>
  <c r="C12851" i="1"/>
  <c r="D12851" i="1"/>
  <c r="E12851" i="1"/>
  <c r="F12851" i="1"/>
  <c r="G12851" i="1"/>
  <c r="H12851" i="1"/>
  <c r="A12852" i="1"/>
  <c r="B12852" i="1"/>
  <c r="C12852" i="1"/>
  <c r="D12852" i="1"/>
  <c r="E12852" i="1"/>
  <c r="F12852" i="1"/>
  <c r="G12852" i="1"/>
  <c r="H12852" i="1"/>
  <c r="A12853" i="1"/>
  <c r="B12853" i="1"/>
  <c r="C12853" i="1"/>
  <c r="D12853" i="1"/>
  <c r="E12853" i="1"/>
  <c r="F12853" i="1"/>
  <c r="G12853" i="1"/>
  <c r="H12853" i="1"/>
  <c r="A12854" i="1"/>
  <c r="B12854" i="1"/>
  <c r="C12854" i="1"/>
  <c r="D12854" i="1"/>
  <c r="E12854" i="1"/>
  <c r="F12854" i="1"/>
  <c r="G12854" i="1"/>
  <c r="H12854" i="1"/>
  <c r="A12855" i="1"/>
  <c r="B12855" i="1"/>
  <c r="C12855" i="1"/>
  <c r="D12855" i="1"/>
  <c r="E12855" i="1"/>
  <c r="F12855" i="1"/>
  <c r="G12855" i="1"/>
  <c r="H12855" i="1"/>
  <c r="A12856" i="1"/>
  <c r="B12856" i="1"/>
  <c r="C12856" i="1"/>
  <c r="D12856" i="1"/>
  <c r="E12856" i="1"/>
  <c r="F12856" i="1"/>
  <c r="G12856" i="1"/>
  <c r="H12856" i="1"/>
  <c r="A12857" i="1"/>
  <c r="B12857" i="1"/>
  <c r="C12857" i="1"/>
  <c r="D12857" i="1"/>
  <c r="E12857" i="1"/>
  <c r="F12857" i="1"/>
  <c r="G12857" i="1"/>
  <c r="H12857" i="1"/>
  <c r="A12858" i="1"/>
  <c r="B12858" i="1"/>
  <c r="C12858" i="1"/>
  <c r="D12858" i="1"/>
  <c r="E12858" i="1"/>
  <c r="F12858" i="1"/>
  <c r="G12858" i="1"/>
  <c r="H12858" i="1"/>
  <c r="A12859" i="1"/>
  <c r="B12859" i="1"/>
  <c r="C12859" i="1"/>
  <c r="D12859" i="1"/>
  <c r="E12859" i="1"/>
  <c r="F12859" i="1"/>
  <c r="G12859" i="1"/>
  <c r="H12859" i="1"/>
  <c r="A12860" i="1"/>
  <c r="B12860" i="1"/>
  <c r="C12860" i="1"/>
  <c r="D12860" i="1"/>
  <c r="E12860" i="1"/>
  <c r="F12860" i="1"/>
  <c r="G12860" i="1"/>
  <c r="H12860" i="1"/>
  <c r="A12861" i="1"/>
  <c r="B12861" i="1"/>
  <c r="C12861" i="1"/>
  <c r="D12861" i="1"/>
  <c r="E12861" i="1"/>
  <c r="F12861" i="1"/>
  <c r="G12861" i="1"/>
  <c r="H12861" i="1"/>
  <c r="A12862" i="1"/>
  <c r="B12862" i="1"/>
  <c r="C12862" i="1"/>
  <c r="D12862" i="1"/>
  <c r="E12862" i="1"/>
  <c r="F12862" i="1"/>
  <c r="G12862" i="1"/>
  <c r="H12862" i="1"/>
  <c r="A12863" i="1"/>
  <c r="B12863" i="1"/>
  <c r="C12863" i="1"/>
  <c r="D12863" i="1"/>
  <c r="E12863" i="1"/>
  <c r="F12863" i="1"/>
  <c r="G12863" i="1"/>
  <c r="H12863" i="1"/>
  <c r="A12864" i="1"/>
  <c r="B12864" i="1"/>
  <c r="C12864" i="1"/>
  <c r="D12864" i="1"/>
  <c r="E12864" i="1"/>
  <c r="F12864" i="1"/>
  <c r="G12864" i="1"/>
  <c r="H12864" i="1"/>
  <c r="A12865" i="1"/>
  <c r="B12865" i="1"/>
  <c r="C12865" i="1"/>
  <c r="D12865" i="1"/>
  <c r="E12865" i="1"/>
  <c r="F12865" i="1"/>
  <c r="G12865" i="1"/>
  <c r="H12865" i="1"/>
  <c r="A12866" i="1"/>
  <c r="B12866" i="1"/>
  <c r="C12866" i="1"/>
  <c r="D12866" i="1"/>
  <c r="E12866" i="1"/>
  <c r="F12866" i="1"/>
  <c r="G12866" i="1"/>
  <c r="H12866" i="1"/>
  <c r="A12867" i="1"/>
  <c r="B12867" i="1"/>
  <c r="C12867" i="1"/>
  <c r="D12867" i="1"/>
  <c r="E12867" i="1"/>
  <c r="F12867" i="1"/>
  <c r="G12867" i="1"/>
  <c r="H12867" i="1"/>
  <c r="A12868" i="1"/>
  <c r="B12868" i="1"/>
  <c r="C12868" i="1"/>
  <c r="D12868" i="1"/>
  <c r="E12868" i="1"/>
  <c r="F12868" i="1"/>
  <c r="G12868" i="1"/>
  <c r="H12868" i="1"/>
  <c r="A12869" i="1"/>
  <c r="B12869" i="1"/>
  <c r="C12869" i="1"/>
  <c r="D12869" i="1"/>
  <c r="E12869" i="1"/>
  <c r="F12869" i="1"/>
  <c r="G12869" i="1"/>
  <c r="H12869" i="1"/>
  <c r="A12870" i="1"/>
  <c r="B12870" i="1"/>
  <c r="C12870" i="1"/>
  <c r="D12870" i="1"/>
  <c r="E12870" i="1"/>
  <c r="F12870" i="1"/>
  <c r="G12870" i="1"/>
  <c r="H12870" i="1"/>
  <c r="A12871" i="1"/>
  <c r="B12871" i="1"/>
  <c r="C12871" i="1"/>
  <c r="D12871" i="1"/>
  <c r="E12871" i="1"/>
  <c r="F12871" i="1"/>
  <c r="G12871" i="1"/>
  <c r="H12871" i="1"/>
  <c r="A12872" i="1"/>
  <c r="B12872" i="1"/>
  <c r="C12872" i="1"/>
  <c r="D12872" i="1"/>
  <c r="E12872" i="1"/>
  <c r="F12872" i="1"/>
  <c r="G12872" i="1"/>
  <c r="H12872" i="1"/>
  <c r="A12873" i="1"/>
  <c r="B12873" i="1"/>
  <c r="C12873" i="1"/>
  <c r="D12873" i="1"/>
  <c r="E12873" i="1"/>
  <c r="F12873" i="1"/>
  <c r="G12873" i="1"/>
  <c r="H12873" i="1"/>
  <c r="A12874" i="1"/>
  <c r="B12874" i="1"/>
  <c r="C12874" i="1"/>
  <c r="D12874" i="1"/>
  <c r="E12874" i="1"/>
  <c r="F12874" i="1"/>
  <c r="G12874" i="1"/>
  <c r="H12874" i="1"/>
  <c r="A12875" i="1"/>
  <c r="B12875" i="1"/>
  <c r="C12875" i="1"/>
  <c r="D12875" i="1"/>
  <c r="E12875" i="1"/>
  <c r="F12875" i="1"/>
  <c r="G12875" i="1"/>
  <c r="H12875" i="1"/>
  <c r="A12876" i="1"/>
  <c r="B12876" i="1"/>
  <c r="C12876" i="1"/>
  <c r="D12876" i="1"/>
  <c r="E12876" i="1"/>
  <c r="F12876" i="1"/>
  <c r="G12876" i="1"/>
  <c r="H12876" i="1"/>
  <c r="A12877" i="1"/>
  <c r="B12877" i="1"/>
  <c r="C12877" i="1"/>
  <c r="D12877" i="1"/>
  <c r="E12877" i="1"/>
  <c r="F12877" i="1"/>
  <c r="G12877" i="1"/>
  <c r="H12877" i="1"/>
  <c r="A12878" i="1"/>
  <c r="B12878" i="1"/>
  <c r="C12878" i="1"/>
  <c r="D12878" i="1"/>
  <c r="E12878" i="1"/>
  <c r="F12878" i="1"/>
  <c r="G12878" i="1"/>
  <c r="H12878" i="1"/>
  <c r="A12879" i="1"/>
  <c r="B12879" i="1"/>
  <c r="C12879" i="1"/>
  <c r="D12879" i="1"/>
  <c r="E12879" i="1"/>
  <c r="F12879" i="1"/>
  <c r="G12879" i="1"/>
  <c r="H12879" i="1"/>
  <c r="A12880" i="1"/>
  <c r="B12880" i="1"/>
  <c r="C12880" i="1"/>
  <c r="D12880" i="1"/>
  <c r="E12880" i="1"/>
  <c r="F12880" i="1"/>
  <c r="G12880" i="1"/>
  <c r="H12880" i="1"/>
  <c r="A12881" i="1"/>
  <c r="B12881" i="1"/>
  <c r="C12881" i="1"/>
  <c r="D12881" i="1"/>
  <c r="E12881" i="1"/>
  <c r="F12881" i="1"/>
  <c r="G12881" i="1"/>
  <c r="H12881" i="1"/>
  <c r="A12882" i="1"/>
  <c r="B12882" i="1"/>
  <c r="C12882" i="1"/>
  <c r="D12882" i="1"/>
  <c r="E12882" i="1"/>
  <c r="F12882" i="1"/>
  <c r="G12882" i="1"/>
  <c r="H12882" i="1"/>
  <c r="A12883" i="1"/>
  <c r="B12883" i="1"/>
  <c r="C12883" i="1"/>
  <c r="D12883" i="1"/>
  <c r="E12883" i="1"/>
  <c r="F12883" i="1"/>
  <c r="G12883" i="1"/>
  <c r="H12883" i="1"/>
  <c r="A12884" i="1"/>
  <c r="B12884" i="1"/>
  <c r="C12884" i="1"/>
  <c r="D12884" i="1"/>
  <c r="E12884" i="1"/>
  <c r="F12884" i="1"/>
  <c r="G12884" i="1"/>
  <c r="H12884" i="1"/>
  <c r="A12885" i="1"/>
  <c r="B12885" i="1"/>
  <c r="C12885" i="1"/>
  <c r="D12885" i="1"/>
  <c r="E12885" i="1"/>
  <c r="F12885" i="1"/>
  <c r="G12885" i="1"/>
  <c r="H12885" i="1"/>
  <c r="A12886" i="1"/>
  <c r="B12886" i="1"/>
  <c r="C12886" i="1"/>
  <c r="D12886" i="1"/>
  <c r="E12886" i="1"/>
  <c r="F12886" i="1"/>
  <c r="G12886" i="1"/>
  <c r="H12886" i="1"/>
  <c r="A12887" i="1"/>
  <c r="B12887" i="1"/>
  <c r="C12887" i="1"/>
  <c r="D12887" i="1"/>
  <c r="E12887" i="1"/>
  <c r="F12887" i="1"/>
  <c r="G12887" i="1"/>
  <c r="H12887" i="1"/>
  <c r="A12888" i="1"/>
  <c r="B12888" i="1"/>
  <c r="C12888" i="1"/>
  <c r="D12888" i="1"/>
  <c r="E12888" i="1"/>
  <c r="F12888" i="1"/>
  <c r="G12888" i="1"/>
  <c r="H12888" i="1"/>
  <c r="A12889" i="1"/>
  <c r="B12889" i="1"/>
  <c r="C12889" i="1"/>
  <c r="D12889" i="1"/>
  <c r="E12889" i="1"/>
  <c r="F12889" i="1"/>
  <c r="G12889" i="1"/>
  <c r="H12889" i="1"/>
  <c r="A12890" i="1"/>
  <c r="B12890" i="1"/>
  <c r="C12890" i="1"/>
  <c r="D12890" i="1"/>
  <c r="E12890" i="1"/>
  <c r="F12890" i="1"/>
  <c r="G12890" i="1"/>
  <c r="H12890" i="1"/>
  <c r="A12891" i="1"/>
  <c r="B12891" i="1"/>
  <c r="C12891" i="1"/>
  <c r="D12891" i="1"/>
  <c r="E12891" i="1"/>
  <c r="F12891" i="1"/>
  <c r="G12891" i="1"/>
  <c r="H12891" i="1"/>
  <c r="A12892" i="1"/>
  <c r="B12892" i="1"/>
  <c r="C12892" i="1"/>
  <c r="D12892" i="1"/>
  <c r="E12892" i="1"/>
  <c r="F12892" i="1"/>
  <c r="G12892" i="1"/>
  <c r="H12892" i="1"/>
  <c r="A12893" i="1"/>
  <c r="B12893" i="1"/>
  <c r="C12893" i="1"/>
  <c r="D12893" i="1"/>
  <c r="E12893" i="1"/>
  <c r="F12893" i="1"/>
  <c r="G12893" i="1"/>
  <c r="H12893" i="1"/>
  <c r="A12894" i="1"/>
  <c r="B12894" i="1"/>
  <c r="C12894" i="1"/>
  <c r="D12894" i="1"/>
  <c r="E12894" i="1"/>
  <c r="F12894" i="1"/>
  <c r="G12894" i="1"/>
  <c r="H12894" i="1"/>
  <c r="A12895" i="1"/>
  <c r="B12895" i="1"/>
  <c r="C12895" i="1"/>
  <c r="D12895" i="1"/>
  <c r="E12895" i="1"/>
  <c r="F12895" i="1"/>
  <c r="G12895" i="1"/>
  <c r="H12895" i="1"/>
  <c r="A12896" i="1"/>
  <c r="B12896" i="1"/>
  <c r="C12896" i="1"/>
  <c r="D12896" i="1"/>
  <c r="E12896" i="1"/>
  <c r="F12896" i="1"/>
  <c r="G12896" i="1"/>
  <c r="H12896" i="1"/>
  <c r="A12897" i="1"/>
  <c r="B12897" i="1"/>
  <c r="C12897" i="1"/>
  <c r="D12897" i="1"/>
  <c r="E12897" i="1"/>
  <c r="F12897" i="1"/>
  <c r="G12897" i="1"/>
  <c r="H12897" i="1"/>
  <c r="A12898" i="1"/>
  <c r="B12898" i="1"/>
  <c r="C12898" i="1"/>
  <c r="D12898" i="1"/>
  <c r="E12898" i="1"/>
  <c r="F12898" i="1"/>
  <c r="G12898" i="1"/>
  <c r="H12898" i="1"/>
  <c r="A12899" i="1"/>
  <c r="B12899" i="1"/>
  <c r="C12899" i="1"/>
  <c r="D12899" i="1"/>
  <c r="E12899" i="1"/>
  <c r="F12899" i="1"/>
  <c r="G12899" i="1"/>
  <c r="H12899" i="1"/>
  <c r="A12900" i="1"/>
  <c r="B12900" i="1"/>
  <c r="C12900" i="1"/>
  <c r="D12900" i="1"/>
  <c r="E12900" i="1"/>
  <c r="F12900" i="1"/>
  <c r="G12900" i="1"/>
  <c r="H12900" i="1"/>
  <c r="A12901" i="1"/>
  <c r="B12901" i="1"/>
  <c r="C12901" i="1"/>
  <c r="D12901" i="1"/>
  <c r="E12901" i="1"/>
  <c r="F12901" i="1"/>
  <c r="G12901" i="1"/>
  <c r="H12901" i="1"/>
  <c r="A12902" i="1"/>
  <c r="B12902" i="1"/>
  <c r="C12902" i="1"/>
  <c r="D12902" i="1"/>
  <c r="E12902" i="1"/>
  <c r="F12902" i="1"/>
  <c r="G12902" i="1"/>
  <c r="H12902" i="1"/>
  <c r="A12903" i="1"/>
  <c r="B12903" i="1"/>
  <c r="C12903" i="1"/>
  <c r="D12903" i="1"/>
  <c r="E12903" i="1"/>
  <c r="F12903" i="1"/>
  <c r="G12903" i="1"/>
  <c r="H12903" i="1"/>
  <c r="A12904" i="1"/>
  <c r="B12904" i="1"/>
  <c r="C12904" i="1"/>
  <c r="D12904" i="1"/>
  <c r="E12904" i="1"/>
  <c r="F12904" i="1"/>
  <c r="G12904" i="1"/>
  <c r="H12904" i="1"/>
  <c r="A12905" i="1"/>
  <c r="B12905" i="1"/>
  <c r="C12905" i="1"/>
  <c r="D12905" i="1"/>
  <c r="E12905" i="1"/>
  <c r="F12905" i="1"/>
  <c r="G12905" i="1"/>
  <c r="H12905" i="1"/>
  <c r="A12906" i="1"/>
  <c r="B12906" i="1"/>
  <c r="C12906" i="1"/>
  <c r="D12906" i="1"/>
  <c r="E12906" i="1"/>
  <c r="F12906" i="1"/>
  <c r="G12906" i="1"/>
  <c r="H12906" i="1"/>
  <c r="A12907" i="1"/>
  <c r="B12907" i="1"/>
  <c r="C12907" i="1"/>
  <c r="D12907" i="1"/>
  <c r="E12907" i="1"/>
  <c r="F12907" i="1"/>
  <c r="G12907" i="1"/>
  <c r="H12907" i="1"/>
  <c r="A12908" i="1"/>
  <c r="B12908" i="1"/>
  <c r="C12908" i="1"/>
  <c r="D12908" i="1"/>
  <c r="E12908" i="1"/>
  <c r="F12908" i="1"/>
  <c r="G12908" i="1"/>
  <c r="H12908" i="1"/>
  <c r="A12909" i="1"/>
  <c r="B12909" i="1"/>
  <c r="C12909" i="1"/>
  <c r="D12909" i="1"/>
  <c r="E12909" i="1"/>
  <c r="F12909" i="1"/>
  <c r="G12909" i="1"/>
  <c r="H12909" i="1"/>
  <c r="A12910" i="1"/>
  <c r="B12910" i="1"/>
  <c r="C12910" i="1"/>
  <c r="D12910" i="1"/>
  <c r="E12910" i="1"/>
  <c r="F12910" i="1"/>
  <c r="G12910" i="1"/>
  <c r="H12910" i="1"/>
  <c r="A12911" i="1"/>
  <c r="B12911" i="1"/>
  <c r="C12911" i="1"/>
  <c r="D12911" i="1"/>
  <c r="E12911" i="1"/>
  <c r="F12911" i="1"/>
  <c r="G12911" i="1"/>
  <c r="H12911" i="1"/>
  <c r="A12912" i="1"/>
  <c r="B12912" i="1"/>
  <c r="C12912" i="1"/>
  <c r="D12912" i="1"/>
  <c r="E12912" i="1"/>
  <c r="F12912" i="1"/>
  <c r="G12912" i="1"/>
  <c r="H12912" i="1"/>
  <c r="A12913" i="1"/>
  <c r="B12913" i="1"/>
  <c r="C12913" i="1"/>
  <c r="D12913" i="1"/>
  <c r="E12913" i="1"/>
  <c r="F12913" i="1"/>
  <c r="G12913" i="1"/>
  <c r="H12913" i="1"/>
  <c r="A12914" i="1"/>
  <c r="B12914" i="1"/>
  <c r="C12914" i="1"/>
  <c r="D12914" i="1"/>
  <c r="E12914" i="1"/>
  <c r="F12914" i="1"/>
  <c r="G12914" i="1"/>
  <c r="H12914" i="1"/>
  <c r="A12915" i="1"/>
  <c r="B12915" i="1"/>
  <c r="C12915" i="1"/>
  <c r="D12915" i="1"/>
  <c r="E12915" i="1"/>
  <c r="F12915" i="1"/>
  <c r="G12915" i="1"/>
  <c r="H12915" i="1"/>
  <c r="A12916" i="1"/>
  <c r="B12916" i="1"/>
  <c r="C12916" i="1"/>
  <c r="D12916" i="1"/>
  <c r="E12916" i="1"/>
  <c r="F12916" i="1"/>
  <c r="G12916" i="1"/>
  <c r="H12916" i="1"/>
  <c r="A12917" i="1"/>
  <c r="B12917" i="1"/>
  <c r="C12917" i="1"/>
  <c r="D12917" i="1"/>
  <c r="E12917" i="1"/>
  <c r="F12917" i="1"/>
  <c r="G12917" i="1"/>
  <c r="H12917" i="1"/>
  <c r="A12918" i="1"/>
  <c r="B12918" i="1"/>
  <c r="C12918" i="1"/>
  <c r="D12918" i="1"/>
  <c r="E12918" i="1"/>
  <c r="F12918" i="1"/>
  <c r="G12918" i="1"/>
  <c r="H12918" i="1"/>
  <c r="A12919" i="1"/>
  <c r="B12919" i="1"/>
  <c r="C12919" i="1"/>
  <c r="D12919" i="1"/>
  <c r="E12919" i="1"/>
  <c r="F12919" i="1"/>
  <c r="G12919" i="1"/>
  <c r="H12919" i="1"/>
  <c r="A12920" i="1"/>
  <c r="B12920" i="1"/>
  <c r="C12920" i="1"/>
  <c r="D12920" i="1"/>
  <c r="E12920" i="1"/>
  <c r="F12920" i="1"/>
  <c r="G12920" i="1"/>
  <c r="H12920" i="1"/>
  <c r="A12921" i="1"/>
  <c r="B12921" i="1"/>
  <c r="C12921" i="1"/>
  <c r="D12921" i="1"/>
  <c r="E12921" i="1"/>
  <c r="F12921" i="1"/>
  <c r="G12921" i="1"/>
  <c r="H12921" i="1"/>
  <c r="A12922" i="1"/>
  <c r="B12922" i="1"/>
  <c r="C12922" i="1"/>
  <c r="D12922" i="1"/>
  <c r="E12922" i="1"/>
  <c r="F12922" i="1"/>
  <c r="G12922" i="1"/>
  <c r="H12922" i="1"/>
  <c r="A12923" i="1"/>
  <c r="B12923" i="1"/>
  <c r="C12923" i="1"/>
  <c r="D12923" i="1"/>
  <c r="E12923" i="1"/>
  <c r="F12923" i="1"/>
  <c r="G12923" i="1"/>
  <c r="H12923" i="1"/>
  <c r="A12924" i="1"/>
  <c r="B12924" i="1"/>
  <c r="C12924" i="1"/>
  <c r="D12924" i="1"/>
  <c r="E12924" i="1"/>
  <c r="F12924" i="1"/>
  <c r="G12924" i="1"/>
  <c r="H12924" i="1"/>
  <c r="A12925" i="1"/>
  <c r="B12925" i="1"/>
  <c r="C12925" i="1"/>
  <c r="D12925" i="1"/>
  <c r="E12925" i="1"/>
  <c r="F12925" i="1"/>
  <c r="G12925" i="1"/>
  <c r="H12925" i="1"/>
  <c r="A12926" i="1"/>
  <c r="B12926" i="1"/>
  <c r="C12926" i="1"/>
  <c r="D12926" i="1"/>
  <c r="E12926" i="1"/>
  <c r="F12926" i="1"/>
  <c r="G12926" i="1"/>
  <c r="H12926" i="1"/>
  <c r="A12927" i="1"/>
  <c r="B12927" i="1"/>
  <c r="C12927" i="1"/>
  <c r="D12927" i="1"/>
  <c r="E12927" i="1"/>
  <c r="F12927" i="1"/>
  <c r="G12927" i="1"/>
  <c r="H12927" i="1"/>
  <c r="A12928" i="1"/>
  <c r="B12928" i="1"/>
  <c r="C12928" i="1"/>
  <c r="D12928" i="1"/>
  <c r="E12928" i="1"/>
  <c r="F12928" i="1"/>
  <c r="G12928" i="1"/>
  <c r="H12928" i="1"/>
  <c r="A12929" i="1"/>
  <c r="B12929" i="1"/>
  <c r="C12929" i="1"/>
  <c r="D12929" i="1"/>
  <c r="E12929" i="1"/>
  <c r="F12929" i="1"/>
  <c r="G12929" i="1"/>
  <c r="H12929" i="1"/>
  <c r="A12930" i="1"/>
  <c r="B12930" i="1"/>
  <c r="C12930" i="1"/>
  <c r="D12930" i="1"/>
  <c r="E12930" i="1"/>
  <c r="F12930" i="1"/>
  <c r="G12930" i="1"/>
  <c r="H12930" i="1"/>
  <c r="A12931" i="1"/>
  <c r="B12931" i="1"/>
  <c r="C12931" i="1"/>
  <c r="D12931" i="1"/>
  <c r="E12931" i="1"/>
  <c r="F12931" i="1"/>
  <c r="G12931" i="1"/>
  <c r="H12931" i="1"/>
  <c r="A12932" i="1"/>
  <c r="B12932" i="1"/>
  <c r="C12932" i="1"/>
  <c r="D12932" i="1"/>
  <c r="E12932" i="1"/>
  <c r="F12932" i="1"/>
  <c r="G12932" i="1"/>
  <c r="H12932" i="1"/>
  <c r="A12933" i="1"/>
  <c r="B12933" i="1"/>
  <c r="C12933" i="1"/>
  <c r="D12933" i="1"/>
  <c r="E12933" i="1"/>
  <c r="F12933" i="1"/>
  <c r="G12933" i="1"/>
  <c r="H12933" i="1"/>
  <c r="A12934" i="1"/>
  <c r="B12934" i="1"/>
  <c r="C12934" i="1"/>
  <c r="D12934" i="1"/>
  <c r="E12934" i="1"/>
  <c r="F12934" i="1"/>
  <c r="G12934" i="1"/>
  <c r="H12934" i="1"/>
  <c r="A12935" i="1"/>
  <c r="B12935" i="1"/>
  <c r="C12935" i="1"/>
  <c r="D12935" i="1"/>
  <c r="E12935" i="1"/>
  <c r="F12935" i="1"/>
  <c r="G12935" i="1"/>
  <c r="H12935" i="1"/>
  <c r="A12936" i="1"/>
  <c r="B12936" i="1"/>
  <c r="C12936" i="1"/>
  <c r="D12936" i="1"/>
  <c r="E12936" i="1"/>
  <c r="F12936" i="1"/>
  <c r="G12936" i="1"/>
  <c r="H12936" i="1"/>
  <c r="A12937" i="1"/>
  <c r="B12937" i="1"/>
  <c r="C12937" i="1"/>
  <c r="D12937" i="1"/>
  <c r="E12937" i="1"/>
  <c r="F12937" i="1"/>
  <c r="G12937" i="1"/>
  <c r="H12937" i="1"/>
  <c r="A12938" i="1"/>
  <c r="B12938" i="1"/>
  <c r="C12938" i="1"/>
  <c r="D12938" i="1"/>
  <c r="E12938" i="1"/>
  <c r="F12938" i="1"/>
  <c r="G12938" i="1"/>
  <c r="H12938" i="1"/>
  <c r="A12939" i="1"/>
  <c r="B12939" i="1"/>
  <c r="C12939" i="1"/>
  <c r="D12939" i="1"/>
  <c r="E12939" i="1"/>
  <c r="F12939" i="1"/>
  <c r="G12939" i="1"/>
  <c r="H12939" i="1"/>
  <c r="A12940" i="1"/>
  <c r="B12940" i="1"/>
  <c r="C12940" i="1"/>
  <c r="D12940" i="1"/>
  <c r="E12940" i="1"/>
  <c r="F12940" i="1"/>
  <c r="G12940" i="1"/>
  <c r="H12940" i="1"/>
  <c r="A12941" i="1"/>
  <c r="B12941" i="1"/>
  <c r="C12941" i="1"/>
  <c r="D12941" i="1"/>
  <c r="E12941" i="1"/>
  <c r="F12941" i="1"/>
  <c r="G12941" i="1"/>
  <c r="H12941" i="1"/>
  <c r="A12942" i="1"/>
  <c r="B12942" i="1"/>
  <c r="C12942" i="1"/>
  <c r="D12942" i="1"/>
  <c r="E12942" i="1"/>
  <c r="F12942" i="1"/>
  <c r="G12942" i="1"/>
  <c r="H12942" i="1"/>
  <c r="A12943" i="1"/>
  <c r="B12943" i="1"/>
  <c r="C12943" i="1"/>
  <c r="D12943" i="1"/>
  <c r="E12943" i="1"/>
  <c r="F12943" i="1"/>
  <c r="G12943" i="1"/>
  <c r="H12943" i="1"/>
  <c r="A12944" i="1"/>
  <c r="B12944" i="1"/>
  <c r="C12944" i="1"/>
  <c r="D12944" i="1"/>
  <c r="E12944" i="1"/>
  <c r="F12944" i="1"/>
  <c r="G12944" i="1"/>
  <c r="H12944" i="1"/>
  <c r="A12945" i="1"/>
  <c r="B12945" i="1"/>
  <c r="C12945" i="1"/>
  <c r="D12945" i="1"/>
  <c r="E12945" i="1"/>
  <c r="F12945" i="1"/>
  <c r="G12945" i="1"/>
  <c r="H12945" i="1"/>
  <c r="A12946" i="1"/>
  <c r="B12946" i="1"/>
  <c r="C12946" i="1"/>
  <c r="D12946" i="1"/>
  <c r="E12946" i="1"/>
  <c r="F12946" i="1"/>
  <c r="G12946" i="1"/>
  <c r="H12946" i="1"/>
  <c r="A12947" i="1"/>
  <c r="B12947" i="1"/>
  <c r="C12947" i="1"/>
  <c r="D12947" i="1"/>
  <c r="E12947" i="1"/>
  <c r="F12947" i="1"/>
  <c r="G12947" i="1"/>
  <c r="H12947" i="1"/>
  <c r="A12948" i="1"/>
  <c r="B12948" i="1"/>
  <c r="C12948" i="1"/>
  <c r="D12948" i="1"/>
  <c r="E12948" i="1"/>
  <c r="F12948" i="1"/>
  <c r="G12948" i="1"/>
  <c r="H12948" i="1"/>
  <c r="A12949" i="1"/>
  <c r="B12949" i="1"/>
  <c r="C12949" i="1"/>
  <c r="D12949" i="1"/>
  <c r="E12949" i="1"/>
  <c r="F12949" i="1"/>
  <c r="G12949" i="1"/>
  <c r="H12949" i="1"/>
  <c r="A12950" i="1"/>
  <c r="B12950" i="1"/>
  <c r="C12950" i="1"/>
  <c r="D12950" i="1"/>
  <c r="E12950" i="1"/>
  <c r="F12950" i="1"/>
  <c r="G12950" i="1"/>
  <c r="H12950" i="1"/>
  <c r="A12951" i="1"/>
  <c r="B12951" i="1"/>
  <c r="C12951" i="1"/>
  <c r="D12951" i="1"/>
  <c r="E12951" i="1"/>
  <c r="F12951" i="1"/>
  <c r="G12951" i="1"/>
  <c r="H12951" i="1"/>
  <c r="A12952" i="1"/>
  <c r="B12952" i="1"/>
  <c r="C12952" i="1"/>
  <c r="D12952" i="1"/>
  <c r="E12952" i="1"/>
  <c r="F12952" i="1"/>
  <c r="G12952" i="1"/>
  <c r="H12952" i="1"/>
  <c r="A12953" i="1"/>
  <c r="B12953" i="1"/>
  <c r="C12953" i="1"/>
  <c r="D12953" i="1"/>
  <c r="E12953" i="1"/>
  <c r="F12953" i="1"/>
  <c r="G12953" i="1"/>
  <c r="H12953" i="1"/>
  <c r="A12954" i="1"/>
  <c r="B12954" i="1"/>
  <c r="C12954" i="1"/>
  <c r="D12954" i="1"/>
  <c r="E12954" i="1"/>
  <c r="F12954" i="1"/>
  <c r="G12954" i="1"/>
  <c r="H12954" i="1"/>
  <c r="A12955" i="1"/>
  <c r="B12955" i="1"/>
  <c r="C12955" i="1"/>
  <c r="D12955" i="1"/>
  <c r="E12955" i="1"/>
  <c r="F12955" i="1"/>
  <c r="G12955" i="1"/>
  <c r="H12955" i="1"/>
  <c r="A12956" i="1"/>
  <c r="B12956" i="1"/>
  <c r="C12956" i="1"/>
  <c r="D12956" i="1"/>
  <c r="E12956" i="1"/>
  <c r="F12956" i="1"/>
  <c r="G12956" i="1"/>
  <c r="H12956" i="1"/>
  <c r="A12957" i="1"/>
  <c r="B12957" i="1"/>
  <c r="C12957" i="1"/>
  <c r="D12957" i="1"/>
  <c r="E12957" i="1"/>
  <c r="F12957" i="1"/>
  <c r="G12957" i="1"/>
  <c r="H12957" i="1"/>
  <c r="A12958" i="1"/>
  <c r="B12958" i="1"/>
  <c r="C12958" i="1"/>
  <c r="D12958" i="1"/>
  <c r="E12958" i="1"/>
  <c r="F12958" i="1"/>
  <c r="G12958" i="1"/>
  <c r="H12958" i="1"/>
  <c r="A12959" i="1"/>
  <c r="B12959" i="1"/>
  <c r="C12959" i="1"/>
  <c r="D12959" i="1"/>
  <c r="E12959" i="1"/>
  <c r="F12959" i="1"/>
  <c r="G12959" i="1"/>
  <c r="H12959" i="1"/>
  <c r="A12960" i="1"/>
  <c r="B12960" i="1"/>
  <c r="C12960" i="1"/>
  <c r="D12960" i="1"/>
  <c r="E12960" i="1"/>
  <c r="F12960" i="1"/>
  <c r="G12960" i="1"/>
  <c r="H12960" i="1"/>
  <c r="A12961" i="1"/>
  <c r="B12961" i="1"/>
  <c r="C12961" i="1"/>
  <c r="D12961" i="1"/>
  <c r="E12961" i="1"/>
  <c r="F12961" i="1"/>
  <c r="G12961" i="1"/>
  <c r="H12961" i="1"/>
  <c r="A12962" i="1"/>
  <c r="B12962" i="1"/>
  <c r="C12962" i="1"/>
  <c r="D12962" i="1"/>
  <c r="E12962" i="1"/>
  <c r="F12962" i="1"/>
  <c r="G12962" i="1"/>
  <c r="H12962" i="1"/>
  <c r="A12963" i="1"/>
  <c r="B12963" i="1"/>
  <c r="C12963" i="1"/>
  <c r="D12963" i="1"/>
  <c r="E12963" i="1"/>
  <c r="F12963" i="1"/>
  <c r="G12963" i="1"/>
  <c r="H12963" i="1"/>
  <c r="A12964" i="1"/>
  <c r="B12964" i="1"/>
  <c r="C12964" i="1"/>
  <c r="D12964" i="1"/>
  <c r="E12964" i="1"/>
  <c r="F12964" i="1"/>
  <c r="G12964" i="1"/>
  <c r="H12964" i="1"/>
  <c r="A12965" i="1"/>
  <c r="B12965" i="1"/>
  <c r="C12965" i="1"/>
  <c r="D12965" i="1"/>
  <c r="E12965" i="1"/>
  <c r="F12965" i="1"/>
  <c r="G12965" i="1"/>
  <c r="H12965" i="1"/>
  <c r="A12966" i="1"/>
  <c r="B12966" i="1"/>
  <c r="C12966" i="1"/>
  <c r="D12966" i="1"/>
  <c r="E12966" i="1"/>
  <c r="F12966" i="1"/>
  <c r="G12966" i="1"/>
  <c r="H12966" i="1"/>
  <c r="A12967" i="1"/>
  <c r="B12967" i="1"/>
  <c r="C12967" i="1"/>
  <c r="D12967" i="1"/>
  <c r="E12967" i="1"/>
  <c r="F12967" i="1"/>
  <c r="G12967" i="1"/>
  <c r="H12967" i="1"/>
  <c r="A12968" i="1"/>
  <c r="B12968" i="1"/>
  <c r="C12968" i="1"/>
  <c r="D12968" i="1"/>
  <c r="E12968" i="1"/>
  <c r="F12968" i="1"/>
  <c r="G12968" i="1"/>
  <c r="H12968" i="1"/>
  <c r="A12969" i="1"/>
  <c r="B12969" i="1"/>
  <c r="C12969" i="1"/>
  <c r="D12969" i="1"/>
  <c r="E12969" i="1"/>
  <c r="F12969" i="1"/>
  <c r="G12969" i="1"/>
  <c r="H12969" i="1"/>
  <c r="A12970" i="1"/>
  <c r="B12970" i="1"/>
  <c r="C12970" i="1"/>
  <c r="D12970" i="1"/>
  <c r="E12970" i="1"/>
  <c r="F12970" i="1"/>
  <c r="G12970" i="1"/>
  <c r="H12970" i="1"/>
  <c r="A12971" i="1"/>
  <c r="B12971" i="1"/>
  <c r="C12971" i="1"/>
  <c r="D12971" i="1"/>
  <c r="E12971" i="1"/>
  <c r="F12971" i="1"/>
  <c r="G12971" i="1"/>
  <c r="H12971" i="1"/>
  <c r="A12972" i="1"/>
  <c r="B12972" i="1"/>
  <c r="C12972" i="1"/>
  <c r="D12972" i="1"/>
  <c r="E12972" i="1"/>
  <c r="F12972" i="1"/>
  <c r="G12972" i="1"/>
  <c r="H12972" i="1"/>
  <c r="A12973" i="1"/>
  <c r="B12973" i="1"/>
  <c r="C12973" i="1"/>
  <c r="D12973" i="1"/>
  <c r="E12973" i="1"/>
  <c r="F12973" i="1"/>
  <c r="G12973" i="1"/>
  <c r="H12973" i="1"/>
  <c r="A12974" i="1"/>
  <c r="B12974" i="1"/>
  <c r="C12974" i="1"/>
  <c r="D12974" i="1"/>
  <c r="E12974" i="1"/>
  <c r="F12974" i="1"/>
  <c r="G12974" i="1"/>
  <c r="H12974" i="1"/>
  <c r="A12975" i="1"/>
  <c r="B12975" i="1"/>
  <c r="C12975" i="1"/>
  <c r="D12975" i="1"/>
  <c r="E12975" i="1"/>
  <c r="F12975" i="1"/>
  <c r="G12975" i="1"/>
  <c r="H12975" i="1"/>
  <c r="A12976" i="1"/>
  <c r="B12976" i="1"/>
  <c r="C12976" i="1"/>
  <c r="D12976" i="1"/>
  <c r="E12976" i="1"/>
  <c r="F12976" i="1"/>
  <c r="G12976" i="1"/>
  <c r="H12976" i="1"/>
  <c r="A12977" i="1"/>
  <c r="B12977" i="1"/>
  <c r="C12977" i="1"/>
  <c r="D12977" i="1"/>
  <c r="E12977" i="1"/>
  <c r="F12977" i="1"/>
  <c r="G12977" i="1"/>
  <c r="H12977" i="1"/>
  <c r="A12978" i="1"/>
  <c r="B12978" i="1"/>
  <c r="C12978" i="1"/>
  <c r="D12978" i="1"/>
  <c r="E12978" i="1"/>
  <c r="F12978" i="1"/>
  <c r="G12978" i="1"/>
  <c r="H12978" i="1"/>
  <c r="A12979" i="1"/>
  <c r="B12979" i="1"/>
  <c r="C12979" i="1"/>
  <c r="D12979" i="1"/>
  <c r="E12979" i="1"/>
  <c r="F12979" i="1"/>
  <c r="G12979" i="1"/>
  <c r="H12979" i="1"/>
  <c r="A12980" i="1"/>
  <c r="B12980" i="1"/>
  <c r="C12980" i="1"/>
  <c r="D12980" i="1"/>
  <c r="E12980" i="1"/>
  <c r="F12980" i="1"/>
  <c r="G12980" i="1"/>
  <c r="H12980" i="1"/>
  <c r="A12981" i="1"/>
  <c r="B12981" i="1"/>
  <c r="C12981" i="1"/>
  <c r="D12981" i="1"/>
  <c r="E12981" i="1"/>
  <c r="F12981" i="1"/>
  <c r="G12981" i="1"/>
  <c r="H12981" i="1"/>
  <c r="A12982" i="1"/>
  <c r="B12982" i="1"/>
  <c r="C12982" i="1"/>
  <c r="D12982" i="1"/>
  <c r="E12982" i="1"/>
  <c r="F12982" i="1"/>
  <c r="G12982" i="1"/>
  <c r="H12982" i="1"/>
  <c r="A12983" i="1"/>
  <c r="B12983" i="1"/>
  <c r="C12983" i="1"/>
  <c r="D12983" i="1"/>
  <c r="E12983" i="1"/>
  <c r="F12983" i="1"/>
  <c r="G12983" i="1"/>
  <c r="H12983" i="1"/>
  <c r="A12984" i="1"/>
  <c r="B12984" i="1"/>
  <c r="C12984" i="1"/>
  <c r="D12984" i="1"/>
  <c r="E12984" i="1"/>
  <c r="F12984" i="1"/>
  <c r="G12984" i="1"/>
  <c r="H12984" i="1"/>
  <c r="A12985" i="1"/>
  <c r="B12985" i="1"/>
  <c r="C12985" i="1"/>
  <c r="D12985" i="1"/>
  <c r="E12985" i="1"/>
  <c r="F12985" i="1"/>
  <c r="G12985" i="1"/>
  <c r="H12985" i="1"/>
  <c r="A12986" i="1"/>
  <c r="B12986" i="1"/>
  <c r="C12986" i="1"/>
  <c r="D12986" i="1"/>
  <c r="E12986" i="1"/>
  <c r="F12986" i="1"/>
  <c r="G12986" i="1"/>
  <c r="H12986" i="1"/>
  <c r="A12987" i="1"/>
  <c r="B12987" i="1"/>
  <c r="C12987" i="1"/>
  <c r="D12987" i="1"/>
  <c r="E12987" i="1"/>
  <c r="F12987" i="1"/>
  <c r="G12987" i="1"/>
  <c r="H12987" i="1"/>
  <c r="A12988" i="1"/>
  <c r="B12988" i="1"/>
  <c r="C12988" i="1"/>
  <c r="D12988" i="1"/>
  <c r="E12988" i="1"/>
  <c r="F12988" i="1"/>
  <c r="G12988" i="1"/>
  <c r="H12988" i="1"/>
  <c r="A12989" i="1"/>
  <c r="B12989" i="1"/>
  <c r="C12989" i="1"/>
  <c r="D12989" i="1"/>
  <c r="E12989" i="1"/>
  <c r="F12989" i="1"/>
  <c r="G12989" i="1"/>
  <c r="H12989" i="1"/>
  <c r="A12990" i="1"/>
  <c r="B12990" i="1"/>
  <c r="C12990" i="1"/>
  <c r="D12990" i="1"/>
  <c r="E12990" i="1"/>
  <c r="F12990" i="1"/>
  <c r="G12990" i="1"/>
  <c r="H12990" i="1"/>
  <c r="A12991" i="1"/>
  <c r="B12991" i="1"/>
  <c r="C12991" i="1"/>
  <c r="D12991" i="1"/>
  <c r="E12991" i="1"/>
  <c r="F12991" i="1"/>
  <c r="G12991" i="1"/>
  <c r="H12991" i="1"/>
  <c r="A12992" i="1"/>
  <c r="B12992" i="1"/>
  <c r="C12992" i="1"/>
  <c r="D12992" i="1"/>
  <c r="E12992" i="1"/>
  <c r="F12992" i="1"/>
  <c r="G12992" i="1"/>
  <c r="H12992" i="1"/>
  <c r="A12993" i="1"/>
  <c r="B12993" i="1"/>
  <c r="C12993" i="1"/>
  <c r="D12993" i="1"/>
  <c r="E12993" i="1"/>
  <c r="F12993" i="1"/>
  <c r="G12993" i="1"/>
  <c r="H12993" i="1"/>
  <c r="A12994" i="1"/>
  <c r="B12994" i="1"/>
  <c r="C12994" i="1"/>
  <c r="D12994" i="1"/>
  <c r="E12994" i="1"/>
  <c r="F12994" i="1"/>
  <c r="G12994" i="1"/>
  <c r="H12994" i="1"/>
  <c r="A12995" i="1"/>
  <c r="B12995" i="1"/>
  <c r="C12995" i="1"/>
  <c r="D12995" i="1"/>
  <c r="E12995" i="1"/>
  <c r="F12995" i="1"/>
  <c r="G12995" i="1"/>
  <c r="H12995" i="1"/>
  <c r="A12996" i="1"/>
  <c r="B12996" i="1"/>
  <c r="C12996" i="1"/>
  <c r="D12996" i="1"/>
  <c r="E12996" i="1"/>
  <c r="F12996" i="1"/>
  <c r="G12996" i="1"/>
  <c r="H12996" i="1"/>
  <c r="A12997" i="1"/>
  <c r="B12997" i="1"/>
  <c r="C12997" i="1"/>
  <c r="D12997" i="1"/>
  <c r="E12997" i="1"/>
  <c r="F12997" i="1"/>
  <c r="G12997" i="1"/>
  <c r="H12997" i="1"/>
  <c r="A12998" i="1"/>
  <c r="B12998" i="1"/>
  <c r="C12998" i="1"/>
  <c r="D12998" i="1"/>
  <c r="E12998" i="1"/>
  <c r="F12998" i="1"/>
  <c r="G12998" i="1"/>
  <c r="H12998" i="1"/>
  <c r="A12999" i="1"/>
  <c r="B12999" i="1"/>
  <c r="C12999" i="1"/>
  <c r="D12999" i="1"/>
  <c r="E12999" i="1"/>
  <c r="F12999" i="1"/>
  <c r="G12999" i="1"/>
  <c r="H12999" i="1"/>
  <c r="A13000" i="1"/>
  <c r="B13000" i="1"/>
  <c r="C13000" i="1"/>
  <c r="D13000" i="1"/>
  <c r="E13000" i="1"/>
  <c r="F13000" i="1"/>
  <c r="G13000" i="1"/>
  <c r="H13000" i="1"/>
  <c r="A13001" i="1"/>
  <c r="B13001" i="1"/>
  <c r="C13001" i="1"/>
  <c r="D13001" i="1"/>
  <c r="E13001" i="1"/>
  <c r="F13001" i="1"/>
  <c r="G13001" i="1"/>
  <c r="H13001" i="1"/>
  <c r="A13002" i="1"/>
  <c r="B13002" i="1"/>
  <c r="C13002" i="1"/>
  <c r="D13002" i="1"/>
  <c r="E13002" i="1"/>
  <c r="F13002" i="1"/>
  <c r="G13002" i="1"/>
  <c r="H13002" i="1"/>
  <c r="A13003" i="1"/>
  <c r="B13003" i="1"/>
  <c r="C13003" i="1"/>
  <c r="D13003" i="1"/>
  <c r="E13003" i="1"/>
  <c r="F13003" i="1"/>
  <c r="G13003" i="1"/>
  <c r="H13003" i="1"/>
  <c r="A13004" i="1"/>
  <c r="B13004" i="1"/>
  <c r="C13004" i="1"/>
  <c r="D13004" i="1"/>
  <c r="E13004" i="1"/>
  <c r="F13004" i="1"/>
  <c r="G13004" i="1"/>
  <c r="H13004" i="1"/>
  <c r="A13005" i="1"/>
  <c r="B13005" i="1"/>
  <c r="C13005" i="1"/>
  <c r="D13005" i="1"/>
  <c r="E13005" i="1"/>
  <c r="F13005" i="1"/>
  <c r="G13005" i="1"/>
  <c r="H13005" i="1"/>
  <c r="A13006" i="1"/>
  <c r="B13006" i="1"/>
  <c r="C13006" i="1"/>
  <c r="D13006" i="1"/>
  <c r="E13006" i="1"/>
  <c r="F13006" i="1"/>
  <c r="G13006" i="1"/>
  <c r="H13006" i="1"/>
  <c r="A13007" i="1"/>
  <c r="B13007" i="1"/>
  <c r="C13007" i="1"/>
  <c r="D13007" i="1"/>
  <c r="E13007" i="1"/>
  <c r="F13007" i="1"/>
  <c r="G13007" i="1"/>
  <c r="H13007" i="1"/>
  <c r="A13008" i="1"/>
  <c r="B13008" i="1"/>
  <c r="C13008" i="1"/>
  <c r="D13008" i="1"/>
  <c r="E13008" i="1"/>
  <c r="F13008" i="1"/>
  <c r="G13008" i="1"/>
  <c r="H13008" i="1"/>
  <c r="A13009" i="1"/>
  <c r="B13009" i="1"/>
  <c r="C13009" i="1"/>
  <c r="D13009" i="1"/>
  <c r="E13009" i="1"/>
  <c r="F13009" i="1"/>
  <c r="G13009" i="1"/>
  <c r="H13009" i="1"/>
  <c r="A13010" i="1"/>
  <c r="B13010" i="1"/>
  <c r="C13010" i="1"/>
  <c r="D13010" i="1"/>
  <c r="E13010" i="1"/>
  <c r="F13010" i="1"/>
  <c r="G13010" i="1"/>
  <c r="H13010" i="1"/>
  <c r="A13011" i="1"/>
  <c r="B13011" i="1"/>
  <c r="C13011" i="1"/>
  <c r="D13011" i="1"/>
  <c r="E13011" i="1"/>
  <c r="F13011" i="1"/>
  <c r="G13011" i="1"/>
  <c r="H13011" i="1"/>
  <c r="A13012" i="1"/>
  <c r="B13012" i="1"/>
  <c r="C13012" i="1"/>
  <c r="D13012" i="1"/>
  <c r="E13012" i="1"/>
  <c r="F13012" i="1"/>
  <c r="G13012" i="1"/>
  <c r="H13012" i="1"/>
  <c r="A13013" i="1"/>
  <c r="B13013" i="1"/>
  <c r="C13013" i="1"/>
  <c r="D13013" i="1"/>
  <c r="E13013" i="1"/>
  <c r="F13013" i="1"/>
  <c r="G13013" i="1"/>
  <c r="H13013" i="1"/>
  <c r="A13014" i="1"/>
  <c r="B13014" i="1"/>
  <c r="C13014" i="1"/>
  <c r="D13014" i="1"/>
  <c r="E13014" i="1"/>
  <c r="F13014" i="1"/>
  <c r="G13014" i="1"/>
  <c r="H13014" i="1"/>
  <c r="A13015" i="1"/>
  <c r="B13015" i="1"/>
  <c r="C13015" i="1"/>
  <c r="D13015" i="1"/>
  <c r="E13015" i="1"/>
  <c r="F13015" i="1"/>
  <c r="G13015" i="1"/>
  <c r="H13015" i="1"/>
  <c r="A13016" i="1"/>
  <c r="B13016" i="1"/>
  <c r="C13016" i="1"/>
  <c r="D13016" i="1"/>
  <c r="E13016" i="1"/>
  <c r="F13016" i="1"/>
  <c r="G13016" i="1"/>
  <c r="H13016" i="1"/>
  <c r="A13017" i="1"/>
  <c r="B13017" i="1"/>
  <c r="C13017" i="1"/>
  <c r="D13017" i="1"/>
  <c r="E13017" i="1"/>
  <c r="F13017" i="1"/>
  <c r="G13017" i="1"/>
  <c r="H13017" i="1"/>
  <c r="A13018" i="1"/>
  <c r="B13018" i="1"/>
  <c r="C13018" i="1"/>
  <c r="D13018" i="1"/>
  <c r="E13018" i="1"/>
  <c r="F13018" i="1"/>
  <c r="G13018" i="1"/>
  <c r="H13018" i="1"/>
  <c r="A13019" i="1"/>
  <c r="B13019" i="1"/>
  <c r="C13019" i="1"/>
  <c r="D13019" i="1"/>
  <c r="E13019" i="1"/>
  <c r="F13019" i="1"/>
  <c r="G13019" i="1"/>
  <c r="H13019" i="1"/>
  <c r="A13020" i="1"/>
  <c r="B13020" i="1"/>
  <c r="C13020" i="1"/>
  <c r="D13020" i="1"/>
  <c r="E13020" i="1"/>
  <c r="F13020" i="1"/>
  <c r="G13020" i="1"/>
  <c r="H13020" i="1"/>
  <c r="A13021" i="1"/>
  <c r="B13021" i="1"/>
  <c r="C13021" i="1"/>
  <c r="D13021" i="1"/>
  <c r="E13021" i="1"/>
  <c r="F13021" i="1"/>
  <c r="G13021" i="1"/>
  <c r="H13021" i="1"/>
  <c r="A13022" i="1"/>
  <c r="B13022" i="1"/>
  <c r="C13022" i="1"/>
  <c r="D13022" i="1"/>
  <c r="E13022" i="1"/>
  <c r="F13022" i="1"/>
  <c r="G13022" i="1"/>
  <c r="H13022" i="1"/>
  <c r="A13023" i="1"/>
  <c r="B13023" i="1"/>
  <c r="C13023" i="1"/>
  <c r="D13023" i="1"/>
  <c r="E13023" i="1"/>
  <c r="F13023" i="1"/>
  <c r="G13023" i="1"/>
  <c r="H13023" i="1"/>
  <c r="A13024" i="1"/>
  <c r="B13024" i="1"/>
  <c r="C13024" i="1"/>
  <c r="D13024" i="1"/>
  <c r="E13024" i="1"/>
  <c r="F13024" i="1"/>
  <c r="G13024" i="1"/>
  <c r="H13024" i="1"/>
  <c r="A13025" i="1"/>
  <c r="B13025" i="1"/>
  <c r="C13025" i="1"/>
  <c r="D13025" i="1"/>
  <c r="E13025" i="1"/>
  <c r="F13025" i="1"/>
  <c r="G13025" i="1"/>
  <c r="H13025" i="1"/>
  <c r="A13026" i="1"/>
  <c r="B13026" i="1"/>
  <c r="C13026" i="1"/>
  <c r="D13026" i="1"/>
  <c r="E13026" i="1"/>
  <c r="F13026" i="1"/>
  <c r="G13026" i="1"/>
  <c r="H13026" i="1"/>
  <c r="A13027" i="1"/>
  <c r="B13027" i="1"/>
  <c r="C13027" i="1"/>
  <c r="D13027" i="1"/>
  <c r="E13027" i="1"/>
  <c r="F13027" i="1"/>
  <c r="G13027" i="1"/>
  <c r="H13027" i="1"/>
  <c r="A13028" i="1"/>
  <c r="B13028" i="1"/>
  <c r="C13028" i="1"/>
  <c r="D13028" i="1"/>
  <c r="E13028" i="1"/>
  <c r="F13028" i="1"/>
  <c r="G13028" i="1"/>
  <c r="H13028" i="1"/>
  <c r="A13029" i="1"/>
  <c r="B13029" i="1"/>
  <c r="C13029" i="1"/>
  <c r="D13029" i="1"/>
  <c r="E13029" i="1"/>
  <c r="F13029" i="1"/>
  <c r="G13029" i="1"/>
  <c r="H13029" i="1"/>
  <c r="A13030" i="1"/>
  <c r="B13030" i="1"/>
  <c r="C13030" i="1"/>
  <c r="D13030" i="1"/>
  <c r="E13030" i="1"/>
  <c r="F13030" i="1"/>
  <c r="G13030" i="1"/>
  <c r="H13030" i="1"/>
  <c r="A13031" i="1"/>
  <c r="B13031" i="1"/>
  <c r="C13031" i="1"/>
  <c r="D13031" i="1"/>
  <c r="E13031" i="1"/>
  <c r="F13031" i="1"/>
  <c r="G13031" i="1"/>
  <c r="H13031" i="1"/>
  <c r="A13032" i="1"/>
  <c r="B13032" i="1"/>
  <c r="C13032" i="1"/>
  <c r="D13032" i="1"/>
  <c r="E13032" i="1"/>
  <c r="F13032" i="1"/>
  <c r="G13032" i="1"/>
  <c r="H13032" i="1"/>
  <c r="A13033" i="1"/>
  <c r="B13033" i="1"/>
  <c r="C13033" i="1"/>
  <c r="D13033" i="1"/>
  <c r="E13033" i="1"/>
  <c r="F13033" i="1"/>
  <c r="G13033" i="1"/>
  <c r="H13033" i="1"/>
  <c r="A13034" i="1"/>
  <c r="B13034" i="1"/>
  <c r="C13034" i="1"/>
  <c r="D13034" i="1"/>
  <c r="E13034" i="1"/>
  <c r="F13034" i="1"/>
  <c r="G13034" i="1"/>
  <c r="H13034" i="1"/>
  <c r="A13035" i="1"/>
  <c r="B13035" i="1"/>
  <c r="C13035" i="1"/>
  <c r="D13035" i="1"/>
  <c r="E13035" i="1"/>
  <c r="F13035" i="1"/>
  <c r="G13035" i="1"/>
  <c r="H13035" i="1"/>
  <c r="A13036" i="1"/>
  <c r="B13036" i="1"/>
  <c r="C13036" i="1"/>
  <c r="D13036" i="1"/>
  <c r="E13036" i="1"/>
  <c r="F13036" i="1"/>
  <c r="G13036" i="1"/>
  <c r="H13036" i="1"/>
  <c r="A13037" i="1"/>
  <c r="B13037" i="1"/>
  <c r="C13037" i="1"/>
  <c r="D13037" i="1"/>
  <c r="E13037" i="1"/>
  <c r="F13037" i="1"/>
  <c r="G13037" i="1"/>
  <c r="H13037" i="1"/>
  <c r="A13038" i="1"/>
  <c r="B13038" i="1"/>
  <c r="C13038" i="1"/>
  <c r="D13038" i="1"/>
  <c r="E13038" i="1"/>
  <c r="F13038" i="1"/>
  <c r="G13038" i="1"/>
  <c r="H13038" i="1"/>
  <c r="A13039" i="1"/>
  <c r="B13039" i="1"/>
  <c r="C13039" i="1"/>
  <c r="D13039" i="1"/>
  <c r="E13039" i="1"/>
  <c r="F13039" i="1"/>
  <c r="G13039" i="1"/>
  <c r="H13039" i="1"/>
  <c r="A13040" i="1"/>
  <c r="B13040" i="1"/>
  <c r="C13040" i="1"/>
  <c r="D13040" i="1"/>
  <c r="E13040" i="1"/>
  <c r="F13040" i="1"/>
  <c r="G13040" i="1"/>
  <c r="H13040" i="1"/>
  <c r="A13041" i="1"/>
  <c r="B13041" i="1"/>
  <c r="C13041" i="1"/>
  <c r="D13041" i="1"/>
  <c r="E13041" i="1"/>
  <c r="F13041" i="1"/>
  <c r="G13041" i="1"/>
  <c r="H13041" i="1"/>
  <c r="A13042" i="1"/>
  <c r="B13042" i="1"/>
  <c r="C13042" i="1"/>
  <c r="D13042" i="1"/>
  <c r="E13042" i="1"/>
  <c r="F13042" i="1"/>
  <c r="G13042" i="1"/>
  <c r="H13042" i="1"/>
  <c r="A13043" i="1"/>
  <c r="B13043" i="1"/>
  <c r="C13043" i="1"/>
  <c r="D13043" i="1"/>
  <c r="E13043" i="1"/>
  <c r="F13043" i="1"/>
  <c r="G13043" i="1"/>
  <c r="H13043" i="1"/>
  <c r="A13044" i="1"/>
  <c r="B13044" i="1"/>
  <c r="C13044" i="1"/>
  <c r="D13044" i="1"/>
  <c r="E13044" i="1"/>
  <c r="F13044" i="1"/>
  <c r="G13044" i="1"/>
  <c r="H13044" i="1"/>
  <c r="A13045" i="1"/>
  <c r="B13045" i="1"/>
  <c r="C13045" i="1"/>
  <c r="D13045" i="1"/>
  <c r="E13045" i="1"/>
  <c r="F13045" i="1"/>
  <c r="G13045" i="1"/>
  <c r="H13045" i="1"/>
  <c r="A13046" i="1"/>
  <c r="B13046" i="1"/>
  <c r="C13046" i="1"/>
  <c r="D13046" i="1"/>
  <c r="E13046" i="1"/>
  <c r="F13046" i="1"/>
  <c r="G13046" i="1"/>
  <c r="H13046" i="1"/>
  <c r="A13047" i="1"/>
  <c r="B13047" i="1"/>
  <c r="C13047" i="1"/>
  <c r="D13047" i="1"/>
  <c r="E13047" i="1"/>
  <c r="F13047" i="1"/>
  <c r="G13047" i="1"/>
  <c r="H13047" i="1"/>
  <c r="A13048" i="1"/>
  <c r="B13048" i="1"/>
  <c r="C13048" i="1"/>
  <c r="D13048" i="1"/>
  <c r="E13048" i="1"/>
  <c r="F13048" i="1"/>
  <c r="G13048" i="1"/>
  <c r="H13048" i="1"/>
  <c r="A13049" i="1"/>
  <c r="B13049" i="1"/>
  <c r="C13049" i="1"/>
  <c r="D13049" i="1"/>
  <c r="E13049" i="1"/>
  <c r="F13049" i="1"/>
  <c r="G13049" i="1"/>
  <c r="H13049" i="1"/>
  <c r="A13050" i="1"/>
  <c r="B13050" i="1"/>
  <c r="C13050" i="1"/>
  <c r="D13050" i="1"/>
  <c r="E13050" i="1"/>
  <c r="F13050" i="1"/>
  <c r="G13050" i="1"/>
  <c r="H13050" i="1"/>
  <c r="A13051" i="1"/>
  <c r="B13051" i="1"/>
  <c r="C13051" i="1"/>
  <c r="D13051" i="1"/>
  <c r="E13051" i="1"/>
  <c r="F13051" i="1"/>
  <c r="G13051" i="1"/>
  <c r="H13051" i="1"/>
  <c r="A13052" i="1"/>
  <c r="B13052" i="1"/>
  <c r="C13052" i="1"/>
  <c r="D13052" i="1"/>
  <c r="E13052" i="1"/>
  <c r="F13052" i="1"/>
  <c r="G13052" i="1"/>
  <c r="H13052" i="1"/>
  <c r="A13053" i="1"/>
  <c r="B13053" i="1"/>
  <c r="C13053" i="1"/>
  <c r="D13053" i="1"/>
  <c r="E13053" i="1"/>
  <c r="F13053" i="1"/>
  <c r="G13053" i="1"/>
  <c r="H13053" i="1"/>
  <c r="A13054" i="1"/>
  <c r="B13054" i="1"/>
  <c r="C13054" i="1"/>
  <c r="D13054" i="1"/>
  <c r="E13054" i="1"/>
  <c r="F13054" i="1"/>
  <c r="G13054" i="1"/>
  <c r="H13054" i="1"/>
  <c r="A13055" i="1"/>
  <c r="B13055" i="1"/>
  <c r="C13055" i="1"/>
  <c r="D13055" i="1"/>
  <c r="E13055" i="1"/>
  <c r="F13055" i="1"/>
  <c r="G13055" i="1"/>
  <c r="H13055" i="1"/>
  <c r="A13056" i="1"/>
  <c r="B13056" i="1"/>
  <c r="C13056" i="1"/>
  <c r="D13056" i="1"/>
  <c r="E13056" i="1"/>
  <c r="F13056" i="1"/>
  <c r="G13056" i="1"/>
  <c r="H13056" i="1"/>
  <c r="A13057" i="1"/>
  <c r="B13057" i="1"/>
  <c r="C13057" i="1"/>
  <c r="D13057" i="1"/>
  <c r="E13057" i="1"/>
  <c r="F13057" i="1"/>
  <c r="G13057" i="1"/>
  <c r="H13057" i="1"/>
  <c r="A13058" i="1"/>
  <c r="B13058" i="1"/>
  <c r="C13058" i="1"/>
  <c r="D13058" i="1"/>
  <c r="E13058" i="1"/>
  <c r="F13058" i="1"/>
  <c r="G13058" i="1"/>
  <c r="H13058" i="1"/>
  <c r="A13059" i="1"/>
  <c r="B13059" i="1"/>
  <c r="C13059" i="1"/>
  <c r="D13059" i="1"/>
  <c r="E13059" i="1"/>
  <c r="F13059" i="1"/>
  <c r="G13059" i="1"/>
  <c r="H13059" i="1"/>
  <c r="A13060" i="1"/>
  <c r="B13060" i="1"/>
  <c r="C13060" i="1"/>
  <c r="D13060" i="1"/>
  <c r="E13060" i="1"/>
  <c r="F13060" i="1"/>
  <c r="G13060" i="1"/>
  <c r="H13060" i="1"/>
  <c r="A13061" i="1"/>
  <c r="B13061" i="1"/>
  <c r="C13061" i="1"/>
  <c r="D13061" i="1"/>
  <c r="E13061" i="1"/>
  <c r="F13061" i="1"/>
  <c r="G13061" i="1"/>
  <c r="H13061" i="1"/>
  <c r="A13062" i="1"/>
  <c r="B13062" i="1"/>
  <c r="C13062" i="1"/>
  <c r="D13062" i="1"/>
  <c r="E13062" i="1"/>
  <c r="F13062" i="1"/>
  <c r="G13062" i="1"/>
  <c r="H13062" i="1"/>
  <c r="A13063" i="1"/>
  <c r="B13063" i="1"/>
  <c r="C13063" i="1"/>
  <c r="D13063" i="1"/>
  <c r="E13063" i="1"/>
  <c r="F13063" i="1"/>
  <c r="G13063" i="1"/>
  <c r="H13063" i="1"/>
  <c r="A13064" i="1"/>
  <c r="B13064" i="1"/>
  <c r="C13064" i="1"/>
  <c r="D13064" i="1"/>
  <c r="E13064" i="1"/>
  <c r="F13064" i="1"/>
  <c r="G13064" i="1"/>
  <c r="H13064" i="1"/>
  <c r="A13065" i="1"/>
  <c r="B13065" i="1"/>
  <c r="C13065" i="1"/>
  <c r="D13065" i="1"/>
  <c r="E13065" i="1"/>
  <c r="F13065" i="1"/>
  <c r="G13065" i="1"/>
  <c r="H13065" i="1"/>
  <c r="A13066" i="1"/>
  <c r="B13066" i="1"/>
  <c r="C13066" i="1"/>
  <c r="D13066" i="1"/>
  <c r="E13066" i="1"/>
  <c r="F13066" i="1"/>
  <c r="G13066" i="1"/>
  <c r="H13066" i="1"/>
  <c r="A13067" i="1"/>
  <c r="B13067" i="1"/>
  <c r="C13067" i="1"/>
  <c r="D13067" i="1"/>
  <c r="E13067" i="1"/>
  <c r="F13067" i="1"/>
  <c r="G13067" i="1"/>
  <c r="H13067" i="1"/>
  <c r="A13068" i="1"/>
  <c r="B13068" i="1"/>
  <c r="C13068" i="1"/>
  <c r="D13068" i="1"/>
  <c r="E13068" i="1"/>
  <c r="F13068" i="1"/>
  <c r="G13068" i="1"/>
  <c r="H13068" i="1"/>
  <c r="A13069" i="1"/>
  <c r="B13069" i="1"/>
  <c r="C13069" i="1"/>
  <c r="D13069" i="1"/>
  <c r="E13069" i="1"/>
  <c r="F13069" i="1"/>
  <c r="G13069" i="1"/>
  <c r="H13069" i="1"/>
  <c r="A13070" i="1"/>
  <c r="B13070" i="1"/>
  <c r="C13070" i="1"/>
  <c r="D13070" i="1"/>
  <c r="E13070" i="1"/>
  <c r="F13070" i="1"/>
  <c r="G13070" i="1"/>
  <c r="H13070" i="1"/>
  <c r="A13071" i="1"/>
  <c r="B13071" i="1"/>
  <c r="C13071" i="1"/>
  <c r="D13071" i="1"/>
  <c r="E13071" i="1"/>
  <c r="F13071" i="1"/>
  <c r="G13071" i="1"/>
  <c r="H13071" i="1"/>
  <c r="A13072" i="1"/>
  <c r="B13072" i="1"/>
  <c r="C13072" i="1"/>
  <c r="D13072" i="1"/>
  <c r="E13072" i="1"/>
  <c r="F13072" i="1"/>
  <c r="G13072" i="1"/>
  <c r="H13072" i="1"/>
  <c r="A13073" i="1"/>
  <c r="B13073" i="1"/>
  <c r="C13073" i="1"/>
  <c r="D13073" i="1"/>
  <c r="E13073" i="1"/>
  <c r="F13073" i="1"/>
  <c r="G13073" i="1"/>
  <c r="H13073" i="1"/>
  <c r="A13074" i="1"/>
  <c r="B13074" i="1"/>
  <c r="C13074" i="1"/>
  <c r="D13074" i="1"/>
  <c r="E13074" i="1"/>
  <c r="F13074" i="1"/>
  <c r="G13074" i="1"/>
  <c r="H13074" i="1"/>
  <c r="A13075" i="1"/>
  <c r="B13075" i="1"/>
  <c r="C13075" i="1"/>
  <c r="D13075" i="1"/>
  <c r="E13075" i="1"/>
  <c r="F13075" i="1"/>
  <c r="G13075" i="1"/>
  <c r="H13075" i="1"/>
  <c r="A13076" i="1"/>
  <c r="B13076" i="1"/>
  <c r="C13076" i="1"/>
  <c r="D13076" i="1"/>
  <c r="E13076" i="1"/>
  <c r="F13076" i="1"/>
  <c r="G13076" i="1"/>
  <c r="H13076" i="1"/>
  <c r="A13077" i="1"/>
  <c r="B13077" i="1"/>
  <c r="C13077" i="1"/>
  <c r="D13077" i="1"/>
  <c r="E13077" i="1"/>
  <c r="F13077" i="1"/>
  <c r="G13077" i="1"/>
  <c r="H13077" i="1"/>
  <c r="A13078" i="1"/>
  <c r="B13078" i="1"/>
  <c r="C13078" i="1"/>
  <c r="D13078" i="1"/>
  <c r="E13078" i="1"/>
  <c r="F13078" i="1"/>
  <c r="G13078" i="1"/>
  <c r="H13078" i="1"/>
  <c r="A13079" i="1"/>
  <c r="B13079" i="1"/>
  <c r="C13079" i="1"/>
  <c r="D13079" i="1"/>
  <c r="E13079" i="1"/>
  <c r="F13079" i="1"/>
  <c r="G13079" i="1"/>
  <c r="H13079" i="1"/>
  <c r="A13080" i="1"/>
  <c r="B13080" i="1"/>
  <c r="C13080" i="1"/>
  <c r="D13080" i="1"/>
  <c r="E13080" i="1"/>
  <c r="F13080" i="1"/>
  <c r="G13080" i="1"/>
  <c r="H13080" i="1"/>
  <c r="A13081" i="1"/>
  <c r="B13081" i="1"/>
  <c r="C13081" i="1"/>
  <c r="D13081" i="1"/>
  <c r="E13081" i="1"/>
  <c r="F13081" i="1"/>
  <c r="G13081" i="1"/>
  <c r="H13081" i="1"/>
  <c r="A13082" i="1"/>
  <c r="B13082" i="1"/>
  <c r="C13082" i="1"/>
  <c r="D13082" i="1"/>
  <c r="E13082" i="1"/>
  <c r="F13082" i="1"/>
  <c r="G13082" i="1"/>
  <c r="H13082" i="1"/>
  <c r="A13083" i="1"/>
  <c r="B13083" i="1"/>
  <c r="C13083" i="1"/>
  <c r="D13083" i="1"/>
  <c r="E13083" i="1"/>
  <c r="F13083" i="1"/>
  <c r="G13083" i="1"/>
  <c r="H13083" i="1"/>
  <c r="A13084" i="1"/>
  <c r="B13084" i="1"/>
  <c r="C13084" i="1"/>
  <c r="D13084" i="1"/>
  <c r="E13084" i="1"/>
  <c r="F13084" i="1"/>
  <c r="G13084" i="1"/>
  <c r="H13084" i="1"/>
  <c r="A13085" i="1"/>
  <c r="B13085" i="1"/>
  <c r="C13085" i="1"/>
  <c r="D13085" i="1"/>
  <c r="E13085" i="1"/>
  <c r="F13085" i="1"/>
  <c r="G13085" i="1"/>
  <c r="H13085" i="1"/>
  <c r="A13086" i="1"/>
  <c r="B13086" i="1"/>
  <c r="C13086" i="1"/>
  <c r="D13086" i="1"/>
  <c r="E13086" i="1"/>
  <c r="F13086" i="1"/>
  <c r="G13086" i="1"/>
  <c r="H13086" i="1"/>
  <c r="A13087" i="1"/>
  <c r="B13087" i="1"/>
  <c r="C13087" i="1"/>
  <c r="D13087" i="1"/>
  <c r="E13087" i="1"/>
  <c r="F13087" i="1"/>
  <c r="G13087" i="1"/>
  <c r="H13087" i="1"/>
  <c r="A13088" i="1"/>
  <c r="B13088" i="1"/>
  <c r="C13088" i="1"/>
  <c r="D13088" i="1"/>
  <c r="E13088" i="1"/>
  <c r="F13088" i="1"/>
  <c r="G13088" i="1"/>
  <c r="H13088" i="1"/>
  <c r="A13089" i="1"/>
  <c r="B13089" i="1"/>
  <c r="C13089" i="1"/>
  <c r="D13089" i="1"/>
  <c r="E13089" i="1"/>
  <c r="F13089" i="1"/>
  <c r="G13089" i="1"/>
  <c r="H13089" i="1"/>
  <c r="A13090" i="1"/>
  <c r="B13090" i="1"/>
  <c r="C13090" i="1"/>
  <c r="D13090" i="1"/>
  <c r="E13090" i="1"/>
  <c r="F13090" i="1"/>
  <c r="G13090" i="1"/>
  <c r="H13090" i="1"/>
  <c r="A13091" i="1"/>
  <c r="B13091" i="1"/>
  <c r="C13091" i="1"/>
  <c r="D13091" i="1"/>
  <c r="E13091" i="1"/>
  <c r="F13091" i="1"/>
  <c r="G13091" i="1"/>
  <c r="H13091" i="1"/>
  <c r="A13092" i="1"/>
  <c r="B13092" i="1"/>
  <c r="C13092" i="1"/>
  <c r="D13092" i="1"/>
  <c r="E13092" i="1"/>
  <c r="F13092" i="1"/>
  <c r="G13092" i="1"/>
  <c r="H13092" i="1"/>
  <c r="A13093" i="1"/>
  <c r="B13093" i="1"/>
  <c r="C13093" i="1"/>
  <c r="D13093" i="1"/>
  <c r="E13093" i="1"/>
  <c r="F13093" i="1"/>
  <c r="G13093" i="1"/>
  <c r="H13093" i="1"/>
  <c r="A13094" i="1"/>
  <c r="B13094" i="1"/>
  <c r="C13094" i="1"/>
  <c r="D13094" i="1"/>
  <c r="E13094" i="1"/>
  <c r="F13094" i="1"/>
  <c r="G13094" i="1"/>
  <c r="H13094" i="1"/>
  <c r="A13095" i="1"/>
  <c r="B13095" i="1"/>
  <c r="C13095" i="1"/>
  <c r="D13095" i="1"/>
  <c r="E13095" i="1"/>
  <c r="F13095" i="1"/>
  <c r="G13095" i="1"/>
  <c r="H13095" i="1"/>
  <c r="A13096" i="1"/>
  <c r="B13096" i="1"/>
  <c r="C13096" i="1"/>
  <c r="D13096" i="1"/>
  <c r="E13096" i="1"/>
  <c r="F13096" i="1"/>
  <c r="G13096" i="1"/>
  <c r="H13096" i="1"/>
  <c r="A13097" i="1"/>
  <c r="B13097" i="1"/>
  <c r="C13097" i="1"/>
  <c r="D13097" i="1"/>
  <c r="E13097" i="1"/>
  <c r="F13097" i="1"/>
  <c r="G13097" i="1"/>
  <c r="H13097" i="1"/>
  <c r="A13098" i="1"/>
  <c r="B13098" i="1"/>
  <c r="C13098" i="1"/>
  <c r="D13098" i="1"/>
  <c r="E13098" i="1"/>
  <c r="F13098" i="1"/>
  <c r="G13098" i="1"/>
  <c r="H13098" i="1"/>
  <c r="A13099" i="1"/>
  <c r="B13099" i="1"/>
  <c r="C13099" i="1"/>
  <c r="D13099" i="1"/>
  <c r="E13099" i="1"/>
  <c r="F13099" i="1"/>
  <c r="G13099" i="1"/>
  <c r="H13099" i="1"/>
  <c r="A13100" i="1"/>
  <c r="B13100" i="1"/>
  <c r="C13100" i="1"/>
  <c r="D13100" i="1"/>
  <c r="E13100" i="1"/>
  <c r="F13100" i="1"/>
  <c r="G13100" i="1"/>
  <c r="H13100" i="1"/>
  <c r="A13101" i="1"/>
  <c r="B13101" i="1"/>
  <c r="C13101" i="1"/>
  <c r="D13101" i="1"/>
  <c r="E13101" i="1"/>
  <c r="F13101" i="1"/>
  <c r="G13101" i="1"/>
  <c r="H13101" i="1"/>
  <c r="A13102" i="1"/>
  <c r="B13102" i="1"/>
  <c r="C13102" i="1"/>
  <c r="D13102" i="1"/>
  <c r="E13102" i="1"/>
  <c r="F13102" i="1"/>
  <c r="G13102" i="1"/>
  <c r="H13102" i="1"/>
  <c r="A13103" i="1"/>
  <c r="B13103" i="1"/>
  <c r="C13103" i="1"/>
  <c r="D13103" i="1"/>
  <c r="E13103" i="1"/>
  <c r="F13103" i="1"/>
  <c r="G13103" i="1"/>
  <c r="H13103" i="1"/>
  <c r="A13104" i="1"/>
  <c r="B13104" i="1"/>
  <c r="C13104" i="1"/>
  <c r="D13104" i="1"/>
  <c r="E13104" i="1"/>
  <c r="F13104" i="1"/>
  <c r="G13104" i="1"/>
  <c r="H13104" i="1"/>
  <c r="A13105" i="1"/>
  <c r="B13105" i="1"/>
  <c r="C13105" i="1"/>
  <c r="D13105" i="1"/>
  <c r="E13105" i="1"/>
  <c r="F13105" i="1"/>
  <c r="G13105" i="1"/>
  <c r="H13105" i="1"/>
  <c r="A13106" i="1"/>
  <c r="B13106" i="1"/>
  <c r="C13106" i="1"/>
  <c r="D13106" i="1"/>
  <c r="E13106" i="1"/>
  <c r="F13106" i="1"/>
  <c r="G13106" i="1"/>
  <c r="H13106" i="1"/>
  <c r="A13107" i="1"/>
  <c r="B13107" i="1"/>
  <c r="C13107" i="1"/>
  <c r="D13107" i="1"/>
  <c r="E13107" i="1"/>
  <c r="F13107" i="1"/>
  <c r="G13107" i="1"/>
  <c r="H13107" i="1"/>
  <c r="A13108" i="1"/>
  <c r="B13108" i="1"/>
  <c r="C13108" i="1"/>
  <c r="D13108" i="1"/>
  <c r="E13108" i="1"/>
  <c r="F13108" i="1"/>
  <c r="G13108" i="1"/>
  <c r="H13108" i="1"/>
  <c r="A13109" i="1"/>
  <c r="B13109" i="1"/>
  <c r="C13109" i="1"/>
  <c r="D13109" i="1"/>
  <c r="E13109" i="1"/>
  <c r="F13109" i="1"/>
  <c r="G13109" i="1"/>
  <c r="H13109" i="1"/>
  <c r="A13110" i="1"/>
  <c r="B13110" i="1"/>
  <c r="C13110" i="1"/>
  <c r="D13110" i="1"/>
  <c r="E13110" i="1"/>
  <c r="F13110" i="1"/>
  <c r="G13110" i="1"/>
  <c r="H13110" i="1"/>
  <c r="A13111" i="1"/>
  <c r="B13111" i="1"/>
  <c r="C13111" i="1"/>
  <c r="D13111" i="1"/>
  <c r="E13111" i="1"/>
  <c r="F13111" i="1"/>
  <c r="G13111" i="1"/>
  <c r="H13111" i="1"/>
  <c r="A13112" i="1"/>
  <c r="B13112" i="1"/>
  <c r="C13112" i="1"/>
  <c r="D13112" i="1"/>
  <c r="E13112" i="1"/>
  <c r="F13112" i="1"/>
  <c r="G13112" i="1"/>
  <c r="H13112" i="1"/>
  <c r="A13113" i="1"/>
  <c r="B13113" i="1"/>
  <c r="C13113" i="1"/>
  <c r="D13113" i="1"/>
  <c r="E13113" i="1"/>
  <c r="F13113" i="1"/>
  <c r="G13113" i="1"/>
  <c r="H13113" i="1"/>
  <c r="A13114" i="1"/>
  <c r="B13114" i="1"/>
  <c r="C13114" i="1"/>
  <c r="D13114" i="1"/>
  <c r="E13114" i="1"/>
  <c r="F13114" i="1"/>
  <c r="G13114" i="1"/>
  <c r="H13114" i="1"/>
  <c r="A13115" i="1"/>
  <c r="B13115" i="1"/>
  <c r="C13115" i="1"/>
  <c r="D13115" i="1"/>
  <c r="E13115" i="1"/>
  <c r="F13115" i="1"/>
  <c r="G13115" i="1"/>
  <c r="H13115" i="1"/>
  <c r="A13116" i="1"/>
  <c r="B13116" i="1"/>
  <c r="C13116" i="1"/>
  <c r="D13116" i="1"/>
  <c r="E13116" i="1"/>
  <c r="F13116" i="1"/>
  <c r="G13116" i="1"/>
  <c r="H13116" i="1"/>
  <c r="A13117" i="1"/>
  <c r="B13117" i="1"/>
  <c r="C13117" i="1"/>
  <c r="D13117" i="1"/>
  <c r="E13117" i="1"/>
  <c r="F13117" i="1"/>
  <c r="G13117" i="1"/>
  <c r="H13117" i="1"/>
  <c r="A13118" i="1"/>
  <c r="B13118" i="1"/>
  <c r="C13118" i="1"/>
  <c r="D13118" i="1"/>
  <c r="E13118" i="1"/>
  <c r="F13118" i="1"/>
  <c r="G13118" i="1"/>
  <c r="H13118" i="1"/>
  <c r="A13119" i="1"/>
  <c r="B13119" i="1"/>
  <c r="C13119" i="1"/>
  <c r="D13119" i="1"/>
  <c r="E13119" i="1"/>
  <c r="F13119" i="1"/>
  <c r="G13119" i="1"/>
  <c r="H13119" i="1"/>
  <c r="A13120" i="1"/>
  <c r="B13120" i="1"/>
  <c r="C13120" i="1"/>
  <c r="D13120" i="1"/>
  <c r="E13120" i="1"/>
  <c r="F13120" i="1"/>
  <c r="G13120" i="1"/>
  <c r="H13120" i="1"/>
  <c r="A13121" i="1"/>
  <c r="B13121" i="1"/>
  <c r="C13121" i="1"/>
  <c r="D13121" i="1"/>
  <c r="E13121" i="1"/>
  <c r="F13121" i="1"/>
  <c r="G13121" i="1"/>
  <c r="H13121" i="1"/>
  <c r="A13122" i="1"/>
  <c r="B13122" i="1"/>
  <c r="C13122" i="1"/>
  <c r="D13122" i="1"/>
  <c r="E13122" i="1"/>
  <c r="F13122" i="1"/>
  <c r="G13122" i="1"/>
  <c r="H13122" i="1"/>
  <c r="A13123" i="1"/>
  <c r="B13123" i="1"/>
  <c r="C13123" i="1"/>
  <c r="D13123" i="1"/>
  <c r="E13123" i="1"/>
  <c r="F13123" i="1"/>
  <c r="G13123" i="1"/>
  <c r="H13123" i="1"/>
  <c r="A13124" i="1"/>
  <c r="B13124" i="1"/>
  <c r="C13124" i="1"/>
  <c r="D13124" i="1"/>
  <c r="E13124" i="1"/>
  <c r="F13124" i="1"/>
  <c r="G13124" i="1"/>
  <c r="H13124" i="1"/>
  <c r="A13125" i="1"/>
  <c r="B13125" i="1"/>
  <c r="C13125" i="1"/>
  <c r="D13125" i="1"/>
  <c r="E13125" i="1"/>
  <c r="F13125" i="1"/>
  <c r="G13125" i="1"/>
  <c r="H13125" i="1"/>
  <c r="A13126" i="1"/>
  <c r="B13126" i="1"/>
  <c r="C13126" i="1"/>
  <c r="D13126" i="1"/>
  <c r="E13126" i="1"/>
  <c r="F13126" i="1"/>
  <c r="G13126" i="1"/>
  <c r="H13126" i="1"/>
  <c r="A13127" i="1"/>
  <c r="B13127" i="1"/>
  <c r="C13127" i="1"/>
  <c r="D13127" i="1"/>
  <c r="E13127" i="1"/>
  <c r="F13127" i="1"/>
  <c r="G13127" i="1"/>
  <c r="H13127" i="1"/>
  <c r="A13128" i="1"/>
  <c r="B13128" i="1"/>
  <c r="C13128" i="1"/>
  <c r="D13128" i="1"/>
  <c r="E13128" i="1"/>
  <c r="F13128" i="1"/>
  <c r="G13128" i="1"/>
  <c r="H13128" i="1"/>
  <c r="A13129" i="1"/>
  <c r="B13129" i="1"/>
  <c r="C13129" i="1"/>
  <c r="D13129" i="1"/>
  <c r="E13129" i="1"/>
  <c r="F13129" i="1"/>
  <c r="G13129" i="1"/>
  <c r="H13129" i="1"/>
  <c r="A13130" i="1"/>
  <c r="B13130" i="1"/>
  <c r="C13130" i="1"/>
  <c r="D13130" i="1"/>
  <c r="E13130" i="1"/>
  <c r="F13130" i="1"/>
  <c r="G13130" i="1"/>
  <c r="H13130" i="1"/>
  <c r="A13131" i="1"/>
  <c r="B13131" i="1"/>
  <c r="C13131" i="1"/>
  <c r="D13131" i="1"/>
  <c r="E13131" i="1"/>
  <c r="F13131" i="1"/>
  <c r="G13131" i="1"/>
  <c r="H13131" i="1"/>
  <c r="A13132" i="1"/>
  <c r="B13132" i="1"/>
  <c r="C13132" i="1"/>
  <c r="D13132" i="1"/>
  <c r="E13132" i="1"/>
  <c r="F13132" i="1"/>
  <c r="G13132" i="1"/>
  <c r="H13132" i="1"/>
  <c r="A13133" i="1"/>
  <c r="B13133" i="1"/>
  <c r="C13133" i="1"/>
  <c r="D13133" i="1"/>
  <c r="E13133" i="1"/>
  <c r="F13133" i="1"/>
  <c r="G13133" i="1"/>
  <c r="H13133" i="1"/>
  <c r="A13134" i="1"/>
  <c r="B13134" i="1"/>
  <c r="C13134" i="1"/>
  <c r="D13134" i="1"/>
  <c r="E13134" i="1"/>
  <c r="F13134" i="1"/>
  <c r="G13134" i="1"/>
  <c r="H13134" i="1"/>
  <c r="A13135" i="1"/>
  <c r="B13135" i="1"/>
  <c r="C13135" i="1"/>
  <c r="D13135" i="1"/>
  <c r="E13135" i="1"/>
  <c r="F13135" i="1"/>
  <c r="G13135" i="1"/>
  <c r="H13135" i="1"/>
  <c r="A13136" i="1"/>
  <c r="B13136" i="1"/>
  <c r="C13136" i="1"/>
  <c r="D13136" i="1"/>
  <c r="E13136" i="1"/>
  <c r="F13136" i="1"/>
  <c r="G13136" i="1"/>
  <c r="H13136" i="1"/>
  <c r="A13137" i="1"/>
  <c r="B13137" i="1"/>
  <c r="C13137" i="1"/>
  <c r="D13137" i="1"/>
  <c r="E13137" i="1"/>
  <c r="F13137" i="1"/>
  <c r="G13137" i="1"/>
  <c r="H13137" i="1"/>
  <c r="A13138" i="1"/>
  <c r="B13138" i="1"/>
  <c r="C13138" i="1"/>
  <c r="D13138" i="1"/>
  <c r="E13138" i="1"/>
  <c r="F13138" i="1"/>
  <c r="G13138" i="1"/>
  <c r="H13138" i="1"/>
  <c r="A13139" i="1"/>
  <c r="B13139" i="1"/>
  <c r="C13139" i="1"/>
  <c r="D13139" i="1"/>
  <c r="E13139" i="1"/>
  <c r="F13139" i="1"/>
  <c r="G13139" i="1"/>
  <c r="H13139" i="1"/>
  <c r="A13140" i="1"/>
  <c r="B13140" i="1"/>
  <c r="C13140" i="1"/>
  <c r="D13140" i="1"/>
  <c r="E13140" i="1"/>
  <c r="F13140" i="1"/>
  <c r="G13140" i="1"/>
  <c r="H13140" i="1"/>
  <c r="A13141" i="1"/>
  <c r="B13141" i="1"/>
  <c r="C13141" i="1"/>
  <c r="D13141" i="1"/>
  <c r="E13141" i="1"/>
  <c r="F13141" i="1"/>
  <c r="G13141" i="1"/>
  <c r="H13141" i="1"/>
  <c r="A13142" i="1"/>
  <c r="B13142" i="1"/>
  <c r="C13142" i="1"/>
  <c r="D13142" i="1"/>
  <c r="E13142" i="1"/>
  <c r="F13142" i="1"/>
  <c r="G13142" i="1"/>
  <c r="H13142" i="1"/>
  <c r="A13143" i="1"/>
  <c r="B13143" i="1"/>
  <c r="C13143" i="1"/>
  <c r="D13143" i="1"/>
  <c r="E13143" i="1"/>
  <c r="F13143" i="1"/>
  <c r="G13143" i="1"/>
  <c r="H13143" i="1"/>
  <c r="A13144" i="1"/>
  <c r="B13144" i="1"/>
  <c r="C13144" i="1"/>
  <c r="D13144" i="1"/>
  <c r="E13144" i="1"/>
  <c r="F13144" i="1"/>
  <c r="G13144" i="1"/>
  <c r="H13144" i="1"/>
  <c r="A13145" i="1"/>
  <c r="B13145" i="1"/>
  <c r="C13145" i="1"/>
  <c r="D13145" i="1"/>
  <c r="E13145" i="1"/>
  <c r="F13145" i="1"/>
  <c r="G13145" i="1"/>
  <c r="H13145" i="1"/>
  <c r="A13146" i="1"/>
  <c r="B13146" i="1"/>
  <c r="C13146" i="1"/>
  <c r="D13146" i="1"/>
  <c r="E13146" i="1"/>
  <c r="F13146" i="1"/>
  <c r="G13146" i="1"/>
  <c r="H13146" i="1"/>
  <c r="A13147" i="1"/>
  <c r="B13147" i="1"/>
  <c r="C13147" i="1"/>
  <c r="D13147" i="1"/>
  <c r="E13147" i="1"/>
  <c r="F13147" i="1"/>
  <c r="G13147" i="1"/>
  <c r="H13147" i="1"/>
  <c r="A13148" i="1"/>
  <c r="B13148" i="1"/>
  <c r="C13148" i="1"/>
  <c r="D13148" i="1"/>
  <c r="E13148" i="1"/>
  <c r="F13148" i="1"/>
  <c r="G13148" i="1"/>
  <c r="H13148" i="1"/>
  <c r="A13149" i="1"/>
  <c r="B13149" i="1"/>
  <c r="C13149" i="1"/>
  <c r="D13149" i="1"/>
  <c r="E13149" i="1"/>
  <c r="F13149" i="1"/>
  <c r="G13149" i="1"/>
  <c r="H13149" i="1"/>
  <c r="A13150" i="1"/>
  <c r="B13150" i="1"/>
  <c r="C13150" i="1"/>
  <c r="D13150" i="1"/>
  <c r="E13150" i="1"/>
  <c r="F13150" i="1"/>
  <c r="G13150" i="1"/>
  <c r="H13150" i="1"/>
  <c r="A13151" i="1"/>
  <c r="B13151" i="1"/>
  <c r="C13151" i="1"/>
  <c r="D13151" i="1"/>
  <c r="E13151" i="1"/>
  <c r="F13151" i="1"/>
  <c r="G13151" i="1"/>
  <c r="H13151" i="1"/>
  <c r="A13152" i="1"/>
  <c r="B13152" i="1"/>
  <c r="C13152" i="1"/>
  <c r="D13152" i="1"/>
  <c r="E13152" i="1"/>
  <c r="F13152" i="1"/>
  <c r="G13152" i="1"/>
  <c r="H13152" i="1"/>
  <c r="A13153" i="1"/>
  <c r="B13153" i="1"/>
  <c r="C13153" i="1"/>
  <c r="D13153" i="1"/>
  <c r="E13153" i="1"/>
  <c r="F13153" i="1"/>
  <c r="G13153" i="1"/>
  <c r="H13153" i="1"/>
  <c r="A13154" i="1"/>
  <c r="B13154" i="1"/>
  <c r="C13154" i="1"/>
  <c r="D13154" i="1"/>
  <c r="E13154" i="1"/>
  <c r="F13154" i="1"/>
  <c r="G13154" i="1"/>
  <c r="H13154" i="1"/>
  <c r="A13155" i="1"/>
  <c r="B13155" i="1"/>
  <c r="C13155" i="1"/>
  <c r="D13155" i="1"/>
  <c r="E13155" i="1"/>
  <c r="F13155" i="1"/>
  <c r="G13155" i="1"/>
  <c r="H13155" i="1"/>
  <c r="A13156" i="1"/>
  <c r="B13156" i="1"/>
  <c r="C13156" i="1"/>
  <c r="D13156" i="1"/>
  <c r="E13156" i="1"/>
  <c r="F13156" i="1"/>
  <c r="G13156" i="1"/>
  <c r="H13156" i="1"/>
  <c r="A13157" i="1"/>
  <c r="B13157" i="1"/>
  <c r="C13157" i="1"/>
  <c r="D13157" i="1"/>
  <c r="E13157" i="1"/>
  <c r="F13157" i="1"/>
  <c r="G13157" i="1"/>
  <c r="H13157" i="1"/>
  <c r="A13158" i="1"/>
  <c r="B13158" i="1"/>
  <c r="C13158" i="1"/>
  <c r="D13158" i="1"/>
  <c r="E13158" i="1"/>
  <c r="F13158" i="1"/>
  <c r="G13158" i="1"/>
  <c r="H13158" i="1"/>
  <c r="A13159" i="1"/>
  <c r="B13159" i="1"/>
  <c r="C13159" i="1"/>
  <c r="D13159" i="1"/>
  <c r="E13159" i="1"/>
  <c r="F13159" i="1"/>
  <c r="G13159" i="1"/>
  <c r="H13159" i="1"/>
  <c r="A13160" i="1"/>
  <c r="B13160" i="1"/>
  <c r="C13160" i="1"/>
  <c r="D13160" i="1"/>
  <c r="E13160" i="1"/>
  <c r="F13160" i="1"/>
  <c r="G13160" i="1"/>
  <c r="H13160" i="1"/>
  <c r="A13161" i="1"/>
  <c r="B13161" i="1"/>
  <c r="C13161" i="1"/>
  <c r="D13161" i="1"/>
  <c r="E13161" i="1"/>
  <c r="F13161" i="1"/>
  <c r="G13161" i="1"/>
  <c r="H13161" i="1"/>
  <c r="A13162" i="1"/>
  <c r="B13162" i="1"/>
  <c r="C13162" i="1"/>
  <c r="D13162" i="1"/>
  <c r="E13162" i="1"/>
  <c r="F13162" i="1"/>
  <c r="G13162" i="1"/>
  <c r="H13162" i="1"/>
  <c r="A13163" i="1"/>
  <c r="B13163" i="1"/>
  <c r="C13163" i="1"/>
  <c r="D13163" i="1"/>
  <c r="E13163" i="1"/>
  <c r="F13163" i="1"/>
  <c r="G13163" i="1"/>
  <c r="H13163" i="1"/>
  <c r="A13164" i="1"/>
  <c r="B13164" i="1"/>
  <c r="C13164" i="1"/>
  <c r="D13164" i="1"/>
  <c r="E13164" i="1"/>
  <c r="F13164" i="1"/>
  <c r="G13164" i="1"/>
  <c r="H13164" i="1"/>
  <c r="A13165" i="1"/>
  <c r="B13165" i="1"/>
  <c r="C13165" i="1"/>
  <c r="D13165" i="1"/>
  <c r="E13165" i="1"/>
  <c r="F13165" i="1"/>
  <c r="G13165" i="1"/>
  <c r="H13165" i="1"/>
  <c r="A13166" i="1"/>
  <c r="B13166" i="1"/>
  <c r="C13166" i="1"/>
  <c r="D13166" i="1"/>
  <c r="E13166" i="1"/>
  <c r="F13166" i="1"/>
  <c r="G13166" i="1"/>
  <c r="H13166" i="1"/>
  <c r="A13167" i="1"/>
  <c r="B13167" i="1"/>
  <c r="C13167" i="1"/>
  <c r="D13167" i="1"/>
  <c r="E13167" i="1"/>
  <c r="F13167" i="1"/>
  <c r="G13167" i="1"/>
  <c r="H13167" i="1"/>
  <c r="A13168" i="1"/>
  <c r="B13168" i="1"/>
  <c r="C13168" i="1"/>
  <c r="D13168" i="1"/>
  <c r="E13168" i="1"/>
  <c r="F13168" i="1"/>
  <c r="G13168" i="1"/>
  <c r="H13168" i="1"/>
  <c r="A13169" i="1"/>
  <c r="B13169" i="1"/>
  <c r="C13169" i="1"/>
  <c r="D13169" i="1"/>
  <c r="E13169" i="1"/>
  <c r="F13169" i="1"/>
  <c r="G13169" i="1"/>
  <c r="H13169" i="1"/>
  <c r="A13170" i="1"/>
  <c r="B13170" i="1"/>
  <c r="C13170" i="1"/>
  <c r="D13170" i="1"/>
  <c r="E13170" i="1"/>
  <c r="F13170" i="1"/>
  <c r="G13170" i="1"/>
  <c r="H13170" i="1"/>
  <c r="A13171" i="1"/>
  <c r="B13171" i="1"/>
  <c r="C13171" i="1"/>
  <c r="D13171" i="1"/>
  <c r="E13171" i="1"/>
  <c r="F13171" i="1"/>
  <c r="G13171" i="1"/>
  <c r="H13171" i="1"/>
  <c r="A13172" i="1"/>
  <c r="B13172" i="1"/>
  <c r="C13172" i="1"/>
  <c r="D13172" i="1"/>
  <c r="E13172" i="1"/>
  <c r="F13172" i="1"/>
  <c r="G13172" i="1"/>
  <c r="H13172" i="1"/>
  <c r="A13173" i="1"/>
  <c r="B13173" i="1"/>
  <c r="C13173" i="1"/>
  <c r="D13173" i="1"/>
  <c r="E13173" i="1"/>
  <c r="F13173" i="1"/>
  <c r="G13173" i="1"/>
  <c r="H13173" i="1"/>
  <c r="A13174" i="1"/>
  <c r="B13174" i="1"/>
  <c r="C13174" i="1"/>
  <c r="D13174" i="1"/>
  <c r="E13174" i="1"/>
  <c r="F13174" i="1"/>
  <c r="G13174" i="1"/>
  <c r="H13174" i="1"/>
  <c r="A13175" i="1"/>
  <c r="B13175" i="1"/>
  <c r="C13175" i="1"/>
  <c r="D13175" i="1"/>
  <c r="E13175" i="1"/>
  <c r="F13175" i="1"/>
  <c r="G13175" i="1"/>
  <c r="H13175" i="1"/>
  <c r="A13176" i="1"/>
  <c r="B13176" i="1"/>
  <c r="C13176" i="1"/>
  <c r="D13176" i="1"/>
  <c r="E13176" i="1"/>
  <c r="F13176" i="1"/>
  <c r="G13176" i="1"/>
  <c r="H13176" i="1"/>
  <c r="A13177" i="1"/>
  <c r="B13177" i="1"/>
  <c r="C13177" i="1"/>
  <c r="D13177" i="1"/>
  <c r="E13177" i="1"/>
  <c r="F13177" i="1"/>
  <c r="G13177" i="1"/>
  <c r="H13177" i="1"/>
  <c r="A13178" i="1"/>
  <c r="B13178" i="1"/>
  <c r="C13178" i="1"/>
  <c r="D13178" i="1"/>
  <c r="E13178" i="1"/>
  <c r="F13178" i="1"/>
  <c r="G13178" i="1"/>
  <c r="H13178" i="1"/>
  <c r="A13179" i="1"/>
  <c r="B13179" i="1"/>
  <c r="C13179" i="1"/>
  <c r="D13179" i="1"/>
  <c r="E13179" i="1"/>
  <c r="F13179" i="1"/>
  <c r="G13179" i="1"/>
  <c r="H13179" i="1"/>
  <c r="A13180" i="1"/>
  <c r="B13180" i="1"/>
  <c r="C13180" i="1"/>
  <c r="D13180" i="1"/>
  <c r="E13180" i="1"/>
  <c r="F13180" i="1"/>
  <c r="G13180" i="1"/>
  <c r="H13180" i="1"/>
  <c r="A13181" i="1"/>
  <c r="B13181" i="1"/>
  <c r="C13181" i="1"/>
  <c r="D13181" i="1"/>
  <c r="E13181" i="1"/>
  <c r="F13181" i="1"/>
  <c r="G13181" i="1"/>
  <c r="H13181" i="1"/>
  <c r="A13182" i="1"/>
  <c r="B13182" i="1"/>
  <c r="C13182" i="1"/>
  <c r="D13182" i="1"/>
  <c r="E13182" i="1"/>
  <c r="F13182" i="1"/>
  <c r="G13182" i="1"/>
  <c r="H13182" i="1"/>
  <c r="A13183" i="1"/>
  <c r="B13183" i="1"/>
  <c r="C13183" i="1"/>
  <c r="D13183" i="1"/>
  <c r="E13183" i="1"/>
  <c r="F13183" i="1"/>
  <c r="G13183" i="1"/>
  <c r="H13183" i="1"/>
  <c r="A13184" i="1"/>
  <c r="B13184" i="1"/>
  <c r="C13184" i="1"/>
  <c r="D13184" i="1"/>
  <c r="E13184" i="1"/>
  <c r="F13184" i="1"/>
  <c r="G13184" i="1"/>
  <c r="H13184" i="1"/>
  <c r="A13185" i="1"/>
  <c r="B13185" i="1"/>
  <c r="C13185" i="1"/>
  <c r="D13185" i="1"/>
  <c r="E13185" i="1"/>
  <c r="F13185" i="1"/>
  <c r="G13185" i="1"/>
  <c r="H13185" i="1"/>
  <c r="A13186" i="1"/>
  <c r="B13186" i="1"/>
  <c r="C13186" i="1"/>
  <c r="D13186" i="1"/>
  <c r="E13186" i="1"/>
  <c r="F13186" i="1"/>
  <c r="G13186" i="1"/>
  <c r="H13186" i="1"/>
  <c r="A13187" i="1"/>
  <c r="B13187" i="1"/>
  <c r="C13187" i="1"/>
  <c r="D13187" i="1"/>
  <c r="E13187" i="1"/>
  <c r="F13187" i="1"/>
  <c r="G13187" i="1"/>
  <c r="H13187" i="1"/>
  <c r="A13188" i="1"/>
  <c r="B13188" i="1"/>
  <c r="C13188" i="1"/>
  <c r="D13188" i="1"/>
  <c r="E13188" i="1"/>
  <c r="F13188" i="1"/>
  <c r="G13188" i="1"/>
  <c r="H13188" i="1"/>
  <c r="A13189" i="1"/>
  <c r="B13189" i="1"/>
  <c r="C13189" i="1"/>
  <c r="D13189" i="1"/>
  <c r="E13189" i="1"/>
  <c r="F13189" i="1"/>
  <c r="G13189" i="1"/>
  <c r="H13189" i="1"/>
  <c r="A13190" i="1"/>
  <c r="B13190" i="1"/>
  <c r="C13190" i="1"/>
  <c r="D13190" i="1"/>
  <c r="E13190" i="1"/>
  <c r="F13190" i="1"/>
  <c r="G13190" i="1"/>
  <c r="H13190" i="1"/>
  <c r="A13191" i="1"/>
  <c r="B13191" i="1"/>
  <c r="C13191" i="1"/>
  <c r="D13191" i="1"/>
  <c r="E13191" i="1"/>
  <c r="F13191" i="1"/>
  <c r="G13191" i="1"/>
  <c r="H13191" i="1"/>
  <c r="A13192" i="1"/>
  <c r="B13192" i="1"/>
  <c r="C13192" i="1"/>
  <c r="D13192" i="1"/>
  <c r="E13192" i="1"/>
  <c r="F13192" i="1"/>
  <c r="G13192" i="1"/>
  <c r="H13192" i="1"/>
  <c r="A13193" i="1"/>
  <c r="B13193" i="1"/>
  <c r="C13193" i="1"/>
  <c r="D13193" i="1"/>
  <c r="E13193" i="1"/>
  <c r="F13193" i="1"/>
  <c r="G13193" i="1"/>
  <c r="H13193" i="1"/>
  <c r="A13194" i="1"/>
  <c r="B13194" i="1"/>
  <c r="C13194" i="1"/>
  <c r="D13194" i="1"/>
  <c r="E13194" i="1"/>
  <c r="F13194" i="1"/>
  <c r="G13194" i="1"/>
  <c r="H13194" i="1"/>
  <c r="A13195" i="1"/>
  <c r="B13195" i="1"/>
  <c r="C13195" i="1"/>
  <c r="D13195" i="1"/>
  <c r="E13195" i="1"/>
  <c r="F13195" i="1"/>
  <c r="G13195" i="1"/>
  <c r="H13195" i="1"/>
  <c r="A13196" i="1"/>
  <c r="B13196" i="1"/>
  <c r="C13196" i="1"/>
  <c r="D13196" i="1"/>
  <c r="E13196" i="1"/>
  <c r="F13196" i="1"/>
  <c r="G13196" i="1"/>
  <c r="H13196" i="1"/>
  <c r="A13197" i="1"/>
  <c r="B13197" i="1"/>
  <c r="C13197" i="1"/>
  <c r="D13197" i="1"/>
  <c r="E13197" i="1"/>
  <c r="F13197" i="1"/>
  <c r="G13197" i="1"/>
  <c r="H13197" i="1"/>
  <c r="A13198" i="1"/>
  <c r="B13198" i="1"/>
  <c r="C13198" i="1"/>
  <c r="D13198" i="1"/>
  <c r="E13198" i="1"/>
  <c r="F13198" i="1"/>
  <c r="G13198" i="1"/>
  <c r="H13198" i="1"/>
  <c r="A13199" i="1"/>
  <c r="B13199" i="1"/>
  <c r="C13199" i="1"/>
  <c r="D13199" i="1"/>
  <c r="E13199" i="1"/>
  <c r="F13199" i="1"/>
  <c r="G13199" i="1"/>
  <c r="H13199" i="1"/>
  <c r="A13200" i="1"/>
  <c r="B13200" i="1"/>
  <c r="C13200" i="1"/>
  <c r="D13200" i="1"/>
  <c r="E13200" i="1"/>
  <c r="F13200" i="1"/>
  <c r="G13200" i="1"/>
  <c r="H13200" i="1"/>
  <c r="A13201" i="1"/>
  <c r="B13201" i="1"/>
  <c r="C13201" i="1"/>
  <c r="D13201" i="1"/>
  <c r="E13201" i="1"/>
  <c r="F13201" i="1"/>
  <c r="G13201" i="1"/>
  <c r="H13201" i="1"/>
  <c r="A13202" i="1"/>
  <c r="B13202" i="1"/>
  <c r="C13202" i="1"/>
  <c r="D13202" i="1"/>
  <c r="E13202" i="1"/>
  <c r="F13202" i="1"/>
  <c r="G13202" i="1"/>
  <c r="H13202" i="1"/>
  <c r="A13203" i="1"/>
  <c r="B13203" i="1"/>
  <c r="C13203" i="1"/>
  <c r="D13203" i="1"/>
  <c r="E13203" i="1"/>
  <c r="F13203" i="1"/>
  <c r="G13203" i="1"/>
  <c r="H13203" i="1"/>
  <c r="A13204" i="1"/>
  <c r="B13204" i="1"/>
  <c r="C13204" i="1"/>
  <c r="D13204" i="1"/>
  <c r="E13204" i="1"/>
  <c r="F13204" i="1"/>
  <c r="G13204" i="1"/>
  <c r="H13204" i="1"/>
  <c r="A13205" i="1"/>
  <c r="B13205" i="1"/>
  <c r="C13205" i="1"/>
  <c r="D13205" i="1"/>
  <c r="E13205" i="1"/>
  <c r="F13205" i="1"/>
  <c r="G13205" i="1"/>
  <c r="H13205" i="1"/>
  <c r="A13206" i="1"/>
  <c r="B13206" i="1"/>
  <c r="C13206" i="1"/>
  <c r="D13206" i="1"/>
  <c r="E13206" i="1"/>
  <c r="F13206" i="1"/>
  <c r="G13206" i="1"/>
  <c r="H13206" i="1"/>
  <c r="A13207" i="1"/>
  <c r="B13207" i="1"/>
  <c r="C13207" i="1"/>
  <c r="D13207" i="1"/>
  <c r="E13207" i="1"/>
  <c r="F13207" i="1"/>
  <c r="G13207" i="1"/>
  <c r="H13207" i="1"/>
  <c r="A13208" i="1"/>
  <c r="B13208" i="1"/>
  <c r="C13208" i="1"/>
  <c r="D13208" i="1"/>
  <c r="E13208" i="1"/>
  <c r="F13208" i="1"/>
  <c r="G13208" i="1"/>
  <c r="H13208" i="1"/>
  <c r="A13209" i="1"/>
  <c r="B13209" i="1"/>
  <c r="C13209" i="1"/>
  <c r="D13209" i="1"/>
  <c r="E13209" i="1"/>
  <c r="F13209" i="1"/>
  <c r="G13209" i="1"/>
  <c r="H13209" i="1"/>
  <c r="A13210" i="1"/>
  <c r="B13210" i="1"/>
  <c r="C13210" i="1"/>
  <c r="D13210" i="1"/>
  <c r="E13210" i="1"/>
  <c r="F13210" i="1"/>
  <c r="G13210" i="1"/>
  <c r="H13210" i="1"/>
  <c r="A13211" i="1"/>
  <c r="B13211" i="1"/>
  <c r="C13211" i="1"/>
  <c r="D13211" i="1"/>
  <c r="E13211" i="1"/>
  <c r="F13211" i="1"/>
  <c r="G13211" i="1"/>
  <c r="H13211" i="1"/>
  <c r="A13212" i="1"/>
  <c r="B13212" i="1"/>
  <c r="C13212" i="1"/>
  <c r="D13212" i="1"/>
  <c r="E13212" i="1"/>
  <c r="F13212" i="1"/>
  <c r="G13212" i="1"/>
  <c r="H13212" i="1"/>
  <c r="A13213" i="1"/>
  <c r="B13213" i="1"/>
  <c r="C13213" i="1"/>
  <c r="D13213" i="1"/>
  <c r="E13213" i="1"/>
  <c r="F13213" i="1"/>
  <c r="G13213" i="1"/>
  <c r="H13213" i="1"/>
  <c r="A13214" i="1"/>
  <c r="B13214" i="1"/>
  <c r="C13214" i="1"/>
  <c r="D13214" i="1"/>
  <c r="E13214" i="1"/>
  <c r="F13214" i="1"/>
  <c r="G13214" i="1"/>
  <c r="H13214" i="1"/>
  <c r="A13215" i="1"/>
  <c r="B13215" i="1"/>
  <c r="C13215" i="1"/>
  <c r="D13215" i="1"/>
  <c r="E13215" i="1"/>
  <c r="F13215" i="1"/>
  <c r="G13215" i="1"/>
  <c r="H13215" i="1"/>
  <c r="A13216" i="1"/>
  <c r="B13216" i="1"/>
  <c r="C13216" i="1"/>
  <c r="D13216" i="1"/>
  <c r="E13216" i="1"/>
  <c r="F13216" i="1"/>
  <c r="G13216" i="1"/>
  <c r="H13216" i="1"/>
  <c r="A13217" i="1"/>
  <c r="B13217" i="1"/>
  <c r="C13217" i="1"/>
  <c r="D13217" i="1"/>
  <c r="E13217" i="1"/>
  <c r="F13217" i="1"/>
  <c r="G13217" i="1"/>
  <c r="H13217" i="1"/>
  <c r="A13218" i="1"/>
  <c r="B13218" i="1"/>
  <c r="C13218" i="1"/>
  <c r="D13218" i="1"/>
  <c r="E13218" i="1"/>
  <c r="F13218" i="1"/>
  <c r="G13218" i="1"/>
  <c r="H13218" i="1"/>
  <c r="A13219" i="1"/>
  <c r="B13219" i="1"/>
  <c r="C13219" i="1"/>
  <c r="D13219" i="1"/>
  <c r="E13219" i="1"/>
  <c r="F13219" i="1"/>
  <c r="G13219" i="1"/>
  <c r="H13219" i="1"/>
  <c r="A13220" i="1"/>
  <c r="B13220" i="1"/>
  <c r="C13220" i="1"/>
  <c r="D13220" i="1"/>
  <c r="E13220" i="1"/>
  <c r="F13220" i="1"/>
  <c r="G13220" i="1"/>
  <c r="H13220" i="1"/>
  <c r="A13221" i="1"/>
  <c r="B13221" i="1"/>
  <c r="C13221" i="1"/>
  <c r="D13221" i="1"/>
  <c r="E13221" i="1"/>
  <c r="F13221" i="1"/>
  <c r="G13221" i="1"/>
  <c r="H13221" i="1"/>
  <c r="A13222" i="1"/>
  <c r="B13222" i="1"/>
  <c r="C13222" i="1"/>
  <c r="D13222" i="1"/>
  <c r="E13222" i="1"/>
  <c r="F13222" i="1"/>
  <c r="G13222" i="1"/>
  <c r="H13222" i="1"/>
  <c r="A13223" i="1"/>
  <c r="B13223" i="1"/>
  <c r="C13223" i="1"/>
  <c r="D13223" i="1"/>
  <c r="E13223" i="1"/>
  <c r="F13223" i="1"/>
  <c r="G13223" i="1"/>
  <c r="H13223" i="1"/>
  <c r="A13224" i="1"/>
  <c r="B13224" i="1"/>
  <c r="C13224" i="1"/>
  <c r="D13224" i="1"/>
  <c r="E13224" i="1"/>
  <c r="F13224" i="1"/>
  <c r="G13224" i="1"/>
  <c r="H13224" i="1"/>
  <c r="A13225" i="1"/>
  <c r="B13225" i="1"/>
  <c r="C13225" i="1"/>
  <c r="D13225" i="1"/>
  <c r="E13225" i="1"/>
  <c r="F13225" i="1"/>
  <c r="G13225" i="1"/>
  <c r="H13225" i="1"/>
  <c r="A13226" i="1"/>
  <c r="B13226" i="1"/>
  <c r="C13226" i="1"/>
  <c r="D13226" i="1"/>
  <c r="E13226" i="1"/>
  <c r="F13226" i="1"/>
  <c r="G13226" i="1"/>
  <c r="H13226" i="1"/>
  <c r="A13227" i="1"/>
  <c r="B13227" i="1"/>
  <c r="C13227" i="1"/>
  <c r="D13227" i="1"/>
  <c r="E13227" i="1"/>
  <c r="F13227" i="1"/>
  <c r="G13227" i="1"/>
  <c r="H13227" i="1"/>
  <c r="A13228" i="1"/>
  <c r="B13228" i="1"/>
  <c r="C13228" i="1"/>
  <c r="D13228" i="1"/>
  <c r="E13228" i="1"/>
  <c r="F13228" i="1"/>
  <c r="G13228" i="1"/>
  <c r="H13228" i="1"/>
  <c r="A13229" i="1"/>
  <c r="B13229" i="1"/>
  <c r="C13229" i="1"/>
  <c r="D13229" i="1"/>
  <c r="E13229" i="1"/>
  <c r="F13229" i="1"/>
  <c r="G13229" i="1"/>
  <c r="H13229" i="1"/>
  <c r="A13230" i="1"/>
  <c r="B13230" i="1"/>
  <c r="C13230" i="1"/>
  <c r="D13230" i="1"/>
  <c r="E13230" i="1"/>
  <c r="F13230" i="1"/>
  <c r="G13230" i="1"/>
  <c r="H13230" i="1"/>
  <c r="A13231" i="1"/>
  <c r="B13231" i="1"/>
  <c r="C13231" i="1"/>
  <c r="D13231" i="1"/>
  <c r="E13231" i="1"/>
  <c r="F13231" i="1"/>
  <c r="G13231" i="1"/>
  <c r="H13231" i="1"/>
  <c r="A13232" i="1"/>
  <c r="B13232" i="1"/>
  <c r="C13232" i="1"/>
  <c r="D13232" i="1"/>
  <c r="E13232" i="1"/>
  <c r="F13232" i="1"/>
  <c r="G13232" i="1"/>
  <c r="H13232" i="1"/>
  <c r="A13233" i="1"/>
  <c r="B13233" i="1"/>
  <c r="C13233" i="1"/>
  <c r="D13233" i="1"/>
  <c r="E13233" i="1"/>
  <c r="F13233" i="1"/>
  <c r="G13233" i="1"/>
  <c r="H13233" i="1"/>
  <c r="A13234" i="1"/>
  <c r="B13234" i="1"/>
  <c r="C13234" i="1"/>
  <c r="D13234" i="1"/>
  <c r="E13234" i="1"/>
  <c r="F13234" i="1"/>
  <c r="G13234" i="1"/>
  <c r="H13234" i="1"/>
  <c r="A13235" i="1"/>
  <c r="B13235" i="1"/>
  <c r="C13235" i="1"/>
  <c r="D13235" i="1"/>
  <c r="E13235" i="1"/>
  <c r="F13235" i="1"/>
  <c r="G13235" i="1"/>
  <c r="H13235" i="1"/>
  <c r="A13236" i="1"/>
  <c r="B13236" i="1"/>
  <c r="C13236" i="1"/>
  <c r="D13236" i="1"/>
  <c r="E13236" i="1"/>
  <c r="F13236" i="1"/>
  <c r="G13236" i="1"/>
  <c r="H13236" i="1"/>
  <c r="A13237" i="1"/>
  <c r="B13237" i="1"/>
  <c r="C13237" i="1"/>
  <c r="D13237" i="1"/>
  <c r="E13237" i="1"/>
  <c r="F13237" i="1"/>
  <c r="G13237" i="1"/>
  <c r="H13237" i="1"/>
  <c r="A13238" i="1"/>
  <c r="B13238" i="1"/>
  <c r="C13238" i="1"/>
  <c r="D13238" i="1"/>
  <c r="E13238" i="1"/>
  <c r="F13238" i="1"/>
  <c r="G13238" i="1"/>
  <c r="H13238" i="1"/>
  <c r="A13239" i="1"/>
  <c r="B13239" i="1"/>
  <c r="C13239" i="1"/>
  <c r="D13239" i="1"/>
  <c r="E13239" i="1"/>
  <c r="F13239" i="1"/>
  <c r="G13239" i="1"/>
  <c r="H13239" i="1"/>
  <c r="A13240" i="1"/>
  <c r="B13240" i="1"/>
  <c r="C13240" i="1"/>
  <c r="D13240" i="1"/>
  <c r="E13240" i="1"/>
  <c r="F13240" i="1"/>
  <c r="G13240" i="1"/>
  <c r="H13240" i="1"/>
  <c r="A13241" i="1"/>
  <c r="B13241" i="1"/>
  <c r="C13241" i="1"/>
  <c r="D13241" i="1"/>
  <c r="E13241" i="1"/>
  <c r="F13241" i="1"/>
  <c r="G13241" i="1"/>
  <c r="H13241" i="1"/>
  <c r="A13242" i="1"/>
  <c r="B13242" i="1"/>
  <c r="C13242" i="1"/>
  <c r="D13242" i="1"/>
  <c r="E13242" i="1"/>
  <c r="F13242" i="1"/>
  <c r="G13242" i="1"/>
  <c r="H13242" i="1"/>
  <c r="A13243" i="1"/>
  <c r="B13243" i="1"/>
  <c r="C13243" i="1"/>
  <c r="D13243" i="1"/>
  <c r="E13243" i="1"/>
  <c r="F13243" i="1"/>
  <c r="G13243" i="1"/>
  <c r="H13243" i="1"/>
  <c r="A13244" i="1"/>
  <c r="B13244" i="1"/>
  <c r="C13244" i="1"/>
  <c r="D13244" i="1"/>
  <c r="E13244" i="1"/>
  <c r="F13244" i="1"/>
  <c r="G13244" i="1"/>
  <c r="H13244" i="1"/>
  <c r="A13245" i="1"/>
  <c r="B13245" i="1"/>
  <c r="C13245" i="1"/>
  <c r="D13245" i="1"/>
  <c r="E13245" i="1"/>
  <c r="F13245" i="1"/>
  <c r="G13245" i="1"/>
  <c r="H13245" i="1"/>
  <c r="A13246" i="1"/>
  <c r="B13246" i="1"/>
  <c r="C13246" i="1"/>
  <c r="D13246" i="1"/>
  <c r="E13246" i="1"/>
  <c r="F13246" i="1"/>
  <c r="G13246" i="1"/>
  <c r="H13246" i="1"/>
  <c r="A13247" i="1"/>
  <c r="B13247" i="1"/>
  <c r="C13247" i="1"/>
  <c r="D13247" i="1"/>
  <c r="E13247" i="1"/>
  <c r="F13247" i="1"/>
  <c r="G13247" i="1"/>
  <c r="H13247" i="1"/>
  <c r="A13248" i="1"/>
  <c r="B13248" i="1"/>
  <c r="C13248" i="1"/>
  <c r="D13248" i="1"/>
  <c r="E13248" i="1"/>
  <c r="F13248" i="1"/>
  <c r="G13248" i="1"/>
  <c r="H13248" i="1"/>
  <c r="A13249" i="1"/>
  <c r="B13249" i="1"/>
  <c r="C13249" i="1"/>
  <c r="D13249" i="1"/>
  <c r="E13249" i="1"/>
  <c r="F13249" i="1"/>
  <c r="G13249" i="1"/>
  <c r="H13249" i="1"/>
  <c r="A13250" i="1"/>
  <c r="B13250" i="1"/>
  <c r="C13250" i="1"/>
  <c r="D13250" i="1"/>
  <c r="E13250" i="1"/>
  <c r="F13250" i="1"/>
  <c r="G13250" i="1"/>
  <c r="H13250" i="1"/>
  <c r="A13251" i="1"/>
  <c r="B13251" i="1"/>
  <c r="C13251" i="1"/>
  <c r="D13251" i="1"/>
  <c r="E13251" i="1"/>
  <c r="F13251" i="1"/>
  <c r="G13251" i="1"/>
  <c r="H13251" i="1"/>
  <c r="A13252" i="1"/>
  <c r="B13252" i="1"/>
  <c r="C13252" i="1"/>
  <c r="D13252" i="1"/>
  <c r="E13252" i="1"/>
  <c r="F13252" i="1"/>
  <c r="G13252" i="1"/>
  <c r="H13252" i="1"/>
  <c r="A13253" i="1"/>
  <c r="B13253" i="1"/>
  <c r="C13253" i="1"/>
  <c r="D13253" i="1"/>
  <c r="E13253" i="1"/>
  <c r="F13253" i="1"/>
  <c r="G13253" i="1"/>
  <c r="H13253" i="1"/>
  <c r="A13254" i="1"/>
  <c r="B13254" i="1"/>
  <c r="C13254" i="1"/>
  <c r="D13254" i="1"/>
  <c r="E13254" i="1"/>
  <c r="F13254" i="1"/>
  <c r="G13254" i="1"/>
  <c r="H13254" i="1"/>
  <c r="A13255" i="1"/>
  <c r="B13255" i="1"/>
  <c r="C13255" i="1"/>
  <c r="D13255" i="1"/>
  <c r="E13255" i="1"/>
  <c r="F13255" i="1"/>
  <c r="G13255" i="1"/>
  <c r="H13255" i="1"/>
  <c r="A13256" i="1"/>
  <c r="B13256" i="1"/>
  <c r="C13256" i="1"/>
  <c r="D13256" i="1"/>
  <c r="E13256" i="1"/>
  <c r="F13256" i="1"/>
  <c r="G13256" i="1"/>
  <c r="H13256" i="1"/>
  <c r="A13257" i="1"/>
  <c r="B13257" i="1"/>
  <c r="C13257" i="1"/>
  <c r="D13257" i="1"/>
  <c r="E13257" i="1"/>
  <c r="F13257" i="1"/>
  <c r="G13257" i="1"/>
  <c r="H13257" i="1"/>
  <c r="A13258" i="1"/>
  <c r="B13258" i="1"/>
  <c r="C13258" i="1"/>
  <c r="D13258" i="1"/>
  <c r="E13258" i="1"/>
  <c r="F13258" i="1"/>
  <c r="G13258" i="1"/>
  <c r="H13258" i="1"/>
  <c r="A13259" i="1"/>
  <c r="B13259" i="1"/>
  <c r="C13259" i="1"/>
  <c r="D13259" i="1"/>
  <c r="E13259" i="1"/>
  <c r="F13259" i="1"/>
  <c r="G13259" i="1"/>
  <c r="H13259" i="1"/>
  <c r="A13260" i="1"/>
  <c r="B13260" i="1"/>
  <c r="C13260" i="1"/>
  <c r="D13260" i="1"/>
  <c r="E13260" i="1"/>
  <c r="F13260" i="1"/>
  <c r="G13260" i="1"/>
  <c r="H13260" i="1"/>
  <c r="A13261" i="1"/>
  <c r="B13261" i="1"/>
  <c r="C13261" i="1"/>
  <c r="D13261" i="1"/>
  <c r="E13261" i="1"/>
  <c r="F13261" i="1"/>
  <c r="G13261" i="1"/>
  <c r="H13261" i="1"/>
  <c r="A13262" i="1"/>
  <c r="B13262" i="1"/>
  <c r="C13262" i="1"/>
  <c r="D13262" i="1"/>
  <c r="E13262" i="1"/>
  <c r="F13262" i="1"/>
  <c r="G13262" i="1"/>
  <c r="H13262" i="1"/>
  <c r="A13263" i="1"/>
  <c r="B13263" i="1"/>
  <c r="C13263" i="1"/>
  <c r="D13263" i="1"/>
  <c r="E13263" i="1"/>
  <c r="F13263" i="1"/>
  <c r="G13263" i="1"/>
  <c r="H13263" i="1"/>
  <c r="A13264" i="1"/>
  <c r="B13264" i="1"/>
  <c r="C13264" i="1"/>
  <c r="D13264" i="1"/>
  <c r="E13264" i="1"/>
  <c r="F13264" i="1"/>
  <c r="G13264" i="1"/>
  <c r="H13264" i="1"/>
  <c r="A13265" i="1"/>
  <c r="B13265" i="1"/>
  <c r="C13265" i="1"/>
  <c r="D13265" i="1"/>
  <c r="E13265" i="1"/>
  <c r="F13265" i="1"/>
  <c r="G13265" i="1"/>
  <c r="H13265" i="1"/>
  <c r="A13266" i="1"/>
  <c r="B13266" i="1"/>
  <c r="C13266" i="1"/>
  <c r="D13266" i="1"/>
  <c r="E13266" i="1"/>
  <c r="F13266" i="1"/>
  <c r="G13266" i="1"/>
  <c r="H13266" i="1"/>
  <c r="A13267" i="1"/>
  <c r="B13267" i="1"/>
  <c r="C13267" i="1"/>
  <c r="D13267" i="1"/>
  <c r="E13267" i="1"/>
  <c r="F13267" i="1"/>
  <c r="G13267" i="1"/>
  <c r="H13267" i="1"/>
  <c r="A13268" i="1"/>
  <c r="B13268" i="1"/>
  <c r="C13268" i="1"/>
  <c r="D13268" i="1"/>
  <c r="E13268" i="1"/>
  <c r="F13268" i="1"/>
  <c r="G13268" i="1"/>
  <c r="H13268" i="1"/>
  <c r="A13269" i="1"/>
  <c r="B13269" i="1"/>
  <c r="C13269" i="1"/>
  <c r="D13269" i="1"/>
  <c r="E13269" i="1"/>
  <c r="F13269" i="1"/>
  <c r="G13269" i="1"/>
  <c r="H13269" i="1"/>
  <c r="A13270" i="1"/>
  <c r="B13270" i="1"/>
  <c r="C13270" i="1"/>
  <c r="D13270" i="1"/>
  <c r="E13270" i="1"/>
  <c r="F13270" i="1"/>
  <c r="G13270" i="1"/>
  <c r="H13270" i="1"/>
  <c r="A13271" i="1"/>
  <c r="B13271" i="1"/>
  <c r="C13271" i="1"/>
  <c r="D13271" i="1"/>
  <c r="E13271" i="1"/>
  <c r="F13271" i="1"/>
  <c r="G13271" i="1"/>
  <c r="H13271" i="1"/>
  <c r="A13272" i="1"/>
  <c r="B13272" i="1"/>
  <c r="C13272" i="1"/>
  <c r="D13272" i="1"/>
  <c r="E13272" i="1"/>
  <c r="F13272" i="1"/>
  <c r="G13272" i="1"/>
  <c r="H13272" i="1"/>
  <c r="A13273" i="1"/>
  <c r="B13273" i="1"/>
  <c r="C13273" i="1"/>
  <c r="D13273" i="1"/>
  <c r="E13273" i="1"/>
  <c r="F13273" i="1"/>
  <c r="G13273" i="1"/>
  <c r="H13273" i="1"/>
  <c r="A13274" i="1"/>
  <c r="B13274" i="1"/>
  <c r="C13274" i="1"/>
  <c r="D13274" i="1"/>
  <c r="E13274" i="1"/>
  <c r="F13274" i="1"/>
  <c r="G13274" i="1"/>
  <c r="H13274" i="1"/>
  <c r="A13275" i="1"/>
  <c r="B13275" i="1"/>
  <c r="C13275" i="1"/>
  <c r="D13275" i="1"/>
  <c r="E13275" i="1"/>
  <c r="F13275" i="1"/>
  <c r="G13275" i="1"/>
  <c r="H13275" i="1"/>
  <c r="A13276" i="1"/>
  <c r="B13276" i="1"/>
  <c r="C13276" i="1"/>
  <c r="D13276" i="1"/>
  <c r="E13276" i="1"/>
  <c r="F13276" i="1"/>
  <c r="G13276" i="1"/>
  <c r="H13276" i="1"/>
  <c r="A13277" i="1"/>
  <c r="B13277" i="1"/>
  <c r="C13277" i="1"/>
  <c r="D13277" i="1"/>
  <c r="E13277" i="1"/>
  <c r="F13277" i="1"/>
  <c r="G13277" i="1"/>
  <c r="H13277" i="1"/>
  <c r="A13278" i="1"/>
  <c r="B13278" i="1"/>
  <c r="C13278" i="1"/>
  <c r="D13278" i="1"/>
  <c r="E13278" i="1"/>
  <c r="F13278" i="1"/>
  <c r="G13278" i="1"/>
  <c r="H13278" i="1"/>
  <c r="A13279" i="1"/>
  <c r="B13279" i="1"/>
  <c r="C13279" i="1"/>
  <c r="D13279" i="1"/>
  <c r="E13279" i="1"/>
  <c r="F13279" i="1"/>
  <c r="G13279" i="1"/>
  <c r="H13279" i="1"/>
  <c r="A13280" i="1"/>
  <c r="B13280" i="1"/>
  <c r="C13280" i="1"/>
  <c r="D13280" i="1"/>
  <c r="E13280" i="1"/>
  <c r="F13280" i="1"/>
  <c r="G13280" i="1"/>
  <c r="H13280" i="1"/>
  <c r="A13281" i="1"/>
  <c r="B13281" i="1"/>
  <c r="C13281" i="1"/>
  <c r="D13281" i="1"/>
  <c r="E13281" i="1"/>
  <c r="F13281" i="1"/>
  <c r="G13281" i="1"/>
  <c r="H13281" i="1"/>
  <c r="A13282" i="1"/>
  <c r="B13282" i="1"/>
  <c r="C13282" i="1"/>
  <c r="D13282" i="1"/>
  <c r="E13282" i="1"/>
  <c r="F13282" i="1"/>
  <c r="G13282" i="1"/>
  <c r="H13282" i="1"/>
  <c r="A13283" i="1"/>
  <c r="B13283" i="1"/>
  <c r="C13283" i="1"/>
  <c r="D13283" i="1"/>
  <c r="E13283" i="1"/>
  <c r="F13283" i="1"/>
  <c r="G13283" i="1"/>
  <c r="H13283" i="1"/>
  <c r="A13284" i="1"/>
  <c r="B13284" i="1"/>
  <c r="C13284" i="1"/>
  <c r="D13284" i="1"/>
  <c r="E13284" i="1"/>
  <c r="F13284" i="1"/>
  <c r="G13284" i="1"/>
  <c r="H13284" i="1"/>
  <c r="A13285" i="1"/>
  <c r="B13285" i="1"/>
  <c r="C13285" i="1"/>
  <c r="D13285" i="1"/>
  <c r="E13285" i="1"/>
  <c r="F13285" i="1"/>
  <c r="G13285" i="1"/>
  <c r="H13285" i="1"/>
  <c r="A13286" i="1"/>
  <c r="B13286" i="1"/>
  <c r="C13286" i="1"/>
  <c r="D13286" i="1"/>
  <c r="E13286" i="1"/>
  <c r="F13286" i="1"/>
  <c r="G13286" i="1"/>
  <c r="H13286" i="1"/>
  <c r="A13287" i="1"/>
  <c r="B13287" i="1"/>
  <c r="C13287" i="1"/>
  <c r="D13287" i="1"/>
  <c r="E13287" i="1"/>
  <c r="F13287" i="1"/>
  <c r="G13287" i="1"/>
  <c r="H13287" i="1"/>
  <c r="A13288" i="1"/>
  <c r="B13288" i="1"/>
  <c r="C13288" i="1"/>
  <c r="D13288" i="1"/>
  <c r="E13288" i="1"/>
  <c r="F13288" i="1"/>
  <c r="G13288" i="1"/>
  <c r="H13288" i="1"/>
  <c r="A13289" i="1"/>
  <c r="B13289" i="1"/>
  <c r="C13289" i="1"/>
  <c r="D13289" i="1"/>
  <c r="E13289" i="1"/>
  <c r="F13289" i="1"/>
  <c r="G13289" i="1"/>
  <c r="H13289" i="1"/>
  <c r="A13290" i="1"/>
  <c r="B13290" i="1"/>
  <c r="C13290" i="1"/>
  <c r="D13290" i="1"/>
  <c r="E13290" i="1"/>
  <c r="F13290" i="1"/>
  <c r="G13290" i="1"/>
  <c r="H13290" i="1"/>
  <c r="A13291" i="1"/>
  <c r="B13291" i="1"/>
  <c r="C13291" i="1"/>
  <c r="D13291" i="1"/>
  <c r="E13291" i="1"/>
  <c r="F13291" i="1"/>
  <c r="G13291" i="1"/>
  <c r="H13291" i="1"/>
  <c r="A13292" i="1"/>
  <c r="B13292" i="1"/>
  <c r="C13292" i="1"/>
  <c r="D13292" i="1"/>
  <c r="E13292" i="1"/>
  <c r="F13292" i="1"/>
  <c r="G13292" i="1"/>
  <c r="H13292" i="1"/>
  <c r="A13293" i="1"/>
  <c r="B13293" i="1"/>
  <c r="C13293" i="1"/>
  <c r="D13293" i="1"/>
  <c r="E13293" i="1"/>
  <c r="F13293" i="1"/>
  <c r="G13293" i="1"/>
  <c r="H13293" i="1"/>
  <c r="A13294" i="1"/>
  <c r="B13294" i="1"/>
  <c r="C13294" i="1"/>
  <c r="D13294" i="1"/>
  <c r="E13294" i="1"/>
  <c r="F13294" i="1"/>
  <c r="G13294" i="1"/>
  <c r="H13294" i="1"/>
  <c r="A13295" i="1"/>
  <c r="B13295" i="1"/>
  <c r="C13295" i="1"/>
  <c r="D13295" i="1"/>
  <c r="E13295" i="1"/>
  <c r="F13295" i="1"/>
  <c r="G13295" i="1"/>
  <c r="H13295" i="1"/>
  <c r="A13296" i="1"/>
  <c r="B13296" i="1"/>
  <c r="C13296" i="1"/>
  <c r="D13296" i="1"/>
  <c r="E13296" i="1"/>
  <c r="F13296" i="1"/>
  <c r="G13296" i="1"/>
  <c r="H13296" i="1"/>
  <c r="A13297" i="1"/>
  <c r="B13297" i="1"/>
  <c r="C13297" i="1"/>
  <c r="D13297" i="1"/>
  <c r="E13297" i="1"/>
  <c r="F13297" i="1"/>
  <c r="G13297" i="1"/>
  <c r="H13297" i="1"/>
  <c r="A13298" i="1"/>
  <c r="B13298" i="1"/>
  <c r="C13298" i="1"/>
  <c r="D13298" i="1"/>
  <c r="E13298" i="1"/>
  <c r="F13298" i="1"/>
  <c r="G13298" i="1"/>
  <c r="H13298" i="1"/>
  <c r="A13299" i="1"/>
  <c r="B13299" i="1"/>
  <c r="C13299" i="1"/>
  <c r="D13299" i="1"/>
  <c r="E13299" i="1"/>
  <c r="F13299" i="1"/>
  <c r="G13299" i="1"/>
  <c r="H13299" i="1"/>
  <c r="A13300" i="1"/>
  <c r="B13300" i="1"/>
  <c r="C13300" i="1"/>
  <c r="D13300" i="1"/>
  <c r="E13300" i="1"/>
  <c r="F13300" i="1"/>
  <c r="G13300" i="1"/>
  <c r="H13300" i="1"/>
  <c r="A13301" i="1"/>
  <c r="B13301" i="1"/>
  <c r="C13301" i="1"/>
  <c r="D13301" i="1"/>
  <c r="E13301" i="1"/>
  <c r="F13301" i="1"/>
  <c r="G13301" i="1"/>
  <c r="H13301" i="1"/>
  <c r="A13302" i="1"/>
  <c r="B13302" i="1"/>
  <c r="C13302" i="1"/>
  <c r="D13302" i="1"/>
  <c r="E13302" i="1"/>
  <c r="F13302" i="1"/>
  <c r="G13302" i="1"/>
  <c r="H13302" i="1"/>
  <c r="A13303" i="1"/>
  <c r="B13303" i="1"/>
  <c r="C13303" i="1"/>
  <c r="D13303" i="1"/>
  <c r="E13303" i="1"/>
  <c r="F13303" i="1"/>
  <c r="G13303" i="1"/>
  <c r="H13303" i="1"/>
  <c r="A13304" i="1"/>
  <c r="B13304" i="1"/>
  <c r="C13304" i="1"/>
  <c r="D13304" i="1"/>
  <c r="E13304" i="1"/>
  <c r="F13304" i="1"/>
  <c r="G13304" i="1"/>
  <c r="H13304" i="1"/>
  <c r="A13305" i="1"/>
  <c r="B13305" i="1"/>
  <c r="C13305" i="1"/>
  <c r="D13305" i="1"/>
  <c r="E13305" i="1"/>
  <c r="F13305" i="1"/>
  <c r="G13305" i="1"/>
  <c r="H13305" i="1"/>
  <c r="A13306" i="1"/>
  <c r="B13306" i="1"/>
  <c r="C13306" i="1"/>
  <c r="D13306" i="1"/>
  <c r="E13306" i="1"/>
  <c r="F13306" i="1"/>
  <c r="G13306" i="1"/>
  <c r="H13306" i="1"/>
  <c r="A13307" i="1"/>
  <c r="B13307" i="1"/>
  <c r="C13307" i="1"/>
  <c r="D13307" i="1"/>
  <c r="E13307" i="1"/>
  <c r="F13307" i="1"/>
  <c r="G13307" i="1"/>
  <c r="H13307" i="1"/>
  <c r="A13308" i="1"/>
  <c r="B13308" i="1"/>
  <c r="C13308" i="1"/>
  <c r="D13308" i="1"/>
  <c r="E13308" i="1"/>
  <c r="F13308" i="1"/>
  <c r="G13308" i="1"/>
  <c r="H13308" i="1"/>
  <c r="A13309" i="1"/>
  <c r="B13309" i="1"/>
  <c r="C13309" i="1"/>
  <c r="D13309" i="1"/>
  <c r="E13309" i="1"/>
  <c r="F13309" i="1"/>
  <c r="G13309" i="1"/>
  <c r="H13309" i="1"/>
  <c r="A13310" i="1"/>
  <c r="B13310" i="1"/>
  <c r="C13310" i="1"/>
  <c r="D13310" i="1"/>
  <c r="E13310" i="1"/>
  <c r="F13310" i="1"/>
  <c r="G13310" i="1"/>
  <c r="H13310" i="1"/>
  <c r="A13311" i="1"/>
  <c r="B13311" i="1"/>
  <c r="C13311" i="1"/>
  <c r="D13311" i="1"/>
  <c r="E13311" i="1"/>
  <c r="F13311" i="1"/>
  <c r="G13311" i="1"/>
  <c r="H13311" i="1"/>
  <c r="A13312" i="1"/>
  <c r="B13312" i="1"/>
  <c r="C13312" i="1"/>
  <c r="D13312" i="1"/>
  <c r="E13312" i="1"/>
  <c r="F13312" i="1"/>
  <c r="G13312" i="1"/>
  <c r="H13312" i="1"/>
  <c r="A13313" i="1"/>
  <c r="B13313" i="1"/>
  <c r="C13313" i="1"/>
  <c r="D13313" i="1"/>
  <c r="E13313" i="1"/>
  <c r="F13313" i="1"/>
  <c r="G13313" i="1"/>
  <c r="H13313" i="1"/>
  <c r="A13314" i="1"/>
  <c r="B13314" i="1"/>
  <c r="C13314" i="1"/>
  <c r="D13314" i="1"/>
  <c r="E13314" i="1"/>
  <c r="F13314" i="1"/>
  <c r="G13314" i="1"/>
  <c r="H13314" i="1"/>
  <c r="A13315" i="1"/>
  <c r="B13315" i="1"/>
  <c r="C13315" i="1"/>
  <c r="D13315" i="1"/>
  <c r="E13315" i="1"/>
  <c r="F13315" i="1"/>
  <c r="G13315" i="1"/>
  <c r="H13315" i="1"/>
  <c r="A13316" i="1"/>
  <c r="B13316" i="1"/>
  <c r="C13316" i="1"/>
  <c r="D13316" i="1"/>
  <c r="E13316" i="1"/>
  <c r="F13316" i="1"/>
  <c r="G13316" i="1"/>
  <c r="H13316" i="1"/>
  <c r="A13317" i="1"/>
  <c r="B13317" i="1"/>
  <c r="C13317" i="1"/>
  <c r="D13317" i="1"/>
  <c r="E13317" i="1"/>
  <c r="F13317" i="1"/>
  <c r="G13317" i="1"/>
  <c r="H13317" i="1"/>
  <c r="A13318" i="1"/>
  <c r="B13318" i="1"/>
  <c r="C13318" i="1"/>
  <c r="D13318" i="1"/>
  <c r="E13318" i="1"/>
  <c r="F13318" i="1"/>
  <c r="G13318" i="1"/>
  <c r="H13318" i="1"/>
  <c r="A13319" i="1"/>
  <c r="B13319" i="1"/>
  <c r="C13319" i="1"/>
  <c r="D13319" i="1"/>
  <c r="E13319" i="1"/>
  <c r="F13319" i="1"/>
  <c r="G13319" i="1"/>
  <c r="H13319" i="1"/>
  <c r="A13320" i="1"/>
  <c r="B13320" i="1"/>
  <c r="C13320" i="1"/>
  <c r="D13320" i="1"/>
  <c r="E13320" i="1"/>
  <c r="F13320" i="1"/>
  <c r="G13320" i="1"/>
  <c r="H13320" i="1"/>
  <c r="A13321" i="1"/>
  <c r="B13321" i="1"/>
  <c r="C13321" i="1"/>
  <c r="D13321" i="1"/>
  <c r="E13321" i="1"/>
  <c r="F13321" i="1"/>
  <c r="G13321" i="1"/>
  <c r="H13321" i="1"/>
  <c r="A13322" i="1"/>
  <c r="B13322" i="1"/>
  <c r="C13322" i="1"/>
  <c r="D13322" i="1"/>
  <c r="E13322" i="1"/>
  <c r="F13322" i="1"/>
  <c r="G13322" i="1"/>
  <c r="H13322" i="1"/>
  <c r="A13323" i="1"/>
  <c r="B13323" i="1"/>
  <c r="C13323" i="1"/>
  <c r="D13323" i="1"/>
  <c r="E13323" i="1"/>
  <c r="F13323" i="1"/>
  <c r="G13323" i="1"/>
  <c r="H13323" i="1"/>
  <c r="A13324" i="1"/>
  <c r="B13324" i="1"/>
  <c r="C13324" i="1"/>
  <c r="D13324" i="1"/>
  <c r="E13324" i="1"/>
  <c r="F13324" i="1"/>
  <c r="G13324" i="1"/>
  <c r="H13324" i="1"/>
  <c r="A13325" i="1"/>
  <c r="B13325" i="1"/>
  <c r="C13325" i="1"/>
  <c r="D13325" i="1"/>
  <c r="E13325" i="1"/>
  <c r="F13325" i="1"/>
  <c r="G13325" i="1"/>
  <c r="H13325" i="1"/>
  <c r="A13326" i="1"/>
  <c r="B13326" i="1"/>
  <c r="C13326" i="1"/>
  <c r="D13326" i="1"/>
  <c r="E13326" i="1"/>
  <c r="F13326" i="1"/>
  <c r="G13326" i="1"/>
  <c r="H13326" i="1"/>
  <c r="A13327" i="1"/>
  <c r="B13327" i="1"/>
  <c r="C13327" i="1"/>
  <c r="D13327" i="1"/>
  <c r="E13327" i="1"/>
  <c r="F13327" i="1"/>
  <c r="G13327" i="1"/>
  <c r="H13327" i="1"/>
  <c r="A13328" i="1"/>
  <c r="B13328" i="1"/>
  <c r="C13328" i="1"/>
  <c r="D13328" i="1"/>
  <c r="E13328" i="1"/>
  <c r="F13328" i="1"/>
  <c r="G13328" i="1"/>
  <c r="H13328" i="1"/>
  <c r="A13329" i="1"/>
  <c r="B13329" i="1"/>
  <c r="C13329" i="1"/>
  <c r="D13329" i="1"/>
  <c r="E13329" i="1"/>
  <c r="F13329" i="1"/>
  <c r="G13329" i="1"/>
  <c r="H13329" i="1"/>
  <c r="A13330" i="1"/>
  <c r="B13330" i="1"/>
  <c r="C13330" i="1"/>
  <c r="D13330" i="1"/>
  <c r="E13330" i="1"/>
  <c r="F13330" i="1"/>
  <c r="G13330" i="1"/>
  <c r="H13330" i="1"/>
  <c r="A13331" i="1"/>
  <c r="B13331" i="1"/>
  <c r="C13331" i="1"/>
  <c r="D13331" i="1"/>
  <c r="E13331" i="1"/>
  <c r="F13331" i="1"/>
  <c r="G13331" i="1"/>
  <c r="H13331" i="1"/>
  <c r="A13332" i="1"/>
  <c r="B13332" i="1"/>
  <c r="C13332" i="1"/>
  <c r="D13332" i="1"/>
  <c r="E13332" i="1"/>
  <c r="F13332" i="1"/>
  <c r="G13332" i="1"/>
  <c r="H13332" i="1"/>
  <c r="A13333" i="1"/>
  <c r="B13333" i="1"/>
  <c r="C13333" i="1"/>
  <c r="D13333" i="1"/>
  <c r="E13333" i="1"/>
  <c r="F13333" i="1"/>
  <c r="G13333" i="1"/>
  <c r="H13333" i="1"/>
  <c r="A13334" i="1"/>
  <c r="B13334" i="1"/>
  <c r="C13334" i="1"/>
  <c r="D13334" i="1"/>
  <c r="E13334" i="1"/>
  <c r="F13334" i="1"/>
  <c r="G13334" i="1"/>
  <c r="H13334" i="1"/>
  <c r="A13335" i="1"/>
  <c r="B13335" i="1"/>
  <c r="C13335" i="1"/>
  <c r="D13335" i="1"/>
  <c r="E13335" i="1"/>
  <c r="F13335" i="1"/>
  <c r="G13335" i="1"/>
  <c r="H13335" i="1"/>
  <c r="A13336" i="1"/>
  <c r="B13336" i="1"/>
  <c r="C13336" i="1"/>
  <c r="D13336" i="1"/>
  <c r="E13336" i="1"/>
  <c r="F13336" i="1"/>
  <c r="G13336" i="1"/>
  <c r="H13336" i="1"/>
  <c r="A13337" i="1"/>
  <c r="B13337" i="1"/>
  <c r="C13337" i="1"/>
  <c r="D13337" i="1"/>
  <c r="E13337" i="1"/>
  <c r="F13337" i="1"/>
  <c r="G13337" i="1"/>
  <c r="H13337" i="1"/>
  <c r="A13338" i="1"/>
  <c r="B13338" i="1"/>
  <c r="C13338" i="1"/>
  <c r="D13338" i="1"/>
  <c r="E13338" i="1"/>
  <c r="F13338" i="1"/>
  <c r="G13338" i="1"/>
  <c r="H13338" i="1"/>
  <c r="A13339" i="1"/>
  <c r="B13339" i="1"/>
  <c r="C13339" i="1"/>
  <c r="D13339" i="1"/>
  <c r="E13339" i="1"/>
  <c r="F13339" i="1"/>
  <c r="G13339" i="1"/>
  <c r="H13339" i="1"/>
  <c r="A13340" i="1"/>
  <c r="B13340" i="1"/>
  <c r="C13340" i="1"/>
  <c r="D13340" i="1"/>
  <c r="E13340" i="1"/>
  <c r="F13340" i="1"/>
  <c r="G13340" i="1"/>
  <c r="H13340" i="1"/>
  <c r="A13341" i="1"/>
  <c r="B13341" i="1"/>
  <c r="C13341" i="1"/>
  <c r="D13341" i="1"/>
  <c r="E13341" i="1"/>
  <c r="F13341" i="1"/>
  <c r="G13341" i="1"/>
  <c r="H13341" i="1"/>
  <c r="A13342" i="1"/>
  <c r="B13342" i="1"/>
  <c r="C13342" i="1"/>
  <c r="D13342" i="1"/>
  <c r="E13342" i="1"/>
  <c r="F13342" i="1"/>
  <c r="G13342" i="1"/>
  <c r="H13342" i="1"/>
  <c r="A13343" i="1"/>
  <c r="B13343" i="1"/>
  <c r="C13343" i="1"/>
  <c r="D13343" i="1"/>
  <c r="E13343" i="1"/>
  <c r="F13343" i="1"/>
  <c r="G13343" i="1"/>
  <c r="H13343" i="1"/>
  <c r="A13344" i="1"/>
  <c r="B13344" i="1"/>
  <c r="C13344" i="1"/>
  <c r="D13344" i="1"/>
  <c r="E13344" i="1"/>
  <c r="F13344" i="1"/>
  <c r="G13344" i="1"/>
  <c r="H13344" i="1"/>
  <c r="A13345" i="1"/>
  <c r="B13345" i="1"/>
  <c r="C13345" i="1"/>
  <c r="D13345" i="1"/>
  <c r="E13345" i="1"/>
  <c r="F13345" i="1"/>
  <c r="G13345" i="1"/>
  <c r="H13345" i="1"/>
  <c r="A13346" i="1"/>
  <c r="B13346" i="1"/>
  <c r="C13346" i="1"/>
  <c r="D13346" i="1"/>
  <c r="E13346" i="1"/>
  <c r="F13346" i="1"/>
  <c r="G13346" i="1"/>
  <c r="H13346" i="1"/>
  <c r="A13347" i="1"/>
  <c r="B13347" i="1"/>
  <c r="C13347" i="1"/>
  <c r="D13347" i="1"/>
  <c r="E13347" i="1"/>
  <c r="F13347" i="1"/>
  <c r="G13347" i="1"/>
  <c r="H13347" i="1"/>
  <c r="A13348" i="1"/>
  <c r="B13348" i="1"/>
  <c r="C13348" i="1"/>
  <c r="D13348" i="1"/>
  <c r="E13348" i="1"/>
  <c r="F13348" i="1"/>
  <c r="G13348" i="1"/>
  <c r="H13348" i="1"/>
  <c r="A13349" i="1"/>
  <c r="B13349" i="1"/>
  <c r="C13349" i="1"/>
  <c r="D13349" i="1"/>
  <c r="E13349" i="1"/>
  <c r="F13349" i="1"/>
  <c r="G13349" i="1"/>
  <c r="H13349" i="1"/>
  <c r="A13350" i="1"/>
  <c r="B13350" i="1"/>
  <c r="C13350" i="1"/>
  <c r="D13350" i="1"/>
  <c r="E13350" i="1"/>
  <c r="F13350" i="1"/>
  <c r="G13350" i="1"/>
  <c r="H13350" i="1"/>
  <c r="A13351" i="1"/>
  <c r="B13351" i="1"/>
  <c r="C13351" i="1"/>
  <c r="D13351" i="1"/>
  <c r="E13351" i="1"/>
  <c r="F13351" i="1"/>
  <c r="G13351" i="1"/>
  <c r="H13351" i="1"/>
  <c r="A13352" i="1"/>
  <c r="B13352" i="1"/>
  <c r="C13352" i="1"/>
  <c r="D13352" i="1"/>
  <c r="E13352" i="1"/>
  <c r="F13352" i="1"/>
  <c r="G13352" i="1"/>
  <c r="H13352" i="1"/>
  <c r="A13353" i="1"/>
  <c r="B13353" i="1"/>
  <c r="C13353" i="1"/>
  <c r="D13353" i="1"/>
  <c r="E13353" i="1"/>
  <c r="F13353" i="1"/>
  <c r="G13353" i="1"/>
  <c r="H13353" i="1"/>
  <c r="A13354" i="1"/>
  <c r="B13354" i="1"/>
  <c r="C13354" i="1"/>
  <c r="D13354" i="1"/>
  <c r="E13354" i="1"/>
  <c r="F13354" i="1"/>
  <c r="G13354" i="1"/>
  <c r="H13354" i="1"/>
  <c r="A13355" i="1"/>
  <c r="B13355" i="1"/>
  <c r="C13355" i="1"/>
  <c r="D13355" i="1"/>
  <c r="E13355" i="1"/>
  <c r="F13355" i="1"/>
  <c r="G13355" i="1"/>
  <c r="H13355" i="1"/>
  <c r="A13356" i="1"/>
  <c r="B13356" i="1"/>
  <c r="C13356" i="1"/>
  <c r="D13356" i="1"/>
  <c r="E13356" i="1"/>
  <c r="F13356" i="1"/>
  <c r="G13356" i="1"/>
  <c r="H13356" i="1"/>
  <c r="A13357" i="1"/>
  <c r="B13357" i="1"/>
  <c r="C13357" i="1"/>
  <c r="D13357" i="1"/>
  <c r="E13357" i="1"/>
  <c r="F13357" i="1"/>
  <c r="G13357" i="1"/>
  <c r="H13357" i="1"/>
  <c r="A13358" i="1"/>
  <c r="B13358" i="1"/>
  <c r="C13358" i="1"/>
  <c r="D13358" i="1"/>
  <c r="E13358" i="1"/>
  <c r="F13358" i="1"/>
  <c r="G13358" i="1"/>
  <c r="H13358" i="1"/>
  <c r="A13359" i="1"/>
  <c r="B13359" i="1"/>
  <c r="C13359" i="1"/>
  <c r="D13359" i="1"/>
  <c r="E13359" i="1"/>
  <c r="F13359" i="1"/>
  <c r="G13359" i="1"/>
  <c r="H13359" i="1"/>
  <c r="A13360" i="1"/>
  <c r="B13360" i="1"/>
  <c r="C13360" i="1"/>
  <c r="D13360" i="1"/>
  <c r="E13360" i="1"/>
  <c r="F13360" i="1"/>
  <c r="G13360" i="1"/>
  <c r="H13360" i="1"/>
  <c r="A13361" i="1"/>
  <c r="B13361" i="1"/>
  <c r="C13361" i="1"/>
  <c r="D13361" i="1"/>
  <c r="E13361" i="1"/>
  <c r="F13361" i="1"/>
  <c r="G13361" i="1"/>
  <c r="H13361" i="1"/>
  <c r="A13362" i="1"/>
  <c r="B13362" i="1"/>
  <c r="C13362" i="1"/>
  <c r="D13362" i="1"/>
  <c r="E13362" i="1"/>
  <c r="F13362" i="1"/>
  <c r="G13362" i="1"/>
  <c r="H13362" i="1"/>
  <c r="A13363" i="1"/>
  <c r="B13363" i="1"/>
  <c r="C13363" i="1"/>
  <c r="D13363" i="1"/>
  <c r="E13363" i="1"/>
  <c r="F13363" i="1"/>
  <c r="G13363" i="1"/>
  <c r="H13363" i="1"/>
  <c r="A13364" i="1"/>
  <c r="B13364" i="1"/>
  <c r="C13364" i="1"/>
  <c r="D13364" i="1"/>
  <c r="E13364" i="1"/>
  <c r="F13364" i="1"/>
  <c r="G13364" i="1"/>
  <c r="H13364" i="1"/>
  <c r="A13365" i="1"/>
  <c r="B13365" i="1"/>
  <c r="C13365" i="1"/>
  <c r="D13365" i="1"/>
  <c r="E13365" i="1"/>
  <c r="F13365" i="1"/>
  <c r="G13365" i="1"/>
  <c r="H13365" i="1"/>
  <c r="A13366" i="1"/>
  <c r="B13366" i="1"/>
  <c r="C13366" i="1"/>
  <c r="D13366" i="1"/>
  <c r="E13366" i="1"/>
  <c r="F13366" i="1"/>
  <c r="G13366" i="1"/>
  <c r="H13366" i="1"/>
  <c r="A13367" i="1"/>
  <c r="B13367" i="1"/>
  <c r="C13367" i="1"/>
  <c r="D13367" i="1"/>
  <c r="E13367" i="1"/>
  <c r="F13367" i="1"/>
  <c r="G13367" i="1"/>
  <c r="H13367" i="1"/>
  <c r="A13368" i="1"/>
  <c r="B13368" i="1"/>
  <c r="C13368" i="1"/>
  <c r="D13368" i="1"/>
  <c r="E13368" i="1"/>
  <c r="F13368" i="1"/>
  <c r="G13368" i="1"/>
  <c r="H13368" i="1"/>
  <c r="A13369" i="1"/>
  <c r="B13369" i="1"/>
  <c r="C13369" i="1"/>
  <c r="D13369" i="1"/>
  <c r="E13369" i="1"/>
  <c r="F13369" i="1"/>
  <c r="G13369" i="1"/>
  <c r="H13369" i="1"/>
  <c r="A13370" i="1"/>
  <c r="B13370" i="1"/>
  <c r="C13370" i="1"/>
  <c r="D13370" i="1"/>
  <c r="E13370" i="1"/>
  <c r="F13370" i="1"/>
  <c r="G13370" i="1"/>
  <c r="H13370" i="1"/>
  <c r="A13371" i="1"/>
  <c r="B13371" i="1"/>
  <c r="C13371" i="1"/>
  <c r="D13371" i="1"/>
  <c r="E13371" i="1"/>
  <c r="F13371" i="1"/>
  <c r="G13371" i="1"/>
  <c r="H13371" i="1"/>
  <c r="A13372" i="1"/>
  <c r="B13372" i="1"/>
  <c r="C13372" i="1"/>
  <c r="D13372" i="1"/>
  <c r="E13372" i="1"/>
  <c r="F13372" i="1"/>
  <c r="G13372" i="1"/>
  <c r="H13372" i="1"/>
  <c r="A13373" i="1"/>
  <c r="B13373" i="1"/>
  <c r="C13373" i="1"/>
  <c r="D13373" i="1"/>
  <c r="E13373" i="1"/>
  <c r="F13373" i="1"/>
  <c r="G13373" i="1"/>
  <c r="H13373" i="1"/>
  <c r="A13374" i="1"/>
  <c r="B13374" i="1"/>
  <c r="C13374" i="1"/>
  <c r="D13374" i="1"/>
  <c r="E13374" i="1"/>
  <c r="F13374" i="1"/>
  <c r="G13374" i="1"/>
  <c r="H13374" i="1"/>
  <c r="A13375" i="1"/>
  <c r="B13375" i="1"/>
  <c r="C13375" i="1"/>
  <c r="D13375" i="1"/>
  <c r="E13375" i="1"/>
  <c r="F13375" i="1"/>
  <c r="G13375" i="1"/>
  <c r="H13375" i="1"/>
  <c r="A13376" i="1"/>
  <c r="B13376" i="1"/>
  <c r="C13376" i="1"/>
  <c r="D13376" i="1"/>
  <c r="E13376" i="1"/>
  <c r="F13376" i="1"/>
  <c r="G13376" i="1"/>
  <c r="H13376" i="1"/>
  <c r="A13377" i="1"/>
  <c r="B13377" i="1"/>
  <c r="C13377" i="1"/>
  <c r="D13377" i="1"/>
  <c r="E13377" i="1"/>
  <c r="F13377" i="1"/>
  <c r="G13377" i="1"/>
  <c r="H13377" i="1"/>
  <c r="A13378" i="1"/>
  <c r="B13378" i="1"/>
  <c r="C13378" i="1"/>
  <c r="D13378" i="1"/>
  <c r="E13378" i="1"/>
  <c r="F13378" i="1"/>
  <c r="G13378" i="1"/>
  <c r="H13378" i="1"/>
  <c r="A13379" i="1"/>
  <c r="B13379" i="1"/>
  <c r="C13379" i="1"/>
  <c r="D13379" i="1"/>
  <c r="E13379" i="1"/>
  <c r="F13379" i="1"/>
  <c r="G13379" i="1"/>
  <c r="H13379" i="1"/>
  <c r="A13380" i="1"/>
  <c r="B13380" i="1"/>
  <c r="C13380" i="1"/>
  <c r="D13380" i="1"/>
  <c r="E13380" i="1"/>
  <c r="F13380" i="1"/>
  <c r="G13380" i="1"/>
  <c r="H13380" i="1"/>
  <c r="A13381" i="1"/>
  <c r="B13381" i="1"/>
  <c r="C13381" i="1"/>
  <c r="D13381" i="1"/>
  <c r="E13381" i="1"/>
  <c r="F13381" i="1"/>
  <c r="G13381" i="1"/>
  <c r="H13381" i="1"/>
  <c r="A13382" i="1"/>
  <c r="B13382" i="1"/>
  <c r="C13382" i="1"/>
  <c r="D13382" i="1"/>
  <c r="E13382" i="1"/>
  <c r="F13382" i="1"/>
  <c r="G13382" i="1"/>
  <c r="H13382" i="1"/>
  <c r="A13383" i="1"/>
  <c r="B13383" i="1"/>
  <c r="C13383" i="1"/>
  <c r="D13383" i="1"/>
  <c r="E13383" i="1"/>
  <c r="F13383" i="1"/>
  <c r="G13383" i="1"/>
  <c r="H13383" i="1"/>
  <c r="A13384" i="1"/>
  <c r="B13384" i="1"/>
  <c r="C13384" i="1"/>
  <c r="D13384" i="1"/>
  <c r="E13384" i="1"/>
  <c r="F13384" i="1"/>
  <c r="G13384" i="1"/>
  <c r="H13384" i="1"/>
  <c r="A13385" i="1"/>
  <c r="B13385" i="1"/>
  <c r="C13385" i="1"/>
  <c r="D13385" i="1"/>
  <c r="E13385" i="1"/>
  <c r="F13385" i="1"/>
  <c r="G13385" i="1"/>
  <c r="H13385" i="1"/>
  <c r="A13386" i="1"/>
  <c r="B13386" i="1"/>
  <c r="C13386" i="1"/>
  <c r="D13386" i="1"/>
  <c r="E13386" i="1"/>
  <c r="F13386" i="1"/>
  <c r="G13386" i="1"/>
  <c r="H13386" i="1"/>
  <c r="A13387" i="1"/>
  <c r="B13387" i="1"/>
  <c r="C13387" i="1"/>
  <c r="D13387" i="1"/>
  <c r="E13387" i="1"/>
  <c r="F13387" i="1"/>
  <c r="G13387" i="1"/>
  <c r="H13387" i="1"/>
  <c r="A13388" i="1"/>
  <c r="B13388" i="1"/>
  <c r="C13388" i="1"/>
  <c r="D13388" i="1"/>
  <c r="E13388" i="1"/>
  <c r="F13388" i="1"/>
  <c r="G13388" i="1"/>
  <c r="H13388" i="1"/>
  <c r="A13389" i="1"/>
  <c r="B13389" i="1"/>
  <c r="C13389" i="1"/>
  <c r="D13389" i="1"/>
  <c r="E13389" i="1"/>
  <c r="F13389" i="1"/>
  <c r="G13389" i="1"/>
  <c r="H13389" i="1"/>
  <c r="A13390" i="1"/>
  <c r="B13390" i="1"/>
  <c r="C13390" i="1"/>
  <c r="D13390" i="1"/>
  <c r="E13390" i="1"/>
  <c r="F13390" i="1"/>
  <c r="G13390" i="1"/>
  <c r="H13390" i="1"/>
  <c r="A13391" i="1"/>
  <c r="B13391" i="1"/>
  <c r="C13391" i="1"/>
  <c r="D13391" i="1"/>
  <c r="E13391" i="1"/>
  <c r="F13391" i="1"/>
  <c r="G13391" i="1"/>
  <c r="H13391" i="1"/>
  <c r="A13392" i="1"/>
  <c r="B13392" i="1"/>
  <c r="C13392" i="1"/>
  <c r="D13392" i="1"/>
  <c r="E13392" i="1"/>
  <c r="F13392" i="1"/>
  <c r="G13392" i="1"/>
  <c r="H13392" i="1"/>
  <c r="A13393" i="1"/>
  <c r="B13393" i="1"/>
  <c r="C13393" i="1"/>
  <c r="D13393" i="1"/>
  <c r="E13393" i="1"/>
  <c r="F13393" i="1"/>
  <c r="G13393" i="1"/>
  <c r="H13393" i="1"/>
  <c r="A13394" i="1"/>
  <c r="B13394" i="1"/>
  <c r="C13394" i="1"/>
  <c r="D13394" i="1"/>
  <c r="E13394" i="1"/>
  <c r="F13394" i="1"/>
  <c r="G13394" i="1"/>
  <c r="H13394" i="1"/>
  <c r="A13395" i="1"/>
  <c r="B13395" i="1"/>
  <c r="C13395" i="1"/>
  <c r="D13395" i="1"/>
  <c r="E13395" i="1"/>
  <c r="F13395" i="1"/>
  <c r="G13395" i="1"/>
  <c r="H13395" i="1"/>
  <c r="A13396" i="1"/>
  <c r="B13396" i="1"/>
  <c r="C13396" i="1"/>
  <c r="D13396" i="1"/>
  <c r="E13396" i="1"/>
  <c r="F13396" i="1"/>
  <c r="G13396" i="1"/>
  <c r="H13396" i="1"/>
  <c r="A13397" i="1"/>
  <c r="B13397" i="1"/>
  <c r="C13397" i="1"/>
  <c r="D13397" i="1"/>
  <c r="E13397" i="1"/>
  <c r="F13397" i="1"/>
  <c r="G13397" i="1"/>
  <c r="H13397" i="1"/>
  <c r="A13398" i="1"/>
  <c r="B13398" i="1"/>
  <c r="C13398" i="1"/>
  <c r="D13398" i="1"/>
  <c r="E13398" i="1"/>
  <c r="F13398" i="1"/>
  <c r="G13398" i="1"/>
  <c r="H13398" i="1"/>
  <c r="A13399" i="1"/>
  <c r="B13399" i="1"/>
  <c r="C13399" i="1"/>
  <c r="D13399" i="1"/>
  <c r="E13399" i="1"/>
  <c r="F13399" i="1"/>
  <c r="G13399" i="1"/>
  <c r="H13399" i="1"/>
  <c r="A13400" i="1"/>
  <c r="B13400" i="1"/>
  <c r="C13400" i="1"/>
  <c r="D13400" i="1"/>
  <c r="E13400" i="1"/>
  <c r="F13400" i="1"/>
  <c r="G13400" i="1"/>
  <c r="H13400" i="1"/>
  <c r="A13401" i="1"/>
  <c r="B13401" i="1"/>
  <c r="C13401" i="1"/>
  <c r="D13401" i="1"/>
  <c r="E13401" i="1"/>
  <c r="F13401" i="1"/>
  <c r="G13401" i="1"/>
  <c r="H13401" i="1"/>
  <c r="A13402" i="1"/>
  <c r="B13402" i="1"/>
  <c r="C13402" i="1"/>
  <c r="D13402" i="1"/>
  <c r="E13402" i="1"/>
  <c r="F13402" i="1"/>
  <c r="G13402" i="1"/>
  <c r="H13402" i="1"/>
  <c r="A13403" i="1"/>
  <c r="B13403" i="1"/>
  <c r="C13403" i="1"/>
  <c r="D13403" i="1"/>
  <c r="E13403" i="1"/>
  <c r="F13403" i="1"/>
  <c r="G13403" i="1"/>
  <c r="H13403" i="1"/>
  <c r="A13404" i="1"/>
  <c r="B13404" i="1"/>
  <c r="C13404" i="1"/>
  <c r="D13404" i="1"/>
  <c r="E13404" i="1"/>
  <c r="F13404" i="1"/>
  <c r="G13404" i="1"/>
  <c r="H13404" i="1"/>
  <c r="A13405" i="1"/>
  <c r="B13405" i="1"/>
  <c r="C13405" i="1"/>
  <c r="D13405" i="1"/>
  <c r="E13405" i="1"/>
  <c r="F13405" i="1"/>
  <c r="G13405" i="1"/>
  <c r="H13405" i="1"/>
  <c r="A13406" i="1"/>
  <c r="B13406" i="1"/>
  <c r="C13406" i="1"/>
  <c r="D13406" i="1"/>
  <c r="E13406" i="1"/>
  <c r="F13406" i="1"/>
  <c r="G13406" i="1"/>
  <c r="H13406" i="1"/>
  <c r="A13407" i="1"/>
  <c r="B13407" i="1"/>
  <c r="C13407" i="1"/>
  <c r="D13407" i="1"/>
  <c r="E13407" i="1"/>
  <c r="F13407" i="1"/>
  <c r="G13407" i="1"/>
  <c r="H13407" i="1"/>
  <c r="A13408" i="1"/>
  <c r="B13408" i="1"/>
  <c r="C13408" i="1"/>
  <c r="D13408" i="1"/>
  <c r="E13408" i="1"/>
  <c r="F13408" i="1"/>
  <c r="G13408" i="1"/>
  <c r="H13408" i="1"/>
  <c r="A13409" i="1"/>
  <c r="B13409" i="1"/>
  <c r="C13409" i="1"/>
  <c r="D13409" i="1"/>
  <c r="E13409" i="1"/>
  <c r="F13409" i="1"/>
  <c r="G13409" i="1"/>
  <c r="H13409" i="1"/>
  <c r="A13410" i="1"/>
  <c r="B13410" i="1"/>
  <c r="C13410" i="1"/>
  <c r="D13410" i="1"/>
  <c r="E13410" i="1"/>
  <c r="F13410" i="1"/>
  <c r="G13410" i="1"/>
  <c r="H13410" i="1"/>
  <c r="A13411" i="1"/>
  <c r="B13411" i="1"/>
  <c r="C13411" i="1"/>
  <c r="D13411" i="1"/>
  <c r="E13411" i="1"/>
  <c r="F13411" i="1"/>
  <c r="G13411" i="1"/>
  <c r="H13411" i="1"/>
  <c r="A13412" i="1"/>
  <c r="B13412" i="1"/>
  <c r="C13412" i="1"/>
  <c r="D13412" i="1"/>
  <c r="E13412" i="1"/>
  <c r="F13412" i="1"/>
  <c r="G13412" i="1"/>
  <c r="H13412" i="1"/>
  <c r="A13413" i="1"/>
  <c r="B13413" i="1"/>
  <c r="C13413" i="1"/>
  <c r="D13413" i="1"/>
  <c r="E13413" i="1"/>
  <c r="F13413" i="1"/>
  <c r="G13413" i="1"/>
  <c r="H13413" i="1"/>
  <c r="A13414" i="1"/>
  <c r="B13414" i="1"/>
  <c r="C13414" i="1"/>
  <c r="D13414" i="1"/>
  <c r="E13414" i="1"/>
  <c r="F13414" i="1"/>
  <c r="G13414" i="1"/>
  <c r="H13414" i="1"/>
  <c r="A13415" i="1"/>
  <c r="B13415" i="1"/>
  <c r="C13415" i="1"/>
  <c r="D13415" i="1"/>
  <c r="E13415" i="1"/>
  <c r="F13415" i="1"/>
  <c r="G13415" i="1"/>
  <c r="H13415" i="1"/>
  <c r="A13416" i="1"/>
  <c r="B13416" i="1"/>
  <c r="C13416" i="1"/>
  <c r="D13416" i="1"/>
  <c r="E13416" i="1"/>
  <c r="F13416" i="1"/>
  <c r="G13416" i="1"/>
  <c r="H13416" i="1"/>
  <c r="A13417" i="1"/>
  <c r="B13417" i="1"/>
  <c r="C13417" i="1"/>
  <c r="D13417" i="1"/>
  <c r="E13417" i="1"/>
  <c r="F13417" i="1"/>
  <c r="G13417" i="1"/>
  <c r="H13417" i="1"/>
  <c r="A13418" i="1"/>
  <c r="B13418" i="1"/>
  <c r="C13418" i="1"/>
  <c r="D13418" i="1"/>
  <c r="E13418" i="1"/>
  <c r="F13418" i="1"/>
  <c r="G13418" i="1"/>
  <c r="H13418" i="1"/>
  <c r="A13419" i="1"/>
  <c r="B13419" i="1"/>
  <c r="C13419" i="1"/>
  <c r="D13419" i="1"/>
  <c r="E13419" i="1"/>
  <c r="F13419" i="1"/>
  <c r="G13419" i="1"/>
  <c r="H13419" i="1"/>
  <c r="A13420" i="1"/>
  <c r="B13420" i="1"/>
  <c r="C13420" i="1"/>
  <c r="D13420" i="1"/>
  <c r="E13420" i="1"/>
  <c r="F13420" i="1"/>
  <c r="G13420" i="1"/>
  <c r="H13420" i="1"/>
  <c r="A13421" i="1"/>
  <c r="B13421" i="1"/>
  <c r="C13421" i="1"/>
  <c r="D13421" i="1"/>
  <c r="E13421" i="1"/>
  <c r="F13421" i="1"/>
  <c r="G13421" i="1"/>
  <c r="H13421" i="1"/>
  <c r="A13422" i="1"/>
  <c r="B13422" i="1"/>
  <c r="C13422" i="1"/>
  <c r="D13422" i="1"/>
  <c r="E13422" i="1"/>
  <c r="F13422" i="1"/>
  <c r="G13422" i="1"/>
  <c r="H13422" i="1"/>
  <c r="A13423" i="1"/>
  <c r="B13423" i="1"/>
  <c r="C13423" i="1"/>
  <c r="D13423" i="1"/>
  <c r="E13423" i="1"/>
  <c r="F13423" i="1"/>
  <c r="G13423" i="1"/>
  <c r="H13423" i="1"/>
  <c r="A13424" i="1"/>
  <c r="B13424" i="1"/>
  <c r="C13424" i="1"/>
  <c r="D13424" i="1"/>
  <c r="E13424" i="1"/>
  <c r="F13424" i="1"/>
  <c r="G13424" i="1"/>
  <c r="H13424" i="1"/>
  <c r="A13425" i="1"/>
  <c r="B13425" i="1"/>
  <c r="C13425" i="1"/>
  <c r="D13425" i="1"/>
  <c r="E13425" i="1"/>
  <c r="F13425" i="1"/>
  <c r="G13425" i="1"/>
  <c r="H13425" i="1"/>
  <c r="A13426" i="1"/>
  <c r="B13426" i="1"/>
  <c r="C13426" i="1"/>
  <c r="D13426" i="1"/>
  <c r="E13426" i="1"/>
  <c r="F13426" i="1"/>
  <c r="G13426" i="1"/>
  <c r="H13426" i="1"/>
  <c r="A13427" i="1"/>
  <c r="B13427" i="1"/>
  <c r="C13427" i="1"/>
  <c r="D13427" i="1"/>
  <c r="E13427" i="1"/>
  <c r="F13427" i="1"/>
  <c r="G13427" i="1"/>
  <c r="H13427" i="1"/>
  <c r="A13428" i="1"/>
  <c r="B13428" i="1"/>
  <c r="C13428" i="1"/>
  <c r="D13428" i="1"/>
  <c r="E13428" i="1"/>
  <c r="F13428" i="1"/>
  <c r="G13428" i="1"/>
  <c r="H13428" i="1"/>
  <c r="A13429" i="1"/>
  <c r="B13429" i="1"/>
  <c r="C13429" i="1"/>
  <c r="D13429" i="1"/>
  <c r="E13429" i="1"/>
  <c r="F13429" i="1"/>
  <c r="G13429" i="1"/>
  <c r="H13429" i="1"/>
  <c r="A13430" i="1"/>
  <c r="B13430" i="1"/>
  <c r="C13430" i="1"/>
  <c r="D13430" i="1"/>
  <c r="E13430" i="1"/>
  <c r="F13430" i="1"/>
  <c r="G13430" i="1"/>
  <c r="H13430" i="1"/>
  <c r="A13431" i="1"/>
  <c r="B13431" i="1"/>
  <c r="C13431" i="1"/>
  <c r="D13431" i="1"/>
  <c r="E13431" i="1"/>
  <c r="F13431" i="1"/>
  <c r="G13431" i="1"/>
  <c r="H13431" i="1"/>
  <c r="A13432" i="1"/>
  <c r="B13432" i="1"/>
  <c r="C13432" i="1"/>
  <c r="D13432" i="1"/>
  <c r="E13432" i="1"/>
  <c r="F13432" i="1"/>
  <c r="G13432" i="1"/>
  <c r="H13432" i="1"/>
  <c r="A13433" i="1"/>
  <c r="B13433" i="1"/>
  <c r="C13433" i="1"/>
  <c r="D13433" i="1"/>
  <c r="E13433" i="1"/>
  <c r="F13433" i="1"/>
  <c r="G13433" i="1"/>
  <c r="H13433" i="1"/>
  <c r="A13434" i="1"/>
  <c r="B13434" i="1"/>
  <c r="C13434" i="1"/>
  <c r="D13434" i="1"/>
  <c r="E13434" i="1"/>
  <c r="F13434" i="1"/>
  <c r="G13434" i="1"/>
  <c r="H13434" i="1"/>
  <c r="A13435" i="1"/>
  <c r="B13435" i="1"/>
  <c r="C13435" i="1"/>
  <c r="D13435" i="1"/>
  <c r="E13435" i="1"/>
  <c r="F13435" i="1"/>
  <c r="G13435" i="1"/>
  <c r="H13435" i="1"/>
  <c r="A13436" i="1"/>
  <c r="B13436" i="1"/>
  <c r="C13436" i="1"/>
  <c r="D13436" i="1"/>
  <c r="E13436" i="1"/>
  <c r="F13436" i="1"/>
  <c r="G13436" i="1"/>
  <c r="H13436" i="1"/>
  <c r="A13437" i="1"/>
  <c r="B13437" i="1"/>
  <c r="C13437" i="1"/>
  <c r="D13437" i="1"/>
  <c r="E13437" i="1"/>
  <c r="F13437" i="1"/>
  <c r="G13437" i="1"/>
  <c r="H13437" i="1"/>
  <c r="A13438" i="1"/>
  <c r="B13438" i="1"/>
  <c r="C13438" i="1"/>
  <c r="D13438" i="1"/>
  <c r="E13438" i="1"/>
  <c r="F13438" i="1"/>
  <c r="G13438" i="1"/>
  <c r="H13438" i="1"/>
  <c r="A13439" i="1"/>
  <c r="B13439" i="1"/>
  <c r="C13439" i="1"/>
  <c r="D13439" i="1"/>
  <c r="E13439" i="1"/>
  <c r="F13439" i="1"/>
  <c r="G13439" i="1"/>
  <c r="H13439" i="1"/>
  <c r="A13440" i="1"/>
  <c r="B13440" i="1"/>
  <c r="C13440" i="1"/>
  <c r="D13440" i="1"/>
  <c r="E13440" i="1"/>
  <c r="F13440" i="1"/>
  <c r="G13440" i="1"/>
  <c r="H13440" i="1"/>
  <c r="A13441" i="1"/>
  <c r="B13441" i="1"/>
  <c r="C13441" i="1"/>
  <c r="D13441" i="1"/>
  <c r="E13441" i="1"/>
  <c r="F13441" i="1"/>
  <c r="G13441" i="1"/>
  <c r="H13441" i="1"/>
  <c r="A13442" i="1"/>
  <c r="B13442" i="1"/>
  <c r="C13442" i="1"/>
  <c r="D13442" i="1"/>
  <c r="E13442" i="1"/>
  <c r="F13442" i="1"/>
  <c r="G13442" i="1"/>
  <c r="H13442" i="1"/>
  <c r="A13443" i="1"/>
  <c r="B13443" i="1"/>
  <c r="C13443" i="1"/>
  <c r="D13443" i="1"/>
  <c r="E13443" i="1"/>
  <c r="F13443" i="1"/>
  <c r="G13443" i="1"/>
  <c r="H13443" i="1"/>
  <c r="A13444" i="1"/>
  <c r="B13444" i="1"/>
  <c r="C13444" i="1"/>
  <c r="D13444" i="1"/>
  <c r="E13444" i="1"/>
  <c r="F13444" i="1"/>
  <c r="G13444" i="1"/>
  <c r="H13444" i="1"/>
  <c r="A13445" i="1"/>
  <c r="B13445" i="1"/>
  <c r="C13445" i="1"/>
  <c r="D13445" i="1"/>
  <c r="E13445" i="1"/>
  <c r="F13445" i="1"/>
  <c r="G13445" i="1"/>
  <c r="H13445" i="1"/>
  <c r="A13446" i="1"/>
  <c r="B13446" i="1"/>
  <c r="C13446" i="1"/>
  <c r="D13446" i="1"/>
  <c r="E13446" i="1"/>
  <c r="F13446" i="1"/>
  <c r="G13446" i="1"/>
  <c r="H13446" i="1"/>
  <c r="A13447" i="1"/>
  <c r="B13447" i="1"/>
  <c r="C13447" i="1"/>
  <c r="D13447" i="1"/>
  <c r="E13447" i="1"/>
  <c r="F13447" i="1"/>
  <c r="G13447" i="1"/>
  <c r="H13447" i="1"/>
  <c r="A13448" i="1"/>
  <c r="B13448" i="1"/>
  <c r="C13448" i="1"/>
  <c r="D13448" i="1"/>
  <c r="E13448" i="1"/>
  <c r="F13448" i="1"/>
  <c r="G13448" i="1"/>
  <c r="H13448" i="1"/>
  <c r="A13449" i="1"/>
  <c r="B13449" i="1"/>
  <c r="C13449" i="1"/>
  <c r="D13449" i="1"/>
  <c r="E13449" i="1"/>
  <c r="F13449" i="1"/>
  <c r="G13449" i="1"/>
  <c r="H13449" i="1"/>
  <c r="A13450" i="1"/>
  <c r="B13450" i="1"/>
  <c r="C13450" i="1"/>
  <c r="D13450" i="1"/>
  <c r="E13450" i="1"/>
  <c r="F13450" i="1"/>
  <c r="G13450" i="1"/>
  <c r="H13450" i="1"/>
  <c r="A13451" i="1"/>
  <c r="B13451" i="1"/>
  <c r="C13451" i="1"/>
  <c r="D13451" i="1"/>
  <c r="E13451" i="1"/>
  <c r="F13451" i="1"/>
  <c r="G13451" i="1"/>
  <c r="H13451" i="1"/>
  <c r="A13452" i="1"/>
  <c r="B13452" i="1"/>
  <c r="C13452" i="1"/>
  <c r="D13452" i="1"/>
  <c r="E13452" i="1"/>
  <c r="F13452" i="1"/>
  <c r="G13452" i="1"/>
  <c r="H13452" i="1"/>
  <c r="A13453" i="1"/>
  <c r="B13453" i="1"/>
  <c r="C13453" i="1"/>
  <c r="D13453" i="1"/>
  <c r="E13453" i="1"/>
  <c r="F13453" i="1"/>
  <c r="G13453" i="1"/>
  <c r="H13453" i="1"/>
  <c r="A13454" i="1"/>
  <c r="B13454" i="1"/>
  <c r="C13454" i="1"/>
  <c r="D13454" i="1"/>
  <c r="E13454" i="1"/>
  <c r="F13454" i="1"/>
  <c r="G13454" i="1"/>
  <c r="H13454" i="1"/>
  <c r="A13455" i="1"/>
  <c r="B13455" i="1"/>
  <c r="C13455" i="1"/>
  <c r="D13455" i="1"/>
  <c r="E13455" i="1"/>
  <c r="F13455" i="1"/>
  <c r="G13455" i="1"/>
  <c r="H13455" i="1"/>
  <c r="A13456" i="1"/>
  <c r="B13456" i="1"/>
  <c r="C13456" i="1"/>
  <c r="D13456" i="1"/>
  <c r="E13456" i="1"/>
  <c r="F13456" i="1"/>
  <c r="G13456" i="1"/>
  <c r="H13456" i="1"/>
  <c r="A13457" i="1"/>
  <c r="B13457" i="1"/>
  <c r="C13457" i="1"/>
  <c r="D13457" i="1"/>
  <c r="E13457" i="1"/>
  <c r="F13457" i="1"/>
  <c r="G13457" i="1"/>
  <c r="H13457" i="1"/>
  <c r="A13458" i="1"/>
  <c r="B13458" i="1"/>
  <c r="C13458" i="1"/>
  <c r="D13458" i="1"/>
  <c r="E13458" i="1"/>
  <c r="F13458" i="1"/>
  <c r="G13458" i="1"/>
  <c r="H13458" i="1"/>
  <c r="A13459" i="1"/>
  <c r="B13459" i="1"/>
  <c r="C13459" i="1"/>
  <c r="D13459" i="1"/>
  <c r="E13459" i="1"/>
  <c r="F13459" i="1"/>
  <c r="G13459" i="1"/>
  <c r="H13459" i="1"/>
  <c r="A13460" i="1"/>
  <c r="B13460" i="1"/>
  <c r="C13460" i="1"/>
  <c r="D13460" i="1"/>
  <c r="E13460" i="1"/>
  <c r="F13460" i="1"/>
  <c r="G13460" i="1"/>
  <c r="H13460" i="1"/>
  <c r="A13461" i="1"/>
  <c r="B13461" i="1"/>
  <c r="C13461" i="1"/>
  <c r="D13461" i="1"/>
  <c r="E13461" i="1"/>
  <c r="F13461" i="1"/>
  <c r="G13461" i="1"/>
  <c r="H13461" i="1"/>
  <c r="A13462" i="1"/>
  <c r="B13462" i="1"/>
  <c r="C13462" i="1"/>
  <c r="D13462" i="1"/>
  <c r="E13462" i="1"/>
  <c r="F13462" i="1"/>
  <c r="G13462" i="1"/>
  <c r="H13462" i="1"/>
  <c r="A13463" i="1"/>
  <c r="B13463" i="1"/>
  <c r="C13463" i="1"/>
  <c r="D13463" i="1"/>
  <c r="E13463" i="1"/>
  <c r="F13463" i="1"/>
  <c r="G13463" i="1"/>
  <c r="H13463" i="1"/>
  <c r="A13464" i="1"/>
  <c r="B13464" i="1"/>
  <c r="C13464" i="1"/>
  <c r="D13464" i="1"/>
  <c r="E13464" i="1"/>
  <c r="F13464" i="1"/>
  <c r="G13464" i="1"/>
  <c r="H13464" i="1"/>
  <c r="A13465" i="1"/>
  <c r="B13465" i="1"/>
  <c r="C13465" i="1"/>
  <c r="D13465" i="1"/>
  <c r="E13465" i="1"/>
  <c r="F13465" i="1"/>
  <c r="G13465" i="1"/>
  <c r="H13465" i="1"/>
  <c r="A13466" i="1"/>
  <c r="B13466" i="1"/>
  <c r="C13466" i="1"/>
  <c r="D13466" i="1"/>
  <c r="E13466" i="1"/>
  <c r="F13466" i="1"/>
  <c r="G13466" i="1"/>
  <c r="H13466" i="1"/>
  <c r="A13467" i="1"/>
  <c r="B13467" i="1"/>
  <c r="C13467" i="1"/>
  <c r="D13467" i="1"/>
  <c r="E13467" i="1"/>
  <c r="F13467" i="1"/>
  <c r="G13467" i="1"/>
  <c r="H13467" i="1"/>
  <c r="A13468" i="1"/>
  <c r="B13468" i="1"/>
  <c r="C13468" i="1"/>
  <c r="D13468" i="1"/>
  <c r="E13468" i="1"/>
  <c r="F13468" i="1"/>
  <c r="G13468" i="1"/>
  <c r="H13468" i="1"/>
  <c r="A13469" i="1"/>
  <c r="B13469" i="1"/>
  <c r="C13469" i="1"/>
  <c r="D13469" i="1"/>
  <c r="E13469" i="1"/>
  <c r="F13469" i="1"/>
  <c r="G13469" i="1"/>
  <c r="H13469" i="1"/>
  <c r="A13470" i="1"/>
  <c r="B13470" i="1"/>
  <c r="C13470" i="1"/>
  <c r="D13470" i="1"/>
  <c r="E13470" i="1"/>
  <c r="F13470" i="1"/>
  <c r="G13470" i="1"/>
  <c r="H13470" i="1"/>
  <c r="A13471" i="1"/>
  <c r="B13471" i="1"/>
  <c r="C13471" i="1"/>
  <c r="D13471" i="1"/>
  <c r="E13471" i="1"/>
  <c r="F13471" i="1"/>
  <c r="G13471" i="1"/>
  <c r="H13471" i="1"/>
  <c r="A13472" i="1"/>
  <c r="B13472" i="1"/>
  <c r="C13472" i="1"/>
  <c r="D13472" i="1"/>
  <c r="E13472" i="1"/>
  <c r="F13472" i="1"/>
  <c r="G13472" i="1"/>
  <c r="H13472" i="1"/>
  <c r="A13473" i="1"/>
  <c r="B13473" i="1"/>
  <c r="C13473" i="1"/>
  <c r="D13473" i="1"/>
  <c r="E13473" i="1"/>
  <c r="F13473" i="1"/>
  <c r="G13473" i="1"/>
  <c r="H13473" i="1"/>
  <c r="A13474" i="1"/>
  <c r="B13474" i="1"/>
  <c r="C13474" i="1"/>
  <c r="D13474" i="1"/>
  <c r="E13474" i="1"/>
  <c r="F13474" i="1"/>
  <c r="G13474" i="1"/>
  <c r="H13474" i="1"/>
  <c r="A13475" i="1"/>
  <c r="B13475" i="1"/>
  <c r="C13475" i="1"/>
  <c r="D13475" i="1"/>
  <c r="E13475" i="1"/>
  <c r="F13475" i="1"/>
  <c r="G13475" i="1"/>
  <c r="H13475" i="1"/>
  <c r="A13476" i="1"/>
  <c r="B13476" i="1"/>
  <c r="C13476" i="1"/>
  <c r="D13476" i="1"/>
  <c r="E13476" i="1"/>
  <c r="F13476" i="1"/>
  <c r="G13476" i="1"/>
  <c r="H13476" i="1"/>
  <c r="A13477" i="1"/>
  <c r="B13477" i="1"/>
  <c r="C13477" i="1"/>
  <c r="D13477" i="1"/>
  <c r="E13477" i="1"/>
  <c r="F13477" i="1"/>
  <c r="G13477" i="1"/>
  <c r="H13477" i="1"/>
  <c r="A13478" i="1"/>
  <c r="B13478" i="1"/>
  <c r="C13478" i="1"/>
  <c r="D13478" i="1"/>
  <c r="E13478" i="1"/>
  <c r="F13478" i="1"/>
  <c r="G13478" i="1"/>
  <c r="H13478" i="1"/>
  <c r="A13479" i="1"/>
  <c r="B13479" i="1"/>
  <c r="C13479" i="1"/>
  <c r="D13479" i="1"/>
  <c r="E13479" i="1"/>
  <c r="F13479" i="1"/>
  <c r="G13479" i="1"/>
  <c r="H13479" i="1"/>
  <c r="A13480" i="1"/>
  <c r="B13480" i="1"/>
  <c r="C13480" i="1"/>
  <c r="D13480" i="1"/>
  <c r="E13480" i="1"/>
  <c r="F13480" i="1"/>
  <c r="G13480" i="1"/>
  <c r="H13480" i="1"/>
  <c r="A13481" i="1"/>
  <c r="B13481" i="1"/>
  <c r="C13481" i="1"/>
  <c r="D13481" i="1"/>
  <c r="E13481" i="1"/>
  <c r="F13481" i="1"/>
  <c r="G13481" i="1"/>
  <c r="H13481" i="1"/>
  <c r="A13482" i="1"/>
  <c r="B13482" i="1"/>
  <c r="C13482" i="1"/>
  <c r="D13482" i="1"/>
  <c r="E13482" i="1"/>
  <c r="F13482" i="1"/>
  <c r="G13482" i="1"/>
  <c r="H13482" i="1"/>
  <c r="A13483" i="1"/>
  <c r="B13483" i="1"/>
  <c r="C13483" i="1"/>
  <c r="D13483" i="1"/>
  <c r="E13483" i="1"/>
  <c r="F13483" i="1"/>
  <c r="G13483" i="1"/>
  <c r="H13483" i="1"/>
  <c r="A13484" i="1"/>
  <c r="B13484" i="1"/>
  <c r="C13484" i="1"/>
  <c r="D13484" i="1"/>
  <c r="E13484" i="1"/>
  <c r="F13484" i="1"/>
  <c r="G13484" i="1"/>
  <c r="H13484" i="1"/>
  <c r="A13485" i="1"/>
  <c r="B13485" i="1"/>
  <c r="C13485" i="1"/>
  <c r="D13485" i="1"/>
  <c r="E13485" i="1"/>
  <c r="F13485" i="1"/>
  <c r="G13485" i="1"/>
  <c r="H13485" i="1"/>
  <c r="A13486" i="1"/>
  <c r="B13486" i="1"/>
  <c r="C13486" i="1"/>
  <c r="D13486" i="1"/>
  <c r="E13486" i="1"/>
  <c r="F13486" i="1"/>
  <c r="G13486" i="1"/>
  <c r="H13486" i="1"/>
  <c r="A13487" i="1"/>
  <c r="B13487" i="1"/>
  <c r="C13487" i="1"/>
  <c r="D13487" i="1"/>
  <c r="E13487" i="1"/>
  <c r="F13487" i="1"/>
  <c r="G13487" i="1"/>
  <c r="H13487" i="1"/>
  <c r="A13488" i="1"/>
  <c r="B13488" i="1"/>
  <c r="C13488" i="1"/>
  <c r="D13488" i="1"/>
  <c r="E13488" i="1"/>
  <c r="F13488" i="1"/>
  <c r="G13488" i="1"/>
  <c r="H13488" i="1"/>
  <c r="A13489" i="1"/>
  <c r="B13489" i="1"/>
  <c r="C13489" i="1"/>
  <c r="D13489" i="1"/>
  <c r="E13489" i="1"/>
  <c r="F13489" i="1"/>
  <c r="G13489" i="1"/>
  <c r="H13489" i="1"/>
  <c r="A13490" i="1"/>
  <c r="B13490" i="1"/>
  <c r="C13490" i="1"/>
  <c r="D13490" i="1"/>
  <c r="E13490" i="1"/>
  <c r="F13490" i="1"/>
  <c r="G13490" i="1"/>
  <c r="H13490" i="1"/>
  <c r="A13491" i="1"/>
  <c r="B13491" i="1"/>
  <c r="C13491" i="1"/>
  <c r="D13491" i="1"/>
  <c r="E13491" i="1"/>
  <c r="F13491" i="1"/>
  <c r="G13491" i="1"/>
  <c r="H13491" i="1"/>
  <c r="A13492" i="1"/>
  <c r="B13492" i="1"/>
  <c r="C13492" i="1"/>
  <c r="D13492" i="1"/>
  <c r="E13492" i="1"/>
  <c r="F13492" i="1"/>
  <c r="G13492" i="1"/>
  <c r="H13492" i="1"/>
  <c r="A13493" i="1"/>
  <c r="B13493" i="1"/>
  <c r="C13493" i="1"/>
  <c r="D13493" i="1"/>
  <c r="E13493" i="1"/>
  <c r="F13493" i="1"/>
  <c r="G13493" i="1"/>
  <c r="H13493" i="1"/>
  <c r="A13494" i="1"/>
  <c r="B13494" i="1"/>
  <c r="C13494" i="1"/>
  <c r="D13494" i="1"/>
  <c r="E13494" i="1"/>
  <c r="F13494" i="1"/>
  <c r="G13494" i="1"/>
  <c r="H13494" i="1"/>
  <c r="A13495" i="1"/>
  <c r="B13495" i="1"/>
  <c r="C13495" i="1"/>
  <c r="D13495" i="1"/>
  <c r="E13495" i="1"/>
  <c r="F13495" i="1"/>
  <c r="G13495" i="1"/>
  <c r="H13495" i="1"/>
  <c r="A13496" i="1"/>
  <c r="B13496" i="1"/>
  <c r="C13496" i="1"/>
  <c r="D13496" i="1"/>
  <c r="E13496" i="1"/>
  <c r="F13496" i="1"/>
  <c r="G13496" i="1"/>
  <c r="H13496" i="1"/>
  <c r="A13497" i="1"/>
  <c r="B13497" i="1"/>
  <c r="C13497" i="1"/>
  <c r="D13497" i="1"/>
  <c r="E13497" i="1"/>
  <c r="F13497" i="1"/>
  <c r="G13497" i="1"/>
  <c r="H13497" i="1"/>
  <c r="A13498" i="1"/>
  <c r="B13498" i="1"/>
  <c r="C13498" i="1"/>
  <c r="D13498" i="1"/>
  <c r="E13498" i="1"/>
  <c r="F13498" i="1"/>
  <c r="G13498" i="1"/>
  <c r="H13498" i="1"/>
  <c r="A13499" i="1"/>
  <c r="B13499" i="1"/>
  <c r="C13499" i="1"/>
  <c r="D13499" i="1"/>
  <c r="E13499" i="1"/>
  <c r="F13499" i="1"/>
  <c r="G13499" i="1"/>
  <c r="H13499" i="1"/>
  <c r="A13500" i="1"/>
  <c r="B13500" i="1"/>
  <c r="C13500" i="1"/>
  <c r="D13500" i="1"/>
  <c r="E13500" i="1"/>
  <c r="F13500" i="1"/>
  <c r="G13500" i="1"/>
  <c r="H13500" i="1"/>
  <c r="A13501" i="1"/>
  <c r="B13501" i="1"/>
  <c r="C13501" i="1"/>
  <c r="D13501" i="1"/>
  <c r="E13501" i="1"/>
  <c r="F13501" i="1"/>
  <c r="G13501" i="1"/>
  <c r="H13501" i="1"/>
  <c r="A13502" i="1"/>
  <c r="B13502" i="1"/>
  <c r="C13502" i="1"/>
  <c r="D13502" i="1"/>
  <c r="E13502" i="1"/>
  <c r="F13502" i="1"/>
  <c r="G13502" i="1"/>
  <c r="H13502" i="1"/>
  <c r="A13503" i="1"/>
  <c r="B13503" i="1"/>
  <c r="C13503" i="1"/>
  <c r="D13503" i="1"/>
  <c r="E13503" i="1"/>
  <c r="F13503" i="1"/>
  <c r="G13503" i="1"/>
  <c r="H13503" i="1"/>
  <c r="A13504" i="1"/>
  <c r="B13504" i="1"/>
  <c r="C13504" i="1"/>
  <c r="D13504" i="1"/>
  <c r="E13504" i="1"/>
  <c r="F13504" i="1"/>
  <c r="G13504" i="1"/>
  <c r="H13504" i="1"/>
  <c r="A13505" i="1"/>
  <c r="B13505" i="1"/>
  <c r="C13505" i="1"/>
  <c r="D13505" i="1"/>
  <c r="E13505" i="1"/>
  <c r="F13505" i="1"/>
  <c r="G13505" i="1"/>
  <c r="H13505" i="1"/>
  <c r="A13506" i="1"/>
  <c r="B13506" i="1"/>
  <c r="C13506" i="1"/>
  <c r="D13506" i="1"/>
  <c r="E13506" i="1"/>
  <c r="F13506" i="1"/>
  <c r="G13506" i="1"/>
  <c r="H13506" i="1"/>
  <c r="A13507" i="1"/>
  <c r="B13507" i="1"/>
  <c r="C13507" i="1"/>
  <c r="D13507" i="1"/>
  <c r="E13507" i="1"/>
  <c r="F13507" i="1"/>
  <c r="G13507" i="1"/>
  <c r="H13507" i="1"/>
  <c r="A13508" i="1"/>
  <c r="B13508" i="1"/>
  <c r="C13508" i="1"/>
  <c r="D13508" i="1"/>
  <c r="E13508" i="1"/>
  <c r="F13508" i="1"/>
  <c r="G13508" i="1"/>
  <c r="H13508" i="1"/>
  <c r="A13509" i="1"/>
  <c r="B13509" i="1"/>
  <c r="C13509" i="1"/>
  <c r="D13509" i="1"/>
  <c r="E13509" i="1"/>
  <c r="F13509" i="1"/>
  <c r="G13509" i="1"/>
  <c r="H13509" i="1"/>
  <c r="A13510" i="1"/>
  <c r="B13510" i="1"/>
  <c r="C13510" i="1"/>
  <c r="D13510" i="1"/>
  <c r="E13510" i="1"/>
  <c r="F13510" i="1"/>
  <c r="G13510" i="1"/>
  <c r="H13510" i="1"/>
  <c r="A13511" i="1"/>
  <c r="B13511" i="1"/>
  <c r="C13511" i="1"/>
  <c r="D13511" i="1"/>
  <c r="E13511" i="1"/>
  <c r="F13511" i="1"/>
  <c r="G13511" i="1"/>
  <c r="H13511" i="1"/>
  <c r="A13512" i="1"/>
  <c r="B13512" i="1"/>
  <c r="C13512" i="1"/>
  <c r="D13512" i="1"/>
  <c r="E13512" i="1"/>
  <c r="F13512" i="1"/>
  <c r="G13512" i="1"/>
  <c r="H13512" i="1"/>
  <c r="A13513" i="1"/>
  <c r="B13513" i="1"/>
  <c r="C13513" i="1"/>
  <c r="D13513" i="1"/>
  <c r="E13513" i="1"/>
  <c r="F13513" i="1"/>
  <c r="G13513" i="1"/>
  <c r="H13513" i="1"/>
  <c r="A13514" i="1"/>
  <c r="B13514" i="1"/>
  <c r="C13514" i="1"/>
  <c r="D13514" i="1"/>
  <c r="E13514" i="1"/>
  <c r="F13514" i="1"/>
  <c r="G13514" i="1"/>
  <c r="H13514" i="1"/>
  <c r="A13515" i="1"/>
  <c r="B13515" i="1"/>
  <c r="C13515" i="1"/>
  <c r="D13515" i="1"/>
  <c r="E13515" i="1"/>
  <c r="F13515" i="1"/>
  <c r="G13515" i="1"/>
  <c r="H13515" i="1"/>
  <c r="A13516" i="1"/>
  <c r="B13516" i="1"/>
  <c r="C13516" i="1"/>
  <c r="D13516" i="1"/>
  <c r="E13516" i="1"/>
  <c r="F13516" i="1"/>
  <c r="G13516" i="1"/>
  <c r="H13516" i="1"/>
  <c r="A13517" i="1"/>
  <c r="B13517" i="1"/>
  <c r="C13517" i="1"/>
  <c r="D13517" i="1"/>
  <c r="E13517" i="1"/>
  <c r="F13517" i="1"/>
  <c r="G13517" i="1"/>
  <c r="H13517" i="1"/>
  <c r="A13518" i="1"/>
  <c r="B13518" i="1"/>
  <c r="C13518" i="1"/>
  <c r="D13518" i="1"/>
  <c r="E13518" i="1"/>
  <c r="F13518" i="1"/>
  <c r="G13518" i="1"/>
  <c r="H13518" i="1"/>
  <c r="A13519" i="1"/>
  <c r="B13519" i="1"/>
  <c r="C13519" i="1"/>
  <c r="D13519" i="1"/>
  <c r="E13519" i="1"/>
  <c r="F13519" i="1"/>
  <c r="G13519" i="1"/>
  <c r="H13519" i="1"/>
  <c r="A13520" i="1"/>
  <c r="B13520" i="1"/>
  <c r="C13520" i="1"/>
  <c r="D13520" i="1"/>
  <c r="E13520" i="1"/>
  <c r="F13520" i="1"/>
  <c r="G13520" i="1"/>
  <c r="H13520" i="1"/>
  <c r="A13521" i="1"/>
  <c r="B13521" i="1"/>
  <c r="C13521" i="1"/>
  <c r="D13521" i="1"/>
  <c r="E13521" i="1"/>
  <c r="F13521" i="1"/>
  <c r="G13521" i="1"/>
  <c r="H13521" i="1"/>
  <c r="A13522" i="1"/>
  <c r="B13522" i="1"/>
  <c r="C13522" i="1"/>
  <c r="D13522" i="1"/>
  <c r="E13522" i="1"/>
  <c r="F13522" i="1"/>
  <c r="G13522" i="1"/>
  <c r="H13522" i="1"/>
  <c r="A13523" i="1"/>
  <c r="B13523" i="1"/>
  <c r="C13523" i="1"/>
  <c r="D13523" i="1"/>
  <c r="E13523" i="1"/>
  <c r="F13523" i="1"/>
  <c r="G13523" i="1"/>
  <c r="H13523" i="1"/>
  <c r="A13524" i="1"/>
  <c r="B13524" i="1"/>
  <c r="C13524" i="1"/>
  <c r="D13524" i="1"/>
  <c r="E13524" i="1"/>
  <c r="F13524" i="1"/>
  <c r="G13524" i="1"/>
  <c r="H13524" i="1"/>
  <c r="A13525" i="1"/>
  <c r="B13525" i="1"/>
  <c r="C13525" i="1"/>
  <c r="D13525" i="1"/>
  <c r="E13525" i="1"/>
  <c r="F13525" i="1"/>
  <c r="G13525" i="1"/>
  <c r="H13525" i="1"/>
  <c r="A13526" i="1"/>
  <c r="B13526" i="1"/>
  <c r="C13526" i="1"/>
  <c r="D13526" i="1"/>
  <c r="E13526" i="1"/>
  <c r="F13526" i="1"/>
  <c r="G13526" i="1"/>
  <c r="H13526" i="1"/>
  <c r="A13527" i="1"/>
  <c r="B13527" i="1"/>
  <c r="C13527" i="1"/>
  <c r="D13527" i="1"/>
  <c r="E13527" i="1"/>
  <c r="F13527" i="1"/>
  <c r="G13527" i="1"/>
  <c r="H13527" i="1"/>
  <c r="A13528" i="1"/>
  <c r="B13528" i="1"/>
  <c r="C13528" i="1"/>
  <c r="D13528" i="1"/>
  <c r="E13528" i="1"/>
  <c r="F13528" i="1"/>
  <c r="G13528" i="1"/>
  <c r="H13528" i="1"/>
  <c r="A13529" i="1"/>
  <c r="B13529" i="1"/>
  <c r="C13529" i="1"/>
  <c r="D13529" i="1"/>
  <c r="E13529" i="1"/>
  <c r="F13529" i="1"/>
  <c r="G13529" i="1"/>
  <c r="H13529" i="1"/>
  <c r="A13530" i="1"/>
  <c r="B13530" i="1"/>
  <c r="C13530" i="1"/>
  <c r="D13530" i="1"/>
  <c r="E13530" i="1"/>
  <c r="F13530" i="1"/>
  <c r="G13530" i="1"/>
  <c r="H13530" i="1"/>
  <c r="A13531" i="1"/>
  <c r="B13531" i="1"/>
  <c r="C13531" i="1"/>
  <c r="D13531" i="1"/>
  <c r="E13531" i="1"/>
  <c r="F13531" i="1"/>
  <c r="G13531" i="1"/>
  <c r="H13531" i="1"/>
  <c r="A13532" i="1"/>
  <c r="B13532" i="1"/>
  <c r="C13532" i="1"/>
  <c r="D13532" i="1"/>
  <c r="E13532" i="1"/>
  <c r="F13532" i="1"/>
  <c r="G13532" i="1"/>
  <c r="H13532" i="1"/>
  <c r="A13533" i="1"/>
  <c r="B13533" i="1"/>
  <c r="C13533" i="1"/>
  <c r="D13533" i="1"/>
  <c r="E13533" i="1"/>
  <c r="F13533" i="1"/>
  <c r="G13533" i="1"/>
  <c r="H13533" i="1"/>
  <c r="A13534" i="1"/>
  <c r="B13534" i="1"/>
  <c r="C13534" i="1"/>
  <c r="D13534" i="1"/>
  <c r="E13534" i="1"/>
  <c r="F13534" i="1"/>
  <c r="G13534" i="1"/>
  <c r="H13534" i="1"/>
  <c r="A13535" i="1"/>
  <c r="B13535" i="1"/>
  <c r="C13535" i="1"/>
  <c r="D13535" i="1"/>
  <c r="E13535" i="1"/>
  <c r="F13535" i="1"/>
  <c r="G13535" i="1"/>
  <c r="H13535" i="1"/>
  <c r="A13536" i="1"/>
  <c r="B13536" i="1"/>
  <c r="C13536" i="1"/>
  <c r="D13536" i="1"/>
  <c r="E13536" i="1"/>
  <c r="F13536" i="1"/>
  <c r="G13536" i="1"/>
  <c r="H13536" i="1"/>
  <c r="A13537" i="1"/>
  <c r="B13537" i="1"/>
  <c r="C13537" i="1"/>
  <c r="D13537" i="1"/>
  <c r="E13537" i="1"/>
  <c r="F13537" i="1"/>
  <c r="G13537" i="1"/>
  <c r="H13537" i="1"/>
  <c r="A13538" i="1"/>
  <c r="B13538" i="1"/>
  <c r="C13538" i="1"/>
  <c r="D13538" i="1"/>
  <c r="E13538" i="1"/>
  <c r="F13538" i="1"/>
  <c r="G13538" i="1"/>
  <c r="H13538" i="1"/>
  <c r="A13539" i="1"/>
  <c r="B13539" i="1"/>
  <c r="C13539" i="1"/>
  <c r="D13539" i="1"/>
  <c r="E13539" i="1"/>
  <c r="F13539" i="1"/>
  <c r="G13539" i="1"/>
  <c r="H13539" i="1"/>
  <c r="A13540" i="1"/>
  <c r="B13540" i="1"/>
  <c r="C13540" i="1"/>
  <c r="D13540" i="1"/>
  <c r="E13540" i="1"/>
  <c r="F13540" i="1"/>
  <c r="G13540" i="1"/>
  <c r="H13540" i="1"/>
  <c r="A13541" i="1"/>
  <c r="B13541" i="1"/>
  <c r="C13541" i="1"/>
  <c r="D13541" i="1"/>
  <c r="E13541" i="1"/>
  <c r="F13541" i="1"/>
  <c r="G13541" i="1"/>
  <c r="H13541" i="1"/>
  <c r="A13542" i="1"/>
  <c r="B13542" i="1"/>
  <c r="C13542" i="1"/>
  <c r="D13542" i="1"/>
  <c r="E13542" i="1"/>
  <c r="F13542" i="1"/>
  <c r="G13542" i="1"/>
  <c r="H13542" i="1"/>
  <c r="A13543" i="1"/>
  <c r="B13543" i="1"/>
  <c r="C13543" i="1"/>
  <c r="D13543" i="1"/>
  <c r="E13543" i="1"/>
  <c r="F13543" i="1"/>
  <c r="G13543" i="1"/>
  <c r="H13543" i="1"/>
  <c r="A13544" i="1"/>
  <c r="B13544" i="1"/>
  <c r="C13544" i="1"/>
  <c r="D13544" i="1"/>
  <c r="E13544" i="1"/>
  <c r="F13544" i="1"/>
  <c r="G13544" i="1"/>
  <c r="H13544" i="1"/>
  <c r="A13545" i="1"/>
  <c r="B13545" i="1"/>
  <c r="C13545" i="1"/>
  <c r="D13545" i="1"/>
  <c r="E13545" i="1"/>
  <c r="F13545" i="1"/>
  <c r="G13545" i="1"/>
  <c r="H13545" i="1"/>
  <c r="A13546" i="1"/>
  <c r="B13546" i="1"/>
  <c r="C13546" i="1"/>
  <c r="D13546" i="1"/>
  <c r="E13546" i="1"/>
  <c r="F13546" i="1"/>
  <c r="G13546" i="1"/>
  <c r="H13546" i="1"/>
  <c r="A13547" i="1"/>
  <c r="B13547" i="1"/>
  <c r="C13547" i="1"/>
  <c r="D13547" i="1"/>
  <c r="E13547" i="1"/>
  <c r="F13547" i="1"/>
  <c r="G13547" i="1"/>
  <c r="H13547" i="1"/>
  <c r="A13548" i="1"/>
  <c r="B13548" i="1"/>
  <c r="C13548" i="1"/>
  <c r="D13548" i="1"/>
  <c r="E13548" i="1"/>
  <c r="F13548" i="1"/>
  <c r="G13548" i="1"/>
  <c r="H13548" i="1"/>
  <c r="A13549" i="1"/>
  <c r="B13549" i="1"/>
  <c r="C13549" i="1"/>
  <c r="D13549" i="1"/>
  <c r="E13549" i="1"/>
  <c r="F13549" i="1"/>
  <c r="G13549" i="1"/>
  <c r="H13549" i="1"/>
  <c r="A13550" i="1"/>
  <c r="B13550" i="1"/>
  <c r="C13550" i="1"/>
  <c r="D13550" i="1"/>
  <c r="E13550" i="1"/>
  <c r="F13550" i="1"/>
  <c r="G13550" i="1"/>
  <c r="H13550" i="1"/>
  <c r="A13551" i="1"/>
  <c r="B13551" i="1"/>
  <c r="C13551" i="1"/>
  <c r="D13551" i="1"/>
  <c r="E13551" i="1"/>
  <c r="F13551" i="1"/>
  <c r="G13551" i="1"/>
  <c r="H13551" i="1"/>
  <c r="A13552" i="1"/>
  <c r="B13552" i="1"/>
  <c r="C13552" i="1"/>
  <c r="D13552" i="1"/>
  <c r="E13552" i="1"/>
  <c r="F13552" i="1"/>
  <c r="G13552" i="1"/>
  <c r="H13552" i="1"/>
  <c r="A13553" i="1"/>
  <c r="B13553" i="1"/>
  <c r="C13553" i="1"/>
  <c r="D13553" i="1"/>
  <c r="E13553" i="1"/>
  <c r="F13553" i="1"/>
  <c r="G13553" i="1"/>
  <c r="H13553" i="1"/>
  <c r="A13554" i="1"/>
  <c r="B13554" i="1"/>
  <c r="C13554" i="1"/>
  <c r="D13554" i="1"/>
  <c r="E13554" i="1"/>
  <c r="F13554" i="1"/>
  <c r="G13554" i="1"/>
  <c r="H13554" i="1"/>
  <c r="A13555" i="1"/>
  <c r="B13555" i="1"/>
  <c r="C13555" i="1"/>
  <c r="D13555" i="1"/>
  <c r="E13555" i="1"/>
  <c r="F13555" i="1"/>
  <c r="G13555" i="1"/>
  <c r="H13555" i="1"/>
  <c r="A13556" i="1"/>
  <c r="B13556" i="1"/>
  <c r="C13556" i="1"/>
  <c r="D13556" i="1"/>
  <c r="E13556" i="1"/>
  <c r="F13556" i="1"/>
  <c r="G13556" i="1"/>
  <c r="H13556" i="1"/>
  <c r="A13557" i="1"/>
  <c r="B13557" i="1"/>
  <c r="C13557" i="1"/>
  <c r="D13557" i="1"/>
  <c r="E13557" i="1"/>
  <c r="F13557" i="1"/>
  <c r="G13557" i="1"/>
  <c r="H13557" i="1"/>
  <c r="A13558" i="1"/>
  <c r="B13558" i="1"/>
  <c r="C13558" i="1"/>
  <c r="D13558" i="1"/>
  <c r="E13558" i="1"/>
  <c r="F13558" i="1"/>
  <c r="G13558" i="1"/>
  <c r="H13558" i="1"/>
  <c r="A13559" i="1"/>
  <c r="B13559" i="1"/>
  <c r="C13559" i="1"/>
  <c r="D13559" i="1"/>
  <c r="E13559" i="1"/>
  <c r="F13559" i="1"/>
  <c r="G13559" i="1"/>
  <c r="H13559" i="1"/>
  <c r="A13560" i="1"/>
  <c r="B13560" i="1"/>
  <c r="C13560" i="1"/>
  <c r="D13560" i="1"/>
  <c r="E13560" i="1"/>
  <c r="F13560" i="1"/>
  <c r="G13560" i="1"/>
  <c r="H13560" i="1"/>
  <c r="A13561" i="1"/>
  <c r="B13561" i="1"/>
  <c r="C13561" i="1"/>
  <c r="D13561" i="1"/>
  <c r="E13561" i="1"/>
  <c r="F13561" i="1"/>
  <c r="G13561" i="1"/>
  <c r="H13561" i="1"/>
  <c r="A13562" i="1"/>
  <c r="B13562" i="1"/>
  <c r="C13562" i="1"/>
  <c r="D13562" i="1"/>
  <c r="E13562" i="1"/>
  <c r="F13562" i="1"/>
  <c r="G13562" i="1"/>
  <c r="H13562" i="1"/>
  <c r="A13563" i="1"/>
  <c r="B13563" i="1"/>
  <c r="C13563" i="1"/>
  <c r="D13563" i="1"/>
  <c r="E13563" i="1"/>
  <c r="F13563" i="1"/>
  <c r="G13563" i="1"/>
  <c r="H13563" i="1"/>
  <c r="A13564" i="1"/>
  <c r="B13564" i="1"/>
  <c r="C13564" i="1"/>
  <c r="D13564" i="1"/>
  <c r="E13564" i="1"/>
  <c r="F13564" i="1"/>
  <c r="G13564" i="1"/>
  <c r="H13564" i="1"/>
  <c r="A13565" i="1"/>
  <c r="B13565" i="1"/>
  <c r="C13565" i="1"/>
  <c r="D13565" i="1"/>
  <c r="E13565" i="1"/>
  <c r="F13565" i="1"/>
  <c r="G13565" i="1"/>
  <c r="H13565" i="1"/>
  <c r="A13566" i="1"/>
  <c r="B13566" i="1"/>
  <c r="C13566" i="1"/>
  <c r="D13566" i="1"/>
  <c r="E13566" i="1"/>
  <c r="F13566" i="1"/>
  <c r="G13566" i="1"/>
  <c r="H13566" i="1"/>
  <c r="A13567" i="1"/>
  <c r="B13567" i="1"/>
  <c r="C13567" i="1"/>
  <c r="D13567" i="1"/>
  <c r="E13567" i="1"/>
  <c r="F13567" i="1"/>
  <c r="G13567" i="1"/>
  <c r="H13567" i="1"/>
  <c r="A13568" i="1"/>
  <c r="B13568" i="1"/>
  <c r="C13568" i="1"/>
  <c r="D13568" i="1"/>
  <c r="E13568" i="1"/>
  <c r="F13568" i="1"/>
  <c r="G13568" i="1"/>
  <c r="H13568" i="1"/>
  <c r="A13569" i="1"/>
  <c r="B13569" i="1"/>
  <c r="C13569" i="1"/>
  <c r="D13569" i="1"/>
  <c r="E13569" i="1"/>
  <c r="F13569" i="1"/>
  <c r="G13569" i="1"/>
  <c r="H13569" i="1"/>
  <c r="A13570" i="1"/>
  <c r="B13570" i="1"/>
  <c r="C13570" i="1"/>
  <c r="D13570" i="1"/>
  <c r="E13570" i="1"/>
  <c r="F13570" i="1"/>
  <c r="G13570" i="1"/>
  <c r="H13570" i="1"/>
  <c r="A13571" i="1"/>
  <c r="B13571" i="1"/>
  <c r="C13571" i="1"/>
  <c r="D13571" i="1"/>
  <c r="E13571" i="1"/>
  <c r="F13571" i="1"/>
  <c r="G13571" i="1"/>
  <c r="H13571" i="1"/>
  <c r="A13572" i="1"/>
  <c r="B13572" i="1"/>
  <c r="C13572" i="1"/>
  <c r="D13572" i="1"/>
  <c r="E13572" i="1"/>
  <c r="F13572" i="1"/>
  <c r="G13572" i="1"/>
  <c r="H13572" i="1"/>
  <c r="A13573" i="1"/>
  <c r="B13573" i="1"/>
  <c r="C13573" i="1"/>
  <c r="D13573" i="1"/>
  <c r="E13573" i="1"/>
  <c r="F13573" i="1"/>
  <c r="G13573" i="1"/>
  <c r="H13573" i="1"/>
  <c r="A13574" i="1"/>
  <c r="B13574" i="1"/>
  <c r="C13574" i="1"/>
  <c r="D13574" i="1"/>
  <c r="E13574" i="1"/>
  <c r="F13574" i="1"/>
  <c r="G13574" i="1"/>
  <c r="H13574" i="1"/>
  <c r="A13575" i="1"/>
  <c r="B13575" i="1"/>
  <c r="C13575" i="1"/>
  <c r="D13575" i="1"/>
  <c r="E13575" i="1"/>
  <c r="F13575" i="1"/>
  <c r="G13575" i="1"/>
  <c r="H13575" i="1"/>
  <c r="A13576" i="1"/>
  <c r="B13576" i="1"/>
  <c r="C13576" i="1"/>
  <c r="D13576" i="1"/>
  <c r="E13576" i="1"/>
  <c r="F13576" i="1"/>
  <c r="G13576" i="1"/>
  <c r="H13576" i="1"/>
  <c r="A13577" i="1"/>
  <c r="B13577" i="1"/>
  <c r="C13577" i="1"/>
  <c r="D13577" i="1"/>
  <c r="E13577" i="1"/>
  <c r="F13577" i="1"/>
  <c r="G13577" i="1"/>
  <c r="H13577" i="1"/>
  <c r="A13578" i="1"/>
  <c r="B13578" i="1"/>
  <c r="C13578" i="1"/>
  <c r="D13578" i="1"/>
  <c r="E13578" i="1"/>
  <c r="F13578" i="1"/>
  <c r="G13578" i="1"/>
  <c r="H13578" i="1"/>
  <c r="A13579" i="1"/>
  <c r="B13579" i="1"/>
  <c r="C13579" i="1"/>
  <c r="D13579" i="1"/>
  <c r="E13579" i="1"/>
  <c r="F13579" i="1"/>
  <c r="G13579" i="1"/>
  <c r="H13579" i="1"/>
  <c r="A13580" i="1"/>
  <c r="B13580" i="1"/>
  <c r="C13580" i="1"/>
  <c r="D13580" i="1"/>
  <c r="E13580" i="1"/>
  <c r="F13580" i="1"/>
  <c r="G13580" i="1"/>
  <c r="H13580" i="1"/>
  <c r="A13581" i="1"/>
  <c r="B13581" i="1"/>
  <c r="C13581" i="1"/>
  <c r="D13581" i="1"/>
  <c r="E13581" i="1"/>
  <c r="F13581" i="1"/>
  <c r="G13581" i="1"/>
  <c r="H13581" i="1"/>
  <c r="A13582" i="1"/>
  <c r="B13582" i="1"/>
  <c r="C13582" i="1"/>
  <c r="D13582" i="1"/>
  <c r="E13582" i="1"/>
  <c r="F13582" i="1"/>
  <c r="G13582" i="1"/>
  <c r="H13582" i="1"/>
  <c r="A13583" i="1"/>
  <c r="B13583" i="1"/>
  <c r="C13583" i="1"/>
  <c r="D13583" i="1"/>
  <c r="E13583" i="1"/>
  <c r="F13583" i="1"/>
  <c r="G13583" i="1"/>
  <c r="H13583" i="1"/>
  <c r="A13584" i="1"/>
  <c r="B13584" i="1"/>
  <c r="C13584" i="1"/>
  <c r="D13584" i="1"/>
  <c r="E13584" i="1"/>
  <c r="F13584" i="1"/>
  <c r="G13584" i="1"/>
  <c r="H13584" i="1"/>
  <c r="A13585" i="1"/>
  <c r="B13585" i="1"/>
  <c r="C13585" i="1"/>
  <c r="D13585" i="1"/>
  <c r="E13585" i="1"/>
  <c r="F13585" i="1"/>
  <c r="G13585" i="1"/>
  <c r="H13585" i="1"/>
  <c r="A13586" i="1"/>
  <c r="B13586" i="1"/>
  <c r="C13586" i="1"/>
  <c r="D13586" i="1"/>
  <c r="E13586" i="1"/>
  <c r="F13586" i="1"/>
  <c r="G13586" i="1"/>
  <c r="H13586" i="1"/>
  <c r="A13587" i="1"/>
  <c r="B13587" i="1"/>
  <c r="C13587" i="1"/>
  <c r="D13587" i="1"/>
  <c r="E13587" i="1"/>
  <c r="F13587" i="1"/>
  <c r="G13587" i="1"/>
  <c r="H13587" i="1"/>
  <c r="A13588" i="1"/>
  <c r="B13588" i="1"/>
  <c r="C13588" i="1"/>
  <c r="D13588" i="1"/>
  <c r="E13588" i="1"/>
  <c r="F13588" i="1"/>
  <c r="G13588" i="1"/>
  <c r="H13588" i="1"/>
  <c r="A13589" i="1"/>
  <c r="B13589" i="1"/>
  <c r="C13589" i="1"/>
  <c r="D13589" i="1"/>
  <c r="E13589" i="1"/>
  <c r="F13589" i="1"/>
  <c r="G13589" i="1"/>
  <c r="H13589" i="1"/>
  <c r="A13590" i="1"/>
  <c r="B13590" i="1"/>
  <c r="C13590" i="1"/>
  <c r="D13590" i="1"/>
  <c r="E13590" i="1"/>
  <c r="F13590" i="1"/>
  <c r="G13590" i="1"/>
  <c r="H13590" i="1"/>
  <c r="A13591" i="1"/>
  <c r="B13591" i="1"/>
  <c r="C13591" i="1"/>
  <c r="D13591" i="1"/>
  <c r="E13591" i="1"/>
  <c r="F13591" i="1"/>
  <c r="G13591" i="1"/>
  <c r="H13591" i="1"/>
  <c r="A13592" i="1"/>
  <c r="B13592" i="1"/>
  <c r="C13592" i="1"/>
  <c r="D13592" i="1"/>
  <c r="E13592" i="1"/>
  <c r="F13592" i="1"/>
  <c r="G13592" i="1"/>
  <c r="H13592" i="1"/>
  <c r="A13593" i="1"/>
  <c r="B13593" i="1"/>
  <c r="C13593" i="1"/>
  <c r="D13593" i="1"/>
  <c r="E13593" i="1"/>
  <c r="F13593" i="1"/>
  <c r="G13593" i="1"/>
  <c r="H13593" i="1"/>
  <c r="A13594" i="1"/>
  <c r="B13594" i="1"/>
  <c r="C13594" i="1"/>
  <c r="D13594" i="1"/>
  <c r="E13594" i="1"/>
  <c r="F13594" i="1"/>
  <c r="G13594" i="1"/>
  <c r="H13594" i="1"/>
  <c r="A13595" i="1"/>
  <c r="B13595" i="1"/>
  <c r="C13595" i="1"/>
  <c r="D13595" i="1"/>
  <c r="E13595" i="1"/>
  <c r="F13595" i="1"/>
  <c r="G13595" i="1"/>
  <c r="H13595" i="1"/>
  <c r="A13596" i="1"/>
  <c r="B13596" i="1"/>
  <c r="C13596" i="1"/>
  <c r="D13596" i="1"/>
  <c r="E13596" i="1"/>
  <c r="F13596" i="1"/>
  <c r="G13596" i="1"/>
  <c r="H13596" i="1"/>
  <c r="A13597" i="1"/>
  <c r="B13597" i="1"/>
  <c r="C13597" i="1"/>
  <c r="D13597" i="1"/>
  <c r="E13597" i="1"/>
  <c r="F13597" i="1"/>
  <c r="G13597" i="1"/>
  <c r="H13597" i="1"/>
  <c r="A13598" i="1"/>
  <c r="B13598" i="1"/>
  <c r="C13598" i="1"/>
  <c r="D13598" i="1"/>
  <c r="E13598" i="1"/>
  <c r="F13598" i="1"/>
  <c r="G13598" i="1"/>
  <c r="H13598" i="1"/>
  <c r="A13599" i="1"/>
  <c r="B13599" i="1"/>
  <c r="C13599" i="1"/>
  <c r="D13599" i="1"/>
  <c r="E13599" i="1"/>
  <c r="F13599" i="1"/>
  <c r="G13599" i="1"/>
  <c r="H13599" i="1"/>
  <c r="A13600" i="1"/>
  <c r="B13600" i="1"/>
  <c r="C13600" i="1"/>
  <c r="D13600" i="1"/>
  <c r="E13600" i="1"/>
  <c r="F13600" i="1"/>
  <c r="G13600" i="1"/>
  <c r="H13600" i="1"/>
  <c r="A13601" i="1"/>
  <c r="B13601" i="1"/>
  <c r="C13601" i="1"/>
  <c r="D13601" i="1"/>
  <c r="E13601" i="1"/>
  <c r="F13601" i="1"/>
  <c r="G13601" i="1"/>
  <c r="H13601" i="1"/>
  <c r="A13602" i="1"/>
  <c r="B13602" i="1"/>
  <c r="C13602" i="1"/>
  <c r="D13602" i="1"/>
  <c r="E13602" i="1"/>
  <c r="F13602" i="1"/>
  <c r="G13602" i="1"/>
  <c r="H13602" i="1"/>
  <c r="A13603" i="1"/>
  <c r="B13603" i="1"/>
  <c r="C13603" i="1"/>
  <c r="D13603" i="1"/>
  <c r="E13603" i="1"/>
  <c r="F13603" i="1"/>
  <c r="G13603" i="1"/>
  <c r="H13603" i="1"/>
  <c r="A13604" i="1"/>
  <c r="B13604" i="1"/>
  <c r="C13604" i="1"/>
  <c r="D13604" i="1"/>
  <c r="E13604" i="1"/>
  <c r="F13604" i="1"/>
  <c r="G13604" i="1"/>
  <c r="H13604" i="1"/>
  <c r="A13605" i="1"/>
  <c r="B13605" i="1"/>
  <c r="C13605" i="1"/>
  <c r="D13605" i="1"/>
  <c r="E13605" i="1"/>
  <c r="F13605" i="1"/>
  <c r="G13605" i="1"/>
  <c r="H13605" i="1"/>
  <c r="A13606" i="1"/>
  <c r="B13606" i="1"/>
  <c r="C13606" i="1"/>
  <c r="D13606" i="1"/>
  <c r="E13606" i="1"/>
  <c r="F13606" i="1"/>
  <c r="G13606" i="1"/>
  <c r="H13606" i="1"/>
  <c r="A13607" i="1"/>
  <c r="B13607" i="1"/>
  <c r="C13607" i="1"/>
  <c r="D13607" i="1"/>
  <c r="E13607" i="1"/>
  <c r="F13607" i="1"/>
  <c r="G13607" i="1"/>
  <c r="H13607" i="1"/>
  <c r="A13608" i="1"/>
  <c r="B13608" i="1"/>
  <c r="C13608" i="1"/>
  <c r="D13608" i="1"/>
  <c r="E13608" i="1"/>
  <c r="F13608" i="1"/>
  <c r="G13608" i="1"/>
  <c r="H13608" i="1"/>
  <c r="A13609" i="1"/>
  <c r="B13609" i="1"/>
  <c r="C13609" i="1"/>
  <c r="D13609" i="1"/>
  <c r="E13609" i="1"/>
  <c r="F13609" i="1"/>
  <c r="G13609" i="1"/>
  <c r="H13609" i="1"/>
  <c r="A13610" i="1"/>
  <c r="B13610" i="1"/>
  <c r="C13610" i="1"/>
  <c r="D13610" i="1"/>
  <c r="E13610" i="1"/>
  <c r="F13610" i="1"/>
  <c r="G13610" i="1"/>
  <c r="H13610" i="1"/>
  <c r="A13611" i="1"/>
  <c r="B13611" i="1"/>
  <c r="C13611" i="1"/>
  <c r="D13611" i="1"/>
  <c r="E13611" i="1"/>
  <c r="F13611" i="1"/>
  <c r="G13611" i="1"/>
  <c r="H13611" i="1"/>
  <c r="A13612" i="1"/>
  <c r="B13612" i="1"/>
  <c r="C13612" i="1"/>
  <c r="D13612" i="1"/>
  <c r="E13612" i="1"/>
  <c r="F13612" i="1"/>
  <c r="G13612" i="1"/>
  <c r="H13612" i="1"/>
  <c r="A13613" i="1"/>
  <c r="B13613" i="1"/>
  <c r="C13613" i="1"/>
  <c r="D13613" i="1"/>
  <c r="E13613" i="1"/>
  <c r="F13613" i="1"/>
  <c r="G13613" i="1"/>
  <c r="H13613" i="1"/>
  <c r="A13614" i="1"/>
  <c r="B13614" i="1"/>
  <c r="C13614" i="1"/>
  <c r="D13614" i="1"/>
  <c r="E13614" i="1"/>
  <c r="F13614" i="1"/>
  <c r="G13614" i="1"/>
  <c r="H13614" i="1"/>
  <c r="A13615" i="1"/>
  <c r="B13615" i="1"/>
  <c r="C13615" i="1"/>
  <c r="D13615" i="1"/>
  <c r="E13615" i="1"/>
  <c r="F13615" i="1"/>
  <c r="G13615" i="1"/>
  <c r="H13615" i="1"/>
  <c r="A13616" i="1"/>
  <c r="B13616" i="1"/>
  <c r="C13616" i="1"/>
  <c r="D13616" i="1"/>
  <c r="E13616" i="1"/>
  <c r="F13616" i="1"/>
  <c r="G13616" i="1"/>
  <c r="H13616" i="1"/>
  <c r="A13617" i="1"/>
  <c r="B13617" i="1"/>
  <c r="C13617" i="1"/>
  <c r="D13617" i="1"/>
  <c r="E13617" i="1"/>
  <c r="F13617" i="1"/>
  <c r="G13617" i="1"/>
  <c r="H13617" i="1"/>
  <c r="A13618" i="1"/>
  <c r="B13618" i="1"/>
  <c r="C13618" i="1"/>
  <c r="D13618" i="1"/>
  <c r="E13618" i="1"/>
  <c r="F13618" i="1"/>
  <c r="G13618" i="1"/>
  <c r="H13618" i="1"/>
  <c r="A13619" i="1"/>
  <c r="B13619" i="1"/>
  <c r="C13619" i="1"/>
  <c r="D13619" i="1"/>
  <c r="E13619" i="1"/>
  <c r="F13619" i="1"/>
  <c r="G13619" i="1"/>
  <c r="H13619" i="1"/>
  <c r="A13620" i="1"/>
  <c r="B13620" i="1"/>
  <c r="C13620" i="1"/>
  <c r="D13620" i="1"/>
  <c r="E13620" i="1"/>
  <c r="F13620" i="1"/>
  <c r="G13620" i="1"/>
  <c r="H13620" i="1"/>
  <c r="A13621" i="1"/>
  <c r="B13621" i="1"/>
  <c r="C13621" i="1"/>
  <c r="D13621" i="1"/>
  <c r="E13621" i="1"/>
  <c r="F13621" i="1"/>
  <c r="G13621" i="1"/>
  <c r="H13621" i="1"/>
  <c r="A13622" i="1"/>
  <c r="B13622" i="1"/>
  <c r="C13622" i="1"/>
  <c r="D13622" i="1"/>
  <c r="E13622" i="1"/>
  <c r="F13622" i="1"/>
  <c r="G13622" i="1"/>
  <c r="H13622" i="1"/>
  <c r="A13623" i="1"/>
  <c r="B13623" i="1"/>
  <c r="C13623" i="1"/>
  <c r="D13623" i="1"/>
  <c r="E13623" i="1"/>
  <c r="F13623" i="1"/>
  <c r="G13623" i="1"/>
  <c r="H13623" i="1"/>
  <c r="A13624" i="1"/>
  <c r="B13624" i="1"/>
  <c r="C13624" i="1"/>
  <c r="D13624" i="1"/>
  <c r="E13624" i="1"/>
  <c r="F13624" i="1"/>
  <c r="G13624" i="1"/>
  <c r="H13624" i="1"/>
  <c r="A13625" i="1"/>
  <c r="B13625" i="1"/>
  <c r="C13625" i="1"/>
  <c r="D13625" i="1"/>
  <c r="E13625" i="1"/>
  <c r="F13625" i="1"/>
  <c r="G13625" i="1"/>
  <c r="H13625" i="1"/>
  <c r="A13626" i="1"/>
  <c r="B13626" i="1"/>
  <c r="C13626" i="1"/>
  <c r="D13626" i="1"/>
  <c r="E13626" i="1"/>
  <c r="F13626" i="1"/>
  <c r="G13626" i="1"/>
  <c r="H13626" i="1"/>
  <c r="A13627" i="1"/>
  <c r="B13627" i="1"/>
  <c r="C13627" i="1"/>
  <c r="D13627" i="1"/>
  <c r="E13627" i="1"/>
  <c r="F13627" i="1"/>
  <c r="G13627" i="1"/>
  <c r="H13627" i="1"/>
  <c r="A13628" i="1"/>
  <c r="B13628" i="1"/>
  <c r="C13628" i="1"/>
  <c r="D13628" i="1"/>
  <c r="E13628" i="1"/>
  <c r="F13628" i="1"/>
  <c r="G13628" i="1"/>
  <c r="H13628" i="1"/>
  <c r="A13629" i="1"/>
  <c r="B13629" i="1"/>
  <c r="C13629" i="1"/>
  <c r="D13629" i="1"/>
  <c r="E13629" i="1"/>
  <c r="F13629" i="1"/>
  <c r="G13629" i="1"/>
  <c r="H13629" i="1"/>
  <c r="A13630" i="1"/>
  <c r="B13630" i="1"/>
  <c r="C13630" i="1"/>
  <c r="D13630" i="1"/>
  <c r="E13630" i="1"/>
  <c r="F13630" i="1"/>
  <c r="G13630" i="1"/>
  <c r="H13630" i="1"/>
  <c r="A13631" i="1"/>
  <c r="B13631" i="1"/>
  <c r="C13631" i="1"/>
  <c r="D13631" i="1"/>
  <c r="E13631" i="1"/>
  <c r="F13631" i="1"/>
  <c r="G13631" i="1"/>
  <c r="H13631" i="1"/>
  <c r="A13632" i="1"/>
  <c r="B13632" i="1"/>
  <c r="C13632" i="1"/>
  <c r="D13632" i="1"/>
  <c r="E13632" i="1"/>
  <c r="F13632" i="1"/>
  <c r="G13632" i="1"/>
  <c r="H13632" i="1"/>
  <c r="A13633" i="1"/>
  <c r="B13633" i="1"/>
  <c r="C13633" i="1"/>
  <c r="D13633" i="1"/>
  <c r="E13633" i="1"/>
  <c r="F13633" i="1"/>
  <c r="G13633" i="1"/>
  <c r="H13633" i="1"/>
  <c r="A13634" i="1"/>
  <c r="B13634" i="1"/>
  <c r="C13634" i="1"/>
  <c r="D13634" i="1"/>
  <c r="E13634" i="1"/>
  <c r="F13634" i="1"/>
  <c r="G13634" i="1"/>
  <c r="H13634" i="1"/>
  <c r="A13635" i="1"/>
  <c r="B13635" i="1"/>
  <c r="C13635" i="1"/>
  <c r="D13635" i="1"/>
  <c r="E13635" i="1"/>
  <c r="F13635" i="1"/>
  <c r="G13635" i="1"/>
  <c r="H13635" i="1"/>
  <c r="A13636" i="1"/>
  <c r="B13636" i="1"/>
  <c r="C13636" i="1"/>
  <c r="D13636" i="1"/>
  <c r="E13636" i="1"/>
  <c r="F13636" i="1"/>
  <c r="G13636" i="1"/>
  <c r="H13636" i="1"/>
  <c r="A13637" i="1"/>
  <c r="B13637" i="1"/>
  <c r="C13637" i="1"/>
  <c r="D13637" i="1"/>
  <c r="E13637" i="1"/>
  <c r="F13637" i="1"/>
  <c r="G13637" i="1"/>
  <c r="H13637" i="1"/>
  <c r="A13638" i="1"/>
  <c r="B13638" i="1"/>
  <c r="C13638" i="1"/>
  <c r="D13638" i="1"/>
  <c r="E13638" i="1"/>
  <c r="F13638" i="1"/>
  <c r="G13638" i="1"/>
  <c r="H13638" i="1"/>
  <c r="A13639" i="1"/>
  <c r="B13639" i="1"/>
  <c r="C13639" i="1"/>
  <c r="D13639" i="1"/>
  <c r="E13639" i="1"/>
  <c r="F13639" i="1"/>
  <c r="G13639" i="1"/>
  <c r="H13639" i="1"/>
  <c r="A13640" i="1"/>
  <c r="B13640" i="1"/>
  <c r="C13640" i="1"/>
  <c r="D13640" i="1"/>
  <c r="E13640" i="1"/>
  <c r="F13640" i="1"/>
  <c r="G13640" i="1"/>
  <c r="H13640" i="1"/>
  <c r="A13641" i="1"/>
  <c r="B13641" i="1"/>
  <c r="C13641" i="1"/>
  <c r="D13641" i="1"/>
  <c r="E13641" i="1"/>
  <c r="F13641" i="1"/>
  <c r="G13641" i="1"/>
  <c r="H13641" i="1"/>
  <c r="A13642" i="1"/>
  <c r="B13642" i="1"/>
  <c r="C13642" i="1"/>
  <c r="D13642" i="1"/>
  <c r="E13642" i="1"/>
  <c r="F13642" i="1"/>
  <c r="G13642" i="1"/>
  <c r="H13642" i="1"/>
  <c r="A13643" i="1"/>
  <c r="B13643" i="1"/>
  <c r="C13643" i="1"/>
  <c r="D13643" i="1"/>
  <c r="E13643" i="1"/>
  <c r="F13643" i="1"/>
  <c r="G13643" i="1"/>
  <c r="H13643" i="1"/>
  <c r="A13644" i="1"/>
  <c r="B13644" i="1"/>
  <c r="C13644" i="1"/>
  <c r="D13644" i="1"/>
  <c r="E13644" i="1"/>
  <c r="F13644" i="1"/>
  <c r="G13644" i="1"/>
  <c r="H13644" i="1"/>
  <c r="A13645" i="1"/>
  <c r="B13645" i="1"/>
  <c r="C13645" i="1"/>
  <c r="D13645" i="1"/>
  <c r="E13645" i="1"/>
  <c r="F13645" i="1"/>
  <c r="G13645" i="1"/>
  <c r="H13645" i="1"/>
  <c r="A13646" i="1"/>
  <c r="B13646" i="1"/>
  <c r="C13646" i="1"/>
  <c r="D13646" i="1"/>
  <c r="E13646" i="1"/>
  <c r="F13646" i="1"/>
  <c r="G13646" i="1"/>
  <c r="H13646" i="1"/>
  <c r="A13647" i="1"/>
  <c r="B13647" i="1"/>
  <c r="C13647" i="1"/>
  <c r="D13647" i="1"/>
  <c r="E13647" i="1"/>
  <c r="F13647" i="1"/>
  <c r="G13647" i="1"/>
  <c r="H13647" i="1"/>
  <c r="A13648" i="1"/>
  <c r="B13648" i="1"/>
  <c r="C13648" i="1"/>
  <c r="D13648" i="1"/>
  <c r="E13648" i="1"/>
  <c r="F13648" i="1"/>
  <c r="G13648" i="1"/>
  <c r="H13648" i="1"/>
  <c r="A13649" i="1"/>
  <c r="B13649" i="1"/>
  <c r="C13649" i="1"/>
  <c r="D13649" i="1"/>
  <c r="E13649" i="1"/>
  <c r="F13649" i="1"/>
  <c r="G13649" i="1"/>
  <c r="H13649" i="1"/>
  <c r="A13650" i="1"/>
  <c r="B13650" i="1"/>
  <c r="C13650" i="1"/>
  <c r="D13650" i="1"/>
  <c r="E13650" i="1"/>
  <c r="F13650" i="1"/>
  <c r="G13650" i="1"/>
  <c r="H13650" i="1"/>
  <c r="A13651" i="1"/>
  <c r="B13651" i="1"/>
  <c r="C13651" i="1"/>
  <c r="D13651" i="1"/>
  <c r="E13651" i="1"/>
  <c r="F13651" i="1"/>
  <c r="G13651" i="1"/>
  <c r="H13651" i="1"/>
  <c r="A13652" i="1"/>
  <c r="B13652" i="1"/>
  <c r="C13652" i="1"/>
  <c r="D13652" i="1"/>
  <c r="E13652" i="1"/>
  <c r="F13652" i="1"/>
  <c r="G13652" i="1"/>
  <c r="H13652" i="1"/>
  <c r="A13653" i="1"/>
  <c r="B13653" i="1"/>
  <c r="C13653" i="1"/>
  <c r="D13653" i="1"/>
  <c r="E13653" i="1"/>
  <c r="F13653" i="1"/>
  <c r="G13653" i="1"/>
  <c r="H13653" i="1"/>
  <c r="A13654" i="1"/>
  <c r="B13654" i="1"/>
  <c r="C13654" i="1"/>
  <c r="D13654" i="1"/>
  <c r="E13654" i="1"/>
  <c r="F13654" i="1"/>
  <c r="G13654" i="1"/>
  <c r="H13654" i="1"/>
  <c r="A13655" i="1"/>
  <c r="B13655" i="1"/>
  <c r="C13655" i="1"/>
  <c r="D13655" i="1"/>
  <c r="E13655" i="1"/>
  <c r="F13655" i="1"/>
  <c r="G13655" i="1"/>
  <c r="H13655" i="1"/>
  <c r="A13656" i="1"/>
  <c r="B13656" i="1"/>
  <c r="C13656" i="1"/>
  <c r="D13656" i="1"/>
  <c r="E13656" i="1"/>
  <c r="F13656" i="1"/>
  <c r="G13656" i="1"/>
  <c r="H13656" i="1"/>
  <c r="A13657" i="1"/>
  <c r="B13657" i="1"/>
  <c r="C13657" i="1"/>
  <c r="D13657" i="1"/>
  <c r="E13657" i="1"/>
  <c r="F13657" i="1"/>
  <c r="G13657" i="1"/>
  <c r="H13657" i="1"/>
  <c r="A13658" i="1"/>
  <c r="B13658" i="1"/>
  <c r="C13658" i="1"/>
  <c r="D13658" i="1"/>
  <c r="E13658" i="1"/>
  <c r="F13658" i="1"/>
  <c r="G13658" i="1"/>
  <c r="H13658" i="1"/>
  <c r="A13659" i="1"/>
  <c r="B13659" i="1"/>
  <c r="C13659" i="1"/>
  <c r="D13659" i="1"/>
  <c r="E13659" i="1"/>
  <c r="F13659" i="1"/>
  <c r="G13659" i="1"/>
  <c r="H13659" i="1"/>
  <c r="A13660" i="1"/>
  <c r="B13660" i="1"/>
  <c r="C13660" i="1"/>
  <c r="D13660" i="1"/>
  <c r="E13660" i="1"/>
  <c r="F13660" i="1"/>
  <c r="G13660" i="1"/>
  <c r="H13660" i="1"/>
  <c r="A13661" i="1"/>
  <c r="B13661" i="1"/>
  <c r="C13661" i="1"/>
  <c r="D13661" i="1"/>
  <c r="E13661" i="1"/>
  <c r="F13661" i="1"/>
  <c r="G13661" i="1"/>
  <c r="H13661" i="1"/>
  <c r="A13662" i="1"/>
  <c r="B13662" i="1"/>
  <c r="C13662" i="1"/>
  <c r="D13662" i="1"/>
  <c r="E13662" i="1"/>
  <c r="F13662" i="1"/>
  <c r="G13662" i="1"/>
  <c r="H13662" i="1"/>
  <c r="A13663" i="1"/>
  <c r="B13663" i="1"/>
  <c r="C13663" i="1"/>
  <c r="D13663" i="1"/>
  <c r="E13663" i="1"/>
  <c r="F13663" i="1"/>
  <c r="G13663" i="1"/>
  <c r="H13663" i="1"/>
  <c r="A13664" i="1"/>
  <c r="B13664" i="1"/>
  <c r="C13664" i="1"/>
  <c r="D13664" i="1"/>
  <c r="E13664" i="1"/>
  <c r="F13664" i="1"/>
  <c r="G13664" i="1"/>
  <c r="H13664" i="1"/>
  <c r="A13665" i="1"/>
  <c r="B13665" i="1"/>
  <c r="C13665" i="1"/>
  <c r="D13665" i="1"/>
  <c r="E13665" i="1"/>
  <c r="F13665" i="1"/>
  <c r="G13665" i="1"/>
  <c r="H13665" i="1"/>
  <c r="A13666" i="1"/>
  <c r="B13666" i="1"/>
  <c r="C13666" i="1"/>
  <c r="D13666" i="1"/>
  <c r="E13666" i="1"/>
  <c r="F13666" i="1"/>
  <c r="G13666" i="1"/>
  <c r="H13666" i="1"/>
  <c r="A13667" i="1"/>
  <c r="B13667" i="1"/>
  <c r="C13667" i="1"/>
  <c r="D13667" i="1"/>
  <c r="E13667" i="1"/>
  <c r="F13667" i="1"/>
  <c r="G13667" i="1"/>
  <c r="H13667" i="1"/>
  <c r="A13668" i="1"/>
  <c r="B13668" i="1"/>
  <c r="C13668" i="1"/>
  <c r="D13668" i="1"/>
  <c r="E13668" i="1"/>
  <c r="F13668" i="1"/>
  <c r="G13668" i="1"/>
  <c r="H13668" i="1"/>
  <c r="A13669" i="1"/>
  <c r="B13669" i="1"/>
  <c r="C13669" i="1"/>
  <c r="D13669" i="1"/>
  <c r="E13669" i="1"/>
  <c r="F13669" i="1"/>
  <c r="G13669" i="1"/>
  <c r="H13669" i="1"/>
  <c r="A13670" i="1"/>
  <c r="B13670" i="1"/>
  <c r="C13670" i="1"/>
  <c r="D13670" i="1"/>
  <c r="E13670" i="1"/>
  <c r="F13670" i="1"/>
  <c r="G13670" i="1"/>
  <c r="H13670" i="1"/>
  <c r="A13671" i="1"/>
  <c r="B13671" i="1"/>
  <c r="C13671" i="1"/>
  <c r="D13671" i="1"/>
  <c r="E13671" i="1"/>
  <c r="F13671" i="1"/>
  <c r="G13671" i="1"/>
  <c r="H13671" i="1"/>
  <c r="A13672" i="1"/>
  <c r="B13672" i="1"/>
  <c r="C13672" i="1"/>
  <c r="D13672" i="1"/>
  <c r="E13672" i="1"/>
  <c r="F13672" i="1"/>
  <c r="G13672" i="1"/>
  <c r="H13672" i="1"/>
  <c r="A13673" i="1"/>
  <c r="B13673" i="1"/>
  <c r="C13673" i="1"/>
  <c r="D13673" i="1"/>
  <c r="E13673" i="1"/>
  <c r="F13673" i="1"/>
  <c r="G13673" i="1"/>
  <c r="H13673" i="1"/>
  <c r="A13674" i="1"/>
  <c r="B13674" i="1"/>
  <c r="C13674" i="1"/>
  <c r="D13674" i="1"/>
  <c r="E13674" i="1"/>
  <c r="F13674" i="1"/>
  <c r="G13674" i="1"/>
  <c r="H13674" i="1"/>
  <c r="A13675" i="1"/>
  <c r="B13675" i="1"/>
  <c r="C13675" i="1"/>
  <c r="D13675" i="1"/>
  <c r="E13675" i="1"/>
  <c r="F13675" i="1"/>
  <c r="G13675" i="1"/>
  <c r="H13675" i="1"/>
  <c r="A13676" i="1"/>
  <c r="B13676" i="1"/>
  <c r="C13676" i="1"/>
  <c r="D13676" i="1"/>
  <c r="E13676" i="1"/>
  <c r="F13676" i="1"/>
  <c r="G13676" i="1"/>
  <c r="H13676" i="1"/>
  <c r="A13677" i="1"/>
  <c r="B13677" i="1"/>
  <c r="C13677" i="1"/>
  <c r="D13677" i="1"/>
  <c r="E13677" i="1"/>
  <c r="F13677" i="1"/>
  <c r="G13677" i="1"/>
  <c r="H13677" i="1"/>
  <c r="A13678" i="1"/>
  <c r="B13678" i="1"/>
  <c r="C13678" i="1"/>
  <c r="D13678" i="1"/>
  <c r="E13678" i="1"/>
  <c r="F13678" i="1"/>
  <c r="G13678" i="1"/>
  <c r="H13678" i="1"/>
  <c r="A13679" i="1"/>
  <c r="B13679" i="1"/>
  <c r="C13679" i="1"/>
  <c r="D13679" i="1"/>
  <c r="E13679" i="1"/>
  <c r="F13679" i="1"/>
  <c r="G13679" i="1"/>
  <c r="H13679" i="1"/>
  <c r="A13680" i="1"/>
  <c r="B13680" i="1"/>
  <c r="C13680" i="1"/>
  <c r="D13680" i="1"/>
  <c r="E13680" i="1"/>
  <c r="F13680" i="1"/>
  <c r="G13680" i="1"/>
  <c r="H13680" i="1"/>
  <c r="A13681" i="1"/>
  <c r="B13681" i="1"/>
  <c r="C13681" i="1"/>
  <c r="D13681" i="1"/>
  <c r="E13681" i="1"/>
  <c r="F13681" i="1"/>
  <c r="G13681" i="1"/>
  <c r="H13681" i="1"/>
  <c r="A13682" i="1"/>
  <c r="B13682" i="1"/>
  <c r="C13682" i="1"/>
  <c r="D13682" i="1"/>
  <c r="E13682" i="1"/>
  <c r="F13682" i="1"/>
  <c r="G13682" i="1"/>
  <c r="H13682" i="1"/>
  <c r="A13683" i="1"/>
  <c r="B13683" i="1"/>
  <c r="C13683" i="1"/>
  <c r="D13683" i="1"/>
  <c r="E13683" i="1"/>
  <c r="F13683" i="1"/>
  <c r="G13683" i="1"/>
  <c r="H13683" i="1"/>
  <c r="A13684" i="1"/>
  <c r="B13684" i="1"/>
  <c r="C13684" i="1"/>
  <c r="D13684" i="1"/>
  <c r="E13684" i="1"/>
  <c r="F13684" i="1"/>
  <c r="G13684" i="1"/>
  <c r="H13684" i="1"/>
  <c r="A13685" i="1"/>
  <c r="B13685" i="1"/>
  <c r="C13685" i="1"/>
  <c r="D13685" i="1"/>
  <c r="E13685" i="1"/>
  <c r="F13685" i="1"/>
  <c r="G13685" i="1"/>
  <c r="H13685" i="1"/>
  <c r="A13686" i="1"/>
  <c r="B13686" i="1"/>
  <c r="C13686" i="1"/>
  <c r="D13686" i="1"/>
  <c r="E13686" i="1"/>
  <c r="F13686" i="1"/>
  <c r="G13686" i="1"/>
  <c r="H13686" i="1"/>
  <c r="A13687" i="1"/>
  <c r="B13687" i="1"/>
  <c r="C13687" i="1"/>
  <c r="D13687" i="1"/>
  <c r="E13687" i="1"/>
  <c r="F13687" i="1"/>
  <c r="G13687" i="1"/>
  <c r="H13687" i="1"/>
  <c r="A13688" i="1"/>
  <c r="B13688" i="1"/>
  <c r="C13688" i="1"/>
  <c r="D13688" i="1"/>
  <c r="E13688" i="1"/>
  <c r="F13688" i="1"/>
  <c r="G13688" i="1"/>
  <c r="H13688" i="1"/>
  <c r="A13689" i="1"/>
  <c r="B13689" i="1"/>
  <c r="C13689" i="1"/>
  <c r="D13689" i="1"/>
  <c r="E13689" i="1"/>
  <c r="F13689" i="1"/>
  <c r="G13689" i="1"/>
  <c r="H13689" i="1"/>
  <c r="A13690" i="1"/>
  <c r="B13690" i="1"/>
  <c r="C13690" i="1"/>
  <c r="D13690" i="1"/>
  <c r="E13690" i="1"/>
  <c r="F13690" i="1"/>
  <c r="G13690" i="1"/>
  <c r="H13690" i="1"/>
  <c r="A13691" i="1"/>
  <c r="B13691" i="1"/>
  <c r="C13691" i="1"/>
  <c r="D13691" i="1"/>
  <c r="E13691" i="1"/>
  <c r="F13691" i="1"/>
  <c r="G13691" i="1"/>
  <c r="H13691" i="1"/>
  <c r="A13692" i="1"/>
  <c r="B13692" i="1"/>
  <c r="C13692" i="1"/>
  <c r="D13692" i="1"/>
  <c r="E13692" i="1"/>
  <c r="F13692" i="1"/>
  <c r="G13692" i="1"/>
  <c r="H13692" i="1"/>
  <c r="A13693" i="1"/>
  <c r="B13693" i="1"/>
  <c r="C13693" i="1"/>
  <c r="D13693" i="1"/>
  <c r="E13693" i="1"/>
  <c r="F13693" i="1"/>
  <c r="G13693" i="1"/>
  <c r="H13693" i="1"/>
  <c r="A13694" i="1"/>
  <c r="B13694" i="1"/>
  <c r="C13694" i="1"/>
  <c r="D13694" i="1"/>
  <c r="E13694" i="1"/>
  <c r="F13694" i="1"/>
  <c r="G13694" i="1"/>
  <c r="H13694" i="1"/>
  <c r="A13695" i="1"/>
  <c r="B13695" i="1"/>
  <c r="C13695" i="1"/>
  <c r="D13695" i="1"/>
  <c r="E13695" i="1"/>
  <c r="F13695" i="1"/>
  <c r="G13695" i="1"/>
  <c r="H13695" i="1"/>
  <c r="A13696" i="1"/>
  <c r="B13696" i="1"/>
  <c r="C13696" i="1"/>
  <c r="D13696" i="1"/>
  <c r="E13696" i="1"/>
  <c r="F13696" i="1"/>
  <c r="G13696" i="1"/>
  <c r="H13696" i="1"/>
  <c r="A13697" i="1"/>
  <c r="B13697" i="1"/>
  <c r="C13697" i="1"/>
  <c r="D13697" i="1"/>
  <c r="E13697" i="1"/>
  <c r="F13697" i="1"/>
  <c r="G13697" i="1"/>
  <c r="H13697" i="1"/>
  <c r="A13698" i="1"/>
  <c r="B13698" i="1"/>
  <c r="C13698" i="1"/>
  <c r="D13698" i="1"/>
  <c r="E13698" i="1"/>
  <c r="F13698" i="1"/>
  <c r="G13698" i="1"/>
  <c r="H13698" i="1"/>
  <c r="A13699" i="1"/>
  <c r="B13699" i="1"/>
  <c r="C13699" i="1"/>
  <c r="D13699" i="1"/>
  <c r="E13699" i="1"/>
  <c r="F13699" i="1"/>
  <c r="G13699" i="1"/>
  <c r="H13699" i="1"/>
  <c r="A13700" i="1"/>
  <c r="B13700" i="1"/>
  <c r="C13700" i="1"/>
  <c r="D13700" i="1"/>
  <c r="E13700" i="1"/>
  <c r="F13700" i="1"/>
  <c r="G13700" i="1"/>
  <c r="H13700" i="1"/>
  <c r="A13701" i="1"/>
  <c r="B13701" i="1"/>
  <c r="C13701" i="1"/>
  <c r="D13701" i="1"/>
  <c r="E13701" i="1"/>
  <c r="F13701" i="1"/>
  <c r="G13701" i="1"/>
  <c r="H13701" i="1"/>
  <c r="A13702" i="1"/>
  <c r="B13702" i="1"/>
  <c r="C13702" i="1"/>
  <c r="D13702" i="1"/>
  <c r="E13702" i="1"/>
  <c r="F13702" i="1"/>
  <c r="G13702" i="1"/>
  <c r="H13702" i="1"/>
  <c r="A13703" i="1"/>
  <c r="B13703" i="1"/>
  <c r="C13703" i="1"/>
  <c r="D13703" i="1"/>
  <c r="E13703" i="1"/>
  <c r="F13703" i="1"/>
  <c r="G13703" i="1"/>
  <c r="H13703" i="1"/>
  <c r="A13704" i="1"/>
  <c r="B13704" i="1"/>
  <c r="C13704" i="1"/>
  <c r="D13704" i="1"/>
  <c r="E13704" i="1"/>
  <c r="F13704" i="1"/>
  <c r="G13704" i="1"/>
  <c r="H13704" i="1"/>
  <c r="A13705" i="1"/>
  <c r="B13705" i="1"/>
  <c r="C13705" i="1"/>
  <c r="D13705" i="1"/>
  <c r="E13705" i="1"/>
  <c r="F13705" i="1"/>
  <c r="G13705" i="1"/>
  <c r="H13705" i="1"/>
  <c r="A13706" i="1"/>
  <c r="B13706" i="1"/>
  <c r="C13706" i="1"/>
  <c r="D13706" i="1"/>
  <c r="E13706" i="1"/>
  <c r="F13706" i="1"/>
  <c r="G13706" i="1"/>
  <c r="H13706" i="1"/>
  <c r="A13707" i="1"/>
  <c r="B13707" i="1"/>
  <c r="C13707" i="1"/>
  <c r="D13707" i="1"/>
  <c r="E13707" i="1"/>
  <c r="F13707" i="1"/>
  <c r="G13707" i="1"/>
  <c r="H13707" i="1"/>
  <c r="A13708" i="1"/>
  <c r="B13708" i="1"/>
  <c r="C13708" i="1"/>
  <c r="D13708" i="1"/>
  <c r="E13708" i="1"/>
  <c r="F13708" i="1"/>
  <c r="G13708" i="1"/>
  <c r="H13708" i="1"/>
  <c r="A13709" i="1"/>
  <c r="B13709" i="1"/>
  <c r="C13709" i="1"/>
  <c r="D13709" i="1"/>
  <c r="E13709" i="1"/>
  <c r="F13709" i="1"/>
  <c r="G13709" i="1"/>
  <c r="H13709" i="1"/>
  <c r="A13710" i="1"/>
  <c r="B13710" i="1"/>
  <c r="C13710" i="1"/>
  <c r="D13710" i="1"/>
  <c r="E13710" i="1"/>
  <c r="F13710" i="1"/>
  <c r="G13710" i="1"/>
  <c r="H13710" i="1"/>
  <c r="A13711" i="1"/>
  <c r="B13711" i="1"/>
  <c r="C13711" i="1"/>
  <c r="D13711" i="1"/>
  <c r="E13711" i="1"/>
  <c r="F13711" i="1"/>
  <c r="G13711" i="1"/>
  <c r="H13711" i="1"/>
  <c r="A13712" i="1"/>
  <c r="B13712" i="1"/>
  <c r="C13712" i="1"/>
  <c r="D13712" i="1"/>
  <c r="E13712" i="1"/>
  <c r="F13712" i="1"/>
  <c r="G13712" i="1"/>
  <c r="H13712" i="1"/>
  <c r="A13713" i="1"/>
  <c r="B13713" i="1"/>
  <c r="C13713" i="1"/>
  <c r="D13713" i="1"/>
  <c r="E13713" i="1"/>
  <c r="F13713" i="1"/>
  <c r="G13713" i="1"/>
  <c r="H13713" i="1"/>
  <c r="A13714" i="1"/>
  <c r="B13714" i="1"/>
  <c r="C13714" i="1"/>
  <c r="D13714" i="1"/>
  <c r="E13714" i="1"/>
  <c r="F13714" i="1"/>
  <c r="G13714" i="1"/>
  <c r="H13714" i="1"/>
  <c r="A13715" i="1"/>
  <c r="B13715" i="1"/>
  <c r="C13715" i="1"/>
  <c r="D13715" i="1"/>
  <c r="E13715" i="1"/>
  <c r="F13715" i="1"/>
  <c r="G13715" i="1"/>
  <c r="H13715" i="1"/>
  <c r="A13716" i="1"/>
  <c r="B13716" i="1"/>
  <c r="C13716" i="1"/>
  <c r="D13716" i="1"/>
  <c r="E13716" i="1"/>
  <c r="F13716" i="1"/>
  <c r="G13716" i="1"/>
  <c r="H13716" i="1"/>
  <c r="A13717" i="1"/>
  <c r="B13717" i="1"/>
  <c r="C13717" i="1"/>
  <c r="D13717" i="1"/>
  <c r="E13717" i="1"/>
  <c r="F13717" i="1"/>
  <c r="G13717" i="1"/>
  <c r="H13717" i="1"/>
  <c r="A13718" i="1"/>
  <c r="B13718" i="1"/>
  <c r="C13718" i="1"/>
  <c r="D13718" i="1"/>
  <c r="E13718" i="1"/>
  <c r="F13718" i="1"/>
  <c r="G13718" i="1"/>
  <c r="H13718" i="1"/>
  <c r="A13719" i="1"/>
  <c r="B13719" i="1"/>
  <c r="C13719" i="1"/>
  <c r="D13719" i="1"/>
  <c r="E13719" i="1"/>
  <c r="F13719" i="1"/>
  <c r="G13719" i="1"/>
  <c r="H13719" i="1"/>
  <c r="A13720" i="1"/>
  <c r="B13720" i="1"/>
  <c r="C13720" i="1"/>
  <c r="D13720" i="1"/>
  <c r="E13720" i="1"/>
  <c r="F13720" i="1"/>
  <c r="G13720" i="1"/>
  <c r="H13720" i="1"/>
  <c r="A13721" i="1"/>
  <c r="B13721" i="1"/>
  <c r="C13721" i="1"/>
  <c r="D13721" i="1"/>
  <c r="E13721" i="1"/>
  <c r="F13721" i="1"/>
  <c r="G13721" i="1"/>
  <c r="H13721" i="1"/>
  <c r="A13722" i="1"/>
  <c r="B13722" i="1"/>
  <c r="C13722" i="1"/>
  <c r="D13722" i="1"/>
  <c r="E13722" i="1"/>
  <c r="F13722" i="1"/>
  <c r="G13722" i="1"/>
  <c r="H13722" i="1"/>
  <c r="A13723" i="1"/>
  <c r="B13723" i="1"/>
  <c r="C13723" i="1"/>
  <c r="D13723" i="1"/>
  <c r="E13723" i="1"/>
  <c r="F13723" i="1"/>
  <c r="G13723" i="1"/>
  <c r="H13723" i="1"/>
  <c r="A13724" i="1"/>
  <c r="B13724" i="1"/>
  <c r="C13724" i="1"/>
  <c r="D13724" i="1"/>
  <c r="E13724" i="1"/>
  <c r="F13724" i="1"/>
  <c r="G13724" i="1"/>
  <c r="H13724" i="1"/>
  <c r="A13725" i="1"/>
  <c r="B13725" i="1"/>
  <c r="C13725" i="1"/>
  <c r="D13725" i="1"/>
  <c r="E13725" i="1"/>
  <c r="F13725" i="1"/>
  <c r="G13725" i="1"/>
  <c r="H13725" i="1"/>
  <c r="A13726" i="1"/>
  <c r="B13726" i="1"/>
  <c r="C13726" i="1"/>
  <c r="D13726" i="1"/>
  <c r="E13726" i="1"/>
  <c r="F13726" i="1"/>
  <c r="G13726" i="1"/>
  <c r="H13726" i="1"/>
  <c r="A13727" i="1"/>
  <c r="B13727" i="1"/>
  <c r="C13727" i="1"/>
  <c r="D13727" i="1"/>
  <c r="E13727" i="1"/>
  <c r="F13727" i="1"/>
  <c r="G13727" i="1"/>
  <c r="H13727" i="1"/>
  <c r="A13728" i="1"/>
  <c r="B13728" i="1"/>
  <c r="C13728" i="1"/>
  <c r="D13728" i="1"/>
  <c r="E13728" i="1"/>
  <c r="F13728" i="1"/>
  <c r="G13728" i="1"/>
  <c r="H13728" i="1"/>
  <c r="A13729" i="1"/>
  <c r="B13729" i="1"/>
  <c r="C13729" i="1"/>
  <c r="D13729" i="1"/>
  <c r="E13729" i="1"/>
  <c r="F13729" i="1"/>
  <c r="G13729" i="1"/>
  <c r="H13729" i="1"/>
  <c r="A13730" i="1"/>
  <c r="B13730" i="1"/>
  <c r="C13730" i="1"/>
  <c r="D13730" i="1"/>
  <c r="E13730" i="1"/>
  <c r="F13730" i="1"/>
  <c r="G13730" i="1"/>
  <c r="H13730" i="1"/>
  <c r="A13731" i="1"/>
  <c r="B13731" i="1"/>
  <c r="C13731" i="1"/>
  <c r="D13731" i="1"/>
  <c r="E13731" i="1"/>
  <c r="F13731" i="1"/>
  <c r="G13731" i="1"/>
  <c r="H13731" i="1"/>
  <c r="A13732" i="1"/>
  <c r="B13732" i="1"/>
  <c r="C13732" i="1"/>
  <c r="D13732" i="1"/>
  <c r="E13732" i="1"/>
  <c r="F13732" i="1"/>
  <c r="G13732" i="1"/>
  <c r="H13732" i="1"/>
  <c r="A13733" i="1"/>
  <c r="B13733" i="1"/>
  <c r="C13733" i="1"/>
  <c r="D13733" i="1"/>
  <c r="E13733" i="1"/>
  <c r="F13733" i="1"/>
  <c r="G13733" i="1"/>
  <c r="H13733" i="1"/>
  <c r="A13734" i="1"/>
  <c r="B13734" i="1"/>
  <c r="C13734" i="1"/>
  <c r="D13734" i="1"/>
  <c r="E13734" i="1"/>
  <c r="F13734" i="1"/>
  <c r="G13734" i="1"/>
  <c r="H13734" i="1"/>
  <c r="A13735" i="1"/>
  <c r="B13735" i="1"/>
  <c r="C13735" i="1"/>
  <c r="D13735" i="1"/>
  <c r="E13735" i="1"/>
  <c r="F13735" i="1"/>
  <c r="G13735" i="1"/>
  <c r="H13735" i="1"/>
  <c r="A13736" i="1"/>
  <c r="B13736" i="1"/>
  <c r="C13736" i="1"/>
  <c r="D13736" i="1"/>
  <c r="E13736" i="1"/>
  <c r="F13736" i="1"/>
  <c r="G13736" i="1"/>
  <c r="H13736" i="1"/>
  <c r="A13737" i="1"/>
  <c r="B13737" i="1"/>
  <c r="C13737" i="1"/>
  <c r="D13737" i="1"/>
  <c r="E13737" i="1"/>
  <c r="F13737" i="1"/>
  <c r="G13737" i="1"/>
  <c r="H13737" i="1"/>
  <c r="A13738" i="1"/>
  <c r="B13738" i="1"/>
  <c r="C13738" i="1"/>
  <c r="D13738" i="1"/>
  <c r="E13738" i="1"/>
  <c r="F13738" i="1"/>
  <c r="G13738" i="1"/>
  <c r="H13738" i="1"/>
  <c r="A13739" i="1"/>
  <c r="B13739" i="1"/>
  <c r="C13739" i="1"/>
  <c r="D13739" i="1"/>
  <c r="E13739" i="1"/>
  <c r="F13739" i="1"/>
  <c r="G13739" i="1"/>
  <c r="H13739" i="1"/>
  <c r="A13740" i="1"/>
  <c r="B13740" i="1"/>
  <c r="C13740" i="1"/>
  <c r="D13740" i="1"/>
  <c r="E13740" i="1"/>
  <c r="F13740" i="1"/>
  <c r="G13740" i="1"/>
  <c r="H13740" i="1"/>
  <c r="A13741" i="1"/>
  <c r="B13741" i="1"/>
  <c r="C13741" i="1"/>
  <c r="D13741" i="1"/>
  <c r="E13741" i="1"/>
  <c r="F13741" i="1"/>
  <c r="G13741" i="1"/>
  <c r="H13741" i="1"/>
  <c r="A13742" i="1"/>
  <c r="B13742" i="1"/>
  <c r="C13742" i="1"/>
  <c r="D13742" i="1"/>
  <c r="E13742" i="1"/>
  <c r="F13742" i="1"/>
  <c r="G13742" i="1"/>
  <c r="H13742" i="1"/>
  <c r="A13743" i="1"/>
  <c r="B13743" i="1"/>
  <c r="C13743" i="1"/>
  <c r="D13743" i="1"/>
  <c r="E13743" i="1"/>
  <c r="F13743" i="1"/>
  <c r="G13743" i="1"/>
  <c r="H13743" i="1"/>
  <c r="A13744" i="1"/>
  <c r="B13744" i="1"/>
  <c r="C13744" i="1"/>
  <c r="D13744" i="1"/>
  <c r="E13744" i="1"/>
  <c r="F13744" i="1"/>
  <c r="G13744" i="1"/>
  <c r="H13744" i="1"/>
  <c r="A13745" i="1"/>
  <c r="B13745" i="1"/>
  <c r="C13745" i="1"/>
  <c r="D13745" i="1"/>
  <c r="E13745" i="1"/>
  <c r="F13745" i="1"/>
  <c r="G13745" i="1"/>
  <c r="H13745" i="1"/>
  <c r="A13746" i="1"/>
  <c r="B13746" i="1"/>
  <c r="C13746" i="1"/>
  <c r="D13746" i="1"/>
  <c r="E13746" i="1"/>
  <c r="F13746" i="1"/>
  <c r="G13746" i="1"/>
  <c r="H13746" i="1"/>
  <c r="A13747" i="1"/>
  <c r="B13747" i="1"/>
  <c r="C13747" i="1"/>
  <c r="D13747" i="1"/>
  <c r="E13747" i="1"/>
  <c r="F13747" i="1"/>
  <c r="G13747" i="1"/>
  <c r="H13747" i="1"/>
  <c r="A13748" i="1"/>
  <c r="B13748" i="1"/>
  <c r="C13748" i="1"/>
  <c r="D13748" i="1"/>
  <c r="E13748" i="1"/>
  <c r="F13748" i="1"/>
  <c r="G13748" i="1"/>
  <c r="H13748" i="1"/>
  <c r="A13749" i="1"/>
  <c r="B13749" i="1"/>
  <c r="C13749" i="1"/>
  <c r="D13749" i="1"/>
  <c r="E13749" i="1"/>
  <c r="F13749" i="1"/>
  <c r="G13749" i="1"/>
  <c r="H13749" i="1"/>
  <c r="A13750" i="1"/>
  <c r="B13750" i="1"/>
  <c r="C13750" i="1"/>
  <c r="D13750" i="1"/>
  <c r="E13750" i="1"/>
  <c r="F13750" i="1"/>
  <c r="G13750" i="1"/>
  <c r="H13750" i="1"/>
  <c r="A13751" i="1"/>
  <c r="B13751" i="1"/>
  <c r="C13751" i="1"/>
  <c r="D13751" i="1"/>
  <c r="E13751" i="1"/>
  <c r="F13751" i="1"/>
  <c r="G13751" i="1"/>
  <c r="H13751" i="1"/>
  <c r="A13752" i="1"/>
  <c r="B13752" i="1"/>
  <c r="C13752" i="1"/>
  <c r="D13752" i="1"/>
  <c r="E13752" i="1"/>
  <c r="F13752" i="1"/>
  <c r="G13752" i="1"/>
  <c r="H13752" i="1"/>
  <c r="A13753" i="1"/>
  <c r="B13753" i="1"/>
  <c r="C13753" i="1"/>
  <c r="D13753" i="1"/>
  <c r="E13753" i="1"/>
  <c r="F13753" i="1"/>
  <c r="G13753" i="1"/>
  <c r="H13753" i="1"/>
  <c r="A13754" i="1"/>
  <c r="B13754" i="1"/>
  <c r="C13754" i="1"/>
  <c r="D13754" i="1"/>
  <c r="E13754" i="1"/>
  <c r="F13754" i="1"/>
  <c r="G13754" i="1"/>
  <c r="H13754" i="1"/>
  <c r="A13755" i="1"/>
  <c r="B13755" i="1"/>
  <c r="C13755" i="1"/>
  <c r="D13755" i="1"/>
  <c r="E13755" i="1"/>
  <c r="F13755" i="1"/>
  <c r="G13755" i="1"/>
  <c r="H13755" i="1"/>
  <c r="A13756" i="1"/>
  <c r="B13756" i="1"/>
  <c r="C13756" i="1"/>
  <c r="D13756" i="1"/>
  <c r="E13756" i="1"/>
  <c r="F13756" i="1"/>
  <c r="G13756" i="1"/>
  <c r="H13756" i="1"/>
  <c r="A13757" i="1"/>
  <c r="B13757" i="1"/>
  <c r="C13757" i="1"/>
  <c r="D13757" i="1"/>
  <c r="E13757" i="1"/>
  <c r="F13757" i="1"/>
  <c r="G13757" i="1"/>
  <c r="H13757" i="1"/>
  <c r="A13758" i="1"/>
  <c r="B13758" i="1"/>
  <c r="C13758" i="1"/>
  <c r="D13758" i="1"/>
  <c r="E13758" i="1"/>
  <c r="F13758" i="1"/>
  <c r="G13758" i="1"/>
  <c r="H13758" i="1"/>
  <c r="A13759" i="1"/>
  <c r="B13759" i="1"/>
  <c r="C13759" i="1"/>
  <c r="D13759" i="1"/>
  <c r="E13759" i="1"/>
  <c r="F13759" i="1"/>
  <c r="G13759" i="1"/>
  <c r="H13759" i="1"/>
  <c r="A13760" i="1"/>
  <c r="B13760" i="1"/>
  <c r="C13760" i="1"/>
  <c r="D13760" i="1"/>
  <c r="E13760" i="1"/>
  <c r="F13760" i="1"/>
  <c r="G13760" i="1"/>
  <c r="H13760" i="1"/>
  <c r="A13761" i="1"/>
  <c r="B13761" i="1"/>
  <c r="C13761" i="1"/>
  <c r="D13761" i="1"/>
  <c r="E13761" i="1"/>
  <c r="F13761" i="1"/>
  <c r="G13761" i="1"/>
  <c r="H13761" i="1"/>
  <c r="A13762" i="1"/>
  <c r="B13762" i="1"/>
  <c r="C13762" i="1"/>
  <c r="D13762" i="1"/>
  <c r="E13762" i="1"/>
  <c r="F13762" i="1"/>
  <c r="G13762" i="1"/>
  <c r="H13762" i="1"/>
  <c r="A13763" i="1"/>
  <c r="B13763" i="1"/>
  <c r="C13763" i="1"/>
  <c r="D13763" i="1"/>
  <c r="E13763" i="1"/>
  <c r="F13763" i="1"/>
  <c r="G13763" i="1"/>
  <c r="H13763" i="1"/>
  <c r="A13764" i="1"/>
  <c r="B13764" i="1"/>
  <c r="C13764" i="1"/>
  <c r="D13764" i="1"/>
  <c r="E13764" i="1"/>
  <c r="F13764" i="1"/>
  <c r="G13764" i="1"/>
  <c r="H13764" i="1"/>
  <c r="A13765" i="1"/>
  <c r="B13765" i="1"/>
  <c r="C13765" i="1"/>
  <c r="D13765" i="1"/>
  <c r="E13765" i="1"/>
  <c r="F13765" i="1"/>
  <c r="G13765" i="1"/>
  <c r="H13765" i="1"/>
  <c r="A13766" i="1"/>
  <c r="B13766" i="1"/>
  <c r="C13766" i="1"/>
  <c r="D13766" i="1"/>
  <c r="E13766" i="1"/>
  <c r="F13766" i="1"/>
  <c r="G13766" i="1"/>
  <c r="H13766" i="1"/>
  <c r="A13767" i="1"/>
  <c r="B13767" i="1"/>
  <c r="C13767" i="1"/>
  <c r="D13767" i="1"/>
  <c r="E13767" i="1"/>
  <c r="F13767" i="1"/>
  <c r="G13767" i="1"/>
  <c r="H13767" i="1"/>
  <c r="A13768" i="1"/>
  <c r="B13768" i="1"/>
  <c r="C13768" i="1"/>
  <c r="D13768" i="1"/>
  <c r="E13768" i="1"/>
  <c r="F13768" i="1"/>
  <c r="G13768" i="1"/>
  <c r="H13768" i="1"/>
  <c r="A13769" i="1"/>
  <c r="B13769" i="1"/>
  <c r="C13769" i="1"/>
  <c r="D13769" i="1"/>
  <c r="E13769" i="1"/>
  <c r="F13769" i="1"/>
  <c r="G13769" i="1"/>
  <c r="H13769" i="1"/>
  <c r="A13770" i="1"/>
  <c r="B13770" i="1"/>
  <c r="C13770" i="1"/>
  <c r="D13770" i="1"/>
  <c r="E13770" i="1"/>
  <c r="F13770" i="1"/>
  <c r="G13770" i="1"/>
  <c r="H13770" i="1"/>
  <c r="A13771" i="1"/>
  <c r="B13771" i="1"/>
  <c r="C13771" i="1"/>
  <c r="D13771" i="1"/>
  <c r="E13771" i="1"/>
  <c r="F13771" i="1"/>
  <c r="G13771" i="1"/>
  <c r="H13771" i="1"/>
  <c r="A13772" i="1"/>
  <c r="B13772" i="1"/>
  <c r="C13772" i="1"/>
  <c r="D13772" i="1"/>
  <c r="E13772" i="1"/>
  <c r="F13772" i="1"/>
  <c r="G13772" i="1"/>
  <c r="H13772" i="1"/>
  <c r="A13773" i="1"/>
  <c r="B13773" i="1"/>
  <c r="C13773" i="1"/>
  <c r="D13773" i="1"/>
  <c r="E13773" i="1"/>
  <c r="F13773" i="1"/>
  <c r="G13773" i="1"/>
  <c r="H13773" i="1"/>
  <c r="A13774" i="1"/>
  <c r="B13774" i="1"/>
  <c r="C13774" i="1"/>
  <c r="D13774" i="1"/>
  <c r="E13774" i="1"/>
  <c r="F13774" i="1"/>
  <c r="G13774" i="1"/>
  <c r="H13774" i="1"/>
  <c r="A13775" i="1"/>
  <c r="B13775" i="1"/>
  <c r="C13775" i="1"/>
  <c r="D13775" i="1"/>
  <c r="E13775" i="1"/>
  <c r="F13775" i="1"/>
  <c r="G13775" i="1"/>
  <c r="H13775" i="1"/>
  <c r="A13776" i="1"/>
  <c r="B13776" i="1"/>
  <c r="C13776" i="1"/>
  <c r="D13776" i="1"/>
  <c r="E13776" i="1"/>
  <c r="F13776" i="1"/>
  <c r="G13776" i="1"/>
  <c r="H13776" i="1"/>
  <c r="A13777" i="1"/>
  <c r="B13777" i="1"/>
  <c r="C13777" i="1"/>
  <c r="D13777" i="1"/>
  <c r="E13777" i="1"/>
  <c r="F13777" i="1"/>
  <c r="G13777" i="1"/>
  <c r="H13777" i="1"/>
  <c r="A13778" i="1"/>
  <c r="B13778" i="1"/>
  <c r="C13778" i="1"/>
  <c r="D13778" i="1"/>
  <c r="E13778" i="1"/>
  <c r="F13778" i="1"/>
  <c r="G13778" i="1"/>
  <c r="H13778" i="1"/>
  <c r="A13779" i="1"/>
  <c r="B13779" i="1"/>
  <c r="C13779" i="1"/>
  <c r="D13779" i="1"/>
  <c r="E13779" i="1"/>
  <c r="F13779" i="1"/>
  <c r="G13779" i="1"/>
  <c r="H13779" i="1"/>
  <c r="A13780" i="1"/>
  <c r="B13780" i="1"/>
  <c r="C13780" i="1"/>
  <c r="D13780" i="1"/>
  <c r="E13780" i="1"/>
  <c r="F13780" i="1"/>
  <c r="G13780" i="1"/>
  <c r="H13780" i="1"/>
  <c r="A13781" i="1"/>
  <c r="B13781" i="1"/>
  <c r="C13781" i="1"/>
  <c r="D13781" i="1"/>
  <c r="E13781" i="1"/>
  <c r="F13781" i="1"/>
  <c r="G13781" i="1"/>
  <c r="H13781" i="1"/>
  <c r="A13782" i="1"/>
  <c r="B13782" i="1"/>
  <c r="C13782" i="1"/>
  <c r="D13782" i="1"/>
  <c r="E13782" i="1"/>
  <c r="F13782" i="1"/>
  <c r="G13782" i="1"/>
  <c r="H13782" i="1"/>
  <c r="A13783" i="1"/>
  <c r="B13783" i="1"/>
  <c r="C13783" i="1"/>
  <c r="D13783" i="1"/>
  <c r="E13783" i="1"/>
  <c r="F13783" i="1"/>
  <c r="G13783" i="1"/>
  <c r="H13783" i="1"/>
  <c r="A13784" i="1"/>
  <c r="B13784" i="1"/>
  <c r="C13784" i="1"/>
  <c r="D13784" i="1"/>
  <c r="E13784" i="1"/>
  <c r="F13784" i="1"/>
  <c r="G13784" i="1"/>
  <c r="H13784" i="1"/>
  <c r="A13785" i="1"/>
  <c r="B13785" i="1"/>
  <c r="C13785" i="1"/>
  <c r="D13785" i="1"/>
  <c r="E13785" i="1"/>
  <c r="F13785" i="1"/>
  <c r="G13785" i="1"/>
  <c r="H13785" i="1"/>
  <c r="A13786" i="1"/>
  <c r="B13786" i="1"/>
  <c r="C13786" i="1"/>
  <c r="D13786" i="1"/>
  <c r="E13786" i="1"/>
  <c r="F13786" i="1"/>
  <c r="G13786" i="1"/>
  <c r="H13786" i="1"/>
  <c r="A13787" i="1"/>
  <c r="B13787" i="1"/>
  <c r="C13787" i="1"/>
  <c r="D13787" i="1"/>
  <c r="E13787" i="1"/>
  <c r="F13787" i="1"/>
  <c r="G13787" i="1"/>
  <c r="H13787" i="1"/>
  <c r="A13788" i="1"/>
  <c r="B13788" i="1"/>
  <c r="C13788" i="1"/>
  <c r="D13788" i="1"/>
  <c r="E13788" i="1"/>
  <c r="F13788" i="1"/>
  <c r="G13788" i="1"/>
  <c r="H13788" i="1"/>
  <c r="A13789" i="1"/>
  <c r="B13789" i="1"/>
  <c r="C13789" i="1"/>
  <c r="D13789" i="1"/>
  <c r="E13789" i="1"/>
  <c r="F13789" i="1"/>
  <c r="G13789" i="1"/>
  <c r="H13789" i="1"/>
  <c r="A13790" i="1"/>
  <c r="B13790" i="1"/>
  <c r="C13790" i="1"/>
  <c r="D13790" i="1"/>
  <c r="E13790" i="1"/>
  <c r="F13790" i="1"/>
  <c r="G13790" i="1"/>
  <c r="H13790" i="1"/>
  <c r="A13791" i="1"/>
  <c r="B13791" i="1"/>
  <c r="C13791" i="1"/>
  <c r="D13791" i="1"/>
  <c r="E13791" i="1"/>
  <c r="F13791" i="1"/>
  <c r="G13791" i="1"/>
  <c r="H13791" i="1"/>
  <c r="A13792" i="1"/>
  <c r="B13792" i="1"/>
  <c r="C13792" i="1"/>
  <c r="D13792" i="1"/>
  <c r="E13792" i="1"/>
  <c r="F13792" i="1"/>
  <c r="G13792" i="1"/>
  <c r="H13792" i="1"/>
  <c r="A13793" i="1"/>
  <c r="B13793" i="1"/>
  <c r="C13793" i="1"/>
  <c r="D13793" i="1"/>
  <c r="E13793" i="1"/>
  <c r="F13793" i="1"/>
  <c r="G13793" i="1"/>
  <c r="H13793" i="1"/>
  <c r="A13794" i="1"/>
  <c r="B13794" i="1"/>
  <c r="C13794" i="1"/>
  <c r="D13794" i="1"/>
  <c r="E13794" i="1"/>
  <c r="F13794" i="1"/>
  <c r="G13794" i="1"/>
  <c r="H13794" i="1"/>
  <c r="A13795" i="1"/>
  <c r="B13795" i="1"/>
  <c r="C13795" i="1"/>
  <c r="D13795" i="1"/>
  <c r="E13795" i="1"/>
  <c r="F13795" i="1"/>
  <c r="G13795" i="1"/>
  <c r="H13795" i="1"/>
  <c r="A13796" i="1"/>
  <c r="B13796" i="1"/>
  <c r="C13796" i="1"/>
  <c r="D13796" i="1"/>
  <c r="E13796" i="1"/>
  <c r="F13796" i="1"/>
  <c r="G13796" i="1"/>
  <c r="H13796" i="1"/>
  <c r="A13797" i="1"/>
  <c r="B13797" i="1"/>
  <c r="C13797" i="1"/>
  <c r="D13797" i="1"/>
  <c r="E13797" i="1"/>
  <c r="F13797" i="1"/>
  <c r="G13797" i="1"/>
  <c r="H13797" i="1"/>
  <c r="A13798" i="1"/>
  <c r="B13798" i="1"/>
  <c r="C13798" i="1"/>
  <c r="D13798" i="1"/>
  <c r="E13798" i="1"/>
  <c r="F13798" i="1"/>
  <c r="G13798" i="1"/>
  <c r="H13798" i="1"/>
  <c r="A13799" i="1"/>
  <c r="B13799" i="1"/>
  <c r="C13799" i="1"/>
  <c r="D13799" i="1"/>
  <c r="E13799" i="1"/>
  <c r="F13799" i="1"/>
  <c r="G13799" i="1"/>
  <c r="H13799" i="1"/>
  <c r="A13800" i="1"/>
  <c r="B13800" i="1"/>
  <c r="C13800" i="1"/>
  <c r="D13800" i="1"/>
  <c r="E13800" i="1"/>
  <c r="F13800" i="1"/>
  <c r="G13800" i="1"/>
  <c r="H13800" i="1"/>
  <c r="A13801" i="1"/>
  <c r="B13801" i="1"/>
  <c r="C13801" i="1"/>
  <c r="D13801" i="1"/>
  <c r="E13801" i="1"/>
  <c r="F13801" i="1"/>
  <c r="G13801" i="1"/>
  <c r="H13801" i="1"/>
  <c r="A13802" i="1"/>
  <c r="B13802" i="1"/>
  <c r="C13802" i="1"/>
  <c r="D13802" i="1"/>
  <c r="E13802" i="1"/>
  <c r="F13802" i="1"/>
  <c r="G13802" i="1"/>
  <c r="H13802" i="1"/>
  <c r="A13803" i="1"/>
  <c r="B13803" i="1"/>
  <c r="C13803" i="1"/>
  <c r="D13803" i="1"/>
  <c r="E13803" i="1"/>
  <c r="F13803" i="1"/>
  <c r="G13803" i="1"/>
  <c r="H13803" i="1"/>
  <c r="A13804" i="1"/>
  <c r="B13804" i="1"/>
  <c r="C13804" i="1"/>
  <c r="D13804" i="1"/>
  <c r="E13804" i="1"/>
  <c r="F13804" i="1"/>
  <c r="G13804" i="1"/>
  <c r="H13804" i="1"/>
  <c r="A13805" i="1"/>
  <c r="B13805" i="1"/>
  <c r="C13805" i="1"/>
  <c r="D13805" i="1"/>
  <c r="E13805" i="1"/>
  <c r="F13805" i="1"/>
  <c r="G13805" i="1"/>
  <c r="H13805" i="1"/>
  <c r="A13806" i="1"/>
  <c r="B13806" i="1"/>
  <c r="C13806" i="1"/>
  <c r="D13806" i="1"/>
  <c r="E13806" i="1"/>
  <c r="F13806" i="1"/>
  <c r="G13806" i="1"/>
  <c r="H13806" i="1"/>
  <c r="A13807" i="1"/>
  <c r="B13807" i="1"/>
  <c r="C13807" i="1"/>
  <c r="D13807" i="1"/>
  <c r="E13807" i="1"/>
  <c r="F13807" i="1"/>
  <c r="G13807" i="1"/>
  <c r="H13807" i="1"/>
  <c r="A13808" i="1"/>
  <c r="B13808" i="1"/>
  <c r="C13808" i="1"/>
  <c r="D13808" i="1"/>
  <c r="E13808" i="1"/>
  <c r="F13808" i="1"/>
  <c r="G13808" i="1"/>
  <c r="H13808" i="1"/>
  <c r="A13809" i="1"/>
  <c r="B13809" i="1"/>
  <c r="C13809" i="1"/>
  <c r="D13809" i="1"/>
  <c r="E13809" i="1"/>
  <c r="F13809" i="1"/>
  <c r="G13809" i="1"/>
  <c r="H13809" i="1"/>
  <c r="A13810" i="1"/>
  <c r="B13810" i="1"/>
  <c r="C13810" i="1"/>
  <c r="D13810" i="1"/>
  <c r="E13810" i="1"/>
  <c r="F13810" i="1"/>
  <c r="G13810" i="1"/>
  <c r="H13810" i="1"/>
  <c r="A13811" i="1"/>
  <c r="B13811" i="1"/>
  <c r="C13811" i="1"/>
  <c r="D13811" i="1"/>
  <c r="E13811" i="1"/>
  <c r="F13811" i="1"/>
  <c r="G13811" i="1"/>
  <c r="H13811" i="1"/>
  <c r="A13812" i="1"/>
  <c r="B13812" i="1"/>
  <c r="C13812" i="1"/>
  <c r="D13812" i="1"/>
  <c r="E13812" i="1"/>
  <c r="F13812" i="1"/>
  <c r="G13812" i="1"/>
  <c r="H13812" i="1"/>
  <c r="A13813" i="1"/>
  <c r="B13813" i="1"/>
  <c r="C13813" i="1"/>
  <c r="D13813" i="1"/>
  <c r="E13813" i="1"/>
  <c r="F13813" i="1"/>
  <c r="G13813" i="1"/>
  <c r="H13813" i="1"/>
  <c r="A13814" i="1"/>
  <c r="B13814" i="1"/>
  <c r="C13814" i="1"/>
  <c r="D13814" i="1"/>
  <c r="E13814" i="1"/>
  <c r="F13814" i="1"/>
  <c r="G13814" i="1"/>
  <c r="H13814" i="1"/>
  <c r="A13815" i="1"/>
  <c r="B13815" i="1"/>
  <c r="C13815" i="1"/>
  <c r="D13815" i="1"/>
  <c r="E13815" i="1"/>
  <c r="F13815" i="1"/>
  <c r="G13815" i="1"/>
  <c r="H13815" i="1"/>
  <c r="A13816" i="1"/>
  <c r="B13816" i="1"/>
  <c r="C13816" i="1"/>
  <c r="D13816" i="1"/>
  <c r="E13816" i="1"/>
  <c r="F13816" i="1"/>
  <c r="G13816" i="1"/>
  <c r="H13816" i="1"/>
  <c r="A13817" i="1"/>
  <c r="B13817" i="1"/>
  <c r="C13817" i="1"/>
  <c r="D13817" i="1"/>
  <c r="E13817" i="1"/>
  <c r="F13817" i="1"/>
  <c r="G13817" i="1"/>
  <c r="H13817" i="1"/>
  <c r="A13818" i="1"/>
  <c r="B13818" i="1"/>
  <c r="C13818" i="1"/>
  <c r="D13818" i="1"/>
  <c r="E13818" i="1"/>
  <c r="F13818" i="1"/>
  <c r="G13818" i="1"/>
  <c r="H13818" i="1"/>
  <c r="A13819" i="1"/>
  <c r="B13819" i="1"/>
  <c r="C13819" i="1"/>
  <c r="D13819" i="1"/>
  <c r="E13819" i="1"/>
  <c r="F13819" i="1"/>
  <c r="G13819" i="1"/>
  <c r="H13819" i="1"/>
  <c r="A13820" i="1"/>
  <c r="B13820" i="1"/>
  <c r="C13820" i="1"/>
  <c r="D13820" i="1"/>
  <c r="E13820" i="1"/>
  <c r="F13820" i="1"/>
  <c r="G13820" i="1"/>
  <c r="H13820" i="1"/>
  <c r="A13821" i="1"/>
  <c r="B13821" i="1"/>
  <c r="C13821" i="1"/>
  <c r="D13821" i="1"/>
  <c r="E13821" i="1"/>
  <c r="F13821" i="1"/>
  <c r="G13821" i="1"/>
  <c r="H13821" i="1"/>
  <c r="A13822" i="1"/>
  <c r="B13822" i="1"/>
  <c r="C13822" i="1"/>
  <c r="D13822" i="1"/>
  <c r="E13822" i="1"/>
  <c r="F13822" i="1"/>
  <c r="G13822" i="1"/>
  <c r="H13822" i="1"/>
  <c r="A13823" i="1"/>
  <c r="B13823" i="1"/>
  <c r="C13823" i="1"/>
  <c r="D13823" i="1"/>
  <c r="E13823" i="1"/>
  <c r="F13823" i="1"/>
  <c r="G13823" i="1"/>
  <c r="H13823" i="1"/>
  <c r="A13824" i="1"/>
  <c r="B13824" i="1"/>
  <c r="C13824" i="1"/>
  <c r="D13824" i="1"/>
  <c r="E13824" i="1"/>
  <c r="F13824" i="1"/>
  <c r="G13824" i="1"/>
  <c r="H13824" i="1"/>
  <c r="A13825" i="1"/>
  <c r="B13825" i="1"/>
  <c r="C13825" i="1"/>
  <c r="D13825" i="1"/>
  <c r="E13825" i="1"/>
  <c r="F13825" i="1"/>
  <c r="G13825" i="1"/>
  <c r="H13825" i="1"/>
  <c r="A13826" i="1"/>
  <c r="B13826" i="1"/>
  <c r="C13826" i="1"/>
  <c r="D13826" i="1"/>
  <c r="E13826" i="1"/>
  <c r="F13826" i="1"/>
  <c r="G13826" i="1"/>
  <c r="H13826" i="1"/>
  <c r="A13827" i="1"/>
  <c r="B13827" i="1"/>
  <c r="C13827" i="1"/>
  <c r="D13827" i="1"/>
  <c r="E13827" i="1"/>
  <c r="F13827" i="1"/>
  <c r="G13827" i="1"/>
  <c r="H13827" i="1"/>
  <c r="A13828" i="1"/>
  <c r="B13828" i="1"/>
  <c r="C13828" i="1"/>
  <c r="D13828" i="1"/>
  <c r="E13828" i="1"/>
  <c r="F13828" i="1"/>
  <c r="G13828" i="1"/>
  <c r="H13828" i="1"/>
  <c r="A13829" i="1"/>
  <c r="B13829" i="1"/>
  <c r="C13829" i="1"/>
  <c r="D13829" i="1"/>
  <c r="E13829" i="1"/>
  <c r="F13829" i="1"/>
  <c r="G13829" i="1"/>
  <c r="H13829" i="1"/>
  <c r="A13830" i="1"/>
  <c r="B13830" i="1"/>
  <c r="C13830" i="1"/>
  <c r="D13830" i="1"/>
  <c r="E13830" i="1"/>
  <c r="F13830" i="1"/>
  <c r="G13830" i="1"/>
  <c r="H13830" i="1"/>
  <c r="A13831" i="1"/>
  <c r="B13831" i="1"/>
  <c r="C13831" i="1"/>
  <c r="D13831" i="1"/>
  <c r="E13831" i="1"/>
  <c r="F13831" i="1"/>
  <c r="G13831" i="1"/>
  <c r="H13831" i="1"/>
  <c r="A13832" i="1"/>
  <c r="B13832" i="1"/>
  <c r="C13832" i="1"/>
  <c r="D13832" i="1"/>
  <c r="E13832" i="1"/>
  <c r="F13832" i="1"/>
  <c r="G13832" i="1"/>
  <c r="H13832" i="1"/>
  <c r="A13833" i="1"/>
  <c r="B13833" i="1"/>
  <c r="C13833" i="1"/>
  <c r="D13833" i="1"/>
  <c r="E13833" i="1"/>
  <c r="F13833" i="1"/>
  <c r="G13833" i="1"/>
  <c r="H13833" i="1"/>
  <c r="A13834" i="1"/>
  <c r="B13834" i="1"/>
  <c r="C13834" i="1"/>
  <c r="D13834" i="1"/>
  <c r="E13834" i="1"/>
  <c r="F13834" i="1"/>
  <c r="G13834" i="1"/>
  <c r="H13834" i="1"/>
  <c r="A13835" i="1"/>
  <c r="B13835" i="1"/>
  <c r="C13835" i="1"/>
  <c r="D13835" i="1"/>
  <c r="E13835" i="1"/>
  <c r="F13835" i="1"/>
  <c r="G13835" i="1"/>
  <c r="H13835" i="1"/>
  <c r="A13836" i="1"/>
  <c r="B13836" i="1"/>
  <c r="C13836" i="1"/>
  <c r="D13836" i="1"/>
  <c r="E13836" i="1"/>
  <c r="F13836" i="1"/>
  <c r="G13836" i="1"/>
  <c r="H13836" i="1"/>
  <c r="A13837" i="1"/>
  <c r="B13837" i="1"/>
  <c r="C13837" i="1"/>
  <c r="D13837" i="1"/>
  <c r="E13837" i="1"/>
  <c r="F13837" i="1"/>
  <c r="G13837" i="1"/>
  <c r="H13837" i="1"/>
  <c r="A13838" i="1"/>
  <c r="B13838" i="1"/>
  <c r="C13838" i="1"/>
  <c r="D13838" i="1"/>
  <c r="E13838" i="1"/>
  <c r="F13838" i="1"/>
  <c r="G13838" i="1"/>
  <c r="H13838" i="1"/>
  <c r="A13839" i="1"/>
  <c r="B13839" i="1"/>
  <c r="C13839" i="1"/>
  <c r="D13839" i="1"/>
  <c r="E13839" i="1"/>
  <c r="F13839" i="1"/>
  <c r="G13839" i="1"/>
  <c r="H13839" i="1"/>
  <c r="A13840" i="1"/>
  <c r="B13840" i="1"/>
  <c r="C13840" i="1"/>
  <c r="D13840" i="1"/>
  <c r="E13840" i="1"/>
  <c r="F13840" i="1"/>
  <c r="G13840" i="1"/>
  <c r="H13840" i="1"/>
  <c r="A13841" i="1"/>
  <c r="B13841" i="1"/>
  <c r="C13841" i="1"/>
  <c r="D13841" i="1"/>
  <c r="E13841" i="1"/>
  <c r="F13841" i="1"/>
  <c r="G13841" i="1"/>
  <c r="H13841" i="1"/>
  <c r="A13842" i="1"/>
  <c r="B13842" i="1"/>
  <c r="C13842" i="1"/>
  <c r="D13842" i="1"/>
  <c r="E13842" i="1"/>
  <c r="F13842" i="1"/>
  <c r="G13842" i="1"/>
  <c r="H13842" i="1"/>
  <c r="A13843" i="1"/>
  <c r="B13843" i="1"/>
  <c r="C13843" i="1"/>
  <c r="D13843" i="1"/>
  <c r="E13843" i="1"/>
  <c r="F13843" i="1"/>
  <c r="G13843" i="1"/>
  <c r="H13843" i="1"/>
  <c r="A13844" i="1"/>
  <c r="B13844" i="1"/>
  <c r="C13844" i="1"/>
  <c r="D13844" i="1"/>
  <c r="E13844" i="1"/>
  <c r="F13844" i="1"/>
  <c r="G13844" i="1"/>
  <c r="H13844" i="1"/>
  <c r="A13845" i="1"/>
  <c r="B13845" i="1"/>
  <c r="C13845" i="1"/>
  <c r="D13845" i="1"/>
  <c r="E13845" i="1"/>
  <c r="F13845" i="1"/>
  <c r="G13845" i="1"/>
  <c r="H13845" i="1"/>
  <c r="A13846" i="1"/>
  <c r="B13846" i="1"/>
  <c r="C13846" i="1"/>
  <c r="D13846" i="1"/>
  <c r="E13846" i="1"/>
  <c r="F13846" i="1"/>
  <c r="G13846" i="1"/>
  <c r="H13846" i="1"/>
  <c r="A13847" i="1"/>
  <c r="B13847" i="1"/>
  <c r="C13847" i="1"/>
  <c r="D13847" i="1"/>
  <c r="E13847" i="1"/>
  <c r="F13847" i="1"/>
  <c r="G13847" i="1"/>
  <c r="H13847" i="1"/>
  <c r="A13848" i="1"/>
  <c r="B13848" i="1"/>
  <c r="C13848" i="1"/>
  <c r="D13848" i="1"/>
  <c r="E13848" i="1"/>
  <c r="F13848" i="1"/>
  <c r="G13848" i="1"/>
  <c r="H13848" i="1"/>
  <c r="A13849" i="1"/>
  <c r="B13849" i="1"/>
  <c r="C13849" i="1"/>
  <c r="D13849" i="1"/>
  <c r="E13849" i="1"/>
  <c r="F13849" i="1"/>
  <c r="G13849" i="1"/>
  <c r="H13849" i="1"/>
  <c r="A13850" i="1"/>
  <c r="B13850" i="1"/>
  <c r="C13850" i="1"/>
  <c r="D13850" i="1"/>
  <c r="E13850" i="1"/>
  <c r="F13850" i="1"/>
  <c r="G13850" i="1"/>
  <c r="H13850" i="1"/>
  <c r="A13851" i="1"/>
  <c r="B13851" i="1"/>
  <c r="C13851" i="1"/>
  <c r="D13851" i="1"/>
  <c r="E13851" i="1"/>
  <c r="F13851" i="1"/>
  <c r="G13851" i="1"/>
  <c r="H13851" i="1"/>
  <c r="A13852" i="1"/>
  <c r="B13852" i="1"/>
  <c r="C13852" i="1"/>
  <c r="D13852" i="1"/>
  <c r="E13852" i="1"/>
  <c r="F13852" i="1"/>
  <c r="G13852" i="1"/>
  <c r="H13852" i="1"/>
  <c r="A13853" i="1"/>
  <c r="B13853" i="1"/>
  <c r="C13853" i="1"/>
  <c r="D13853" i="1"/>
  <c r="E13853" i="1"/>
  <c r="F13853" i="1"/>
  <c r="G13853" i="1"/>
  <c r="H13853" i="1"/>
  <c r="A13854" i="1"/>
  <c r="B13854" i="1"/>
  <c r="C13854" i="1"/>
  <c r="D13854" i="1"/>
  <c r="E13854" i="1"/>
  <c r="F13854" i="1"/>
  <c r="G13854" i="1"/>
  <c r="H13854" i="1"/>
  <c r="A13855" i="1"/>
  <c r="B13855" i="1"/>
  <c r="C13855" i="1"/>
  <c r="D13855" i="1"/>
  <c r="E13855" i="1"/>
  <c r="F13855" i="1"/>
  <c r="G13855" i="1"/>
  <c r="H13855" i="1"/>
  <c r="A13856" i="1"/>
  <c r="B13856" i="1"/>
  <c r="C13856" i="1"/>
  <c r="D13856" i="1"/>
  <c r="E13856" i="1"/>
  <c r="F13856" i="1"/>
  <c r="G13856" i="1"/>
  <c r="H13856" i="1"/>
  <c r="A13857" i="1"/>
  <c r="B13857" i="1"/>
  <c r="C13857" i="1"/>
  <c r="D13857" i="1"/>
  <c r="E13857" i="1"/>
  <c r="F13857" i="1"/>
  <c r="G13857" i="1"/>
  <c r="H13857" i="1"/>
  <c r="A13858" i="1"/>
  <c r="B13858" i="1"/>
  <c r="C13858" i="1"/>
  <c r="D13858" i="1"/>
  <c r="E13858" i="1"/>
  <c r="F13858" i="1"/>
  <c r="G13858" i="1"/>
  <c r="H13858" i="1"/>
  <c r="A13859" i="1"/>
  <c r="B13859" i="1"/>
  <c r="C13859" i="1"/>
  <c r="D13859" i="1"/>
  <c r="E13859" i="1"/>
  <c r="F13859" i="1"/>
  <c r="G13859" i="1"/>
  <c r="H13859" i="1"/>
  <c r="A13860" i="1"/>
  <c r="B13860" i="1"/>
  <c r="C13860" i="1"/>
  <c r="D13860" i="1"/>
  <c r="E13860" i="1"/>
  <c r="F13860" i="1"/>
  <c r="G13860" i="1"/>
  <c r="H13860" i="1"/>
  <c r="A13861" i="1"/>
  <c r="B13861" i="1"/>
  <c r="C13861" i="1"/>
  <c r="D13861" i="1"/>
  <c r="E13861" i="1"/>
  <c r="F13861" i="1"/>
  <c r="G13861" i="1"/>
  <c r="H13861" i="1"/>
  <c r="A13862" i="1"/>
  <c r="B13862" i="1"/>
  <c r="C13862" i="1"/>
  <c r="D13862" i="1"/>
  <c r="E13862" i="1"/>
  <c r="F13862" i="1"/>
  <c r="G13862" i="1"/>
  <c r="H13862" i="1"/>
  <c r="A13863" i="1"/>
  <c r="B13863" i="1"/>
  <c r="C13863" i="1"/>
  <c r="D13863" i="1"/>
  <c r="E13863" i="1"/>
  <c r="F13863" i="1"/>
  <c r="G13863" i="1"/>
  <c r="H13863" i="1"/>
  <c r="A13864" i="1"/>
  <c r="B13864" i="1"/>
  <c r="C13864" i="1"/>
  <c r="D13864" i="1"/>
  <c r="E13864" i="1"/>
  <c r="F13864" i="1"/>
  <c r="G13864" i="1"/>
  <c r="H13864" i="1"/>
  <c r="A13865" i="1"/>
  <c r="B13865" i="1"/>
  <c r="C13865" i="1"/>
  <c r="D13865" i="1"/>
  <c r="E13865" i="1"/>
  <c r="F13865" i="1"/>
  <c r="G13865" i="1"/>
  <c r="H13865" i="1"/>
  <c r="A13866" i="1"/>
  <c r="B13866" i="1"/>
  <c r="C13866" i="1"/>
  <c r="D13866" i="1"/>
  <c r="E13866" i="1"/>
  <c r="F13866" i="1"/>
  <c r="G13866" i="1"/>
  <c r="H13866" i="1"/>
  <c r="A13867" i="1"/>
  <c r="B13867" i="1"/>
  <c r="C13867" i="1"/>
  <c r="D13867" i="1"/>
  <c r="E13867" i="1"/>
  <c r="F13867" i="1"/>
  <c r="G13867" i="1"/>
  <c r="H13867" i="1"/>
  <c r="A13868" i="1"/>
  <c r="B13868" i="1"/>
  <c r="C13868" i="1"/>
  <c r="D13868" i="1"/>
  <c r="E13868" i="1"/>
  <c r="F13868" i="1"/>
  <c r="G13868" i="1"/>
  <c r="H13868" i="1"/>
  <c r="A13869" i="1"/>
  <c r="B13869" i="1"/>
  <c r="C13869" i="1"/>
  <c r="D13869" i="1"/>
  <c r="E13869" i="1"/>
  <c r="F13869" i="1"/>
  <c r="G13869" i="1"/>
  <c r="H13869" i="1"/>
  <c r="A13870" i="1"/>
  <c r="B13870" i="1"/>
  <c r="C13870" i="1"/>
  <c r="D13870" i="1"/>
  <c r="E13870" i="1"/>
  <c r="F13870" i="1"/>
  <c r="G13870" i="1"/>
  <c r="H13870" i="1"/>
  <c r="A13871" i="1"/>
  <c r="B13871" i="1"/>
  <c r="C13871" i="1"/>
  <c r="D13871" i="1"/>
  <c r="E13871" i="1"/>
  <c r="F13871" i="1"/>
  <c r="G13871" i="1"/>
  <c r="H13871" i="1"/>
  <c r="A13872" i="1"/>
  <c r="B13872" i="1"/>
  <c r="C13872" i="1"/>
  <c r="D13872" i="1"/>
  <c r="E13872" i="1"/>
  <c r="F13872" i="1"/>
  <c r="G13872" i="1"/>
  <c r="H13872" i="1"/>
  <c r="A13873" i="1"/>
  <c r="B13873" i="1"/>
  <c r="C13873" i="1"/>
  <c r="D13873" i="1"/>
  <c r="E13873" i="1"/>
  <c r="F13873" i="1"/>
  <c r="G13873" i="1"/>
  <c r="H13873" i="1"/>
  <c r="A13874" i="1"/>
  <c r="B13874" i="1"/>
  <c r="C13874" i="1"/>
  <c r="D13874" i="1"/>
  <c r="E13874" i="1"/>
  <c r="F13874" i="1"/>
  <c r="G13874" i="1"/>
  <c r="H13874" i="1"/>
  <c r="A13875" i="1"/>
  <c r="B13875" i="1"/>
  <c r="C13875" i="1"/>
  <c r="D13875" i="1"/>
  <c r="E13875" i="1"/>
  <c r="F13875" i="1"/>
  <c r="G13875" i="1"/>
  <c r="H13875" i="1"/>
  <c r="A13876" i="1"/>
  <c r="B13876" i="1"/>
  <c r="C13876" i="1"/>
  <c r="D13876" i="1"/>
  <c r="E13876" i="1"/>
  <c r="F13876" i="1"/>
  <c r="G13876" i="1"/>
  <c r="H13876" i="1"/>
  <c r="A13877" i="1"/>
  <c r="B13877" i="1"/>
  <c r="C13877" i="1"/>
  <c r="D13877" i="1"/>
  <c r="E13877" i="1"/>
  <c r="F13877" i="1"/>
  <c r="G13877" i="1"/>
  <c r="H13877" i="1"/>
  <c r="A13878" i="1"/>
  <c r="B13878" i="1"/>
  <c r="C13878" i="1"/>
  <c r="D13878" i="1"/>
  <c r="E13878" i="1"/>
  <c r="F13878" i="1"/>
  <c r="G13878" i="1"/>
  <c r="H13878" i="1"/>
  <c r="A13879" i="1"/>
  <c r="B13879" i="1"/>
  <c r="C13879" i="1"/>
  <c r="D13879" i="1"/>
  <c r="E13879" i="1"/>
  <c r="F13879" i="1"/>
  <c r="G13879" i="1"/>
  <c r="H13879" i="1"/>
  <c r="A13880" i="1"/>
  <c r="B13880" i="1"/>
  <c r="C13880" i="1"/>
  <c r="D13880" i="1"/>
  <c r="E13880" i="1"/>
  <c r="F13880" i="1"/>
  <c r="G13880" i="1"/>
  <c r="H13880" i="1"/>
  <c r="A13881" i="1"/>
  <c r="B13881" i="1"/>
  <c r="C13881" i="1"/>
  <c r="D13881" i="1"/>
  <c r="E13881" i="1"/>
  <c r="F13881" i="1"/>
  <c r="G13881" i="1"/>
  <c r="H13881" i="1"/>
  <c r="A13882" i="1"/>
  <c r="B13882" i="1"/>
  <c r="C13882" i="1"/>
  <c r="D13882" i="1"/>
  <c r="E13882" i="1"/>
  <c r="F13882" i="1"/>
  <c r="G13882" i="1"/>
  <c r="H13882" i="1"/>
  <c r="A13883" i="1"/>
  <c r="B13883" i="1"/>
  <c r="C13883" i="1"/>
  <c r="D13883" i="1"/>
  <c r="E13883" i="1"/>
  <c r="F13883" i="1"/>
  <c r="G13883" i="1"/>
  <c r="H13883" i="1"/>
  <c r="A13884" i="1"/>
  <c r="B13884" i="1"/>
  <c r="C13884" i="1"/>
  <c r="D13884" i="1"/>
  <c r="E13884" i="1"/>
  <c r="F13884" i="1"/>
  <c r="G13884" i="1"/>
  <c r="H13884" i="1"/>
  <c r="A13885" i="1"/>
  <c r="B13885" i="1"/>
  <c r="C13885" i="1"/>
  <c r="D13885" i="1"/>
  <c r="E13885" i="1"/>
  <c r="F13885" i="1"/>
  <c r="G13885" i="1"/>
  <c r="H13885" i="1"/>
  <c r="A13886" i="1"/>
  <c r="B13886" i="1"/>
  <c r="C13886" i="1"/>
  <c r="D13886" i="1"/>
  <c r="E13886" i="1"/>
  <c r="F13886" i="1"/>
  <c r="G13886" i="1"/>
  <c r="H13886" i="1"/>
  <c r="A13887" i="1"/>
  <c r="B13887" i="1"/>
  <c r="C13887" i="1"/>
  <c r="D13887" i="1"/>
  <c r="E13887" i="1"/>
  <c r="F13887" i="1"/>
  <c r="G13887" i="1"/>
  <c r="H13887" i="1"/>
  <c r="A13888" i="1"/>
  <c r="B13888" i="1"/>
  <c r="C13888" i="1"/>
  <c r="D13888" i="1"/>
  <c r="E13888" i="1"/>
  <c r="F13888" i="1"/>
  <c r="G13888" i="1"/>
  <c r="H13888" i="1"/>
  <c r="A13889" i="1"/>
  <c r="B13889" i="1"/>
  <c r="C13889" i="1"/>
  <c r="D13889" i="1"/>
  <c r="E13889" i="1"/>
  <c r="F13889" i="1"/>
  <c r="G13889" i="1"/>
  <c r="H13889" i="1"/>
  <c r="A13890" i="1"/>
  <c r="B13890" i="1"/>
  <c r="C13890" i="1"/>
  <c r="D13890" i="1"/>
  <c r="E13890" i="1"/>
  <c r="F13890" i="1"/>
  <c r="G13890" i="1"/>
  <c r="H13890" i="1"/>
  <c r="A13891" i="1"/>
  <c r="B13891" i="1"/>
  <c r="C13891" i="1"/>
  <c r="D13891" i="1"/>
  <c r="E13891" i="1"/>
  <c r="F13891" i="1"/>
  <c r="G13891" i="1"/>
  <c r="H13891" i="1"/>
  <c r="A13892" i="1"/>
  <c r="B13892" i="1"/>
  <c r="C13892" i="1"/>
  <c r="D13892" i="1"/>
  <c r="E13892" i="1"/>
  <c r="F13892" i="1"/>
  <c r="G13892" i="1"/>
  <c r="H13892" i="1"/>
  <c r="A13893" i="1"/>
  <c r="B13893" i="1"/>
  <c r="C13893" i="1"/>
  <c r="D13893" i="1"/>
  <c r="E13893" i="1"/>
  <c r="F13893" i="1"/>
  <c r="G13893" i="1"/>
  <c r="H13893" i="1"/>
  <c r="A13894" i="1"/>
  <c r="B13894" i="1"/>
  <c r="C13894" i="1"/>
  <c r="D13894" i="1"/>
  <c r="E13894" i="1"/>
  <c r="F13894" i="1"/>
  <c r="G13894" i="1"/>
  <c r="H13894" i="1"/>
  <c r="A13895" i="1"/>
  <c r="B13895" i="1"/>
  <c r="C13895" i="1"/>
  <c r="D13895" i="1"/>
  <c r="E13895" i="1"/>
  <c r="F13895" i="1"/>
  <c r="G13895" i="1"/>
  <c r="H13895" i="1"/>
  <c r="A13896" i="1"/>
  <c r="B13896" i="1"/>
  <c r="C13896" i="1"/>
  <c r="D13896" i="1"/>
  <c r="E13896" i="1"/>
  <c r="F13896" i="1"/>
  <c r="G13896" i="1"/>
  <c r="H13896" i="1"/>
  <c r="A13897" i="1"/>
  <c r="B13897" i="1"/>
  <c r="C13897" i="1"/>
  <c r="D13897" i="1"/>
  <c r="E13897" i="1"/>
  <c r="F13897" i="1"/>
  <c r="G13897" i="1"/>
  <c r="H13897" i="1"/>
  <c r="A13898" i="1"/>
  <c r="B13898" i="1"/>
  <c r="C13898" i="1"/>
  <c r="D13898" i="1"/>
  <c r="E13898" i="1"/>
  <c r="F13898" i="1"/>
  <c r="G13898" i="1"/>
  <c r="H13898" i="1"/>
  <c r="A13899" i="1"/>
  <c r="B13899" i="1"/>
  <c r="C13899" i="1"/>
  <c r="D13899" i="1"/>
  <c r="E13899" i="1"/>
  <c r="F13899" i="1"/>
  <c r="G13899" i="1"/>
  <c r="H13899" i="1"/>
  <c r="A13900" i="1"/>
  <c r="B13900" i="1"/>
  <c r="C13900" i="1"/>
  <c r="D13900" i="1"/>
  <c r="E13900" i="1"/>
  <c r="F13900" i="1"/>
  <c r="G13900" i="1"/>
  <c r="H13900" i="1"/>
  <c r="A13901" i="1"/>
  <c r="B13901" i="1"/>
  <c r="C13901" i="1"/>
  <c r="D13901" i="1"/>
  <c r="E13901" i="1"/>
  <c r="F13901" i="1"/>
  <c r="G13901" i="1"/>
  <c r="H13901" i="1"/>
  <c r="A13902" i="1"/>
  <c r="B13902" i="1"/>
  <c r="C13902" i="1"/>
  <c r="D13902" i="1"/>
  <c r="E13902" i="1"/>
  <c r="F13902" i="1"/>
  <c r="G13902" i="1"/>
  <c r="H13902" i="1"/>
  <c r="A13903" i="1"/>
  <c r="B13903" i="1"/>
  <c r="C13903" i="1"/>
  <c r="D13903" i="1"/>
  <c r="E13903" i="1"/>
  <c r="F13903" i="1"/>
  <c r="G13903" i="1"/>
  <c r="H13903" i="1"/>
  <c r="A13904" i="1"/>
  <c r="B13904" i="1"/>
  <c r="C13904" i="1"/>
  <c r="D13904" i="1"/>
  <c r="E13904" i="1"/>
  <c r="F13904" i="1"/>
  <c r="G13904" i="1"/>
  <c r="H13904" i="1"/>
  <c r="A13905" i="1"/>
  <c r="B13905" i="1"/>
  <c r="C13905" i="1"/>
  <c r="D13905" i="1"/>
  <c r="E13905" i="1"/>
  <c r="F13905" i="1"/>
  <c r="G13905" i="1"/>
  <c r="H13905" i="1"/>
  <c r="A13906" i="1"/>
  <c r="B13906" i="1"/>
  <c r="C13906" i="1"/>
  <c r="D13906" i="1"/>
  <c r="E13906" i="1"/>
  <c r="F13906" i="1"/>
  <c r="G13906" i="1"/>
  <c r="H13906" i="1"/>
  <c r="A13907" i="1"/>
  <c r="B13907" i="1"/>
  <c r="C13907" i="1"/>
  <c r="D13907" i="1"/>
  <c r="E13907" i="1"/>
  <c r="F13907" i="1"/>
  <c r="G13907" i="1"/>
  <c r="H13907" i="1"/>
  <c r="A13908" i="1"/>
  <c r="B13908" i="1"/>
  <c r="C13908" i="1"/>
  <c r="D13908" i="1"/>
  <c r="E13908" i="1"/>
  <c r="F13908" i="1"/>
  <c r="G13908" i="1"/>
  <c r="H13908" i="1"/>
  <c r="A13909" i="1"/>
  <c r="B13909" i="1"/>
  <c r="C13909" i="1"/>
  <c r="D13909" i="1"/>
  <c r="E13909" i="1"/>
  <c r="F13909" i="1"/>
  <c r="G13909" i="1"/>
  <c r="H13909" i="1"/>
  <c r="A13910" i="1"/>
  <c r="B13910" i="1"/>
  <c r="C13910" i="1"/>
  <c r="D13910" i="1"/>
  <c r="E13910" i="1"/>
  <c r="F13910" i="1"/>
  <c r="G13910" i="1"/>
  <c r="H13910" i="1"/>
  <c r="A13911" i="1"/>
  <c r="B13911" i="1"/>
  <c r="C13911" i="1"/>
  <c r="D13911" i="1"/>
  <c r="E13911" i="1"/>
  <c r="F13911" i="1"/>
  <c r="G13911" i="1"/>
  <c r="H13911" i="1"/>
  <c r="A13912" i="1"/>
  <c r="B13912" i="1"/>
  <c r="C13912" i="1"/>
  <c r="D13912" i="1"/>
  <c r="E13912" i="1"/>
  <c r="F13912" i="1"/>
  <c r="G13912" i="1"/>
  <c r="H13912" i="1"/>
  <c r="A13913" i="1"/>
  <c r="B13913" i="1"/>
  <c r="C13913" i="1"/>
  <c r="D13913" i="1"/>
  <c r="E13913" i="1"/>
  <c r="F13913" i="1"/>
  <c r="G13913" i="1"/>
  <c r="H13913" i="1"/>
  <c r="A13914" i="1"/>
  <c r="B13914" i="1"/>
  <c r="C13914" i="1"/>
  <c r="D13914" i="1"/>
  <c r="E13914" i="1"/>
  <c r="F13914" i="1"/>
  <c r="G13914" i="1"/>
  <c r="H13914" i="1"/>
  <c r="A13915" i="1"/>
  <c r="B13915" i="1"/>
  <c r="C13915" i="1"/>
  <c r="D13915" i="1"/>
  <c r="E13915" i="1"/>
  <c r="F13915" i="1"/>
  <c r="G13915" i="1"/>
  <c r="H13915" i="1"/>
  <c r="A13916" i="1"/>
  <c r="B13916" i="1"/>
  <c r="C13916" i="1"/>
  <c r="D13916" i="1"/>
  <c r="E13916" i="1"/>
  <c r="F13916" i="1"/>
  <c r="G13916" i="1"/>
  <c r="H13916" i="1"/>
  <c r="A13917" i="1"/>
  <c r="B13917" i="1"/>
  <c r="C13917" i="1"/>
  <c r="D13917" i="1"/>
  <c r="E13917" i="1"/>
  <c r="F13917" i="1"/>
  <c r="G13917" i="1"/>
  <c r="H13917" i="1"/>
  <c r="A13918" i="1"/>
  <c r="B13918" i="1"/>
  <c r="C13918" i="1"/>
  <c r="D13918" i="1"/>
  <c r="E13918" i="1"/>
  <c r="F13918" i="1"/>
  <c r="G13918" i="1"/>
  <c r="H13918" i="1"/>
  <c r="A13919" i="1"/>
  <c r="B13919" i="1"/>
  <c r="C13919" i="1"/>
  <c r="D13919" i="1"/>
  <c r="E13919" i="1"/>
  <c r="F13919" i="1"/>
  <c r="G13919" i="1"/>
  <c r="H13919" i="1"/>
  <c r="A13920" i="1"/>
  <c r="B13920" i="1"/>
  <c r="C13920" i="1"/>
  <c r="D13920" i="1"/>
  <c r="E13920" i="1"/>
  <c r="F13920" i="1"/>
  <c r="G13920" i="1"/>
  <c r="H13920" i="1"/>
  <c r="A13921" i="1"/>
  <c r="B13921" i="1"/>
  <c r="C13921" i="1"/>
  <c r="D13921" i="1"/>
  <c r="E13921" i="1"/>
  <c r="F13921" i="1"/>
  <c r="G13921" i="1"/>
  <c r="H13921" i="1"/>
  <c r="A13922" i="1"/>
  <c r="B13922" i="1"/>
  <c r="C13922" i="1"/>
  <c r="D13922" i="1"/>
  <c r="E13922" i="1"/>
  <c r="F13922" i="1"/>
  <c r="G13922" i="1"/>
  <c r="H13922" i="1"/>
  <c r="A13923" i="1"/>
  <c r="B13923" i="1"/>
  <c r="C13923" i="1"/>
  <c r="D13923" i="1"/>
  <c r="E13923" i="1"/>
  <c r="F13923" i="1"/>
  <c r="G13923" i="1"/>
  <c r="H13923" i="1"/>
  <c r="A13924" i="1"/>
  <c r="B13924" i="1"/>
  <c r="C13924" i="1"/>
  <c r="D13924" i="1"/>
  <c r="E13924" i="1"/>
  <c r="F13924" i="1"/>
  <c r="G13924" i="1"/>
  <c r="H13924" i="1"/>
  <c r="A13925" i="1"/>
  <c r="B13925" i="1"/>
  <c r="C13925" i="1"/>
  <c r="D13925" i="1"/>
  <c r="E13925" i="1"/>
  <c r="F13925" i="1"/>
  <c r="G13925" i="1"/>
  <c r="H13925" i="1"/>
  <c r="A13926" i="1"/>
  <c r="B13926" i="1"/>
  <c r="C13926" i="1"/>
  <c r="D13926" i="1"/>
  <c r="E13926" i="1"/>
  <c r="F13926" i="1"/>
  <c r="G13926" i="1"/>
  <c r="H13926" i="1"/>
  <c r="A13927" i="1"/>
  <c r="B13927" i="1"/>
  <c r="C13927" i="1"/>
  <c r="D13927" i="1"/>
  <c r="E13927" i="1"/>
  <c r="F13927" i="1"/>
  <c r="G13927" i="1"/>
  <c r="H13927" i="1"/>
  <c r="A13928" i="1"/>
  <c r="B13928" i="1"/>
  <c r="C13928" i="1"/>
  <c r="D13928" i="1"/>
  <c r="E13928" i="1"/>
  <c r="F13928" i="1"/>
  <c r="G13928" i="1"/>
  <c r="H13928" i="1"/>
  <c r="A13929" i="1"/>
  <c r="B13929" i="1"/>
  <c r="C13929" i="1"/>
  <c r="D13929" i="1"/>
  <c r="E13929" i="1"/>
  <c r="F13929" i="1"/>
  <c r="G13929" i="1"/>
  <c r="H13929" i="1"/>
  <c r="A13930" i="1"/>
  <c r="B13930" i="1"/>
  <c r="C13930" i="1"/>
  <c r="D13930" i="1"/>
  <c r="E13930" i="1"/>
  <c r="F13930" i="1"/>
  <c r="G13930" i="1"/>
  <c r="H13930" i="1"/>
  <c r="A13931" i="1"/>
  <c r="B13931" i="1"/>
  <c r="C13931" i="1"/>
  <c r="D13931" i="1"/>
  <c r="E13931" i="1"/>
  <c r="F13931" i="1"/>
  <c r="G13931" i="1"/>
  <c r="H13931" i="1"/>
  <c r="A13932" i="1"/>
  <c r="B13932" i="1"/>
  <c r="C13932" i="1"/>
  <c r="D13932" i="1"/>
  <c r="E13932" i="1"/>
  <c r="F13932" i="1"/>
  <c r="G13932" i="1"/>
  <c r="H13932" i="1"/>
  <c r="A13933" i="1"/>
  <c r="B13933" i="1"/>
  <c r="C13933" i="1"/>
  <c r="D13933" i="1"/>
  <c r="E13933" i="1"/>
  <c r="F13933" i="1"/>
  <c r="G13933" i="1"/>
  <c r="H13933" i="1"/>
  <c r="A13934" i="1"/>
  <c r="B13934" i="1"/>
  <c r="C13934" i="1"/>
  <c r="D13934" i="1"/>
  <c r="E13934" i="1"/>
  <c r="F13934" i="1"/>
  <c r="G13934" i="1"/>
  <c r="H13934" i="1"/>
  <c r="A13935" i="1"/>
  <c r="B13935" i="1"/>
  <c r="C13935" i="1"/>
  <c r="D13935" i="1"/>
  <c r="E13935" i="1"/>
  <c r="F13935" i="1"/>
  <c r="G13935" i="1"/>
  <c r="H13935" i="1"/>
  <c r="A13936" i="1"/>
  <c r="B13936" i="1"/>
  <c r="C13936" i="1"/>
  <c r="D13936" i="1"/>
  <c r="E13936" i="1"/>
  <c r="F13936" i="1"/>
  <c r="G13936" i="1"/>
  <c r="H13936" i="1"/>
  <c r="A13937" i="1"/>
  <c r="B13937" i="1"/>
  <c r="C13937" i="1"/>
  <c r="D13937" i="1"/>
  <c r="E13937" i="1"/>
  <c r="F13937" i="1"/>
  <c r="G13937" i="1"/>
  <c r="H13937" i="1"/>
  <c r="A13938" i="1"/>
  <c r="B13938" i="1"/>
  <c r="C13938" i="1"/>
  <c r="D13938" i="1"/>
  <c r="E13938" i="1"/>
  <c r="F13938" i="1"/>
  <c r="G13938" i="1"/>
  <c r="H13938" i="1"/>
  <c r="A13939" i="1"/>
  <c r="B13939" i="1"/>
  <c r="C13939" i="1"/>
  <c r="D13939" i="1"/>
  <c r="E13939" i="1"/>
  <c r="F13939" i="1"/>
  <c r="G13939" i="1"/>
  <c r="H13939" i="1"/>
  <c r="A13940" i="1"/>
  <c r="B13940" i="1"/>
  <c r="C13940" i="1"/>
  <c r="D13940" i="1"/>
  <c r="E13940" i="1"/>
  <c r="F13940" i="1"/>
  <c r="G13940" i="1"/>
  <c r="H13940" i="1"/>
  <c r="A13941" i="1"/>
  <c r="B13941" i="1"/>
  <c r="C13941" i="1"/>
  <c r="D13941" i="1"/>
  <c r="E13941" i="1"/>
  <c r="F13941" i="1"/>
  <c r="G13941" i="1"/>
  <c r="H13941" i="1"/>
  <c r="A13942" i="1"/>
  <c r="B13942" i="1"/>
  <c r="C13942" i="1"/>
  <c r="D13942" i="1"/>
  <c r="E13942" i="1"/>
  <c r="F13942" i="1"/>
  <c r="G13942" i="1"/>
  <c r="H13942" i="1"/>
  <c r="A13943" i="1"/>
  <c r="B13943" i="1"/>
  <c r="C13943" i="1"/>
  <c r="D13943" i="1"/>
  <c r="E13943" i="1"/>
  <c r="F13943" i="1"/>
  <c r="G13943" i="1"/>
  <c r="H13943" i="1"/>
  <c r="A13944" i="1"/>
  <c r="B13944" i="1"/>
  <c r="C13944" i="1"/>
  <c r="D13944" i="1"/>
  <c r="E13944" i="1"/>
  <c r="F13944" i="1"/>
  <c r="G13944" i="1"/>
  <c r="H13944" i="1"/>
  <c r="A13945" i="1"/>
  <c r="B13945" i="1"/>
  <c r="C13945" i="1"/>
  <c r="D13945" i="1"/>
  <c r="E13945" i="1"/>
  <c r="F13945" i="1"/>
  <c r="G13945" i="1"/>
  <c r="H13945" i="1"/>
  <c r="A13946" i="1"/>
  <c r="B13946" i="1"/>
  <c r="C13946" i="1"/>
  <c r="D13946" i="1"/>
  <c r="E13946" i="1"/>
  <c r="F13946" i="1"/>
  <c r="G13946" i="1"/>
  <c r="H13946" i="1"/>
  <c r="A13947" i="1"/>
  <c r="B13947" i="1"/>
  <c r="C13947" i="1"/>
  <c r="D13947" i="1"/>
  <c r="E13947" i="1"/>
  <c r="F13947" i="1"/>
  <c r="G13947" i="1"/>
  <c r="H13947" i="1"/>
  <c r="A13948" i="1"/>
  <c r="B13948" i="1"/>
  <c r="C13948" i="1"/>
  <c r="D13948" i="1"/>
  <c r="E13948" i="1"/>
  <c r="F13948" i="1"/>
  <c r="G13948" i="1"/>
  <c r="H13948" i="1"/>
  <c r="A13949" i="1"/>
  <c r="B13949" i="1"/>
  <c r="C13949" i="1"/>
  <c r="D13949" i="1"/>
  <c r="E13949" i="1"/>
  <c r="F13949" i="1"/>
  <c r="G13949" i="1"/>
  <c r="H13949" i="1"/>
  <c r="A13950" i="1"/>
  <c r="B13950" i="1"/>
  <c r="C13950" i="1"/>
  <c r="D13950" i="1"/>
  <c r="E13950" i="1"/>
  <c r="F13950" i="1"/>
  <c r="G13950" i="1"/>
  <c r="H13950" i="1"/>
  <c r="A13951" i="1"/>
  <c r="B13951" i="1"/>
  <c r="C13951" i="1"/>
  <c r="D13951" i="1"/>
  <c r="E13951" i="1"/>
  <c r="F13951" i="1"/>
  <c r="G13951" i="1"/>
  <c r="H13951" i="1"/>
  <c r="A13952" i="1"/>
  <c r="B13952" i="1"/>
  <c r="C13952" i="1"/>
  <c r="D13952" i="1"/>
  <c r="E13952" i="1"/>
  <c r="F13952" i="1"/>
  <c r="G13952" i="1"/>
  <c r="H13952" i="1"/>
  <c r="A13953" i="1"/>
  <c r="B13953" i="1"/>
  <c r="C13953" i="1"/>
  <c r="D13953" i="1"/>
  <c r="E13953" i="1"/>
  <c r="F13953" i="1"/>
  <c r="G13953" i="1"/>
  <c r="H13953" i="1"/>
  <c r="A13954" i="1"/>
  <c r="B13954" i="1"/>
  <c r="C13954" i="1"/>
  <c r="D13954" i="1"/>
  <c r="E13954" i="1"/>
  <c r="F13954" i="1"/>
  <c r="G13954" i="1"/>
  <c r="H13954" i="1"/>
  <c r="A13955" i="1"/>
  <c r="B13955" i="1"/>
  <c r="C13955" i="1"/>
  <c r="D13955" i="1"/>
  <c r="E13955" i="1"/>
  <c r="F13955" i="1"/>
  <c r="G13955" i="1"/>
  <c r="H13955" i="1"/>
  <c r="A13956" i="1"/>
  <c r="B13956" i="1"/>
  <c r="C13956" i="1"/>
  <c r="D13956" i="1"/>
  <c r="E13956" i="1"/>
  <c r="F13956" i="1"/>
  <c r="G13956" i="1"/>
  <c r="H13956" i="1"/>
  <c r="A13957" i="1"/>
  <c r="B13957" i="1"/>
  <c r="C13957" i="1"/>
  <c r="D13957" i="1"/>
  <c r="E13957" i="1"/>
  <c r="F13957" i="1"/>
  <c r="G13957" i="1"/>
  <c r="H13957" i="1"/>
  <c r="A13958" i="1"/>
  <c r="B13958" i="1"/>
  <c r="C13958" i="1"/>
  <c r="D13958" i="1"/>
  <c r="E13958" i="1"/>
  <c r="F13958" i="1"/>
  <c r="G13958" i="1"/>
  <c r="H13958" i="1"/>
  <c r="A13959" i="1"/>
  <c r="B13959" i="1"/>
  <c r="C13959" i="1"/>
  <c r="D13959" i="1"/>
  <c r="E13959" i="1"/>
  <c r="F13959" i="1"/>
  <c r="G13959" i="1"/>
  <c r="H13959" i="1"/>
  <c r="A13960" i="1"/>
  <c r="B13960" i="1"/>
  <c r="C13960" i="1"/>
  <c r="D13960" i="1"/>
  <c r="E13960" i="1"/>
  <c r="F13960" i="1"/>
  <c r="G13960" i="1"/>
  <c r="H13960" i="1"/>
  <c r="A13961" i="1"/>
  <c r="B13961" i="1"/>
  <c r="C13961" i="1"/>
  <c r="D13961" i="1"/>
  <c r="E13961" i="1"/>
  <c r="F13961" i="1"/>
  <c r="G13961" i="1"/>
  <c r="H13961" i="1"/>
  <c r="A13962" i="1"/>
  <c r="B13962" i="1"/>
  <c r="C13962" i="1"/>
  <c r="D13962" i="1"/>
  <c r="E13962" i="1"/>
  <c r="F13962" i="1"/>
  <c r="G13962" i="1"/>
  <c r="H13962" i="1"/>
  <c r="A13963" i="1"/>
  <c r="B13963" i="1"/>
  <c r="C13963" i="1"/>
  <c r="D13963" i="1"/>
  <c r="E13963" i="1"/>
  <c r="F13963" i="1"/>
  <c r="G13963" i="1"/>
  <c r="H13963" i="1"/>
  <c r="A13964" i="1"/>
  <c r="B13964" i="1"/>
  <c r="C13964" i="1"/>
  <c r="D13964" i="1"/>
  <c r="E13964" i="1"/>
  <c r="F13964" i="1"/>
  <c r="G13964" i="1"/>
  <c r="H13964" i="1"/>
  <c r="A13965" i="1"/>
  <c r="B13965" i="1"/>
  <c r="C13965" i="1"/>
  <c r="D13965" i="1"/>
  <c r="E13965" i="1"/>
  <c r="F13965" i="1"/>
  <c r="G13965" i="1"/>
  <c r="H13965" i="1"/>
  <c r="A13966" i="1"/>
  <c r="B13966" i="1"/>
  <c r="C13966" i="1"/>
  <c r="D13966" i="1"/>
  <c r="E13966" i="1"/>
  <c r="F13966" i="1"/>
  <c r="G13966" i="1"/>
  <c r="H13966" i="1"/>
  <c r="A13967" i="1"/>
  <c r="B13967" i="1"/>
  <c r="C13967" i="1"/>
  <c r="D13967" i="1"/>
  <c r="E13967" i="1"/>
  <c r="F13967" i="1"/>
  <c r="G13967" i="1"/>
  <c r="H13967" i="1"/>
  <c r="A13968" i="1"/>
  <c r="B13968" i="1"/>
  <c r="C13968" i="1"/>
  <c r="D13968" i="1"/>
  <c r="E13968" i="1"/>
  <c r="F13968" i="1"/>
  <c r="G13968" i="1"/>
  <c r="H13968" i="1"/>
  <c r="A13969" i="1"/>
  <c r="B13969" i="1"/>
  <c r="C13969" i="1"/>
  <c r="D13969" i="1"/>
  <c r="E13969" i="1"/>
  <c r="F13969" i="1"/>
  <c r="G13969" i="1"/>
  <c r="H13969" i="1"/>
  <c r="A13970" i="1"/>
  <c r="B13970" i="1"/>
  <c r="C13970" i="1"/>
  <c r="D13970" i="1"/>
  <c r="E13970" i="1"/>
  <c r="F13970" i="1"/>
  <c r="G13970" i="1"/>
  <c r="H13970" i="1"/>
  <c r="A13971" i="1"/>
  <c r="B13971" i="1"/>
  <c r="C13971" i="1"/>
  <c r="D13971" i="1"/>
  <c r="E13971" i="1"/>
  <c r="F13971" i="1"/>
  <c r="G13971" i="1"/>
  <c r="H13971" i="1"/>
  <c r="A13972" i="1"/>
  <c r="B13972" i="1"/>
  <c r="C13972" i="1"/>
  <c r="D13972" i="1"/>
  <c r="E13972" i="1"/>
  <c r="F13972" i="1"/>
  <c r="G13972" i="1"/>
  <c r="H13972" i="1"/>
  <c r="A13973" i="1"/>
  <c r="B13973" i="1"/>
  <c r="C13973" i="1"/>
  <c r="D13973" i="1"/>
  <c r="E13973" i="1"/>
  <c r="F13973" i="1"/>
  <c r="G13973" i="1"/>
  <c r="H13973" i="1"/>
  <c r="A13974" i="1"/>
  <c r="B13974" i="1"/>
  <c r="C13974" i="1"/>
  <c r="D13974" i="1"/>
  <c r="E13974" i="1"/>
  <c r="F13974" i="1"/>
  <c r="G13974" i="1"/>
  <c r="H13974" i="1"/>
  <c r="A13975" i="1"/>
  <c r="B13975" i="1"/>
  <c r="C13975" i="1"/>
  <c r="D13975" i="1"/>
  <c r="E13975" i="1"/>
  <c r="F13975" i="1"/>
  <c r="G13975" i="1"/>
  <c r="H13975" i="1"/>
  <c r="A13976" i="1"/>
  <c r="B13976" i="1"/>
  <c r="C13976" i="1"/>
  <c r="D13976" i="1"/>
  <c r="E13976" i="1"/>
  <c r="F13976" i="1"/>
  <c r="G13976" i="1"/>
  <c r="H13976" i="1"/>
  <c r="A13977" i="1"/>
  <c r="B13977" i="1"/>
  <c r="C13977" i="1"/>
  <c r="D13977" i="1"/>
  <c r="E13977" i="1"/>
  <c r="F13977" i="1"/>
  <c r="G13977" i="1"/>
  <c r="H13977" i="1"/>
  <c r="A13978" i="1"/>
  <c r="B13978" i="1"/>
  <c r="C13978" i="1"/>
  <c r="D13978" i="1"/>
  <c r="E13978" i="1"/>
  <c r="F13978" i="1"/>
  <c r="G13978" i="1"/>
  <c r="H13978" i="1"/>
  <c r="A13979" i="1"/>
  <c r="B13979" i="1"/>
  <c r="C13979" i="1"/>
  <c r="D13979" i="1"/>
  <c r="E13979" i="1"/>
  <c r="F13979" i="1"/>
  <c r="G13979" i="1"/>
  <c r="H13979" i="1"/>
  <c r="A13980" i="1"/>
  <c r="B13980" i="1"/>
  <c r="C13980" i="1"/>
  <c r="D13980" i="1"/>
  <c r="E13980" i="1"/>
  <c r="F13980" i="1"/>
  <c r="G13980" i="1"/>
  <c r="H13980" i="1"/>
  <c r="A13981" i="1"/>
  <c r="B13981" i="1"/>
  <c r="C13981" i="1"/>
  <c r="D13981" i="1"/>
  <c r="E13981" i="1"/>
  <c r="F13981" i="1"/>
  <c r="G13981" i="1"/>
  <c r="H13981" i="1"/>
  <c r="A13982" i="1"/>
  <c r="B13982" i="1"/>
  <c r="C13982" i="1"/>
  <c r="D13982" i="1"/>
  <c r="E13982" i="1"/>
  <c r="F13982" i="1"/>
  <c r="G13982" i="1"/>
  <c r="H13982" i="1"/>
  <c r="A13983" i="1"/>
  <c r="B13983" i="1"/>
  <c r="C13983" i="1"/>
  <c r="D13983" i="1"/>
  <c r="E13983" i="1"/>
  <c r="F13983" i="1"/>
  <c r="G13983" i="1"/>
  <c r="H13983" i="1"/>
  <c r="A13984" i="1"/>
  <c r="B13984" i="1"/>
  <c r="C13984" i="1"/>
  <c r="D13984" i="1"/>
  <c r="E13984" i="1"/>
  <c r="F13984" i="1"/>
  <c r="G13984" i="1"/>
  <c r="H13984" i="1"/>
  <c r="A13985" i="1"/>
  <c r="B13985" i="1"/>
  <c r="C13985" i="1"/>
  <c r="D13985" i="1"/>
  <c r="E13985" i="1"/>
  <c r="F13985" i="1"/>
  <c r="G13985" i="1"/>
  <c r="H13985" i="1"/>
  <c r="A13986" i="1"/>
  <c r="B13986" i="1"/>
  <c r="C13986" i="1"/>
  <c r="D13986" i="1"/>
  <c r="E13986" i="1"/>
  <c r="F13986" i="1"/>
  <c r="G13986" i="1"/>
  <c r="H13986" i="1"/>
  <c r="A13987" i="1"/>
  <c r="B13987" i="1"/>
  <c r="C13987" i="1"/>
  <c r="D13987" i="1"/>
  <c r="E13987" i="1"/>
  <c r="F13987" i="1"/>
  <c r="G13987" i="1"/>
  <c r="H13987" i="1"/>
  <c r="A13988" i="1"/>
  <c r="B13988" i="1"/>
  <c r="C13988" i="1"/>
  <c r="D13988" i="1"/>
  <c r="E13988" i="1"/>
  <c r="F13988" i="1"/>
  <c r="G13988" i="1"/>
  <c r="H13988" i="1"/>
  <c r="A13989" i="1"/>
  <c r="B13989" i="1"/>
  <c r="C13989" i="1"/>
  <c r="D13989" i="1"/>
  <c r="E13989" i="1"/>
  <c r="F13989" i="1"/>
  <c r="G13989" i="1"/>
  <c r="H13989" i="1"/>
  <c r="A13990" i="1"/>
  <c r="B13990" i="1"/>
  <c r="C13990" i="1"/>
  <c r="D13990" i="1"/>
  <c r="E13990" i="1"/>
  <c r="F13990" i="1"/>
  <c r="G13990" i="1"/>
  <c r="H13990" i="1"/>
  <c r="A13991" i="1"/>
  <c r="B13991" i="1"/>
  <c r="C13991" i="1"/>
  <c r="D13991" i="1"/>
  <c r="E13991" i="1"/>
  <c r="F13991" i="1"/>
  <c r="G13991" i="1"/>
  <c r="H13991" i="1"/>
  <c r="A13992" i="1"/>
  <c r="B13992" i="1"/>
  <c r="C13992" i="1"/>
  <c r="D13992" i="1"/>
  <c r="E13992" i="1"/>
  <c r="F13992" i="1"/>
  <c r="G13992" i="1"/>
  <c r="H13992" i="1"/>
  <c r="A13993" i="1"/>
  <c r="B13993" i="1"/>
  <c r="C13993" i="1"/>
  <c r="D13993" i="1"/>
  <c r="E13993" i="1"/>
  <c r="F13993" i="1"/>
  <c r="G13993" i="1"/>
  <c r="H13993" i="1"/>
  <c r="A13994" i="1"/>
  <c r="B13994" i="1"/>
  <c r="C13994" i="1"/>
  <c r="D13994" i="1"/>
  <c r="E13994" i="1"/>
  <c r="F13994" i="1"/>
  <c r="G13994" i="1"/>
  <c r="H13994" i="1"/>
  <c r="A13995" i="1"/>
  <c r="B13995" i="1"/>
  <c r="C13995" i="1"/>
  <c r="D13995" i="1"/>
  <c r="E13995" i="1"/>
  <c r="F13995" i="1"/>
  <c r="G13995" i="1"/>
  <c r="H13995" i="1"/>
  <c r="A13996" i="1"/>
  <c r="B13996" i="1"/>
  <c r="C13996" i="1"/>
  <c r="D13996" i="1"/>
  <c r="E13996" i="1"/>
  <c r="F13996" i="1"/>
  <c r="G13996" i="1"/>
  <c r="H13996" i="1"/>
  <c r="A13997" i="1"/>
  <c r="B13997" i="1"/>
  <c r="C13997" i="1"/>
  <c r="D13997" i="1"/>
  <c r="E13997" i="1"/>
  <c r="F13997" i="1"/>
  <c r="G13997" i="1"/>
  <c r="H13997" i="1"/>
  <c r="A13998" i="1"/>
  <c r="B13998" i="1"/>
  <c r="C13998" i="1"/>
  <c r="D13998" i="1"/>
  <c r="E13998" i="1"/>
  <c r="F13998" i="1"/>
  <c r="G13998" i="1"/>
  <c r="H13998" i="1"/>
  <c r="A13999" i="1"/>
  <c r="B13999" i="1"/>
  <c r="C13999" i="1"/>
  <c r="D13999" i="1"/>
  <c r="E13999" i="1"/>
  <c r="F13999" i="1"/>
  <c r="G13999" i="1"/>
  <c r="H13999" i="1"/>
  <c r="A14000" i="1"/>
  <c r="B14000" i="1"/>
  <c r="C14000" i="1"/>
  <c r="D14000" i="1"/>
  <c r="E14000" i="1"/>
  <c r="F14000" i="1"/>
  <c r="G14000" i="1"/>
  <c r="H14000" i="1"/>
  <c r="A14001" i="1"/>
  <c r="B14001" i="1"/>
  <c r="C14001" i="1"/>
  <c r="D14001" i="1"/>
  <c r="E14001" i="1"/>
  <c r="F14001" i="1"/>
  <c r="G14001" i="1"/>
  <c r="H14001" i="1"/>
  <c r="A14002" i="1"/>
  <c r="B14002" i="1"/>
  <c r="C14002" i="1"/>
  <c r="D14002" i="1"/>
  <c r="E14002" i="1"/>
  <c r="F14002" i="1"/>
  <c r="G14002" i="1"/>
  <c r="H14002" i="1"/>
  <c r="A14003" i="1"/>
  <c r="B14003" i="1"/>
  <c r="C14003" i="1"/>
  <c r="D14003" i="1"/>
  <c r="E14003" i="1"/>
  <c r="F14003" i="1"/>
  <c r="G14003" i="1"/>
  <c r="H14003" i="1"/>
  <c r="A14004" i="1"/>
  <c r="B14004" i="1"/>
  <c r="C14004" i="1"/>
  <c r="D14004" i="1"/>
  <c r="E14004" i="1"/>
  <c r="F14004" i="1"/>
  <c r="G14004" i="1"/>
  <c r="H14004" i="1"/>
  <c r="A14005" i="1"/>
  <c r="B14005" i="1"/>
  <c r="C14005" i="1"/>
  <c r="D14005" i="1"/>
  <c r="E14005" i="1"/>
  <c r="F14005" i="1"/>
  <c r="G14005" i="1"/>
  <c r="H14005" i="1"/>
  <c r="A14006" i="1"/>
  <c r="B14006" i="1"/>
  <c r="C14006" i="1"/>
  <c r="D14006" i="1"/>
  <c r="E14006" i="1"/>
  <c r="F14006" i="1"/>
  <c r="G14006" i="1"/>
  <c r="H14006" i="1"/>
  <c r="A14007" i="1"/>
  <c r="B14007" i="1"/>
  <c r="C14007" i="1"/>
  <c r="D14007" i="1"/>
  <c r="E14007" i="1"/>
  <c r="F14007" i="1"/>
  <c r="G14007" i="1"/>
  <c r="H14007" i="1"/>
  <c r="A14008" i="1"/>
  <c r="B14008" i="1"/>
  <c r="C14008" i="1"/>
  <c r="D14008" i="1"/>
  <c r="E14008" i="1"/>
  <c r="F14008" i="1"/>
  <c r="G14008" i="1"/>
  <c r="H14008" i="1"/>
  <c r="A14009" i="1"/>
  <c r="B14009" i="1"/>
  <c r="C14009" i="1"/>
  <c r="D14009" i="1"/>
  <c r="E14009" i="1"/>
  <c r="F14009" i="1"/>
  <c r="G14009" i="1"/>
  <c r="H14009" i="1"/>
  <c r="A14010" i="1"/>
  <c r="B14010" i="1"/>
  <c r="C14010" i="1"/>
  <c r="D14010" i="1"/>
  <c r="E14010" i="1"/>
  <c r="F14010" i="1"/>
  <c r="G14010" i="1"/>
  <c r="H14010" i="1"/>
  <c r="A14011" i="1"/>
  <c r="B14011" i="1"/>
  <c r="C14011" i="1"/>
  <c r="D14011" i="1"/>
  <c r="E14011" i="1"/>
  <c r="F14011" i="1"/>
  <c r="G14011" i="1"/>
  <c r="H14011" i="1"/>
  <c r="A14012" i="1"/>
  <c r="B14012" i="1"/>
  <c r="C14012" i="1"/>
  <c r="D14012" i="1"/>
  <c r="E14012" i="1"/>
  <c r="F14012" i="1"/>
  <c r="G14012" i="1"/>
  <c r="H14012" i="1"/>
  <c r="A14013" i="1"/>
  <c r="B14013" i="1"/>
  <c r="C14013" i="1"/>
  <c r="D14013" i="1"/>
  <c r="E14013" i="1"/>
  <c r="F14013" i="1"/>
  <c r="G14013" i="1"/>
  <c r="H14013" i="1"/>
  <c r="A14014" i="1"/>
  <c r="B14014" i="1"/>
  <c r="C14014" i="1"/>
  <c r="D14014" i="1"/>
  <c r="E14014" i="1"/>
  <c r="F14014" i="1"/>
  <c r="G14014" i="1"/>
  <c r="H14014" i="1"/>
  <c r="A14015" i="1"/>
  <c r="B14015" i="1"/>
  <c r="C14015" i="1"/>
  <c r="D14015" i="1"/>
  <c r="E14015" i="1"/>
  <c r="F14015" i="1"/>
  <c r="G14015" i="1"/>
  <c r="H14015" i="1"/>
  <c r="A14016" i="1"/>
  <c r="B14016" i="1"/>
  <c r="C14016" i="1"/>
  <c r="D14016" i="1"/>
  <c r="E14016" i="1"/>
  <c r="F14016" i="1"/>
  <c r="G14016" i="1"/>
  <c r="H14016" i="1"/>
  <c r="A14017" i="1"/>
  <c r="B14017" i="1"/>
  <c r="C14017" i="1"/>
  <c r="D14017" i="1"/>
  <c r="E14017" i="1"/>
  <c r="F14017" i="1"/>
  <c r="G14017" i="1"/>
  <c r="H14017" i="1"/>
  <c r="A14018" i="1"/>
  <c r="B14018" i="1"/>
  <c r="C14018" i="1"/>
  <c r="D14018" i="1"/>
  <c r="E14018" i="1"/>
  <c r="F14018" i="1"/>
  <c r="G14018" i="1"/>
  <c r="H14018" i="1"/>
  <c r="A14019" i="1"/>
  <c r="B14019" i="1"/>
  <c r="C14019" i="1"/>
  <c r="D14019" i="1"/>
  <c r="E14019" i="1"/>
  <c r="F14019" i="1"/>
  <c r="G14019" i="1"/>
  <c r="H14019" i="1"/>
  <c r="A14020" i="1"/>
  <c r="B14020" i="1"/>
  <c r="C14020" i="1"/>
  <c r="D14020" i="1"/>
  <c r="E14020" i="1"/>
  <c r="F14020" i="1"/>
  <c r="G14020" i="1"/>
  <c r="H14020" i="1"/>
  <c r="A14021" i="1"/>
  <c r="B14021" i="1"/>
  <c r="C14021" i="1"/>
  <c r="D14021" i="1"/>
  <c r="E14021" i="1"/>
  <c r="F14021" i="1"/>
  <c r="G14021" i="1"/>
  <c r="H14021" i="1"/>
  <c r="A14022" i="1"/>
  <c r="B14022" i="1"/>
  <c r="C14022" i="1"/>
  <c r="D14022" i="1"/>
  <c r="E14022" i="1"/>
  <c r="F14022" i="1"/>
  <c r="G14022" i="1"/>
  <c r="H14022" i="1"/>
  <c r="A14023" i="1"/>
  <c r="B14023" i="1"/>
  <c r="C14023" i="1"/>
  <c r="D14023" i="1"/>
  <c r="E14023" i="1"/>
  <c r="F14023" i="1"/>
  <c r="G14023" i="1"/>
  <c r="H14023" i="1"/>
  <c r="A14024" i="1"/>
  <c r="B14024" i="1"/>
  <c r="C14024" i="1"/>
  <c r="D14024" i="1"/>
  <c r="E14024" i="1"/>
  <c r="F14024" i="1"/>
  <c r="G14024" i="1"/>
  <c r="H14024" i="1"/>
  <c r="A14025" i="1"/>
  <c r="B14025" i="1"/>
  <c r="C14025" i="1"/>
  <c r="D14025" i="1"/>
  <c r="E14025" i="1"/>
  <c r="F14025" i="1"/>
  <c r="G14025" i="1"/>
  <c r="H14025" i="1"/>
  <c r="A14026" i="1"/>
  <c r="B14026" i="1"/>
  <c r="C14026" i="1"/>
  <c r="D14026" i="1"/>
  <c r="E14026" i="1"/>
  <c r="F14026" i="1"/>
  <c r="G14026" i="1"/>
  <c r="H14026" i="1"/>
  <c r="A14027" i="1"/>
  <c r="B14027" i="1"/>
  <c r="C14027" i="1"/>
  <c r="D14027" i="1"/>
  <c r="E14027" i="1"/>
  <c r="F14027" i="1"/>
  <c r="G14027" i="1"/>
  <c r="H14027" i="1"/>
  <c r="A14028" i="1"/>
  <c r="B14028" i="1"/>
  <c r="C14028" i="1"/>
  <c r="D14028" i="1"/>
  <c r="E14028" i="1"/>
  <c r="F14028" i="1"/>
  <c r="G14028" i="1"/>
  <c r="H14028" i="1"/>
  <c r="A14029" i="1"/>
  <c r="B14029" i="1"/>
  <c r="C14029" i="1"/>
  <c r="D14029" i="1"/>
  <c r="E14029" i="1"/>
  <c r="F14029" i="1"/>
  <c r="G14029" i="1"/>
  <c r="H14029" i="1"/>
  <c r="A14030" i="1"/>
  <c r="B14030" i="1"/>
  <c r="C14030" i="1"/>
  <c r="D14030" i="1"/>
  <c r="E14030" i="1"/>
  <c r="F14030" i="1"/>
  <c r="G14030" i="1"/>
  <c r="H14030" i="1"/>
  <c r="A14031" i="1"/>
  <c r="B14031" i="1"/>
  <c r="C14031" i="1"/>
  <c r="D14031" i="1"/>
  <c r="E14031" i="1"/>
  <c r="F14031" i="1"/>
  <c r="G14031" i="1"/>
  <c r="H14031" i="1"/>
  <c r="A14032" i="1"/>
  <c r="B14032" i="1"/>
  <c r="C14032" i="1"/>
  <c r="D14032" i="1"/>
  <c r="E14032" i="1"/>
  <c r="F14032" i="1"/>
  <c r="G14032" i="1"/>
  <c r="H14032" i="1"/>
  <c r="A14033" i="1"/>
  <c r="B14033" i="1"/>
  <c r="C14033" i="1"/>
  <c r="D14033" i="1"/>
  <c r="E14033" i="1"/>
  <c r="F14033" i="1"/>
  <c r="G14033" i="1"/>
  <c r="H14033" i="1"/>
  <c r="A14034" i="1"/>
  <c r="B14034" i="1"/>
  <c r="C14034" i="1"/>
  <c r="D14034" i="1"/>
  <c r="E14034" i="1"/>
  <c r="F14034" i="1"/>
  <c r="G14034" i="1"/>
  <c r="H14034" i="1"/>
  <c r="A14035" i="1"/>
  <c r="B14035" i="1"/>
  <c r="C14035" i="1"/>
  <c r="D14035" i="1"/>
  <c r="E14035" i="1"/>
  <c r="F14035" i="1"/>
  <c r="G14035" i="1"/>
  <c r="H14035" i="1"/>
  <c r="A14036" i="1"/>
  <c r="B14036" i="1"/>
  <c r="C14036" i="1"/>
  <c r="D14036" i="1"/>
  <c r="E14036" i="1"/>
  <c r="F14036" i="1"/>
  <c r="G14036" i="1"/>
  <c r="H14036" i="1"/>
  <c r="A14037" i="1"/>
  <c r="B14037" i="1"/>
  <c r="C14037" i="1"/>
  <c r="D14037" i="1"/>
  <c r="E14037" i="1"/>
  <c r="F14037" i="1"/>
  <c r="G14037" i="1"/>
  <c r="H14037" i="1"/>
  <c r="A14038" i="1"/>
  <c r="B14038" i="1"/>
  <c r="C14038" i="1"/>
  <c r="D14038" i="1"/>
  <c r="E14038" i="1"/>
  <c r="F14038" i="1"/>
  <c r="G14038" i="1"/>
  <c r="H14038" i="1"/>
  <c r="A14039" i="1"/>
  <c r="B14039" i="1"/>
  <c r="C14039" i="1"/>
  <c r="D14039" i="1"/>
  <c r="E14039" i="1"/>
  <c r="F14039" i="1"/>
  <c r="G14039" i="1"/>
  <c r="H14039" i="1"/>
  <c r="A14040" i="1"/>
  <c r="B14040" i="1"/>
  <c r="C14040" i="1"/>
  <c r="D14040" i="1"/>
  <c r="E14040" i="1"/>
  <c r="F14040" i="1"/>
  <c r="G14040" i="1"/>
  <c r="H14040" i="1"/>
  <c r="A14041" i="1"/>
  <c r="B14041" i="1"/>
  <c r="C14041" i="1"/>
  <c r="D14041" i="1"/>
  <c r="E14041" i="1"/>
  <c r="F14041" i="1"/>
  <c r="G14041" i="1"/>
  <c r="H14041" i="1"/>
  <c r="A14042" i="1"/>
  <c r="B14042" i="1"/>
  <c r="C14042" i="1"/>
  <c r="D14042" i="1"/>
  <c r="E14042" i="1"/>
  <c r="F14042" i="1"/>
  <c r="G14042" i="1"/>
  <c r="H14042" i="1"/>
  <c r="A14043" i="1"/>
  <c r="B14043" i="1"/>
  <c r="C14043" i="1"/>
  <c r="D14043" i="1"/>
  <c r="E14043" i="1"/>
  <c r="F14043" i="1"/>
  <c r="G14043" i="1"/>
  <c r="H14043" i="1"/>
  <c r="A14044" i="1"/>
  <c r="B14044" i="1"/>
  <c r="C14044" i="1"/>
  <c r="D14044" i="1"/>
  <c r="E14044" i="1"/>
  <c r="F14044" i="1"/>
  <c r="G14044" i="1"/>
  <c r="H14044" i="1"/>
  <c r="A14045" i="1"/>
  <c r="B14045" i="1"/>
  <c r="C14045" i="1"/>
  <c r="D14045" i="1"/>
  <c r="E14045" i="1"/>
  <c r="F14045" i="1"/>
  <c r="G14045" i="1"/>
  <c r="H14045" i="1"/>
  <c r="A14046" i="1"/>
  <c r="B14046" i="1"/>
  <c r="C14046" i="1"/>
  <c r="D14046" i="1"/>
  <c r="E14046" i="1"/>
  <c r="F14046" i="1"/>
  <c r="G14046" i="1"/>
  <c r="H14046" i="1"/>
  <c r="A14047" i="1"/>
  <c r="B14047" i="1"/>
  <c r="C14047" i="1"/>
  <c r="D14047" i="1"/>
  <c r="E14047" i="1"/>
  <c r="F14047" i="1"/>
  <c r="G14047" i="1"/>
  <c r="H14047" i="1"/>
  <c r="A14048" i="1"/>
  <c r="B14048" i="1"/>
  <c r="C14048" i="1"/>
  <c r="D14048" i="1"/>
  <c r="E14048" i="1"/>
  <c r="F14048" i="1"/>
  <c r="G14048" i="1"/>
  <c r="H14048" i="1"/>
  <c r="A14049" i="1"/>
  <c r="B14049" i="1"/>
  <c r="C14049" i="1"/>
  <c r="D14049" i="1"/>
  <c r="E14049" i="1"/>
  <c r="F14049" i="1"/>
  <c r="G14049" i="1"/>
  <c r="H14049" i="1"/>
  <c r="A14050" i="1"/>
  <c r="B14050" i="1"/>
  <c r="C14050" i="1"/>
  <c r="D14050" i="1"/>
  <c r="E14050" i="1"/>
  <c r="F14050" i="1"/>
  <c r="G14050" i="1"/>
  <c r="H14050" i="1"/>
  <c r="A14051" i="1"/>
  <c r="B14051" i="1"/>
  <c r="C14051" i="1"/>
  <c r="D14051" i="1"/>
  <c r="E14051" i="1"/>
  <c r="F14051" i="1"/>
  <c r="G14051" i="1"/>
  <c r="H14051" i="1"/>
  <c r="A14052" i="1"/>
  <c r="B14052" i="1"/>
  <c r="C14052" i="1"/>
  <c r="D14052" i="1"/>
  <c r="E14052" i="1"/>
  <c r="F14052" i="1"/>
  <c r="G14052" i="1"/>
  <c r="H14052" i="1"/>
  <c r="A14053" i="1"/>
  <c r="B14053" i="1"/>
  <c r="C14053" i="1"/>
  <c r="D14053" i="1"/>
  <c r="E14053" i="1"/>
  <c r="F14053" i="1"/>
  <c r="G14053" i="1"/>
  <c r="H14053" i="1"/>
  <c r="A14054" i="1"/>
  <c r="B14054" i="1"/>
  <c r="C14054" i="1"/>
  <c r="D14054" i="1"/>
  <c r="E14054" i="1"/>
  <c r="F14054" i="1"/>
  <c r="G14054" i="1"/>
  <c r="H14054" i="1"/>
  <c r="A14055" i="1"/>
  <c r="B14055" i="1"/>
  <c r="C14055" i="1"/>
  <c r="D14055" i="1"/>
  <c r="E14055" i="1"/>
  <c r="F14055" i="1"/>
  <c r="G14055" i="1"/>
  <c r="H14055" i="1"/>
  <c r="A14056" i="1"/>
  <c r="B14056" i="1"/>
  <c r="C14056" i="1"/>
  <c r="D14056" i="1"/>
  <c r="E14056" i="1"/>
  <c r="F14056" i="1"/>
  <c r="G14056" i="1"/>
  <c r="H14056" i="1"/>
  <c r="A14057" i="1"/>
  <c r="B14057" i="1"/>
  <c r="C14057" i="1"/>
  <c r="D14057" i="1"/>
  <c r="E14057" i="1"/>
  <c r="F14057" i="1"/>
  <c r="G14057" i="1"/>
  <c r="H14057" i="1"/>
  <c r="A14058" i="1"/>
  <c r="B14058" i="1"/>
  <c r="C14058" i="1"/>
  <c r="D14058" i="1"/>
  <c r="E14058" i="1"/>
  <c r="F14058" i="1"/>
  <c r="G14058" i="1"/>
  <c r="H14058" i="1"/>
  <c r="A14059" i="1"/>
  <c r="B14059" i="1"/>
  <c r="C14059" i="1"/>
  <c r="D14059" i="1"/>
  <c r="E14059" i="1"/>
  <c r="F14059" i="1"/>
  <c r="G14059" i="1"/>
  <c r="H14059" i="1"/>
  <c r="A14060" i="1"/>
  <c r="B14060" i="1"/>
  <c r="C14060" i="1"/>
  <c r="D14060" i="1"/>
  <c r="E14060" i="1"/>
  <c r="F14060" i="1"/>
  <c r="G14060" i="1"/>
  <c r="H14060" i="1"/>
  <c r="A14061" i="1"/>
  <c r="B14061" i="1"/>
  <c r="C14061" i="1"/>
  <c r="D14061" i="1"/>
  <c r="E14061" i="1"/>
  <c r="F14061" i="1"/>
  <c r="G14061" i="1"/>
  <c r="H14061" i="1"/>
  <c r="A14062" i="1"/>
  <c r="B14062" i="1"/>
  <c r="C14062" i="1"/>
  <c r="D14062" i="1"/>
  <c r="E14062" i="1"/>
  <c r="F14062" i="1"/>
  <c r="G14062" i="1"/>
  <c r="H14062" i="1"/>
  <c r="A14063" i="1"/>
  <c r="B14063" i="1"/>
  <c r="C14063" i="1"/>
  <c r="D14063" i="1"/>
  <c r="E14063" i="1"/>
  <c r="F14063" i="1"/>
  <c r="G14063" i="1"/>
  <c r="H14063" i="1"/>
  <c r="A14064" i="1"/>
  <c r="B14064" i="1"/>
  <c r="C14064" i="1"/>
  <c r="D14064" i="1"/>
  <c r="E14064" i="1"/>
  <c r="F14064" i="1"/>
  <c r="G14064" i="1"/>
  <c r="H14064" i="1"/>
  <c r="A14065" i="1"/>
  <c r="B14065" i="1"/>
  <c r="C14065" i="1"/>
  <c r="D14065" i="1"/>
  <c r="E14065" i="1"/>
  <c r="F14065" i="1"/>
  <c r="G14065" i="1"/>
  <c r="H14065" i="1"/>
  <c r="A14066" i="1"/>
  <c r="B14066" i="1"/>
  <c r="C14066" i="1"/>
  <c r="D14066" i="1"/>
  <c r="E14066" i="1"/>
  <c r="F14066" i="1"/>
  <c r="G14066" i="1"/>
  <c r="H14066" i="1"/>
  <c r="A14067" i="1"/>
  <c r="B14067" i="1"/>
  <c r="C14067" i="1"/>
  <c r="D14067" i="1"/>
  <c r="E14067" i="1"/>
  <c r="F14067" i="1"/>
  <c r="G14067" i="1"/>
  <c r="H14067" i="1"/>
  <c r="A14068" i="1"/>
  <c r="B14068" i="1"/>
  <c r="C14068" i="1"/>
  <c r="D14068" i="1"/>
  <c r="E14068" i="1"/>
  <c r="F14068" i="1"/>
  <c r="G14068" i="1"/>
  <c r="H14068" i="1"/>
  <c r="A14069" i="1"/>
  <c r="B14069" i="1"/>
  <c r="C14069" i="1"/>
  <c r="D14069" i="1"/>
  <c r="E14069" i="1"/>
  <c r="F14069" i="1"/>
  <c r="G14069" i="1"/>
  <c r="H14069" i="1"/>
  <c r="A14070" i="1"/>
  <c r="B14070" i="1"/>
  <c r="C14070" i="1"/>
  <c r="D14070" i="1"/>
  <c r="E14070" i="1"/>
  <c r="F14070" i="1"/>
  <c r="G14070" i="1"/>
  <c r="H14070" i="1"/>
  <c r="A14071" i="1"/>
  <c r="B14071" i="1"/>
  <c r="C14071" i="1"/>
  <c r="D14071" i="1"/>
  <c r="E14071" i="1"/>
  <c r="F14071" i="1"/>
  <c r="G14071" i="1"/>
  <c r="H14071" i="1"/>
  <c r="A14072" i="1"/>
  <c r="B14072" i="1"/>
  <c r="C14072" i="1"/>
  <c r="D14072" i="1"/>
  <c r="E14072" i="1"/>
  <c r="F14072" i="1"/>
  <c r="G14072" i="1"/>
  <c r="H14072" i="1"/>
  <c r="A14073" i="1"/>
  <c r="B14073" i="1"/>
  <c r="C14073" i="1"/>
  <c r="D14073" i="1"/>
  <c r="E14073" i="1"/>
  <c r="F14073" i="1"/>
  <c r="G14073" i="1"/>
  <c r="H14073" i="1"/>
  <c r="A14074" i="1"/>
  <c r="B14074" i="1"/>
  <c r="C14074" i="1"/>
  <c r="D14074" i="1"/>
  <c r="E14074" i="1"/>
  <c r="F14074" i="1"/>
  <c r="G14074" i="1"/>
  <c r="H14074" i="1"/>
  <c r="A14075" i="1"/>
  <c r="B14075" i="1"/>
  <c r="C14075" i="1"/>
  <c r="D14075" i="1"/>
  <c r="E14075" i="1"/>
  <c r="F14075" i="1"/>
  <c r="G14075" i="1"/>
  <c r="H14075" i="1"/>
  <c r="A14076" i="1"/>
  <c r="B14076" i="1"/>
  <c r="C14076" i="1"/>
  <c r="D14076" i="1"/>
  <c r="E14076" i="1"/>
  <c r="F14076" i="1"/>
  <c r="G14076" i="1"/>
  <c r="H14076" i="1"/>
  <c r="A14077" i="1"/>
  <c r="B14077" i="1"/>
  <c r="C14077" i="1"/>
  <c r="D14077" i="1"/>
  <c r="E14077" i="1"/>
  <c r="F14077" i="1"/>
  <c r="G14077" i="1"/>
  <c r="H14077" i="1"/>
  <c r="A14078" i="1"/>
  <c r="B14078" i="1"/>
  <c r="C14078" i="1"/>
  <c r="D14078" i="1"/>
  <c r="E14078" i="1"/>
  <c r="F14078" i="1"/>
  <c r="G14078" i="1"/>
  <c r="H14078" i="1"/>
  <c r="A14079" i="1"/>
  <c r="B14079" i="1"/>
  <c r="C14079" i="1"/>
  <c r="D14079" i="1"/>
  <c r="E14079" i="1"/>
  <c r="F14079" i="1"/>
  <c r="G14079" i="1"/>
  <c r="H14079" i="1"/>
  <c r="A14080" i="1"/>
  <c r="B14080" i="1"/>
  <c r="C14080" i="1"/>
  <c r="D14080" i="1"/>
  <c r="E14080" i="1"/>
  <c r="F14080" i="1"/>
  <c r="G14080" i="1"/>
  <c r="H14080" i="1"/>
  <c r="A14081" i="1"/>
  <c r="B14081" i="1"/>
  <c r="C14081" i="1"/>
  <c r="D14081" i="1"/>
  <c r="E14081" i="1"/>
  <c r="F14081" i="1"/>
  <c r="G14081" i="1"/>
  <c r="H14081" i="1"/>
  <c r="A14082" i="1"/>
  <c r="B14082" i="1"/>
  <c r="C14082" i="1"/>
  <c r="D14082" i="1"/>
  <c r="E14082" i="1"/>
  <c r="F14082" i="1"/>
  <c r="G14082" i="1"/>
  <c r="H14082" i="1"/>
  <c r="A14083" i="1"/>
  <c r="B14083" i="1"/>
  <c r="C14083" i="1"/>
  <c r="D14083" i="1"/>
  <c r="E14083" i="1"/>
  <c r="F14083" i="1"/>
  <c r="G14083" i="1"/>
  <c r="H14083" i="1"/>
  <c r="A14084" i="1"/>
  <c r="B14084" i="1"/>
  <c r="C14084" i="1"/>
  <c r="D14084" i="1"/>
  <c r="E14084" i="1"/>
  <c r="F14084" i="1"/>
  <c r="G14084" i="1"/>
  <c r="H14084" i="1"/>
  <c r="A14085" i="1"/>
  <c r="B14085" i="1"/>
  <c r="C14085" i="1"/>
  <c r="D14085" i="1"/>
  <c r="E14085" i="1"/>
  <c r="F14085" i="1"/>
  <c r="G14085" i="1"/>
  <c r="H14085" i="1"/>
  <c r="A14086" i="1"/>
  <c r="B14086" i="1"/>
  <c r="C14086" i="1"/>
  <c r="D14086" i="1"/>
  <c r="E14086" i="1"/>
  <c r="F14086" i="1"/>
  <c r="G14086" i="1"/>
  <c r="H14086" i="1"/>
  <c r="A14087" i="1"/>
  <c r="B14087" i="1"/>
  <c r="C14087" i="1"/>
  <c r="D14087" i="1"/>
  <c r="E14087" i="1"/>
  <c r="F14087" i="1"/>
  <c r="G14087" i="1"/>
  <c r="H14087" i="1"/>
  <c r="A14088" i="1"/>
  <c r="B14088" i="1"/>
  <c r="C14088" i="1"/>
  <c r="D14088" i="1"/>
  <c r="E14088" i="1"/>
  <c r="F14088" i="1"/>
  <c r="G14088" i="1"/>
  <c r="H14088" i="1"/>
  <c r="A14089" i="1"/>
  <c r="B14089" i="1"/>
  <c r="C14089" i="1"/>
  <c r="D14089" i="1"/>
  <c r="E14089" i="1"/>
  <c r="F14089" i="1"/>
  <c r="G14089" i="1"/>
  <c r="H14089" i="1"/>
  <c r="A14090" i="1"/>
  <c r="B14090" i="1"/>
  <c r="C14090" i="1"/>
  <c r="D14090" i="1"/>
  <c r="E14090" i="1"/>
  <c r="F14090" i="1"/>
  <c r="G14090" i="1"/>
  <c r="H14090" i="1"/>
  <c r="A14091" i="1"/>
  <c r="B14091" i="1"/>
  <c r="C14091" i="1"/>
  <c r="D14091" i="1"/>
  <c r="E14091" i="1"/>
  <c r="F14091" i="1"/>
  <c r="G14091" i="1"/>
  <c r="H14091" i="1"/>
  <c r="A14092" i="1"/>
  <c r="B14092" i="1"/>
  <c r="C14092" i="1"/>
  <c r="D14092" i="1"/>
  <c r="E14092" i="1"/>
  <c r="F14092" i="1"/>
  <c r="G14092" i="1"/>
  <c r="H14092" i="1"/>
  <c r="A14093" i="1"/>
  <c r="B14093" i="1"/>
  <c r="C14093" i="1"/>
  <c r="D14093" i="1"/>
  <c r="E14093" i="1"/>
  <c r="F14093" i="1"/>
  <c r="G14093" i="1"/>
  <c r="H14093" i="1"/>
  <c r="A14094" i="1"/>
  <c r="B14094" i="1"/>
  <c r="C14094" i="1"/>
  <c r="D14094" i="1"/>
  <c r="E14094" i="1"/>
  <c r="F14094" i="1"/>
  <c r="G14094" i="1"/>
  <c r="H14094" i="1"/>
  <c r="A14095" i="1"/>
  <c r="B14095" i="1"/>
  <c r="C14095" i="1"/>
  <c r="D14095" i="1"/>
  <c r="E14095" i="1"/>
  <c r="F14095" i="1"/>
  <c r="G14095" i="1"/>
  <c r="H14095" i="1"/>
  <c r="A14096" i="1"/>
  <c r="B14096" i="1"/>
  <c r="C14096" i="1"/>
  <c r="D14096" i="1"/>
  <c r="E14096" i="1"/>
  <c r="F14096" i="1"/>
  <c r="G14096" i="1"/>
  <c r="H14096" i="1"/>
  <c r="A14097" i="1"/>
  <c r="B14097" i="1"/>
  <c r="C14097" i="1"/>
  <c r="D14097" i="1"/>
  <c r="E14097" i="1"/>
  <c r="F14097" i="1"/>
  <c r="G14097" i="1"/>
  <c r="H14097" i="1"/>
  <c r="A14098" i="1"/>
  <c r="B14098" i="1"/>
  <c r="C14098" i="1"/>
  <c r="D14098" i="1"/>
  <c r="E14098" i="1"/>
  <c r="F14098" i="1"/>
  <c r="G14098" i="1"/>
  <c r="H14098" i="1"/>
  <c r="A14099" i="1"/>
  <c r="B14099" i="1"/>
  <c r="C14099" i="1"/>
  <c r="D14099" i="1"/>
  <c r="E14099" i="1"/>
  <c r="F14099" i="1"/>
  <c r="G14099" i="1"/>
  <c r="H14099" i="1"/>
  <c r="A14100" i="1"/>
  <c r="B14100" i="1"/>
  <c r="C14100" i="1"/>
  <c r="D14100" i="1"/>
  <c r="E14100" i="1"/>
  <c r="F14100" i="1"/>
  <c r="G14100" i="1"/>
  <c r="H14100" i="1"/>
  <c r="A14101" i="1"/>
  <c r="B14101" i="1"/>
  <c r="C14101" i="1"/>
  <c r="D14101" i="1"/>
  <c r="E14101" i="1"/>
  <c r="F14101" i="1"/>
  <c r="G14101" i="1"/>
  <c r="H14101" i="1"/>
  <c r="A14102" i="1"/>
  <c r="B14102" i="1"/>
  <c r="C14102" i="1"/>
  <c r="D14102" i="1"/>
  <c r="E14102" i="1"/>
  <c r="F14102" i="1"/>
  <c r="G14102" i="1"/>
  <c r="H14102" i="1"/>
  <c r="A14103" i="1"/>
  <c r="B14103" i="1"/>
  <c r="C14103" i="1"/>
  <c r="D14103" i="1"/>
  <c r="E14103" i="1"/>
  <c r="F14103" i="1"/>
  <c r="G14103" i="1"/>
  <c r="H14103" i="1"/>
  <c r="A14104" i="1"/>
  <c r="B14104" i="1"/>
  <c r="C14104" i="1"/>
  <c r="D14104" i="1"/>
  <c r="E14104" i="1"/>
  <c r="F14104" i="1"/>
  <c r="G14104" i="1"/>
  <c r="H14104" i="1"/>
  <c r="A14105" i="1"/>
  <c r="B14105" i="1"/>
  <c r="C14105" i="1"/>
  <c r="D14105" i="1"/>
  <c r="E14105" i="1"/>
  <c r="F14105" i="1"/>
  <c r="G14105" i="1"/>
  <c r="H14105" i="1"/>
  <c r="A14106" i="1"/>
  <c r="B14106" i="1"/>
  <c r="C14106" i="1"/>
  <c r="D14106" i="1"/>
  <c r="E14106" i="1"/>
  <c r="F14106" i="1"/>
  <c r="G14106" i="1"/>
  <c r="H14106" i="1"/>
  <c r="A14107" i="1"/>
  <c r="B14107" i="1"/>
  <c r="C14107" i="1"/>
  <c r="D14107" i="1"/>
  <c r="E14107" i="1"/>
  <c r="F14107" i="1"/>
  <c r="G14107" i="1"/>
  <c r="H14107" i="1"/>
  <c r="A14108" i="1"/>
  <c r="B14108" i="1"/>
  <c r="C14108" i="1"/>
  <c r="D14108" i="1"/>
  <c r="E14108" i="1"/>
  <c r="F14108" i="1"/>
  <c r="G14108" i="1"/>
  <c r="H14108" i="1"/>
  <c r="A14109" i="1"/>
  <c r="B14109" i="1"/>
  <c r="C14109" i="1"/>
  <c r="D14109" i="1"/>
  <c r="E14109" i="1"/>
  <c r="F14109" i="1"/>
  <c r="G14109" i="1"/>
  <c r="H14109" i="1"/>
  <c r="A14110" i="1"/>
  <c r="B14110" i="1"/>
  <c r="C14110" i="1"/>
  <c r="D14110" i="1"/>
  <c r="E14110" i="1"/>
  <c r="F14110" i="1"/>
  <c r="G14110" i="1"/>
  <c r="H14110" i="1"/>
  <c r="A14111" i="1"/>
  <c r="B14111" i="1"/>
  <c r="C14111" i="1"/>
  <c r="D14111" i="1"/>
  <c r="E14111" i="1"/>
  <c r="F14111" i="1"/>
  <c r="G14111" i="1"/>
  <c r="H14111" i="1"/>
  <c r="A14112" i="1"/>
  <c r="B14112" i="1"/>
  <c r="C14112" i="1"/>
  <c r="D14112" i="1"/>
  <c r="E14112" i="1"/>
  <c r="F14112" i="1"/>
  <c r="G14112" i="1"/>
  <c r="H14112" i="1"/>
  <c r="A14113" i="1"/>
  <c r="B14113" i="1"/>
  <c r="C14113" i="1"/>
  <c r="D14113" i="1"/>
  <c r="E14113" i="1"/>
  <c r="F14113" i="1"/>
  <c r="G14113" i="1"/>
  <c r="H14113" i="1"/>
  <c r="A14114" i="1"/>
  <c r="B14114" i="1"/>
  <c r="C14114" i="1"/>
  <c r="D14114" i="1"/>
  <c r="E14114" i="1"/>
  <c r="F14114" i="1"/>
  <c r="G14114" i="1"/>
  <c r="H14114" i="1"/>
  <c r="A14115" i="1"/>
  <c r="B14115" i="1"/>
  <c r="C14115" i="1"/>
  <c r="D14115" i="1"/>
  <c r="E14115" i="1"/>
  <c r="F14115" i="1"/>
  <c r="G14115" i="1"/>
  <c r="H14115" i="1"/>
  <c r="A14116" i="1"/>
  <c r="B14116" i="1"/>
  <c r="C14116" i="1"/>
  <c r="D14116" i="1"/>
  <c r="E14116" i="1"/>
  <c r="F14116" i="1"/>
  <c r="G14116" i="1"/>
  <c r="H14116" i="1"/>
  <c r="A14117" i="1"/>
  <c r="B14117" i="1"/>
  <c r="C14117" i="1"/>
  <c r="D14117" i="1"/>
  <c r="E14117" i="1"/>
  <c r="F14117" i="1"/>
  <c r="G14117" i="1"/>
  <c r="H14117" i="1"/>
  <c r="A14118" i="1"/>
  <c r="B14118" i="1"/>
  <c r="C14118" i="1"/>
  <c r="D14118" i="1"/>
  <c r="E14118" i="1"/>
  <c r="F14118" i="1"/>
  <c r="G14118" i="1"/>
  <c r="H14118" i="1"/>
  <c r="A14119" i="1"/>
  <c r="B14119" i="1"/>
  <c r="C14119" i="1"/>
  <c r="D14119" i="1"/>
  <c r="E14119" i="1"/>
  <c r="F14119" i="1"/>
  <c r="G14119" i="1"/>
  <c r="H14119" i="1"/>
  <c r="A14120" i="1"/>
  <c r="B14120" i="1"/>
  <c r="C14120" i="1"/>
  <c r="D14120" i="1"/>
  <c r="E14120" i="1"/>
  <c r="F14120" i="1"/>
  <c r="G14120" i="1"/>
  <c r="H14120" i="1"/>
  <c r="A14121" i="1"/>
  <c r="B14121" i="1"/>
  <c r="C14121" i="1"/>
  <c r="D14121" i="1"/>
  <c r="E14121" i="1"/>
  <c r="F14121" i="1"/>
  <c r="G14121" i="1"/>
  <c r="H14121" i="1"/>
  <c r="A14122" i="1"/>
  <c r="B14122" i="1"/>
  <c r="C14122" i="1"/>
  <c r="D14122" i="1"/>
  <c r="E14122" i="1"/>
  <c r="F14122" i="1"/>
  <c r="G14122" i="1"/>
  <c r="H14122" i="1"/>
  <c r="A14123" i="1"/>
  <c r="B14123" i="1"/>
  <c r="C14123" i="1"/>
  <c r="D14123" i="1"/>
  <c r="E14123" i="1"/>
  <c r="F14123" i="1"/>
  <c r="G14123" i="1"/>
  <c r="H14123" i="1"/>
  <c r="A14124" i="1"/>
  <c r="B14124" i="1"/>
  <c r="C14124" i="1"/>
  <c r="D14124" i="1"/>
  <c r="E14124" i="1"/>
  <c r="F14124" i="1"/>
  <c r="G14124" i="1"/>
  <c r="H14124" i="1"/>
  <c r="A14125" i="1"/>
  <c r="B14125" i="1"/>
  <c r="C14125" i="1"/>
  <c r="D14125" i="1"/>
  <c r="E14125" i="1"/>
  <c r="F14125" i="1"/>
  <c r="G14125" i="1"/>
  <c r="H14125" i="1"/>
  <c r="A14126" i="1"/>
  <c r="B14126" i="1"/>
  <c r="C14126" i="1"/>
  <c r="D14126" i="1"/>
  <c r="E14126" i="1"/>
  <c r="F14126" i="1"/>
  <c r="G14126" i="1"/>
  <c r="H14126" i="1"/>
  <c r="A14127" i="1"/>
  <c r="B14127" i="1"/>
  <c r="C14127" i="1"/>
  <c r="D14127" i="1"/>
  <c r="E14127" i="1"/>
  <c r="F14127" i="1"/>
  <c r="G14127" i="1"/>
  <c r="H14127" i="1"/>
  <c r="A14128" i="1"/>
  <c r="B14128" i="1"/>
  <c r="C14128" i="1"/>
  <c r="D14128" i="1"/>
  <c r="E14128" i="1"/>
  <c r="F14128" i="1"/>
  <c r="G14128" i="1"/>
  <c r="H14128" i="1"/>
  <c r="A14129" i="1"/>
  <c r="B14129" i="1"/>
  <c r="C14129" i="1"/>
  <c r="D14129" i="1"/>
  <c r="E14129" i="1"/>
  <c r="F14129" i="1"/>
  <c r="G14129" i="1"/>
  <c r="H14129" i="1"/>
  <c r="A14130" i="1"/>
  <c r="B14130" i="1"/>
  <c r="C14130" i="1"/>
  <c r="D14130" i="1"/>
  <c r="E14130" i="1"/>
  <c r="F14130" i="1"/>
  <c r="G14130" i="1"/>
  <c r="H14130" i="1"/>
  <c r="A14131" i="1"/>
  <c r="B14131" i="1"/>
  <c r="C14131" i="1"/>
  <c r="D14131" i="1"/>
  <c r="E14131" i="1"/>
  <c r="F14131" i="1"/>
  <c r="G14131" i="1"/>
  <c r="H14131" i="1"/>
  <c r="A14132" i="1"/>
  <c r="B14132" i="1"/>
  <c r="C14132" i="1"/>
  <c r="D14132" i="1"/>
  <c r="E14132" i="1"/>
  <c r="F14132" i="1"/>
  <c r="G14132" i="1"/>
  <c r="H14132" i="1"/>
  <c r="A14133" i="1"/>
  <c r="B14133" i="1"/>
  <c r="C14133" i="1"/>
  <c r="D14133" i="1"/>
  <c r="E14133" i="1"/>
  <c r="F14133" i="1"/>
  <c r="G14133" i="1"/>
  <c r="H14133" i="1"/>
  <c r="A14134" i="1"/>
  <c r="B14134" i="1"/>
  <c r="C14134" i="1"/>
  <c r="D14134" i="1"/>
  <c r="E14134" i="1"/>
  <c r="F14134" i="1"/>
  <c r="G14134" i="1"/>
  <c r="H14134" i="1"/>
  <c r="A14135" i="1"/>
  <c r="B14135" i="1"/>
  <c r="C14135" i="1"/>
  <c r="D14135" i="1"/>
  <c r="E14135" i="1"/>
  <c r="F14135" i="1"/>
  <c r="G14135" i="1"/>
  <c r="H14135" i="1"/>
  <c r="A14136" i="1"/>
  <c r="B14136" i="1"/>
  <c r="C14136" i="1"/>
  <c r="D14136" i="1"/>
  <c r="E14136" i="1"/>
  <c r="F14136" i="1"/>
  <c r="G14136" i="1"/>
  <c r="H14136" i="1"/>
  <c r="A14137" i="1"/>
  <c r="B14137" i="1"/>
  <c r="C14137" i="1"/>
  <c r="D14137" i="1"/>
  <c r="E14137" i="1"/>
  <c r="F14137" i="1"/>
  <c r="G14137" i="1"/>
  <c r="H14137" i="1"/>
  <c r="A14138" i="1"/>
  <c r="B14138" i="1"/>
  <c r="C14138" i="1"/>
  <c r="D14138" i="1"/>
  <c r="E14138" i="1"/>
  <c r="F14138" i="1"/>
  <c r="G14138" i="1"/>
  <c r="H14138" i="1"/>
  <c r="A14139" i="1"/>
  <c r="B14139" i="1"/>
  <c r="C14139" i="1"/>
  <c r="D14139" i="1"/>
  <c r="E14139" i="1"/>
  <c r="F14139" i="1"/>
  <c r="G14139" i="1"/>
  <c r="H14139" i="1"/>
  <c r="A14140" i="1"/>
  <c r="B14140" i="1"/>
  <c r="C14140" i="1"/>
  <c r="D14140" i="1"/>
  <c r="E14140" i="1"/>
  <c r="F14140" i="1"/>
  <c r="G14140" i="1"/>
  <c r="H14140" i="1"/>
  <c r="A14141" i="1"/>
  <c r="B14141" i="1"/>
  <c r="C14141" i="1"/>
  <c r="D14141" i="1"/>
  <c r="E14141" i="1"/>
  <c r="F14141" i="1"/>
  <c r="G14141" i="1"/>
  <c r="H14141" i="1"/>
  <c r="A14142" i="1"/>
  <c r="B14142" i="1"/>
  <c r="C14142" i="1"/>
  <c r="D14142" i="1"/>
  <c r="E14142" i="1"/>
  <c r="F14142" i="1"/>
  <c r="G14142" i="1"/>
  <c r="H14142" i="1"/>
  <c r="A14143" i="1"/>
  <c r="B14143" i="1"/>
  <c r="C14143" i="1"/>
  <c r="D14143" i="1"/>
  <c r="E14143" i="1"/>
  <c r="F14143" i="1"/>
  <c r="G14143" i="1"/>
  <c r="H14143" i="1"/>
  <c r="A14144" i="1"/>
  <c r="B14144" i="1"/>
  <c r="C14144" i="1"/>
  <c r="D14144" i="1"/>
  <c r="E14144" i="1"/>
  <c r="F14144" i="1"/>
  <c r="G14144" i="1"/>
  <c r="H14144" i="1"/>
  <c r="A14145" i="1"/>
  <c r="B14145" i="1"/>
  <c r="C14145" i="1"/>
  <c r="D14145" i="1"/>
  <c r="E14145" i="1"/>
  <c r="F14145" i="1"/>
  <c r="G14145" i="1"/>
  <c r="H14145" i="1"/>
  <c r="A14146" i="1"/>
  <c r="B14146" i="1"/>
  <c r="C14146" i="1"/>
  <c r="D14146" i="1"/>
  <c r="E14146" i="1"/>
  <c r="F14146" i="1"/>
  <c r="G14146" i="1"/>
  <c r="H14146" i="1"/>
  <c r="A14147" i="1"/>
  <c r="B14147" i="1"/>
  <c r="C14147" i="1"/>
  <c r="D14147" i="1"/>
  <c r="E14147" i="1"/>
  <c r="F14147" i="1"/>
  <c r="G14147" i="1"/>
  <c r="H14147" i="1"/>
  <c r="A14148" i="1"/>
  <c r="B14148" i="1"/>
  <c r="C14148" i="1"/>
  <c r="D14148" i="1"/>
  <c r="E14148" i="1"/>
  <c r="F14148" i="1"/>
  <c r="G14148" i="1"/>
  <c r="H14148" i="1"/>
  <c r="A14149" i="1"/>
  <c r="B14149" i="1"/>
  <c r="C14149" i="1"/>
  <c r="D14149" i="1"/>
  <c r="E14149" i="1"/>
  <c r="F14149" i="1"/>
  <c r="G14149" i="1"/>
  <c r="H14149" i="1"/>
  <c r="A14150" i="1"/>
  <c r="B14150" i="1"/>
  <c r="C14150" i="1"/>
  <c r="D14150" i="1"/>
  <c r="E14150" i="1"/>
  <c r="F14150" i="1"/>
  <c r="G14150" i="1"/>
  <c r="H14150" i="1"/>
  <c r="A14151" i="1"/>
  <c r="B14151" i="1"/>
  <c r="C14151" i="1"/>
  <c r="D14151" i="1"/>
  <c r="E14151" i="1"/>
  <c r="F14151" i="1"/>
  <c r="G14151" i="1"/>
  <c r="H14151" i="1"/>
  <c r="A14152" i="1"/>
  <c r="B14152" i="1"/>
  <c r="C14152" i="1"/>
  <c r="D14152" i="1"/>
  <c r="E14152" i="1"/>
  <c r="F14152" i="1"/>
  <c r="G14152" i="1"/>
  <c r="H14152" i="1"/>
  <c r="A14153" i="1"/>
  <c r="B14153" i="1"/>
  <c r="C14153" i="1"/>
  <c r="D14153" i="1"/>
  <c r="E14153" i="1"/>
  <c r="F14153" i="1"/>
  <c r="G14153" i="1"/>
  <c r="H14153" i="1"/>
  <c r="A14154" i="1"/>
  <c r="B14154" i="1"/>
  <c r="C14154" i="1"/>
  <c r="D14154" i="1"/>
  <c r="E14154" i="1"/>
  <c r="F14154" i="1"/>
  <c r="G14154" i="1"/>
  <c r="H14154" i="1"/>
  <c r="A14155" i="1"/>
  <c r="B14155" i="1"/>
  <c r="C14155" i="1"/>
  <c r="D14155" i="1"/>
  <c r="E14155" i="1"/>
  <c r="F14155" i="1"/>
  <c r="G14155" i="1"/>
  <c r="H14155" i="1"/>
  <c r="A14156" i="1"/>
  <c r="B14156" i="1"/>
  <c r="C14156" i="1"/>
  <c r="D14156" i="1"/>
  <c r="E14156" i="1"/>
  <c r="F14156" i="1"/>
  <c r="G14156" i="1"/>
  <c r="H14156" i="1"/>
  <c r="A14157" i="1"/>
  <c r="B14157" i="1"/>
  <c r="C14157" i="1"/>
  <c r="D14157" i="1"/>
  <c r="E14157" i="1"/>
  <c r="F14157" i="1"/>
  <c r="G14157" i="1"/>
  <c r="H14157" i="1"/>
  <c r="A14158" i="1"/>
  <c r="B14158" i="1"/>
  <c r="C14158" i="1"/>
  <c r="D14158" i="1"/>
  <c r="E14158" i="1"/>
  <c r="F14158" i="1"/>
  <c r="G14158" i="1"/>
  <c r="H14158" i="1"/>
  <c r="A14159" i="1"/>
  <c r="B14159" i="1"/>
  <c r="C14159" i="1"/>
  <c r="D14159" i="1"/>
  <c r="E14159" i="1"/>
  <c r="F14159" i="1"/>
  <c r="G14159" i="1"/>
  <c r="H14159" i="1"/>
  <c r="A14160" i="1"/>
  <c r="B14160" i="1"/>
  <c r="C14160" i="1"/>
  <c r="D14160" i="1"/>
  <c r="E14160" i="1"/>
  <c r="F14160" i="1"/>
  <c r="G14160" i="1"/>
  <c r="H14160" i="1"/>
  <c r="A14161" i="1"/>
  <c r="B14161" i="1"/>
  <c r="C14161" i="1"/>
  <c r="D14161" i="1"/>
  <c r="E14161" i="1"/>
  <c r="F14161" i="1"/>
  <c r="G14161" i="1"/>
  <c r="H14161" i="1"/>
  <c r="A14162" i="1"/>
  <c r="B14162" i="1"/>
  <c r="C14162" i="1"/>
  <c r="D14162" i="1"/>
  <c r="E14162" i="1"/>
  <c r="F14162" i="1"/>
  <c r="G14162" i="1"/>
  <c r="H14162" i="1"/>
  <c r="A14163" i="1"/>
  <c r="B14163" i="1"/>
  <c r="C14163" i="1"/>
  <c r="D14163" i="1"/>
  <c r="E14163" i="1"/>
  <c r="F14163" i="1"/>
  <c r="G14163" i="1"/>
  <c r="H14163" i="1"/>
  <c r="A14164" i="1"/>
  <c r="B14164" i="1"/>
  <c r="C14164" i="1"/>
  <c r="D14164" i="1"/>
  <c r="E14164" i="1"/>
  <c r="F14164" i="1"/>
  <c r="G14164" i="1"/>
  <c r="H14164" i="1"/>
  <c r="A14165" i="1"/>
  <c r="B14165" i="1"/>
  <c r="C14165" i="1"/>
  <c r="D14165" i="1"/>
  <c r="E14165" i="1"/>
  <c r="F14165" i="1"/>
  <c r="G14165" i="1"/>
  <c r="H14165" i="1"/>
  <c r="A14166" i="1"/>
  <c r="B14166" i="1"/>
  <c r="C14166" i="1"/>
  <c r="D14166" i="1"/>
  <c r="E14166" i="1"/>
  <c r="F14166" i="1"/>
  <c r="G14166" i="1"/>
  <c r="H14166" i="1"/>
  <c r="A14167" i="1"/>
  <c r="B14167" i="1"/>
  <c r="C14167" i="1"/>
  <c r="D14167" i="1"/>
  <c r="E14167" i="1"/>
  <c r="F14167" i="1"/>
  <c r="G14167" i="1"/>
  <c r="H14167" i="1"/>
  <c r="A14168" i="1"/>
  <c r="B14168" i="1"/>
  <c r="C14168" i="1"/>
  <c r="D14168" i="1"/>
  <c r="E14168" i="1"/>
  <c r="F14168" i="1"/>
  <c r="G14168" i="1"/>
  <c r="H14168" i="1"/>
  <c r="A14169" i="1"/>
  <c r="B14169" i="1"/>
  <c r="C14169" i="1"/>
  <c r="D14169" i="1"/>
  <c r="E14169" i="1"/>
  <c r="F14169" i="1"/>
  <c r="G14169" i="1"/>
  <c r="H14169" i="1"/>
  <c r="A14170" i="1"/>
  <c r="B14170" i="1"/>
  <c r="C14170" i="1"/>
  <c r="D14170" i="1"/>
  <c r="E14170" i="1"/>
  <c r="F14170" i="1"/>
  <c r="G14170" i="1"/>
  <c r="H14170" i="1"/>
  <c r="A14171" i="1"/>
  <c r="B14171" i="1"/>
  <c r="C14171" i="1"/>
  <c r="D14171" i="1"/>
  <c r="E14171" i="1"/>
  <c r="F14171" i="1"/>
  <c r="G14171" i="1"/>
  <c r="H14171" i="1"/>
  <c r="A14172" i="1"/>
  <c r="B14172" i="1"/>
  <c r="C14172" i="1"/>
  <c r="D14172" i="1"/>
  <c r="E14172" i="1"/>
  <c r="F14172" i="1"/>
  <c r="G14172" i="1"/>
  <c r="H14172" i="1"/>
  <c r="A14173" i="1"/>
  <c r="B14173" i="1"/>
  <c r="C14173" i="1"/>
  <c r="D14173" i="1"/>
  <c r="E14173" i="1"/>
  <c r="F14173" i="1"/>
  <c r="G14173" i="1"/>
  <c r="H14173" i="1"/>
  <c r="A14174" i="1"/>
  <c r="B14174" i="1"/>
  <c r="C14174" i="1"/>
  <c r="D14174" i="1"/>
  <c r="E14174" i="1"/>
  <c r="F14174" i="1"/>
  <c r="G14174" i="1"/>
  <c r="H14174" i="1"/>
  <c r="A14175" i="1"/>
  <c r="B14175" i="1"/>
  <c r="C14175" i="1"/>
  <c r="D14175" i="1"/>
  <c r="E14175" i="1"/>
  <c r="F14175" i="1"/>
  <c r="G14175" i="1"/>
  <c r="H14175" i="1"/>
  <c r="A14176" i="1"/>
  <c r="B14176" i="1"/>
  <c r="C14176" i="1"/>
  <c r="D14176" i="1"/>
  <c r="E14176" i="1"/>
  <c r="F14176" i="1"/>
  <c r="G14176" i="1"/>
  <c r="H14176" i="1"/>
  <c r="A14177" i="1"/>
  <c r="B14177" i="1"/>
  <c r="C14177" i="1"/>
  <c r="D14177" i="1"/>
  <c r="E14177" i="1"/>
  <c r="F14177" i="1"/>
  <c r="G14177" i="1"/>
  <c r="H14177" i="1"/>
  <c r="A14178" i="1"/>
  <c r="B14178" i="1"/>
  <c r="C14178" i="1"/>
  <c r="D14178" i="1"/>
  <c r="E14178" i="1"/>
  <c r="F14178" i="1"/>
  <c r="G14178" i="1"/>
  <c r="H14178" i="1"/>
  <c r="A14179" i="1"/>
  <c r="B14179" i="1"/>
  <c r="C14179" i="1"/>
  <c r="D14179" i="1"/>
  <c r="E14179" i="1"/>
  <c r="F14179" i="1"/>
  <c r="G14179" i="1"/>
  <c r="H14179" i="1"/>
  <c r="A14180" i="1"/>
  <c r="B14180" i="1"/>
  <c r="C14180" i="1"/>
  <c r="D14180" i="1"/>
  <c r="E14180" i="1"/>
  <c r="F14180" i="1"/>
  <c r="G14180" i="1"/>
  <c r="H14180" i="1"/>
  <c r="A14181" i="1"/>
  <c r="B14181" i="1"/>
  <c r="C14181" i="1"/>
  <c r="D14181" i="1"/>
  <c r="E14181" i="1"/>
  <c r="F14181" i="1"/>
  <c r="G14181" i="1"/>
  <c r="H14181" i="1"/>
  <c r="A14182" i="1"/>
  <c r="B14182" i="1"/>
  <c r="C14182" i="1"/>
  <c r="D14182" i="1"/>
  <c r="E14182" i="1"/>
  <c r="F14182" i="1"/>
  <c r="G14182" i="1"/>
  <c r="H14182" i="1"/>
  <c r="A14183" i="1"/>
  <c r="B14183" i="1"/>
  <c r="C14183" i="1"/>
  <c r="D14183" i="1"/>
  <c r="E14183" i="1"/>
  <c r="F14183" i="1"/>
  <c r="G14183" i="1"/>
  <c r="H14183" i="1"/>
  <c r="A14184" i="1"/>
  <c r="B14184" i="1"/>
  <c r="C14184" i="1"/>
  <c r="D14184" i="1"/>
  <c r="E14184" i="1"/>
  <c r="F14184" i="1"/>
  <c r="G14184" i="1"/>
  <c r="H14184" i="1"/>
  <c r="A14185" i="1"/>
  <c r="B14185" i="1"/>
  <c r="C14185" i="1"/>
  <c r="D14185" i="1"/>
  <c r="E14185" i="1"/>
  <c r="F14185" i="1"/>
  <c r="G14185" i="1"/>
  <c r="H14185" i="1"/>
  <c r="A14186" i="1"/>
  <c r="B14186" i="1"/>
  <c r="C14186" i="1"/>
  <c r="D14186" i="1"/>
  <c r="E14186" i="1"/>
  <c r="F14186" i="1"/>
  <c r="G14186" i="1"/>
  <c r="H14186" i="1"/>
  <c r="A14187" i="1"/>
  <c r="B14187" i="1"/>
  <c r="C14187" i="1"/>
  <c r="D14187" i="1"/>
  <c r="E14187" i="1"/>
  <c r="F14187" i="1"/>
  <c r="G14187" i="1"/>
  <c r="H14187" i="1"/>
  <c r="A14188" i="1"/>
  <c r="B14188" i="1"/>
  <c r="C14188" i="1"/>
  <c r="D14188" i="1"/>
  <c r="E14188" i="1"/>
  <c r="F14188" i="1"/>
  <c r="G14188" i="1"/>
  <c r="H14188" i="1"/>
  <c r="A14189" i="1"/>
  <c r="B14189" i="1"/>
  <c r="C14189" i="1"/>
  <c r="D14189" i="1"/>
  <c r="E14189" i="1"/>
  <c r="F14189" i="1"/>
  <c r="G14189" i="1"/>
  <c r="H14189" i="1"/>
  <c r="A14190" i="1"/>
  <c r="B14190" i="1"/>
  <c r="C14190" i="1"/>
  <c r="D14190" i="1"/>
  <c r="E14190" i="1"/>
  <c r="F14190" i="1"/>
  <c r="G14190" i="1"/>
  <c r="H14190" i="1"/>
  <c r="A14191" i="1"/>
  <c r="B14191" i="1"/>
  <c r="C14191" i="1"/>
  <c r="D14191" i="1"/>
  <c r="E14191" i="1"/>
  <c r="F14191" i="1"/>
  <c r="G14191" i="1"/>
  <c r="H14191" i="1"/>
  <c r="A14192" i="1"/>
  <c r="B14192" i="1"/>
  <c r="C14192" i="1"/>
  <c r="D14192" i="1"/>
  <c r="E14192" i="1"/>
  <c r="F14192" i="1"/>
  <c r="G14192" i="1"/>
  <c r="H14192" i="1"/>
  <c r="A14193" i="1"/>
  <c r="B14193" i="1"/>
  <c r="C14193" i="1"/>
  <c r="D14193" i="1"/>
  <c r="E14193" i="1"/>
  <c r="F14193" i="1"/>
  <c r="G14193" i="1"/>
  <c r="H14193" i="1"/>
  <c r="A14194" i="1"/>
  <c r="B14194" i="1"/>
  <c r="C14194" i="1"/>
  <c r="D14194" i="1"/>
  <c r="E14194" i="1"/>
  <c r="F14194" i="1"/>
  <c r="G14194" i="1"/>
  <c r="H14194" i="1"/>
  <c r="A14195" i="1"/>
  <c r="B14195" i="1"/>
  <c r="C14195" i="1"/>
  <c r="D14195" i="1"/>
  <c r="E14195" i="1"/>
  <c r="F14195" i="1"/>
  <c r="G14195" i="1"/>
  <c r="H14195" i="1"/>
  <c r="A14196" i="1"/>
  <c r="B14196" i="1"/>
  <c r="C14196" i="1"/>
  <c r="D14196" i="1"/>
  <c r="E14196" i="1"/>
  <c r="F14196" i="1"/>
  <c r="G14196" i="1"/>
  <c r="H14196" i="1"/>
  <c r="A14197" i="1"/>
  <c r="B14197" i="1"/>
  <c r="C14197" i="1"/>
  <c r="D14197" i="1"/>
  <c r="E14197" i="1"/>
  <c r="F14197" i="1"/>
  <c r="G14197" i="1"/>
  <c r="H14197" i="1"/>
  <c r="A14198" i="1"/>
  <c r="B14198" i="1"/>
  <c r="C14198" i="1"/>
  <c r="D14198" i="1"/>
  <c r="E14198" i="1"/>
  <c r="F14198" i="1"/>
  <c r="G14198" i="1"/>
  <c r="H14198" i="1"/>
  <c r="A14199" i="1"/>
  <c r="B14199" i="1"/>
  <c r="C14199" i="1"/>
  <c r="D14199" i="1"/>
  <c r="E14199" i="1"/>
  <c r="F14199" i="1"/>
  <c r="G14199" i="1"/>
  <c r="H14199" i="1"/>
  <c r="A14200" i="1"/>
  <c r="B14200" i="1"/>
  <c r="C14200" i="1"/>
  <c r="D14200" i="1"/>
  <c r="E14200" i="1"/>
  <c r="F14200" i="1"/>
  <c r="G14200" i="1"/>
  <c r="H14200" i="1"/>
  <c r="A14201" i="1"/>
  <c r="B14201" i="1"/>
  <c r="C14201" i="1"/>
  <c r="D14201" i="1"/>
  <c r="E14201" i="1"/>
  <c r="F14201" i="1"/>
  <c r="G14201" i="1"/>
  <c r="H14201" i="1"/>
  <c r="A14202" i="1"/>
  <c r="B14202" i="1"/>
  <c r="C14202" i="1"/>
  <c r="D14202" i="1"/>
  <c r="E14202" i="1"/>
  <c r="F14202" i="1"/>
  <c r="G14202" i="1"/>
  <c r="H14202" i="1"/>
  <c r="A14203" i="1"/>
  <c r="B14203" i="1"/>
  <c r="C14203" i="1"/>
  <c r="D14203" i="1"/>
  <c r="E14203" i="1"/>
  <c r="F14203" i="1"/>
  <c r="G14203" i="1"/>
  <c r="H14203" i="1"/>
  <c r="A14204" i="1"/>
  <c r="B14204" i="1"/>
  <c r="C14204" i="1"/>
  <c r="D14204" i="1"/>
  <c r="E14204" i="1"/>
  <c r="F14204" i="1"/>
  <c r="G14204" i="1"/>
  <c r="H14204" i="1"/>
  <c r="A14205" i="1"/>
  <c r="B14205" i="1"/>
  <c r="C14205" i="1"/>
  <c r="D14205" i="1"/>
  <c r="E14205" i="1"/>
  <c r="F14205" i="1"/>
  <c r="G14205" i="1"/>
  <c r="H14205" i="1"/>
  <c r="A14206" i="1"/>
  <c r="B14206" i="1"/>
  <c r="C14206" i="1"/>
  <c r="D14206" i="1"/>
  <c r="E14206" i="1"/>
  <c r="F14206" i="1"/>
  <c r="G14206" i="1"/>
  <c r="H14206" i="1"/>
  <c r="A14207" i="1"/>
  <c r="B14207" i="1"/>
  <c r="C14207" i="1"/>
  <c r="D14207" i="1"/>
  <c r="E14207" i="1"/>
  <c r="F14207" i="1"/>
  <c r="G14207" i="1"/>
  <c r="H14207" i="1"/>
  <c r="A14208" i="1"/>
  <c r="B14208" i="1"/>
  <c r="C14208" i="1"/>
  <c r="D14208" i="1"/>
  <c r="E14208" i="1"/>
  <c r="F14208" i="1"/>
  <c r="G14208" i="1"/>
  <c r="H14208" i="1"/>
  <c r="A14209" i="1"/>
  <c r="B14209" i="1"/>
  <c r="C14209" i="1"/>
  <c r="D14209" i="1"/>
  <c r="E14209" i="1"/>
  <c r="F14209" i="1"/>
  <c r="G14209" i="1"/>
  <c r="H14209" i="1"/>
  <c r="A14210" i="1"/>
  <c r="B14210" i="1"/>
  <c r="C14210" i="1"/>
  <c r="D14210" i="1"/>
  <c r="E14210" i="1"/>
  <c r="F14210" i="1"/>
  <c r="G14210" i="1"/>
  <c r="H14210" i="1"/>
  <c r="A14211" i="1"/>
  <c r="B14211" i="1"/>
  <c r="C14211" i="1"/>
  <c r="D14211" i="1"/>
  <c r="E14211" i="1"/>
  <c r="F14211" i="1"/>
  <c r="G14211" i="1"/>
  <c r="H14211" i="1"/>
  <c r="A14212" i="1"/>
  <c r="B14212" i="1"/>
  <c r="C14212" i="1"/>
  <c r="D14212" i="1"/>
  <c r="E14212" i="1"/>
  <c r="F14212" i="1"/>
  <c r="G14212" i="1"/>
  <c r="H14212" i="1"/>
  <c r="A14213" i="1"/>
  <c r="B14213" i="1"/>
  <c r="C14213" i="1"/>
  <c r="D14213" i="1"/>
  <c r="E14213" i="1"/>
  <c r="F14213" i="1"/>
  <c r="G14213" i="1"/>
  <c r="H14213" i="1"/>
  <c r="A14214" i="1"/>
  <c r="B14214" i="1"/>
  <c r="C14214" i="1"/>
  <c r="D14214" i="1"/>
  <c r="E14214" i="1"/>
  <c r="F14214" i="1"/>
  <c r="G14214" i="1"/>
  <c r="H14214" i="1"/>
  <c r="A14215" i="1"/>
  <c r="B14215" i="1"/>
  <c r="C14215" i="1"/>
  <c r="D14215" i="1"/>
  <c r="E14215" i="1"/>
  <c r="F14215" i="1"/>
  <c r="G14215" i="1"/>
  <c r="H14215" i="1"/>
  <c r="A14216" i="1"/>
  <c r="B14216" i="1"/>
  <c r="C14216" i="1"/>
  <c r="D14216" i="1"/>
  <c r="E14216" i="1"/>
  <c r="F14216" i="1"/>
  <c r="G14216" i="1"/>
  <c r="H14216" i="1"/>
  <c r="A14217" i="1"/>
  <c r="B14217" i="1"/>
  <c r="C14217" i="1"/>
  <c r="D14217" i="1"/>
  <c r="E14217" i="1"/>
  <c r="F14217" i="1"/>
  <c r="G14217" i="1"/>
  <c r="H14217" i="1"/>
  <c r="A14218" i="1"/>
  <c r="B14218" i="1"/>
  <c r="C14218" i="1"/>
  <c r="D14218" i="1"/>
  <c r="E14218" i="1"/>
  <c r="F14218" i="1"/>
  <c r="G14218" i="1"/>
  <c r="H14218" i="1"/>
  <c r="A14219" i="1"/>
  <c r="B14219" i="1"/>
  <c r="C14219" i="1"/>
  <c r="D14219" i="1"/>
  <c r="E14219" i="1"/>
  <c r="F14219" i="1"/>
  <c r="G14219" i="1"/>
  <c r="H14219" i="1"/>
  <c r="A14220" i="1"/>
  <c r="B14220" i="1"/>
  <c r="C14220" i="1"/>
  <c r="D14220" i="1"/>
  <c r="E14220" i="1"/>
  <c r="F14220" i="1"/>
  <c r="G14220" i="1"/>
  <c r="H14220" i="1"/>
  <c r="A14221" i="1"/>
  <c r="B14221" i="1"/>
  <c r="C14221" i="1"/>
  <c r="D14221" i="1"/>
  <c r="E14221" i="1"/>
  <c r="F14221" i="1"/>
  <c r="G14221" i="1"/>
  <c r="H14221" i="1"/>
  <c r="A14222" i="1"/>
  <c r="B14222" i="1"/>
  <c r="C14222" i="1"/>
  <c r="D14222" i="1"/>
  <c r="E14222" i="1"/>
  <c r="F14222" i="1"/>
  <c r="G14222" i="1"/>
  <c r="H14222" i="1"/>
  <c r="A14223" i="1"/>
  <c r="B14223" i="1"/>
  <c r="C14223" i="1"/>
  <c r="D14223" i="1"/>
  <c r="E14223" i="1"/>
  <c r="F14223" i="1"/>
  <c r="G14223" i="1"/>
  <c r="H14223" i="1"/>
  <c r="A14224" i="1"/>
  <c r="B14224" i="1"/>
  <c r="C14224" i="1"/>
  <c r="D14224" i="1"/>
  <c r="E14224" i="1"/>
  <c r="F14224" i="1"/>
  <c r="G14224" i="1"/>
  <c r="H14224" i="1"/>
  <c r="A14225" i="1"/>
  <c r="B14225" i="1"/>
  <c r="C14225" i="1"/>
  <c r="D14225" i="1"/>
  <c r="E14225" i="1"/>
  <c r="F14225" i="1"/>
  <c r="G14225" i="1"/>
  <c r="H14225" i="1"/>
  <c r="A14226" i="1"/>
  <c r="B14226" i="1"/>
  <c r="C14226" i="1"/>
  <c r="D14226" i="1"/>
  <c r="E14226" i="1"/>
  <c r="F14226" i="1"/>
  <c r="G14226" i="1"/>
  <c r="H14226" i="1"/>
  <c r="A14227" i="1"/>
  <c r="B14227" i="1"/>
  <c r="C14227" i="1"/>
  <c r="D14227" i="1"/>
  <c r="E14227" i="1"/>
  <c r="F14227" i="1"/>
  <c r="G14227" i="1"/>
  <c r="H14227" i="1"/>
  <c r="A14228" i="1"/>
  <c r="B14228" i="1"/>
  <c r="C14228" i="1"/>
  <c r="D14228" i="1"/>
  <c r="E14228" i="1"/>
  <c r="F14228" i="1"/>
  <c r="G14228" i="1"/>
  <c r="H14228" i="1"/>
  <c r="A14229" i="1"/>
  <c r="B14229" i="1"/>
  <c r="C14229" i="1"/>
  <c r="D14229" i="1"/>
  <c r="E14229" i="1"/>
  <c r="F14229" i="1"/>
  <c r="G14229" i="1"/>
  <c r="H14229" i="1"/>
  <c r="A14230" i="1"/>
  <c r="B14230" i="1"/>
  <c r="C14230" i="1"/>
  <c r="D14230" i="1"/>
  <c r="E14230" i="1"/>
  <c r="F14230" i="1"/>
  <c r="G14230" i="1"/>
  <c r="H14230" i="1"/>
  <c r="A14231" i="1"/>
  <c r="B14231" i="1"/>
  <c r="C14231" i="1"/>
  <c r="D14231" i="1"/>
  <c r="E14231" i="1"/>
  <c r="F14231" i="1"/>
  <c r="G14231" i="1"/>
  <c r="H14231" i="1"/>
  <c r="A14232" i="1"/>
  <c r="B14232" i="1"/>
  <c r="C14232" i="1"/>
  <c r="D14232" i="1"/>
  <c r="E14232" i="1"/>
  <c r="F14232" i="1"/>
  <c r="G14232" i="1"/>
  <c r="H14232" i="1"/>
  <c r="A14233" i="1"/>
  <c r="B14233" i="1"/>
  <c r="C14233" i="1"/>
  <c r="D14233" i="1"/>
  <c r="E14233" i="1"/>
  <c r="F14233" i="1"/>
  <c r="G14233" i="1"/>
  <c r="H14233" i="1"/>
  <c r="A14234" i="1"/>
  <c r="B14234" i="1"/>
  <c r="C14234" i="1"/>
  <c r="D14234" i="1"/>
  <c r="E14234" i="1"/>
  <c r="F14234" i="1"/>
  <c r="G14234" i="1"/>
  <c r="H14234" i="1"/>
  <c r="A14235" i="1"/>
  <c r="B14235" i="1"/>
  <c r="C14235" i="1"/>
  <c r="D14235" i="1"/>
  <c r="E14235" i="1"/>
  <c r="F14235" i="1"/>
  <c r="G14235" i="1"/>
  <c r="H14235" i="1"/>
  <c r="A14236" i="1"/>
  <c r="B14236" i="1"/>
  <c r="C14236" i="1"/>
  <c r="D14236" i="1"/>
  <c r="E14236" i="1"/>
  <c r="F14236" i="1"/>
  <c r="G14236" i="1"/>
  <c r="H14236" i="1"/>
  <c r="A14237" i="1"/>
  <c r="B14237" i="1"/>
  <c r="C14237" i="1"/>
  <c r="D14237" i="1"/>
  <c r="E14237" i="1"/>
  <c r="F14237" i="1"/>
  <c r="G14237" i="1"/>
  <c r="H14237" i="1"/>
  <c r="A14238" i="1"/>
  <c r="B14238" i="1"/>
  <c r="C14238" i="1"/>
  <c r="D14238" i="1"/>
  <c r="E14238" i="1"/>
  <c r="F14238" i="1"/>
  <c r="G14238" i="1"/>
  <c r="H14238" i="1"/>
  <c r="A14239" i="1"/>
  <c r="B14239" i="1"/>
  <c r="C14239" i="1"/>
  <c r="D14239" i="1"/>
  <c r="E14239" i="1"/>
  <c r="F14239" i="1"/>
  <c r="G14239" i="1"/>
  <c r="H14239" i="1"/>
  <c r="A14240" i="1"/>
  <c r="B14240" i="1"/>
  <c r="C14240" i="1"/>
  <c r="D14240" i="1"/>
  <c r="E14240" i="1"/>
  <c r="F14240" i="1"/>
  <c r="G14240" i="1"/>
  <c r="H14240" i="1"/>
  <c r="A14241" i="1"/>
  <c r="B14241" i="1"/>
  <c r="C14241" i="1"/>
  <c r="D14241" i="1"/>
  <c r="E14241" i="1"/>
  <c r="F14241" i="1"/>
  <c r="G14241" i="1"/>
  <c r="H14241" i="1"/>
  <c r="A14242" i="1"/>
  <c r="B14242" i="1"/>
  <c r="C14242" i="1"/>
  <c r="D14242" i="1"/>
  <c r="E14242" i="1"/>
  <c r="F14242" i="1"/>
  <c r="G14242" i="1"/>
  <c r="H14242" i="1"/>
  <c r="A14243" i="1"/>
  <c r="B14243" i="1"/>
  <c r="C14243" i="1"/>
  <c r="D14243" i="1"/>
  <c r="E14243" i="1"/>
  <c r="F14243" i="1"/>
  <c r="G14243" i="1"/>
  <c r="H14243" i="1"/>
  <c r="A14244" i="1"/>
  <c r="B14244" i="1"/>
  <c r="C14244" i="1"/>
  <c r="D14244" i="1"/>
  <c r="E14244" i="1"/>
  <c r="F14244" i="1"/>
  <c r="G14244" i="1"/>
  <c r="H14244" i="1"/>
  <c r="A14245" i="1"/>
  <c r="B14245" i="1"/>
  <c r="C14245" i="1"/>
  <c r="D14245" i="1"/>
  <c r="E14245" i="1"/>
  <c r="F14245" i="1"/>
  <c r="G14245" i="1"/>
  <c r="H14245" i="1"/>
  <c r="A14246" i="1"/>
  <c r="B14246" i="1"/>
  <c r="C14246" i="1"/>
  <c r="D14246" i="1"/>
  <c r="E14246" i="1"/>
  <c r="F14246" i="1"/>
  <c r="G14246" i="1"/>
  <c r="H14246" i="1"/>
  <c r="A14247" i="1"/>
  <c r="B14247" i="1"/>
  <c r="C14247" i="1"/>
  <c r="D14247" i="1"/>
  <c r="E14247" i="1"/>
  <c r="F14247" i="1"/>
  <c r="G14247" i="1"/>
  <c r="H14247" i="1"/>
  <c r="A14248" i="1"/>
  <c r="B14248" i="1"/>
  <c r="C14248" i="1"/>
  <c r="D14248" i="1"/>
  <c r="E14248" i="1"/>
  <c r="F14248" i="1"/>
  <c r="G14248" i="1"/>
  <c r="H14248" i="1"/>
  <c r="A14249" i="1"/>
  <c r="B14249" i="1"/>
  <c r="C14249" i="1"/>
  <c r="D14249" i="1"/>
  <c r="E14249" i="1"/>
  <c r="F14249" i="1"/>
  <c r="G14249" i="1"/>
  <c r="H14249" i="1"/>
  <c r="A14250" i="1"/>
  <c r="B14250" i="1"/>
  <c r="C14250" i="1"/>
  <c r="D14250" i="1"/>
  <c r="E14250" i="1"/>
  <c r="F14250" i="1"/>
  <c r="G14250" i="1"/>
  <c r="H14250" i="1"/>
  <c r="A14251" i="1"/>
  <c r="B14251" i="1"/>
  <c r="C14251" i="1"/>
  <c r="D14251" i="1"/>
  <c r="E14251" i="1"/>
  <c r="F14251" i="1"/>
  <c r="G14251" i="1"/>
  <c r="H14251" i="1"/>
  <c r="A14252" i="1"/>
  <c r="B14252" i="1"/>
  <c r="C14252" i="1"/>
  <c r="D14252" i="1"/>
  <c r="E14252" i="1"/>
  <c r="F14252" i="1"/>
  <c r="G14252" i="1"/>
  <c r="H14252" i="1"/>
  <c r="A14253" i="1"/>
  <c r="B14253" i="1"/>
  <c r="C14253" i="1"/>
  <c r="D14253" i="1"/>
  <c r="E14253" i="1"/>
  <c r="F14253" i="1"/>
  <c r="G14253" i="1"/>
  <c r="H14253" i="1"/>
  <c r="A14254" i="1"/>
  <c r="B14254" i="1"/>
  <c r="C14254" i="1"/>
  <c r="D14254" i="1"/>
  <c r="E14254" i="1"/>
  <c r="F14254" i="1"/>
  <c r="G14254" i="1"/>
  <c r="H14254" i="1"/>
  <c r="A14255" i="1"/>
  <c r="B14255" i="1"/>
  <c r="C14255" i="1"/>
  <c r="D14255" i="1"/>
  <c r="E14255" i="1"/>
  <c r="F14255" i="1"/>
  <c r="G14255" i="1"/>
  <c r="H14255" i="1"/>
  <c r="A14256" i="1"/>
  <c r="B14256" i="1"/>
  <c r="C14256" i="1"/>
  <c r="D14256" i="1"/>
  <c r="E14256" i="1"/>
  <c r="F14256" i="1"/>
  <c r="G14256" i="1"/>
  <c r="H14256" i="1"/>
  <c r="A14257" i="1"/>
  <c r="B14257" i="1"/>
  <c r="C14257" i="1"/>
  <c r="D14257" i="1"/>
  <c r="E14257" i="1"/>
  <c r="F14257" i="1"/>
  <c r="G14257" i="1"/>
  <c r="H14257" i="1"/>
  <c r="A14258" i="1"/>
  <c r="B14258" i="1"/>
  <c r="C14258" i="1"/>
  <c r="D14258" i="1"/>
  <c r="E14258" i="1"/>
  <c r="F14258" i="1"/>
  <c r="G14258" i="1"/>
  <c r="H14258" i="1"/>
  <c r="A14259" i="1"/>
  <c r="B14259" i="1"/>
  <c r="C14259" i="1"/>
  <c r="D14259" i="1"/>
  <c r="E14259" i="1"/>
  <c r="F14259" i="1"/>
  <c r="G14259" i="1"/>
  <c r="H14259" i="1"/>
  <c r="A14260" i="1"/>
  <c r="B14260" i="1"/>
  <c r="C14260" i="1"/>
  <c r="D14260" i="1"/>
  <c r="E14260" i="1"/>
  <c r="F14260" i="1"/>
  <c r="G14260" i="1"/>
  <c r="H14260" i="1"/>
  <c r="A14261" i="1"/>
  <c r="B14261" i="1"/>
  <c r="C14261" i="1"/>
  <c r="D14261" i="1"/>
  <c r="E14261" i="1"/>
  <c r="F14261" i="1"/>
  <c r="G14261" i="1"/>
  <c r="H14261" i="1"/>
  <c r="A14262" i="1"/>
  <c r="B14262" i="1"/>
  <c r="C14262" i="1"/>
  <c r="D14262" i="1"/>
  <c r="E14262" i="1"/>
  <c r="F14262" i="1"/>
  <c r="G14262" i="1"/>
  <c r="H14262" i="1"/>
  <c r="A14263" i="1"/>
  <c r="B14263" i="1"/>
  <c r="C14263" i="1"/>
  <c r="D14263" i="1"/>
  <c r="E14263" i="1"/>
  <c r="F14263" i="1"/>
  <c r="G14263" i="1"/>
  <c r="H14263" i="1"/>
  <c r="A14264" i="1"/>
  <c r="B14264" i="1"/>
  <c r="C14264" i="1"/>
  <c r="D14264" i="1"/>
  <c r="E14264" i="1"/>
  <c r="F14264" i="1"/>
  <c r="G14264" i="1"/>
  <c r="H14264" i="1"/>
  <c r="A14265" i="1"/>
  <c r="B14265" i="1"/>
  <c r="C14265" i="1"/>
  <c r="D14265" i="1"/>
  <c r="E14265" i="1"/>
  <c r="F14265" i="1"/>
  <c r="G14265" i="1"/>
  <c r="H14265" i="1"/>
  <c r="A14266" i="1"/>
  <c r="B14266" i="1"/>
  <c r="C14266" i="1"/>
  <c r="D14266" i="1"/>
  <c r="E14266" i="1"/>
  <c r="F14266" i="1"/>
  <c r="G14266" i="1"/>
  <c r="H14266" i="1"/>
  <c r="A14267" i="1"/>
  <c r="B14267" i="1"/>
  <c r="C14267" i="1"/>
  <c r="D14267" i="1"/>
  <c r="E14267" i="1"/>
  <c r="F14267" i="1"/>
  <c r="G14267" i="1"/>
  <c r="H14267" i="1"/>
  <c r="A14268" i="1"/>
  <c r="B14268" i="1"/>
  <c r="C14268" i="1"/>
  <c r="D14268" i="1"/>
  <c r="E14268" i="1"/>
  <c r="F14268" i="1"/>
  <c r="G14268" i="1"/>
  <c r="H14268" i="1"/>
  <c r="A14269" i="1"/>
  <c r="B14269" i="1"/>
  <c r="C14269" i="1"/>
  <c r="D14269" i="1"/>
  <c r="E14269" i="1"/>
  <c r="F14269" i="1"/>
  <c r="G14269" i="1"/>
  <c r="H14269" i="1"/>
  <c r="A14270" i="1"/>
  <c r="B14270" i="1"/>
  <c r="C14270" i="1"/>
  <c r="D14270" i="1"/>
  <c r="E14270" i="1"/>
  <c r="F14270" i="1"/>
  <c r="G14270" i="1"/>
  <c r="H14270" i="1"/>
  <c r="A14271" i="1"/>
  <c r="B14271" i="1"/>
  <c r="C14271" i="1"/>
  <c r="D14271" i="1"/>
  <c r="E14271" i="1"/>
  <c r="F14271" i="1"/>
  <c r="G14271" i="1"/>
  <c r="H14271" i="1"/>
  <c r="A14272" i="1"/>
  <c r="B14272" i="1"/>
  <c r="C14272" i="1"/>
  <c r="D14272" i="1"/>
  <c r="E14272" i="1"/>
  <c r="F14272" i="1"/>
  <c r="G14272" i="1"/>
  <c r="H14272" i="1"/>
  <c r="A14273" i="1"/>
  <c r="B14273" i="1"/>
  <c r="C14273" i="1"/>
  <c r="D14273" i="1"/>
  <c r="E14273" i="1"/>
  <c r="F14273" i="1"/>
  <c r="G14273" i="1"/>
  <c r="H14273" i="1"/>
  <c r="A14274" i="1"/>
  <c r="B14274" i="1"/>
  <c r="C14274" i="1"/>
  <c r="D14274" i="1"/>
  <c r="E14274" i="1"/>
  <c r="F14274" i="1"/>
  <c r="G14274" i="1"/>
  <c r="H14274" i="1"/>
  <c r="A14275" i="1"/>
  <c r="B14275" i="1"/>
  <c r="C14275" i="1"/>
  <c r="D14275" i="1"/>
  <c r="E14275" i="1"/>
  <c r="F14275" i="1"/>
  <c r="G14275" i="1"/>
  <c r="H14275" i="1"/>
  <c r="A14276" i="1"/>
  <c r="B14276" i="1"/>
  <c r="C14276" i="1"/>
  <c r="D14276" i="1"/>
  <c r="E14276" i="1"/>
  <c r="F14276" i="1"/>
  <c r="G14276" i="1"/>
  <c r="H14276" i="1"/>
  <c r="A14277" i="1"/>
  <c r="B14277" i="1"/>
  <c r="C14277" i="1"/>
  <c r="D14277" i="1"/>
  <c r="E14277" i="1"/>
  <c r="F14277" i="1"/>
  <c r="G14277" i="1"/>
  <c r="H14277" i="1"/>
  <c r="A14278" i="1"/>
  <c r="B14278" i="1"/>
  <c r="C14278" i="1"/>
  <c r="D14278" i="1"/>
  <c r="E14278" i="1"/>
  <c r="F14278" i="1"/>
  <c r="G14278" i="1"/>
  <c r="H14278" i="1"/>
  <c r="A14279" i="1"/>
  <c r="B14279" i="1"/>
  <c r="C14279" i="1"/>
  <c r="D14279" i="1"/>
  <c r="E14279" i="1"/>
  <c r="F14279" i="1"/>
  <c r="G14279" i="1"/>
  <c r="H14279" i="1"/>
  <c r="A14280" i="1"/>
  <c r="B14280" i="1"/>
  <c r="C14280" i="1"/>
  <c r="D14280" i="1"/>
  <c r="E14280" i="1"/>
  <c r="F14280" i="1"/>
  <c r="G14280" i="1"/>
  <c r="H14280" i="1"/>
  <c r="A14281" i="1"/>
  <c r="B14281" i="1"/>
  <c r="C14281" i="1"/>
  <c r="D14281" i="1"/>
  <c r="E14281" i="1"/>
  <c r="F14281" i="1"/>
  <c r="G14281" i="1"/>
  <c r="H14281" i="1"/>
  <c r="A14282" i="1"/>
  <c r="B14282" i="1"/>
  <c r="C14282" i="1"/>
  <c r="D14282" i="1"/>
  <c r="E14282" i="1"/>
  <c r="F14282" i="1"/>
  <c r="G14282" i="1"/>
  <c r="H14282" i="1"/>
  <c r="A14283" i="1"/>
  <c r="B14283" i="1"/>
  <c r="C14283" i="1"/>
  <c r="D14283" i="1"/>
  <c r="E14283" i="1"/>
  <c r="F14283" i="1"/>
  <c r="G14283" i="1"/>
  <c r="H14283" i="1"/>
  <c r="A14284" i="1"/>
  <c r="B14284" i="1"/>
  <c r="C14284" i="1"/>
  <c r="D14284" i="1"/>
  <c r="E14284" i="1"/>
  <c r="F14284" i="1"/>
  <c r="G14284" i="1"/>
  <c r="H14284" i="1"/>
  <c r="A14285" i="1"/>
  <c r="B14285" i="1"/>
  <c r="C14285" i="1"/>
  <c r="D14285" i="1"/>
  <c r="E14285" i="1"/>
  <c r="F14285" i="1"/>
  <c r="G14285" i="1"/>
  <c r="H14285" i="1"/>
  <c r="A14286" i="1"/>
  <c r="B14286" i="1"/>
  <c r="C14286" i="1"/>
  <c r="D14286" i="1"/>
  <c r="E14286" i="1"/>
  <c r="F14286" i="1"/>
  <c r="G14286" i="1"/>
  <c r="H14286" i="1"/>
  <c r="A14287" i="1"/>
  <c r="B14287" i="1"/>
  <c r="C14287" i="1"/>
  <c r="D14287" i="1"/>
  <c r="E14287" i="1"/>
  <c r="F14287" i="1"/>
  <c r="G14287" i="1"/>
  <c r="H14287" i="1"/>
  <c r="A14288" i="1"/>
  <c r="B14288" i="1"/>
  <c r="C14288" i="1"/>
  <c r="D14288" i="1"/>
  <c r="E14288" i="1"/>
  <c r="F14288" i="1"/>
  <c r="G14288" i="1"/>
  <c r="H14288" i="1"/>
  <c r="A14289" i="1"/>
  <c r="B14289" i="1"/>
  <c r="C14289" i="1"/>
  <c r="D14289" i="1"/>
  <c r="E14289" i="1"/>
  <c r="F14289" i="1"/>
  <c r="G14289" i="1"/>
  <c r="H14289" i="1"/>
  <c r="A14290" i="1"/>
  <c r="B14290" i="1"/>
  <c r="C14290" i="1"/>
  <c r="D14290" i="1"/>
  <c r="E14290" i="1"/>
  <c r="F14290" i="1"/>
  <c r="G14290" i="1"/>
  <c r="H14290" i="1"/>
  <c r="A14291" i="1"/>
  <c r="B14291" i="1"/>
  <c r="C14291" i="1"/>
  <c r="D14291" i="1"/>
  <c r="E14291" i="1"/>
  <c r="F14291" i="1"/>
  <c r="G14291" i="1"/>
  <c r="H14291" i="1"/>
  <c r="A14292" i="1"/>
  <c r="B14292" i="1"/>
  <c r="C14292" i="1"/>
  <c r="D14292" i="1"/>
  <c r="E14292" i="1"/>
  <c r="F14292" i="1"/>
  <c r="G14292" i="1"/>
  <c r="H14292" i="1"/>
  <c r="A14293" i="1"/>
  <c r="B14293" i="1"/>
  <c r="C14293" i="1"/>
  <c r="D14293" i="1"/>
  <c r="E14293" i="1"/>
  <c r="F14293" i="1"/>
  <c r="G14293" i="1"/>
  <c r="H14293" i="1"/>
  <c r="A14294" i="1"/>
  <c r="B14294" i="1"/>
  <c r="C14294" i="1"/>
  <c r="D14294" i="1"/>
  <c r="E14294" i="1"/>
  <c r="F14294" i="1"/>
  <c r="G14294" i="1"/>
  <c r="H14294" i="1"/>
  <c r="A14295" i="1"/>
  <c r="B14295" i="1"/>
  <c r="C14295" i="1"/>
  <c r="D14295" i="1"/>
  <c r="E14295" i="1"/>
  <c r="F14295" i="1"/>
  <c r="G14295" i="1"/>
  <c r="H14295" i="1"/>
  <c r="A14296" i="1"/>
  <c r="B14296" i="1"/>
  <c r="C14296" i="1"/>
  <c r="D14296" i="1"/>
  <c r="E14296" i="1"/>
  <c r="F14296" i="1"/>
  <c r="G14296" i="1"/>
  <c r="H14296" i="1"/>
  <c r="A14297" i="1"/>
  <c r="B14297" i="1"/>
  <c r="C14297" i="1"/>
  <c r="D14297" i="1"/>
  <c r="E14297" i="1"/>
  <c r="F14297" i="1"/>
  <c r="G14297" i="1"/>
  <c r="H14297" i="1"/>
  <c r="A14298" i="1"/>
  <c r="B14298" i="1"/>
  <c r="C14298" i="1"/>
  <c r="D14298" i="1"/>
  <c r="E14298" i="1"/>
  <c r="F14298" i="1"/>
  <c r="G14298" i="1"/>
  <c r="H14298" i="1"/>
  <c r="A14299" i="1"/>
  <c r="B14299" i="1"/>
  <c r="C14299" i="1"/>
  <c r="D14299" i="1"/>
  <c r="E14299" i="1"/>
  <c r="F14299" i="1"/>
  <c r="G14299" i="1"/>
  <c r="H14299" i="1"/>
  <c r="A14300" i="1"/>
  <c r="B14300" i="1"/>
  <c r="C14300" i="1"/>
  <c r="D14300" i="1"/>
  <c r="E14300" i="1"/>
  <c r="F14300" i="1"/>
  <c r="G14300" i="1"/>
  <c r="H14300" i="1"/>
  <c r="A14301" i="1"/>
  <c r="B14301" i="1"/>
  <c r="C14301" i="1"/>
  <c r="D14301" i="1"/>
  <c r="E14301" i="1"/>
  <c r="F14301" i="1"/>
  <c r="G14301" i="1"/>
  <c r="H14301" i="1"/>
  <c r="A14302" i="1"/>
  <c r="B14302" i="1"/>
  <c r="C14302" i="1"/>
  <c r="D14302" i="1"/>
  <c r="E14302" i="1"/>
  <c r="F14302" i="1"/>
  <c r="G14302" i="1"/>
  <c r="H14302" i="1"/>
  <c r="A14303" i="1"/>
  <c r="B14303" i="1"/>
  <c r="C14303" i="1"/>
  <c r="D14303" i="1"/>
  <c r="E14303" i="1"/>
  <c r="F14303" i="1"/>
  <c r="G14303" i="1"/>
  <c r="H14303" i="1"/>
  <c r="A14304" i="1"/>
  <c r="B14304" i="1"/>
  <c r="C14304" i="1"/>
  <c r="D14304" i="1"/>
  <c r="E14304" i="1"/>
  <c r="F14304" i="1"/>
  <c r="G14304" i="1"/>
  <c r="H14304" i="1"/>
  <c r="A14305" i="1"/>
  <c r="B14305" i="1"/>
  <c r="C14305" i="1"/>
  <c r="D14305" i="1"/>
  <c r="E14305" i="1"/>
  <c r="F14305" i="1"/>
  <c r="G14305" i="1"/>
  <c r="H14305" i="1"/>
  <c r="A14306" i="1"/>
  <c r="B14306" i="1"/>
  <c r="C14306" i="1"/>
  <c r="D14306" i="1"/>
  <c r="E14306" i="1"/>
  <c r="F14306" i="1"/>
  <c r="G14306" i="1"/>
  <c r="H14306" i="1"/>
  <c r="A14307" i="1"/>
  <c r="B14307" i="1"/>
  <c r="C14307" i="1"/>
  <c r="D14307" i="1"/>
  <c r="E14307" i="1"/>
  <c r="F14307" i="1"/>
  <c r="G14307" i="1"/>
  <c r="H14307" i="1"/>
  <c r="A14308" i="1"/>
  <c r="B14308" i="1"/>
  <c r="C14308" i="1"/>
  <c r="D14308" i="1"/>
  <c r="E14308" i="1"/>
  <c r="F14308" i="1"/>
  <c r="G14308" i="1"/>
  <c r="H14308" i="1"/>
  <c r="A14309" i="1"/>
  <c r="B14309" i="1"/>
  <c r="C14309" i="1"/>
  <c r="D14309" i="1"/>
  <c r="E14309" i="1"/>
  <c r="F14309" i="1"/>
  <c r="G14309" i="1"/>
  <c r="H14309" i="1"/>
  <c r="A14310" i="1"/>
  <c r="B14310" i="1"/>
  <c r="C14310" i="1"/>
  <c r="D14310" i="1"/>
  <c r="E14310" i="1"/>
  <c r="F14310" i="1"/>
  <c r="G14310" i="1"/>
  <c r="H14310" i="1"/>
  <c r="A14311" i="1"/>
  <c r="B14311" i="1"/>
  <c r="C14311" i="1"/>
  <c r="D14311" i="1"/>
  <c r="E14311" i="1"/>
  <c r="F14311" i="1"/>
  <c r="G14311" i="1"/>
  <c r="H14311" i="1"/>
  <c r="A14312" i="1"/>
  <c r="B14312" i="1"/>
  <c r="C14312" i="1"/>
  <c r="D14312" i="1"/>
  <c r="E14312" i="1"/>
  <c r="F14312" i="1"/>
  <c r="G14312" i="1"/>
  <c r="H14312" i="1"/>
  <c r="A14313" i="1"/>
  <c r="B14313" i="1"/>
  <c r="C14313" i="1"/>
  <c r="D14313" i="1"/>
  <c r="E14313" i="1"/>
  <c r="F14313" i="1"/>
  <c r="G14313" i="1"/>
  <c r="H14313" i="1"/>
  <c r="A14314" i="1"/>
  <c r="B14314" i="1"/>
  <c r="C14314" i="1"/>
  <c r="D14314" i="1"/>
  <c r="E14314" i="1"/>
  <c r="F14314" i="1"/>
  <c r="G14314" i="1"/>
  <c r="H14314" i="1"/>
  <c r="A14315" i="1"/>
  <c r="B14315" i="1"/>
  <c r="C14315" i="1"/>
  <c r="D14315" i="1"/>
  <c r="E14315" i="1"/>
  <c r="F14315" i="1"/>
  <c r="G14315" i="1"/>
  <c r="H14315" i="1"/>
  <c r="A14316" i="1"/>
  <c r="B14316" i="1"/>
  <c r="C14316" i="1"/>
  <c r="D14316" i="1"/>
  <c r="E14316" i="1"/>
  <c r="F14316" i="1"/>
  <c r="G14316" i="1"/>
  <c r="H14316" i="1"/>
  <c r="A14317" i="1"/>
  <c r="B14317" i="1"/>
  <c r="C14317" i="1"/>
  <c r="D14317" i="1"/>
  <c r="E14317" i="1"/>
  <c r="F14317" i="1"/>
  <c r="G14317" i="1"/>
  <c r="H14317" i="1"/>
  <c r="A14318" i="1"/>
  <c r="B14318" i="1"/>
  <c r="C14318" i="1"/>
  <c r="D14318" i="1"/>
  <c r="E14318" i="1"/>
  <c r="F14318" i="1"/>
  <c r="G14318" i="1"/>
  <c r="H14318" i="1"/>
  <c r="A14319" i="1"/>
  <c r="B14319" i="1"/>
  <c r="C14319" i="1"/>
  <c r="D14319" i="1"/>
  <c r="E14319" i="1"/>
  <c r="F14319" i="1"/>
  <c r="G14319" i="1"/>
  <c r="H14319" i="1"/>
  <c r="A14320" i="1"/>
  <c r="B14320" i="1"/>
  <c r="C14320" i="1"/>
  <c r="D14320" i="1"/>
  <c r="E14320" i="1"/>
  <c r="F14320" i="1"/>
  <c r="G14320" i="1"/>
  <c r="H14320" i="1"/>
  <c r="A14321" i="1"/>
  <c r="B14321" i="1"/>
  <c r="C14321" i="1"/>
  <c r="D14321" i="1"/>
  <c r="E14321" i="1"/>
  <c r="F14321" i="1"/>
  <c r="G14321" i="1"/>
  <c r="H14321" i="1"/>
  <c r="A14322" i="1"/>
  <c r="B14322" i="1"/>
  <c r="C14322" i="1"/>
  <c r="D14322" i="1"/>
  <c r="E14322" i="1"/>
  <c r="F14322" i="1"/>
  <c r="G14322" i="1"/>
  <c r="H14322" i="1"/>
  <c r="A14323" i="1"/>
  <c r="B14323" i="1"/>
  <c r="C14323" i="1"/>
  <c r="D14323" i="1"/>
  <c r="E14323" i="1"/>
  <c r="F14323" i="1"/>
  <c r="G14323" i="1"/>
  <c r="H14323" i="1"/>
  <c r="A14324" i="1"/>
  <c r="B14324" i="1"/>
  <c r="C14324" i="1"/>
  <c r="D14324" i="1"/>
  <c r="E14324" i="1"/>
  <c r="F14324" i="1"/>
  <c r="G14324" i="1"/>
  <c r="H14324" i="1"/>
  <c r="A14325" i="1"/>
  <c r="B14325" i="1"/>
  <c r="C14325" i="1"/>
  <c r="D14325" i="1"/>
  <c r="E14325" i="1"/>
  <c r="F14325" i="1"/>
  <c r="G14325" i="1"/>
  <c r="H14325" i="1"/>
  <c r="A14326" i="1"/>
  <c r="B14326" i="1"/>
  <c r="C14326" i="1"/>
  <c r="D14326" i="1"/>
  <c r="E14326" i="1"/>
  <c r="F14326" i="1"/>
  <c r="G14326" i="1"/>
  <c r="H14326" i="1"/>
  <c r="A14327" i="1"/>
  <c r="B14327" i="1"/>
  <c r="C14327" i="1"/>
  <c r="D14327" i="1"/>
  <c r="E14327" i="1"/>
  <c r="F14327" i="1"/>
  <c r="G14327" i="1"/>
  <c r="H14327" i="1"/>
  <c r="A14328" i="1"/>
  <c r="B14328" i="1"/>
  <c r="C14328" i="1"/>
  <c r="D14328" i="1"/>
  <c r="E14328" i="1"/>
  <c r="F14328" i="1"/>
  <c r="G14328" i="1"/>
  <c r="H14328" i="1"/>
  <c r="A14329" i="1"/>
  <c r="B14329" i="1"/>
  <c r="C14329" i="1"/>
  <c r="D14329" i="1"/>
  <c r="E14329" i="1"/>
  <c r="F14329" i="1"/>
  <c r="G14329" i="1"/>
  <c r="H14329" i="1"/>
  <c r="A14330" i="1"/>
  <c r="B14330" i="1"/>
  <c r="C14330" i="1"/>
  <c r="D14330" i="1"/>
  <c r="E14330" i="1"/>
  <c r="F14330" i="1"/>
  <c r="G14330" i="1"/>
  <c r="H14330" i="1"/>
  <c r="A14331" i="1"/>
  <c r="B14331" i="1"/>
  <c r="C14331" i="1"/>
  <c r="D14331" i="1"/>
  <c r="E14331" i="1"/>
  <c r="F14331" i="1"/>
  <c r="G14331" i="1"/>
  <c r="H14331" i="1"/>
  <c r="A14332" i="1"/>
  <c r="B14332" i="1"/>
  <c r="C14332" i="1"/>
  <c r="D14332" i="1"/>
  <c r="E14332" i="1"/>
  <c r="F14332" i="1"/>
  <c r="G14332" i="1"/>
  <c r="H14332" i="1"/>
  <c r="A14333" i="1"/>
  <c r="B14333" i="1"/>
  <c r="C14333" i="1"/>
  <c r="D14333" i="1"/>
  <c r="E14333" i="1"/>
  <c r="F14333" i="1"/>
  <c r="G14333" i="1"/>
  <c r="H14333" i="1"/>
  <c r="A14334" i="1"/>
  <c r="B14334" i="1"/>
  <c r="C14334" i="1"/>
  <c r="D14334" i="1"/>
  <c r="E14334" i="1"/>
  <c r="F14334" i="1"/>
  <c r="G14334" i="1"/>
  <c r="H14334" i="1"/>
  <c r="A14335" i="1"/>
  <c r="B14335" i="1"/>
  <c r="C14335" i="1"/>
  <c r="D14335" i="1"/>
  <c r="E14335" i="1"/>
  <c r="F14335" i="1"/>
  <c r="G14335" i="1"/>
  <c r="H14335" i="1"/>
  <c r="A14336" i="1"/>
  <c r="B14336" i="1"/>
  <c r="C14336" i="1"/>
  <c r="D14336" i="1"/>
  <c r="E14336" i="1"/>
  <c r="F14336" i="1"/>
  <c r="G14336" i="1"/>
  <c r="H14336" i="1"/>
  <c r="A14337" i="1"/>
  <c r="B14337" i="1"/>
  <c r="C14337" i="1"/>
  <c r="D14337" i="1"/>
  <c r="E14337" i="1"/>
  <c r="F14337" i="1"/>
  <c r="G14337" i="1"/>
  <c r="H14337" i="1"/>
  <c r="A14338" i="1"/>
  <c r="B14338" i="1"/>
  <c r="C14338" i="1"/>
  <c r="D14338" i="1"/>
  <c r="E14338" i="1"/>
  <c r="F14338" i="1"/>
  <c r="G14338" i="1"/>
  <c r="H14338" i="1"/>
  <c r="A14339" i="1"/>
  <c r="B14339" i="1"/>
  <c r="C14339" i="1"/>
  <c r="D14339" i="1"/>
  <c r="E14339" i="1"/>
  <c r="F14339" i="1"/>
  <c r="G14339" i="1"/>
  <c r="H14339" i="1"/>
  <c r="A14340" i="1"/>
  <c r="B14340" i="1"/>
  <c r="C14340" i="1"/>
  <c r="D14340" i="1"/>
  <c r="E14340" i="1"/>
  <c r="F14340" i="1"/>
  <c r="G14340" i="1"/>
  <c r="H14340" i="1"/>
  <c r="A14341" i="1"/>
  <c r="B14341" i="1"/>
  <c r="C14341" i="1"/>
  <c r="D14341" i="1"/>
  <c r="E14341" i="1"/>
  <c r="F14341" i="1"/>
  <c r="G14341" i="1"/>
  <c r="H14341" i="1"/>
  <c r="A14342" i="1"/>
  <c r="B14342" i="1"/>
  <c r="C14342" i="1"/>
  <c r="D14342" i="1"/>
  <c r="E14342" i="1"/>
  <c r="F14342" i="1"/>
  <c r="G14342" i="1"/>
  <c r="H14342" i="1"/>
  <c r="A14343" i="1"/>
  <c r="B14343" i="1"/>
  <c r="C14343" i="1"/>
  <c r="D14343" i="1"/>
  <c r="E14343" i="1"/>
  <c r="F14343" i="1"/>
  <c r="G14343" i="1"/>
  <c r="H14343" i="1"/>
  <c r="A14344" i="1"/>
  <c r="B14344" i="1"/>
  <c r="C14344" i="1"/>
  <c r="D14344" i="1"/>
  <c r="E14344" i="1"/>
  <c r="F14344" i="1"/>
  <c r="G14344" i="1"/>
  <c r="H14344" i="1"/>
  <c r="A14345" i="1"/>
  <c r="B14345" i="1"/>
  <c r="C14345" i="1"/>
  <c r="D14345" i="1"/>
  <c r="E14345" i="1"/>
  <c r="F14345" i="1"/>
  <c r="G14345" i="1"/>
  <c r="H14345" i="1"/>
  <c r="A14346" i="1"/>
  <c r="B14346" i="1"/>
  <c r="C14346" i="1"/>
  <c r="D14346" i="1"/>
  <c r="E14346" i="1"/>
  <c r="F14346" i="1"/>
  <c r="G14346" i="1"/>
  <c r="H14346" i="1"/>
  <c r="A14347" i="1"/>
  <c r="B14347" i="1"/>
  <c r="C14347" i="1"/>
  <c r="D14347" i="1"/>
  <c r="E14347" i="1"/>
  <c r="F14347" i="1"/>
  <c r="G14347" i="1"/>
  <c r="H14347" i="1"/>
  <c r="A14348" i="1"/>
  <c r="B14348" i="1"/>
  <c r="C14348" i="1"/>
  <c r="D14348" i="1"/>
  <c r="E14348" i="1"/>
  <c r="F14348" i="1"/>
  <c r="G14348" i="1"/>
  <c r="H14348" i="1"/>
  <c r="A14349" i="1"/>
  <c r="B14349" i="1"/>
  <c r="C14349" i="1"/>
  <c r="D14349" i="1"/>
  <c r="E14349" i="1"/>
  <c r="F14349" i="1"/>
  <c r="G14349" i="1"/>
  <c r="H14349" i="1"/>
  <c r="A14350" i="1"/>
  <c r="B14350" i="1"/>
  <c r="C14350" i="1"/>
  <c r="D14350" i="1"/>
  <c r="E14350" i="1"/>
  <c r="F14350" i="1"/>
  <c r="G14350" i="1"/>
  <c r="H14350" i="1"/>
  <c r="A14351" i="1"/>
  <c r="B14351" i="1"/>
  <c r="C14351" i="1"/>
  <c r="D14351" i="1"/>
  <c r="E14351" i="1"/>
  <c r="F14351" i="1"/>
  <c r="G14351" i="1"/>
  <c r="H14351" i="1"/>
  <c r="A14352" i="1"/>
  <c r="B14352" i="1"/>
  <c r="C14352" i="1"/>
  <c r="D14352" i="1"/>
  <c r="E14352" i="1"/>
  <c r="F14352" i="1"/>
  <c r="G14352" i="1"/>
  <c r="H14352" i="1"/>
  <c r="A14353" i="1"/>
  <c r="B14353" i="1"/>
  <c r="C14353" i="1"/>
  <c r="D14353" i="1"/>
  <c r="E14353" i="1"/>
  <c r="F14353" i="1"/>
  <c r="G14353" i="1"/>
  <c r="H14353" i="1"/>
  <c r="A14354" i="1"/>
  <c r="B14354" i="1"/>
  <c r="C14354" i="1"/>
  <c r="D14354" i="1"/>
  <c r="E14354" i="1"/>
  <c r="F14354" i="1"/>
  <c r="G14354" i="1"/>
  <c r="H14354" i="1"/>
  <c r="A14355" i="1"/>
  <c r="B14355" i="1"/>
  <c r="C14355" i="1"/>
  <c r="D14355" i="1"/>
  <c r="E14355" i="1"/>
  <c r="F14355" i="1"/>
  <c r="G14355" i="1"/>
  <c r="H14355" i="1"/>
  <c r="A14356" i="1"/>
  <c r="B14356" i="1"/>
  <c r="C14356" i="1"/>
  <c r="D14356" i="1"/>
  <c r="E14356" i="1"/>
  <c r="F14356" i="1"/>
  <c r="G14356" i="1"/>
  <c r="H14356" i="1"/>
  <c r="A14357" i="1"/>
  <c r="B14357" i="1"/>
  <c r="C14357" i="1"/>
  <c r="D14357" i="1"/>
  <c r="E14357" i="1"/>
  <c r="F14357" i="1"/>
  <c r="G14357" i="1"/>
  <c r="H14357" i="1"/>
  <c r="A14358" i="1"/>
  <c r="B14358" i="1"/>
  <c r="C14358" i="1"/>
  <c r="D14358" i="1"/>
  <c r="E14358" i="1"/>
  <c r="F14358" i="1"/>
  <c r="G14358" i="1"/>
  <c r="H14358" i="1"/>
  <c r="A14359" i="1"/>
  <c r="B14359" i="1"/>
  <c r="C14359" i="1"/>
  <c r="D14359" i="1"/>
  <c r="E14359" i="1"/>
  <c r="F14359" i="1"/>
  <c r="G14359" i="1"/>
  <c r="H14359" i="1"/>
  <c r="A14360" i="1"/>
  <c r="B14360" i="1"/>
  <c r="C14360" i="1"/>
  <c r="D14360" i="1"/>
  <c r="E14360" i="1"/>
  <c r="F14360" i="1"/>
  <c r="G14360" i="1"/>
  <c r="H14360" i="1"/>
  <c r="A14361" i="1"/>
  <c r="B14361" i="1"/>
  <c r="C14361" i="1"/>
  <c r="D14361" i="1"/>
  <c r="E14361" i="1"/>
  <c r="F14361" i="1"/>
  <c r="G14361" i="1"/>
  <c r="H14361" i="1"/>
  <c r="A14362" i="1"/>
  <c r="B14362" i="1"/>
  <c r="C14362" i="1"/>
  <c r="D14362" i="1"/>
  <c r="E14362" i="1"/>
  <c r="F14362" i="1"/>
  <c r="G14362" i="1"/>
  <c r="H14362" i="1"/>
  <c r="A14363" i="1"/>
  <c r="B14363" i="1"/>
  <c r="C14363" i="1"/>
  <c r="D14363" i="1"/>
  <c r="E14363" i="1"/>
  <c r="F14363" i="1"/>
  <c r="G14363" i="1"/>
  <c r="H14363" i="1"/>
  <c r="A14364" i="1"/>
  <c r="B14364" i="1"/>
  <c r="C14364" i="1"/>
  <c r="D14364" i="1"/>
  <c r="E14364" i="1"/>
  <c r="F14364" i="1"/>
  <c r="G14364" i="1"/>
  <c r="H14364" i="1"/>
  <c r="A14365" i="1"/>
  <c r="B14365" i="1"/>
  <c r="C14365" i="1"/>
  <c r="D14365" i="1"/>
  <c r="E14365" i="1"/>
  <c r="F14365" i="1"/>
  <c r="G14365" i="1"/>
  <c r="H14365" i="1"/>
  <c r="A14366" i="1"/>
  <c r="B14366" i="1"/>
  <c r="C14366" i="1"/>
  <c r="D14366" i="1"/>
  <c r="E14366" i="1"/>
  <c r="F14366" i="1"/>
  <c r="G14366" i="1"/>
  <c r="H14366" i="1"/>
  <c r="A14367" i="1"/>
  <c r="B14367" i="1"/>
  <c r="C14367" i="1"/>
  <c r="D14367" i="1"/>
  <c r="E14367" i="1"/>
  <c r="F14367" i="1"/>
  <c r="G14367" i="1"/>
  <c r="H14367" i="1"/>
  <c r="A14368" i="1"/>
  <c r="B14368" i="1"/>
  <c r="C14368" i="1"/>
  <c r="D14368" i="1"/>
  <c r="E14368" i="1"/>
  <c r="F14368" i="1"/>
  <c r="G14368" i="1"/>
  <c r="H14368" i="1"/>
  <c r="A14369" i="1"/>
  <c r="B14369" i="1"/>
  <c r="C14369" i="1"/>
  <c r="D14369" i="1"/>
  <c r="E14369" i="1"/>
  <c r="F14369" i="1"/>
  <c r="G14369" i="1"/>
  <c r="H14369" i="1"/>
  <c r="A14370" i="1"/>
  <c r="B14370" i="1"/>
  <c r="C14370" i="1"/>
  <c r="D14370" i="1"/>
  <c r="E14370" i="1"/>
  <c r="F14370" i="1"/>
  <c r="G14370" i="1"/>
  <c r="H14370" i="1"/>
  <c r="A14371" i="1"/>
  <c r="B14371" i="1"/>
  <c r="C14371" i="1"/>
  <c r="D14371" i="1"/>
  <c r="E14371" i="1"/>
  <c r="F14371" i="1"/>
  <c r="G14371" i="1"/>
  <c r="H14371" i="1"/>
  <c r="A14372" i="1"/>
  <c r="B14372" i="1"/>
  <c r="C14372" i="1"/>
  <c r="D14372" i="1"/>
  <c r="E14372" i="1"/>
  <c r="F14372" i="1"/>
  <c r="G14372" i="1"/>
  <c r="H14372" i="1"/>
  <c r="A14373" i="1"/>
  <c r="B14373" i="1"/>
  <c r="C14373" i="1"/>
  <c r="D14373" i="1"/>
  <c r="E14373" i="1"/>
  <c r="F14373" i="1"/>
  <c r="G14373" i="1"/>
  <c r="H14373" i="1"/>
  <c r="A14374" i="1"/>
  <c r="B14374" i="1"/>
  <c r="C14374" i="1"/>
  <c r="D14374" i="1"/>
  <c r="E14374" i="1"/>
  <c r="F14374" i="1"/>
  <c r="G14374" i="1"/>
  <c r="H14374" i="1"/>
  <c r="A14375" i="1"/>
  <c r="B14375" i="1"/>
  <c r="C14375" i="1"/>
  <c r="D14375" i="1"/>
  <c r="E14375" i="1"/>
  <c r="F14375" i="1"/>
  <c r="G14375" i="1"/>
  <c r="H14375" i="1"/>
  <c r="A14376" i="1"/>
  <c r="B14376" i="1"/>
  <c r="C14376" i="1"/>
  <c r="D14376" i="1"/>
  <c r="E14376" i="1"/>
  <c r="F14376" i="1"/>
  <c r="G14376" i="1"/>
  <c r="H14376" i="1"/>
  <c r="A14377" i="1"/>
  <c r="B14377" i="1"/>
  <c r="C14377" i="1"/>
  <c r="D14377" i="1"/>
  <c r="E14377" i="1"/>
  <c r="F14377" i="1"/>
  <c r="G14377" i="1"/>
  <c r="H14377" i="1"/>
  <c r="A14378" i="1"/>
  <c r="B14378" i="1"/>
  <c r="C14378" i="1"/>
  <c r="D14378" i="1"/>
  <c r="E14378" i="1"/>
  <c r="F14378" i="1"/>
  <c r="G14378" i="1"/>
  <c r="H14378" i="1"/>
  <c r="A14379" i="1"/>
  <c r="B14379" i="1"/>
  <c r="C14379" i="1"/>
  <c r="D14379" i="1"/>
  <c r="E14379" i="1"/>
  <c r="F14379" i="1"/>
  <c r="G14379" i="1"/>
  <c r="H14379" i="1"/>
  <c r="A14380" i="1"/>
  <c r="B14380" i="1"/>
  <c r="C14380" i="1"/>
  <c r="D14380" i="1"/>
  <c r="E14380" i="1"/>
  <c r="F14380" i="1"/>
  <c r="G14380" i="1"/>
  <c r="H14380" i="1"/>
  <c r="A14381" i="1"/>
  <c r="B14381" i="1"/>
  <c r="C14381" i="1"/>
  <c r="D14381" i="1"/>
  <c r="E14381" i="1"/>
  <c r="F14381" i="1"/>
  <c r="G14381" i="1"/>
  <c r="H14381" i="1"/>
  <c r="A14382" i="1"/>
  <c r="B14382" i="1"/>
  <c r="C14382" i="1"/>
  <c r="D14382" i="1"/>
  <c r="E14382" i="1"/>
  <c r="F14382" i="1"/>
  <c r="G14382" i="1"/>
  <c r="H14382" i="1"/>
  <c r="A14383" i="1"/>
  <c r="B14383" i="1"/>
  <c r="C14383" i="1"/>
  <c r="D14383" i="1"/>
  <c r="E14383" i="1"/>
  <c r="F14383" i="1"/>
  <c r="G14383" i="1"/>
  <c r="H14383" i="1"/>
  <c r="A14384" i="1"/>
  <c r="B14384" i="1"/>
  <c r="C14384" i="1"/>
  <c r="D14384" i="1"/>
  <c r="E14384" i="1"/>
  <c r="F14384" i="1"/>
  <c r="G14384" i="1"/>
  <c r="H14384" i="1"/>
  <c r="A14385" i="1"/>
  <c r="B14385" i="1"/>
  <c r="C14385" i="1"/>
  <c r="D14385" i="1"/>
  <c r="E14385" i="1"/>
  <c r="F14385" i="1"/>
  <c r="G14385" i="1"/>
  <c r="H14385" i="1"/>
  <c r="A14386" i="1"/>
  <c r="B14386" i="1"/>
  <c r="C14386" i="1"/>
  <c r="D14386" i="1"/>
  <c r="E14386" i="1"/>
  <c r="F14386" i="1"/>
  <c r="G14386" i="1"/>
  <c r="H14386" i="1"/>
  <c r="A14387" i="1"/>
  <c r="B14387" i="1"/>
  <c r="C14387" i="1"/>
  <c r="D14387" i="1"/>
  <c r="E14387" i="1"/>
  <c r="F14387" i="1"/>
  <c r="G14387" i="1"/>
  <c r="H14387" i="1"/>
  <c r="A14388" i="1"/>
  <c r="B14388" i="1"/>
  <c r="C14388" i="1"/>
  <c r="D14388" i="1"/>
  <c r="E14388" i="1"/>
  <c r="F14388" i="1"/>
  <c r="G14388" i="1"/>
  <c r="H14388" i="1"/>
  <c r="A14389" i="1"/>
  <c r="B14389" i="1"/>
  <c r="C14389" i="1"/>
  <c r="D14389" i="1"/>
  <c r="E14389" i="1"/>
  <c r="F14389" i="1"/>
  <c r="G14389" i="1"/>
  <c r="H14389" i="1"/>
  <c r="A14390" i="1"/>
  <c r="B14390" i="1"/>
  <c r="C14390" i="1"/>
  <c r="D14390" i="1"/>
  <c r="E14390" i="1"/>
  <c r="F14390" i="1"/>
  <c r="G14390" i="1"/>
  <c r="H14390" i="1"/>
  <c r="A14391" i="1"/>
  <c r="B14391" i="1"/>
  <c r="C14391" i="1"/>
  <c r="D14391" i="1"/>
  <c r="E14391" i="1"/>
  <c r="F14391" i="1"/>
  <c r="G14391" i="1"/>
  <c r="H14391" i="1"/>
  <c r="A14392" i="1"/>
  <c r="B14392" i="1"/>
  <c r="C14392" i="1"/>
  <c r="D14392" i="1"/>
  <c r="E14392" i="1"/>
  <c r="F14392" i="1"/>
  <c r="G14392" i="1"/>
  <c r="H14392" i="1"/>
  <c r="A14393" i="1"/>
  <c r="B14393" i="1"/>
  <c r="C14393" i="1"/>
  <c r="D14393" i="1"/>
  <c r="E14393" i="1"/>
  <c r="F14393" i="1"/>
  <c r="G14393" i="1"/>
  <c r="H14393" i="1"/>
  <c r="A14394" i="1"/>
  <c r="B14394" i="1"/>
  <c r="C14394" i="1"/>
  <c r="D14394" i="1"/>
  <c r="E14394" i="1"/>
  <c r="F14394" i="1"/>
  <c r="G14394" i="1"/>
  <c r="H14394" i="1"/>
  <c r="A14395" i="1"/>
  <c r="B14395" i="1"/>
  <c r="C14395" i="1"/>
  <c r="D14395" i="1"/>
  <c r="E14395" i="1"/>
  <c r="F14395" i="1"/>
  <c r="G14395" i="1"/>
  <c r="H14395" i="1"/>
  <c r="A14396" i="1"/>
  <c r="B14396" i="1"/>
  <c r="C14396" i="1"/>
  <c r="D14396" i="1"/>
  <c r="E14396" i="1"/>
  <c r="F14396" i="1"/>
  <c r="G14396" i="1"/>
  <c r="H14396" i="1"/>
  <c r="A14397" i="1"/>
  <c r="B14397" i="1"/>
  <c r="C14397" i="1"/>
  <c r="D14397" i="1"/>
  <c r="E14397" i="1"/>
  <c r="F14397" i="1"/>
  <c r="G14397" i="1"/>
  <c r="H14397" i="1"/>
  <c r="A14398" i="1"/>
  <c r="B14398" i="1"/>
  <c r="C14398" i="1"/>
  <c r="D14398" i="1"/>
  <c r="E14398" i="1"/>
  <c r="F14398" i="1"/>
  <c r="G14398" i="1"/>
  <c r="H14398" i="1"/>
  <c r="A14399" i="1"/>
  <c r="B14399" i="1"/>
  <c r="C14399" i="1"/>
  <c r="D14399" i="1"/>
  <c r="E14399" i="1"/>
  <c r="F14399" i="1"/>
  <c r="G14399" i="1"/>
  <c r="H14399" i="1"/>
  <c r="A14400" i="1"/>
  <c r="B14400" i="1"/>
  <c r="C14400" i="1"/>
  <c r="D14400" i="1"/>
  <c r="E14400" i="1"/>
  <c r="F14400" i="1"/>
  <c r="G14400" i="1"/>
  <c r="H14400" i="1"/>
  <c r="A14401" i="1"/>
  <c r="B14401" i="1"/>
  <c r="C14401" i="1"/>
  <c r="D14401" i="1"/>
  <c r="E14401" i="1"/>
  <c r="F14401" i="1"/>
  <c r="G14401" i="1"/>
  <c r="H14401" i="1"/>
  <c r="A14402" i="1"/>
  <c r="B14402" i="1"/>
  <c r="C14402" i="1"/>
  <c r="D14402" i="1"/>
  <c r="E14402" i="1"/>
  <c r="F14402" i="1"/>
  <c r="G14402" i="1"/>
  <c r="H14402" i="1"/>
  <c r="A14403" i="1"/>
  <c r="B14403" i="1"/>
  <c r="C14403" i="1"/>
  <c r="D14403" i="1"/>
  <c r="E14403" i="1"/>
  <c r="F14403" i="1"/>
  <c r="G14403" i="1"/>
  <c r="H14403" i="1"/>
  <c r="A14404" i="1"/>
  <c r="B14404" i="1"/>
  <c r="C14404" i="1"/>
  <c r="D14404" i="1"/>
  <c r="E14404" i="1"/>
  <c r="F14404" i="1"/>
  <c r="G14404" i="1"/>
  <c r="H14404" i="1"/>
  <c r="A14405" i="1"/>
  <c r="B14405" i="1"/>
  <c r="C14405" i="1"/>
  <c r="D14405" i="1"/>
  <c r="E14405" i="1"/>
  <c r="F14405" i="1"/>
  <c r="G14405" i="1"/>
  <c r="H14405" i="1"/>
  <c r="A14406" i="1"/>
  <c r="B14406" i="1"/>
  <c r="C14406" i="1"/>
  <c r="D14406" i="1"/>
  <c r="E14406" i="1"/>
  <c r="F14406" i="1"/>
  <c r="G14406" i="1"/>
  <c r="H14406" i="1"/>
  <c r="A14407" i="1"/>
  <c r="B14407" i="1"/>
  <c r="C14407" i="1"/>
  <c r="D14407" i="1"/>
  <c r="E14407" i="1"/>
  <c r="F14407" i="1"/>
  <c r="G14407" i="1"/>
  <c r="H14407" i="1"/>
  <c r="A14408" i="1"/>
  <c r="B14408" i="1"/>
  <c r="C14408" i="1"/>
  <c r="D14408" i="1"/>
  <c r="E14408" i="1"/>
  <c r="F14408" i="1"/>
  <c r="G14408" i="1"/>
  <c r="H14408" i="1"/>
  <c r="A14409" i="1"/>
  <c r="B14409" i="1"/>
  <c r="C14409" i="1"/>
  <c r="D14409" i="1"/>
  <c r="E14409" i="1"/>
  <c r="F14409" i="1"/>
  <c r="G14409" i="1"/>
  <c r="H14409" i="1"/>
  <c r="A14410" i="1"/>
  <c r="B14410" i="1"/>
  <c r="C14410" i="1"/>
  <c r="D14410" i="1"/>
  <c r="E14410" i="1"/>
  <c r="F14410" i="1"/>
  <c r="G14410" i="1"/>
  <c r="H14410" i="1"/>
  <c r="A14411" i="1"/>
  <c r="B14411" i="1"/>
  <c r="C14411" i="1"/>
  <c r="D14411" i="1"/>
  <c r="E14411" i="1"/>
  <c r="F14411" i="1"/>
  <c r="G14411" i="1"/>
  <c r="H14411" i="1"/>
  <c r="A14412" i="1"/>
  <c r="B14412" i="1"/>
  <c r="C14412" i="1"/>
  <c r="D14412" i="1"/>
  <c r="E14412" i="1"/>
  <c r="F14412" i="1"/>
  <c r="G14412" i="1"/>
  <c r="H14412" i="1"/>
  <c r="A14413" i="1"/>
  <c r="B14413" i="1"/>
  <c r="C14413" i="1"/>
  <c r="D14413" i="1"/>
  <c r="E14413" i="1"/>
  <c r="F14413" i="1"/>
  <c r="G14413" i="1"/>
  <c r="H14413" i="1"/>
  <c r="A14414" i="1"/>
  <c r="B14414" i="1"/>
  <c r="C14414" i="1"/>
  <c r="D14414" i="1"/>
  <c r="E14414" i="1"/>
  <c r="F14414" i="1"/>
  <c r="G14414" i="1"/>
  <c r="H14414" i="1"/>
  <c r="A14415" i="1"/>
  <c r="B14415" i="1"/>
  <c r="C14415" i="1"/>
  <c r="D14415" i="1"/>
  <c r="E14415" i="1"/>
  <c r="F14415" i="1"/>
  <c r="G14415" i="1"/>
  <c r="H14415" i="1"/>
  <c r="A14416" i="1"/>
  <c r="B14416" i="1"/>
  <c r="C14416" i="1"/>
  <c r="D14416" i="1"/>
  <c r="E14416" i="1"/>
  <c r="F14416" i="1"/>
  <c r="G14416" i="1"/>
  <c r="H14416" i="1"/>
  <c r="A14417" i="1"/>
  <c r="B14417" i="1"/>
  <c r="C14417" i="1"/>
  <c r="D14417" i="1"/>
  <c r="E14417" i="1"/>
  <c r="F14417" i="1"/>
  <c r="G14417" i="1"/>
  <c r="H14417" i="1"/>
  <c r="A14418" i="1"/>
  <c r="B14418" i="1"/>
  <c r="C14418" i="1"/>
  <c r="D14418" i="1"/>
  <c r="E14418" i="1"/>
  <c r="F14418" i="1"/>
  <c r="G14418" i="1"/>
  <c r="H14418" i="1"/>
  <c r="A14419" i="1"/>
  <c r="B14419" i="1"/>
  <c r="C14419" i="1"/>
  <c r="D14419" i="1"/>
  <c r="E14419" i="1"/>
  <c r="F14419" i="1"/>
  <c r="G14419" i="1"/>
  <c r="H14419" i="1"/>
  <c r="A14420" i="1"/>
  <c r="B14420" i="1"/>
  <c r="C14420" i="1"/>
  <c r="D14420" i="1"/>
  <c r="E14420" i="1"/>
  <c r="F14420" i="1"/>
  <c r="G14420" i="1"/>
  <c r="H14420" i="1"/>
  <c r="A14421" i="1"/>
  <c r="B14421" i="1"/>
  <c r="C14421" i="1"/>
  <c r="D14421" i="1"/>
  <c r="E14421" i="1"/>
  <c r="F14421" i="1"/>
  <c r="G14421" i="1"/>
  <c r="H14421" i="1"/>
  <c r="A14422" i="1"/>
  <c r="B14422" i="1"/>
  <c r="C14422" i="1"/>
  <c r="D14422" i="1"/>
  <c r="E14422" i="1"/>
  <c r="F14422" i="1"/>
  <c r="G14422" i="1"/>
  <c r="H14422" i="1"/>
  <c r="A14423" i="1"/>
  <c r="B14423" i="1"/>
  <c r="C14423" i="1"/>
  <c r="D14423" i="1"/>
  <c r="E14423" i="1"/>
  <c r="F14423" i="1"/>
  <c r="G14423" i="1"/>
  <c r="H14423" i="1"/>
  <c r="A14424" i="1"/>
  <c r="B14424" i="1"/>
  <c r="C14424" i="1"/>
  <c r="D14424" i="1"/>
  <c r="E14424" i="1"/>
  <c r="F14424" i="1"/>
  <c r="G14424" i="1"/>
  <c r="H14424" i="1"/>
  <c r="A14425" i="1"/>
  <c r="B14425" i="1"/>
  <c r="C14425" i="1"/>
  <c r="D14425" i="1"/>
  <c r="E14425" i="1"/>
  <c r="F14425" i="1"/>
  <c r="G14425" i="1"/>
  <c r="H14425" i="1"/>
  <c r="A14426" i="1"/>
  <c r="B14426" i="1"/>
  <c r="C14426" i="1"/>
  <c r="D14426" i="1"/>
  <c r="E14426" i="1"/>
  <c r="F14426" i="1"/>
  <c r="G14426" i="1"/>
  <c r="H14426" i="1"/>
  <c r="A14427" i="1"/>
  <c r="B14427" i="1"/>
  <c r="C14427" i="1"/>
  <c r="D14427" i="1"/>
  <c r="E14427" i="1"/>
  <c r="F14427" i="1"/>
  <c r="G14427" i="1"/>
  <c r="H14427" i="1"/>
  <c r="A14428" i="1"/>
  <c r="B14428" i="1"/>
  <c r="C14428" i="1"/>
  <c r="D14428" i="1"/>
  <c r="E14428" i="1"/>
  <c r="F14428" i="1"/>
  <c r="G14428" i="1"/>
  <c r="H14428" i="1"/>
  <c r="A14429" i="1"/>
  <c r="B14429" i="1"/>
  <c r="C14429" i="1"/>
  <c r="D14429" i="1"/>
  <c r="E14429" i="1"/>
  <c r="F14429" i="1"/>
  <c r="G14429" i="1"/>
  <c r="H14429" i="1"/>
  <c r="A14430" i="1"/>
  <c r="B14430" i="1"/>
  <c r="C14430" i="1"/>
  <c r="D14430" i="1"/>
  <c r="E14430" i="1"/>
  <c r="F14430" i="1"/>
  <c r="G14430" i="1"/>
  <c r="H14430" i="1"/>
  <c r="A14431" i="1"/>
  <c r="B14431" i="1"/>
  <c r="C14431" i="1"/>
  <c r="D14431" i="1"/>
  <c r="E14431" i="1"/>
  <c r="F14431" i="1"/>
  <c r="G14431" i="1"/>
  <c r="H14431" i="1"/>
  <c r="A14432" i="1"/>
  <c r="B14432" i="1"/>
  <c r="C14432" i="1"/>
  <c r="D14432" i="1"/>
  <c r="E14432" i="1"/>
  <c r="F14432" i="1"/>
  <c r="G14432" i="1"/>
  <c r="H14432" i="1"/>
  <c r="A14433" i="1"/>
  <c r="B14433" i="1"/>
  <c r="C14433" i="1"/>
  <c r="D14433" i="1"/>
  <c r="E14433" i="1"/>
  <c r="F14433" i="1"/>
  <c r="G14433" i="1"/>
  <c r="H14433" i="1"/>
  <c r="A14434" i="1"/>
  <c r="B14434" i="1"/>
  <c r="C14434" i="1"/>
  <c r="D14434" i="1"/>
  <c r="E14434" i="1"/>
  <c r="F14434" i="1"/>
  <c r="G14434" i="1"/>
  <c r="H14434" i="1"/>
  <c r="A14435" i="1"/>
  <c r="B14435" i="1"/>
  <c r="C14435" i="1"/>
  <c r="D14435" i="1"/>
  <c r="E14435" i="1"/>
  <c r="F14435" i="1"/>
  <c r="G14435" i="1"/>
  <c r="H14435" i="1"/>
  <c r="A14436" i="1"/>
  <c r="B14436" i="1"/>
  <c r="C14436" i="1"/>
  <c r="D14436" i="1"/>
  <c r="E14436" i="1"/>
  <c r="F14436" i="1"/>
  <c r="G14436" i="1"/>
  <c r="H14436" i="1"/>
  <c r="A14437" i="1"/>
  <c r="B14437" i="1"/>
  <c r="C14437" i="1"/>
  <c r="D14437" i="1"/>
  <c r="E14437" i="1"/>
  <c r="F14437" i="1"/>
  <c r="G14437" i="1"/>
  <c r="H14437" i="1"/>
  <c r="A14438" i="1"/>
  <c r="B14438" i="1"/>
  <c r="C14438" i="1"/>
  <c r="D14438" i="1"/>
  <c r="E14438" i="1"/>
  <c r="F14438" i="1"/>
  <c r="G14438" i="1"/>
  <c r="H14438" i="1"/>
  <c r="A14439" i="1"/>
  <c r="B14439" i="1"/>
  <c r="C14439" i="1"/>
  <c r="D14439" i="1"/>
  <c r="E14439" i="1"/>
  <c r="F14439" i="1"/>
  <c r="G14439" i="1"/>
  <c r="H14439" i="1"/>
  <c r="A14440" i="1"/>
  <c r="B14440" i="1"/>
  <c r="C14440" i="1"/>
  <c r="D14440" i="1"/>
  <c r="E14440" i="1"/>
  <c r="F14440" i="1"/>
  <c r="G14440" i="1"/>
  <c r="H14440" i="1"/>
  <c r="A14441" i="1"/>
  <c r="B14441" i="1"/>
  <c r="C14441" i="1"/>
  <c r="D14441" i="1"/>
  <c r="E14441" i="1"/>
  <c r="F14441" i="1"/>
  <c r="G14441" i="1"/>
  <c r="H14441" i="1"/>
  <c r="A14442" i="1"/>
  <c r="B14442" i="1"/>
  <c r="C14442" i="1"/>
  <c r="D14442" i="1"/>
  <c r="E14442" i="1"/>
  <c r="F14442" i="1"/>
  <c r="G14442" i="1"/>
  <c r="H14442" i="1"/>
  <c r="A14443" i="1"/>
  <c r="B14443" i="1"/>
  <c r="C14443" i="1"/>
  <c r="D14443" i="1"/>
  <c r="E14443" i="1"/>
  <c r="F14443" i="1"/>
  <c r="G14443" i="1"/>
  <c r="H14443" i="1"/>
  <c r="A14444" i="1"/>
  <c r="B14444" i="1"/>
  <c r="C14444" i="1"/>
  <c r="D14444" i="1"/>
  <c r="E14444" i="1"/>
  <c r="F14444" i="1"/>
  <c r="G14444" i="1"/>
  <c r="H14444" i="1"/>
  <c r="A14445" i="1"/>
  <c r="B14445" i="1"/>
  <c r="C14445" i="1"/>
  <c r="D14445" i="1"/>
  <c r="E14445" i="1"/>
  <c r="F14445" i="1"/>
  <c r="G14445" i="1"/>
  <c r="H14445" i="1"/>
  <c r="A14446" i="1"/>
  <c r="B14446" i="1"/>
  <c r="C14446" i="1"/>
  <c r="D14446" i="1"/>
  <c r="E14446" i="1"/>
  <c r="F14446" i="1"/>
  <c r="G14446" i="1"/>
  <c r="H14446" i="1"/>
  <c r="A14447" i="1"/>
  <c r="B14447" i="1"/>
  <c r="C14447" i="1"/>
  <c r="D14447" i="1"/>
  <c r="E14447" i="1"/>
  <c r="F14447" i="1"/>
  <c r="G14447" i="1"/>
  <c r="H14447" i="1"/>
  <c r="A14448" i="1"/>
  <c r="B14448" i="1"/>
  <c r="C14448" i="1"/>
  <c r="D14448" i="1"/>
  <c r="E14448" i="1"/>
  <c r="F14448" i="1"/>
  <c r="G14448" i="1"/>
  <c r="H14448" i="1"/>
  <c r="A14449" i="1"/>
  <c r="B14449" i="1"/>
  <c r="C14449" i="1"/>
  <c r="D14449" i="1"/>
  <c r="E14449" i="1"/>
  <c r="F14449" i="1"/>
  <c r="G14449" i="1"/>
  <c r="H14449" i="1"/>
  <c r="A14450" i="1"/>
  <c r="B14450" i="1"/>
  <c r="C14450" i="1"/>
  <c r="D14450" i="1"/>
  <c r="E14450" i="1"/>
  <c r="F14450" i="1"/>
  <c r="G14450" i="1"/>
  <c r="H14450" i="1"/>
  <c r="A14451" i="1"/>
  <c r="B14451" i="1"/>
  <c r="C14451" i="1"/>
  <c r="D14451" i="1"/>
  <c r="E14451" i="1"/>
  <c r="F14451" i="1"/>
  <c r="G14451" i="1"/>
  <c r="H14451" i="1"/>
  <c r="A14452" i="1"/>
  <c r="B14452" i="1"/>
  <c r="C14452" i="1"/>
  <c r="D14452" i="1"/>
  <c r="E14452" i="1"/>
  <c r="F14452" i="1"/>
  <c r="G14452" i="1"/>
  <c r="H14452" i="1"/>
  <c r="A14453" i="1"/>
  <c r="B14453" i="1"/>
  <c r="C14453" i="1"/>
  <c r="D14453" i="1"/>
  <c r="E14453" i="1"/>
  <c r="F14453" i="1"/>
  <c r="G14453" i="1"/>
  <c r="H14453" i="1"/>
  <c r="A14454" i="1"/>
  <c r="B14454" i="1"/>
  <c r="C14454" i="1"/>
  <c r="D14454" i="1"/>
  <c r="E14454" i="1"/>
  <c r="F14454" i="1"/>
  <c r="G14454" i="1"/>
  <c r="H14454" i="1"/>
  <c r="A14455" i="1"/>
  <c r="B14455" i="1"/>
  <c r="C14455" i="1"/>
  <c r="D14455" i="1"/>
  <c r="E14455" i="1"/>
  <c r="F14455" i="1"/>
  <c r="G14455" i="1"/>
  <c r="H14455" i="1"/>
  <c r="A14456" i="1"/>
  <c r="B14456" i="1"/>
  <c r="C14456" i="1"/>
  <c r="D14456" i="1"/>
  <c r="E14456" i="1"/>
  <c r="F14456" i="1"/>
  <c r="G14456" i="1"/>
  <c r="H14456" i="1"/>
  <c r="A14457" i="1"/>
  <c r="B14457" i="1"/>
  <c r="C14457" i="1"/>
  <c r="D14457" i="1"/>
  <c r="E14457" i="1"/>
  <c r="F14457" i="1"/>
  <c r="G14457" i="1"/>
  <c r="H14457" i="1"/>
  <c r="A14458" i="1"/>
  <c r="B14458" i="1"/>
  <c r="C14458" i="1"/>
  <c r="D14458" i="1"/>
  <c r="E14458" i="1"/>
  <c r="F14458" i="1"/>
  <c r="G14458" i="1"/>
  <c r="H14458" i="1"/>
  <c r="A14459" i="1"/>
  <c r="B14459" i="1"/>
  <c r="C14459" i="1"/>
  <c r="D14459" i="1"/>
  <c r="E14459" i="1"/>
  <c r="F14459" i="1"/>
  <c r="G14459" i="1"/>
  <c r="H14459" i="1"/>
  <c r="A14460" i="1"/>
  <c r="B14460" i="1"/>
  <c r="C14460" i="1"/>
  <c r="D14460" i="1"/>
  <c r="E14460" i="1"/>
  <c r="F14460" i="1"/>
  <c r="G14460" i="1"/>
  <c r="H14460" i="1"/>
  <c r="A14461" i="1"/>
  <c r="B14461" i="1"/>
  <c r="C14461" i="1"/>
  <c r="D14461" i="1"/>
  <c r="E14461" i="1"/>
  <c r="F14461" i="1"/>
  <c r="G14461" i="1"/>
  <c r="H14461" i="1"/>
  <c r="A14462" i="1"/>
  <c r="B14462" i="1"/>
  <c r="C14462" i="1"/>
  <c r="D14462" i="1"/>
  <c r="E14462" i="1"/>
  <c r="F14462" i="1"/>
  <c r="G14462" i="1"/>
  <c r="H14462" i="1"/>
  <c r="A14463" i="1"/>
  <c r="B14463" i="1"/>
  <c r="C14463" i="1"/>
  <c r="D14463" i="1"/>
  <c r="E14463" i="1"/>
  <c r="F14463" i="1"/>
  <c r="G14463" i="1"/>
  <c r="H14463" i="1"/>
  <c r="A14464" i="1"/>
  <c r="B14464" i="1"/>
  <c r="C14464" i="1"/>
  <c r="D14464" i="1"/>
  <c r="E14464" i="1"/>
  <c r="F14464" i="1"/>
  <c r="G14464" i="1"/>
  <c r="H14464" i="1"/>
  <c r="A14465" i="1"/>
  <c r="B14465" i="1"/>
  <c r="C14465" i="1"/>
  <c r="D14465" i="1"/>
  <c r="E14465" i="1"/>
  <c r="F14465" i="1"/>
  <c r="G14465" i="1"/>
  <c r="H14465" i="1"/>
  <c r="A14466" i="1"/>
  <c r="B14466" i="1"/>
  <c r="C14466" i="1"/>
  <c r="D14466" i="1"/>
  <c r="E14466" i="1"/>
  <c r="F14466" i="1"/>
  <c r="G14466" i="1"/>
  <c r="H14466" i="1"/>
  <c r="A14467" i="1"/>
  <c r="B14467" i="1"/>
  <c r="C14467" i="1"/>
  <c r="D14467" i="1"/>
  <c r="E14467" i="1"/>
  <c r="F14467" i="1"/>
  <c r="G14467" i="1"/>
  <c r="H14467" i="1"/>
  <c r="A14468" i="1"/>
  <c r="B14468" i="1"/>
  <c r="C14468" i="1"/>
  <c r="D14468" i="1"/>
  <c r="E14468" i="1"/>
  <c r="F14468" i="1"/>
  <c r="G14468" i="1"/>
  <c r="H14468" i="1"/>
  <c r="A14469" i="1"/>
  <c r="B14469" i="1"/>
  <c r="C14469" i="1"/>
  <c r="D14469" i="1"/>
  <c r="E14469" i="1"/>
  <c r="F14469" i="1"/>
  <c r="G14469" i="1"/>
  <c r="H14469" i="1"/>
  <c r="A14470" i="1"/>
  <c r="B14470" i="1"/>
  <c r="C14470" i="1"/>
  <c r="D14470" i="1"/>
  <c r="E14470" i="1"/>
  <c r="F14470" i="1"/>
  <c r="G14470" i="1"/>
  <c r="H14470" i="1"/>
  <c r="A14471" i="1"/>
  <c r="B14471" i="1"/>
  <c r="C14471" i="1"/>
  <c r="D14471" i="1"/>
  <c r="E14471" i="1"/>
  <c r="F14471" i="1"/>
  <c r="G14471" i="1"/>
  <c r="H14471" i="1"/>
  <c r="A14472" i="1"/>
  <c r="B14472" i="1"/>
  <c r="C14472" i="1"/>
  <c r="D14472" i="1"/>
  <c r="E14472" i="1"/>
  <c r="F14472" i="1"/>
  <c r="G14472" i="1"/>
  <c r="H14472" i="1"/>
  <c r="A14473" i="1"/>
  <c r="B14473" i="1"/>
  <c r="C14473" i="1"/>
  <c r="D14473" i="1"/>
  <c r="E14473" i="1"/>
  <c r="F14473" i="1"/>
  <c r="G14473" i="1"/>
  <c r="H14473" i="1"/>
  <c r="A14474" i="1"/>
  <c r="B14474" i="1"/>
  <c r="C14474" i="1"/>
  <c r="D14474" i="1"/>
  <c r="E14474" i="1"/>
  <c r="F14474" i="1"/>
  <c r="G14474" i="1"/>
  <c r="H14474" i="1"/>
  <c r="A14475" i="1"/>
  <c r="B14475" i="1"/>
  <c r="C14475" i="1"/>
  <c r="D14475" i="1"/>
  <c r="E14475" i="1"/>
  <c r="F14475" i="1"/>
  <c r="G14475" i="1"/>
  <c r="H14475" i="1"/>
  <c r="A14476" i="1"/>
  <c r="B14476" i="1"/>
  <c r="C14476" i="1"/>
  <c r="D14476" i="1"/>
  <c r="E14476" i="1"/>
  <c r="F14476" i="1"/>
  <c r="G14476" i="1"/>
  <c r="H14476" i="1"/>
  <c r="A14477" i="1"/>
  <c r="B14477" i="1"/>
  <c r="C14477" i="1"/>
  <c r="D14477" i="1"/>
  <c r="E14477" i="1"/>
  <c r="F14477" i="1"/>
  <c r="G14477" i="1"/>
  <c r="H14477" i="1"/>
  <c r="A14478" i="1"/>
  <c r="B14478" i="1"/>
  <c r="C14478" i="1"/>
  <c r="D14478" i="1"/>
  <c r="E14478" i="1"/>
  <c r="F14478" i="1"/>
  <c r="G14478" i="1"/>
  <c r="H14478" i="1"/>
  <c r="A14479" i="1"/>
  <c r="B14479" i="1"/>
  <c r="C14479" i="1"/>
  <c r="D14479" i="1"/>
  <c r="E14479" i="1"/>
  <c r="F14479" i="1"/>
  <c r="G14479" i="1"/>
  <c r="H14479" i="1"/>
  <c r="A14480" i="1"/>
  <c r="B14480" i="1"/>
  <c r="C14480" i="1"/>
  <c r="D14480" i="1"/>
  <c r="E14480" i="1"/>
  <c r="F14480" i="1"/>
  <c r="G14480" i="1"/>
  <c r="H14480" i="1"/>
  <c r="A14481" i="1"/>
  <c r="B14481" i="1"/>
  <c r="C14481" i="1"/>
  <c r="D14481" i="1"/>
  <c r="E14481" i="1"/>
  <c r="F14481" i="1"/>
  <c r="G14481" i="1"/>
  <c r="H14481" i="1"/>
  <c r="A14482" i="1"/>
  <c r="B14482" i="1"/>
  <c r="C14482" i="1"/>
  <c r="D14482" i="1"/>
  <c r="E14482" i="1"/>
  <c r="F14482" i="1"/>
  <c r="G14482" i="1"/>
  <c r="H14482" i="1"/>
  <c r="A14483" i="1"/>
  <c r="B14483" i="1"/>
  <c r="C14483" i="1"/>
  <c r="D14483" i="1"/>
  <c r="E14483" i="1"/>
  <c r="F14483" i="1"/>
  <c r="G14483" i="1"/>
  <c r="H14483" i="1"/>
  <c r="A14484" i="1"/>
  <c r="B14484" i="1"/>
  <c r="C14484" i="1"/>
  <c r="D14484" i="1"/>
  <c r="E14484" i="1"/>
  <c r="F14484" i="1"/>
  <c r="G14484" i="1"/>
  <c r="H14484" i="1"/>
  <c r="A14485" i="1"/>
  <c r="B14485" i="1"/>
  <c r="C14485" i="1"/>
  <c r="D14485" i="1"/>
  <c r="E14485" i="1"/>
  <c r="F14485" i="1"/>
  <c r="G14485" i="1"/>
  <c r="H14485" i="1"/>
  <c r="A14486" i="1"/>
  <c r="B14486" i="1"/>
  <c r="C14486" i="1"/>
  <c r="D14486" i="1"/>
  <c r="E14486" i="1"/>
  <c r="F14486" i="1"/>
  <c r="G14486" i="1"/>
  <c r="H14486" i="1"/>
  <c r="A14487" i="1"/>
  <c r="B14487" i="1"/>
  <c r="C14487" i="1"/>
  <c r="D14487" i="1"/>
  <c r="E14487" i="1"/>
  <c r="F14487" i="1"/>
  <c r="G14487" i="1"/>
  <c r="H14487" i="1"/>
  <c r="A14488" i="1"/>
  <c r="B14488" i="1"/>
  <c r="C14488" i="1"/>
  <c r="D14488" i="1"/>
  <c r="E14488" i="1"/>
  <c r="F14488" i="1"/>
  <c r="G14488" i="1"/>
  <c r="H14488" i="1"/>
  <c r="A14489" i="1"/>
  <c r="B14489" i="1"/>
  <c r="C14489" i="1"/>
  <c r="D14489" i="1"/>
  <c r="E14489" i="1"/>
  <c r="F14489" i="1"/>
  <c r="G14489" i="1"/>
  <c r="H14489" i="1"/>
  <c r="A14490" i="1"/>
  <c r="B14490" i="1"/>
  <c r="C14490" i="1"/>
  <c r="D14490" i="1"/>
  <c r="E14490" i="1"/>
  <c r="F14490" i="1"/>
  <c r="G14490" i="1"/>
  <c r="H14490" i="1"/>
  <c r="A14491" i="1"/>
  <c r="B14491" i="1"/>
  <c r="C14491" i="1"/>
  <c r="D14491" i="1"/>
  <c r="E14491" i="1"/>
  <c r="F14491" i="1"/>
  <c r="G14491" i="1"/>
  <c r="H14491" i="1"/>
  <c r="A14492" i="1"/>
  <c r="B14492" i="1"/>
  <c r="C14492" i="1"/>
  <c r="D14492" i="1"/>
  <c r="E14492" i="1"/>
  <c r="F14492" i="1"/>
  <c r="G14492" i="1"/>
  <c r="H14492" i="1"/>
  <c r="A14493" i="1"/>
  <c r="B14493" i="1"/>
  <c r="C14493" i="1"/>
  <c r="D14493" i="1"/>
  <c r="E14493" i="1"/>
  <c r="F14493" i="1"/>
  <c r="G14493" i="1"/>
  <c r="H14493" i="1"/>
  <c r="A14494" i="1"/>
  <c r="B14494" i="1"/>
  <c r="C14494" i="1"/>
  <c r="D14494" i="1"/>
  <c r="E14494" i="1"/>
  <c r="F14494" i="1"/>
  <c r="G14494" i="1"/>
  <c r="H14494" i="1"/>
  <c r="A14495" i="1"/>
  <c r="B14495" i="1"/>
  <c r="C14495" i="1"/>
  <c r="D14495" i="1"/>
  <c r="E14495" i="1"/>
  <c r="F14495" i="1"/>
  <c r="G14495" i="1"/>
  <c r="H14495" i="1"/>
  <c r="A14496" i="1"/>
  <c r="B14496" i="1"/>
  <c r="C14496" i="1"/>
  <c r="D14496" i="1"/>
  <c r="E14496" i="1"/>
  <c r="F14496" i="1"/>
  <c r="G14496" i="1"/>
  <c r="H14496" i="1"/>
  <c r="A14497" i="1"/>
  <c r="B14497" i="1"/>
  <c r="C14497" i="1"/>
  <c r="D14497" i="1"/>
  <c r="E14497" i="1"/>
  <c r="F14497" i="1"/>
  <c r="G14497" i="1"/>
  <c r="H14497" i="1"/>
  <c r="A14498" i="1"/>
  <c r="B14498" i="1"/>
  <c r="C14498" i="1"/>
  <c r="D14498" i="1"/>
  <c r="E14498" i="1"/>
  <c r="F14498" i="1"/>
  <c r="G14498" i="1"/>
  <c r="H14498" i="1"/>
  <c r="A14499" i="1"/>
  <c r="B14499" i="1"/>
  <c r="C14499" i="1"/>
  <c r="D14499" i="1"/>
  <c r="E14499" i="1"/>
  <c r="F14499" i="1"/>
  <c r="G14499" i="1"/>
  <c r="H14499" i="1"/>
  <c r="A14500" i="1"/>
  <c r="B14500" i="1"/>
  <c r="C14500" i="1"/>
  <c r="D14500" i="1"/>
  <c r="E14500" i="1"/>
  <c r="F14500" i="1"/>
  <c r="G14500" i="1"/>
  <c r="H14500" i="1"/>
  <c r="A14501" i="1"/>
  <c r="B14501" i="1"/>
  <c r="C14501" i="1"/>
  <c r="D14501" i="1"/>
  <c r="E14501" i="1"/>
  <c r="F14501" i="1"/>
  <c r="G14501" i="1"/>
  <c r="H14501" i="1"/>
  <c r="A14502" i="1"/>
  <c r="B14502" i="1"/>
  <c r="C14502" i="1"/>
  <c r="D14502" i="1"/>
  <c r="E14502" i="1"/>
  <c r="F14502" i="1"/>
  <c r="G14502" i="1"/>
  <c r="H14502" i="1"/>
  <c r="A14503" i="1"/>
  <c r="B14503" i="1"/>
  <c r="C14503" i="1"/>
  <c r="D14503" i="1"/>
  <c r="E14503" i="1"/>
  <c r="F14503" i="1"/>
  <c r="G14503" i="1"/>
  <c r="H14503" i="1"/>
  <c r="A14504" i="1"/>
  <c r="B14504" i="1"/>
  <c r="C14504" i="1"/>
  <c r="D14504" i="1"/>
  <c r="E14504" i="1"/>
  <c r="F14504" i="1"/>
  <c r="G14504" i="1"/>
  <c r="H14504" i="1"/>
  <c r="A14505" i="1"/>
  <c r="B14505" i="1"/>
  <c r="C14505" i="1"/>
  <c r="D14505" i="1"/>
  <c r="E14505" i="1"/>
  <c r="F14505" i="1"/>
  <c r="G14505" i="1"/>
  <c r="H14505" i="1"/>
  <c r="A14506" i="1"/>
  <c r="B14506" i="1"/>
  <c r="C14506" i="1"/>
  <c r="D14506" i="1"/>
  <c r="E14506" i="1"/>
  <c r="F14506" i="1"/>
  <c r="G14506" i="1"/>
  <c r="H14506" i="1"/>
  <c r="A14507" i="1"/>
  <c r="B14507" i="1"/>
  <c r="C14507" i="1"/>
  <c r="D14507" i="1"/>
  <c r="E14507" i="1"/>
  <c r="F14507" i="1"/>
  <c r="G14507" i="1"/>
  <c r="H14507" i="1"/>
  <c r="A14508" i="1"/>
  <c r="B14508" i="1"/>
  <c r="C14508" i="1"/>
  <c r="D14508" i="1"/>
  <c r="E14508" i="1"/>
  <c r="F14508" i="1"/>
  <c r="G14508" i="1"/>
  <c r="H14508" i="1"/>
  <c r="A14509" i="1"/>
  <c r="B14509" i="1"/>
  <c r="C14509" i="1"/>
  <c r="D14509" i="1"/>
  <c r="E14509" i="1"/>
  <c r="F14509" i="1"/>
  <c r="G14509" i="1"/>
  <c r="H14509" i="1"/>
  <c r="A14510" i="1"/>
  <c r="B14510" i="1"/>
  <c r="C14510" i="1"/>
  <c r="D14510" i="1"/>
  <c r="E14510" i="1"/>
  <c r="F14510" i="1"/>
  <c r="G14510" i="1"/>
  <c r="H14510" i="1"/>
  <c r="A14511" i="1"/>
  <c r="B14511" i="1"/>
  <c r="C14511" i="1"/>
  <c r="D14511" i="1"/>
  <c r="E14511" i="1"/>
  <c r="F14511" i="1"/>
  <c r="G14511" i="1"/>
  <c r="H14511" i="1"/>
  <c r="A14512" i="1"/>
  <c r="B14512" i="1"/>
  <c r="C14512" i="1"/>
  <c r="D14512" i="1"/>
  <c r="E14512" i="1"/>
  <c r="F14512" i="1"/>
  <c r="G14512" i="1"/>
  <c r="H14512" i="1"/>
  <c r="A14513" i="1"/>
  <c r="B14513" i="1"/>
  <c r="C14513" i="1"/>
  <c r="D14513" i="1"/>
  <c r="E14513" i="1"/>
  <c r="F14513" i="1"/>
  <c r="G14513" i="1"/>
  <c r="H14513" i="1"/>
  <c r="A14514" i="1"/>
  <c r="B14514" i="1"/>
  <c r="C14514" i="1"/>
  <c r="D14514" i="1"/>
  <c r="E14514" i="1"/>
  <c r="F14514" i="1"/>
  <c r="G14514" i="1"/>
  <c r="H14514" i="1"/>
  <c r="A14515" i="1"/>
  <c r="B14515" i="1"/>
  <c r="C14515" i="1"/>
  <c r="D14515" i="1"/>
  <c r="E14515" i="1"/>
  <c r="F14515" i="1"/>
  <c r="G14515" i="1"/>
  <c r="H14515" i="1"/>
  <c r="A14516" i="1"/>
  <c r="B14516" i="1"/>
  <c r="C14516" i="1"/>
  <c r="D14516" i="1"/>
  <c r="E14516" i="1"/>
  <c r="F14516" i="1"/>
  <c r="G14516" i="1"/>
  <c r="H14516" i="1"/>
  <c r="A14517" i="1"/>
  <c r="B14517" i="1"/>
  <c r="C14517" i="1"/>
  <c r="D14517" i="1"/>
  <c r="E14517" i="1"/>
  <c r="F14517" i="1"/>
  <c r="G14517" i="1"/>
  <c r="H14517" i="1"/>
  <c r="A14518" i="1"/>
  <c r="B14518" i="1"/>
  <c r="C14518" i="1"/>
  <c r="D14518" i="1"/>
  <c r="E14518" i="1"/>
  <c r="F14518" i="1"/>
  <c r="G14518" i="1"/>
  <c r="H14518" i="1"/>
  <c r="A14519" i="1"/>
  <c r="B14519" i="1"/>
  <c r="C14519" i="1"/>
  <c r="D14519" i="1"/>
  <c r="E14519" i="1"/>
  <c r="F14519" i="1"/>
  <c r="G14519" i="1"/>
  <c r="H14519" i="1"/>
  <c r="A14520" i="1"/>
  <c r="B14520" i="1"/>
  <c r="C14520" i="1"/>
  <c r="D14520" i="1"/>
  <c r="E14520" i="1"/>
  <c r="F14520" i="1"/>
  <c r="G14520" i="1"/>
  <c r="H14520" i="1"/>
  <c r="A14521" i="1"/>
  <c r="B14521" i="1"/>
  <c r="C14521" i="1"/>
  <c r="D14521" i="1"/>
  <c r="E14521" i="1"/>
  <c r="F14521" i="1"/>
  <c r="G14521" i="1"/>
  <c r="H14521" i="1"/>
  <c r="A14522" i="1"/>
  <c r="B14522" i="1"/>
  <c r="C14522" i="1"/>
  <c r="D14522" i="1"/>
  <c r="E14522" i="1"/>
  <c r="F14522" i="1"/>
  <c r="G14522" i="1"/>
  <c r="H14522" i="1"/>
  <c r="A14523" i="1"/>
  <c r="B14523" i="1"/>
  <c r="C14523" i="1"/>
  <c r="D14523" i="1"/>
  <c r="E14523" i="1"/>
  <c r="F14523" i="1"/>
  <c r="G14523" i="1"/>
  <c r="H14523" i="1"/>
  <c r="A14524" i="1"/>
  <c r="B14524" i="1"/>
  <c r="C14524" i="1"/>
  <c r="D14524" i="1"/>
  <c r="E14524" i="1"/>
  <c r="F14524" i="1"/>
  <c r="G14524" i="1"/>
  <c r="H14524" i="1"/>
  <c r="A14525" i="1"/>
  <c r="B14525" i="1"/>
  <c r="C14525" i="1"/>
  <c r="D14525" i="1"/>
  <c r="E14525" i="1"/>
  <c r="F14525" i="1"/>
  <c r="G14525" i="1"/>
  <c r="H14525" i="1"/>
  <c r="A14526" i="1"/>
  <c r="B14526" i="1"/>
  <c r="C14526" i="1"/>
  <c r="D14526" i="1"/>
  <c r="E14526" i="1"/>
  <c r="F14526" i="1"/>
  <c r="G14526" i="1"/>
  <c r="H14526" i="1"/>
  <c r="A14527" i="1"/>
  <c r="B14527" i="1"/>
  <c r="C14527" i="1"/>
  <c r="D14527" i="1"/>
  <c r="E14527" i="1"/>
  <c r="F14527" i="1"/>
  <c r="G14527" i="1"/>
  <c r="H14527" i="1"/>
  <c r="A14528" i="1"/>
  <c r="B14528" i="1"/>
  <c r="C14528" i="1"/>
  <c r="D14528" i="1"/>
  <c r="E14528" i="1"/>
  <c r="F14528" i="1"/>
  <c r="G14528" i="1"/>
  <c r="H14528" i="1"/>
  <c r="A14529" i="1"/>
  <c r="B14529" i="1"/>
  <c r="C14529" i="1"/>
  <c r="D14529" i="1"/>
  <c r="E14529" i="1"/>
  <c r="F14529" i="1"/>
  <c r="G14529" i="1"/>
  <c r="H14529" i="1"/>
  <c r="A14530" i="1"/>
  <c r="B14530" i="1"/>
  <c r="C14530" i="1"/>
  <c r="D14530" i="1"/>
  <c r="E14530" i="1"/>
  <c r="F14530" i="1"/>
  <c r="G14530" i="1"/>
  <c r="H14530" i="1"/>
  <c r="A14531" i="1"/>
  <c r="B14531" i="1"/>
  <c r="C14531" i="1"/>
  <c r="D14531" i="1"/>
  <c r="E14531" i="1"/>
  <c r="F14531" i="1"/>
  <c r="G14531" i="1"/>
  <c r="H14531" i="1"/>
  <c r="A14532" i="1"/>
  <c r="B14532" i="1"/>
  <c r="C14532" i="1"/>
  <c r="D14532" i="1"/>
  <c r="E14532" i="1"/>
  <c r="F14532" i="1"/>
  <c r="G14532" i="1"/>
  <c r="H14532" i="1"/>
  <c r="A14533" i="1"/>
  <c r="B14533" i="1"/>
  <c r="C14533" i="1"/>
  <c r="D14533" i="1"/>
  <c r="E14533" i="1"/>
  <c r="F14533" i="1"/>
  <c r="G14533" i="1"/>
  <c r="H14533" i="1"/>
  <c r="A14534" i="1"/>
  <c r="B14534" i="1"/>
  <c r="C14534" i="1"/>
  <c r="D14534" i="1"/>
  <c r="E14534" i="1"/>
  <c r="F14534" i="1"/>
  <c r="G14534" i="1"/>
  <c r="H14534" i="1"/>
  <c r="A14535" i="1"/>
  <c r="B14535" i="1"/>
  <c r="C14535" i="1"/>
  <c r="D14535" i="1"/>
  <c r="E14535" i="1"/>
  <c r="F14535" i="1"/>
  <c r="G14535" i="1"/>
  <c r="H14535" i="1"/>
  <c r="A14536" i="1"/>
  <c r="B14536" i="1"/>
  <c r="C14536" i="1"/>
  <c r="D14536" i="1"/>
  <c r="E14536" i="1"/>
  <c r="F14536" i="1"/>
  <c r="G14536" i="1"/>
  <c r="H14536" i="1"/>
  <c r="A14537" i="1"/>
  <c r="B14537" i="1"/>
  <c r="C14537" i="1"/>
  <c r="D14537" i="1"/>
  <c r="E14537" i="1"/>
  <c r="F14537" i="1"/>
  <c r="G14537" i="1"/>
  <c r="H14537" i="1"/>
  <c r="A14538" i="1"/>
  <c r="B14538" i="1"/>
  <c r="C14538" i="1"/>
  <c r="D14538" i="1"/>
  <c r="E14538" i="1"/>
  <c r="F14538" i="1"/>
  <c r="G14538" i="1"/>
  <c r="H14538" i="1"/>
  <c r="A14539" i="1"/>
  <c r="B14539" i="1"/>
  <c r="C14539" i="1"/>
  <c r="D14539" i="1"/>
  <c r="E14539" i="1"/>
  <c r="F14539" i="1"/>
  <c r="G14539" i="1"/>
  <c r="H14539" i="1"/>
  <c r="A14540" i="1"/>
  <c r="B14540" i="1"/>
  <c r="C14540" i="1"/>
  <c r="D14540" i="1"/>
  <c r="E14540" i="1"/>
  <c r="F14540" i="1"/>
  <c r="G14540" i="1"/>
  <c r="H14540" i="1"/>
  <c r="A14541" i="1"/>
  <c r="B14541" i="1"/>
  <c r="C14541" i="1"/>
  <c r="D14541" i="1"/>
  <c r="E14541" i="1"/>
  <c r="F14541" i="1"/>
  <c r="G14541" i="1"/>
  <c r="H14541" i="1"/>
  <c r="A14542" i="1"/>
  <c r="B14542" i="1"/>
  <c r="C14542" i="1"/>
  <c r="D14542" i="1"/>
  <c r="E14542" i="1"/>
  <c r="F14542" i="1"/>
  <c r="G14542" i="1"/>
  <c r="H14542" i="1"/>
  <c r="A14543" i="1"/>
  <c r="B14543" i="1"/>
  <c r="C14543" i="1"/>
  <c r="D14543" i="1"/>
  <c r="E14543" i="1"/>
  <c r="F14543" i="1"/>
  <c r="G14543" i="1"/>
  <c r="H14543" i="1"/>
  <c r="A14544" i="1"/>
  <c r="B14544" i="1"/>
  <c r="C14544" i="1"/>
  <c r="D14544" i="1"/>
  <c r="E14544" i="1"/>
  <c r="F14544" i="1"/>
  <c r="G14544" i="1"/>
  <c r="H14544" i="1"/>
  <c r="A14545" i="1"/>
  <c r="B14545" i="1"/>
  <c r="C14545" i="1"/>
  <c r="D14545" i="1"/>
  <c r="E14545" i="1"/>
  <c r="F14545" i="1"/>
  <c r="G14545" i="1"/>
  <c r="H14545" i="1"/>
  <c r="A14546" i="1"/>
  <c r="B14546" i="1"/>
  <c r="C14546" i="1"/>
  <c r="D14546" i="1"/>
  <c r="E14546" i="1"/>
  <c r="F14546" i="1"/>
  <c r="G14546" i="1"/>
  <c r="H14546" i="1"/>
  <c r="A14547" i="1"/>
  <c r="B14547" i="1"/>
  <c r="C14547" i="1"/>
  <c r="D14547" i="1"/>
  <c r="E14547" i="1"/>
  <c r="F14547" i="1"/>
  <c r="G14547" i="1"/>
  <c r="H14547" i="1"/>
  <c r="A14548" i="1"/>
  <c r="B14548" i="1"/>
  <c r="C14548" i="1"/>
  <c r="D14548" i="1"/>
  <c r="E14548" i="1"/>
  <c r="F14548" i="1"/>
  <c r="G14548" i="1"/>
  <c r="H14548" i="1"/>
  <c r="A14549" i="1"/>
  <c r="B14549" i="1"/>
  <c r="C14549" i="1"/>
  <c r="D14549" i="1"/>
  <c r="E14549" i="1"/>
  <c r="F14549" i="1"/>
  <c r="G14549" i="1"/>
  <c r="H14549" i="1"/>
  <c r="A14550" i="1"/>
  <c r="B14550" i="1"/>
  <c r="C14550" i="1"/>
  <c r="D14550" i="1"/>
  <c r="E14550" i="1"/>
  <c r="F14550" i="1"/>
  <c r="G14550" i="1"/>
  <c r="H14550" i="1"/>
  <c r="A14551" i="1"/>
  <c r="B14551" i="1"/>
  <c r="C14551" i="1"/>
  <c r="D14551" i="1"/>
  <c r="E14551" i="1"/>
  <c r="F14551" i="1"/>
  <c r="G14551" i="1"/>
  <c r="H14551" i="1"/>
  <c r="A14552" i="1"/>
  <c r="B14552" i="1"/>
  <c r="C14552" i="1"/>
  <c r="D14552" i="1"/>
  <c r="E14552" i="1"/>
  <c r="F14552" i="1"/>
  <c r="G14552" i="1"/>
  <c r="H14552" i="1"/>
  <c r="A14553" i="1"/>
  <c r="B14553" i="1"/>
  <c r="C14553" i="1"/>
  <c r="D14553" i="1"/>
  <c r="E14553" i="1"/>
  <c r="F14553" i="1"/>
  <c r="G14553" i="1"/>
  <c r="H14553" i="1"/>
  <c r="A14554" i="1"/>
  <c r="B14554" i="1"/>
  <c r="C14554" i="1"/>
  <c r="D14554" i="1"/>
  <c r="E14554" i="1"/>
  <c r="F14554" i="1"/>
  <c r="G14554" i="1"/>
  <c r="H14554" i="1"/>
  <c r="A14555" i="1"/>
  <c r="B14555" i="1"/>
  <c r="C14555" i="1"/>
  <c r="D14555" i="1"/>
  <c r="E14555" i="1"/>
  <c r="F14555" i="1"/>
  <c r="G14555" i="1"/>
  <c r="H14555" i="1"/>
  <c r="A14556" i="1"/>
  <c r="B14556" i="1"/>
  <c r="C14556" i="1"/>
  <c r="D14556" i="1"/>
  <c r="E14556" i="1"/>
  <c r="F14556" i="1"/>
  <c r="G14556" i="1"/>
  <c r="H14556" i="1"/>
  <c r="A14557" i="1"/>
  <c r="B14557" i="1"/>
  <c r="C14557" i="1"/>
  <c r="D14557" i="1"/>
  <c r="E14557" i="1"/>
  <c r="F14557" i="1"/>
  <c r="G14557" i="1"/>
  <c r="H14557" i="1"/>
  <c r="A14558" i="1"/>
  <c r="B14558" i="1"/>
  <c r="C14558" i="1"/>
  <c r="D14558" i="1"/>
  <c r="E14558" i="1"/>
  <c r="F14558" i="1"/>
  <c r="G14558" i="1"/>
  <c r="H14558" i="1"/>
  <c r="A14559" i="1"/>
  <c r="B14559" i="1"/>
  <c r="C14559" i="1"/>
  <c r="D14559" i="1"/>
  <c r="E14559" i="1"/>
  <c r="F14559" i="1"/>
  <c r="G14559" i="1"/>
  <c r="H14559" i="1"/>
  <c r="A14560" i="1"/>
  <c r="B14560" i="1"/>
  <c r="C14560" i="1"/>
  <c r="D14560" i="1"/>
  <c r="E14560" i="1"/>
  <c r="F14560" i="1"/>
  <c r="G14560" i="1"/>
  <c r="H14560" i="1"/>
  <c r="A14561" i="1"/>
  <c r="B14561" i="1"/>
  <c r="C14561" i="1"/>
  <c r="D14561" i="1"/>
  <c r="E14561" i="1"/>
  <c r="F14561" i="1"/>
  <c r="G14561" i="1"/>
  <c r="H14561" i="1"/>
  <c r="A14562" i="1"/>
  <c r="B14562" i="1"/>
  <c r="C14562" i="1"/>
  <c r="D14562" i="1"/>
  <c r="E14562" i="1"/>
  <c r="F14562" i="1"/>
  <c r="G14562" i="1"/>
  <c r="H14562" i="1"/>
  <c r="A14563" i="1"/>
  <c r="B14563" i="1"/>
  <c r="C14563" i="1"/>
  <c r="D14563" i="1"/>
  <c r="E14563" i="1"/>
  <c r="F14563" i="1"/>
  <c r="G14563" i="1"/>
  <c r="H14563" i="1"/>
  <c r="A14564" i="1"/>
  <c r="B14564" i="1"/>
  <c r="C14564" i="1"/>
  <c r="D14564" i="1"/>
  <c r="E14564" i="1"/>
  <c r="F14564" i="1"/>
  <c r="G14564" i="1"/>
  <c r="H14564" i="1"/>
  <c r="A14565" i="1"/>
  <c r="B14565" i="1"/>
  <c r="C14565" i="1"/>
  <c r="D14565" i="1"/>
  <c r="E14565" i="1"/>
  <c r="F14565" i="1"/>
  <c r="G14565" i="1"/>
  <c r="H14565" i="1"/>
  <c r="A14566" i="1"/>
  <c r="B14566" i="1"/>
  <c r="C14566" i="1"/>
  <c r="D14566" i="1"/>
  <c r="E14566" i="1"/>
  <c r="F14566" i="1"/>
  <c r="G14566" i="1"/>
  <c r="H14566" i="1"/>
  <c r="A14567" i="1"/>
  <c r="B14567" i="1"/>
  <c r="C14567" i="1"/>
  <c r="D14567" i="1"/>
  <c r="E14567" i="1"/>
  <c r="F14567" i="1"/>
  <c r="G14567" i="1"/>
  <c r="H14567" i="1"/>
  <c r="A14568" i="1"/>
  <c r="B14568" i="1"/>
  <c r="C14568" i="1"/>
  <c r="D14568" i="1"/>
  <c r="E14568" i="1"/>
  <c r="F14568" i="1"/>
  <c r="G14568" i="1"/>
  <c r="H14568" i="1"/>
  <c r="A14569" i="1"/>
  <c r="B14569" i="1"/>
  <c r="C14569" i="1"/>
  <c r="D14569" i="1"/>
  <c r="E14569" i="1"/>
  <c r="F14569" i="1"/>
  <c r="G14569" i="1"/>
  <c r="H14569" i="1"/>
  <c r="A14570" i="1"/>
  <c r="B14570" i="1"/>
  <c r="C14570" i="1"/>
  <c r="D14570" i="1"/>
  <c r="E14570" i="1"/>
  <c r="F14570" i="1"/>
  <c r="G14570" i="1"/>
  <c r="H14570" i="1"/>
  <c r="A14571" i="1"/>
  <c r="B14571" i="1"/>
  <c r="C14571" i="1"/>
  <c r="D14571" i="1"/>
  <c r="E14571" i="1"/>
  <c r="F14571" i="1"/>
  <c r="G14571" i="1"/>
  <c r="H14571" i="1"/>
  <c r="A14572" i="1"/>
  <c r="B14572" i="1"/>
  <c r="C14572" i="1"/>
  <c r="D14572" i="1"/>
  <c r="E14572" i="1"/>
  <c r="F14572" i="1"/>
  <c r="G14572" i="1"/>
  <c r="H14572" i="1"/>
  <c r="A14573" i="1"/>
  <c r="B14573" i="1"/>
  <c r="C14573" i="1"/>
  <c r="D14573" i="1"/>
  <c r="E14573" i="1"/>
  <c r="F14573" i="1"/>
  <c r="G14573" i="1"/>
  <c r="H14573" i="1"/>
  <c r="A14574" i="1"/>
  <c r="B14574" i="1"/>
  <c r="C14574" i="1"/>
  <c r="D14574" i="1"/>
  <c r="E14574" i="1"/>
  <c r="F14574" i="1"/>
  <c r="G14574" i="1"/>
  <c r="H14574" i="1"/>
  <c r="A14575" i="1"/>
  <c r="B14575" i="1"/>
  <c r="C14575" i="1"/>
  <c r="D14575" i="1"/>
  <c r="E14575" i="1"/>
  <c r="F14575" i="1"/>
  <c r="G14575" i="1"/>
  <c r="H14575" i="1"/>
  <c r="A14576" i="1"/>
  <c r="B14576" i="1"/>
  <c r="C14576" i="1"/>
  <c r="D14576" i="1"/>
  <c r="E14576" i="1"/>
  <c r="F14576" i="1"/>
  <c r="G14576" i="1"/>
  <c r="H14576" i="1"/>
  <c r="A14577" i="1"/>
  <c r="B14577" i="1"/>
  <c r="C14577" i="1"/>
  <c r="D14577" i="1"/>
  <c r="E14577" i="1"/>
  <c r="F14577" i="1"/>
  <c r="G14577" i="1"/>
  <c r="H14577" i="1"/>
  <c r="A14578" i="1"/>
  <c r="B14578" i="1"/>
  <c r="C14578" i="1"/>
  <c r="D14578" i="1"/>
  <c r="E14578" i="1"/>
  <c r="F14578" i="1"/>
  <c r="G14578" i="1"/>
  <c r="H14578" i="1"/>
  <c r="A14579" i="1"/>
  <c r="B14579" i="1"/>
  <c r="C14579" i="1"/>
  <c r="D14579" i="1"/>
  <c r="E14579" i="1"/>
  <c r="F14579" i="1"/>
  <c r="G14579" i="1"/>
  <c r="H14579" i="1"/>
  <c r="A14580" i="1"/>
  <c r="B14580" i="1"/>
  <c r="C14580" i="1"/>
  <c r="D14580" i="1"/>
  <c r="E14580" i="1"/>
  <c r="F14580" i="1"/>
  <c r="G14580" i="1"/>
  <c r="H14580" i="1"/>
  <c r="A14581" i="1"/>
  <c r="B14581" i="1"/>
  <c r="C14581" i="1"/>
  <c r="D14581" i="1"/>
  <c r="E14581" i="1"/>
  <c r="F14581" i="1"/>
  <c r="G14581" i="1"/>
  <c r="H14581" i="1"/>
  <c r="A14582" i="1"/>
  <c r="B14582" i="1"/>
  <c r="C14582" i="1"/>
  <c r="D14582" i="1"/>
  <c r="E14582" i="1"/>
  <c r="F14582" i="1"/>
  <c r="G14582" i="1"/>
  <c r="H14582" i="1"/>
  <c r="A14583" i="1"/>
  <c r="B14583" i="1"/>
  <c r="C14583" i="1"/>
  <c r="D14583" i="1"/>
  <c r="E14583" i="1"/>
  <c r="F14583" i="1"/>
  <c r="G14583" i="1"/>
  <c r="H14583" i="1"/>
  <c r="A14584" i="1"/>
  <c r="B14584" i="1"/>
  <c r="C14584" i="1"/>
  <c r="D14584" i="1"/>
  <c r="E14584" i="1"/>
  <c r="F14584" i="1"/>
  <c r="G14584" i="1"/>
  <c r="H14584" i="1"/>
  <c r="A14585" i="1"/>
  <c r="B14585" i="1"/>
  <c r="C14585" i="1"/>
  <c r="D14585" i="1"/>
  <c r="E14585" i="1"/>
  <c r="F14585" i="1"/>
  <c r="G14585" i="1"/>
  <c r="H14585" i="1"/>
  <c r="A14586" i="1"/>
  <c r="B14586" i="1"/>
  <c r="C14586" i="1"/>
  <c r="D14586" i="1"/>
  <c r="E14586" i="1"/>
  <c r="F14586" i="1"/>
  <c r="G14586" i="1"/>
  <c r="H14586" i="1"/>
  <c r="A14587" i="1"/>
  <c r="B14587" i="1"/>
  <c r="C14587" i="1"/>
  <c r="D14587" i="1"/>
  <c r="E14587" i="1"/>
  <c r="F14587" i="1"/>
  <c r="G14587" i="1"/>
  <c r="H14587" i="1"/>
  <c r="A14588" i="1"/>
  <c r="B14588" i="1"/>
  <c r="C14588" i="1"/>
  <c r="D14588" i="1"/>
  <c r="E14588" i="1"/>
  <c r="F14588" i="1"/>
  <c r="G14588" i="1"/>
  <c r="H14588" i="1"/>
  <c r="A14589" i="1"/>
  <c r="B14589" i="1"/>
  <c r="C14589" i="1"/>
  <c r="D14589" i="1"/>
  <c r="E14589" i="1"/>
  <c r="F14589" i="1"/>
  <c r="G14589" i="1"/>
  <c r="H14589" i="1"/>
  <c r="A14590" i="1"/>
  <c r="B14590" i="1"/>
  <c r="C14590" i="1"/>
  <c r="D14590" i="1"/>
  <c r="E14590" i="1"/>
  <c r="F14590" i="1"/>
  <c r="G14590" i="1"/>
  <c r="H14590" i="1"/>
  <c r="A14591" i="1"/>
  <c r="B14591" i="1"/>
  <c r="C14591" i="1"/>
  <c r="D14591" i="1"/>
  <c r="E14591" i="1"/>
  <c r="F14591" i="1"/>
  <c r="G14591" i="1"/>
  <c r="H14591" i="1"/>
  <c r="A14592" i="1"/>
  <c r="B14592" i="1"/>
  <c r="C14592" i="1"/>
  <c r="D14592" i="1"/>
  <c r="E14592" i="1"/>
  <c r="F14592" i="1"/>
  <c r="G14592" i="1"/>
  <c r="H14592" i="1"/>
  <c r="A14593" i="1"/>
  <c r="B14593" i="1"/>
  <c r="C14593" i="1"/>
  <c r="D14593" i="1"/>
  <c r="E14593" i="1"/>
  <c r="F14593" i="1"/>
  <c r="G14593" i="1"/>
  <c r="H14593" i="1"/>
  <c r="A14594" i="1"/>
  <c r="B14594" i="1"/>
  <c r="C14594" i="1"/>
  <c r="D14594" i="1"/>
  <c r="E14594" i="1"/>
  <c r="F14594" i="1"/>
  <c r="G14594" i="1"/>
  <c r="H14594" i="1"/>
  <c r="A14595" i="1"/>
  <c r="B14595" i="1"/>
  <c r="C14595" i="1"/>
  <c r="D14595" i="1"/>
  <c r="E14595" i="1"/>
  <c r="F14595" i="1"/>
  <c r="G14595" i="1"/>
  <c r="H14595" i="1"/>
  <c r="A14596" i="1"/>
  <c r="B14596" i="1"/>
  <c r="C14596" i="1"/>
  <c r="D14596" i="1"/>
  <c r="E14596" i="1"/>
  <c r="F14596" i="1"/>
  <c r="G14596" i="1"/>
  <c r="H14596" i="1"/>
  <c r="A14597" i="1"/>
  <c r="B14597" i="1"/>
  <c r="C14597" i="1"/>
  <c r="D14597" i="1"/>
  <c r="E14597" i="1"/>
  <c r="F14597" i="1"/>
  <c r="G14597" i="1"/>
  <c r="H14597" i="1"/>
  <c r="A14598" i="1"/>
  <c r="B14598" i="1"/>
  <c r="C14598" i="1"/>
  <c r="D14598" i="1"/>
  <c r="E14598" i="1"/>
  <c r="F14598" i="1"/>
  <c r="G14598" i="1"/>
  <c r="H14598" i="1"/>
  <c r="A14599" i="1"/>
  <c r="B14599" i="1"/>
  <c r="C14599" i="1"/>
  <c r="D14599" i="1"/>
  <c r="E14599" i="1"/>
  <c r="F14599" i="1"/>
  <c r="G14599" i="1"/>
  <c r="H14599" i="1"/>
  <c r="A14600" i="1"/>
  <c r="B14600" i="1"/>
  <c r="C14600" i="1"/>
  <c r="D14600" i="1"/>
  <c r="E14600" i="1"/>
  <c r="F14600" i="1"/>
  <c r="G14600" i="1"/>
  <c r="H14600" i="1"/>
  <c r="A14601" i="1"/>
  <c r="B14601" i="1"/>
  <c r="C14601" i="1"/>
  <c r="D14601" i="1"/>
  <c r="E14601" i="1"/>
  <c r="F14601" i="1"/>
  <c r="G14601" i="1"/>
  <c r="H14601" i="1"/>
  <c r="A14602" i="1"/>
  <c r="B14602" i="1"/>
  <c r="C14602" i="1"/>
  <c r="D14602" i="1"/>
  <c r="E14602" i="1"/>
  <c r="F14602" i="1"/>
  <c r="G14602" i="1"/>
  <c r="H14602" i="1"/>
  <c r="A14603" i="1"/>
  <c r="B14603" i="1"/>
  <c r="C14603" i="1"/>
  <c r="D14603" i="1"/>
  <c r="E14603" i="1"/>
  <c r="F14603" i="1"/>
  <c r="G14603" i="1"/>
  <c r="H14603" i="1"/>
  <c r="A14604" i="1"/>
  <c r="B14604" i="1"/>
  <c r="C14604" i="1"/>
  <c r="D14604" i="1"/>
  <c r="E14604" i="1"/>
  <c r="F14604" i="1"/>
  <c r="G14604" i="1"/>
  <c r="H14604" i="1"/>
  <c r="A14605" i="1"/>
  <c r="B14605" i="1"/>
  <c r="C14605" i="1"/>
  <c r="D14605" i="1"/>
  <c r="E14605" i="1"/>
  <c r="F14605" i="1"/>
  <c r="G14605" i="1"/>
  <c r="H14605" i="1"/>
  <c r="A14606" i="1"/>
  <c r="B14606" i="1"/>
  <c r="C14606" i="1"/>
  <c r="D14606" i="1"/>
  <c r="E14606" i="1"/>
  <c r="F14606" i="1"/>
  <c r="G14606" i="1"/>
  <c r="H14606" i="1"/>
  <c r="A14607" i="1"/>
  <c r="B14607" i="1"/>
  <c r="C14607" i="1"/>
  <c r="D14607" i="1"/>
  <c r="E14607" i="1"/>
  <c r="F14607" i="1"/>
  <c r="G14607" i="1"/>
  <c r="H14607" i="1"/>
  <c r="A14608" i="1"/>
  <c r="B14608" i="1"/>
  <c r="C14608" i="1"/>
  <c r="D14608" i="1"/>
  <c r="E14608" i="1"/>
  <c r="F14608" i="1"/>
  <c r="G14608" i="1"/>
  <c r="H14608" i="1"/>
  <c r="A14609" i="1"/>
  <c r="B14609" i="1"/>
  <c r="C14609" i="1"/>
  <c r="D14609" i="1"/>
  <c r="E14609" i="1"/>
  <c r="F14609" i="1"/>
  <c r="G14609" i="1"/>
  <c r="H14609" i="1"/>
  <c r="A14610" i="1"/>
  <c r="B14610" i="1"/>
  <c r="C14610" i="1"/>
  <c r="D14610" i="1"/>
  <c r="E14610" i="1"/>
  <c r="F14610" i="1"/>
  <c r="G14610" i="1"/>
  <c r="H14610" i="1"/>
  <c r="A14611" i="1"/>
  <c r="B14611" i="1"/>
  <c r="C14611" i="1"/>
  <c r="D14611" i="1"/>
  <c r="E14611" i="1"/>
  <c r="F14611" i="1"/>
  <c r="G14611" i="1"/>
  <c r="H14611" i="1"/>
  <c r="A14612" i="1"/>
  <c r="B14612" i="1"/>
  <c r="C14612" i="1"/>
  <c r="D14612" i="1"/>
  <c r="E14612" i="1"/>
  <c r="F14612" i="1"/>
  <c r="G14612" i="1"/>
  <c r="H14612" i="1"/>
  <c r="A14613" i="1"/>
  <c r="B14613" i="1"/>
  <c r="C14613" i="1"/>
  <c r="D14613" i="1"/>
  <c r="E14613" i="1"/>
  <c r="F14613" i="1"/>
  <c r="G14613" i="1"/>
  <c r="H14613" i="1"/>
  <c r="A14614" i="1"/>
  <c r="B14614" i="1"/>
  <c r="C14614" i="1"/>
  <c r="D14614" i="1"/>
  <c r="E14614" i="1"/>
  <c r="F14614" i="1"/>
  <c r="G14614" i="1"/>
  <c r="H14614" i="1"/>
  <c r="A14615" i="1"/>
  <c r="B14615" i="1"/>
  <c r="C14615" i="1"/>
  <c r="D14615" i="1"/>
  <c r="E14615" i="1"/>
  <c r="F14615" i="1"/>
  <c r="G14615" i="1"/>
  <c r="H14615" i="1"/>
  <c r="A14616" i="1"/>
  <c r="B14616" i="1"/>
  <c r="C14616" i="1"/>
  <c r="D14616" i="1"/>
  <c r="E14616" i="1"/>
  <c r="F14616" i="1"/>
  <c r="G14616" i="1"/>
  <c r="H14616" i="1"/>
  <c r="A14617" i="1"/>
  <c r="B14617" i="1"/>
  <c r="C14617" i="1"/>
  <c r="D14617" i="1"/>
  <c r="E14617" i="1"/>
  <c r="F14617" i="1"/>
  <c r="G14617" i="1"/>
  <c r="H14617" i="1"/>
  <c r="A14618" i="1"/>
  <c r="B14618" i="1"/>
  <c r="C14618" i="1"/>
  <c r="D14618" i="1"/>
  <c r="E14618" i="1"/>
  <c r="F14618" i="1"/>
  <c r="G14618" i="1"/>
  <c r="H14618" i="1"/>
  <c r="A14619" i="1"/>
  <c r="B14619" i="1"/>
  <c r="C14619" i="1"/>
  <c r="D14619" i="1"/>
  <c r="E14619" i="1"/>
  <c r="F14619" i="1"/>
  <c r="G14619" i="1"/>
  <c r="H14619" i="1"/>
  <c r="A14620" i="1"/>
  <c r="B14620" i="1"/>
  <c r="C14620" i="1"/>
  <c r="D14620" i="1"/>
  <c r="E14620" i="1"/>
  <c r="F14620" i="1"/>
  <c r="G14620" i="1"/>
  <c r="H14620" i="1"/>
  <c r="A14621" i="1"/>
  <c r="B14621" i="1"/>
  <c r="C14621" i="1"/>
  <c r="D14621" i="1"/>
  <c r="E14621" i="1"/>
  <c r="F14621" i="1"/>
  <c r="G14621" i="1"/>
  <c r="H14621" i="1"/>
  <c r="A14622" i="1"/>
  <c r="B14622" i="1"/>
  <c r="C14622" i="1"/>
  <c r="D14622" i="1"/>
  <c r="E14622" i="1"/>
  <c r="F14622" i="1"/>
  <c r="G14622" i="1"/>
  <c r="H14622" i="1"/>
  <c r="A14623" i="1"/>
  <c r="B14623" i="1"/>
  <c r="C14623" i="1"/>
  <c r="D14623" i="1"/>
  <c r="E14623" i="1"/>
  <c r="F14623" i="1"/>
  <c r="G14623" i="1"/>
  <c r="H14623" i="1"/>
  <c r="A14624" i="1"/>
  <c r="B14624" i="1"/>
  <c r="C14624" i="1"/>
  <c r="D14624" i="1"/>
  <c r="E14624" i="1"/>
  <c r="F14624" i="1"/>
  <c r="G14624" i="1"/>
  <c r="H14624" i="1"/>
  <c r="A14625" i="1"/>
  <c r="B14625" i="1"/>
  <c r="C14625" i="1"/>
  <c r="D14625" i="1"/>
  <c r="E14625" i="1"/>
  <c r="F14625" i="1"/>
  <c r="G14625" i="1"/>
  <c r="H14625" i="1"/>
  <c r="A14626" i="1"/>
  <c r="B14626" i="1"/>
  <c r="C14626" i="1"/>
  <c r="D14626" i="1"/>
  <c r="E14626" i="1"/>
  <c r="F14626" i="1"/>
  <c r="G14626" i="1"/>
  <c r="H14626" i="1"/>
  <c r="A14627" i="1"/>
  <c r="B14627" i="1"/>
  <c r="C14627" i="1"/>
  <c r="D14627" i="1"/>
  <c r="E14627" i="1"/>
  <c r="F14627" i="1"/>
  <c r="G14627" i="1"/>
  <c r="H14627" i="1"/>
  <c r="A14628" i="1"/>
  <c r="B14628" i="1"/>
  <c r="C14628" i="1"/>
  <c r="D14628" i="1"/>
  <c r="E14628" i="1"/>
  <c r="F14628" i="1"/>
  <c r="G14628" i="1"/>
  <c r="H14628" i="1"/>
  <c r="A14629" i="1"/>
  <c r="B14629" i="1"/>
  <c r="C14629" i="1"/>
  <c r="D14629" i="1"/>
  <c r="E14629" i="1"/>
  <c r="F14629" i="1"/>
  <c r="G14629" i="1"/>
  <c r="H14629" i="1"/>
  <c r="A14630" i="1"/>
  <c r="B14630" i="1"/>
  <c r="C14630" i="1"/>
  <c r="D14630" i="1"/>
  <c r="E14630" i="1"/>
  <c r="F14630" i="1"/>
  <c r="G14630" i="1"/>
  <c r="H14630" i="1"/>
  <c r="A14631" i="1"/>
  <c r="B14631" i="1"/>
  <c r="C14631" i="1"/>
  <c r="D14631" i="1"/>
  <c r="E14631" i="1"/>
  <c r="F14631" i="1"/>
  <c r="G14631" i="1"/>
  <c r="H14631" i="1"/>
  <c r="A14632" i="1"/>
  <c r="B14632" i="1"/>
  <c r="C14632" i="1"/>
  <c r="D14632" i="1"/>
  <c r="E14632" i="1"/>
  <c r="F14632" i="1"/>
  <c r="G14632" i="1"/>
  <c r="H14632" i="1"/>
  <c r="A14633" i="1"/>
  <c r="B14633" i="1"/>
  <c r="C14633" i="1"/>
  <c r="D14633" i="1"/>
  <c r="E14633" i="1"/>
  <c r="F14633" i="1"/>
  <c r="G14633" i="1"/>
  <c r="H14633" i="1"/>
  <c r="A14634" i="1"/>
  <c r="B14634" i="1"/>
  <c r="C14634" i="1"/>
  <c r="D14634" i="1"/>
  <c r="E14634" i="1"/>
  <c r="F14634" i="1"/>
  <c r="G14634" i="1"/>
  <c r="H14634" i="1"/>
  <c r="A14635" i="1"/>
  <c r="B14635" i="1"/>
  <c r="C14635" i="1"/>
  <c r="D14635" i="1"/>
  <c r="E14635" i="1"/>
  <c r="F14635" i="1"/>
  <c r="G14635" i="1"/>
  <c r="H14635" i="1"/>
  <c r="A14636" i="1"/>
  <c r="B14636" i="1"/>
  <c r="C14636" i="1"/>
  <c r="D14636" i="1"/>
  <c r="E14636" i="1"/>
  <c r="F14636" i="1"/>
  <c r="G14636" i="1"/>
  <c r="H14636" i="1"/>
  <c r="A14637" i="1"/>
  <c r="B14637" i="1"/>
  <c r="C14637" i="1"/>
  <c r="D14637" i="1"/>
  <c r="E14637" i="1"/>
  <c r="F14637" i="1"/>
  <c r="G14637" i="1"/>
  <c r="H14637" i="1"/>
  <c r="A14638" i="1"/>
  <c r="B14638" i="1"/>
  <c r="C14638" i="1"/>
  <c r="D14638" i="1"/>
  <c r="E14638" i="1"/>
  <c r="F14638" i="1"/>
  <c r="G14638" i="1"/>
  <c r="H14638" i="1"/>
  <c r="A14639" i="1"/>
  <c r="B14639" i="1"/>
  <c r="C14639" i="1"/>
  <c r="D14639" i="1"/>
  <c r="E14639" i="1"/>
  <c r="F14639" i="1"/>
  <c r="G14639" i="1"/>
  <c r="H14639" i="1"/>
  <c r="A14640" i="1"/>
  <c r="B14640" i="1"/>
  <c r="C14640" i="1"/>
  <c r="D14640" i="1"/>
  <c r="E14640" i="1"/>
  <c r="F14640" i="1"/>
  <c r="G14640" i="1"/>
  <c r="H14640" i="1"/>
  <c r="A14641" i="1"/>
  <c r="B14641" i="1"/>
  <c r="C14641" i="1"/>
  <c r="D14641" i="1"/>
  <c r="E14641" i="1"/>
  <c r="F14641" i="1"/>
  <c r="G14641" i="1"/>
  <c r="H14641" i="1"/>
  <c r="A14642" i="1"/>
  <c r="B14642" i="1"/>
  <c r="C14642" i="1"/>
  <c r="D14642" i="1"/>
  <c r="E14642" i="1"/>
  <c r="F14642" i="1"/>
  <c r="G14642" i="1"/>
  <c r="H14642" i="1"/>
  <c r="A14643" i="1"/>
  <c r="B14643" i="1"/>
  <c r="C14643" i="1"/>
  <c r="D14643" i="1"/>
  <c r="E14643" i="1"/>
  <c r="F14643" i="1"/>
  <c r="G14643" i="1"/>
  <c r="H14643" i="1"/>
  <c r="A14644" i="1"/>
  <c r="B14644" i="1"/>
  <c r="C14644" i="1"/>
  <c r="D14644" i="1"/>
  <c r="E14644" i="1"/>
  <c r="F14644" i="1"/>
  <c r="G14644" i="1"/>
  <c r="H14644" i="1"/>
  <c r="A14645" i="1"/>
  <c r="B14645" i="1"/>
  <c r="C14645" i="1"/>
  <c r="D14645" i="1"/>
  <c r="E14645" i="1"/>
  <c r="F14645" i="1"/>
  <c r="G14645" i="1"/>
  <c r="H14645" i="1"/>
  <c r="A14646" i="1"/>
  <c r="B14646" i="1"/>
  <c r="C14646" i="1"/>
  <c r="D14646" i="1"/>
  <c r="E14646" i="1"/>
  <c r="F14646" i="1"/>
  <c r="G14646" i="1"/>
  <c r="H14646" i="1"/>
  <c r="A14647" i="1"/>
  <c r="B14647" i="1"/>
  <c r="C14647" i="1"/>
  <c r="D14647" i="1"/>
  <c r="E14647" i="1"/>
  <c r="F14647" i="1"/>
  <c r="G14647" i="1"/>
  <c r="H14647" i="1"/>
  <c r="A14648" i="1"/>
  <c r="B14648" i="1"/>
  <c r="C14648" i="1"/>
  <c r="D14648" i="1"/>
  <c r="E14648" i="1"/>
  <c r="F14648" i="1"/>
  <c r="G14648" i="1"/>
  <c r="H14648" i="1"/>
  <c r="A14649" i="1"/>
  <c r="B14649" i="1"/>
  <c r="C14649" i="1"/>
  <c r="D14649" i="1"/>
  <c r="E14649" i="1"/>
  <c r="F14649" i="1"/>
  <c r="G14649" i="1"/>
  <c r="H14649" i="1"/>
  <c r="A14650" i="1"/>
  <c r="B14650" i="1"/>
  <c r="C14650" i="1"/>
  <c r="D14650" i="1"/>
  <c r="E14650" i="1"/>
  <c r="F14650" i="1"/>
  <c r="G14650" i="1"/>
  <c r="H14650" i="1"/>
  <c r="A14651" i="1"/>
  <c r="B14651" i="1"/>
  <c r="C14651" i="1"/>
  <c r="D14651" i="1"/>
  <c r="E14651" i="1"/>
  <c r="F14651" i="1"/>
  <c r="G14651" i="1"/>
  <c r="H14651" i="1"/>
  <c r="A14652" i="1"/>
  <c r="B14652" i="1"/>
  <c r="C14652" i="1"/>
  <c r="D14652" i="1"/>
  <c r="E14652" i="1"/>
  <c r="F14652" i="1"/>
  <c r="G14652" i="1"/>
  <c r="H14652" i="1"/>
  <c r="A14653" i="1"/>
  <c r="B14653" i="1"/>
  <c r="C14653" i="1"/>
  <c r="D14653" i="1"/>
  <c r="E14653" i="1"/>
  <c r="F14653" i="1"/>
  <c r="G14653" i="1"/>
  <c r="H14653" i="1"/>
  <c r="A14654" i="1"/>
  <c r="B14654" i="1"/>
  <c r="C14654" i="1"/>
  <c r="D14654" i="1"/>
  <c r="E14654" i="1"/>
  <c r="F14654" i="1"/>
  <c r="G14654" i="1"/>
  <c r="H14654" i="1"/>
  <c r="A14655" i="1"/>
  <c r="B14655" i="1"/>
  <c r="C14655" i="1"/>
  <c r="D14655" i="1"/>
  <c r="E14655" i="1"/>
  <c r="F14655" i="1"/>
  <c r="G14655" i="1"/>
  <c r="H14655" i="1"/>
  <c r="A14656" i="1"/>
  <c r="B14656" i="1"/>
  <c r="C14656" i="1"/>
  <c r="D14656" i="1"/>
  <c r="E14656" i="1"/>
  <c r="F14656" i="1"/>
  <c r="G14656" i="1"/>
  <c r="H14656" i="1"/>
  <c r="A14657" i="1"/>
  <c r="B14657" i="1"/>
  <c r="C14657" i="1"/>
  <c r="D14657" i="1"/>
  <c r="E14657" i="1"/>
  <c r="F14657" i="1"/>
  <c r="G14657" i="1"/>
  <c r="H14657" i="1"/>
  <c r="A14658" i="1"/>
  <c r="B14658" i="1"/>
  <c r="C14658" i="1"/>
  <c r="D14658" i="1"/>
  <c r="E14658" i="1"/>
  <c r="F14658" i="1"/>
  <c r="G14658" i="1"/>
  <c r="H14658" i="1"/>
  <c r="A14659" i="1"/>
  <c r="B14659" i="1"/>
  <c r="C14659" i="1"/>
  <c r="D14659" i="1"/>
  <c r="E14659" i="1"/>
  <c r="F14659" i="1"/>
  <c r="G14659" i="1"/>
  <c r="H14659" i="1"/>
  <c r="A14660" i="1"/>
  <c r="B14660" i="1"/>
  <c r="C14660" i="1"/>
  <c r="D14660" i="1"/>
  <c r="E14660" i="1"/>
  <c r="F14660" i="1"/>
  <c r="G14660" i="1"/>
  <c r="H14660" i="1"/>
  <c r="A14661" i="1"/>
  <c r="B14661" i="1"/>
  <c r="C14661" i="1"/>
  <c r="D14661" i="1"/>
  <c r="E14661" i="1"/>
  <c r="F14661" i="1"/>
  <c r="G14661" i="1"/>
  <c r="H14661" i="1"/>
  <c r="A14662" i="1"/>
  <c r="B14662" i="1"/>
  <c r="C14662" i="1"/>
  <c r="D14662" i="1"/>
  <c r="E14662" i="1"/>
  <c r="F14662" i="1"/>
  <c r="G14662" i="1"/>
  <c r="H14662" i="1"/>
  <c r="A14663" i="1"/>
  <c r="B14663" i="1"/>
  <c r="C14663" i="1"/>
  <c r="D14663" i="1"/>
  <c r="E14663" i="1"/>
  <c r="F14663" i="1"/>
  <c r="G14663" i="1"/>
  <c r="H14663" i="1"/>
  <c r="A14664" i="1"/>
  <c r="B14664" i="1"/>
  <c r="C14664" i="1"/>
  <c r="D14664" i="1"/>
  <c r="E14664" i="1"/>
  <c r="F14664" i="1"/>
  <c r="G14664" i="1"/>
  <c r="H14664" i="1"/>
  <c r="A14665" i="1"/>
  <c r="B14665" i="1"/>
  <c r="C14665" i="1"/>
  <c r="D14665" i="1"/>
  <c r="E14665" i="1"/>
  <c r="F14665" i="1"/>
  <c r="G14665" i="1"/>
  <c r="H14665" i="1"/>
  <c r="A14666" i="1"/>
  <c r="B14666" i="1"/>
  <c r="C14666" i="1"/>
  <c r="D14666" i="1"/>
  <c r="E14666" i="1"/>
  <c r="F14666" i="1"/>
  <c r="G14666" i="1"/>
  <c r="H14666" i="1"/>
  <c r="A14667" i="1"/>
  <c r="B14667" i="1"/>
  <c r="C14667" i="1"/>
  <c r="D14667" i="1"/>
  <c r="E14667" i="1"/>
  <c r="F14667" i="1"/>
  <c r="G14667" i="1"/>
  <c r="H14667" i="1"/>
  <c r="A14668" i="1"/>
  <c r="B14668" i="1"/>
  <c r="C14668" i="1"/>
  <c r="D14668" i="1"/>
  <c r="E14668" i="1"/>
  <c r="F14668" i="1"/>
  <c r="G14668" i="1"/>
  <c r="H14668" i="1"/>
  <c r="A14669" i="1"/>
  <c r="B14669" i="1"/>
  <c r="C14669" i="1"/>
  <c r="D14669" i="1"/>
  <c r="E14669" i="1"/>
  <c r="F14669" i="1"/>
  <c r="G14669" i="1"/>
  <c r="H14669" i="1"/>
  <c r="A14670" i="1"/>
  <c r="B14670" i="1"/>
  <c r="C14670" i="1"/>
  <c r="D14670" i="1"/>
  <c r="E14670" i="1"/>
  <c r="F14670" i="1"/>
  <c r="G14670" i="1"/>
  <c r="H14670" i="1"/>
  <c r="A14671" i="1"/>
  <c r="B14671" i="1"/>
  <c r="C14671" i="1"/>
  <c r="D14671" i="1"/>
  <c r="E14671" i="1"/>
  <c r="F14671" i="1"/>
  <c r="G14671" i="1"/>
  <c r="H14671" i="1"/>
  <c r="A14672" i="1"/>
  <c r="B14672" i="1"/>
  <c r="C14672" i="1"/>
  <c r="D14672" i="1"/>
  <c r="E14672" i="1"/>
  <c r="F14672" i="1"/>
  <c r="G14672" i="1"/>
  <c r="H14672" i="1"/>
  <c r="A14673" i="1"/>
  <c r="B14673" i="1"/>
  <c r="C14673" i="1"/>
  <c r="D14673" i="1"/>
  <c r="E14673" i="1"/>
  <c r="F14673" i="1"/>
  <c r="G14673" i="1"/>
  <c r="H14673" i="1"/>
  <c r="A14674" i="1"/>
  <c r="B14674" i="1"/>
  <c r="C14674" i="1"/>
  <c r="D14674" i="1"/>
  <c r="E14674" i="1"/>
  <c r="F14674" i="1"/>
  <c r="G14674" i="1"/>
  <c r="H14674" i="1"/>
  <c r="A14675" i="1"/>
  <c r="B14675" i="1"/>
  <c r="C14675" i="1"/>
  <c r="D14675" i="1"/>
  <c r="E14675" i="1"/>
  <c r="F14675" i="1"/>
  <c r="G14675" i="1"/>
  <c r="H14675" i="1"/>
  <c r="A14676" i="1"/>
  <c r="B14676" i="1"/>
  <c r="C14676" i="1"/>
  <c r="D14676" i="1"/>
  <c r="E14676" i="1"/>
  <c r="F14676" i="1"/>
  <c r="G14676" i="1"/>
  <c r="H14676" i="1"/>
  <c r="A14677" i="1"/>
  <c r="B14677" i="1"/>
  <c r="C14677" i="1"/>
  <c r="D14677" i="1"/>
  <c r="E14677" i="1"/>
  <c r="F14677" i="1"/>
  <c r="G14677" i="1"/>
  <c r="H14677" i="1"/>
  <c r="A14678" i="1"/>
  <c r="B14678" i="1"/>
  <c r="C14678" i="1"/>
  <c r="D14678" i="1"/>
  <c r="E14678" i="1"/>
  <c r="F14678" i="1"/>
  <c r="G14678" i="1"/>
  <c r="H14678" i="1"/>
  <c r="A14679" i="1"/>
  <c r="B14679" i="1"/>
  <c r="C14679" i="1"/>
  <c r="D14679" i="1"/>
  <c r="E14679" i="1"/>
  <c r="F14679" i="1"/>
  <c r="G14679" i="1"/>
  <c r="H14679" i="1"/>
  <c r="A14680" i="1"/>
  <c r="B14680" i="1"/>
  <c r="C14680" i="1"/>
  <c r="D14680" i="1"/>
  <c r="E14680" i="1"/>
  <c r="F14680" i="1"/>
  <c r="G14680" i="1"/>
  <c r="H14680" i="1"/>
  <c r="A14681" i="1"/>
  <c r="B14681" i="1"/>
  <c r="C14681" i="1"/>
  <c r="D14681" i="1"/>
  <c r="E14681" i="1"/>
  <c r="F14681" i="1"/>
  <c r="G14681" i="1"/>
  <c r="H14681" i="1"/>
  <c r="A14682" i="1"/>
  <c r="B14682" i="1"/>
  <c r="C14682" i="1"/>
  <c r="D14682" i="1"/>
  <c r="E14682" i="1"/>
  <c r="F14682" i="1"/>
  <c r="G14682" i="1"/>
  <c r="H14682" i="1"/>
  <c r="A14683" i="1"/>
  <c r="B14683" i="1"/>
  <c r="C14683" i="1"/>
  <c r="D14683" i="1"/>
  <c r="E14683" i="1"/>
  <c r="F14683" i="1"/>
  <c r="G14683" i="1"/>
  <c r="H14683" i="1"/>
  <c r="A14684" i="1"/>
  <c r="B14684" i="1"/>
  <c r="C14684" i="1"/>
  <c r="D14684" i="1"/>
  <c r="E14684" i="1"/>
  <c r="F14684" i="1"/>
  <c r="G14684" i="1"/>
  <c r="H14684" i="1"/>
  <c r="A14685" i="1"/>
  <c r="B14685" i="1"/>
  <c r="C14685" i="1"/>
  <c r="D14685" i="1"/>
  <c r="E14685" i="1"/>
  <c r="F14685" i="1"/>
  <c r="G14685" i="1"/>
  <c r="H14685" i="1"/>
  <c r="A14686" i="1"/>
  <c r="B14686" i="1"/>
  <c r="C14686" i="1"/>
  <c r="D14686" i="1"/>
  <c r="E14686" i="1"/>
  <c r="F14686" i="1"/>
  <c r="G14686" i="1"/>
  <c r="H14686" i="1"/>
  <c r="A14687" i="1"/>
  <c r="B14687" i="1"/>
  <c r="C14687" i="1"/>
  <c r="D14687" i="1"/>
  <c r="E14687" i="1"/>
  <c r="F14687" i="1"/>
  <c r="G14687" i="1"/>
  <c r="H14687" i="1"/>
  <c r="A14688" i="1"/>
  <c r="B14688" i="1"/>
  <c r="C14688" i="1"/>
  <c r="D14688" i="1"/>
  <c r="E14688" i="1"/>
  <c r="F14688" i="1"/>
  <c r="G14688" i="1"/>
  <c r="H14688" i="1"/>
  <c r="A14689" i="1"/>
  <c r="B14689" i="1"/>
  <c r="C14689" i="1"/>
  <c r="D14689" i="1"/>
  <c r="E14689" i="1"/>
  <c r="F14689" i="1"/>
  <c r="G14689" i="1"/>
  <c r="H14689" i="1"/>
  <c r="A14690" i="1"/>
  <c r="B14690" i="1"/>
  <c r="C14690" i="1"/>
  <c r="D14690" i="1"/>
  <c r="E14690" i="1"/>
  <c r="F14690" i="1"/>
  <c r="G14690" i="1"/>
  <c r="H14690" i="1"/>
  <c r="A14691" i="1"/>
  <c r="B14691" i="1"/>
  <c r="C14691" i="1"/>
  <c r="D14691" i="1"/>
  <c r="E14691" i="1"/>
  <c r="F14691" i="1"/>
  <c r="G14691" i="1"/>
  <c r="H14691" i="1"/>
  <c r="A14692" i="1"/>
  <c r="B14692" i="1"/>
  <c r="C14692" i="1"/>
  <c r="D14692" i="1"/>
  <c r="E14692" i="1"/>
  <c r="F14692" i="1"/>
  <c r="G14692" i="1"/>
  <c r="H14692" i="1"/>
  <c r="A14693" i="1"/>
  <c r="B14693" i="1"/>
  <c r="C14693" i="1"/>
  <c r="D14693" i="1"/>
  <c r="E14693" i="1"/>
  <c r="F14693" i="1"/>
  <c r="G14693" i="1"/>
  <c r="H14693" i="1"/>
  <c r="A14694" i="1"/>
  <c r="B14694" i="1"/>
  <c r="C14694" i="1"/>
  <c r="D14694" i="1"/>
  <c r="E14694" i="1"/>
  <c r="F14694" i="1"/>
  <c r="G14694" i="1"/>
  <c r="H14694" i="1"/>
  <c r="A14695" i="1"/>
  <c r="B14695" i="1"/>
  <c r="C14695" i="1"/>
  <c r="D14695" i="1"/>
  <c r="E14695" i="1"/>
  <c r="F14695" i="1"/>
  <c r="G14695" i="1"/>
  <c r="H14695" i="1"/>
  <c r="A14696" i="1"/>
  <c r="B14696" i="1"/>
  <c r="C14696" i="1"/>
  <c r="D14696" i="1"/>
  <c r="E14696" i="1"/>
  <c r="F14696" i="1"/>
  <c r="G14696" i="1"/>
  <c r="H14696" i="1"/>
  <c r="A14697" i="1"/>
  <c r="B14697" i="1"/>
  <c r="C14697" i="1"/>
  <c r="D14697" i="1"/>
  <c r="E14697" i="1"/>
  <c r="F14697" i="1"/>
  <c r="G14697" i="1"/>
  <c r="H14697" i="1"/>
  <c r="A14698" i="1"/>
  <c r="B14698" i="1"/>
  <c r="C14698" i="1"/>
  <c r="D14698" i="1"/>
  <c r="E14698" i="1"/>
  <c r="F14698" i="1"/>
  <c r="G14698" i="1"/>
  <c r="H14698" i="1"/>
  <c r="A14699" i="1"/>
  <c r="B14699" i="1"/>
  <c r="C14699" i="1"/>
  <c r="D14699" i="1"/>
  <c r="E14699" i="1"/>
  <c r="F14699" i="1"/>
  <c r="G14699" i="1"/>
  <c r="H14699" i="1"/>
  <c r="A14700" i="1"/>
  <c r="B14700" i="1"/>
  <c r="C14700" i="1"/>
  <c r="D14700" i="1"/>
  <c r="E14700" i="1"/>
  <c r="F14700" i="1"/>
  <c r="G14700" i="1"/>
  <c r="H14700" i="1"/>
  <c r="A14701" i="1"/>
  <c r="B14701" i="1"/>
  <c r="C14701" i="1"/>
  <c r="D14701" i="1"/>
  <c r="E14701" i="1"/>
  <c r="F14701" i="1"/>
  <c r="G14701" i="1"/>
  <c r="H14701" i="1"/>
  <c r="A14702" i="1"/>
  <c r="B14702" i="1"/>
  <c r="C14702" i="1"/>
  <c r="D14702" i="1"/>
  <c r="E14702" i="1"/>
  <c r="F14702" i="1"/>
  <c r="G14702" i="1"/>
  <c r="H14702" i="1"/>
  <c r="A14703" i="1"/>
  <c r="B14703" i="1"/>
  <c r="C14703" i="1"/>
  <c r="D14703" i="1"/>
  <c r="E14703" i="1"/>
  <c r="F14703" i="1"/>
  <c r="G14703" i="1"/>
  <c r="H14703" i="1"/>
  <c r="A14704" i="1"/>
  <c r="B14704" i="1"/>
  <c r="C14704" i="1"/>
  <c r="D14704" i="1"/>
  <c r="E14704" i="1"/>
  <c r="F14704" i="1"/>
  <c r="G14704" i="1"/>
  <c r="H14704" i="1"/>
  <c r="A14705" i="1"/>
  <c r="B14705" i="1"/>
  <c r="C14705" i="1"/>
  <c r="D14705" i="1"/>
  <c r="E14705" i="1"/>
  <c r="F14705" i="1"/>
  <c r="G14705" i="1"/>
  <c r="H14705" i="1"/>
  <c r="A14706" i="1"/>
  <c r="B14706" i="1"/>
  <c r="C14706" i="1"/>
  <c r="D14706" i="1"/>
  <c r="E14706" i="1"/>
  <c r="F14706" i="1"/>
  <c r="G14706" i="1"/>
  <c r="H14706" i="1"/>
  <c r="A14707" i="1"/>
  <c r="B14707" i="1"/>
  <c r="C14707" i="1"/>
  <c r="D14707" i="1"/>
  <c r="E14707" i="1"/>
  <c r="F14707" i="1"/>
  <c r="G14707" i="1"/>
  <c r="H14707" i="1"/>
  <c r="A14708" i="1"/>
  <c r="B14708" i="1"/>
  <c r="C14708" i="1"/>
  <c r="D14708" i="1"/>
  <c r="E14708" i="1"/>
  <c r="F14708" i="1"/>
  <c r="G14708" i="1"/>
  <c r="H14708" i="1"/>
  <c r="A14709" i="1"/>
  <c r="B14709" i="1"/>
  <c r="C14709" i="1"/>
  <c r="D14709" i="1"/>
  <c r="E14709" i="1"/>
  <c r="F14709" i="1"/>
  <c r="G14709" i="1"/>
  <c r="H14709" i="1"/>
  <c r="A14710" i="1"/>
  <c r="B14710" i="1"/>
  <c r="C14710" i="1"/>
  <c r="D14710" i="1"/>
  <c r="E14710" i="1"/>
  <c r="F14710" i="1"/>
  <c r="G14710" i="1"/>
  <c r="H14710" i="1"/>
  <c r="A14711" i="1"/>
  <c r="B14711" i="1"/>
  <c r="C14711" i="1"/>
  <c r="D14711" i="1"/>
  <c r="E14711" i="1"/>
  <c r="F14711" i="1"/>
  <c r="G14711" i="1"/>
  <c r="H14711" i="1"/>
  <c r="A14712" i="1"/>
  <c r="B14712" i="1"/>
  <c r="C14712" i="1"/>
  <c r="D14712" i="1"/>
  <c r="E14712" i="1"/>
  <c r="F14712" i="1"/>
  <c r="G14712" i="1"/>
  <c r="H14712" i="1"/>
  <c r="A14713" i="1"/>
  <c r="B14713" i="1"/>
  <c r="C14713" i="1"/>
  <c r="D14713" i="1"/>
  <c r="E14713" i="1"/>
  <c r="F14713" i="1"/>
  <c r="G14713" i="1"/>
  <c r="H14713" i="1"/>
  <c r="A14714" i="1"/>
  <c r="B14714" i="1"/>
  <c r="C14714" i="1"/>
  <c r="D14714" i="1"/>
  <c r="E14714" i="1"/>
  <c r="F14714" i="1"/>
  <c r="G14714" i="1"/>
  <c r="H14714" i="1"/>
  <c r="A14715" i="1"/>
  <c r="B14715" i="1"/>
  <c r="C14715" i="1"/>
  <c r="D14715" i="1"/>
  <c r="E14715" i="1"/>
  <c r="F14715" i="1"/>
  <c r="G14715" i="1"/>
  <c r="H14715" i="1"/>
  <c r="A14716" i="1"/>
  <c r="B14716" i="1"/>
  <c r="C14716" i="1"/>
  <c r="D14716" i="1"/>
  <c r="E14716" i="1"/>
  <c r="F14716" i="1"/>
  <c r="G14716" i="1"/>
  <c r="H14716" i="1"/>
  <c r="A14717" i="1"/>
  <c r="B14717" i="1"/>
  <c r="C14717" i="1"/>
  <c r="D14717" i="1"/>
  <c r="E14717" i="1"/>
  <c r="F14717" i="1"/>
  <c r="G14717" i="1"/>
  <c r="H14717" i="1"/>
  <c r="A14718" i="1"/>
  <c r="B14718" i="1"/>
  <c r="C14718" i="1"/>
  <c r="D14718" i="1"/>
  <c r="E14718" i="1"/>
  <c r="F14718" i="1"/>
  <c r="G14718" i="1"/>
  <c r="H14718" i="1"/>
  <c r="A14719" i="1"/>
  <c r="B14719" i="1"/>
  <c r="C14719" i="1"/>
  <c r="D14719" i="1"/>
  <c r="E14719" i="1"/>
  <c r="F14719" i="1"/>
  <c r="G14719" i="1"/>
  <c r="H14719" i="1"/>
  <c r="A14720" i="1"/>
  <c r="B14720" i="1"/>
  <c r="C14720" i="1"/>
  <c r="D14720" i="1"/>
  <c r="E14720" i="1"/>
  <c r="F14720" i="1"/>
  <c r="G14720" i="1"/>
  <c r="H14720" i="1"/>
  <c r="A14721" i="1"/>
  <c r="B14721" i="1"/>
  <c r="C14721" i="1"/>
  <c r="D14721" i="1"/>
  <c r="E14721" i="1"/>
  <c r="F14721" i="1"/>
  <c r="G14721" i="1"/>
  <c r="H14721" i="1"/>
  <c r="A14722" i="1"/>
  <c r="B14722" i="1"/>
  <c r="C14722" i="1"/>
  <c r="D14722" i="1"/>
  <c r="E14722" i="1"/>
  <c r="F14722" i="1"/>
  <c r="G14722" i="1"/>
  <c r="H14722" i="1"/>
  <c r="A14723" i="1"/>
  <c r="B14723" i="1"/>
  <c r="C14723" i="1"/>
  <c r="D14723" i="1"/>
  <c r="E14723" i="1"/>
  <c r="F14723" i="1"/>
  <c r="G14723" i="1"/>
  <c r="H14723" i="1"/>
  <c r="A14724" i="1"/>
  <c r="B14724" i="1"/>
  <c r="C14724" i="1"/>
  <c r="D14724" i="1"/>
  <c r="E14724" i="1"/>
  <c r="F14724" i="1"/>
  <c r="G14724" i="1"/>
  <c r="H14724" i="1"/>
  <c r="A14725" i="1"/>
  <c r="B14725" i="1"/>
  <c r="C14725" i="1"/>
  <c r="D14725" i="1"/>
  <c r="E14725" i="1"/>
  <c r="F14725" i="1"/>
  <c r="G14725" i="1"/>
  <c r="H14725" i="1"/>
  <c r="A14726" i="1"/>
  <c r="B14726" i="1"/>
  <c r="C14726" i="1"/>
  <c r="D14726" i="1"/>
  <c r="E14726" i="1"/>
  <c r="F14726" i="1"/>
  <c r="G14726" i="1"/>
  <c r="H14726" i="1"/>
  <c r="A14727" i="1"/>
  <c r="B14727" i="1"/>
  <c r="C14727" i="1"/>
  <c r="D14727" i="1"/>
  <c r="E14727" i="1"/>
  <c r="F14727" i="1"/>
  <c r="G14727" i="1"/>
  <c r="H14727" i="1"/>
  <c r="A14728" i="1"/>
  <c r="B14728" i="1"/>
  <c r="C14728" i="1"/>
  <c r="D14728" i="1"/>
  <c r="E14728" i="1"/>
  <c r="F14728" i="1"/>
  <c r="G14728" i="1"/>
  <c r="H14728" i="1"/>
  <c r="A14729" i="1"/>
  <c r="B14729" i="1"/>
  <c r="C14729" i="1"/>
  <c r="D14729" i="1"/>
  <c r="E14729" i="1"/>
  <c r="F14729" i="1"/>
  <c r="G14729" i="1"/>
  <c r="H14729" i="1"/>
  <c r="A14730" i="1"/>
  <c r="B14730" i="1"/>
  <c r="C14730" i="1"/>
  <c r="D14730" i="1"/>
  <c r="E14730" i="1"/>
  <c r="F14730" i="1"/>
  <c r="G14730" i="1"/>
  <c r="H14730" i="1"/>
  <c r="A14731" i="1"/>
  <c r="B14731" i="1"/>
  <c r="C14731" i="1"/>
  <c r="D14731" i="1"/>
  <c r="E14731" i="1"/>
  <c r="F14731" i="1"/>
  <c r="G14731" i="1"/>
  <c r="H14731" i="1"/>
  <c r="A14732" i="1"/>
  <c r="B14732" i="1"/>
  <c r="C14732" i="1"/>
  <c r="D14732" i="1"/>
  <c r="E14732" i="1"/>
  <c r="F14732" i="1"/>
  <c r="G14732" i="1"/>
  <c r="H14732" i="1"/>
  <c r="A14733" i="1"/>
  <c r="B14733" i="1"/>
  <c r="C14733" i="1"/>
  <c r="D14733" i="1"/>
  <c r="E14733" i="1"/>
  <c r="F14733" i="1"/>
  <c r="G14733" i="1"/>
  <c r="H14733" i="1"/>
  <c r="A14734" i="1"/>
  <c r="B14734" i="1"/>
  <c r="C14734" i="1"/>
  <c r="D14734" i="1"/>
  <c r="E14734" i="1"/>
  <c r="F14734" i="1"/>
  <c r="G14734" i="1"/>
  <c r="H14734" i="1"/>
  <c r="A14735" i="1"/>
  <c r="B14735" i="1"/>
  <c r="C14735" i="1"/>
  <c r="D14735" i="1"/>
  <c r="E14735" i="1"/>
  <c r="F14735" i="1"/>
  <c r="G14735" i="1"/>
  <c r="H14735" i="1"/>
  <c r="A14736" i="1"/>
  <c r="B14736" i="1"/>
  <c r="C14736" i="1"/>
  <c r="D14736" i="1"/>
  <c r="E14736" i="1"/>
  <c r="F14736" i="1"/>
  <c r="G14736" i="1"/>
  <c r="H14736" i="1"/>
  <c r="A14737" i="1"/>
  <c r="B14737" i="1"/>
  <c r="C14737" i="1"/>
  <c r="D14737" i="1"/>
  <c r="E14737" i="1"/>
  <c r="F14737" i="1"/>
  <c r="G14737" i="1"/>
  <c r="H14737" i="1"/>
  <c r="A14738" i="1"/>
  <c r="B14738" i="1"/>
  <c r="C14738" i="1"/>
  <c r="D14738" i="1"/>
  <c r="E14738" i="1"/>
  <c r="F14738" i="1"/>
  <c r="G14738" i="1"/>
  <c r="H14738" i="1"/>
  <c r="A14739" i="1"/>
  <c r="B14739" i="1"/>
  <c r="C14739" i="1"/>
  <c r="D14739" i="1"/>
  <c r="E14739" i="1"/>
  <c r="F14739" i="1"/>
  <c r="G14739" i="1"/>
  <c r="H14739" i="1"/>
  <c r="A14740" i="1"/>
  <c r="B14740" i="1"/>
  <c r="C14740" i="1"/>
  <c r="D14740" i="1"/>
  <c r="E14740" i="1"/>
  <c r="F14740" i="1"/>
  <c r="G14740" i="1"/>
  <c r="H14740" i="1"/>
  <c r="A14741" i="1"/>
  <c r="B14741" i="1"/>
  <c r="C14741" i="1"/>
  <c r="D14741" i="1"/>
  <c r="E14741" i="1"/>
  <c r="F14741" i="1"/>
  <c r="G14741" i="1"/>
  <c r="H14741" i="1"/>
  <c r="A14742" i="1"/>
  <c r="B14742" i="1"/>
  <c r="C14742" i="1"/>
  <c r="D14742" i="1"/>
  <c r="E14742" i="1"/>
  <c r="F14742" i="1"/>
  <c r="G14742" i="1"/>
  <c r="H14742" i="1"/>
  <c r="A14743" i="1"/>
  <c r="B14743" i="1"/>
  <c r="C14743" i="1"/>
  <c r="D14743" i="1"/>
  <c r="E14743" i="1"/>
  <c r="F14743" i="1"/>
  <c r="G14743" i="1"/>
  <c r="H14743" i="1"/>
  <c r="A14744" i="1"/>
  <c r="B14744" i="1"/>
  <c r="C14744" i="1"/>
  <c r="D14744" i="1"/>
  <c r="E14744" i="1"/>
  <c r="F14744" i="1"/>
  <c r="G14744" i="1"/>
  <c r="H14744" i="1"/>
  <c r="A14745" i="1"/>
  <c r="B14745" i="1"/>
  <c r="C14745" i="1"/>
  <c r="D14745" i="1"/>
  <c r="E14745" i="1"/>
  <c r="F14745" i="1"/>
  <c r="G14745" i="1"/>
  <c r="H14745" i="1"/>
  <c r="A14746" i="1"/>
  <c r="B14746" i="1"/>
  <c r="C14746" i="1"/>
  <c r="D14746" i="1"/>
  <c r="E14746" i="1"/>
  <c r="F14746" i="1"/>
  <c r="G14746" i="1"/>
  <c r="H14746" i="1"/>
  <c r="A14747" i="1"/>
  <c r="B14747" i="1"/>
  <c r="C14747" i="1"/>
  <c r="D14747" i="1"/>
  <c r="E14747" i="1"/>
  <c r="F14747" i="1"/>
  <c r="G14747" i="1"/>
  <c r="H14747" i="1"/>
  <c r="A14748" i="1"/>
  <c r="B14748" i="1"/>
  <c r="C14748" i="1"/>
  <c r="D14748" i="1"/>
  <c r="E14748" i="1"/>
  <c r="F14748" i="1"/>
  <c r="G14748" i="1"/>
  <c r="H14748" i="1"/>
  <c r="A14749" i="1"/>
  <c r="B14749" i="1"/>
  <c r="C14749" i="1"/>
  <c r="D14749" i="1"/>
  <c r="E14749" i="1"/>
  <c r="F14749" i="1"/>
  <c r="G14749" i="1"/>
  <c r="H14749" i="1"/>
  <c r="A14750" i="1"/>
  <c r="B14750" i="1"/>
  <c r="C14750" i="1"/>
  <c r="D14750" i="1"/>
  <c r="E14750" i="1"/>
  <c r="F14750" i="1"/>
  <c r="G14750" i="1"/>
  <c r="H14750" i="1"/>
  <c r="A14751" i="1"/>
  <c r="B14751" i="1"/>
  <c r="C14751" i="1"/>
  <c r="D14751" i="1"/>
  <c r="E14751" i="1"/>
  <c r="F14751" i="1"/>
  <c r="G14751" i="1"/>
  <c r="H14751" i="1"/>
  <c r="A14752" i="1"/>
  <c r="B14752" i="1"/>
  <c r="C14752" i="1"/>
  <c r="D14752" i="1"/>
  <c r="E14752" i="1"/>
  <c r="F14752" i="1"/>
  <c r="G14752" i="1"/>
  <c r="H14752" i="1"/>
  <c r="A14753" i="1"/>
  <c r="B14753" i="1"/>
  <c r="C14753" i="1"/>
  <c r="D14753" i="1"/>
  <c r="E14753" i="1"/>
  <c r="F14753" i="1"/>
  <c r="G14753" i="1"/>
  <c r="H14753" i="1"/>
  <c r="A14754" i="1"/>
  <c r="B14754" i="1"/>
  <c r="C14754" i="1"/>
  <c r="D14754" i="1"/>
  <c r="E14754" i="1"/>
  <c r="F14754" i="1"/>
  <c r="G14754" i="1"/>
  <c r="H14754" i="1"/>
  <c r="A14755" i="1"/>
  <c r="B14755" i="1"/>
  <c r="C14755" i="1"/>
  <c r="D14755" i="1"/>
  <c r="E14755" i="1"/>
  <c r="F14755" i="1"/>
  <c r="G14755" i="1"/>
  <c r="H14755" i="1"/>
  <c r="A14756" i="1"/>
  <c r="B14756" i="1"/>
  <c r="C14756" i="1"/>
  <c r="D14756" i="1"/>
  <c r="E14756" i="1"/>
  <c r="F14756" i="1"/>
  <c r="G14756" i="1"/>
  <c r="H14756" i="1"/>
  <c r="A14757" i="1"/>
  <c r="B14757" i="1"/>
  <c r="C14757" i="1"/>
  <c r="D14757" i="1"/>
  <c r="E14757" i="1"/>
  <c r="F14757" i="1"/>
  <c r="G14757" i="1"/>
  <c r="H14757" i="1"/>
  <c r="A14758" i="1"/>
  <c r="B14758" i="1"/>
  <c r="C14758" i="1"/>
  <c r="D14758" i="1"/>
  <c r="E14758" i="1"/>
  <c r="F14758" i="1"/>
  <c r="G14758" i="1"/>
  <c r="H14758" i="1"/>
  <c r="A14759" i="1"/>
  <c r="B14759" i="1"/>
  <c r="C14759" i="1"/>
  <c r="D14759" i="1"/>
  <c r="E14759" i="1"/>
  <c r="F14759" i="1"/>
  <c r="G14759" i="1"/>
  <c r="H14759" i="1"/>
  <c r="A14760" i="1"/>
  <c r="B14760" i="1"/>
  <c r="C14760" i="1"/>
  <c r="D14760" i="1"/>
  <c r="E14760" i="1"/>
  <c r="F14760" i="1"/>
  <c r="G14760" i="1"/>
  <c r="H14760" i="1"/>
  <c r="A14761" i="1"/>
  <c r="B14761" i="1"/>
  <c r="C14761" i="1"/>
  <c r="D14761" i="1"/>
  <c r="E14761" i="1"/>
  <c r="F14761" i="1"/>
  <c r="G14761" i="1"/>
  <c r="H14761" i="1"/>
  <c r="A14762" i="1"/>
  <c r="B14762" i="1"/>
  <c r="C14762" i="1"/>
  <c r="D14762" i="1"/>
  <c r="E14762" i="1"/>
  <c r="F14762" i="1"/>
  <c r="G14762" i="1"/>
  <c r="H14762" i="1"/>
  <c r="A14763" i="1"/>
  <c r="B14763" i="1"/>
  <c r="C14763" i="1"/>
  <c r="D14763" i="1"/>
  <c r="E14763" i="1"/>
  <c r="F14763" i="1"/>
  <c r="G14763" i="1"/>
  <c r="H14763" i="1"/>
  <c r="A14764" i="1"/>
  <c r="B14764" i="1"/>
  <c r="C14764" i="1"/>
  <c r="D14764" i="1"/>
  <c r="E14764" i="1"/>
  <c r="F14764" i="1"/>
  <c r="G14764" i="1"/>
  <c r="H14764" i="1"/>
  <c r="A14765" i="1"/>
  <c r="B14765" i="1"/>
  <c r="C14765" i="1"/>
  <c r="D14765" i="1"/>
  <c r="E14765" i="1"/>
  <c r="F14765" i="1"/>
  <c r="G14765" i="1"/>
  <c r="H14765" i="1"/>
  <c r="A14766" i="1"/>
  <c r="B14766" i="1"/>
  <c r="C14766" i="1"/>
  <c r="D14766" i="1"/>
  <c r="E14766" i="1"/>
  <c r="F14766" i="1"/>
  <c r="G14766" i="1"/>
  <c r="H14766" i="1"/>
  <c r="A14767" i="1"/>
  <c r="B14767" i="1"/>
  <c r="C14767" i="1"/>
  <c r="D14767" i="1"/>
  <c r="E14767" i="1"/>
  <c r="F14767" i="1"/>
  <c r="G14767" i="1"/>
  <c r="H14767" i="1"/>
  <c r="A14768" i="1"/>
  <c r="B14768" i="1"/>
  <c r="C14768" i="1"/>
  <c r="D14768" i="1"/>
  <c r="E14768" i="1"/>
  <c r="F14768" i="1"/>
  <c r="G14768" i="1"/>
  <c r="H14768" i="1"/>
  <c r="A14769" i="1"/>
  <c r="B14769" i="1"/>
  <c r="C14769" i="1"/>
  <c r="D14769" i="1"/>
  <c r="E14769" i="1"/>
  <c r="F14769" i="1"/>
  <c r="G14769" i="1"/>
  <c r="H14769" i="1"/>
  <c r="A14770" i="1"/>
  <c r="B14770" i="1"/>
  <c r="C14770" i="1"/>
  <c r="D14770" i="1"/>
  <c r="E14770" i="1"/>
  <c r="F14770" i="1"/>
  <c r="G14770" i="1"/>
  <c r="H14770" i="1"/>
  <c r="A14771" i="1"/>
  <c r="B14771" i="1"/>
  <c r="C14771" i="1"/>
  <c r="D14771" i="1"/>
  <c r="E14771" i="1"/>
  <c r="F14771" i="1"/>
  <c r="G14771" i="1"/>
  <c r="H14771" i="1"/>
  <c r="A14772" i="1"/>
  <c r="B14772" i="1"/>
  <c r="C14772" i="1"/>
  <c r="D14772" i="1"/>
  <c r="E14772" i="1"/>
  <c r="F14772" i="1"/>
  <c r="G14772" i="1"/>
  <c r="H14772" i="1"/>
  <c r="A14773" i="1"/>
  <c r="B14773" i="1"/>
  <c r="C14773" i="1"/>
  <c r="D14773" i="1"/>
  <c r="E14773" i="1"/>
  <c r="F14773" i="1"/>
  <c r="G14773" i="1"/>
  <c r="H14773" i="1"/>
  <c r="A14774" i="1"/>
  <c r="B14774" i="1"/>
  <c r="C14774" i="1"/>
  <c r="D14774" i="1"/>
  <c r="E14774" i="1"/>
  <c r="F14774" i="1"/>
  <c r="G14774" i="1"/>
  <c r="H14774" i="1"/>
  <c r="A14775" i="1"/>
  <c r="B14775" i="1"/>
  <c r="C14775" i="1"/>
  <c r="D14775" i="1"/>
  <c r="E14775" i="1"/>
  <c r="F14775" i="1"/>
  <c r="G14775" i="1"/>
  <c r="H14775" i="1"/>
  <c r="A14776" i="1"/>
  <c r="B14776" i="1"/>
  <c r="C14776" i="1"/>
  <c r="D14776" i="1"/>
  <c r="E14776" i="1"/>
  <c r="F14776" i="1"/>
  <c r="G14776" i="1"/>
  <c r="H14776" i="1"/>
  <c r="A14777" i="1"/>
  <c r="B14777" i="1"/>
  <c r="C14777" i="1"/>
  <c r="D14777" i="1"/>
  <c r="E14777" i="1"/>
  <c r="F14777" i="1"/>
  <c r="G14777" i="1"/>
  <c r="H14777" i="1"/>
  <c r="A14778" i="1"/>
  <c r="B14778" i="1"/>
  <c r="C14778" i="1"/>
  <c r="D14778" i="1"/>
  <c r="E14778" i="1"/>
  <c r="F14778" i="1"/>
  <c r="G14778" i="1"/>
  <c r="H14778" i="1"/>
  <c r="A14779" i="1"/>
  <c r="B14779" i="1"/>
  <c r="C14779" i="1"/>
  <c r="D14779" i="1"/>
  <c r="E14779" i="1"/>
  <c r="F14779" i="1"/>
  <c r="G14779" i="1"/>
  <c r="H14779" i="1"/>
  <c r="A14780" i="1"/>
  <c r="B14780" i="1"/>
  <c r="C14780" i="1"/>
  <c r="D14780" i="1"/>
  <c r="E14780" i="1"/>
  <c r="F14780" i="1"/>
  <c r="G14780" i="1"/>
  <c r="H14780" i="1"/>
  <c r="A14781" i="1"/>
  <c r="B14781" i="1"/>
  <c r="C14781" i="1"/>
  <c r="D14781" i="1"/>
  <c r="E14781" i="1"/>
  <c r="F14781" i="1"/>
  <c r="G14781" i="1"/>
  <c r="H14781" i="1"/>
  <c r="A14782" i="1"/>
  <c r="B14782" i="1"/>
  <c r="C14782" i="1"/>
  <c r="D14782" i="1"/>
  <c r="E14782" i="1"/>
  <c r="F14782" i="1"/>
  <c r="G14782" i="1"/>
  <c r="H14782" i="1"/>
  <c r="A14783" i="1"/>
  <c r="B14783" i="1"/>
  <c r="C14783" i="1"/>
  <c r="D14783" i="1"/>
  <c r="E14783" i="1"/>
  <c r="F14783" i="1"/>
  <c r="G14783" i="1"/>
  <c r="H14783" i="1"/>
  <c r="A14784" i="1"/>
  <c r="B14784" i="1"/>
  <c r="C14784" i="1"/>
  <c r="D14784" i="1"/>
  <c r="E14784" i="1"/>
  <c r="F14784" i="1"/>
  <c r="G14784" i="1"/>
  <c r="H14784" i="1"/>
  <c r="A14785" i="1"/>
  <c r="B14785" i="1"/>
  <c r="C14785" i="1"/>
  <c r="D14785" i="1"/>
  <c r="E14785" i="1"/>
  <c r="F14785" i="1"/>
  <c r="G14785" i="1"/>
  <c r="H14785" i="1"/>
  <c r="A14786" i="1"/>
  <c r="B14786" i="1"/>
  <c r="C14786" i="1"/>
  <c r="D14786" i="1"/>
  <c r="E14786" i="1"/>
  <c r="F14786" i="1"/>
  <c r="G14786" i="1"/>
  <c r="H14786" i="1"/>
  <c r="A14787" i="1"/>
  <c r="B14787" i="1"/>
  <c r="C14787" i="1"/>
  <c r="D14787" i="1"/>
  <c r="E14787" i="1"/>
  <c r="F14787" i="1"/>
  <c r="G14787" i="1"/>
  <c r="H14787" i="1"/>
  <c r="A14788" i="1"/>
  <c r="B14788" i="1"/>
  <c r="C14788" i="1"/>
  <c r="D14788" i="1"/>
  <c r="E14788" i="1"/>
  <c r="F14788" i="1"/>
  <c r="G14788" i="1"/>
  <c r="H14788" i="1"/>
  <c r="A14789" i="1"/>
  <c r="B14789" i="1"/>
  <c r="C14789" i="1"/>
  <c r="D14789" i="1"/>
  <c r="E14789" i="1"/>
  <c r="F14789" i="1"/>
  <c r="G14789" i="1"/>
  <c r="H14789" i="1"/>
  <c r="A14790" i="1"/>
  <c r="B14790" i="1"/>
  <c r="C14790" i="1"/>
  <c r="D14790" i="1"/>
  <c r="E14790" i="1"/>
  <c r="F14790" i="1"/>
  <c r="G14790" i="1"/>
  <c r="H14790" i="1"/>
  <c r="A14791" i="1"/>
  <c r="B14791" i="1"/>
  <c r="C14791" i="1"/>
  <c r="D14791" i="1"/>
  <c r="E14791" i="1"/>
  <c r="F14791" i="1"/>
  <c r="G14791" i="1"/>
  <c r="H14791" i="1"/>
  <c r="A14792" i="1"/>
  <c r="B14792" i="1"/>
  <c r="C14792" i="1"/>
  <c r="D14792" i="1"/>
  <c r="E14792" i="1"/>
  <c r="F14792" i="1"/>
  <c r="G14792" i="1"/>
  <c r="H14792" i="1"/>
  <c r="A14793" i="1"/>
  <c r="B14793" i="1"/>
  <c r="C14793" i="1"/>
  <c r="D14793" i="1"/>
  <c r="E14793" i="1"/>
  <c r="F14793" i="1"/>
  <c r="G14793" i="1"/>
  <c r="H14793" i="1"/>
  <c r="A14794" i="1"/>
  <c r="B14794" i="1"/>
  <c r="C14794" i="1"/>
  <c r="D14794" i="1"/>
  <c r="E14794" i="1"/>
  <c r="F14794" i="1"/>
  <c r="G14794" i="1"/>
  <c r="H14794" i="1"/>
  <c r="A14795" i="1"/>
  <c r="B14795" i="1"/>
  <c r="C14795" i="1"/>
  <c r="D14795" i="1"/>
  <c r="E14795" i="1"/>
  <c r="F14795" i="1"/>
  <c r="G14795" i="1"/>
  <c r="H14795" i="1"/>
  <c r="A14796" i="1"/>
  <c r="B14796" i="1"/>
  <c r="C14796" i="1"/>
  <c r="D14796" i="1"/>
  <c r="E14796" i="1"/>
  <c r="F14796" i="1"/>
  <c r="G14796" i="1"/>
  <c r="H14796" i="1"/>
  <c r="A14797" i="1"/>
  <c r="B14797" i="1"/>
  <c r="C14797" i="1"/>
  <c r="D14797" i="1"/>
  <c r="E14797" i="1"/>
  <c r="F14797" i="1"/>
  <c r="G14797" i="1"/>
  <c r="H14797" i="1"/>
  <c r="A14798" i="1"/>
  <c r="B14798" i="1"/>
  <c r="C14798" i="1"/>
  <c r="D14798" i="1"/>
  <c r="E14798" i="1"/>
  <c r="F14798" i="1"/>
  <c r="G14798" i="1"/>
  <c r="H14798" i="1"/>
  <c r="A14799" i="1"/>
  <c r="B14799" i="1"/>
  <c r="C14799" i="1"/>
  <c r="D14799" i="1"/>
  <c r="E14799" i="1"/>
  <c r="F14799" i="1"/>
  <c r="G14799" i="1"/>
  <c r="H14799" i="1"/>
  <c r="A14800" i="1"/>
  <c r="B14800" i="1"/>
  <c r="C14800" i="1"/>
  <c r="D14800" i="1"/>
  <c r="E14800" i="1"/>
  <c r="F14800" i="1"/>
  <c r="G14800" i="1"/>
  <c r="H14800" i="1"/>
  <c r="A14801" i="1"/>
  <c r="B14801" i="1"/>
  <c r="C14801" i="1"/>
  <c r="D14801" i="1"/>
  <c r="E14801" i="1"/>
  <c r="F14801" i="1"/>
  <c r="G14801" i="1"/>
  <c r="H14801" i="1"/>
  <c r="A14802" i="1"/>
  <c r="B14802" i="1"/>
  <c r="C14802" i="1"/>
  <c r="D14802" i="1"/>
  <c r="E14802" i="1"/>
  <c r="F14802" i="1"/>
  <c r="G14802" i="1"/>
  <c r="H14802" i="1"/>
  <c r="A14803" i="1"/>
  <c r="B14803" i="1"/>
  <c r="C14803" i="1"/>
  <c r="D14803" i="1"/>
  <c r="E14803" i="1"/>
  <c r="F14803" i="1"/>
  <c r="G14803" i="1"/>
  <c r="H14803" i="1"/>
  <c r="A14804" i="1"/>
  <c r="B14804" i="1"/>
  <c r="C14804" i="1"/>
  <c r="D14804" i="1"/>
  <c r="E14804" i="1"/>
  <c r="F14804" i="1"/>
  <c r="G14804" i="1"/>
  <c r="H14804" i="1"/>
  <c r="A14805" i="1"/>
  <c r="B14805" i="1"/>
  <c r="C14805" i="1"/>
  <c r="D14805" i="1"/>
  <c r="E14805" i="1"/>
  <c r="F14805" i="1"/>
  <c r="G14805" i="1"/>
  <c r="H14805" i="1"/>
  <c r="A14806" i="1"/>
  <c r="B14806" i="1"/>
  <c r="C14806" i="1"/>
  <c r="D14806" i="1"/>
  <c r="E14806" i="1"/>
  <c r="F14806" i="1"/>
  <c r="G14806" i="1"/>
  <c r="H14806" i="1"/>
  <c r="A14807" i="1"/>
  <c r="B14807" i="1"/>
  <c r="C14807" i="1"/>
  <c r="D14807" i="1"/>
  <c r="E14807" i="1"/>
  <c r="F14807" i="1"/>
  <c r="G14807" i="1"/>
  <c r="H14807" i="1"/>
  <c r="A14808" i="1"/>
  <c r="B14808" i="1"/>
  <c r="C14808" i="1"/>
  <c r="D14808" i="1"/>
  <c r="E14808" i="1"/>
  <c r="F14808" i="1"/>
  <c r="G14808" i="1"/>
  <c r="H14808" i="1"/>
  <c r="A14809" i="1"/>
  <c r="B14809" i="1"/>
  <c r="C14809" i="1"/>
  <c r="D14809" i="1"/>
  <c r="E14809" i="1"/>
  <c r="F14809" i="1"/>
  <c r="G14809" i="1"/>
  <c r="H14809" i="1"/>
  <c r="A14810" i="1"/>
  <c r="B14810" i="1"/>
  <c r="C14810" i="1"/>
  <c r="D14810" i="1"/>
  <c r="E14810" i="1"/>
  <c r="F14810" i="1"/>
  <c r="G14810" i="1"/>
  <c r="H14810" i="1"/>
  <c r="A14811" i="1"/>
  <c r="B14811" i="1"/>
  <c r="C14811" i="1"/>
  <c r="D14811" i="1"/>
  <c r="E14811" i="1"/>
  <c r="F14811" i="1"/>
  <c r="G14811" i="1"/>
  <c r="H14811" i="1"/>
  <c r="A14812" i="1"/>
  <c r="B14812" i="1"/>
  <c r="C14812" i="1"/>
  <c r="D14812" i="1"/>
  <c r="E14812" i="1"/>
  <c r="F14812" i="1"/>
  <c r="G14812" i="1"/>
  <c r="H14812" i="1"/>
  <c r="A14813" i="1"/>
  <c r="B14813" i="1"/>
  <c r="C14813" i="1"/>
  <c r="D14813" i="1"/>
  <c r="E14813" i="1"/>
  <c r="F14813" i="1"/>
  <c r="G14813" i="1"/>
  <c r="H14813" i="1"/>
  <c r="A14814" i="1"/>
  <c r="B14814" i="1"/>
  <c r="C14814" i="1"/>
  <c r="D14814" i="1"/>
  <c r="E14814" i="1"/>
  <c r="F14814" i="1"/>
  <c r="G14814" i="1"/>
  <c r="H14814" i="1"/>
  <c r="A14815" i="1"/>
  <c r="B14815" i="1"/>
  <c r="C14815" i="1"/>
  <c r="D14815" i="1"/>
  <c r="E14815" i="1"/>
  <c r="F14815" i="1"/>
  <c r="G14815" i="1"/>
  <c r="H14815" i="1"/>
  <c r="A14816" i="1"/>
  <c r="B14816" i="1"/>
  <c r="C14816" i="1"/>
  <c r="D14816" i="1"/>
  <c r="E14816" i="1"/>
  <c r="F14816" i="1"/>
  <c r="G14816" i="1"/>
  <c r="H14816" i="1"/>
  <c r="A14817" i="1"/>
  <c r="B14817" i="1"/>
  <c r="C14817" i="1"/>
  <c r="D14817" i="1"/>
  <c r="E14817" i="1"/>
  <c r="F14817" i="1"/>
  <c r="G14817" i="1"/>
  <c r="H14817" i="1"/>
  <c r="A14818" i="1"/>
  <c r="B14818" i="1"/>
  <c r="C14818" i="1"/>
  <c r="D14818" i="1"/>
  <c r="E14818" i="1"/>
  <c r="F14818" i="1"/>
  <c r="G14818" i="1"/>
  <c r="H14818" i="1"/>
  <c r="A14819" i="1"/>
  <c r="B14819" i="1"/>
  <c r="C14819" i="1"/>
  <c r="D14819" i="1"/>
  <c r="E14819" i="1"/>
  <c r="F14819" i="1"/>
  <c r="G14819" i="1"/>
  <c r="H14819" i="1"/>
  <c r="A14820" i="1"/>
  <c r="B14820" i="1"/>
  <c r="C14820" i="1"/>
  <c r="D14820" i="1"/>
  <c r="E14820" i="1"/>
  <c r="F14820" i="1"/>
  <c r="G14820" i="1"/>
  <c r="H14820" i="1"/>
  <c r="A14821" i="1"/>
  <c r="B14821" i="1"/>
  <c r="C14821" i="1"/>
  <c r="D14821" i="1"/>
  <c r="E14821" i="1"/>
  <c r="F14821" i="1"/>
  <c r="G14821" i="1"/>
  <c r="H14821" i="1"/>
  <c r="A14822" i="1"/>
  <c r="B14822" i="1"/>
  <c r="C14822" i="1"/>
  <c r="D14822" i="1"/>
  <c r="E14822" i="1"/>
  <c r="F14822" i="1"/>
  <c r="G14822" i="1"/>
  <c r="H14822" i="1"/>
  <c r="A14823" i="1"/>
  <c r="B14823" i="1"/>
  <c r="C14823" i="1"/>
  <c r="D14823" i="1"/>
  <c r="E14823" i="1"/>
  <c r="F14823" i="1"/>
  <c r="G14823" i="1"/>
  <c r="H14823" i="1"/>
  <c r="A14824" i="1"/>
  <c r="B14824" i="1"/>
  <c r="C14824" i="1"/>
  <c r="D14824" i="1"/>
  <c r="E14824" i="1"/>
  <c r="F14824" i="1"/>
  <c r="G14824" i="1"/>
  <c r="H14824" i="1"/>
  <c r="A14825" i="1"/>
  <c r="B14825" i="1"/>
  <c r="C14825" i="1"/>
  <c r="D14825" i="1"/>
  <c r="E14825" i="1"/>
  <c r="F14825" i="1"/>
  <c r="G14825" i="1"/>
  <c r="H14825" i="1"/>
  <c r="A14826" i="1"/>
  <c r="B14826" i="1"/>
  <c r="C14826" i="1"/>
  <c r="D14826" i="1"/>
  <c r="E14826" i="1"/>
  <c r="F14826" i="1"/>
  <c r="G14826" i="1"/>
  <c r="H14826" i="1"/>
  <c r="A14827" i="1"/>
  <c r="B14827" i="1"/>
  <c r="C14827" i="1"/>
  <c r="D14827" i="1"/>
  <c r="E14827" i="1"/>
  <c r="F14827" i="1"/>
  <c r="G14827" i="1"/>
  <c r="H14827" i="1"/>
  <c r="A14828" i="1"/>
  <c r="B14828" i="1"/>
  <c r="C14828" i="1"/>
  <c r="D14828" i="1"/>
  <c r="E14828" i="1"/>
  <c r="F14828" i="1"/>
  <c r="G14828" i="1"/>
  <c r="H14828" i="1"/>
  <c r="A14829" i="1"/>
  <c r="B14829" i="1"/>
  <c r="C14829" i="1"/>
  <c r="D14829" i="1"/>
  <c r="E14829" i="1"/>
  <c r="F14829" i="1"/>
  <c r="G14829" i="1"/>
  <c r="H14829" i="1"/>
  <c r="A14830" i="1"/>
  <c r="B14830" i="1"/>
  <c r="C14830" i="1"/>
  <c r="D14830" i="1"/>
  <c r="E14830" i="1"/>
  <c r="F14830" i="1"/>
  <c r="G14830" i="1"/>
  <c r="H14830" i="1"/>
  <c r="A14831" i="1"/>
  <c r="B14831" i="1"/>
  <c r="C14831" i="1"/>
  <c r="D14831" i="1"/>
  <c r="E14831" i="1"/>
  <c r="F14831" i="1"/>
  <c r="G14831" i="1"/>
  <c r="H14831" i="1"/>
  <c r="A14832" i="1"/>
  <c r="B14832" i="1"/>
  <c r="C14832" i="1"/>
  <c r="D14832" i="1"/>
  <c r="E14832" i="1"/>
  <c r="F14832" i="1"/>
  <c r="G14832" i="1"/>
  <c r="H14832" i="1"/>
  <c r="A14833" i="1"/>
  <c r="B14833" i="1"/>
  <c r="C14833" i="1"/>
  <c r="D14833" i="1"/>
  <c r="E14833" i="1"/>
  <c r="F14833" i="1"/>
  <c r="G14833" i="1"/>
  <c r="H14833" i="1"/>
  <c r="A14834" i="1"/>
  <c r="B14834" i="1"/>
  <c r="C14834" i="1"/>
  <c r="D14834" i="1"/>
  <c r="E14834" i="1"/>
  <c r="F14834" i="1"/>
  <c r="G14834" i="1"/>
  <c r="H14834" i="1"/>
  <c r="A14835" i="1"/>
  <c r="B14835" i="1"/>
  <c r="C14835" i="1"/>
  <c r="D14835" i="1"/>
  <c r="E14835" i="1"/>
  <c r="F14835" i="1"/>
  <c r="G14835" i="1"/>
  <c r="H14835" i="1"/>
  <c r="A14836" i="1"/>
  <c r="B14836" i="1"/>
  <c r="C14836" i="1"/>
  <c r="D14836" i="1"/>
  <c r="E14836" i="1"/>
  <c r="F14836" i="1"/>
  <c r="G14836" i="1"/>
  <c r="H14836" i="1"/>
  <c r="A14837" i="1"/>
  <c r="B14837" i="1"/>
  <c r="C14837" i="1"/>
  <c r="D14837" i="1"/>
  <c r="E14837" i="1"/>
  <c r="F14837" i="1"/>
  <c r="G14837" i="1"/>
  <c r="H14837" i="1"/>
  <c r="A14838" i="1"/>
  <c r="B14838" i="1"/>
  <c r="C14838" i="1"/>
  <c r="D14838" i="1"/>
  <c r="E14838" i="1"/>
  <c r="F14838" i="1"/>
  <c r="G14838" i="1"/>
  <c r="H14838" i="1"/>
  <c r="A14839" i="1"/>
  <c r="B14839" i="1"/>
  <c r="C14839" i="1"/>
  <c r="D14839" i="1"/>
  <c r="E14839" i="1"/>
  <c r="F14839" i="1"/>
  <c r="G14839" i="1"/>
  <c r="H14839" i="1"/>
  <c r="A14840" i="1"/>
  <c r="B14840" i="1"/>
  <c r="C14840" i="1"/>
  <c r="D14840" i="1"/>
  <c r="E14840" i="1"/>
  <c r="F14840" i="1"/>
  <c r="G14840" i="1"/>
  <c r="H14840" i="1"/>
  <c r="A14841" i="1"/>
  <c r="B14841" i="1"/>
  <c r="C14841" i="1"/>
  <c r="D14841" i="1"/>
  <c r="E14841" i="1"/>
  <c r="F14841" i="1"/>
  <c r="G14841" i="1"/>
  <c r="H14841" i="1"/>
  <c r="A14842" i="1"/>
  <c r="B14842" i="1"/>
  <c r="C14842" i="1"/>
  <c r="D14842" i="1"/>
  <c r="E14842" i="1"/>
  <c r="F14842" i="1"/>
  <c r="G14842" i="1"/>
  <c r="H14842" i="1"/>
  <c r="A14843" i="1"/>
  <c r="B14843" i="1"/>
  <c r="C14843" i="1"/>
  <c r="D14843" i="1"/>
  <c r="E14843" i="1"/>
  <c r="F14843" i="1"/>
  <c r="G14843" i="1"/>
  <c r="H14843" i="1"/>
  <c r="A14844" i="1"/>
  <c r="B14844" i="1"/>
  <c r="C14844" i="1"/>
  <c r="D14844" i="1"/>
  <c r="E14844" i="1"/>
  <c r="F14844" i="1"/>
  <c r="G14844" i="1"/>
  <c r="H14844" i="1"/>
  <c r="A14845" i="1"/>
  <c r="B14845" i="1"/>
  <c r="C14845" i="1"/>
  <c r="D14845" i="1"/>
  <c r="E14845" i="1"/>
  <c r="F14845" i="1"/>
  <c r="G14845" i="1"/>
  <c r="H14845" i="1"/>
  <c r="A14846" i="1"/>
  <c r="B14846" i="1"/>
  <c r="C14846" i="1"/>
  <c r="D14846" i="1"/>
  <c r="E14846" i="1"/>
  <c r="F14846" i="1"/>
  <c r="G14846" i="1"/>
  <c r="H14846" i="1"/>
  <c r="A14847" i="1"/>
  <c r="B14847" i="1"/>
  <c r="C14847" i="1"/>
  <c r="D14847" i="1"/>
  <c r="E14847" i="1"/>
  <c r="F14847" i="1"/>
  <c r="G14847" i="1"/>
  <c r="H14847" i="1"/>
  <c r="A14848" i="1"/>
  <c r="B14848" i="1"/>
  <c r="C14848" i="1"/>
  <c r="D14848" i="1"/>
  <c r="E14848" i="1"/>
  <c r="F14848" i="1"/>
  <c r="G14848" i="1"/>
  <c r="H14848" i="1"/>
  <c r="A14849" i="1"/>
  <c r="B14849" i="1"/>
  <c r="C14849" i="1"/>
  <c r="D14849" i="1"/>
  <c r="E14849" i="1"/>
  <c r="F14849" i="1"/>
  <c r="G14849" i="1"/>
  <c r="H14849" i="1"/>
  <c r="A14850" i="1"/>
  <c r="B14850" i="1"/>
  <c r="C14850" i="1"/>
  <c r="D14850" i="1"/>
  <c r="E14850" i="1"/>
  <c r="F14850" i="1"/>
  <c r="G14850" i="1"/>
  <c r="H14850" i="1"/>
  <c r="A14851" i="1"/>
  <c r="B14851" i="1"/>
  <c r="C14851" i="1"/>
  <c r="D14851" i="1"/>
  <c r="E14851" i="1"/>
  <c r="F14851" i="1"/>
  <c r="G14851" i="1"/>
  <c r="H14851" i="1"/>
  <c r="A14852" i="1"/>
  <c r="B14852" i="1"/>
  <c r="C14852" i="1"/>
  <c r="D14852" i="1"/>
  <c r="E14852" i="1"/>
  <c r="F14852" i="1"/>
  <c r="G14852" i="1"/>
  <c r="H14852" i="1"/>
  <c r="A14853" i="1"/>
  <c r="B14853" i="1"/>
  <c r="C14853" i="1"/>
  <c r="D14853" i="1"/>
  <c r="E14853" i="1"/>
  <c r="F14853" i="1"/>
  <c r="G14853" i="1"/>
  <c r="H14853" i="1"/>
  <c r="A14854" i="1"/>
  <c r="B14854" i="1"/>
  <c r="C14854" i="1"/>
  <c r="D14854" i="1"/>
  <c r="E14854" i="1"/>
  <c r="F14854" i="1"/>
  <c r="G14854" i="1"/>
  <c r="H14854" i="1"/>
  <c r="A14855" i="1"/>
  <c r="B14855" i="1"/>
  <c r="C14855" i="1"/>
  <c r="D14855" i="1"/>
  <c r="E14855" i="1"/>
  <c r="F14855" i="1"/>
  <c r="G14855" i="1"/>
  <c r="H14855" i="1"/>
  <c r="A14856" i="1"/>
  <c r="B14856" i="1"/>
  <c r="C14856" i="1"/>
  <c r="D14856" i="1"/>
  <c r="E14856" i="1"/>
  <c r="F14856" i="1"/>
  <c r="G14856" i="1"/>
  <c r="H14856" i="1"/>
  <c r="A14857" i="1"/>
  <c r="B14857" i="1"/>
  <c r="C14857" i="1"/>
  <c r="D14857" i="1"/>
  <c r="E14857" i="1"/>
  <c r="F14857" i="1"/>
  <c r="G14857" i="1"/>
  <c r="H14857" i="1"/>
  <c r="A14858" i="1"/>
  <c r="B14858" i="1"/>
  <c r="C14858" i="1"/>
  <c r="D14858" i="1"/>
  <c r="E14858" i="1"/>
  <c r="F14858" i="1"/>
  <c r="G14858" i="1"/>
  <c r="H14858" i="1"/>
  <c r="A14859" i="1"/>
  <c r="B14859" i="1"/>
  <c r="C14859" i="1"/>
  <c r="D14859" i="1"/>
  <c r="E14859" i="1"/>
  <c r="F14859" i="1"/>
  <c r="G14859" i="1"/>
  <c r="H14859" i="1"/>
  <c r="A14860" i="1"/>
  <c r="B14860" i="1"/>
  <c r="C14860" i="1"/>
  <c r="D14860" i="1"/>
  <c r="E14860" i="1"/>
  <c r="F14860" i="1"/>
  <c r="G14860" i="1"/>
  <c r="H14860" i="1"/>
  <c r="A14861" i="1"/>
  <c r="B14861" i="1"/>
  <c r="C14861" i="1"/>
  <c r="D14861" i="1"/>
  <c r="E14861" i="1"/>
  <c r="F14861" i="1"/>
  <c r="G14861" i="1"/>
  <c r="H14861" i="1"/>
  <c r="A14862" i="1"/>
  <c r="B14862" i="1"/>
  <c r="C14862" i="1"/>
  <c r="D14862" i="1"/>
  <c r="E14862" i="1"/>
  <c r="F14862" i="1"/>
  <c r="G14862" i="1"/>
  <c r="H14862" i="1"/>
  <c r="A14863" i="1"/>
  <c r="B14863" i="1"/>
  <c r="C14863" i="1"/>
  <c r="D14863" i="1"/>
  <c r="E14863" i="1"/>
  <c r="F14863" i="1"/>
  <c r="G14863" i="1"/>
  <c r="H14863" i="1"/>
  <c r="A14864" i="1"/>
  <c r="B14864" i="1"/>
  <c r="C14864" i="1"/>
  <c r="D14864" i="1"/>
  <c r="E14864" i="1"/>
  <c r="F14864" i="1"/>
  <c r="G14864" i="1"/>
  <c r="H14864" i="1"/>
  <c r="A14865" i="1"/>
  <c r="B14865" i="1"/>
  <c r="C14865" i="1"/>
  <c r="D14865" i="1"/>
  <c r="E14865" i="1"/>
  <c r="F14865" i="1"/>
  <c r="G14865" i="1"/>
  <c r="H14865" i="1"/>
  <c r="A14866" i="1"/>
  <c r="B14866" i="1"/>
  <c r="C14866" i="1"/>
  <c r="D14866" i="1"/>
  <c r="E14866" i="1"/>
  <c r="F14866" i="1"/>
  <c r="G14866" i="1"/>
  <c r="H14866" i="1"/>
  <c r="A14867" i="1"/>
  <c r="B14867" i="1"/>
  <c r="C14867" i="1"/>
  <c r="D14867" i="1"/>
  <c r="E14867" i="1"/>
  <c r="F14867" i="1"/>
  <c r="G14867" i="1"/>
  <c r="H14867" i="1"/>
  <c r="A14868" i="1"/>
  <c r="B14868" i="1"/>
  <c r="C14868" i="1"/>
  <c r="D14868" i="1"/>
  <c r="E14868" i="1"/>
  <c r="F14868" i="1"/>
  <c r="G14868" i="1"/>
  <c r="H14868" i="1"/>
  <c r="A14869" i="1"/>
  <c r="B14869" i="1"/>
  <c r="C14869" i="1"/>
  <c r="D14869" i="1"/>
  <c r="E14869" i="1"/>
  <c r="F14869" i="1"/>
  <c r="G14869" i="1"/>
  <c r="H14869" i="1"/>
  <c r="A14870" i="1"/>
  <c r="B14870" i="1"/>
  <c r="C14870" i="1"/>
  <c r="D14870" i="1"/>
  <c r="E14870" i="1"/>
  <c r="F14870" i="1"/>
  <c r="G14870" i="1"/>
  <c r="H14870" i="1"/>
  <c r="A14871" i="1"/>
  <c r="B14871" i="1"/>
  <c r="C14871" i="1"/>
  <c r="D14871" i="1"/>
  <c r="E14871" i="1"/>
  <c r="F14871" i="1"/>
  <c r="G14871" i="1"/>
  <c r="H14871" i="1"/>
  <c r="A14872" i="1"/>
  <c r="B14872" i="1"/>
  <c r="C14872" i="1"/>
  <c r="D14872" i="1"/>
  <c r="E14872" i="1"/>
  <c r="F14872" i="1"/>
  <c r="G14872" i="1"/>
  <c r="H14872" i="1"/>
  <c r="A14873" i="1"/>
  <c r="B14873" i="1"/>
  <c r="C14873" i="1"/>
  <c r="D14873" i="1"/>
  <c r="E14873" i="1"/>
  <c r="F14873" i="1"/>
  <c r="G14873" i="1"/>
  <c r="H14873" i="1"/>
  <c r="A14874" i="1"/>
  <c r="B14874" i="1"/>
  <c r="C14874" i="1"/>
  <c r="D14874" i="1"/>
  <c r="E14874" i="1"/>
  <c r="F14874" i="1"/>
  <c r="G14874" i="1"/>
  <c r="H14874" i="1"/>
  <c r="A14875" i="1"/>
  <c r="B14875" i="1"/>
  <c r="C14875" i="1"/>
  <c r="D14875" i="1"/>
  <c r="E14875" i="1"/>
  <c r="F14875" i="1"/>
  <c r="G14875" i="1"/>
  <c r="H14875" i="1"/>
  <c r="A14876" i="1"/>
  <c r="B14876" i="1"/>
  <c r="C14876" i="1"/>
  <c r="D14876" i="1"/>
  <c r="E14876" i="1"/>
  <c r="F14876" i="1"/>
  <c r="G14876" i="1"/>
  <c r="H14876" i="1"/>
  <c r="A14877" i="1"/>
  <c r="B14877" i="1"/>
  <c r="C14877" i="1"/>
  <c r="D14877" i="1"/>
  <c r="E14877" i="1"/>
  <c r="F14877" i="1"/>
  <c r="G14877" i="1"/>
  <c r="H14877" i="1"/>
  <c r="A14878" i="1"/>
  <c r="B14878" i="1"/>
  <c r="C14878" i="1"/>
  <c r="D14878" i="1"/>
  <c r="E14878" i="1"/>
  <c r="F14878" i="1"/>
  <c r="G14878" i="1"/>
  <c r="H14878" i="1"/>
  <c r="A14879" i="1"/>
  <c r="B14879" i="1"/>
  <c r="C14879" i="1"/>
  <c r="D14879" i="1"/>
  <c r="E14879" i="1"/>
  <c r="F14879" i="1"/>
  <c r="G14879" i="1"/>
  <c r="H14879" i="1"/>
  <c r="A14880" i="1"/>
  <c r="B14880" i="1"/>
  <c r="C14880" i="1"/>
  <c r="D14880" i="1"/>
  <c r="E14880" i="1"/>
  <c r="F14880" i="1"/>
  <c r="G14880" i="1"/>
  <c r="H14880" i="1"/>
  <c r="A14881" i="1"/>
  <c r="B14881" i="1"/>
  <c r="C14881" i="1"/>
  <c r="D14881" i="1"/>
  <c r="E14881" i="1"/>
  <c r="F14881" i="1"/>
  <c r="G14881" i="1"/>
  <c r="H14881" i="1"/>
  <c r="A14882" i="1"/>
  <c r="B14882" i="1"/>
  <c r="C14882" i="1"/>
  <c r="D14882" i="1"/>
  <c r="E14882" i="1"/>
  <c r="F14882" i="1"/>
  <c r="G14882" i="1"/>
  <c r="H14882" i="1"/>
  <c r="A14883" i="1"/>
  <c r="B14883" i="1"/>
  <c r="C14883" i="1"/>
  <c r="D14883" i="1"/>
  <c r="E14883" i="1"/>
  <c r="F14883" i="1"/>
  <c r="G14883" i="1"/>
  <c r="H14883" i="1"/>
  <c r="A14884" i="1"/>
  <c r="B14884" i="1"/>
  <c r="C14884" i="1"/>
  <c r="D14884" i="1"/>
  <c r="E14884" i="1"/>
  <c r="F14884" i="1"/>
  <c r="G14884" i="1"/>
  <c r="H14884" i="1"/>
  <c r="A14885" i="1"/>
  <c r="B14885" i="1"/>
  <c r="C14885" i="1"/>
  <c r="D14885" i="1"/>
  <c r="E14885" i="1"/>
  <c r="F14885" i="1"/>
  <c r="G14885" i="1"/>
  <c r="H14885" i="1"/>
  <c r="A14886" i="1"/>
  <c r="B14886" i="1"/>
  <c r="C14886" i="1"/>
  <c r="D14886" i="1"/>
  <c r="E14886" i="1"/>
  <c r="F14886" i="1"/>
  <c r="G14886" i="1"/>
  <c r="H14886" i="1"/>
  <c r="A14887" i="1"/>
  <c r="B14887" i="1"/>
  <c r="C14887" i="1"/>
  <c r="D14887" i="1"/>
  <c r="E14887" i="1"/>
  <c r="F14887" i="1"/>
  <c r="G14887" i="1"/>
  <c r="H14887" i="1"/>
  <c r="A14888" i="1"/>
  <c r="B14888" i="1"/>
  <c r="C14888" i="1"/>
  <c r="D14888" i="1"/>
  <c r="E14888" i="1"/>
  <c r="F14888" i="1"/>
  <c r="G14888" i="1"/>
  <c r="H14888" i="1"/>
  <c r="A14889" i="1"/>
  <c r="B14889" i="1"/>
  <c r="C14889" i="1"/>
  <c r="D14889" i="1"/>
  <c r="E14889" i="1"/>
  <c r="F14889" i="1"/>
  <c r="G14889" i="1"/>
  <c r="H14889" i="1"/>
  <c r="A14890" i="1"/>
  <c r="B14890" i="1"/>
  <c r="C14890" i="1"/>
  <c r="D14890" i="1"/>
  <c r="E14890" i="1"/>
  <c r="F14890" i="1"/>
  <c r="G14890" i="1"/>
  <c r="H14890" i="1"/>
  <c r="A14891" i="1"/>
  <c r="B14891" i="1"/>
  <c r="C14891" i="1"/>
  <c r="D14891" i="1"/>
  <c r="E14891" i="1"/>
  <c r="F14891" i="1"/>
  <c r="G14891" i="1"/>
  <c r="H14891" i="1"/>
  <c r="A14892" i="1"/>
  <c r="B14892" i="1"/>
  <c r="C14892" i="1"/>
  <c r="D14892" i="1"/>
  <c r="E14892" i="1"/>
  <c r="F14892" i="1"/>
  <c r="G14892" i="1"/>
  <c r="H14892" i="1"/>
  <c r="A14893" i="1"/>
  <c r="B14893" i="1"/>
  <c r="C14893" i="1"/>
  <c r="D14893" i="1"/>
  <c r="E14893" i="1"/>
  <c r="F14893" i="1"/>
  <c r="G14893" i="1"/>
  <c r="H14893" i="1"/>
  <c r="A14894" i="1"/>
  <c r="B14894" i="1"/>
  <c r="C14894" i="1"/>
  <c r="D14894" i="1"/>
  <c r="E14894" i="1"/>
  <c r="F14894" i="1"/>
  <c r="G14894" i="1"/>
  <c r="H14894" i="1"/>
  <c r="A14895" i="1"/>
  <c r="B14895" i="1"/>
  <c r="C14895" i="1"/>
  <c r="D14895" i="1"/>
  <c r="E14895" i="1"/>
  <c r="F14895" i="1"/>
  <c r="G14895" i="1"/>
  <c r="H14895" i="1"/>
  <c r="A14896" i="1"/>
  <c r="B14896" i="1"/>
  <c r="C14896" i="1"/>
  <c r="D14896" i="1"/>
  <c r="E14896" i="1"/>
  <c r="F14896" i="1"/>
  <c r="G14896" i="1"/>
  <c r="H14896" i="1"/>
  <c r="A14897" i="1"/>
  <c r="B14897" i="1"/>
  <c r="C14897" i="1"/>
  <c r="D14897" i="1"/>
  <c r="E14897" i="1"/>
  <c r="F14897" i="1"/>
  <c r="G14897" i="1"/>
  <c r="H14897" i="1"/>
  <c r="A14898" i="1"/>
  <c r="B14898" i="1"/>
  <c r="C14898" i="1"/>
  <c r="D14898" i="1"/>
  <c r="E14898" i="1"/>
  <c r="F14898" i="1"/>
  <c r="G14898" i="1"/>
  <c r="H14898" i="1"/>
  <c r="A14899" i="1"/>
  <c r="B14899" i="1"/>
  <c r="C14899" i="1"/>
  <c r="D14899" i="1"/>
  <c r="E14899" i="1"/>
  <c r="F14899" i="1"/>
  <c r="G14899" i="1"/>
  <c r="H14899" i="1"/>
  <c r="A14900" i="1"/>
  <c r="B14900" i="1"/>
  <c r="C14900" i="1"/>
  <c r="D14900" i="1"/>
  <c r="E14900" i="1"/>
  <c r="F14900" i="1"/>
  <c r="G14900" i="1"/>
  <c r="H14900" i="1"/>
  <c r="A14901" i="1"/>
  <c r="B14901" i="1"/>
  <c r="C14901" i="1"/>
  <c r="D14901" i="1"/>
  <c r="E14901" i="1"/>
  <c r="F14901" i="1"/>
  <c r="G14901" i="1"/>
  <c r="H14901" i="1"/>
  <c r="A14902" i="1"/>
  <c r="B14902" i="1"/>
  <c r="C14902" i="1"/>
  <c r="D14902" i="1"/>
  <c r="E14902" i="1"/>
  <c r="F14902" i="1"/>
  <c r="G14902" i="1"/>
  <c r="H14902" i="1"/>
  <c r="A14903" i="1"/>
  <c r="B14903" i="1"/>
  <c r="C14903" i="1"/>
  <c r="D14903" i="1"/>
  <c r="E14903" i="1"/>
  <c r="F14903" i="1"/>
  <c r="G14903" i="1"/>
  <c r="H14903" i="1"/>
  <c r="A14904" i="1"/>
  <c r="B14904" i="1"/>
  <c r="C14904" i="1"/>
  <c r="D14904" i="1"/>
  <c r="E14904" i="1"/>
  <c r="F14904" i="1"/>
  <c r="G14904" i="1"/>
  <c r="H14904" i="1"/>
  <c r="A14905" i="1"/>
  <c r="B14905" i="1"/>
  <c r="C14905" i="1"/>
  <c r="D14905" i="1"/>
  <c r="E14905" i="1"/>
  <c r="F14905" i="1"/>
  <c r="G14905" i="1"/>
  <c r="H14905" i="1"/>
  <c r="A14906" i="1"/>
  <c r="B14906" i="1"/>
  <c r="C14906" i="1"/>
  <c r="D14906" i="1"/>
  <c r="E14906" i="1"/>
  <c r="F14906" i="1"/>
  <c r="G14906" i="1"/>
  <c r="H14906" i="1"/>
  <c r="A14907" i="1"/>
  <c r="B14907" i="1"/>
  <c r="C14907" i="1"/>
  <c r="D14907" i="1"/>
  <c r="E14907" i="1"/>
  <c r="F14907" i="1"/>
  <c r="G14907" i="1"/>
  <c r="H14907" i="1"/>
  <c r="A14908" i="1"/>
  <c r="B14908" i="1"/>
  <c r="C14908" i="1"/>
  <c r="D14908" i="1"/>
  <c r="E14908" i="1"/>
  <c r="F14908" i="1"/>
  <c r="G14908" i="1"/>
  <c r="H14908" i="1"/>
  <c r="A14909" i="1"/>
  <c r="B14909" i="1"/>
  <c r="C14909" i="1"/>
  <c r="D14909" i="1"/>
  <c r="E14909" i="1"/>
  <c r="F14909" i="1"/>
  <c r="G14909" i="1"/>
  <c r="H14909" i="1"/>
  <c r="A14910" i="1"/>
  <c r="B14910" i="1"/>
  <c r="C14910" i="1"/>
  <c r="D14910" i="1"/>
  <c r="E14910" i="1"/>
  <c r="F14910" i="1"/>
  <c r="G14910" i="1"/>
  <c r="H14910" i="1"/>
  <c r="A14911" i="1"/>
  <c r="B14911" i="1"/>
  <c r="C14911" i="1"/>
  <c r="D14911" i="1"/>
  <c r="E14911" i="1"/>
  <c r="F14911" i="1"/>
  <c r="G14911" i="1"/>
  <c r="H14911" i="1"/>
  <c r="A14912" i="1"/>
  <c r="B14912" i="1"/>
  <c r="C14912" i="1"/>
  <c r="D14912" i="1"/>
  <c r="E14912" i="1"/>
  <c r="F14912" i="1"/>
  <c r="G14912" i="1"/>
  <c r="H14912" i="1"/>
  <c r="A14913" i="1"/>
  <c r="B14913" i="1"/>
  <c r="C14913" i="1"/>
  <c r="D14913" i="1"/>
  <c r="E14913" i="1"/>
  <c r="F14913" i="1"/>
  <c r="G14913" i="1"/>
  <c r="H14913" i="1"/>
  <c r="A14914" i="1"/>
  <c r="B14914" i="1"/>
  <c r="C14914" i="1"/>
  <c r="D14914" i="1"/>
  <c r="E14914" i="1"/>
  <c r="F14914" i="1"/>
  <c r="G14914" i="1"/>
  <c r="H14914" i="1"/>
  <c r="A14915" i="1"/>
  <c r="B14915" i="1"/>
  <c r="C14915" i="1"/>
  <c r="D14915" i="1"/>
  <c r="E14915" i="1"/>
  <c r="F14915" i="1"/>
  <c r="G14915" i="1"/>
  <c r="H14915" i="1"/>
  <c r="A14916" i="1"/>
  <c r="B14916" i="1"/>
  <c r="C14916" i="1"/>
  <c r="D14916" i="1"/>
  <c r="E14916" i="1"/>
  <c r="F14916" i="1"/>
  <c r="G14916" i="1"/>
  <c r="H14916" i="1"/>
  <c r="A14917" i="1"/>
  <c r="B14917" i="1"/>
  <c r="C14917" i="1"/>
  <c r="D14917" i="1"/>
  <c r="E14917" i="1"/>
  <c r="F14917" i="1"/>
  <c r="G14917" i="1"/>
  <c r="H14917" i="1"/>
  <c r="A14918" i="1"/>
  <c r="B14918" i="1"/>
  <c r="C14918" i="1"/>
  <c r="D14918" i="1"/>
  <c r="E14918" i="1"/>
  <c r="F14918" i="1"/>
  <c r="G14918" i="1"/>
  <c r="H14918" i="1"/>
  <c r="A14919" i="1"/>
  <c r="B14919" i="1"/>
  <c r="C14919" i="1"/>
  <c r="D14919" i="1"/>
  <c r="E14919" i="1"/>
  <c r="F14919" i="1"/>
  <c r="G14919" i="1"/>
  <c r="H14919" i="1"/>
  <c r="A14920" i="1"/>
  <c r="B14920" i="1"/>
  <c r="C14920" i="1"/>
  <c r="D14920" i="1"/>
  <c r="E14920" i="1"/>
  <c r="F14920" i="1"/>
  <c r="G14920" i="1"/>
  <c r="H14920" i="1"/>
  <c r="A14921" i="1"/>
  <c r="B14921" i="1"/>
  <c r="C14921" i="1"/>
  <c r="D14921" i="1"/>
  <c r="E14921" i="1"/>
  <c r="F14921" i="1"/>
  <c r="G14921" i="1"/>
  <c r="H14921" i="1"/>
  <c r="A14922" i="1"/>
  <c r="B14922" i="1"/>
  <c r="C14922" i="1"/>
  <c r="D14922" i="1"/>
  <c r="E14922" i="1"/>
  <c r="F14922" i="1"/>
  <c r="G14922" i="1"/>
  <c r="H14922" i="1"/>
  <c r="A14923" i="1"/>
  <c r="B14923" i="1"/>
  <c r="C14923" i="1"/>
  <c r="D14923" i="1"/>
  <c r="E14923" i="1"/>
  <c r="F14923" i="1"/>
  <c r="G14923" i="1"/>
  <c r="H14923" i="1"/>
  <c r="A14924" i="1"/>
  <c r="B14924" i="1"/>
  <c r="C14924" i="1"/>
  <c r="D14924" i="1"/>
  <c r="E14924" i="1"/>
  <c r="F14924" i="1"/>
  <c r="G14924" i="1"/>
  <c r="H14924" i="1"/>
  <c r="A14925" i="1"/>
  <c r="B14925" i="1"/>
  <c r="C14925" i="1"/>
  <c r="D14925" i="1"/>
  <c r="E14925" i="1"/>
  <c r="F14925" i="1"/>
  <c r="G14925" i="1"/>
  <c r="H14925" i="1"/>
  <c r="A14926" i="1"/>
  <c r="B14926" i="1"/>
  <c r="C14926" i="1"/>
  <c r="D14926" i="1"/>
  <c r="E14926" i="1"/>
  <c r="F14926" i="1"/>
  <c r="G14926" i="1"/>
  <c r="H14926" i="1"/>
  <c r="A14927" i="1"/>
  <c r="B14927" i="1"/>
  <c r="C14927" i="1"/>
  <c r="D14927" i="1"/>
  <c r="E14927" i="1"/>
  <c r="F14927" i="1"/>
  <c r="G14927" i="1"/>
  <c r="H14927" i="1"/>
  <c r="A14928" i="1"/>
  <c r="B14928" i="1"/>
  <c r="C14928" i="1"/>
  <c r="D14928" i="1"/>
  <c r="E14928" i="1"/>
  <c r="F14928" i="1"/>
  <c r="G14928" i="1"/>
  <c r="H14928" i="1"/>
  <c r="A14929" i="1"/>
  <c r="B14929" i="1"/>
  <c r="C14929" i="1"/>
  <c r="D14929" i="1"/>
  <c r="E14929" i="1"/>
  <c r="F14929" i="1"/>
  <c r="G14929" i="1"/>
  <c r="H14929" i="1"/>
  <c r="A14930" i="1"/>
  <c r="B14930" i="1"/>
  <c r="C14930" i="1"/>
  <c r="D14930" i="1"/>
  <c r="E14930" i="1"/>
  <c r="F14930" i="1"/>
  <c r="G14930" i="1"/>
  <c r="H14930" i="1"/>
  <c r="A14931" i="1"/>
  <c r="B14931" i="1"/>
  <c r="C14931" i="1"/>
  <c r="D14931" i="1"/>
  <c r="E14931" i="1"/>
  <c r="F14931" i="1"/>
  <c r="G14931" i="1"/>
  <c r="H14931" i="1"/>
  <c r="A14932" i="1"/>
  <c r="B14932" i="1"/>
  <c r="C14932" i="1"/>
  <c r="D14932" i="1"/>
  <c r="E14932" i="1"/>
  <c r="F14932" i="1"/>
  <c r="G14932" i="1"/>
  <c r="H14932" i="1"/>
  <c r="A14933" i="1"/>
  <c r="B14933" i="1"/>
  <c r="C14933" i="1"/>
  <c r="D14933" i="1"/>
  <c r="E14933" i="1"/>
  <c r="F14933" i="1"/>
  <c r="G14933" i="1"/>
  <c r="H14933" i="1"/>
  <c r="A14934" i="1"/>
  <c r="B14934" i="1"/>
  <c r="C14934" i="1"/>
  <c r="D14934" i="1"/>
  <c r="E14934" i="1"/>
  <c r="F14934" i="1"/>
  <c r="G14934" i="1"/>
  <c r="H14934" i="1"/>
  <c r="A14935" i="1"/>
  <c r="B14935" i="1"/>
  <c r="C14935" i="1"/>
  <c r="D14935" i="1"/>
  <c r="E14935" i="1"/>
  <c r="F14935" i="1"/>
  <c r="G14935" i="1"/>
  <c r="H14935" i="1"/>
  <c r="A14936" i="1"/>
  <c r="B14936" i="1"/>
  <c r="C14936" i="1"/>
  <c r="D14936" i="1"/>
  <c r="E14936" i="1"/>
  <c r="F14936" i="1"/>
  <c r="G14936" i="1"/>
  <c r="H14936" i="1"/>
  <c r="A14937" i="1"/>
  <c r="B14937" i="1"/>
  <c r="C14937" i="1"/>
  <c r="D14937" i="1"/>
  <c r="E14937" i="1"/>
  <c r="F14937" i="1"/>
  <c r="G14937" i="1"/>
  <c r="H14937" i="1"/>
  <c r="A14938" i="1"/>
  <c r="B14938" i="1"/>
  <c r="C14938" i="1"/>
  <c r="D14938" i="1"/>
  <c r="E14938" i="1"/>
  <c r="F14938" i="1"/>
  <c r="G14938" i="1"/>
  <c r="H14938" i="1"/>
  <c r="A14939" i="1"/>
  <c r="B14939" i="1"/>
  <c r="C14939" i="1"/>
  <c r="D14939" i="1"/>
  <c r="E14939" i="1"/>
  <c r="F14939" i="1"/>
  <c r="G14939" i="1"/>
  <c r="H14939" i="1"/>
  <c r="A14940" i="1"/>
  <c r="B14940" i="1"/>
  <c r="C14940" i="1"/>
  <c r="D14940" i="1"/>
  <c r="E14940" i="1"/>
  <c r="F14940" i="1"/>
  <c r="G14940" i="1"/>
  <c r="H14940" i="1"/>
  <c r="A14941" i="1"/>
  <c r="B14941" i="1"/>
  <c r="C14941" i="1"/>
  <c r="D14941" i="1"/>
  <c r="E14941" i="1"/>
  <c r="F14941" i="1"/>
  <c r="G14941" i="1"/>
  <c r="H14941" i="1"/>
  <c r="A14942" i="1"/>
  <c r="B14942" i="1"/>
  <c r="C14942" i="1"/>
  <c r="D14942" i="1"/>
  <c r="E14942" i="1"/>
  <c r="F14942" i="1"/>
  <c r="G14942" i="1"/>
  <c r="H14942" i="1"/>
  <c r="A14943" i="1"/>
  <c r="B14943" i="1"/>
  <c r="C14943" i="1"/>
  <c r="D14943" i="1"/>
  <c r="E14943" i="1"/>
  <c r="F14943" i="1"/>
  <c r="G14943" i="1"/>
  <c r="H14943" i="1"/>
  <c r="A14944" i="1"/>
  <c r="B14944" i="1"/>
  <c r="C14944" i="1"/>
  <c r="D14944" i="1"/>
  <c r="E14944" i="1"/>
  <c r="F14944" i="1"/>
  <c r="G14944" i="1"/>
  <c r="H14944" i="1"/>
  <c r="A14945" i="1"/>
  <c r="B14945" i="1"/>
  <c r="C14945" i="1"/>
  <c r="D14945" i="1"/>
  <c r="E14945" i="1"/>
  <c r="F14945" i="1"/>
  <c r="G14945" i="1"/>
  <c r="H14945" i="1"/>
  <c r="A14946" i="1"/>
  <c r="B14946" i="1"/>
  <c r="C14946" i="1"/>
  <c r="D14946" i="1"/>
  <c r="E14946" i="1"/>
  <c r="F14946" i="1"/>
  <c r="G14946" i="1"/>
  <c r="H14946" i="1"/>
  <c r="A14947" i="1"/>
  <c r="B14947" i="1"/>
  <c r="C14947" i="1"/>
  <c r="D14947" i="1"/>
  <c r="E14947" i="1"/>
  <c r="F14947" i="1"/>
  <c r="G14947" i="1"/>
  <c r="H14947" i="1"/>
  <c r="A14948" i="1"/>
  <c r="B14948" i="1"/>
  <c r="C14948" i="1"/>
  <c r="D14948" i="1"/>
  <c r="E14948" i="1"/>
  <c r="F14948" i="1"/>
  <c r="G14948" i="1"/>
  <c r="H14948" i="1"/>
  <c r="A14949" i="1"/>
  <c r="B14949" i="1"/>
  <c r="C14949" i="1"/>
  <c r="D14949" i="1"/>
  <c r="E14949" i="1"/>
  <c r="F14949" i="1"/>
  <c r="G14949" i="1"/>
  <c r="H14949" i="1"/>
  <c r="A14950" i="1"/>
  <c r="B14950" i="1"/>
  <c r="C14950" i="1"/>
  <c r="D14950" i="1"/>
  <c r="E14950" i="1"/>
  <c r="F14950" i="1"/>
  <c r="G14950" i="1"/>
  <c r="H14950" i="1"/>
  <c r="A14951" i="1"/>
  <c r="B14951" i="1"/>
  <c r="C14951" i="1"/>
  <c r="D14951" i="1"/>
  <c r="E14951" i="1"/>
  <c r="F14951" i="1"/>
  <c r="G14951" i="1"/>
  <c r="H14951" i="1"/>
  <c r="A14952" i="1"/>
  <c r="B14952" i="1"/>
  <c r="C14952" i="1"/>
  <c r="D14952" i="1"/>
  <c r="E14952" i="1"/>
  <c r="F14952" i="1"/>
  <c r="G14952" i="1"/>
  <c r="H14952" i="1"/>
  <c r="A14953" i="1"/>
  <c r="B14953" i="1"/>
  <c r="C14953" i="1"/>
  <c r="D14953" i="1"/>
  <c r="E14953" i="1"/>
  <c r="F14953" i="1"/>
  <c r="G14953" i="1"/>
  <c r="H14953" i="1"/>
  <c r="A14954" i="1"/>
  <c r="B14954" i="1"/>
  <c r="C14954" i="1"/>
  <c r="D14954" i="1"/>
  <c r="E14954" i="1"/>
  <c r="F14954" i="1"/>
  <c r="G14954" i="1"/>
  <c r="H14954" i="1"/>
  <c r="A14955" i="1"/>
  <c r="B14955" i="1"/>
  <c r="C14955" i="1"/>
  <c r="D14955" i="1"/>
  <c r="E14955" i="1"/>
  <c r="F14955" i="1"/>
  <c r="G14955" i="1"/>
  <c r="H14955" i="1"/>
  <c r="A14956" i="1"/>
  <c r="B14956" i="1"/>
  <c r="C14956" i="1"/>
  <c r="D14956" i="1"/>
  <c r="E14956" i="1"/>
  <c r="F14956" i="1"/>
  <c r="G14956" i="1"/>
  <c r="H14956" i="1"/>
  <c r="A14957" i="1"/>
  <c r="B14957" i="1"/>
  <c r="C14957" i="1"/>
  <c r="D14957" i="1"/>
  <c r="E14957" i="1"/>
  <c r="F14957" i="1"/>
  <c r="G14957" i="1"/>
  <c r="H14957" i="1"/>
  <c r="A14958" i="1"/>
  <c r="B14958" i="1"/>
  <c r="C14958" i="1"/>
  <c r="D14958" i="1"/>
  <c r="E14958" i="1"/>
  <c r="F14958" i="1"/>
  <c r="G14958" i="1"/>
  <c r="H14958" i="1"/>
  <c r="A14959" i="1"/>
  <c r="B14959" i="1"/>
  <c r="C14959" i="1"/>
  <c r="D14959" i="1"/>
  <c r="E14959" i="1"/>
  <c r="F14959" i="1"/>
  <c r="G14959" i="1"/>
  <c r="H14959" i="1"/>
  <c r="A14960" i="1"/>
  <c r="B14960" i="1"/>
  <c r="C14960" i="1"/>
  <c r="D14960" i="1"/>
  <c r="E14960" i="1"/>
  <c r="F14960" i="1"/>
  <c r="G14960" i="1"/>
  <c r="H14960" i="1"/>
  <c r="A14961" i="1"/>
  <c r="B14961" i="1"/>
  <c r="C14961" i="1"/>
  <c r="D14961" i="1"/>
  <c r="E14961" i="1"/>
  <c r="F14961" i="1"/>
  <c r="G14961" i="1"/>
  <c r="H14961" i="1"/>
  <c r="A14962" i="1"/>
  <c r="B14962" i="1"/>
  <c r="C14962" i="1"/>
  <c r="D14962" i="1"/>
  <c r="E14962" i="1"/>
  <c r="F14962" i="1"/>
  <c r="G14962" i="1"/>
  <c r="H14962" i="1"/>
  <c r="A14963" i="1"/>
  <c r="B14963" i="1"/>
  <c r="C14963" i="1"/>
  <c r="D14963" i="1"/>
  <c r="E14963" i="1"/>
  <c r="F14963" i="1"/>
  <c r="G14963" i="1"/>
  <c r="H14963" i="1"/>
  <c r="A14964" i="1"/>
  <c r="B14964" i="1"/>
  <c r="C14964" i="1"/>
  <c r="D14964" i="1"/>
  <c r="E14964" i="1"/>
  <c r="F14964" i="1"/>
  <c r="G14964" i="1"/>
  <c r="H14964" i="1"/>
  <c r="A14965" i="1"/>
  <c r="B14965" i="1"/>
  <c r="C14965" i="1"/>
  <c r="D14965" i="1"/>
  <c r="E14965" i="1"/>
  <c r="F14965" i="1"/>
  <c r="G14965" i="1"/>
  <c r="H14965" i="1"/>
  <c r="A14966" i="1"/>
  <c r="B14966" i="1"/>
  <c r="C14966" i="1"/>
  <c r="D14966" i="1"/>
  <c r="E14966" i="1"/>
  <c r="F14966" i="1"/>
  <c r="G14966" i="1"/>
  <c r="H14966" i="1"/>
  <c r="A14967" i="1"/>
  <c r="B14967" i="1"/>
  <c r="C14967" i="1"/>
  <c r="D14967" i="1"/>
  <c r="E14967" i="1"/>
  <c r="F14967" i="1"/>
  <c r="G14967" i="1"/>
  <c r="H14967" i="1"/>
  <c r="A14968" i="1"/>
  <c r="B14968" i="1"/>
  <c r="C14968" i="1"/>
  <c r="D14968" i="1"/>
  <c r="E14968" i="1"/>
  <c r="F14968" i="1"/>
  <c r="G14968" i="1"/>
  <c r="H14968" i="1"/>
  <c r="A14969" i="1"/>
  <c r="B14969" i="1"/>
  <c r="C14969" i="1"/>
  <c r="D14969" i="1"/>
  <c r="E14969" i="1"/>
  <c r="F14969" i="1"/>
  <c r="G14969" i="1"/>
  <c r="H14969" i="1"/>
  <c r="A14970" i="1"/>
  <c r="B14970" i="1"/>
  <c r="C14970" i="1"/>
  <c r="D14970" i="1"/>
  <c r="E14970" i="1"/>
  <c r="F14970" i="1"/>
  <c r="G14970" i="1"/>
  <c r="H14970" i="1"/>
  <c r="A14971" i="1"/>
  <c r="B14971" i="1"/>
  <c r="C14971" i="1"/>
  <c r="D14971" i="1"/>
  <c r="E14971" i="1"/>
  <c r="F14971" i="1"/>
  <c r="G14971" i="1"/>
  <c r="H14971" i="1"/>
  <c r="A14972" i="1"/>
  <c r="B14972" i="1"/>
  <c r="C14972" i="1"/>
  <c r="D14972" i="1"/>
  <c r="E14972" i="1"/>
  <c r="F14972" i="1"/>
  <c r="G14972" i="1"/>
  <c r="H14972" i="1"/>
  <c r="A14973" i="1"/>
  <c r="B14973" i="1"/>
  <c r="C14973" i="1"/>
  <c r="D14973" i="1"/>
  <c r="E14973" i="1"/>
  <c r="F14973" i="1"/>
  <c r="G14973" i="1"/>
  <c r="H14973" i="1"/>
  <c r="A14974" i="1"/>
  <c r="B14974" i="1"/>
  <c r="C14974" i="1"/>
  <c r="D14974" i="1"/>
  <c r="E14974" i="1"/>
  <c r="F14974" i="1"/>
  <c r="G14974" i="1"/>
  <c r="H14974" i="1"/>
  <c r="A14975" i="1"/>
  <c r="B14975" i="1"/>
  <c r="C14975" i="1"/>
  <c r="D14975" i="1"/>
  <c r="E14975" i="1"/>
  <c r="F14975" i="1"/>
  <c r="G14975" i="1"/>
  <c r="H14975" i="1"/>
  <c r="A14976" i="1"/>
  <c r="B14976" i="1"/>
  <c r="C14976" i="1"/>
  <c r="D14976" i="1"/>
  <c r="E14976" i="1"/>
  <c r="F14976" i="1"/>
  <c r="G14976" i="1"/>
  <c r="H14976" i="1"/>
  <c r="A14977" i="1"/>
  <c r="B14977" i="1"/>
  <c r="C14977" i="1"/>
  <c r="D14977" i="1"/>
  <c r="E14977" i="1"/>
  <c r="F14977" i="1"/>
  <c r="G14977" i="1"/>
  <c r="H14977" i="1"/>
  <c r="A14978" i="1"/>
  <c r="B14978" i="1"/>
  <c r="C14978" i="1"/>
  <c r="D14978" i="1"/>
  <c r="E14978" i="1"/>
  <c r="F14978" i="1"/>
  <c r="G14978" i="1"/>
  <c r="H14978" i="1"/>
  <c r="A14979" i="1"/>
  <c r="B14979" i="1"/>
  <c r="C14979" i="1"/>
  <c r="D14979" i="1"/>
  <c r="E14979" i="1"/>
  <c r="F14979" i="1"/>
  <c r="G14979" i="1"/>
  <c r="H14979" i="1"/>
  <c r="A14980" i="1"/>
  <c r="B14980" i="1"/>
  <c r="C14980" i="1"/>
  <c r="D14980" i="1"/>
  <c r="E14980" i="1"/>
  <c r="F14980" i="1"/>
  <c r="G14980" i="1"/>
  <c r="H14980" i="1"/>
  <c r="A14981" i="1"/>
  <c r="B14981" i="1"/>
  <c r="C14981" i="1"/>
  <c r="D14981" i="1"/>
  <c r="E14981" i="1"/>
  <c r="F14981" i="1"/>
  <c r="G14981" i="1"/>
  <c r="H14981" i="1"/>
  <c r="A14982" i="1"/>
  <c r="B14982" i="1"/>
  <c r="C14982" i="1"/>
  <c r="D14982" i="1"/>
  <c r="E14982" i="1"/>
  <c r="F14982" i="1"/>
  <c r="G14982" i="1"/>
  <c r="H14982" i="1"/>
  <c r="A14983" i="1"/>
  <c r="B14983" i="1"/>
  <c r="C14983" i="1"/>
  <c r="D14983" i="1"/>
  <c r="E14983" i="1"/>
  <c r="F14983" i="1"/>
  <c r="G14983" i="1"/>
  <c r="H14983" i="1"/>
  <c r="A14984" i="1"/>
  <c r="B14984" i="1"/>
  <c r="C14984" i="1"/>
  <c r="D14984" i="1"/>
  <c r="E14984" i="1"/>
  <c r="F14984" i="1"/>
  <c r="G14984" i="1"/>
  <c r="H14984" i="1"/>
  <c r="A14985" i="1"/>
  <c r="B14985" i="1"/>
  <c r="C14985" i="1"/>
  <c r="D14985" i="1"/>
  <c r="E14985" i="1"/>
  <c r="F14985" i="1"/>
  <c r="G14985" i="1"/>
  <c r="H14985" i="1"/>
  <c r="A14986" i="1"/>
  <c r="B14986" i="1"/>
  <c r="C14986" i="1"/>
  <c r="D14986" i="1"/>
  <c r="E14986" i="1"/>
  <c r="F14986" i="1"/>
  <c r="G14986" i="1"/>
  <c r="H14986" i="1"/>
  <c r="A14987" i="1"/>
  <c r="B14987" i="1"/>
  <c r="C14987" i="1"/>
  <c r="D14987" i="1"/>
  <c r="E14987" i="1"/>
  <c r="F14987" i="1"/>
  <c r="G14987" i="1"/>
  <c r="H14987" i="1"/>
  <c r="A14988" i="1"/>
  <c r="B14988" i="1"/>
  <c r="C14988" i="1"/>
  <c r="D14988" i="1"/>
  <c r="E14988" i="1"/>
  <c r="F14988" i="1"/>
  <c r="G14988" i="1"/>
  <c r="H14988" i="1"/>
  <c r="A14989" i="1"/>
  <c r="B14989" i="1"/>
  <c r="C14989" i="1"/>
  <c r="D14989" i="1"/>
  <c r="E14989" i="1"/>
  <c r="F14989" i="1"/>
  <c r="G14989" i="1"/>
  <c r="H14989" i="1"/>
  <c r="A14990" i="1"/>
  <c r="B14990" i="1"/>
  <c r="C14990" i="1"/>
  <c r="D14990" i="1"/>
  <c r="E14990" i="1"/>
  <c r="F14990" i="1"/>
  <c r="G14990" i="1"/>
  <c r="H14990" i="1"/>
  <c r="A14991" i="1"/>
  <c r="B14991" i="1"/>
  <c r="C14991" i="1"/>
  <c r="D14991" i="1"/>
  <c r="E14991" i="1"/>
  <c r="F14991" i="1"/>
  <c r="G14991" i="1"/>
  <c r="H14991" i="1"/>
  <c r="A14992" i="1"/>
  <c r="B14992" i="1"/>
  <c r="C14992" i="1"/>
  <c r="D14992" i="1"/>
  <c r="E14992" i="1"/>
  <c r="F14992" i="1"/>
  <c r="G14992" i="1"/>
  <c r="H14992" i="1"/>
  <c r="A14993" i="1"/>
  <c r="B14993" i="1"/>
  <c r="C14993" i="1"/>
  <c r="D14993" i="1"/>
  <c r="E14993" i="1"/>
  <c r="F14993" i="1"/>
  <c r="G14993" i="1"/>
  <c r="H14993" i="1"/>
  <c r="A14994" i="1"/>
  <c r="B14994" i="1"/>
  <c r="C14994" i="1"/>
  <c r="D14994" i="1"/>
  <c r="E14994" i="1"/>
  <c r="F14994" i="1"/>
  <c r="G14994" i="1"/>
  <c r="H14994" i="1"/>
  <c r="A14995" i="1"/>
  <c r="B14995" i="1"/>
  <c r="C14995" i="1"/>
  <c r="D14995" i="1"/>
  <c r="E14995" i="1"/>
  <c r="F14995" i="1"/>
  <c r="G14995" i="1"/>
  <c r="H14995" i="1"/>
  <c r="A14996" i="1"/>
  <c r="B14996" i="1"/>
  <c r="C14996" i="1"/>
  <c r="D14996" i="1"/>
  <c r="E14996" i="1"/>
  <c r="F14996" i="1"/>
  <c r="G14996" i="1"/>
  <c r="H14996" i="1"/>
  <c r="A14997" i="1"/>
  <c r="B14997" i="1"/>
  <c r="C14997" i="1"/>
  <c r="D14997" i="1"/>
  <c r="E14997" i="1"/>
  <c r="F14997" i="1"/>
  <c r="G14997" i="1"/>
  <c r="H14997" i="1"/>
  <c r="A14998" i="1"/>
  <c r="B14998" i="1"/>
  <c r="C14998" i="1"/>
  <c r="D14998" i="1"/>
  <c r="E14998" i="1"/>
  <c r="F14998" i="1"/>
  <c r="G14998" i="1"/>
  <c r="H14998" i="1"/>
  <c r="A14999" i="1"/>
  <c r="B14999" i="1"/>
  <c r="C14999" i="1"/>
  <c r="D14999" i="1"/>
  <c r="E14999" i="1"/>
  <c r="F14999" i="1"/>
  <c r="G14999" i="1"/>
  <c r="H14999" i="1"/>
  <c r="A15000" i="1"/>
  <c r="B15000" i="1"/>
  <c r="C15000" i="1"/>
  <c r="D15000" i="1"/>
  <c r="E15000" i="1"/>
  <c r="F15000" i="1"/>
  <c r="G15000" i="1"/>
  <c r="H15000" i="1"/>
  <c r="A15001" i="1"/>
  <c r="B15001" i="1"/>
  <c r="C15001" i="1"/>
  <c r="D15001" i="1"/>
  <c r="E15001" i="1"/>
  <c r="F15001" i="1"/>
  <c r="G15001" i="1"/>
  <c r="H15001" i="1"/>
  <c r="A15002" i="1"/>
  <c r="B15002" i="1"/>
  <c r="C15002" i="1"/>
  <c r="D15002" i="1"/>
  <c r="E15002" i="1"/>
  <c r="F15002" i="1"/>
  <c r="G15002" i="1"/>
  <c r="H15002" i="1"/>
  <c r="A15003" i="1"/>
  <c r="B15003" i="1"/>
  <c r="C15003" i="1"/>
  <c r="D15003" i="1"/>
  <c r="E15003" i="1"/>
  <c r="F15003" i="1"/>
  <c r="G15003" i="1"/>
  <c r="H15003" i="1"/>
  <c r="A15004" i="1"/>
  <c r="B15004" i="1"/>
  <c r="C15004" i="1"/>
  <c r="D15004" i="1"/>
  <c r="E15004" i="1"/>
  <c r="F15004" i="1"/>
  <c r="G15004" i="1"/>
  <c r="H15004" i="1"/>
  <c r="A15005" i="1"/>
  <c r="B15005" i="1"/>
  <c r="C15005" i="1"/>
  <c r="D15005" i="1"/>
  <c r="E15005" i="1"/>
  <c r="F15005" i="1"/>
  <c r="G15005" i="1"/>
  <c r="H15005" i="1"/>
  <c r="A15006" i="1"/>
  <c r="B15006" i="1"/>
  <c r="C15006" i="1"/>
  <c r="D15006" i="1"/>
  <c r="E15006" i="1"/>
  <c r="F15006" i="1"/>
  <c r="G15006" i="1"/>
  <c r="H15006" i="1"/>
  <c r="A15007" i="1"/>
  <c r="B15007" i="1"/>
  <c r="C15007" i="1"/>
  <c r="D15007" i="1"/>
  <c r="E15007" i="1"/>
  <c r="F15007" i="1"/>
  <c r="G15007" i="1"/>
  <c r="H15007" i="1"/>
  <c r="A15008" i="1"/>
  <c r="B15008" i="1"/>
  <c r="C15008" i="1"/>
  <c r="D15008" i="1"/>
  <c r="E15008" i="1"/>
  <c r="F15008" i="1"/>
  <c r="G15008" i="1"/>
  <c r="H15008" i="1"/>
  <c r="A15009" i="1"/>
  <c r="B15009" i="1"/>
  <c r="C15009" i="1"/>
  <c r="D15009" i="1"/>
  <c r="E15009" i="1"/>
  <c r="F15009" i="1"/>
  <c r="G15009" i="1"/>
  <c r="H15009" i="1"/>
  <c r="A15010" i="1"/>
  <c r="B15010" i="1"/>
  <c r="C15010" i="1"/>
  <c r="D15010" i="1"/>
  <c r="E15010" i="1"/>
  <c r="F15010" i="1"/>
  <c r="G15010" i="1"/>
  <c r="H15010" i="1"/>
  <c r="A15011" i="1"/>
  <c r="B15011" i="1"/>
  <c r="C15011" i="1"/>
  <c r="D15011" i="1"/>
  <c r="E15011" i="1"/>
  <c r="F15011" i="1"/>
  <c r="G15011" i="1"/>
  <c r="H15011" i="1"/>
  <c r="A15012" i="1"/>
  <c r="B15012" i="1"/>
  <c r="C15012" i="1"/>
  <c r="D15012" i="1"/>
  <c r="E15012" i="1"/>
  <c r="F15012" i="1"/>
  <c r="G15012" i="1"/>
  <c r="H15012" i="1"/>
  <c r="A15013" i="1"/>
  <c r="B15013" i="1"/>
  <c r="C15013" i="1"/>
  <c r="D15013" i="1"/>
  <c r="E15013" i="1"/>
  <c r="F15013" i="1"/>
  <c r="G15013" i="1"/>
  <c r="H15013" i="1"/>
  <c r="A15014" i="1"/>
  <c r="B15014" i="1"/>
  <c r="C15014" i="1"/>
  <c r="D15014" i="1"/>
  <c r="E15014" i="1"/>
  <c r="F15014" i="1"/>
  <c r="G15014" i="1"/>
  <c r="H15014" i="1"/>
  <c r="A15015" i="1"/>
  <c r="B15015" i="1"/>
  <c r="C15015" i="1"/>
  <c r="D15015" i="1"/>
  <c r="E15015" i="1"/>
  <c r="F15015" i="1"/>
  <c r="G15015" i="1"/>
  <c r="H15015" i="1"/>
  <c r="A15016" i="1"/>
  <c r="B15016" i="1"/>
  <c r="C15016" i="1"/>
  <c r="D15016" i="1"/>
  <c r="E15016" i="1"/>
  <c r="F15016" i="1"/>
  <c r="G15016" i="1"/>
  <c r="H15016" i="1"/>
  <c r="A15017" i="1"/>
  <c r="B15017" i="1"/>
  <c r="C15017" i="1"/>
  <c r="D15017" i="1"/>
  <c r="E15017" i="1"/>
  <c r="F15017" i="1"/>
  <c r="G15017" i="1"/>
  <c r="H15017" i="1"/>
  <c r="A15018" i="1"/>
  <c r="B15018" i="1"/>
  <c r="C15018" i="1"/>
  <c r="D15018" i="1"/>
  <c r="E15018" i="1"/>
  <c r="F15018" i="1"/>
  <c r="G15018" i="1"/>
  <c r="H15018" i="1"/>
  <c r="A15019" i="1"/>
  <c r="B15019" i="1"/>
  <c r="C15019" i="1"/>
  <c r="D15019" i="1"/>
  <c r="E15019" i="1"/>
  <c r="F15019" i="1"/>
  <c r="G15019" i="1"/>
  <c r="H15019" i="1"/>
  <c r="A15020" i="1"/>
  <c r="B15020" i="1"/>
  <c r="C15020" i="1"/>
  <c r="D15020" i="1"/>
  <c r="E15020" i="1"/>
  <c r="F15020" i="1"/>
  <c r="G15020" i="1"/>
  <c r="H15020" i="1"/>
  <c r="A15021" i="1"/>
  <c r="B15021" i="1"/>
  <c r="C15021" i="1"/>
  <c r="D15021" i="1"/>
  <c r="E15021" i="1"/>
  <c r="F15021" i="1"/>
  <c r="G15021" i="1"/>
  <c r="H15021" i="1"/>
  <c r="A15022" i="1"/>
  <c r="B15022" i="1"/>
  <c r="C15022" i="1"/>
  <c r="D15022" i="1"/>
  <c r="E15022" i="1"/>
  <c r="F15022" i="1"/>
  <c r="G15022" i="1"/>
  <c r="H15022" i="1"/>
  <c r="A15023" i="1"/>
  <c r="B15023" i="1"/>
  <c r="C15023" i="1"/>
  <c r="D15023" i="1"/>
  <c r="E15023" i="1"/>
  <c r="F15023" i="1"/>
  <c r="G15023" i="1"/>
  <c r="H15023" i="1"/>
  <c r="A15024" i="1"/>
  <c r="B15024" i="1"/>
  <c r="C15024" i="1"/>
  <c r="D15024" i="1"/>
  <c r="E15024" i="1"/>
  <c r="F15024" i="1"/>
  <c r="G15024" i="1"/>
  <c r="H15024" i="1"/>
  <c r="A15025" i="1"/>
  <c r="B15025" i="1"/>
  <c r="C15025" i="1"/>
  <c r="D15025" i="1"/>
  <c r="E15025" i="1"/>
  <c r="F15025" i="1"/>
  <c r="G15025" i="1"/>
  <c r="H15025" i="1"/>
  <c r="A15026" i="1"/>
  <c r="B15026" i="1"/>
  <c r="C15026" i="1"/>
  <c r="D15026" i="1"/>
  <c r="E15026" i="1"/>
  <c r="F15026" i="1"/>
  <c r="G15026" i="1"/>
  <c r="H15026" i="1"/>
  <c r="A15027" i="1"/>
  <c r="B15027" i="1"/>
  <c r="C15027" i="1"/>
  <c r="D15027" i="1"/>
  <c r="E15027" i="1"/>
  <c r="F15027" i="1"/>
  <c r="G15027" i="1"/>
  <c r="H15027" i="1"/>
  <c r="A15028" i="1"/>
  <c r="B15028" i="1"/>
  <c r="C15028" i="1"/>
  <c r="D15028" i="1"/>
  <c r="E15028" i="1"/>
  <c r="F15028" i="1"/>
  <c r="G15028" i="1"/>
  <c r="H15028" i="1"/>
  <c r="A15029" i="1"/>
  <c r="B15029" i="1"/>
  <c r="C15029" i="1"/>
  <c r="D15029" i="1"/>
  <c r="E15029" i="1"/>
  <c r="F15029" i="1"/>
  <c r="G15029" i="1"/>
  <c r="H15029" i="1"/>
  <c r="A15030" i="1"/>
  <c r="B15030" i="1"/>
  <c r="C15030" i="1"/>
  <c r="D15030" i="1"/>
  <c r="E15030" i="1"/>
  <c r="F15030" i="1"/>
  <c r="G15030" i="1"/>
  <c r="H15030" i="1"/>
  <c r="A15031" i="1"/>
  <c r="B15031" i="1"/>
  <c r="C15031" i="1"/>
  <c r="D15031" i="1"/>
  <c r="E15031" i="1"/>
  <c r="F15031" i="1"/>
  <c r="G15031" i="1"/>
  <c r="H15031" i="1"/>
  <c r="A15032" i="1"/>
  <c r="B15032" i="1"/>
  <c r="C15032" i="1"/>
  <c r="D15032" i="1"/>
  <c r="E15032" i="1"/>
  <c r="F15032" i="1"/>
  <c r="G15032" i="1"/>
  <c r="H15032" i="1"/>
  <c r="A15033" i="1"/>
  <c r="B15033" i="1"/>
  <c r="C15033" i="1"/>
  <c r="D15033" i="1"/>
  <c r="E15033" i="1"/>
  <c r="F15033" i="1"/>
  <c r="G15033" i="1"/>
  <c r="H15033" i="1"/>
  <c r="A15034" i="1"/>
  <c r="B15034" i="1"/>
  <c r="C15034" i="1"/>
  <c r="D15034" i="1"/>
  <c r="E15034" i="1"/>
  <c r="F15034" i="1"/>
  <c r="G15034" i="1"/>
  <c r="H15034" i="1"/>
  <c r="A15035" i="1"/>
  <c r="B15035" i="1"/>
  <c r="C15035" i="1"/>
  <c r="D15035" i="1"/>
  <c r="E15035" i="1"/>
  <c r="F15035" i="1"/>
  <c r="G15035" i="1"/>
  <c r="H15035" i="1"/>
  <c r="A15036" i="1"/>
  <c r="B15036" i="1"/>
  <c r="C15036" i="1"/>
  <c r="D15036" i="1"/>
  <c r="E15036" i="1"/>
  <c r="F15036" i="1"/>
  <c r="G15036" i="1"/>
  <c r="H15036" i="1"/>
  <c r="A15037" i="1"/>
  <c r="B15037" i="1"/>
  <c r="C15037" i="1"/>
  <c r="D15037" i="1"/>
  <c r="E15037" i="1"/>
  <c r="F15037" i="1"/>
  <c r="G15037" i="1"/>
  <c r="H15037" i="1"/>
  <c r="A15038" i="1"/>
  <c r="B15038" i="1"/>
  <c r="C15038" i="1"/>
  <c r="D15038" i="1"/>
  <c r="E15038" i="1"/>
  <c r="F15038" i="1"/>
  <c r="G15038" i="1"/>
  <c r="H15038" i="1"/>
  <c r="A15039" i="1"/>
  <c r="B15039" i="1"/>
  <c r="C15039" i="1"/>
  <c r="D15039" i="1"/>
  <c r="E15039" i="1"/>
  <c r="F15039" i="1"/>
  <c r="G15039" i="1"/>
  <c r="H15039" i="1"/>
  <c r="A15040" i="1"/>
  <c r="B15040" i="1"/>
  <c r="C15040" i="1"/>
  <c r="D15040" i="1"/>
  <c r="E15040" i="1"/>
  <c r="F15040" i="1"/>
  <c r="G15040" i="1"/>
  <c r="H15040" i="1"/>
  <c r="A15041" i="1"/>
  <c r="B15041" i="1"/>
  <c r="C15041" i="1"/>
  <c r="D15041" i="1"/>
  <c r="E15041" i="1"/>
  <c r="F15041" i="1"/>
  <c r="G15041" i="1"/>
  <c r="H15041" i="1"/>
  <c r="A15042" i="1"/>
  <c r="B15042" i="1"/>
  <c r="C15042" i="1"/>
  <c r="D15042" i="1"/>
  <c r="E15042" i="1"/>
  <c r="F15042" i="1"/>
  <c r="G15042" i="1"/>
  <c r="H15042" i="1"/>
  <c r="A15043" i="1"/>
  <c r="B15043" i="1"/>
  <c r="C15043" i="1"/>
  <c r="D15043" i="1"/>
  <c r="E15043" i="1"/>
  <c r="F15043" i="1"/>
  <c r="G15043" i="1"/>
  <c r="H15043" i="1"/>
  <c r="A15044" i="1"/>
  <c r="B15044" i="1"/>
  <c r="C15044" i="1"/>
  <c r="D15044" i="1"/>
  <c r="E15044" i="1"/>
  <c r="F15044" i="1"/>
  <c r="G15044" i="1"/>
  <c r="H15044" i="1"/>
  <c r="A15045" i="1"/>
  <c r="B15045" i="1"/>
  <c r="C15045" i="1"/>
  <c r="D15045" i="1"/>
  <c r="E15045" i="1"/>
  <c r="F15045" i="1"/>
  <c r="G15045" i="1"/>
  <c r="H15045" i="1"/>
  <c r="A15046" i="1"/>
  <c r="B15046" i="1"/>
  <c r="C15046" i="1"/>
  <c r="D15046" i="1"/>
  <c r="E15046" i="1"/>
  <c r="F15046" i="1"/>
  <c r="G15046" i="1"/>
  <c r="H15046" i="1"/>
  <c r="A15047" i="1"/>
  <c r="B15047" i="1"/>
  <c r="C15047" i="1"/>
  <c r="D15047" i="1"/>
  <c r="E15047" i="1"/>
  <c r="F15047" i="1"/>
  <c r="G15047" i="1"/>
  <c r="H15047" i="1"/>
  <c r="A15048" i="1"/>
  <c r="B15048" i="1"/>
  <c r="C15048" i="1"/>
  <c r="D15048" i="1"/>
  <c r="E15048" i="1"/>
  <c r="F15048" i="1"/>
  <c r="G15048" i="1"/>
  <c r="H15048" i="1"/>
  <c r="A15049" i="1"/>
  <c r="B15049" i="1"/>
  <c r="C15049" i="1"/>
  <c r="D15049" i="1"/>
  <c r="E15049" i="1"/>
  <c r="F15049" i="1"/>
  <c r="G15049" i="1"/>
  <c r="H15049" i="1"/>
  <c r="A15050" i="1"/>
  <c r="B15050" i="1"/>
  <c r="C15050" i="1"/>
  <c r="D15050" i="1"/>
  <c r="E15050" i="1"/>
  <c r="F15050" i="1"/>
  <c r="G15050" i="1"/>
  <c r="H15050" i="1"/>
  <c r="A15051" i="1"/>
  <c r="B15051" i="1"/>
  <c r="C15051" i="1"/>
  <c r="D15051" i="1"/>
  <c r="E15051" i="1"/>
  <c r="F15051" i="1"/>
  <c r="G15051" i="1"/>
  <c r="H15051" i="1"/>
  <c r="A15052" i="1"/>
  <c r="B15052" i="1"/>
  <c r="C15052" i="1"/>
  <c r="D15052" i="1"/>
  <c r="E15052" i="1"/>
  <c r="F15052" i="1"/>
  <c r="G15052" i="1"/>
  <c r="H15052" i="1"/>
  <c r="A15053" i="1"/>
  <c r="B15053" i="1"/>
  <c r="C15053" i="1"/>
  <c r="D15053" i="1"/>
  <c r="E15053" i="1"/>
  <c r="F15053" i="1"/>
  <c r="G15053" i="1"/>
  <c r="H15053" i="1"/>
  <c r="A15054" i="1"/>
  <c r="B15054" i="1"/>
  <c r="C15054" i="1"/>
  <c r="D15054" i="1"/>
  <c r="E15054" i="1"/>
  <c r="F15054" i="1"/>
  <c r="G15054" i="1"/>
  <c r="H15054" i="1"/>
  <c r="A15055" i="1"/>
  <c r="B15055" i="1"/>
  <c r="C15055" i="1"/>
  <c r="D15055" i="1"/>
  <c r="E15055" i="1"/>
  <c r="F15055" i="1"/>
  <c r="G15055" i="1"/>
  <c r="H15055" i="1"/>
  <c r="A15056" i="1"/>
  <c r="B15056" i="1"/>
  <c r="C15056" i="1"/>
  <c r="D15056" i="1"/>
  <c r="E15056" i="1"/>
  <c r="F15056" i="1"/>
  <c r="G15056" i="1"/>
  <c r="H15056" i="1"/>
  <c r="A15057" i="1"/>
  <c r="B15057" i="1"/>
  <c r="C15057" i="1"/>
  <c r="D15057" i="1"/>
  <c r="E15057" i="1"/>
  <c r="F15057" i="1"/>
  <c r="G15057" i="1"/>
  <c r="H15057" i="1"/>
  <c r="A15058" i="1"/>
  <c r="B15058" i="1"/>
  <c r="C15058" i="1"/>
  <c r="D15058" i="1"/>
  <c r="E15058" i="1"/>
  <c r="F15058" i="1"/>
  <c r="G15058" i="1"/>
  <c r="H15058" i="1"/>
  <c r="A15059" i="1"/>
  <c r="B15059" i="1"/>
  <c r="C15059" i="1"/>
  <c r="D15059" i="1"/>
  <c r="E15059" i="1"/>
  <c r="F15059" i="1"/>
  <c r="G15059" i="1"/>
  <c r="H15059" i="1"/>
  <c r="A15060" i="1"/>
  <c r="B15060" i="1"/>
  <c r="C15060" i="1"/>
  <c r="D15060" i="1"/>
  <c r="E15060" i="1"/>
  <c r="F15060" i="1"/>
  <c r="G15060" i="1"/>
  <c r="H15060" i="1"/>
  <c r="A15061" i="1"/>
  <c r="B15061" i="1"/>
  <c r="C15061" i="1"/>
  <c r="D15061" i="1"/>
  <c r="E15061" i="1"/>
  <c r="F15061" i="1"/>
  <c r="G15061" i="1"/>
  <c r="H15061" i="1"/>
  <c r="A15062" i="1"/>
  <c r="B15062" i="1"/>
  <c r="C15062" i="1"/>
  <c r="D15062" i="1"/>
  <c r="E15062" i="1"/>
  <c r="F15062" i="1"/>
  <c r="G15062" i="1"/>
  <c r="H15062" i="1"/>
  <c r="A15063" i="1"/>
  <c r="B15063" i="1"/>
  <c r="C15063" i="1"/>
  <c r="D15063" i="1"/>
  <c r="E15063" i="1"/>
  <c r="F15063" i="1"/>
  <c r="G15063" i="1"/>
  <c r="H15063" i="1"/>
  <c r="A15064" i="1"/>
  <c r="B15064" i="1"/>
  <c r="C15064" i="1"/>
  <c r="D15064" i="1"/>
  <c r="E15064" i="1"/>
  <c r="F15064" i="1"/>
  <c r="G15064" i="1"/>
  <c r="H15064" i="1"/>
  <c r="A15065" i="1"/>
  <c r="B15065" i="1"/>
  <c r="C15065" i="1"/>
  <c r="D15065" i="1"/>
  <c r="E15065" i="1"/>
  <c r="F15065" i="1"/>
  <c r="G15065" i="1"/>
  <c r="H15065" i="1"/>
  <c r="A15066" i="1"/>
  <c r="B15066" i="1"/>
  <c r="C15066" i="1"/>
  <c r="D15066" i="1"/>
  <c r="E15066" i="1"/>
  <c r="F15066" i="1"/>
  <c r="G15066" i="1"/>
  <c r="H15066" i="1"/>
  <c r="A15067" i="1"/>
  <c r="B15067" i="1"/>
  <c r="C15067" i="1"/>
  <c r="D15067" i="1"/>
  <c r="E15067" i="1"/>
  <c r="F15067" i="1"/>
  <c r="G15067" i="1"/>
  <c r="H15067" i="1"/>
  <c r="A15068" i="1"/>
  <c r="B15068" i="1"/>
  <c r="C15068" i="1"/>
  <c r="D15068" i="1"/>
  <c r="E15068" i="1"/>
  <c r="F15068" i="1"/>
  <c r="G15068" i="1"/>
  <c r="H15068" i="1"/>
  <c r="A15069" i="1"/>
  <c r="B15069" i="1"/>
  <c r="C15069" i="1"/>
  <c r="D15069" i="1"/>
  <c r="E15069" i="1"/>
  <c r="F15069" i="1"/>
  <c r="G15069" i="1"/>
  <c r="H15069" i="1"/>
  <c r="A15070" i="1"/>
  <c r="B15070" i="1"/>
  <c r="C15070" i="1"/>
  <c r="D15070" i="1"/>
  <c r="E15070" i="1"/>
  <c r="F15070" i="1"/>
  <c r="G15070" i="1"/>
  <c r="H15070" i="1"/>
  <c r="A15071" i="1"/>
  <c r="B15071" i="1"/>
  <c r="C15071" i="1"/>
  <c r="D15071" i="1"/>
  <c r="E15071" i="1"/>
  <c r="F15071" i="1"/>
  <c r="G15071" i="1"/>
  <c r="H15071" i="1"/>
  <c r="A15072" i="1"/>
  <c r="B15072" i="1"/>
  <c r="C15072" i="1"/>
  <c r="D15072" i="1"/>
  <c r="E15072" i="1"/>
  <c r="F15072" i="1"/>
  <c r="G15072" i="1"/>
  <c r="H15072" i="1"/>
  <c r="A15073" i="1"/>
  <c r="B15073" i="1"/>
  <c r="C15073" i="1"/>
  <c r="D15073" i="1"/>
  <c r="E15073" i="1"/>
  <c r="F15073" i="1"/>
  <c r="G15073" i="1"/>
  <c r="H15073" i="1"/>
  <c r="A15074" i="1"/>
  <c r="B15074" i="1"/>
  <c r="C15074" i="1"/>
  <c r="D15074" i="1"/>
  <c r="E15074" i="1"/>
  <c r="F15074" i="1"/>
  <c r="G15074" i="1"/>
  <c r="H15074" i="1"/>
  <c r="A15075" i="1"/>
  <c r="B15075" i="1"/>
  <c r="C15075" i="1"/>
  <c r="D15075" i="1"/>
  <c r="E15075" i="1"/>
  <c r="F15075" i="1"/>
  <c r="G15075" i="1"/>
  <c r="H15075" i="1"/>
  <c r="A15076" i="1"/>
  <c r="B15076" i="1"/>
  <c r="C15076" i="1"/>
  <c r="D15076" i="1"/>
  <c r="E15076" i="1"/>
  <c r="F15076" i="1"/>
  <c r="G15076" i="1"/>
  <c r="H15076" i="1"/>
  <c r="A15077" i="1"/>
  <c r="B15077" i="1"/>
  <c r="C15077" i="1"/>
  <c r="D15077" i="1"/>
  <c r="E15077" i="1"/>
  <c r="F15077" i="1"/>
  <c r="G15077" i="1"/>
  <c r="H15077" i="1"/>
  <c r="A15078" i="1"/>
  <c r="B15078" i="1"/>
  <c r="C15078" i="1"/>
  <c r="D15078" i="1"/>
  <c r="E15078" i="1"/>
  <c r="F15078" i="1"/>
  <c r="G15078" i="1"/>
  <c r="H15078" i="1"/>
  <c r="A15079" i="1"/>
  <c r="B15079" i="1"/>
  <c r="C15079" i="1"/>
  <c r="D15079" i="1"/>
  <c r="E15079" i="1"/>
  <c r="F15079" i="1"/>
  <c r="G15079" i="1"/>
  <c r="H15079" i="1"/>
  <c r="A15080" i="1"/>
  <c r="B15080" i="1"/>
  <c r="C15080" i="1"/>
  <c r="D15080" i="1"/>
  <c r="E15080" i="1"/>
  <c r="F15080" i="1"/>
  <c r="G15080" i="1"/>
  <c r="H15080" i="1"/>
  <c r="A15081" i="1"/>
  <c r="B15081" i="1"/>
  <c r="C15081" i="1"/>
  <c r="D15081" i="1"/>
  <c r="E15081" i="1"/>
  <c r="F15081" i="1"/>
  <c r="G15081" i="1"/>
  <c r="H15081" i="1"/>
  <c r="A15082" i="1"/>
  <c r="B15082" i="1"/>
  <c r="C15082" i="1"/>
  <c r="D15082" i="1"/>
  <c r="E15082" i="1"/>
  <c r="F15082" i="1"/>
  <c r="G15082" i="1"/>
  <c r="H15082" i="1"/>
  <c r="A15083" i="1"/>
  <c r="B15083" i="1"/>
  <c r="C15083" i="1"/>
  <c r="D15083" i="1"/>
  <c r="E15083" i="1"/>
  <c r="F15083" i="1"/>
  <c r="G15083" i="1"/>
  <c r="H15083" i="1"/>
  <c r="A15084" i="1"/>
  <c r="B15084" i="1"/>
  <c r="C15084" i="1"/>
  <c r="D15084" i="1"/>
  <c r="E15084" i="1"/>
  <c r="F15084" i="1"/>
  <c r="G15084" i="1"/>
  <c r="H15084" i="1"/>
  <c r="A15085" i="1"/>
  <c r="B15085" i="1"/>
  <c r="C15085" i="1"/>
  <c r="D15085" i="1"/>
  <c r="E15085" i="1"/>
  <c r="F15085" i="1"/>
  <c r="G15085" i="1"/>
  <c r="H15085" i="1"/>
  <c r="A15086" i="1"/>
  <c r="B15086" i="1"/>
  <c r="C15086" i="1"/>
  <c r="D15086" i="1"/>
  <c r="E15086" i="1"/>
  <c r="F15086" i="1"/>
  <c r="G15086" i="1"/>
  <c r="H15086" i="1"/>
  <c r="A15087" i="1"/>
  <c r="B15087" i="1"/>
  <c r="C15087" i="1"/>
  <c r="D15087" i="1"/>
  <c r="E15087" i="1"/>
  <c r="F15087" i="1"/>
  <c r="G15087" i="1"/>
  <c r="H15087" i="1"/>
  <c r="A15088" i="1"/>
  <c r="B15088" i="1"/>
  <c r="C15088" i="1"/>
  <c r="D15088" i="1"/>
  <c r="E15088" i="1"/>
  <c r="F15088" i="1"/>
  <c r="G15088" i="1"/>
  <c r="H15088" i="1"/>
  <c r="A15089" i="1"/>
  <c r="B15089" i="1"/>
  <c r="C15089" i="1"/>
  <c r="D15089" i="1"/>
  <c r="E15089" i="1"/>
  <c r="F15089" i="1"/>
  <c r="G15089" i="1"/>
  <c r="H15089" i="1"/>
  <c r="A15090" i="1"/>
  <c r="B15090" i="1"/>
  <c r="C15090" i="1"/>
  <c r="D15090" i="1"/>
  <c r="E15090" i="1"/>
  <c r="F15090" i="1"/>
  <c r="G15090" i="1"/>
  <c r="H15090" i="1"/>
  <c r="A15091" i="1"/>
  <c r="B15091" i="1"/>
  <c r="C15091" i="1"/>
  <c r="D15091" i="1"/>
  <c r="E15091" i="1"/>
  <c r="F15091" i="1"/>
  <c r="G15091" i="1"/>
  <c r="H15091" i="1"/>
  <c r="A15092" i="1"/>
  <c r="B15092" i="1"/>
  <c r="C15092" i="1"/>
  <c r="D15092" i="1"/>
  <c r="E15092" i="1"/>
  <c r="F15092" i="1"/>
  <c r="G15092" i="1"/>
  <c r="H15092" i="1"/>
  <c r="A15093" i="1"/>
  <c r="B15093" i="1"/>
  <c r="C15093" i="1"/>
  <c r="D15093" i="1"/>
  <c r="E15093" i="1"/>
  <c r="F15093" i="1"/>
  <c r="G15093" i="1"/>
  <c r="H15093" i="1"/>
  <c r="A15094" i="1"/>
  <c r="B15094" i="1"/>
  <c r="C15094" i="1"/>
  <c r="D15094" i="1"/>
  <c r="E15094" i="1"/>
  <c r="F15094" i="1"/>
  <c r="G15094" i="1"/>
  <c r="H15094" i="1"/>
  <c r="A15095" i="1"/>
  <c r="B15095" i="1"/>
  <c r="C15095" i="1"/>
  <c r="D15095" i="1"/>
  <c r="E15095" i="1"/>
  <c r="F15095" i="1"/>
  <c r="G15095" i="1"/>
  <c r="H15095" i="1"/>
  <c r="A15096" i="1"/>
  <c r="B15096" i="1"/>
  <c r="C15096" i="1"/>
  <c r="D15096" i="1"/>
  <c r="E15096" i="1"/>
  <c r="F15096" i="1"/>
  <c r="G15096" i="1"/>
  <c r="H15096" i="1"/>
  <c r="A15097" i="1"/>
  <c r="B15097" i="1"/>
  <c r="C15097" i="1"/>
  <c r="D15097" i="1"/>
  <c r="E15097" i="1"/>
  <c r="F15097" i="1"/>
  <c r="G15097" i="1"/>
  <c r="H15097" i="1"/>
  <c r="A15098" i="1"/>
  <c r="B15098" i="1"/>
  <c r="C15098" i="1"/>
  <c r="D15098" i="1"/>
  <c r="E15098" i="1"/>
  <c r="F15098" i="1"/>
  <c r="G15098" i="1"/>
  <c r="H15098" i="1"/>
  <c r="A15099" i="1"/>
  <c r="B15099" i="1"/>
  <c r="C15099" i="1"/>
  <c r="D15099" i="1"/>
  <c r="E15099" i="1"/>
  <c r="F15099" i="1"/>
  <c r="G15099" i="1"/>
  <c r="H15099" i="1"/>
  <c r="A15100" i="1"/>
  <c r="B15100" i="1"/>
  <c r="C15100" i="1"/>
  <c r="D15100" i="1"/>
  <c r="E15100" i="1"/>
  <c r="F15100" i="1"/>
  <c r="G15100" i="1"/>
  <c r="H15100" i="1"/>
  <c r="A15101" i="1"/>
  <c r="B15101" i="1"/>
  <c r="C15101" i="1"/>
  <c r="D15101" i="1"/>
  <c r="E15101" i="1"/>
  <c r="F15101" i="1"/>
  <c r="G15101" i="1"/>
  <c r="H15101" i="1"/>
  <c r="A15102" i="1"/>
  <c r="B15102" i="1"/>
  <c r="C15102" i="1"/>
  <c r="D15102" i="1"/>
  <c r="E15102" i="1"/>
  <c r="F15102" i="1"/>
  <c r="G15102" i="1"/>
  <c r="H15102" i="1"/>
  <c r="A15103" i="1"/>
  <c r="B15103" i="1"/>
  <c r="C15103" i="1"/>
  <c r="D15103" i="1"/>
  <c r="E15103" i="1"/>
  <c r="F15103" i="1"/>
  <c r="G15103" i="1"/>
  <c r="H15103" i="1"/>
  <c r="A15104" i="1"/>
  <c r="B15104" i="1"/>
  <c r="C15104" i="1"/>
  <c r="D15104" i="1"/>
  <c r="E15104" i="1"/>
  <c r="F15104" i="1"/>
  <c r="G15104" i="1"/>
  <c r="H15104" i="1"/>
  <c r="A15105" i="1"/>
  <c r="B15105" i="1"/>
  <c r="C15105" i="1"/>
  <c r="D15105" i="1"/>
  <c r="E15105" i="1"/>
  <c r="F15105" i="1"/>
  <c r="G15105" i="1"/>
  <c r="H15105" i="1"/>
  <c r="A15106" i="1"/>
  <c r="B15106" i="1"/>
  <c r="C15106" i="1"/>
  <c r="D15106" i="1"/>
  <c r="E15106" i="1"/>
  <c r="F15106" i="1"/>
  <c r="G15106" i="1"/>
  <c r="H15106" i="1"/>
  <c r="A15107" i="1"/>
  <c r="B15107" i="1"/>
  <c r="C15107" i="1"/>
  <c r="D15107" i="1"/>
  <c r="E15107" i="1"/>
  <c r="F15107" i="1"/>
  <c r="G15107" i="1"/>
  <c r="H15107" i="1"/>
  <c r="A15108" i="1"/>
  <c r="B15108" i="1"/>
  <c r="C15108" i="1"/>
  <c r="D15108" i="1"/>
  <c r="E15108" i="1"/>
  <c r="F15108" i="1"/>
  <c r="G15108" i="1"/>
  <c r="H15108" i="1"/>
  <c r="A15109" i="1"/>
  <c r="B15109" i="1"/>
  <c r="C15109" i="1"/>
  <c r="D15109" i="1"/>
  <c r="E15109" i="1"/>
  <c r="F15109" i="1"/>
  <c r="G15109" i="1"/>
  <c r="H15109" i="1"/>
  <c r="A15110" i="1"/>
  <c r="B15110" i="1"/>
  <c r="C15110" i="1"/>
  <c r="D15110" i="1"/>
  <c r="E15110" i="1"/>
  <c r="F15110" i="1"/>
  <c r="G15110" i="1"/>
  <c r="H15110" i="1"/>
  <c r="A15111" i="1"/>
  <c r="B15111" i="1"/>
  <c r="C15111" i="1"/>
  <c r="D15111" i="1"/>
  <c r="E15111" i="1"/>
  <c r="F15111" i="1"/>
  <c r="G15111" i="1"/>
  <c r="H15111" i="1"/>
  <c r="A15112" i="1"/>
  <c r="B15112" i="1"/>
  <c r="C15112" i="1"/>
  <c r="D15112" i="1"/>
  <c r="E15112" i="1"/>
  <c r="F15112" i="1"/>
  <c r="G15112" i="1"/>
  <c r="H15112" i="1"/>
  <c r="A15113" i="1"/>
  <c r="B15113" i="1"/>
  <c r="C15113" i="1"/>
  <c r="D15113" i="1"/>
  <c r="E15113" i="1"/>
  <c r="F15113" i="1"/>
  <c r="G15113" i="1"/>
  <c r="H15113" i="1"/>
  <c r="A15114" i="1"/>
  <c r="B15114" i="1"/>
  <c r="C15114" i="1"/>
  <c r="D15114" i="1"/>
  <c r="E15114" i="1"/>
  <c r="F15114" i="1"/>
  <c r="G15114" i="1"/>
  <c r="H15114" i="1"/>
  <c r="A15115" i="1"/>
  <c r="B15115" i="1"/>
  <c r="C15115" i="1"/>
  <c r="D15115" i="1"/>
  <c r="E15115" i="1"/>
  <c r="F15115" i="1"/>
  <c r="G15115" i="1"/>
  <c r="H15115" i="1"/>
  <c r="A15116" i="1"/>
  <c r="B15116" i="1"/>
  <c r="C15116" i="1"/>
  <c r="D15116" i="1"/>
  <c r="E15116" i="1"/>
  <c r="F15116" i="1"/>
  <c r="G15116" i="1"/>
  <c r="H15116" i="1"/>
  <c r="A15117" i="1"/>
  <c r="B15117" i="1"/>
  <c r="C15117" i="1"/>
  <c r="D15117" i="1"/>
  <c r="E15117" i="1"/>
  <c r="F15117" i="1"/>
  <c r="G15117" i="1"/>
  <c r="H15117" i="1"/>
  <c r="A15118" i="1"/>
  <c r="B15118" i="1"/>
  <c r="C15118" i="1"/>
  <c r="D15118" i="1"/>
  <c r="E15118" i="1"/>
  <c r="F15118" i="1"/>
  <c r="G15118" i="1"/>
  <c r="H15118" i="1"/>
  <c r="A15119" i="1"/>
  <c r="B15119" i="1"/>
  <c r="C15119" i="1"/>
  <c r="D15119" i="1"/>
  <c r="E15119" i="1"/>
  <c r="F15119" i="1"/>
  <c r="G15119" i="1"/>
  <c r="H15119" i="1"/>
  <c r="A15120" i="1"/>
  <c r="B15120" i="1"/>
  <c r="C15120" i="1"/>
  <c r="D15120" i="1"/>
  <c r="E15120" i="1"/>
  <c r="F15120" i="1"/>
  <c r="G15120" i="1"/>
  <c r="H15120" i="1"/>
  <c r="A15121" i="1"/>
  <c r="B15121" i="1"/>
  <c r="C15121" i="1"/>
  <c r="D15121" i="1"/>
  <c r="E15121" i="1"/>
  <c r="F15121" i="1"/>
  <c r="G15121" i="1"/>
  <c r="H15121" i="1"/>
  <c r="A15122" i="1"/>
  <c r="B15122" i="1"/>
  <c r="C15122" i="1"/>
  <c r="D15122" i="1"/>
  <c r="E15122" i="1"/>
  <c r="F15122" i="1"/>
  <c r="G15122" i="1"/>
  <c r="H15122" i="1"/>
  <c r="A15123" i="1"/>
  <c r="B15123" i="1"/>
  <c r="C15123" i="1"/>
  <c r="D15123" i="1"/>
  <c r="E15123" i="1"/>
  <c r="F15123" i="1"/>
  <c r="G15123" i="1"/>
  <c r="H15123" i="1"/>
  <c r="A15124" i="1"/>
  <c r="B15124" i="1"/>
  <c r="C15124" i="1"/>
  <c r="D15124" i="1"/>
  <c r="E15124" i="1"/>
  <c r="F15124" i="1"/>
  <c r="G15124" i="1"/>
  <c r="H15124" i="1"/>
  <c r="A15125" i="1"/>
  <c r="B15125" i="1"/>
  <c r="C15125" i="1"/>
  <c r="D15125" i="1"/>
  <c r="E15125" i="1"/>
  <c r="F15125" i="1"/>
  <c r="G15125" i="1"/>
  <c r="H15125" i="1"/>
  <c r="A15126" i="1"/>
  <c r="B15126" i="1"/>
  <c r="C15126" i="1"/>
  <c r="D15126" i="1"/>
  <c r="E15126" i="1"/>
  <c r="F15126" i="1"/>
  <c r="G15126" i="1"/>
  <c r="H15126" i="1"/>
  <c r="A15127" i="1"/>
  <c r="B15127" i="1"/>
  <c r="C15127" i="1"/>
  <c r="D15127" i="1"/>
  <c r="E15127" i="1"/>
  <c r="F15127" i="1"/>
  <c r="G15127" i="1"/>
  <c r="H15127" i="1"/>
  <c r="A15128" i="1"/>
  <c r="B15128" i="1"/>
  <c r="C15128" i="1"/>
  <c r="D15128" i="1"/>
  <c r="E15128" i="1"/>
  <c r="F15128" i="1"/>
  <c r="G15128" i="1"/>
  <c r="H15128" i="1"/>
  <c r="A15129" i="1"/>
  <c r="B15129" i="1"/>
  <c r="C15129" i="1"/>
  <c r="D15129" i="1"/>
  <c r="E15129" i="1"/>
  <c r="F15129" i="1"/>
  <c r="G15129" i="1"/>
  <c r="H15129" i="1"/>
  <c r="A15130" i="1"/>
  <c r="B15130" i="1"/>
  <c r="C15130" i="1"/>
  <c r="D15130" i="1"/>
  <c r="E15130" i="1"/>
  <c r="F15130" i="1"/>
  <c r="G15130" i="1"/>
  <c r="H15130" i="1"/>
  <c r="A15131" i="1"/>
  <c r="B15131" i="1"/>
  <c r="C15131" i="1"/>
  <c r="D15131" i="1"/>
  <c r="E15131" i="1"/>
  <c r="F15131" i="1"/>
  <c r="G15131" i="1"/>
  <c r="H15131" i="1"/>
  <c r="A15132" i="1"/>
  <c r="B15132" i="1"/>
  <c r="C15132" i="1"/>
  <c r="D15132" i="1"/>
  <c r="E15132" i="1"/>
  <c r="F15132" i="1"/>
  <c r="G15132" i="1"/>
  <c r="H15132" i="1"/>
  <c r="A15133" i="1"/>
  <c r="B15133" i="1"/>
  <c r="C15133" i="1"/>
  <c r="D15133" i="1"/>
  <c r="E15133" i="1"/>
  <c r="F15133" i="1"/>
  <c r="G15133" i="1"/>
  <c r="H15133" i="1"/>
  <c r="A15134" i="1"/>
  <c r="B15134" i="1"/>
  <c r="C15134" i="1"/>
  <c r="D15134" i="1"/>
  <c r="E15134" i="1"/>
  <c r="F15134" i="1"/>
  <c r="G15134" i="1"/>
  <c r="H15134" i="1"/>
  <c r="A15135" i="1"/>
  <c r="B15135" i="1"/>
  <c r="C15135" i="1"/>
  <c r="D15135" i="1"/>
  <c r="E15135" i="1"/>
  <c r="F15135" i="1"/>
  <c r="G15135" i="1"/>
  <c r="H15135" i="1"/>
  <c r="A15136" i="1"/>
  <c r="B15136" i="1"/>
  <c r="C15136" i="1"/>
  <c r="D15136" i="1"/>
  <c r="E15136" i="1"/>
  <c r="F15136" i="1"/>
  <c r="G15136" i="1"/>
  <c r="H15136" i="1"/>
  <c r="A15137" i="1"/>
  <c r="B15137" i="1"/>
  <c r="C15137" i="1"/>
  <c r="D15137" i="1"/>
  <c r="E15137" i="1"/>
  <c r="F15137" i="1"/>
  <c r="G15137" i="1"/>
  <c r="H15137" i="1"/>
  <c r="A15138" i="1"/>
  <c r="B15138" i="1"/>
  <c r="C15138" i="1"/>
  <c r="D15138" i="1"/>
  <c r="E15138" i="1"/>
  <c r="F15138" i="1"/>
  <c r="G15138" i="1"/>
  <c r="H15138" i="1"/>
  <c r="A15139" i="1"/>
  <c r="B15139" i="1"/>
  <c r="C15139" i="1"/>
  <c r="D15139" i="1"/>
  <c r="E15139" i="1"/>
  <c r="F15139" i="1"/>
  <c r="G15139" i="1"/>
  <c r="H15139" i="1"/>
  <c r="A15140" i="1"/>
  <c r="B15140" i="1"/>
  <c r="C15140" i="1"/>
  <c r="D15140" i="1"/>
  <c r="E15140" i="1"/>
  <c r="F15140" i="1"/>
  <c r="G15140" i="1"/>
  <c r="H15140" i="1"/>
  <c r="A15141" i="1"/>
  <c r="B15141" i="1"/>
  <c r="C15141" i="1"/>
  <c r="D15141" i="1"/>
  <c r="E15141" i="1"/>
  <c r="F15141" i="1"/>
  <c r="G15141" i="1"/>
  <c r="H15141" i="1"/>
  <c r="A15142" i="1"/>
  <c r="B15142" i="1"/>
  <c r="C15142" i="1"/>
  <c r="D15142" i="1"/>
  <c r="E15142" i="1"/>
  <c r="F15142" i="1"/>
  <c r="G15142" i="1"/>
  <c r="H15142" i="1"/>
  <c r="A15143" i="1"/>
  <c r="B15143" i="1"/>
  <c r="C15143" i="1"/>
  <c r="D15143" i="1"/>
  <c r="E15143" i="1"/>
  <c r="F15143" i="1"/>
  <c r="G15143" i="1"/>
  <c r="H15143" i="1"/>
  <c r="A15144" i="1"/>
  <c r="B15144" i="1"/>
  <c r="C15144" i="1"/>
  <c r="D15144" i="1"/>
  <c r="E15144" i="1"/>
  <c r="F15144" i="1"/>
  <c r="G15144" i="1"/>
  <c r="H15144" i="1"/>
  <c r="A15145" i="1"/>
  <c r="B15145" i="1"/>
  <c r="C15145" i="1"/>
  <c r="D15145" i="1"/>
  <c r="E15145" i="1"/>
  <c r="F15145" i="1"/>
  <c r="G15145" i="1"/>
  <c r="H15145" i="1"/>
  <c r="A15146" i="1"/>
  <c r="B15146" i="1"/>
  <c r="C15146" i="1"/>
  <c r="D15146" i="1"/>
  <c r="E15146" i="1"/>
  <c r="F15146" i="1"/>
  <c r="G15146" i="1"/>
  <c r="H15146" i="1"/>
  <c r="A15147" i="1"/>
  <c r="B15147" i="1"/>
  <c r="C15147" i="1"/>
  <c r="D15147" i="1"/>
  <c r="E15147" i="1"/>
  <c r="F15147" i="1"/>
  <c r="G15147" i="1"/>
  <c r="H15147" i="1"/>
  <c r="A15148" i="1"/>
  <c r="B15148" i="1"/>
  <c r="C15148" i="1"/>
  <c r="D15148" i="1"/>
  <c r="E15148" i="1"/>
  <c r="F15148" i="1"/>
  <c r="G15148" i="1"/>
  <c r="H15148" i="1"/>
  <c r="A15149" i="1"/>
  <c r="B15149" i="1"/>
  <c r="C15149" i="1"/>
  <c r="D15149" i="1"/>
  <c r="E15149" i="1"/>
  <c r="F15149" i="1"/>
  <c r="G15149" i="1"/>
  <c r="H15149" i="1"/>
  <c r="A15150" i="1"/>
  <c r="B15150" i="1"/>
  <c r="C15150" i="1"/>
  <c r="D15150" i="1"/>
  <c r="E15150" i="1"/>
  <c r="F15150" i="1"/>
  <c r="G15150" i="1"/>
  <c r="H15150" i="1"/>
  <c r="A15151" i="1"/>
  <c r="B15151" i="1"/>
  <c r="C15151" i="1"/>
  <c r="D15151" i="1"/>
  <c r="E15151" i="1"/>
  <c r="F15151" i="1"/>
  <c r="G15151" i="1"/>
  <c r="H15151" i="1"/>
  <c r="A15152" i="1"/>
  <c r="B15152" i="1"/>
  <c r="C15152" i="1"/>
  <c r="D15152" i="1"/>
  <c r="E15152" i="1"/>
  <c r="F15152" i="1"/>
  <c r="G15152" i="1"/>
  <c r="H15152" i="1"/>
  <c r="A15153" i="1"/>
  <c r="B15153" i="1"/>
  <c r="C15153" i="1"/>
  <c r="D15153" i="1"/>
  <c r="E15153" i="1"/>
  <c r="F15153" i="1"/>
  <c r="G15153" i="1"/>
  <c r="H15153" i="1"/>
  <c r="A15154" i="1"/>
  <c r="B15154" i="1"/>
  <c r="C15154" i="1"/>
  <c r="D15154" i="1"/>
  <c r="E15154" i="1"/>
  <c r="F15154" i="1"/>
  <c r="G15154" i="1"/>
  <c r="H15154" i="1"/>
  <c r="A15155" i="1"/>
  <c r="B15155" i="1"/>
  <c r="C15155" i="1"/>
  <c r="D15155" i="1"/>
  <c r="E15155" i="1"/>
  <c r="F15155" i="1"/>
  <c r="G15155" i="1"/>
  <c r="H15155" i="1"/>
  <c r="A15156" i="1"/>
  <c r="B15156" i="1"/>
  <c r="C15156" i="1"/>
  <c r="D15156" i="1"/>
  <c r="E15156" i="1"/>
  <c r="F15156" i="1"/>
  <c r="G15156" i="1"/>
  <c r="H15156" i="1"/>
  <c r="A15157" i="1"/>
  <c r="B15157" i="1"/>
  <c r="C15157" i="1"/>
  <c r="D15157" i="1"/>
  <c r="E15157" i="1"/>
  <c r="F15157" i="1"/>
  <c r="G15157" i="1"/>
  <c r="H15157" i="1"/>
  <c r="A15158" i="1"/>
  <c r="B15158" i="1"/>
  <c r="C15158" i="1"/>
  <c r="D15158" i="1"/>
  <c r="E15158" i="1"/>
  <c r="F15158" i="1"/>
  <c r="G15158" i="1"/>
  <c r="H15158" i="1"/>
  <c r="A15159" i="1"/>
  <c r="B15159" i="1"/>
  <c r="C15159" i="1"/>
  <c r="D15159" i="1"/>
  <c r="E15159" i="1"/>
  <c r="F15159" i="1"/>
  <c r="G15159" i="1"/>
  <c r="H15159" i="1"/>
  <c r="A15160" i="1"/>
  <c r="B15160" i="1"/>
  <c r="C15160" i="1"/>
  <c r="D15160" i="1"/>
  <c r="E15160" i="1"/>
  <c r="F15160" i="1"/>
  <c r="G15160" i="1"/>
  <c r="H15160" i="1"/>
  <c r="A15161" i="1"/>
  <c r="B15161" i="1"/>
  <c r="C15161" i="1"/>
  <c r="D15161" i="1"/>
  <c r="E15161" i="1"/>
  <c r="F15161" i="1"/>
  <c r="G15161" i="1"/>
  <c r="H15161" i="1"/>
  <c r="A15162" i="1"/>
  <c r="B15162" i="1"/>
  <c r="C15162" i="1"/>
  <c r="D15162" i="1"/>
  <c r="E15162" i="1"/>
  <c r="F15162" i="1"/>
  <c r="G15162" i="1"/>
  <c r="H15162" i="1"/>
  <c r="A15163" i="1"/>
  <c r="B15163" i="1"/>
  <c r="C15163" i="1"/>
  <c r="D15163" i="1"/>
  <c r="E15163" i="1"/>
  <c r="F15163" i="1"/>
  <c r="G15163" i="1"/>
  <c r="H15163" i="1"/>
  <c r="A15164" i="1"/>
  <c r="B15164" i="1"/>
  <c r="C15164" i="1"/>
  <c r="D15164" i="1"/>
  <c r="E15164" i="1"/>
  <c r="F15164" i="1"/>
  <c r="G15164" i="1"/>
  <c r="H15164" i="1"/>
  <c r="A15165" i="1"/>
  <c r="B15165" i="1"/>
  <c r="C15165" i="1"/>
  <c r="D15165" i="1"/>
  <c r="E15165" i="1"/>
  <c r="F15165" i="1"/>
  <c r="G15165" i="1"/>
  <c r="H15165" i="1"/>
  <c r="A15166" i="1"/>
  <c r="B15166" i="1"/>
  <c r="C15166" i="1"/>
  <c r="D15166" i="1"/>
  <c r="E15166" i="1"/>
  <c r="F15166" i="1"/>
  <c r="G15166" i="1"/>
  <c r="H15166" i="1"/>
  <c r="A15167" i="1"/>
  <c r="B15167" i="1"/>
  <c r="C15167" i="1"/>
  <c r="D15167" i="1"/>
  <c r="E15167" i="1"/>
  <c r="F15167" i="1"/>
  <c r="G15167" i="1"/>
  <c r="H15167" i="1"/>
  <c r="A15168" i="1"/>
  <c r="B15168" i="1"/>
  <c r="C15168" i="1"/>
  <c r="D15168" i="1"/>
  <c r="E15168" i="1"/>
  <c r="F15168" i="1"/>
  <c r="G15168" i="1"/>
  <c r="H15168" i="1"/>
  <c r="A15169" i="1"/>
  <c r="B15169" i="1"/>
  <c r="C15169" i="1"/>
  <c r="D15169" i="1"/>
  <c r="E15169" i="1"/>
  <c r="F15169" i="1"/>
  <c r="G15169" i="1"/>
  <c r="H15169" i="1"/>
  <c r="A15170" i="1"/>
  <c r="B15170" i="1"/>
  <c r="C15170" i="1"/>
  <c r="D15170" i="1"/>
  <c r="E15170" i="1"/>
  <c r="F15170" i="1"/>
  <c r="G15170" i="1"/>
  <c r="H15170" i="1"/>
  <c r="A15171" i="1"/>
  <c r="B15171" i="1"/>
  <c r="C15171" i="1"/>
  <c r="D15171" i="1"/>
  <c r="E15171" i="1"/>
  <c r="F15171" i="1"/>
  <c r="G15171" i="1"/>
  <c r="H15171" i="1"/>
  <c r="A15172" i="1"/>
  <c r="B15172" i="1"/>
  <c r="C15172" i="1"/>
  <c r="D15172" i="1"/>
  <c r="E15172" i="1"/>
  <c r="F15172" i="1"/>
  <c r="G15172" i="1"/>
  <c r="H15172" i="1"/>
  <c r="A15173" i="1"/>
  <c r="B15173" i="1"/>
  <c r="C15173" i="1"/>
  <c r="D15173" i="1"/>
  <c r="E15173" i="1"/>
  <c r="F15173" i="1"/>
  <c r="G15173" i="1"/>
  <c r="H15173" i="1"/>
  <c r="A15174" i="1"/>
  <c r="B15174" i="1"/>
  <c r="C15174" i="1"/>
  <c r="D15174" i="1"/>
  <c r="E15174" i="1"/>
  <c r="F15174" i="1"/>
  <c r="G15174" i="1"/>
  <c r="H15174" i="1"/>
  <c r="A15175" i="1"/>
  <c r="B15175" i="1"/>
  <c r="C15175" i="1"/>
  <c r="D15175" i="1"/>
  <c r="E15175" i="1"/>
  <c r="F15175" i="1"/>
  <c r="G15175" i="1"/>
  <c r="H15175" i="1"/>
  <c r="A15176" i="1"/>
  <c r="B15176" i="1"/>
  <c r="C15176" i="1"/>
  <c r="D15176" i="1"/>
  <c r="E15176" i="1"/>
  <c r="F15176" i="1"/>
  <c r="G15176" i="1"/>
  <c r="H15176" i="1"/>
  <c r="A15177" i="1"/>
  <c r="B15177" i="1"/>
  <c r="C15177" i="1"/>
  <c r="D15177" i="1"/>
  <c r="E15177" i="1"/>
  <c r="F15177" i="1"/>
  <c r="G15177" i="1"/>
  <c r="H15177" i="1"/>
  <c r="A15178" i="1"/>
  <c r="B15178" i="1"/>
  <c r="C15178" i="1"/>
  <c r="D15178" i="1"/>
  <c r="E15178" i="1"/>
  <c r="F15178" i="1"/>
  <c r="G15178" i="1"/>
  <c r="H15178" i="1"/>
  <c r="A15179" i="1"/>
  <c r="B15179" i="1"/>
  <c r="C15179" i="1"/>
  <c r="D15179" i="1"/>
  <c r="E15179" i="1"/>
  <c r="F15179" i="1"/>
  <c r="G15179" i="1"/>
  <c r="H15179" i="1"/>
  <c r="A15180" i="1"/>
  <c r="B15180" i="1"/>
  <c r="C15180" i="1"/>
  <c r="D15180" i="1"/>
  <c r="E15180" i="1"/>
  <c r="F15180" i="1"/>
  <c r="G15180" i="1"/>
  <c r="H15180" i="1"/>
  <c r="A15181" i="1"/>
  <c r="B15181" i="1"/>
  <c r="C15181" i="1"/>
  <c r="D15181" i="1"/>
  <c r="E15181" i="1"/>
  <c r="F15181" i="1"/>
  <c r="G15181" i="1"/>
  <c r="H15181" i="1"/>
  <c r="A15182" i="1"/>
  <c r="B15182" i="1"/>
  <c r="C15182" i="1"/>
  <c r="D15182" i="1"/>
  <c r="E15182" i="1"/>
  <c r="F15182" i="1"/>
  <c r="G15182" i="1"/>
  <c r="H15182" i="1"/>
  <c r="A15183" i="1"/>
  <c r="B15183" i="1"/>
  <c r="C15183" i="1"/>
  <c r="D15183" i="1"/>
  <c r="E15183" i="1"/>
  <c r="F15183" i="1"/>
  <c r="G15183" i="1"/>
  <c r="H15183" i="1"/>
  <c r="A15184" i="1"/>
  <c r="B15184" i="1"/>
  <c r="C15184" i="1"/>
  <c r="D15184" i="1"/>
  <c r="E15184" i="1"/>
  <c r="F15184" i="1"/>
  <c r="G15184" i="1"/>
  <c r="H15184" i="1"/>
  <c r="A15185" i="1"/>
  <c r="B15185" i="1"/>
  <c r="C15185" i="1"/>
  <c r="D15185" i="1"/>
  <c r="E15185" i="1"/>
  <c r="F15185" i="1"/>
  <c r="G15185" i="1"/>
  <c r="H15185" i="1"/>
  <c r="A15186" i="1"/>
  <c r="B15186" i="1"/>
  <c r="C15186" i="1"/>
  <c r="D15186" i="1"/>
  <c r="E15186" i="1"/>
  <c r="F15186" i="1"/>
  <c r="G15186" i="1"/>
  <c r="H15186" i="1"/>
  <c r="A15187" i="1"/>
  <c r="B15187" i="1"/>
  <c r="C15187" i="1"/>
  <c r="D15187" i="1"/>
  <c r="E15187" i="1"/>
  <c r="F15187" i="1"/>
  <c r="G15187" i="1"/>
  <c r="H15187" i="1"/>
  <c r="A15188" i="1"/>
  <c r="B15188" i="1"/>
  <c r="C15188" i="1"/>
  <c r="D15188" i="1"/>
  <c r="E15188" i="1"/>
  <c r="F15188" i="1"/>
  <c r="G15188" i="1"/>
  <c r="H15188" i="1"/>
  <c r="A15189" i="1"/>
  <c r="B15189" i="1"/>
  <c r="C15189" i="1"/>
  <c r="D15189" i="1"/>
  <c r="E15189" i="1"/>
  <c r="F15189" i="1"/>
  <c r="G15189" i="1"/>
  <c r="H15189" i="1"/>
  <c r="A15190" i="1"/>
  <c r="B15190" i="1"/>
  <c r="C15190" i="1"/>
  <c r="D15190" i="1"/>
  <c r="E15190" i="1"/>
  <c r="F15190" i="1"/>
  <c r="G15190" i="1"/>
  <c r="H15190" i="1"/>
  <c r="A15191" i="1"/>
  <c r="B15191" i="1"/>
  <c r="C15191" i="1"/>
  <c r="D15191" i="1"/>
  <c r="E15191" i="1"/>
  <c r="F15191" i="1"/>
  <c r="G15191" i="1"/>
  <c r="H15191" i="1"/>
  <c r="A15192" i="1"/>
  <c r="B15192" i="1"/>
  <c r="C15192" i="1"/>
  <c r="D15192" i="1"/>
  <c r="E15192" i="1"/>
  <c r="F15192" i="1"/>
  <c r="G15192" i="1"/>
  <c r="H15192" i="1"/>
  <c r="A15193" i="1"/>
  <c r="B15193" i="1"/>
  <c r="C15193" i="1"/>
  <c r="D15193" i="1"/>
  <c r="E15193" i="1"/>
  <c r="F15193" i="1"/>
  <c r="G15193" i="1"/>
  <c r="H15193" i="1"/>
  <c r="A15194" i="1"/>
  <c r="B15194" i="1"/>
  <c r="C15194" i="1"/>
  <c r="D15194" i="1"/>
  <c r="E15194" i="1"/>
  <c r="F15194" i="1"/>
  <c r="G15194" i="1"/>
  <c r="H15194" i="1"/>
  <c r="A15195" i="1"/>
  <c r="B15195" i="1"/>
  <c r="C15195" i="1"/>
  <c r="D15195" i="1"/>
  <c r="E15195" i="1"/>
  <c r="F15195" i="1"/>
  <c r="G15195" i="1"/>
  <c r="H15195" i="1"/>
  <c r="A15196" i="1"/>
  <c r="B15196" i="1"/>
  <c r="C15196" i="1"/>
  <c r="D15196" i="1"/>
  <c r="E15196" i="1"/>
  <c r="F15196" i="1"/>
  <c r="G15196" i="1"/>
  <c r="H15196" i="1"/>
  <c r="A15197" i="1"/>
  <c r="B15197" i="1"/>
  <c r="C15197" i="1"/>
  <c r="D15197" i="1"/>
  <c r="E15197" i="1"/>
  <c r="F15197" i="1"/>
  <c r="G15197" i="1"/>
  <c r="H15197" i="1"/>
  <c r="A15198" i="1"/>
  <c r="B15198" i="1"/>
  <c r="C15198" i="1"/>
  <c r="D15198" i="1"/>
  <c r="E15198" i="1"/>
  <c r="F15198" i="1"/>
  <c r="G15198" i="1"/>
  <c r="H15198" i="1"/>
  <c r="A15199" i="1"/>
  <c r="B15199" i="1"/>
  <c r="C15199" i="1"/>
  <c r="D15199" i="1"/>
  <c r="E15199" i="1"/>
  <c r="F15199" i="1"/>
  <c r="G15199" i="1"/>
  <c r="H15199" i="1"/>
  <c r="A15200" i="1"/>
  <c r="B15200" i="1"/>
  <c r="C15200" i="1"/>
  <c r="D15200" i="1"/>
  <c r="E15200" i="1"/>
  <c r="F15200" i="1"/>
  <c r="G15200" i="1"/>
  <c r="H15200" i="1"/>
  <c r="A15201" i="1"/>
  <c r="B15201" i="1"/>
  <c r="C15201" i="1"/>
  <c r="D15201" i="1"/>
  <c r="E15201" i="1"/>
  <c r="F15201" i="1"/>
  <c r="G15201" i="1"/>
  <c r="H15201" i="1"/>
  <c r="A15202" i="1"/>
  <c r="B15202" i="1"/>
  <c r="C15202" i="1"/>
  <c r="D15202" i="1"/>
  <c r="E15202" i="1"/>
  <c r="F15202" i="1"/>
  <c r="G15202" i="1"/>
  <c r="H15202" i="1"/>
  <c r="A15203" i="1"/>
  <c r="B15203" i="1"/>
  <c r="C15203" i="1"/>
  <c r="D15203" i="1"/>
  <c r="E15203" i="1"/>
  <c r="F15203" i="1"/>
  <c r="G15203" i="1"/>
  <c r="H15203" i="1"/>
  <c r="A15204" i="1"/>
  <c r="B15204" i="1"/>
  <c r="C15204" i="1"/>
  <c r="D15204" i="1"/>
  <c r="E15204" i="1"/>
  <c r="F15204" i="1"/>
  <c r="G15204" i="1"/>
  <c r="H15204" i="1"/>
  <c r="A15205" i="1"/>
  <c r="B15205" i="1"/>
  <c r="C15205" i="1"/>
  <c r="D15205" i="1"/>
  <c r="E15205" i="1"/>
  <c r="F15205" i="1"/>
  <c r="G15205" i="1"/>
  <c r="H15205" i="1"/>
  <c r="A15206" i="1"/>
  <c r="B15206" i="1"/>
  <c r="C15206" i="1"/>
  <c r="D15206" i="1"/>
  <c r="E15206" i="1"/>
  <c r="F15206" i="1"/>
  <c r="G15206" i="1"/>
  <c r="H15206" i="1"/>
  <c r="A15207" i="1"/>
  <c r="B15207" i="1"/>
  <c r="C15207" i="1"/>
  <c r="D15207" i="1"/>
  <c r="E15207" i="1"/>
  <c r="F15207" i="1"/>
  <c r="G15207" i="1"/>
  <c r="H15207" i="1"/>
  <c r="A15208" i="1"/>
  <c r="B15208" i="1"/>
  <c r="C15208" i="1"/>
  <c r="D15208" i="1"/>
  <c r="E15208" i="1"/>
  <c r="F15208" i="1"/>
  <c r="G15208" i="1"/>
  <c r="H15208" i="1"/>
  <c r="A15209" i="1"/>
  <c r="B15209" i="1"/>
  <c r="C15209" i="1"/>
  <c r="D15209" i="1"/>
  <c r="E15209" i="1"/>
  <c r="F15209" i="1"/>
  <c r="G15209" i="1"/>
  <c r="H15209" i="1"/>
  <c r="A15210" i="1"/>
  <c r="B15210" i="1"/>
  <c r="C15210" i="1"/>
  <c r="D15210" i="1"/>
  <c r="E15210" i="1"/>
  <c r="F15210" i="1"/>
  <c r="G15210" i="1"/>
  <c r="H15210" i="1"/>
  <c r="A15211" i="1"/>
  <c r="B15211" i="1"/>
  <c r="C15211" i="1"/>
  <c r="D15211" i="1"/>
  <c r="E15211" i="1"/>
  <c r="F15211" i="1"/>
  <c r="G15211" i="1"/>
  <c r="H15211" i="1"/>
  <c r="A15212" i="1"/>
  <c r="B15212" i="1"/>
  <c r="C15212" i="1"/>
  <c r="D15212" i="1"/>
  <c r="E15212" i="1"/>
  <c r="F15212" i="1"/>
  <c r="G15212" i="1"/>
  <c r="H15212" i="1"/>
  <c r="A15213" i="1"/>
  <c r="B15213" i="1"/>
  <c r="C15213" i="1"/>
  <c r="D15213" i="1"/>
  <c r="E15213" i="1"/>
  <c r="F15213" i="1"/>
  <c r="G15213" i="1"/>
  <c r="H15213" i="1"/>
  <c r="A15214" i="1"/>
  <c r="B15214" i="1"/>
  <c r="C15214" i="1"/>
  <c r="D15214" i="1"/>
  <c r="E15214" i="1"/>
  <c r="F15214" i="1"/>
  <c r="G15214" i="1"/>
  <c r="H15214" i="1"/>
  <c r="A15215" i="1"/>
  <c r="B15215" i="1"/>
  <c r="C15215" i="1"/>
  <c r="D15215" i="1"/>
  <c r="E15215" i="1"/>
  <c r="F15215" i="1"/>
  <c r="G15215" i="1"/>
  <c r="H15215" i="1"/>
  <c r="A15216" i="1"/>
  <c r="B15216" i="1"/>
  <c r="C15216" i="1"/>
  <c r="D15216" i="1"/>
  <c r="E15216" i="1"/>
  <c r="F15216" i="1"/>
  <c r="G15216" i="1"/>
  <c r="H15216" i="1"/>
  <c r="A15217" i="1"/>
  <c r="B15217" i="1"/>
  <c r="C15217" i="1"/>
  <c r="D15217" i="1"/>
  <c r="E15217" i="1"/>
  <c r="F15217" i="1"/>
  <c r="G15217" i="1"/>
  <c r="H15217" i="1"/>
  <c r="A15218" i="1"/>
  <c r="B15218" i="1"/>
  <c r="C15218" i="1"/>
  <c r="D15218" i="1"/>
  <c r="E15218" i="1"/>
  <c r="F15218" i="1"/>
  <c r="G15218" i="1"/>
  <c r="H15218" i="1"/>
  <c r="A15219" i="1"/>
  <c r="B15219" i="1"/>
  <c r="C15219" i="1"/>
  <c r="D15219" i="1"/>
  <c r="E15219" i="1"/>
  <c r="F15219" i="1"/>
  <c r="G15219" i="1"/>
  <c r="H15219" i="1"/>
  <c r="A15220" i="1"/>
  <c r="B15220" i="1"/>
  <c r="C15220" i="1"/>
  <c r="D15220" i="1"/>
  <c r="E15220" i="1"/>
  <c r="F15220" i="1"/>
  <c r="G15220" i="1"/>
  <c r="H15220" i="1"/>
  <c r="A15221" i="1"/>
  <c r="B15221" i="1"/>
  <c r="C15221" i="1"/>
  <c r="D15221" i="1"/>
  <c r="E15221" i="1"/>
  <c r="F15221" i="1"/>
  <c r="G15221" i="1"/>
  <c r="H15221" i="1"/>
  <c r="A15222" i="1"/>
  <c r="B15222" i="1"/>
  <c r="C15222" i="1"/>
  <c r="D15222" i="1"/>
  <c r="E15222" i="1"/>
  <c r="F15222" i="1"/>
  <c r="G15222" i="1"/>
  <c r="H15222" i="1"/>
  <c r="A15223" i="1"/>
  <c r="B15223" i="1"/>
  <c r="C15223" i="1"/>
  <c r="D15223" i="1"/>
  <c r="E15223" i="1"/>
  <c r="F15223" i="1"/>
  <c r="G15223" i="1"/>
  <c r="H15223" i="1"/>
  <c r="A15224" i="1"/>
  <c r="B15224" i="1"/>
  <c r="C15224" i="1"/>
  <c r="D15224" i="1"/>
  <c r="E15224" i="1"/>
  <c r="F15224" i="1"/>
  <c r="G15224" i="1"/>
  <c r="H15224" i="1"/>
  <c r="A15225" i="1"/>
  <c r="B15225" i="1"/>
  <c r="C15225" i="1"/>
  <c r="D15225" i="1"/>
  <c r="E15225" i="1"/>
  <c r="F15225" i="1"/>
  <c r="G15225" i="1"/>
  <c r="H15225" i="1"/>
  <c r="A15226" i="1"/>
  <c r="B15226" i="1"/>
  <c r="C15226" i="1"/>
  <c r="D15226" i="1"/>
  <c r="E15226" i="1"/>
  <c r="F15226" i="1"/>
  <c r="G15226" i="1"/>
  <c r="H15226" i="1"/>
  <c r="A15227" i="1"/>
  <c r="B15227" i="1"/>
  <c r="C15227" i="1"/>
  <c r="D15227" i="1"/>
  <c r="E15227" i="1"/>
  <c r="F15227" i="1"/>
  <c r="G15227" i="1"/>
  <c r="H15227" i="1"/>
  <c r="A15228" i="1"/>
  <c r="B15228" i="1"/>
  <c r="C15228" i="1"/>
  <c r="D15228" i="1"/>
  <c r="E15228" i="1"/>
  <c r="F15228" i="1"/>
  <c r="G15228" i="1"/>
  <c r="H15228" i="1"/>
  <c r="A15229" i="1"/>
  <c r="B15229" i="1"/>
  <c r="C15229" i="1"/>
  <c r="D15229" i="1"/>
  <c r="E15229" i="1"/>
  <c r="F15229" i="1"/>
  <c r="G15229" i="1"/>
  <c r="H15229" i="1"/>
  <c r="A15230" i="1"/>
  <c r="B15230" i="1"/>
  <c r="C15230" i="1"/>
  <c r="D15230" i="1"/>
  <c r="E15230" i="1"/>
  <c r="F15230" i="1"/>
  <c r="G15230" i="1"/>
  <c r="H15230" i="1"/>
  <c r="A15231" i="1"/>
  <c r="B15231" i="1"/>
  <c r="C15231" i="1"/>
  <c r="D15231" i="1"/>
  <c r="E15231" i="1"/>
  <c r="F15231" i="1"/>
  <c r="G15231" i="1"/>
  <c r="H15231" i="1"/>
  <c r="A15232" i="1"/>
  <c r="B15232" i="1"/>
  <c r="C15232" i="1"/>
  <c r="D15232" i="1"/>
  <c r="E15232" i="1"/>
  <c r="F15232" i="1"/>
  <c r="G15232" i="1"/>
  <c r="H15232" i="1"/>
  <c r="A15233" i="1"/>
  <c r="B15233" i="1"/>
  <c r="C15233" i="1"/>
  <c r="D15233" i="1"/>
  <c r="E15233" i="1"/>
  <c r="F15233" i="1"/>
  <c r="G15233" i="1"/>
  <c r="H15233" i="1"/>
  <c r="A15234" i="1"/>
  <c r="B15234" i="1"/>
  <c r="C15234" i="1"/>
  <c r="D15234" i="1"/>
  <c r="E15234" i="1"/>
  <c r="F15234" i="1"/>
  <c r="G15234" i="1"/>
  <c r="H15234" i="1"/>
  <c r="A15235" i="1"/>
  <c r="B15235" i="1"/>
  <c r="C15235" i="1"/>
  <c r="D15235" i="1"/>
  <c r="E15235" i="1"/>
  <c r="F15235" i="1"/>
  <c r="G15235" i="1"/>
  <c r="H15235" i="1"/>
  <c r="A15236" i="1"/>
  <c r="B15236" i="1"/>
  <c r="C15236" i="1"/>
  <c r="D15236" i="1"/>
  <c r="E15236" i="1"/>
  <c r="F15236" i="1"/>
  <c r="G15236" i="1"/>
  <c r="H15236" i="1"/>
  <c r="A15237" i="1"/>
  <c r="B15237" i="1"/>
  <c r="C15237" i="1"/>
  <c r="D15237" i="1"/>
  <c r="E15237" i="1"/>
  <c r="F15237" i="1"/>
  <c r="G15237" i="1"/>
  <c r="H15237" i="1"/>
  <c r="A15238" i="1"/>
  <c r="B15238" i="1"/>
  <c r="C15238" i="1"/>
  <c r="D15238" i="1"/>
  <c r="E15238" i="1"/>
  <c r="F15238" i="1"/>
  <c r="G15238" i="1"/>
  <c r="H15238" i="1"/>
  <c r="A15239" i="1"/>
  <c r="B15239" i="1"/>
  <c r="C15239" i="1"/>
  <c r="D15239" i="1"/>
  <c r="E15239" i="1"/>
  <c r="F15239" i="1"/>
  <c r="G15239" i="1"/>
  <c r="H15239" i="1"/>
  <c r="A15240" i="1"/>
  <c r="B15240" i="1"/>
  <c r="C15240" i="1"/>
  <c r="D15240" i="1"/>
  <c r="E15240" i="1"/>
  <c r="F15240" i="1"/>
  <c r="G15240" i="1"/>
  <c r="H15240" i="1"/>
  <c r="A15241" i="1"/>
  <c r="B15241" i="1"/>
  <c r="C15241" i="1"/>
  <c r="D15241" i="1"/>
  <c r="E15241" i="1"/>
  <c r="F15241" i="1"/>
  <c r="G15241" i="1"/>
  <c r="H15241" i="1"/>
  <c r="A15242" i="1"/>
  <c r="B15242" i="1"/>
  <c r="C15242" i="1"/>
  <c r="D15242" i="1"/>
  <c r="E15242" i="1"/>
  <c r="F15242" i="1"/>
  <c r="G15242" i="1"/>
  <c r="H15242" i="1"/>
  <c r="A15243" i="1"/>
  <c r="B15243" i="1"/>
  <c r="C15243" i="1"/>
  <c r="D15243" i="1"/>
  <c r="E15243" i="1"/>
  <c r="F15243" i="1"/>
  <c r="G15243" i="1"/>
  <c r="H15243" i="1"/>
  <c r="A15244" i="1"/>
  <c r="B15244" i="1"/>
  <c r="C15244" i="1"/>
  <c r="D15244" i="1"/>
  <c r="E15244" i="1"/>
  <c r="F15244" i="1"/>
  <c r="G15244" i="1"/>
  <c r="H15244" i="1"/>
  <c r="A15245" i="1"/>
  <c r="B15245" i="1"/>
  <c r="C15245" i="1"/>
  <c r="D15245" i="1"/>
  <c r="E15245" i="1"/>
  <c r="F15245" i="1"/>
  <c r="G15245" i="1"/>
  <c r="H15245" i="1"/>
  <c r="A15246" i="1"/>
  <c r="B15246" i="1"/>
  <c r="C15246" i="1"/>
  <c r="D15246" i="1"/>
  <c r="E15246" i="1"/>
  <c r="F15246" i="1"/>
  <c r="G15246" i="1"/>
  <c r="H15246" i="1"/>
  <c r="A15247" i="1"/>
  <c r="B15247" i="1"/>
  <c r="C15247" i="1"/>
  <c r="D15247" i="1"/>
  <c r="E15247" i="1"/>
  <c r="F15247" i="1"/>
  <c r="G15247" i="1"/>
  <c r="H15247" i="1"/>
  <c r="A15248" i="1"/>
  <c r="B15248" i="1"/>
  <c r="C15248" i="1"/>
  <c r="D15248" i="1"/>
  <c r="E15248" i="1"/>
  <c r="F15248" i="1"/>
  <c r="G15248" i="1"/>
  <c r="H15248" i="1"/>
  <c r="A15249" i="1"/>
  <c r="B15249" i="1"/>
  <c r="C15249" i="1"/>
  <c r="D15249" i="1"/>
  <c r="E15249" i="1"/>
  <c r="F15249" i="1"/>
  <c r="G15249" i="1"/>
  <c r="H15249" i="1"/>
  <c r="A15250" i="1"/>
  <c r="B15250" i="1"/>
  <c r="C15250" i="1"/>
  <c r="D15250" i="1"/>
  <c r="E15250" i="1"/>
  <c r="F15250" i="1"/>
  <c r="G15250" i="1"/>
  <c r="H15250" i="1"/>
  <c r="A15251" i="1"/>
  <c r="B15251" i="1"/>
  <c r="C15251" i="1"/>
  <c r="D15251" i="1"/>
  <c r="E15251" i="1"/>
  <c r="F15251" i="1"/>
  <c r="G15251" i="1"/>
  <c r="H15251" i="1"/>
  <c r="A15252" i="1"/>
  <c r="B15252" i="1"/>
  <c r="C15252" i="1"/>
  <c r="D15252" i="1"/>
  <c r="E15252" i="1"/>
  <c r="F15252" i="1"/>
  <c r="G15252" i="1"/>
  <c r="H15252" i="1"/>
  <c r="A15253" i="1"/>
  <c r="B15253" i="1"/>
  <c r="C15253" i="1"/>
  <c r="D15253" i="1"/>
  <c r="E15253" i="1"/>
  <c r="F15253" i="1"/>
  <c r="G15253" i="1"/>
  <c r="H15253" i="1"/>
  <c r="A15254" i="1"/>
  <c r="B15254" i="1"/>
  <c r="C15254" i="1"/>
  <c r="D15254" i="1"/>
  <c r="E15254" i="1"/>
  <c r="F15254" i="1"/>
  <c r="G15254" i="1"/>
  <c r="H15254" i="1"/>
  <c r="A15255" i="1"/>
  <c r="B15255" i="1"/>
  <c r="C15255" i="1"/>
  <c r="D15255" i="1"/>
  <c r="E15255" i="1"/>
  <c r="F15255" i="1"/>
  <c r="G15255" i="1"/>
  <c r="H15255" i="1"/>
  <c r="A15256" i="1"/>
  <c r="B15256" i="1"/>
  <c r="C15256" i="1"/>
  <c r="D15256" i="1"/>
  <c r="E15256" i="1"/>
  <c r="F15256" i="1"/>
  <c r="G15256" i="1"/>
  <c r="H15256" i="1"/>
  <c r="A15257" i="1"/>
  <c r="B15257" i="1"/>
  <c r="C15257" i="1"/>
  <c r="D15257" i="1"/>
  <c r="E15257" i="1"/>
  <c r="F15257" i="1"/>
  <c r="G15257" i="1"/>
  <c r="H15257" i="1"/>
  <c r="A15258" i="1"/>
  <c r="B15258" i="1"/>
  <c r="C15258" i="1"/>
  <c r="D15258" i="1"/>
  <c r="E15258" i="1"/>
  <c r="F15258" i="1"/>
  <c r="G15258" i="1"/>
  <c r="H15258" i="1"/>
  <c r="A15259" i="1"/>
  <c r="B15259" i="1"/>
  <c r="C15259" i="1"/>
  <c r="D15259" i="1"/>
  <c r="E15259" i="1"/>
  <c r="F15259" i="1"/>
  <c r="G15259" i="1"/>
  <c r="H15259" i="1"/>
  <c r="A15260" i="1"/>
  <c r="B15260" i="1"/>
  <c r="C15260" i="1"/>
  <c r="D15260" i="1"/>
  <c r="E15260" i="1"/>
  <c r="F15260" i="1"/>
  <c r="G15260" i="1"/>
  <c r="H15260" i="1"/>
  <c r="A15261" i="1"/>
  <c r="B15261" i="1"/>
  <c r="C15261" i="1"/>
  <c r="D15261" i="1"/>
  <c r="E15261" i="1"/>
  <c r="F15261" i="1"/>
  <c r="G15261" i="1"/>
  <c r="H15261" i="1"/>
  <c r="A15262" i="1"/>
  <c r="B15262" i="1"/>
  <c r="C15262" i="1"/>
  <c r="D15262" i="1"/>
  <c r="E15262" i="1"/>
  <c r="F15262" i="1"/>
  <c r="G15262" i="1"/>
  <c r="H15262" i="1"/>
  <c r="A15263" i="1"/>
  <c r="B15263" i="1"/>
  <c r="C15263" i="1"/>
  <c r="D15263" i="1"/>
  <c r="E15263" i="1"/>
  <c r="F15263" i="1"/>
  <c r="G15263" i="1"/>
  <c r="H15263" i="1"/>
  <c r="A15264" i="1"/>
  <c r="B15264" i="1"/>
  <c r="C15264" i="1"/>
  <c r="D15264" i="1"/>
  <c r="E15264" i="1"/>
  <c r="F15264" i="1"/>
  <c r="G15264" i="1"/>
  <c r="H15264" i="1"/>
  <c r="A15265" i="1"/>
  <c r="B15265" i="1"/>
  <c r="C15265" i="1"/>
  <c r="D15265" i="1"/>
  <c r="E15265" i="1"/>
  <c r="F15265" i="1"/>
  <c r="G15265" i="1"/>
  <c r="H15265" i="1"/>
  <c r="A15266" i="1"/>
  <c r="B15266" i="1"/>
  <c r="C15266" i="1"/>
  <c r="D15266" i="1"/>
  <c r="E15266" i="1"/>
  <c r="F15266" i="1"/>
  <c r="G15266" i="1"/>
  <c r="H15266" i="1"/>
  <c r="A15267" i="1"/>
  <c r="B15267" i="1"/>
  <c r="C15267" i="1"/>
  <c r="D15267" i="1"/>
  <c r="E15267" i="1"/>
  <c r="F15267" i="1"/>
  <c r="G15267" i="1"/>
  <c r="H15267" i="1"/>
  <c r="A15268" i="1"/>
  <c r="B15268" i="1"/>
  <c r="C15268" i="1"/>
  <c r="D15268" i="1"/>
  <c r="E15268" i="1"/>
  <c r="F15268" i="1"/>
  <c r="G15268" i="1"/>
  <c r="H15268" i="1"/>
  <c r="A15269" i="1"/>
  <c r="B15269" i="1"/>
  <c r="C15269" i="1"/>
  <c r="D15269" i="1"/>
  <c r="E15269" i="1"/>
  <c r="F15269" i="1"/>
  <c r="G15269" i="1"/>
  <c r="H15269" i="1"/>
  <c r="A15270" i="1"/>
  <c r="B15270" i="1"/>
  <c r="C15270" i="1"/>
  <c r="D15270" i="1"/>
  <c r="E15270" i="1"/>
  <c r="F15270" i="1"/>
  <c r="G15270" i="1"/>
  <c r="H15270" i="1"/>
  <c r="A15271" i="1"/>
  <c r="B15271" i="1"/>
  <c r="C15271" i="1"/>
  <c r="D15271" i="1"/>
  <c r="E15271" i="1"/>
  <c r="F15271" i="1"/>
  <c r="G15271" i="1"/>
  <c r="H15271" i="1"/>
  <c r="A15272" i="1"/>
  <c r="B15272" i="1"/>
  <c r="C15272" i="1"/>
  <c r="D15272" i="1"/>
  <c r="E15272" i="1"/>
  <c r="F15272" i="1"/>
  <c r="G15272" i="1"/>
  <c r="H15272" i="1"/>
  <c r="A15273" i="1"/>
  <c r="B15273" i="1"/>
  <c r="C15273" i="1"/>
  <c r="D15273" i="1"/>
  <c r="E15273" i="1"/>
  <c r="F15273" i="1"/>
  <c r="G15273" i="1"/>
  <c r="H15273" i="1"/>
  <c r="A15274" i="1"/>
  <c r="B15274" i="1"/>
  <c r="C15274" i="1"/>
  <c r="D15274" i="1"/>
  <c r="E15274" i="1"/>
  <c r="F15274" i="1"/>
  <c r="G15274" i="1"/>
  <c r="H15274" i="1"/>
  <c r="A15275" i="1"/>
  <c r="B15275" i="1"/>
  <c r="C15275" i="1"/>
  <c r="D15275" i="1"/>
  <c r="E15275" i="1"/>
  <c r="F15275" i="1"/>
  <c r="G15275" i="1"/>
  <c r="H15275" i="1"/>
  <c r="A15276" i="1"/>
  <c r="B15276" i="1"/>
  <c r="C15276" i="1"/>
  <c r="D15276" i="1"/>
  <c r="E15276" i="1"/>
  <c r="F15276" i="1"/>
  <c r="G15276" i="1"/>
  <c r="H15276" i="1"/>
  <c r="A15277" i="1"/>
  <c r="B15277" i="1"/>
  <c r="C15277" i="1"/>
  <c r="D15277" i="1"/>
  <c r="E15277" i="1"/>
  <c r="F15277" i="1"/>
  <c r="G15277" i="1"/>
  <c r="H15277" i="1"/>
  <c r="A15278" i="1"/>
  <c r="B15278" i="1"/>
  <c r="C15278" i="1"/>
  <c r="D15278" i="1"/>
  <c r="E15278" i="1"/>
  <c r="F15278" i="1"/>
  <c r="G15278" i="1"/>
  <c r="H15278" i="1"/>
  <c r="A15279" i="1"/>
  <c r="B15279" i="1"/>
  <c r="C15279" i="1"/>
  <c r="D15279" i="1"/>
  <c r="E15279" i="1"/>
  <c r="F15279" i="1"/>
  <c r="G15279" i="1"/>
  <c r="H15279" i="1"/>
  <c r="A15280" i="1"/>
  <c r="B15280" i="1"/>
  <c r="C15280" i="1"/>
  <c r="D15280" i="1"/>
  <c r="E15280" i="1"/>
  <c r="F15280" i="1"/>
  <c r="G15280" i="1"/>
  <c r="H15280" i="1"/>
  <c r="A15281" i="1"/>
  <c r="B15281" i="1"/>
  <c r="C15281" i="1"/>
  <c r="D15281" i="1"/>
  <c r="E15281" i="1"/>
  <c r="F15281" i="1"/>
  <c r="G15281" i="1"/>
  <c r="H15281" i="1"/>
  <c r="A15282" i="1"/>
  <c r="B15282" i="1"/>
  <c r="C15282" i="1"/>
  <c r="D15282" i="1"/>
  <c r="E15282" i="1"/>
  <c r="F15282" i="1"/>
  <c r="G15282" i="1"/>
  <c r="H15282" i="1"/>
  <c r="A15283" i="1"/>
  <c r="B15283" i="1"/>
  <c r="C15283" i="1"/>
  <c r="D15283" i="1"/>
  <c r="E15283" i="1"/>
  <c r="F15283" i="1"/>
  <c r="G15283" i="1"/>
  <c r="H15283" i="1"/>
  <c r="A15284" i="1"/>
  <c r="B15284" i="1"/>
  <c r="C15284" i="1"/>
  <c r="D15284" i="1"/>
  <c r="E15284" i="1"/>
  <c r="F15284" i="1"/>
  <c r="G15284" i="1"/>
  <c r="H15284" i="1"/>
  <c r="A15285" i="1"/>
  <c r="B15285" i="1"/>
  <c r="C15285" i="1"/>
  <c r="D15285" i="1"/>
  <c r="E15285" i="1"/>
  <c r="F15285" i="1"/>
  <c r="G15285" i="1"/>
  <c r="H15285" i="1"/>
  <c r="A15286" i="1"/>
  <c r="B15286" i="1"/>
  <c r="C15286" i="1"/>
  <c r="D15286" i="1"/>
  <c r="E15286" i="1"/>
  <c r="F15286" i="1"/>
  <c r="G15286" i="1"/>
  <c r="H15286" i="1"/>
  <c r="A15287" i="1"/>
  <c r="B15287" i="1"/>
  <c r="C15287" i="1"/>
  <c r="D15287" i="1"/>
  <c r="E15287" i="1"/>
  <c r="F15287" i="1"/>
  <c r="G15287" i="1"/>
  <c r="H15287" i="1"/>
  <c r="A15288" i="1"/>
  <c r="B15288" i="1"/>
  <c r="C15288" i="1"/>
  <c r="D15288" i="1"/>
  <c r="E15288" i="1"/>
  <c r="F15288" i="1"/>
  <c r="G15288" i="1"/>
  <c r="H15288" i="1"/>
  <c r="A15289" i="1"/>
  <c r="B15289" i="1"/>
  <c r="C15289" i="1"/>
  <c r="D15289" i="1"/>
  <c r="E15289" i="1"/>
  <c r="F15289" i="1"/>
  <c r="G15289" i="1"/>
  <c r="H15289" i="1"/>
  <c r="A15290" i="1"/>
  <c r="B15290" i="1"/>
  <c r="C15290" i="1"/>
  <c r="D15290" i="1"/>
  <c r="E15290" i="1"/>
  <c r="F15290" i="1"/>
  <c r="G15290" i="1"/>
  <c r="H15290" i="1"/>
  <c r="A15291" i="1"/>
  <c r="B15291" i="1"/>
  <c r="C15291" i="1"/>
  <c r="D15291" i="1"/>
  <c r="E15291" i="1"/>
  <c r="F15291" i="1"/>
  <c r="G15291" i="1"/>
  <c r="H15291" i="1"/>
  <c r="A15292" i="1"/>
  <c r="B15292" i="1"/>
  <c r="C15292" i="1"/>
  <c r="D15292" i="1"/>
  <c r="E15292" i="1"/>
  <c r="F15292" i="1"/>
  <c r="G15292" i="1"/>
  <c r="H15292" i="1"/>
  <c r="A15293" i="1"/>
  <c r="B15293" i="1"/>
  <c r="C15293" i="1"/>
  <c r="D15293" i="1"/>
  <c r="E15293" i="1"/>
  <c r="F15293" i="1"/>
  <c r="G15293" i="1"/>
  <c r="H15293" i="1"/>
  <c r="A15294" i="1"/>
  <c r="B15294" i="1"/>
  <c r="C15294" i="1"/>
  <c r="D15294" i="1"/>
  <c r="E15294" i="1"/>
  <c r="F15294" i="1"/>
  <c r="G15294" i="1"/>
  <c r="H15294" i="1"/>
  <c r="A15295" i="1"/>
  <c r="B15295" i="1"/>
  <c r="C15295" i="1"/>
  <c r="D15295" i="1"/>
  <c r="E15295" i="1"/>
  <c r="F15295" i="1"/>
  <c r="G15295" i="1"/>
  <c r="H15295" i="1"/>
  <c r="A15296" i="1"/>
  <c r="B15296" i="1"/>
  <c r="C15296" i="1"/>
  <c r="D15296" i="1"/>
  <c r="E15296" i="1"/>
  <c r="F15296" i="1"/>
  <c r="G15296" i="1"/>
  <c r="H15296" i="1"/>
  <c r="A15297" i="1"/>
  <c r="B15297" i="1"/>
  <c r="C15297" i="1"/>
  <c r="D15297" i="1"/>
  <c r="E15297" i="1"/>
  <c r="F15297" i="1"/>
  <c r="G15297" i="1"/>
  <c r="H15297" i="1"/>
  <c r="A15298" i="1"/>
  <c r="B15298" i="1"/>
  <c r="C15298" i="1"/>
  <c r="D15298" i="1"/>
  <c r="E15298" i="1"/>
  <c r="F15298" i="1"/>
  <c r="G15298" i="1"/>
  <c r="H15298" i="1"/>
  <c r="A15299" i="1"/>
  <c r="B15299" i="1"/>
  <c r="C15299" i="1"/>
  <c r="D15299" i="1"/>
  <c r="E15299" i="1"/>
  <c r="F15299" i="1"/>
  <c r="G15299" i="1"/>
  <c r="H15299" i="1"/>
  <c r="A15300" i="1"/>
  <c r="B15300" i="1"/>
  <c r="C15300" i="1"/>
  <c r="D15300" i="1"/>
  <c r="E15300" i="1"/>
  <c r="F15300" i="1"/>
  <c r="G15300" i="1"/>
  <c r="H15300" i="1"/>
  <c r="A15301" i="1"/>
  <c r="B15301" i="1"/>
  <c r="C15301" i="1"/>
  <c r="D15301" i="1"/>
  <c r="E15301" i="1"/>
  <c r="F15301" i="1"/>
  <c r="G15301" i="1"/>
  <c r="H15301" i="1"/>
  <c r="A15302" i="1"/>
  <c r="B15302" i="1"/>
  <c r="C15302" i="1"/>
  <c r="D15302" i="1"/>
  <c r="E15302" i="1"/>
  <c r="F15302" i="1"/>
  <c r="G15302" i="1"/>
  <c r="H15302" i="1"/>
  <c r="A15303" i="1"/>
  <c r="B15303" i="1"/>
  <c r="C15303" i="1"/>
  <c r="D15303" i="1"/>
  <c r="E15303" i="1"/>
  <c r="F15303" i="1"/>
  <c r="G15303" i="1"/>
  <c r="H15303" i="1"/>
  <c r="A15304" i="1"/>
  <c r="B15304" i="1"/>
  <c r="C15304" i="1"/>
  <c r="D15304" i="1"/>
  <c r="E15304" i="1"/>
  <c r="F15304" i="1"/>
  <c r="G15304" i="1"/>
  <c r="H15304" i="1"/>
  <c r="A15305" i="1"/>
  <c r="B15305" i="1"/>
  <c r="C15305" i="1"/>
  <c r="D15305" i="1"/>
  <c r="E15305" i="1"/>
  <c r="F15305" i="1"/>
  <c r="G15305" i="1"/>
  <c r="H15305" i="1"/>
  <c r="A15306" i="1"/>
  <c r="B15306" i="1"/>
  <c r="C15306" i="1"/>
  <c r="D15306" i="1"/>
  <c r="E15306" i="1"/>
  <c r="F15306" i="1"/>
  <c r="G15306" i="1"/>
  <c r="H15306" i="1"/>
  <c r="A15307" i="1"/>
  <c r="B15307" i="1"/>
  <c r="C15307" i="1"/>
  <c r="D15307" i="1"/>
  <c r="E15307" i="1"/>
  <c r="F15307" i="1"/>
  <c r="G15307" i="1"/>
  <c r="H15307" i="1"/>
  <c r="A15308" i="1"/>
  <c r="B15308" i="1"/>
  <c r="C15308" i="1"/>
  <c r="D15308" i="1"/>
  <c r="E15308" i="1"/>
  <c r="F15308" i="1"/>
  <c r="G15308" i="1"/>
  <c r="H15308" i="1"/>
  <c r="A15309" i="1"/>
  <c r="B15309" i="1"/>
  <c r="C15309" i="1"/>
  <c r="D15309" i="1"/>
  <c r="E15309" i="1"/>
  <c r="F15309" i="1"/>
  <c r="G15309" i="1"/>
  <c r="H15309" i="1"/>
  <c r="A15310" i="1"/>
  <c r="B15310" i="1"/>
  <c r="C15310" i="1"/>
  <c r="D15310" i="1"/>
  <c r="E15310" i="1"/>
  <c r="F15310" i="1"/>
  <c r="G15310" i="1"/>
  <c r="H15310" i="1"/>
  <c r="A15311" i="1"/>
  <c r="B15311" i="1"/>
  <c r="C15311" i="1"/>
  <c r="D15311" i="1"/>
  <c r="E15311" i="1"/>
  <c r="F15311" i="1"/>
  <c r="G15311" i="1"/>
  <c r="H15311" i="1"/>
  <c r="A15312" i="1"/>
  <c r="B15312" i="1"/>
  <c r="C15312" i="1"/>
  <c r="D15312" i="1"/>
  <c r="E15312" i="1"/>
  <c r="F15312" i="1"/>
  <c r="G15312" i="1"/>
  <c r="H15312" i="1"/>
  <c r="A15313" i="1"/>
  <c r="B15313" i="1"/>
  <c r="C15313" i="1"/>
  <c r="D15313" i="1"/>
  <c r="E15313" i="1"/>
  <c r="F15313" i="1"/>
  <c r="G15313" i="1"/>
  <c r="H15313" i="1"/>
  <c r="A15314" i="1"/>
  <c r="B15314" i="1"/>
  <c r="C15314" i="1"/>
  <c r="D15314" i="1"/>
  <c r="E15314" i="1"/>
  <c r="F15314" i="1"/>
  <c r="G15314" i="1"/>
  <c r="H15314" i="1"/>
  <c r="A15315" i="1"/>
  <c r="B15315" i="1"/>
  <c r="C15315" i="1"/>
  <c r="D15315" i="1"/>
  <c r="E15315" i="1"/>
  <c r="F15315" i="1"/>
  <c r="G15315" i="1"/>
  <c r="H15315" i="1"/>
  <c r="A15316" i="1"/>
  <c r="B15316" i="1"/>
  <c r="C15316" i="1"/>
  <c r="D15316" i="1"/>
  <c r="E15316" i="1"/>
  <c r="F15316" i="1"/>
  <c r="G15316" i="1"/>
  <c r="H15316" i="1"/>
  <c r="A15317" i="1"/>
  <c r="B15317" i="1"/>
  <c r="C15317" i="1"/>
  <c r="D15317" i="1"/>
  <c r="E15317" i="1"/>
  <c r="F15317" i="1"/>
  <c r="G15317" i="1"/>
  <c r="H15317" i="1"/>
  <c r="A15318" i="1"/>
  <c r="B15318" i="1"/>
  <c r="C15318" i="1"/>
  <c r="D15318" i="1"/>
  <c r="E15318" i="1"/>
  <c r="F15318" i="1"/>
  <c r="G15318" i="1"/>
  <c r="H15318" i="1"/>
  <c r="A15319" i="1"/>
  <c r="B15319" i="1"/>
  <c r="C15319" i="1"/>
  <c r="D15319" i="1"/>
  <c r="E15319" i="1"/>
  <c r="F15319" i="1"/>
  <c r="G15319" i="1"/>
  <c r="H15319" i="1"/>
  <c r="A15320" i="1"/>
  <c r="B15320" i="1"/>
  <c r="C15320" i="1"/>
  <c r="D15320" i="1"/>
  <c r="E15320" i="1"/>
  <c r="F15320" i="1"/>
  <c r="G15320" i="1"/>
  <c r="H15320" i="1"/>
  <c r="A15321" i="1"/>
  <c r="B15321" i="1"/>
  <c r="C15321" i="1"/>
  <c r="D15321" i="1"/>
  <c r="E15321" i="1"/>
  <c r="F15321" i="1"/>
  <c r="G15321" i="1"/>
  <c r="H15321" i="1"/>
  <c r="A15322" i="1"/>
  <c r="B15322" i="1"/>
  <c r="C15322" i="1"/>
  <c r="D15322" i="1"/>
  <c r="E15322" i="1"/>
  <c r="F15322" i="1"/>
  <c r="G15322" i="1"/>
  <c r="H15322" i="1"/>
  <c r="A15323" i="1"/>
  <c r="B15323" i="1"/>
  <c r="C15323" i="1"/>
  <c r="D15323" i="1"/>
  <c r="E15323" i="1"/>
  <c r="F15323" i="1"/>
  <c r="G15323" i="1"/>
  <c r="H15323" i="1"/>
  <c r="A15324" i="1"/>
  <c r="B15324" i="1"/>
  <c r="C15324" i="1"/>
  <c r="D15324" i="1"/>
  <c r="E15324" i="1"/>
  <c r="F15324" i="1"/>
  <c r="G15324" i="1"/>
  <c r="H15324" i="1"/>
  <c r="A15325" i="1"/>
  <c r="B15325" i="1"/>
  <c r="C15325" i="1"/>
  <c r="D15325" i="1"/>
  <c r="E15325" i="1"/>
  <c r="F15325" i="1"/>
  <c r="G15325" i="1"/>
  <c r="H15325" i="1"/>
  <c r="A15326" i="1"/>
  <c r="B15326" i="1"/>
  <c r="C15326" i="1"/>
  <c r="D15326" i="1"/>
  <c r="E15326" i="1"/>
  <c r="F15326" i="1"/>
  <c r="G15326" i="1"/>
  <c r="H15326" i="1"/>
  <c r="A15327" i="1"/>
  <c r="B15327" i="1"/>
  <c r="C15327" i="1"/>
  <c r="D15327" i="1"/>
  <c r="E15327" i="1"/>
  <c r="F15327" i="1"/>
  <c r="G15327" i="1"/>
  <c r="H15327" i="1"/>
  <c r="A15328" i="1"/>
  <c r="B15328" i="1"/>
  <c r="C15328" i="1"/>
  <c r="D15328" i="1"/>
  <c r="E15328" i="1"/>
  <c r="F15328" i="1"/>
  <c r="G15328" i="1"/>
  <c r="H15328" i="1"/>
  <c r="A15329" i="1"/>
  <c r="B15329" i="1"/>
  <c r="C15329" i="1"/>
  <c r="D15329" i="1"/>
  <c r="E15329" i="1"/>
  <c r="F15329" i="1"/>
  <c r="G15329" i="1"/>
  <c r="H15329" i="1"/>
  <c r="A15330" i="1"/>
  <c r="B15330" i="1"/>
  <c r="C15330" i="1"/>
  <c r="D15330" i="1"/>
  <c r="E15330" i="1"/>
  <c r="F15330" i="1"/>
  <c r="G15330" i="1"/>
  <c r="H15330" i="1"/>
  <c r="A15331" i="1"/>
  <c r="B15331" i="1"/>
  <c r="C15331" i="1"/>
  <c r="D15331" i="1"/>
  <c r="E15331" i="1"/>
  <c r="F15331" i="1"/>
  <c r="G15331" i="1"/>
  <c r="H15331" i="1"/>
  <c r="A15332" i="1"/>
  <c r="B15332" i="1"/>
  <c r="C15332" i="1"/>
  <c r="D15332" i="1"/>
  <c r="E15332" i="1"/>
  <c r="F15332" i="1"/>
  <c r="G15332" i="1"/>
  <c r="H15332" i="1"/>
  <c r="A15333" i="1"/>
  <c r="B15333" i="1"/>
  <c r="C15333" i="1"/>
  <c r="D15333" i="1"/>
  <c r="E15333" i="1"/>
  <c r="F15333" i="1"/>
  <c r="G15333" i="1"/>
  <c r="H15333" i="1"/>
  <c r="A15334" i="1"/>
  <c r="B15334" i="1"/>
  <c r="C15334" i="1"/>
  <c r="D15334" i="1"/>
  <c r="E15334" i="1"/>
  <c r="F15334" i="1"/>
  <c r="G15334" i="1"/>
  <c r="H15334" i="1"/>
  <c r="A15335" i="1"/>
  <c r="B15335" i="1"/>
  <c r="C15335" i="1"/>
  <c r="D15335" i="1"/>
  <c r="E15335" i="1"/>
  <c r="F15335" i="1"/>
  <c r="G15335" i="1"/>
  <c r="H15335" i="1"/>
  <c r="A15336" i="1"/>
  <c r="B15336" i="1"/>
  <c r="C15336" i="1"/>
  <c r="D15336" i="1"/>
  <c r="E15336" i="1"/>
  <c r="F15336" i="1"/>
  <c r="G15336" i="1"/>
  <c r="H15336" i="1"/>
  <c r="A15337" i="1"/>
  <c r="B15337" i="1"/>
  <c r="C15337" i="1"/>
  <c r="D15337" i="1"/>
  <c r="E15337" i="1"/>
  <c r="F15337" i="1"/>
  <c r="G15337" i="1"/>
  <c r="H15337" i="1"/>
  <c r="A15338" i="1"/>
  <c r="B15338" i="1"/>
  <c r="C15338" i="1"/>
  <c r="D15338" i="1"/>
  <c r="E15338" i="1"/>
  <c r="F15338" i="1"/>
  <c r="G15338" i="1"/>
  <c r="H15338" i="1"/>
  <c r="A15339" i="1"/>
  <c r="B15339" i="1"/>
  <c r="C15339" i="1"/>
  <c r="D15339" i="1"/>
  <c r="E15339" i="1"/>
  <c r="F15339" i="1"/>
  <c r="G15339" i="1"/>
  <c r="H15339" i="1"/>
  <c r="A15340" i="1"/>
  <c r="B15340" i="1"/>
  <c r="C15340" i="1"/>
  <c r="D15340" i="1"/>
  <c r="E15340" i="1"/>
  <c r="F15340" i="1"/>
  <c r="G15340" i="1"/>
  <c r="H15340" i="1"/>
  <c r="A15341" i="1"/>
  <c r="B15341" i="1"/>
  <c r="C15341" i="1"/>
  <c r="D15341" i="1"/>
  <c r="E15341" i="1"/>
  <c r="F15341" i="1"/>
  <c r="G15341" i="1"/>
  <c r="H15341" i="1"/>
  <c r="A15342" i="1"/>
  <c r="B15342" i="1"/>
  <c r="C15342" i="1"/>
  <c r="D15342" i="1"/>
  <c r="E15342" i="1"/>
  <c r="F15342" i="1"/>
  <c r="G15342" i="1"/>
  <c r="H15342" i="1"/>
  <c r="A15343" i="1"/>
  <c r="B15343" i="1"/>
  <c r="C15343" i="1"/>
  <c r="D15343" i="1"/>
  <c r="E15343" i="1"/>
  <c r="F15343" i="1"/>
  <c r="G15343" i="1"/>
  <c r="H15343" i="1"/>
  <c r="A15344" i="1"/>
  <c r="B15344" i="1"/>
  <c r="C15344" i="1"/>
  <c r="D15344" i="1"/>
  <c r="E15344" i="1"/>
  <c r="F15344" i="1"/>
  <c r="G15344" i="1"/>
  <c r="H15344" i="1"/>
  <c r="A15345" i="1"/>
  <c r="B15345" i="1"/>
  <c r="C15345" i="1"/>
  <c r="D15345" i="1"/>
  <c r="E15345" i="1"/>
  <c r="F15345" i="1"/>
  <c r="G15345" i="1"/>
  <c r="H15345" i="1"/>
  <c r="A15346" i="1"/>
  <c r="B15346" i="1"/>
  <c r="C15346" i="1"/>
  <c r="D15346" i="1"/>
  <c r="E15346" i="1"/>
  <c r="F15346" i="1"/>
  <c r="G15346" i="1"/>
  <c r="H15346" i="1"/>
  <c r="A15347" i="1"/>
  <c r="B15347" i="1"/>
  <c r="C15347" i="1"/>
  <c r="D15347" i="1"/>
  <c r="E15347" i="1"/>
  <c r="F15347" i="1"/>
  <c r="G15347" i="1"/>
  <c r="H15347" i="1"/>
  <c r="A15348" i="1"/>
  <c r="B15348" i="1"/>
  <c r="C15348" i="1"/>
  <c r="D15348" i="1"/>
  <c r="E15348" i="1"/>
  <c r="F15348" i="1"/>
  <c r="G15348" i="1"/>
  <c r="H15348" i="1"/>
  <c r="A15349" i="1"/>
  <c r="B15349" i="1"/>
  <c r="C15349" i="1"/>
  <c r="D15349" i="1"/>
  <c r="E15349" i="1"/>
  <c r="F15349" i="1"/>
  <c r="G15349" i="1"/>
  <c r="H15349" i="1"/>
  <c r="A15350" i="1"/>
  <c r="B15350" i="1"/>
  <c r="C15350" i="1"/>
  <c r="D15350" i="1"/>
  <c r="E15350" i="1"/>
  <c r="F15350" i="1"/>
  <c r="G15350" i="1"/>
  <c r="H15350" i="1"/>
  <c r="A15351" i="1"/>
  <c r="B15351" i="1"/>
  <c r="C15351" i="1"/>
  <c r="D15351" i="1"/>
  <c r="E15351" i="1"/>
  <c r="F15351" i="1"/>
  <c r="G15351" i="1"/>
  <c r="H15351" i="1"/>
  <c r="A15352" i="1"/>
  <c r="B15352" i="1"/>
  <c r="C15352" i="1"/>
  <c r="D15352" i="1"/>
  <c r="E15352" i="1"/>
  <c r="F15352" i="1"/>
  <c r="G15352" i="1"/>
  <c r="H15352" i="1"/>
  <c r="A15353" i="1"/>
  <c r="B15353" i="1"/>
  <c r="C15353" i="1"/>
  <c r="D15353" i="1"/>
  <c r="E15353" i="1"/>
  <c r="F15353" i="1"/>
  <c r="G15353" i="1"/>
  <c r="H15353" i="1"/>
  <c r="A15354" i="1"/>
  <c r="B15354" i="1"/>
  <c r="C15354" i="1"/>
  <c r="D15354" i="1"/>
  <c r="E15354" i="1"/>
  <c r="F15354" i="1"/>
  <c r="G15354" i="1"/>
  <c r="H15354" i="1"/>
  <c r="A15355" i="1"/>
  <c r="B15355" i="1"/>
  <c r="C15355" i="1"/>
  <c r="D15355" i="1"/>
  <c r="E15355" i="1"/>
  <c r="F15355" i="1"/>
  <c r="G15355" i="1"/>
  <c r="H15355" i="1"/>
  <c r="A15356" i="1"/>
  <c r="B15356" i="1"/>
  <c r="C15356" i="1"/>
  <c r="D15356" i="1"/>
  <c r="E15356" i="1"/>
  <c r="F15356" i="1"/>
  <c r="G15356" i="1"/>
  <c r="H15356" i="1"/>
  <c r="A15357" i="1"/>
  <c r="B15357" i="1"/>
  <c r="C15357" i="1"/>
  <c r="D15357" i="1"/>
  <c r="E15357" i="1"/>
  <c r="F15357" i="1"/>
  <c r="G15357" i="1"/>
  <c r="H15357" i="1"/>
  <c r="A15358" i="1"/>
  <c r="B15358" i="1"/>
  <c r="C15358" i="1"/>
  <c r="D15358" i="1"/>
  <c r="E15358" i="1"/>
  <c r="F15358" i="1"/>
  <c r="G15358" i="1"/>
  <c r="H15358" i="1"/>
  <c r="A15359" i="1"/>
  <c r="B15359" i="1"/>
  <c r="C15359" i="1"/>
  <c r="D15359" i="1"/>
  <c r="E15359" i="1"/>
  <c r="F15359" i="1"/>
  <c r="G15359" i="1"/>
  <c r="H15359" i="1"/>
  <c r="A15360" i="1"/>
  <c r="B15360" i="1"/>
  <c r="C15360" i="1"/>
  <c r="D15360" i="1"/>
  <c r="E15360" i="1"/>
  <c r="F15360" i="1"/>
  <c r="G15360" i="1"/>
  <c r="H15360" i="1"/>
  <c r="A15361" i="1"/>
  <c r="B15361" i="1"/>
  <c r="C15361" i="1"/>
  <c r="D15361" i="1"/>
  <c r="E15361" i="1"/>
  <c r="F15361" i="1"/>
  <c r="G15361" i="1"/>
  <c r="H15361" i="1"/>
  <c r="A15362" i="1"/>
  <c r="B15362" i="1"/>
  <c r="C15362" i="1"/>
  <c r="D15362" i="1"/>
  <c r="E15362" i="1"/>
  <c r="F15362" i="1"/>
  <c r="G15362" i="1"/>
  <c r="H15362" i="1"/>
  <c r="A15363" i="1"/>
  <c r="B15363" i="1"/>
  <c r="C15363" i="1"/>
  <c r="D15363" i="1"/>
  <c r="E15363" i="1"/>
  <c r="F15363" i="1"/>
  <c r="G15363" i="1"/>
  <c r="H15363" i="1"/>
  <c r="A15364" i="1"/>
  <c r="B15364" i="1"/>
  <c r="C15364" i="1"/>
  <c r="D15364" i="1"/>
  <c r="E15364" i="1"/>
  <c r="F15364" i="1"/>
  <c r="G15364" i="1"/>
  <c r="H15364" i="1"/>
  <c r="A15365" i="1"/>
  <c r="B15365" i="1"/>
  <c r="C15365" i="1"/>
  <c r="D15365" i="1"/>
  <c r="E15365" i="1"/>
  <c r="F15365" i="1"/>
  <c r="G15365" i="1"/>
  <c r="H15365" i="1"/>
  <c r="A15366" i="1"/>
  <c r="B15366" i="1"/>
  <c r="C15366" i="1"/>
  <c r="D15366" i="1"/>
  <c r="E15366" i="1"/>
  <c r="F15366" i="1"/>
  <c r="G15366" i="1"/>
  <c r="H15366" i="1"/>
  <c r="A15367" i="1"/>
  <c r="B15367" i="1"/>
  <c r="C15367" i="1"/>
  <c r="D15367" i="1"/>
  <c r="E15367" i="1"/>
  <c r="F15367" i="1"/>
  <c r="G15367" i="1"/>
  <c r="H15367" i="1"/>
  <c r="A15368" i="1"/>
  <c r="B15368" i="1"/>
  <c r="C15368" i="1"/>
  <c r="D15368" i="1"/>
  <c r="E15368" i="1"/>
  <c r="F15368" i="1"/>
  <c r="G15368" i="1"/>
  <c r="H15368" i="1"/>
  <c r="A15369" i="1"/>
  <c r="B15369" i="1"/>
  <c r="C15369" i="1"/>
  <c r="D15369" i="1"/>
  <c r="E15369" i="1"/>
  <c r="F15369" i="1"/>
  <c r="G15369" i="1"/>
  <c r="H15369" i="1"/>
  <c r="A15370" i="1"/>
  <c r="B15370" i="1"/>
  <c r="C15370" i="1"/>
  <c r="D15370" i="1"/>
  <c r="E15370" i="1"/>
  <c r="F15370" i="1"/>
  <c r="G15370" i="1"/>
  <c r="H15370" i="1"/>
  <c r="A15371" i="1"/>
  <c r="B15371" i="1"/>
  <c r="C15371" i="1"/>
  <c r="D15371" i="1"/>
  <c r="E15371" i="1"/>
  <c r="F15371" i="1"/>
  <c r="G15371" i="1"/>
  <c r="H15371" i="1"/>
  <c r="A15372" i="1"/>
  <c r="B15372" i="1"/>
  <c r="C15372" i="1"/>
  <c r="D15372" i="1"/>
  <c r="E15372" i="1"/>
  <c r="F15372" i="1"/>
  <c r="G15372" i="1"/>
  <c r="H15372" i="1"/>
  <c r="A15373" i="1"/>
  <c r="B15373" i="1"/>
  <c r="C15373" i="1"/>
  <c r="D15373" i="1"/>
  <c r="E15373" i="1"/>
  <c r="F15373" i="1"/>
  <c r="G15373" i="1"/>
  <c r="H15373" i="1"/>
  <c r="A15374" i="1"/>
  <c r="B15374" i="1"/>
  <c r="C15374" i="1"/>
  <c r="D15374" i="1"/>
  <c r="E15374" i="1"/>
  <c r="F15374" i="1"/>
  <c r="G15374" i="1"/>
  <c r="H15374" i="1"/>
  <c r="A15375" i="1"/>
  <c r="B15375" i="1"/>
  <c r="C15375" i="1"/>
  <c r="D15375" i="1"/>
  <c r="E15375" i="1"/>
  <c r="F15375" i="1"/>
  <c r="G15375" i="1"/>
  <c r="H15375" i="1"/>
  <c r="A15376" i="1"/>
  <c r="B15376" i="1"/>
  <c r="C15376" i="1"/>
  <c r="D15376" i="1"/>
  <c r="E15376" i="1"/>
  <c r="F15376" i="1"/>
  <c r="G15376" i="1"/>
  <c r="H15376" i="1"/>
  <c r="A15377" i="1"/>
  <c r="B15377" i="1"/>
  <c r="C15377" i="1"/>
  <c r="D15377" i="1"/>
  <c r="E15377" i="1"/>
  <c r="F15377" i="1"/>
  <c r="G15377" i="1"/>
  <c r="H15377" i="1"/>
  <c r="A15378" i="1"/>
  <c r="B15378" i="1"/>
  <c r="C15378" i="1"/>
  <c r="D15378" i="1"/>
  <c r="E15378" i="1"/>
  <c r="F15378" i="1"/>
  <c r="G15378" i="1"/>
  <c r="H15378" i="1"/>
  <c r="A15379" i="1"/>
  <c r="B15379" i="1"/>
  <c r="C15379" i="1"/>
  <c r="D15379" i="1"/>
  <c r="E15379" i="1"/>
  <c r="F15379" i="1"/>
  <c r="G15379" i="1"/>
  <c r="H15379" i="1"/>
  <c r="A15380" i="1"/>
  <c r="B15380" i="1"/>
  <c r="C15380" i="1"/>
  <c r="D15380" i="1"/>
  <c r="E15380" i="1"/>
  <c r="F15380" i="1"/>
  <c r="G15380" i="1"/>
  <c r="H15380" i="1"/>
  <c r="A15381" i="1"/>
  <c r="B15381" i="1"/>
  <c r="C15381" i="1"/>
  <c r="D15381" i="1"/>
  <c r="E15381" i="1"/>
  <c r="F15381" i="1"/>
  <c r="G15381" i="1"/>
  <c r="H15381" i="1"/>
  <c r="A15382" i="1"/>
  <c r="B15382" i="1"/>
  <c r="C15382" i="1"/>
  <c r="D15382" i="1"/>
  <c r="E15382" i="1"/>
  <c r="F15382" i="1"/>
  <c r="G15382" i="1"/>
  <c r="H15382" i="1"/>
  <c r="A15383" i="1"/>
  <c r="B15383" i="1"/>
  <c r="C15383" i="1"/>
  <c r="D15383" i="1"/>
  <c r="E15383" i="1"/>
  <c r="F15383" i="1"/>
  <c r="G15383" i="1"/>
  <c r="H15383" i="1"/>
  <c r="A15384" i="1"/>
  <c r="B15384" i="1"/>
  <c r="C15384" i="1"/>
  <c r="D15384" i="1"/>
  <c r="E15384" i="1"/>
  <c r="F15384" i="1"/>
  <c r="G15384" i="1"/>
  <c r="H15384" i="1"/>
  <c r="A15385" i="1"/>
  <c r="B15385" i="1"/>
  <c r="C15385" i="1"/>
  <c r="D15385" i="1"/>
  <c r="E15385" i="1"/>
  <c r="F15385" i="1"/>
  <c r="G15385" i="1"/>
  <c r="H15385" i="1"/>
  <c r="A15386" i="1"/>
  <c r="B15386" i="1"/>
  <c r="C15386" i="1"/>
  <c r="D15386" i="1"/>
  <c r="E15386" i="1"/>
  <c r="F15386" i="1"/>
  <c r="G15386" i="1"/>
  <c r="H15386" i="1"/>
  <c r="A15387" i="1"/>
  <c r="B15387" i="1"/>
  <c r="C15387" i="1"/>
  <c r="D15387" i="1"/>
  <c r="E15387" i="1"/>
  <c r="F15387" i="1"/>
  <c r="G15387" i="1"/>
  <c r="H15387" i="1"/>
  <c r="A15388" i="1"/>
  <c r="B15388" i="1"/>
  <c r="C15388" i="1"/>
  <c r="D15388" i="1"/>
  <c r="E15388" i="1"/>
  <c r="F15388" i="1"/>
  <c r="G15388" i="1"/>
  <c r="H15388" i="1"/>
  <c r="A15389" i="1"/>
  <c r="B15389" i="1"/>
  <c r="C15389" i="1"/>
  <c r="D15389" i="1"/>
  <c r="E15389" i="1"/>
  <c r="F15389" i="1"/>
  <c r="G15389" i="1"/>
  <c r="H15389" i="1"/>
  <c r="A15390" i="1"/>
  <c r="B15390" i="1"/>
  <c r="C15390" i="1"/>
  <c r="D15390" i="1"/>
  <c r="E15390" i="1"/>
  <c r="F15390" i="1"/>
  <c r="G15390" i="1"/>
  <c r="H15390" i="1"/>
  <c r="A15391" i="1"/>
  <c r="B15391" i="1"/>
  <c r="C15391" i="1"/>
  <c r="D15391" i="1"/>
  <c r="E15391" i="1"/>
  <c r="F15391" i="1"/>
  <c r="G15391" i="1"/>
  <c r="H15391" i="1"/>
  <c r="A15392" i="1"/>
  <c r="B15392" i="1"/>
  <c r="C15392" i="1"/>
  <c r="D15392" i="1"/>
  <c r="E15392" i="1"/>
  <c r="F15392" i="1"/>
  <c r="G15392" i="1"/>
  <c r="H15392" i="1"/>
  <c r="A15393" i="1"/>
  <c r="B15393" i="1"/>
  <c r="C15393" i="1"/>
  <c r="D15393" i="1"/>
  <c r="E15393" i="1"/>
  <c r="F15393" i="1"/>
  <c r="G15393" i="1"/>
  <c r="H15393" i="1"/>
  <c r="A15394" i="1"/>
  <c r="B15394" i="1"/>
  <c r="C15394" i="1"/>
  <c r="D15394" i="1"/>
  <c r="E15394" i="1"/>
  <c r="F15394" i="1"/>
  <c r="G15394" i="1"/>
  <c r="H15394" i="1"/>
  <c r="A15395" i="1"/>
  <c r="B15395" i="1"/>
  <c r="C15395" i="1"/>
  <c r="D15395" i="1"/>
  <c r="E15395" i="1"/>
  <c r="F15395" i="1"/>
  <c r="G15395" i="1"/>
  <c r="H15395" i="1"/>
  <c r="A15396" i="1"/>
  <c r="B15396" i="1"/>
  <c r="C15396" i="1"/>
  <c r="D15396" i="1"/>
  <c r="E15396" i="1"/>
  <c r="F15396" i="1"/>
  <c r="G15396" i="1"/>
  <c r="H15396" i="1"/>
  <c r="A15397" i="1"/>
  <c r="B15397" i="1"/>
  <c r="C15397" i="1"/>
  <c r="D15397" i="1"/>
  <c r="E15397" i="1"/>
  <c r="F15397" i="1"/>
  <c r="G15397" i="1"/>
  <c r="H15397" i="1"/>
  <c r="A15398" i="1"/>
  <c r="B15398" i="1"/>
  <c r="C15398" i="1"/>
  <c r="D15398" i="1"/>
  <c r="E15398" i="1"/>
  <c r="F15398" i="1"/>
  <c r="G15398" i="1"/>
  <c r="H15398" i="1"/>
  <c r="A15399" i="1"/>
  <c r="B15399" i="1"/>
  <c r="C15399" i="1"/>
  <c r="D15399" i="1"/>
  <c r="E15399" i="1"/>
  <c r="F15399" i="1"/>
  <c r="G15399" i="1"/>
  <c r="H15399" i="1"/>
  <c r="A15400" i="1"/>
  <c r="B15400" i="1"/>
  <c r="C15400" i="1"/>
  <c r="D15400" i="1"/>
  <c r="E15400" i="1"/>
  <c r="F15400" i="1"/>
  <c r="G15400" i="1"/>
  <c r="H15400" i="1"/>
  <c r="A15401" i="1"/>
  <c r="B15401" i="1"/>
  <c r="C15401" i="1"/>
  <c r="D15401" i="1"/>
  <c r="E15401" i="1"/>
  <c r="F15401" i="1"/>
  <c r="G15401" i="1"/>
  <c r="H15401" i="1"/>
  <c r="A15402" i="1"/>
  <c r="B15402" i="1"/>
  <c r="C15402" i="1"/>
  <c r="D15402" i="1"/>
  <c r="E15402" i="1"/>
  <c r="F15402" i="1"/>
  <c r="G15402" i="1"/>
  <c r="H15402" i="1"/>
  <c r="A15403" i="1"/>
  <c r="B15403" i="1"/>
  <c r="C15403" i="1"/>
  <c r="D15403" i="1"/>
  <c r="E15403" i="1"/>
  <c r="F15403" i="1"/>
  <c r="G15403" i="1"/>
  <c r="H15403" i="1"/>
  <c r="A15404" i="1"/>
  <c r="B15404" i="1"/>
  <c r="C15404" i="1"/>
  <c r="D15404" i="1"/>
  <c r="E15404" i="1"/>
  <c r="F15404" i="1"/>
  <c r="G15404" i="1"/>
  <c r="H15404" i="1"/>
  <c r="A15405" i="1"/>
  <c r="B15405" i="1"/>
  <c r="C15405" i="1"/>
  <c r="D15405" i="1"/>
  <c r="E15405" i="1"/>
  <c r="F15405" i="1"/>
  <c r="G15405" i="1"/>
  <c r="H15405" i="1"/>
  <c r="A15406" i="1"/>
  <c r="B15406" i="1"/>
  <c r="C15406" i="1"/>
  <c r="D15406" i="1"/>
  <c r="E15406" i="1"/>
  <c r="F15406" i="1"/>
  <c r="G15406" i="1"/>
  <c r="H15406" i="1"/>
  <c r="A15407" i="1"/>
  <c r="B15407" i="1"/>
  <c r="C15407" i="1"/>
  <c r="D15407" i="1"/>
  <c r="E15407" i="1"/>
  <c r="F15407" i="1"/>
  <c r="G15407" i="1"/>
  <c r="H15407" i="1"/>
  <c r="A15408" i="1"/>
  <c r="B15408" i="1"/>
  <c r="C15408" i="1"/>
  <c r="D15408" i="1"/>
  <c r="E15408" i="1"/>
  <c r="F15408" i="1"/>
  <c r="G15408" i="1"/>
  <c r="H15408" i="1"/>
  <c r="A15409" i="1"/>
  <c r="B15409" i="1"/>
  <c r="C15409" i="1"/>
  <c r="D15409" i="1"/>
  <c r="E15409" i="1"/>
  <c r="F15409" i="1"/>
  <c r="G15409" i="1"/>
  <c r="H15409" i="1"/>
  <c r="A15410" i="1"/>
  <c r="B15410" i="1"/>
  <c r="C15410" i="1"/>
  <c r="D15410" i="1"/>
  <c r="E15410" i="1"/>
  <c r="F15410" i="1"/>
  <c r="G15410" i="1"/>
  <c r="H15410" i="1"/>
  <c r="A15411" i="1"/>
  <c r="B15411" i="1"/>
  <c r="C15411" i="1"/>
  <c r="D15411" i="1"/>
  <c r="E15411" i="1"/>
  <c r="F15411" i="1"/>
  <c r="G15411" i="1"/>
  <c r="H15411" i="1"/>
  <c r="A15412" i="1"/>
  <c r="B15412" i="1"/>
  <c r="C15412" i="1"/>
  <c r="D15412" i="1"/>
  <c r="E15412" i="1"/>
  <c r="F15412" i="1"/>
  <c r="G15412" i="1"/>
  <c r="H15412" i="1"/>
  <c r="A15413" i="1"/>
  <c r="B15413" i="1"/>
  <c r="C15413" i="1"/>
  <c r="D15413" i="1"/>
  <c r="E15413" i="1"/>
  <c r="F15413" i="1"/>
  <c r="G15413" i="1"/>
  <c r="H15413" i="1"/>
  <c r="A15414" i="1"/>
  <c r="B15414" i="1"/>
  <c r="C15414" i="1"/>
  <c r="D15414" i="1"/>
  <c r="E15414" i="1"/>
  <c r="F15414" i="1"/>
  <c r="G15414" i="1"/>
  <c r="H15414" i="1"/>
  <c r="A15415" i="1"/>
  <c r="B15415" i="1"/>
  <c r="C15415" i="1"/>
  <c r="D15415" i="1"/>
  <c r="E15415" i="1"/>
  <c r="F15415" i="1"/>
  <c r="G15415" i="1"/>
  <c r="H15415" i="1"/>
  <c r="A15416" i="1"/>
  <c r="B15416" i="1"/>
  <c r="C15416" i="1"/>
  <c r="D15416" i="1"/>
  <c r="E15416" i="1"/>
  <c r="F15416" i="1"/>
  <c r="G15416" i="1"/>
  <c r="H15416" i="1"/>
  <c r="A15417" i="1"/>
  <c r="B15417" i="1"/>
  <c r="C15417" i="1"/>
  <c r="D15417" i="1"/>
  <c r="E15417" i="1"/>
  <c r="F15417" i="1"/>
  <c r="G15417" i="1"/>
  <c r="H15417" i="1"/>
  <c r="A15418" i="1"/>
  <c r="B15418" i="1"/>
  <c r="C15418" i="1"/>
  <c r="D15418" i="1"/>
  <c r="E15418" i="1"/>
  <c r="F15418" i="1"/>
  <c r="G15418" i="1"/>
  <c r="H15418" i="1"/>
  <c r="A15419" i="1"/>
  <c r="B15419" i="1"/>
  <c r="C15419" i="1"/>
  <c r="D15419" i="1"/>
  <c r="E15419" i="1"/>
  <c r="F15419" i="1"/>
  <c r="G15419" i="1"/>
  <c r="H15419" i="1"/>
  <c r="A15420" i="1"/>
  <c r="B15420" i="1"/>
  <c r="C15420" i="1"/>
  <c r="D15420" i="1"/>
  <c r="E15420" i="1"/>
  <c r="F15420" i="1"/>
  <c r="G15420" i="1"/>
  <c r="H15420" i="1"/>
  <c r="A15421" i="1"/>
  <c r="B15421" i="1"/>
  <c r="C15421" i="1"/>
  <c r="D15421" i="1"/>
  <c r="E15421" i="1"/>
  <c r="F15421" i="1"/>
  <c r="G15421" i="1"/>
  <c r="H15421" i="1"/>
  <c r="A15422" i="1"/>
  <c r="B15422" i="1"/>
  <c r="C15422" i="1"/>
  <c r="D15422" i="1"/>
  <c r="E15422" i="1"/>
  <c r="F15422" i="1"/>
  <c r="G15422" i="1"/>
  <c r="H15422" i="1"/>
  <c r="A15423" i="1"/>
  <c r="B15423" i="1"/>
  <c r="C15423" i="1"/>
  <c r="D15423" i="1"/>
  <c r="E15423" i="1"/>
  <c r="F15423" i="1"/>
  <c r="G15423" i="1"/>
  <c r="H15423" i="1"/>
  <c r="A15424" i="1"/>
  <c r="B15424" i="1"/>
  <c r="C15424" i="1"/>
  <c r="D15424" i="1"/>
  <c r="E15424" i="1"/>
  <c r="F15424" i="1"/>
  <c r="G15424" i="1"/>
  <c r="H15424" i="1"/>
  <c r="A15425" i="1"/>
  <c r="B15425" i="1"/>
  <c r="C15425" i="1"/>
  <c r="D15425" i="1"/>
  <c r="E15425" i="1"/>
  <c r="F15425" i="1"/>
  <c r="G15425" i="1"/>
  <c r="H15425" i="1"/>
  <c r="A15426" i="1"/>
  <c r="B15426" i="1"/>
  <c r="C15426" i="1"/>
  <c r="D15426" i="1"/>
  <c r="E15426" i="1"/>
  <c r="F15426" i="1"/>
  <c r="G15426" i="1"/>
  <c r="H15426" i="1"/>
  <c r="A15427" i="1"/>
  <c r="B15427" i="1"/>
  <c r="C15427" i="1"/>
  <c r="D15427" i="1"/>
  <c r="E15427" i="1"/>
  <c r="F15427" i="1"/>
  <c r="G15427" i="1"/>
  <c r="H15427" i="1"/>
  <c r="A15428" i="1"/>
  <c r="B15428" i="1"/>
  <c r="C15428" i="1"/>
  <c r="D15428" i="1"/>
  <c r="E15428" i="1"/>
  <c r="F15428" i="1"/>
  <c r="G15428" i="1"/>
  <c r="H15428" i="1"/>
  <c r="A15429" i="1"/>
  <c r="B15429" i="1"/>
  <c r="C15429" i="1"/>
  <c r="D15429" i="1"/>
  <c r="E15429" i="1"/>
  <c r="F15429" i="1"/>
  <c r="G15429" i="1"/>
  <c r="H15429" i="1"/>
  <c r="A15430" i="1"/>
  <c r="B15430" i="1"/>
  <c r="C15430" i="1"/>
  <c r="D15430" i="1"/>
  <c r="E15430" i="1"/>
  <c r="F15430" i="1"/>
  <c r="G15430" i="1"/>
  <c r="H15430" i="1"/>
  <c r="A15431" i="1"/>
  <c r="B15431" i="1"/>
  <c r="C15431" i="1"/>
  <c r="D15431" i="1"/>
  <c r="E15431" i="1"/>
  <c r="F15431" i="1"/>
  <c r="G15431" i="1"/>
  <c r="H15431" i="1"/>
  <c r="A15432" i="1"/>
  <c r="B15432" i="1"/>
  <c r="C15432" i="1"/>
  <c r="D15432" i="1"/>
  <c r="E15432" i="1"/>
  <c r="F15432" i="1"/>
  <c r="G15432" i="1"/>
  <c r="H15432" i="1"/>
  <c r="A15433" i="1"/>
  <c r="B15433" i="1"/>
  <c r="C15433" i="1"/>
  <c r="D15433" i="1"/>
  <c r="E15433" i="1"/>
  <c r="F15433" i="1"/>
  <c r="G15433" i="1"/>
  <c r="H15433" i="1"/>
  <c r="A15434" i="1"/>
  <c r="B15434" i="1"/>
  <c r="C15434" i="1"/>
  <c r="D15434" i="1"/>
  <c r="E15434" i="1"/>
  <c r="F15434" i="1"/>
  <c r="G15434" i="1"/>
  <c r="H15434" i="1"/>
  <c r="A15435" i="1"/>
  <c r="B15435" i="1"/>
  <c r="C15435" i="1"/>
  <c r="D15435" i="1"/>
  <c r="E15435" i="1"/>
  <c r="F15435" i="1"/>
  <c r="G15435" i="1"/>
  <c r="H15435" i="1"/>
  <c r="A15436" i="1"/>
  <c r="B15436" i="1"/>
  <c r="C15436" i="1"/>
  <c r="D15436" i="1"/>
  <c r="E15436" i="1"/>
  <c r="F15436" i="1"/>
  <c r="G15436" i="1"/>
  <c r="H15436" i="1"/>
  <c r="A15437" i="1"/>
  <c r="B15437" i="1"/>
  <c r="C15437" i="1"/>
  <c r="D15437" i="1"/>
  <c r="E15437" i="1"/>
  <c r="F15437" i="1"/>
  <c r="G15437" i="1"/>
  <c r="H15437" i="1"/>
  <c r="A15438" i="1"/>
  <c r="B15438" i="1"/>
  <c r="C15438" i="1"/>
  <c r="D15438" i="1"/>
  <c r="E15438" i="1"/>
  <c r="F15438" i="1"/>
  <c r="G15438" i="1"/>
  <c r="H15438" i="1"/>
  <c r="A15439" i="1"/>
  <c r="B15439" i="1"/>
  <c r="C15439" i="1"/>
  <c r="D15439" i="1"/>
  <c r="E15439" i="1"/>
  <c r="F15439" i="1"/>
  <c r="G15439" i="1"/>
  <c r="H15439" i="1"/>
  <c r="A15440" i="1"/>
  <c r="B15440" i="1"/>
  <c r="C15440" i="1"/>
  <c r="D15440" i="1"/>
  <c r="E15440" i="1"/>
  <c r="F15440" i="1"/>
  <c r="G15440" i="1"/>
  <c r="H15440" i="1"/>
  <c r="A15441" i="1"/>
  <c r="B15441" i="1"/>
  <c r="C15441" i="1"/>
  <c r="D15441" i="1"/>
  <c r="E15441" i="1"/>
  <c r="F15441" i="1"/>
  <c r="G15441" i="1"/>
  <c r="H15441" i="1"/>
  <c r="A15442" i="1"/>
  <c r="B15442" i="1"/>
  <c r="C15442" i="1"/>
  <c r="D15442" i="1"/>
  <c r="E15442" i="1"/>
  <c r="F15442" i="1"/>
  <c r="G15442" i="1"/>
  <c r="H15442" i="1"/>
  <c r="A15443" i="1"/>
  <c r="B15443" i="1"/>
  <c r="C15443" i="1"/>
  <c r="D15443" i="1"/>
  <c r="E15443" i="1"/>
  <c r="F15443" i="1"/>
  <c r="G15443" i="1"/>
  <c r="H15443" i="1"/>
  <c r="A15444" i="1"/>
  <c r="B15444" i="1"/>
  <c r="C15444" i="1"/>
  <c r="D15444" i="1"/>
  <c r="E15444" i="1"/>
  <c r="F15444" i="1"/>
  <c r="G15444" i="1"/>
  <c r="H15444" i="1"/>
  <c r="A15445" i="1"/>
  <c r="B15445" i="1"/>
  <c r="C15445" i="1"/>
  <c r="D15445" i="1"/>
  <c r="E15445" i="1"/>
  <c r="F15445" i="1"/>
  <c r="G15445" i="1"/>
  <c r="H15445" i="1"/>
  <c r="A15446" i="1"/>
  <c r="B15446" i="1"/>
  <c r="C15446" i="1"/>
  <c r="D15446" i="1"/>
  <c r="E15446" i="1"/>
  <c r="F15446" i="1"/>
  <c r="G15446" i="1"/>
  <c r="H15446" i="1"/>
  <c r="A15447" i="1"/>
  <c r="B15447" i="1"/>
  <c r="C15447" i="1"/>
  <c r="D15447" i="1"/>
  <c r="E15447" i="1"/>
  <c r="F15447" i="1"/>
  <c r="G15447" i="1"/>
  <c r="H15447" i="1"/>
  <c r="A15448" i="1"/>
  <c r="B15448" i="1"/>
  <c r="C15448" i="1"/>
  <c r="D15448" i="1"/>
  <c r="E15448" i="1"/>
  <c r="F15448" i="1"/>
  <c r="G15448" i="1"/>
  <c r="H15448" i="1"/>
  <c r="A15449" i="1"/>
  <c r="B15449" i="1"/>
  <c r="C15449" i="1"/>
  <c r="D15449" i="1"/>
  <c r="E15449" i="1"/>
  <c r="F15449" i="1"/>
  <c r="G15449" i="1"/>
  <c r="H15449" i="1"/>
  <c r="A15450" i="1"/>
  <c r="B15450" i="1"/>
  <c r="C15450" i="1"/>
  <c r="D15450" i="1"/>
  <c r="E15450" i="1"/>
  <c r="F15450" i="1"/>
  <c r="G15450" i="1"/>
  <c r="H15450" i="1"/>
  <c r="A15451" i="1"/>
  <c r="B15451" i="1"/>
  <c r="C15451" i="1"/>
  <c r="D15451" i="1"/>
  <c r="E15451" i="1"/>
  <c r="F15451" i="1"/>
  <c r="G15451" i="1"/>
  <c r="H15451" i="1"/>
  <c r="A15452" i="1"/>
  <c r="B15452" i="1"/>
  <c r="C15452" i="1"/>
  <c r="D15452" i="1"/>
  <c r="E15452" i="1"/>
  <c r="F15452" i="1"/>
  <c r="G15452" i="1"/>
  <c r="H15452" i="1"/>
  <c r="A15453" i="1"/>
  <c r="B15453" i="1"/>
  <c r="C15453" i="1"/>
  <c r="D15453" i="1"/>
  <c r="E15453" i="1"/>
  <c r="F15453" i="1"/>
  <c r="G15453" i="1"/>
  <c r="H15453" i="1"/>
  <c r="A15454" i="1"/>
  <c r="B15454" i="1"/>
  <c r="C15454" i="1"/>
  <c r="D15454" i="1"/>
  <c r="E15454" i="1"/>
  <c r="F15454" i="1"/>
  <c r="G15454" i="1"/>
  <c r="H15454" i="1"/>
  <c r="A15455" i="1"/>
  <c r="B15455" i="1"/>
  <c r="C15455" i="1"/>
  <c r="D15455" i="1"/>
  <c r="E15455" i="1"/>
  <c r="F15455" i="1"/>
  <c r="G15455" i="1"/>
  <c r="H15455" i="1"/>
  <c r="A15456" i="1"/>
  <c r="B15456" i="1"/>
  <c r="C15456" i="1"/>
  <c r="D15456" i="1"/>
  <c r="E15456" i="1"/>
  <c r="F15456" i="1"/>
  <c r="G15456" i="1"/>
  <c r="H15456" i="1"/>
  <c r="A15457" i="1"/>
  <c r="B15457" i="1"/>
  <c r="C15457" i="1"/>
  <c r="D15457" i="1"/>
  <c r="E15457" i="1"/>
  <c r="F15457" i="1"/>
  <c r="G15457" i="1"/>
  <c r="H15457" i="1"/>
  <c r="A15458" i="1"/>
  <c r="B15458" i="1"/>
  <c r="C15458" i="1"/>
  <c r="D15458" i="1"/>
  <c r="E15458" i="1"/>
  <c r="F15458" i="1"/>
  <c r="G15458" i="1"/>
  <c r="H15458" i="1"/>
  <c r="A15459" i="1"/>
  <c r="B15459" i="1"/>
  <c r="C15459" i="1"/>
  <c r="D15459" i="1"/>
  <c r="E15459" i="1"/>
  <c r="F15459" i="1"/>
  <c r="G15459" i="1"/>
  <c r="H15459" i="1"/>
  <c r="A15460" i="1"/>
  <c r="B15460" i="1"/>
  <c r="C15460" i="1"/>
  <c r="D15460" i="1"/>
  <c r="E15460" i="1"/>
  <c r="F15460" i="1"/>
  <c r="G15460" i="1"/>
  <c r="H15460" i="1"/>
  <c r="A15461" i="1"/>
  <c r="B15461" i="1"/>
  <c r="C15461" i="1"/>
  <c r="D15461" i="1"/>
  <c r="E15461" i="1"/>
  <c r="F15461" i="1"/>
  <c r="G15461" i="1"/>
  <c r="H15461" i="1"/>
  <c r="A15462" i="1"/>
  <c r="B15462" i="1"/>
  <c r="C15462" i="1"/>
  <c r="D15462" i="1"/>
  <c r="E15462" i="1"/>
  <c r="F15462" i="1"/>
  <c r="G15462" i="1"/>
  <c r="H15462" i="1"/>
  <c r="A15463" i="1"/>
  <c r="B15463" i="1"/>
  <c r="C15463" i="1"/>
  <c r="D15463" i="1"/>
  <c r="E15463" i="1"/>
  <c r="F15463" i="1"/>
  <c r="G15463" i="1"/>
  <c r="H15463" i="1"/>
  <c r="A15464" i="1"/>
  <c r="B15464" i="1"/>
  <c r="C15464" i="1"/>
  <c r="D15464" i="1"/>
  <c r="E15464" i="1"/>
  <c r="F15464" i="1"/>
  <c r="G15464" i="1"/>
  <c r="H15464" i="1"/>
  <c r="A15465" i="1"/>
  <c r="B15465" i="1"/>
  <c r="C15465" i="1"/>
  <c r="D15465" i="1"/>
  <c r="E15465" i="1"/>
  <c r="F15465" i="1"/>
  <c r="G15465" i="1"/>
  <c r="H15465" i="1"/>
  <c r="A15466" i="1"/>
  <c r="B15466" i="1"/>
  <c r="C15466" i="1"/>
  <c r="D15466" i="1"/>
  <c r="E15466" i="1"/>
  <c r="F15466" i="1"/>
  <c r="G15466" i="1"/>
  <c r="H15466" i="1"/>
  <c r="A15467" i="1"/>
  <c r="B15467" i="1"/>
  <c r="C15467" i="1"/>
  <c r="D15467" i="1"/>
  <c r="E15467" i="1"/>
  <c r="F15467" i="1"/>
  <c r="G15467" i="1"/>
  <c r="H15467" i="1"/>
  <c r="A15468" i="1"/>
  <c r="B15468" i="1"/>
  <c r="C15468" i="1"/>
  <c r="D15468" i="1"/>
  <c r="E15468" i="1"/>
  <c r="F15468" i="1"/>
  <c r="G15468" i="1"/>
  <c r="H15468" i="1"/>
  <c r="A15469" i="1"/>
  <c r="B15469" i="1"/>
  <c r="C15469" i="1"/>
  <c r="D15469" i="1"/>
  <c r="E15469" i="1"/>
  <c r="F15469" i="1"/>
  <c r="G15469" i="1"/>
  <c r="H15469" i="1"/>
  <c r="A15470" i="1"/>
  <c r="B15470" i="1"/>
  <c r="C15470" i="1"/>
  <c r="D15470" i="1"/>
  <c r="E15470" i="1"/>
  <c r="F15470" i="1"/>
  <c r="G15470" i="1"/>
  <c r="H15470" i="1"/>
  <c r="A15471" i="1"/>
  <c r="B15471" i="1"/>
  <c r="C15471" i="1"/>
  <c r="D15471" i="1"/>
  <c r="E15471" i="1"/>
  <c r="F15471" i="1"/>
  <c r="G15471" i="1"/>
  <c r="H15471" i="1"/>
  <c r="A15472" i="1"/>
  <c r="B15472" i="1"/>
  <c r="C15472" i="1"/>
  <c r="D15472" i="1"/>
  <c r="E15472" i="1"/>
  <c r="F15472" i="1"/>
  <c r="G15472" i="1"/>
  <c r="H15472" i="1"/>
  <c r="A15473" i="1"/>
  <c r="B15473" i="1"/>
  <c r="C15473" i="1"/>
  <c r="D15473" i="1"/>
  <c r="E15473" i="1"/>
  <c r="F15473" i="1"/>
  <c r="G15473" i="1"/>
  <c r="H15473" i="1"/>
  <c r="A15474" i="1"/>
  <c r="B15474" i="1"/>
  <c r="C15474" i="1"/>
  <c r="D15474" i="1"/>
  <c r="E15474" i="1"/>
  <c r="F15474" i="1"/>
  <c r="G15474" i="1"/>
  <c r="H15474" i="1"/>
  <c r="A15475" i="1"/>
  <c r="B15475" i="1"/>
  <c r="C15475" i="1"/>
  <c r="D15475" i="1"/>
  <c r="E15475" i="1"/>
  <c r="F15475" i="1"/>
  <c r="G15475" i="1"/>
  <c r="H15475" i="1"/>
  <c r="A15476" i="1"/>
  <c r="B15476" i="1"/>
  <c r="C15476" i="1"/>
  <c r="D15476" i="1"/>
  <c r="E15476" i="1"/>
  <c r="F15476" i="1"/>
  <c r="G15476" i="1"/>
  <c r="H15476" i="1"/>
  <c r="A15477" i="1"/>
  <c r="B15477" i="1"/>
  <c r="C15477" i="1"/>
  <c r="D15477" i="1"/>
  <c r="E15477" i="1"/>
  <c r="F15477" i="1"/>
  <c r="G15477" i="1"/>
  <c r="H15477" i="1"/>
  <c r="A15478" i="1"/>
  <c r="B15478" i="1"/>
  <c r="C15478" i="1"/>
  <c r="D15478" i="1"/>
  <c r="E15478" i="1"/>
  <c r="F15478" i="1"/>
  <c r="G15478" i="1"/>
  <c r="H15478" i="1"/>
  <c r="A15479" i="1"/>
  <c r="B15479" i="1"/>
  <c r="C15479" i="1"/>
  <c r="D15479" i="1"/>
  <c r="E15479" i="1"/>
  <c r="F15479" i="1"/>
  <c r="G15479" i="1"/>
  <c r="H15479" i="1"/>
  <c r="A15480" i="1"/>
  <c r="B15480" i="1"/>
  <c r="C15480" i="1"/>
  <c r="D15480" i="1"/>
  <c r="E15480" i="1"/>
  <c r="F15480" i="1"/>
  <c r="G15480" i="1"/>
  <c r="H15480" i="1"/>
  <c r="A15481" i="1"/>
  <c r="B15481" i="1"/>
  <c r="C15481" i="1"/>
  <c r="D15481" i="1"/>
  <c r="E15481" i="1"/>
  <c r="F15481" i="1"/>
  <c r="G15481" i="1"/>
  <c r="H15481" i="1"/>
  <c r="A15482" i="1"/>
  <c r="B15482" i="1"/>
  <c r="C15482" i="1"/>
  <c r="D15482" i="1"/>
  <c r="E15482" i="1"/>
  <c r="F15482" i="1"/>
  <c r="G15482" i="1"/>
  <c r="H15482" i="1"/>
  <c r="A15483" i="1"/>
  <c r="B15483" i="1"/>
  <c r="C15483" i="1"/>
  <c r="D15483" i="1"/>
  <c r="E15483" i="1"/>
  <c r="F15483" i="1"/>
  <c r="G15483" i="1"/>
  <c r="H15483" i="1"/>
  <c r="A15484" i="1"/>
  <c r="B15484" i="1"/>
  <c r="C15484" i="1"/>
  <c r="D15484" i="1"/>
  <c r="E15484" i="1"/>
  <c r="F15484" i="1"/>
  <c r="G15484" i="1"/>
  <c r="H15484" i="1"/>
  <c r="A15485" i="1"/>
  <c r="B15485" i="1"/>
  <c r="C15485" i="1"/>
  <c r="D15485" i="1"/>
  <c r="E15485" i="1"/>
  <c r="F15485" i="1"/>
  <c r="G15485" i="1"/>
  <c r="H15485" i="1"/>
  <c r="A15486" i="1"/>
  <c r="B15486" i="1"/>
  <c r="C15486" i="1"/>
  <c r="D15486" i="1"/>
  <c r="E15486" i="1"/>
  <c r="F15486" i="1"/>
  <c r="G15486" i="1"/>
  <c r="H15486" i="1"/>
  <c r="A15487" i="1"/>
  <c r="B15487" i="1"/>
  <c r="C15487" i="1"/>
  <c r="D15487" i="1"/>
  <c r="E15487" i="1"/>
  <c r="F15487" i="1"/>
  <c r="G15487" i="1"/>
  <c r="H15487" i="1"/>
  <c r="A15488" i="1"/>
  <c r="B15488" i="1"/>
  <c r="C15488" i="1"/>
  <c r="D15488" i="1"/>
  <c r="E15488" i="1"/>
  <c r="F15488" i="1"/>
  <c r="G15488" i="1"/>
  <c r="H15488" i="1"/>
  <c r="A15489" i="1"/>
  <c r="B15489" i="1"/>
  <c r="C15489" i="1"/>
  <c r="D15489" i="1"/>
  <c r="E15489" i="1"/>
  <c r="F15489" i="1"/>
  <c r="G15489" i="1"/>
  <c r="H15489" i="1"/>
  <c r="A15490" i="1"/>
  <c r="B15490" i="1"/>
  <c r="C15490" i="1"/>
  <c r="D15490" i="1"/>
  <c r="E15490" i="1"/>
  <c r="F15490" i="1"/>
  <c r="G15490" i="1"/>
  <c r="H15490" i="1"/>
  <c r="A15491" i="1"/>
  <c r="B15491" i="1"/>
  <c r="C15491" i="1"/>
  <c r="D15491" i="1"/>
  <c r="E15491" i="1"/>
  <c r="F15491" i="1"/>
  <c r="G15491" i="1"/>
  <c r="H15491" i="1"/>
  <c r="A15492" i="1"/>
  <c r="B15492" i="1"/>
  <c r="C15492" i="1"/>
  <c r="D15492" i="1"/>
  <c r="E15492" i="1"/>
  <c r="F15492" i="1"/>
  <c r="G15492" i="1"/>
  <c r="H15492" i="1"/>
  <c r="A15493" i="1"/>
  <c r="B15493" i="1"/>
  <c r="C15493" i="1"/>
  <c r="D15493" i="1"/>
  <c r="E15493" i="1"/>
  <c r="F15493" i="1"/>
  <c r="G15493" i="1"/>
  <c r="H15493" i="1"/>
  <c r="A15494" i="1"/>
  <c r="B15494" i="1"/>
  <c r="C15494" i="1"/>
  <c r="D15494" i="1"/>
  <c r="E15494" i="1"/>
  <c r="F15494" i="1"/>
  <c r="G15494" i="1"/>
  <c r="H15494" i="1"/>
  <c r="A15495" i="1"/>
  <c r="B15495" i="1"/>
  <c r="C15495" i="1"/>
  <c r="D15495" i="1"/>
  <c r="E15495" i="1"/>
  <c r="F15495" i="1"/>
  <c r="G15495" i="1"/>
  <c r="H15495" i="1"/>
  <c r="A15496" i="1"/>
  <c r="B15496" i="1"/>
  <c r="C15496" i="1"/>
  <c r="D15496" i="1"/>
  <c r="E15496" i="1"/>
  <c r="F15496" i="1"/>
  <c r="G15496" i="1"/>
  <c r="H15496" i="1"/>
  <c r="A15497" i="1"/>
  <c r="B15497" i="1"/>
  <c r="C15497" i="1"/>
  <c r="D15497" i="1"/>
  <c r="E15497" i="1"/>
  <c r="F15497" i="1"/>
  <c r="G15497" i="1"/>
  <c r="H15497" i="1"/>
  <c r="A15498" i="1"/>
  <c r="B15498" i="1"/>
  <c r="C15498" i="1"/>
  <c r="D15498" i="1"/>
  <c r="E15498" i="1"/>
  <c r="F15498" i="1"/>
  <c r="G15498" i="1"/>
  <c r="H15498" i="1"/>
  <c r="A15499" i="1"/>
  <c r="B15499" i="1"/>
  <c r="C15499" i="1"/>
  <c r="D15499" i="1"/>
  <c r="E15499" i="1"/>
  <c r="F15499" i="1"/>
  <c r="G15499" i="1"/>
  <c r="H15499" i="1"/>
  <c r="A15500" i="1"/>
  <c r="B15500" i="1"/>
  <c r="C15500" i="1"/>
  <c r="D15500" i="1"/>
  <c r="E15500" i="1"/>
  <c r="F15500" i="1"/>
  <c r="G15500" i="1"/>
  <c r="H15500" i="1"/>
  <c r="A15501" i="1"/>
  <c r="B15501" i="1"/>
  <c r="C15501" i="1"/>
  <c r="D15501" i="1"/>
  <c r="E15501" i="1"/>
  <c r="F15501" i="1"/>
  <c r="G15501" i="1"/>
  <c r="H15501" i="1"/>
  <c r="A15502" i="1"/>
  <c r="B15502" i="1"/>
  <c r="C15502" i="1"/>
  <c r="D15502" i="1"/>
  <c r="E15502" i="1"/>
  <c r="F15502" i="1"/>
  <c r="G15502" i="1"/>
  <c r="H15502" i="1"/>
  <c r="A15503" i="1"/>
  <c r="B15503" i="1"/>
  <c r="C15503" i="1"/>
  <c r="D15503" i="1"/>
  <c r="E15503" i="1"/>
  <c r="F15503" i="1"/>
  <c r="G15503" i="1"/>
  <c r="H15503" i="1"/>
  <c r="A15504" i="1"/>
  <c r="B15504" i="1"/>
  <c r="C15504" i="1"/>
  <c r="D15504" i="1"/>
  <c r="E15504" i="1"/>
  <c r="F15504" i="1"/>
  <c r="G15504" i="1"/>
  <c r="H15504" i="1"/>
  <c r="A15505" i="1"/>
  <c r="B15505" i="1"/>
  <c r="C15505" i="1"/>
  <c r="D15505" i="1"/>
  <c r="E15505" i="1"/>
  <c r="F15505" i="1"/>
  <c r="G15505" i="1"/>
  <c r="H15505" i="1"/>
  <c r="A15506" i="1"/>
  <c r="B15506" i="1"/>
  <c r="C15506" i="1"/>
  <c r="D15506" i="1"/>
  <c r="E15506" i="1"/>
  <c r="F15506" i="1"/>
  <c r="G15506" i="1"/>
  <c r="H15506" i="1"/>
  <c r="A15507" i="1"/>
  <c r="B15507" i="1"/>
  <c r="C15507" i="1"/>
  <c r="D15507" i="1"/>
  <c r="E15507" i="1"/>
  <c r="F15507" i="1"/>
  <c r="G15507" i="1"/>
  <c r="H15507" i="1"/>
  <c r="A15508" i="1"/>
  <c r="B15508" i="1"/>
  <c r="C15508" i="1"/>
  <c r="D15508" i="1"/>
  <c r="E15508" i="1"/>
  <c r="F15508" i="1"/>
  <c r="G15508" i="1"/>
  <c r="H15508" i="1"/>
  <c r="A15509" i="1"/>
  <c r="B15509" i="1"/>
  <c r="C15509" i="1"/>
  <c r="D15509" i="1"/>
  <c r="E15509" i="1"/>
  <c r="F15509" i="1"/>
  <c r="G15509" i="1"/>
  <c r="H15509" i="1"/>
  <c r="A15510" i="1"/>
  <c r="B15510" i="1"/>
  <c r="C15510" i="1"/>
  <c r="D15510" i="1"/>
  <c r="E15510" i="1"/>
  <c r="F15510" i="1"/>
  <c r="G15510" i="1"/>
  <c r="H15510" i="1"/>
  <c r="A15511" i="1"/>
  <c r="B15511" i="1"/>
  <c r="C15511" i="1"/>
  <c r="D15511" i="1"/>
  <c r="E15511" i="1"/>
  <c r="F15511" i="1"/>
  <c r="G15511" i="1"/>
  <c r="H15511" i="1"/>
  <c r="A15512" i="1"/>
  <c r="B15512" i="1"/>
  <c r="C15512" i="1"/>
  <c r="D15512" i="1"/>
  <c r="E15512" i="1"/>
  <c r="F15512" i="1"/>
  <c r="G15512" i="1"/>
  <c r="H15512" i="1"/>
  <c r="A15513" i="1"/>
  <c r="B15513" i="1"/>
  <c r="C15513" i="1"/>
  <c r="D15513" i="1"/>
  <c r="E15513" i="1"/>
  <c r="F15513" i="1"/>
  <c r="G15513" i="1"/>
  <c r="H15513" i="1"/>
  <c r="A15514" i="1"/>
  <c r="B15514" i="1"/>
  <c r="C15514" i="1"/>
  <c r="D15514" i="1"/>
  <c r="E15514" i="1"/>
  <c r="F15514" i="1"/>
  <c r="G15514" i="1"/>
  <c r="H15514" i="1"/>
  <c r="A15515" i="1"/>
  <c r="B15515" i="1"/>
  <c r="C15515" i="1"/>
  <c r="D15515" i="1"/>
  <c r="E15515" i="1"/>
  <c r="F15515" i="1"/>
  <c r="G15515" i="1"/>
  <c r="H15515" i="1"/>
  <c r="A15516" i="1"/>
  <c r="B15516" i="1"/>
  <c r="C15516" i="1"/>
  <c r="D15516" i="1"/>
  <c r="E15516" i="1"/>
  <c r="F15516" i="1"/>
  <c r="G15516" i="1"/>
  <c r="H15516" i="1"/>
  <c r="A15517" i="1"/>
  <c r="B15517" i="1"/>
  <c r="C15517" i="1"/>
  <c r="D15517" i="1"/>
  <c r="E15517" i="1"/>
  <c r="F15517" i="1"/>
  <c r="G15517" i="1"/>
  <c r="H15517" i="1"/>
  <c r="A15518" i="1"/>
  <c r="B15518" i="1"/>
  <c r="C15518" i="1"/>
  <c r="D15518" i="1"/>
  <c r="E15518" i="1"/>
  <c r="F15518" i="1"/>
  <c r="G15518" i="1"/>
  <c r="H15518" i="1"/>
  <c r="A15519" i="1"/>
  <c r="B15519" i="1"/>
  <c r="C15519" i="1"/>
  <c r="D15519" i="1"/>
  <c r="E15519" i="1"/>
  <c r="F15519" i="1"/>
  <c r="G15519" i="1"/>
  <c r="H15519" i="1"/>
  <c r="A15520" i="1"/>
  <c r="B15520" i="1"/>
  <c r="C15520" i="1"/>
  <c r="D15520" i="1"/>
  <c r="E15520" i="1"/>
  <c r="F15520" i="1"/>
  <c r="G15520" i="1"/>
  <c r="H15520" i="1"/>
  <c r="A15521" i="1"/>
  <c r="B15521" i="1"/>
  <c r="C15521" i="1"/>
  <c r="D15521" i="1"/>
  <c r="E15521" i="1"/>
  <c r="F15521" i="1"/>
  <c r="G15521" i="1"/>
  <c r="H15521" i="1"/>
  <c r="A15522" i="1"/>
  <c r="B15522" i="1"/>
  <c r="C15522" i="1"/>
  <c r="D15522" i="1"/>
  <c r="E15522" i="1"/>
  <c r="F15522" i="1"/>
  <c r="G15522" i="1"/>
  <c r="H15522" i="1"/>
  <c r="A15523" i="1"/>
  <c r="B15523" i="1"/>
  <c r="C15523" i="1"/>
  <c r="D15523" i="1"/>
  <c r="E15523" i="1"/>
  <c r="F15523" i="1"/>
  <c r="G15523" i="1"/>
  <c r="H15523" i="1"/>
  <c r="A15524" i="1"/>
  <c r="B15524" i="1"/>
  <c r="C15524" i="1"/>
  <c r="D15524" i="1"/>
  <c r="E15524" i="1"/>
  <c r="F15524" i="1"/>
  <c r="G15524" i="1"/>
  <c r="H15524" i="1"/>
  <c r="A15525" i="1"/>
  <c r="B15525" i="1"/>
  <c r="C15525" i="1"/>
  <c r="D15525" i="1"/>
  <c r="E15525" i="1"/>
  <c r="F15525" i="1"/>
  <c r="G15525" i="1"/>
  <c r="H15525" i="1"/>
  <c r="A15526" i="1"/>
  <c r="B15526" i="1"/>
  <c r="C15526" i="1"/>
  <c r="D15526" i="1"/>
  <c r="E15526" i="1"/>
  <c r="F15526" i="1"/>
  <c r="G15526" i="1"/>
  <c r="H15526" i="1"/>
  <c r="A15527" i="1"/>
  <c r="B15527" i="1"/>
  <c r="C15527" i="1"/>
  <c r="D15527" i="1"/>
  <c r="E15527" i="1"/>
  <c r="F15527" i="1"/>
  <c r="G15527" i="1"/>
  <c r="H15527" i="1"/>
  <c r="A15528" i="1"/>
  <c r="B15528" i="1"/>
  <c r="C15528" i="1"/>
  <c r="D15528" i="1"/>
  <c r="E15528" i="1"/>
  <c r="F15528" i="1"/>
  <c r="G15528" i="1"/>
  <c r="H15528" i="1"/>
  <c r="A15529" i="1"/>
  <c r="B15529" i="1"/>
  <c r="C15529" i="1"/>
  <c r="D15529" i="1"/>
  <c r="E15529" i="1"/>
  <c r="F15529" i="1"/>
  <c r="G15529" i="1"/>
  <c r="H15529" i="1"/>
  <c r="A15530" i="1"/>
  <c r="B15530" i="1"/>
  <c r="C15530" i="1"/>
  <c r="D15530" i="1"/>
  <c r="E15530" i="1"/>
  <c r="F15530" i="1"/>
  <c r="G15530" i="1"/>
  <c r="H15530" i="1"/>
  <c r="A15531" i="1"/>
  <c r="B15531" i="1"/>
  <c r="C15531" i="1"/>
  <c r="D15531" i="1"/>
  <c r="E15531" i="1"/>
  <c r="F15531" i="1"/>
  <c r="G15531" i="1"/>
  <c r="H15531" i="1"/>
  <c r="A15532" i="1"/>
  <c r="B15532" i="1"/>
  <c r="C15532" i="1"/>
  <c r="D15532" i="1"/>
  <c r="E15532" i="1"/>
  <c r="F15532" i="1"/>
  <c r="G15532" i="1"/>
  <c r="H15532" i="1"/>
  <c r="A15533" i="1"/>
  <c r="B15533" i="1"/>
  <c r="C15533" i="1"/>
  <c r="D15533" i="1"/>
  <c r="E15533" i="1"/>
  <c r="F15533" i="1"/>
  <c r="G15533" i="1"/>
  <c r="H15533" i="1"/>
  <c r="A15534" i="1"/>
  <c r="B15534" i="1"/>
  <c r="C15534" i="1"/>
  <c r="D15534" i="1"/>
  <c r="E15534" i="1"/>
  <c r="F15534" i="1"/>
  <c r="G15534" i="1"/>
  <c r="H15534" i="1"/>
  <c r="A15535" i="1"/>
  <c r="B15535" i="1"/>
  <c r="C15535" i="1"/>
  <c r="D15535" i="1"/>
  <c r="E15535" i="1"/>
  <c r="F15535" i="1"/>
  <c r="G15535" i="1"/>
  <c r="H15535" i="1"/>
  <c r="A15536" i="1"/>
  <c r="B15536" i="1"/>
  <c r="C15536" i="1"/>
  <c r="D15536" i="1"/>
  <c r="E15536" i="1"/>
  <c r="F15536" i="1"/>
  <c r="G15536" i="1"/>
  <c r="H15536" i="1"/>
  <c r="A15537" i="1"/>
  <c r="B15537" i="1"/>
  <c r="C15537" i="1"/>
  <c r="D15537" i="1"/>
  <c r="E15537" i="1"/>
  <c r="F15537" i="1"/>
  <c r="G15537" i="1"/>
  <c r="H15537" i="1"/>
  <c r="A15538" i="1"/>
  <c r="B15538" i="1"/>
  <c r="C15538" i="1"/>
  <c r="D15538" i="1"/>
  <c r="E15538" i="1"/>
  <c r="F15538" i="1"/>
  <c r="G15538" i="1"/>
  <c r="H15538" i="1"/>
  <c r="A15539" i="1"/>
  <c r="B15539" i="1"/>
  <c r="C15539" i="1"/>
  <c r="D15539" i="1"/>
  <c r="E15539" i="1"/>
  <c r="F15539" i="1"/>
  <c r="G15539" i="1"/>
  <c r="H15539" i="1"/>
  <c r="A15540" i="1"/>
  <c r="B15540" i="1"/>
  <c r="C15540" i="1"/>
  <c r="D15540" i="1"/>
  <c r="E15540" i="1"/>
  <c r="F15540" i="1"/>
  <c r="G15540" i="1"/>
  <c r="H15540" i="1"/>
  <c r="A15541" i="1"/>
  <c r="B15541" i="1"/>
  <c r="C15541" i="1"/>
  <c r="D15541" i="1"/>
  <c r="E15541" i="1"/>
  <c r="F15541" i="1"/>
  <c r="G15541" i="1"/>
  <c r="H15541" i="1"/>
  <c r="A15542" i="1"/>
  <c r="B15542" i="1"/>
  <c r="C15542" i="1"/>
  <c r="D15542" i="1"/>
  <c r="E15542" i="1"/>
  <c r="F15542" i="1"/>
  <c r="G15542" i="1"/>
  <c r="H15542" i="1"/>
  <c r="A15543" i="1"/>
  <c r="B15543" i="1"/>
  <c r="C15543" i="1"/>
  <c r="D15543" i="1"/>
  <c r="E15543" i="1"/>
  <c r="F15543" i="1"/>
  <c r="G15543" i="1"/>
  <c r="H15543" i="1"/>
  <c r="A15544" i="1"/>
  <c r="B15544" i="1"/>
  <c r="C15544" i="1"/>
  <c r="D15544" i="1"/>
  <c r="E15544" i="1"/>
  <c r="F15544" i="1"/>
  <c r="G15544" i="1"/>
  <c r="H15544" i="1"/>
  <c r="A15545" i="1"/>
  <c r="B15545" i="1"/>
  <c r="C15545" i="1"/>
  <c r="D15545" i="1"/>
  <c r="E15545" i="1"/>
  <c r="F15545" i="1"/>
  <c r="G15545" i="1"/>
  <c r="H15545" i="1"/>
  <c r="A15546" i="1"/>
  <c r="B15546" i="1"/>
  <c r="C15546" i="1"/>
  <c r="D15546" i="1"/>
  <c r="E15546" i="1"/>
  <c r="F15546" i="1"/>
  <c r="G15546" i="1"/>
  <c r="H15546" i="1"/>
  <c r="A15547" i="1"/>
  <c r="B15547" i="1"/>
  <c r="C15547" i="1"/>
  <c r="D15547" i="1"/>
  <c r="E15547" i="1"/>
  <c r="F15547" i="1"/>
  <c r="G15547" i="1"/>
  <c r="H15547" i="1"/>
  <c r="A15548" i="1"/>
  <c r="B15548" i="1"/>
  <c r="C15548" i="1"/>
  <c r="D15548" i="1"/>
  <c r="E15548" i="1"/>
  <c r="F15548" i="1"/>
  <c r="G15548" i="1"/>
  <c r="H15548" i="1"/>
  <c r="A15549" i="1"/>
  <c r="B15549" i="1"/>
  <c r="C15549" i="1"/>
  <c r="D15549" i="1"/>
  <c r="E15549" i="1"/>
  <c r="F15549" i="1"/>
  <c r="G15549" i="1"/>
  <c r="H15549" i="1"/>
  <c r="A15550" i="1"/>
  <c r="B15550" i="1"/>
  <c r="C15550" i="1"/>
  <c r="D15550" i="1"/>
  <c r="E15550" i="1"/>
  <c r="F15550" i="1"/>
  <c r="G15550" i="1"/>
  <c r="H15550" i="1"/>
  <c r="A15551" i="1"/>
  <c r="B15551" i="1"/>
  <c r="C15551" i="1"/>
  <c r="D15551" i="1"/>
  <c r="E15551" i="1"/>
  <c r="F15551" i="1"/>
  <c r="G15551" i="1"/>
  <c r="H15551" i="1"/>
  <c r="A15552" i="1"/>
  <c r="B15552" i="1"/>
  <c r="C15552" i="1"/>
  <c r="D15552" i="1"/>
  <c r="E15552" i="1"/>
  <c r="F15552" i="1"/>
  <c r="G15552" i="1"/>
  <c r="H15552" i="1"/>
  <c r="A15553" i="1"/>
  <c r="B15553" i="1"/>
  <c r="C15553" i="1"/>
  <c r="D15553" i="1"/>
  <c r="E15553" i="1"/>
  <c r="F15553" i="1"/>
  <c r="G15553" i="1"/>
  <c r="H15553" i="1"/>
  <c r="A15554" i="1"/>
  <c r="B15554" i="1"/>
  <c r="C15554" i="1"/>
  <c r="D15554" i="1"/>
  <c r="E15554" i="1"/>
  <c r="F15554" i="1"/>
  <c r="G15554" i="1"/>
  <c r="H15554" i="1"/>
  <c r="A15555" i="1"/>
  <c r="B15555" i="1"/>
  <c r="C15555" i="1"/>
  <c r="D15555" i="1"/>
  <c r="E15555" i="1"/>
  <c r="F15555" i="1"/>
  <c r="G15555" i="1"/>
  <c r="H15555" i="1"/>
  <c r="A15556" i="1"/>
  <c r="B15556" i="1"/>
  <c r="C15556" i="1"/>
  <c r="D15556" i="1"/>
  <c r="E15556" i="1"/>
  <c r="F15556" i="1"/>
  <c r="G15556" i="1"/>
  <c r="H15556" i="1"/>
  <c r="A15557" i="1"/>
  <c r="B15557" i="1"/>
  <c r="C15557" i="1"/>
  <c r="D15557" i="1"/>
  <c r="E15557" i="1"/>
  <c r="F15557" i="1"/>
  <c r="G15557" i="1"/>
  <c r="H15557" i="1"/>
  <c r="A15558" i="1"/>
  <c r="B15558" i="1"/>
  <c r="C15558" i="1"/>
  <c r="D15558" i="1"/>
  <c r="E15558" i="1"/>
  <c r="F15558" i="1"/>
  <c r="G15558" i="1"/>
  <c r="H15558" i="1"/>
  <c r="A15559" i="1"/>
  <c r="B15559" i="1"/>
  <c r="C15559" i="1"/>
  <c r="D15559" i="1"/>
  <c r="E15559" i="1"/>
  <c r="F15559" i="1"/>
  <c r="G15559" i="1"/>
  <c r="H15559" i="1"/>
  <c r="A15560" i="1"/>
  <c r="B15560" i="1"/>
  <c r="C15560" i="1"/>
  <c r="D15560" i="1"/>
  <c r="E15560" i="1"/>
  <c r="F15560" i="1"/>
  <c r="G15560" i="1"/>
  <c r="H15560" i="1"/>
  <c r="A15561" i="1"/>
  <c r="B15561" i="1"/>
  <c r="C15561" i="1"/>
  <c r="D15561" i="1"/>
  <c r="E15561" i="1"/>
  <c r="F15561" i="1"/>
  <c r="G15561" i="1"/>
  <c r="H15561" i="1"/>
  <c r="A15562" i="1"/>
  <c r="B15562" i="1"/>
  <c r="C15562" i="1"/>
  <c r="D15562" i="1"/>
  <c r="E15562" i="1"/>
  <c r="F15562" i="1"/>
  <c r="G15562" i="1"/>
  <c r="H15562" i="1"/>
  <c r="A15563" i="1"/>
  <c r="B15563" i="1"/>
  <c r="C15563" i="1"/>
  <c r="D15563" i="1"/>
  <c r="E15563" i="1"/>
  <c r="F15563" i="1"/>
  <c r="G15563" i="1"/>
  <c r="H15563" i="1"/>
  <c r="A15564" i="1"/>
  <c r="B15564" i="1"/>
  <c r="C15564" i="1"/>
  <c r="D15564" i="1"/>
  <c r="E15564" i="1"/>
  <c r="F15564" i="1"/>
  <c r="G15564" i="1"/>
  <c r="H15564" i="1"/>
  <c r="A15565" i="1"/>
  <c r="B15565" i="1"/>
  <c r="C15565" i="1"/>
  <c r="D15565" i="1"/>
  <c r="E15565" i="1"/>
  <c r="F15565" i="1"/>
  <c r="G15565" i="1"/>
  <c r="H15565" i="1"/>
  <c r="A15566" i="1"/>
  <c r="B15566" i="1"/>
  <c r="C15566" i="1"/>
  <c r="D15566" i="1"/>
  <c r="E15566" i="1"/>
  <c r="F15566" i="1"/>
  <c r="G15566" i="1"/>
  <c r="H15566" i="1"/>
  <c r="A15567" i="1"/>
  <c r="B15567" i="1"/>
  <c r="C15567" i="1"/>
  <c r="D15567" i="1"/>
  <c r="E15567" i="1"/>
  <c r="F15567" i="1"/>
  <c r="G15567" i="1"/>
  <c r="H15567" i="1"/>
  <c r="A15568" i="1"/>
  <c r="B15568" i="1"/>
  <c r="C15568" i="1"/>
  <c r="D15568" i="1"/>
  <c r="E15568" i="1"/>
  <c r="F15568" i="1"/>
  <c r="G15568" i="1"/>
  <c r="H15568" i="1"/>
  <c r="A15569" i="1"/>
  <c r="B15569" i="1"/>
  <c r="C15569" i="1"/>
  <c r="D15569" i="1"/>
  <c r="E15569" i="1"/>
  <c r="F15569" i="1"/>
  <c r="G15569" i="1"/>
  <c r="H15569" i="1"/>
  <c r="A15570" i="1"/>
  <c r="B15570" i="1"/>
  <c r="C15570" i="1"/>
  <c r="D15570" i="1"/>
  <c r="E15570" i="1"/>
  <c r="F15570" i="1"/>
  <c r="G15570" i="1"/>
  <c r="H15570" i="1"/>
  <c r="A15571" i="1"/>
  <c r="B15571" i="1"/>
  <c r="C15571" i="1"/>
  <c r="D15571" i="1"/>
  <c r="E15571" i="1"/>
  <c r="F15571" i="1"/>
  <c r="G15571" i="1"/>
  <c r="H15571" i="1"/>
  <c r="A15572" i="1"/>
  <c r="B15572" i="1"/>
  <c r="C15572" i="1"/>
  <c r="D15572" i="1"/>
  <c r="E15572" i="1"/>
  <c r="F15572" i="1"/>
  <c r="G15572" i="1"/>
  <c r="H15572" i="1"/>
  <c r="A15573" i="1"/>
  <c r="B15573" i="1"/>
  <c r="C15573" i="1"/>
  <c r="D15573" i="1"/>
  <c r="E15573" i="1"/>
  <c r="F15573" i="1"/>
  <c r="G15573" i="1"/>
  <c r="H15573" i="1"/>
  <c r="A15574" i="1"/>
  <c r="B15574" i="1"/>
  <c r="C15574" i="1"/>
  <c r="D15574" i="1"/>
  <c r="E15574" i="1"/>
  <c r="F15574" i="1"/>
  <c r="G15574" i="1"/>
  <c r="H15574" i="1"/>
  <c r="A15575" i="1"/>
  <c r="B15575" i="1"/>
  <c r="C15575" i="1"/>
  <c r="D15575" i="1"/>
  <c r="E15575" i="1"/>
  <c r="F15575" i="1"/>
  <c r="G15575" i="1"/>
  <c r="H15575" i="1"/>
  <c r="A15576" i="1"/>
  <c r="B15576" i="1"/>
  <c r="C15576" i="1"/>
  <c r="D15576" i="1"/>
  <c r="E15576" i="1"/>
  <c r="F15576" i="1"/>
  <c r="G15576" i="1"/>
  <c r="H15576" i="1"/>
  <c r="A15577" i="1"/>
  <c r="B15577" i="1"/>
  <c r="C15577" i="1"/>
  <c r="D15577" i="1"/>
  <c r="E15577" i="1"/>
  <c r="F15577" i="1"/>
  <c r="G15577" i="1"/>
  <c r="H15577" i="1"/>
  <c r="A15578" i="1"/>
  <c r="B15578" i="1"/>
  <c r="C15578" i="1"/>
  <c r="D15578" i="1"/>
  <c r="E15578" i="1"/>
  <c r="F15578" i="1"/>
  <c r="G15578" i="1"/>
  <c r="H15578" i="1"/>
  <c r="A15579" i="1"/>
  <c r="B15579" i="1"/>
  <c r="C15579" i="1"/>
  <c r="D15579" i="1"/>
  <c r="E15579" i="1"/>
  <c r="F15579" i="1"/>
  <c r="G15579" i="1"/>
  <c r="H15579" i="1"/>
  <c r="A15580" i="1"/>
  <c r="B15580" i="1"/>
  <c r="C15580" i="1"/>
  <c r="D15580" i="1"/>
  <c r="E15580" i="1"/>
  <c r="F15580" i="1"/>
  <c r="G15580" i="1"/>
  <c r="H15580" i="1"/>
  <c r="A15581" i="1"/>
  <c r="B15581" i="1"/>
  <c r="C15581" i="1"/>
  <c r="D15581" i="1"/>
  <c r="E15581" i="1"/>
  <c r="F15581" i="1"/>
  <c r="G15581" i="1"/>
  <c r="H15581" i="1"/>
  <c r="A15582" i="1"/>
  <c r="B15582" i="1"/>
  <c r="C15582" i="1"/>
  <c r="D15582" i="1"/>
  <c r="E15582" i="1"/>
  <c r="F15582" i="1"/>
  <c r="G15582" i="1"/>
  <c r="H15582" i="1"/>
  <c r="A15583" i="1"/>
  <c r="B15583" i="1"/>
  <c r="C15583" i="1"/>
  <c r="D15583" i="1"/>
  <c r="E15583" i="1"/>
  <c r="F15583" i="1"/>
  <c r="G15583" i="1"/>
  <c r="H15583" i="1"/>
  <c r="A15584" i="1"/>
  <c r="B15584" i="1"/>
  <c r="C15584" i="1"/>
  <c r="D15584" i="1"/>
  <c r="E15584" i="1"/>
  <c r="F15584" i="1"/>
  <c r="G15584" i="1"/>
  <c r="H15584" i="1"/>
  <c r="A15585" i="1"/>
  <c r="B15585" i="1"/>
  <c r="C15585" i="1"/>
  <c r="D15585" i="1"/>
  <c r="E15585" i="1"/>
  <c r="F15585" i="1"/>
  <c r="G15585" i="1"/>
  <c r="H15585" i="1"/>
  <c r="A15586" i="1"/>
  <c r="B15586" i="1"/>
  <c r="C15586" i="1"/>
  <c r="D15586" i="1"/>
  <c r="E15586" i="1"/>
  <c r="F15586" i="1"/>
  <c r="G15586" i="1"/>
  <c r="H15586" i="1"/>
  <c r="A15587" i="1"/>
  <c r="B15587" i="1"/>
  <c r="C15587" i="1"/>
  <c r="D15587" i="1"/>
  <c r="E15587" i="1"/>
  <c r="F15587" i="1"/>
  <c r="G15587" i="1"/>
  <c r="H15587" i="1"/>
  <c r="A15588" i="1"/>
  <c r="B15588" i="1"/>
  <c r="C15588" i="1"/>
  <c r="D15588" i="1"/>
  <c r="E15588" i="1"/>
  <c r="F15588" i="1"/>
  <c r="G15588" i="1"/>
  <c r="H15588" i="1"/>
  <c r="A15589" i="1"/>
  <c r="B15589" i="1"/>
  <c r="C15589" i="1"/>
  <c r="D15589" i="1"/>
  <c r="E15589" i="1"/>
  <c r="F15589" i="1"/>
  <c r="G15589" i="1"/>
  <c r="H15589" i="1"/>
  <c r="A15590" i="1"/>
  <c r="B15590" i="1"/>
  <c r="C15590" i="1"/>
  <c r="D15590" i="1"/>
  <c r="E15590" i="1"/>
  <c r="F15590" i="1"/>
  <c r="G15590" i="1"/>
  <c r="H15590" i="1"/>
  <c r="A15591" i="1"/>
  <c r="B15591" i="1"/>
  <c r="C15591" i="1"/>
  <c r="D15591" i="1"/>
  <c r="E15591" i="1"/>
  <c r="F15591" i="1"/>
  <c r="G15591" i="1"/>
  <c r="H15591" i="1"/>
  <c r="A15592" i="1"/>
  <c r="B15592" i="1"/>
  <c r="C15592" i="1"/>
  <c r="D15592" i="1"/>
  <c r="E15592" i="1"/>
  <c r="F15592" i="1"/>
  <c r="G15592" i="1"/>
  <c r="H15592" i="1"/>
  <c r="A15593" i="1"/>
  <c r="B15593" i="1"/>
  <c r="C15593" i="1"/>
  <c r="D15593" i="1"/>
  <c r="E15593" i="1"/>
  <c r="F15593" i="1"/>
  <c r="G15593" i="1"/>
  <c r="H15593" i="1"/>
  <c r="A15594" i="1"/>
  <c r="B15594" i="1"/>
  <c r="C15594" i="1"/>
  <c r="D15594" i="1"/>
  <c r="E15594" i="1"/>
  <c r="F15594" i="1"/>
  <c r="G15594" i="1"/>
  <c r="H15594" i="1"/>
  <c r="A15595" i="1"/>
  <c r="B15595" i="1"/>
  <c r="C15595" i="1"/>
  <c r="D15595" i="1"/>
  <c r="E15595" i="1"/>
  <c r="F15595" i="1"/>
  <c r="G15595" i="1"/>
  <c r="H15595" i="1"/>
  <c r="A15596" i="1"/>
  <c r="B15596" i="1"/>
  <c r="C15596" i="1"/>
  <c r="D15596" i="1"/>
  <c r="E15596" i="1"/>
  <c r="F15596" i="1"/>
  <c r="G15596" i="1"/>
  <c r="H15596" i="1"/>
  <c r="A15597" i="1"/>
  <c r="B15597" i="1"/>
  <c r="C15597" i="1"/>
  <c r="D15597" i="1"/>
  <c r="E15597" i="1"/>
  <c r="F15597" i="1"/>
  <c r="G15597" i="1"/>
  <c r="H15597" i="1"/>
  <c r="A15598" i="1"/>
  <c r="B15598" i="1"/>
  <c r="C15598" i="1"/>
  <c r="D15598" i="1"/>
  <c r="E15598" i="1"/>
  <c r="F15598" i="1"/>
  <c r="G15598" i="1"/>
  <c r="H15598" i="1"/>
  <c r="A15599" i="1"/>
  <c r="B15599" i="1"/>
  <c r="C15599" i="1"/>
  <c r="D15599" i="1"/>
  <c r="E15599" i="1"/>
  <c r="F15599" i="1"/>
  <c r="G15599" i="1"/>
  <c r="H15599" i="1"/>
  <c r="A15600" i="1"/>
  <c r="B15600" i="1"/>
  <c r="C15600" i="1"/>
  <c r="D15600" i="1"/>
  <c r="E15600" i="1"/>
  <c r="F15600" i="1"/>
  <c r="G15600" i="1"/>
  <c r="H15600" i="1"/>
  <c r="A15601" i="1"/>
  <c r="B15601" i="1"/>
  <c r="C15601" i="1"/>
  <c r="D15601" i="1"/>
  <c r="E15601" i="1"/>
  <c r="F15601" i="1"/>
  <c r="G15601" i="1"/>
  <c r="H15601" i="1"/>
  <c r="A15602" i="1"/>
  <c r="B15602" i="1"/>
  <c r="C15602" i="1"/>
  <c r="D15602" i="1"/>
  <c r="E15602" i="1"/>
  <c r="F15602" i="1"/>
  <c r="G15602" i="1"/>
  <c r="H15602" i="1"/>
  <c r="A15603" i="1"/>
  <c r="B15603" i="1"/>
  <c r="C15603" i="1"/>
  <c r="D15603" i="1"/>
  <c r="E15603" i="1"/>
  <c r="F15603" i="1"/>
  <c r="G15603" i="1"/>
  <c r="H15603" i="1"/>
  <c r="A15604" i="1"/>
  <c r="B15604" i="1"/>
  <c r="C15604" i="1"/>
  <c r="D15604" i="1"/>
  <c r="E15604" i="1"/>
  <c r="F15604" i="1"/>
  <c r="G15604" i="1"/>
  <c r="H15604" i="1"/>
  <c r="A15605" i="1"/>
  <c r="B15605" i="1"/>
  <c r="C15605" i="1"/>
  <c r="D15605" i="1"/>
  <c r="E15605" i="1"/>
  <c r="F15605" i="1"/>
  <c r="G15605" i="1"/>
  <c r="H15605" i="1"/>
  <c r="A15606" i="1"/>
  <c r="B15606" i="1"/>
  <c r="C15606" i="1"/>
  <c r="D15606" i="1"/>
  <c r="E15606" i="1"/>
  <c r="F15606" i="1"/>
  <c r="G15606" i="1"/>
  <c r="H15606" i="1"/>
  <c r="A15607" i="1"/>
  <c r="B15607" i="1"/>
  <c r="C15607" i="1"/>
  <c r="D15607" i="1"/>
  <c r="E15607" i="1"/>
  <c r="F15607" i="1"/>
  <c r="G15607" i="1"/>
  <c r="H15607" i="1"/>
  <c r="A15608" i="1"/>
  <c r="B15608" i="1"/>
  <c r="C15608" i="1"/>
  <c r="D15608" i="1"/>
  <c r="E15608" i="1"/>
  <c r="F15608" i="1"/>
  <c r="G15608" i="1"/>
  <c r="H15608" i="1"/>
  <c r="A15609" i="1"/>
  <c r="B15609" i="1"/>
  <c r="C15609" i="1"/>
  <c r="D15609" i="1"/>
  <c r="E15609" i="1"/>
  <c r="F15609" i="1"/>
  <c r="G15609" i="1"/>
  <c r="H15609" i="1"/>
  <c r="A15610" i="1"/>
  <c r="B15610" i="1"/>
  <c r="C15610" i="1"/>
  <c r="D15610" i="1"/>
  <c r="E15610" i="1"/>
  <c r="F15610" i="1"/>
  <c r="G15610" i="1"/>
  <c r="H15610" i="1"/>
  <c r="A15611" i="1"/>
  <c r="B15611" i="1"/>
  <c r="C15611" i="1"/>
  <c r="D15611" i="1"/>
  <c r="E15611" i="1"/>
  <c r="F15611" i="1"/>
  <c r="G15611" i="1"/>
  <c r="H15611" i="1"/>
  <c r="A15612" i="1"/>
  <c r="B15612" i="1"/>
  <c r="C15612" i="1"/>
  <c r="D15612" i="1"/>
  <c r="E15612" i="1"/>
  <c r="F15612" i="1"/>
  <c r="G15612" i="1"/>
  <c r="H15612" i="1"/>
  <c r="A15613" i="1"/>
  <c r="B15613" i="1"/>
  <c r="C15613" i="1"/>
  <c r="D15613" i="1"/>
  <c r="E15613" i="1"/>
  <c r="F15613" i="1"/>
  <c r="G15613" i="1"/>
  <c r="H15613" i="1"/>
  <c r="A15614" i="1"/>
  <c r="B15614" i="1"/>
  <c r="C15614" i="1"/>
  <c r="D15614" i="1"/>
  <c r="E15614" i="1"/>
  <c r="F15614" i="1"/>
  <c r="G15614" i="1"/>
  <c r="H15614" i="1"/>
  <c r="A15615" i="1"/>
  <c r="B15615" i="1"/>
  <c r="C15615" i="1"/>
  <c r="D15615" i="1"/>
  <c r="E15615" i="1"/>
  <c r="F15615" i="1"/>
  <c r="G15615" i="1"/>
  <c r="H15615" i="1"/>
  <c r="A15616" i="1"/>
  <c r="B15616" i="1"/>
  <c r="C15616" i="1"/>
  <c r="D15616" i="1"/>
  <c r="E15616" i="1"/>
  <c r="F15616" i="1"/>
  <c r="G15616" i="1"/>
  <c r="H15616" i="1"/>
  <c r="A15617" i="1"/>
  <c r="B15617" i="1"/>
  <c r="C15617" i="1"/>
  <c r="D15617" i="1"/>
  <c r="E15617" i="1"/>
  <c r="F15617" i="1"/>
  <c r="G15617" i="1"/>
  <c r="H15617" i="1"/>
  <c r="A15618" i="1"/>
  <c r="B15618" i="1"/>
  <c r="C15618" i="1"/>
  <c r="D15618" i="1"/>
  <c r="E15618" i="1"/>
  <c r="F15618" i="1"/>
  <c r="G15618" i="1"/>
  <c r="H15618" i="1"/>
  <c r="A15619" i="1"/>
  <c r="B15619" i="1"/>
  <c r="C15619" i="1"/>
  <c r="D15619" i="1"/>
  <c r="E15619" i="1"/>
  <c r="F15619" i="1"/>
  <c r="G15619" i="1"/>
  <c r="H15619" i="1"/>
  <c r="A15620" i="1"/>
  <c r="B15620" i="1"/>
  <c r="C15620" i="1"/>
  <c r="D15620" i="1"/>
  <c r="E15620" i="1"/>
  <c r="F15620" i="1"/>
  <c r="G15620" i="1"/>
  <c r="H15620" i="1"/>
  <c r="A15621" i="1"/>
  <c r="B15621" i="1"/>
  <c r="C15621" i="1"/>
  <c r="D15621" i="1"/>
  <c r="E15621" i="1"/>
  <c r="F15621" i="1"/>
  <c r="G15621" i="1"/>
  <c r="H15621" i="1"/>
  <c r="A15622" i="1"/>
  <c r="B15622" i="1"/>
  <c r="C15622" i="1"/>
  <c r="D15622" i="1"/>
  <c r="E15622" i="1"/>
  <c r="F15622" i="1"/>
  <c r="G15622" i="1"/>
  <c r="H15622" i="1"/>
  <c r="A15623" i="1"/>
  <c r="B15623" i="1"/>
  <c r="C15623" i="1"/>
  <c r="D15623" i="1"/>
  <c r="E15623" i="1"/>
  <c r="F15623" i="1"/>
  <c r="G15623" i="1"/>
  <c r="H15623" i="1"/>
  <c r="A15624" i="1"/>
  <c r="B15624" i="1"/>
  <c r="C15624" i="1"/>
  <c r="D15624" i="1"/>
  <c r="E15624" i="1"/>
  <c r="F15624" i="1"/>
  <c r="G15624" i="1"/>
  <c r="H15624" i="1"/>
  <c r="A15625" i="1"/>
  <c r="B15625" i="1"/>
  <c r="C15625" i="1"/>
  <c r="D15625" i="1"/>
  <c r="E15625" i="1"/>
  <c r="F15625" i="1"/>
  <c r="G15625" i="1"/>
  <c r="H15625" i="1"/>
  <c r="A15626" i="1"/>
  <c r="B15626" i="1"/>
  <c r="C15626" i="1"/>
  <c r="D15626" i="1"/>
  <c r="E15626" i="1"/>
  <c r="F15626" i="1"/>
  <c r="G15626" i="1"/>
  <c r="H15626" i="1"/>
  <c r="A15627" i="1"/>
  <c r="B15627" i="1"/>
  <c r="C15627" i="1"/>
  <c r="D15627" i="1"/>
  <c r="E15627" i="1"/>
  <c r="F15627" i="1"/>
  <c r="G15627" i="1"/>
  <c r="H15627" i="1"/>
  <c r="A15628" i="1"/>
  <c r="B15628" i="1"/>
  <c r="C15628" i="1"/>
  <c r="D15628" i="1"/>
  <c r="E15628" i="1"/>
  <c r="F15628" i="1"/>
  <c r="G15628" i="1"/>
  <c r="H15628" i="1"/>
  <c r="A15629" i="1"/>
  <c r="B15629" i="1"/>
  <c r="C15629" i="1"/>
  <c r="D15629" i="1"/>
  <c r="E15629" i="1"/>
  <c r="F15629" i="1"/>
  <c r="G15629" i="1"/>
  <c r="H15629" i="1"/>
  <c r="A15630" i="1"/>
  <c r="B15630" i="1"/>
  <c r="C15630" i="1"/>
  <c r="D15630" i="1"/>
  <c r="E15630" i="1"/>
  <c r="F15630" i="1"/>
  <c r="G15630" i="1"/>
  <c r="H15630" i="1"/>
  <c r="A15631" i="1"/>
  <c r="B15631" i="1"/>
  <c r="C15631" i="1"/>
  <c r="D15631" i="1"/>
  <c r="E15631" i="1"/>
  <c r="F15631" i="1"/>
  <c r="G15631" i="1"/>
  <c r="H15631" i="1"/>
  <c r="A15632" i="1"/>
  <c r="B15632" i="1"/>
  <c r="C15632" i="1"/>
  <c r="D15632" i="1"/>
  <c r="E15632" i="1"/>
  <c r="F15632" i="1"/>
  <c r="G15632" i="1"/>
  <c r="H15632" i="1"/>
  <c r="A15633" i="1"/>
  <c r="B15633" i="1"/>
  <c r="C15633" i="1"/>
  <c r="D15633" i="1"/>
  <c r="E15633" i="1"/>
  <c r="F15633" i="1"/>
  <c r="G15633" i="1"/>
  <c r="H15633" i="1"/>
  <c r="A15634" i="1"/>
  <c r="B15634" i="1"/>
  <c r="C15634" i="1"/>
  <c r="D15634" i="1"/>
  <c r="E15634" i="1"/>
  <c r="F15634" i="1"/>
  <c r="G15634" i="1"/>
  <c r="H15634" i="1"/>
  <c r="A15635" i="1"/>
  <c r="B15635" i="1"/>
  <c r="C15635" i="1"/>
  <c r="D15635" i="1"/>
  <c r="E15635" i="1"/>
  <c r="F15635" i="1"/>
  <c r="G15635" i="1"/>
  <c r="H15635" i="1"/>
  <c r="A15636" i="1"/>
  <c r="B15636" i="1"/>
  <c r="C15636" i="1"/>
  <c r="D15636" i="1"/>
  <c r="E15636" i="1"/>
  <c r="F15636" i="1"/>
  <c r="G15636" i="1"/>
  <c r="H15636" i="1"/>
  <c r="A15637" i="1"/>
  <c r="B15637" i="1"/>
  <c r="C15637" i="1"/>
  <c r="D15637" i="1"/>
  <c r="E15637" i="1"/>
  <c r="F15637" i="1"/>
  <c r="G15637" i="1"/>
  <c r="H15637" i="1"/>
  <c r="A15638" i="1"/>
  <c r="B15638" i="1"/>
  <c r="C15638" i="1"/>
  <c r="D15638" i="1"/>
  <c r="E15638" i="1"/>
  <c r="F15638" i="1"/>
  <c r="G15638" i="1"/>
  <c r="H15638" i="1"/>
  <c r="A15639" i="1"/>
  <c r="B15639" i="1"/>
  <c r="C15639" i="1"/>
  <c r="D15639" i="1"/>
  <c r="E15639" i="1"/>
  <c r="F15639" i="1"/>
  <c r="G15639" i="1"/>
  <c r="H15639" i="1"/>
  <c r="A15640" i="1"/>
  <c r="B15640" i="1"/>
  <c r="C15640" i="1"/>
  <c r="D15640" i="1"/>
  <c r="E15640" i="1"/>
  <c r="F15640" i="1"/>
  <c r="G15640" i="1"/>
  <c r="H15640" i="1"/>
  <c r="A15641" i="1"/>
  <c r="B15641" i="1"/>
  <c r="C15641" i="1"/>
  <c r="D15641" i="1"/>
  <c r="E15641" i="1"/>
  <c r="F15641" i="1"/>
  <c r="G15641" i="1"/>
  <c r="H15641" i="1"/>
  <c r="A15642" i="1"/>
  <c r="B15642" i="1"/>
  <c r="C15642" i="1"/>
  <c r="D15642" i="1"/>
  <c r="E15642" i="1"/>
  <c r="F15642" i="1"/>
  <c r="G15642" i="1"/>
  <c r="H15642" i="1"/>
  <c r="A15643" i="1"/>
  <c r="B15643" i="1"/>
  <c r="C15643" i="1"/>
  <c r="D15643" i="1"/>
  <c r="E15643" i="1"/>
  <c r="F15643" i="1"/>
  <c r="G15643" i="1"/>
  <c r="H15643" i="1"/>
  <c r="A15644" i="1"/>
  <c r="B15644" i="1"/>
  <c r="C15644" i="1"/>
  <c r="D15644" i="1"/>
  <c r="E15644" i="1"/>
  <c r="F15644" i="1"/>
  <c r="G15644" i="1"/>
  <c r="H15644" i="1"/>
  <c r="A15645" i="1"/>
  <c r="B15645" i="1"/>
  <c r="C15645" i="1"/>
  <c r="D15645" i="1"/>
  <c r="E15645" i="1"/>
  <c r="F15645" i="1"/>
  <c r="G15645" i="1"/>
  <c r="H15645" i="1"/>
  <c r="A15646" i="1"/>
  <c r="B15646" i="1"/>
  <c r="C15646" i="1"/>
  <c r="D15646" i="1"/>
  <c r="E15646" i="1"/>
  <c r="F15646" i="1"/>
  <c r="G15646" i="1"/>
  <c r="H15646" i="1"/>
  <c r="A15647" i="1"/>
  <c r="B15647" i="1"/>
  <c r="C15647" i="1"/>
  <c r="D15647" i="1"/>
  <c r="E15647" i="1"/>
  <c r="F15647" i="1"/>
  <c r="G15647" i="1"/>
  <c r="H15647" i="1"/>
  <c r="A15648" i="1"/>
  <c r="B15648" i="1"/>
  <c r="C15648" i="1"/>
  <c r="D15648" i="1"/>
  <c r="E15648" i="1"/>
  <c r="F15648" i="1"/>
  <c r="G15648" i="1"/>
  <c r="H15648" i="1"/>
  <c r="A15649" i="1"/>
  <c r="B15649" i="1"/>
  <c r="C15649" i="1"/>
  <c r="D15649" i="1"/>
  <c r="E15649" i="1"/>
  <c r="F15649" i="1"/>
  <c r="G15649" i="1"/>
  <c r="H15649" i="1"/>
  <c r="A15650" i="1"/>
  <c r="B15650" i="1"/>
  <c r="C15650" i="1"/>
  <c r="D15650" i="1"/>
  <c r="E15650" i="1"/>
  <c r="F15650" i="1"/>
  <c r="G15650" i="1"/>
  <c r="H15650" i="1"/>
  <c r="A15651" i="1"/>
  <c r="B15651" i="1"/>
  <c r="C15651" i="1"/>
  <c r="D15651" i="1"/>
  <c r="E15651" i="1"/>
  <c r="F15651" i="1"/>
  <c r="G15651" i="1"/>
  <c r="H15651" i="1"/>
  <c r="A15652" i="1"/>
  <c r="B15652" i="1"/>
  <c r="C15652" i="1"/>
  <c r="D15652" i="1"/>
  <c r="E15652" i="1"/>
  <c r="F15652" i="1"/>
  <c r="G15652" i="1"/>
  <c r="H15652" i="1"/>
  <c r="A15653" i="1"/>
  <c r="B15653" i="1"/>
  <c r="C15653" i="1"/>
  <c r="D15653" i="1"/>
  <c r="E15653" i="1"/>
  <c r="F15653" i="1"/>
  <c r="G15653" i="1"/>
  <c r="H15653" i="1"/>
  <c r="A15654" i="1"/>
  <c r="B15654" i="1"/>
  <c r="C15654" i="1"/>
  <c r="D15654" i="1"/>
  <c r="E15654" i="1"/>
  <c r="F15654" i="1"/>
  <c r="G15654" i="1"/>
  <c r="H15654" i="1"/>
  <c r="A15655" i="1"/>
  <c r="B15655" i="1"/>
  <c r="C15655" i="1"/>
  <c r="D15655" i="1"/>
  <c r="E15655" i="1"/>
  <c r="F15655" i="1"/>
  <c r="G15655" i="1"/>
  <c r="H15655" i="1"/>
  <c r="A15656" i="1"/>
  <c r="B15656" i="1"/>
  <c r="C15656" i="1"/>
  <c r="D15656" i="1"/>
  <c r="E15656" i="1"/>
  <c r="F15656" i="1"/>
  <c r="G15656" i="1"/>
  <c r="H15656" i="1"/>
  <c r="A15657" i="1"/>
  <c r="B15657" i="1"/>
  <c r="C15657" i="1"/>
  <c r="D15657" i="1"/>
  <c r="E15657" i="1"/>
  <c r="F15657" i="1"/>
  <c r="G15657" i="1"/>
  <c r="H15657" i="1"/>
  <c r="A15658" i="1"/>
  <c r="B15658" i="1"/>
  <c r="C15658" i="1"/>
  <c r="D15658" i="1"/>
  <c r="E15658" i="1"/>
  <c r="F15658" i="1"/>
  <c r="G15658" i="1"/>
  <c r="H15658" i="1"/>
  <c r="A15659" i="1"/>
  <c r="B15659" i="1"/>
  <c r="C15659" i="1"/>
  <c r="D15659" i="1"/>
  <c r="E15659" i="1"/>
  <c r="F15659" i="1"/>
  <c r="G15659" i="1"/>
  <c r="H15659" i="1"/>
  <c r="A15660" i="1"/>
  <c r="B15660" i="1"/>
  <c r="C15660" i="1"/>
  <c r="D15660" i="1"/>
  <c r="E15660" i="1"/>
  <c r="F15660" i="1"/>
  <c r="G15660" i="1"/>
  <c r="H15660" i="1"/>
  <c r="A15661" i="1"/>
  <c r="B15661" i="1"/>
  <c r="C15661" i="1"/>
  <c r="D15661" i="1"/>
  <c r="E15661" i="1"/>
  <c r="F15661" i="1"/>
  <c r="G15661" i="1"/>
  <c r="H15661" i="1"/>
  <c r="A15662" i="1"/>
  <c r="B15662" i="1"/>
  <c r="C15662" i="1"/>
  <c r="D15662" i="1"/>
  <c r="E15662" i="1"/>
  <c r="F15662" i="1"/>
  <c r="G15662" i="1"/>
  <c r="H15662" i="1"/>
  <c r="A15663" i="1"/>
  <c r="B15663" i="1"/>
  <c r="C15663" i="1"/>
  <c r="D15663" i="1"/>
  <c r="E15663" i="1"/>
  <c r="F15663" i="1"/>
  <c r="G15663" i="1"/>
  <c r="H15663" i="1"/>
  <c r="A15664" i="1"/>
  <c r="B15664" i="1"/>
  <c r="C15664" i="1"/>
  <c r="D15664" i="1"/>
  <c r="E15664" i="1"/>
  <c r="F15664" i="1"/>
  <c r="G15664" i="1"/>
  <c r="H15664" i="1"/>
  <c r="A15665" i="1"/>
  <c r="B15665" i="1"/>
  <c r="C15665" i="1"/>
  <c r="D15665" i="1"/>
  <c r="E15665" i="1"/>
  <c r="F15665" i="1"/>
  <c r="G15665" i="1"/>
  <c r="H15665" i="1"/>
  <c r="A15666" i="1"/>
  <c r="B15666" i="1"/>
  <c r="C15666" i="1"/>
  <c r="D15666" i="1"/>
  <c r="E15666" i="1"/>
  <c r="F15666" i="1"/>
  <c r="G15666" i="1"/>
  <c r="H15666" i="1"/>
  <c r="A15667" i="1"/>
  <c r="B15667" i="1"/>
  <c r="C15667" i="1"/>
  <c r="D15667" i="1"/>
  <c r="E15667" i="1"/>
  <c r="F15667" i="1"/>
  <c r="G15667" i="1"/>
  <c r="H15667" i="1"/>
  <c r="A15668" i="1"/>
  <c r="B15668" i="1"/>
  <c r="C15668" i="1"/>
  <c r="D15668" i="1"/>
  <c r="E15668" i="1"/>
  <c r="F15668" i="1"/>
  <c r="G15668" i="1"/>
  <c r="H15668" i="1"/>
  <c r="A15669" i="1"/>
  <c r="B15669" i="1"/>
  <c r="C15669" i="1"/>
  <c r="D15669" i="1"/>
  <c r="E15669" i="1"/>
  <c r="F15669" i="1"/>
  <c r="G15669" i="1"/>
  <c r="H15669" i="1"/>
  <c r="A15670" i="1"/>
  <c r="B15670" i="1"/>
  <c r="C15670" i="1"/>
  <c r="D15670" i="1"/>
  <c r="E15670" i="1"/>
  <c r="F15670" i="1"/>
  <c r="G15670" i="1"/>
  <c r="H15670" i="1"/>
  <c r="A15671" i="1"/>
  <c r="B15671" i="1"/>
  <c r="C15671" i="1"/>
  <c r="D15671" i="1"/>
  <c r="E15671" i="1"/>
  <c r="F15671" i="1"/>
  <c r="G15671" i="1"/>
  <c r="H15671" i="1"/>
  <c r="A15672" i="1"/>
  <c r="B15672" i="1"/>
  <c r="C15672" i="1"/>
  <c r="D15672" i="1"/>
  <c r="E15672" i="1"/>
  <c r="F15672" i="1"/>
  <c r="G15672" i="1"/>
  <c r="H15672" i="1"/>
  <c r="A15673" i="1"/>
  <c r="B15673" i="1"/>
  <c r="C15673" i="1"/>
  <c r="D15673" i="1"/>
  <c r="E15673" i="1"/>
  <c r="F15673" i="1"/>
  <c r="G15673" i="1"/>
  <c r="H15673" i="1"/>
  <c r="A15674" i="1"/>
  <c r="B15674" i="1"/>
  <c r="C15674" i="1"/>
  <c r="D15674" i="1"/>
  <c r="E15674" i="1"/>
  <c r="F15674" i="1"/>
  <c r="G15674" i="1"/>
  <c r="H15674" i="1"/>
  <c r="A15675" i="1"/>
  <c r="B15675" i="1"/>
  <c r="C15675" i="1"/>
  <c r="D15675" i="1"/>
  <c r="E15675" i="1"/>
  <c r="F15675" i="1"/>
  <c r="G15675" i="1"/>
  <c r="H15675" i="1"/>
  <c r="A15676" i="1"/>
  <c r="B15676" i="1"/>
  <c r="C15676" i="1"/>
  <c r="D15676" i="1"/>
  <c r="E15676" i="1"/>
  <c r="F15676" i="1"/>
  <c r="G15676" i="1"/>
  <c r="H15676" i="1"/>
  <c r="A15677" i="1"/>
  <c r="B15677" i="1"/>
  <c r="C15677" i="1"/>
  <c r="D15677" i="1"/>
  <c r="E15677" i="1"/>
  <c r="F15677" i="1"/>
  <c r="G15677" i="1"/>
  <c r="H15677" i="1"/>
  <c r="A15678" i="1"/>
  <c r="B15678" i="1"/>
  <c r="C15678" i="1"/>
  <c r="D15678" i="1"/>
  <c r="E15678" i="1"/>
  <c r="F15678" i="1"/>
  <c r="G15678" i="1"/>
  <c r="H15678" i="1"/>
  <c r="A15679" i="1"/>
  <c r="B15679" i="1"/>
  <c r="C15679" i="1"/>
  <c r="D15679" i="1"/>
  <c r="E15679" i="1"/>
  <c r="F15679" i="1"/>
  <c r="G15679" i="1"/>
  <c r="H15679" i="1"/>
  <c r="A15680" i="1"/>
  <c r="B15680" i="1"/>
  <c r="C15680" i="1"/>
  <c r="D15680" i="1"/>
  <c r="E15680" i="1"/>
  <c r="F15680" i="1"/>
  <c r="G15680" i="1"/>
  <c r="H15680" i="1"/>
  <c r="A15681" i="1"/>
  <c r="B15681" i="1"/>
  <c r="C15681" i="1"/>
  <c r="D15681" i="1"/>
  <c r="E15681" i="1"/>
  <c r="F15681" i="1"/>
  <c r="G15681" i="1"/>
  <c r="H15681" i="1"/>
  <c r="A15682" i="1"/>
  <c r="B15682" i="1"/>
  <c r="C15682" i="1"/>
  <c r="D15682" i="1"/>
  <c r="E15682" i="1"/>
  <c r="F15682" i="1"/>
  <c r="G15682" i="1"/>
  <c r="H15682" i="1"/>
  <c r="A15683" i="1"/>
  <c r="B15683" i="1"/>
  <c r="C15683" i="1"/>
  <c r="D15683" i="1"/>
  <c r="E15683" i="1"/>
  <c r="F15683" i="1"/>
  <c r="G15683" i="1"/>
  <c r="H15683" i="1"/>
  <c r="A15684" i="1"/>
  <c r="B15684" i="1"/>
  <c r="C15684" i="1"/>
  <c r="D15684" i="1"/>
  <c r="E15684" i="1"/>
  <c r="F15684" i="1"/>
  <c r="G15684" i="1"/>
  <c r="H15684" i="1"/>
  <c r="A15685" i="1"/>
  <c r="B15685" i="1"/>
  <c r="C15685" i="1"/>
  <c r="D15685" i="1"/>
  <c r="E15685" i="1"/>
  <c r="F15685" i="1"/>
  <c r="G15685" i="1"/>
  <c r="H15685" i="1"/>
  <c r="A15686" i="1"/>
  <c r="B15686" i="1"/>
  <c r="C15686" i="1"/>
  <c r="D15686" i="1"/>
  <c r="E15686" i="1"/>
  <c r="F15686" i="1"/>
  <c r="G15686" i="1"/>
  <c r="H15686" i="1"/>
  <c r="A15687" i="1"/>
  <c r="B15687" i="1"/>
  <c r="C15687" i="1"/>
  <c r="D15687" i="1"/>
  <c r="E15687" i="1"/>
  <c r="F15687" i="1"/>
  <c r="G15687" i="1"/>
  <c r="H15687" i="1"/>
  <c r="A15688" i="1"/>
  <c r="B15688" i="1"/>
  <c r="C15688" i="1"/>
  <c r="D15688" i="1"/>
  <c r="E15688" i="1"/>
  <c r="F15688" i="1"/>
  <c r="G15688" i="1"/>
  <c r="H15688" i="1"/>
  <c r="A15689" i="1"/>
  <c r="B15689" i="1"/>
  <c r="C15689" i="1"/>
  <c r="D15689" i="1"/>
  <c r="E15689" i="1"/>
  <c r="F15689" i="1"/>
  <c r="G15689" i="1"/>
  <c r="H15689" i="1"/>
  <c r="A15690" i="1"/>
  <c r="B15690" i="1"/>
  <c r="C15690" i="1"/>
  <c r="D15690" i="1"/>
  <c r="E15690" i="1"/>
  <c r="F15690" i="1"/>
  <c r="G15690" i="1"/>
  <c r="H15690" i="1"/>
  <c r="A15691" i="1"/>
  <c r="B15691" i="1"/>
  <c r="C15691" i="1"/>
  <c r="D15691" i="1"/>
  <c r="E15691" i="1"/>
  <c r="F15691" i="1"/>
  <c r="G15691" i="1"/>
  <c r="H15691" i="1"/>
  <c r="A15692" i="1"/>
  <c r="B15692" i="1"/>
  <c r="C15692" i="1"/>
  <c r="D15692" i="1"/>
  <c r="E15692" i="1"/>
  <c r="F15692" i="1"/>
  <c r="G15692" i="1"/>
  <c r="H15692" i="1"/>
  <c r="A15693" i="1"/>
  <c r="B15693" i="1"/>
  <c r="C15693" i="1"/>
  <c r="D15693" i="1"/>
  <c r="E15693" i="1"/>
  <c r="F15693" i="1"/>
  <c r="G15693" i="1"/>
  <c r="H15693" i="1"/>
  <c r="A15694" i="1"/>
  <c r="B15694" i="1"/>
  <c r="C15694" i="1"/>
  <c r="D15694" i="1"/>
  <c r="E15694" i="1"/>
  <c r="F15694" i="1"/>
  <c r="G15694" i="1"/>
  <c r="H15694" i="1"/>
  <c r="A15695" i="1"/>
  <c r="B15695" i="1"/>
  <c r="C15695" i="1"/>
  <c r="D15695" i="1"/>
  <c r="E15695" i="1"/>
  <c r="F15695" i="1"/>
  <c r="G15695" i="1"/>
  <c r="H15695" i="1"/>
  <c r="A15696" i="1"/>
  <c r="B15696" i="1"/>
  <c r="C15696" i="1"/>
  <c r="D15696" i="1"/>
  <c r="E15696" i="1"/>
  <c r="F15696" i="1"/>
  <c r="G15696" i="1"/>
  <c r="H15696" i="1"/>
  <c r="A15697" i="1"/>
  <c r="B15697" i="1"/>
  <c r="C15697" i="1"/>
  <c r="D15697" i="1"/>
  <c r="E15697" i="1"/>
  <c r="F15697" i="1"/>
  <c r="G15697" i="1"/>
  <c r="H15697" i="1"/>
  <c r="A15698" i="1"/>
  <c r="B15698" i="1"/>
  <c r="C15698" i="1"/>
  <c r="D15698" i="1"/>
  <c r="E15698" i="1"/>
  <c r="F15698" i="1"/>
  <c r="G15698" i="1"/>
  <c r="H15698" i="1"/>
  <c r="A15699" i="1"/>
  <c r="B15699" i="1"/>
  <c r="C15699" i="1"/>
  <c r="D15699" i="1"/>
  <c r="E15699" i="1"/>
  <c r="F15699" i="1"/>
  <c r="G15699" i="1"/>
  <c r="H15699" i="1"/>
  <c r="A15700" i="1"/>
  <c r="B15700" i="1"/>
  <c r="C15700" i="1"/>
  <c r="D15700" i="1"/>
  <c r="E15700" i="1"/>
  <c r="F15700" i="1"/>
  <c r="G15700" i="1"/>
  <c r="H15700" i="1"/>
  <c r="A15701" i="1"/>
  <c r="B15701" i="1"/>
  <c r="C15701" i="1"/>
  <c r="D15701" i="1"/>
  <c r="E15701" i="1"/>
  <c r="F15701" i="1"/>
  <c r="G15701" i="1"/>
  <c r="H15701" i="1"/>
  <c r="A15702" i="1"/>
  <c r="B15702" i="1"/>
  <c r="C15702" i="1"/>
  <c r="D15702" i="1"/>
  <c r="E15702" i="1"/>
  <c r="F15702" i="1"/>
  <c r="G15702" i="1"/>
  <c r="H15702" i="1"/>
  <c r="A15703" i="1"/>
  <c r="B15703" i="1"/>
  <c r="C15703" i="1"/>
  <c r="D15703" i="1"/>
  <c r="E15703" i="1"/>
  <c r="F15703" i="1"/>
  <c r="G15703" i="1"/>
  <c r="H15703" i="1"/>
  <c r="A15704" i="1"/>
  <c r="B15704" i="1"/>
  <c r="C15704" i="1"/>
  <c r="D15704" i="1"/>
  <c r="E15704" i="1"/>
  <c r="F15704" i="1"/>
  <c r="G15704" i="1"/>
  <c r="H15704" i="1"/>
  <c r="A15705" i="1"/>
  <c r="B15705" i="1"/>
  <c r="C15705" i="1"/>
  <c r="D15705" i="1"/>
  <c r="E15705" i="1"/>
  <c r="F15705" i="1"/>
  <c r="G15705" i="1"/>
  <c r="H15705" i="1"/>
  <c r="A15706" i="1"/>
  <c r="B15706" i="1"/>
  <c r="C15706" i="1"/>
  <c r="D15706" i="1"/>
  <c r="E15706" i="1"/>
  <c r="F15706" i="1"/>
  <c r="G15706" i="1"/>
  <c r="H15706" i="1"/>
  <c r="A15707" i="1"/>
  <c r="B15707" i="1"/>
  <c r="C15707" i="1"/>
  <c r="D15707" i="1"/>
  <c r="E15707" i="1"/>
  <c r="F15707" i="1"/>
  <c r="G15707" i="1"/>
  <c r="H15707" i="1"/>
  <c r="A15708" i="1"/>
  <c r="B15708" i="1"/>
  <c r="C15708" i="1"/>
  <c r="D15708" i="1"/>
  <c r="E15708" i="1"/>
  <c r="F15708" i="1"/>
  <c r="G15708" i="1"/>
  <c r="H15708" i="1"/>
  <c r="A15709" i="1"/>
  <c r="B15709" i="1"/>
  <c r="C15709" i="1"/>
  <c r="D15709" i="1"/>
  <c r="E15709" i="1"/>
  <c r="F15709" i="1"/>
  <c r="G15709" i="1"/>
  <c r="H15709" i="1"/>
  <c r="A15710" i="1"/>
  <c r="B15710" i="1"/>
  <c r="C15710" i="1"/>
  <c r="D15710" i="1"/>
  <c r="E15710" i="1"/>
  <c r="F15710" i="1"/>
  <c r="G15710" i="1"/>
  <c r="H15710" i="1"/>
  <c r="A15711" i="1"/>
  <c r="B15711" i="1"/>
  <c r="C15711" i="1"/>
  <c r="D15711" i="1"/>
  <c r="E15711" i="1"/>
  <c r="F15711" i="1"/>
  <c r="G15711" i="1"/>
  <c r="H15711" i="1"/>
  <c r="A15712" i="1"/>
  <c r="B15712" i="1"/>
  <c r="C15712" i="1"/>
  <c r="D15712" i="1"/>
  <c r="E15712" i="1"/>
  <c r="F15712" i="1"/>
  <c r="G15712" i="1"/>
  <c r="H15712" i="1"/>
  <c r="A15713" i="1"/>
  <c r="B15713" i="1"/>
  <c r="C15713" i="1"/>
  <c r="D15713" i="1"/>
  <c r="E15713" i="1"/>
  <c r="F15713" i="1"/>
  <c r="G15713" i="1"/>
  <c r="H15713" i="1"/>
  <c r="A15714" i="1"/>
  <c r="B15714" i="1"/>
  <c r="C15714" i="1"/>
  <c r="D15714" i="1"/>
  <c r="E15714" i="1"/>
  <c r="F15714" i="1"/>
  <c r="G15714" i="1"/>
  <c r="H15714" i="1"/>
  <c r="A15715" i="1"/>
  <c r="B15715" i="1"/>
  <c r="C15715" i="1"/>
  <c r="D15715" i="1"/>
  <c r="E15715" i="1"/>
  <c r="F15715" i="1"/>
  <c r="G15715" i="1"/>
  <c r="H15715" i="1"/>
  <c r="A15716" i="1"/>
  <c r="B15716" i="1"/>
  <c r="C15716" i="1"/>
  <c r="D15716" i="1"/>
  <c r="E15716" i="1"/>
  <c r="F15716" i="1"/>
  <c r="G15716" i="1"/>
  <c r="H15716" i="1"/>
  <c r="A15717" i="1"/>
  <c r="B15717" i="1"/>
  <c r="C15717" i="1"/>
  <c r="D15717" i="1"/>
  <c r="E15717" i="1"/>
  <c r="F15717" i="1"/>
  <c r="G15717" i="1"/>
  <c r="H15717" i="1"/>
  <c r="A15718" i="1"/>
  <c r="B15718" i="1"/>
  <c r="C15718" i="1"/>
  <c r="D15718" i="1"/>
  <c r="E15718" i="1"/>
  <c r="F15718" i="1"/>
  <c r="G15718" i="1"/>
  <c r="H15718" i="1"/>
  <c r="A15719" i="1"/>
  <c r="B15719" i="1"/>
  <c r="C15719" i="1"/>
  <c r="D15719" i="1"/>
  <c r="E15719" i="1"/>
  <c r="F15719" i="1"/>
  <c r="G15719" i="1"/>
  <c r="H15719" i="1"/>
  <c r="A15720" i="1"/>
  <c r="B15720" i="1"/>
  <c r="C15720" i="1"/>
  <c r="D15720" i="1"/>
  <c r="E15720" i="1"/>
  <c r="F15720" i="1"/>
  <c r="G15720" i="1"/>
  <c r="H15720" i="1"/>
  <c r="A15721" i="1"/>
  <c r="B15721" i="1"/>
  <c r="C15721" i="1"/>
  <c r="D15721" i="1"/>
  <c r="E15721" i="1"/>
  <c r="F15721" i="1"/>
  <c r="G15721" i="1"/>
  <c r="H15721" i="1"/>
  <c r="A15722" i="1"/>
  <c r="B15722" i="1"/>
  <c r="C15722" i="1"/>
  <c r="D15722" i="1"/>
  <c r="E15722" i="1"/>
  <c r="F15722" i="1"/>
  <c r="G15722" i="1"/>
  <c r="H15722" i="1"/>
  <c r="A15723" i="1"/>
  <c r="B15723" i="1"/>
  <c r="C15723" i="1"/>
  <c r="D15723" i="1"/>
  <c r="E15723" i="1"/>
  <c r="F15723" i="1"/>
  <c r="G15723" i="1"/>
  <c r="H15723" i="1"/>
  <c r="A15724" i="1"/>
  <c r="B15724" i="1"/>
  <c r="C15724" i="1"/>
  <c r="D15724" i="1"/>
  <c r="E15724" i="1"/>
  <c r="F15724" i="1"/>
  <c r="G15724" i="1"/>
  <c r="H15724" i="1"/>
  <c r="A15725" i="1"/>
  <c r="B15725" i="1"/>
  <c r="C15725" i="1"/>
  <c r="D15725" i="1"/>
  <c r="E15725" i="1"/>
  <c r="F15725" i="1"/>
  <c r="G15725" i="1"/>
  <c r="H15725" i="1"/>
  <c r="A15726" i="1"/>
  <c r="B15726" i="1"/>
  <c r="C15726" i="1"/>
  <c r="D15726" i="1"/>
  <c r="E15726" i="1"/>
  <c r="F15726" i="1"/>
  <c r="G15726" i="1"/>
  <c r="H15726" i="1"/>
  <c r="A15727" i="1"/>
  <c r="B15727" i="1"/>
  <c r="C15727" i="1"/>
  <c r="D15727" i="1"/>
  <c r="E15727" i="1"/>
  <c r="F15727" i="1"/>
  <c r="G15727" i="1"/>
  <c r="H15727" i="1"/>
  <c r="A15728" i="1"/>
  <c r="B15728" i="1"/>
  <c r="C15728" i="1"/>
  <c r="D15728" i="1"/>
  <c r="E15728" i="1"/>
  <c r="F15728" i="1"/>
  <c r="G15728" i="1"/>
  <c r="H15728" i="1"/>
  <c r="A15729" i="1"/>
  <c r="B15729" i="1"/>
  <c r="C15729" i="1"/>
  <c r="D15729" i="1"/>
  <c r="E15729" i="1"/>
  <c r="F15729" i="1"/>
  <c r="G15729" i="1"/>
  <c r="H15729" i="1"/>
  <c r="A15730" i="1"/>
  <c r="B15730" i="1"/>
  <c r="C15730" i="1"/>
  <c r="D15730" i="1"/>
  <c r="E15730" i="1"/>
  <c r="F15730" i="1"/>
  <c r="G15730" i="1"/>
  <c r="H15730" i="1"/>
  <c r="A15731" i="1"/>
  <c r="B15731" i="1"/>
  <c r="C15731" i="1"/>
  <c r="D15731" i="1"/>
  <c r="E15731" i="1"/>
  <c r="F15731" i="1"/>
  <c r="G15731" i="1"/>
  <c r="H15731" i="1"/>
  <c r="A15732" i="1"/>
  <c r="B15732" i="1"/>
  <c r="C15732" i="1"/>
  <c r="D15732" i="1"/>
  <c r="E15732" i="1"/>
  <c r="F15732" i="1"/>
  <c r="G15732" i="1"/>
  <c r="H15732" i="1"/>
  <c r="A15733" i="1"/>
  <c r="B15733" i="1"/>
  <c r="C15733" i="1"/>
  <c r="D15733" i="1"/>
  <c r="E15733" i="1"/>
  <c r="F15733" i="1"/>
  <c r="G15733" i="1"/>
  <c r="H15733" i="1"/>
  <c r="A15734" i="1"/>
  <c r="B15734" i="1"/>
  <c r="C15734" i="1"/>
  <c r="D15734" i="1"/>
  <c r="E15734" i="1"/>
  <c r="F15734" i="1"/>
  <c r="G15734" i="1"/>
  <c r="H15734" i="1"/>
  <c r="A15735" i="1"/>
  <c r="B15735" i="1"/>
  <c r="C15735" i="1"/>
  <c r="D15735" i="1"/>
  <c r="E15735" i="1"/>
  <c r="F15735" i="1"/>
  <c r="G15735" i="1"/>
  <c r="H15735" i="1"/>
  <c r="A15736" i="1"/>
  <c r="B15736" i="1"/>
  <c r="C15736" i="1"/>
  <c r="D15736" i="1"/>
  <c r="E15736" i="1"/>
  <c r="F15736" i="1"/>
  <c r="G15736" i="1"/>
  <c r="H15736" i="1"/>
  <c r="A15737" i="1"/>
  <c r="B15737" i="1"/>
  <c r="C15737" i="1"/>
  <c r="D15737" i="1"/>
  <c r="E15737" i="1"/>
  <c r="F15737" i="1"/>
  <c r="G15737" i="1"/>
  <c r="H15737" i="1"/>
  <c r="A15738" i="1"/>
  <c r="B15738" i="1"/>
  <c r="C15738" i="1"/>
  <c r="D15738" i="1"/>
  <c r="E15738" i="1"/>
  <c r="F15738" i="1"/>
  <c r="G15738" i="1"/>
  <c r="H15738" i="1"/>
  <c r="A15739" i="1"/>
  <c r="B15739" i="1"/>
  <c r="C15739" i="1"/>
  <c r="D15739" i="1"/>
  <c r="E15739" i="1"/>
  <c r="F15739" i="1"/>
  <c r="G15739" i="1"/>
  <c r="H15739" i="1"/>
  <c r="A15740" i="1"/>
  <c r="B15740" i="1"/>
  <c r="C15740" i="1"/>
  <c r="D15740" i="1"/>
  <c r="E15740" i="1"/>
  <c r="F15740" i="1"/>
  <c r="G15740" i="1"/>
  <c r="H15740" i="1"/>
  <c r="A15741" i="1"/>
  <c r="B15741" i="1"/>
  <c r="C15741" i="1"/>
  <c r="D15741" i="1"/>
  <c r="E15741" i="1"/>
  <c r="F15741" i="1"/>
  <c r="G15741" i="1"/>
  <c r="H15741" i="1"/>
  <c r="A15742" i="1"/>
  <c r="B15742" i="1"/>
  <c r="C15742" i="1"/>
  <c r="D15742" i="1"/>
  <c r="E15742" i="1"/>
  <c r="F15742" i="1"/>
  <c r="G15742" i="1"/>
  <c r="H15742" i="1"/>
  <c r="A15743" i="1"/>
  <c r="B15743" i="1"/>
  <c r="C15743" i="1"/>
  <c r="D15743" i="1"/>
  <c r="E15743" i="1"/>
  <c r="F15743" i="1"/>
  <c r="G15743" i="1"/>
  <c r="H15743" i="1"/>
  <c r="A15744" i="1"/>
  <c r="B15744" i="1"/>
  <c r="C15744" i="1"/>
  <c r="D15744" i="1"/>
  <c r="E15744" i="1"/>
  <c r="F15744" i="1"/>
  <c r="G15744" i="1"/>
  <c r="H15744" i="1"/>
  <c r="A15745" i="1"/>
  <c r="B15745" i="1"/>
  <c r="C15745" i="1"/>
  <c r="D15745" i="1"/>
  <c r="E15745" i="1"/>
  <c r="F15745" i="1"/>
  <c r="G15745" i="1"/>
  <c r="H15745" i="1"/>
  <c r="A15746" i="1"/>
  <c r="B15746" i="1"/>
  <c r="C15746" i="1"/>
  <c r="D15746" i="1"/>
  <c r="E15746" i="1"/>
  <c r="F15746" i="1"/>
  <c r="G15746" i="1"/>
  <c r="H15746" i="1"/>
  <c r="A15747" i="1"/>
  <c r="B15747" i="1"/>
  <c r="C15747" i="1"/>
  <c r="D15747" i="1"/>
  <c r="E15747" i="1"/>
  <c r="F15747" i="1"/>
  <c r="G15747" i="1"/>
  <c r="H15747" i="1"/>
  <c r="A15748" i="1"/>
  <c r="B15748" i="1"/>
  <c r="C15748" i="1"/>
  <c r="D15748" i="1"/>
  <c r="E15748" i="1"/>
  <c r="F15748" i="1"/>
  <c r="G15748" i="1"/>
  <c r="H15748" i="1"/>
  <c r="A15749" i="1"/>
  <c r="B15749" i="1"/>
  <c r="C15749" i="1"/>
  <c r="D15749" i="1"/>
  <c r="E15749" i="1"/>
  <c r="F15749" i="1"/>
  <c r="G15749" i="1"/>
  <c r="H15749" i="1"/>
  <c r="A15750" i="1"/>
  <c r="B15750" i="1"/>
  <c r="C15750" i="1"/>
  <c r="D15750" i="1"/>
  <c r="E15750" i="1"/>
  <c r="F15750" i="1"/>
  <c r="G15750" i="1"/>
  <c r="H15750" i="1"/>
  <c r="A15751" i="1"/>
  <c r="B15751" i="1"/>
  <c r="C15751" i="1"/>
  <c r="D15751" i="1"/>
  <c r="E15751" i="1"/>
  <c r="F15751" i="1"/>
  <c r="G15751" i="1"/>
  <c r="H15751" i="1"/>
  <c r="A15752" i="1"/>
  <c r="B15752" i="1"/>
  <c r="C15752" i="1"/>
  <c r="D15752" i="1"/>
  <c r="E15752" i="1"/>
  <c r="F15752" i="1"/>
  <c r="G15752" i="1"/>
  <c r="H15752" i="1"/>
  <c r="A15753" i="1"/>
  <c r="B15753" i="1"/>
  <c r="C15753" i="1"/>
  <c r="D15753" i="1"/>
  <c r="E15753" i="1"/>
  <c r="F15753" i="1"/>
  <c r="G15753" i="1"/>
  <c r="H15753" i="1"/>
  <c r="A15754" i="1"/>
  <c r="B15754" i="1"/>
  <c r="C15754" i="1"/>
  <c r="D15754" i="1"/>
  <c r="E15754" i="1"/>
  <c r="F15754" i="1"/>
  <c r="G15754" i="1"/>
  <c r="H15754" i="1"/>
  <c r="A15755" i="1"/>
  <c r="B15755" i="1"/>
  <c r="C15755" i="1"/>
  <c r="D15755" i="1"/>
  <c r="E15755" i="1"/>
  <c r="F15755" i="1"/>
  <c r="G15755" i="1"/>
  <c r="H15755" i="1"/>
  <c r="A15756" i="1"/>
  <c r="B15756" i="1"/>
  <c r="C15756" i="1"/>
  <c r="D15756" i="1"/>
  <c r="E15756" i="1"/>
  <c r="F15756" i="1"/>
  <c r="G15756" i="1"/>
  <c r="H15756" i="1"/>
  <c r="A15757" i="1"/>
  <c r="B15757" i="1"/>
  <c r="C15757" i="1"/>
  <c r="D15757" i="1"/>
  <c r="E15757" i="1"/>
  <c r="F15757" i="1"/>
  <c r="G15757" i="1"/>
  <c r="H15757" i="1"/>
  <c r="A15758" i="1"/>
  <c r="B15758" i="1"/>
  <c r="C15758" i="1"/>
  <c r="D15758" i="1"/>
  <c r="E15758" i="1"/>
  <c r="F15758" i="1"/>
  <c r="G15758" i="1"/>
  <c r="H15758" i="1"/>
  <c r="A15759" i="1"/>
  <c r="B15759" i="1"/>
  <c r="C15759" i="1"/>
  <c r="D15759" i="1"/>
  <c r="E15759" i="1"/>
  <c r="F15759" i="1"/>
  <c r="G15759" i="1"/>
  <c r="H15759" i="1"/>
  <c r="A15760" i="1"/>
  <c r="B15760" i="1"/>
  <c r="C15760" i="1"/>
  <c r="D15760" i="1"/>
  <c r="E15760" i="1"/>
  <c r="F15760" i="1"/>
  <c r="G15760" i="1"/>
  <c r="H15760" i="1"/>
  <c r="A15761" i="1"/>
  <c r="B15761" i="1"/>
  <c r="C15761" i="1"/>
  <c r="D15761" i="1"/>
  <c r="E15761" i="1"/>
  <c r="F15761" i="1"/>
  <c r="G15761" i="1"/>
  <c r="H15761" i="1"/>
  <c r="A15762" i="1"/>
  <c r="B15762" i="1"/>
  <c r="C15762" i="1"/>
  <c r="D15762" i="1"/>
  <c r="E15762" i="1"/>
  <c r="F15762" i="1"/>
  <c r="G15762" i="1"/>
  <c r="H15762" i="1"/>
  <c r="A15763" i="1"/>
  <c r="B15763" i="1"/>
  <c r="C15763" i="1"/>
  <c r="D15763" i="1"/>
  <c r="E15763" i="1"/>
  <c r="F15763" i="1"/>
  <c r="G15763" i="1"/>
  <c r="H15763" i="1"/>
  <c r="A15764" i="1"/>
  <c r="B15764" i="1"/>
  <c r="C15764" i="1"/>
  <c r="D15764" i="1"/>
  <c r="E15764" i="1"/>
  <c r="F15764" i="1"/>
  <c r="G15764" i="1"/>
  <c r="H15764" i="1"/>
  <c r="A15765" i="1"/>
  <c r="B15765" i="1"/>
  <c r="C15765" i="1"/>
  <c r="D15765" i="1"/>
  <c r="E15765" i="1"/>
  <c r="F15765" i="1"/>
  <c r="G15765" i="1"/>
  <c r="H15765" i="1"/>
  <c r="A15766" i="1"/>
  <c r="B15766" i="1"/>
  <c r="C15766" i="1"/>
  <c r="D15766" i="1"/>
  <c r="E15766" i="1"/>
  <c r="F15766" i="1"/>
  <c r="G15766" i="1"/>
  <c r="H15766" i="1"/>
  <c r="A15767" i="1"/>
  <c r="B15767" i="1"/>
  <c r="C15767" i="1"/>
  <c r="D15767" i="1"/>
  <c r="E15767" i="1"/>
  <c r="F15767" i="1"/>
  <c r="G15767" i="1"/>
  <c r="H15767" i="1"/>
  <c r="A15768" i="1"/>
  <c r="B15768" i="1"/>
  <c r="C15768" i="1"/>
  <c r="D15768" i="1"/>
  <c r="E15768" i="1"/>
  <c r="F15768" i="1"/>
  <c r="G15768" i="1"/>
  <c r="H15768" i="1"/>
  <c r="A15769" i="1"/>
  <c r="B15769" i="1"/>
  <c r="C15769" i="1"/>
  <c r="D15769" i="1"/>
  <c r="E15769" i="1"/>
  <c r="F15769" i="1"/>
  <c r="G15769" i="1"/>
  <c r="H15769" i="1"/>
  <c r="A15770" i="1"/>
  <c r="B15770" i="1"/>
  <c r="C15770" i="1"/>
  <c r="D15770" i="1"/>
  <c r="E15770" i="1"/>
  <c r="F15770" i="1"/>
  <c r="G15770" i="1"/>
  <c r="H15770" i="1"/>
  <c r="A15771" i="1"/>
  <c r="B15771" i="1"/>
  <c r="C15771" i="1"/>
  <c r="D15771" i="1"/>
  <c r="E15771" i="1"/>
  <c r="F15771" i="1"/>
  <c r="G15771" i="1"/>
  <c r="H15771" i="1"/>
  <c r="A15772" i="1"/>
  <c r="B15772" i="1"/>
  <c r="C15772" i="1"/>
  <c r="D15772" i="1"/>
  <c r="E15772" i="1"/>
  <c r="F15772" i="1"/>
  <c r="G15772" i="1"/>
  <c r="H15772" i="1"/>
  <c r="A15773" i="1"/>
  <c r="B15773" i="1"/>
  <c r="C15773" i="1"/>
  <c r="D15773" i="1"/>
  <c r="E15773" i="1"/>
  <c r="F15773" i="1"/>
  <c r="G15773" i="1"/>
  <c r="H15773" i="1"/>
  <c r="A15774" i="1"/>
  <c r="B15774" i="1"/>
  <c r="C15774" i="1"/>
  <c r="D15774" i="1"/>
  <c r="E15774" i="1"/>
  <c r="F15774" i="1"/>
  <c r="G15774" i="1"/>
  <c r="H15774" i="1"/>
  <c r="A15775" i="1"/>
  <c r="B15775" i="1"/>
  <c r="C15775" i="1"/>
  <c r="D15775" i="1"/>
  <c r="E15775" i="1"/>
  <c r="F15775" i="1"/>
  <c r="G15775" i="1"/>
  <c r="H15775" i="1"/>
  <c r="A15776" i="1"/>
  <c r="B15776" i="1"/>
  <c r="C15776" i="1"/>
  <c r="D15776" i="1"/>
  <c r="E15776" i="1"/>
  <c r="F15776" i="1"/>
  <c r="G15776" i="1"/>
  <c r="H15776" i="1"/>
  <c r="A15777" i="1"/>
  <c r="B15777" i="1"/>
  <c r="C15777" i="1"/>
  <c r="D15777" i="1"/>
  <c r="E15777" i="1"/>
  <c r="F15777" i="1"/>
  <c r="G15777" i="1"/>
  <c r="H15777" i="1"/>
  <c r="A15778" i="1"/>
  <c r="B15778" i="1"/>
  <c r="C15778" i="1"/>
  <c r="D15778" i="1"/>
  <c r="E15778" i="1"/>
  <c r="F15778" i="1"/>
  <c r="G15778" i="1"/>
  <c r="H15778" i="1"/>
  <c r="A15779" i="1"/>
  <c r="B15779" i="1"/>
  <c r="C15779" i="1"/>
  <c r="D15779" i="1"/>
  <c r="E15779" i="1"/>
  <c r="F15779" i="1"/>
  <c r="G15779" i="1"/>
  <c r="H15779" i="1"/>
  <c r="A15780" i="1"/>
  <c r="B15780" i="1"/>
  <c r="C15780" i="1"/>
  <c r="D15780" i="1"/>
  <c r="E15780" i="1"/>
  <c r="F15780" i="1"/>
  <c r="G15780" i="1"/>
  <c r="H15780" i="1"/>
  <c r="A15781" i="1"/>
  <c r="B15781" i="1"/>
  <c r="C15781" i="1"/>
  <c r="D15781" i="1"/>
  <c r="E15781" i="1"/>
  <c r="F15781" i="1"/>
  <c r="G15781" i="1"/>
  <c r="H15781" i="1"/>
  <c r="A15782" i="1"/>
  <c r="B15782" i="1"/>
  <c r="C15782" i="1"/>
  <c r="D15782" i="1"/>
  <c r="E15782" i="1"/>
  <c r="F15782" i="1"/>
  <c r="G15782" i="1"/>
  <c r="H15782" i="1"/>
  <c r="A15783" i="1"/>
  <c r="B15783" i="1"/>
  <c r="C15783" i="1"/>
  <c r="D15783" i="1"/>
  <c r="E15783" i="1"/>
  <c r="F15783" i="1"/>
  <c r="G15783" i="1"/>
  <c r="H15783" i="1"/>
  <c r="A15784" i="1"/>
  <c r="B15784" i="1"/>
  <c r="C15784" i="1"/>
  <c r="D15784" i="1"/>
  <c r="E15784" i="1"/>
  <c r="F15784" i="1"/>
  <c r="G15784" i="1"/>
  <c r="H15784" i="1"/>
  <c r="A15785" i="1"/>
  <c r="B15785" i="1"/>
  <c r="C15785" i="1"/>
  <c r="D15785" i="1"/>
  <c r="E15785" i="1"/>
  <c r="F15785" i="1"/>
  <c r="G15785" i="1"/>
  <c r="H15785" i="1"/>
  <c r="A15786" i="1"/>
  <c r="B15786" i="1"/>
  <c r="C15786" i="1"/>
  <c r="D15786" i="1"/>
  <c r="E15786" i="1"/>
  <c r="F15786" i="1"/>
  <c r="G15786" i="1"/>
  <c r="H15786" i="1"/>
  <c r="A15787" i="1"/>
  <c r="B15787" i="1"/>
  <c r="C15787" i="1"/>
  <c r="D15787" i="1"/>
  <c r="E15787" i="1"/>
  <c r="F15787" i="1"/>
  <c r="G15787" i="1"/>
  <c r="H15787" i="1"/>
  <c r="A15788" i="1"/>
  <c r="B15788" i="1"/>
  <c r="C15788" i="1"/>
  <c r="D15788" i="1"/>
  <c r="E15788" i="1"/>
  <c r="F15788" i="1"/>
  <c r="G15788" i="1"/>
  <c r="H15788" i="1"/>
  <c r="A15789" i="1"/>
  <c r="B15789" i="1"/>
  <c r="C15789" i="1"/>
  <c r="D15789" i="1"/>
  <c r="E15789" i="1"/>
  <c r="F15789" i="1"/>
  <c r="G15789" i="1"/>
  <c r="H15789" i="1"/>
  <c r="A15790" i="1"/>
  <c r="B15790" i="1"/>
  <c r="C15790" i="1"/>
  <c r="D15790" i="1"/>
  <c r="E15790" i="1"/>
  <c r="F15790" i="1"/>
  <c r="G15790" i="1"/>
  <c r="H15790" i="1"/>
  <c r="A15791" i="1"/>
  <c r="B15791" i="1"/>
  <c r="C15791" i="1"/>
  <c r="D15791" i="1"/>
  <c r="E15791" i="1"/>
  <c r="F15791" i="1"/>
  <c r="G15791" i="1"/>
  <c r="H15791" i="1"/>
  <c r="A15792" i="1"/>
  <c r="B15792" i="1"/>
  <c r="C15792" i="1"/>
  <c r="D15792" i="1"/>
  <c r="E15792" i="1"/>
  <c r="F15792" i="1"/>
  <c r="G15792" i="1"/>
  <c r="H15792" i="1"/>
  <c r="A15793" i="1"/>
  <c r="B15793" i="1"/>
  <c r="C15793" i="1"/>
  <c r="D15793" i="1"/>
  <c r="E15793" i="1"/>
  <c r="F15793" i="1"/>
  <c r="G15793" i="1"/>
  <c r="H15793" i="1"/>
  <c r="A15794" i="1"/>
  <c r="B15794" i="1"/>
  <c r="C15794" i="1"/>
  <c r="D15794" i="1"/>
  <c r="E15794" i="1"/>
  <c r="F15794" i="1"/>
  <c r="G15794" i="1"/>
  <c r="H15794" i="1"/>
  <c r="A15795" i="1"/>
  <c r="B15795" i="1"/>
  <c r="C15795" i="1"/>
  <c r="D15795" i="1"/>
  <c r="E15795" i="1"/>
  <c r="F15795" i="1"/>
  <c r="G15795" i="1"/>
  <c r="H15795" i="1"/>
  <c r="A15796" i="1"/>
  <c r="B15796" i="1"/>
  <c r="C15796" i="1"/>
  <c r="D15796" i="1"/>
  <c r="E15796" i="1"/>
  <c r="F15796" i="1"/>
  <c r="G15796" i="1"/>
  <c r="H15796" i="1"/>
  <c r="A15797" i="1"/>
  <c r="B15797" i="1"/>
  <c r="C15797" i="1"/>
  <c r="D15797" i="1"/>
  <c r="E15797" i="1"/>
  <c r="F15797" i="1"/>
  <c r="G15797" i="1"/>
  <c r="H15797" i="1"/>
  <c r="A15798" i="1"/>
  <c r="B15798" i="1"/>
  <c r="C15798" i="1"/>
  <c r="D15798" i="1"/>
  <c r="E15798" i="1"/>
  <c r="F15798" i="1"/>
  <c r="G15798" i="1"/>
  <c r="H15798" i="1"/>
  <c r="A15799" i="1"/>
  <c r="B15799" i="1"/>
  <c r="C15799" i="1"/>
  <c r="D15799" i="1"/>
  <c r="E15799" i="1"/>
  <c r="F15799" i="1"/>
  <c r="G15799" i="1"/>
  <c r="H15799" i="1"/>
  <c r="A15800" i="1"/>
  <c r="B15800" i="1"/>
  <c r="C15800" i="1"/>
  <c r="D15800" i="1"/>
  <c r="E15800" i="1"/>
  <c r="F15800" i="1"/>
  <c r="G15800" i="1"/>
  <c r="H15800" i="1"/>
  <c r="A15801" i="1"/>
  <c r="B15801" i="1"/>
  <c r="C15801" i="1"/>
  <c r="D15801" i="1"/>
  <c r="E15801" i="1"/>
  <c r="F15801" i="1"/>
  <c r="G15801" i="1"/>
  <c r="H15801" i="1"/>
  <c r="A15802" i="1"/>
  <c r="B15802" i="1"/>
  <c r="C15802" i="1"/>
  <c r="D15802" i="1"/>
  <c r="E15802" i="1"/>
  <c r="F15802" i="1"/>
  <c r="G15802" i="1"/>
  <c r="H15802" i="1"/>
  <c r="A15803" i="1"/>
  <c r="B15803" i="1"/>
  <c r="C15803" i="1"/>
  <c r="D15803" i="1"/>
  <c r="E15803" i="1"/>
  <c r="F15803" i="1"/>
  <c r="G15803" i="1"/>
  <c r="H15803" i="1"/>
  <c r="A15804" i="1"/>
  <c r="B15804" i="1"/>
  <c r="C15804" i="1"/>
  <c r="D15804" i="1"/>
  <c r="E15804" i="1"/>
  <c r="F15804" i="1"/>
  <c r="G15804" i="1"/>
  <c r="H15804" i="1"/>
  <c r="A15805" i="1"/>
  <c r="B15805" i="1"/>
  <c r="C15805" i="1"/>
  <c r="D15805" i="1"/>
  <c r="E15805" i="1"/>
  <c r="F15805" i="1"/>
  <c r="G15805" i="1"/>
  <c r="H15805" i="1"/>
  <c r="A15806" i="1"/>
  <c r="B15806" i="1"/>
  <c r="C15806" i="1"/>
  <c r="D15806" i="1"/>
  <c r="E15806" i="1"/>
  <c r="F15806" i="1"/>
  <c r="G15806" i="1"/>
  <c r="H15806" i="1"/>
  <c r="A15807" i="1"/>
  <c r="B15807" i="1"/>
  <c r="C15807" i="1"/>
  <c r="D15807" i="1"/>
  <c r="E15807" i="1"/>
  <c r="F15807" i="1"/>
  <c r="G15807" i="1"/>
  <c r="H15807" i="1"/>
  <c r="A15808" i="1"/>
  <c r="B15808" i="1"/>
  <c r="C15808" i="1"/>
  <c r="D15808" i="1"/>
  <c r="E15808" i="1"/>
  <c r="F15808" i="1"/>
  <c r="G15808" i="1"/>
  <c r="H15808" i="1"/>
  <c r="A15809" i="1"/>
  <c r="B15809" i="1"/>
  <c r="C15809" i="1"/>
  <c r="D15809" i="1"/>
  <c r="E15809" i="1"/>
  <c r="F15809" i="1"/>
  <c r="G15809" i="1"/>
  <c r="H15809" i="1"/>
  <c r="A15810" i="1"/>
  <c r="B15810" i="1"/>
  <c r="C15810" i="1"/>
  <c r="D15810" i="1"/>
  <c r="E15810" i="1"/>
  <c r="F15810" i="1"/>
  <c r="G15810" i="1"/>
  <c r="H15810" i="1"/>
  <c r="A15811" i="1"/>
  <c r="B15811" i="1"/>
  <c r="C15811" i="1"/>
  <c r="D15811" i="1"/>
  <c r="E15811" i="1"/>
  <c r="F15811" i="1"/>
  <c r="G15811" i="1"/>
  <c r="H15811" i="1"/>
  <c r="A15812" i="1"/>
  <c r="B15812" i="1"/>
  <c r="C15812" i="1"/>
  <c r="D15812" i="1"/>
  <c r="E15812" i="1"/>
  <c r="F15812" i="1"/>
  <c r="G15812" i="1"/>
  <c r="H15812" i="1"/>
  <c r="A15813" i="1"/>
  <c r="B15813" i="1"/>
  <c r="C15813" i="1"/>
  <c r="D15813" i="1"/>
  <c r="E15813" i="1"/>
  <c r="F15813" i="1"/>
  <c r="G15813" i="1"/>
  <c r="H15813" i="1"/>
  <c r="A15814" i="1"/>
  <c r="B15814" i="1"/>
  <c r="C15814" i="1"/>
  <c r="D15814" i="1"/>
  <c r="E15814" i="1"/>
  <c r="F15814" i="1"/>
  <c r="G15814" i="1"/>
  <c r="H15814" i="1"/>
  <c r="A15815" i="1"/>
  <c r="B15815" i="1"/>
  <c r="C15815" i="1"/>
  <c r="D15815" i="1"/>
  <c r="E15815" i="1"/>
  <c r="F15815" i="1"/>
  <c r="G15815" i="1"/>
  <c r="H15815" i="1"/>
  <c r="A15816" i="1"/>
  <c r="B15816" i="1"/>
  <c r="C15816" i="1"/>
  <c r="D15816" i="1"/>
  <c r="E15816" i="1"/>
  <c r="F15816" i="1"/>
  <c r="G15816" i="1"/>
  <c r="H15816" i="1"/>
  <c r="A15817" i="1"/>
  <c r="B15817" i="1"/>
  <c r="C15817" i="1"/>
  <c r="D15817" i="1"/>
  <c r="E15817" i="1"/>
  <c r="F15817" i="1"/>
  <c r="G15817" i="1"/>
  <c r="H15817" i="1"/>
  <c r="A15818" i="1"/>
  <c r="B15818" i="1"/>
  <c r="C15818" i="1"/>
  <c r="D15818" i="1"/>
  <c r="E15818" i="1"/>
  <c r="F15818" i="1"/>
  <c r="G15818" i="1"/>
  <c r="H15818" i="1"/>
  <c r="A15819" i="1"/>
  <c r="B15819" i="1"/>
  <c r="C15819" i="1"/>
  <c r="D15819" i="1"/>
  <c r="E15819" i="1"/>
  <c r="F15819" i="1"/>
  <c r="G15819" i="1"/>
  <c r="H15819" i="1"/>
  <c r="A15820" i="1"/>
  <c r="B15820" i="1"/>
  <c r="C15820" i="1"/>
  <c r="D15820" i="1"/>
  <c r="E15820" i="1"/>
  <c r="F15820" i="1"/>
  <c r="G15820" i="1"/>
  <c r="H15820" i="1"/>
  <c r="A15821" i="1"/>
  <c r="B15821" i="1"/>
  <c r="C15821" i="1"/>
  <c r="D15821" i="1"/>
  <c r="E15821" i="1"/>
  <c r="F15821" i="1"/>
  <c r="G15821" i="1"/>
  <c r="H15821" i="1"/>
  <c r="A15822" i="1"/>
  <c r="B15822" i="1"/>
  <c r="C15822" i="1"/>
  <c r="D15822" i="1"/>
  <c r="E15822" i="1"/>
  <c r="F15822" i="1"/>
  <c r="G15822" i="1"/>
  <c r="H15822" i="1"/>
  <c r="A15823" i="1"/>
  <c r="B15823" i="1"/>
  <c r="C15823" i="1"/>
  <c r="D15823" i="1"/>
  <c r="E15823" i="1"/>
  <c r="F15823" i="1"/>
  <c r="G15823" i="1"/>
  <c r="H15823" i="1"/>
  <c r="A15824" i="1"/>
  <c r="B15824" i="1"/>
  <c r="C15824" i="1"/>
  <c r="D15824" i="1"/>
  <c r="E15824" i="1"/>
  <c r="F15824" i="1"/>
  <c r="G15824" i="1"/>
  <c r="H15824" i="1"/>
  <c r="A15825" i="1"/>
  <c r="B15825" i="1"/>
  <c r="C15825" i="1"/>
  <c r="D15825" i="1"/>
  <c r="E15825" i="1"/>
  <c r="F15825" i="1"/>
  <c r="G15825" i="1"/>
  <c r="H15825" i="1"/>
  <c r="A15826" i="1"/>
  <c r="B15826" i="1"/>
  <c r="C15826" i="1"/>
  <c r="D15826" i="1"/>
  <c r="E15826" i="1"/>
  <c r="F15826" i="1"/>
  <c r="G15826" i="1"/>
  <c r="H15826" i="1"/>
  <c r="A15827" i="1"/>
  <c r="B15827" i="1"/>
  <c r="C15827" i="1"/>
  <c r="D15827" i="1"/>
  <c r="E15827" i="1"/>
  <c r="F15827" i="1"/>
  <c r="G15827" i="1"/>
  <c r="H15827" i="1"/>
  <c r="A15828" i="1"/>
  <c r="B15828" i="1"/>
  <c r="C15828" i="1"/>
  <c r="D15828" i="1"/>
  <c r="E15828" i="1"/>
  <c r="F15828" i="1"/>
  <c r="G15828" i="1"/>
  <c r="H15828" i="1"/>
  <c r="A15829" i="1"/>
  <c r="B15829" i="1"/>
  <c r="C15829" i="1"/>
  <c r="D15829" i="1"/>
  <c r="E15829" i="1"/>
  <c r="F15829" i="1"/>
  <c r="G15829" i="1"/>
  <c r="H15829" i="1"/>
  <c r="A15830" i="1"/>
  <c r="B15830" i="1"/>
  <c r="C15830" i="1"/>
  <c r="D15830" i="1"/>
  <c r="E15830" i="1"/>
  <c r="F15830" i="1"/>
  <c r="G15830" i="1"/>
  <c r="H15830" i="1"/>
  <c r="A15831" i="1"/>
  <c r="B15831" i="1"/>
  <c r="C15831" i="1"/>
  <c r="D15831" i="1"/>
  <c r="E15831" i="1"/>
  <c r="F15831" i="1"/>
  <c r="G15831" i="1"/>
  <c r="H15831" i="1"/>
  <c r="A15832" i="1"/>
  <c r="B15832" i="1"/>
  <c r="C15832" i="1"/>
  <c r="D15832" i="1"/>
  <c r="E15832" i="1"/>
  <c r="F15832" i="1"/>
  <c r="G15832" i="1"/>
  <c r="H15832" i="1"/>
  <c r="A15833" i="1"/>
  <c r="B15833" i="1"/>
  <c r="C15833" i="1"/>
  <c r="D15833" i="1"/>
  <c r="E15833" i="1"/>
  <c r="F15833" i="1"/>
  <c r="G15833" i="1"/>
  <c r="H15833" i="1"/>
  <c r="A15834" i="1"/>
  <c r="B15834" i="1"/>
  <c r="C15834" i="1"/>
  <c r="D15834" i="1"/>
  <c r="E15834" i="1"/>
  <c r="F15834" i="1"/>
  <c r="G15834" i="1"/>
  <c r="H15834" i="1"/>
  <c r="A15835" i="1"/>
  <c r="B15835" i="1"/>
  <c r="C15835" i="1"/>
  <c r="D15835" i="1"/>
  <c r="E15835" i="1"/>
  <c r="F15835" i="1"/>
  <c r="G15835" i="1"/>
  <c r="H15835" i="1"/>
  <c r="A15836" i="1"/>
  <c r="B15836" i="1"/>
  <c r="C15836" i="1"/>
  <c r="D15836" i="1"/>
  <c r="E15836" i="1"/>
  <c r="F15836" i="1"/>
  <c r="G15836" i="1"/>
  <c r="H15836" i="1"/>
  <c r="A15837" i="1"/>
  <c r="B15837" i="1"/>
  <c r="C15837" i="1"/>
  <c r="D15837" i="1"/>
  <c r="E15837" i="1"/>
  <c r="F15837" i="1"/>
  <c r="G15837" i="1"/>
  <c r="H15837" i="1"/>
  <c r="A15838" i="1"/>
  <c r="B15838" i="1"/>
  <c r="C15838" i="1"/>
  <c r="D15838" i="1"/>
  <c r="E15838" i="1"/>
  <c r="F15838" i="1"/>
  <c r="G15838" i="1"/>
  <c r="H15838" i="1"/>
  <c r="A15839" i="1"/>
  <c r="B15839" i="1"/>
  <c r="C15839" i="1"/>
  <c r="D15839" i="1"/>
  <c r="E15839" i="1"/>
  <c r="F15839" i="1"/>
  <c r="G15839" i="1"/>
  <c r="H15839" i="1"/>
  <c r="A15840" i="1"/>
  <c r="B15840" i="1"/>
  <c r="C15840" i="1"/>
  <c r="D15840" i="1"/>
  <c r="E15840" i="1"/>
  <c r="F15840" i="1"/>
  <c r="G15840" i="1"/>
  <c r="H15840" i="1"/>
  <c r="A15841" i="1"/>
  <c r="B15841" i="1"/>
  <c r="C15841" i="1"/>
  <c r="D15841" i="1"/>
  <c r="E15841" i="1"/>
  <c r="F15841" i="1"/>
  <c r="G15841" i="1"/>
  <c r="H15841" i="1"/>
  <c r="A15842" i="1"/>
  <c r="B15842" i="1"/>
  <c r="C15842" i="1"/>
  <c r="D15842" i="1"/>
  <c r="E15842" i="1"/>
  <c r="F15842" i="1"/>
  <c r="G15842" i="1"/>
  <c r="H15842" i="1"/>
  <c r="A15843" i="1"/>
  <c r="B15843" i="1"/>
  <c r="C15843" i="1"/>
  <c r="D15843" i="1"/>
  <c r="E15843" i="1"/>
  <c r="F15843" i="1"/>
  <c r="G15843" i="1"/>
  <c r="H15843" i="1"/>
  <c r="A15844" i="1"/>
  <c r="B15844" i="1"/>
  <c r="C15844" i="1"/>
  <c r="D15844" i="1"/>
  <c r="E15844" i="1"/>
  <c r="F15844" i="1"/>
  <c r="G15844" i="1"/>
  <c r="H15844" i="1"/>
  <c r="A15845" i="1"/>
  <c r="B15845" i="1"/>
  <c r="C15845" i="1"/>
  <c r="D15845" i="1"/>
  <c r="E15845" i="1"/>
  <c r="F15845" i="1"/>
  <c r="G15845" i="1"/>
  <c r="H15845" i="1"/>
  <c r="A15846" i="1"/>
  <c r="B15846" i="1"/>
  <c r="C15846" i="1"/>
  <c r="D15846" i="1"/>
  <c r="E15846" i="1"/>
  <c r="F15846" i="1"/>
  <c r="G15846" i="1"/>
  <c r="H15846" i="1"/>
  <c r="A15847" i="1"/>
  <c r="B15847" i="1"/>
  <c r="C15847" i="1"/>
  <c r="D15847" i="1"/>
  <c r="E15847" i="1"/>
  <c r="F15847" i="1"/>
  <c r="G15847" i="1"/>
  <c r="H15847" i="1"/>
  <c r="A15848" i="1"/>
  <c r="B15848" i="1"/>
  <c r="C15848" i="1"/>
  <c r="D15848" i="1"/>
  <c r="E15848" i="1"/>
  <c r="F15848" i="1"/>
  <c r="G15848" i="1"/>
  <c r="H15848" i="1"/>
  <c r="A15849" i="1"/>
  <c r="B15849" i="1"/>
  <c r="C15849" i="1"/>
  <c r="D15849" i="1"/>
  <c r="E15849" i="1"/>
  <c r="F15849" i="1"/>
  <c r="G15849" i="1"/>
  <c r="H15849" i="1"/>
  <c r="A15850" i="1"/>
  <c r="B15850" i="1"/>
  <c r="C15850" i="1"/>
  <c r="D15850" i="1"/>
  <c r="E15850" i="1"/>
  <c r="F15850" i="1"/>
  <c r="G15850" i="1"/>
  <c r="H15850" i="1"/>
  <c r="A15851" i="1"/>
  <c r="B15851" i="1"/>
  <c r="C15851" i="1"/>
  <c r="D15851" i="1"/>
  <c r="E15851" i="1"/>
  <c r="F15851" i="1"/>
  <c r="G15851" i="1"/>
  <c r="H15851" i="1"/>
  <c r="A15852" i="1"/>
  <c r="B15852" i="1"/>
  <c r="C15852" i="1"/>
  <c r="D15852" i="1"/>
  <c r="E15852" i="1"/>
  <c r="F15852" i="1"/>
  <c r="G15852" i="1"/>
  <c r="H15852" i="1"/>
  <c r="A15853" i="1"/>
  <c r="B15853" i="1"/>
  <c r="C15853" i="1"/>
  <c r="D15853" i="1"/>
  <c r="E15853" i="1"/>
  <c r="F15853" i="1"/>
  <c r="G15853" i="1"/>
  <c r="H15853" i="1"/>
  <c r="A15854" i="1"/>
  <c r="B15854" i="1"/>
  <c r="C15854" i="1"/>
  <c r="D15854" i="1"/>
  <c r="E15854" i="1"/>
  <c r="F15854" i="1"/>
  <c r="G15854" i="1"/>
  <c r="H15854" i="1"/>
  <c r="A15855" i="1"/>
  <c r="B15855" i="1"/>
  <c r="C15855" i="1"/>
  <c r="D15855" i="1"/>
  <c r="E15855" i="1"/>
  <c r="F15855" i="1"/>
  <c r="G15855" i="1"/>
  <c r="H15855" i="1"/>
  <c r="A15856" i="1"/>
  <c r="B15856" i="1"/>
  <c r="C15856" i="1"/>
  <c r="D15856" i="1"/>
  <c r="E15856" i="1"/>
  <c r="F15856" i="1"/>
  <c r="G15856" i="1"/>
  <c r="H15856" i="1"/>
  <c r="A15857" i="1"/>
  <c r="B15857" i="1"/>
  <c r="C15857" i="1"/>
  <c r="D15857" i="1"/>
  <c r="E15857" i="1"/>
  <c r="F15857" i="1"/>
  <c r="G15857" i="1"/>
  <c r="H15857" i="1"/>
  <c r="A15858" i="1"/>
  <c r="B15858" i="1"/>
  <c r="C15858" i="1"/>
  <c r="D15858" i="1"/>
  <c r="E15858" i="1"/>
  <c r="F15858" i="1"/>
  <c r="G15858" i="1"/>
  <c r="H15858" i="1"/>
  <c r="A15859" i="1"/>
  <c r="B15859" i="1"/>
  <c r="C15859" i="1"/>
  <c r="D15859" i="1"/>
  <c r="E15859" i="1"/>
  <c r="F15859" i="1"/>
  <c r="G15859" i="1"/>
  <c r="H15859" i="1"/>
  <c r="A15860" i="1"/>
  <c r="B15860" i="1"/>
  <c r="C15860" i="1"/>
  <c r="D15860" i="1"/>
  <c r="E15860" i="1"/>
  <c r="F15860" i="1"/>
  <c r="G15860" i="1"/>
  <c r="H15860" i="1"/>
  <c r="A15861" i="1"/>
  <c r="B15861" i="1"/>
  <c r="C15861" i="1"/>
  <c r="D15861" i="1"/>
  <c r="E15861" i="1"/>
  <c r="F15861" i="1"/>
  <c r="G15861" i="1"/>
  <c r="H15861" i="1"/>
  <c r="A15862" i="1"/>
  <c r="B15862" i="1"/>
  <c r="C15862" i="1"/>
  <c r="D15862" i="1"/>
  <c r="E15862" i="1"/>
  <c r="F15862" i="1"/>
  <c r="G15862" i="1"/>
  <c r="H15862" i="1"/>
  <c r="A15863" i="1"/>
  <c r="B15863" i="1"/>
  <c r="C15863" i="1"/>
  <c r="D15863" i="1"/>
  <c r="E15863" i="1"/>
  <c r="F15863" i="1"/>
  <c r="G15863" i="1"/>
  <c r="H15863" i="1"/>
  <c r="A15864" i="1"/>
  <c r="B15864" i="1"/>
  <c r="C15864" i="1"/>
  <c r="D15864" i="1"/>
  <c r="E15864" i="1"/>
  <c r="F15864" i="1"/>
  <c r="G15864" i="1"/>
  <c r="H15864" i="1"/>
  <c r="A15865" i="1"/>
  <c r="B15865" i="1"/>
  <c r="C15865" i="1"/>
  <c r="D15865" i="1"/>
  <c r="E15865" i="1"/>
  <c r="F15865" i="1"/>
  <c r="G15865" i="1"/>
  <c r="H15865" i="1"/>
  <c r="A15866" i="1"/>
  <c r="B15866" i="1"/>
  <c r="C15866" i="1"/>
  <c r="D15866" i="1"/>
  <c r="E15866" i="1"/>
  <c r="F15866" i="1"/>
  <c r="G15866" i="1"/>
  <c r="H15866" i="1"/>
  <c r="A15867" i="1"/>
  <c r="B15867" i="1"/>
  <c r="C15867" i="1"/>
  <c r="D15867" i="1"/>
  <c r="E15867" i="1"/>
  <c r="F15867" i="1"/>
  <c r="G15867" i="1"/>
  <c r="H15867" i="1"/>
  <c r="A15868" i="1"/>
  <c r="B15868" i="1"/>
  <c r="C15868" i="1"/>
  <c r="D15868" i="1"/>
  <c r="E15868" i="1"/>
  <c r="F15868" i="1"/>
  <c r="G15868" i="1"/>
  <c r="H15868" i="1"/>
  <c r="A15869" i="1"/>
  <c r="B15869" i="1"/>
  <c r="C15869" i="1"/>
  <c r="D15869" i="1"/>
  <c r="E15869" i="1"/>
  <c r="F15869" i="1"/>
  <c r="G15869" i="1"/>
  <c r="H15869" i="1"/>
  <c r="A15870" i="1"/>
  <c r="B15870" i="1"/>
  <c r="C15870" i="1"/>
  <c r="D15870" i="1"/>
  <c r="E15870" i="1"/>
  <c r="F15870" i="1"/>
  <c r="G15870" i="1"/>
  <c r="H15870" i="1"/>
  <c r="A15871" i="1"/>
  <c r="B15871" i="1"/>
  <c r="C15871" i="1"/>
  <c r="D15871" i="1"/>
  <c r="E15871" i="1"/>
  <c r="F15871" i="1"/>
  <c r="G15871" i="1"/>
  <c r="H15871" i="1"/>
  <c r="A15872" i="1"/>
  <c r="B15872" i="1"/>
  <c r="C15872" i="1"/>
  <c r="D15872" i="1"/>
  <c r="E15872" i="1"/>
  <c r="F15872" i="1"/>
  <c r="G15872" i="1"/>
  <c r="H15872" i="1"/>
  <c r="A15873" i="1"/>
  <c r="B15873" i="1"/>
  <c r="C15873" i="1"/>
  <c r="D15873" i="1"/>
  <c r="E15873" i="1"/>
  <c r="F15873" i="1"/>
  <c r="G15873" i="1"/>
  <c r="H15873" i="1"/>
  <c r="A15874" i="1"/>
  <c r="B15874" i="1"/>
  <c r="C15874" i="1"/>
  <c r="D15874" i="1"/>
  <c r="E15874" i="1"/>
  <c r="F15874" i="1"/>
  <c r="G15874" i="1"/>
  <c r="H15874" i="1"/>
  <c r="A15875" i="1"/>
  <c r="B15875" i="1"/>
  <c r="C15875" i="1"/>
  <c r="D15875" i="1"/>
  <c r="E15875" i="1"/>
  <c r="F15875" i="1"/>
  <c r="G15875" i="1"/>
  <c r="H15875" i="1"/>
  <c r="A15876" i="1"/>
  <c r="B15876" i="1"/>
  <c r="C15876" i="1"/>
  <c r="D15876" i="1"/>
  <c r="E15876" i="1"/>
  <c r="F15876" i="1"/>
  <c r="G15876" i="1"/>
  <c r="H15876" i="1"/>
  <c r="A15877" i="1"/>
  <c r="B15877" i="1"/>
  <c r="C15877" i="1"/>
  <c r="D15877" i="1"/>
  <c r="E15877" i="1"/>
  <c r="F15877" i="1"/>
  <c r="G15877" i="1"/>
  <c r="H15877" i="1"/>
  <c r="A15878" i="1"/>
  <c r="B15878" i="1"/>
  <c r="C15878" i="1"/>
  <c r="D15878" i="1"/>
  <c r="E15878" i="1"/>
  <c r="F15878" i="1"/>
  <c r="G15878" i="1"/>
  <c r="H15878" i="1"/>
  <c r="A15879" i="1"/>
  <c r="B15879" i="1"/>
  <c r="C15879" i="1"/>
  <c r="D15879" i="1"/>
  <c r="E15879" i="1"/>
  <c r="F15879" i="1"/>
  <c r="G15879" i="1"/>
  <c r="H15879" i="1"/>
  <c r="A15880" i="1"/>
  <c r="B15880" i="1"/>
  <c r="C15880" i="1"/>
  <c r="D15880" i="1"/>
  <c r="E15880" i="1"/>
  <c r="F15880" i="1"/>
  <c r="G15880" i="1"/>
  <c r="H15880" i="1"/>
  <c r="A15881" i="1"/>
  <c r="B15881" i="1"/>
  <c r="C15881" i="1"/>
  <c r="D15881" i="1"/>
  <c r="E15881" i="1"/>
  <c r="F15881" i="1"/>
  <c r="G15881" i="1"/>
  <c r="H15881" i="1"/>
  <c r="A15882" i="1"/>
  <c r="B15882" i="1"/>
  <c r="C15882" i="1"/>
  <c r="D15882" i="1"/>
  <c r="E15882" i="1"/>
  <c r="F15882" i="1"/>
  <c r="G15882" i="1"/>
  <c r="H15882" i="1"/>
  <c r="A15883" i="1"/>
  <c r="B15883" i="1"/>
  <c r="C15883" i="1"/>
  <c r="D15883" i="1"/>
  <c r="E15883" i="1"/>
  <c r="F15883" i="1"/>
  <c r="G15883" i="1"/>
  <c r="H15883" i="1"/>
  <c r="A15884" i="1"/>
  <c r="B15884" i="1"/>
  <c r="C15884" i="1"/>
  <c r="D15884" i="1"/>
  <c r="E15884" i="1"/>
  <c r="F15884" i="1"/>
  <c r="G15884" i="1"/>
  <c r="H15884" i="1"/>
  <c r="A15885" i="1"/>
  <c r="B15885" i="1"/>
  <c r="C15885" i="1"/>
  <c r="D15885" i="1"/>
  <c r="E15885" i="1"/>
  <c r="F15885" i="1"/>
  <c r="G15885" i="1"/>
  <c r="H15885" i="1"/>
  <c r="A15886" i="1"/>
  <c r="B15886" i="1"/>
  <c r="C15886" i="1"/>
  <c r="D15886" i="1"/>
  <c r="E15886" i="1"/>
  <c r="F15886" i="1"/>
  <c r="G15886" i="1"/>
  <c r="H15886" i="1"/>
  <c r="A15887" i="1"/>
  <c r="B15887" i="1"/>
  <c r="C15887" i="1"/>
  <c r="D15887" i="1"/>
  <c r="E15887" i="1"/>
  <c r="F15887" i="1"/>
  <c r="G15887" i="1"/>
  <c r="H15887" i="1"/>
  <c r="A15888" i="1"/>
  <c r="B15888" i="1"/>
  <c r="C15888" i="1"/>
  <c r="D15888" i="1"/>
  <c r="E15888" i="1"/>
  <c r="F15888" i="1"/>
  <c r="G15888" i="1"/>
  <c r="H15888" i="1"/>
  <c r="A15889" i="1"/>
  <c r="B15889" i="1"/>
  <c r="C15889" i="1"/>
  <c r="D15889" i="1"/>
  <c r="E15889" i="1"/>
  <c r="F15889" i="1"/>
  <c r="G15889" i="1"/>
  <c r="H15889" i="1"/>
  <c r="A15890" i="1"/>
  <c r="B15890" i="1"/>
  <c r="C15890" i="1"/>
  <c r="D15890" i="1"/>
  <c r="E15890" i="1"/>
  <c r="F15890" i="1"/>
  <c r="G15890" i="1"/>
  <c r="H15890" i="1"/>
  <c r="A15891" i="1"/>
  <c r="B15891" i="1"/>
  <c r="C15891" i="1"/>
  <c r="D15891" i="1"/>
  <c r="E15891" i="1"/>
  <c r="F15891" i="1"/>
  <c r="G15891" i="1"/>
  <c r="H15891" i="1"/>
  <c r="A15892" i="1"/>
  <c r="B15892" i="1"/>
  <c r="C15892" i="1"/>
  <c r="D15892" i="1"/>
  <c r="E15892" i="1"/>
  <c r="F15892" i="1"/>
  <c r="G15892" i="1"/>
  <c r="H15892" i="1"/>
  <c r="A15893" i="1"/>
  <c r="B15893" i="1"/>
  <c r="C15893" i="1"/>
  <c r="D15893" i="1"/>
  <c r="E15893" i="1"/>
  <c r="F15893" i="1"/>
  <c r="G15893" i="1"/>
  <c r="H15893" i="1"/>
  <c r="A15894" i="1"/>
  <c r="B15894" i="1"/>
  <c r="C15894" i="1"/>
  <c r="D15894" i="1"/>
  <c r="E15894" i="1"/>
  <c r="F15894" i="1"/>
  <c r="G15894" i="1"/>
  <c r="H15894" i="1"/>
  <c r="A15895" i="1"/>
  <c r="B15895" i="1"/>
  <c r="C15895" i="1"/>
  <c r="D15895" i="1"/>
  <c r="E15895" i="1"/>
  <c r="F15895" i="1"/>
  <c r="G15895" i="1"/>
  <c r="H15895" i="1"/>
  <c r="A15896" i="1"/>
  <c r="B15896" i="1"/>
  <c r="C15896" i="1"/>
  <c r="D15896" i="1"/>
  <c r="E15896" i="1"/>
  <c r="F15896" i="1"/>
  <c r="G15896" i="1"/>
  <c r="H15896" i="1"/>
  <c r="A15897" i="1"/>
  <c r="B15897" i="1"/>
  <c r="C15897" i="1"/>
  <c r="D15897" i="1"/>
  <c r="E15897" i="1"/>
  <c r="F15897" i="1"/>
  <c r="G15897" i="1"/>
  <c r="H15897" i="1"/>
  <c r="A15898" i="1"/>
  <c r="B15898" i="1"/>
  <c r="C15898" i="1"/>
  <c r="D15898" i="1"/>
  <c r="E15898" i="1"/>
  <c r="F15898" i="1"/>
  <c r="G15898" i="1"/>
  <c r="H15898" i="1"/>
  <c r="A15899" i="1"/>
  <c r="B15899" i="1"/>
  <c r="C15899" i="1"/>
  <c r="D15899" i="1"/>
  <c r="E15899" i="1"/>
  <c r="F15899" i="1"/>
  <c r="G15899" i="1"/>
  <c r="H15899" i="1"/>
  <c r="A15900" i="1"/>
  <c r="B15900" i="1"/>
  <c r="C15900" i="1"/>
  <c r="D15900" i="1"/>
  <c r="E15900" i="1"/>
  <c r="F15900" i="1"/>
  <c r="G15900" i="1"/>
  <c r="H15900" i="1"/>
  <c r="A15901" i="1"/>
  <c r="B15901" i="1"/>
  <c r="C15901" i="1"/>
  <c r="D15901" i="1"/>
  <c r="E15901" i="1"/>
  <c r="F15901" i="1"/>
  <c r="G15901" i="1"/>
  <c r="H15901" i="1"/>
  <c r="A15902" i="1"/>
  <c r="B15902" i="1"/>
  <c r="C15902" i="1"/>
  <c r="D15902" i="1"/>
  <c r="E15902" i="1"/>
  <c r="F15902" i="1"/>
  <c r="G15902" i="1"/>
  <c r="H15902" i="1"/>
  <c r="A15903" i="1"/>
  <c r="B15903" i="1"/>
  <c r="C15903" i="1"/>
  <c r="D15903" i="1"/>
  <c r="E15903" i="1"/>
  <c r="F15903" i="1"/>
  <c r="G15903" i="1"/>
  <c r="H15903" i="1"/>
  <c r="A15904" i="1"/>
  <c r="B15904" i="1"/>
  <c r="C15904" i="1"/>
  <c r="D15904" i="1"/>
  <c r="E15904" i="1"/>
  <c r="F15904" i="1"/>
  <c r="G15904" i="1"/>
  <c r="H15904" i="1"/>
  <c r="A15905" i="1"/>
  <c r="B15905" i="1"/>
  <c r="C15905" i="1"/>
  <c r="D15905" i="1"/>
  <c r="E15905" i="1"/>
  <c r="F15905" i="1"/>
  <c r="G15905" i="1"/>
  <c r="H15905" i="1"/>
  <c r="A15906" i="1"/>
  <c r="B15906" i="1"/>
  <c r="C15906" i="1"/>
  <c r="D15906" i="1"/>
  <c r="E15906" i="1"/>
  <c r="F15906" i="1"/>
  <c r="G15906" i="1"/>
  <c r="H15906" i="1"/>
  <c r="A15907" i="1"/>
  <c r="B15907" i="1"/>
  <c r="C15907" i="1"/>
  <c r="D15907" i="1"/>
  <c r="E15907" i="1"/>
  <c r="F15907" i="1"/>
  <c r="G15907" i="1"/>
  <c r="H15907" i="1"/>
  <c r="A15908" i="1"/>
  <c r="B15908" i="1"/>
  <c r="C15908" i="1"/>
  <c r="D15908" i="1"/>
  <c r="E15908" i="1"/>
  <c r="F15908" i="1"/>
  <c r="G15908" i="1"/>
  <c r="H15908" i="1"/>
  <c r="A15909" i="1"/>
  <c r="B15909" i="1"/>
  <c r="C15909" i="1"/>
  <c r="D15909" i="1"/>
  <c r="E15909" i="1"/>
  <c r="F15909" i="1"/>
  <c r="G15909" i="1"/>
  <c r="H15909" i="1"/>
  <c r="A15910" i="1"/>
  <c r="B15910" i="1"/>
  <c r="C15910" i="1"/>
  <c r="D15910" i="1"/>
  <c r="E15910" i="1"/>
  <c r="F15910" i="1"/>
  <c r="G15910" i="1"/>
  <c r="H15910" i="1"/>
  <c r="A15911" i="1"/>
  <c r="B15911" i="1"/>
  <c r="C15911" i="1"/>
  <c r="D15911" i="1"/>
  <c r="E15911" i="1"/>
  <c r="F15911" i="1"/>
  <c r="G15911" i="1"/>
  <c r="H15911" i="1"/>
  <c r="A15912" i="1"/>
  <c r="B15912" i="1"/>
  <c r="C15912" i="1"/>
  <c r="D15912" i="1"/>
  <c r="E15912" i="1"/>
  <c r="F15912" i="1"/>
  <c r="G15912" i="1"/>
  <c r="H15912" i="1"/>
  <c r="A15913" i="1"/>
  <c r="B15913" i="1"/>
  <c r="C15913" i="1"/>
  <c r="D15913" i="1"/>
  <c r="E15913" i="1"/>
  <c r="F15913" i="1"/>
  <c r="G15913" i="1"/>
  <c r="H15913" i="1"/>
  <c r="A15914" i="1"/>
  <c r="B15914" i="1"/>
  <c r="C15914" i="1"/>
  <c r="D15914" i="1"/>
  <c r="E15914" i="1"/>
  <c r="F15914" i="1"/>
  <c r="G15914" i="1"/>
  <c r="H15914" i="1"/>
  <c r="A15915" i="1"/>
  <c r="B15915" i="1"/>
  <c r="C15915" i="1"/>
  <c r="D15915" i="1"/>
  <c r="E15915" i="1"/>
  <c r="F15915" i="1"/>
  <c r="G15915" i="1"/>
  <c r="H15915" i="1"/>
  <c r="A15916" i="1"/>
  <c r="B15916" i="1"/>
  <c r="C15916" i="1"/>
  <c r="D15916" i="1"/>
  <c r="E15916" i="1"/>
  <c r="F15916" i="1"/>
  <c r="G15916" i="1"/>
  <c r="H15916" i="1"/>
  <c r="A15917" i="1"/>
  <c r="B15917" i="1"/>
  <c r="C15917" i="1"/>
  <c r="D15917" i="1"/>
  <c r="E15917" i="1"/>
  <c r="F15917" i="1"/>
  <c r="G15917" i="1"/>
  <c r="H15917" i="1"/>
  <c r="A15918" i="1"/>
  <c r="B15918" i="1"/>
  <c r="C15918" i="1"/>
  <c r="D15918" i="1"/>
  <c r="E15918" i="1"/>
  <c r="F15918" i="1"/>
  <c r="G15918" i="1"/>
  <c r="H15918" i="1"/>
  <c r="A15919" i="1"/>
  <c r="B15919" i="1"/>
  <c r="C15919" i="1"/>
  <c r="D15919" i="1"/>
  <c r="E15919" i="1"/>
  <c r="F15919" i="1"/>
  <c r="G15919" i="1"/>
  <c r="H15919" i="1"/>
  <c r="A15920" i="1"/>
  <c r="B15920" i="1"/>
  <c r="C15920" i="1"/>
  <c r="D15920" i="1"/>
  <c r="E15920" i="1"/>
  <c r="F15920" i="1"/>
  <c r="G15920" i="1"/>
  <c r="H15920" i="1"/>
  <c r="A15921" i="1"/>
  <c r="B15921" i="1"/>
  <c r="C15921" i="1"/>
  <c r="D15921" i="1"/>
  <c r="E15921" i="1"/>
  <c r="F15921" i="1"/>
  <c r="G15921" i="1"/>
  <c r="H15921" i="1"/>
  <c r="A15922" i="1"/>
  <c r="B15922" i="1"/>
  <c r="C15922" i="1"/>
  <c r="D15922" i="1"/>
  <c r="E15922" i="1"/>
  <c r="F15922" i="1"/>
  <c r="G15922" i="1"/>
  <c r="H15922" i="1"/>
  <c r="A15923" i="1"/>
  <c r="B15923" i="1"/>
  <c r="C15923" i="1"/>
  <c r="D15923" i="1"/>
  <c r="E15923" i="1"/>
  <c r="F15923" i="1"/>
  <c r="G15923" i="1"/>
  <c r="H15923" i="1"/>
  <c r="A15924" i="1"/>
  <c r="B15924" i="1"/>
  <c r="C15924" i="1"/>
  <c r="D15924" i="1"/>
  <c r="E15924" i="1"/>
  <c r="F15924" i="1"/>
  <c r="G15924" i="1"/>
  <c r="H15924" i="1"/>
  <c r="A15925" i="1"/>
  <c r="B15925" i="1"/>
  <c r="C15925" i="1"/>
  <c r="D15925" i="1"/>
  <c r="E15925" i="1"/>
  <c r="F15925" i="1"/>
  <c r="G15925" i="1"/>
  <c r="H15925" i="1"/>
  <c r="A15926" i="1"/>
  <c r="B15926" i="1"/>
  <c r="C15926" i="1"/>
  <c r="D15926" i="1"/>
  <c r="E15926" i="1"/>
  <c r="F15926" i="1"/>
  <c r="G15926" i="1"/>
  <c r="H15926" i="1"/>
  <c r="A15927" i="1"/>
  <c r="B15927" i="1"/>
  <c r="C15927" i="1"/>
  <c r="D15927" i="1"/>
  <c r="E15927" i="1"/>
  <c r="F15927" i="1"/>
  <c r="G15927" i="1"/>
  <c r="H15927" i="1"/>
  <c r="A15928" i="1"/>
  <c r="B15928" i="1"/>
  <c r="C15928" i="1"/>
  <c r="D15928" i="1"/>
  <c r="E15928" i="1"/>
  <c r="F15928" i="1"/>
  <c r="G15928" i="1"/>
  <c r="H15928" i="1"/>
  <c r="A15929" i="1"/>
  <c r="B15929" i="1"/>
  <c r="C15929" i="1"/>
  <c r="D15929" i="1"/>
  <c r="E15929" i="1"/>
  <c r="F15929" i="1"/>
  <c r="G15929" i="1"/>
  <c r="H15929" i="1"/>
  <c r="A15930" i="1"/>
  <c r="B15930" i="1"/>
  <c r="C15930" i="1"/>
  <c r="D15930" i="1"/>
  <c r="E15930" i="1"/>
  <c r="F15930" i="1"/>
  <c r="G15930" i="1"/>
  <c r="H15930" i="1"/>
  <c r="A15931" i="1"/>
  <c r="B15931" i="1"/>
  <c r="C15931" i="1"/>
  <c r="D15931" i="1"/>
  <c r="E15931" i="1"/>
  <c r="F15931" i="1"/>
  <c r="G15931" i="1"/>
  <c r="H15931" i="1"/>
  <c r="A15932" i="1"/>
  <c r="B15932" i="1"/>
  <c r="C15932" i="1"/>
  <c r="D15932" i="1"/>
  <c r="E15932" i="1"/>
  <c r="F15932" i="1"/>
  <c r="G15932" i="1"/>
  <c r="H15932" i="1"/>
  <c r="A15933" i="1"/>
  <c r="B15933" i="1"/>
  <c r="C15933" i="1"/>
  <c r="D15933" i="1"/>
  <c r="E15933" i="1"/>
  <c r="F15933" i="1"/>
  <c r="G15933" i="1"/>
  <c r="H15933" i="1"/>
  <c r="A15934" i="1"/>
  <c r="B15934" i="1"/>
  <c r="C15934" i="1"/>
  <c r="D15934" i="1"/>
  <c r="E15934" i="1"/>
  <c r="F15934" i="1"/>
  <c r="G15934" i="1"/>
  <c r="H15934" i="1"/>
  <c r="A15935" i="1"/>
  <c r="B15935" i="1"/>
  <c r="C15935" i="1"/>
  <c r="D15935" i="1"/>
  <c r="E15935" i="1"/>
  <c r="F15935" i="1"/>
  <c r="G15935" i="1"/>
  <c r="H15935" i="1"/>
  <c r="A15936" i="1"/>
  <c r="B15936" i="1"/>
  <c r="C15936" i="1"/>
  <c r="D15936" i="1"/>
  <c r="E15936" i="1"/>
  <c r="F15936" i="1"/>
  <c r="G15936" i="1"/>
  <c r="H15936" i="1"/>
  <c r="A15937" i="1"/>
  <c r="B15937" i="1"/>
  <c r="C15937" i="1"/>
  <c r="D15937" i="1"/>
  <c r="E15937" i="1"/>
  <c r="F15937" i="1"/>
  <c r="G15937" i="1"/>
  <c r="H15937" i="1"/>
  <c r="A15938" i="1"/>
  <c r="B15938" i="1"/>
  <c r="C15938" i="1"/>
  <c r="D15938" i="1"/>
  <c r="E15938" i="1"/>
  <c r="F15938" i="1"/>
  <c r="G15938" i="1"/>
  <c r="H15938" i="1"/>
  <c r="A15939" i="1"/>
  <c r="B15939" i="1"/>
  <c r="C15939" i="1"/>
  <c r="D15939" i="1"/>
  <c r="E15939" i="1"/>
  <c r="F15939" i="1"/>
  <c r="G15939" i="1"/>
  <c r="H15939" i="1"/>
  <c r="A15940" i="1"/>
  <c r="B15940" i="1"/>
  <c r="C15940" i="1"/>
  <c r="D15940" i="1"/>
  <c r="E15940" i="1"/>
  <c r="F15940" i="1"/>
  <c r="G15940" i="1"/>
  <c r="H15940" i="1"/>
  <c r="A15941" i="1"/>
  <c r="B15941" i="1"/>
  <c r="C15941" i="1"/>
  <c r="D15941" i="1"/>
  <c r="E15941" i="1"/>
  <c r="F15941" i="1"/>
  <c r="G15941" i="1"/>
  <c r="H15941" i="1"/>
  <c r="A15942" i="1"/>
  <c r="B15942" i="1"/>
  <c r="C15942" i="1"/>
  <c r="D15942" i="1"/>
  <c r="E15942" i="1"/>
  <c r="F15942" i="1"/>
  <c r="G15942" i="1"/>
  <c r="H15942" i="1"/>
  <c r="A15943" i="1"/>
  <c r="B15943" i="1"/>
  <c r="C15943" i="1"/>
  <c r="D15943" i="1"/>
  <c r="E15943" i="1"/>
  <c r="F15943" i="1"/>
  <c r="G15943" i="1"/>
  <c r="H15943" i="1"/>
  <c r="A15944" i="1"/>
  <c r="B15944" i="1"/>
  <c r="C15944" i="1"/>
  <c r="D15944" i="1"/>
  <c r="E15944" i="1"/>
  <c r="F15944" i="1"/>
  <c r="G15944" i="1"/>
  <c r="H15944" i="1"/>
  <c r="A15945" i="1"/>
  <c r="B15945" i="1"/>
  <c r="C15945" i="1"/>
  <c r="D15945" i="1"/>
  <c r="E15945" i="1"/>
  <c r="F15945" i="1"/>
  <c r="G15945" i="1"/>
  <c r="H15945" i="1"/>
  <c r="A15946" i="1"/>
  <c r="B15946" i="1"/>
  <c r="C15946" i="1"/>
  <c r="D15946" i="1"/>
  <c r="E15946" i="1"/>
  <c r="F15946" i="1"/>
  <c r="G15946" i="1"/>
  <c r="H15946" i="1"/>
  <c r="A15947" i="1"/>
  <c r="B15947" i="1"/>
  <c r="C15947" i="1"/>
  <c r="D15947" i="1"/>
  <c r="E15947" i="1"/>
  <c r="F15947" i="1"/>
  <c r="G15947" i="1"/>
  <c r="H15947" i="1"/>
  <c r="A15948" i="1"/>
  <c r="B15948" i="1"/>
  <c r="C15948" i="1"/>
  <c r="D15948" i="1"/>
  <c r="E15948" i="1"/>
  <c r="F15948" i="1"/>
  <c r="G15948" i="1"/>
  <c r="H15948" i="1"/>
  <c r="A15949" i="1"/>
  <c r="B15949" i="1"/>
  <c r="C15949" i="1"/>
  <c r="D15949" i="1"/>
  <c r="E15949" i="1"/>
  <c r="F15949" i="1"/>
  <c r="G15949" i="1"/>
  <c r="H15949" i="1"/>
  <c r="A15950" i="1"/>
  <c r="B15950" i="1"/>
  <c r="C15950" i="1"/>
  <c r="D15950" i="1"/>
  <c r="E15950" i="1"/>
  <c r="F15950" i="1"/>
  <c r="G15950" i="1"/>
  <c r="H15950" i="1"/>
  <c r="A15951" i="1"/>
  <c r="B15951" i="1"/>
  <c r="C15951" i="1"/>
  <c r="D15951" i="1"/>
  <c r="E15951" i="1"/>
  <c r="F15951" i="1"/>
  <c r="G15951" i="1"/>
  <c r="H15951" i="1"/>
  <c r="A15952" i="1"/>
  <c r="B15952" i="1"/>
  <c r="C15952" i="1"/>
  <c r="D15952" i="1"/>
  <c r="E15952" i="1"/>
  <c r="F15952" i="1"/>
  <c r="G15952" i="1"/>
  <c r="H15952" i="1"/>
  <c r="A15953" i="1"/>
  <c r="B15953" i="1"/>
  <c r="C15953" i="1"/>
  <c r="D15953" i="1"/>
  <c r="E15953" i="1"/>
  <c r="F15953" i="1"/>
  <c r="G15953" i="1"/>
  <c r="H15953" i="1"/>
  <c r="A15954" i="1"/>
  <c r="B15954" i="1"/>
  <c r="C15954" i="1"/>
  <c r="D15954" i="1"/>
  <c r="E15954" i="1"/>
  <c r="F15954" i="1"/>
  <c r="G15954" i="1"/>
  <c r="H15954" i="1"/>
  <c r="A15955" i="1"/>
  <c r="B15955" i="1"/>
  <c r="C15955" i="1"/>
  <c r="D15955" i="1"/>
  <c r="E15955" i="1"/>
  <c r="F15955" i="1"/>
  <c r="G15955" i="1"/>
  <c r="H15955" i="1"/>
  <c r="A15956" i="1"/>
  <c r="B15956" i="1"/>
  <c r="C15956" i="1"/>
  <c r="D15956" i="1"/>
  <c r="E15956" i="1"/>
  <c r="F15956" i="1"/>
  <c r="G15956" i="1"/>
  <c r="H15956" i="1"/>
  <c r="A15957" i="1"/>
  <c r="B15957" i="1"/>
  <c r="C15957" i="1"/>
  <c r="D15957" i="1"/>
  <c r="E15957" i="1"/>
  <c r="F15957" i="1"/>
  <c r="G15957" i="1"/>
  <c r="H15957" i="1"/>
  <c r="A15958" i="1"/>
  <c r="B15958" i="1"/>
  <c r="C15958" i="1"/>
  <c r="D15958" i="1"/>
  <c r="E15958" i="1"/>
  <c r="F15958" i="1"/>
  <c r="G15958" i="1"/>
  <c r="H15958" i="1"/>
  <c r="A15959" i="1"/>
  <c r="B15959" i="1"/>
  <c r="C15959" i="1"/>
  <c r="D15959" i="1"/>
  <c r="E15959" i="1"/>
  <c r="F15959" i="1"/>
  <c r="G15959" i="1"/>
  <c r="H15959" i="1"/>
  <c r="A15960" i="1"/>
  <c r="B15960" i="1"/>
  <c r="C15960" i="1"/>
  <c r="D15960" i="1"/>
  <c r="E15960" i="1"/>
  <c r="F15960" i="1"/>
  <c r="G15960" i="1"/>
  <c r="H15960" i="1"/>
  <c r="A15961" i="1"/>
  <c r="B15961" i="1"/>
  <c r="C15961" i="1"/>
  <c r="D15961" i="1"/>
  <c r="E15961" i="1"/>
  <c r="F15961" i="1"/>
  <c r="G15961" i="1"/>
  <c r="H15961" i="1"/>
  <c r="A15962" i="1"/>
  <c r="B15962" i="1"/>
  <c r="C15962" i="1"/>
  <c r="D15962" i="1"/>
  <c r="E15962" i="1"/>
  <c r="F15962" i="1"/>
  <c r="G15962" i="1"/>
  <c r="H15962" i="1"/>
  <c r="A15963" i="1"/>
  <c r="B15963" i="1"/>
  <c r="C15963" i="1"/>
  <c r="D15963" i="1"/>
  <c r="E15963" i="1"/>
  <c r="F15963" i="1"/>
  <c r="G15963" i="1"/>
  <c r="H15963" i="1"/>
  <c r="A15964" i="1"/>
  <c r="B15964" i="1"/>
  <c r="C15964" i="1"/>
  <c r="D15964" i="1"/>
  <c r="E15964" i="1"/>
  <c r="F15964" i="1"/>
  <c r="G15964" i="1"/>
  <c r="H15964" i="1"/>
  <c r="A15965" i="1"/>
  <c r="B15965" i="1"/>
  <c r="C15965" i="1"/>
  <c r="D15965" i="1"/>
  <c r="E15965" i="1"/>
  <c r="F15965" i="1"/>
  <c r="G15965" i="1"/>
  <c r="H15965" i="1"/>
  <c r="A15966" i="1"/>
  <c r="B15966" i="1"/>
  <c r="C15966" i="1"/>
  <c r="D15966" i="1"/>
  <c r="E15966" i="1"/>
  <c r="F15966" i="1"/>
  <c r="G15966" i="1"/>
  <c r="H15966" i="1"/>
  <c r="A15967" i="1"/>
  <c r="B15967" i="1"/>
  <c r="C15967" i="1"/>
  <c r="D15967" i="1"/>
  <c r="E15967" i="1"/>
  <c r="F15967" i="1"/>
  <c r="G15967" i="1"/>
  <c r="H15967" i="1"/>
  <c r="A15968" i="1"/>
  <c r="B15968" i="1"/>
  <c r="C15968" i="1"/>
  <c r="D15968" i="1"/>
  <c r="E15968" i="1"/>
  <c r="F15968" i="1"/>
  <c r="G15968" i="1"/>
  <c r="H15968" i="1"/>
  <c r="A15969" i="1"/>
  <c r="B15969" i="1"/>
  <c r="C15969" i="1"/>
  <c r="D15969" i="1"/>
  <c r="E15969" i="1"/>
  <c r="F15969" i="1"/>
  <c r="G15969" i="1"/>
  <c r="H15969" i="1"/>
  <c r="A15970" i="1"/>
  <c r="B15970" i="1"/>
  <c r="C15970" i="1"/>
  <c r="D15970" i="1"/>
  <c r="E15970" i="1"/>
  <c r="F15970" i="1"/>
  <c r="G15970" i="1"/>
  <c r="H15970" i="1"/>
  <c r="A15971" i="1"/>
  <c r="B15971" i="1"/>
  <c r="C15971" i="1"/>
  <c r="D15971" i="1"/>
  <c r="E15971" i="1"/>
  <c r="F15971" i="1"/>
  <c r="G15971" i="1"/>
  <c r="H15971" i="1"/>
  <c r="A15972" i="1"/>
  <c r="B15972" i="1"/>
  <c r="C15972" i="1"/>
  <c r="D15972" i="1"/>
  <c r="E15972" i="1"/>
  <c r="F15972" i="1"/>
  <c r="G15972" i="1"/>
  <c r="H15972" i="1"/>
  <c r="A15973" i="1"/>
  <c r="B15973" i="1"/>
  <c r="C15973" i="1"/>
  <c r="D15973" i="1"/>
  <c r="E15973" i="1"/>
  <c r="F15973" i="1"/>
  <c r="G15973" i="1"/>
  <c r="H15973" i="1"/>
  <c r="A15974" i="1"/>
  <c r="B15974" i="1"/>
  <c r="C15974" i="1"/>
  <c r="D15974" i="1"/>
  <c r="E15974" i="1"/>
  <c r="F15974" i="1"/>
  <c r="G15974" i="1"/>
  <c r="H15974" i="1"/>
  <c r="A15975" i="1"/>
  <c r="B15975" i="1"/>
  <c r="C15975" i="1"/>
  <c r="D15975" i="1"/>
  <c r="E15975" i="1"/>
  <c r="F15975" i="1"/>
  <c r="G15975" i="1"/>
  <c r="H15975" i="1"/>
  <c r="A15976" i="1"/>
  <c r="B15976" i="1"/>
  <c r="C15976" i="1"/>
  <c r="D15976" i="1"/>
  <c r="E15976" i="1"/>
  <c r="F15976" i="1"/>
  <c r="G15976" i="1"/>
  <c r="H15976" i="1"/>
  <c r="A15977" i="1"/>
  <c r="B15977" i="1"/>
  <c r="C15977" i="1"/>
  <c r="D15977" i="1"/>
  <c r="E15977" i="1"/>
  <c r="F15977" i="1"/>
  <c r="G15977" i="1"/>
  <c r="H15977" i="1"/>
  <c r="A15978" i="1"/>
  <c r="B15978" i="1"/>
  <c r="C15978" i="1"/>
  <c r="D15978" i="1"/>
  <c r="E15978" i="1"/>
  <c r="F15978" i="1"/>
  <c r="G15978" i="1"/>
  <c r="H15978" i="1"/>
  <c r="A15979" i="1"/>
  <c r="B15979" i="1"/>
  <c r="C15979" i="1"/>
  <c r="D15979" i="1"/>
  <c r="E15979" i="1"/>
  <c r="F15979" i="1"/>
  <c r="G15979" i="1"/>
  <c r="H15979" i="1"/>
  <c r="A15980" i="1"/>
  <c r="B15980" i="1"/>
  <c r="C15980" i="1"/>
  <c r="D15980" i="1"/>
  <c r="E15980" i="1"/>
  <c r="F15980" i="1"/>
  <c r="G15980" i="1"/>
  <c r="H15980" i="1"/>
  <c r="A15981" i="1"/>
  <c r="B15981" i="1"/>
  <c r="C15981" i="1"/>
  <c r="D15981" i="1"/>
  <c r="E15981" i="1"/>
  <c r="F15981" i="1"/>
  <c r="G15981" i="1"/>
  <c r="H15981" i="1"/>
  <c r="A15982" i="1"/>
  <c r="B15982" i="1"/>
  <c r="C15982" i="1"/>
  <c r="D15982" i="1"/>
  <c r="E15982" i="1"/>
  <c r="F15982" i="1"/>
  <c r="G15982" i="1"/>
  <c r="H15982" i="1"/>
  <c r="A15983" i="1"/>
  <c r="B15983" i="1"/>
  <c r="C15983" i="1"/>
  <c r="D15983" i="1"/>
  <c r="E15983" i="1"/>
  <c r="F15983" i="1"/>
  <c r="G15983" i="1"/>
  <c r="H15983" i="1"/>
  <c r="A15984" i="1"/>
  <c r="B15984" i="1"/>
  <c r="C15984" i="1"/>
  <c r="D15984" i="1"/>
  <c r="E15984" i="1"/>
  <c r="F15984" i="1"/>
  <c r="G15984" i="1"/>
  <c r="H15984" i="1"/>
  <c r="A15985" i="1"/>
  <c r="B15985" i="1"/>
  <c r="C15985" i="1"/>
  <c r="D15985" i="1"/>
  <c r="E15985" i="1"/>
  <c r="F15985" i="1"/>
  <c r="G15985" i="1"/>
  <c r="H15985" i="1"/>
  <c r="A15986" i="1"/>
  <c r="B15986" i="1"/>
  <c r="C15986" i="1"/>
  <c r="D15986" i="1"/>
  <c r="E15986" i="1"/>
  <c r="F15986" i="1"/>
  <c r="G15986" i="1"/>
  <c r="H15986" i="1"/>
  <c r="A15987" i="1"/>
  <c r="B15987" i="1"/>
  <c r="C15987" i="1"/>
  <c r="D15987" i="1"/>
  <c r="E15987" i="1"/>
  <c r="F15987" i="1"/>
  <c r="G15987" i="1"/>
  <c r="H15987" i="1"/>
  <c r="A15988" i="1"/>
  <c r="B15988" i="1"/>
  <c r="C15988" i="1"/>
  <c r="D15988" i="1"/>
  <c r="E15988" i="1"/>
  <c r="F15988" i="1"/>
  <c r="G15988" i="1"/>
  <c r="H15988" i="1"/>
  <c r="A15989" i="1"/>
  <c r="B15989" i="1"/>
  <c r="C15989" i="1"/>
  <c r="D15989" i="1"/>
  <c r="E15989" i="1"/>
  <c r="F15989" i="1"/>
  <c r="G15989" i="1"/>
  <c r="H15989" i="1"/>
  <c r="A15990" i="1"/>
  <c r="B15990" i="1"/>
  <c r="C15990" i="1"/>
  <c r="D15990" i="1"/>
  <c r="E15990" i="1"/>
  <c r="F15990" i="1"/>
  <c r="G15990" i="1"/>
  <c r="H15990" i="1"/>
  <c r="A15991" i="1"/>
  <c r="B15991" i="1"/>
  <c r="C15991" i="1"/>
  <c r="D15991" i="1"/>
  <c r="E15991" i="1"/>
  <c r="F15991" i="1"/>
  <c r="G15991" i="1"/>
  <c r="H15991" i="1"/>
  <c r="A15992" i="1"/>
  <c r="B15992" i="1"/>
  <c r="C15992" i="1"/>
  <c r="D15992" i="1"/>
  <c r="E15992" i="1"/>
  <c r="F15992" i="1"/>
  <c r="G15992" i="1"/>
  <c r="H15992" i="1"/>
  <c r="A15993" i="1"/>
  <c r="B15993" i="1"/>
  <c r="C15993" i="1"/>
  <c r="D15993" i="1"/>
  <c r="E15993" i="1"/>
  <c r="F15993" i="1"/>
  <c r="G15993" i="1"/>
  <c r="H15993" i="1"/>
  <c r="A15994" i="1"/>
  <c r="B15994" i="1"/>
  <c r="C15994" i="1"/>
  <c r="D15994" i="1"/>
  <c r="E15994" i="1"/>
  <c r="F15994" i="1"/>
  <c r="G15994" i="1"/>
  <c r="H15994" i="1"/>
  <c r="A15995" i="1"/>
  <c r="B15995" i="1"/>
  <c r="C15995" i="1"/>
  <c r="D15995" i="1"/>
  <c r="E15995" i="1"/>
  <c r="F15995" i="1"/>
  <c r="G15995" i="1"/>
  <c r="H15995" i="1"/>
  <c r="A15996" i="1"/>
  <c r="B15996" i="1"/>
  <c r="C15996" i="1"/>
  <c r="D15996" i="1"/>
  <c r="E15996" i="1"/>
  <c r="F15996" i="1"/>
  <c r="G15996" i="1"/>
  <c r="H15996" i="1"/>
  <c r="A15997" i="1"/>
  <c r="B15997" i="1"/>
  <c r="C15997" i="1"/>
  <c r="D15997" i="1"/>
  <c r="E15997" i="1"/>
  <c r="F15997" i="1"/>
  <c r="G15997" i="1"/>
  <c r="H15997" i="1"/>
  <c r="A15998" i="1"/>
  <c r="B15998" i="1"/>
  <c r="C15998" i="1"/>
  <c r="D15998" i="1"/>
  <c r="E15998" i="1"/>
  <c r="F15998" i="1"/>
  <c r="G15998" i="1"/>
  <c r="H15998" i="1"/>
  <c r="A15999" i="1"/>
  <c r="B15999" i="1"/>
  <c r="C15999" i="1"/>
  <c r="D15999" i="1"/>
  <c r="E15999" i="1"/>
  <c r="F15999" i="1"/>
  <c r="G15999" i="1"/>
  <c r="H15999" i="1"/>
  <c r="A16000" i="1"/>
  <c r="B16000" i="1"/>
  <c r="C16000" i="1"/>
  <c r="D16000" i="1"/>
  <c r="E16000" i="1"/>
  <c r="F16000" i="1"/>
  <c r="G16000" i="1"/>
  <c r="H16000" i="1"/>
  <c r="A16001" i="1"/>
  <c r="B16001" i="1"/>
  <c r="C16001" i="1"/>
  <c r="D16001" i="1"/>
  <c r="E16001" i="1"/>
  <c r="F16001" i="1"/>
  <c r="G16001" i="1"/>
  <c r="H16001" i="1"/>
  <c r="A16002" i="1"/>
  <c r="B16002" i="1"/>
  <c r="C16002" i="1"/>
  <c r="D16002" i="1"/>
  <c r="E16002" i="1"/>
  <c r="F16002" i="1"/>
  <c r="G16002" i="1"/>
  <c r="H16002" i="1"/>
  <c r="A16003" i="1"/>
  <c r="B16003" i="1"/>
  <c r="C16003" i="1"/>
  <c r="D16003" i="1"/>
  <c r="E16003" i="1"/>
  <c r="F16003" i="1"/>
  <c r="G16003" i="1"/>
  <c r="H16003" i="1"/>
  <c r="A16004" i="1"/>
  <c r="B16004" i="1"/>
  <c r="C16004" i="1"/>
  <c r="D16004" i="1"/>
  <c r="E16004" i="1"/>
  <c r="F16004" i="1"/>
  <c r="G16004" i="1"/>
  <c r="H16004" i="1"/>
  <c r="A16005" i="1"/>
  <c r="B16005" i="1"/>
  <c r="C16005" i="1"/>
  <c r="D16005" i="1"/>
  <c r="E16005" i="1"/>
  <c r="F16005" i="1"/>
  <c r="G16005" i="1"/>
  <c r="H16005" i="1"/>
  <c r="A16006" i="1"/>
  <c r="B16006" i="1"/>
  <c r="C16006" i="1"/>
  <c r="D16006" i="1"/>
  <c r="E16006" i="1"/>
  <c r="F16006" i="1"/>
  <c r="G16006" i="1"/>
  <c r="H16006" i="1"/>
  <c r="A16007" i="1"/>
  <c r="B16007" i="1"/>
  <c r="C16007" i="1"/>
  <c r="D16007" i="1"/>
  <c r="E16007" i="1"/>
  <c r="F16007" i="1"/>
  <c r="G16007" i="1"/>
  <c r="H16007" i="1"/>
  <c r="A16008" i="1"/>
  <c r="B16008" i="1"/>
  <c r="C16008" i="1"/>
  <c r="D16008" i="1"/>
  <c r="E16008" i="1"/>
  <c r="F16008" i="1"/>
  <c r="G16008" i="1"/>
  <c r="H16008" i="1"/>
  <c r="A16009" i="1"/>
  <c r="B16009" i="1"/>
  <c r="C16009" i="1"/>
  <c r="D16009" i="1"/>
  <c r="E16009" i="1"/>
  <c r="F16009" i="1"/>
  <c r="G16009" i="1"/>
  <c r="H16009" i="1"/>
  <c r="A16010" i="1"/>
  <c r="B16010" i="1"/>
  <c r="C16010" i="1"/>
  <c r="D16010" i="1"/>
  <c r="E16010" i="1"/>
  <c r="F16010" i="1"/>
  <c r="G16010" i="1"/>
  <c r="H16010" i="1"/>
  <c r="A16011" i="1"/>
  <c r="B16011" i="1"/>
  <c r="C16011" i="1"/>
  <c r="D16011" i="1"/>
  <c r="E16011" i="1"/>
  <c r="F16011" i="1"/>
  <c r="G16011" i="1"/>
  <c r="H16011" i="1"/>
  <c r="A16012" i="1"/>
  <c r="B16012" i="1"/>
  <c r="C16012" i="1"/>
  <c r="D16012" i="1"/>
  <c r="E16012" i="1"/>
  <c r="F16012" i="1"/>
  <c r="G16012" i="1"/>
  <c r="H16012" i="1"/>
  <c r="A16013" i="1"/>
  <c r="B16013" i="1"/>
  <c r="C16013" i="1"/>
  <c r="D16013" i="1"/>
  <c r="E16013" i="1"/>
  <c r="F16013" i="1"/>
  <c r="G16013" i="1"/>
  <c r="H16013" i="1"/>
  <c r="A16014" i="1"/>
  <c r="B16014" i="1"/>
  <c r="C16014" i="1"/>
  <c r="D16014" i="1"/>
  <c r="E16014" i="1"/>
  <c r="F16014" i="1"/>
  <c r="G16014" i="1"/>
  <c r="H16014" i="1"/>
  <c r="A16015" i="1"/>
  <c r="B16015" i="1"/>
  <c r="C16015" i="1"/>
  <c r="D16015" i="1"/>
  <c r="E16015" i="1"/>
  <c r="F16015" i="1"/>
  <c r="G16015" i="1"/>
  <c r="H16015" i="1"/>
  <c r="A16016" i="1"/>
  <c r="B16016" i="1"/>
  <c r="C16016" i="1"/>
  <c r="D16016" i="1"/>
  <c r="E16016" i="1"/>
  <c r="F16016" i="1"/>
  <c r="G16016" i="1"/>
  <c r="H16016" i="1"/>
  <c r="A16017" i="1"/>
  <c r="B16017" i="1"/>
  <c r="C16017" i="1"/>
  <c r="D16017" i="1"/>
  <c r="E16017" i="1"/>
  <c r="F16017" i="1"/>
  <c r="G16017" i="1"/>
  <c r="H16017" i="1"/>
  <c r="A16018" i="1"/>
  <c r="B16018" i="1"/>
  <c r="C16018" i="1"/>
  <c r="D16018" i="1"/>
  <c r="E16018" i="1"/>
  <c r="F16018" i="1"/>
  <c r="G16018" i="1"/>
  <c r="H16018" i="1"/>
  <c r="A16019" i="1"/>
  <c r="B16019" i="1"/>
  <c r="C16019" i="1"/>
  <c r="D16019" i="1"/>
  <c r="E16019" i="1"/>
  <c r="F16019" i="1"/>
  <c r="G16019" i="1"/>
  <c r="H16019" i="1"/>
  <c r="A16020" i="1"/>
  <c r="B16020" i="1"/>
  <c r="C16020" i="1"/>
  <c r="D16020" i="1"/>
  <c r="E16020" i="1"/>
  <c r="F16020" i="1"/>
  <c r="G16020" i="1"/>
  <c r="H16020" i="1"/>
  <c r="A16021" i="1"/>
  <c r="B16021" i="1"/>
  <c r="C16021" i="1"/>
  <c r="D16021" i="1"/>
  <c r="E16021" i="1"/>
  <c r="F16021" i="1"/>
  <c r="G16021" i="1"/>
  <c r="H16021" i="1"/>
  <c r="A16022" i="1"/>
  <c r="B16022" i="1"/>
  <c r="C16022" i="1"/>
  <c r="D16022" i="1"/>
  <c r="E16022" i="1"/>
  <c r="F16022" i="1"/>
  <c r="G16022" i="1"/>
  <c r="H16022" i="1"/>
  <c r="A16023" i="1"/>
  <c r="B16023" i="1"/>
  <c r="C16023" i="1"/>
  <c r="D16023" i="1"/>
  <c r="E16023" i="1"/>
  <c r="F16023" i="1"/>
  <c r="G16023" i="1"/>
  <c r="H16023" i="1"/>
  <c r="A16024" i="1"/>
  <c r="B16024" i="1"/>
  <c r="C16024" i="1"/>
  <c r="D16024" i="1"/>
  <c r="E16024" i="1"/>
  <c r="F16024" i="1"/>
  <c r="G16024" i="1"/>
  <c r="H16024" i="1"/>
  <c r="A16025" i="1"/>
  <c r="B16025" i="1"/>
  <c r="C16025" i="1"/>
  <c r="D16025" i="1"/>
  <c r="E16025" i="1"/>
  <c r="F16025" i="1"/>
  <c r="G16025" i="1"/>
  <c r="H16025" i="1"/>
  <c r="A16026" i="1"/>
  <c r="B16026" i="1"/>
  <c r="C16026" i="1"/>
  <c r="D16026" i="1"/>
  <c r="E16026" i="1"/>
  <c r="F16026" i="1"/>
  <c r="G16026" i="1"/>
  <c r="H16026" i="1"/>
  <c r="A16027" i="1"/>
  <c r="B16027" i="1"/>
  <c r="C16027" i="1"/>
  <c r="D16027" i="1"/>
  <c r="E16027" i="1"/>
  <c r="F16027" i="1"/>
  <c r="G16027" i="1"/>
  <c r="H16027" i="1"/>
  <c r="A16028" i="1"/>
  <c r="B16028" i="1"/>
  <c r="C16028" i="1"/>
  <c r="D16028" i="1"/>
  <c r="E16028" i="1"/>
  <c r="F16028" i="1"/>
  <c r="G16028" i="1"/>
  <c r="H16028" i="1"/>
  <c r="A16029" i="1"/>
  <c r="B16029" i="1"/>
  <c r="C16029" i="1"/>
  <c r="D16029" i="1"/>
  <c r="E16029" i="1"/>
  <c r="F16029" i="1"/>
  <c r="G16029" i="1"/>
  <c r="H16029" i="1"/>
  <c r="A16030" i="1"/>
  <c r="B16030" i="1"/>
  <c r="C16030" i="1"/>
  <c r="D16030" i="1"/>
  <c r="E16030" i="1"/>
  <c r="F16030" i="1"/>
  <c r="G16030" i="1"/>
  <c r="H16030" i="1"/>
  <c r="A16031" i="1"/>
  <c r="B16031" i="1"/>
  <c r="C16031" i="1"/>
  <c r="D16031" i="1"/>
  <c r="E16031" i="1"/>
  <c r="F16031" i="1"/>
  <c r="G16031" i="1"/>
  <c r="H16031" i="1"/>
  <c r="A16032" i="1"/>
  <c r="B16032" i="1"/>
  <c r="C16032" i="1"/>
  <c r="D16032" i="1"/>
  <c r="E16032" i="1"/>
  <c r="F16032" i="1"/>
  <c r="G16032" i="1"/>
  <c r="H16032" i="1"/>
  <c r="A16033" i="1"/>
  <c r="B16033" i="1"/>
  <c r="C16033" i="1"/>
  <c r="D16033" i="1"/>
  <c r="E16033" i="1"/>
  <c r="F16033" i="1"/>
  <c r="G16033" i="1"/>
  <c r="H16033" i="1"/>
  <c r="A16034" i="1"/>
  <c r="B16034" i="1"/>
  <c r="C16034" i="1"/>
  <c r="D16034" i="1"/>
  <c r="E16034" i="1"/>
  <c r="F16034" i="1"/>
  <c r="G16034" i="1"/>
  <c r="H16034" i="1"/>
  <c r="A16035" i="1"/>
  <c r="B16035" i="1"/>
  <c r="C16035" i="1"/>
  <c r="D16035" i="1"/>
  <c r="E16035" i="1"/>
  <c r="F16035" i="1"/>
  <c r="G16035" i="1"/>
  <c r="H16035" i="1"/>
  <c r="A16036" i="1"/>
  <c r="B16036" i="1"/>
  <c r="C16036" i="1"/>
  <c r="D16036" i="1"/>
  <c r="E16036" i="1"/>
  <c r="F16036" i="1"/>
  <c r="G16036" i="1"/>
  <c r="H16036" i="1"/>
  <c r="A16037" i="1"/>
  <c r="B16037" i="1"/>
  <c r="C16037" i="1"/>
  <c r="D16037" i="1"/>
  <c r="E16037" i="1"/>
  <c r="F16037" i="1"/>
  <c r="G16037" i="1"/>
  <c r="H16037" i="1"/>
  <c r="A16038" i="1"/>
  <c r="B16038" i="1"/>
  <c r="C16038" i="1"/>
  <c r="D16038" i="1"/>
  <c r="E16038" i="1"/>
  <c r="F16038" i="1"/>
  <c r="G16038" i="1"/>
  <c r="H16038" i="1"/>
  <c r="A16039" i="1"/>
  <c r="B16039" i="1"/>
  <c r="C16039" i="1"/>
  <c r="D16039" i="1"/>
  <c r="E16039" i="1"/>
  <c r="F16039" i="1"/>
  <c r="G16039" i="1"/>
  <c r="H16039" i="1"/>
  <c r="A16040" i="1"/>
  <c r="B16040" i="1"/>
  <c r="C16040" i="1"/>
  <c r="D16040" i="1"/>
  <c r="E16040" i="1"/>
  <c r="F16040" i="1"/>
  <c r="G16040" i="1"/>
  <c r="H16040" i="1"/>
  <c r="A16041" i="1"/>
  <c r="B16041" i="1"/>
  <c r="C16041" i="1"/>
  <c r="D16041" i="1"/>
  <c r="E16041" i="1"/>
  <c r="F16041" i="1"/>
  <c r="G16041" i="1"/>
  <c r="H16041" i="1"/>
  <c r="A16042" i="1"/>
  <c r="B16042" i="1"/>
  <c r="C16042" i="1"/>
  <c r="D16042" i="1"/>
  <c r="E16042" i="1"/>
  <c r="F16042" i="1"/>
  <c r="G16042" i="1"/>
  <c r="H16042" i="1"/>
  <c r="A16043" i="1"/>
  <c r="B16043" i="1"/>
  <c r="C16043" i="1"/>
  <c r="D16043" i="1"/>
  <c r="E16043" i="1"/>
  <c r="F16043" i="1"/>
  <c r="G16043" i="1"/>
  <c r="H16043" i="1"/>
  <c r="A16044" i="1"/>
  <c r="B16044" i="1"/>
  <c r="C16044" i="1"/>
  <c r="D16044" i="1"/>
  <c r="E16044" i="1"/>
  <c r="F16044" i="1"/>
  <c r="G16044" i="1"/>
  <c r="H16044" i="1"/>
  <c r="A16045" i="1"/>
  <c r="B16045" i="1"/>
  <c r="C16045" i="1"/>
  <c r="D16045" i="1"/>
  <c r="E16045" i="1"/>
  <c r="F16045" i="1"/>
  <c r="G16045" i="1"/>
  <c r="H16045" i="1"/>
  <c r="A16046" i="1"/>
  <c r="B16046" i="1"/>
  <c r="C16046" i="1"/>
  <c r="D16046" i="1"/>
  <c r="E16046" i="1"/>
  <c r="F16046" i="1"/>
  <c r="G16046" i="1"/>
  <c r="H16046" i="1"/>
  <c r="A16047" i="1"/>
  <c r="B16047" i="1"/>
  <c r="C16047" i="1"/>
  <c r="D16047" i="1"/>
  <c r="E16047" i="1"/>
  <c r="F16047" i="1"/>
  <c r="G16047" i="1"/>
  <c r="H16047" i="1"/>
  <c r="A16048" i="1"/>
  <c r="B16048" i="1"/>
  <c r="C16048" i="1"/>
  <c r="D16048" i="1"/>
  <c r="E16048" i="1"/>
  <c r="F16048" i="1"/>
  <c r="G16048" i="1"/>
  <c r="H16048" i="1"/>
  <c r="A16049" i="1"/>
  <c r="B16049" i="1"/>
  <c r="C16049" i="1"/>
  <c r="D16049" i="1"/>
  <c r="E16049" i="1"/>
  <c r="F16049" i="1"/>
  <c r="G16049" i="1"/>
  <c r="H16049" i="1"/>
  <c r="A16050" i="1"/>
  <c r="B16050" i="1"/>
  <c r="C16050" i="1"/>
  <c r="D16050" i="1"/>
  <c r="E16050" i="1"/>
  <c r="F16050" i="1"/>
  <c r="G16050" i="1"/>
  <c r="H16050" i="1"/>
  <c r="A16051" i="1"/>
  <c r="B16051" i="1"/>
  <c r="C16051" i="1"/>
  <c r="D16051" i="1"/>
  <c r="E16051" i="1"/>
  <c r="F16051" i="1"/>
  <c r="G16051" i="1"/>
  <c r="H16051" i="1"/>
  <c r="A16052" i="1"/>
  <c r="B16052" i="1"/>
  <c r="C16052" i="1"/>
  <c r="D16052" i="1"/>
  <c r="E16052" i="1"/>
  <c r="F16052" i="1"/>
  <c r="G16052" i="1"/>
  <c r="H16052" i="1"/>
  <c r="A16053" i="1"/>
  <c r="B16053" i="1"/>
  <c r="C16053" i="1"/>
  <c r="D16053" i="1"/>
  <c r="E16053" i="1"/>
  <c r="F16053" i="1"/>
  <c r="G16053" i="1"/>
  <c r="H16053" i="1"/>
  <c r="A16054" i="1"/>
  <c r="B16054" i="1"/>
  <c r="C16054" i="1"/>
  <c r="D16054" i="1"/>
  <c r="E16054" i="1"/>
  <c r="F16054" i="1"/>
  <c r="G16054" i="1"/>
  <c r="H16054" i="1"/>
  <c r="A16055" i="1"/>
  <c r="B16055" i="1"/>
  <c r="C16055" i="1"/>
  <c r="D16055" i="1"/>
  <c r="E16055" i="1"/>
  <c r="F16055" i="1"/>
  <c r="G16055" i="1"/>
  <c r="H16055" i="1"/>
  <c r="A16056" i="1"/>
  <c r="B16056" i="1"/>
  <c r="C16056" i="1"/>
  <c r="D16056" i="1"/>
  <c r="E16056" i="1"/>
  <c r="F16056" i="1"/>
  <c r="G16056" i="1"/>
  <c r="H16056" i="1"/>
  <c r="A16057" i="1"/>
  <c r="B16057" i="1"/>
  <c r="C16057" i="1"/>
  <c r="D16057" i="1"/>
  <c r="E16057" i="1"/>
  <c r="F16057" i="1"/>
  <c r="G16057" i="1"/>
  <c r="H16057" i="1"/>
  <c r="A16058" i="1"/>
  <c r="B16058" i="1"/>
  <c r="C16058" i="1"/>
  <c r="D16058" i="1"/>
  <c r="E16058" i="1"/>
  <c r="F16058" i="1"/>
  <c r="G16058" i="1"/>
  <c r="H16058" i="1"/>
  <c r="A16059" i="1"/>
  <c r="B16059" i="1"/>
  <c r="C16059" i="1"/>
  <c r="D16059" i="1"/>
  <c r="E16059" i="1"/>
  <c r="F16059" i="1"/>
  <c r="G16059" i="1"/>
  <c r="H16059" i="1"/>
  <c r="A16060" i="1"/>
  <c r="B16060" i="1"/>
  <c r="C16060" i="1"/>
  <c r="D16060" i="1"/>
  <c r="E16060" i="1"/>
  <c r="F16060" i="1"/>
  <c r="G16060" i="1"/>
  <c r="H16060" i="1"/>
  <c r="A16061" i="1"/>
  <c r="B16061" i="1"/>
  <c r="C16061" i="1"/>
  <c r="D16061" i="1"/>
  <c r="E16061" i="1"/>
  <c r="F16061" i="1"/>
  <c r="G16061" i="1"/>
  <c r="H16061" i="1"/>
  <c r="A16062" i="1"/>
  <c r="B16062" i="1"/>
  <c r="C16062" i="1"/>
  <c r="D16062" i="1"/>
  <c r="E16062" i="1"/>
  <c r="F16062" i="1"/>
  <c r="G16062" i="1"/>
  <c r="H16062" i="1"/>
  <c r="A16063" i="1"/>
  <c r="B16063" i="1"/>
  <c r="C16063" i="1"/>
  <c r="D16063" i="1"/>
  <c r="E16063" i="1"/>
  <c r="F16063" i="1"/>
  <c r="G16063" i="1"/>
  <c r="H16063" i="1"/>
  <c r="A16064" i="1"/>
  <c r="B16064" i="1"/>
  <c r="C16064" i="1"/>
  <c r="D16064" i="1"/>
  <c r="E16064" i="1"/>
  <c r="F16064" i="1"/>
  <c r="G16064" i="1"/>
  <c r="H16064" i="1"/>
  <c r="A16065" i="1"/>
  <c r="B16065" i="1"/>
  <c r="C16065" i="1"/>
  <c r="D16065" i="1"/>
  <c r="E16065" i="1"/>
  <c r="F16065" i="1"/>
  <c r="G16065" i="1"/>
  <c r="H16065" i="1"/>
  <c r="A16066" i="1"/>
  <c r="B16066" i="1"/>
  <c r="C16066" i="1"/>
  <c r="D16066" i="1"/>
  <c r="E16066" i="1"/>
  <c r="F16066" i="1"/>
  <c r="G16066" i="1"/>
  <c r="H16066" i="1"/>
  <c r="A16067" i="1"/>
  <c r="B16067" i="1"/>
  <c r="C16067" i="1"/>
  <c r="D16067" i="1"/>
  <c r="E16067" i="1"/>
  <c r="F16067" i="1"/>
  <c r="G16067" i="1"/>
  <c r="H16067" i="1"/>
  <c r="A16068" i="1"/>
  <c r="B16068" i="1"/>
  <c r="C16068" i="1"/>
  <c r="D16068" i="1"/>
  <c r="E16068" i="1"/>
  <c r="F16068" i="1"/>
  <c r="G16068" i="1"/>
  <c r="H16068" i="1"/>
  <c r="A16069" i="1"/>
  <c r="B16069" i="1"/>
  <c r="C16069" i="1"/>
  <c r="D16069" i="1"/>
  <c r="E16069" i="1"/>
  <c r="F16069" i="1"/>
  <c r="G16069" i="1"/>
  <c r="H16069" i="1"/>
  <c r="A16070" i="1"/>
  <c r="B16070" i="1"/>
  <c r="C16070" i="1"/>
  <c r="D16070" i="1"/>
  <c r="E16070" i="1"/>
  <c r="F16070" i="1"/>
  <c r="G16070" i="1"/>
  <c r="H16070" i="1"/>
  <c r="A16071" i="1"/>
  <c r="B16071" i="1"/>
  <c r="C16071" i="1"/>
  <c r="D16071" i="1"/>
  <c r="E16071" i="1"/>
  <c r="F16071" i="1"/>
  <c r="G16071" i="1"/>
  <c r="H16071" i="1"/>
  <c r="A16072" i="1"/>
  <c r="B16072" i="1"/>
  <c r="C16072" i="1"/>
  <c r="D16072" i="1"/>
  <c r="E16072" i="1"/>
  <c r="F16072" i="1"/>
  <c r="G16072" i="1"/>
  <c r="H16072" i="1"/>
  <c r="A16073" i="1"/>
  <c r="B16073" i="1"/>
  <c r="C16073" i="1"/>
  <c r="D16073" i="1"/>
  <c r="E16073" i="1"/>
  <c r="F16073" i="1"/>
  <c r="G16073" i="1"/>
  <c r="H16073" i="1"/>
  <c r="A16074" i="1"/>
  <c r="B16074" i="1"/>
  <c r="C16074" i="1"/>
  <c r="D16074" i="1"/>
  <c r="E16074" i="1"/>
  <c r="F16074" i="1"/>
  <c r="G16074" i="1"/>
  <c r="H16074" i="1"/>
  <c r="A16075" i="1"/>
  <c r="B16075" i="1"/>
  <c r="C16075" i="1"/>
  <c r="D16075" i="1"/>
  <c r="E16075" i="1"/>
  <c r="F16075" i="1"/>
  <c r="G16075" i="1"/>
  <c r="H16075" i="1"/>
  <c r="A16076" i="1"/>
  <c r="B16076" i="1"/>
  <c r="C16076" i="1"/>
  <c r="D16076" i="1"/>
  <c r="E16076" i="1"/>
  <c r="F16076" i="1"/>
  <c r="G16076" i="1"/>
  <c r="H16076" i="1"/>
  <c r="A16077" i="1"/>
  <c r="B16077" i="1"/>
  <c r="C16077" i="1"/>
  <c r="D16077" i="1"/>
  <c r="E16077" i="1"/>
  <c r="F16077" i="1"/>
  <c r="G16077" i="1"/>
  <c r="H16077" i="1"/>
  <c r="A16078" i="1"/>
  <c r="B16078" i="1"/>
  <c r="C16078" i="1"/>
  <c r="D16078" i="1"/>
  <c r="E16078" i="1"/>
  <c r="F16078" i="1"/>
  <c r="G16078" i="1"/>
  <c r="H16078" i="1"/>
  <c r="A16079" i="1"/>
  <c r="B16079" i="1"/>
  <c r="C16079" i="1"/>
  <c r="D16079" i="1"/>
  <c r="E16079" i="1"/>
  <c r="F16079" i="1"/>
  <c r="G16079" i="1"/>
  <c r="H16079" i="1"/>
  <c r="A16080" i="1"/>
  <c r="B16080" i="1"/>
  <c r="C16080" i="1"/>
  <c r="D16080" i="1"/>
  <c r="E16080" i="1"/>
  <c r="F16080" i="1"/>
  <c r="G16080" i="1"/>
  <c r="H16080" i="1"/>
  <c r="A16081" i="1"/>
  <c r="B16081" i="1"/>
  <c r="C16081" i="1"/>
  <c r="D16081" i="1"/>
  <c r="E16081" i="1"/>
  <c r="F16081" i="1"/>
  <c r="G16081" i="1"/>
  <c r="H16081" i="1"/>
  <c r="A16082" i="1"/>
  <c r="B16082" i="1"/>
  <c r="C16082" i="1"/>
  <c r="D16082" i="1"/>
  <c r="E16082" i="1"/>
  <c r="F16082" i="1"/>
  <c r="G16082" i="1"/>
  <c r="H16082" i="1"/>
  <c r="A16083" i="1"/>
  <c r="B16083" i="1"/>
  <c r="C16083" i="1"/>
  <c r="D16083" i="1"/>
  <c r="E16083" i="1"/>
  <c r="F16083" i="1"/>
  <c r="G16083" i="1"/>
  <c r="H16083" i="1"/>
  <c r="A16084" i="1"/>
  <c r="B16084" i="1"/>
  <c r="C16084" i="1"/>
  <c r="D16084" i="1"/>
  <c r="E16084" i="1"/>
  <c r="F16084" i="1"/>
  <c r="G16084" i="1"/>
  <c r="H16084" i="1"/>
  <c r="A16085" i="1"/>
  <c r="B16085" i="1"/>
  <c r="C16085" i="1"/>
  <c r="D16085" i="1"/>
  <c r="E16085" i="1"/>
  <c r="F16085" i="1"/>
  <c r="G16085" i="1"/>
  <c r="H16085" i="1"/>
  <c r="A16086" i="1"/>
  <c r="B16086" i="1"/>
  <c r="C16086" i="1"/>
  <c r="D16086" i="1"/>
  <c r="E16086" i="1"/>
  <c r="F16086" i="1"/>
  <c r="G16086" i="1"/>
  <c r="H16086" i="1"/>
  <c r="A16087" i="1"/>
  <c r="B16087" i="1"/>
  <c r="C16087" i="1"/>
  <c r="D16087" i="1"/>
  <c r="E16087" i="1"/>
  <c r="F16087" i="1"/>
  <c r="G16087" i="1"/>
  <c r="H16087" i="1"/>
  <c r="A16088" i="1"/>
  <c r="B16088" i="1"/>
  <c r="C16088" i="1"/>
  <c r="D16088" i="1"/>
  <c r="E16088" i="1"/>
  <c r="F16088" i="1"/>
  <c r="G16088" i="1"/>
  <c r="H16088" i="1"/>
  <c r="A16089" i="1"/>
  <c r="B16089" i="1"/>
  <c r="C16089" i="1"/>
  <c r="D16089" i="1"/>
  <c r="E16089" i="1"/>
  <c r="F16089" i="1"/>
  <c r="G16089" i="1"/>
  <c r="H16089" i="1"/>
  <c r="A16090" i="1"/>
  <c r="B16090" i="1"/>
  <c r="C16090" i="1"/>
  <c r="D16090" i="1"/>
  <c r="E16090" i="1"/>
  <c r="F16090" i="1"/>
  <c r="G16090" i="1"/>
  <c r="H16090" i="1"/>
  <c r="A16091" i="1"/>
  <c r="B16091" i="1"/>
  <c r="C16091" i="1"/>
  <c r="D16091" i="1"/>
  <c r="E16091" i="1"/>
  <c r="F16091" i="1"/>
  <c r="G16091" i="1"/>
  <c r="H16091" i="1"/>
  <c r="A16092" i="1"/>
  <c r="B16092" i="1"/>
  <c r="C16092" i="1"/>
  <c r="D16092" i="1"/>
  <c r="E16092" i="1"/>
  <c r="F16092" i="1"/>
  <c r="G16092" i="1"/>
  <c r="H16092" i="1"/>
  <c r="A16093" i="1"/>
  <c r="B16093" i="1"/>
  <c r="C16093" i="1"/>
  <c r="D16093" i="1"/>
  <c r="E16093" i="1"/>
  <c r="F16093" i="1"/>
  <c r="G16093" i="1"/>
  <c r="H16093" i="1"/>
  <c r="A16094" i="1"/>
  <c r="B16094" i="1"/>
  <c r="C16094" i="1"/>
  <c r="D16094" i="1"/>
  <c r="E16094" i="1"/>
  <c r="F16094" i="1"/>
  <c r="G16094" i="1"/>
  <c r="H16094" i="1"/>
  <c r="A16095" i="1"/>
  <c r="B16095" i="1"/>
  <c r="C16095" i="1"/>
  <c r="D16095" i="1"/>
  <c r="E16095" i="1"/>
  <c r="F16095" i="1"/>
  <c r="G16095" i="1"/>
  <c r="H16095" i="1"/>
  <c r="A16096" i="1"/>
  <c r="B16096" i="1"/>
  <c r="C16096" i="1"/>
  <c r="D16096" i="1"/>
  <c r="E16096" i="1"/>
  <c r="F16096" i="1"/>
  <c r="G16096" i="1"/>
  <c r="H16096" i="1"/>
  <c r="A16097" i="1"/>
  <c r="B16097" i="1"/>
  <c r="C16097" i="1"/>
  <c r="D16097" i="1"/>
  <c r="E16097" i="1"/>
  <c r="F16097" i="1"/>
  <c r="G16097" i="1"/>
  <c r="H16097" i="1"/>
  <c r="A16098" i="1"/>
  <c r="B16098" i="1"/>
  <c r="C16098" i="1"/>
  <c r="D16098" i="1"/>
  <c r="E16098" i="1"/>
  <c r="F16098" i="1"/>
  <c r="G16098" i="1"/>
  <c r="H16098" i="1"/>
  <c r="A16099" i="1"/>
  <c r="B16099" i="1"/>
  <c r="C16099" i="1"/>
  <c r="D16099" i="1"/>
  <c r="E16099" i="1"/>
  <c r="F16099" i="1"/>
  <c r="G16099" i="1"/>
  <c r="H16099" i="1"/>
  <c r="A16100" i="1"/>
  <c r="B16100" i="1"/>
  <c r="C16100" i="1"/>
  <c r="D16100" i="1"/>
  <c r="E16100" i="1"/>
  <c r="F16100" i="1"/>
  <c r="G16100" i="1"/>
  <c r="H16100" i="1"/>
  <c r="A16101" i="1"/>
  <c r="B16101" i="1"/>
  <c r="C16101" i="1"/>
  <c r="D16101" i="1"/>
  <c r="E16101" i="1"/>
  <c r="F16101" i="1"/>
  <c r="G16101" i="1"/>
  <c r="H16101" i="1"/>
  <c r="A16102" i="1"/>
  <c r="B16102" i="1"/>
  <c r="C16102" i="1"/>
  <c r="D16102" i="1"/>
  <c r="E16102" i="1"/>
  <c r="F16102" i="1"/>
  <c r="G16102" i="1"/>
  <c r="H16102" i="1"/>
  <c r="A16103" i="1"/>
  <c r="B16103" i="1"/>
  <c r="C16103" i="1"/>
  <c r="D16103" i="1"/>
  <c r="E16103" i="1"/>
  <c r="F16103" i="1"/>
  <c r="G16103" i="1"/>
  <c r="H16103" i="1"/>
  <c r="A16104" i="1"/>
  <c r="B16104" i="1"/>
  <c r="C16104" i="1"/>
  <c r="D16104" i="1"/>
  <c r="E16104" i="1"/>
  <c r="F16104" i="1"/>
  <c r="G16104" i="1"/>
  <c r="H16104" i="1"/>
  <c r="A16105" i="1"/>
  <c r="B16105" i="1"/>
  <c r="C16105" i="1"/>
  <c r="D16105" i="1"/>
  <c r="E16105" i="1"/>
  <c r="F16105" i="1"/>
  <c r="G16105" i="1"/>
  <c r="H16105" i="1"/>
  <c r="A16106" i="1"/>
  <c r="B16106" i="1"/>
  <c r="C16106" i="1"/>
  <c r="D16106" i="1"/>
  <c r="E16106" i="1"/>
  <c r="F16106" i="1"/>
  <c r="G16106" i="1"/>
  <c r="H16106" i="1"/>
  <c r="A16107" i="1"/>
  <c r="B16107" i="1"/>
  <c r="C16107" i="1"/>
  <c r="D16107" i="1"/>
  <c r="E16107" i="1"/>
  <c r="F16107" i="1"/>
  <c r="G16107" i="1"/>
  <c r="H16107" i="1"/>
  <c r="A16108" i="1"/>
  <c r="B16108" i="1"/>
  <c r="C16108" i="1"/>
  <c r="D16108" i="1"/>
  <c r="E16108" i="1"/>
  <c r="F16108" i="1"/>
  <c r="G16108" i="1"/>
  <c r="H16108" i="1"/>
  <c r="A16109" i="1"/>
  <c r="B16109" i="1"/>
  <c r="C16109" i="1"/>
  <c r="D16109" i="1"/>
  <c r="E16109" i="1"/>
  <c r="F16109" i="1"/>
  <c r="G16109" i="1"/>
  <c r="H16109" i="1"/>
  <c r="A16110" i="1"/>
  <c r="B16110" i="1"/>
  <c r="C16110" i="1"/>
  <c r="D16110" i="1"/>
  <c r="E16110" i="1"/>
  <c r="F16110" i="1"/>
  <c r="G16110" i="1"/>
  <c r="H16110" i="1"/>
  <c r="A16111" i="1"/>
  <c r="B16111" i="1"/>
  <c r="C16111" i="1"/>
  <c r="D16111" i="1"/>
  <c r="E16111" i="1"/>
  <c r="F16111" i="1"/>
  <c r="G16111" i="1"/>
  <c r="H16111" i="1"/>
  <c r="A16112" i="1"/>
  <c r="B16112" i="1"/>
  <c r="C16112" i="1"/>
  <c r="D16112" i="1"/>
  <c r="E16112" i="1"/>
  <c r="F16112" i="1"/>
  <c r="G16112" i="1"/>
  <c r="H16112" i="1"/>
  <c r="A16113" i="1"/>
  <c r="B16113" i="1"/>
  <c r="C16113" i="1"/>
  <c r="D16113" i="1"/>
  <c r="E16113" i="1"/>
  <c r="F16113" i="1"/>
  <c r="G16113" i="1"/>
  <c r="H16113" i="1"/>
  <c r="A16114" i="1"/>
  <c r="B16114" i="1"/>
  <c r="C16114" i="1"/>
  <c r="D16114" i="1"/>
  <c r="E16114" i="1"/>
  <c r="F16114" i="1"/>
  <c r="G16114" i="1"/>
  <c r="H16114" i="1"/>
  <c r="A16115" i="1"/>
  <c r="B16115" i="1"/>
  <c r="C16115" i="1"/>
  <c r="D16115" i="1"/>
  <c r="E16115" i="1"/>
  <c r="F16115" i="1"/>
  <c r="G16115" i="1"/>
  <c r="H16115" i="1"/>
  <c r="A16116" i="1"/>
  <c r="B16116" i="1"/>
  <c r="C16116" i="1"/>
  <c r="D16116" i="1"/>
  <c r="E16116" i="1"/>
  <c r="F16116" i="1"/>
  <c r="G16116" i="1"/>
  <c r="H16116" i="1"/>
  <c r="A16117" i="1"/>
  <c r="B16117" i="1"/>
  <c r="C16117" i="1"/>
  <c r="D16117" i="1"/>
  <c r="E16117" i="1"/>
  <c r="F16117" i="1"/>
  <c r="G16117" i="1"/>
  <c r="H16117" i="1"/>
  <c r="A16118" i="1"/>
  <c r="B16118" i="1"/>
  <c r="C16118" i="1"/>
  <c r="D16118" i="1"/>
  <c r="E16118" i="1"/>
  <c r="F16118" i="1"/>
  <c r="G16118" i="1"/>
  <c r="H16118" i="1"/>
  <c r="A16119" i="1"/>
  <c r="B16119" i="1"/>
  <c r="C16119" i="1"/>
  <c r="D16119" i="1"/>
  <c r="E16119" i="1"/>
  <c r="F16119" i="1"/>
  <c r="G16119" i="1"/>
  <c r="H16119" i="1"/>
  <c r="A16120" i="1"/>
  <c r="B16120" i="1"/>
  <c r="C16120" i="1"/>
  <c r="D16120" i="1"/>
  <c r="E16120" i="1"/>
  <c r="F16120" i="1"/>
  <c r="G16120" i="1"/>
  <c r="H16120" i="1"/>
  <c r="A16121" i="1"/>
  <c r="B16121" i="1"/>
  <c r="C16121" i="1"/>
  <c r="D16121" i="1"/>
  <c r="E16121" i="1"/>
  <c r="F16121" i="1"/>
  <c r="G16121" i="1"/>
  <c r="H16121" i="1"/>
  <c r="A16122" i="1"/>
  <c r="B16122" i="1"/>
  <c r="C16122" i="1"/>
  <c r="D16122" i="1"/>
  <c r="E16122" i="1"/>
  <c r="F16122" i="1"/>
  <c r="G16122" i="1"/>
  <c r="H16122" i="1"/>
  <c r="A16123" i="1"/>
  <c r="B16123" i="1"/>
  <c r="C16123" i="1"/>
  <c r="D16123" i="1"/>
  <c r="E16123" i="1"/>
  <c r="F16123" i="1"/>
  <c r="G16123" i="1"/>
  <c r="H16123" i="1"/>
  <c r="A16124" i="1"/>
  <c r="B16124" i="1"/>
  <c r="C16124" i="1"/>
  <c r="D16124" i="1"/>
  <c r="E16124" i="1"/>
  <c r="F16124" i="1"/>
  <c r="G16124" i="1"/>
  <c r="H16124" i="1"/>
  <c r="A16125" i="1"/>
  <c r="B16125" i="1"/>
  <c r="C16125" i="1"/>
  <c r="D16125" i="1"/>
  <c r="E16125" i="1"/>
  <c r="F16125" i="1"/>
  <c r="G16125" i="1"/>
  <c r="H16125" i="1"/>
  <c r="A16126" i="1"/>
  <c r="B16126" i="1"/>
  <c r="C16126" i="1"/>
  <c r="D16126" i="1"/>
  <c r="E16126" i="1"/>
  <c r="F16126" i="1"/>
  <c r="G16126" i="1"/>
  <c r="H16126" i="1"/>
  <c r="A16127" i="1"/>
  <c r="B16127" i="1"/>
  <c r="C16127" i="1"/>
  <c r="D16127" i="1"/>
  <c r="E16127" i="1"/>
  <c r="F16127" i="1"/>
  <c r="G16127" i="1"/>
  <c r="H16127" i="1"/>
  <c r="A16128" i="1"/>
  <c r="B16128" i="1"/>
  <c r="C16128" i="1"/>
  <c r="D16128" i="1"/>
  <c r="E16128" i="1"/>
  <c r="F16128" i="1"/>
  <c r="G16128" i="1"/>
  <c r="H16128" i="1"/>
  <c r="A16129" i="1"/>
  <c r="B16129" i="1"/>
  <c r="C16129" i="1"/>
  <c r="D16129" i="1"/>
  <c r="E16129" i="1"/>
  <c r="F16129" i="1"/>
  <c r="G16129" i="1"/>
  <c r="H16129" i="1"/>
  <c r="A16130" i="1"/>
  <c r="B16130" i="1"/>
  <c r="C16130" i="1"/>
  <c r="D16130" i="1"/>
  <c r="E16130" i="1"/>
  <c r="F16130" i="1"/>
  <c r="G16130" i="1"/>
  <c r="H16130" i="1"/>
  <c r="A16131" i="1"/>
  <c r="B16131" i="1"/>
  <c r="C16131" i="1"/>
  <c r="D16131" i="1"/>
  <c r="E16131" i="1"/>
  <c r="F16131" i="1"/>
  <c r="G16131" i="1"/>
  <c r="H16131" i="1"/>
  <c r="A16132" i="1"/>
  <c r="B16132" i="1"/>
  <c r="C16132" i="1"/>
  <c r="D16132" i="1"/>
  <c r="E16132" i="1"/>
  <c r="F16132" i="1"/>
  <c r="G16132" i="1"/>
  <c r="H16132" i="1"/>
  <c r="A16133" i="1"/>
  <c r="B16133" i="1"/>
  <c r="C16133" i="1"/>
  <c r="D16133" i="1"/>
  <c r="E16133" i="1"/>
  <c r="F16133" i="1"/>
  <c r="G16133" i="1"/>
  <c r="H16133" i="1"/>
  <c r="A16134" i="1"/>
  <c r="B16134" i="1"/>
  <c r="C16134" i="1"/>
  <c r="D16134" i="1"/>
  <c r="E16134" i="1"/>
  <c r="F16134" i="1"/>
  <c r="G16134" i="1"/>
  <c r="H16134" i="1"/>
  <c r="A16135" i="1"/>
  <c r="B16135" i="1"/>
  <c r="C16135" i="1"/>
  <c r="D16135" i="1"/>
  <c r="E16135" i="1"/>
  <c r="F16135" i="1"/>
  <c r="G16135" i="1"/>
  <c r="H16135" i="1"/>
  <c r="A16136" i="1"/>
  <c r="B16136" i="1"/>
  <c r="C16136" i="1"/>
  <c r="D16136" i="1"/>
  <c r="E16136" i="1"/>
  <c r="F16136" i="1"/>
  <c r="G16136" i="1"/>
  <c r="H16136" i="1"/>
  <c r="A16137" i="1"/>
  <c r="B16137" i="1"/>
  <c r="C16137" i="1"/>
  <c r="D16137" i="1"/>
  <c r="E16137" i="1"/>
  <c r="F16137" i="1"/>
  <c r="G16137" i="1"/>
  <c r="H16137" i="1"/>
  <c r="A16138" i="1"/>
  <c r="B16138" i="1"/>
  <c r="C16138" i="1"/>
  <c r="D16138" i="1"/>
  <c r="E16138" i="1"/>
  <c r="F16138" i="1"/>
  <c r="G16138" i="1"/>
  <c r="H16138" i="1"/>
  <c r="A16139" i="1"/>
  <c r="B16139" i="1"/>
  <c r="C16139" i="1"/>
  <c r="D16139" i="1"/>
  <c r="E16139" i="1"/>
  <c r="F16139" i="1"/>
  <c r="G16139" i="1"/>
  <c r="H16139" i="1"/>
  <c r="A16140" i="1"/>
  <c r="B16140" i="1"/>
  <c r="C16140" i="1"/>
  <c r="D16140" i="1"/>
  <c r="E16140" i="1"/>
  <c r="F16140" i="1"/>
  <c r="G16140" i="1"/>
  <c r="H16140" i="1"/>
  <c r="A16141" i="1"/>
  <c r="B16141" i="1"/>
  <c r="C16141" i="1"/>
  <c r="D16141" i="1"/>
  <c r="E16141" i="1"/>
  <c r="F16141" i="1"/>
  <c r="G16141" i="1"/>
  <c r="H16141" i="1"/>
  <c r="A16142" i="1"/>
  <c r="B16142" i="1"/>
  <c r="C16142" i="1"/>
  <c r="D16142" i="1"/>
  <c r="E16142" i="1"/>
  <c r="F16142" i="1"/>
  <c r="G16142" i="1"/>
  <c r="H16142" i="1"/>
  <c r="A16143" i="1"/>
  <c r="B16143" i="1"/>
  <c r="C16143" i="1"/>
  <c r="D16143" i="1"/>
  <c r="E16143" i="1"/>
  <c r="F16143" i="1"/>
  <c r="G16143" i="1"/>
  <c r="H16143" i="1"/>
  <c r="A16144" i="1"/>
  <c r="B16144" i="1"/>
  <c r="C16144" i="1"/>
  <c r="D16144" i="1"/>
  <c r="E16144" i="1"/>
  <c r="F16144" i="1"/>
  <c r="G16144" i="1"/>
  <c r="H16144" i="1"/>
  <c r="A16145" i="1"/>
  <c r="B16145" i="1"/>
  <c r="C16145" i="1"/>
  <c r="D16145" i="1"/>
  <c r="E16145" i="1"/>
  <c r="F16145" i="1"/>
  <c r="G16145" i="1"/>
  <c r="H16145" i="1"/>
  <c r="A16146" i="1"/>
  <c r="B16146" i="1"/>
  <c r="C16146" i="1"/>
  <c r="D16146" i="1"/>
  <c r="E16146" i="1"/>
  <c r="F16146" i="1"/>
  <c r="G16146" i="1"/>
  <c r="H16146" i="1"/>
  <c r="A16147" i="1"/>
  <c r="B16147" i="1"/>
  <c r="C16147" i="1"/>
  <c r="D16147" i="1"/>
  <c r="E16147" i="1"/>
  <c r="F16147" i="1"/>
  <c r="G16147" i="1"/>
  <c r="H16147" i="1"/>
  <c r="A16148" i="1"/>
  <c r="B16148" i="1"/>
  <c r="C16148" i="1"/>
  <c r="D16148" i="1"/>
  <c r="E16148" i="1"/>
  <c r="F16148" i="1"/>
  <c r="G16148" i="1"/>
  <c r="H16148" i="1"/>
  <c r="A16149" i="1"/>
  <c r="B16149" i="1"/>
  <c r="C16149" i="1"/>
  <c r="D16149" i="1"/>
  <c r="E16149" i="1"/>
  <c r="F16149" i="1"/>
  <c r="G16149" i="1"/>
  <c r="H16149" i="1"/>
  <c r="A16150" i="1"/>
  <c r="B16150" i="1"/>
  <c r="C16150" i="1"/>
  <c r="D16150" i="1"/>
  <c r="E16150" i="1"/>
  <c r="F16150" i="1"/>
  <c r="G16150" i="1"/>
  <c r="H16150" i="1"/>
  <c r="A16151" i="1"/>
  <c r="B16151" i="1"/>
  <c r="C16151" i="1"/>
  <c r="D16151" i="1"/>
  <c r="E16151" i="1"/>
  <c r="F16151" i="1"/>
  <c r="G16151" i="1"/>
  <c r="H16151" i="1"/>
  <c r="A16152" i="1"/>
  <c r="B16152" i="1"/>
  <c r="C16152" i="1"/>
  <c r="D16152" i="1"/>
  <c r="E16152" i="1"/>
  <c r="F16152" i="1"/>
  <c r="G16152" i="1"/>
  <c r="H16152" i="1"/>
  <c r="A16153" i="1"/>
  <c r="B16153" i="1"/>
  <c r="C16153" i="1"/>
  <c r="D16153" i="1"/>
  <c r="E16153" i="1"/>
  <c r="F16153" i="1"/>
  <c r="G16153" i="1"/>
  <c r="H16153" i="1"/>
  <c r="A16154" i="1"/>
  <c r="B16154" i="1"/>
  <c r="C16154" i="1"/>
  <c r="D16154" i="1"/>
  <c r="E16154" i="1"/>
  <c r="F16154" i="1"/>
  <c r="G16154" i="1"/>
  <c r="H16154" i="1"/>
  <c r="A16155" i="1"/>
  <c r="B16155" i="1"/>
  <c r="C16155" i="1"/>
  <c r="D16155" i="1"/>
  <c r="E16155" i="1"/>
  <c r="F16155" i="1"/>
  <c r="G16155" i="1"/>
  <c r="H16155" i="1"/>
  <c r="A16156" i="1"/>
  <c r="B16156" i="1"/>
  <c r="C16156" i="1"/>
  <c r="D16156" i="1"/>
  <c r="E16156" i="1"/>
  <c r="F16156" i="1"/>
  <c r="G16156" i="1"/>
  <c r="H16156" i="1"/>
  <c r="A16157" i="1"/>
  <c r="B16157" i="1"/>
  <c r="C16157" i="1"/>
  <c r="D16157" i="1"/>
  <c r="E16157" i="1"/>
  <c r="F16157" i="1"/>
  <c r="G16157" i="1"/>
  <c r="H16157" i="1"/>
  <c r="A16158" i="1"/>
  <c r="B16158" i="1"/>
  <c r="C16158" i="1"/>
  <c r="D16158" i="1"/>
  <c r="E16158" i="1"/>
  <c r="F16158" i="1"/>
  <c r="G16158" i="1"/>
  <c r="H16158" i="1"/>
  <c r="A16159" i="1"/>
  <c r="B16159" i="1"/>
  <c r="C16159" i="1"/>
  <c r="D16159" i="1"/>
  <c r="E16159" i="1"/>
  <c r="F16159" i="1"/>
  <c r="G16159" i="1"/>
  <c r="H16159" i="1"/>
  <c r="A16160" i="1"/>
  <c r="B16160" i="1"/>
  <c r="C16160" i="1"/>
  <c r="D16160" i="1"/>
  <c r="E16160" i="1"/>
  <c r="F16160" i="1"/>
  <c r="G16160" i="1"/>
  <c r="H16160" i="1"/>
  <c r="A16161" i="1"/>
  <c r="B16161" i="1"/>
  <c r="C16161" i="1"/>
  <c r="D16161" i="1"/>
  <c r="E16161" i="1"/>
  <c r="F16161" i="1"/>
  <c r="G16161" i="1"/>
  <c r="H16161" i="1"/>
  <c r="A16162" i="1"/>
  <c r="B16162" i="1"/>
  <c r="C16162" i="1"/>
  <c r="D16162" i="1"/>
  <c r="E16162" i="1"/>
  <c r="F16162" i="1"/>
  <c r="G16162" i="1"/>
  <c r="H16162" i="1"/>
  <c r="A16163" i="1"/>
  <c r="B16163" i="1"/>
  <c r="C16163" i="1"/>
  <c r="D16163" i="1"/>
  <c r="E16163" i="1"/>
  <c r="F16163" i="1"/>
  <c r="G16163" i="1"/>
  <c r="H16163" i="1"/>
  <c r="A16164" i="1"/>
  <c r="B16164" i="1"/>
  <c r="C16164" i="1"/>
  <c r="D16164" i="1"/>
  <c r="E16164" i="1"/>
  <c r="F16164" i="1"/>
  <c r="G16164" i="1"/>
  <c r="H16164" i="1"/>
  <c r="A16165" i="1"/>
  <c r="B16165" i="1"/>
  <c r="C16165" i="1"/>
  <c r="D16165" i="1"/>
  <c r="E16165" i="1"/>
  <c r="F16165" i="1"/>
  <c r="G16165" i="1"/>
  <c r="H16165" i="1"/>
  <c r="A16166" i="1"/>
  <c r="B16166" i="1"/>
  <c r="C16166" i="1"/>
  <c r="D16166" i="1"/>
  <c r="E16166" i="1"/>
  <c r="F16166" i="1"/>
  <c r="G16166" i="1"/>
  <c r="H16166" i="1"/>
  <c r="A16167" i="1"/>
  <c r="B16167" i="1"/>
  <c r="C16167" i="1"/>
  <c r="D16167" i="1"/>
  <c r="E16167" i="1"/>
  <c r="F16167" i="1"/>
  <c r="G16167" i="1"/>
  <c r="H16167" i="1"/>
  <c r="A16168" i="1"/>
  <c r="B16168" i="1"/>
  <c r="C16168" i="1"/>
  <c r="D16168" i="1"/>
  <c r="E16168" i="1"/>
  <c r="F16168" i="1"/>
  <c r="G16168" i="1"/>
  <c r="H16168" i="1"/>
  <c r="A16169" i="1"/>
  <c r="B16169" i="1"/>
  <c r="C16169" i="1"/>
  <c r="D16169" i="1"/>
  <c r="E16169" i="1"/>
  <c r="F16169" i="1"/>
  <c r="G16169" i="1"/>
  <c r="H16169" i="1"/>
  <c r="A16170" i="1"/>
  <c r="B16170" i="1"/>
  <c r="C16170" i="1"/>
  <c r="D16170" i="1"/>
  <c r="E16170" i="1"/>
  <c r="F16170" i="1"/>
  <c r="G16170" i="1"/>
  <c r="H16170" i="1"/>
  <c r="A16171" i="1"/>
  <c r="B16171" i="1"/>
  <c r="C16171" i="1"/>
  <c r="D16171" i="1"/>
  <c r="E16171" i="1"/>
  <c r="F16171" i="1"/>
  <c r="G16171" i="1"/>
  <c r="H16171" i="1"/>
  <c r="A16172" i="1"/>
  <c r="B16172" i="1"/>
  <c r="C16172" i="1"/>
  <c r="D16172" i="1"/>
  <c r="E16172" i="1"/>
  <c r="F16172" i="1"/>
  <c r="G16172" i="1"/>
  <c r="H16172" i="1"/>
  <c r="A16173" i="1"/>
  <c r="B16173" i="1"/>
  <c r="C16173" i="1"/>
  <c r="D16173" i="1"/>
  <c r="E16173" i="1"/>
  <c r="F16173" i="1"/>
  <c r="G16173" i="1"/>
  <c r="H16173" i="1"/>
  <c r="A16174" i="1"/>
  <c r="B16174" i="1"/>
  <c r="C16174" i="1"/>
  <c r="D16174" i="1"/>
  <c r="E16174" i="1"/>
  <c r="F16174" i="1"/>
  <c r="G16174" i="1"/>
  <c r="H16174" i="1"/>
  <c r="A16175" i="1"/>
  <c r="B16175" i="1"/>
  <c r="C16175" i="1"/>
  <c r="D16175" i="1"/>
  <c r="E16175" i="1"/>
  <c r="F16175" i="1"/>
  <c r="G16175" i="1"/>
  <c r="H16175" i="1"/>
  <c r="A16176" i="1"/>
  <c r="B16176" i="1"/>
  <c r="C16176" i="1"/>
  <c r="D16176" i="1"/>
  <c r="E16176" i="1"/>
  <c r="F16176" i="1"/>
  <c r="G16176" i="1"/>
  <c r="H16176" i="1"/>
  <c r="A16177" i="1"/>
  <c r="B16177" i="1"/>
  <c r="C16177" i="1"/>
  <c r="D16177" i="1"/>
  <c r="E16177" i="1"/>
  <c r="F16177" i="1"/>
  <c r="G16177" i="1"/>
  <c r="H16177" i="1"/>
  <c r="A16178" i="1"/>
  <c r="B16178" i="1"/>
  <c r="C16178" i="1"/>
  <c r="D16178" i="1"/>
  <c r="E16178" i="1"/>
  <c r="F16178" i="1"/>
  <c r="G16178" i="1"/>
  <c r="H16178" i="1"/>
  <c r="A16179" i="1"/>
  <c r="B16179" i="1"/>
  <c r="C16179" i="1"/>
  <c r="D16179" i="1"/>
  <c r="E16179" i="1"/>
  <c r="F16179" i="1"/>
  <c r="G16179" i="1"/>
  <c r="H16179" i="1"/>
  <c r="A16180" i="1"/>
  <c r="B16180" i="1"/>
  <c r="C16180" i="1"/>
  <c r="D16180" i="1"/>
  <c r="E16180" i="1"/>
  <c r="F16180" i="1"/>
  <c r="G16180" i="1"/>
  <c r="H16180" i="1"/>
  <c r="A16181" i="1"/>
  <c r="B16181" i="1"/>
  <c r="C16181" i="1"/>
  <c r="D16181" i="1"/>
  <c r="E16181" i="1"/>
  <c r="F16181" i="1"/>
  <c r="G16181" i="1"/>
  <c r="H16181" i="1"/>
  <c r="A16182" i="1"/>
  <c r="B16182" i="1"/>
  <c r="C16182" i="1"/>
  <c r="D16182" i="1"/>
  <c r="E16182" i="1"/>
  <c r="F16182" i="1"/>
  <c r="G16182" i="1"/>
  <c r="H16182" i="1"/>
  <c r="A16183" i="1"/>
  <c r="B16183" i="1"/>
  <c r="C16183" i="1"/>
  <c r="D16183" i="1"/>
  <c r="E16183" i="1"/>
  <c r="F16183" i="1"/>
  <c r="G16183" i="1"/>
  <c r="H16183" i="1"/>
  <c r="A16184" i="1"/>
  <c r="B16184" i="1"/>
  <c r="C16184" i="1"/>
  <c r="D16184" i="1"/>
  <c r="E16184" i="1"/>
  <c r="F16184" i="1"/>
  <c r="G16184" i="1"/>
  <c r="H16184" i="1"/>
  <c r="A16185" i="1"/>
  <c r="B16185" i="1"/>
  <c r="C16185" i="1"/>
  <c r="D16185" i="1"/>
  <c r="E16185" i="1"/>
  <c r="F16185" i="1"/>
  <c r="G16185" i="1"/>
  <c r="H16185" i="1"/>
  <c r="A16186" i="1"/>
  <c r="B16186" i="1"/>
  <c r="C16186" i="1"/>
  <c r="D16186" i="1"/>
  <c r="E16186" i="1"/>
  <c r="F16186" i="1"/>
  <c r="G16186" i="1"/>
  <c r="H16186" i="1"/>
  <c r="A16187" i="1"/>
  <c r="B16187" i="1"/>
  <c r="C16187" i="1"/>
  <c r="D16187" i="1"/>
  <c r="E16187" i="1"/>
  <c r="F16187" i="1"/>
  <c r="G16187" i="1"/>
  <c r="H16187" i="1"/>
  <c r="A16188" i="1"/>
  <c r="B16188" i="1"/>
  <c r="C16188" i="1"/>
  <c r="D16188" i="1"/>
  <c r="E16188" i="1"/>
  <c r="F16188" i="1"/>
  <c r="G16188" i="1"/>
  <c r="H16188" i="1"/>
  <c r="A16189" i="1"/>
  <c r="B16189" i="1"/>
  <c r="C16189" i="1"/>
  <c r="D16189" i="1"/>
  <c r="E16189" i="1"/>
  <c r="F16189" i="1"/>
  <c r="G16189" i="1"/>
  <c r="H16189" i="1"/>
  <c r="A16190" i="1"/>
  <c r="B16190" i="1"/>
  <c r="C16190" i="1"/>
  <c r="D16190" i="1"/>
  <c r="E16190" i="1"/>
  <c r="F16190" i="1"/>
  <c r="G16190" i="1"/>
  <c r="H16190" i="1"/>
  <c r="A16191" i="1"/>
  <c r="B16191" i="1"/>
  <c r="C16191" i="1"/>
  <c r="D16191" i="1"/>
  <c r="E16191" i="1"/>
  <c r="F16191" i="1"/>
  <c r="G16191" i="1"/>
  <c r="H16191" i="1"/>
  <c r="A16192" i="1"/>
  <c r="B16192" i="1"/>
  <c r="C16192" i="1"/>
  <c r="D16192" i="1"/>
  <c r="E16192" i="1"/>
  <c r="F16192" i="1"/>
  <c r="G16192" i="1"/>
  <c r="H16192" i="1"/>
  <c r="A16193" i="1"/>
  <c r="B16193" i="1"/>
  <c r="C16193" i="1"/>
  <c r="D16193" i="1"/>
  <c r="E16193" i="1"/>
  <c r="F16193" i="1"/>
  <c r="G16193" i="1"/>
  <c r="H16193" i="1"/>
  <c r="A16194" i="1"/>
  <c r="B16194" i="1"/>
  <c r="C16194" i="1"/>
  <c r="D16194" i="1"/>
  <c r="E16194" i="1"/>
  <c r="F16194" i="1"/>
  <c r="G16194" i="1"/>
  <c r="H16194" i="1"/>
  <c r="A16195" i="1"/>
  <c r="B16195" i="1"/>
  <c r="C16195" i="1"/>
  <c r="D16195" i="1"/>
  <c r="E16195" i="1"/>
  <c r="F16195" i="1"/>
  <c r="G16195" i="1"/>
  <c r="H16195" i="1"/>
  <c r="A16196" i="1"/>
  <c r="B16196" i="1"/>
  <c r="C16196" i="1"/>
  <c r="D16196" i="1"/>
  <c r="E16196" i="1"/>
  <c r="F16196" i="1"/>
  <c r="G16196" i="1"/>
  <c r="H16196" i="1"/>
  <c r="A16197" i="1"/>
  <c r="B16197" i="1"/>
  <c r="C16197" i="1"/>
  <c r="D16197" i="1"/>
  <c r="E16197" i="1"/>
  <c r="F16197" i="1"/>
  <c r="G16197" i="1"/>
  <c r="H16197" i="1"/>
  <c r="A16198" i="1"/>
  <c r="B16198" i="1"/>
  <c r="C16198" i="1"/>
  <c r="D16198" i="1"/>
  <c r="E16198" i="1"/>
  <c r="F16198" i="1"/>
  <c r="G16198" i="1"/>
  <c r="H16198" i="1"/>
  <c r="A16199" i="1"/>
  <c r="B16199" i="1"/>
  <c r="C16199" i="1"/>
  <c r="D16199" i="1"/>
  <c r="E16199" i="1"/>
  <c r="F16199" i="1"/>
  <c r="G16199" i="1"/>
  <c r="H16199" i="1"/>
  <c r="A16200" i="1"/>
  <c r="B16200" i="1"/>
  <c r="C16200" i="1"/>
  <c r="D16200" i="1"/>
  <c r="E16200" i="1"/>
  <c r="F16200" i="1"/>
  <c r="G16200" i="1"/>
  <c r="H16200" i="1"/>
  <c r="A16201" i="1"/>
  <c r="B16201" i="1"/>
  <c r="C16201" i="1"/>
  <c r="D16201" i="1"/>
  <c r="E16201" i="1"/>
  <c r="F16201" i="1"/>
  <c r="G16201" i="1"/>
  <c r="H16201" i="1"/>
  <c r="A16202" i="1"/>
  <c r="B16202" i="1"/>
  <c r="C16202" i="1"/>
  <c r="D16202" i="1"/>
  <c r="E16202" i="1"/>
  <c r="F16202" i="1"/>
  <c r="G16202" i="1"/>
  <c r="H16202" i="1"/>
  <c r="A16203" i="1"/>
  <c r="B16203" i="1"/>
  <c r="C16203" i="1"/>
  <c r="D16203" i="1"/>
  <c r="E16203" i="1"/>
  <c r="F16203" i="1"/>
  <c r="G16203" i="1"/>
  <c r="H16203" i="1"/>
  <c r="A16204" i="1"/>
  <c r="B16204" i="1"/>
  <c r="C16204" i="1"/>
  <c r="D16204" i="1"/>
  <c r="E16204" i="1"/>
  <c r="F16204" i="1"/>
  <c r="G16204" i="1"/>
  <c r="H16204" i="1"/>
  <c r="A16205" i="1"/>
  <c r="B16205" i="1"/>
  <c r="C16205" i="1"/>
  <c r="D16205" i="1"/>
  <c r="E16205" i="1"/>
  <c r="F16205" i="1"/>
  <c r="G16205" i="1"/>
  <c r="H16205" i="1"/>
  <c r="A16206" i="1"/>
  <c r="B16206" i="1"/>
  <c r="C16206" i="1"/>
  <c r="D16206" i="1"/>
  <c r="E16206" i="1"/>
  <c r="F16206" i="1"/>
  <c r="G16206" i="1"/>
  <c r="H16206" i="1"/>
  <c r="A16207" i="1"/>
  <c r="B16207" i="1"/>
  <c r="C16207" i="1"/>
  <c r="D16207" i="1"/>
  <c r="E16207" i="1"/>
  <c r="F16207" i="1"/>
  <c r="G16207" i="1"/>
  <c r="H16207" i="1"/>
  <c r="A16208" i="1"/>
  <c r="B16208" i="1"/>
  <c r="C16208" i="1"/>
  <c r="D16208" i="1"/>
  <c r="E16208" i="1"/>
  <c r="F16208" i="1"/>
  <c r="G16208" i="1"/>
  <c r="H16208" i="1"/>
  <c r="A16209" i="1"/>
  <c r="B16209" i="1"/>
  <c r="C16209" i="1"/>
  <c r="D16209" i="1"/>
  <c r="E16209" i="1"/>
  <c r="F16209" i="1"/>
  <c r="G16209" i="1"/>
  <c r="H16209" i="1"/>
  <c r="A16210" i="1"/>
  <c r="B16210" i="1"/>
  <c r="C16210" i="1"/>
  <c r="D16210" i="1"/>
  <c r="E16210" i="1"/>
  <c r="F16210" i="1"/>
  <c r="G16210" i="1"/>
  <c r="H16210" i="1"/>
  <c r="A16211" i="1"/>
  <c r="B16211" i="1"/>
  <c r="C16211" i="1"/>
  <c r="D16211" i="1"/>
  <c r="E16211" i="1"/>
  <c r="F16211" i="1"/>
  <c r="G16211" i="1"/>
  <c r="H16211" i="1"/>
  <c r="A16212" i="1"/>
  <c r="B16212" i="1"/>
  <c r="C16212" i="1"/>
  <c r="D16212" i="1"/>
  <c r="E16212" i="1"/>
  <c r="F16212" i="1"/>
  <c r="G16212" i="1"/>
  <c r="H16212" i="1"/>
  <c r="A16213" i="1"/>
  <c r="B16213" i="1"/>
  <c r="C16213" i="1"/>
  <c r="D16213" i="1"/>
  <c r="E16213" i="1"/>
  <c r="F16213" i="1"/>
  <c r="G16213" i="1"/>
  <c r="H16213" i="1"/>
  <c r="A16214" i="1"/>
  <c r="B16214" i="1"/>
  <c r="C16214" i="1"/>
  <c r="D16214" i="1"/>
  <c r="E16214" i="1"/>
  <c r="F16214" i="1"/>
  <c r="G16214" i="1"/>
  <c r="H16214" i="1"/>
  <c r="A16215" i="1"/>
  <c r="B16215" i="1"/>
  <c r="C16215" i="1"/>
  <c r="D16215" i="1"/>
  <c r="E16215" i="1"/>
  <c r="F16215" i="1"/>
  <c r="G16215" i="1"/>
  <c r="H16215" i="1"/>
  <c r="A16216" i="1"/>
  <c r="B16216" i="1"/>
  <c r="C16216" i="1"/>
  <c r="D16216" i="1"/>
  <c r="E16216" i="1"/>
  <c r="F16216" i="1"/>
  <c r="G16216" i="1"/>
  <c r="H16216" i="1"/>
  <c r="A16217" i="1"/>
  <c r="B16217" i="1"/>
  <c r="C16217" i="1"/>
  <c r="D16217" i="1"/>
  <c r="E16217" i="1"/>
  <c r="F16217" i="1"/>
  <c r="G16217" i="1"/>
  <c r="H16217" i="1"/>
  <c r="A16218" i="1"/>
  <c r="B16218" i="1"/>
  <c r="C16218" i="1"/>
  <c r="D16218" i="1"/>
  <c r="E16218" i="1"/>
  <c r="F16218" i="1"/>
  <c r="G16218" i="1"/>
  <c r="H16218" i="1"/>
  <c r="A16219" i="1"/>
  <c r="B16219" i="1"/>
  <c r="C16219" i="1"/>
  <c r="D16219" i="1"/>
  <c r="E16219" i="1"/>
  <c r="F16219" i="1"/>
  <c r="G16219" i="1"/>
  <c r="H16219" i="1"/>
  <c r="A16220" i="1"/>
  <c r="B16220" i="1"/>
  <c r="C16220" i="1"/>
  <c r="D16220" i="1"/>
  <c r="E16220" i="1"/>
  <c r="F16220" i="1"/>
  <c r="G16220" i="1"/>
  <c r="H16220" i="1"/>
  <c r="A16221" i="1"/>
  <c r="B16221" i="1"/>
  <c r="C16221" i="1"/>
  <c r="D16221" i="1"/>
  <c r="E16221" i="1"/>
  <c r="F16221" i="1"/>
  <c r="G16221" i="1"/>
  <c r="H16221" i="1"/>
  <c r="A16222" i="1"/>
  <c r="B16222" i="1"/>
  <c r="C16222" i="1"/>
  <c r="D16222" i="1"/>
  <c r="E16222" i="1"/>
  <c r="F16222" i="1"/>
  <c r="G16222" i="1"/>
  <c r="H16222" i="1"/>
  <c r="A16223" i="1"/>
  <c r="B16223" i="1"/>
  <c r="C16223" i="1"/>
  <c r="D16223" i="1"/>
  <c r="E16223" i="1"/>
  <c r="F16223" i="1"/>
  <c r="G16223" i="1"/>
  <c r="H16223" i="1"/>
  <c r="A16224" i="1"/>
  <c r="B16224" i="1"/>
  <c r="C16224" i="1"/>
  <c r="D16224" i="1"/>
  <c r="E16224" i="1"/>
  <c r="F16224" i="1"/>
  <c r="G16224" i="1"/>
  <c r="H16224" i="1"/>
  <c r="A16225" i="1"/>
  <c r="B16225" i="1"/>
  <c r="C16225" i="1"/>
  <c r="D16225" i="1"/>
  <c r="E16225" i="1"/>
  <c r="F16225" i="1"/>
  <c r="G16225" i="1"/>
  <c r="H16225" i="1"/>
  <c r="A16226" i="1"/>
  <c r="B16226" i="1"/>
  <c r="C16226" i="1"/>
  <c r="D16226" i="1"/>
  <c r="E16226" i="1"/>
  <c r="F16226" i="1"/>
  <c r="G16226" i="1"/>
  <c r="H16226" i="1"/>
  <c r="A16227" i="1"/>
  <c r="B16227" i="1"/>
  <c r="C16227" i="1"/>
  <c r="D16227" i="1"/>
  <c r="E16227" i="1"/>
  <c r="F16227" i="1"/>
  <c r="G16227" i="1"/>
  <c r="H16227" i="1"/>
  <c r="A16228" i="1"/>
  <c r="B16228" i="1"/>
  <c r="C16228" i="1"/>
  <c r="D16228" i="1"/>
  <c r="E16228" i="1"/>
  <c r="F16228" i="1"/>
  <c r="G16228" i="1"/>
  <c r="H16228" i="1"/>
  <c r="A16229" i="1"/>
  <c r="B16229" i="1"/>
  <c r="C16229" i="1"/>
  <c r="D16229" i="1"/>
  <c r="E16229" i="1"/>
  <c r="F16229" i="1"/>
  <c r="G16229" i="1"/>
  <c r="H16229" i="1"/>
  <c r="A16230" i="1"/>
  <c r="B16230" i="1"/>
  <c r="C16230" i="1"/>
  <c r="D16230" i="1"/>
  <c r="E16230" i="1"/>
  <c r="F16230" i="1"/>
  <c r="G16230" i="1"/>
  <c r="H16230" i="1"/>
  <c r="A16231" i="1"/>
  <c r="B16231" i="1"/>
  <c r="C16231" i="1"/>
  <c r="D16231" i="1"/>
  <c r="E16231" i="1"/>
  <c r="F16231" i="1"/>
  <c r="G16231" i="1"/>
  <c r="H16231" i="1"/>
  <c r="A16232" i="1"/>
  <c r="B16232" i="1"/>
  <c r="C16232" i="1"/>
  <c r="D16232" i="1"/>
  <c r="E16232" i="1"/>
  <c r="F16232" i="1"/>
  <c r="G16232" i="1"/>
  <c r="H16232" i="1"/>
  <c r="A16233" i="1"/>
  <c r="B16233" i="1"/>
  <c r="C16233" i="1"/>
  <c r="D16233" i="1"/>
  <c r="E16233" i="1"/>
  <c r="F16233" i="1"/>
  <c r="G16233" i="1"/>
  <c r="H16233" i="1"/>
  <c r="A16234" i="1"/>
  <c r="B16234" i="1"/>
  <c r="C16234" i="1"/>
  <c r="D16234" i="1"/>
  <c r="E16234" i="1"/>
  <c r="F16234" i="1"/>
  <c r="G16234" i="1"/>
  <c r="H16234" i="1"/>
  <c r="A16235" i="1"/>
  <c r="B16235" i="1"/>
  <c r="C16235" i="1"/>
  <c r="D16235" i="1"/>
  <c r="E16235" i="1"/>
  <c r="F16235" i="1"/>
  <c r="G16235" i="1"/>
  <c r="H16235" i="1"/>
  <c r="A16236" i="1"/>
  <c r="B16236" i="1"/>
  <c r="C16236" i="1"/>
  <c r="D16236" i="1"/>
  <c r="E16236" i="1"/>
  <c r="F16236" i="1"/>
  <c r="G16236" i="1"/>
  <c r="H16236" i="1"/>
  <c r="A16237" i="1"/>
  <c r="B16237" i="1"/>
  <c r="C16237" i="1"/>
  <c r="D16237" i="1"/>
  <c r="E16237" i="1"/>
  <c r="F16237" i="1"/>
  <c r="G16237" i="1"/>
  <c r="H16237" i="1"/>
  <c r="A16238" i="1"/>
  <c r="B16238" i="1"/>
  <c r="C16238" i="1"/>
  <c r="D16238" i="1"/>
  <c r="E16238" i="1"/>
  <c r="F16238" i="1"/>
  <c r="G16238" i="1"/>
  <c r="H16238" i="1"/>
  <c r="A16239" i="1"/>
  <c r="B16239" i="1"/>
  <c r="C16239" i="1"/>
  <c r="D16239" i="1"/>
  <c r="E16239" i="1"/>
  <c r="F16239" i="1"/>
  <c r="G16239" i="1"/>
  <c r="H16239" i="1"/>
  <c r="A16240" i="1"/>
  <c r="B16240" i="1"/>
  <c r="C16240" i="1"/>
  <c r="D16240" i="1"/>
  <c r="E16240" i="1"/>
  <c r="F16240" i="1"/>
  <c r="G16240" i="1"/>
  <c r="H16240" i="1"/>
  <c r="A16241" i="1"/>
  <c r="B16241" i="1"/>
  <c r="C16241" i="1"/>
  <c r="D16241" i="1"/>
  <c r="E16241" i="1"/>
  <c r="F16241" i="1"/>
  <c r="G16241" i="1"/>
  <c r="H16241" i="1"/>
  <c r="A16242" i="1"/>
  <c r="B16242" i="1"/>
  <c r="C16242" i="1"/>
  <c r="D16242" i="1"/>
  <c r="E16242" i="1"/>
  <c r="F16242" i="1"/>
  <c r="G16242" i="1"/>
  <c r="H16242" i="1"/>
  <c r="A16243" i="1"/>
  <c r="B16243" i="1"/>
  <c r="C16243" i="1"/>
  <c r="D16243" i="1"/>
  <c r="E16243" i="1"/>
  <c r="F16243" i="1"/>
  <c r="G16243" i="1"/>
  <c r="H16243" i="1"/>
  <c r="A16244" i="1"/>
  <c r="B16244" i="1"/>
  <c r="C16244" i="1"/>
  <c r="D16244" i="1"/>
  <c r="E16244" i="1"/>
  <c r="F16244" i="1"/>
  <c r="G16244" i="1"/>
  <c r="H16244" i="1"/>
  <c r="A16245" i="1"/>
  <c r="B16245" i="1"/>
  <c r="C16245" i="1"/>
  <c r="D16245" i="1"/>
  <c r="E16245" i="1"/>
  <c r="F16245" i="1"/>
  <c r="G16245" i="1"/>
  <c r="H16245" i="1"/>
  <c r="A16246" i="1"/>
  <c r="B16246" i="1"/>
  <c r="C16246" i="1"/>
  <c r="D16246" i="1"/>
  <c r="E16246" i="1"/>
  <c r="F16246" i="1"/>
  <c r="G16246" i="1"/>
  <c r="H16246" i="1"/>
  <c r="A16247" i="1"/>
  <c r="B16247" i="1"/>
  <c r="C16247" i="1"/>
  <c r="D16247" i="1"/>
  <c r="E16247" i="1"/>
  <c r="F16247" i="1"/>
  <c r="G16247" i="1"/>
  <c r="H16247" i="1"/>
  <c r="A16248" i="1"/>
  <c r="B16248" i="1"/>
  <c r="C16248" i="1"/>
  <c r="D16248" i="1"/>
  <c r="E16248" i="1"/>
  <c r="F16248" i="1"/>
  <c r="G16248" i="1"/>
  <c r="H16248" i="1"/>
  <c r="A16249" i="1"/>
  <c r="B16249" i="1"/>
  <c r="C16249" i="1"/>
  <c r="D16249" i="1"/>
  <c r="E16249" i="1"/>
  <c r="F16249" i="1"/>
  <c r="G16249" i="1"/>
  <c r="H16249" i="1"/>
  <c r="A16250" i="1"/>
  <c r="B16250" i="1"/>
  <c r="C16250" i="1"/>
  <c r="D16250" i="1"/>
  <c r="E16250" i="1"/>
  <c r="F16250" i="1"/>
  <c r="G16250" i="1"/>
  <c r="H16250" i="1"/>
  <c r="A16251" i="1"/>
  <c r="B16251" i="1"/>
  <c r="C16251" i="1"/>
  <c r="D16251" i="1"/>
  <c r="E16251" i="1"/>
  <c r="F16251" i="1"/>
  <c r="G16251" i="1"/>
  <c r="H16251" i="1"/>
  <c r="A16252" i="1"/>
  <c r="B16252" i="1"/>
  <c r="C16252" i="1"/>
  <c r="D16252" i="1"/>
  <c r="E16252" i="1"/>
  <c r="F16252" i="1"/>
  <c r="G16252" i="1"/>
  <c r="H16252" i="1"/>
  <c r="A16253" i="1"/>
  <c r="B16253" i="1"/>
  <c r="C16253" i="1"/>
  <c r="D16253" i="1"/>
  <c r="E16253" i="1"/>
  <c r="F16253" i="1"/>
  <c r="G16253" i="1"/>
  <c r="H16253" i="1"/>
  <c r="A16254" i="1"/>
  <c r="B16254" i="1"/>
  <c r="C16254" i="1"/>
  <c r="D16254" i="1"/>
  <c r="E16254" i="1"/>
  <c r="F16254" i="1"/>
  <c r="G16254" i="1"/>
  <c r="H16254" i="1"/>
  <c r="A16255" i="1"/>
  <c r="B16255" i="1"/>
  <c r="C16255" i="1"/>
  <c r="D16255" i="1"/>
  <c r="E16255" i="1"/>
  <c r="F16255" i="1"/>
  <c r="G16255" i="1"/>
  <c r="H16255" i="1"/>
  <c r="A16256" i="1"/>
  <c r="B16256" i="1"/>
  <c r="C16256" i="1"/>
  <c r="D16256" i="1"/>
  <c r="E16256" i="1"/>
  <c r="F16256" i="1"/>
  <c r="G16256" i="1"/>
  <c r="H16256" i="1"/>
  <c r="A16257" i="1"/>
  <c r="B16257" i="1"/>
  <c r="C16257" i="1"/>
  <c r="D16257" i="1"/>
  <c r="E16257" i="1"/>
  <c r="F16257" i="1"/>
  <c r="G16257" i="1"/>
  <c r="H16257" i="1"/>
  <c r="A16258" i="1"/>
  <c r="B16258" i="1"/>
  <c r="C16258" i="1"/>
  <c r="D16258" i="1"/>
  <c r="E16258" i="1"/>
  <c r="F16258" i="1"/>
  <c r="G16258" i="1"/>
  <c r="H16258" i="1"/>
  <c r="A16259" i="1"/>
  <c r="B16259" i="1"/>
  <c r="C16259" i="1"/>
  <c r="D16259" i="1"/>
  <c r="E16259" i="1"/>
  <c r="F16259" i="1"/>
  <c r="G16259" i="1"/>
  <c r="H16259" i="1"/>
  <c r="A16260" i="1"/>
  <c r="B16260" i="1"/>
  <c r="C16260" i="1"/>
  <c r="D16260" i="1"/>
  <c r="E16260" i="1"/>
  <c r="F16260" i="1"/>
  <c r="G16260" i="1"/>
  <c r="H16260" i="1"/>
  <c r="A16261" i="1"/>
  <c r="B16261" i="1"/>
  <c r="C16261" i="1"/>
  <c r="D16261" i="1"/>
  <c r="E16261" i="1"/>
  <c r="F16261" i="1"/>
  <c r="G16261" i="1"/>
  <c r="H16261" i="1"/>
  <c r="A16262" i="1"/>
  <c r="B16262" i="1"/>
  <c r="C16262" i="1"/>
  <c r="D16262" i="1"/>
  <c r="E16262" i="1"/>
  <c r="F16262" i="1"/>
  <c r="G16262" i="1"/>
  <c r="H16262" i="1"/>
  <c r="A16263" i="1"/>
  <c r="B16263" i="1"/>
  <c r="C16263" i="1"/>
  <c r="D16263" i="1"/>
  <c r="E16263" i="1"/>
  <c r="F16263" i="1"/>
  <c r="G16263" i="1"/>
  <c r="H16263" i="1"/>
  <c r="A16264" i="1"/>
  <c r="B16264" i="1"/>
  <c r="C16264" i="1"/>
  <c r="D16264" i="1"/>
  <c r="E16264" i="1"/>
  <c r="F16264" i="1"/>
  <c r="G16264" i="1"/>
  <c r="H16264" i="1"/>
  <c r="A16265" i="1"/>
  <c r="B16265" i="1"/>
  <c r="C16265" i="1"/>
  <c r="D16265" i="1"/>
  <c r="E16265" i="1"/>
  <c r="F16265" i="1"/>
  <c r="G16265" i="1"/>
  <c r="H16265" i="1"/>
  <c r="A16266" i="1"/>
  <c r="B16266" i="1"/>
  <c r="C16266" i="1"/>
  <c r="D16266" i="1"/>
  <c r="E16266" i="1"/>
  <c r="F16266" i="1"/>
  <c r="G16266" i="1"/>
  <c r="H16266" i="1"/>
  <c r="A16267" i="1"/>
  <c r="B16267" i="1"/>
  <c r="C16267" i="1"/>
  <c r="D16267" i="1"/>
  <c r="E16267" i="1"/>
  <c r="F16267" i="1"/>
  <c r="G16267" i="1"/>
  <c r="H16267" i="1"/>
  <c r="A16268" i="1"/>
  <c r="B16268" i="1"/>
  <c r="C16268" i="1"/>
  <c r="D16268" i="1"/>
  <c r="E16268" i="1"/>
  <c r="F16268" i="1"/>
  <c r="G16268" i="1"/>
  <c r="H16268" i="1"/>
  <c r="A16269" i="1"/>
  <c r="B16269" i="1"/>
  <c r="C16269" i="1"/>
  <c r="D16269" i="1"/>
  <c r="E16269" i="1"/>
  <c r="F16269" i="1"/>
  <c r="G16269" i="1"/>
  <c r="H16269" i="1"/>
  <c r="A16270" i="1"/>
  <c r="B16270" i="1"/>
  <c r="C16270" i="1"/>
  <c r="D16270" i="1"/>
  <c r="E16270" i="1"/>
  <c r="F16270" i="1"/>
  <c r="G16270" i="1"/>
  <c r="H16270" i="1"/>
  <c r="A16271" i="1"/>
  <c r="B16271" i="1"/>
  <c r="C16271" i="1"/>
  <c r="D16271" i="1"/>
  <c r="E16271" i="1"/>
  <c r="F16271" i="1"/>
  <c r="G16271" i="1"/>
  <c r="H16271" i="1"/>
  <c r="A16272" i="1"/>
  <c r="B16272" i="1"/>
  <c r="C16272" i="1"/>
  <c r="D16272" i="1"/>
  <c r="E16272" i="1"/>
  <c r="F16272" i="1"/>
  <c r="G16272" i="1"/>
  <c r="H16272" i="1"/>
  <c r="A16273" i="1"/>
  <c r="B16273" i="1"/>
  <c r="C16273" i="1"/>
  <c r="D16273" i="1"/>
  <c r="E16273" i="1"/>
  <c r="F16273" i="1"/>
  <c r="G16273" i="1"/>
  <c r="H16273" i="1"/>
  <c r="A16274" i="1"/>
  <c r="B16274" i="1"/>
  <c r="C16274" i="1"/>
  <c r="D16274" i="1"/>
  <c r="E16274" i="1"/>
  <c r="F16274" i="1"/>
  <c r="G16274" i="1"/>
  <c r="H16274" i="1"/>
  <c r="A16275" i="1"/>
  <c r="B16275" i="1"/>
  <c r="C16275" i="1"/>
  <c r="D16275" i="1"/>
  <c r="E16275" i="1"/>
  <c r="F16275" i="1"/>
  <c r="G16275" i="1"/>
  <c r="H16275" i="1"/>
  <c r="A16276" i="1"/>
  <c r="B16276" i="1"/>
  <c r="C16276" i="1"/>
  <c r="D16276" i="1"/>
  <c r="E16276" i="1"/>
  <c r="F16276" i="1"/>
  <c r="G16276" i="1"/>
  <c r="H16276" i="1"/>
  <c r="A16277" i="1"/>
  <c r="B16277" i="1"/>
  <c r="C16277" i="1"/>
  <c r="D16277" i="1"/>
  <c r="E16277" i="1"/>
  <c r="F16277" i="1"/>
  <c r="G16277" i="1"/>
  <c r="H16277" i="1"/>
  <c r="A16278" i="1"/>
  <c r="B16278" i="1"/>
  <c r="C16278" i="1"/>
  <c r="D16278" i="1"/>
  <c r="E16278" i="1"/>
  <c r="F16278" i="1"/>
  <c r="G16278" i="1"/>
  <c r="H16278" i="1"/>
  <c r="A16279" i="1"/>
  <c r="B16279" i="1"/>
  <c r="C16279" i="1"/>
  <c r="D16279" i="1"/>
  <c r="E16279" i="1"/>
  <c r="F16279" i="1"/>
  <c r="G16279" i="1"/>
  <c r="H16279" i="1"/>
  <c r="A16280" i="1"/>
  <c r="B16280" i="1"/>
  <c r="C16280" i="1"/>
  <c r="D16280" i="1"/>
  <c r="E16280" i="1"/>
  <c r="F16280" i="1"/>
  <c r="G16280" i="1"/>
  <c r="H16280" i="1"/>
  <c r="A16281" i="1"/>
  <c r="B16281" i="1"/>
  <c r="C16281" i="1"/>
  <c r="D16281" i="1"/>
  <c r="E16281" i="1"/>
  <c r="F16281" i="1"/>
  <c r="G16281" i="1"/>
  <c r="H16281" i="1"/>
  <c r="A16282" i="1"/>
  <c r="B16282" i="1"/>
  <c r="C16282" i="1"/>
  <c r="D16282" i="1"/>
  <c r="E16282" i="1"/>
  <c r="F16282" i="1"/>
  <c r="G16282" i="1"/>
  <c r="H16282" i="1"/>
  <c r="A16283" i="1"/>
  <c r="B16283" i="1"/>
  <c r="C16283" i="1"/>
  <c r="D16283" i="1"/>
  <c r="E16283" i="1"/>
  <c r="F16283" i="1"/>
  <c r="G16283" i="1"/>
  <c r="H16283" i="1"/>
  <c r="A16284" i="1"/>
  <c r="B16284" i="1"/>
  <c r="C16284" i="1"/>
  <c r="D16284" i="1"/>
  <c r="E16284" i="1"/>
  <c r="F16284" i="1"/>
  <c r="G16284" i="1"/>
  <c r="H16284" i="1"/>
  <c r="A16285" i="1"/>
  <c r="B16285" i="1"/>
  <c r="C16285" i="1"/>
  <c r="D16285" i="1"/>
  <c r="E16285" i="1"/>
  <c r="F16285" i="1"/>
  <c r="G16285" i="1"/>
  <c r="H16285" i="1"/>
  <c r="A16286" i="1"/>
  <c r="B16286" i="1"/>
  <c r="C16286" i="1"/>
  <c r="D16286" i="1"/>
  <c r="E16286" i="1"/>
  <c r="F16286" i="1"/>
  <c r="G16286" i="1"/>
  <c r="H16286" i="1"/>
  <c r="A16287" i="1"/>
  <c r="B16287" i="1"/>
  <c r="C16287" i="1"/>
  <c r="D16287" i="1"/>
  <c r="E16287" i="1"/>
  <c r="F16287" i="1"/>
  <c r="G16287" i="1"/>
  <c r="H16287" i="1"/>
  <c r="A16288" i="1"/>
  <c r="B16288" i="1"/>
  <c r="C16288" i="1"/>
  <c r="D16288" i="1"/>
  <c r="E16288" i="1"/>
  <c r="F16288" i="1"/>
  <c r="G16288" i="1"/>
  <c r="H16288" i="1"/>
  <c r="A16289" i="1"/>
  <c r="B16289" i="1"/>
  <c r="C16289" i="1"/>
  <c r="D16289" i="1"/>
  <c r="E16289" i="1"/>
  <c r="F16289" i="1"/>
  <c r="G16289" i="1"/>
  <c r="H16289" i="1"/>
  <c r="A16290" i="1"/>
  <c r="B16290" i="1"/>
  <c r="C16290" i="1"/>
  <c r="D16290" i="1"/>
  <c r="E16290" i="1"/>
  <c r="F16290" i="1"/>
  <c r="G16290" i="1"/>
  <c r="H16290" i="1"/>
  <c r="A16291" i="1"/>
  <c r="B16291" i="1"/>
  <c r="C16291" i="1"/>
  <c r="D16291" i="1"/>
  <c r="E16291" i="1"/>
  <c r="F16291" i="1"/>
  <c r="G16291" i="1"/>
  <c r="H16291" i="1"/>
  <c r="A16292" i="1"/>
  <c r="B16292" i="1"/>
  <c r="C16292" i="1"/>
  <c r="D16292" i="1"/>
  <c r="E16292" i="1"/>
  <c r="F16292" i="1"/>
  <c r="G16292" i="1"/>
  <c r="H16292" i="1"/>
  <c r="A16293" i="1"/>
  <c r="B16293" i="1"/>
  <c r="C16293" i="1"/>
  <c r="D16293" i="1"/>
  <c r="E16293" i="1"/>
  <c r="F16293" i="1"/>
  <c r="G16293" i="1"/>
  <c r="H16293" i="1"/>
  <c r="A16294" i="1"/>
  <c r="B16294" i="1"/>
  <c r="C16294" i="1"/>
  <c r="D16294" i="1"/>
  <c r="E16294" i="1"/>
  <c r="F16294" i="1"/>
  <c r="G16294" i="1"/>
  <c r="H16294" i="1"/>
  <c r="A16295" i="1"/>
  <c r="B16295" i="1"/>
  <c r="C16295" i="1"/>
  <c r="D16295" i="1"/>
  <c r="E16295" i="1"/>
  <c r="F16295" i="1"/>
  <c r="G16295" i="1"/>
  <c r="H16295" i="1"/>
  <c r="A16296" i="1"/>
  <c r="B16296" i="1"/>
  <c r="C16296" i="1"/>
  <c r="D16296" i="1"/>
  <c r="E16296" i="1"/>
  <c r="F16296" i="1"/>
  <c r="G16296" i="1"/>
  <c r="H16296" i="1"/>
  <c r="A16297" i="1"/>
  <c r="B16297" i="1"/>
  <c r="C16297" i="1"/>
  <c r="D16297" i="1"/>
  <c r="E16297" i="1"/>
  <c r="F16297" i="1"/>
  <c r="G16297" i="1"/>
  <c r="H16297" i="1"/>
  <c r="A16298" i="1"/>
  <c r="B16298" i="1"/>
  <c r="C16298" i="1"/>
  <c r="D16298" i="1"/>
  <c r="E16298" i="1"/>
  <c r="F16298" i="1"/>
  <c r="G16298" i="1"/>
  <c r="H16298" i="1"/>
  <c r="A16299" i="1"/>
  <c r="B16299" i="1"/>
  <c r="C16299" i="1"/>
  <c r="D16299" i="1"/>
  <c r="E16299" i="1"/>
  <c r="F16299" i="1"/>
  <c r="G16299" i="1"/>
  <c r="H16299" i="1"/>
  <c r="A16300" i="1"/>
  <c r="B16300" i="1"/>
  <c r="C16300" i="1"/>
  <c r="D16300" i="1"/>
  <c r="E16300" i="1"/>
  <c r="F16300" i="1"/>
  <c r="G16300" i="1"/>
  <c r="H16300" i="1"/>
  <c r="A16301" i="1"/>
  <c r="B16301" i="1"/>
  <c r="C16301" i="1"/>
  <c r="D16301" i="1"/>
  <c r="E16301" i="1"/>
  <c r="F16301" i="1"/>
  <c r="G16301" i="1"/>
  <c r="H16301" i="1"/>
  <c r="A16302" i="1"/>
  <c r="B16302" i="1"/>
  <c r="C16302" i="1"/>
  <c r="D16302" i="1"/>
  <c r="E16302" i="1"/>
  <c r="F16302" i="1"/>
  <c r="G16302" i="1"/>
  <c r="H16302" i="1"/>
  <c r="A16303" i="1"/>
  <c r="B16303" i="1"/>
  <c r="C16303" i="1"/>
  <c r="D16303" i="1"/>
  <c r="E16303" i="1"/>
  <c r="F16303" i="1"/>
  <c r="G16303" i="1"/>
  <c r="H16303" i="1"/>
  <c r="A16304" i="1"/>
  <c r="B16304" i="1"/>
  <c r="C16304" i="1"/>
  <c r="D16304" i="1"/>
  <c r="E16304" i="1"/>
  <c r="F16304" i="1"/>
  <c r="G16304" i="1"/>
  <c r="H16304" i="1"/>
  <c r="A16305" i="1"/>
  <c r="B16305" i="1"/>
  <c r="C16305" i="1"/>
  <c r="D16305" i="1"/>
  <c r="E16305" i="1"/>
  <c r="F16305" i="1"/>
  <c r="G16305" i="1"/>
  <c r="H16305" i="1"/>
  <c r="A16306" i="1"/>
  <c r="B16306" i="1"/>
  <c r="C16306" i="1"/>
  <c r="D16306" i="1"/>
  <c r="E16306" i="1"/>
  <c r="F16306" i="1"/>
  <c r="G16306" i="1"/>
  <c r="H16306" i="1"/>
  <c r="A16307" i="1"/>
  <c r="B16307" i="1"/>
  <c r="C16307" i="1"/>
  <c r="D16307" i="1"/>
  <c r="E16307" i="1"/>
  <c r="F16307" i="1"/>
  <c r="G16307" i="1"/>
  <c r="H16307" i="1"/>
  <c r="A16308" i="1"/>
  <c r="B16308" i="1"/>
  <c r="C16308" i="1"/>
  <c r="D16308" i="1"/>
  <c r="E16308" i="1"/>
  <c r="F16308" i="1"/>
  <c r="G16308" i="1"/>
  <c r="H16308" i="1"/>
  <c r="A16309" i="1"/>
  <c r="B16309" i="1"/>
  <c r="C16309" i="1"/>
  <c r="D16309" i="1"/>
  <c r="E16309" i="1"/>
  <c r="F16309" i="1"/>
  <c r="G16309" i="1"/>
  <c r="H16309" i="1"/>
  <c r="A16310" i="1"/>
  <c r="B16310" i="1"/>
  <c r="C16310" i="1"/>
  <c r="D16310" i="1"/>
  <c r="E16310" i="1"/>
  <c r="F16310" i="1"/>
  <c r="G16310" i="1"/>
  <c r="H16310" i="1"/>
  <c r="A16311" i="1"/>
  <c r="B16311" i="1"/>
  <c r="C16311" i="1"/>
  <c r="D16311" i="1"/>
  <c r="E16311" i="1"/>
  <c r="F16311" i="1"/>
  <c r="G16311" i="1"/>
  <c r="H16311" i="1"/>
  <c r="A16312" i="1"/>
  <c r="B16312" i="1"/>
  <c r="C16312" i="1"/>
  <c r="D16312" i="1"/>
  <c r="E16312" i="1"/>
  <c r="F16312" i="1"/>
  <c r="G16312" i="1"/>
  <c r="H16312" i="1"/>
  <c r="A16313" i="1"/>
  <c r="B16313" i="1"/>
  <c r="C16313" i="1"/>
  <c r="D16313" i="1"/>
  <c r="E16313" i="1"/>
  <c r="F16313" i="1"/>
  <c r="G16313" i="1"/>
  <c r="H16313" i="1"/>
  <c r="A16314" i="1"/>
  <c r="B16314" i="1"/>
  <c r="C16314" i="1"/>
  <c r="D16314" i="1"/>
  <c r="E16314" i="1"/>
  <c r="F16314" i="1"/>
  <c r="G16314" i="1"/>
  <c r="H16314" i="1"/>
  <c r="A16315" i="1"/>
  <c r="B16315" i="1"/>
  <c r="C16315" i="1"/>
  <c r="D16315" i="1"/>
  <c r="E16315" i="1"/>
  <c r="F16315" i="1"/>
  <c r="G16315" i="1"/>
  <c r="H16315" i="1"/>
  <c r="A16316" i="1"/>
  <c r="B16316" i="1"/>
  <c r="C16316" i="1"/>
  <c r="D16316" i="1"/>
  <c r="E16316" i="1"/>
  <c r="F16316" i="1"/>
  <c r="G16316" i="1"/>
  <c r="H16316" i="1"/>
  <c r="A16317" i="1"/>
  <c r="B16317" i="1"/>
  <c r="C16317" i="1"/>
  <c r="D16317" i="1"/>
  <c r="E16317" i="1"/>
  <c r="F16317" i="1"/>
  <c r="G16317" i="1"/>
  <c r="H16317" i="1"/>
  <c r="A16318" i="1"/>
  <c r="B16318" i="1"/>
  <c r="C16318" i="1"/>
  <c r="D16318" i="1"/>
  <c r="E16318" i="1"/>
  <c r="F16318" i="1"/>
  <c r="G16318" i="1"/>
  <c r="H16318" i="1"/>
  <c r="A16319" i="1"/>
  <c r="B16319" i="1"/>
  <c r="C16319" i="1"/>
  <c r="D16319" i="1"/>
  <c r="E16319" i="1"/>
  <c r="F16319" i="1"/>
  <c r="G16319" i="1"/>
  <c r="H16319" i="1"/>
  <c r="A16320" i="1"/>
  <c r="B16320" i="1"/>
  <c r="C16320" i="1"/>
  <c r="D16320" i="1"/>
  <c r="E16320" i="1"/>
  <c r="F16320" i="1"/>
  <c r="G16320" i="1"/>
  <c r="H16320" i="1"/>
  <c r="A16321" i="1"/>
  <c r="B16321" i="1"/>
  <c r="C16321" i="1"/>
  <c r="D16321" i="1"/>
  <c r="E16321" i="1"/>
  <c r="F16321" i="1"/>
  <c r="G16321" i="1"/>
  <c r="H16321" i="1"/>
  <c r="A16322" i="1"/>
  <c r="B16322" i="1"/>
  <c r="C16322" i="1"/>
  <c r="D16322" i="1"/>
  <c r="E16322" i="1"/>
  <c r="F16322" i="1"/>
  <c r="G16322" i="1"/>
  <c r="H16322" i="1"/>
  <c r="A16323" i="1"/>
  <c r="B16323" i="1"/>
  <c r="C16323" i="1"/>
  <c r="D16323" i="1"/>
  <c r="E16323" i="1"/>
  <c r="F16323" i="1"/>
  <c r="G16323" i="1"/>
  <c r="H16323" i="1"/>
  <c r="A16324" i="1"/>
  <c r="B16324" i="1"/>
  <c r="C16324" i="1"/>
  <c r="D16324" i="1"/>
  <c r="E16324" i="1"/>
  <c r="F16324" i="1"/>
  <c r="G16324" i="1"/>
  <c r="H16324" i="1"/>
  <c r="A16325" i="1"/>
  <c r="B16325" i="1"/>
  <c r="C16325" i="1"/>
  <c r="D16325" i="1"/>
  <c r="E16325" i="1"/>
  <c r="F16325" i="1"/>
  <c r="G16325" i="1"/>
  <c r="H16325" i="1"/>
  <c r="A16326" i="1"/>
  <c r="B16326" i="1"/>
  <c r="C16326" i="1"/>
  <c r="D16326" i="1"/>
  <c r="E16326" i="1"/>
  <c r="F16326" i="1"/>
  <c r="G16326" i="1"/>
  <c r="H16326" i="1"/>
  <c r="A16327" i="1"/>
  <c r="B16327" i="1"/>
  <c r="C16327" i="1"/>
  <c r="D16327" i="1"/>
  <c r="E16327" i="1"/>
  <c r="F16327" i="1"/>
  <c r="G16327" i="1"/>
  <c r="H16327" i="1"/>
  <c r="A16328" i="1"/>
  <c r="B16328" i="1"/>
  <c r="C16328" i="1"/>
  <c r="D16328" i="1"/>
  <c r="E16328" i="1"/>
  <c r="F16328" i="1"/>
  <c r="G16328" i="1"/>
  <c r="H16328" i="1"/>
  <c r="A16329" i="1"/>
  <c r="B16329" i="1"/>
  <c r="C16329" i="1"/>
  <c r="D16329" i="1"/>
  <c r="E16329" i="1"/>
  <c r="F16329" i="1"/>
  <c r="G16329" i="1"/>
  <c r="H16329" i="1"/>
  <c r="A16330" i="1"/>
  <c r="B16330" i="1"/>
  <c r="C16330" i="1"/>
  <c r="D16330" i="1"/>
  <c r="E16330" i="1"/>
  <c r="F16330" i="1"/>
  <c r="G16330" i="1"/>
  <c r="H16330" i="1"/>
  <c r="A16331" i="1"/>
  <c r="B16331" i="1"/>
  <c r="C16331" i="1"/>
  <c r="D16331" i="1"/>
  <c r="E16331" i="1"/>
  <c r="F16331" i="1"/>
  <c r="G16331" i="1"/>
  <c r="H16331" i="1"/>
  <c r="A16332" i="1"/>
  <c r="B16332" i="1"/>
  <c r="C16332" i="1"/>
  <c r="D16332" i="1"/>
  <c r="E16332" i="1"/>
  <c r="F16332" i="1"/>
  <c r="G16332" i="1"/>
  <c r="H16332" i="1"/>
  <c r="A16333" i="1"/>
  <c r="B16333" i="1"/>
  <c r="C16333" i="1"/>
  <c r="D16333" i="1"/>
  <c r="E16333" i="1"/>
  <c r="F16333" i="1"/>
  <c r="G16333" i="1"/>
  <c r="H16333" i="1"/>
  <c r="A16334" i="1"/>
  <c r="B16334" i="1"/>
  <c r="C16334" i="1"/>
  <c r="D16334" i="1"/>
  <c r="E16334" i="1"/>
  <c r="F16334" i="1"/>
  <c r="G16334" i="1"/>
  <c r="H16334" i="1"/>
  <c r="A16335" i="1"/>
  <c r="B16335" i="1"/>
  <c r="C16335" i="1"/>
  <c r="D16335" i="1"/>
  <c r="E16335" i="1"/>
  <c r="F16335" i="1"/>
  <c r="G16335" i="1"/>
  <c r="H16335" i="1"/>
  <c r="A16336" i="1"/>
  <c r="B16336" i="1"/>
  <c r="C16336" i="1"/>
  <c r="D16336" i="1"/>
  <c r="E16336" i="1"/>
  <c r="F16336" i="1"/>
  <c r="G16336" i="1"/>
  <c r="H16336" i="1"/>
  <c r="A16337" i="1"/>
  <c r="B16337" i="1"/>
  <c r="C16337" i="1"/>
  <c r="D16337" i="1"/>
  <c r="E16337" i="1"/>
  <c r="F16337" i="1"/>
  <c r="G16337" i="1"/>
  <c r="H16337" i="1"/>
  <c r="A16338" i="1"/>
  <c r="B16338" i="1"/>
  <c r="C16338" i="1"/>
  <c r="D16338" i="1"/>
  <c r="E16338" i="1"/>
  <c r="F16338" i="1"/>
  <c r="G16338" i="1"/>
  <c r="H16338" i="1"/>
  <c r="A16339" i="1"/>
  <c r="B16339" i="1"/>
  <c r="C16339" i="1"/>
  <c r="D16339" i="1"/>
  <c r="E16339" i="1"/>
  <c r="F16339" i="1"/>
  <c r="G16339" i="1"/>
  <c r="H16339" i="1"/>
  <c r="A16340" i="1"/>
  <c r="B16340" i="1"/>
  <c r="C16340" i="1"/>
  <c r="D16340" i="1"/>
  <c r="E16340" i="1"/>
  <c r="F16340" i="1"/>
  <c r="G16340" i="1"/>
  <c r="H16340" i="1"/>
  <c r="A16341" i="1"/>
  <c r="B16341" i="1"/>
  <c r="C16341" i="1"/>
  <c r="D16341" i="1"/>
  <c r="E16341" i="1"/>
  <c r="F16341" i="1"/>
  <c r="G16341" i="1"/>
  <c r="H16341" i="1"/>
  <c r="A16342" i="1"/>
  <c r="B16342" i="1"/>
  <c r="C16342" i="1"/>
  <c r="D16342" i="1"/>
  <c r="E16342" i="1"/>
  <c r="F16342" i="1"/>
  <c r="G16342" i="1"/>
  <c r="H16342" i="1"/>
  <c r="A16343" i="1"/>
  <c r="B16343" i="1"/>
  <c r="C16343" i="1"/>
  <c r="D16343" i="1"/>
  <c r="E16343" i="1"/>
  <c r="F16343" i="1"/>
  <c r="G16343" i="1"/>
  <c r="H16343" i="1"/>
  <c r="A16344" i="1"/>
  <c r="B16344" i="1"/>
  <c r="C16344" i="1"/>
  <c r="D16344" i="1"/>
  <c r="E16344" i="1"/>
  <c r="F16344" i="1"/>
  <c r="G16344" i="1"/>
  <c r="H16344" i="1"/>
  <c r="A16345" i="1"/>
  <c r="B16345" i="1"/>
  <c r="C16345" i="1"/>
  <c r="D16345" i="1"/>
  <c r="E16345" i="1"/>
  <c r="F16345" i="1"/>
  <c r="G16345" i="1"/>
  <c r="H16345" i="1"/>
  <c r="A16346" i="1"/>
  <c r="B16346" i="1"/>
  <c r="C16346" i="1"/>
  <c r="D16346" i="1"/>
  <c r="E16346" i="1"/>
  <c r="F16346" i="1"/>
  <c r="G16346" i="1"/>
  <c r="H16346" i="1"/>
  <c r="A16347" i="1"/>
  <c r="B16347" i="1"/>
  <c r="C16347" i="1"/>
  <c r="D16347" i="1"/>
  <c r="E16347" i="1"/>
  <c r="F16347" i="1"/>
  <c r="G16347" i="1"/>
  <c r="H16347" i="1"/>
  <c r="A16348" i="1"/>
  <c r="B16348" i="1"/>
  <c r="C16348" i="1"/>
  <c r="D16348" i="1"/>
  <c r="E16348" i="1"/>
  <c r="F16348" i="1"/>
  <c r="G16348" i="1"/>
  <c r="H16348" i="1"/>
  <c r="A16349" i="1"/>
  <c r="B16349" i="1"/>
  <c r="C16349" i="1"/>
  <c r="D16349" i="1"/>
  <c r="E16349" i="1"/>
  <c r="F16349" i="1"/>
  <c r="G16349" i="1"/>
  <c r="H16349" i="1"/>
  <c r="A16350" i="1"/>
  <c r="B16350" i="1"/>
  <c r="C16350" i="1"/>
  <c r="D16350" i="1"/>
  <c r="E16350" i="1"/>
  <c r="F16350" i="1"/>
  <c r="G16350" i="1"/>
  <c r="H16350" i="1"/>
  <c r="A16351" i="1"/>
  <c r="B16351" i="1"/>
  <c r="C16351" i="1"/>
  <c r="D16351" i="1"/>
  <c r="E16351" i="1"/>
  <c r="F16351" i="1"/>
  <c r="G16351" i="1"/>
  <c r="H16351" i="1"/>
  <c r="A16352" i="1"/>
  <c r="B16352" i="1"/>
  <c r="C16352" i="1"/>
  <c r="D16352" i="1"/>
  <c r="E16352" i="1"/>
  <c r="F16352" i="1"/>
  <c r="G16352" i="1"/>
  <c r="H16352" i="1"/>
  <c r="A16353" i="1"/>
  <c r="B16353" i="1"/>
  <c r="C16353" i="1"/>
  <c r="D16353" i="1"/>
  <c r="E16353" i="1"/>
  <c r="F16353" i="1"/>
  <c r="G16353" i="1"/>
  <c r="H16353" i="1"/>
  <c r="A16354" i="1"/>
  <c r="B16354" i="1"/>
  <c r="C16354" i="1"/>
  <c r="D16354" i="1"/>
  <c r="E16354" i="1"/>
  <c r="F16354" i="1"/>
  <c r="G16354" i="1"/>
  <c r="H16354" i="1"/>
  <c r="A16355" i="1"/>
  <c r="B16355" i="1"/>
  <c r="C16355" i="1"/>
  <c r="D16355" i="1"/>
  <c r="E16355" i="1"/>
  <c r="F16355" i="1"/>
  <c r="G16355" i="1"/>
  <c r="H16355" i="1"/>
  <c r="A16356" i="1"/>
  <c r="B16356" i="1"/>
  <c r="C16356" i="1"/>
  <c r="D16356" i="1"/>
  <c r="E16356" i="1"/>
  <c r="F16356" i="1"/>
  <c r="G16356" i="1"/>
  <c r="H16356" i="1"/>
  <c r="A16357" i="1"/>
  <c r="B16357" i="1"/>
  <c r="C16357" i="1"/>
  <c r="D16357" i="1"/>
  <c r="E16357" i="1"/>
  <c r="F16357" i="1"/>
  <c r="G16357" i="1"/>
  <c r="H16357" i="1"/>
  <c r="A16358" i="1"/>
  <c r="B16358" i="1"/>
  <c r="C16358" i="1"/>
  <c r="D16358" i="1"/>
  <c r="E16358" i="1"/>
  <c r="F16358" i="1"/>
  <c r="G16358" i="1"/>
  <c r="H16358" i="1"/>
  <c r="A16359" i="1"/>
  <c r="B16359" i="1"/>
  <c r="C16359" i="1"/>
  <c r="D16359" i="1"/>
  <c r="E16359" i="1"/>
  <c r="F16359" i="1"/>
  <c r="G16359" i="1"/>
  <c r="H16359" i="1"/>
  <c r="A16360" i="1"/>
  <c r="B16360" i="1"/>
  <c r="C16360" i="1"/>
  <c r="D16360" i="1"/>
  <c r="E16360" i="1"/>
  <c r="F16360" i="1"/>
  <c r="G16360" i="1"/>
  <c r="H16360" i="1"/>
  <c r="A16361" i="1"/>
  <c r="B16361" i="1"/>
  <c r="C16361" i="1"/>
  <c r="D16361" i="1"/>
  <c r="E16361" i="1"/>
  <c r="F16361" i="1"/>
  <c r="G16361" i="1"/>
  <c r="H16361" i="1"/>
  <c r="A16362" i="1"/>
  <c r="B16362" i="1"/>
  <c r="C16362" i="1"/>
  <c r="D16362" i="1"/>
  <c r="E16362" i="1"/>
  <c r="F16362" i="1"/>
  <c r="G16362" i="1"/>
  <c r="H16362" i="1"/>
  <c r="A16363" i="1"/>
  <c r="B16363" i="1"/>
  <c r="C16363" i="1"/>
  <c r="D16363" i="1"/>
  <c r="E16363" i="1"/>
  <c r="F16363" i="1"/>
  <c r="G16363" i="1"/>
  <c r="H16363" i="1"/>
  <c r="A16364" i="1"/>
  <c r="B16364" i="1"/>
  <c r="C16364" i="1"/>
  <c r="D16364" i="1"/>
  <c r="E16364" i="1"/>
  <c r="F16364" i="1"/>
  <c r="G16364" i="1"/>
  <c r="H16364" i="1"/>
  <c r="A16365" i="1"/>
  <c r="B16365" i="1"/>
  <c r="C16365" i="1"/>
  <c r="D16365" i="1"/>
  <c r="E16365" i="1"/>
  <c r="F16365" i="1"/>
  <c r="G16365" i="1"/>
  <c r="H16365" i="1"/>
  <c r="A16366" i="1"/>
  <c r="B16366" i="1"/>
  <c r="C16366" i="1"/>
  <c r="D16366" i="1"/>
  <c r="E16366" i="1"/>
  <c r="F16366" i="1"/>
  <c r="G16366" i="1"/>
  <c r="H16366" i="1"/>
  <c r="A16367" i="1"/>
  <c r="B16367" i="1"/>
  <c r="C16367" i="1"/>
  <c r="D16367" i="1"/>
  <c r="E16367" i="1"/>
  <c r="F16367" i="1"/>
  <c r="G16367" i="1"/>
  <c r="H16367" i="1"/>
  <c r="A16368" i="1"/>
  <c r="B16368" i="1"/>
  <c r="C16368" i="1"/>
  <c r="D16368" i="1"/>
  <c r="E16368" i="1"/>
  <c r="F16368" i="1"/>
  <c r="G16368" i="1"/>
  <c r="H16368" i="1"/>
  <c r="A16369" i="1"/>
  <c r="B16369" i="1"/>
  <c r="C16369" i="1"/>
  <c r="D16369" i="1"/>
  <c r="E16369" i="1"/>
  <c r="F16369" i="1"/>
  <c r="G16369" i="1"/>
  <c r="H16369" i="1"/>
  <c r="A16370" i="1"/>
  <c r="B16370" i="1"/>
  <c r="C16370" i="1"/>
  <c r="D16370" i="1"/>
  <c r="E16370" i="1"/>
  <c r="F16370" i="1"/>
  <c r="G16370" i="1"/>
  <c r="H16370" i="1"/>
  <c r="A16371" i="1"/>
  <c r="B16371" i="1"/>
  <c r="C16371" i="1"/>
  <c r="D16371" i="1"/>
  <c r="E16371" i="1"/>
  <c r="F16371" i="1"/>
  <c r="G16371" i="1"/>
  <c r="H16371" i="1"/>
  <c r="A16372" i="1"/>
  <c r="B16372" i="1"/>
  <c r="C16372" i="1"/>
  <c r="D16372" i="1"/>
  <c r="E16372" i="1"/>
  <c r="F16372" i="1"/>
  <c r="G16372" i="1"/>
  <c r="H16372" i="1"/>
  <c r="A16373" i="1"/>
  <c r="B16373" i="1"/>
  <c r="C16373" i="1"/>
  <c r="D16373" i="1"/>
  <c r="E16373" i="1"/>
  <c r="F16373" i="1"/>
  <c r="G16373" i="1"/>
  <c r="H16373" i="1"/>
  <c r="A16374" i="1"/>
  <c r="B16374" i="1"/>
  <c r="C16374" i="1"/>
  <c r="D16374" i="1"/>
  <c r="E16374" i="1"/>
  <c r="F16374" i="1"/>
  <c r="G16374" i="1"/>
  <c r="H16374" i="1"/>
  <c r="A16375" i="1"/>
  <c r="B16375" i="1"/>
  <c r="C16375" i="1"/>
  <c r="D16375" i="1"/>
  <c r="E16375" i="1"/>
  <c r="F16375" i="1"/>
  <c r="G16375" i="1"/>
  <c r="H16375" i="1"/>
  <c r="A16376" i="1"/>
  <c r="B16376" i="1"/>
  <c r="C16376" i="1"/>
  <c r="D16376" i="1"/>
  <c r="E16376" i="1"/>
  <c r="F16376" i="1"/>
  <c r="G16376" i="1"/>
  <c r="H16376" i="1"/>
  <c r="A16377" i="1"/>
  <c r="B16377" i="1"/>
  <c r="C16377" i="1"/>
  <c r="D16377" i="1"/>
  <c r="E16377" i="1"/>
  <c r="F16377" i="1"/>
  <c r="G16377" i="1"/>
  <c r="H16377" i="1"/>
  <c r="A16378" i="1"/>
  <c r="B16378" i="1"/>
  <c r="C16378" i="1"/>
  <c r="D16378" i="1"/>
  <c r="E16378" i="1"/>
  <c r="F16378" i="1"/>
  <c r="G16378" i="1"/>
  <c r="H16378" i="1"/>
  <c r="A16379" i="1"/>
  <c r="B16379" i="1"/>
  <c r="C16379" i="1"/>
  <c r="D16379" i="1"/>
  <c r="E16379" i="1"/>
  <c r="F16379" i="1"/>
  <c r="G16379" i="1"/>
  <c r="H16379" i="1"/>
  <c r="A16380" i="1"/>
  <c r="B16380" i="1"/>
  <c r="C16380" i="1"/>
  <c r="D16380" i="1"/>
  <c r="E16380" i="1"/>
  <c r="F16380" i="1"/>
  <c r="G16380" i="1"/>
  <c r="H16380" i="1"/>
  <c r="A16381" i="1"/>
  <c r="B16381" i="1"/>
  <c r="C16381" i="1"/>
  <c r="D16381" i="1"/>
  <c r="E16381" i="1"/>
  <c r="F16381" i="1"/>
  <c r="G16381" i="1"/>
  <c r="H16381" i="1"/>
  <c r="A16382" i="1"/>
  <c r="B16382" i="1"/>
  <c r="C16382" i="1"/>
  <c r="D16382" i="1"/>
  <c r="E16382" i="1"/>
  <c r="F16382" i="1"/>
  <c r="G16382" i="1"/>
  <c r="H16382" i="1"/>
  <c r="A16383" i="1"/>
  <c r="B16383" i="1"/>
  <c r="C16383" i="1"/>
  <c r="D16383" i="1"/>
  <c r="E16383" i="1"/>
  <c r="F16383" i="1"/>
  <c r="G16383" i="1"/>
  <c r="H16383" i="1"/>
  <c r="A16384" i="1"/>
  <c r="B16384" i="1"/>
  <c r="C16384" i="1"/>
  <c r="D16384" i="1"/>
  <c r="E16384" i="1"/>
  <c r="F16384" i="1"/>
  <c r="G16384" i="1"/>
  <c r="H16384" i="1"/>
  <c r="A16385" i="1"/>
  <c r="B16385" i="1"/>
  <c r="C16385" i="1"/>
  <c r="D16385" i="1"/>
  <c r="E16385" i="1"/>
  <c r="F16385" i="1"/>
  <c r="G16385" i="1"/>
  <c r="H16385" i="1"/>
  <c r="A16386" i="1"/>
  <c r="B16386" i="1"/>
  <c r="C16386" i="1"/>
  <c r="D16386" i="1"/>
  <c r="E16386" i="1"/>
  <c r="F16386" i="1"/>
  <c r="G16386" i="1"/>
  <c r="H16386" i="1"/>
  <c r="A16387" i="1"/>
  <c r="B16387" i="1"/>
  <c r="C16387" i="1"/>
  <c r="D16387" i="1"/>
  <c r="E16387" i="1"/>
  <c r="F16387" i="1"/>
  <c r="G16387" i="1"/>
  <c r="H16387" i="1"/>
  <c r="A16388" i="1"/>
  <c r="B16388" i="1"/>
  <c r="C16388" i="1"/>
  <c r="D16388" i="1"/>
  <c r="E16388" i="1"/>
  <c r="F16388" i="1"/>
  <c r="G16388" i="1"/>
  <c r="H16388" i="1"/>
  <c r="A16389" i="1"/>
  <c r="B16389" i="1"/>
  <c r="C16389" i="1"/>
  <c r="D16389" i="1"/>
  <c r="E16389" i="1"/>
  <c r="F16389" i="1"/>
  <c r="G16389" i="1"/>
  <c r="H16389" i="1"/>
  <c r="A16390" i="1"/>
  <c r="B16390" i="1"/>
  <c r="C16390" i="1"/>
  <c r="D16390" i="1"/>
  <c r="E16390" i="1"/>
  <c r="F16390" i="1"/>
  <c r="G16390" i="1"/>
  <c r="H16390" i="1"/>
  <c r="A16391" i="1"/>
  <c r="B16391" i="1"/>
  <c r="C16391" i="1"/>
  <c r="D16391" i="1"/>
  <c r="E16391" i="1"/>
  <c r="F16391" i="1"/>
  <c r="G16391" i="1"/>
  <c r="H16391" i="1"/>
  <c r="A16392" i="1"/>
  <c r="B16392" i="1"/>
  <c r="C16392" i="1"/>
  <c r="D16392" i="1"/>
  <c r="E16392" i="1"/>
  <c r="F16392" i="1"/>
  <c r="G16392" i="1"/>
  <c r="H16392" i="1"/>
  <c r="A16393" i="1"/>
  <c r="B16393" i="1"/>
  <c r="C16393" i="1"/>
  <c r="D16393" i="1"/>
  <c r="E16393" i="1"/>
  <c r="F16393" i="1"/>
  <c r="G16393" i="1"/>
  <c r="H16393" i="1"/>
  <c r="A16394" i="1"/>
  <c r="B16394" i="1"/>
  <c r="C16394" i="1"/>
  <c r="D16394" i="1"/>
  <c r="E16394" i="1"/>
  <c r="F16394" i="1"/>
  <c r="G16394" i="1"/>
  <c r="H16394" i="1"/>
  <c r="A16395" i="1"/>
  <c r="B16395" i="1"/>
  <c r="C16395" i="1"/>
  <c r="D16395" i="1"/>
  <c r="E16395" i="1"/>
  <c r="F16395" i="1"/>
  <c r="G16395" i="1"/>
  <c r="H16395" i="1"/>
  <c r="A16396" i="1"/>
  <c r="B16396" i="1"/>
  <c r="C16396" i="1"/>
  <c r="D16396" i="1"/>
  <c r="E16396" i="1"/>
  <c r="F16396" i="1"/>
  <c r="G16396" i="1"/>
  <c r="H16396" i="1"/>
  <c r="A16397" i="1"/>
  <c r="B16397" i="1"/>
  <c r="C16397" i="1"/>
  <c r="D16397" i="1"/>
  <c r="E16397" i="1"/>
  <c r="F16397" i="1"/>
  <c r="G16397" i="1"/>
  <c r="H16397" i="1"/>
  <c r="A16398" i="1"/>
  <c r="B16398" i="1"/>
  <c r="C16398" i="1"/>
  <c r="D16398" i="1"/>
  <c r="E16398" i="1"/>
  <c r="F16398" i="1"/>
  <c r="G16398" i="1"/>
  <c r="H16398" i="1"/>
  <c r="A16399" i="1"/>
  <c r="B16399" i="1"/>
  <c r="C16399" i="1"/>
  <c r="D16399" i="1"/>
  <c r="E16399" i="1"/>
  <c r="F16399" i="1"/>
  <c r="G16399" i="1"/>
  <c r="H16399" i="1"/>
  <c r="A16400" i="1"/>
  <c r="B16400" i="1"/>
  <c r="C16400" i="1"/>
  <c r="D16400" i="1"/>
  <c r="E16400" i="1"/>
  <c r="F16400" i="1"/>
  <c r="G16400" i="1"/>
  <c r="H16400" i="1"/>
  <c r="A16401" i="1"/>
  <c r="B16401" i="1"/>
  <c r="C16401" i="1"/>
  <c r="D16401" i="1"/>
  <c r="E16401" i="1"/>
  <c r="F16401" i="1"/>
  <c r="G16401" i="1"/>
  <c r="H16401" i="1"/>
  <c r="A16402" i="1"/>
  <c r="B16402" i="1"/>
  <c r="C16402" i="1"/>
  <c r="D16402" i="1"/>
  <c r="E16402" i="1"/>
  <c r="F16402" i="1"/>
  <c r="G16402" i="1"/>
  <c r="H16402" i="1"/>
  <c r="A16403" i="1"/>
  <c r="B16403" i="1"/>
  <c r="C16403" i="1"/>
  <c r="D16403" i="1"/>
  <c r="E16403" i="1"/>
  <c r="F16403" i="1"/>
  <c r="G16403" i="1"/>
  <c r="H16403" i="1"/>
  <c r="A16404" i="1"/>
  <c r="B16404" i="1"/>
  <c r="C16404" i="1"/>
  <c r="D16404" i="1"/>
  <c r="E16404" i="1"/>
  <c r="F16404" i="1"/>
  <c r="G16404" i="1"/>
  <c r="H16404" i="1"/>
  <c r="A16405" i="1"/>
  <c r="B16405" i="1"/>
  <c r="C16405" i="1"/>
  <c r="D16405" i="1"/>
  <c r="E16405" i="1"/>
  <c r="F16405" i="1"/>
  <c r="G16405" i="1"/>
  <c r="H16405" i="1"/>
  <c r="A16406" i="1"/>
  <c r="B16406" i="1"/>
  <c r="C16406" i="1"/>
  <c r="D16406" i="1"/>
  <c r="E16406" i="1"/>
  <c r="F16406" i="1"/>
  <c r="G16406" i="1"/>
  <c r="H16406" i="1"/>
  <c r="A16407" i="1"/>
  <c r="B16407" i="1"/>
  <c r="C16407" i="1"/>
  <c r="D16407" i="1"/>
  <c r="E16407" i="1"/>
  <c r="F16407" i="1"/>
  <c r="G16407" i="1"/>
  <c r="H16407" i="1"/>
  <c r="A16408" i="1"/>
  <c r="B16408" i="1"/>
  <c r="C16408" i="1"/>
  <c r="D16408" i="1"/>
  <c r="E16408" i="1"/>
  <c r="F16408" i="1"/>
  <c r="G16408" i="1"/>
  <c r="H16408" i="1"/>
  <c r="A16409" i="1"/>
  <c r="B16409" i="1"/>
  <c r="C16409" i="1"/>
  <c r="D16409" i="1"/>
  <c r="E16409" i="1"/>
  <c r="F16409" i="1"/>
  <c r="G16409" i="1"/>
  <c r="H16409" i="1"/>
  <c r="A16410" i="1"/>
  <c r="B16410" i="1"/>
  <c r="C16410" i="1"/>
  <c r="D16410" i="1"/>
  <c r="E16410" i="1"/>
  <c r="F16410" i="1"/>
  <c r="G16410" i="1"/>
  <c r="H16410" i="1"/>
  <c r="A16411" i="1"/>
  <c r="B16411" i="1"/>
  <c r="C16411" i="1"/>
  <c r="D16411" i="1"/>
  <c r="E16411" i="1"/>
  <c r="F16411" i="1"/>
  <c r="G16411" i="1"/>
  <c r="H16411" i="1"/>
  <c r="A16412" i="1"/>
  <c r="B16412" i="1"/>
  <c r="C16412" i="1"/>
  <c r="D16412" i="1"/>
  <c r="E16412" i="1"/>
  <c r="F16412" i="1"/>
  <c r="G16412" i="1"/>
  <c r="H16412" i="1"/>
  <c r="A16413" i="1"/>
  <c r="B16413" i="1"/>
  <c r="C16413" i="1"/>
  <c r="D16413" i="1"/>
  <c r="E16413" i="1"/>
  <c r="F16413" i="1"/>
  <c r="G16413" i="1"/>
  <c r="H16413" i="1"/>
  <c r="A16414" i="1"/>
  <c r="B16414" i="1"/>
  <c r="C16414" i="1"/>
  <c r="D16414" i="1"/>
  <c r="E16414" i="1"/>
  <c r="F16414" i="1"/>
  <c r="G16414" i="1"/>
  <c r="H16414" i="1"/>
  <c r="A16415" i="1"/>
  <c r="B16415" i="1"/>
  <c r="C16415" i="1"/>
  <c r="D16415" i="1"/>
  <c r="E16415" i="1"/>
  <c r="F16415" i="1"/>
  <c r="G16415" i="1"/>
  <c r="H16415" i="1"/>
  <c r="A16416" i="1"/>
  <c r="B16416" i="1"/>
  <c r="C16416" i="1"/>
  <c r="D16416" i="1"/>
  <c r="E16416" i="1"/>
  <c r="F16416" i="1"/>
  <c r="G16416" i="1"/>
  <c r="H16416" i="1"/>
  <c r="A16417" i="1"/>
  <c r="B16417" i="1"/>
  <c r="C16417" i="1"/>
  <c r="D16417" i="1"/>
  <c r="E16417" i="1"/>
  <c r="F16417" i="1"/>
  <c r="G16417" i="1"/>
  <c r="H16417" i="1"/>
  <c r="A16418" i="1"/>
  <c r="B16418" i="1"/>
  <c r="C16418" i="1"/>
  <c r="D16418" i="1"/>
  <c r="E16418" i="1"/>
  <c r="F16418" i="1"/>
  <c r="G16418" i="1"/>
  <c r="H16418" i="1"/>
  <c r="A16419" i="1"/>
  <c r="B16419" i="1"/>
  <c r="C16419" i="1"/>
  <c r="D16419" i="1"/>
  <c r="E16419" i="1"/>
  <c r="F16419" i="1"/>
  <c r="G16419" i="1"/>
  <c r="H16419" i="1"/>
  <c r="A16420" i="1"/>
  <c r="B16420" i="1"/>
  <c r="C16420" i="1"/>
  <c r="D16420" i="1"/>
  <c r="E16420" i="1"/>
  <c r="F16420" i="1"/>
  <c r="G16420" i="1"/>
  <c r="H16420" i="1"/>
  <c r="A16421" i="1"/>
  <c r="B16421" i="1"/>
  <c r="C16421" i="1"/>
  <c r="D16421" i="1"/>
  <c r="E16421" i="1"/>
  <c r="F16421" i="1"/>
  <c r="G16421" i="1"/>
  <c r="H16421" i="1"/>
  <c r="A16422" i="1"/>
  <c r="B16422" i="1"/>
  <c r="C16422" i="1"/>
  <c r="D16422" i="1"/>
  <c r="E16422" i="1"/>
  <c r="F16422" i="1"/>
  <c r="G16422" i="1"/>
  <c r="H16422" i="1"/>
  <c r="A16423" i="1"/>
  <c r="B16423" i="1"/>
  <c r="C16423" i="1"/>
  <c r="D16423" i="1"/>
  <c r="E16423" i="1"/>
  <c r="F16423" i="1"/>
  <c r="G16423" i="1"/>
  <c r="H16423" i="1"/>
  <c r="A16424" i="1"/>
  <c r="B16424" i="1"/>
  <c r="C16424" i="1"/>
  <c r="D16424" i="1"/>
  <c r="E16424" i="1"/>
  <c r="F16424" i="1"/>
  <c r="G16424" i="1"/>
  <c r="H16424" i="1"/>
  <c r="A16425" i="1"/>
  <c r="B16425" i="1"/>
  <c r="C16425" i="1"/>
  <c r="D16425" i="1"/>
  <c r="E16425" i="1"/>
  <c r="F16425" i="1"/>
  <c r="G16425" i="1"/>
  <c r="H16425" i="1"/>
  <c r="A16426" i="1"/>
  <c r="B16426" i="1"/>
  <c r="C16426" i="1"/>
  <c r="D16426" i="1"/>
  <c r="E16426" i="1"/>
  <c r="F16426" i="1"/>
  <c r="G16426" i="1"/>
  <c r="H16426" i="1"/>
  <c r="A16427" i="1"/>
  <c r="B16427" i="1"/>
  <c r="C16427" i="1"/>
  <c r="D16427" i="1"/>
  <c r="E16427" i="1"/>
  <c r="F16427" i="1"/>
  <c r="G16427" i="1"/>
  <c r="H16427" i="1"/>
  <c r="A16428" i="1"/>
  <c r="B16428" i="1"/>
  <c r="C16428" i="1"/>
  <c r="D16428" i="1"/>
  <c r="E16428" i="1"/>
  <c r="F16428" i="1"/>
  <c r="G16428" i="1"/>
  <c r="H16428" i="1"/>
  <c r="A16429" i="1"/>
  <c r="B16429" i="1"/>
  <c r="C16429" i="1"/>
  <c r="D16429" i="1"/>
  <c r="E16429" i="1"/>
  <c r="F16429" i="1"/>
  <c r="G16429" i="1"/>
  <c r="H16429" i="1"/>
  <c r="A16430" i="1"/>
  <c r="B16430" i="1"/>
  <c r="C16430" i="1"/>
  <c r="D16430" i="1"/>
  <c r="E16430" i="1"/>
  <c r="F16430" i="1"/>
  <c r="G16430" i="1"/>
  <c r="H16430" i="1"/>
  <c r="A16431" i="1"/>
  <c r="B16431" i="1"/>
  <c r="C16431" i="1"/>
  <c r="D16431" i="1"/>
  <c r="E16431" i="1"/>
  <c r="F16431" i="1"/>
  <c r="G16431" i="1"/>
  <c r="H16431" i="1"/>
  <c r="A16432" i="1"/>
  <c r="B16432" i="1"/>
  <c r="C16432" i="1"/>
  <c r="D16432" i="1"/>
  <c r="E16432" i="1"/>
  <c r="F16432" i="1"/>
  <c r="G16432" i="1"/>
  <c r="H16432" i="1"/>
  <c r="A16433" i="1"/>
  <c r="B16433" i="1"/>
  <c r="C16433" i="1"/>
  <c r="D16433" i="1"/>
  <c r="E16433" i="1"/>
  <c r="F16433" i="1"/>
  <c r="G16433" i="1"/>
  <c r="H16433" i="1"/>
  <c r="A16434" i="1"/>
  <c r="B16434" i="1"/>
  <c r="C16434" i="1"/>
  <c r="D16434" i="1"/>
  <c r="E16434" i="1"/>
  <c r="F16434" i="1"/>
  <c r="G16434" i="1"/>
  <c r="H16434" i="1"/>
  <c r="A16435" i="1"/>
  <c r="B16435" i="1"/>
  <c r="C16435" i="1"/>
  <c r="D16435" i="1"/>
  <c r="E16435" i="1"/>
  <c r="F16435" i="1"/>
  <c r="G16435" i="1"/>
  <c r="H16435" i="1"/>
  <c r="A16436" i="1"/>
  <c r="B16436" i="1"/>
  <c r="C16436" i="1"/>
  <c r="D16436" i="1"/>
  <c r="E16436" i="1"/>
  <c r="F16436" i="1"/>
  <c r="G16436" i="1"/>
  <c r="H16436" i="1"/>
  <c r="A16437" i="1"/>
  <c r="B16437" i="1"/>
  <c r="C16437" i="1"/>
  <c r="D16437" i="1"/>
  <c r="E16437" i="1"/>
  <c r="F16437" i="1"/>
  <c r="G16437" i="1"/>
  <c r="H16437" i="1"/>
  <c r="A16438" i="1"/>
  <c r="B16438" i="1"/>
  <c r="C16438" i="1"/>
  <c r="D16438" i="1"/>
  <c r="E16438" i="1"/>
  <c r="F16438" i="1"/>
  <c r="G16438" i="1"/>
  <c r="H16438" i="1"/>
  <c r="A16439" i="1"/>
  <c r="B16439" i="1"/>
  <c r="C16439" i="1"/>
  <c r="D16439" i="1"/>
  <c r="E16439" i="1"/>
  <c r="F16439" i="1"/>
  <c r="G16439" i="1"/>
  <c r="H16439" i="1"/>
  <c r="A16440" i="1"/>
  <c r="B16440" i="1"/>
  <c r="C16440" i="1"/>
  <c r="D16440" i="1"/>
  <c r="E16440" i="1"/>
  <c r="F16440" i="1"/>
  <c r="G16440" i="1"/>
  <c r="H16440" i="1"/>
  <c r="A16441" i="1"/>
  <c r="B16441" i="1"/>
  <c r="C16441" i="1"/>
  <c r="D16441" i="1"/>
  <c r="E16441" i="1"/>
  <c r="F16441" i="1"/>
  <c r="G16441" i="1"/>
  <c r="H16441" i="1"/>
  <c r="A16442" i="1"/>
  <c r="B16442" i="1"/>
  <c r="C16442" i="1"/>
  <c r="D16442" i="1"/>
  <c r="E16442" i="1"/>
  <c r="F16442" i="1"/>
  <c r="G16442" i="1"/>
  <c r="H16442" i="1"/>
  <c r="A16443" i="1"/>
  <c r="B16443" i="1"/>
  <c r="C16443" i="1"/>
  <c r="D16443" i="1"/>
  <c r="E16443" i="1"/>
  <c r="F16443" i="1"/>
  <c r="G16443" i="1"/>
  <c r="H16443" i="1"/>
  <c r="A16444" i="1"/>
  <c r="B16444" i="1"/>
  <c r="C16444" i="1"/>
  <c r="D16444" i="1"/>
  <c r="E16444" i="1"/>
  <c r="F16444" i="1"/>
  <c r="G16444" i="1"/>
  <c r="H16444" i="1"/>
  <c r="A16445" i="1"/>
  <c r="B16445" i="1"/>
  <c r="C16445" i="1"/>
  <c r="D16445" i="1"/>
  <c r="E16445" i="1"/>
  <c r="F16445" i="1"/>
  <c r="G16445" i="1"/>
  <c r="H16445" i="1"/>
  <c r="A16446" i="1"/>
  <c r="B16446" i="1"/>
  <c r="C16446" i="1"/>
  <c r="D16446" i="1"/>
  <c r="E16446" i="1"/>
  <c r="F16446" i="1"/>
  <c r="G16446" i="1"/>
  <c r="H16446" i="1"/>
  <c r="A16447" i="1"/>
  <c r="B16447" i="1"/>
  <c r="C16447" i="1"/>
  <c r="D16447" i="1"/>
  <c r="E16447" i="1"/>
  <c r="F16447" i="1"/>
  <c r="G16447" i="1"/>
  <c r="H16447" i="1"/>
  <c r="A16448" i="1"/>
  <c r="B16448" i="1"/>
  <c r="C16448" i="1"/>
  <c r="D16448" i="1"/>
  <c r="E16448" i="1"/>
  <c r="F16448" i="1"/>
  <c r="G16448" i="1"/>
  <c r="H16448" i="1"/>
  <c r="A16449" i="1"/>
  <c r="B16449" i="1"/>
  <c r="C16449" i="1"/>
  <c r="D16449" i="1"/>
  <c r="E16449" i="1"/>
  <c r="F16449" i="1"/>
  <c r="G16449" i="1"/>
  <c r="H16449" i="1"/>
  <c r="A16450" i="1"/>
  <c r="B16450" i="1"/>
  <c r="C16450" i="1"/>
  <c r="D16450" i="1"/>
  <c r="E16450" i="1"/>
  <c r="F16450" i="1"/>
  <c r="G16450" i="1"/>
  <c r="H16450" i="1"/>
  <c r="A16451" i="1"/>
  <c r="B16451" i="1"/>
  <c r="C16451" i="1"/>
  <c r="D16451" i="1"/>
  <c r="E16451" i="1"/>
  <c r="F16451" i="1"/>
  <c r="G16451" i="1"/>
  <c r="H16451" i="1"/>
  <c r="A16452" i="1"/>
  <c r="B16452" i="1"/>
  <c r="C16452" i="1"/>
  <c r="D16452" i="1"/>
  <c r="E16452" i="1"/>
  <c r="F16452" i="1"/>
  <c r="G16452" i="1"/>
  <c r="H16452" i="1"/>
  <c r="A16453" i="1"/>
  <c r="B16453" i="1"/>
  <c r="C16453" i="1"/>
  <c r="D16453" i="1"/>
  <c r="E16453" i="1"/>
  <c r="F16453" i="1"/>
  <c r="G16453" i="1"/>
  <c r="H16453" i="1"/>
  <c r="A16454" i="1"/>
  <c r="B16454" i="1"/>
  <c r="C16454" i="1"/>
  <c r="D16454" i="1"/>
  <c r="E16454" i="1"/>
  <c r="F16454" i="1"/>
  <c r="G16454" i="1"/>
  <c r="H16454" i="1"/>
  <c r="A16455" i="1"/>
  <c r="B16455" i="1"/>
  <c r="C16455" i="1"/>
  <c r="D16455" i="1"/>
  <c r="E16455" i="1"/>
  <c r="F16455" i="1"/>
  <c r="G16455" i="1"/>
  <c r="H16455" i="1"/>
  <c r="A16456" i="1"/>
  <c r="B16456" i="1"/>
  <c r="C16456" i="1"/>
  <c r="D16456" i="1"/>
  <c r="E16456" i="1"/>
  <c r="F16456" i="1"/>
  <c r="G16456" i="1"/>
  <c r="H16456" i="1"/>
  <c r="A16457" i="1"/>
  <c r="B16457" i="1"/>
  <c r="C16457" i="1"/>
  <c r="D16457" i="1"/>
  <c r="E16457" i="1"/>
  <c r="F16457" i="1"/>
  <c r="G16457" i="1"/>
  <c r="H16457" i="1"/>
  <c r="A16458" i="1"/>
  <c r="B16458" i="1"/>
  <c r="C16458" i="1"/>
  <c r="D16458" i="1"/>
  <c r="E16458" i="1"/>
  <c r="F16458" i="1"/>
  <c r="G16458" i="1"/>
  <c r="H16458" i="1"/>
  <c r="A16459" i="1"/>
  <c r="B16459" i="1"/>
  <c r="C16459" i="1"/>
  <c r="D16459" i="1"/>
  <c r="E16459" i="1"/>
  <c r="F16459" i="1"/>
  <c r="G16459" i="1"/>
  <c r="H16459" i="1"/>
  <c r="A16460" i="1"/>
  <c r="B16460" i="1"/>
  <c r="C16460" i="1"/>
  <c r="D16460" i="1"/>
  <c r="E16460" i="1"/>
  <c r="F16460" i="1"/>
  <c r="G16460" i="1"/>
  <c r="H16460" i="1"/>
  <c r="A16461" i="1"/>
  <c r="B16461" i="1"/>
  <c r="C16461" i="1"/>
  <c r="D16461" i="1"/>
  <c r="E16461" i="1"/>
  <c r="F16461" i="1"/>
  <c r="G16461" i="1"/>
  <c r="H16461" i="1"/>
  <c r="A16462" i="1"/>
  <c r="B16462" i="1"/>
  <c r="C16462" i="1"/>
  <c r="D16462" i="1"/>
  <c r="E16462" i="1"/>
  <c r="F16462" i="1"/>
  <c r="G16462" i="1"/>
  <c r="H16462" i="1"/>
  <c r="A16463" i="1"/>
  <c r="B16463" i="1"/>
  <c r="C16463" i="1"/>
  <c r="D16463" i="1"/>
  <c r="E16463" i="1"/>
  <c r="F16463" i="1"/>
  <c r="G16463" i="1"/>
  <c r="H16463" i="1"/>
  <c r="A16464" i="1"/>
  <c r="B16464" i="1"/>
  <c r="C16464" i="1"/>
  <c r="D16464" i="1"/>
  <c r="E16464" i="1"/>
  <c r="F16464" i="1"/>
  <c r="G16464" i="1"/>
  <c r="H16464" i="1"/>
  <c r="A16465" i="1"/>
  <c r="B16465" i="1"/>
  <c r="C16465" i="1"/>
  <c r="D16465" i="1"/>
  <c r="E16465" i="1"/>
  <c r="F16465" i="1"/>
  <c r="G16465" i="1"/>
  <c r="H16465" i="1"/>
  <c r="A16466" i="1"/>
  <c r="B16466" i="1"/>
  <c r="C16466" i="1"/>
  <c r="D16466" i="1"/>
  <c r="E16466" i="1"/>
  <c r="F16466" i="1"/>
  <c r="G16466" i="1"/>
  <c r="H16466" i="1"/>
  <c r="A16467" i="1"/>
  <c r="B16467" i="1"/>
  <c r="C16467" i="1"/>
  <c r="D16467" i="1"/>
  <c r="E16467" i="1"/>
  <c r="F16467" i="1"/>
  <c r="G16467" i="1"/>
  <c r="H16467" i="1"/>
  <c r="A16468" i="1"/>
  <c r="B16468" i="1"/>
  <c r="C16468" i="1"/>
  <c r="D16468" i="1"/>
  <c r="E16468" i="1"/>
  <c r="F16468" i="1"/>
  <c r="G16468" i="1"/>
  <c r="H16468" i="1"/>
  <c r="A16469" i="1"/>
  <c r="B16469" i="1"/>
  <c r="C16469" i="1"/>
  <c r="D16469" i="1"/>
  <c r="E16469" i="1"/>
  <c r="F16469" i="1"/>
  <c r="G16469" i="1"/>
  <c r="H16469" i="1"/>
  <c r="A16470" i="1"/>
  <c r="B16470" i="1"/>
  <c r="C16470" i="1"/>
  <c r="D16470" i="1"/>
  <c r="E16470" i="1"/>
  <c r="F16470" i="1"/>
  <c r="G16470" i="1"/>
  <c r="H16470" i="1"/>
  <c r="A16471" i="1"/>
  <c r="B16471" i="1"/>
  <c r="C16471" i="1"/>
  <c r="D16471" i="1"/>
  <c r="E16471" i="1"/>
  <c r="F16471" i="1"/>
  <c r="G16471" i="1"/>
  <c r="H16471" i="1"/>
  <c r="A16472" i="1"/>
  <c r="B16472" i="1"/>
  <c r="C16472" i="1"/>
  <c r="D16472" i="1"/>
  <c r="E16472" i="1"/>
  <c r="F16472" i="1"/>
  <c r="G16472" i="1"/>
  <c r="H16472" i="1"/>
  <c r="A16473" i="1"/>
  <c r="B16473" i="1"/>
  <c r="C16473" i="1"/>
  <c r="D16473" i="1"/>
  <c r="E16473" i="1"/>
  <c r="F16473" i="1"/>
  <c r="G16473" i="1"/>
  <c r="H16473" i="1"/>
  <c r="A16474" i="1"/>
  <c r="B16474" i="1"/>
  <c r="C16474" i="1"/>
  <c r="D16474" i="1"/>
  <c r="E16474" i="1"/>
  <c r="F16474" i="1"/>
  <c r="G16474" i="1"/>
  <c r="H16474" i="1"/>
  <c r="A16475" i="1"/>
  <c r="B16475" i="1"/>
  <c r="C16475" i="1"/>
  <c r="D16475" i="1"/>
  <c r="E16475" i="1"/>
  <c r="F16475" i="1"/>
  <c r="G16475" i="1"/>
  <c r="H16475" i="1"/>
  <c r="A16476" i="1"/>
  <c r="B16476" i="1"/>
  <c r="C16476" i="1"/>
  <c r="D16476" i="1"/>
  <c r="E16476" i="1"/>
  <c r="F16476" i="1"/>
  <c r="G16476" i="1"/>
  <c r="H16476" i="1"/>
  <c r="A16477" i="1"/>
  <c r="B16477" i="1"/>
  <c r="C16477" i="1"/>
  <c r="D16477" i="1"/>
  <c r="E16477" i="1"/>
  <c r="F16477" i="1"/>
  <c r="G16477" i="1"/>
  <c r="H16477" i="1"/>
  <c r="A16478" i="1"/>
  <c r="B16478" i="1"/>
  <c r="C16478" i="1"/>
  <c r="D16478" i="1"/>
  <c r="E16478" i="1"/>
  <c r="F16478" i="1"/>
  <c r="G16478" i="1"/>
  <c r="H16478" i="1"/>
  <c r="A16479" i="1"/>
  <c r="B16479" i="1"/>
  <c r="C16479" i="1"/>
  <c r="D16479" i="1"/>
  <c r="E16479" i="1"/>
  <c r="F16479" i="1"/>
  <c r="G16479" i="1"/>
  <c r="H16479" i="1"/>
  <c r="A16480" i="1"/>
  <c r="B16480" i="1"/>
  <c r="C16480" i="1"/>
  <c r="D16480" i="1"/>
  <c r="E16480" i="1"/>
  <c r="F16480" i="1"/>
  <c r="G16480" i="1"/>
  <c r="H16480" i="1"/>
  <c r="A16481" i="1"/>
  <c r="B16481" i="1"/>
  <c r="C16481" i="1"/>
  <c r="D16481" i="1"/>
  <c r="E16481" i="1"/>
  <c r="F16481" i="1"/>
  <c r="G16481" i="1"/>
  <c r="H16481" i="1"/>
  <c r="A16482" i="1"/>
  <c r="B16482" i="1"/>
  <c r="C16482" i="1"/>
  <c r="D16482" i="1"/>
  <c r="E16482" i="1"/>
  <c r="F16482" i="1"/>
  <c r="G16482" i="1"/>
  <c r="H16482" i="1"/>
  <c r="A16483" i="1"/>
  <c r="B16483" i="1"/>
  <c r="C16483" i="1"/>
  <c r="D16483" i="1"/>
  <c r="E16483" i="1"/>
  <c r="F16483" i="1"/>
  <c r="G16483" i="1"/>
  <c r="H16483" i="1"/>
  <c r="A16484" i="1"/>
  <c r="B16484" i="1"/>
  <c r="C16484" i="1"/>
  <c r="D16484" i="1"/>
  <c r="E16484" i="1"/>
  <c r="F16484" i="1"/>
  <c r="G16484" i="1"/>
  <c r="H16484" i="1"/>
  <c r="A16485" i="1"/>
  <c r="B16485" i="1"/>
  <c r="C16485" i="1"/>
  <c r="D16485" i="1"/>
  <c r="E16485" i="1"/>
  <c r="F16485" i="1"/>
  <c r="G16485" i="1"/>
  <c r="H16485" i="1"/>
  <c r="A16486" i="1"/>
  <c r="B16486" i="1"/>
  <c r="C16486" i="1"/>
  <c r="D16486" i="1"/>
  <c r="E16486" i="1"/>
  <c r="F16486" i="1"/>
  <c r="G16486" i="1"/>
  <c r="H16486" i="1"/>
  <c r="A16487" i="1"/>
  <c r="B16487" i="1"/>
  <c r="C16487" i="1"/>
  <c r="D16487" i="1"/>
  <c r="E16487" i="1"/>
  <c r="F16487" i="1"/>
  <c r="G16487" i="1"/>
  <c r="H16487" i="1"/>
  <c r="A16488" i="1"/>
  <c r="B16488" i="1"/>
  <c r="C16488" i="1"/>
  <c r="D16488" i="1"/>
  <c r="E16488" i="1"/>
  <c r="F16488" i="1"/>
  <c r="G16488" i="1"/>
  <c r="H16488" i="1"/>
  <c r="A16489" i="1"/>
  <c r="B16489" i="1"/>
  <c r="C16489" i="1"/>
  <c r="D16489" i="1"/>
  <c r="E16489" i="1"/>
  <c r="F16489" i="1"/>
  <c r="G16489" i="1"/>
  <c r="H16489" i="1"/>
  <c r="A16490" i="1"/>
  <c r="B16490" i="1"/>
  <c r="C16490" i="1"/>
  <c r="D16490" i="1"/>
  <c r="E16490" i="1"/>
  <c r="F16490" i="1"/>
  <c r="G16490" i="1"/>
  <c r="H16490" i="1"/>
  <c r="A16491" i="1"/>
  <c r="B16491" i="1"/>
  <c r="C16491" i="1"/>
  <c r="D16491" i="1"/>
  <c r="E16491" i="1"/>
  <c r="F16491" i="1"/>
  <c r="G16491" i="1"/>
  <c r="H16491" i="1"/>
  <c r="A16492" i="1"/>
  <c r="B16492" i="1"/>
  <c r="C16492" i="1"/>
  <c r="D16492" i="1"/>
  <c r="E16492" i="1"/>
  <c r="F16492" i="1"/>
  <c r="G16492" i="1"/>
  <c r="H16492" i="1"/>
  <c r="A16493" i="1"/>
  <c r="B16493" i="1"/>
  <c r="C16493" i="1"/>
  <c r="D16493" i="1"/>
  <c r="E16493" i="1"/>
  <c r="F16493" i="1"/>
  <c r="G16493" i="1"/>
  <c r="H16493" i="1"/>
  <c r="A16494" i="1"/>
  <c r="B16494" i="1"/>
  <c r="C16494" i="1"/>
  <c r="D16494" i="1"/>
  <c r="E16494" i="1"/>
  <c r="F16494" i="1"/>
  <c r="G16494" i="1"/>
  <c r="H16494" i="1"/>
  <c r="A16495" i="1"/>
  <c r="B16495" i="1"/>
  <c r="C16495" i="1"/>
  <c r="D16495" i="1"/>
  <c r="E16495" i="1"/>
  <c r="F16495" i="1"/>
  <c r="G16495" i="1"/>
  <c r="H16495" i="1"/>
  <c r="A16496" i="1"/>
  <c r="B16496" i="1"/>
  <c r="C16496" i="1"/>
  <c r="D16496" i="1"/>
  <c r="E16496" i="1"/>
  <c r="F16496" i="1"/>
  <c r="G16496" i="1"/>
  <c r="H16496" i="1"/>
  <c r="A16497" i="1"/>
  <c r="B16497" i="1"/>
  <c r="C16497" i="1"/>
  <c r="D16497" i="1"/>
  <c r="E16497" i="1"/>
  <c r="F16497" i="1"/>
  <c r="G16497" i="1"/>
  <c r="H16497" i="1"/>
  <c r="A16498" i="1"/>
  <c r="B16498" i="1"/>
  <c r="C16498" i="1"/>
  <c r="D16498" i="1"/>
  <c r="E16498" i="1"/>
  <c r="F16498" i="1"/>
  <c r="G16498" i="1"/>
  <c r="H16498" i="1"/>
  <c r="A16499" i="1"/>
  <c r="B16499" i="1"/>
  <c r="C16499" i="1"/>
  <c r="D16499" i="1"/>
  <c r="E16499" i="1"/>
  <c r="F16499" i="1"/>
  <c r="G16499" i="1"/>
  <c r="H16499" i="1"/>
  <c r="A16500" i="1"/>
  <c r="B16500" i="1"/>
  <c r="C16500" i="1"/>
  <c r="D16500" i="1"/>
  <c r="E16500" i="1"/>
  <c r="F16500" i="1"/>
  <c r="G16500" i="1"/>
  <c r="H16500" i="1"/>
  <c r="A16501" i="1"/>
  <c r="B16501" i="1"/>
  <c r="C16501" i="1"/>
  <c r="D16501" i="1"/>
  <c r="E16501" i="1"/>
  <c r="F16501" i="1"/>
  <c r="G16501" i="1"/>
  <c r="H16501" i="1"/>
  <c r="A16502" i="1"/>
  <c r="B16502" i="1"/>
  <c r="C16502" i="1"/>
  <c r="D16502" i="1"/>
  <c r="E16502" i="1"/>
  <c r="F16502" i="1"/>
  <c r="G16502" i="1"/>
  <c r="H16502" i="1"/>
  <c r="A16503" i="1"/>
  <c r="B16503" i="1"/>
  <c r="C16503" i="1"/>
  <c r="D16503" i="1"/>
  <c r="E16503" i="1"/>
  <c r="F16503" i="1"/>
  <c r="G16503" i="1"/>
  <c r="H16503" i="1"/>
  <c r="A16504" i="1"/>
  <c r="B16504" i="1"/>
  <c r="C16504" i="1"/>
  <c r="D16504" i="1"/>
  <c r="E16504" i="1"/>
  <c r="F16504" i="1"/>
  <c r="G16504" i="1"/>
  <c r="H16504" i="1"/>
  <c r="A16505" i="1"/>
  <c r="B16505" i="1"/>
  <c r="C16505" i="1"/>
  <c r="D16505" i="1"/>
  <c r="E16505" i="1"/>
  <c r="F16505" i="1"/>
  <c r="G16505" i="1"/>
  <c r="H16505" i="1"/>
  <c r="A16506" i="1"/>
  <c r="B16506" i="1"/>
  <c r="C16506" i="1"/>
  <c r="D16506" i="1"/>
  <c r="E16506" i="1"/>
  <c r="F16506" i="1"/>
  <c r="G16506" i="1"/>
  <c r="H16506" i="1"/>
  <c r="A16507" i="1"/>
  <c r="B16507" i="1"/>
  <c r="C16507" i="1"/>
  <c r="D16507" i="1"/>
  <c r="E16507" i="1"/>
  <c r="F16507" i="1"/>
  <c r="G16507" i="1"/>
  <c r="H16507" i="1"/>
  <c r="A16508" i="1"/>
  <c r="B16508" i="1"/>
  <c r="C16508" i="1"/>
  <c r="D16508" i="1"/>
  <c r="E16508" i="1"/>
  <c r="F16508" i="1"/>
  <c r="G16508" i="1"/>
  <c r="H16508" i="1"/>
  <c r="A16509" i="1"/>
  <c r="B16509" i="1"/>
  <c r="C16509" i="1"/>
  <c r="D16509" i="1"/>
  <c r="E16509" i="1"/>
  <c r="F16509" i="1"/>
  <c r="G16509" i="1"/>
  <c r="H16509" i="1"/>
  <c r="A16510" i="1"/>
  <c r="B16510" i="1"/>
  <c r="C16510" i="1"/>
  <c r="D16510" i="1"/>
  <c r="E16510" i="1"/>
  <c r="F16510" i="1"/>
  <c r="G16510" i="1"/>
  <c r="H16510" i="1"/>
  <c r="A16511" i="1"/>
  <c r="B16511" i="1"/>
  <c r="C16511" i="1"/>
  <c r="D16511" i="1"/>
  <c r="E16511" i="1"/>
  <c r="F16511" i="1"/>
  <c r="G16511" i="1"/>
  <c r="H16511" i="1"/>
  <c r="A16512" i="1"/>
  <c r="B16512" i="1"/>
  <c r="C16512" i="1"/>
  <c r="D16512" i="1"/>
  <c r="E16512" i="1"/>
  <c r="F16512" i="1"/>
  <c r="G16512" i="1"/>
  <c r="H16512" i="1"/>
  <c r="A16513" i="1"/>
  <c r="B16513" i="1"/>
  <c r="C16513" i="1"/>
  <c r="D16513" i="1"/>
  <c r="E16513" i="1"/>
  <c r="F16513" i="1"/>
  <c r="G16513" i="1"/>
  <c r="H16513" i="1"/>
  <c r="A16514" i="1"/>
  <c r="B16514" i="1"/>
  <c r="C16514" i="1"/>
  <c r="D16514" i="1"/>
  <c r="E16514" i="1"/>
  <c r="F16514" i="1"/>
  <c r="G16514" i="1"/>
  <c r="H16514" i="1"/>
  <c r="A16515" i="1"/>
  <c r="B16515" i="1"/>
  <c r="C16515" i="1"/>
  <c r="D16515" i="1"/>
  <c r="E16515" i="1"/>
  <c r="F16515" i="1"/>
  <c r="G16515" i="1"/>
  <c r="H16515" i="1"/>
  <c r="A16516" i="1"/>
  <c r="B16516" i="1"/>
  <c r="C16516" i="1"/>
  <c r="D16516" i="1"/>
  <c r="E16516" i="1"/>
  <c r="F16516" i="1"/>
  <c r="G16516" i="1"/>
  <c r="H16516" i="1"/>
  <c r="A16517" i="1"/>
  <c r="B16517" i="1"/>
  <c r="C16517" i="1"/>
  <c r="D16517" i="1"/>
  <c r="E16517" i="1"/>
  <c r="F16517" i="1"/>
  <c r="G16517" i="1"/>
  <c r="H16517" i="1"/>
  <c r="A16518" i="1"/>
  <c r="B16518" i="1"/>
  <c r="C16518" i="1"/>
  <c r="D16518" i="1"/>
  <c r="E16518" i="1"/>
  <c r="F16518" i="1"/>
  <c r="G16518" i="1"/>
  <c r="H16518" i="1"/>
  <c r="A16519" i="1"/>
  <c r="B16519" i="1"/>
  <c r="C16519" i="1"/>
  <c r="D16519" i="1"/>
  <c r="E16519" i="1"/>
  <c r="F16519" i="1"/>
  <c r="G16519" i="1"/>
  <c r="H16519" i="1"/>
  <c r="A16520" i="1"/>
  <c r="B16520" i="1"/>
  <c r="C16520" i="1"/>
  <c r="D16520" i="1"/>
  <c r="E16520" i="1"/>
  <c r="F16520" i="1"/>
  <c r="G16520" i="1"/>
  <c r="H16520" i="1"/>
  <c r="A16521" i="1"/>
  <c r="B16521" i="1"/>
  <c r="C16521" i="1"/>
  <c r="D16521" i="1"/>
  <c r="E16521" i="1"/>
  <c r="F16521" i="1"/>
  <c r="G16521" i="1"/>
  <c r="H16521" i="1"/>
  <c r="A16522" i="1"/>
  <c r="B16522" i="1"/>
  <c r="C16522" i="1"/>
  <c r="D16522" i="1"/>
  <c r="E16522" i="1"/>
  <c r="F16522" i="1"/>
  <c r="G16522" i="1"/>
  <c r="H16522" i="1"/>
  <c r="A16523" i="1"/>
  <c r="B16523" i="1"/>
  <c r="C16523" i="1"/>
  <c r="D16523" i="1"/>
  <c r="E16523" i="1"/>
  <c r="F16523" i="1"/>
  <c r="G16523" i="1"/>
  <c r="H16523" i="1"/>
  <c r="A16524" i="1"/>
  <c r="B16524" i="1"/>
  <c r="C16524" i="1"/>
  <c r="D16524" i="1"/>
  <c r="E16524" i="1"/>
  <c r="F16524" i="1"/>
  <c r="G16524" i="1"/>
  <c r="H16524" i="1"/>
  <c r="A16525" i="1"/>
  <c r="B16525" i="1"/>
  <c r="C16525" i="1"/>
  <c r="D16525" i="1"/>
  <c r="E16525" i="1"/>
  <c r="F16525" i="1"/>
  <c r="G16525" i="1"/>
  <c r="H16525" i="1"/>
  <c r="A16526" i="1"/>
  <c r="B16526" i="1"/>
  <c r="C16526" i="1"/>
  <c r="D16526" i="1"/>
  <c r="E16526" i="1"/>
  <c r="F16526" i="1"/>
  <c r="G16526" i="1"/>
  <c r="H16526" i="1"/>
  <c r="A16527" i="1"/>
  <c r="B16527" i="1"/>
  <c r="C16527" i="1"/>
  <c r="D16527" i="1"/>
  <c r="E16527" i="1"/>
  <c r="F16527" i="1"/>
  <c r="G16527" i="1"/>
  <c r="H16527" i="1"/>
  <c r="A16528" i="1"/>
  <c r="B16528" i="1"/>
  <c r="C16528" i="1"/>
  <c r="D16528" i="1"/>
  <c r="E16528" i="1"/>
  <c r="F16528" i="1"/>
  <c r="G16528" i="1"/>
  <c r="H16528" i="1"/>
  <c r="A16529" i="1"/>
  <c r="B16529" i="1"/>
  <c r="C16529" i="1"/>
  <c r="D16529" i="1"/>
  <c r="E16529" i="1"/>
  <c r="F16529" i="1"/>
  <c r="G16529" i="1"/>
  <c r="H16529" i="1"/>
  <c r="A16530" i="1"/>
  <c r="B16530" i="1"/>
  <c r="C16530" i="1"/>
  <c r="D16530" i="1"/>
  <c r="E16530" i="1"/>
  <c r="F16530" i="1"/>
  <c r="G16530" i="1"/>
  <c r="H16530" i="1"/>
  <c r="A16531" i="1"/>
  <c r="B16531" i="1"/>
  <c r="C16531" i="1"/>
  <c r="D16531" i="1"/>
  <c r="E16531" i="1"/>
  <c r="F16531" i="1"/>
  <c r="G16531" i="1"/>
  <c r="H16531" i="1"/>
  <c r="A16532" i="1"/>
  <c r="B16532" i="1"/>
  <c r="C16532" i="1"/>
  <c r="D16532" i="1"/>
  <c r="E16532" i="1"/>
  <c r="F16532" i="1"/>
  <c r="G16532" i="1"/>
  <c r="H16532" i="1"/>
  <c r="A16533" i="1"/>
  <c r="B16533" i="1"/>
  <c r="C16533" i="1"/>
  <c r="D16533" i="1"/>
  <c r="E16533" i="1"/>
  <c r="F16533" i="1"/>
  <c r="G16533" i="1"/>
  <c r="H16533" i="1"/>
  <c r="A16534" i="1"/>
  <c r="B16534" i="1"/>
  <c r="C16534" i="1"/>
  <c r="D16534" i="1"/>
  <c r="E16534" i="1"/>
  <c r="F16534" i="1"/>
  <c r="G16534" i="1"/>
  <c r="H16534" i="1"/>
  <c r="A16535" i="1"/>
  <c r="B16535" i="1"/>
  <c r="C16535" i="1"/>
  <c r="D16535" i="1"/>
  <c r="E16535" i="1"/>
  <c r="F16535" i="1"/>
  <c r="G16535" i="1"/>
  <c r="H16535" i="1"/>
  <c r="A16536" i="1"/>
  <c r="B16536" i="1"/>
  <c r="C16536" i="1"/>
  <c r="D16536" i="1"/>
  <c r="E16536" i="1"/>
  <c r="F16536" i="1"/>
  <c r="G16536" i="1"/>
  <c r="H16536" i="1"/>
  <c r="A16537" i="1"/>
  <c r="B16537" i="1"/>
  <c r="C16537" i="1"/>
  <c r="D16537" i="1"/>
  <c r="E16537" i="1"/>
  <c r="F16537" i="1"/>
  <c r="G16537" i="1"/>
  <c r="H16537" i="1"/>
  <c r="A16538" i="1"/>
  <c r="B16538" i="1"/>
  <c r="C16538" i="1"/>
  <c r="D16538" i="1"/>
  <c r="E16538" i="1"/>
  <c r="F16538" i="1"/>
  <c r="G16538" i="1"/>
  <c r="H16538" i="1"/>
  <c r="A16539" i="1"/>
  <c r="B16539" i="1"/>
  <c r="C16539" i="1"/>
  <c r="D16539" i="1"/>
  <c r="E16539" i="1"/>
  <c r="F16539" i="1"/>
  <c r="G16539" i="1"/>
  <c r="H16539" i="1"/>
  <c r="A16540" i="1"/>
  <c r="B16540" i="1"/>
  <c r="C16540" i="1"/>
  <c r="D16540" i="1"/>
  <c r="E16540" i="1"/>
  <c r="F16540" i="1"/>
  <c r="G16540" i="1"/>
  <c r="H16540" i="1"/>
  <c r="A16541" i="1"/>
  <c r="B16541" i="1"/>
  <c r="C16541" i="1"/>
  <c r="D16541" i="1"/>
  <c r="E16541" i="1"/>
  <c r="F16541" i="1"/>
  <c r="G16541" i="1"/>
  <c r="H16541" i="1"/>
  <c r="A16542" i="1"/>
  <c r="B16542" i="1"/>
  <c r="C16542" i="1"/>
  <c r="D16542" i="1"/>
  <c r="E16542" i="1"/>
  <c r="F16542" i="1"/>
  <c r="G16542" i="1"/>
  <c r="H16542" i="1"/>
  <c r="A16543" i="1"/>
  <c r="B16543" i="1"/>
  <c r="C16543" i="1"/>
  <c r="D16543" i="1"/>
  <c r="E16543" i="1"/>
  <c r="F16543" i="1"/>
  <c r="G16543" i="1"/>
  <c r="H16543" i="1"/>
  <c r="A16544" i="1"/>
  <c r="B16544" i="1"/>
  <c r="C16544" i="1"/>
  <c r="D16544" i="1"/>
  <c r="E16544" i="1"/>
  <c r="F16544" i="1"/>
  <c r="G16544" i="1"/>
  <c r="H16544" i="1"/>
  <c r="A16545" i="1"/>
  <c r="B16545" i="1"/>
  <c r="C16545" i="1"/>
  <c r="D16545" i="1"/>
  <c r="E16545" i="1"/>
  <c r="F16545" i="1"/>
  <c r="G16545" i="1"/>
  <c r="H16545" i="1"/>
  <c r="A16546" i="1"/>
  <c r="B16546" i="1"/>
  <c r="C16546" i="1"/>
  <c r="D16546" i="1"/>
  <c r="E16546" i="1"/>
  <c r="F16546" i="1"/>
  <c r="G16546" i="1"/>
  <c r="H16546" i="1"/>
  <c r="A16547" i="1"/>
  <c r="B16547" i="1"/>
  <c r="C16547" i="1"/>
  <c r="D16547" i="1"/>
  <c r="E16547" i="1"/>
  <c r="F16547" i="1"/>
  <c r="G16547" i="1"/>
  <c r="H16547" i="1"/>
  <c r="A16548" i="1"/>
  <c r="B16548" i="1"/>
  <c r="C16548" i="1"/>
  <c r="D16548" i="1"/>
  <c r="E16548" i="1"/>
  <c r="F16548" i="1"/>
  <c r="G16548" i="1"/>
  <c r="H16548" i="1"/>
  <c r="A16549" i="1"/>
  <c r="B16549" i="1"/>
  <c r="C16549" i="1"/>
  <c r="D16549" i="1"/>
  <c r="E16549" i="1"/>
  <c r="F16549" i="1"/>
  <c r="G16549" i="1"/>
  <c r="H16549" i="1"/>
  <c r="A16550" i="1"/>
  <c r="B16550" i="1"/>
  <c r="C16550" i="1"/>
  <c r="D16550" i="1"/>
  <c r="E16550" i="1"/>
  <c r="F16550" i="1"/>
  <c r="G16550" i="1"/>
  <c r="H16550" i="1"/>
  <c r="A16551" i="1"/>
  <c r="B16551" i="1"/>
  <c r="C16551" i="1"/>
  <c r="D16551" i="1"/>
  <c r="E16551" i="1"/>
  <c r="F16551" i="1"/>
  <c r="G16551" i="1"/>
  <c r="H16551" i="1"/>
  <c r="A16552" i="1"/>
  <c r="B16552" i="1"/>
  <c r="C16552" i="1"/>
  <c r="D16552" i="1"/>
  <c r="E16552" i="1"/>
  <c r="F16552" i="1"/>
  <c r="G16552" i="1"/>
  <c r="H16552" i="1"/>
  <c r="A16553" i="1"/>
  <c r="B16553" i="1"/>
  <c r="C16553" i="1"/>
  <c r="D16553" i="1"/>
  <c r="E16553" i="1"/>
  <c r="F16553" i="1"/>
  <c r="G16553" i="1"/>
  <c r="H16553" i="1"/>
  <c r="A16554" i="1"/>
  <c r="B16554" i="1"/>
  <c r="C16554" i="1"/>
  <c r="D16554" i="1"/>
  <c r="E16554" i="1"/>
  <c r="F16554" i="1"/>
  <c r="G16554" i="1"/>
  <c r="H16554" i="1"/>
  <c r="A16555" i="1"/>
  <c r="B16555" i="1"/>
  <c r="C16555" i="1"/>
  <c r="D16555" i="1"/>
  <c r="E16555" i="1"/>
  <c r="F16555" i="1"/>
  <c r="G16555" i="1"/>
  <c r="H16555" i="1"/>
  <c r="A16556" i="1"/>
  <c r="B16556" i="1"/>
  <c r="C16556" i="1"/>
  <c r="D16556" i="1"/>
  <c r="E16556" i="1"/>
  <c r="F16556" i="1"/>
  <c r="G16556" i="1"/>
  <c r="H16556" i="1"/>
  <c r="A16557" i="1"/>
  <c r="B16557" i="1"/>
  <c r="C16557" i="1"/>
  <c r="D16557" i="1"/>
  <c r="E16557" i="1"/>
  <c r="F16557" i="1"/>
  <c r="G16557" i="1"/>
  <c r="H16557" i="1"/>
  <c r="A16558" i="1"/>
  <c r="B16558" i="1"/>
  <c r="C16558" i="1"/>
  <c r="D16558" i="1"/>
  <c r="E16558" i="1"/>
  <c r="F16558" i="1"/>
  <c r="G16558" i="1"/>
  <c r="H16558" i="1"/>
  <c r="A16559" i="1"/>
  <c r="B16559" i="1"/>
  <c r="C16559" i="1"/>
  <c r="D16559" i="1"/>
  <c r="E16559" i="1"/>
  <c r="F16559" i="1"/>
  <c r="G16559" i="1"/>
  <c r="H16559" i="1"/>
  <c r="A16560" i="1"/>
  <c r="B16560" i="1"/>
  <c r="C16560" i="1"/>
  <c r="D16560" i="1"/>
  <c r="E16560" i="1"/>
  <c r="F16560" i="1"/>
  <c r="G16560" i="1"/>
  <c r="H16560" i="1"/>
  <c r="A16561" i="1"/>
  <c r="B16561" i="1"/>
  <c r="C16561" i="1"/>
  <c r="D16561" i="1"/>
  <c r="E16561" i="1"/>
  <c r="F16561" i="1"/>
  <c r="G16561" i="1"/>
  <c r="H16561" i="1"/>
  <c r="A16562" i="1"/>
  <c r="B16562" i="1"/>
  <c r="C16562" i="1"/>
  <c r="D16562" i="1"/>
  <c r="E16562" i="1"/>
  <c r="F16562" i="1"/>
  <c r="G16562" i="1"/>
  <c r="H16562" i="1"/>
  <c r="A16563" i="1"/>
  <c r="B16563" i="1"/>
  <c r="C16563" i="1"/>
  <c r="D16563" i="1"/>
  <c r="E16563" i="1"/>
  <c r="F16563" i="1"/>
  <c r="G16563" i="1"/>
  <c r="H16563" i="1"/>
  <c r="A16564" i="1"/>
  <c r="B16564" i="1"/>
  <c r="C16564" i="1"/>
  <c r="D16564" i="1"/>
  <c r="E16564" i="1"/>
  <c r="F16564" i="1"/>
  <c r="G16564" i="1"/>
  <c r="H16564" i="1"/>
  <c r="A16565" i="1"/>
  <c r="B16565" i="1"/>
  <c r="C16565" i="1"/>
  <c r="D16565" i="1"/>
  <c r="E16565" i="1"/>
  <c r="F16565" i="1"/>
  <c r="G16565" i="1"/>
  <c r="H16565" i="1"/>
  <c r="A16566" i="1"/>
  <c r="B16566" i="1"/>
  <c r="C16566" i="1"/>
  <c r="D16566" i="1"/>
  <c r="E16566" i="1"/>
  <c r="F16566" i="1"/>
  <c r="G16566" i="1"/>
  <c r="H16566" i="1"/>
  <c r="A16567" i="1"/>
  <c r="B16567" i="1"/>
  <c r="C16567" i="1"/>
  <c r="D16567" i="1"/>
  <c r="E16567" i="1"/>
  <c r="F16567" i="1"/>
  <c r="G16567" i="1"/>
  <c r="H16567" i="1"/>
  <c r="A16568" i="1"/>
  <c r="B16568" i="1"/>
  <c r="C16568" i="1"/>
  <c r="D16568" i="1"/>
  <c r="E16568" i="1"/>
  <c r="F16568" i="1"/>
  <c r="G16568" i="1"/>
  <c r="H16568" i="1"/>
  <c r="A16569" i="1"/>
  <c r="B16569" i="1"/>
  <c r="C16569" i="1"/>
  <c r="D16569" i="1"/>
  <c r="E16569" i="1"/>
  <c r="F16569" i="1"/>
  <c r="G16569" i="1"/>
  <c r="H16569" i="1"/>
  <c r="A16570" i="1"/>
  <c r="B16570" i="1"/>
  <c r="C16570" i="1"/>
  <c r="D16570" i="1"/>
  <c r="E16570" i="1"/>
  <c r="F16570" i="1"/>
  <c r="G16570" i="1"/>
  <c r="H16570" i="1"/>
  <c r="A16571" i="1"/>
  <c r="B16571" i="1"/>
  <c r="C16571" i="1"/>
  <c r="D16571" i="1"/>
  <c r="E16571" i="1"/>
  <c r="F16571" i="1"/>
  <c r="G16571" i="1"/>
  <c r="H16571" i="1"/>
  <c r="A16572" i="1"/>
  <c r="B16572" i="1"/>
  <c r="C16572" i="1"/>
  <c r="D16572" i="1"/>
  <c r="E16572" i="1"/>
  <c r="F16572" i="1"/>
  <c r="G16572" i="1"/>
  <c r="H16572" i="1"/>
  <c r="A16573" i="1"/>
  <c r="B16573" i="1"/>
  <c r="C16573" i="1"/>
  <c r="D16573" i="1"/>
  <c r="E16573" i="1"/>
  <c r="F16573" i="1"/>
  <c r="G16573" i="1"/>
  <c r="H16573" i="1"/>
  <c r="A16574" i="1"/>
  <c r="B16574" i="1"/>
  <c r="C16574" i="1"/>
  <c r="D16574" i="1"/>
  <c r="E16574" i="1"/>
  <c r="F16574" i="1"/>
  <c r="G16574" i="1"/>
  <c r="H16574" i="1"/>
  <c r="A16575" i="1"/>
  <c r="B16575" i="1"/>
  <c r="C16575" i="1"/>
  <c r="D16575" i="1"/>
  <c r="E16575" i="1"/>
  <c r="F16575" i="1"/>
  <c r="G16575" i="1"/>
  <c r="H16575" i="1"/>
  <c r="A16576" i="1"/>
  <c r="B16576" i="1"/>
  <c r="C16576" i="1"/>
  <c r="D16576" i="1"/>
  <c r="E16576" i="1"/>
  <c r="F16576" i="1"/>
  <c r="G16576" i="1"/>
  <c r="H16576" i="1"/>
  <c r="A16577" i="1"/>
  <c r="B16577" i="1"/>
  <c r="C16577" i="1"/>
  <c r="D16577" i="1"/>
  <c r="E16577" i="1"/>
  <c r="F16577" i="1"/>
  <c r="G16577" i="1"/>
  <c r="H16577" i="1"/>
  <c r="A16578" i="1"/>
  <c r="B16578" i="1"/>
  <c r="C16578" i="1"/>
  <c r="D16578" i="1"/>
  <c r="E16578" i="1"/>
  <c r="F16578" i="1"/>
  <c r="G16578" i="1"/>
  <c r="H16578" i="1"/>
  <c r="A16579" i="1"/>
  <c r="B16579" i="1"/>
  <c r="C16579" i="1"/>
  <c r="D16579" i="1"/>
  <c r="E16579" i="1"/>
  <c r="F16579" i="1"/>
  <c r="G16579" i="1"/>
  <c r="H16579" i="1"/>
  <c r="A16580" i="1"/>
  <c r="B16580" i="1"/>
  <c r="C16580" i="1"/>
  <c r="D16580" i="1"/>
  <c r="E16580" i="1"/>
  <c r="F16580" i="1"/>
  <c r="G16580" i="1"/>
  <c r="H16580" i="1"/>
  <c r="A16581" i="1"/>
  <c r="B16581" i="1"/>
  <c r="C16581" i="1"/>
  <c r="D16581" i="1"/>
  <c r="E16581" i="1"/>
  <c r="F16581" i="1"/>
  <c r="G16581" i="1"/>
  <c r="H16581" i="1"/>
  <c r="A16582" i="1"/>
  <c r="B16582" i="1"/>
  <c r="C16582" i="1"/>
  <c r="D16582" i="1"/>
  <c r="E16582" i="1"/>
  <c r="F16582" i="1"/>
  <c r="G16582" i="1"/>
  <c r="H16582" i="1"/>
  <c r="A16583" i="1"/>
  <c r="B16583" i="1"/>
  <c r="C16583" i="1"/>
  <c r="D16583" i="1"/>
  <c r="E16583" i="1"/>
  <c r="F16583" i="1"/>
  <c r="G16583" i="1"/>
  <c r="H16583" i="1"/>
  <c r="A16584" i="1"/>
  <c r="B16584" i="1"/>
  <c r="C16584" i="1"/>
  <c r="D16584" i="1"/>
  <c r="E16584" i="1"/>
  <c r="F16584" i="1"/>
  <c r="G16584" i="1"/>
  <c r="H16584" i="1"/>
  <c r="A16585" i="1"/>
  <c r="B16585" i="1"/>
  <c r="C16585" i="1"/>
  <c r="D16585" i="1"/>
  <c r="E16585" i="1"/>
  <c r="F16585" i="1"/>
  <c r="G16585" i="1"/>
  <c r="H16585" i="1"/>
  <c r="A16586" i="1"/>
  <c r="B16586" i="1"/>
  <c r="C16586" i="1"/>
  <c r="D16586" i="1"/>
  <c r="E16586" i="1"/>
  <c r="F16586" i="1"/>
  <c r="G16586" i="1"/>
  <c r="H16586" i="1"/>
  <c r="A16587" i="1"/>
  <c r="B16587" i="1"/>
  <c r="C16587" i="1"/>
  <c r="D16587" i="1"/>
  <c r="E16587" i="1"/>
  <c r="F16587" i="1"/>
  <c r="G16587" i="1"/>
  <c r="H16587" i="1"/>
  <c r="A16588" i="1"/>
  <c r="B16588" i="1"/>
  <c r="C16588" i="1"/>
  <c r="D16588" i="1"/>
  <c r="E16588" i="1"/>
  <c r="F16588" i="1"/>
  <c r="G16588" i="1"/>
  <c r="H16588" i="1"/>
  <c r="A16589" i="1"/>
  <c r="B16589" i="1"/>
  <c r="C16589" i="1"/>
  <c r="D16589" i="1"/>
  <c r="E16589" i="1"/>
  <c r="F16589" i="1"/>
  <c r="G16589" i="1"/>
  <c r="H16589" i="1"/>
  <c r="A16590" i="1"/>
  <c r="B16590" i="1"/>
  <c r="C16590" i="1"/>
  <c r="D16590" i="1"/>
  <c r="E16590" i="1"/>
  <c r="F16590" i="1"/>
  <c r="G16590" i="1"/>
  <c r="H16590" i="1"/>
  <c r="A16591" i="1"/>
  <c r="B16591" i="1"/>
  <c r="C16591" i="1"/>
  <c r="D16591" i="1"/>
  <c r="E16591" i="1"/>
  <c r="F16591" i="1"/>
  <c r="G16591" i="1"/>
  <c r="H16591" i="1"/>
  <c r="A16592" i="1"/>
  <c r="B16592" i="1"/>
  <c r="C16592" i="1"/>
  <c r="D16592" i="1"/>
  <c r="E16592" i="1"/>
  <c r="F16592" i="1"/>
  <c r="G16592" i="1"/>
  <c r="H16592" i="1"/>
  <c r="A16593" i="1"/>
  <c r="B16593" i="1"/>
  <c r="C16593" i="1"/>
  <c r="D16593" i="1"/>
  <c r="E16593" i="1"/>
  <c r="F16593" i="1"/>
  <c r="G16593" i="1"/>
  <c r="H16593" i="1"/>
  <c r="A16594" i="1"/>
  <c r="B16594" i="1"/>
  <c r="C16594" i="1"/>
  <c r="D16594" i="1"/>
  <c r="E16594" i="1"/>
  <c r="F16594" i="1"/>
  <c r="G16594" i="1"/>
  <c r="H16594" i="1"/>
  <c r="A16595" i="1"/>
  <c r="B16595" i="1"/>
  <c r="C16595" i="1"/>
  <c r="D16595" i="1"/>
  <c r="E16595" i="1"/>
  <c r="F16595" i="1"/>
  <c r="G16595" i="1"/>
  <c r="H16595" i="1"/>
  <c r="A16596" i="1"/>
  <c r="B16596" i="1"/>
  <c r="C16596" i="1"/>
  <c r="D16596" i="1"/>
  <c r="E16596" i="1"/>
  <c r="F16596" i="1"/>
  <c r="G16596" i="1"/>
  <c r="H16596" i="1"/>
  <c r="A16597" i="1"/>
  <c r="B16597" i="1"/>
  <c r="C16597" i="1"/>
  <c r="D16597" i="1"/>
  <c r="E16597" i="1"/>
  <c r="F16597" i="1"/>
  <c r="G16597" i="1"/>
  <c r="H16597" i="1"/>
  <c r="A16598" i="1"/>
  <c r="B16598" i="1"/>
  <c r="C16598" i="1"/>
  <c r="D16598" i="1"/>
  <c r="E16598" i="1"/>
  <c r="F16598" i="1"/>
  <c r="G16598" i="1"/>
  <c r="H16598" i="1"/>
  <c r="A16599" i="1"/>
  <c r="B16599" i="1"/>
  <c r="C16599" i="1"/>
  <c r="D16599" i="1"/>
  <c r="E16599" i="1"/>
  <c r="F16599" i="1"/>
  <c r="G16599" i="1"/>
  <c r="H16599" i="1"/>
  <c r="A16600" i="1"/>
  <c r="B16600" i="1"/>
  <c r="C16600" i="1"/>
  <c r="D16600" i="1"/>
  <c r="E16600" i="1"/>
  <c r="F16600" i="1"/>
  <c r="G16600" i="1"/>
  <c r="H16600" i="1"/>
  <c r="A16601" i="1"/>
  <c r="B16601" i="1"/>
  <c r="C16601" i="1"/>
  <c r="D16601" i="1"/>
  <c r="E16601" i="1"/>
  <c r="F16601" i="1"/>
  <c r="G16601" i="1"/>
  <c r="H16601" i="1"/>
  <c r="A16602" i="1"/>
  <c r="B16602" i="1"/>
  <c r="C16602" i="1"/>
  <c r="D16602" i="1"/>
  <c r="E16602" i="1"/>
  <c r="F16602" i="1"/>
  <c r="G16602" i="1"/>
  <c r="H16602" i="1"/>
  <c r="A16603" i="1"/>
  <c r="B16603" i="1"/>
  <c r="C16603" i="1"/>
  <c r="D16603" i="1"/>
  <c r="E16603" i="1"/>
  <c r="F16603" i="1"/>
  <c r="G16603" i="1"/>
  <c r="H16603" i="1"/>
  <c r="A16604" i="1"/>
  <c r="B16604" i="1"/>
  <c r="C16604" i="1"/>
  <c r="D16604" i="1"/>
  <c r="E16604" i="1"/>
  <c r="F16604" i="1"/>
  <c r="G16604" i="1"/>
  <c r="H16604" i="1"/>
  <c r="A16605" i="1"/>
  <c r="B16605" i="1"/>
  <c r="C16605" i="1"/>
  <c r="D16605" i="1"/>
  <c r="E16605" i="1"/>
  <c r="F16605" i="1"/>
  <c r="G16605" i="1"/>
  <c r="H16605" i="1"/>
  <c r="A16606" i="1"/>
  <c r="B16606" i="1"/>
  <c r="C16606" i="1"/>
  <c r="D16606" i="1"/>
  <c r="E16606" i="1"/>
  <c r="F16606" i="1"/>
  <c r="G16606" i="1"/>
  <c r="H16606" i="1"/>
  <c r="A16607" i="1"/>
  <c r="B16607" i="1"/>
  <c r="C16607" i="1"/>
  <c r="D16607" i="1"/>
  <c r="E16607" i="1"/>
  <c r="F16607" i="1"/>
  <c r="G16607" i="1"/>
  <c r="H16607" i="1"/>
  <c r="A16608" i="1"/>
  <c r="B16608" i="1"/>
  <c r="C16608" i="1"/>
  <c r="D16608" i="1"/>
  <c r="E16608" i="1"/>
  <c r="F16608" i="1"/>
  <c r="G16608" i="1"/>
  <c r="H16608" i="1"/>
  <c r="A16609" i="1"/>
  <c r="B16609" i="1"/>
  <c r="C16609" i="1"/>
  <c r="D16609" i="1"/>
  <c r="E16609" i="1"/>
  <c r="F16609" i="1"/>
  <c r="G16609" i="1"/>
  <c r="H16609" i="1"/>
  <c r="A16610" i="1"/>
  <c r="B16610" i="1"/>
  <c r="C16610" i="1"/>
  <c r="D16610" i="1"/>
  <c r="E16610" i="1"/>
  <c r="F16610" i="1"/>
  <c r="G16610" i="1"/>
  <c r="H16610" i="1"/>
  <c r="A16611" i="1"/>
  <c r="B16611" i="1"/>
  <c r="C16611" i="1"/>
  <c r="D16611" i="1"/>
  <c r="E16611" i="1"/>
  <c r="F16611" i="1"/>
  <c r="G16611" i="1"/>
  <c r="H16611" i="1"/>
  <c r="A16612" i="1"/>
  <c r="B16612" i="1"/>
  <c r="C16612" i="1"/>
  <c r="D16612" i="1"/>
  <c r="E16612" i="1"/>
  <c r="F16612" i="1"/>
  <c r="G16612" i="1"/>
  <c r="H16612" i="1"/>
  <c r="A16613" i="1"/>
  <c r="B16613" i="1"/>
  <c r="C16613" i="1"/>
  <c r="D16613" i="1"/>
  <c r="E16613" i="1"/>
  <c r="F16613" i="1"/>
  <c r="G16613" i="1"/>
  <c r="H16613" i="1"/>
  <c r="A16614" i="1"/>
  <c r="B16614" i="1"/>
  <c r="C16614" i="1"/>
  <c r="D16614" i="1"/>
  <c r="E16614" i="1"/>
  <c r="F16614" i="1"/>
  <c r="G16614" i="1"/>
  <c r="H16614" i="1"/>
  <c r="A16615" i="1"/>
  <c r="B16615" i="1"/>
  <c r="C16615" i="1"/>
  <c r="D16615" i="1"/>
  <c r="E16615" i="1"/>
  <c r="F16615" i="1"/>
  <c r="G16615" i="1"/>
  <c r="H16615" i="1"/>
  <c r="A16616" i="1"/>
  <c r="B16616" i="1"/>
  <c r="C16616" i="1"/>
  <c r="D16616" i="1"/>
  <c r="E16616" i="1"/>
  <c r="F16616" i="1"/>
  <c r="G16616" i="1"/>
  <c r="H16616" i="1"/>
  <c r="A16617" i="1"/>
  <c r="B16617" i="1"/>
  <c r="C16617" i="1"/>
  <c r="D16617" i="1"/>
  <c r="E16617" i="1"/>
  <c r="F16617" i="1"/>
  <c r="G16617" i="1"/>
  <c r="H16617" i="1"/>
  <c r="A16618" i="1"/>
  <c r="B16618" i="1"/>
  <c r="C16618" i="1"/>
  <c r="D16618" i="1"/>
  <c r="E16618" i="1"/>
  <c r="F16618" i="1"/>
  <c r="G16618" i="1"/>
  <c r="H16618" i="1"/>
  <c r="A16619" i="1"/>
  <c r="B16619" i="1"/>
  <c r="C16619" i="1"/>
  <c r="D16619" i="1"/>
  <c r="E16619" i="1"/>
  <c r="F16619" i="1"/>
  <c r="G16619" i="1"/>
  <c r="H16619" i="1"/>
  <c r="A16620" i="1"/>
  <c r="B16620" i="1"/>
  <c r="C16620" i="1"/>
  <c r="D16620" i="1"/>
  <c r="E16620" i="1"/>
  <c r="F16620" i="1"/>
  <c r="G16620" i="1"/>
  <c r="H16620" i="1"/>
  <c r="A16621" i="1"/>
  <c r="B16621" i="1"/>
  <c r="C16621" i="1"/>
  <c r="D16621" i="1"/>
  <c r="E16621" i="1"/>
  <c r="F16621" i="1"/>
  <c r="G16621" i="1"/>
  <c r="H16621" i="1"/>
  <c r="A16622" i="1"/>
  <c r="B16622" i="1"/>
  <c r="C16622" i="1"/>
  <c r="D16622" i="1"/>
  <c r="E16622" i="1"/>
  <c r="F16622" i="1"/>
  <c r="G16622" i="1"/>
  <c r="H16622" i="1"/>
  <c r="A16623" i="1"/>
  <c r="B16623" i="1"/>
  <c r="C16623" i="1"/>
  <c r="D16623" i="1"/>
  <c r="E16623" i="1"/>
  <c r="F16623" i="1"/>
  <c r="G16623" i="1"/>
  <c r="H16623" i="1"/>
  <c r="A16624" i="1"/>
  <c r="B16624" i="1"/>
  <c r="C16624" i="1"/>
  <c r="D16624" i="1"/>
  <c r="E16624" i="1"/>
  <c r="F16624" i="1"/>
  <c r="G16624" i="1"/>
  <c r="H16624" i="1"/>
  <c r="A16625" i="1"/>
  <c r="B16625" i="1"/>
  <c r="C16625" i="1"/>
  <c r="D16625" i="1"/>
  <c r="E16625" i="1"/>
  <c r="F16625" i="1"/>
  <c r="G16625" i="1"/>
  <c r="H16625" i="1"/>
  <c r="A16626" i="1"/>
  <c r="B16626" i="1"/>
  <c r="C16626" i="1"/>
  <c r="D16626" i="1"/>
  <c r="E16626" i="1"/>
  <c r="F16626" i="1"/>
  <c r="G16626" i="1"/>
  <c r="H16626" i="1"/>
  <c r="A16627" i="1"/>
  <c r="B16627" i="1"/>
  <c r="C16627" i="1"/>
  <c r="D16627" i="1"/>
  <c r="E16627" i="1"/>
  <c r="F16627" i="1"/>
  <c r="G16627" i="1"/>
  <c r="H16627" i="1"/>
  <c r="A16628" i="1"/>
  <c r="B16628" i="1"/>
  <c r="C16628" i="1"/>
  <c r="D16628" i="1"/>
  <c r="E16628" i="1"/>
  <c r="F16628" i="1"/>
  <c r="G16628" i="1"/>
  <c r="H16628" i="1"/>
  <c r="A16629" i="1"/>
  <c r="B16629" i="1"/>
  <c r="C16629" i="1"/>
  <c r="D16629" i="1"/>
  <c r="E16629" i="1"/>
  <c r="F16629" i="1"/>
  <c r="G16629" i="1"/>
  <c r="H16629" i="1"/>
  <c r="A16630" i="1"/>
  <c r="B16630" i="1"/>
  <c r="C16630" i="1"/>
  <c r="D16630" i="1"/>
  <c r="E16630" i="1"/>
  <c r="F16630" i="1"/>
  <c r="G16630" i="1"/>
  <c r="H16630" i="1"/>
  <c r="A16631" i="1"/>
  <c r="B16631" i="1"/>
  <c r="C16631" i="1"/>
  <c r="D16631" i="1"/>
  <c r="E16631" i="1"/>
  <c r="F16631" i="1"/>
  <c r="G16631" i="1"/>
  <c r="H16631" i="1"/>
  <c r="A16632" i="1"/>
  <c r="B16632" i="1"/>
  <c r="C16632" i="1"/>
  <c r="D16632" i="1"/>
  <c r="E16632" i="1"/>
  <c r="F16632" i="1"/>
  <c r="G16632" i="1"/>
  <c r="H16632" i="1"/>
  <c r="A16633" i="1"/>
  <c r="B16633" i="1"/>
  <c r="C16633" i="1"/>
  <c r="D16633" i="1"/>
  <c r="E16633" i="1"/>
  <c r="F16633" i="1"/>
  <c r="G16633" i="1"/>
  <c r="H16633" i="1"/>
  <c r="A16634" i="1"/>
  <c r="B16634" i="1"/>
  <c r="C16634" i="1"/>
  <c r="D16634" i="1"/>
  <c r="E16634" i="1"/>
  <c r="F16634" i="1"/>
  <c r="G16634" i="1"/>
  <c r="H16634" i="1"/>
  <c r="A16635" i="1"/>
  <c r="B16635" i="1"/>
  <c r="C16635" i="1"/>
  <c r="D16635" i="1"/>
  <c r="E16635" i="1"/>
  <c r="F16635" i="1"/>
  <c r="G16635" i="1"/>
  <c r="H16635" i="1"/>
  <c r="A16636" i="1"/>
  <c r="B16636" i="1"/>
  <c r="C16636" i="1"/>
  <c r="D16636" i="1"/>
  <c r="E16636" i="1"/>
  <c r="F16636" i="1"/>
  <c r="G16636" i="1"/>
  <c r="H16636" i="1"/>
  <c r="A16637" i="1"/>
  <c r="B16637" i="1"/>
  <c r="C16637" i="1"/>
  <c r="D16637" i="1"/>
  <c r="E16637" i="1"/>
  <c r="F16637" i="1"/>
  <c r="G16637" i="1"/>
  <c r="H16637" i="1"/>
  <c r="A16638" i="1"/>
  <c r="B16638" i="1"/>
  <c r="C16638" i="1"/>
  <c r="D16638" i="1"/>
  <c r="E16638" i="1"/>
  <c r="F16638" i="1"/>
  <c r="G16638" i="1"/>
  <c r="H16638" i="1"/>
  <c r="A16639" i="1"/>
  <c r="B16639" i="1"/>
  <c r="C16639" i="1"/>
  <c r="D16639" i="1"/>
  <c r="E16639" i="1"/>
  <c r="F16639" i="1"/>
  <c r="G16639" i="1"/>
  <c r="H16639" i="1"/>
  <c r="A16640" i="1"/>
  <c r="B16640" i="1"/>
  <c r="C16640" i="1"/>
  <c r="D16640" i="1"/>
  <c r="E16640" i="1"/>
  <c r="F16640" i="1"/>
  <c r="G16640" i="1"/>
  <c r="H16640" i="1"/>
  <c r="A16641" i="1"/>
  <c r="B16641" i="1"/>
  <c r="C16641" i="1"/>
  <c r="D16641" i="1"/>
  <c r="E16641" i="1"/>
  <c r="F16641" i="1"/>
  <c r="G16641" i="1"/>
  <c r="H16641" i="1"/>
  <c r="A16642" i="1"/>
  <c r="B16642" i="1"/>
  <c r="C16642" i="1"/>
  <c r="D16642" i="1"/>
  <c r="E16642" i="1"/>
  <c r="F16642" i="1"/>
  <c r="G16642" i="1"/>
  <c r="H16642" i="1"/>
  <c r="A16643" i="1"/>
  <c r="B16643" i="1"/>
  <c r="C16643" i="1"/>
  <c r="D16643" i="1"/>
  <c r="E16643" i="1"/>
  <c r="F16643" i="1"/>
  <c r="G16643" i="1"/>
  <c r="H16643" i="1"/>
  <c r="A16644" i="1"/>
  <c r="B16644" i="1"/>
  <c r="C16644" i="1"/>
  <c r="D16644" i="1"/>
  <c r="E16644" i="1"/>
  <c r="F16644" i="1"/>
  <c r="G16644" i="1"/>
  <c r="H16644" i="1"/>
  <c r="A16645" i="1"/>
  <c r="B16645" i="1"/>
  <c r="C16645" i="1"/>
  <c r="D16645" i="1"/>
  <c r="E16645" i="1"/>
  <c r="F16645" i="1"/>
  <c r="G16645" i="1"/>
  <c r="H16645" i="1"/>
  <c r="A16646" i="1"/>
  <c r="B16646" i="1"/>
  <c r="C16646" i="1"/>
  <c r="D16646" i="1"/>
  <c r="E16646" i="1"/>
  <c r="F16646" i="1"/>
  <c r="G16646" i="1"/>
  <c r="H16646" i="1"/>
  <c r="A16647" i="1"/>
  <c r="B16647" i="1"/>
  <c r="C16647" i="1"/>
  <c r="D16647" i="1"/>
  <c r="E16647" i="1"/>
  <c r="F16647" i="1"/>
  <c r="G16647" i="1"/>
  <c r="H16647" i="1"/>
  <c r="A16648" i="1"/>
  <c r="B16648" i="1"/>
  <c r="C16648" i="1"/>
  <c r="D16648" i="1"/>
  <c r="E16648" i="1"/>
  <c r="F16648" i="1"/>
  <c r="G16648" i="1"/>
  <c r="H16648" i="1"/>
  <c r="A16649" i="1"/>
  <c r="B16649" i="1"/>
  <c r="C16649" i="1"/>
  <c r="D16649" i="1"/>
  <c r="E16649" i="1"/>
  <c r="F16649" i="1"/>
  <c r="G16649" i="1"/>
  <c r="H16649" i="1"/>
  <c r="A16650" i="1"/>
  <c r="B16650" i="1"/>
  <c r="C16650" i="1"/>
  <c r="D16650" i="1"/>
  <c r="E16650" i="1"/>
  <c r="F16650" i="1"/>
  <c r="G16650" i="1"/>
  <c r="H16650" i="1"/>
  <c r="A16651" i="1"/>
  <c r="B16651" i="1"/>
  <c r="C16651" i="1"/>
  <c r="D16651" i="1"/>
  <c r="E16651" i="1"/>
  <c r="F16651" i="1"/>
  <c r="G16651" i="1"/>
  <c r="H16651" i="1"/>
  <c r="A16652" i="1"/>
  <c r="B16652" i="1"/>
  <c r="C16652" i="1"/>
  <c r="D16652" i="1"/>
  <c r="E16652" i="1"/>
  <c r="F16652" i="1"/>
  <c r="G16652" i="1"/>
  <c r="H16652" i="1"/>
  <c r="A16653" i="1"/>
  <c r="B16653" i="1"/>
  <c r="C16653" i="1"/>
  <c r="D16653" i="1"/>
  <c r="E16653" i="1"/>
  <c r="F16653" i="1"/>
  <c r="G16653" i="1"/>
  <c r="H16653" i="1"/>
  <c r="A16654" i="1"/>
  <c r="B16654" i="1"/>
  <c r="C16654" i="1"/>
  <c r="D16654" i="1"/>
  <c r="E16654" i="1"/>
  <c r="F16654" i="1"/>
  <c r="G16654" i="1"/>
  <c r="H16654" i="1"/>
  <c r="A16655" i="1"/>
  <c r="B16655" i="1"/>
  <c r="C16655" i="1"/>
  <c r="D16655" i="1"/>
  <c r="E16655" i="1"/>
  <c r="F16655" i="1"/>
  <c r="G16655" i="1"/>
  <c r="H16655" i="1"/>
  <c r="A16656" i="1"/>
  <c r="B16656" i="1"/>
  <c r="C16656" i="1"/>
  <c r="D16656" i="1"/>
  <c r="E16656" i="1"/>
  <c r="F16656" i="1"/>
  <c r="G16656" i="1"/>
  <c r="H16656" i="1"/>
  <c r="A16657" i="1"/>
  <c r="B16657" i="1"/>
  <c r="C16657" i="1"/>
  <c r="D16657" i="1"/>
  <c r="E16657" i="1"/>
  <c r="F16657" i="1"/>
  <c r="G16657" i="1"/>
  <c r="H16657" i="1"/>
  <c r="A16658" i="1"/>
  <c r="B16658" i="1"/>
  <c r="C16658" i="1"/>
  <c r="D16658" i="1"/>
  <c r="E16658" i="1"/>
  <c r="F16658" i="1"/>
  <c r="G16658" i="1"/>
  <c r="H16658" i="1"/>
  <c r="A16659" i="1"/>
  <c r="B16659" i="1"/>
  <c r="C16659" i="1"/>
  <c r="D16659" i="1"/>
  <c r="E16659" i="1"/>
  <c r="F16659" i="1"/>
  <c r="G16659" i="1"/>
  <c r="H16659" i="1"/>
  <c r="A16660" i="1"/>
  <c r="B16660" i="1"/>
  <c r="C16660" i="1"/>
  <c r="D16660" i="1"/>
  <c r="E16660" i="1"/>
  <c r="F16660" i="1"/>
  <c r="G16660" i="1"/>
  <c r="H16660" i="1"/>
  <c r="A16661" i="1"/>
  <c r="B16661" i="1"/>
  <c r="C16661" i="1"/>
  <c r="D16661" i="1"/>
  <c r="E16661" i="1"/>
  <c r="F16661" i="1"/>
  <c r="G16661" i="1"/>
  <c r="H16661" i="1"/>
  <c r="A16662" i="1"/>
  <c r="B16662" i="1"/>
  <c r="C16662" i="1"/>
  <c r="D16662" i="1"/>
  <c r="E16662" i="1"/>
  <c r="F16662" i="1"/>
  <c r="G16662" i="1"/>
  <c r="H16662" i="1"/>
  <c r="A16663" i="1"/>
  <c r="B16663" i="1"/>
  <c r="C16663" i="1"/>
  <c r="D16663" i="1"/>
  <c r="E16663" i="1"/>
  <c r="F16663" i="1"/>
  <c r="G16663" i="1"/>
  <c r="H16663" i="1"/>
  <c r="A16664" i="1"/>
  <c r="B16664" i="1"/>
  <c r="C16664" i="1"/>
  <c r="D16664" i="1"/>
  <c r="E16664" i="1"/>
  <c r="F16664" i="1"/>
  <c r="G16664" i="1"/>
  <c r="H16664" i="1"/>
  <c r="A16665" i="1"/>
  <c r="B16665" i="1"/>
  <c r="C16665" i="1"/>
  <c r="D16665" i="1"/>
  <c r="E16665" i="1"/>
  <c r="F16665" i="1"/>
  <c r="G16665" i="1"/>
  <c r="H16665" i="1"/>
  <c r="A16666" i="1"/>
  <c r="B16666" i="1"/>
  <c r="C16666" i="1"/>
  <c r="D16666" i="1"/>
  <c r="E16666" i="1"/>
  <c r="F16666" i="1"/>
  <c r="G16666" i="1"/>
  <c r="H16666" i="1"/>
  <c r="A16667" i="1"/>
  <c r="B16667" i="1"/>
  <c r="C16667" i="1"/>
  <c r="D16667" i="1"/>
  <c r="E16667" i="1"/>
  <c r="F16667" i="1"/>
  <c r="G16667" i="1"/>
  <c r="H16667" i="1"/>
  <c r="A16668" i="1"/>
  <c r="B16668" i="1"/>
  <c r="C16668" i="1"/>
  <c r="D16668" i="1"/>
  <c r="E16668" i="1"/>
  <c r="F16668" i="1"/>
  <c r="G16668" i="1"/>
  <c r="H16668" i="1"/>
  <c r="A16669" i="1"/>
  <c r="B16669" i="1"/>
  <c r="C16669" i="1"/>
  <c r="D16669" i="1"/>
  <c r="E16669" i="1"/>
  <c r="F16669" i="1"/>
  <c r="G16669" i="1"/>
  <c r="H16669" i="1"/>
  <c r="A16670" i="1"/>
  <c r="B16670" i="1"/>
  <c r="C16670" i="1"/>
  <c r="D16670" i="1"/>
  <c r="E16670" i="1"/>
  <c r="F16670" i="1"/>
  <c r="G16670" i="1"/>
  <c r="H16670" i="1"/>
  <c r="A16671" i="1"/>
  <c r="B16671" i="1"/>
  <c r="C16671" i="1"/>
  <c r="D16671" i="1"/>
  <c r="E16671" i="1"/>
  <c r="F16671" i="1"/>
  <c r="G16671" i="1"/>
  <c r="H16671" i="1"/>
  <c r="A16672" i="1"/>
  <c r="B16672" i="1"/>
  <c r="C16672" i="1"/>
  <c r="D16672" i="1"/>
  <c r="E16672" i="1"/>
  <c r="F16672" i="1"/>
  <c r="G16672" i="1"/>
  <c r="H16672" i="1"/>
  <c r="A16673" i="1"/>
  <c r="B16673" i="1"/>
  <c r="C16673" i="1"/>
  <c r="D16673" i="1"/>
  <c r="E16673" i="1"/>
  <c r="F16673" i="1"/>
  <c r="G16673" i="1"/>
  <c r="H16673" i="1"/>
  <c r="A16674" i="1"/>
  <c r="B16674" i="1"/>
  <c r="C16674" i="1"/>
  <c r="D16674" i="1"/>
  <c r="E16674" i="1"/>
  <c r="F16674" i="1"/>
  <c r="G16674" i="1"/>
  <c r="H16674" i="1"/>
  <c r="A16675" i="1"/>
  <c r="B16675" i="1"/>
  <c r="C16675" i="1"/>
  <c r="D16675" i="1"/>
  <c r="E16675" i="1"/>
  <c r="F16675" i="1"/>
  <c r="G16675" i="1"/>
  <c r="H16675" i="1"/>
  <c r="A16676" i="1"/>
  <c r="B16676" i="1"/>
  <c r="C16676" i="1"/>
  <c r="D16676" i="1"/>
  <c r="E16676" i="1"/>
  <c r="F16676" i="1"/>
  <c r="G16676" i="1"/>
  <c r="H16676" i="1"/>
  <c r="A16677" i="1"/>
  <c r="B16677" i="1"/>
  <c r="C16677" i="1"/>
  <c r="D16677" i="1"/>
  <c r="E16677" i="1"/>
  <c r="F16677" i="1"/>
  <c r="G16677" i="1"/>
  <c r="H16677" i="1"/>
  <c r="A16678" i="1"/>
  <c r="B16678" i="1"/>
  <c r="C16678" i="1"/>
  <c r="D16678" i="1"/>
  <c r="E16678" i="1"/>
  <c r="F16678" i="1"/>
  <c r="G16678" i="1"/>
  <c r="H16678" i="1"/>
  <c r="A16679" i="1"/>
  <c r="B16679" i="1"/>
  <c r="C16679" i="1"/>
  <c r="D16679" i="1"/>
  <c r="E16679" i="1"/>
  <c r="F16679" i="1"/>
  <c r="G16679" i="1"/>
  <c r="H16679" i="1"/>
  <c r="A16680" i="1"/>
  <c r="B16680" i="1"/>
  <c r="C16680" i="1"/>
  <c r="D16680" i="1"/>
  <c r="E16680" i="1"/>
  <c r="F16680" i="1"/>
  <c r="G16680" i="1"/>
  <c r="H16680" i="1"/>
  <c r="A16681" i="1"/>
  <c r="B16681" i="1"/>
  <c r="C16681" i="1"/>
  <c r="D16681" i="1"/>
  <c r="E16681" i="1"/>
  <c r="F16681" i="1"/>
  <c r="G16681" i="1"/>
  <c r="H16681" i="1"/>
  <c r="A16682" i="1"/>
  <c r="B16682" i="1"/>
  <c r="C16682" i="1"/>
  <c r="D16682" i="1"/>
  <c r="E16682" i="1"/>
  <c r="F16682" i="1"/>
  <c r="G16682" i="1"/>
  <c r="H16682" i="1"/>
  <c r="A16683" i="1"/>
  <c r="B16683" i="1"/>
  <c r="C16683" i="1"/>
  <c r="D16683" i="1"/>
  <c r="E16683" i="1"/>
  <c r="F16683" i="1"/>
  <c r="G16683" i="1"/>
  <c r="H16683" i="1"/>
  <c r="A16684" i="1"/>
  <c r="B16684" i="1"/>
  <c r="C16684" i="1"/>
  <c r="D16684" i="1"/>
  <c r="E16684" i="1"/>
  <c r="F16684" i="1"/>
  <c r="G16684" i="1"/>
  <c r="H16684" i="1"/>
  <c r="A16685" i="1"/>
  <c r="B16685" i="1"/>
  <c r="C16685" i="1"/>
  <c r="D16685" i="1"/>
  <c r="E16685" i="1"/>
  <c r="F16685" i="1"/>
  <c r="G16685" i="1"/>
  <c r="H16685" i="1"/>
  <c r="A16686" i="1"/>
  <c r="B16686" i="1"/>
  <c r="C16686" i="1"/>
  <c r="D16686" i="1"/>
  <c r="E16686" i="1"/>
  <c r="F16686" i="1"/>
  <c r="G16686" i="1"/>
  <c r="H16686" i="1"/>
  <c r="A16687" i="1"/>
  <c r="B16687" i="1"/>
  <c r="C16687" i="1"/>
  <c r="D16687" i="1"/>
  <c r="E16687" i="1"/>
  <c r="F16687" i="1"/>
  <c r="G16687" i="1"/>
  <c r="H16687" i="1"/>
  <c r="A16688" i="1"/>
  <c r="B16688" i="1"/>
  <c r="C16688" i="1"/>
  <c r="D16688" i="1"/>
  <c r="E16688" i="1"/>
  <c r="F16688" i="1"/>
  <c r="G16688" i="1"/>
  <c r="H16688" i="1"/>
  <c r="A16689" i="1"/>
  <c r="B16689" i="1"/>
  <c r="C16689" i="1"/>
  <c r="D16689" i="1"/>
  <c r="E16689" i="1"/>
  <c r="F16689" i="1"/>
  <c r="G16689" i="1"/>
  <c r="H16689" i="1"/>
  <c r="A16690" i="1"/>
  <c r="B16690" i="1"/>
  <c r="C16690" i="1"/>
  <c r="D16690" i="1"/>
  <c r="E16690" i="1"/>
  <c r="F16690" i="1"/>
  <c r="G16690" i="1"/>
  <c r="H16690" i="1"/>
  <c r="A16691" i="1"/>
  <c r="B16691" i="1"/>
  <c r="C16691" i="1"/>
  <c r="D16691" i="1"/>
  <c r="E16691" i="1"/>
  <c r="F16691" i="1"/>
  <c r="G16691" i="1"/>
  <c r="H16691" i="1"/>
  <c r="A16692" i="1"/>
  <c r="B16692" i="1"/>
  <c r="C16692" i="1"/>
  <c r="D16692" i="1"/>
  <c r="E16692" i="1"/>
  <c r="F16692" i="1"/>
  <c r="G16692" i="1"/>
  <c r="H16692" i="1"/>
  <c r="A16693" i="1"/>
  <c r="B16693" i="1"/>
  <c r="C16693" i="1"/>
  <c r="D16693" i="1"/>
  <c r="E16693" i="1"/>
  <c r="F16693" i="1"/>
  <c r="G16693" i="1"/>
  <c r="H16693" i="1"/>
  <c r="A16694" i="1"/>
  <c r="B16694" i="1"/>
  <c r="C16694" i="1"/>
  <c r="D16694" i="1"/>
  <c r="E16694" i="1"/>
  <c r="F16694" i="1"/>
  <c r="G16694" i="1"/>
  <c r="H16694" i="1"/>
  <c r="A16695" i="1"/>
  <c r="B16695" i="1"/>
  <c r="C16695" i="1"/>
  <c r="D16695" i="1"/>
  <c r="E16695" i="1"/>
  <c r="F16695" i="1"/>
  <c r="G16695" i="1"/>
  <c r="H16695" i="1"/>
  <c r="A16696" i="1"/>
  <c r="B16696" i="1"/>
  <c r="C16696" i="1"/>
  <c r="D16696" i="1"/>
  <c r="E16696" i="1"/>
  <c r="F16696" i="1"/>
  <c r="G16696" i="1"/>
  <c r="H16696" i="1"/>
  <c r="A16697" i="1"/>
  <c r="B16697" i="1"/>
  <c r="C16697" i="1"/>
  <c r="D16697" i="1"/>
  <c r="E16697" i="1"/>
  <c r="F16697" i="1"/>
  <c r="G16697" i="1"/>
  <c r="H16697" i="1"/>
  <c r="A16698" i="1"/>
  <c r="B16698" i="1"/>
  <c r="C16698" i="1"/>
  <c r="D16698" i="1"/>
  <c r="E16698" i="1"/>
  <c r="F16698" i="1"/>
  <c r="G16698" i="1"/>
  <c r="H16698" i="1"/>
  <c r="A16699" i="1"/>
  <c r="B16699" i="1"/>
  <c r="C16699" i="1"/>
  <c r="D16699" i="1"/>
  <c r="E16699" i="1"/>
  <c r="F16699" i="1"/>
  <c r="G16699" i="1"/>
  <c r="H16699" i="1"/>
  <c r="A16700" i="1"/>
  <c r="B16700" i="1"/>
  <c r="C16700" i="1"/>
  <c r="D16700" i="1"/>
  <c r="E16700" i="1"/>
  <c r="F16700" i="1"/>
  <c r="G16700" i="1"/>
  <c r="H16700" i="1"/>
  <c r="A16701" i="1"/>
  <c r="B16701" i="1"/>
  <c r="C16701" i="1"/>
  <c r="D16701" i="1"/>
  <c r="E16701" i="1"/>
  <c r="F16701" i="1"/>
  <c r="G16701" i="1"/>
  <c r="H16701" i="1"/>
  <c r="A16702" i="1"/>
  <c r="B16702" i="1"/>
  <c r="C16702" i="1"/>
  <c r="D16702" i="1"/>
  <c r="E16702" i="1"/>
  <c r="F16702" i="1"/>
  <c r="G16702" i="1"/>
  <c r="H16702" i="1"/>
  <c r="A16703" i="1"/>
  <c r="B16703" i="1"/>
  <c r="C16703" i="1"/>
  <c r="D16703" i="1"/>
  <c r="E16703" i="1"/>
  <c r="F16703" i="1"/>
  <c r="G16703" i="1"/>
  <c r="H16703" i="1"/>
  <c r="A16704" i="1"/>
  <c r="B16704" i="1"/>
  <c r="C16704" i="1"/>
  <c r="D16704" i="1"/>
  <c r="E16704" i="1"/>
  <c r="F16704" i="1"/>
  <c r="G16704" i="1"/>
  <c r="H16704" i="1"/>
  <c r="A16705" i="1"/>
  <c r="B16705" i="1"/>
  <c r="C16705" i="1"/>
  <c r="D16705" i="1"/>
  <c r="E16705" i="1"/>
  <c r="F16705" i="1"/>
  <c r="G16705" i="1"/>
  <c r="H16705" i="1"/>
  <c r="A16706" i="1"/>
  <c r="B16706" i="1"/>
  <c r="C16706" i="1"/>
  <c r="D16706" i="1"/>
  <c r="E16706" i="1"/>
  <c r="F16706" i="1"/>
  <c r="G16706" i="1"/>
  <c r="H16706" i="1"/>
  <c r="A16707" i="1"/>
  <c r="B16707" i="1"/>
  <c r="C16707" i="1"/>
  <c r="D16707" i="1"/>
  <c r="E16707" i="1"/>
  <c r="F16707" i="1"/>
  <c r="G16707" i="1"/>
  <c r="H16707" i="1"/>
  <c r="A16708" i="1"/>
  <c r="B16708" i="1"/>
  <c r="C16708" i="1"/>
  <c r="D16708" i="1"/>
  <c r="E16708" i="1"/>
  <c r="F16708" i="1"/>
  <c r="G16708" i="1"/>
  <c r="H16708" i="1"/>
  <c r="A16709" i="1"/>
  <c r="B16709" i="1"/>
  <c r="C16709" i="1"/>
  <c r="D16709" i="1"/>
  <c r="E16709" i="1"/>
  <c r="F16709" i="1"/>
  <c r="G16709" i="1"/>
  <c r="H16709" i="1"/>
  <c r="A16710" i="1"/>
  <c r="B16710" i="1"/>
  <c r="C16710" i="1"/>
  <c r="D16710" i="1"/>
  <c r="E16710" i="1"/>
  <c r="F16710" i="1"/>
  <c r="G16710" i="1"/>
  <c r="H16710" i="1"/>
  <c r="A16711" i="1"/>
  <c r="B16711" i="1"/>
  <c r="C16711" i="1"/>
  <c r="D16711" i="1"/>
  <c r="E16711" i="1"/>
  <c r="F16711" i="1"/>
  <c r="G16711" i="1"/>
  <c r="H16711" i="1"/>
  <c r="A16712" i="1"/>
  <c r="B16712" i="1"/>
  <c r="C16712" i="1"/>
  <c r="D16712" i="1"/>
  <c r="E16712" i="1"/>
  <c r="F16712" i="1"/>
  <c r="G16712" i="1"/>
  <c r="H16712" i="1"/>
  <c r="A16713" i="1"/>
  <c r="B16713" i="1"/>
  <c r="C16713" i="1"/>
  <c r="D16713" i="1"/>
  <c r="E16713" i="1"/>
  <c r="F16713" i="1"/>
  <c r="G16713" i="1"/>
  <c r="H16713" i="1"/>
  <c r="A16714" i="1"/>
  <c r="B16714" i="1"/>
  <c r="C16714" i="1"/>
  <c r="D16714" i="1"/>
  <c r="E16714" i="1"/>
  <c r="F16714" i="1"/>
  <c r="G16714" i="1"/>
  <c r="H16714" i="1"/>
  <c r="A16715" i="1"/>
  <c r="B16715" i="1"/>
  <c r="C16715" i="1"/>
  <c r="D16715" i="1"/>
  <c r="E16715" i="1"/>
  <c r="F16715" i="1"/>
  <c r="G16715" i="1"/>
  <c r="H16715" i="1"/>
  <c r="A16716" i="1"/>
  <c r="B16716" i="1"/>
  <c r="C16716" i="1"/>
  <c r="D16716" i="1"/>
  <c r="E16716" i="1"/>
  <c r="F16716" i="1"/>
  <c r="G16716" i="1"/>
  <c r="H16716" i="1"/>
  <c r="A16717" i="1"/>
  <c r="B16717" i="1"/>
  <c r="C16717" i="1"/>
  <c r="D16717" i="1"/>
  <c r="E16717" i="1"/>
  <c r="F16717" i="1"/>
  <c r="G16717" i="1"/>
  <c r="H16717" i="1"/>
  <c r="A16718" i="1"/>
  <c r="B16718" i="1"/>
  <c r="C16718" i="1"/>
  <c r="D16718" i="1"/>
  <c r="E16718" i="1"/>
  <c r="F16718" i="1"/>
  <c r="G16718" i="1"/>
  <c r="H16718" i="1"/>
  <c r="A16719" i="1"/>
  <c r="B16719" i="1"/>
  <c r="C16719" i="1"/>
  <c r="D16719" i="1"/>
  <c r="E16719" i="1"/>
  <c r="F16719" i="1"/>
  <c r="G16719" i="1"/>
  <c r="H16719" i="1"/>
  <c r="A16720" i="1"/>
  <c r="B16720" i="1"/>
  <c r="C16720" i="1"/>
  <c r="D16720" i="1"/>
  <c r="E16720" i="1"/>
  <c r="F16720" i="1"/>
  <c r="G16720" i="1"/>
  <c r="H16720" i="1"/>
  <c r="A16721" i="1"/>
  <c r="B16721" i="1"/>
  <c r="C16721" i="1"/>
  <c r="D16721" i="1"/>
  <c r="E16721" i="1"/>
  <c r="F16721" i="1"/>
  <c r="G16721" i="1"/>
  <c r="H16721" i="1"/>
  <c r="A16722" i="1"/>
  <c r="B16722" i="1"/>
  <c r="C16722" i="1"/>
  <c r="D16722" i="1"/>
  <c r="E16722" i="1"/>
  <c r="F16722" i="1"/>
  <c r="G16722" i="1"/>
  <c r="H16722" i="1"/>
  <c r="A16723" i="1"/>
  <c r="B16723" i="1"/>
  <c r="C16723" i="1"/>
  <c r="D16723" i="1"/>
  <c r="E16723" i="1"/>
  <c r="F16723" i="1"/>
  <c r="G16723" i="1"/>
  <c r="H16723" i="1"/>
  <c r="A16724" i="1"/>
  <c r="B16724" i="1"/>
  <c r="C16724" i="1"/>
  <c r="D16724" i="1"/>
  <c r="E16724" i="1"/>
  <c r="F16724" i="1"/>
  <c r="G16724" i="1"/>
  <c r="H16724" i="1"/>
  <c r="A16725" i="1"/>
  <c r="B16725" i="1"/>
  <c r="C16725" i="1"/>
  <c r="D16725" i="1"/>
  <c r="E16725" i="1"/>
  <c r="F16725" i="1"/>
  <c r="G16725" i="1"/>
  <c r="H16725" i="1"/>
  <c r="A16726" i="1"/>
  <c r="B16726" i="1"/>
  <c r="C16726" i="1"/>
  <c r="D16726" i="1"/>
  <c r="E16726" i="1"/>
  <c r="F16726" i="1"/>
  <c r="G16726" i="1"/>
  <c r="H16726" i="1"/>
  <c r="A16727" i="1"/>
  <c r="B16727" i="1"/>
  <c r="C16727" i="1"/>
  <c r="D16727" i="1"/>
  <c r="E16727" i="1"/>
  <c r="F16727" i="1"/>
  <c r="G16727" i="1"/>
  <c r="H16727" i="1"/>
  <c r="A16728" i="1"/>
  <c r="B16728" i="1"/>
  <c r="C16728" i="1"/>
  <c r="D16728" i="1"/>
  <c r="E16728" i="1"/>
  <c r="F16728" i="1"/>
  <c r="G16728" i="1"/>
  <c r="H16728" i="1"/>
  <c r="A16729" i="1"/>
  <c r="B16729" i="1"/>
  <c r="C16729" i="1"/>
  <c r="D16729" i="1"/>
  <c r="E16729" i="1"/>
  <c r="F16729" i="1"/>
  <c r="G16729" i="1"/>
  <c r="H16729" i="1"/>
  <c r="A16730" i="1"/>
  <c r="B16730" i="1"/>
  <c r="C16730" i="1"/>
  <c r="D16730" i="1"/>
  <c r="E16730" i="1"/>
  <c r="F16730" i="1"/>
  <c r="G16730" i="1"/>
  <c r="H16730" i="1"/>
  <c r="A16731" i="1"/>
  <c r="B16731" i="1"/>
  <c r="C16731" i="1"/>
  <c r="D16731" i="1"/>
  <c r="E16731" i="1"/>
  <c r="F16731" i="1"/>
  <c r="G16731" i="1"/>
  <c r="H16731" i="1"/>
  <c r="A16732" i="1"/>
  <c r="B16732" i="1"/>
  <c r="C16732" i="1"/>
  <c r="D16732" i="1"/>
  <c r="E16732" i="1"/>
  <c r="F16732" i="1"/>
  <c r="G16732" i="1"/>
  <c r="H16732" i="1"/>
  <c r="A16733" i="1"/>
  <c r="B16733" i="1"/>
  <c r="C16733" i="1"/>
  <c r="D16733" i="1"/>
  <c r="E16733" i="1"/>
  <c r="F16733" i="1"/>
  <c r="G16733" i="1"/>
  <c r="H16733" i="1"/>
  <c r="A16734" i="1"/>
  <c r="B16734" i="1"/>
  <c r="C16734" i="1"/>
  <c r="D16734" i="1"/>
  <c r="E16734" i="1"/>
  <c r="F16734" i="1"/>
  <c r="G16734" i="1"/>
  <c r="H16734" i="1"/>
  <c r="A16735" i="1"/>
  <c r="B16735" i="1"/>
  <c r="C16735" i="1"/>
  <c r="D16735" i="1"/>
  <c r="E16735" i="1"/>
  <c r="F16735" i="1"/>
  <c r="G16735" i="1"/>
  <c r="H16735" i="1"/>
  <c r="A16736" i="1"/>
  <c r="B16736" i="1"/>
  <c r="C16736" i="1"/>
  <c r="D16736" i="1"/>
  <c r="E16736" i="1"/>
  <c r="F16736" i="1"/>
  <c r="G16736" i="1"/>
  <c r="H16736" i="1"/>
  <c r="A16737" i="1"/>
  <c r="B16737" i="1"/>
  <c r="C16737" i="1"/>
  <c r="D16737" i="1"/>
  <c r="E16737" i="1"/>
  <c r="F16737" i="1"/>
  <c r="G16737" i="1"/>
  <c r="H16737" i="1"/>
  <c r="A16738" i="1"/>
  <c r="B16738" i="1"/>
  <c r="C16738" i="1"/>
  <c r="D16738" i="1"/>
  <c r="E16738" i="1"/>
  <c r="F16738" i="1"/>
  <c r="G16738" i="1"/>
  <c r="H16738" i="1"/>
  <c r="A16739" i="1"/>
  <c r="B16739" i="1"/>
  <c r="C16739" i="1"/>
  <c r="D16739" i="1"/>
  <c r="E16739" i="1"/>
  <c r="F16739" i="1"/>
  <c r="G16739" i="1"/>
  <c r="H16739" i="1"/>
  <c r="A16740" i="1"/>
  <c r="B16740" i="1"/>
  <c r="C16740" i="1"/>
  <c r="D16740" i="1"/>
  <c r="E16740" i="1"/>
  <c r="F16740" i="1"/>
  <c r="G16740" i="1"/>
  <c r="H16740" i="1"/>
  <c r="A16741" i="1"/>
  <c r="B16741" i="1"/>
  <c r="C16741" i="1"/>
  <c r="D16741" i="1"/>
  <c r="E16741" i="1"/>
  <c r="F16741" i="1"/>
  <c r="G16741" i="1"/>
  <c r="H16741" i="1"/>
  <c r="A16742" i="1"/>
  <c r="B16742" i="1"/>
  <c r="C16742" i="1"/>
  <c r="D16742" i="1"/>
  <c r="E16742" i="1"/>
  <c r="F16742" i="1"/>
  <c r="G16742" i="1"/>
  <c r="H16742" i="1"/>
  <c r="A16743" i="1"/>
  <c r="B16743" i="1"/>
  <c r="C16743" i="1"/>
  <c r="D16743" i="1"/>
  <c r="E16743" i="1"/>
  <c r="F16743" i="1"/>
  <c r="G16743" i="1"/>
  <c r="H16743" i="1"/>
  <c r="A16744" i="1"/>
  <c r="B16744" i="1"/>
  <c r="C16744" i="1"/>
  <c r="D16744" i="1"/>
  <c r="E16744" i="1"/>
  <c r="F16744" i="1"/>
  <c r="G16744" i="1"/>
  <c r="H16744" i="1"/>
  <c r="A16745" i="1"/>
  <c r="B16745" i="1"/>
  <c r="C16745" i="1"/>
  <c r="D16745" i="1"/>
  <c r="E16745" i="1"/>
  <c r="F16745" i="1"/>
  <c r="G16745" i="1"/>
  <c r="H16745" i="1"/>
  <c r="A16746" i="1"/>
  <c r="B16746" i="1"/>
  <c r="C16746" i="1"/>
  <c r="D16746" i="1"/>
  <c r="E16746" i="1"/>
  <c r="F16746" i="1"/>
  <c r="G16746" i="1"/>
  <c r="H16746" i="1"/>
  <c r="A16747" i="1"/>
  <c r="B16747" i="1"/>
  <c r="C16747" i="1"/>
  <c r="D16747" i="1"/>
  <c r="E16747" i="1"/>
  <c r="F16747" i="1"/>
  <c r="G16747" i="1"/>
  <c r="H16747" i="1"/>
  <c r="A16748" i="1"/>
  <c r="B16748" i="1"/>
  <c r="C16748" i="1"/>
  <c r="D16748" i="1"/>
  <c r="E16748" i="1"/>
  <c r="F16748" i="1"/>
  <c r="G16748" i="1"/>
  <c r="H16748" i="1"/>
  <c r="A16749" i="1"/>
  <c r="B16749" i="1"/>
  <c r="C16749" i="1"/>
  <c r="D16749" i="1"/>
  <c r="E16749" i="1"/>
  <c r="F16749" i="1"/>
  <c r="G16749" i="1"/>
  <c r="H16749" i="1"/>
  <c r="A16750" i="1"/>
  <c r="B16750" i="1"/>
  <c r="C16750" i="1"/>
  <c r="D16750" i="1"/>
  <c r="E16750" i="1"/>
  <c r="F16750" i="1"/>
  <c r="G16750" i="1"/>
  <c r="H16750" i="1"/>
  <c r="A16751" i="1"/>
  <c r="B16751" i="1"/>
  <c r="C16751" i="1"/>
  <c r="D16751" i="1"/>
  <c r="E16751" i="1"/>
  <c r="F16751" i="1"/>
  <c r="G16751" i="1"/>
  <c r="H16751" i="1"/>
  <c r="A16752" i="1"/>
  <c r="B16752" i="1"/>
  <c r="C16752" i="1"/>
  <c r="D16752" i="1"/>
  <c r="E16752" i="1"/>
  <c r="F16752" i="1"/>
  <c r="G16752" i="1"/>
  <c r="H16752" i="1"/>
  <c r="A16753" i="1"/>
  <c r="B16753" i="1"/>
  <c r="C16753" i="1"/>
  <c r="D16753" i="1"/>
  <c r="E16753" i="1"/>
  <c r="F16753" i="1"/>
  <c r="G16753" i="1"/>
  <c r="H16753" i="1"/>
  <c r="A16754" i="1"/>
  <c r="B16754" i="1"/>
  <c r="C16754" i="1"/>
  <c r="D16754" i="1"/>
  <c r="E16754" i="1"/>
  <c r="F16754" i="1"/>
  <c r="G16754" i="1"/>
  <c r="H16754" i="1"/>
  <c r="A16755" i="1"/>
  <c r="B16755" i="1"/>
  <c r="C16755" i="1"/>
  <c r="D16755" i="1"/>
  <c r="E16755" i="1"/>
  <c r="F16755" i="1"/>
  <c r="G16755" i="1"/>
  <c r="H16755" i="1"/>
  <c r="A16756" i="1"/>
  <c r="B16756" i="1"/>
  <c r="C16756" i="1"/>
  <c r="D16756" i="1"/>
  <c r="E16756" i="1"/>
  <c r="F16756" i="1"/>
  <c r="G16756" i="1"/>
  <c r="H16756" i="1"/>
  <c r="A16757" i="1"/>
  <c r="B16757" i="1"/>
  <c r="C16757" i="1"/>
  <c r="D16757" i="1"/>
  <c r="E16757" i="1"/>
  <c r="F16757" i="1"/>
  <c r="G16757" i="1"/>
  <c r="H16757" i="1"/>
  <c r="A16758" i="1"/>
  <c r="B16758" i="1"/>
  <c r="C16758" i="1"/>
  <c r="D16758" i="1"/>
  <c r="E16758" i="1"/>
  <c r="F16758" i="1"/>
  <c r="G16758" i="1"/>
  <c r="H16758" i="1"/>
  <c r="A16759" i="1"/>
  <c r="B16759" i="1"/>
  <c r="C16759" i="1"/>
  <c r="D16759" i="1"/>
  <c r="E16759" i="1"/>
  <c r="F16759" i="1"/>
  <c r="G16759" i="1"/>
  <c r="H16759" i="1"/>
  <c r="A16760" i="1"/>
  <c r="B16760" i="1"/>
  <c r="C16760" i="1"/>
  <c r="D16760" i="1"/>
  <c r="E16760" i="1"/>
  <c r="F16760" i="1"/>
  <c r="G16760" i="1"/>
  <c r="H16760" i="1"/>
  <c r="A16761" i="1"/>
  <c r="B16761" i="1"/>
  <c r="C16761" i="1"/>
  <c r="D16761" i="1"/>
  <c r="E16761" i="1"/>
  <c r="F16761" i="1"/>
  <c r="G16761" i="1"/>
  <c r="H16761" i="1"/>
  <c r="A16762" i="1"/>
  <c r="B16762" i="1"/>
  <c r="C16762" i="1"/>
  <c r="D16762" i="1"/>
  <c r="E16762" i="1"/>
  <c r="F16762" i="1"/>
  <c r="G16762" i="1"/>
  <c r="H16762" i="1"/>
  <c r="A16763" i="1"/>
  <c r="B16763" i="1"/>
  <c r="C16763" i="1"/>
  <c r="D16763" i="1"/>
  <c r="E16763" i="1"/>
  <c r="F16763" i="1"/>
  <c r="G16763" i="1"/>
  <c r="H16763" i="1"/>
  <c r="A16764" i="1"/>
  <c r="B16764" i="1"/>
  <c r="C16764" i="1"/>
  <c r="D16764" i="1"/>
  <c r="E16764" i="1"/>
  <c r="F16764" i="1"/>
  <c r="G16764" i="1"/>
  <c r="H16764" i="1"/>
  <c r="A16765" i="1"/>
  <c r="B16765" i="1"/>
  <c r="C16765" i="1"/>
  <c r="D16765" i="1"/>
  <c r="E16765" i="1"/>
  <c r="F16765" i="1"/>
  <c r="G16765" i="1"/>
  <c r="H16765" i="1"/>
  <c r="A16766" i="1"/>
  <c r="B16766" i="1"/>
  <c r="C16766" i="1"/>
  <c r="D16766" i="1"/>
  <c r="E16766" i="1"/>
  <c r="F16766" i="1"/>
  <c r="G16766" i="1"/>
  <c r="H16766" i="1"/>
  <c r="A16767" i="1"/>
  <c r="B16767" i="1"/>
  <c r="C16767" i="1"/>
  <c r="D16767" i="1"/>
  <c r="E16767" i="1"/>
  <c r="F16767" i="1"/>
  <c r="G16767" i="1"/>
  <c r="H16767" i="1"/>
  <c r="A16768" i="1"/>
  <c r="B16768" i="1"/>
  <c r="C16768" i="1"/>
  <c r="D16768" i="1"/>
  <c r="E16768" i="1"/>
  <c r="F16768" i="1"/>
  <c r="G16768" i="1"/>
  <c r="H16768" i="1"/>
  <c r="A16769" i="1"/>
  <c r="B16769" i="1"/>
  <c r="C16769" i="1"/>
  <c r="D16769" i="1"/>
  <c r="E16769" i="1"/>
  <c r="F16769" i="1"/>
  <c r="G16769" i="1"/>
  <c r="H16769" i="1"/>
  <c r="A16770" i="1"/>
  <c r="B16770" i="1"/>
  <c r="C16770" i="1"/>
  <c r="D16770" i="1"/>
  <c r="E16770" i="1"/>
  <c r="F16770" i="1"/>
  <c r="G16770" i="1"/>
  <c r="H16770" i="1"/>
  <c r="A16771" i="1"/>
  <c r="B16771" i="1"/>
  <c r="C16771" i="1"/>
  <c r="D16771" i="1"/>
  <c r="E16771" i="1"/>
  <c r="F16771" i="1"/>
  <c r="G16771" i="1"/>
  <c r="H16771" i="1"/>
  <c r="A16772" i="1"/>
  <c r="B16772" i="1"/>
  <c r="C16772" i="1"/>
  <c r="D16772" i="1"/>
  <c r="E16772" i="1"/>
  <c r="F16772" i="1"/>
  <c r="G16772" i="1"/>
  <c r="H16772" i="1"/>
  <c r="A16773" i="1"/>
  <c r="B16773" i="1"/>
  <c r="C16773" i="1"/>
  <c r="D16773" i="1"/>
  <c r="E16773" i="1"/>
  <c r="F16773" i="1"/>
  <c r="G16773" i="1"/>
  <c r="H16773" i="1"/>
  <c r="A16774" i="1"/>
  <c r="B16774" i="1"/>
  <c r="C16774" i="1"/>
  <c r="D16774" i="1"/>
  <c r="E16774" i="1"/>
  <c r="F16774" i="1"/>
  <c r="G16774" i="1"/>
  <c r="H16774" i="1"/>
  <c r="A16775" i="1"/>
  <c r="B16775" i="1"/>
  <c r="C16775" i="1"/>
  <c r="D16775" i="1"/>
  <c r="E16775" i="1"/>
  <c r="F16775" i="1"/>
  <c r="G16775" i="1"/>
  <c r="H16775" i="1"/>
  <c r="A16776" i="1"/>
  <c r="B16776" i="1"/>
  <c r="C16776" i="1"/>
  <c r="D16776" i="1"/>
  <c r="E16776" i="1"/>
  <c r="F16776" i="1"/>
  <c r="G16776" i="1"/>
  <c r="H16776" i="1"/>
  <c r="A16777" i="1"/>
  <c r="B16777" i="1"/>
  <c r="C16777" i="1"/>
  <c r="D16777" i="1"/>
  <c r="E16777" i="1"/>
  <c r="F16777" i="1"/>
  <c r="G16777" i="1"/>
  <c r="H16777" i="1"/>
  <c r="A16778" i="1"/>
  <c r="B16778" i="1"/>
  <c r="C16778" i="1"/>
  <c r="D16778" i="1"/>
  <c r="E16778" i="1"/>
  <c r="F16778" i="1"/>
  <c r="G16778" i="1"/>
  <c r="H16778" i="1"/>
  <c r="A16779" i="1"/>
  <c r="B16779" i="1"/>
  <c r="C16779" i="1"/>
  <c r="D16779" i="1"/>
  <c r="E16779" i="1"/>
  <c r="F16779" i="1"/>
  <c r="G16779" i="1"/>
  <c r="H16779" i="1"/>
  <c r="A16780" i="1"/>
  <c r="B16780" i="1"/>
  <c r="C16780" i="1"/>
  <c r="D16780" i="1"/>
  <c r="E16780" i="1"/>
  <c r="F16780" i="1"/>
  <c r="G16780" i="1"/>
  <c r="H16780" i="1"/>
  <c r="A16781" i="1"/>
  <c r="B16781" i="1"/>
  <c r="C16781" i="1"/>
  <c r="D16781" i="1"/>
  <c r="E16781" i="1"/>
  <c r="F16781" i="1"/>
  <c r="G16781" i="1"/>
  <c r="H16781" i="1"/>
  <c r="A16782" i="1"/>
  <c r="B16782" i="1"/>
  <c r="C16782" i="1"/>
  <c r="D16782" i="1"/>
  <c r="E16782" i="1"/>
  <c r="F16782" i="1"/>
  <c r="G16782" i="1"/>
  <c r="H16782" i="1"/>
  <c r="A16783" i="1"/>
  <c r="B16783" i="1"/>
  <c r="C16783" i="1"/>
  <c r="D16783" i="1"/>
  <c r="E16783" i="1"/>
  <c r="F16783" i="1"/>
  <c r="G16783" i="1"/>
  <c r="H16783" i="1"/>
  <c r="A16784" i="1"/>
  <c r="B16784" i="1"/>
  <c r="C16784" i="1"/>
  <c r="D16784" i="1"/>
  <c r="E16784" i="1"/>
  <c r="F16784" i="1"/>
  <c r="G16784" i="1"/>
  <c r="H16784" i="1"/>
  <c r="A16785" i="1"/>
  <c r="B16785" i="1"/>
  <c r="C16785" i="1"/>
  <c r="D16785" i="1"/>
  <c r="E16785" i="1"/>
  <c r="F16785" i="1"/>
  <c r="G16785" i="1"/>
  <c r="H16785" i="1"/>
  <c r="A16786" i="1"/>
  <c r="B16786" i="1"/>
  <c r="C16786" i="1"/>
  <c r="D16786" i="1"/>
  <c r="E16786" i="1"/>
  <c r="F16786" i="1"/>
  <c r="G16786" i="1"/>
  <c r="H16786" i="1"/>
  <c r="A16787" i="1"/>
  <c r="B16787" i="1"/>
  <c r="C16787" i="1"/>
  <c r="D16787" i="1"/>
  <c r="E16787" i="1"/>
  <c r="F16787" i="1"/>
  <c r="G16787" i="1"/>
  <c r="H16787" i="1"/>
  <c r="A16788" i="1"/>
  <c r="B16788" i="1"/>
  <c r="C16788" i="1"/>
  <c r="D16788" i="1"/>
  <c r="E16788" i="1"/>
  <c r="F16788" i="1"/>
  <c r="G16788" i="1"/>
  <c r="H16788" i="1"/>
  <c r="A16789" i="1"/>
  <c r="B16789" i="1"/>
  <c r="C16789" i="1"/>
  <c r="D16789" i="1"/>
  <c r="E16789" i="1"/>
  <c r="F16789" i="1"/>
  <c r="G16789" i="1"/>
  <c r="H16789" i="1"/>
  <c r="A16790" i="1"/>
  <c r="B16790" i="1"/>
  <c r="C16790" i="1"/>
  <c r="D16790" i="1"/>
  <c r="E16790" i="1"/>
  <c r="F16790" i="1"/>
  <c r="G16790" i="1"/>
  <c r="H16790" i="1"/>
  <c r="A16791" i="1"/>
  <c r="B16791" i="1"/>
  <c r="C16791" i="1"/>
  <c r="D16791" i="1"/>
  <c r="E16791" i="1"/>
  <c r="F16791" i="1"/>
  <c r="G16791" i="1"/>
  <c r="H16791" i="1"/>
  <c r="A16792" i="1"/>
  <c r="B16792" i="1"/>
  <c r="C16792" i="1"/>
  <c r="D16792" i="1"/>
  <c r="E16792" i="1"/>
  <c r="F16792" i="1"/>
  <c r="G16792" i="1"/>
  <c r="H16792" i="1"/>
  <c r="A16793" i="1"/>
  <c r="B16793" i="1"/>
  <c r="C16793" i="1"/>
  <c r="D16793" i="1"/>
  <c r="E16793" i="1"/>
  <c r="F16793" i="1"/>
  <c r="G16793" i="1"/>
  <c r="H16793" i="1"/>
  <c r="A16794" i="1"/>
  <c r="B16794" i="1"/>
  <c r="C16794" i="1"/>
  <c r="D16794" i="1"/>
  <c r="E16794" i="1"/>
  <c r="F16794" i="1"/>
  <c r="G16794" i="1"/>
  <c r="H16794" i="1"/>
  <c r="A16795" i="1"/>
  <c r="B16795" i="1"/>
  <c r="C16795" i="1"/>
  <c r="D16795" i="1"/>
  <c r="E16795" i="1"/>
  <c r="F16795" i="1"/>
  <c r="G16795" i="1"/>
  <c r="H16795" i="1"/>
  <c r="A16796" i="1"/>
  <c r="B16796" i="1"/>
  <c r="C16796" i="1"/>
  <c r="D16796" i="1"/>
  <c r="E16796" i="1"/>
  <c r="F16796" i="1"/>
  <c r="G16796" i="1"/>
  <c r="H16796" i="1"/>
  <c r="A16797" i="1"/>
  <c r="B16797" i="1"/>
  <c r="C16797" i="1"/>
  <c r="D16797" i="1"/>
  <c r="E16797" i="1"/>
  <c r="F16797" i="1"/>
  <c r="G16797" i="1"/>
  <c r="H16797" i="1"/>
  <c r="A16798" i="1"/>
  <c r="B16798" i="1"/>
  <c r="C16798" i="1"/>
  <c r="D16798" i="1"/>
  <c r="E16798" i="1"/>
  <c r="F16798" i="1"/>
  <c r="G16798" i="1"/>
  <c r="H16798" i="1"/>
  <c r="A16799" i="1"/>
  <c r="B16799" i="1"/>
  <c r="C16799" i="1"/>
  <c r="D16799" i="1"/>
  <c r="E16799" i="1"/>
  <c r="F16799" i="1"/>
  <c r="G16799" i="1"/>
  <c r="H16799" i="1"/>
  <c r="A16800" i="1"/>
  <c r="B16800" i="1"/>
  <c r="C16800" i="1"/>
  <c r="D16800" i="1"/>
  <c r="E16800" i="1"/>
  <c r="F16800" i="1"/>
  <c r="G16800" i="1"/>
  <c r="H16800" i="1"/>
  <c r="A16801" i="1"/>
  <c r="B16801" i="1"/>
  <c r="C16801" i="1"/>
  <c r="D16801" i="1"/>
  <c r="E16801" i="1"/>
  <c r="F16801" i="1"/>
  <c r="G16801" i="1"/>
  <c r="H16801" i="1"/>
  <c r="A16802" i="1"/>
  <c r="B16802" i="1"/>
  <c r="C16802" i="1"/>
  <c r="D16802" i="1"/>
  <c r="E16802" i="1"/>
  <c r="F16802" i="1"/>
  <c r="G16802" i="1"/>
  <c r="H16802" i="1"/>
  <c r="A16803" i="1"/>
  <c r="B16803" i="1"/>
  <c r="C16803" i="1"/>
  <c r="D16803" i="1"/>
  <c r="E16803" i="1"/>
  <c r="F16803" i="1"/>
  <c r="G16803" i="1"/>
  <c r="H16803" i="1"/>
  <c r="A16804" i="1"/>
  <c r="B16804" i="1"/>
  <c r="C16804" i="1"/>
  <c r="D16804" i="1"/>
  <c r="E16804" i="1"/>
  <c r="F16804" i="1"/>
  <c r="G16804" i="1"/>
  <c r="H16804" i="1"/>
  <c r="A16805" i="1"/>
  <c r="B16805" i="1"/>
  <c r="C16805" i="1"/>
  <c r="D16805" i="1"/>
  <c r="E16805" i="1"/>
  <c r="F16805" i="1"/>
  <c r="G16805" i="1"/>
  <c r="H16805" i="1"/>
  <c r="A16806" i="1"/>
  <c r="B16806" i="1"/>
  <c r="C16806" i="1"/>
  <c r="D16806" i="1"/>
  <c r="E16806" i="1"/>
  <c r="F16806" i="1"/>
  <c r="G16806" i="1"/>
  <c r="H16806" i="1"/>
  <c r="A16807" i="1"/>
  <c r="B16807" i="1"/>
  <c r="C16807" i="1"/>
  <c r="D16807" i="1"/>
  <c r="E16807" i="1"/>
  <c r="F16807" i="1"/>
  <c r="G16807" i="1"/>
  <c r="H16807" i="1"/>
  <c r="A16808" i="1"/>
  <c r="B16808" i="1"/>
  <c r="C16808" i="1"/>
  <c r="D16808" i="1"/>
  <c r="E16808" i="1"/>
  <c r="F16808" i="1"/>
  <c r="G16808" i="1"/>
  <c r="H16808" i="1"/>
  <c r="A16809" i="1"/>
  <c r="B16809" i="1"/>
  <c r="C16809" i="1"/>
  <c r="D16809" i="1"/>
  <c r="E16809" i="1"/>
  <c r="F16809" i="1"/>
  <c r="G16809" i="1"/>
  <c r="H16809" i="1"/>
  <c r="A16810" i="1"/>
  <c r="B16810" i="1"/>
  <c r="C16810" i="1"/>
  <c r="D16810" i="1"/>
  <c r="E16810" i="1"/>
  <c r="F16810" i="1"/>
  <c r="G16810" i="1"/>
  <c r="H16810" i="1"/>
  <c r="A16811" i="1"/>
  <c r="B16811" i="1"/>
  <c r="C16811" i="1"/>
  <c r="D16811" i="1"/>
  <c r="E16811" i="1"/>
  <c r="F16811" i="1"/>
  <c r="G16811" i="1"/>
  <c r="H16811" i="1"/>
  <c r="A16812" i="1"/>
  <c r="B16812" i="1"/>
  <c r="C16812" i="1"/>
  <c r="D16812" i="1"/>
  <c r="E16812" i="1"/>
  <c r="F16812" i="1"/>
  <c r="G16812" i="1"/>
  <c r="H16812" i="1"/>
  <c r="A16813" i="1"/>
  <c r="B16813" i="1"/>
  <c r="C16813" i="1"/>
  <c r="D16813" i="1"/>
  <c r="E16813" i="1"/>
  <c r="F16813" i="1"/>
  <c r="G16813" i="1"/>
  <c r="H16813" i="1"/>
  <c r="A16814" i="1"/>
  <c r="B16814" i="1"/>
  <c r="C16814" i="1"/>
  <c r="D16814" i="1"/>
  <c r="E16814" i="1"/>
  <c r="F16814" i="1"/>
  <c r="G16814" i="1"/>
  <c r="H16814" i="1"/>
  <c r="A16815" i="1"/>
  <c r="B16815" i="1"/>
  <c r="C16815" i="1"/>
  <c r="D16815" i="1"/>
  <c r="E16815" i="1"/>
  <c r="F16815" i="1"/>
  <c r="G16815" i="1"/>
  <c r="H16815" i="1"/>
  <c r="A16816" i="1"/>
  <c r="B16816" i="1"/>
  <c r="C16816" i="1"/>
  <c r="D16816" i="1"/>
  <c r="E16816" i="1"/>
  <c r="F16816" i="1"/>
  <c r="G16816" i="1"/>
  <c r="H16816" i="1"/>
  <c r="A16817" i="1"/>
  <c r="B16817" i="1"/>
  <c r="C16817" i="1"/>
  <c r="D16817" i="1"/>
  <c r="E16817" i="1"/>
  <c r="F16817" i="1"/>
  <c r="G16817" i="1"/>
  <c r="H16817" i="1"/>
  <c r="A16818" i="1"/>
  <c r="B16818" i="1"/>
  <c r="C16818" i="1"/>
  <c r="D16818" i="1"/>
  <c r="E16818" i="1"/>
  <c r="F16818" i="1"/>
  <c r="G16818" i="1"/>
  <c r="H16818" i="1"/>
  <c r="A16819" i="1"/>
  <c r="B16819" i="1"/>
  <c r="C16819" i="1"/>
  <c r="D16819" i="1"/>
  <c r="E16819" i="1"/>
  <c r="F16819" i="1"/>
  <c r="G16819" i="1"/>
  <c r="H16819" i="1"/>
  <c r="A16820" i="1"/>
  <c r="B16820" i="1"/>
  <c r="C16820" i="1"/>
  <c r="D16820" i="1"/>
  <c r="E16820" i="1"/>
  <c r="F16820" i="1"/>
  <c r="G16820" i="1"/>
  <c r="H16820" i="1"/>
  <c r="A16821" i="1"/>
  <c r="B16821" i="1"/>
  <c r="C16821" i="1"/>
  <c r="D16821" i="1"/>
  <c r="E16821" i="1"/>
  <c r="F16821" i="1"/>
  <c r="G16821" i="1"/>
  <c r="H16821" i="1"/>
  <c r="A16822" i="1"/>
  <c r="B16822" i="1"/>
  <c r="C16822" i="1"/>
  <c r="D16822" i="1"/>
  <c r="E16822" i="1"/>
  <c r="F16822" i="1"/>
  <c r="G16822" i="1"/>
  <c r="H16822" i="1"/>
  <c r="A16823" i="1"/>
  <c r="B16823" i="1"/>
  <c r="C16823" i="1"/>
  <c r="D16823" i="1"/>
  <c r="E16823" i="1"/>
  <c r="F16823" i="1"/>
  <c r="G16823" i="1"/>
  <c r="H16823" i="1"/>
  <c r="A16824" i="1"/>
  <c r="B16824" i="1"/>
  <c r="C16824" i="1"/>
  <c r="D16824" i="1"/>
  <c r="E16824" i="1"/>
  <c r="F16824" i="1"/>
  <c r="G16824" i="1"/>
  <c r="H16824" i="1"/>
  <c r="A16825" i="1"/>
  <c r="B16825" i="1"/>
  <c r="C16825" i="1"/>
  <c r="D16825" i="1"/>
  <c r="E16825" i="1"/>
  <c r="F16825" i="1"/>
  <c r="G16825" i="1"/>
  <c r="H16825" i="1"/>
  <c r="A16826" i="1"/>
  <c r="B16826" i="1"/>
  <c r="C16826" i="1"/>
  <c r="D16826" i="1"/>
  <c r="E16826" i="1"/>
  <c r="F16826" i="1"/>
  <c r="G16826" i="1"/>
  <c r="H16826" i="1"/>
  <c r="A16827" i="1"/>
  <c r="B16827" i="1"/>
  <c r="C16827" i="1"/>
  <c r="D16827" i="1"/>
  <c r="E16827" i="1"/>
  <c r="F16827" i="1"/>
  <c r="G16827" i="1"/>
  <c r="H16827" i="1"/>
  <c r="A16828" i="1"/>
  <c r="B16828" i="1"/>
  <c r="C16828" i="1"/>
  <c r="D16828" i="1"/>
  <c r="E16828" i="1"/>
  <c r="F16828" i="1"/>
  <c r="G16828" i="1"/>
  <c r="H16828" i="1"/>
  <c r="A16829" i="1"/>
  <c r="B16829" i="1"/>
  <c r="C16829" i="1"/>
  <c r="D16829" i="1"/>
  <c r="E16829" i="1"/>
  <c r="F16829" i="1"/>
  <c r="G16829" i="1"/>
  <c r="H16829" i="1"/>
  <c r="A16830" i="1"/>
  <c r="B16830" i="1"/>
  <c r="C16830" i="1"/>
  <c r="D16830" i="1"/>
  <c r="E16830" i="1"/>
  <c r="F16830" i="1"/>
  <c r="G16830" i="1"/>
  <c r="H16830" i="1"/>
  <c r="A16831" i="1"/>
  <c r="B16831" i="1"/>
  <c r="C16831" i="1"/>
  <c r="D16831" i="1"/>
  <c r="E16831" i="1"/>
  <c r="F16831" i="1"/>
  <c r="G16831" i="1"/>
  <c r="H16831" i="1"/>
  <c r="A16832" i="1"/>
  <c r="B16832" i="1"/>
  <c r="C16832" i="1"/>
  <c r="D16832" i="1"/>
  <c r="E16832" i="1"/>
  <c r="F16832" i="1"/>
  <c r="G16832" i="1"/>
  <c r="H16832" i="1"/>
  <c r="A16833" i="1"/>
  <c r="B16833" i="1"/>
  <c r="C16833" i="1"/>
  <c r="D16833" i="1"/>
  <c r="E16833" i="1"/>
  <c r="F16833" i="1"/>
  <c r="G16833" i="1"/>
  <c r="H16833" i="1"/>
  <c r="A16834" i="1"/>
  <c r="B16834" i="1"/>
  <c r="C16834" i="1"/>
  <c r="D16834" i="1"/>
  <c r="E16834" i="1"/>
  <c r="F16834" i="1"/>
  <c r="G16834" i="1"/>
  <c r="H16834" i="1"/>
  <c r="A16835" i="1"/>
  <c r="B16835" i="1"/>
  <c r="C16835" i="1"/>
  <c r="D16835" i="1"/>
  <c r="E16835" i="1"/>
  <c r="F16835" i="1"/>
  <c r="G16835" i="1"/>
  <c r="H16835" i="1"/>
  <c r="A16836" i="1"/>
  <c r="B16836" i="1"/>
  <c r="C16836" i="1"/>
  <c r="D16836" i="1"/>
  <c r="E16836" i="1"/>
  <c r="F16836" i="1"/>
  <c r="G16836" i="1"/>
  <c r="H16836" i="1"/>
  <c r="A16837" i="1"/>
  <c r="B16837" i="1"/>
  <c r="C16837" i="1"/>
  <c r="D16837" i="1"/>
  <c r="E16837" i="1"/>
  <c r="F16837" i="1"/>
  <c r="G16837" i="1"/>
  <c r="H16837" i="1"/>
  <c r="A16838" i="1"/>
  <c r="B16838" i="1"/>
  <c r="C16838" i="1"/>
  <c r="D16838" i="1"/>
  <c r="E16838" i="1"/>
  <c r="F16838" i="1"/>
  <c r="G16838" i="1"/>
  <c r="H16838" i="1"/>
  <c r="A16839" i="1"/>
  <c r="B16839" i="1"/>
  <c r="C16839" i="1"/>
  <c r="D16839" i="1"/>
  <c r="E16839" i="1"/>
  <c r="F16839" i="1"/>
  <c r="G16839" i="1"/>
  <c r="H16839" i="1"/>
  <c r="A16840" i="1"/>
  <c r="B16840" i="1"/>
  <c r="C16840" i="1"/>
  <c r="D16840" i="1"/>
  <c r="E16840" i="1"/>
  <c r="F16840" i="1"/>
  <c r="G16840" i="1"/>
  <c r="H16840" i="1"/>
  <c r="A16841" i="1"/>
  <c r="B16841" i="1"/>
  <c r="C16841" i="1"/>
  <c r="D16841" i="1"/>
  <c r="E16841" i="1"/>
  <c r="F16841" i="1"/>
  <c r="G16841" i="1"/>
  <c r="H16841" i="1"/>
  <c r="A16842" i="1"/>
  <c r="B16842" i="1"/>
  <c r="C16842" i="1"/>
  <c r="D16842" i="1"/>
  <c r="E16842" i="1"/>
  <c r="F16842" i="1"/>
  <c r="G16842" i="1"/>
  <c r="H16842" i="1"/>
  <c r="A16843" i="1"/>
  <c r="B16843" i="1"/>
  <c r="C16843" i="1"/>
  <c r="D16843" i="1"/>
  <c r="E16843" i="1"/>
  <c r="F16843" i="1"/>
  <c r="G16843" i="1"/>
  <c r="H16843" i="1"/>
  <c r="A16844" i="1"/>
  <c r="B16844" i="1"/>
  <c r="C16844" i="1"/>
  <c r="D16844" i="1"/>
  <c r="E16844" i="1"/>
  <c r="F16844" i="1"/>
  <c r="G16844" i="1"/>
  <c r="H16844" i="1"/>
  <c r="A16845" i="1"/>
  <c r="B16845" i="1"/>
  <c r="C16845" i="1"/>
  <c r="D16845" i="1"/>
  <c r="E16845" i="1"/>
  <c r="F16845" i="1"/>
  <c r="G16845" i="1"/>
  <c r="H16845" i="1"/>
  <c r="A16846" i="1"/>
  <c r="B16846" i="1"/>
  <c r="C16846" i="1"/>
  <c r="D16846" i="1"/>
  <c r="E16846" i="1"/>
  <c r="F16846" i="1"/>
  <c r="G16846" i="1"/>
  <c r="H16846" i="1"/>
  <c r="A16847" i="1"/>
  <c r="B16847" i="1"/>
  <c r="C16847" i="1"/>
  <c r="D16847" i="1"/>
  <c r="E16847" i="1"/>
  <c r="F16847" i="1"/>
  <c r="G16847" i="1"/>
  <c r="H16847" i="1"/>
  <c r="A16848" i="1"/>
  <c r="B16848" i="1"/>
  <c r="C16848" i="1"/>
  <c r="D16848" i="1"/>
  <c r="E16848" i="1"/>
  <c r="F16848" i="1"/>
  <c r="G16848" i="1"/>
  <c r="H16848" i="1"/>
  <c r="A16849" i="1"/>
  <c r="B16849" i="1"/>
  <c r="C16849" i="1"/>
  <c r="D16849" i="1"/>
  <c r="E16849" i="1"/>
  <c r="F16849" i="1"/>
  <c r="G16849" i="1"/>
  <c r="H16849" i="1"/>
  <c r="A16850" i="1"/>
  <c r="B16850" i="1"/>
  <c r="C16850" i="1"/>
  <c r="D16850" i="1"/>
  <c r="E16850" i="1"/>
  <c r="F16850" i="1"/>
  <c r="G16850" i="1"/>
  <c r="H16850" i="1"/>
  <c r="A16851" i="1"/>
  <c r="B16851" i="1"/>
  <c r="C16851" i="1"/>
  <c r="D16851" i="1"/>
  <c r="E16851" i="1"/>
  <c r="F16851" i="1"/>
  <c r="G16851" i="1"/>
  <c r="H16851" i="1"/>
  <c r="A16852" i="1"/>
  <c r="B16852" i="1"/>
  <c r="C16852" i="1"/>
  <c r="D16852" i="1"/>
  <c r="E16852" i="1"/>
  <c r="F16852" i="1"/>
  <c r="G16852" i="1"/>
  <c r="H16852" i="1"/>
  <c r="A16853" i="1"/>
  <c r="B16853" i="1"/>
  <c r="C16853" i="1"/>
  <c r="D16853" i="1"/>
  <c r="E16853" i="1"/>
  <c r="F16853" i="1"/>
  <c r="G16853" i="1"/>
  <c r="H16853" i="1"/>
  <c r="A16854" i="1"/>
  <c r="B16854" i="1"/>
  <c r="C16854" i="1"/>
  <c r="D16854" i="1"/>
  <c r="E16854" i="1"/>
  <c r="F16854" i="1"/>
  <c r="G16854" i="1"/>
  <c r="H16854" i="1"/>
  <c r="A16855" i="1"/>
  <c r="B16855" i="1"/>
  <c r="C16855" i="1"/>
  <c r="D16855" i="1"/>
  <c r="E16855" i="1"/>
  <c r="F16855" i="1"/>
  <c r="G16855" i="1"/>
  <c r="H16855" i="1"/>
  <c r="A16856" i="1"/>
  <c r="B16856" i="1"/>
  <c r="C16856" i="1"/>
  <c r="D16856" i="1"/>
  <c r="E16856" i="1"/>
  <c r="F16856" i="1"/>
  <c r="G16856" i="1"/>
  <c r="H16856" i="1"/>
  <c r="A16857" i="1"/>
  <c r="B16857" i="1"/>
  <c r="C16857" i="1"/>
  <c r="D16857" i="1"/>
  <c r="E16857" i="1"/>
  <c r="F16857" i="1"/>
  <c r="G16857" i="1"/>
  <c r="H16857" i="1"/>
  <c r="A16858" i="1"/>
  <c r="B16858" i="1"/>
  <c r="C16858" i="1"/>
  <c r="D16858" i="1"/>
  <c r="E16858" i="1"/>
  <c r="F16858" i="1"/>
  <c r="G16858" i="1"/>
  <c r="H16858" i="1"/>
  <c r="A16859" i="1"/>
  <c r="B16859" i="1"/>
  <c r="C16859" i="1"/>
  <c r="D16859" i="1"/>
  <c r="E16859" i="1"/>
  <c r="F16859" i="1"/>
  <c r="G16859" i="1"/>
  <c r="H16859" i="1"/>
  <c r="A16860" i="1"/>
  <c r="B16860" i="1"/>
  <c r="C16860" i="1"/>
  <c r="D16860" i="1"/>
  <c r="E16860" i="1"/>
  <c r="F16860" i="1"/>
  <c r="G16860" i="1"/>
  <c r="H16860" i="1"/>
  <c r="A16861" i="1"/>
  <c r="B16861" i="1"/>
  <c r="C16861" i="1"/>
  <c r="D16861" i="1"/>
  <c r="E16861" i="1"/>
  <c r="F16861" i="1"/>
  <c r="G16861" i="1"/>
  <c r="H16861" i="1"/>
  <c r="A16862" i="1"/>
  <c r="B16862" i="1"/>
  <c r="C16862" i="1"/>
  <c r="D16862" i="1"/>
  <c r="E16862" i="1"/>
  <c r="F16862" i="1"/>
  <c r="G16862" i="1"/>
  <c r="H16862" i="1"/>
  <c r="A16863" i="1"/>
  <c r="B16863" i="1"/>
  <c r="C16863" i="1"/>
  <c r="D16863" i="1"/>
  <c r="E16863" i="1"/>
  <c r="F16863" i="1"/>
  <c r="G16863" i="1"/>
  <c r="H16863" i="1"/>
  <c r="A16864" i="1"/>
  <c r="B16864" i="1"/>
  <c r="C16864" i="1"/>
  <c r="D16864" i="1"/>
  <c r="E16864" i="1"/>
  <c r="F16864" i="1"/>
  <c r="G16864" i="1"/>
  <c r="H16864" i="1"/>
  <c r="A16865" i="1"/>
  <c r="B16865" i="1"/>
  <c r="C16865" i="1"/>
  <c r="D16865" i="1"/>
  <c r="E16865" i="1"/>
  <c r="F16865" i="1"/>
  <c r="G16865" i="1"/>
  <c r="H16865" i="1"/>
  <c r="A16866" i="1"/>
  <c r="B16866" i="1"/>
  <c r="C16866" i="1"/>
  <c r="D16866" i="1"/>
  <c r="E16866" i="1"/>
  <c r="F16866" i="1"/>
  <c r="G16866" i="1"/>
  <c r="H16866" i="1"/>
  <c r="A16867" i="1"/>
  <c r="B16867" i="1"/>
  <c r="C16867" i="1"/>
  <c r="D16867" i="1"/>
  <c r="E16867" i="1"/>
  <c r="F16867" i="1"/>
  <c r="G16867" i="1"/>
  <c r="H16867" i="1"/>
  <c r="A16868" i="1"/>
  <c r="B16868" i="1"/>
  <c r="C16868" i="1"/>
  <c r="D16868" i="1"/>
  <c r="E16868" i="1"/>
  <c r="F16868" i="1"/>
  <c r="G16868" i="1"/>
  <c r="H16868" i="1"/>
  <c r="A16869" i="1"/>
  <c r="B16869" i="1"/>
  <c r="C16869" i="1"/>
  <c r="D16869" i="1"/>
  <c r="E16869" i="1"/>
  <c r="F16869" i="1"/>
  <c r="G16869" i="1"/>
  <c r="H16869" i="1"/>
  <c r="A16870" i="1"/>
  <c r="B16870" i="1"/>
  <c r="C16870" i="1"/>
  <c r="D16870" i="1"/>
  <c r="E16870" i="1"/>
  <c r="F16870" i="1"/>
  <c r="G16870" i="1"/>
  <c r="H16870" i="1"/>
  <c r="A16871" i="1"/>
  <c r="B16871" i="1"/>
  <c r="C16871" i="1"/>
  <c r="D16871" i="1"/>
  <c r="E16871" i="1"/>
  <c r="F16871" i="1"/>
  <c r="G16871" i="1"/>
  <c r="H16871" i="1"/>
  <c r="A16872" i="1"/>
  <c r="B16872" i="1"/>
  <c r="C16872" i="1"/>
  <c r="D16872" i="1"/>
  <c r="E16872" i="1"/>
  <c r="F16872" i="1"/>
  <c r="G16872" i="1"/>
  <c r="H16872" i="1"/>
  <c r="A16873" i="1"/>
  <c r="B16873" i="1"/>
  <c r="C16873" i="1"/>
  <c r="D16873" i="1"/>
  <c r="E16873" i="1"/>
  <c r="F16873" i="1"/>
  <c r="G16873" i="1"/>
  <c r="H16873" i="1"/>
  <c r="A16874" i="1"/>
  <c r="B16874" i="1"/>
  <c r="C16874" i="1"/>
  <c r="D16874" i="1"/>
  <c r="E16874" i="1"/>
  <c r="F16874" i="1"/>
  <c r="G16874" i="1"/>
  <c r="H16874" i="1"/>
  <c r="A16875" i="1"/>
  <c r="B16875" i="1"/>
  <c r="C16875" i="1"/>
  <c r="D16875" i="1"/>
  <c r="E16875" i="1"/>
  <c r="F16875" i="1"/>
  <c r="G16875" i="1"/>
  <c r="H16875" i="1"/>
  <c r="A16876" i="1"/>
  <c r="B16876" i="1"/>
  <c r="C16876" i="1"/>
  <c r="D16876" i="1"/>
  <c r="E16876" i="1"/>
  <c r="F16876" i="1"/>
  <c r="G16876" i="1"/>
  <c r="H16876" i="1"/>
  <c r="A16877" i="1"/>
  <c r="B16877" i="1"/>
  <c r="C16877" i="1"/>
  <c r="D16877" i="1"/>
  <c r="E16877" i="1"/>
  <c r="F16877" i="1"/>
  <c r="G16877" i="1"/>
  <c r="H16877" i="1"/>
  <c r="A16878" i="1"/>
  <c r="B16878" i="1"/>
  <c r="C16878" i="1"/>
  <c r="D16878" i="1"/>
  <c r="E16878" i="1"/>
  <c r="F16878" i="1"/>
  <c r="G16878" i="1"/>
  <c r="H16878" i="1"/>
  <c r="A16879" i="1"/>
  <c r="B16879" i="1"/>
  <c r="C16879" i="1"/>
  <c r="D16879" i="1"/>
  <c r="E16879" i="1"/>
  <c r="F16879" i="1"/>
  <c r="G16879" i="1"/>
  <c r="H16879" i="1"/>
  <c r="A16880" i="1"/>
  <c r="B16880" i="1"/>
  <c r="C16880" i="1"/>
  <c r="D16880" i="1"/>
  <c r="E16880" i="1"/>
  <c r="F16880" i="1"/>
  <c r="G16880" i="1"/>
  <c r="H16880" i="1"/>
  <c r="A16881" i="1"/>
  <c r="B16881" i="1"/>
  <c r="C16881" i="1"/>
  <c r="D16881" i="1"/>
  <c r="E16881" i="1"/>
  <c r="F16881" i="1"/>
  <c r="G16881" i="1"/>
  <c r="H16881" i="1"/>
  <c r="A16882" i="1"/>
  <c r="B16882" i="1"/>
  <c r="C16882" i="1"/>
  <c r="D16882" i="1"/>
  <c r="E16882" i="1"/>
  <c r="F16882" i="1"/>
  <c r="G16882" i="1"/>
  <c r="H16882" i="1"/>
  <c r="A16883" i="1"/>
  <c r="B16883" i="1"/>
  <c r="C16883" i="1"/>
  <c r="D16883" i="1"/>
  <c r="E16883" i="1"/>
  <c r="F16883" i="1"/>
  <c r="G16883" i="1"/>
  <c r="H16883" i="1"/>
  <c r="A16884" i="1"/>
  <c r="B16884" i="1"/>
  <c r="C16884" i="1"/>
  <c r="D16884" i="1"/>
  <c r="E16884" i="1"/>
  <c r="F16884" i="1"/>
  <c r="G16884" i="1"/>
  <c r="H16884" i="1"/>
  <c r="A16885" i="1"/>
  <c r="B16885" i="1"/>
  <c r="C16885" i="1"/>
  <c r="D16885" i="1"/>
  <c r="E16885" i="1"/>
  <c r="F16885" i="1"/>
  <c r="G16885" i="1"/>
  <c r="H16885" i="1"/>
  <c r="A16886" i="1"/>
  <c r="B16886" i="1"/>
  <c r="C16886" i="1"/>
  <c r="D16886" i="1"/>
  <c r="E16886" i="1"/>
  <c r="F16886" i="1"/>
  <c r="G16886" i="1"/>
  <c r="H16886" i="1"/>
  <c r="A16887" i="1"/>
  <c r="B16887" i="1"/>
  <c r="C16887" i="1"/>
  <c r="D16887" i="1"/>
  <c r="E16887" i="1"/>
  <c r="F16887" i="1"/>
  <c r="G16887" i="1"/>
  <c r="H16887" i="1"/>
  <c r="A16888" i="1"/>
  <c r="B16888" i="1"/>
  <c r="C16888" i="1"/>
  <c r="D16888" i="1"/>
  <c r="E16888" i="1"/>
  <c r="F16888" i="1"/>
  <c r="G16888" i="1"/>
  <c r="H16888" i="1"/>
  <c r="A16889" i="1"/>
  <c r="B16889" i="1"/>
  <c r="C16889" i="1"/>
  <c r="D16889" i="1"/>
  <c r="E16889" i="1"/>
  <c r="F16889" i="1"/>
  <c r="G16889" i="1"/>
  <c r="H16889" i="1"/>
  <c r="A16890" i="1"/>
  <c r="B16890" i="1"/>
  <c r="C16890" i="1"/>
  <c r="D16890" i="1"/>
  <c r="E16890" i="1"/>
  <c r="F16890" i="1"/>
  <c r="G16890" i="1"/>
  <c r="H16890" i="1"/>
  <c r="A16891" i="1"/>
  <c r="B16891" i="1"/>
  <c r="C16891" i="1"/>
  <c r="D16891" i="1"/>
  <c r="E16891" i="1"/>
  <c r="F16891" i="1"/>
  <c r="G16891" i="1"/>
  <c r="H16891" i="1"/>
  <c r="A16892" i="1"/>
  <c r="B16892" i="1"/>
  <c r="C16892" i="1"/>
  <c r="D16892" i="1"/>
  <c r="E16892" i="1"/>
  <c r="F16892" i="1"/>
  <c r="G16892" i="1"/>
  <c r="H16892" i="1"/>
  <c r="A16893" i="1"/>
  <c r="B16893" i="1"/>
  <c r="C16893" i="1"/>
  <c r="D16893" i="1"/>
  <c r="E16893" i="1"/>
  <c r="F16893" i="1"/>
  <c r="G16893" i="1"/>
  <c r="H16893" i="1"/>
  <c r="A16894" i="1"/>
  <c r="B16894" i="1"/>
  <c r="C16894" i="1"/>
  <c r="D16894" i="1"/>
  <c r="E16894" i="1"/>
  <c r="F16894" i="1"/>
  <c r="G16894" i="1"/>
  <c r="H16894" i="1"/>
  <c r="A16895" i="1"/>
  <c r="B16895" i="1"/>
  <c r="C16895" i="1"/>
  <c r="D16895" i="1"/>
  <c r="E16895" i="1"/>
  <c r="F16895" i="1"/>
  <c r="G16895" i="1"/>
  <c r="H16895" i="1"/>
  <c r="A16896" i="1"/>
  <c r="B16896" i="1"/>
  <c r="C16896" i="1"/>
  <c r="D16896" i="1"/>
  <c r="E16896" i="1"/>
  <c r="F16896" i="1"/>
  <c r="G16896" i="1"/>
  <c r="H16896" i="1"/>
  <c r="A16897" i="1"/>
  <c r="B16897" i="1"/>
  <c r="C16897" i="1"/>
  <c r="D16897" i="1"/>
  <c r="E16897" i="1"/>
  <c r="F16897" i="1"/>
  <c r="G16897" i="1"/>
  <c r="H16897" i="1"/>
  <c r="A16898" i="1"/>
  <c r="B16898" i="1"/>
  <c r="C16898" i="1"/>
  <c r="D16898" i="1"/>
  <c r="E16898" i="1"/>
  <c r="F16898" i="1"/>
  <c r="G16898" i="1"/>
  <c r="H16898" i="1"/>
  <c r="A16899" i="1"/>
  <c r="B16899" i="1"/>
  <c r="C16899" i="1"/>
  <c r="D16899" i="1"/>
  <c r="E16899" i="1"/>
  <c r="F16899" i="1"/>
  <c r="G16899" i="1"/>
  <c r="H16899" i="1"/>
  <c r="A16900" i="1"/>
  <c r="B16900" i="1"/>
  <c r="C16900" i="1"/>
  <c r="D16900" i="1"/>
  <c r="E16900" i="1"/>
  <c r="F16900" i="1"/>
  <c r="G16900" i="1"/>
  <c r="H16900" i="1"/>
  <c r="A16901" i="1"/>
  <c r="B16901" i="1"/>
  <c r="C16901" i="1"/>
  <c r="D16901" i="1"/>
  <c r="E16901" i="1"/>
  <c r="F16901" i="1"/>
  <c r="G16901" i="1"/>
  <c r="H16901" i="1"/>
  <c r="A16902" i="1"/>
  <c r="B16902" i="1"/>
  <c r="C16902" i="1"/>
  <c r="D16902" i="1"/>
  <c r="E16902" i="1"/>
  <c r="F16902" i="1"/>
  <c r="G16902" i="1"/>
  <c r="H16902" i="1"/>
  <c r="A16903" i="1"/>
  <c r="B16903" i="1"/>
  <c r="C16903" i="1"/>
  <c r="D16903" i="1"/>
  <c r="E16903" i="1"/>
  <c r="F16903" i="1"/>
  <c r="G16903" i="1"/>
  <c r="H16903" i="1"/>
  <c r="A16904" i="1"/>
  <c r="B16904" i="1"/>
  <c r="C16904" i="1"/>
  <c r="D16904" i="1"/>
  <c r="E16904" i="1"/>
  <c r="F16904" i="1"/>
  <c r="G16904" i="1"/>
  <c r="H16904" i="1"/>
  <c r="A16905" i="1"/>
  <c r="B16905" i="1"/>
  <c r="C16905" i="1"/>
  <c r="D16905" i="1"/>
  <c r="E16905" i="1"/>
  <c r="F16905" i="1"/>
  <c r="G16905" i="1"/>
  <c r="H16905" i="1"/>
  <c r="A16906" i="1"/>
  <c r="B16906" i="1"/>
  <c r="C16906" i="1"/>
  <c r="D16906" i="1"/>
  <c r="E16906" i="1"/>
  <c r="F16906" i="1"/>
  <c r="G16906" i="1"/>
  <c r="H16906" i="1"/>
  <c r="A16907" i="1"/>
  <c r="B16907" i="1"/>
  <c r="C16907" i="1"/>
  <c r="D16907" i="1"/>
  <c r="E16907" i="1"/>
  <c r="F16907" i="1"/>
  <c r="G16907" i="1"/>
  <c r="H16907" i="1"/>
  <c r="A16908" i="1"/>
  <c r="B16908" i="1"/>
  <c r="C16908" i="1"/>
  <c r="D16908" i="1"/>
  <c r="E16908" i="1"/>
  <c r="F16908" i="1"/>
  <c r="G16908" i="1"/>
  <c r="H16908" i="1"/>
  <c r="A16909" i="1"/>
  <c r="B16909" i="1"/>
  <c r="C16909" i="1"/>
  <c r="D16909" i="1"/>
  <c r="E16909" i="1"/>
  <c r="F16909" i="1"/>
  <c r="G16909" i="1"/>
  <c r="H16909" i="1"/>
  <c r="A16910" i="1"/>
  <c r="B16910" i="1"/>
  <c r="C16910" i="1"/>
  <c r="D16910" i="1"/>
  <c r="E16910" i="1"/>
  <c r="F16910" i="1"/>
  <c r="G16910" i="1"/>
  <c r="H16910" i="1"/>
  <c r="A16911" i="1"/>
  <c r="B16911" i="1"/>
  <c r="C16911" i="1"/>
  <c r="D16911" i="1"/>
  <c r="E16911" i="1"/>
  <c r="F16911" i="1"/>
  <c r="G16911" i="1"/>
  <c r="H16911" i="1"/>
  <c r="A16912" i="1"/>
  <c r="B16912" i="1"/>
  <c r="C16912" i="1"/>
  <c r="D16912" i="1"/>
  <c r="E16912" i="1"/>
  <c r="F16912" i="1"/>
  <c r="G16912" i="1"/>
  <c r="H16912" i="1"/>
  <c r="A16913" i="1"/>
  <c r="B16913" i="1"/>
  <c r="C16913" i="1"/>
  <c r="D16913" i="1"/>
  <c r="E16913" i="1"/>
  <c r="F16913" i="1"/>
  <c r="G16913" i="1"/>
  <c r="H16913" i="1"/>
  <c r="A16914" i="1"/>
  <c r="B16914" i="1"/>
  <c r="C16914" i="1"/>
  <c r="D16914" i="1"/>
  <c r="E16914" i="1"/>
  <c r="F16914" i="1"/>
  <c r="G16914" i="1"/>
  <c r="H16914" i="1"/>
  <c r="A16915" i="1"/>
  <c r="B16915" i="1"/>
  <c r="C16915" i="1"/>
  <c r="D16915" i="1"/>
  <c r="E16915" i="1"/>
  <c r="F16915" i="1"/>
  <c r="G16915" i="1"/>
  <c r="H16915" i="1"/>
  <c r="A16916" i="1"/>
  <c r="B16916" i="1"/>
  <c r="C16916" i="1"/>
  <c r="D16916" i="1"/>
  <c r="E16916" i="1"/>
  <c r="F16916" i="1"/>
  <c r="G16916" i="1"/>
  <c r="H16916" i="1"/>
  <c r="A16917" i="1"/>
  <c r="B16917" i="1"/>
  <c r="C16917" i="1"/>
  <c r="D16917" i="1"/>
  <c r="E16917" i="1"/>
  <c r="F16917" i="1"/>
  <c r="G16917" i="1"/>
  <c r="H16917" i="1"/>
  <c r="A16918" i="1"/>
  <c r="B16918" i="1"/>
  <c r="C16918" i="1"/>
  <c r="D16918" i="1"/>
  <c r="E16918" i="1"/>
  <c r="F16918" i="1"/>
  <c r="G16918" i="1"/>
  <c r="H16918" i="1"/>
  <c r="A16919" i="1"/>
  <c r="B16919" i="1"/>
  <c r="C16919" i="1"/>
  <c r="D16919" i="1"/>
  <c r="E16919" i="1"/>
  <c r="F16919" i="1"/>
  <c r="G16919" i="1"/>
  <c r="H16919" i="1"/>
  <c r="A16920" i="1"/>
  <c r="B16920" i="1"/>
  <c r="C16920" i="1"/>
  <c r="D16920" i="1"/>
  <c r="E16920" i="1"/>
  <c r="F16920" i="1"/>
  <c r="G16920" i="1"/>
  <c r="H16920" i="1"/>
  <c r="A16921" i="1"/>
  <c r="B16921" i="1"/>
  <c r="C16921" i="1"/>
  <c r="D16921" i="1"/>
  <c r="E16921" i="1"/>
  <c r="F16921" i="1"/>
  <c r="G16921" i="1"/>
  <c r="H16921" i="1"/>
  <c r="A16922" i="1"/>
  <c r="B16922" i="1"/>
  <c r="C16922" i="1"/>
  <c r="D16922" i="1"/>
  <c r="E16922" i="1"/>
  <c r="F16922" i="1"/>
  <c r="G16922" i="1"/>
  <c r="H16922" i="1"/>
  <c r="A16923" i="1"/>
  <c r="B16923" i="1"/>
  <c r="C16923" i="1"/>
  <c r="D16923" i="1"/>
  <c r="E16923" i="1"/>
  <c r="F16923" i="1"/>
  <c r="G16923" i="1"/>
  <c r="H16923" i="1"/>
  <c r="A16924" i="1"/>
  <c r="B16924" i="1"/>
  <c r="C16924" i="1"/>
  <c r="D16924" i="1"/>
  <c r="E16924" i="1"/>
  <c r="F16924" i="1"/>
  <c r="G16924" i="1"/>
  <c r="H16924" i="1"/>
  <c r="A16925" i="1"/>
  <c r="B16925" i="1"/>
  <c r="C16925" i="1"/>
  <c r="D16925" i="1"/>
  <c r="E16925" i="1"/>
  <c r="F16925" i="1"/>
  <c r="G16925" i="1"/>
  <c r="H16925" i="1"/>
  <c r="A16926" i="1"/>
  <c r="B16926" i="1"/>
  <c r="C16926" i="1"/>
  <c r="D16926" i="1"/>
  <c r="E16926" i="1"/>
  <c r="F16926" i="1"/>
  <c r="G16926" i="1"/>
  <c r="H16926" i="1"/>
  <c r="A16927" i="1"/>
  <c r="B16927" i="1"/>
  <c r="C16927" i="1"/>
  <c r="D16927" i="1"/>
  <c r="E16927" i="1"/>
  <c r="F16927" i="1"/>
  <c r="G16927" i="1"/>
  <c r="H16927" i="1"/>
  <c r="A16928" i="1"/>
  <c r="B16928" i="1"/>
  <c r="C16928" i="1"/>
  <c r="D16928" i="1"/>
  <c r="E16928" i="1"/>
  <c r="F16928" i="1"/>
  <c r="G16928" i="1"/>
  <c r="H16928" i="1"/>
  <c r="A16929" i="1"/>
  <c r="B16929" i="1"/>
  <c r="C16929" i="1"/>
  <c r="D16929" i="1"/>
  <c r="E16929" i="1"/>
  <c r="F16929" i="1"/>
  <c r="G16929" i="1"/>
  <c r="H16929" i="1"/>
  <c r="A16930" i="1"/>
  <c r="B16930" i="1"/>
  <c r="C16930" i="1"/>
  <c r="D16930" i="1"/>
  <c r="E16930" i="1"/>
  <c r="F16930" i="1"/>
  <c r="G16930" i="1"/>
  <c r="H16930" i="1"/>
  <c r="A16931" i="1"/>
  <c r="B16931" i="1"/>
  <c r="C16931" i="1"/>
  <c r="D16931" i="1"/>
  <c r="E16931" i="1"/>
  <c r="F16931" i="1"/>
  <c r="G16931" i="1"/>
  <c r="H16931" i="1"/>
  <c r="A16932" i="1"/>
  <c r="B16932" i="1"/>
  <c r="C16932" i="1"/>
  <c r="D16932" i="1"/>
  <c r="E16932" i="1"/>
  <c r="F16932" i="1"/>
  <c r="G16932" i="1"/>
  <c r="H16932" i="1"/>
  <c r="A16933" i="1"/>
  <c r="B16933" i="1"/>
  <c r="C16933" i="1"/>
  <c r="D16933" i="1"/>
  <c r="E16933" i="1"/>
  <c r="F16933" i="1"/>
  <c r="G16933" i="1"/>
  <c r="H16933" i="1"/>
  <c r="A16934" i="1"/>
  <c r="B16934" i="1"/>
  <c r="C16934" i="1"/>
  <c r="D16934" i="1"/>
  <c r="E16934" i="1"/>
  <c r="F16934" i="1"/>
  <c r="G16934" i="1"/>
  <c r="H16934" i="1"/>
  <c r="A16935" i="1"/>
  <c r="B16935" i="1"/>
  <c r="C16935" i="1"/>
  <c r="D16935" i="1"/>
  <c r="E16935" i="1"/>
  <c r="F16935" i="1"/>
  <c r="G16935" i="1"/>
  <c r="H16935" i="1"/>
  <c r="A16936" i="1"/>
  <c r="B16936" i="1"/>
  <c r="C16936" i="1"/>
  <c r="D16936" i="1"/>
  <c r="E16936" i="1"/>
  <c r="F16936" i="1"/>
  <c r="G16936" i="1"/>
  <c r="H16936" i="1"/>
  <c r="A16937" i="1"/>
  <c r="B16937" i="1"/>
  <c r="C16937" i="1"/>
  <c r="D16937" i="1"/>
  <c r="E16937" i="1"/>
  <c r="F16937" i="1"/>
  <c r="G16937" i="1"/>
  <c r="H16937" i="1"/>
  <c r="A16938" i="1"/>
  <c r="B16938" i="1"/>
  <c r="C16938" i="1"/>
  <c r="D16938" i="1"/>
  <c r="E16938" i="1"/>
  <c r="F16938" i="1"/>
  <c r="G16938" i="1"/>
  <c r="H16938" i="1"/>
  <c r="A16939" i="1"/>
  <c r="B16939" i="1"/>
  <c r="C16939" i="1"/>
  <c r="D16939" i="1"/>
  <c r="E16939" i="1"/>
  <c r="F16939" i="1"/>
  <c r="G16939" i="1"/>
  <c r="H16939" i="1"/>
  <c r="A16940" i="1"/>
  <c r="B16940" i="1"/>
  <c r="C16940" i="1"/>
  <c r="D16940" i="1"/>
  <c r="E16940" i="1"/>
  <c r="F16940" i="1"/>
  <c r="G16940" i="1"/>
  <c r="H16940" i="1"/>
  <c r="A16941" i="1"/>
  <c r="B16941" i="1"/>
  <c r="C16941" i="1"/>
  <c r="D16941" i="1"/>
  <c r="E16941" i="1"/>
  <c r="F16941" i="1"/>
  <c r="G16941" i="1"/>
  <c r="H16941" i="1"/>
  <c r="A16942" i="1"/>
  <c r="B16942" i="1"/>
  <c r="C16942" i="1"/>
  <c r="D16942" i="1"/>
  <c r="E16942" i="1"/>
  <c r="F16942" i="1"/>
  <c r="G16942" i="1"/>
  <c r="H16942" i="1"/>
  <c r="A16943" i="1"/>
  <c r="B16943" i="1"/>
  <c r="C16943" i="1"/>
  <c r="D16943" i="1"/>
  <c r="E16943" i="1"/>
  <c r="F16943" i="1"/>
  <c r="G16943" i="1"/>
  <c r="H16943" i="1"/>
  <c r="A16944" i="1"/>
  <c r="B16944" i="1"/>
  <c r="C16944" i="1"/>
  <c r="D16944" i="1"/>
  <c r="E16944" i="1"/>
  <c r="F16944" i="1"/>
  <c r="G16944" i="1"/>
  <c r="H16944" i="1"/>
  <c r="A16945" i="1"/>
  <c r="B16945" i="1"/>
  <c r="C16945" i="1"/>
  <c r="D16945" i="1"/>
  <c r="E16945" i="1"/>
  <c r="F16945" i="1"/>
  <c r="G16945" i="1"/>
  <c r="H16945" i="1"/>
  <c r="A16946" i="1"/>
  <c r="B16946" i="1"/>
  <c r="C16946" i="1"/>
  <c r="D16946" i="1"/>
  <c r="E16946" i="1"/>
  <c r="F16946" i="1"/>
  <c r="G16946" i="1"/>
  <c r="H16946" i="1"/>
  <c r="A16947" i="1"/>
  <c r="B16947" i="1"/>
  <c r="C16947" i="1"/>
  <c r="D16947" i="1"/>
  <c r="E16947" i="1"/>
  <c r="F16947" i="1"/>
  <c r="G16947" i="1"/>
  <c r="H16947" i="1"/>
  <c r="A16948" i="1"/>
  <c r="B16948" i="1"/>
  <c r="C16948" i="1"/>
  <c r="D16948" i="1"/>
  <c r="E16948" i="1"/>
  <c r="F16948" i="1"/>
  <c r="G16948" i="1"/>
  <c r="H16948" i="1"/>
  <c r="A16949" i="1"/>
  <c r="B16949" i="1"/>
  <c r="C16949" i="1"/>
  <c r="D16949" i="1"/>
  <c r="E16949" i="1"/>
  <c r="F16949" i="1"/>
  <c r="G16949" i="1"/>
  <c r="H16949" i="1"/>
  <c r="A16950" i="1"/>
  <c r="B16950" i="1"/>
  <c r="C16950" i="1"/>
  <c r="D16950" i="1"/>
  <c r="E16950" i="1"/>
  <c r="F16950" i="1"/>
  <c r="G16950" i="1"/>
  <c r="H16950" i="1"/>
  <c r="A16951" i="1"/>
  <c r="B16951" i="1"/>
  <c r="C16951" i="1"/>
  <c r="D16951" i="1"/>
  <c r="E16951" i="1"/>
  <c r="F16951" i="1"/>
  <c r="G16951" i="1"/>
  <c r="H16951" i="1"/>
  <c r="A16952" i="1"/>
  <c r="B16952" i="1"/>
  <c r="C16952" i="1"/>
  <c r="D16952" i="1"/>
  <c r="E16952" i="1"/>
  <c r="F16952" i="1"/>
  <c r="G16952" i="1"/>
  <c r="H16952" i="1"/>
  <c r="A16953" i="1"/>
  <c r="B16953" i="1"/>
  <c r="C16953" i="1"/>
  <c r="D16953" i="1"/>
  <c r="E16953" i="1"/>
  <c r="F16953" i="1"/>
  <c r="G16953" i="1"/>
  <c r="H16953" i="1"/>
  <c r="A16954" i="1"/>
  <c r="B16954" i="1"/>
  <c r="C16954" i="1"/>
  <c r="D16954" i="1"/>
  <c r="E16954" i="1"/>
  <c r="F16954" i="1"/>
  <c r="G16954" i="1"/>
  <c r="H16954" i="1"/>
  <c r="A16955" i="1"/>
  <c r="B16955" i="1"/>
  <c r="C16955" i="1"/>
  <c r="D16955" i="1"/>
  <c r="E16955" i="1"/>
  <c r="F16955" i="1"/>
  <c r="G16955" i="1"/>
  <c r="H16955" i="1"/>
  <c r="A16956" i="1"/>
  <c r="B16956" i="1"/>
  <c r="C16956" i="1"/>
  <c r="D16956" i="1"/>
  <c r="E16956" i="1"/>
  <c r="F16956" i="1"/>
  <c r="G16956" i="1"/>
  <c r="H16956" i="1"/>
  <c r="A16957" i="1"/>
  <c r="B16957" i="1"/>
  <c r="C16957" i="1"/>
  <c r="D16957" i="1"/>
  <c r="E16957" i="1"/>
  <c r="F16957" i="1"/>
  <c r="G16957" i="1"/>
  <c r="H16957" i="1"/>
  <c r="A16958" i="1"/>
  <c r="B16958" i="1"/>
  <c r="C16958" i="1"/>
  <c r="D16958" i="1"/>
  <c r="E16958" i="1"/>
  <c r="F16958" i="1"/>
  <c r="G16958" i="1"/>
  <c r="H16958" i="1"/>
  <c r="A16959" i="1"/>
  <c r="B16959" i="1"/>
  <c r="C16959" i="1"/>
  <c r="D16959" i="1"/>
  <c r="E16959" i="1"/>
  <c r="F16959" i="1"/>
  <c r="G16959" i="1"/>
  <c r="H16959" i="1"/>
  <c r="A16960" i="1"/>
  <c r="B16960" i="1"/>
  <c r="C16960" i="1"/>
  <c r="D16960" i="1"/>
  <c r="E16960" i="1"/>
  <c r="F16960" i="1"/>
  <c r="G16960" i="1"/>
  <c r="H16960" i="1"/>
  <c r="A16961" i="1"/>
  <c r="B16961" i="1"/>
  <c r="C16961" i="1"/>
  <c r="D16961" i="1"/>
  <c r="E16961" i="1"/>
  <c r="F16961" i="1"/>
  <c r="G16961" i="1"/>
  <c r="H16961" i="1"/>
  <c r="A16962" i="1"/>
  <c r="B16962" i="1"/>
  <c r="C16962" i="1"/>
  <c r="D16962" i="1"/>
  <c r="E16962" i="1"/>
  <c r="F16962" i="1"/>
  <c r="G16962" i="1"/>
  <c r="H16962" i="1"/>
  <c r="A16963" i="1"/>
  <c r="B16963" i="1"/>
  <c r="C16963" i="1"/>
  <c r="D16963" i="1"/>
  <c r="E16963" i="1"/>
  <c r="F16963" i="1"/>
  <c r="G16963" i="1"/>
  <c r="H16963" i="1"/>
  <c r="A16964" i="1"/>
  <c r="B16964" i="1"/>
  <c r="C16964" i="1"/>
  <c r="D16964" i="1"/>
  <c r="E16964" i="1"/>
  <c r="F16964" i="1"/>
  <c r="G16964" i="1"/>
  <c r="H16964" i="1"/>
  <c r="A16965" i="1"/>
  <c r="B16965" i="1"/>
  <c r="C16965" i="1"/>
  <c r="D16965" i="1"/>
  <c r="E16965" i="1"/>
  <c r="F16965" i="1"/>
  <c r="G16965" i="1"/>
  <c r="H16965" i="1"/>
  <c r="A16966" i="1"/>
  <c r="B16966" i="1"/>
  <c r="C16966" i="1"/>
  <c r="D16966" i="1"/>
  <c r="E16966" i="1"/>
  <c r="F16966" i="1"/>
  <c r="G16966" i="1"/>
  <c r="H16966" i="1"/>
  <c r="A16967" i="1"/>
  <c r="B16967" i="1"/>
  <c r="C16967" i="1"/>
  <c r="D16967" i="1"/>
  <c r="E16967" i="1"/>
  <c r="F16967" i="1"/>
  <c r="G16967" i="1"/>
  <c r="H16967" i="1"/>
  <c r="A16968" i="1"/>
  <c r="B16968" i="1"/>
  <c r="C16968" i="1"/>
  <c r="D16968" i="1"/>
  <c r="E16968" i="1"/>
  <c r="F16968" i="1"/>
  <c r="G16968" i="1"/>
  <c r="H16968" i="1"/>
  <c r="A16969" i="1"/>
  <c r="B16969" i="1"/>
  <c r="C16969" i="1"/>
  <c r="D16969" i="1"/>
  <c r="E16969" i="1"/>
  <c r="F16969" i="1"/>
  <c r="G16969" i="1"/>
  <c r="H16969" i="1"/>
  <c r="A16970" i="1"/>
  <c r="B16970" i="1"/>
  <c r="C16970" i="1"/>
  <c r="D16970" i="1"/>
  <c r="E16970" i="1"/>
  <c r="F16970" i="1"/>
  <c r="G16970" i="1"/>
  <c r="H16970" i="1"/>
  <c r="A16971" i="1"/>
  <c r="B16971" i="1"/>
  <c r="C16971" i="1"/>
  <c r="D16971" i="1"/>
  <c r="E16971" i="1"/>
  <c r="F16971" i="1"/>
  <c r="G16971" i="1"/>
  <c r="H16971" i="1"/>
  <c r="A16972" i="1"/>
  <c r="B16972" i="1"/>
  <c r="C16972" i="1"/>
  <c r="D16972" i="1"/>
  <c r="E16972" i="1"/>
  <c r="F16972" i="1"/>
  <c r="G16972" i="1"/>
  <c r="H16972" i="1"/>
  <c r="A16973" i="1"/>
  <c r="B16973" i="1"/>
  <c r="C16973" i="1"/>
  <c r="D16973" i="1"/>
  <c r="E16973" i="1"/>
  <c r="F16973" i="1"/>
  <c r="G16973" i="1"/>
  <c r="H16973" i="1"/>
  <c r="A16974" i="1"/>
  <c r="B16974" i="1"/>
  <c r="C16974" i="1"/>
  <c r="D16974" i="1"/>
  <c r="E16974" i="1"/>
  <c r="F16974" i="1"/>
  <c r="G16974" i="1"/>
  <c r="H16974" i="1"/>
  <c r="A16975" i="1"/>
  <c r="B16975" i="1"/>
  <c r="C16975" i="1"/>
  <c r="D16975" i="1"/>
  <c r="E16975" i="1"/>
  <c r="F16975" i="1"/>
  <c r="G16975" i="1"/>
  <c r="H16975" i="1"/>
  <c r="A16976" i="1"/>
  <c r="B16976" i="1"/>
  <c r="C16976" i="1"/>
  <c r="D16976" i="1"/>
  <c r="E16976" i="1"/>
  <c r="F16976" i="1"/>
  <c r="G16976" i="1"/>
  <c r="H16976" i="1"/>
  <c r="A16977" i="1"/>
  <c r="B16977" i="1"/>
  <c r="C16977" i="1"/>
  <c r="D16977" i="1"/>
  <c r="E16977" i="1"/>
  <c r="F16977" i="1"/>
  <c r="G16977" i="1"/>
  <c r="H16977" i="1"/>
  <c r="A16978" i="1"/>
  <c r="B16978" i="1"/>
  <c r="C16978" i="1"/>
  <c r="D16978" i="1"/>
  <c r="E16978" i="1"/>
  <c r="F16978" i="1"/>
  <c r="G16978" i="1"/>
  <c r="H16978" i="1"/>
  <c r="A16979" i="1"/>
  <c r="B16979" i="1"/>
  <c r="C16979" i="1"/>
  <c r="D16979" i="1"/>
  <c r="E16979" i="1"/>
  <c r="F16979" i="1"/>
  <c r="G16979" i="1"/>
  <c r="H16979" i="1"/>
  <c r="A16980" i="1"/>
  <c r="B16980" i="1"/>
  <c r="C16980" i="1"/>
  <c r="D16980" i="1"/>
  <c r="E16980" i="1"/>
  <c r="F16980" i="1"/>
  <c r="G16980" i="1"/>
  <c r="H16980" i="1"/>
  <c r="A16981" i="1"/>
  <c r="B16981" i="1"/>
  <c r="C16981" i="1"/>
  <c r="D16981" i="1"/>
  <c r="E16981" i="1"/>
  <c r="F16981" i="1"/>
  <c r="G16981" i="1"/>
  <c r="H16981" i="1"/>
  <c r="A16982" i="1"/>
  <c r="B16982" i="1"/>
  <c r="C16982" i="1"/>
  <c r="D16982" i="1"/>
  <c r="E16982" i="1"/>
  <c r="F16982" i="1"/>
  <c r="G16982" i="1"/>
  <c r="H16982" i="1"/>
  <c r="A16983" i="1"/>
  <c r="B16983" i="1"/>
  <c r="C16983" i="1"/>
  <c r="D16983" i="1"/>
  <c r="E16983" i="1"/>
  <c r="F16983" i="1"/>
  <c r="G16983" i="1"/>
  <c r="H16983" i="1"/>
  <c r="A16984" i="1"/>
  <c r="B16984" i="1"/>
  <c r="C16984" i="1"/>
  <c r="D16984" i="1"/>
  <c r="E16984" i="1"/>
  <c r="F16984" i="1"/>
  <c r="G16984" i="1"/>
  <c r="H16984" i="1"/>
  <c r="A16985" i="1"/>
  <c r="B16985" i="1"/>
  <c r="C16985" i="1"/>
  <c r="D16985" i="1"/>
  <c r="E16985" i="1"/>
  <c r="F16985" i="1"/>
  <c r="G16985" i="1"/>
  <c r="H16985" i="1"/>
  <c r="A16986" i="1"/>
  <c r="B16986" i="1"/>
  <c r="C16986" i="1"/>
  <c r="D16986" i="1"/>
  <c r="E16986" i="1"/>
  <c r="F16986" i="1"/>
  <c r="G16986" i="1"/>
  <c r="H16986" i="1"/>
  <c r="A16987" i="1"/>
  <c r="B16987" i="1"/>
  <c r="C16987" i="1"/>
  <c r="D16987" i="1"/>
  <c r="E16987" i="1"/>
  <c r="F16987" i="1"/>
  <c r="G16987" i="1"/>
  <c r="H16987" i="1"/>
  <c r="A16988" i="1"/>
  <c r="B16988" i="1"/>
  <c r="C16988" i="1"/>
  <c r="D16988" i="1"/>
  <c r="E16988" i="1"/>
  <c r="F16988" i="1"/>
  <c r="G16988" i="1"/>
  <c r="H16988" i="1"/>
  <c r="A16989" i="1"/>
  <c r="B16989" i="1"/>
  <c r="C16989" i="1"/>
  <c r="D16989" i="1"/>
  <c r="E16989" i="1"/>
  <c r="F16989" i="1"/>
  <c r="G16989" i="1"/>
  <c r="H16989" i="1"/>
  <c r="A16990" i="1"/>
  <c r="B16990" i="1"/>
  <c r="C16990" i="1"/>
  <c r="D16990" i="1"/>
  <c r="E16990" i="1"/>
  <c r="F16990" i="1"/>
  <c r="G16990" i="1"/>
  <c r="H16990" i="1"/>
  <c r="A16991" i="1"/>
  <c r="B16991" i="1"/>
  <c r="C16991" i="1"/>
  <c r="D16991" i="1"/>
  <c r="E16991" i="1"/>
  <c r="F16991" i="1"/>
  <c r="G16991" i="1"/>
  <c r="H16991" i="1"/>
  <c r="A16992" i="1"/>
  <c r="B16992" i="1"/>
  <c r="C16992" i="1"/>
  <c r="D16992" i="1"/>
  <c r="E16992" i="1"/>
  <c r="F16992" i="1"/>
  <c r="G16992" i="1"/>
  <c r="H16992" i="1"/>
  <c r="A16993" i="1"/>
  <c r="B16993" i="1"/>
  <c r="C16993" i="1"/>
  <c r="D16993" i="1"/>
  <c r="E16993" i="1"/>
  <c r="F16993" i="1"/>
  <c r="G16993" i="1"/>
  <c r="H16993" i="1"/>
  <c r="A16994" i="1"/>
  <c r="B16994" i="1"/>
  <c r="C16994" i="1"/>
  <c r="D16994" i="1"/>
  <c r="E16994" i="1"/>
  <c r="F16994" i="1"/>
  <c r="G16994" i="1"/>
  <c r="H16994" i="1"/>
  <c r="A16995" i="1"/>
  <c r="B16995" i="1"/>
  <c r="C16995" i="1"/>
  <c r="D16995" i="1"/>
  <c r="E16995" i="1"/>
  <c r="F16995" i="1"/>
  <c r="G16995" i="1"/>
  <c r="H16995" i="1"/>
  <c r="A16996" i="1"/>
  <c r="B16996" i="1"/>
  <c r="C16996" i="1"/>
  <c r="D16996" i="1"/>
  <c r="E16996" i="1"/>
  <c r="F16996" i="1"/>
  <c r="G16996" i="1"/>
  <c r="H16996" i="1"/>
  <c r="A16997" i="1"/>
  <c r="B16997" i="1"/>
  <c r="C16997" i="1"/>
  <c r="D16997" i="1"/>
  <c r="E16997" i="1"/>
  <c r="F16997" i="1"/>
  <c r="G16997" i="1"/>
  <c r="H16997" i="1"/>
  <c r="A16998" i="1"/>
  <c r="B16998" i="1"/>
  <c r="C16998" i="1"/>
  <c r="D16998" i="1"/>
  <c r="E16998" i="1"/>
  <c r="F16998" i="1"/>
  <c r="G16998" i="1"/>
  <c r="H16998" i="1"/>
  <c r="A16999" i="1"/>
  <c r="B16999" i="1"/>
  <c r="C16999" i="1"/>
  <c r="D16999" i="1"/>
  <c r="E16999" i="1"/>
  <c r="F16999" i="1"/>
  <c r="G16999" i="1"/>
  <c r="H16999" i="1"/>
  <c r="A17000" i="1"/>
  <c r="B17000" i="1"/>
  <c r="C17000" i="1"/>
  <c r="D17000" i="1"/>
  <c r="E17000" i="1"/>
  <c r="F17000" i="1"/>
  <c r="G17000" i="1"/>
  <c r="H17000" i="1"/>
  <c r="A17001" i="1"/>
  <c r="B17001" i="1"/>
  <c r="C17001" i="1"/>
  <c r="D17001" i="1"/>
  <c r="E17001" i="1"/>
  <c r="F17001" i="1"/>
  <c r="G17001" i="1"/>
  <c r="H17001" i="1"/>
  <c r="A17002" i="1"/>
  <c r="B17002" i="1"/>
  <c r="C17002" i="1"/>
  <c r="D17002" i="1"/>
  <c r="E17002" i="1"/>
  <c r="F17002" i="1"/>
  <c r="G17002" i="1"/>
  <c r="H17002" i="1"/>
  <c r="A17003" i="1"/>
  <c r="B17003" i="1"/>
  <c r="C17003" i="1"/>
  <c r="D17003" i="1"/>
  <c r="E17003" i="1"/>
  <c r="F17003" i="1"/>
  <c r="G17003" i="1"/>
  <c r="H17003" i="1"/>
  <c r="A17004" i="1"/>
  <c r="B17004" i="1"/>
  <c r="C17004" i="1"/>
  <c r="D17004" i="1"/>
  <c r="E17004" i="1"/>
  <c r="F17004" i="1"/>
  <c r="G17004" i="1"/>
  <c r="H17004" i="1"/>
  <c r="A17005" i="1"/>
  <c r="B17005" i="1"/>
  <c r="C17005" i="1"/>
  <c r="D17005" i="1"/>
  <c r="E17005" i="1"/>
  <c r="F17005" i="1"/>
  <c r="G17005" i="1"/>
  <c r="H17005" i="1"/>
  <c r="A17006" i="1"/>
  <c r="B17006" i="1"/>
  <c r="C17006" i="1"/>
  <c r="D17006" i="1"/>
  <c r="E17006" i="1"/>
  <c r="F17006" i="1"/>
  <c r="G17006" i="1"/>
  <c r="H17006" i="1"/>
  <c r="A17007" i="1"/>
  <c r="B17007" i="1"/>
  <c r="C17007" i="1"/>
  <c r="D17007" i="1"/>
  <c r="E17007" i="1"/>
  <c r="F17007" i="1"/>
  <c r="G17007" i="1"/>
  <c r="H17007" i="1"/>
  <c r="A17008" i="1"/>
  <c r="B17008" i="1"/>
  <c r="C17008" i="1"/>
  <c r="D17008" i="1"/>
  <c r="E17008" i="1"/>
  <c r="F17008" i="1"/>
  <c r="G17008" i="1"/>
  <c r="H17008" i="1"/>
  <c r="A17009" i="1"/>
  <c r="B17009" i="1"/>
  <c r="C17009" i="1"/>
  <c r="D17009" i="1"/>
  <c r="E17009" i="1"/>
  <c r="F17009" i="1"/>
  <c r="G17009" i="1"/>
  <c r="H17009" i="1"/>
  <c r="A17010" i="1"/>
  <c r="B17010" i="1"/>
  <c r="C17010" i="1"/>
  <c r="D17010" i="1"/>
  <c r="E17010" i="1"/>
  <c r="F17010" i="1"/>
  <c r="G17010" i="1"/>
  <c r="H17010" i="1"/>
  <c r="A17011" i="1"/>
  <c r="B17011" i="1"/>
  <c r="C17011" i="1"/>
  <c r="D17011" i="1"/>
  <c r="E17011" i="1"/>
  <c r="F17011" i="1"/>
  <c r="G17011" i="1"/>
  <c r="H17011" i="1"/>
  <c r="A17012" i="1"/>
  <c r="B17012" i="1"/>
  <c r="C17012" i="1"/>
  <c r="D17012" i="1"/>
  <c r="E17012" i="1"/>
  <c r="F17012" i="1"/>
  <c r="G17012" i="1"/>
  <c r="H17012" i="1"/>
  <c r="A17013" i="1"/>
  <c r="B17013" i="1"/>
  <c r="C17013" i="1"/>
  <c r="D17013" i="1"/>
  <c r="E17013" i="1"/>
  <c r="F17013" i="1"/>
  <c r="G17013" i="1"/>
  <c r="H17013" i="1"/>
  <c r="A17014" i="1"/>
  <c r="B17014" i="1"/>
  <c r="C17014" i="1"/>
  <c r="D17014" i="1"/>
  <c r="E17014" i="1"/>
  <c r="F17014" i="1"/>
  <c r="G17014" i="1"/>
  <c r="H17014" i="1"/>
  <c r="A17015" i="1"/>
  <c r="B17015" i="1"/>
  <c r="C17015" i="1"/>
  <c r="D17015" i="1"/>
  <c r="E17015" i="1"/>
  <c r="F17015" i="1"/>
  <c r="G17015" i="1"/>
  <c r="H17015" i="1"/>
  <c r="A17016" i="1"/>
  <c r="B17016" i="1"/>
  <c r="C17016" i="1"/>
  <c r="D17016" i="1"/>
  <c r="E17016" i="1"/>
  <c r="F17016" i="1"/>
  <c r="G17016" i="1"/>
  <c r="H17016" i="1"/>
  <c r="A17017" i="1"/>
  <c r="B17017" i="1"/>
  <c r="C17017" i="1"/>
  <c r="D17017" i="1"/>
  <c r="E17017" i="1"/>
  <c r="F17017" i="1"/>
  <c r="G17017" i="1"/>
  <c r="H17017" i="1"/>
  <c r="A17018" i="1"/>
  <c r="B17018" i="1"/>
  <c r="C17018" i="1"/>
  <c r="D17018" i="1"/>
  <c r="E17018" i="1"/>
  <c r="F17018" i="1"/>
  <c r="G17018" i="1"/>
  <c r="H17018" i="1"/>
  <c r="A17019" i="1"/>
  <c r="B17019" i="1"/>
  <c r="C17019" i="1"/>
  <c r="D17019" i="1"/>
  <c r="E17019" i="1"/>
  <c r="F17019" i="1"/>
  <c r="G17019" i="1"/>
  <c r="H17019" i="1"/>
  <c r="A17020" i="1"/>
  <c r="B17020" i="1"/>
  <c r="C17020" i="1"/>
  <c r="D17020" i="1"/>
  <c r="E17020" i="1"/>
  <c r="F17020" i="1"/>
  <c r="G17020" i="1"/>
  <c r="H17020" i="1"/>
  <c r="A17021" i="1"/>
  <c r="B17021" i="1"/>
  <c r="C17021" i="1"/>
  <c r="D17021" i="1"/>
  <c r="E17021" i="1"/>
  <c r="F17021" i="1"/>
  <c r="G17021" i="1"/>
  <c r="H17021" i="1"/>
  <c r="A17022" i="1"/>
  <c r="B17022" i="1"/>
  <c r="C17022" i="1"/>
  <c r="D17022" i="1"/>
  <c r="E17022" i="1"/>
  <c r="F17022" i="1"/>
  <c r="G17022" i="1"/>
  <c r="H17022" i="1"/>
  <c r="A17023" i="1"/>
  <c r="B17023" i="1"/>
  <c r="C17023" i="1"/>
  <c r="D17023" i="1"/>
  <c r="E17023" i="1"/>
  <c r="F17023" i="1"/>
  <c r="G17023" i="1"/>
  <c r="H17023" i="1"/>
  <c r="A17024" i="1"/>
  <c r="B17024" i="1"/>
  <c r="C17024" i="1"/>
  <c r="D17024" i="1"/>
  <c r="E17024" i="1"/>
  <c r="F17024" i="1"/>
  <c r="G17024" i="1"/>
  <c r="H17024" i="1"/>
  <c r="A17025" i="1"/>
  <c r="B17025" i="1"/>
  <c r="C17025" i="1"/>
  <c r="D17025" i="1"/>
  <c r="E17025" i="1"/>
  <c r="F17025" i="1"/>
  <c r="G17025" i="1"/>
  <c r="H17025" i="1"/>
  <c r="A17026" i="1"/>
  <c r="B17026" i="1"/>
  <c r="C17026" i="1"/>
  <c r="D17026" i="1"/>
  <c r="E17026" i="1"/>
  <c r="F17026" i="1"/>
  <c r="G17026" i="1"/>
  <c r="H17026" i="1"/>
  <c r="A17027" i="1"/>
  <c r="B17027" i="1"/>
  <c r="C17027" i="1"/>
  <c r="D17027" i="1"/>
  <c r="E17027" i="1"/>
  <c r="F17027" i="1"/>
  <c r="G17027" i="1"/>
  <c r="H17027" i="1"/>
  <c r="A17028" i="1"/>
  <c r="B17028" i="1"/>
  <c r="C17028" i="1"/>
  <c r="D17028" i="1"/>
  <c r="E17028" i="1"/>
  <c r="F17028" i="1"/>
  <c r="G17028" i="1"/>
  <c r="H17028" i="1"/>
  <c r="A17029" i="1"/>
  <c r="B17029" i="1"/>
  <c r="C17029" i="1"/>
  <c r="D17029" i="1"/>
  <c r="E17029" i="1"/>
  <c r="F17029" i="1"/>
  <c r="G17029" i="1"/>
  <c r="H17029" i="1"/>
  <c r="A17030" i="1"/>
  <c r="B17030" i="1"/>
  <c r="C17030" i="1"/>
  <c r="D17030" i="1"/>
  <c r="E17030" i="1"/>
  <c r="F17030" i="1"/>
  <c r="G17030" i="1"/>
  <c r="H17030" i="1"/>
  <c r="A17031" i="1"/>
  <c r="B17031" i="1"/>
  <c r="C17031" i="1"/>
  <c r="D17031" i="1"/>
  <c r="E17031" i="1"/>
  <c r="F17031" i="1"/>
  <c r="G17031" i="1"/>
  <c r="H17031" i="1"/>
  <c r="A17032" i="1"/>
  <c r="B17032" i="1"/>
  <c r="C17032" i="1"/>
  <c r="D17032" i="1"/>
  <c r="E17032" i="1"/>
  <c r="F17032" i="1"/>
  <c r="G17032" i="1"/>
  <c r="H17032" i="1"/>
  <c r="A17033" i="1"/>
  <c r="B17033" i="1"/>
  <c r="C17033" i="1"/>
  <c r="D17033" i="1"/>
  <c r="E17033" i="1"/>
  <c r="F17033" i="1"/>
  <c r="G17033" i="1"/>
  <c r="H17033" i="1"/>
  <c r="A17034" i="1"/>
  <c r="B17034" i="1"/>
  <c r="C17034" i="1"/>
  <c r="D17034" i="1"/>
  <c r="E17034" i="1"/>
  <c r="F17034" i="1"/>
  <c r="G17034" i="1"/>
  <c r="H17034" i="1"/>
  <c r="A17035" i="1"/>
  <c r="B17035" i="1"/>
  <c r="C17035" i="1"/>
  <c r="D17035" i="1"/>
  <c r="E17035" i="1"/>
  <c r="F17035" i="1"/>
  <c r="G17035" i="1"/>
  <c r="H17035" i="1"/>
  <c r="A17036" i="1"/>
  <c r="B17036" i="1"/>
  <c r="C17036" i="1"/>
  <c r="D17036" i="1"/>
  <c r="E17036" i="1"/>
  <c r="F17036" i="1"/>
  <c r="G17036" i="1"/>
  <c r="H17036" i="1"/>
  <c r="A17037" i="1"/>
  <c r="B17037" i="1"/>
  <c r="C17037" i="1"/>
  <c r="D17037" i="1"/>
  <c r="E17037" i="1"/>
  <c r="F17037" i="1"/>
  <c r="G17037" i="1"/>
  <c r="H17037" i="1"/>
  <c r="A17038" i="1"/>
  <c r="B17038" i="1"/>
  <c r="C17038" i="1"/>
  <c r="D17038" i="1"/>
  <c r="E17038" i="1"/>
  <c r="F17038" i="1"/>
  <c r="G17038" i="1"/>
  <c r="H17038" i="1"/>
  <c r="A17039" i="1"/>
  <c r="B17039" i="1"/>
  <c r="C17039" i="1"/>
  <c r="D17039" i="1"/>
  <c r="E17039" i="1"/>
  <c r="F17039" i="1"/>
  <c r="G17039" i="1"/>
  <c r="H17039" i="1"/>
  <c r="A17040" i="1"/>
  <c r="B17040" i="1"/>
  <c r="C17040" i="1"/>
  <c r="D17040" i="1"/>
  <c r="E17040" i="1"/>
  <c r="F17040" i="1"/>
  <c r="G17040" i="1"/>
  <c r="H17040" i="1"/>
  <c r="A17041" i="1"/>
  <c r="B17041" i="1"/>
  <c r="C17041" i="1"/>
  <c r="D17041" i="1"/>
  <c r="E17041" i="1"/>
  <c r="F17041" i="1"/>
  <c r="G17041" i="1"/>
  <c r="H17041" i="1"/>
  <c r="A17042" i="1"/>
  <c r="B17042" i="1"/>
  <c r="C17042" i="1"/>
  <c r="D17042" i="1"/>
  <c r="E17042" i="1"/>
  <c r="F17042" i="1"/>
  <c r="G17042" i="1"/>
  <c r="H17042" i="1"/>
  <c r="A17043" i="1"/>
  <c r="B17043" i="1"/>
  <c r="C17043" i="1"/>
  <c r="D17043" i="1"/>
  <c r="E17043" i="1"/>
  <c r="F17043" i="1"/>
  <c r="G17043" i="1"/>
  <c r="H17043" i="1"/>
  <c r="A17044" i="1"/>
  <c r="B17044" i="1"/>
  <c r="C17044" i="1"/>
  <c r="D17044" i="1"/>
  <c r="E17044" i="1"/>
  <c r="F17044" i="1"/>
  <c r="G17044" i="1"/>
  <c r="H17044" i="1"/>
  <c r="A17045" i="1"/>
  <c r="B17045" i="1"/>
  <c r="C17045" i="1"/>
  <c r="D17045" i="1"/>
  <c r="E17045" i="1"/>
  <c r="F17045" i="1"/>
  <c r="G17045" i="1"/>
  <c r="H17045" i="1"/>
  <c r="A17046" i="1"/>
  <c r="B17046" i="1"/>
  <c r="C17046" i="1"/>
  <c r="D17046" i="1"/>
  <c r="E17046" i="1"/>
  <c r="F17046" i="1"/>
  <c r="G17046" i="1"/>
  <c r="H17046" i="1"/>
  <c r="A17047" i="1"/>
  <c r="B17047" i="1"/>
  <c r="C17047" i="1"/>
  <c r="D17047" i="1"/>
  <c r="E17047" i="1"/>
  <c r="F17047" i="1"/>
  <c r="G17047" i="1"/>
  <c r="H17047" i="1"/>
  <c r="A17048" i="1"/>
  <c r="B17048" i="1"/>
  <c r="C17048" i="1"/>
  <c r="D17048" i="1"/>
  <c r="E17048" i="1"/>
  <c r="F17048" i="1"/>
  <c r="G17048" i="1"/>
  <c r="H17048" i="1"/>
  <c r="A17049" i="1"/>
  <c r="B17049" i="1"/>
  <c r="C17049" i="1"/>
  <c r="D17049" i="1"/>
  <c r="E17049" i="1"/>
  <c r="F17049" i="1"/>
  <c r="G17049" i="1"/>
  <c r="H17049" i="1"/>
  <c r="A17050" i="1"/>
  <c r="B17050" i="1"/>
  <c r="C17050" i="1"/>
  <c r="D17050" i="1"/>
  <c r="E17050" i="1"/>
  <c r="F17050" i="1"/>
  <c r="G17050" i="1"/>
  <c r="H17050" i="1"/>
  <c r="A17051" i="1"/>
  <c r="B17051" i="1"/>
  <c r="C17051" i="1"/>
  <c r="D17051" i="1"/>
  <c r="E17051" i="1"/>
  <c r="F17051" i="1"/>
  <c r="G17051" i="1"/>
  <c r="H17051" i="1"/>
  <c r="A17052" i="1"/>
  <c r="B17052" i="1"/>
  <c r="C17052" i="1"/>
  <c r="D17052" i="1"/>
  <c r="E17052" i="1"/>
  <c r="F17052" i="1"/>
  <c r="G17052" i="1"/>
  <c r="H17052" i="1"/>
  <c r="A17053" i="1"/>
  <c r="B17053" i="1"/>
  <c r="C17053" i="1"/>
  <c r="D17053" i="1"/>
  <c r="E17053" i="1"/>
  <c r="F17053" i="1"/>
  <c r="G17053" i="1"/>
  <c r="H17053" i="1"/>
  <c r="A17054" i="1"/>
  <c r="B17054" i="1"/>
  <c r="C17054" i="1"/>
  <c r="D17054" i="1"/>
  <c r="E17054" i="1"/>
  <c r="F17054" i="1"/>
  <c r="G17054" i="1"/>
  <c r="H17054" i="1"/>
  <c r="A17055" i="1"/>
  <c r="B17055" i="1"/>
  <c r="C17055" i="1"/>
  <c r="D17055" i="1"/>
  <c r="E17055" i="1"/>
  <c r="F17055" i="1"/>
  <c r="G17055" i="1"/>
  <c r="H17055" i="1"/>
  <c r="A17056" i="1"/>
  <c r="B17056" i="1"/>
  <c r="C17056" i="1"/>
  <c r="D17056" i="1"/>
  <c r="E17056" i="1"/>
  <c r="F17056" i="1"/>
  <c r="G17056" i="1"/>
  <c r="H17056" i="1"/>
  <c r="A17057" i="1"/>
  <c r="B17057" i="1"/>
  <c r="C17057" i="1"/>
  <c r="D17057" i="1"/>
  <c r="E17057" i="1"/>
  <c r="F17057" i="1"/>
  <c r="G17057" i="1"/>
  <c r="H17057" i="1"/>
  <c r="A17058" i="1"/>
  <c r="B17058" i="1"/>
  <c r="C17058" i="1"/>
  <c r="D17058" i="1"/>
  <c r="E17058" i="1"/>
  <c r="F17058" i="1"/>
  <c r="G17058" i="1"/>
  <c r="H17058" i="1"/>
  <c r="A17059" i="1"/>
  <c r="B17059" i="1"/>
  <c r="C17059" i="1"/>
  <c r="D17059" i="1"/>
  <c r="E17059" i="1"/>
  <c r="F17059" i="1"/>
  <c r="G17059" i="1"/>
  <c r="H17059" i="1"/>
  <c r="A17060" i="1"/>
  <c r="B17060" i="1"/>
  <c r="C17060" i="1"/>
  <c r="D17060" i="1"/>
  <c r="E17060" i="1"/>
  <c r="F17060" i="1"/>
  <c r="G17060" i="1"/>
  <c r="H17060" i="1"/>
  <c r="A17061" i="1"/>
  <c r="B17061" i="1"/>
  <c r="C17061" i="1"/>
  <c r="D17061" i="1"/>
  <c r="E17061" i="1"/>
  <c r="F17061" i="1"/>
  <c r="G17061" i="1"/>
  <c r="H17061" i="1"/>
  <c r="A17062" i="1"/>
  <c r="B17062" i="1"/>
  <c r="C17062" i="1"/>
  <c r="D17062" i="1"/>
  <c r="E17062" i="1"/>
  <c r="F17062" i="1"/>
  <c r="G17062" i="1"/>
  <c r="H17062" i="1"/>
  <c r="A17063" i="1"/>
  <c r="B17063" i="1"/>
  <c r="C17063" i="1"/>
  <c r="D17063" i="1"/>
  <c r="E17063" i="1"/>
  <c r="F17063" i="1"/>
  <c r="G17063" i="1"/>
  <c r="H17063" i="1"/>
  <c r="A17064" i="1"/>
  <c r="B17064" i="1"/>
  <c r="C17064" i="1"/>
  <c r="D17064" i="1"/>
  <c r="E17064" i="1"/>
  <c r="F17064" i="1"/>
  <c r="G17064" i="1"/>
  <c r="H17064" i="1"/>
  <c r="A17065" i="1"/>
  <c r="B17065" i="1"/>
  <c r="C17065" i="1"/>
  <c r="D17065" i="1"/>
  <c r="E17065" i="1"/>
  <c r="F17065" i="1"/>
  <c r="G17065" i="1"/>
  <c r="H17065" i="1"/>
  <c r="A17066" i="1"/>
  <c r="B17066" i="1"/>
  <c r="C17066" i="1"/>
  <c r="D17066" i="1"/>
  <c r="E17066" i="1"/>
  <c r="F17066" i="1"/>
  <c r="G17066" i="1"/>
  <c r="H17066" i="1"/>
  <c r="A17067" i="1"/>
  <c r="B17067" i="1"/>
  <c r="C17067" i="1"/>
  <c r="D17067" i="1"/>
  <c r="E17067" i="1"/>
  <c r="F17067" i="1"/>
  <c r="G17067" i="1"/>
  <c r="H17067" i="1"/>
  <c r="A17068" i="1"/>
  <c r="B17068" i="1"/>
  <c r="C17068" i="1"/>
  <c r="D17068" i="1"/>
  <c r="E17068" i="1"/>
  <c r="F17068" i="1"/>
  <c r="G17068" i="1"/>
  <c r="H17068" i="1"/>
  <c r="A17069" i="1"/>
  <c r="B17069" i="1"/>
  <c r="C17069" i="1"/>
  <c r="D17069" i="1"/>
  <c r="E17069" i="1"/>
  <c r="F17069" i="1"/>
  <c r="G17069" i="1"/>
  <c r="H17069" i="1"/>
  <c r="A17070" i="1"/>
  <c r="B17070" i="1"/>
  <c r="C17070" i="1"/>
  <c r="D17070" i="1"/>
  <c r="E17070" i="1"/>
  <c r="F17070" i="1"/>
  <c r="G17070" i="1"/>
  <c r="H17070" i="1"/>
  <c r="A17071" i="1"/>
  <c r="B17071" i="1"/>
  <c r="C17071" i="1"/>
  <c r="D17071" i="1"/>
  <c r="E17071" i="1"/>
  <c r="F17071" i="1"/>
  <c r="G17071" i="1"/>
  <c r="H17071" i="1"/>
  <c r="A17072" i="1"/>
  <c r="B17072" i="1"/>
  <c r="C17072" i="1"/>
  <c r="D17072" i="1"/>
  <c r="E17072" i="1"/>
  <c r="F17072" i="1"/>
  <c r="G17072" i="1"/>
  <c r="H17072" i="1"/>
  <c r="A17073" i="1"/>
  <c r="B17073" i="1"/>
  <c r="C17073" i="1"/>
  <c r="D17073" i="1"/>
  <c r="E17073" i="1"/>
  <c r="F17073" i="1"/>
  <c r="G17073" i="1"/>
  <c r="H17073" i="1"/>
  <c r="A17074" i="1"/>
  <c r="B17074" i="1"/>
  <c r="C17074" i="1"/>
  <c r="D17074" i="1"/>
  <c r="E17074" i="1"/>
  <c r="F17074" i="1"/>
  <c r="G17074" i="1"/>
  <c r="H17074" i="1"/>
  <c r="A17075" i="1"/>
  <c r="B17075" i="1"/>
  <c r="C17075" i="1"/>
  <c r="D17075" i="1"/>
  <c r="E17075" i="1"/>
  <c r="F17075" i="1"/>
  <c r="G17075" i="1"/>
  <c r="H17075" i="1"/>
  <c r="A17076" i="1"/>
  <c r="B17076" i="1"/>
  <c r="C17076" i="1"/>
  <c r="D17076" i="1"/>
  <c r="E17076" i="1"/>
  <c r="F17076" i="1"/>
  <c r="G17076" i="1"/>
  <c r="H17076" i="1"/>
  <c r="A17077" i="1"/>
  <c r="B17077" i="1"/>
  <c r="C17077" i="1"/>
  <c r="D17077" i="1"/>
  <c r="E17077" i="1"/>
  <c r="F17077" i="1"/>
  <c r="G17077" i="1"/>
  <c r="H17077" i="1"/>
  <c r="A17078" i="1"/>
  <c r="B17078" i="1"/>
  <c r="C17078" i="1"/>
  <c r="D17078" i="1"/>
  <c r="E17078" i="1"/>
  <c r="F17078" i="1"/>
  <c r="G17078" i="1"/>
  <c r="H17078" i="1"/>
  <c r="A17079" i="1"/>
  <c r="B17079" i="1"/>
  <c r="C17079" i="1"/>
  <c r="D17079" i="1"/>
  <c r="E17079" i="1"/>
  <c r="F17079" i="1"/>
  <c r="G17079" i="1"/>
  <c r="H17079" i="1"/>
  <c r="A17080" i="1"/>
  <c r="B17080" i="1"/>
  <c r="C17080" i="1"/>
  <c r="D17080" i="1"/>
  <c r="E17080" i="1"/>
  <c r="F17080" i="1"/>
  <c r="G17080" i="1"/>
  <c r="H17080" i="1"/>
  <c r="A17081" i="1"/>
  <c r="B17081" i="1"/>
  <c r="C17081" i="1"/>
  <c r="D17081" i="1"/>
  <c r="E17081" i="1"/>
  <c r="F17081" i="1"/>
  <c r="G17081" i="1"/>
  <c r="H17081" i="1"/>
  <c r="A17082" i="1"/>
  <c r="B17082" i="1"/>
  <c r="C17082" i="1"/>
  <c r="D17082" i="1"/>
  <c r="E17082" i="1"/>
  <c r="F17082" i="1"/>
  <c r="G17082" i="1"/>
  <c r="H17082" i="1"/>
  <c r="A17083" i="1"/>
  <c r="B17083" i="1"/>
  <c r="C17083" i="1"/>
  <c r="D17083" i="1"/>
  <c r="E17083" i="1"/>
  <c r="F17083" i="1"/>
  <c r="G17083" i="1"/>
  <c r="H17083" i="1"/>
  <c r="A17084" i="1"/>
  <c r="B17084" i="1"/>
  <c r="C17084" i="1"/>
  <c r="D17084" i="1"/>
  <c r="E17084" i="1"/>
  <c r="F17084" i="1"/>
  <c r="G17084" i="1"/>
  <c r="H17084" i="1"/>
  <c r="A17085" i="1"/>
  <c r="B17085" i="1"/>
  <c r="C17085" i="1"/>
  <c r="D17085" i="1"/>
  <c r="E17085" i="1"/>
  <c r="F17085" i="1"/>
  <c r="G17085" i="1"/>
  <c r="H17085" i="1"/>
  <c r="A17086" i="1"/>
  <c r="B17086" i="1"/>
  <c r="C17086" i="1"/>
  <c r="D17086" i="1"/>
  <c r="E17086" i="1"/>
  <c r="F17086" i="1"/>
  <c r="G17086" i="1"/>
  <c r="H17086" i="1"/>
  <c r="A17087" i="1"/>
  <c r="B17087" i="1"/>
  <c r="C17087" i="1"/>
  <c r="D17087" i="1"/>
  <c r="E17087" i="1"/>
  <c r="F17087" i="1"/>
  <c r="G17087" i="1"/>
  <c r="H17087" i="1"/>
  <c r="A17088" i="1"/>
  <c r="B17088" i="1"/>
  <c r="C17088" i="1"/>
  <c r="D17088" i="1"/>
  <c r="E17088" i="1"/>
  <c r="F17088" i="1"/>
  <c r="G17088" i="1"/>
  <c r="H17088" i="1"/>
  <c r="A17089" i="1"/>
  <c r="B17089" i="1"/>
  <c r="C17089" i="1"/>
  <c r="D17089" i="1"/>
  <c r="E17089" i="1"/>
  <c r="F17089" i="1"/>
  <c r="G17089" i="1"/>
  <c r="H17089" i="1"/>
  <c r="A17090" i="1"/>
  <c r="B17090" i="1"/>
  <c r="C17090" i="1"/>
  <c r="D17090" i="1"/>
  <c r="E17090" i="1"/>
  <c r="F17090" i="1"/>
  <c r="G17090" i="1"/>
  <c r="H17090" i="1"/>
  <c r="A17091" i="1"/>
  <c r="B17091" i="1"/>
  <c r="C17091" i="1"/>
  <c r="D17091" i="1"/>
  <c r="E17091" i="1"/>
  <c r="F17091" i="1"/>
  <c r="G17091" i="1"/>
  <c r="H17091" i="1"/>
  <c r="A17092" i="1"/>
  <c r="B17092" i="1"/>
  <c r="C17092" i="1"/>
  <c r="D17092" i="1"/>
  <c r="E17092" i="1"/>
  <c r="F17092" i="1"/>
  <c r="G17092" i="1"/>
  <c r="H17092" i="1"/>
  <c r="A17093" i="1"/>
  <c r="B17093" i="1"/>
  <c r="C17093" i="1"/>
  <c r="D17093" i="1"/>
  <c r="E17093" i="1"/>
  <c r="F17093" i="1"/>
  <c r="G17093" i="1"/>
  <c r="H17093" i="1"/>
  <c r="A17094" i="1"/>
  <c r="B17094" i="1"/>
  <c r="C17094" i="1"/>
  <c r="D17094" i="1"/>
  <c r="E17094" i="1"/>
  <c r="F17094" i="1"/>
  <c r="G17094" i="1"/>
  <c r="H17094" i="1"/>
  <c r="A17095" i="1"/>
  <c r="B17095" i="1"/>
  <c r="C17095" i="1"/>
  <c r="D17095" i="1"/>
  <c r="E17095" i="1"/>
  <c r="F17095" i="1"/>
  <c r="G17095" i="1"/>
  <c r="H17095" i="1"/>
  <c r="A17096" i="1"/>
  <c r="B17096" i="1"/>
  <c r="C17096" i="1"/>
  <c r="D17096" i="1"/>
  <c r="E17096" i="1"/>
  <c r="F17096" i="1"/>
  <c r="G17096" i="1"/>
  <c r="H17096" i="1"/>
  <c r="A17097" i="1"/>
  <c r="B17097" i="1"/>
  <c r="C17097" i="1"/>
  <c r="D17097" i="1"/>
  <c r="E17097" i="1"/>
  <c r="F17097" i="1"/>
  <c r="G17097" i="1"/>
  <c r="H17097" i="1"/>
  <c r="A17098" i="1"/>
  <c r="B17098" i="1"/>
  <c r="C17098" i="1"/>
  <c r="D17098" i="1"/>
  <c r="E17098" i="1"/>
  <c r="F17098" i="1"/>
  <c r="G17098" i="1"/>
  <c r="H17098" i="1"/>
  <c r="A17099" i="1"/>
  <c r="B17099" i="1"/>
  <c r="C17099" i="1"/>
  <c r="D17099" i="1"/>
  <c r="E17099" i="1"/>
  <c r="F17099" i="1"/>
  <c r="G17099" i="1"/>
  <c r="H17099" i="1"/>
  <c r="A17100" i="1"/>
  <c r="B17100" i="1"/>
  <c r="C17100" i="1"/>
  <c r="D17100" i="1"/>
  <c r="E17100" i="1"/>
  <c r="F17100" i="1"/>
  <c r="G17100" i="1"/>
  <c r="H17100" i="1"/>
  <c r="A17101" i="1"/>
  <c r="B17101" i="1"/>
  <c r="C17101" i="1"/>
  <c r="D17101" i="1"/>
  <c r="E17101" i="1"/>
  <c r="F17101" i="1"/>
  <c r="G17101" i="1"/>
  <c r="H17101" i="1"/>
  <c r="A17102" i="1"/>
  <c r="B17102" i="1"/>
  <c r="C17102" i="1"/>
  <c r="D17102" i="1"/>
  <c r="E17102" i="1"/>
  <c r="F17102" i="1"/>
  <c r="G17102" i="1"/>
  <c r="H17102" i="1"/>
  <c r="A17103" i="1"/>
  <c r="B17103" i="1"/>
  <c r="C17103" i="1"/>
  <c r="D17103" i="1"/>
  <c r="E17103" i="1"/>
  <c r="F17103" i="1"/>
  <c r="G17103" i="1"/>
  <c r="H17103" i="1"/>
  <c r="A17104" i="1"/>
  <c r="B17104" i="1"/>
  <c r="C17104" i="1"/>
  <c r="D17104" i="1"/>
  <c r="E17104" i="1"/>
  <c r="F17104" i="1"/>
  <c r="G17104" i="1"/>
  <c r="H17104" i="1"/>
  <c r="A17105" i="1"/>
  <c r="B17105" i="1"/>
  <c r="C17105" i="1"/>
  <c r="D17105" i="1"/>
  <c r="E17105" i="1"/>
  <c r="F17105" i="1"/>
  <c r="G17105" i="1"/>
  <c r="H17105" i="1"/>
  <c r="A17106" i="1"/>
  <c r="B17106" i="1"/>
  <c r="C17106" i="1"/>
  <c r="D17106" i="1"/>
  <c r="E17106" i="1"/>
  <c r="F17106" i="1"/>
  <c r="G17106" i="1"/>
  <c r="H17106" i="1"/>
  <c r="A17107" i="1"/>
  <c r="B17107" i="1"/>
  <c r="C17107" i="1"/>
  <c r="D17107" i="1"/>
  <c r="E17107" i="1"/>
  <c r="F17107" i="1"/>
  <c r="G17107" i="1"/>
  <c r="H17107" i="1"/>
  <c r="A17108" i="1"/>
  <c r="B17108" i="1"/>
  <c r="C17108" i="1"/>
  <c r="D17108" i="1"/>
  <c r="E17108" i="1"/>
  <c r="F17108" i="1"/>
  <c r="G17108" i="1"/>
  <c r="H17108" i="1"/>
  <c r="A17109" i="1"/>
  <c r="B17109" i="1"/>
  <c r="C17109" i="1"/>
  <c r="D17109" i="1"/>
  <c r="E17109" i="1"/>
  <c r="F17109" i="1"/>
  <c r="G17109" i="1"/>
  <c r="H17109" i="1"/>
  <c r="A17110" i="1"/>
  <c r="B17110" i="1"/>
  <c r="C17110" i="1"/>
  <c r="D17110" i="1"/>
  <c r="E17110" i="1"/>
  <c r="F17110" i="1"/>
  <c r="G17110" i="1"/>
  <c r="H17110" i="1"/>
  <c r="A17111" i="1"/>
  <c r="B17111" i="1"/>
  <c r="C17111" i="1"/>
  <c r="D17111" i="1"/>
  <c r="E17111" i="1"/>
  <c r="F17111" i="1"/>
  <c r="G17111" i="1"/>
  <c r="H17111" i="1"/>
  <c r="A17112" i="1"/>
  <c r="B17112" i="1"/>
  <c r="C17112" i="1"/>
  <c r="D17112" i="1"/>
  <c r="E17112" i="1"/>
  <c r="F17112" i="1"/>
  <c r="G17112" i="1"/>
  <c r="H17112" i="1"/>
  <c r="A17113" i="1"/>
  <c r="B17113" i="1"/>
  <c r="C17113" i="1"/>
  <c r="D17113" i="1"/>
  <c r="E17113" i="1"/>
  <c r="F17113" i="1"/>
  <c r="G17113" i="1"/>
  <c r="H17113" i="1"/>
  <c r="A17114" i="1"/>
  <c r="B17114" i="1"/>
  <c r="C17114" i="1"/>
  <c r="D17114" i="1"/>
  <c r="E17114" i="1"/>
  <c r="F17114" i="1"/>
  <c r="G17114" i="1"/>
  <c r="H17114" i="1"/>
  <c r="A17115" i="1"/>
  <c r="B17115" i="1"/>
  <c r="C17115" i="1"/>
  <c r="D17115" i="1"/>
  <c r="E17115" i="1"/>
  <c r="F17115" i="1"/>
  <c r="G17115" i="1"/>
  <c r="H17115" i="1"/>
  <c r="A17116" i="1"/>
  <c r="B17116" i="1"/>
  <c r="C17116" i="1"/>
  <c r="D17116" i="1"/>
  <c r="E17116" i="1"/>
  <c r="F17116" i="1"/>
  <c r="G17116" i="1"/>
  <c r="H17116" i="1"/>
  <c r="A17117" i="1"/>
  <c r="B17117" i="1"/>
  <c r="C17117" i="1"/>
  <c r="D17117" i="1"/>
  <c r="E17117" i="1"/>
  <c r="F17117" i="1"/>
  <c r="G17117" i="1"/>
  <c r="H17117" i="1"/>
  <c r="A17118" i="1"/>
  <c r="B17118" i="1"/>
  <c r="C17118" i="1"/>
  <c r="D17118" i="1"/>
  <c r="E17118" i="1"/>
  <c r="F17118" i="1"/>
  <c r="G17118" i="1"/>
  <c r="H17118" i="1"/>
  <c r="A17119" i="1"/>
  <c r="B17119" i="1"/>
  <c r="C17119" i="1"/>
  <c r="D17119" i="1"/>
  <c r="E17119" i="1"/>
  <c r="F17119" i="1"/>
  <c r="G17119" i="1"/>
  <c r="H17119" i="1"/>
  <c r="A17120" i="1"/>
  <c r="B17120" i="1"/>
  <c r="C17120" i="1"/>
  <c r="D17120" i="1"/>
  <c r="E17120" i="1"/>
  <c r="F17120" i="1"/>
  <c r="G17120" i="1"/>
  <c r="H17120" i="1"/>
  <c r="A17121" i="1"/>
  <c r="B17121" i="1"/>
  <c r="C17121" i="1"/>
  <c r="D17121" i="1"/>
  <c r="E17121" i="1"/>
  <c r="F17121" i="1"/>
  <c r="G17121" i="1"/>
  <c r="H17121" i="1"/>
  <c r="A17122" i="1"/>
  <c r="B17122" i="1"/>
  <c r="C17122" i="1"/>
  <c r="D17122" i="1"/>
  <c r="E17122" i="1"/>
  <c r="F17122" i="1"/>
  <c r="G17122" i="1"/>
  <c r="H17122" i="1"/>
  <c r="A17123" i="1"/>
  <c r="B17123" i="1"/>
  <c r="C17123" i="1"/>
  <c r="D17123" i="1"/>
  <c r="E17123" i="1"/>
  <c r="F17123" i="1"/>
  <c r="G17123" i="1"/>
  <c r="H17123" i="1"/>
  <c r="A17124" i="1"/>
  <c r="B17124" i="1"/>
  <c r="C17124" i="1"/>
  <c r="D17124" i="1"/>
  <c r="E17124" i="1"/>
  <c r="F17124" i="1"/>
  <c r="G17124" i="1"/>
  <c r="H17124" i="1"/>
  <c r="A17125" i="1"/>
  <c r="B17125" i="1"/>
  <c r="C17125" i="1"/>
  <c r="D17125" i="1"/>
  <c r="E17125" i="1"/>
  <c r="F17125" i="1"/>
  <c r="G17125" i="1"/>
  <c r="H17125" i="1"/>
  <c r="A17126" i="1"/>
  <c r="B17126" i="1"/>
  <c r="C17126" i="1"/>
  <c r="D17126" i="1"/>
  <c r="E17126" i="1"/>
  <c r="F17126" i="1"/>
  <c r="G17126" i="1"/>
  <c r="H17126" i="1"/>
  <c r="A17127" i="1"/>
  <c r="B17127" i="1"/>
  <c r="C17127" i="1"/>
  <c r="D17127" i="1"/>
  <c r="E17127" i="1"/>
  <c r="F17127" i="1"/>
  <c r="G17127" i="1"/>
  <c r="H17127" i="1"/>
  <c r="A17128" i="1"/>
  <c r="B17128" i="1"/>
  <c r="C17128" i="1"/>
  <c r="D17128" i="1"/>
  <c r="E17128" i="1"/>
  <c r="F17128" i="1"/>
  <c r="G17128" i="1"/>
  <c r="H17128" i="1"/>
  <c r="A17129" i="1"/>
  <c r="B17129" i="1"/>
  <c r="C17129" i="1"/>
  <c r="D17129" i="1"/>
  <c r="E17129" i="1"/>
  <c r="F17129" i="1"/>
  <c r="G17129" i="1"/>
  <c r="H17129" i="1"/>
  <c r="A17130" i="1"/>
  <c r="B17130" i="1"/>
  <c r="C17130" i="1"/>
  <c r="D17130" i="1"/>
  <c r="E17130" i="1"/>
  <c r="F17130" i="1"/>
  <c r="G17130" i="1"/>
  <c r="H17130" i="1"/>
  <c r="A17131" i="1"/>
  <c r="B17131" i="1"/>
  <c r="C17131" i="1"/>
  <c r="D17131" i="1"/>
  <c r="E17131" i="1"/>
  <c r="F17131" i="1"/>
  <c r="G17131" i="1"/>
  <c r="H17131" i="1"/>
  <c r="A17132" i="1"/>
  <c r="B17132" i="1"/>
  <c r="C17132" i="1"/>
  <c r="D17132" i="1"/>
  <c r="E17132" i="1"/>
  <c r="F17132" i="1"/>
  <c r="G17132" i="1"/>
  <c r="H17132" i="1"/>
  <c r="A17133" i="1"/>
  <c r="B17133" i="1"/>
  <c r="C17133" i="1"/>
  <c r="D17133" i="1"/>
  <c r="E17133" i="1"/>
  <c r="F17133" i="1"/>
  <c r="G17133" i="1"/>
  <c r="H17133" i="1"/>
  <c r="A17134" i="1"/>
  <c r="B17134" i="1"/>
  <c r="C17134" i="1"/>
  <c r="D17134" i="1"/>
  <c r="E17134" i="1"/>
  <c r="F17134" i="1"/>
  <c r="G17134" i="1"/>
  <c r="H17134" i="1"/>
  <c r="A17135" i="1"/>
  <c r="B17135" i="1"/>
  <c r="C17135" i="1"/>
  <c r="D17135" i="1"/>
  <c r="E17135" i="1"/>
  <c r="F17135" i="1"/>
  <c r="G17135" i="1"/>
  <c r="H17135" i="1"/>
  <c r="A17136" i="1"/>
  <c r="B17136" i="1"/>
  <c r="C17136" i="1"/>
  <c r="D17136" i="1"/>
  <c r="E17136" i="1"/>
  <c r="F17136" i="1"/>
  <c r="G17136" i="1"/>
  <c r="H17136" i="1"/>
  <c r="A17137" i="1"/>
  <c r="B17137" i="1"/>
  <c r="C17137" i="1"/>
  <c r="D17137" i="1"/>
  <c r="E17137" i="1"/>
  <c r="F17137" i="1"/>
  <c r="G17137" i="1"/>
  <c r="H17137" i="1"/>
  <c r="A17138" i="1"/>
  <c r="B17138" i="1"/>
  <c r="C17138" i="1"/>
  <c r="D17138" i="1"/>
  <c r="E17138" i="1"/>
  <c r="F17138" i="1"/>
  <c r="G17138" i="1"/>
  <c r="H17138" i="1"/>
  <c r="A17139" i="1"/>
  <c r="B17139" i="1"/>
  <c r="C17139" i="1"/>
  <c r="D17139" i="1"/>
  <c r="E17139" i="1"/>
  <c r="F17139" i="1"/>
  <c r="G17139" i="1"/>
  <c r="H17139" i="1"/>
  <c r="A17140" i="1"/>
  <c r="B17140" i="1"/>
  <c r="C17140" i="1"/>
  <c r="D17140" i="1"/>
  <c r="E17140" i="1"/>
  <c r="F17140" i="1"/>
  <c r="G17140" i="1"/>
  <c r="H17140" i="1"/>
  <c r="A17141" i="1"/>
  <c r="B17141" i="1"/>
  <c r="C17141" i="1"/>
  <c r="D17141" i="1"/>
  <c r="E17141" i="1"/>
  <c r="F17141" i="1"/>
  <c r="G17141" i="1"/>
  <c r="H17141" i="1"/>
  <c r="A17142" i="1"/>
  <c r="B17142" i="1"/>
  <c r="C17142" i="1"/>
  <c r="D17142" i="1"/>
  <c r="E17142" i="1"/>
  <c r="F17142" i="1"/>
  <c r="G17142" i="1"/>
  <c r="H17142" i="1"/>
  <c r="A17143" i="1"/>
  <c r="B17143" i="1"/>
  <c r="C17143" i="1"/>
  <c r="D17143" i="1"/>
  <c r="E17143" i="1"/>
  <c r="F17143" i="1"/>
  <c r="G17143" i="1"/>
  <c r="H17143" i="1"/>
  <c r="A17144" i="1"/>
  <c r="B17144" i="1"/>
  <c r="C17144" i="1"/>
  <c r="D17144" i="1"/>
  <c r="E17144" i="1"/>
  <c r="F17144" i="1"/>
  <c r="G17144" i="1"/>
  <c r="H17144" i="1"/>
  <c r="A17145" i="1"/>
  <c r="B17145" i="1"/>
  <c r="C17145" i="1"/>
  <c r="D17145" i="1"/>
  <c r="E17145" i="1"/>
  <c r="F17145" i="1"/>
  <c r="G17145" i="1"/>
  <c r="H17145" i="1"/>
  <c r="A17146" i="1"/>
  <c r="B17146" i="1"/>
  <c r="C17146" i="1"/>
  <c r="D17146" i="1"/>
  <c r="E17146" i="1"/>
  <c r="F17146" i="1"/>
  <c r="G17146" i="1"/>
  <c r="H17146" i="1"/>
  <c r="A17147" i="1"/>
  <c r="B17147" i="1"/>
  <c r="C17147" i="1"/>
  <c r="D17147" i="1"/>
  <c r="E17147" i="1"/>
  <c r="F17147" i="1"/>
  <c r="G17147" i="1"/>
  <c r="H17147" i="1"/>
  <c r="A17148" i="1"/>
  <c r="B17148" i="1"/>
  <c r="C17148" i="1"/>
  <c r="D17148" i="1"/>
  <c r="E17148" i="1"/>
  <c r="F17148" i="1"/>
  <c r="G17148" i="1"/>
  <c r="H17148" i="1"/>
  <c r="A17149" i="1"/>
  <c r="B17149" i="1"/>
  <c r="C17149" i="1"/>
  <c r="D17149" i="1"/>
  <c r="E17149" i="1"/>
  <c r="F17149" i="1"/>
  <c r="G17149" i="1"/>
  <c r="H17149" i="1"/>
  <c r="A17150" i="1"/>
  <c r="B17150" i="1"/>
  <c r="C17150" i="1"/>
  <c r="D17150" i="1"/>
  <c r="E17150" i="1"/>
  <c r="F17150" i="1"/>
  <c r="G17150" i="1"/>
  <c r="H17150" i="1"/>
  <c r="A17151" i="1"/>
  <c r="B17151" i="1"/>
  <c r="C17151" i="1"/>
  <c r="D17151" i="1"/>
  <c r="E17151" i="1"/>
  <c r="F17151" i="1"/>
  <c r="G17151" i="1"/>
  <c r="H17151" i="1"/>
  <c r="A17152" i="1"/>
  <c r="B17152" i="1"/>
  <c r="C17152" i="1"/>
  <c r="D17152" i="1"/>
  <c r="E17152" i="1"/>
  <c r="F17152" i="1"/>
  <c r="G17152" i="1"/>
  <c r="H17152" i="1"/>
  <c r="A17153" i="1"/>
  <c r="B17153" i="1"/>
  <c r="C17153" i="1"/>
  <c r="D17153" i="1"/>
  <c r="E17153" i="1"/>
  <c r="F17153" i="1"/>
  <c r="G17153" i="1"/>
  <c r="H17153" i="1"/>
  <c r="A17154" i="1"/>
  <c r="B17154" i="1"/>
  <c r="C17154" i="1"/>
  <c r="D17154" i="1"/>
  <c r="E17154" i="1"/>
  <c r="F17154" i="1"/>
  <c r="G17154" i="1"/>
  <c r="H17154" i="1"/>
  <c r="A17155" i="1"/>
  <c r="B17155" i="1"/>
  <c r="C17155" i="1"/>
  <c r="D17155" i="1"/>
  <c r="E17155" i="1"/>
  <c r="F17155" i="1"/>
  <c r="G17155" i="1"/>
  <c r="H17155" i="1"/>
  <c r="A17156" i="1"/>
  <c r="B17156" i="1"/>
  <c r="C17156" i="1"/>
  <c r="D17156" i="1"/>
  <c r="E17156" i="1"/>
  <c r="F17156" i="1"/>
  <c r="G17156" i="1"/>
  <c r="H17156" i="1"/>
  <c r="A17157" i="1"/>
  <c r="B17157" i="1"/>
  <c r="C17157" i="1"/>
  <c r="D17157" i="1"/>
  <c r="E17157" i="1"/>
  <c r="F17157" i="1"/>
  <c r="G17157" i="1"/>
  <c r="H17157" i="1"/>
  <c r="A17158" i="1"/>
  <c r="B17158" i="1"/>
  <c r="C17158" i="1"/>
  <c r="D17158" i="1"/>
  <c r="E17158" i="1"/>
  <c r="F17158" i="1"/>
  <c r="G17158" i="1"/>
  <c r="H17158" i="1"/>
  <c r="A17159" i="1"/>
  <c r="B17159" i="1"/>
  <c r="C17159" i="1"/>
  <c r="D17159" i="1"/>
  <c r="E17159" i="1"/>
  <c r="F17159" i="1"/>
  <c r="G17159" i="1"/>
  <c r="H17159" i="1"/>
  <c r="A17160" i="1"/>
  <c r="B17160" i="1"/>
  <c r="C17160" i="1"/>
  <c r="D17160" i="1"/>
  <c r="E17160" i="1"/>
  <c r="F17160" i="1"/>
  <c r="G17160" i="1"/>
  <c r="H17160" i="1"/>
  <c r="A17161" i="1"/>
  <c r="B17161" i="1"/>
  <c r="C17161" i="1"/>
  <c r="D17161" i="1"/>
  <c r="E17161" i="1"/>
  <c r="F17161" i="1"/>
  <c r="G17161" i="1"/>
  <c r="H17161" i="1"/>
  <c r="A17162" i="1"/>
  <c r="B17162" i="1"/>
  <c r="C17162" i="1"/>
  <c r="D17162" i="1"/>
  <c r="E17162" i="1"/>
  <c r="F17162" i="1"/>
  <c r="G17162" i="1"/>
  <c r="H17162" i="1"/>
  <c r="A17163" i="1"/>
  <c r="B17163" i="1"/>
  <c r="C17163" i="1"/>
  <c r="D17163" i="1"/>
  <c r="E17163" i="1"/>
  <c r="F17163" i="1"/>
  <c r="G17163" i="1"/>
  <c r="H17163" i="1"/>
  <c r="A17164" i="1"/>
  <c r="B17164" i="1"/>
  <c r="C17164" i="1"/>
  <c r="D17164" i="1"/>
  <c r="E17164" i="1"/>
  <c r="F17164" i="1"/>
  <c r="G17164" i="1"/>
  <c r="H17164" i="1"/>
  <c r="A17165" i="1"/>
  <c r="B17165" i="1"/>
  <c r="C17165" i="1"/>
  <c r="D17165" i="1"/>
  <c r="E17165" i="1"/>
  <c r="F17165" i="1"/>
  <c r="G17165" i="1"/>
  <c r="H17165" i="1"/>
  <c r="A17166" i="1"/>
  <c r="B17166" i="1"/>
  <c r="C17166" i="1"/>
  <c r="D17166" i="1"/>
  <c r="E17166" i="1"/>
  <c r="F17166" i="1"/>
  <c r="G17166" i="1"/>
  <c r="H17166" i="1"/>
  <c r="A17167" i="1"/>
  <c r="B17167" i="1"/>
  <c r="C17167" i="1"/>
  <c r="D17167" i="1"/>
  <c r="E17167" i="1"/>
  <c r="F17167" i="1"/>
  <c r="G17167" i="1"/>
  <c r="H17167" i="1"/>
  <c r="A17168" i="1"/>
  <c r="B17168" i="1"/>
  <c r="C17168" i="1"/>
  <c r="D17168" i="1"/>
  <c r="E17168" i="1"/>
  <c r="F17168" i="1"/>
  <c r="G17168" i="1"/>
  <c r="H17168" i="1"/>
  <c r="A17169" i="1"/>
  <c r="B17169" i="1"/>
  <c r="C17169" i="1"/>
  <c r="D17169" i="1"/>
  <c r="E17169" i="1"/>
  <c r="F17169" i="1"/>
  <c r="G17169" i="1"/>
  <c r="H17169" i="1"/>
  <c r="A17170" i="1"/>
  <c r="B17170" i="1"/>
  <c r="C17170" i="1"/>
  <c r="D17170" i="1"/>
  <c r="E17170" i="1"/>
  <c r="F17170" i="1"/>
  <c r="G17170" i="1"/>
  <c r="H17170" i="1"/>
  <c r="A17171" i="1"/>
  <c r="B17171" i="1"/>
  <c r="C17171" i="1"/>
  <c r="D17171" i="1"/>
  <c r="E17171" i="1"/>
  <c r="F17171" i="1"/>
  <c r="G17171" i="1"/>
  <c r="H17171" i="1"/>
  <c r="A17172" i="1"/>
  <c r="B17172" i="1"/>
  <c r="C17172" i="1"/>
  <c r="D17172" i="1"/>
  <c r="E17172" i="1"/>
  <c r="F17172" i="1"/>
  <c r="G17172" i="1"/>
  <c r="H17172" i="1"/>
  <c r="A17173" i="1"/>
  <c r="B17173" i="1"/>
  <c r="C17173" i="1"/>
  <c r="D17173" i="1"/>
  <c r="E17173" i="1"/>
  <c r="F17173" i="1"/>
  <c r="G17173" i="1"/>
  <c r="H17173" i="1"/>
  <c r="A17174" i="1"/>
  <c r="B17174" i="1"/>
  <c r="C17174" i="1"/>
  <c r="D17174" i="1"/>
  <c r="E17174" i="1"/>
  <c r="F17174" i="1"/>
  <c r="G17174" i="1"/>
  <c r="H17174" i="1"/>
  <c r="A17175" i="1"/>
  <c r="B17175" i="1"/>
  <c r="C17175" i="1"/>
  <c r="D17175" i="1"/>
  <c r="E17175" i="1"/>
  <c r="F17175" i="1"/>
  <c r="G17175" i="1"/>
  <c r="H17175" i="1"/>
  <c r="A17176" i="1"/>
  <c r="B17176" i="1"/>
  <c r="C17176" i="1"/>
  <c r="D17176" i="1"/>
  <c r="E17176" i="1"/>
  <c r="F17176" i="1"/>
  <c r="G17176" i="1"/>
  <c r="H17176" i="1"/>
  <c r="A17177" i="1"/>
  <c r="B17177" i="1"/>
  <c r="C17177" i="1"/>
  <c r="D17177" i="1"/>
  <c r="E17177" i="1"/>
  <c r="F17177" i="1"/>
  <c r="G17177" i="1"/>
  <c r="H17177" i="1"/>
  <c r="A17178" i="1"/>
  <c r="B17178" i="1"/>
  <c r="C17178" i="1"/>
  <c r="D17178" i="1"/>
  <c r="E17178" i="1"/>
  <c r="F17178" i="1"/>
  <c r="G17178" i="1"/>
  <c r="H17178" i="1"/>
  <c r="A17179" i="1"/>
  <c r="B17179" i="1"/>
  <c r="C17179" i="1"/>
  <c r="D17179" i="1"/>
  <c r="E17179" i="1"/>
  <c r="F17179" i="1"/>
  <c r="G17179" i="1"/>
  <c r="H17179" i="1"/>
  <c r="A17180" i="1"/>
  <c r="B17180" i="1"/>
  <c r="C17180" i="1"/>
  <c r="D17180" i="1"/>
  <c r="E17180" i="1"/>
  <c r="F17180" i="1"/>
  <c r="G17180" i="1"/>
  <c r="H17180" i="1"/>
  <c r="A17181" i="1"/>
  <c r="B17181" i="1"/>
  <c r="C17181" i="1"/>
  <c r="D17181" i="1"/>
  <c r="E17181" i="1"/>
  <c r="F17181" i="1"/>
  <c r="G17181" i="1"/>
  <c r="H17181" i="1"/>
  <c r="A17182" i="1"/>
  <c r="B17182" i="1"/>
  <c r="C17182" i="1"/>
  <c r="D17182" i="1"/>
  <c r="E17182" i="1"/>
  <c r="F17182" i="1"/>
  <c r="G17182" i="1"/>
  <c r="H17182" i="1"/>
  <c r="A17183" i="1"/>
  <c r="B17183" i="1"/>
  <c r="C17183" i="1"/>
  <c r="D17183" i="1"/>
  <c r="E17183" i="1"/>
  <c r="F17183" i="1"/>
  <c r="G17183" i="1"/>
  <c r="H17183" i="1"/>
  <c r="A17184" i="1"/>
  <c r="B17184" i="1"/>
  <c r="C17184" i="1"/>
  <c r="D17184" i="1"/>
  <c r="E17184" i="1"/>
  <c r="F17184" i="1"/>
  <c r="G17184" i="1"/>
  <c r="H17184" i="1"/>
  <c r="A17185" i="1"/>
  <c r="B17185" i="1"/>
  <c r="C17185" i="1"/>
  <c r="D17185" i="1"/>
  <c r="E17185" i="1"/>
  <c r="F17185" i="1"/>
  <c r="G17185" i="1"/>
  <c r="H17185" i="1"/>
  <c r="A17186" i="1"/>
  <c r="B17186" i="1"/>
  <c r="C17186" i="1"/>
  <c r="D17186" i="1"/>
  <c r="E17186" i="1"/>
  <c r="F17186" i="1"/>
  <c r="G17186" i="1"/>
  <c r="H17186" i="1"/>
  <c r="A17187" i="1"/>
  <c r="B17187" i="1"/>
  <c r="C17187" i="1"/>
  <c r="D17187" i="1"/>
  <c r="E17187" i="1"/>
  <c r="F17187" i="1"/>
  <c r="G17187" i="1"/>
  <c r="H17187" i="1"/>
  <c r="A17188" i="1"/>
  <c r="B17188" i="1"/>
  <c r="C17188" i="1"/>
  <c r="D17188" i="1"/>
  <c r="E17188" i="1"/>
  <c r="F17188" i="1"/>
  <c r="G17188" i="1"/>
  <c r="H17188" i="1"/>
  <c r="A17189" i="1"/>
  <c r="B17189" i="1"/>
  <c r="C17189" i="1"/>
  <c r="D17189" i="1"/>
  <c r="E17189" i="1"/>
  <c r="F17189" i="1"/>
  <c r="G17189" i="1"/>
  <c r="H17189" i="1"/>
  <c r="A17190" i="1"/>
  <c r="B17190" i="1"/>
  <c r="C17190" i="1"/>
  <c r="D17190" i="1"/>
  <c r="E17190" i="1"/>
  <c r="F17190" i="1"/>
  <c r="G17190" i="1"/>
  <c r="H17190" i="1"/>
  <c r="A17191" i="1"/>
  <c r="B17191" i="1"/>
  <c r="C17191" i="1"/>
  <c r="D17191" i="1"/>
  <c r="E17191" i="1"/>
  <c r="F17191" i="1"/>
  <c r="G17191" i="1"/>
  <c r="H17191" i="1"/>
  <c r="A17192" i="1"/>
  <c r="B17192" i="1"/>
  <c r="C17192" i="1"/>
  <c r="D17192" i="1"/>
  <c r="E17192" i="1"/>
  <c r="F17192" i="1"/>
  <c r="G17192" i="1"/>
  <c r="H17192" i="1"/>
  <c r="A17193" i="1"/>
  <c r="B17193" i="1"/>
  <c r="C17193" i="1"/>
  <c r="D17193" i="1"/>
  <c r="E17193" i="1"/>
  <c r="F17193" i="1"/>
  <c r="G17193" i="1"/>
  <c r="H17193" i="1"/>
  <c r="A17194" i="1"/>
  <c r="B17194" i="1"/>
  <c r="C17194" i="1"/>
  <c r="D17194" i="1"/>
  <c r="E17194" i="1"/>
  <c r="F17194" i="1"/>
  <c r="G17194" i="1"/>
  <c r="H17194" i="1"/>
  <c r="A17195" i="1"/>
  <c r="B17195" i="1"/>
  <c r="C17195" i="1"/>
  <c r="D17195" i="1"/>
  <c r="E17195" i="1"/>
  <c r="F17195" i="1"/>
  <c r="G17195" i="1"/>
  <c r="H17195" i="1"/>
  <c r="A17196" i="1"/>
  <c r="B17196" i="1"/>
  <c r="C17196" i="1"/>
  <c r="D17196" i="1"/>
  <c r="E17196" i="1"/>
  <c r="F17196" i="1"/>
  <c r="G17196" i="1"/>
  <c r="H17196" i="1"/>
  <c r="A17197" i="1"/>
  <c r="B17197" i="1"/>
  <c r="C17197" i="1"/>
  <c r="D17197" i="1"/>
  <c r="E17197" i="1"/>
  <c r="F17197" i="1"/>
  <c r="G17197" i="1"/>
  <c r="H17197" i="1"/>
  <c r="A17198" i="1"/>
  <c r="B17198" i="1"/>
  <c r="C17198" i="1"/>
  <c r="D17198" i="1"/>
  <c r="E17198" i="1"/>
  <c r="F17198" i="1"/>
  <c r="G17198" i="1"/>
  <c r="H17198" i="1"/>
  <c r="A17199" i="1"/>
  <c r="B17199" i="1"/>
  <c r="C17199" i="1"/>
  <c r="D17199" i="1"/>
  <c r="E17199" i="1"/>
  <c r="F17199" i="1"/>
  <c r="G17199" i="1"/>
  <c r="H17199" i="1"/>
  <c r="A17200" i="1"/>
  <c r="B17200" i="1"/>
  <c r="C17200" i="1"/>
  <c r="D17200" i="1"/>
  <c r="E17200" i="1"/>
  <c r="F17200" i="1"/>
  <c r="G17200" i="1"/>
  <c r="H17200" i="1"/>
  <c r="A17201" i="1"/>
  <c r="B17201" i="1"/>
  <c r="C17201" i="1"/>
  <c r="D17201" i="1"/>
  <c r="E17201" i="1"/>
  <c r="F17201" i="1"/>
  <c r="G17201" i="1"/>
  <c r="H17201" i="1"/>
  <c r="A17202" i="1"/>
  <c r="B17202" i="1"/>
  <c r="C17202" i="1"/>
  <c r="D17202" i="1"/>
  <c r="E17202" i="1"/>
  <c r="F17202" i="1"/>
  <c r="G17202" i="1"/>
  <c r="H17202" i="1"/>
  <c r="A17203" i="1"/>
  <c r="B17203" i="1"/>
  <c r="C17203" i="1"/>
  <c r="D17203" i="1"/>
  <c r="E17203" i="1"/>
  <c r="F17203" i="1"/>
  <c r="G17203" i="1"/>
  <c r="H17203" i="1"/>
  <c r="A17204" i="1"/>
  <c r="B17204" i="1"/>
  <c r="C17204" i="1"/>
  <c r="D17204" i="1"/>
  <c r="E17204" i="1"/>
  <c r="F17204" i="1"/>
  <c r="G17204" i="1"/>
  <c r="H17204" i="1"/>
  <c r="A17205" i="1"/>
  <c r="B17205" i="1"/>
  <c r="C17205" i="1"/>
  <c r="D17205" i="1"/>
  <c r="E17205" i="1"/>
  <c r="F17205" i="1"/>
  <c r="G17205" i="1"/>
  <c r="H17205" i="1"/>
  <c r="A17206" i="1"/>
  <c r="B17206" i="1"/>
  <c r="C17206" i="1"/>
  <c r="D17206" i="1"/>
  <c r="E17206" i="1"/>
  <c r="F17206" i="1"/>
  <c r="G17206" i="1"/>
  <c r="H17206" i="1"/>
  <c r="A17207" i="1"/>
  <c r="B17207" i="1"/>
  <c r="C17207" i="1"/>
  <c r="D17207" i="1"/>
  <c r="E17207" i="1"/>
  <c r="F17207" i="1"/>
  <c r="G17207" i="1"/>
  <c r="H17207" i="1"/>
  <c r="A17208" i="1"/>
  <c r="B17208" i="1"/>
  <c r="C17208" i="1"/>
  <c r="D17208" i="1"/>
  <c r="E17208" i="1"/>
  <c r="F17208" i="1"/>
  <c r="G17208" i="1"/>
  <c r="H17208" i="1"/>
  <c r="A17209" i="1"/>
  <c r="B17209" i="1"/>
  <c r="C17209" i="1"/>
  <c r="D17209" i="1"/>
  <c r="E17209" i="1"/>
  <c r="F17209" i="1"/>
  <c r="G17209" i="1"/>
  <c r="H17209" i="1"/>
  <c r="A17210" i="1"/>
  <c r="B17210" i="1"/>
  <c r="C17210" i="1"/>
  <c r="D17210" i="1"/>
  <c r="E17210" i="1"/>
  <c r="F17210" i="1"/>
  <c r="G17210" i="1"/>
  <c r="H17210" i="1"/>
  <c r="A17211" i="1"/>
  <c r="B17211" i="1"/>
  <c r="C17211" i="1"/>
  <c r="D17211" i="1"/>
  <c r="E17211" i="1"/>
  <c r="F17211" i="1"/>
  <c r="G17211" i="1"/>
  <c r="H17211" i="1"/>
  <c r="A17212" i="1"/>
  <c r="B17212" i="1"/>
  <c r="C17212" i="1"/>
  <c r="D17212" i="1"/>
  <c r="E17212" i="1"/>
  <c r="F17212" i="1"/>
  <c r="G17212" i="1"/>
  <c r="H17212" i="1"/>
  <c r="A17213" i="1"/>
  <c r="B17213" i="1"/>
  <c r="C17213" i="1"/>
  <c r="D17213" i="1"/>
  <c r="E17213" i="1"/>
  <c r="F17213" i="1"/>
  <c r="G17213" i="1"/>
  <c r="H17213" i="1"/>
  <c r="A17214" i="1"/>
  <c r="B17214" i="1"/>
  <c r="C17214" i="1"/>
  <c r="D17214" i="1"/>
  <c r="E17214" i="1"/>
  <c r="F17214" i="1"/>
  <c r="G17214" i="1"/>
  <c r="H17214" i="1"/>
  <c r="A17215" i="1"/>
  <c r="B17215" i="1"/>
  <c r="C17215" i="1"/>
  <c r="D17215" i="1"/>
  <c r="E17215" i="1"/>
  <c r="F17215" i="1"/>
  <c r="G17215" i="1"/>
  <c r="H17215" i="1"/>
  <c r="A17216" i="1"/>
  <c r="B17216" i="1"/>
  <c r="C17216" i="1"/>
  <c r="D17216" i="1"/>
  <c r="E17216" i="1"/>
  <c r="F17216" i="1"/>
  <c r="G17216" i="1"/>
  <c r="H17216" i="1"/>
  <c r="A17217" i="1"/>
  <c r="B17217" i="1"/>
  <c r="C17217" i="1"/>
  <c r="D17217" i="1"/>
  <c r="E17217" i="1"/>
  <c r="F17217" i="1"/>
  <c r="G17217" i="1"/>
  <c r="H17217" i="1"/>
  <c r="A17218" i="1"/>
  <c r="B17218" i="1"/>
  <c r="C17218" i="1"/>
  <c r="D17218" i="1"/>
  <c r="E17218" i="1"/>
  <c r="F17218" i="1"/>
  <c r="G17218" i="1"/>
  <c r="H17218" i="1"/>
  <c r="A17219" i="1"/>
  <c r="B17219" i="1"/>
  <c r="C17219" i="1"/>
  <c r="D17219" i="1"/>
  <c r="E17219" i="1"/>
  <c r="F17219" i="1"/>
  <c r="G17219" i="1"/>
  <c r="H17219" i="1"/>
  <c r="A17220" i="1"/>
  <c r="B17220" i="1"/>
  <c r="C17220" i="1"/>
  <c r="D17220" i="1"/>
  <c r="E17220" i="1"/>
  <c r="F17220" i="1"/>
  <c r="G17220" i="1"/>
  <c r="H17220" i="1"/>
  <c r="A17221" i="1"/>
  <c r="B17221" i="1"/>
  <c r="C17221" i="1"/>
  <c r="D17221" i="1"/>
  <c r="E17221" i="1"/>
  <c r="F17221" i="1"/>
  <c r="G17221" i="1"/>
  <c r="H17221" i="1"/>
  <c r="A17222" i="1"/>
  <c r="B17222" i="1"/>
  <c r="C17222" i="1"/>
  <c r="D17222" i="1"/>
  <c r="E17222" i="1"/>
  <c r="F17222" i="1"/>
  <c r="G17222" i="1"/>
  <c r="H17222" i="1"/>
  <c r="A17223" i="1"/>
  <c r="B17223" i="1"/>
  <c r="C17223" i="1"/>
  <c r="D17223" i="1"/>
  <c r="E17223" i="1"/>
  <c r="F17223" i="1"/>
  <c r="G17223" i="1"/>
  <c r="H17223" i="1"/>
  <c r="A17224" i="1"/>
  <c r="B17224" i="1"/>
  <c r="C17224" i="1"/>
  <c r="D17224" i="1"/>
  <c r="E17224" i="1"/>
  <c r="F17224" i="1"/>
  <c r="G17224" i="1"/>
  <c r="H17224" i="1"/>
  <c r="A17225" i="1"/>
  <c r="B17225" i="1"/>
  <c r="C17225" i="1"/>
  <c r="D17225" i="1"/>
  <c r="E17225" i="1"/>
  <c r="F17225" i="1"/>
  <c r="G17225" i="1"/>
  <c r="H17225" i="1"/>
  <c r="A17226" i="1"/>
  <c r="B17226" i="1"/>
  <c r="C17226" i="1"/>
  <c r="D17226" i="1"/>
  <c r="E17226" i="1"/>
  <c r="F17226" i="1"/>
  <c r="G17226" i="1"/>
  <c r="H17226" i="1"/>
  <c r="A17227" i="1"/>
  <c r="B17227" i="1"/>
  <c r="C17227" i="1"/>
  <c r="D17227" i="1"/>
  <c r="E17227" i="1"/>
  <c r="F17227" i="1"/>
  <c r="G17227" i="1"/>
  <c r="H17227" i="1"/>
  <c r="A17228" i="1"/>
  <c r="B17228" i="1"/>
  <c r="C17228" i="1"/>
  <c r="D17228" i="1"/>
  <c r="E17228" i="1"/>
  <c r="F17228" i="1"/>
  <c r="G17228" i="1"/>
  <c r="H17228" i="1"/>
  <c r="A17229" i="1"/>
  <c r="B17229" i="1"/>
  <c r="C17229" i="1"/>
  <c r="D17229" i="1"/>
  <c r="E17229" i="1"/>
  <c r="F17229" i="1"/>
  <c r="G17229" i="1"/>
  <c r="H17229" i="1"/>
  <c r="A17230" i="1"/>
  <c r="B17230" i="1"/>
  <c r="C17230" i="1"/>
  <c r="D17230" i="1"/>
  <c r="E17230" i="1"/>
  <c r="F17230" i="1"/>
  <c r="G17230" i="1"/>
  <c r="H17230" i="1"/>
  <c r="A17231" i="1"/>
  <c r="B17231" i="1"/>
  <c r="C17231" i="1"/>
  <c r="D17231" i="1"/>
  <c r="E17231" i="1"/>
  <c r="F17231" i="1"/>
  <c r="G17231" i="1"/>
  <c r="H17231" i="1"/>
  <c r="A17232" i="1"/>
  <c r="B17232" i="1"/>
  <c r="C17232" i="1"/>
  <c r="D17232" i="1"/>
  <c r="E17232" i="1"/>
  <c r="F17232" i="1"/>
  <c r="G17232" i="1"/>
  <c r="H17232" i="1"/>
  <c r="A17233" i="1"/>
  <c r="B17233" i="1"/>
  <c r="C17233" i="1"/>
  <c r="D17233" i="1"/>
  <c r="E17233" i="1"/>
  <c r="F17233" i="1"/>
  <c r="G17233" i="1"/>
  <c r="H17233" i="1"/>
  <c r="A17234" i="1"/>
  <c r="B17234" i="1"/>
  <c r="C17234" i="1"/>
  <c r="D17234" i="1"/>
  <c r="E17234" i="1"/>
  <c r="F17234" i="1"/>
  <c r="G17234" i="1"/>
  <c r="H17234" i="1"/>
  <c r="A17235" i="1"/>
  <c r="B17235" i="1"/>
  <c r="C17235" i="1"/>
  <c r="D17235" i="1"/>
  <c r="E17235" i="1"/>
  <c r="F17235" i="1"/>
  <c r="G17235" i="1"/>
  <c r="H17235" i="1"/>
  <c r="A17236" i="1"/>
  <c r="B17236" i="1"/>
  <c r="C17236" i="1"/>
  <c r="D17236" i="1"/>
  <c r="E17236" i="1"/>
  <c r="F17236" i="1"/>
  <c r="G17236" i="1"/>
  <c r="H17236" i="1"/>
  <c r="A17237" i="1"/>
  <c r="B17237" i="1"/>
  <c r="C17237" i="1"/>
  <c r="D17237" i="1"/>
  <c r="E17237" i="1"/>
  <c r="F17237" i="1"/>
  <c r="G17237" i="1"/>
  <c r="H17237" i="1"/>
  <c r="A17238" i="1"/>
  <c r="B17238" i="1"/>
  <c r="C17238" i="1"/>
  <c r="D17238" i="1"/>
  <c r="E17238" i="1"/>
  <c r="F17238" i="1"/>
  <c r="G17238" i="1"/>
  <c r="H17238" i="1"/>
  <c r="A17239" i="1"/>
  <c r="B17239" i="1"/>
  <c r="C17239" i="1"/>
  <c r="D17239" i="1"/>
  <c r="E17239" i="1"/>
  <c r="F17239" i="1"/>
  <c r="G17239" i="1"/>
  <c r="H17239" i="1"/>
  <c r="A17240" i="1"/>
  <c r="B17240" i="1"/>
  <c r="C17240" i="1"/>
  <c r="D17240" i="1"/>
  <c r="E17240" i="1"/>
  <c r="F17240" i="1"/>
  <c r="G17240" i="1"/>
  <c r="H17240" i="1"/>
  <c r="A17241" i="1"/>
  <c r="B17241" i="1"/>
  <c r="C17241" i="1"/>
  <c r="D17241" i="1"/>
  <c r="E17241" i="1"/>
  <c r="F17241" i="1"/>
  <c r="G17241" i="1"/>
  <c r="H17241" i="1"/>
  <c r="A17242" i="1"/>
  <c r="B17242" i="1"/>
  <c r="C17242" i="1"/>
  <c r="D17242" i="1"/>
  <c r="E17242" i="1"/>
  <c r="F17242" i="1"/>
  <c r="G17242" i="1"/>
  <c r="H17242" i="1"/>
  <c r="A17243" i="1"/>
  <c r="B17243" i="1"/>
  <c r="C17243" i="1"/>
  <c r="D17243" i="1"/>
  <c r="E17243" i="1"/>
  <c r="F17243" i="1"/>
  <c r="G17243" i="1"/>
  <c r="H17243" i="1"/>
  <c r="A17244" i="1"/>
  <c r="B17244" i="1"/>
  <c r="C17244" i="1"/>
  <c r="D17244" i="1"/>
  <c r="E17244" i="1"/>
  <c r="F17244" i="1"/>
  <c r="G17244" i="1"/>
  <c r="H17244" i="1"/>
  <c r="A17245" i="1"/>
  <c r="B17245" i="1"/>
  <c r="C17245" i="1"/>
  <c r="D17245" i="1"/>
  <c r="E17245" i="1"/>
  <c r="F17245" i="1"/>
  <c r="G17245" i="1"/>
  <c r="H17245" i="1"/>
  <c r="A17246" i="1"/>
  <c r="B17246" i="1"/>
  <c r="C17246" i="1"/>
  <c r="D17246" i="1"/>
  <c r="E17246" i="1"/>
  <c r="F17246" i="1"/>
  <c r="G17246" i="1"/>
  <c r="H17246" i="1"/>
  <c r="A17247" i="1"/>
  <c r="B17247" i="1"/>
  <c r="C17247" i="1"/>
  <c r="D17247" i="1"/>
  <c r="E17247" i="1"/>
  <c r="F17247" i="1"/>
  <c r="G17247" i="1"/>
  <c r="H17247" i="1"/>
  <c r="A17248" i="1"/>
  <c r="B17248" i="1"/>
  <c r="C17248" i="1"/>
  <c r="D17248" i="1"/>
  <c r="E17248" i="1"/>
  <c r="F17248" i="1"/>
  <c r="G17248" i="1"/>
  <c r="H17248" i="1"/>
  <c r="A17249" i="1"/>
  <c r="B17249" i="1"/>
  <c r="C17249" i="1"/>
  <c r="D17249" i="1"/>
  <c r="E17249" i="1"/>
  <c r="F17249" i="1"/>
  <c r="G17249" i="1"/>
  <c r="H17249" i="1"/>
  <c r="A17250" i="1"/>
  <c r="B17250" i="1"/>
  <c r="C17250" i="1"/>
  <c r="D17250" i="1"/>
  <c r="E17250" i="1"/>
  <c r="F17250" i="1"/>
  <c r="G17250" i="1"/>
  <c r="H17250" i="1"/>
  <c r="A17251" i="1"/>
  <c r="B17251" i="1"/>
  <c r="C17251" i="1"/>
  <c r="D17251" i="1"/>
  <c r="E17251" i="1"/>
  <c r="F17251" i="1"/>
  <c r="G17251" i="1"/>
  <c r="H17251" i="1"/>
  <c r="A17252" i="1"/>
  <c r="B17252" i="1"/>
  <c r="C17252" i="1"/>
  <c r="D17252" i="1"/>
  <c r="E17252" i="1"/>
  <c r="F17252" i="1"/>
  <c r="G17252" i="1"/>
  <c r="H17252" i="1"/>
  <c r="A17253" i="1"/>
  <c r="B17253" i="1"/>
  <c r="C17253" i="1"/>
  <c r="D17253" i="1"/>
  <c r="E17253" i="1"/>
  <c r="F17253" i="1"/>
  <c r="G17253" i="1"/>
  <c r="H17253" i="1"/>
  <c r="A17254" i="1"/>
  <c r="B17254" i="1"/>
  <c r="C17254" i="1"/>
  <c r="D17254" i="1"/>
  <c r="E17254" i="1"/>
  <c r="F17254" i="1"/>
  <c r="G17254" i="1"/>
  <c r="H17254" i="1"/>
  <c r="A17255" i="1"/>
  <c r="B17255" i="1"/>
  <c r="C17255" i="1"/>
  <c r="D17255" i="1"/>
  <c r="E17255" i="1"/>
  <c r="F17255" i="1"/>
  <c r="G17255" i="1"/>
  <c r="H17255" i="1"/>
  <c r="A17256" i="1"/>
  <c r="B17256" i="1"/>
  <c r="C17256" i="1"/>
  <c r="D17256" i="1"/>
  <c r="E17256" i="1"/>
  <c r="F17256" i="1"/>
  <c r="G17256" i="1"/>
  <c r="H17256" i="1"/>
  <c r="A17257" i="1"/>
  <c r="B17257" i="1"/>
  <c r="C17257" i="1"/>
  <c r="D17257" i="1"/>
  <c r="E17257" i="1"/>
  <c r="F17257" i="1"/>
  <c r="G17257" i="1"/>
  <c r="H17257" i="1"/>
  <c r="A17258" i="1"/>
  <c r="B17258" i="1"/>
  <c r="C17258" i="1"/>
  <c r="D17258" i="1"/>
  <c r="E17258" i="1"/>
  <c r="F17258" i="1"/>
  <c r="G17258" i="1"/>
  <c r="H17258" i="1"/>
  <c r="A17259" i="1"/>
  <c r="B17259" i="1"/>
  <c r="C17259" i="1"/>
  <c r="D17259" i="1"/>
  <c r="E17259" i="1"/>
  <c r="F17259" i="1"/>
  <c r="G17259" i="1"/>
  <c r="H17259" i="1"/>
  <c r="A17260" i="1"/>
  <c r="B17260" i="1"/>
  <c r="C17260" i="1"/>
  <c r="D17260" i="1"/>
  <c r="E17260" i="1"/>
  <c r="F17260" i="1"/>
  <c r="G17260" i="1"/>
  <c r="H17260" i="1"/>
  <c r="A17261" i="1"/>
  <c r="B17261" i="1"/>
  <c r="C17261" i="1"/>
  <c r="D17261" i="1"/>
  <c r="E17261" i="1"/>
  <c r="F17261" i="1"/>
  <c r="G17261" i="1"/>
  <c r="H17261" i="1"/>
  <c r="A17262" i="1"/>
  <c r="B17262" i="1"/>
  <c r="C17262" i="1"/>
  <c r="D17262" i="1"/>
  <c r="E17262" i="1"/>
  <c r="F17262" i="1"/>
  <c r="G17262" i="1"/>
  <c r="H17262" i="1"/>
  <c r="A17263" i="1"/>
  <c r="B17263" i="1"/>
  <c r="C17263" i="1"/>
  <c r="D17263" i="1"/>
  <c r="E17263" i="1"/>
  <c r="F17263" i="1"/>
  <c r="G17263" i="1"/>
  <c r="H17263" i="1"/>
  <c r="A17264" i="1"/>
  <c r="B17264" i="1"/>
  <c r="C17264" i="1"/>
  <c r="D17264" i="1"/>
  <c r="E17264" i="1"/>
  <c r="F17264" i="1"/>
  <c r="G17264" i="1"/>
  <c r="H17264" i="1"/>
  <c r="A17265" i="1"/>
  <c r="B17265" i="1"/>
  <c r="C17265" i="1"/>
  <c r="D17265" i="1"/>
  <c r="E17265" i="1"/>
  <c r="F17265" i="1"/>
  <c r="G17265" i="1"/>
  <c r="H17265" i="1"/>
  <c r="A17266" i="1"/>
  <c r="B17266" i="1"/>
  <c r="C17266" i="1"/>
  <c r="D17266" i="1"/>
  <c r="E17266" i="1"/>
  <c r="F17266" i="1"/>
  <c r="G17266" i="1"/>
  <c r="H17266" i="1"/>
  <c r="A17267" i="1"/>
  <c r="B17267" i="1"/>
  <c r="C17267" i="1"/>
  <c r="D17267" i="1"/>
  <c r="E17267" i="1"/>
  <c r="F17267" i="1"/>
  <c r="G17267" i="1"/>
  <c r="H17267" i="1"/>
  <c r="A17268" i="1"/>
  <c r="B17268" i="1"/>
  <c r="C17268" i="1"/>
  <c r="D17268" i="1"/>
  <c r="E17268" i="1"/>
  <c r="F17268" i="1"/>
  <c r="G17268" i="1"/>
  <c r="H17268" i="1"/>
  <c r="A17269" i="1"/>
  <c r="B17269" i="1"/>
  <c r="C17269" i="1"/>
  <c r="D17269" i="1"/>
  <c r="E17269" i="1"/>
  <c r="F17269" i="1"/>
  <c r="G17269" i="1"/>
  <c r="H17269" i="1"/>
  <c r="A17270" i="1"/>
  <c r="B17270" i="1"/>
  <c r="C17270" i="1"/>
  <c r="D17270" i="1"/>
  <c r="E17270" i="1"/>
  <c r="F17270" i="1"/>
  <c r="G17270" i="1"/>
  <c r="H17270" i="1"/>
  <c r="A17271" i="1"/>
  <c r="B17271" i="1"/>
  <c r="C17271" i="1"/>
  <c r="D17271" i="1"/>
  <c r="E17271" i="1"/>
  <c r="F17271" i="1"/>
  <c r="G17271" i="1"/>
  <c r="H17271" i="1"/>
  <c r="A17272" i="1"/>
  <c r="B17272" i="1"/>
  <c r="C17272" i="1"/>
  <c r="D17272" i="1"/>
  <c r="E17272" i="1"/>
  <c r="F17272" i="1"/>
  <c r="G17272" i="1"/>
  <c r="H17272" i="1"/>
  <c r="A17273" i="1"/>
  <c r="B17273" i="1"/>
  <c r="C17273" i="1"/>
  <c r="D17273" i="1"/>
  <c r="E17273" i="1"/>
  <c r="F17273" i="1"/>
  <c r="G17273" i="1"/>
  <c r="H17273" i="1"/>
  <c r="A17274" i="1"/>
  <c r="B17274" i="1"/>
  <c r="C17274" i="1"/>
  <c r="D17274" i="1"/>
  <c r="E17274" i="1"/>
  <c r="F17274" i="1"/>
  <c r="G17274" i="1"/>
  <c r="H17274" i="1"/>
  <c r="A17275" i="1"/>
  <c r="B17275" i="1"/>
  <c r="C17275" i="1"/>
  <c r="D17275" i="1"/>
  <c r="E17275" i="1"/>
  <c r="F17275" i="1"/>
  <c r="G17275" i="1"/>
  <c r="H17275" i="1"/>
  <c r="A17276" i="1"/>
  <c r="B17276" i="1"/>
  <c r="C17276" i="1"/>
  <c r="D17276" i="1"/>
  <c r="E17276" i="1"/>
  <c r="F17276" i="1"/>
  <c r="G17276" i="1"/>
  <c r="H17276" i="1"/>
  <c r="A17277" i="1"/>
  <c r="B17277" i="1"/>
  <c r="C17277" i="1"/>
  <c r="D17277" i="1"/>
  <c r="E17277" i="1"/>
  <c r="F17277" i="1"/>
  <c r="G17277" i="1"/>
  <c r="H17277" i="1"/>
  <c r="A17278" i="1"/>
  <c r="B17278" i="1"/>
  <c r="C17278" i="1"/>
  <c r="D17278" i="1"/>
  <c r="E17278" i="1"/>
  <c r="F17278" i="1"/>
  <c r="G17278" i="1"/>
  <c r="H17278" i="1"/>
  <c r="A17279" i="1"/>
  <c r="B17279" i="1"/>
  <c r="C17279" i="1"/>
  <c r="D17279" i="1"/>
  <c r="E17279" i="1"/>
  <c r="F17279" i="1"/>
  <c r="G17279" i="1"/>
  <c r="H17279" i="1"/>
  <c r="A17280" i="1"/>
  <c r="B17280" i="1"/>
  <c r="C17280" i="1"/>
  <c r="D17280" i="1"/>
  <c r="E17280" i="1"/>
  <c r="F17280" i="1"/>
  <c r="G17280" i="1"/>
  <c r="H17280" i="1"/>
  <c r="A17281" i="1"/>
  <c r="B17281" i="1"/>
  <c r="C17281" i="1"/>
  <c r="D17281" i="1"/>
  <c r="E17281" i="1"/>
  <c r="F17281" i="1"/>
  <c r="G17281" i="1"/>
  <c r="H17281" i="1"/>
  <c r="A17282" i="1"/>
  <c r="B17282" i="1"/>
  <c r="C17282" i="1"/>
  <c r="D17282" i="1"/>
  <c r="E17282" i="1"/>
  <c r="F17282" i="1"/>
  <c r="G17282" i="1"/>
  <c r="H17282" i="1"/>
  <c r="A17283" i="1"/>
  <c r="B17283" i="1"/>
  <c r="C17283" i="1"/>
  <c r="D17283" i="1"/>
  <c r="E17283" i="1"/>
  <c r="F17283" i="1"/>
  <c r="G17283" i="1"/>
  <c r="H17283" i="1"/>
  <c r="A17284" i="1"/>
  <c r="B17284" i="1"/>
  <c r="C17284" i="1"/>
  <c r="D17284" i="1"/>
  <c r="E17284" i="1"/>
  <c r="F17284" i="1"/>
  <c r="G17284" i="1"/>
  <c r="H17284" i="1"/>
  <c r="A17285" i="1"/>
  <c r="B17285" i="1"/>
  <c r="C17285" i="1"/>
  <c r="D17285" i="1"/>
  <c r="E17285" i="1"/>
  <c r="F17285" i="1"/>
  <c r="G17285" i="1"/>
  <c r="H17285" i="1"/>
  <c r="A17286" i="1"/>
  <c r="B17286" i="1"/>
  <c r="C17286" i="1"/>
  <c r="D17286" i="1"/>
  <c r="E17286" i="1"/>
  <c r="F17286" i="1"/>
  <c r="G17286" i="1"/>
  <c r="H17286" i="1"/>
  <c r="A17287" i="1"/>
  <c r="B17287" i="1"/>
  <c r="C17287" i="1"/>
  <c r="D17287" i="1"/>
  <c r="E17287" i="1"/>
  <c r="F17287" i="1"/>
  <c r="G17287" i="1"/>
  <c r="H17287" i="1"/>
  <c r="A17288" i="1"/>
  <c r="B17288" i="1"/>
  <c r="C17288" i="1"/>
  <c r="D17288" i="1"/>
  <c r="E17288" i="1"/>
  <c r="F17288" i="1"/>
  <c r="G17288" i="1"/>
  <c r="H17288" i="1"/>
  <c r="A17289" i="1"/>
  <c r="B17289" i="1"/>
  <c r="C17289" i="1"/>
  <c r="D17289" i="1"/>
  <c r="E17289" i="1"/>
  <c r="F17289" i="1"/>
  <c r="G17289" i="1"/>
  <c r="H17289" i="1"/>
  <c r="A17290" i="1"/>
  <c r="B17290" i="1"/>
  <c r="C17290" i="1"/>
  <c r="D17290" i="1"/>
  <c r="E17290" i="1"/>
  <c r="F17290" i="1"/>
  <c r="G17290" i="1"/>
  <c r="H17290" i="1"/>
  <c r="A17291" i="1"/>
  <c r="B17291" i="1"/>
  <c r="C17291" i="1"/>
  <c r="D17291" i="1"/>
  <c r="E17291" i="1"/>
  <c r="F17291" i="1"/>
  <c r="G17291" i="1"/>
  <c r="H17291" i="1"/>
  <c r="A17292" i="1"/>
  <c r="B17292" i="1"/>
  <c r="C17292" i="1"/>
  <c r="D17292" i="1"/>
  <c r="E17292" i="1"/>
  <c r="F17292" i="1"/>
  <c r="G17292" i="1"/>
  <c r="H17292" i="1"/>
  <c r="A17293" i="1"/>
  <c r="B17293" i="1"/>
  <c r="C17293" i="1"/>
  <c r="D17293" i="1"/>
  <c r="E17293" i="1"/>
  <c r="F17293" i="1"/>
  <c r="G17293" i="1"/>
  <c r="H17293" i="1"/>
  <c r="A17294" i="1"/>
  <c r="B17294" i="1"/>
  <c r="C17294" i="1"/>
  <c r="D17294" i="1"/>
  <c r="E17294" i="1"/>
  <c r="F17294" i="1"/>
  <c r="G17294" i="1"/>
  <c r="H17294" i="1"/>
  <c r="A17295" i="1"/>
  <c r="B17295" i="1"/>
  <c r="C17295" i="1"/>
  <c r="D17295" i="1"/>
  <c r="E17295" i="1"/>
  <c r="F17295" i="1"/>
  <c r="G17295" i="1"/>
  <c r="H17295" i="1"/>
  <c r="A17296" i="1"/>
  <c r="B17296" i="1"/>
  <c r="C17296" i="1"/>
  <c r="D17296" i="1"/>
  <c r="E17296" i="1"/>
  <c r="F17296" i="1"/>
  <c r="G17296" i="1"/>
  <c r="H17296" i="1"/>
  <c r="A17297" i="1"/>
  <c r="B17297" i="1"/>
  <c r="C17297" i="1"/>
  <c r="D17297" i="1"/>
  <c r="E17297" i="1"/>
  <c r="F17297" i="1"/>
  <c r="G17297" i="1"/>
  <c r="H17297" i="1"/>
  <c r="A17298" i="1"/>
  <c r="B17298" i="1"/>
  <c r="C17298" i="1"/>
  <c r="D17298" i="1"/>
  <c r="E17298" i="1"/>
  <c r="F17298" i="1"/>
  <c r="G17298" i="1"/>
  <c r="H17298" i="1"/>
  <c r="A17299" i="1"/>
  <c r="B17299" i="1"/>
  <c r="C17299" i="1"/>
  <c r="D17299" i="1"/>
  <c r="E17299" i="1"/>
  <c r="F17299" i="1"/>
  <c r="G17299" i="1"/>
  <c r="H17299" i="1"/>
  <c r="A17300" i="1"/>
  <c r="B17300" i="1"/>
  <c r="C17300" i="1"/>
  <c r="D17300" i="1"/>
  <c r="E17300" i="1"/>
  <c r="F17300" i="1"/>
  <c r="G17300" i="1"/>
  <c r="H17300" i="1"/>
  <c r="A17301" i="1"/>
  <c r="B17301" i="1"/>
  <c r="C17301" i="1"/>
  <c r="D17301" i="1"/>
  <c r="E17301" i="1"/>
  <c r="F17301" i="1"/>
  <c r="G17301" i="1"/>
  <c r="H17301" i="1"/>
  <c r="A17302" i="1"/>
  <c r="B17302" i="1"/>
  <c r="C17302" i="1"/>
  <c r="D17302" i="1"/>
  <c r="E17302" i="1"/>
  <c r="F17302" i="1"/>
  <c r="G17302" i="1"/>
  <c r="H17302" i="1"/>
  <c r="A17303" i="1"/>
  <c r="B17303" i="1"/>
  <c r="C17303" i="1"/>
  <c r="D17303" i="1"/>
  <c r="E17303" i="1"/>
  <c r="F17303" i="1"/>
  <c r="G17303" i="1"/>
  <c r="H17303" i="1"/>
  <c r="A17304" i="1"/>
  <c r="B17304" i="1"/>
  <c r="C17304" i="1"/>
  <c r="D17304" i="1"/>
  <c r="E17304" i="1"/>
  <c r="F17304" i="1"/>
  <c r="G17304" i="1"/>
  <c r="H17304" i="1"/>
  <c r="A17305" i="1"/>
  <c r="B17305" i="1"/>
  <c r="C17305" i="1"/>
  <c r="D17305" i="1"/>
  <c r="E17305" i="1"/>
  <c r="F17305" i="1"/>
  <c r="G17305" i="1"/>
  <c r="H17305" i="1"/>
  <c r="A17306" i="1"/>
  <c r="B17306" i="1"/>
  <c r="C17306" i="1"/>
  <c r="D17306" i="1"/>
  <c r="E17306" i="1"/>
  <c r="F17306" i="1"/>
  <c r="G17306" i="1"/>
  <c r="H17306" i="1"/>
  <c r="A17307" i="1"/>
  <c r="B17307" i="1"/>
  <c r="C17307" i="1"/>
  <c r="D17307" i="1"/>
  <c r="E17307" i="1"/>
  <c r="F17307" i="1"/>
  <c r="G17307" i="1"/>
  <c r="H17307" i="1"/>
  <c r="A17308" i="1"/>
  <c r="B17308" i="1"/>
  <c r="C17308" i="1"/>
  <c r="D17308" i="1"/>
  <c r="E17308" i="1"/>
  <c r="F17308" i="1"/>
  <c r="G17308" i="1"/>
  <c r="H17308" i="1"/>
  <c r="A17309" i="1"/>
  <c r="B17309" i="1"/>
  <c r="C17309" i="1"/>
  <c r="D17309" i="1"/>
  <c r="E17309" i="1"/>
  <c r="F17309" i="1"/>
  <c r="G17309" i="1"/>
  <c r="H17309" i="1"/>
  <c r="A17310" i="1"/>
  <c r="B17310" i="1"/>
  <c r="C17310" i="1"/>
  <c r="D17310" i="1"/>
  <c r="E17310" i="1"/>
  <c r="F17310" i="1"/>
  <c r="G17310" i="1"/>
  <c r="H17310" i="1"/>
  <c r="A17311" i="1"/>
  <c r="B17311" i="1"/>
  <c r="C17311" i="1"/>
  <c r="D17311" i="1"/>
  <c r="E17311" i="1"/>
  <c r="F17311" i="1"/>
  <c r="G17311" i="1"/>
  <c r="H17311" i="1"/>
  <c r="A17312" i="1"/>
  <c r="B17312" i="1"/>
  <c r="C17312" i="1"/>
  <c r="D17312" i="1"/>
  <c r="E17312" i="1"/>
  <c r="F17312" i="1"/>
  <c r="G17312" i="1"/>
  <c r="H17312" i="1"/>
  <c r="A17313" i="1"/>
  <c r="B17313" i="1"/>
  <c r="C17313" i="1"/>
  <c r="D17313" i="1"/>
  <c r="E17313" i="1"/>
  <c r="F17313" i="1"/>
  <c r="G17313" i="1"/>
  <c r="H17313" i="1"/>
  <c r="A17314" i="1"/>
  <c r="B17314" i="1"/>
  <c r="C17314" i="1"/>
  <c r="D17314" i="1"/>
  <c r="E17314" i="1"/>
  <c r="F17314" i="1"/>
  <c r="G17314" i="1"/>
  <c r="H17314" i="1"/>
  <c r="A17315" i="1"/>
  <c r="B17315" i="1"/>
  <c r="C17315" i="1"/>
  <c r="D17315" i="1"/>
  <c r="E17315" i="1"/>
  <c r="F17315" i="1"/>
  <c r="G17315" i="1"/>
  <c r="H17315" i="1"/>
  <c r="A17316" i="1"/>
  <c r="B17316" i="1"/>
  <c r="C17316" i="1"/>
  <c r="D17316" i="1"/>
  <c r="E17316" i="1"/>
  <c r="F17316" i="1"/>
  <c r="G17316" i="1"/>
  <c r="H17316" i="1"/>
  <c r="A17317" i="1"/>
  <c r="B17317" i="1"/>
  <c r="C17317" i="1"/>
  <c r="D17317" i="1"/>
  <c r="E17317" i="1"/>
  <c r="F17317" i="1"/>
  <c r="G17317" i="1"/>
  <c r="H17317" i="1"/>
  <c r="A17318" i="1"/>
  <c r="B17318" i="1"/>
  <c r="C17318" i="1"/>
  <c r="D17318" i="1"/>
  <c r="E17318" i="1"/>
  <c r="F17318" i="1"/>
  <c r="G17318" i="1"/>
  <c r="H17318" i="1"/>
  <c r="A17319" i="1"/>
  <c r="B17319" i="1"/>
  <c r="C17319" i="1"/>
  <c r="D17319" i="1"/>
  <c r="E17319" i="1"/>
  <c r="F17319" i="1"/>
  <c r="G17319" i="1"/>
  <c r="H17319" i="1"/>
  <c r="A17320" i="1"/>
  <c r="B17320" i="1"/>
  <c r="C17320" i="1"/>
  <c r="D17320" i="1"/>
  <c r="E17320" i="1"/>
  <c r="F17320" i="1"/>
  <c r="G17320" i="1"/>
  <c r="H17320" i="1"/>
  <c r="A17321" i="1"/>
  <c r="B17321" i="1"/>
  <c r="C17321" i="1"/>
  <c r="D17321" i="1"/>
  <c r="E17321" i="1"/>
  <c r="F17321" i="1"/>
  <c r="G17321" i="1"/>
  <c r="H17321" i="1"/>
  <c r="A17322" i="1"/>
  <c r="B17322" i="1"/>
  <c r="C17322" i="1"/>
  <c r="D17322" i="1"/>
  <c r="E17322" i="1"/>
  <c r="F17322" i="1"/>
  <c r="G17322" i="1"/>
  <c r="H17322" i="1"/>
  <c r="A17323" i="1"/>
  <c r="B17323" i="1"/>
  <c r="C17323" i="1"/>
  <c r="D17323" i="1"/>
  <c r="E17323" i="1"/>
  <c r="F17323" i="1"/>
  <c r="G17323" i="1"/>
  <c r="H17323" i="1"/>
  <c r="A17324" i="1"/>
  <c r="B17324" i="1"/>
  <c r="C17324" i="1"/>
  <c r="D17324" i="1"/>
  <c r="E17324" i="1"/>
  <c r="F17324" i="1"/>
  <c r="G17324" i="1"/>
  <c r="H17324" i="1"/>
  <c r="A17325" i="1"/>
  <c r="B17325" i="1"/>
  <c r="C17325" i="1"/>
  <c r="D17325" i="1"/>
  <c r="E17325" i="1"/>
  <c r="F17325" i="1"/>
  <c r="G17325" i="1"/>
  <c r="H17325" i="1"/>
  <c r="A17326" i="1"/>
  <c r="B17326" i="1"/>
  <c r="C17326" i="1"/>
  <c r="D17326" i="1"/>
  <c r="E17326" i="1"/>
  <c r="F17326" i="1"/>
  <c r="G17326" i="1"/>
  <c r="H17326" i="1"/>
  <c r="A17327" i="1"/>
  <c r="B17327" i="1"/>
  <c r="C17327" i="1"/>
  <c r="D17327" i="1"/>
  <c r="E17327" i="1"/>
  <c r="F17327" i="1"/>
  <c r="G17327" i="1"/>
  <c r="H17327" i="1"/>
  <c r="A17328" i="1"/>
  <c r="B17328" i="1"/>
  <c r="C17328" i="1"/>
  <c r="D17328" i="1"/>
  <c r="E17328" i="1"/>
  <c r="F17328" i="1"/>
  <c r="G17328" i="1"/>
  <c r="H17328" i="1"/>
  <c r="A17329" i="1"/>
  <c r="B17329" i="1"/>
  <c r="C17329" i="1"/>
  <c r="D17329" i="1"/>
  <c r="E17329" i="1"/>
  <c r="F17329" i="1"/>
  <c r="G17329" i="1"/>
  <c r="H17329" i="1"/>
  <c r="A17330" i="1"/>
  <c r="B17330" i="1"/>
  <c r="C17330" i="1"/>
  <c r="D17330" i="1"/>
  <c r="E17330" i="1"/>
  <c r="F17330" i="1"/>
  <c r="G17330" i="1"/>
  <c r="H17330" i="1"/>
  <c r="A17331" i="1"/>
  <c r="B17331" i="1"/>
  <c r="C17331" i="1"/>
  <c r="D17331" i="1"/>
  <c r="E17331" i="1"/>
  <c r="F17331" i="1"/>
  <c r="G17331" i="1"/>
  <c r="H17331" i="1"/>
  <c r="A17332" i="1"/>
  <c r="B17332" i="1"/>
  <c r="C17332" i="1"/>
  <c r="D17332" i="1"/>
  <c r="E17332" i="1"/>
  <c r="F17332" i="1"/>
  <c r="G17332" i="1"/>
  <c r="H17332" i="1"/>
  <c r="A17333" i="1"/>
  <c r="B17333" i="1"/>
  <c r="C17333" i="1"/>
  <c r="D17333" i="1"/>
  <c r="E17333" i="1"/>
  <c r="F17333" i="1"/>
  <c r="G17333" i="1"/>
  <c r="H17333" i="1"/>
  <c r="A17334" i="1"/>
  <c r="B17334" i="1"/>
  <c r="C17334" i="1"/>
  <c r="D17334" i="1"/>
  <c r="E17334" i="1"/>
  <c r="F17334" i="1"/>
  <c r="G17334" i="1"/>
  <c r="H17334" i="1"/>
  <c r="A17335" i="1"/>
  <c r="B17335" i="1"/>
  <c r="C17335" i="1"/>
  <c r="D17335" i="1"/>
  <c r="E17335" i="1"/>
  <c r="F17335" i="1"/>
  <c r="G17335" i="1"/>
  <c r="H17335" i="1"/>
  <c r="A17336" i="1"/>
  <c r="B17336" i="1"/>
  <c r="C17336" i="1"/>
  <c r="D17336" i="1"/>
  <c r="E17336" i="1"/>
  <c r="F17336" i="1"/>
  <c r="G17336" i="1"/>
  <c r="H17336" i="1"/>
  <c r="A17337" i="1"/>
  <c r="B17337" i="1"/>
  <c r="C17337" i="1"/>
  <c r="D17337" i="1"/>
  <c r="E17337" i="1"/>
  <c r="F17337" i="1"/>
  <c r="G17337" i="1"/>
  <c r="H17337" i="1"/>
  <c r="A17338" i="1"/>
  <c r="B17338" i="1"/>
  <c r="C17338" i="1"/>
  <c r="D17338" i="1"/>
  <c r="E17338" i="1"/>
  <c r="F17338" i="1"/>
  <c r="G17338" i="1"/>
  <c r="H17338" i="1"/>
  <c r="A17339" i="1"/>
  <c r="B17339" i="1"/>
  <c r="C17339" i="1"/>
  <c r="D17339" i="1"/>
  <c r="E17339" i="1"/>
  <c r="F17339" i="1"/>
  <c r="G17339" i="1"/>
  <c r="H17339" i="1"/>
  <c r="A17340" i="1"/>
  <c r="B17340" i="1"/>
  <c r="C17340" i="1"/>
  <c r="D17340" i="1"/>
  <c r="E17340" i="1"/>
  <c r="F17340" i="1"/>
  <c r="G17340" i="1"/>
  <c r="H17340" i="1"/>
  <c r="A17341" i="1"/>
  <c r="B17341" i="1"/>
  <c r="C17341" i="1"/>
  <c r="D17341" i="1"/>
  <c r="E17341" i="1"/>
  <c r="F17341" i="1"/>
  <c r="G17341" i="1"/>
  <c r="H17341" i="1"/>
  <c r="A17342" i="1"/>
  <c r="B17342" i="1"/>
  <c r="C17342" i="1"/>
  <c r="D17342" i="1"/>
  <c r="E17342" i="1"/>
  <c r="F17342" i="1"/>
  <c r="G17342" i="1"/>
  <c r="H17342" i="1"/>
  <c r="A17343" i="1"/>
  <c r="B17343" i="1"/>
  <c r="C17343" i="1"/>
  <c r="D17343" i="1"/>
  <c r="E17343" i="1"/>
  <c r="F17343" i="1"/>
  <c r="G17343" i="1"/>
  <c r="H17343" i="1"/>
  <c r="A17344" i="1"/>
  <c r="B17344" i="1"/>
  <c r="C17344" i="1"/>
  <c r="D17344" i="1"/>
  <c r="E17344" i="1"/>
  <c r="F17344" i="1"/>
  <c r="G17344" i="1"/>
  <c r="H17344" i="1"/>
  <c r="A17345" i="1"/>
  <c r="B17345" i="1"/>
  <c r="C17345" i="1"/>
  <c r="D17345" i="1"/>
  <c r="E17345" i="1"/>
  <c r="F17345" i="1"/>
  <c r="G17345" i="1"/>
  <c r="H17345" i="1"/>
  <c r="A17346" i="1"/>
  <c r="B17346" i="1"/>
  <c r="C17346" i="1"/>
  <c r="D17346" i="1"/>
  <c r="E17346" i="1"/>
  <c r="F17346" i="1"/>
  <c r="G17346" i="1"/>
  <c r="H17346" i="1"/>
  <c r="A17347" i="1"/>
  <c r="B17347" i="1"/>
  <c r="C17347" i="1"/>
  <c r="D17347" i="1"/>
  <c r="E17347" i="1"/>
  <c r="F17347" i="1"/>
  <c r="G17347" i="1"/>
  <c r="H17347" i="1"/>
  <c r="A17348" i="1"/>
  <c r="B17348" i="1"/>
  <c r="C17348" i="1"/>
  <c r="D17348" i="1"/>
  <c r="E17348" i="1"/>
  <c r="F17348" i="1"/>
  <c r="G17348" i="1"/>
  <c r="H17348" i="1"/>
  <c r="A17349" i="1"/>
  <c r="B17349" i="1"/>
  <c r="C17349" i="1"/>
  <c r="D17349" i="1"/>
  <c r="E17349" i="1"/>
  <c r="F17349" i="1"/>
  <c r="G17349" i="1"/>
  <c r="H17349" i="1"/>
  <c r="A17350" i="1"/>
  <c r="B17350" i="1"/>
  <c r="C17350" i="1"/>
  <c r="D17350" i="1"/>
  <c r="E17350" i="1"/>
  <c r="F17350" i="1"/>
  <c r="G17350" i="1"/>
  <c r="H17350" i="1"/>
  <c r="A17351" i="1"/>
  <c r="B17351" i="1"/>
  <c r="C17351" i="1"/>
  <c r="D17351" i="1"/>
  <c r="E17351" i="1"/>
  <c r="F17351" i="1"/>
  <c r="G17351" i="1"/>
  <c r="H17351" i="1"/>
  <c r="A17352" i="1"/>
  <c r="B17352" i="1"/>
  <c r="C17352" i="1"/>
  <c r="D17352" i="1"/>
  <c r="E17352" i="1"/>
  <c r="F17352" i="1"/>
  <c r="G17352" i="1"/>
  <c r="H17352" i="1"/>
  <c r="A17353" i="1"/>
  <c r="B17353" i="1"/>
  <c r="C17353" i="1"/>
  <c r="D17353" i="1"/>
  <c r="E17353" i="1"/>
  <c r="F17353" i="1"/>
  <c r="G17353" i="1"/>
  <c r="H17353" i="1"/>
  <c r="A17354" i="1"/>
  <c r="B17354" i="1"/>
  <c r="C17354" i="1"/>
  <c r="D17354" i="1"/>
  <c r="E17354" i="1"/>
  <c r="F17354" i="1"/>
  <c r="G17354" i="1"/>
  <c r="H17354" i="1"/>
  <c r="A17355" i="1"/>
  <c r="B17355" i="1"/>
  <c r="C17355" i="1"/>
  <c r="D17355" i="1"/>
  <c r="E17355" i="1"/>
  <c r="F17355" i="1"/>
  <c r="G17355" i="1"/>
  <c r="H17355" i="1"/>
  <c r="A17356" i="1"/>
  <c r="B17356" i="1"/>
  <c r="C17356" i="1"/>
  <c r="D17356" i="1"/>
  <c r="E17356" i="1"/>
  <c r="F17356" i="1"/>
  <c r="G17356" i="1"/>
  <c r="H17356" i="1"/>
  <c r="A17357" i="1"/>
  <c r="B17357" i="1"/>
  <c r="C17357" i="1"/>
  <c r="D17357" i="1"/>
  <c r="E17357" i="1"/>
  <c r="F17357" i="1"/>
  <c r="G17357" i="1"/>
  <c r="H17357" i="1"/>
  <c r="A17358" i="1"/>
  <c r="B17358" i="1"/>
  <c r="C17358" i="1"/>
  <c r="D17358" i="1"/>
  <c r="E17358" i="1"/>
  <c r="F17358" i="1"/>
  <c r="G17358" i="1"/>
  <c r="H17358" i="1"/>
  <c r="A17359" i="1"/>
  <c r="B17359" i="1"/>
  <c r="C17359" i="1"/>
  <c r="D17359" i="1"/>
  <c r="E17359" i="1"/>
  <c r="F17359" i="1"/>
  <c r="G17359" i="1"/>
  <c r="H17359" i="1"/>
  <c r="A17360" i="1"/>
  <c r="B17360" i="1"/>
  <c r="C17360" i="1"/>
  <c r="D17360" i="1"/>
  <c r="E17360" i="1"/>
  <c r="F17360" i="1"/>
  <c r="G17360" i="1"/>
  <c r="H17360" i="1"/>
  <c r="A17361" i="1"/>
  <c r="B17361" i="1"/>
  <c r="C17361" i="1"/>
  <c r="D17361" i="1"/>
  <c r="E17361" i="1"/>
  <c r="F17361" i="1"/>
  <c r="G17361" i="1"/>
  <c r="H17361" i="1"/>
  <c r="A17362" i="1"/>
  <c r="B17362" i="1"/>
  <c r="C17362" i="1"/>
  <c r="D17362" i="1"/>
  <c r="E17362" i="1"/>
  <c r="F17362" i="1"/>
  <c r="G17362" i="1"/>
  <c r="H17362" i="1"/>
  <c r="A17363" i="1"/>
  <c r="B17363" i="1"/>
  <c r="C17363" i="1"/>
  <c r="D17363" i="1"/>
  <c r="E17363" i="1"/>
  <c r="F17363" i="1"/>
  <c r="G17363" i="1"/>
  <c r="H17363" i="1"/>
  <c r="A17364" i="1"/>
  <c r="B17364" i="1"/>
  <c r="C17364" i="1"/>
  <c r="D17364" i="1"/>
  <c r="E17364" i="1"/>
  <c r="F17364" i="1"/>
  <c r="G17364" i="1"/>
  <c r="H17364" i="1"/>
  <c r="A17365" i="1"/>
  <c r="B17365" i="1"/>
  <c r="C17365" i="1"/>
  <c r="D17365" i="1"/>
  <c r="E17365" i="1"/>
  <c r="F17365" i="1"/>
  <c r="G17365" i="1"/>
  <c r="H17365" i="1"/>
  <c r="A17366" i="1"/>
  <c r="B17366" i="1"/>
  <c r="C17366" i="1"/>
  <c r="D17366" i="1"/>
  <c r="E17366" i="1"/>
  <c r="F17366" i="1"/>
  <c r="G17366" i="1"/>
  <c r="H17366" i="1"/>
  <c r="A17367" i="1"/>
  <c r="B17367" i="1"/>
  <c r="C17367" i="1"/>
  <c r="D17367" i="1"/>
  <c r="E17367" i="1"/>
  <c r="F17367" i="1"/>
  <c r="G17367" i="1"/>
  <c r="H17367" i="1"/>
  <c r="A17368" i="1"/>
  <c r="B17368" i="1"/>
  <c r="C17368" i="1"/>
  <c r="D17368" i="1"/>
  <c r="E17368" i="1"/>
  <c r="F17368" i="1"/>
  <c r="G17368" i="1"/>
  <c r="H17368" i="1"/>
  <c r="A17369" i="1"/>
  <c r="B17369" i="1"/>
  <c r="C17369" i="1"/>
  <c r="D17369" i="1"/>
  <c r="E17369" i="1"/>
  <c r="F17369" i="1"/>
  <c r="G17369" i="1"/>
  <c r="H17369" i="1"/>
  <c r="A17370" i="1"/>
  <c r="B17370" i="1"/>
  <c r="C17370" i="1"/>
  <c r="D17370" i="1"/>
  <c r="E17370" i="1"/>
  <c r="F17370" i="1"/>
  <c r="G17370" i="1"/>
  <c r="H17370" i="1"/>
  <c r="A17371" i="1"/>
  <c r="B17371" i="1"/>
  <c r="C17371" i="1"/>
  <c r="D17371" i="1"/>
  <c r="E17371" i="1"/>
  <c r="F17371" i="1"/>
  <c r="G17371" i="1"/>
  <c r="H17371" i="1"/>
  <c r="A17372" i="1"/>
  <c r="B17372" i="1"/>
  <c r="C17372" i="1"/>
  <c r="D17372" i="1"/>
  <c r="E17372" i="1"/>
  <c r="F17372" i="1"/>
  <c r="G17372" i="1"/>
  <c r="H17372" i="1"/>
  <c r="A17373" i="1"/>
  <c r="B17373" i="1"/>
  <c r="C17373" i="1"/>
  <c r="D17373" i="1"/>
  <c r="E17373" i="1"/>
  <c r="F17373" i="1"/>
  <c r="G17373" i="1"/>
  <c r="H17373" i="1"/>
  <c r="A17374" i="1"/>
  <c r="B17374" i="1"/>
  <c r="C17374" i="1"/>
  <c r="D17374" i="1"/>
  <c r="E17374" i="1"/>
  <c r="F17374" i="1"/>
  <c r="G17374" i="1"/>
  <c r="H17374" i="1"/>
  <c r="A17375" i="1"/>
  <c r="B17375" i="1"/>
  <c r="C17375" i="1"/>
  <c r="D17375" i="1"/>
  <c r="E17375" i="1"/>
  <c r="F17375" i="1"/>
  <c r="G17375" i="1"/>
  <c r="H17375" i="1"/>
  <c r="A17376" i="1"/>
  <c r="B17376" i="1"/>
  <c r="C17376" i="1"/>
  <c r="D17376" i="1"/>
  <c r="E17376" i="1"/>
  <c r="F17376" i="1"/>
  <c r="G17376" i="1"/>
  <c r="H17376" i="1"/>
  <c r="A17377" i="1"/>
  <c r="B17377" i="1"/>
  <c r="C17377" i="1"/>
  <c r="D17377" i="1"/>
  <c r="E17377" i="1"/>
  <c r="F17377" i="1"/>
  <c r="G17377" i="1"/>
  <c r="H17377" i="1"/>
  <c r="A17378" i="1"/>
  <c r="B17378" i="1"/>
  <c r="C17378" i="1"/>
  <c r="D17378" i="1"/>
  <c r="E17378" i="1"/>
  <c r="F17378" i="1"/>
  <c r="G17378" i="1"/>
  <c r="H17378" i="1"/>
  <c r="A17379" i="1"/>
  <c r="B17379" i="1"/>
  <c r="C17379" i="1"/>
  <c r="D17379" i="1"/>
  <c r="E17379" i="1"/>
  <c r="F17379" i="1"/>
  <c r="G17379" i="1"/>
  <c r="H17379" i="1"/>
  <c r="A17380" i="1"/>
  <c r="B17380" i="1"/>
  <c r="C17380" i="1"/>
  <c r="D17380" i="1"/>
  <c r="E17380" i="1"/>
  <c r="F17380" i="1"/>
  <c r="G17380" i="1"/>
  <c r="H17380" i="1"/>
  <c r="A17381" i="1"/>
  <c r="B17381" i="1"/>
  <c r="C17381" i="1"/>
  <c r="D17381" i="1"/>
  <c r="E17381" i="1"/>
  <c r="F17381" i="1"/>
  <c r="G17381" i="1"/>
  <c r="H17381" i="1"/>
  <c r="A17382" i="1"/>
  <c r="B17382" i="1"/>
  <c r="C17382" i="1"/>
  <c r="D17382" i="1"/>
  <c r="E17382" i="1"/>
  <c r="F17382" i="1"/>
  <c r="G17382" i="1"/>
  <c r="H17382" i="1"/>
  <c r="A17383" i="1"/>
  <c r="B17383" i="1"/>
  <c r="C17383" i="1"/>
  <c r="D17383" i="1"/>
  <c r="E17383" i="1"/>
  <c r="F17383" i="1"/>
  <c r="G17383" i="1"/>
  <c r="H17383" i="1"/>
  <c r="A17384" i="1"/>
  <c r="B17384" i="1"/>
  <c r="C17384" i="1"/>
  <c r="D17384" i="1"/>
  <c r="E17384" i="1"/>
  <c r="F17384" i="1"/>
  <c r="G17384" i="1"/>
  <c r="H17384" i="1"/>
  <c r="A17385" i="1"/>
  <c r="B17385" i="1"/>
  <c r="C17385" i="1"/>
  <c r="D17385" i="1"/>
  <c r="E17385" i="1"/>
  <c r="F17385" i="1"/>
  <c r="G17385" i="1"/>
  <c r="H17385" i="1"/>
  <c r="A17386" i="1"/>
  <c r="B17386" i="1"/>
  <c r="C17386" i="1"/>
  <c r="D17386" i="1"/>
  <c r="E17386" i="1"/>
  <c r="F17386" i="1"/>
  <c r="G17386" i="1"/>
  <c r="H17386" i="1"/>
  <c r="A17387" i="1"/>
  <c r="B17387" i="1"/>
  <c r="C17387" i="1"/>
  <c r="D17387" i="1"/>
  <c r="E17387" i="1"/>
  <c r="F17387" i="1"/>
  <c r="G17387" i="1"/>
  <c r="H17387" i="1"/>
  <c r="A17388" i="1"/>
  <c r="B17388" i="1"/>
  <c r="C17388" i="1"/>
  <c r="D17388" i="1"/>
  <c r="E17388" i="1"/>
  <c r="F17388" i="1"/>
  <c r="G17388" i="1"/>
  <c r="H17388" i="1"/>
  <c r="A17389" i="1"/>
  <c r="B17389" i="1"/>
  <c r="C17389" i="1"/>
  <c r="D17389" i="1"/>
  <c r="E17389" i="1"/>
  <c r="F17389" i="1"/>
  <c r="G17389" i="1"/>
  <c r="H17389" i="1"/>
  <c r="A17390" i="1"/>
  <c r="B17390" i="1"/>
  <c r="C17390" i="1"/>
  <c r="D17390" i="1"/>
  <c r="E17390" i="1"/>
  <c r="F17390" i="1"/>
  <c r="G17390" i="1"/>
  <c r="H17390" i="1"/>
  <c r="A17391" i="1"/>
  <c r="B17391" i="1"/>
  <c r="C17391" i="1"/>
  <c r="D17391" i="1"/>
  <c r="E17391" i="1"/>
  <c r="F17391" i="1"/>
  <c r="G17391" i="1"/>
  <c r="H17391" i="1"/>
  <c r="A17392" i="1"/>
  <c r="B17392" i="1"/>
  <c r="C17392" i="1"/>
  <c r="D17392" i="1"/>
  <c r="E17392" i="1"/>
  <c r="F17392" i="1"/>
  <c r="G17392" i="1"/>
  <c r="H17392" i="1"/>
  <c r="A17393" i="1"/>
  <c r="B17393" i="1"/>
  <c r="C17393" i="1"/>
  <c r="D17393" i="1"/>
  <c r="E17393" i="1"/>
  <c r="F17393" i="1"/>
  <c r="G17393" i="1"/>
  <c r="H17393" i="1"/>
  <c r="A17394" i="1"/>
  <c r="B17394" i="1"/>
  <c r="C17394" i="1"/>
  <c r="D17394" i="1"/>
  <c r="E17394" i="1"/>
  <c r="F17394" i="1"/>
  <c r="G17394" i="1"/>
  <c r="H17394" i="1"/>
  <c r="A17395" i="1"/>
  <c r="B17395" i="1"/>
  <c r="C17395" i="1"/>
  <c r="D17395" i="1"/>
  <c r="E17395" i="1"/>
  <c r="F17395" i="1"/>
  <c r="G17395" i="1"/>
  <c r="H17395" i="1"/>
  <c r="A17396" i="1"/>
  <c r="B17396" i="1"/>
  <c r="C17396" i="1"/>
  <c r="D17396" i="1"/>
  <c r="E17396" i="1"/>
  <c r="F17396" i="1"/>
  <c r="G17396" i="1"/>
  <c r="H17396" i="1"/>
  <c r="A17397" i="1"/>
  <c r="B17397" i="1"/>
  <c r="C17397" i="1"/>
  <c r="D17397" i="1"/>
  <c r="E17397" i="1"/>
  <c r="F17397" i="1"/>
  <c r="G17397" i="1"/>
  <c r="H17397" i="1"/>
  <c r="A17398" i="1"/>
  <c r="B17398" i="1"/>
  <c r="C17398" i="1"/>
  <c r="D17398" i="1"/>
  <c r="E17398" i="1"/>
  <c r="F17398" i="1"/>
  <c r="G17398" i="1"/>
  <c r="H17398" i="1"/>
  <c r="A17399" i="1"/>
  <c r="B17399" i="1"/>
  <c r="C17399" i="1"/>
  <c r="D17399" i="1"/>
  <c r="E17399" i="1"/>
  <c r="F17399" i="1"/>
  <c r="G17399" i="1"/>
  <c r="H17399" i="1"/>
  <c r="A17400" i="1"/>
  <c r="B17400" i="1"/>
  <c r="C17400" i="1"/>
  <c r="D17400" i="1"/>
  <c r="E17400" i="1"/>
  <c r="F17400" i="1"/>
  <c r="G17400" i="1"/>
  <c r="H17400" i="1"/>
  <c r="A17401" i="1"/>
  <c r="B17401" i="1"/>
  <c r="C17401" i="1"/>
  <c r="D17401" i="1"/>
  <c r="E17401" i="1"/>
  <c r="F17401" i="1"/>
  <c r="G17401" i="1"/>
  <c r="H17401" i="1"/>
  <c r="A17402" i="1"/>
  <c r="B17402" i="1"/>
  <c r="C17402" i="1"/>
  <c r="D17402" i="1"/>
  <c r="E17402" i="1"/>
  <c r="F17402" i="1"/>
  <c r="G17402" i="1"/>
  <c r="H17402" i="1"/>
  <c r="A17403" i="1"/>
  <c r="B17403" i="1"/>
  <c r="C17403" i="1"/>
  <c r="D17403" i="1"/>
  <c r="E17403" i="1"/>
  <c r="F17403" i="1"/>
  <c r="G17403" i="1"/>
  <c r="H17403" i="1"/>
  <c r="A17404" i="1"/>
  <c r="B17404" i="1"/>
  <c r="C17404" i="1"/>
  <c r="D17404" i="1"/>
  <c r="E17404" i="1"/>
  <c r="F17404" i="1"/>
  <c r="G17404" i="1"/>
  <c r="H17404" i="1"/>
  <c r="A17405" i="1"/>
  <c r="B17405" i="1"/>
  <c r="C17405" i="1"/>
  <c r="D17405" i="1"/>
  <c r="E17405" i="1"/>
  <c r="F17405" i="1"/>
  <c r="G17405" i="1"/>
  <c r="H17405" i="1"/>
  <c r="A17406" i="1"/>
  <c r="B17406" i="1"/>
  <c r="C17406" i="1"/>
  <c r="D17406" i="1"/>
  <c r="E17406" i="1"/>
  <c r="F17406" i="1"/>
  <c r="G17406" i="1"/>
  <c r="H17406" i="1"/>
  <c r="A17407" i="1"/>
  <c r="B17407" i="1"/>
  <c r="C17407" i="1"/>
  <c r="D17407" i="1"/>
  <c r="E17407" i="1"/>
  <c r="F17407" i="1"/>
  <c r="G17407" i="1"/>
  <c r="H17407" i="1"/>
  <c r="A17408" i="1"/>
  <c r="B17408" i="1"/>
  <c r="C17408" i="1"/>
  <c r="D17408" i="1"/>
  <c r="E17408" i="1"/>
  <c r="F17408" i="1"/>
  <c r="G17408" i="1"/>
  <c r="H17408" i="1"/>
  <c r="A17409" i="1"/>
  <c r="B17409" i="1"/>
  <c r="C17409" i="1"/>
  <c r="D17409" i="1"/>
  <c r="E17409" i="1"/>
  <c r="F17409" i="1"/>
  <c r="G17409" i="1"/>
  <c r="H17409" i="1"/>
  <c r="A17410" i="1"/>
  <c r="B17410" i="1"/>
  <c r="C17410" i="1"/>
  <c r="D17410" i="1"/>
  <c r="E17410" i="1"/>
  <c r="F17410" i="1"/>
  <c r="G17410" i="1"/>
  <c r="H17410" i="1"/>
  <c r="A17411" i="1"/>
  <c r="B17411" i="1"/>
  <c r="C17411" i="1"/>
  <c r="D17411" i="1"/>
  <c r="E17411" i="1"/>
  <c r="F17411" i="1"/>
  <c r="G17411" i="1"/>
  <c r="H17411" i="1"/>
  <c r="A17412" i="1"/>
  <c r="B17412" i="1"/>
  <c r="C17412" i="1"/>
  <c r="D17412" i="1"/>
  <c r="E17412" i="1"/>
  <c r="F17412" i="1"/>
  <c r="G17412" i="1"/>
  <c r="H17412" i="1"/>
  <c r="A17413" i="1"/>
  <c r="B17413" i="1"/>
  <c r="C17413" i="1"/>
  <c r="D17413" i="1"/>
  <c r="E17413" i="1"/>
  <c r="F17413" i="1"/>
  <c r="G17413" i="1"/>
  <c r="H17413" i="1"/>
  <c r="A17414" i="1"/>
  <c r="B17414" i="1"/>
  <c r="C17414" i="1"/>
  <c r="D17414" i="1"/>
  <c r="E17414" i="1"/>
  <c r="F17414" i="1"/>
  <c r="G17414" i="1"/>
  <c r="H17414" i="1"/>
  <c r="A17415" i="1"/>
  <c r="B17415" i="1"/>
  <c r="C17415" i="1"/>
  <c r="D17415" i="1"/>
  <c r="E17415" i="1"/>
  <c r="F17415" i="1"/>
  <c r="G17415" i="1"/>
  <c r="H17415" i="1"/>
  <c r="A17416" i="1"/>
  <c r="B17416" i="1"/>
  <c r="C17416" i="1"/>
  <c r="D17416" i="1"/>
  <c r="E17416" i="1"/>
  <c r="F17416" i="1"/>
  <c r="G17416" i="1"/>
  <c r="H17416" i="1"/>
  <c r="A17417" i="1"/>
  <c r="B17417" i="1"/>
  <c r="C17417" i="1"/>
  <c r="D17417" i="1"/>
  <c r="E17417" i="1"/>
  <c r="F17417" i="1"/>
  <c r="G17417" i="1"/>
  <c r="H17417" i="1"/>
  <c r="A17418" i="1"/>
  <c r="B17418" i="1"/>
  <c r="C17418" i="1"/>
  <c r="D17418" i="1"/>
  <c r="E17418" i="1"/>
  <c r="F17418" i="1"/>
  <c r="G17418" i="1"/>
  <c r="H17418" i="1"/>
  <c r="A17419" i="1"/>
  <c r="B17419" i="1"/>
  <c r="C17419" i="1"/>
  <c r="D17419" i="1"/>
  <c r="E17419" i="1"/>
  <c r="F17419" i="1"/>
  <c r="G17419" i="1"/>
  <c r="H17419" i="1"/>
  <c r="A17420" i="1"/>
  <c r="B17420" i="1"/>
  <c r="C17420" i="1"/>
  <c r="D17420" i="1"/>
  <c r="E17420" i="1"/>
  <c r="F17420" i="1"/>
  <c r="G17420" i="1"/>
  <c r="H17420" i="1"/>
  <c r="A17421" i="1"/>
  <c r="B17421" i="1"/>
  <c r="C17421" i="1"/>
  <c r="D17421" i="1"/>
  <c r="E17421" i="1"/>
  <c r="F17421" i="1"/>
  <c r="G17421" i="1"/>
  <c r="H17421" i="1"/>
  <c r="A17422" i="1"/>
  <c r="B17422" i="1"/>
  <c r="C17422" i="1"/>
  <c r="D17422" i="1"/>
  <c r="E17422" i="1"/>
  <c r="F17422" i="1"/>
  <c r="G17422" i="1"/>
  <c r="H17422" i="1"/>
  <c r="A17423" i="1"/>
  <c r="B17423" i="1"/>
  <c r="C17423" i="1"/>
  <c r="D17423" i="1"/>
  <c r="E17423" i="1"/>
  <c r="F17423" i="1"/>
  <c r="G17423" i="1"/>
  <c r="H17423" i="1"/>
  <c r="A17424" i="1"/>
  <c r="B17424" i="1"/>
  <c r="C17424" i="1"/>
  <c r="D17424" i="1"/>
  <c r="E17424" i="1"/>
  <c r="F17424" i="1"/>
  <c r="G17424" i="1"/>
  <c r="H17424" i="1"/>
  <c r="A17425" i="1"/>
  <c r="B17425" i="1"/>
  <c r="C17425" i="1"/>
  <c r="D17425" i="1"/>
  <c r="E17425" i="1"/>
  <c r="F17425" i="1"/>
  <c r="G17425" i="1"/>
  <c r="H17425" i="1"/>
  <c r="A17426" i="1"/>
  <c r="B17426" i="1"/>
  <c r="C17426" i="1"/>
  <c r="D17426" i="1"/>
  <c r="E17426" i="1"/>
  <c r="F17426" i="1"/>
  <c r="G17426" i="1"/>
  <c r="H17426" i="1"/>
  <c r="A17427" i="1"/>
  <c r="B17427" i="1"/>
  <c r="C17427" i="1"/>
  <c r="D17427" i="1"/>
  <c r="E17427" i="1"/>
  <c r="F17427" i="1"/>
  <c r="G17427" i="1"/>
  <c r="H17427" i="1"/>
  <c r="A17428" i="1"/>
  <c r="B17428" i="1"/>
  <c r="C17428" i="1"/>
  <c r="D17428" i="1"/>
  <c r="E17428" i="1"/>
  <c r="F17428" i="1"/>
  <c r="G17428" i="1"/>
  <c r="H17428" i="1"/>
  <c r="A17429" i="1"/>
  <c r="B17429" i="1"/>
  <c r="C17429" i="1"/>
  <c r="D17429" i="1"/>
  <c r="E17429" i="1"/>
  <c r="F17429" i="1"/>
  <c r="G17429" i="1"/>
  <c r="H17429" i="1"/>
  <c r="A17430" i="1"/>
  <c r="B17430" i="1"/>
  <c r="C17430" i="1"/>
  <c r="D17430" i="1"/>
  <c r="E17430" i="1"/>
  <c r="F17430" i="1"/>
  <c r="G17430" i="1"/>
  <c r="H17430" i="1"/>
  <c r="A17431" i="1"/>
  <c r="B17431" i="1"/>
  <c r="C17431" i="1"/>
  <c r="D17431" i="1"/>
  <c r="E17431" i="1"/>
  <c r="F17431" i="1"/>
  <c r="G17431" i="1"/>
  <c r="H17431" i="1"/>
  <c r="A17432" i="1"/>
  <c r="B17432" i="1"/>
  <c r="C17432" i="1"/>
  <c r="D17432" i="1"/>
  <c r="E17432" i="1"/>
  <c r="F17432" i="1"/>
  <c r="G17432" i="1"/>
  <c r="H17432" i="1"/>
  <c r="A17433" i="1"/>
  <c r="B17433" i="1"/>
  <c r="C17433" i="1"/>
  <c r="D17433" i="1"/>
  <c r="E17433" i="1"/>
  <c r="F17433" i="1"/>
  <c r="G17433" i="1"/>
  <c r="H17433" i="1"/>
  <c r="A17434" i="1"/>
  <c r="B17434" i="1"/>
  <c r="C17434" i="1"/>
  <c r="D17434" i="1"/>
  <c r="E17434" i="1"/>
  <c r="F17434" i="1"/>
  <c r="G17434" i="1"/>
  <c r="H17434" i="1"/>
  <c r="A17435" i="1"/>
  <c r="B17435" i="1"/>
  <c r="C17435" i="1"/>
  <c r="D17435" i="1"/>
  <c r="E17435" i="1"/>
  <c r="F17435" i="1"/>
  <c r="G17435" i="1"/>
  <c r="H17435" i="1"/>
  <c r="A17436" i="1"/>
  <c r="B17436" i="1"/>
  <c r="C17436" i="1"/>
  <c r="D17436" i="1"/>
  <c r="E17436" i="1"/>
  <c r="F17436" i="1"/>
  <c r="G17436" i="1"/>
  <c r="H17436" i="1"/>
  <c r="A17437" i="1"/>
  <c r="B17437" i="1"/>
  <c r="C17437" i="1"/>
  <c r="D17437" i="1"/>
  <c r="E17437" i="1"/>
  <c r="F17437" i="1"/>
  <c r="G17437" i="1"/>
  <c r="H17437" i="1"/>
  <c r="A17438" i="1"/>
  <c r="B17438" i="1"/>
  <c r="C17438" i="1"/>
  <c r="D17438" i="1"/>
  <c r="E17438" i="1"/>
  <c r="F17438" i="1"/>
  <c r="G17438" i="1"/>
  <c r="H17438" i="1"/>
  <c r="A17439" i="1"/>
  <c r="B17439" i="1"/>
  <c r="C17439" i="1"/>
  <c r="D17439" i="1"/>
  <c r="E17439" i="1"/>
  <c r="F17439" i="1"/>
  <c r="G17439" i="1"/>
  <c r="H17439" i="1"/>
  <c r="A17440" i="1"/>
  <c r="B17440" i="1"/>
  <c r="C17440" i="1"/>
  <c r="D17440" i="1"/>
  <c r="E17440" i="1"/>
  <c r="F17440" i="1"/>
  <c r="G17440" i="1"/>
  <c r="H17440" i="1"/>
  <c r="A17441" i="1"/>
  <c r="B17441" i="1"/>
  <c r="C17441" i="1"/>
  <c r="D17441" i="1"/>
  <c r="E17441" i="1"/>
  <c r="F17441" i="1"/>
  <c r="G17441" i="1"/>
  <c r="H17441" i="1"/>
  <c r="A17442" i="1"/>
  <c r="B17442" i="1"/>
  <c r="C17442" i="1"/>
  <c r="D17442" i="1"/>
  <c r="E17442" i="1"/>
  <c r="F17442" i="1"/>
  <c r="G17442" i="1"/>
  <c r="H17442" i="1"/>
  <c r="A17443" i="1"/>
  <c r="B17443" i="1"/>
  <c r="C17443" i="1"/>
  <c r="D17443" i="1"/>
  <c r="E17443" i="1"/>
  <c r="F17443" i="1"/>
  <c r="G17443" i="1"/>
  <c r="H17443" i="1"/>
  <c r="A17444" i="1"/>
  <c r="B17444" i="1"/>
  <c r="C17444" i="1"/>
  <c r="D17444" i="1"/>
  <c r="E17444" i="1"/>
  <c r="F17444" i="1"/>
  <c r="G17444" i="1"/>
  <c r="H17444" i="1"/>
  <c r="A17445" i="1"/>
  <c r="B17445" i="1"/>
  <c r="C17445" i="1"/>
  <c r="D17445" i="1"/>
  <c r="E17445" i="1"/>
  <c r="F17445" i="1"/>
  <c r="G17445" i="1"/>
  <c r="H17445" i="1"/>
  <c r="A17446" i="1"/>
  <c r="B17446" i="1"/>
  <c r="C17446" i="1"/>
  <c r="D17446" i="1"/>
  <c r="E17446" i="1"/>
  <c r="F17446" i="1"/>
  <c r="G17446" i="1"/>
  <c r="H17446" i="1"/>
  <c r="A17447" i="1"/>
  <c r="B17447" i="1"/>
  <c r="C17447" i="1"/>
  <c r="D17447" i="1"/>
  <c r="E17447" i="1"/>
  <c r="F17447" i="1"/>
  <c r="G17447" i="1"/>
  <c r="H17447" i="1"/>
  <c r="A17448" i="1"/>
  <c r="B17448" i="1"/>
  <c r="C17448" i="1"/>
  <c r="D17448" i="1"/>
  <c r="E17448" i="1"/>
  <c r="F17448" i="1"/>
  <c r="G17448" i="1"/>
  <c r="H17448" i="1"/>
  <c r="A17449" i="1"/>
  <c r="B17449" i="1"/>
  <c r="C17449" i="1"/>
  <c r="D17449" i="1"/>
  <c r="E17449" i="1"/>
  <c r="F17449" i="1"/>
  <c r="G17449" i="1"/>
  <c r="H17449" i="1"/>
  <c r="A17450" i="1"/>
  <c r="B17450" i="1"/>
  <c r="C17450" i="1"/>
  <c r="D17450" i="1"/>
  <c r="E17450" i="1"/>
  <c r="F17450" i="1"/>
  <c r="G17450" i="1"/>
  <c r="H17450" i="1"/>
  <c r="A17451" i="1"/>
  <c r="B17451" i="1"/>
  <c r="C17451" i="1"/>
  <c r="D17451" i="1"/>
  <c r="E17451" i="1"/>
  <c r="F17451" i="1"/>
  <c r="G17451" i="1"/>
  <c r="H17451" i="1"/>
  <c r="A17452" i="1"/>
  <c r="B17452" i="1"/>
  <c r="C17452" i="1"/>
  <c r="D17452" i="1"/>
  <c r="E17452" i="1"/>
  <c r="F17452" i="1"/>
  <c r="G17452" i="1"/>
  <c r="H17452" i="1"/>
  <c r="A17453" i="1"/>
  <c r="B17453" i="1"/>
  <c r="C17453" i="1"/>
  <c r="D17453" i="1"/>
  <c r="E17453" i="1"/>
  <c r="F17453" i="1"/>
  <c r="G17453" i="1"/>
  <c r="H17453" i="1"/>
  <c r="A17454" i="1"/>
  <c r="B17454" i="1"/>
  <c r="C17454" i="1"/>
  <c r="D17454" i="1"/>
  <c r="E17454" i="1"/>
  <c r="F17454" i="1"/>
  <c r="G17454" i="1"/>
  <c r="H17454" i="1"/>
  <c r="A17455" i="1"/>
  <c r="B17455" i="1"/>
  <c r="C17455" i="1"/>
  <c r="D17455" i="1"/>
  <c r="E17455" i="1"/>
  <c r="F17455" i="1"/>
  <c r="G17455" i="1"/>
  <c r="H17455" i="1"/>
  <c r="A17456" i="1"/>
  <c r="B17456" i="1"/>
  <c r="C17456" i="1"/>
  <c r="D17456" i="1"/>
  <c r="E17456" i="1"/>
  <c r="F17456" i="1"/>
  <c r="G17456" i="1"/>
  <c r="H17456" i="1"/>
  <c r="A17457" i="1"/>
  <c r="B17457" i="1"/>
  <c r="C17457" i="1"/>
  <c r="D17457" i="1"/>
  <c r="E17457" i="1"/>
  <c r="F17457" i="1"/>
  <c r="G17457" i="1"/>
  <c r="H17457" i="1"/>
  <c r="A17458" i="1"/>
  <c r="B17458" i="1"/>
  <c r="C17458" i="1"/>
  <c r="D17458" i="1"/>
  <c r="E17458" i="1"/>
  <c r="F17458" i="1"/>
  <c r="G17458" i="1"/>
  <c r="H17458" i="1"/>
  <c r="A17459" i="1"/>
  <c r="B17459" i="1"/>
  <c r="C17459" i="1"/>
  <c r="D17459" i="1"/>
  <c r="E17459" i="1"/>
  <c r="F17459" i="1"/>
  <c r="G17459" i="1"/>
  <c r="H17459" i="1"/>
  <c r="A17460" i="1"/>
  <c r="B17460" i="1"/>
  <c r="C17460" i="1"/>
  <c r="D17460" i="1"/>
  <c r="E17460" i="1"/>
  <c r="F17460" i="1"/>
  <c r="G17460" i="1"/>
  <c r="H17460" i="1"/>
  <c r="A17461" i="1"/>
  <c r="B17461" i="1"/>
  <c r="C17461" i="1"/>
  <c r="D17461" i="1"/>
  <c r="E17461" i="1"/>
  <c r="F17461" i="1"/>
  <c r="G17461" i="1"/>
  <c r="H17461" i="1"/>
  <c r="A17462" i="1"/>
  <c r="B17462" i="1"/>
  <c r="C17462" i="1"/>
  <c r="D17462" i="1"/>
  <c r="E17462" i="1"/>
  <c r="F17462" i="1"/>
  <c r="G17462" i="1"/>
  <c r="H17462" i="1"/>
  <c r="A17463" i="1"/>
  <c r="B17463" i="1"/>
  <c r="C17463" i="1"/>
  <c r="D17463" i="1"/>
  <c r="E17463" i="1"/>
  <c r="F17463" i="1"/>
  <c r="G17463" i="1"/>
  <c r="H17463" i="1"/>
  <c r="A17464" i="1"/>
  <c r="B17464" i="1"/>
  <c r="C17464" i="1"/>
  <c r="D17464" i="1"/>
  <c r="E17464" i="1"/>
  <c r="F17464" i="1"/>
  <c r="G17464" i="1"/>
  <c r="H17464" i="1"/>
  <c r="A17465" i="1"/>
  <c r="B17465" i="1"/>
  <c r="C17465" i="1"/>
  <c r="D17465" i="1"/>
  <c r="E17465" i="1"/>
  <c r="F17465" i="1"/>
  <c r="G17465" i="1"/>
  <c r="H17465" i="1"/>
  <c r="A17466" i="1"/>
  <c r="B17466" i="1"/>
  <c r="C17466" i="1"/>
  <c r="D17466" i="1"/>
  <c r="E17466" i="1"/>
  <c r="F17466" i="1"/>
  <c r="G17466" i="1"/>
  <c r="H17466" i="1"/>
  <c r="A17467" i="1"/>
  <c r="B17467" i="1"/>
  <c r="C17467" i="1"/>
  <c r="D17467" i="1"/>
  <c r="E17467" i="1"/>
  <c r="F17467" i="1"/>
  <c r="G17467" i="1"/>
  <c r="H17467" i="1"/>
  <c r="A17468" i="1"/>
  <c r="B17468" i="1"/>
  <c r="C17468" i="1"/>
  <c r="D17468" i="1"/>
  <c r="E17468" i="1"/>
  <c r="F17468" i="1"/>
  <c r="G17468" i="1"/>
  <c r="H17468" i="1"/>
  <c r="A17469" i="1"/>
  <c r="B17469" i="1"/>
  <c r="C17469" i="1"/>
  <c r="D17469" i="1"/>
  <c r="E17469" i="1"/>
  <c r="F17469" i="1"/>
  <c r="G17469" i="1"/>
  <c r="H17469" i="1"/>
  <c r="A17470" i="1"/>
  <c r="B17470" i="1"/>
  <c r="C17470" i="1"/>
  <c r="D17470" i="1"/>
  <c r="E17470" i="1"/>
  <c r="F17470" i="1"/>
  <c r="G17470" i="1"/>
  <c r="H17470" i="1"/>
  <c r="A17471" i="1"/>
  <c r="B17471" i="1"/>
  <c r="C17471" i="1"/>
  <c r="D17471" i="1"/>
  <c r="E17471" i="1"/>
  <c r="F17471" i="1"/>
  <c r="G17471" i="1"/>
  <c r="H17471" i="1"/>
  <c r="A17472" i="1"/>
  <c r="B17472" i="1"/>
  <c r="C17472" i="1"/>
  <c r="D17472" i="1"/>
  <c r="E17472" i="1"/>
  <c r="F17472" i="1"/>
  <c r="G17472" i="1"/>
  <c r="H17472" i="1"/>
  <c r="A17473" i="1"/>
  <c r="B17473" i="1"/>
  <c r="C17473" i="1"/>
  <c r="D17473" i="1"/>
  <c r="E17473" i="1"/>
  <c r="F17473" i="1"/>
  <c r="G17473" i="1"/>
  <c r="H17473" i="1"/>
  <c r="A17474" i="1"/>
  <c r="B17474" i="1"/>
  <c r="C17474" i="1"/>
  <c r="D17474" i="1"/>
  <c r="E17474" i="1"/>
  <c r="F17474" i="1"/>
  <c r="G17474" i="1"/>
  <c r="H17474" i="1"/>
  <c r="A17475" i="1"/>
  <c r="B17475" i="1"/>
  <c r="C17475" i="1"/>
  <c r="D17475" i="1"/>
  <c r="E17475" i="1"/>
  <c r="F17475" i="1"/>
  <c r="G17475" i="1"/>
  <c r="H17475" i="1"/>
  <c r="A17476" i="1"/>
  <c r="B17476" i="1"/>
  <c r="C17476" i="1"/>
  <c r="D17476" i="1"/>
  <c r="E17476" i="1"/>
  <c r="F17476" i="1"/>
  <c r="G17476" i="1"/>
  <c r="H17476" i="1"/>
  <c r="A17477" i="1"/>
  <c r="B17477" i="1"/>
  <c r="C17477" i="1"/>
  <c r="D17477" i="1"/>
  <c r="E17477" i="1"/>
  <c r="F17477" i="1"/>
  <c r="G17477" i="1"/>
  <c r="H17477" i="1"/>
  <c r="A17478" i="1"/>
  <c r="B17478" i="1"/>
  <c r="C17478" i="1"/>
  <c r="D17478" i="1"/>
  <c r="E17478" i="1"/>
  <c r="F17478" i="1"/>
  <c r="G17478" i="1"/>
  <c r="H17478" i="1"/>
  <c r="A17479" i="1"/>
  <c r="B17479" i="1"/>
  <c r="C17479" i="1"/>
  <c r="D17479" i="1"/>
  <c r="E17479" i="1"/>
  <c r="F17479" i="1"/>
  <c r="G17479" i="1"/>
  <c r="H17479" i="1"/>
  <c r="A17480" i="1"/>
  <c r="B17480" i="1"/>
  <c r="C17480" i="1"/>
  <c r="D17480" i="1"/>
  <c r="E17480" i="1"/>
  <c r="F17480" i="1"/>
  <c r="G17480" i="1"/>
  <c r="H17480" i="1"/>
  <c r="A17481" i="1"/>
  <c r="B17481" i="1"/>
  <c r="C17481" i="1"/>
  <c r="D17481" i="1"/>
  <c r="E17481" i="1"/>
  <c r="F17481" i="1"/>
  <c r="G17481" i="1"/>
  <c r="H17481" i="1"/>
  <c r="A17482" i="1"/>
  <c r="B17482" i="1"/>
  <c r="C17482" i="1"/>
  <c r="D17482" i="1"/>
  <c r="E17482" i="1"/>
  <c r="F17482" i="1"/>
  <c r="G17482" i="1"/>
  <c r="H17482" i="1"/>
  <c r="A17483" i="1"/>
  <c r="B17483" i="1"/>
  <c r="C17483" i="1"/>
  <c r="D17483" i="1"/>
  <c r="E17483" i="1"/>
  <c r="F17483" i="1"/>
  <c r="G17483" i="1"/>
  <c r="H17483" i="1"/>
  <c r="A17484" i="1"/>
  <c r="B17484" i="1"/>
  <c r="C17484" i="1"/>
  <c r="D17484" i="1"/>
  <c r="E17484" i="1"/>
  <c r="F17484" i="1"/>
  <c r="G17484" i="1"/>
  <c r="H17484" i="1"/>
  <c r="A17485" i="1"/>
  <c r="B17485" i="1"/>
  <c r="C17485" i="1"/>
  <c r="D17485" i="1"/>
  <c r="E17485" i="1"/>
  <c r="F17485" i="1"/>
  <c r="G17485" i="1"/>
  <c r="H17485" i="1"/>
  <c r="A17486" i="1"/>
  <c r="B17486" i="1"/>
  <c r="C17486" i="1"/>
  <c r="D17486" i="1"/>
  <c r="E17486" i="1"/>
  <c r="F17486" i="1"/>
  <c r="G17486" i="1"/>
  <c r="H17486" i="1"/>
  <c r="A17487" i="1"/>
  <c r="B17487" i="1"/>
  <c r="C17487" i="1"/>
  <c r="D17487" i="1"/>
  <c r="E17487" i="1"/>
  <c r="F17487" i="1"/>
  <c r="G17487" i="1"/>
  <c r="H17487" i="1"/>
  <c r="A17488" i="1"/>
  <c r="B17488" i="1"/>
  <c r="C17488" i="1"/>
  <c r="D17488" i="1"/>
  <c r="E17488" i="1"/>
  <c r="F17488" i="1"/>
  <c r="G17488" i="1"/>
  <c r="H17488" i="1"/>
  <c r="A17489" i="1"/>
  <c r="B17489" i="1"/>
  <c r="C17489" i="1"/>
  <c r="D17489" i="1"/>
  <c r="E17489" i="1"/>
  <c r="F17489" i="1"/>
  <c r="G17489" i="1"/>
  <c r="H17489" i="1"/>
  <c r="A17490" i="1"/>
  <c r="B17490" i="1"/>
  <c r="C17490" i="1"/>
  <c r="D17490" i="1"/>
  <c r="E17490" i="1"/>
  <c r="F17490" i="1"/>
  <c r="G17490" i="1"/>
  <c r="H17490" i="1"/>
  <c r="A17491" i="1"/>
  <c r="B17491" i="1"/>
  <c r="C17491" i="1"/>
  <c r="D17491" i="1"/>
  <c r="E17491" i="1"/>
  <c r="F17491" i="1"/>
  <c r="G17491" i="1"/>
  <c r="H17491" i="1"/>
  <c r="A17492" i="1"/>
  <c r="B17492" i="1"/>
  <c r="C17492" i="1"/>
  <c r="D17492" i="1"/>
  <c r="E17492" i="1"/>
  <c r="F17492" i="1"/>
  <c r="G17492" i="1"/>
  <c r="H17492" i="1"/>
  <c r="A17493" i="1"/>
  <c r="B17493" i="1"/>
  <c r="C17493" i="1"/>
  <c r="D17493" i="1"/>
  <c r="E17493" i="1"/>
  <c r="F17493" i="1"/>
  <c r="G17493" i="1"/>
  <c r="H17493" i="1"/>
  <c r="A17494" i="1"/>
  <c r="B17494" i="1"/>
  <c r="C17494" i="1"/>
  <c r="D17494" i="1"/>
  <c r="E17494" i="1"/>
  <c r="F17494" i="1"/>
  <c r="G17494" i="1"/>
  <c r="H17494" i="1"/>
  <c r="A17495" i="1"/>
  <c r="B17495" i="1"/>
  <c r="C17495" i="1"/>
  <c r="D17495" i="1"/>
  <c r="E17495" i="1"/>
  <c r="F17495" i="1"/>
  <c r="G17495" i="1"/>
  <c r="H17495" i="1"/>
  <c r="A17496" i="1"/>
  <c r="B17496" i="1"/>
  <c r="C17496" i="1"/>
  <c r="D17496" i="1"/>
  <c r="E17496" i="1"/>
  <c r="F17496" i="1"/>
  <c r="G17496" i="1"/>
  <c r="H17496" i="1"/>
  <c r="A17497" i="1"/>
  <c r="B17497" i="1"/>
  <c r="C17497" i="1"/>
  <c r="D17497" i="1"/>
  <c r="E17497" i="1"/>
  <c r="F17497" i="1"/>
  <c r="G17497" i="1"/>
  <c r="H17497" i="1"/>
  <c r="A17498" i="1"/>
  <c r="B17498" i="1"/>
  <c r="C17498" i="1"/>
  <c r="D17498" i="1"/>
  <c r="E17498" i="1"/>
  <c r="F17498" i="1"/>
  <c r="G17498" i="1"/>
  <c r="H17498" i="1"/>
  <c r="A17499" i="1"/>
  <c r="B17499" i="1"/>
  <c r="C17499" i="1"/>
  <c r="D17499" i="1"/>
  <c r="E17499" i="1"/>
  <c r="F17499" i="1"/>
  <c r="G17499" i="1"/>
  <c r="H17499" i="1"/>
  <c r="A17500" i="1"/>
  <c r="B17500" i="1"/>
  <c r="C17500" i="1"/>
  <c r="D17500" i="1"/>
  <c r="E17500" i="1"/>
  <c r="F17500" i="1"/>
  <c r="G17500" i="1"/>
  <c r="H17500" i="1"/>
  <c r="A17501" i="1"/>
  <c r="B17501" i="1"/>
  <c r="C17501" i="1"/>
  <c r="D17501" i="1"/>
  <c r="E17501" i="1"/>
  <c r="F17501" i="1"/>
  <c r="G17501" i="1"/>
  <c r="H17501" i="1"/>
  <c r="A17502" i="1"/>
  <c r="B17502" i="1"/>
  <c r="C17502" i="1"/>
  <c r="D17502" i="1"/>
  <c r="E17502" i="1"/>
  <c r="F17502" i="1"/>
  <c r="G17502" i="1"/>
  <c r="H17502" i="1"/>
  <c r="A17503" i="1"/>
  <c r="B17503" i="1"/>
  <c r="C17503" i="1"/>
  <c r="D17503" i="1"/>
  <c r="E17503" i="1"/>
  <c r="F17503" i="1"/>
  <c r="G17503" i="1"/>
  <c r="H17503" i="1"/>
  <c r="A17504" i="1"/>
  <c r="B17504" i="1"/>
  <c r="C17504" i="1"/>
  <c r="D17504" i="1"/>
  <c r="E17504" i="1"/>
  <c r="F17504" i="1"/>
  <c r="G17504" i="1"/>
  <c r="H17504" i="1"/>
  <c r="A17505" i="1"/>
  <c r="B17505" i="1"/>
  <c r="C17505" i="1"/>
  <c r="D17505" i="1"/>
  <c r="E17505" i="1"/>
  <c r="F17505" i="1"/>
  <c r="G17505" i="1"/>
  <c r="H17505" i="1"/>
  <c r="A17506" i="1"/>
  <c r="B17506" i="1"/>
  <c r="C17506" i="1"/>
  <c r="D17506" i="1"/>
  <c r="E17506" i="1"/>
  <c r="F17506" i="1"/>
  <c r="G17506" i="1"/>
  <c r="H17506" i="1"/>
  <c r="A17507" i="1"/>
  <c r="B17507" i="1"/>
  <c r="C17507" i="1"/>
  <c r="D17507" i="1"/>
  <c r="E17507" i="1"/>
  <c r="F17507" i="1"/>
  <c r="G17507" i="1"/>
  <c r="H17507" i="1"/>
  <c r="A17508" i="1"/>
  <c r="B17508" i="1"/>
  <c r="C17508" i="1"/>
  <c r="D17508" i="1"/>
  <c r="E17508" i="1"/>
  <c r="F17508" i="1"/>
  <c r="G17508" i="1"/>
  <c r="H17508" i="1"/>
  <c r="A17509" i="1"/>
  <c r="B17509" i="1"/>
  <c r="C17509" i="1"/>
  <c r="D17509" i="1"/>
  <c r="E17509" i="1"/>
  <c r="F17509" i="1"/>
  <c r="G17509" i="1"/>
  <c r="H17509" i="1"/>
  <c r="A17510" i="1"/>
  <c r="B17510" i="1"/>
  <c r="C17510" i="1"/>
  <c r="D17510" i="1"/>
  <c r="E17510" i="1"/>
  <c r="F17510" i="1"/>
  <c r="G17510" i="1"/>
  <c r="H17510" i="1"/>
  <c r="A17511" i="1"/>
  <c r="B17511" i="1"/>
  <c r="C17511" i="1"/>
  <c r="D17511" i="1"/>
  <c r="E17511" i="1"/>
  <c r="F17511" i="1"/>
  <c r="G17511" i="1"/>
  <c r="H17511" i="1"/>
  <c r="A17512" i="1"/>
  <c r="B17512" i="1"/>
  <c r="C17512" i="1"/>
  <c r="D17512" i="1"/>
  <c r="E17512" i="1"/>
  <c r="F17512" i="1"/>
  <c r="G17512" i="1"/>
  <c r="H17512" i="1"/>
  <c r="A17513" i="1"/>
  <c r="B17513" i="1"/>
  <c r="C17513" i="1"/>
  <c r="D17513" i="1"/>
  <c r="E17513" i="1"/>
  <c r="F17513" i="1"/>
  <c r="G17513" i="1"/>
  <c r="H17513" i="1"/>
  <c r="A17514" i="1"/>
  <c r="B17514" i="1"/>
  <c r="C17514" i="1"/>
  <c r="D17514" i="1"/>
  <c r="E17514" i="1"/>
  <c r="F17514" i="1"/>
  <c r="G17514" i="1"/>
  <c r="H17514" i="1"/>
  <c r="A17515" i="1"/>
  <c r="B17515" i="1"/>
  <c r="C17515" i="1"/>
  <c r="D17515" i="1"/>
  <c r="E17515" i="1"/>
  <c r="F17515" i="1"/>
  <c r="G17515" i="1"/>
  <c r="H17515" i="1"/>
  <c r="A17516" i="1"/>
  <c r="B17516" i="1"/>
  <c r="C17516" i="1"/>
  <c r="D17516" i="1"/>
  <c r="E17516" i="1"/>
  <c r="F17516" i="1"/>
  <c r="G17516" i="1"/>
  <c r="H17516" i="1"/>
  <c r="A17517" i="1"/>
  <c r="B17517" i="1"/>
  <c r="C17517" i="1"/>
  <c r="D17517" i="1"/>
  <c r="E17517" i="1"/>
  <c r="F17517" i="1"/>
  <c r="G17517" i="1"/>
  <c r="H17517" i="1"/>
  <c r="A17518" i="1"/>
  <c r="B17518" i="1"/>
  <c r="C17518" i="1"/>
  <c r="D17518" i="1"/>
  <c r="E17518" i="1"/>
  <c r="F17518" i="1"/>
  <c r="G17518" i="1"/>
  <c r="H17518" i="1"/>
  <c r="A17519" i="1"/>
  <c r="B17519" i="1"/>
  <c r="C17519" i="1"/>
  <c r="D17519" i="1"/>
  <c r="E17519" i="1"/>
  <c r="F17519" i="1"/>
  <c r="G17519" i="1"/>
  <c r="H17519" i="1"/>
  <c r="A17520" i="1"/>
  <c r="B17520" i="1"/>
  <c r="C17520" i="1"/>
  <c r="D17520" i="1"/>
  <c r="E17520" i="1"/>
  <c r="F17520" i="1"/>
  <c r="G17520" i="1"/>
  <c r="H17520" i="1"/>
  <c r="A17521" i="1"/>
  <c r="B17521" i="1"/>
  <c r="C17521" i="1"/>
  <c r="D17521" i="1"/>
  <c r="E17521" i="1"/>
  <c r="F17521" i="1"/>
  <c r="G17521" i="1"/>
  <c r="H17521" i="1"/>
  <c r="A17522" i="1"/>
  <c r="B17522" i="1"/>
  <c r="C17522" i="1"/>
  <c r="D17522" i="1"/>
  <c r="E17522" i="1"/>
  <c r="F17522" i="1"/>
  <c r="G17522" i="1"/>
  <c r="H17522" i="1"/>
  <c r="A17523" i="1"/>
  <c r="B17523" i="1"/>
  <c r="C17523" i="1"/>
  <c r="D17523" i="1"/>
  <c r="E17523" i="1"/>
  <c r="F17523" i="1"/>
  <c r="G17523" i="1"/>
  <c r="H17523" i="1"/>
  <c r="A17524" i="1"/>
  <c r="B17524" i="1"/>
  <c r="C17524" i="1"/>
  <c r="D17524" i="1"/>
  <c r="E17524" i="1"/>
  <c r="F17524" i="1"/>
  <c r="G17524" i="1"/>
  <c r="H17524" i="1"/>
  <c r="A17525" i="1"/>
  <c r="B17525" i="1"/>
  <c r="C17525" i="1"/>
  <c r="D17525" i="1"/>
  <c r="E17525" i="1"/>
  <c r="F17525" i="1"/>
  <c r="G17525" i="1"/>
  <c r="H17525" i="1"/>
  <c r="A17526" i="1"/>
  <c r="B17526" i="1"/>
  <c r="C17526" i="1"/>
  <c r="D17526" i="1"/>
  <c r="E17526" i="1"/>
  <c r="F17526" i="1"/>
  <c r="G17526" i="1"/>
  <c r="H17526" i="1"/>
  <c r="A17527" i="1"/>
  <c r="B17527" i="1"/>
  <c r="C17527" i="1"/>
  <c r="D17527" i="1"/>
  <c r="E17527" i="1"/>
  <c r="F17527" i="1"/>
  <c r="G17527" i="1"/>
  <c r="H17527" i="1"/>
  <c r="A17528" i="1"/>
  <c r="B17528" i="1"/>
  <c r="C17528" i="1"/>
  <c r="D17528" i="1"/>
  <c r="E17528" i="1"/>
  <c r="F17528" i="1"/>
  <c r="G17528" i="1"/>
  <c r="H17528" i="1"/>
  <c r="A17529" i="1"/>
  <c r="B17529" i="1"/>
  <c r="C17529" i="1"/>
  <c r="D17529" i="1"/>
  <c r="E17529" i="1"/>
  <c r="F17529" i="1"/>
  <c r="G17529" i="1"/>
  <c r="H17529" i="1"/>
  <c r="A17530" i="1"/>
  <c r="B17530" i="1"/>
  <c r="C17530" i="1"/>
  <c r="D17530" i="1"/>
  <c r="E17530" i="1"/>
  <c r="F17530" i="1"/>
  <c r="G17530" i="1"/>
  <c r="H17530" i="1"/>
  <c r="A17531" i="1"/>
  <c r="B17531" i="1"/>
  <c r="C17531" i="1"/>
  <c r="D17531" i="1"/>
  <c r="E17531" i="1"/>
  <c r="F17531" i="1"/>
  <c r="G17531" i="1"/>
  <c r="H17531" i="1"/>
  <c r="A17532" i="1"/>
  <c r="B17532" i="1"/>
  <c r="C17532" i="1"/>
  <c r="D17532" i="1"/>
  <c r="E17532" i="1"/>
  <c r="F17532" i="1"/>
  <c r="G17532" i="1"/>
  <c r="H17532" i="1"/>
  <c r="A17533" i="1"/>
  <c r="B17533" i="1"/>
  <c r="C17533" i="1"/>
  <c r="D17533" i="1"/>
  <c r="E17533" i="1"/>
  <c r="F17533" i="1"/>
  <c r="G17533" i="1"/>
  <c r="H17533" i="1"/>
  <c r="A17534" i="1"/>
  <c r="B17534" i="1"/>
  <c r="C17534" i="1"/>
  <c r="D17534" i="1"/>
  <c r="E17534" i="1"/>
  <c r="F17534" i="1"/>
  <c r="G17534" i="1"/>
  <c r="H17534" i="1"/>
  <c r="A17535" i="1"/>
  <c r="B17535" i="1"/>
  <c r="C17535" i="1"/>
  <c r="D17535" i="1"/>
  <c r="E17535" i="1"/>
  <c r="F17535" i="1"/>
  <c r="G17535" i="1"/>
  <c r="H17535" i="1"/>
  <c r="A17536" i="1"/>
  <c r="B17536" i="1"/>
  <c r="C17536" i="1"/>
  <c r="D17536" i="1"/>
  <c r="E17536" i="1"/>
  <c r="F17536" i="1"/>
  <c r="G17536" i="1"/>
  <c r="H17536" i="1"/>
  <c r="A17537" i="1"/>
  <c r="B17537" i="1"/>
  <c r="C17537" i="1"/>
  <c r="D17537" i="1"/>
  <c r="E17537" i="1"/>
  <c r="F17537" i="1"/>
  <c r="G17537" i="1"/>
  <c r="H17537" i="1"/>
  <c r="A17538" i="1"/>
  <c r="B17538" i="1"/>
  <c r="C17538" i="1"/>
  <c r="D17538" i="1"/>
  <c r="E17538" i="1"/>
  <c r="F17538" i="1"/>
  <c r="G17538" i="1"/>
  <c r="H17538" i="1"/>
  <c r="A17539" i="1"/>
  <c r="B17539" i="1"/>
  <c r="C17539" i="1"/>
  <c r="D17539" i="1"/>
  <c r="E17539" i="1"/>
  <c r="F17539" i="1"/>
  <c r="G17539" i="1"/>
  <c r="H17539" i="1"/>
  <c r="A17540" i="1"/>
  <c r="B17540" i="1"/>
  <c r="C17540" i="1"/>
  <c r="D17540" i="1"/>
  <c r="E17540" i="1"/>
  <c r="F17540" i="1"/>
  <c r="G17540" i="1"/>
  <c r="H17540" i="1"/>
  <c r="A17541" i="1"/>
  <c r="B17541" i="1"/>
  <c r="C17541" i="1"/>
  <c r="D17541" i="1"/>
  <c r="E17541" i="1"/>
  <c r="F17541" i="1"/>
  <c r="G17541" i="1"/>
  <c r="H17541" i="1"/>
  <c r="A17542" i="1"/>
  <c r="B17542" i="1"/>
  <c r="C17542" i="1"/>
  <c r="D17542" i="1"/>
  <c r="E17542" i="1"/>
  <c r="F17542" i="1"/>
  <c r="G17542" i="1"/>
  <c r="H17542" i="1"/>
  <c r="A17543" i="1"/>
  <c r="B17543" i="1"/>
  <c r="C17543" i="1"/>
  <c r="D17543" i="1"/>
  <c r="E17543" i="1"/>
  <c r="F17543" i="1"/>
  <c r="G17543" i="1"/>
  <c r="H17543" i="1"/>
  <c r="A17544" i="1"/>
  <c r="B17544" i="1"/>
  <c r="C17544" i="1"/>
  <c r="D17544" i="1"/>
  <c r="E17544" i="1"/>
  <c r="F17544" i="1"/>
  <c r="G17544" i="1"/>
  <c r="H17544" i="1"/>
  <c r="A17545" i="1"/>
  <c r="B17545" i="1"/>
  <c r="C17545" i="1"/>
  <c r="D17545" i="1"/>
  <c r="E17545" i="1"/>
  <c r="F17545" i="1"/>
  <c r="G17545" i="1"/>
  <c r="H17545" i="1"/>
  <c r="A17546" i="1"/>
  <c r="B17546" i="1"/>
  <c r="C17546" i="1"/>
  <c r="D17546" i="1"/>
  <c r="E17546" i="1"/>
  <c r="F17546" i="1"/>
  <c r="G17546" i="1"/>
  <c r="H17546" i="1"/>
  <c r="A17547" i="1"/>
  <c r="B17547" i="1"/>
  <c r="C17547" i="1"/>
  <c r="D17547" i="1"/>
  <c r="E17547" i="1"/>
  <c r="F17547" i="1"/>
  <c r="G17547" i="1"/>
  <c r="H17547" i="1"/>
  <c r="A17548" i="1"/>
  <c r="B17548" i="1"/>
  <c r="C17548" i="1"/>
  <c r="D17548" i="1"/>
  <c r="E17548" i="1"/>
  <c r="F17548" i="1"/>
  <c r="G17548" i="1"/>
  <c r="H17548" i="1"/>
  <c r="A17549" i="1"/>
  <c r="B17549" i="1"/>
  <c r="C17549" i="1"/>
  <c r="D17549" i="1"/>
  <c r="E17549" i="1"/>
  <c r="F17549" i="1"/>
  <c r="G17549" i="1"/>
  <c r="H17549" i="1"/>
  <c r="A17550" i="1"/>
  <c r="B17550" i="1"/>
  <c r="C17550" i="1"/>
  <c r="D17550" i="1"/>
  <c r="E17550" i="1"/>
  <c r="F17550" i="1"/>
  <c r="G17550" i="1"/>
  <c r="H17550" i="1"/>
  <c r="A17551" i="1"/>
  <c r="B17551" i="1"/>
  <c r="C17551" i="1"/>
  <c r="D17551" i="1"/>
  <c r="E17551" i="1"/>
  <c r="F17551" i="1"/>
  <c r="G17551" i="1"/>
  <c r="H17551" i="1"/>
  <c r="A17552" i="1"/>
  <c r="B17552" i="1"/>
  <c r="C17552" i="1"/>
  <c r="D17552" i="1"/>
  <c r="E17552" i="1"/>
  <c r="F17552" i="1"/>
  <c r="G17552" i="1"/>
  <c r="H17552" i="1"/>
  <c r="A17553" i="1"/>
  <c r="B17553" i="1"/>
  <c r="C17553" i="1"/>
  <c r="D17553" i="1"/>
  <c r="E17553" i="1"/>
  <c r="F17553" i="1"/>
  <c r="G17553" i="1"/>
  <c r="H17553" i="1"/>
  <c r="A17554" i="1"/>
  <c r="B17554" i="1"/>
  <c r="C17554" i="1"/>
  <c r="D17554" i="1"/>
  <c r="E17554" i="1"/>
  <c r="F17554" i="1"/>
  <c r="G17554" i="1"/>
  <c r="H17554" i="1"/>
  <c r="A17555" i="1"/>
  <c r="B17555" i="1"/>
  <c r="C17555" i="1"/>
  <c r="D17555" i="1"/>
  <c r="E17555" i="1"/>
  <c r="F17555" i="1"/>
  <c r="G17555" i="1"/>
  <c r="H17555" i="1"/>
  <c r="A17556" i="1"/>
  <c r="B17556" i="1"/>
  <c r="C17556" i="1"/>
  <c r="D17556" i="1"/>
  <c r="E17556" i="1"/>
  <c r="F17556" i="1"/>
  <c r="G17556" i="1"/>
  <c r="H17556" i="1"/>
  <c r="A17557" i="1"/>
  <c r="B17557" i="1"/>
  <c r="C17557" i="1"/>
  <c r="D17557" i="1"/>
  <c r="E17557" i="1"/>
  <c r="F17557" i="1"/>
  <c r="G17557" i="1"/>
  <c r="H17557" i="1"/>
  <c r="A17558" i="1"/>
  <c r="B17558" i="1"/>
  <c r="C17558" i="1"/>
  <c r="D17558" i="1"/>
  <c r="E17558" i="1"/>
  <c r="F17558" i="1"/>
  <c r="G17558" i="1"/>
  <c r="H17558" i="1"/>
  <c r="A17559" i="1"/>
  <c r="B17559" i="1"/>
  <c r="C17559" i="1"/>
  <c r="D17559" i="1"/>
  <c r="E17559" i="1"/>
  <c r="F17559" i="1"/>
  <c r="G17559" i="1"/>
  <c r="H17559" i="1"/>
  <c r="A17560" i="1"/>
  <c r="B17560" i="1"/>
  <c r="C17560" i="1"/>
  <c r="D17560" i="1"/>
  <c r="E17560" i="1"/>
  <c r="F17560" i="1"/>
  <c r="G17560" i="1"/>
  <c r="H17560" i="1"/>
  <c r="A17561" i="1"/>
  <c r="B17561" i="1"/>
  <c r="C17561" i="1"/>
  <c r="D17561" i="1"/>
  <c r="E17561" i="1"/>
  <c r="F17561" i="1"/>
  <c r="G17561" i="1"/>
  <c r="H17561" i="1"/>
  <c r="A17562" i="1"/>
  <c r="B17562" i="1"/>
  <c r="C17562" i="1"/>
  <c r="D17562" i="1"/>
  <c r="E17562" i="1"/>
  <c r="F17562" i="1"/>
  <c r="G17562" i="1"/>
  <c r="H17562" i="1"/>
  <c r="A17563" i="1"/>
  <c r="B17563" i="1"/>
  <c r="C17563" i="1"/>
  <c r="D17563" i="1"/>
  <c r="E17563" i="1"/>
  <c r="F17563" i="1"/>
  <c r="G17563" i="1"/>
  <c r="H17563" i="1"/>
  <c r="A17564" i="1"/>
  <c r="B17564" i="1"/>
  <c r="C17564" i="1"/>
  <c r="D17564" i="1"/>
  <c r="E17564" i="1"/>
  <c r="F17564" i="1"/>
  <c r="G17564" i="1"/>
  <c r="H17564" i="1"/>
  <c r="A17565" i="1"/>
  <c r="B17565" i="1"/>
  <c r="C17565" i="1"/>
  <c r="D17565" i="1"/>
  <c r="E17565" i="1"/>
  <c r="F17565" i="1"/>
  <c r="G17565" i="1"/>
  <c r="H17565" i="1"/>
  <c r="A17566" i="1"/>
  <c r="B17566" i="1"/>
  <c r="C17566" i="1"/>
  <c r="D17566" i="1"/>
  <c r="E17566" i="1"/>
  <c r="F17566" i="1"/>
  <c r="G17566" i="1"/>
  <c r="H17566" i="1"/>
  <c r="A17567" i="1"/>
  <c r="B17567" i="1"/>
  <c r="C17567" i="1"/>
  <c r="D17567" i="1"/>
  <c r="E17567" i="1"/>
  <c r="F17567" i="1"/>
  <c r="G17567" i="1"/>
  <c r="H17567" i="1"/>
  <c r="A17568" i="1"/>
  <c r="B17568" i="1"/>
  <c r="C17568" i="1"/>
  <c r="D17568" i="1"/>
  <c r="E17568" i="1"/>
  <c r="F17568" i="1"/>
  <c r="G17568" i="1"/>
  <c r="H17568" i="1"/>
  <c r="A17569" i="1"/>
  <c r="B17569" i="1"/>
  <c r="C17569" i="1"/>
  <c r="D17569" i="1"/>
  <c r="E17569" i="1"/>
  <c r="F17569" i="1"/>
  <c r="G17569" i="1"/>
  <c r="H17569" i="1"/>
  <c r="A17570" i="1"/>
  <c r="B17570" i="1"/>
  <c r="C17570" i="1"/>
  <c r="D17570" i="1"/>
  <c r="E17570" i="1"/>
  <c r="F17570" i="1"/>
  <c r="G17570" i="1"/>
  <c r="H17570" i="1"/>
  <c r="A17571" i="1"/>
  <c r="B17571" i="1"/>
  <c r="C17571" i="1"/>
  <c r="D17571" i="1"/>
  <c r="E17571" i="1"/>
  <c r="F17571" i="1"/>
  <c r="G17571" i="1"/>
  <c r="H17571" i="1"/>
  <c r="A17572" i="1"/>
  <c r="B17572" i="1"/>
  <c r="C17572" i="1"/>
  <c r="D17572" i="1"/>
  <c r="E17572" i="1"/>
  <c r="F17572" i="1"/>
  <c r="G17572" i="1"/>
  <c r="H17572" i="1"/>
  <c r="A17573" i="1"/>
  <c r="B17573" i="1"/>
  <c r="C17573" i="1"/>
  <c r="D17573" i="1"/>
  <c r="E17573" i="1"/>
  <c r="F17573" i="1"/>
  <c r="G17573" i="1"/>
  <c r="H17573" i="1"/>
  <c r="A17574" i="1"/>
  <c r="B17574" i="1"/>
  <c r="C17574" i="1"/>
  <c r="D17574" i="1"/>
  <c r="E17574" i="1"/>
  <c r="F17574" i="1"/>
  <c r="G17574" i="1"/>
  <c r="H17574" i="1"/>
  <c r="A17575" i="1"/>
  <c r="B17575" i="1"/>
  <c r="C17575" i="1"/>
  <c r="D17575" i="1"/>
  <c r="E17575" i="1"/>
  <c r="F17575" i="1"/>
  <c r="G17575" i="1"/>
  <c r="H17575" i="1"/>
  <c r="A17576" i="1"/>
  <c r="B17576" i="1"/>
  <c r="C17576" i="1"/>
  <c r="D17576" i="1"/>
  <c r="E17576" i="1"/>
  <c r="F17576" i="1"/>
  <c r="G17576" i="1"/>
  <c r="H17576" i="1"/>
  <c r="A17577" i="1"/>
  <c r="B17577" i="1"/>
  <c r="C17577" i="1"/>
  <c r="D17577" i="1"/>
  <c r="E17577" i="1"/>
  <c r="F17577" i="1"/>
  <c r="G17577" i="1"/>
  <c r="H17577" i="1"/>
  <c r="A17578" i="1"/>
  <c r="B17578" i="1"/>
  <c r="C17578" i="1"/>
  <c r="D17578" i="1"/>
  <c r="E17578" i="1"/>
  <c r="F17578" i="1"/>
  <c r="G17578" i="1"/>
  <c r="H17578" i="1"/>
  <c r="A17579" i="1"/>
  <c r="B17579" i="1"/>
  <c r="C17579" i="1"/>
  <c r="D17579" i="1"/>
  <c r="E17579" i="1"/>
  <c r="F17579" i="1"/>
  <c r="G17579" i="1"/>
  <c r="H17579" i="1"/>
  <c r="A17580" i="1"/>
  <c r="B17580" i="1"/>
  <c r="C17580" i="1"/>
  <c r="D17580" i="1"/>
  <c r="E17580" i="1"/>
  <c r="F17580" i="1"/>
  <c r="G17580" i="1"/>
  <c r="H17580" i="1"/>
  <c r="A17581" i="1"/>
  <c r="B17581" i="1"/>
  <c r="C17581" i="1"/>
  <c r="D17581" i="1"/>
  <c r="E17581" i="1"/>
  <c r="F17581" i="1"/>
  <c r="G17581" i="1"/>
  <c r="H17581" i="1"/>
  <c r="A17582" i="1"/>
  <c r="B17582" i="1"/>
  <c r="C17582" i="1"/>
  <c r="D17582" i="1"/>
  <c r="E17582" i="1"/>
  <c r="F17582" i="1"/>
  <c r="G17582" i="1"/>
  <c r="H17582" i="1"/>
  <c r="A17583" i="1"/>
  <c r="B17583" i="1"/>
  <c r="C17583" i="1"/>
  <c r="D17583" i="1"/>
  <c r="E17583" i="1"/>
  <c r="F17583" i="1"/>
  <c r="G17583" i="1"/>
  <c r="H17583" i="1"/>
  <c r="A17584" i="1"/>
  <c r="B17584" i="1"/>
  <c r="C17584" i="1"/>
  <c r="D17584" i="1"/>
  <c r="E17584" i="1"/>
  <c r="F17584" i="1"/>
  <c r="G17584" i="1"/>
  <c r="H17584" i="1"/>
  <c r="A17585" i="1"/>
  <c r="B17585" i="1"/>
  <c r="C17585" i="1"/>
  <c r="D17585" i="1"/>
  <c r="E17585" i="1"/>
  <c r="F17585" i="1"/>
  <c r="G17585" i="1"/>
  <c r="H17585" i="1"/>
  <c r="A17586" i="1"/>
  <c r="B17586" i="1"/>
  <c r="C17586" i="1"/>
  <c r="D17586" i="1"/>
  <c r="E17586" i="1"/>
  <c r="F17586" i="1"/>
  <c r="G17586" i="1"/>
  <c r="H17586" i="1"/>
  <c r="A17587" i="1"/>
  <c r="B17587" i="1"/>
  <c r="C17587" i="1"/>
  <c r="D17587" i="1"/>
  <c r="E17587" i="1"/>
  <c r="F17587" i="1"/>
  <c r="G17587" i="1"/>
  <c r="H17587" i="1"/>
  <c r="A17588" i="1"/>
  <c r="B17588" i="1"/>
  <c r="C17588" i="1"/>
  <c r="D17588" i="1"/>
  <c r="E17588" i="1"/>
  <c r="F17588" i="1"/>
  <c r="G17588" i="1"/>
  <c r="H17588" i="1"/>
  <c r="A17589" i="1"/>
  <c r="B17589" i="1"/>
  <c r="C17589" i="1"/>
  <c r="D17589" i="1"/>
  <c r="E17589" i="1"/>
  <c r="F17589" i="1"/>
  <c r="G17589" i="1"/>
  <c r="H17589" i="1"/>
  <c r="A17590" i="1"/>
  <c r="B17590" i="1"/>
  <c r="C17590" i="1"/>
  <c r="D17590" i="1"/>
  <c r="E17590" i="1"/>
  <c r="F17590" i="1"/>
  <c r="G17590" i="1"/>
  <c r="H17590" i="1"/>
  <c r="A17591" i="1"/>
  <c r="B17591" i="1"/>
  <c r="C17591" i="1"/>
  <c r="D17591" i="1"/>
  <c r="E17591" i="1"/>
  <c r="F17591" i="1"/>
  <c r="G17591" i="1"/>
  <c r="H17591" i="1"/>
  <c r="A17592" i="1"/>
  <c r="B17592" i="1"/>
  <c r="C17592" i="1"/>
  <c r="D17592" i="1"/>
  <c r="E17592" i="1"/>
  <c r="F17592" i="1"/>
  <c r="G17592" i="1"/>
  <c r="H17592" i="1"/>
  <c r="A17593" i="1"/>
  <c r="B17593" i="1"/>
  <c r="C17593" i="1"/>
  <c r="D17593" i="1"/>
  <c r="E17593" i="1"/>
  <c r="F17593" i="1"/>
  <c r="G17593" i="1"/>
  <c r="H17593" i="1"/>
  <c r="A17594" i="1"/>
  <c r="B17594" i="1"/>
  <c r="C17594" i="1"/>
  <c r="D17594" i="1"/>
  <c r="E17594" i="1"/>
  <c r="F17594" i="1"/>
  <c r="G17594" i="1"/>
  <c r="H17594" i="1"/>
  <c r="A17595" i="1"/>
  <c r="B17595" i="1"/>
  <c r="C17595" i="1"/>
  <c r="D17595" i="1"/>
  <c r="E17595" i="1"/>
  <c r="F17595" i="1"/>
  <c r="G17595" i="1"/>
  <c r="H17595" i="1"/>
  <c r="A17596" i="1"/>
  <c r="B17596" i="1"/>
  <c r="C17596" i="1"/>
  <c r="D17596" i="1"/>
  <c r="E17596" i="1"/>
  <c r="F17596" i="1"/>
  <c r="G17596" i="1"/>
  <c r="H17596" i="1"/>
  <c r="A17597" i="1"/>
  <c r="B17597" i="1"/>
  <c r="C17597" i="1"/>
  <c r="D17597" i="1"/>
  <c r="E17597" i="1"/>
  <c r="F17597" i="1"/>
  <c r="G17597" i="1"/>
  <c r="H17597" i="1"/>
  <c r="A17598" i="1"/>
  <c r="B17598" i="1"/>
  <c r="C17598" i="1"/>
  <c r="D17598" i="1"/>
  <c r="E17598" i="1"/>
  <c r="F17598" i="1"/>
  <c r="G17598" i="1"/>
  <c r="H17598" i="1"/>
  <c r="A17599" i="1"/>
  <c r="B17599" i="1"/>
  <c r="C17599" i="1"/>
  <c r="D17599" i="1"/>
  <c r="E17599" i="1"/>
  <c r="F17599" i="1"/>
  <c r="G17599" i="1"/>
  <c r="H17599" i="1"/>
  <c r="A17600" i="1"/>
  <c r="B17600" i="1"/>
  <c r="C17600" i="1"/>
  <c r="D17600" i="1"/>
  <c r="E17600" i="1"/>
  <c r="F17600" i="1"/>
  <c r="G17600" i="1"/>
  <c r="H17600" i="1"/>
  <c r="A17601" i="1"/>
  <c r="B17601" i="1"/>
  <c r="C17601" i="1"/>
  <c r="D17601" i="1"/>
  <c r="E17601" i="1"/>
  <c r="F17601" i="1"/>
  <c r="G17601" i="1"/>
  <c r="H17601" i="1"/>
  <c r="A17602" i="1"/>
  <c r="B17602" i="1"/>
  <c r="C17602" i="1"/>
  <c r="D17602" i="1"/>
  <c r="E17602" i="1"/>
  <c r="F17602" i="1"/>
  <c r="G17602" i="1"/>
  <c r="H17602" i="1"/>
  <c r="A17603" i="1"/>
  <c r="B17603" i="1"/>
  <c r="C17603" i="1"/>
  <c r="D17603" i="1"/>
  <c r="E17603" i="1"/>
  <c r="F17603" i="1"/>
  <c r="G17603" i="1"/>
  <c r="H17603" i="1"/>
  <c r="A17604" i="1"/>
  <c r="B17604" i="1"/>
  <c r="C17604" i="1"/>
  <c r="D17604" i="1"/>
  <c r="E17604" i="1"/>
  <c r="F17604" i="1"/>
  <c r="G17604" i="1"/>
  <c r="H17604" i="1"/>
  <c r="A17605" i="1"/>
  <c r="B17605" i="1"/>
  <c r="C17605" i="1"/>
  <c r="D17605" i="1"/>
  <c r="E17605" i="1"/>
  <c r="F17605" i="1"/>
  <c r="G17605" i="1"/>
  <c r="H17605" i="1"/>
  <c r="A17606" i="1"/>
  <c r="B17606" i="1"/>
  <c r="C17606" i="1"/>
  <c r="D17606" i="1"/>
  <c r="E17606" i="1"/>
  <c r="F17606" i="1"/>
  <c r="G17606" i="1"/>
  <c r="H17606" i="1"/>
  <c r="A17607" i="1"/>
  <c r="B17607" i="1"/>
  <c r="C17607" i="1"/>
  <c r="D17607" i="1"/>
  <c r="E17607" i="1"/>
  <c r="F17607" i="1"/>
  <c r="G17607" i="1"/>
  <c r="H17607" i="1"/>
  <c r="A17608" i="1"/>
  <c r="B17608" i="1"/>
  <c r="C17608" i="1"/>
  <c r="D17608" i="1"/>
  <c r="E17608" i="1"/>
  <c r="F17608" i="1"/>
  <c r="G17608" i="1"/>
  <c r="H17608" i="1"/>
  <c r="A17609" i="1"/>
  <c r="B17609" i="1"/>
  <c r="C17609" i="1"/>
  <c r="D17609" i="1"/>
  <c r="E17609" i="1"/>
  <c r="F17609" i="1"/>
  <c r="G17609" i="1"/>
  <c r="H17609" i="1"/>
  <c r="A17610" i="1"/>
  <c r="B17610" i="1"/>
  <c r="C17610" i="1"/>
  <c r="D17610" i="1"/>
  <c r="E17610" i="1"/>
  <c r="F17610" i="1"/>
  <c r="G17610" i="1"/>
  <c r="H17610" i="1"/>
  <c r="A17611" i="1"/>
  <c r="B17611" i="1"/>
  <c r="C17611" i="1"/>
  <c r="D17611" i="1"/>
  <c r="E17611" i="1"/>
  <c r="F17611" i="1"/>
  <c r="G17611" i="1"/>
  <c r="H17611" i="1"/>
  <c r="A17612" i="1"/>
  <c r="B17612" i="1"/>
  <c r="C17612" i="1"/>
  <c r="D17612" i="1"/>
  <c r="E17612" i="1"/>
  <c r="F17612" i="1"/>
  <c r="G17612" i="1"/>
  <c r="H17612" i="1"/>
  <c r="A17613" i="1"/>
  <c r="B17613" i="1"/>
  <c r="C17613" i="1"/>
  <c r="D17613" i="1"/>
  <c r="E17613" i="1"/>
  <c r="F17613" i="1"/>
  <c r="G17613" i="1"/>
  <c r="H17613" i="1"/>
  <c r="A17614" i="1"/>
  <c r="B17614" i="1"/>
  <c r="C17614" i="1"/>
  <c r="D17614" i="1"/>
  <c r="E17614" i="1"/>
  <c r="F17614" i="1"/>
  <c r="G17614" i="1"/>
  <c r="H17614" i="1"/>
  <c r="A17615" i="1"/>
  <c r="B17615" i="1"/>
  <c r="C17615" i="1"/>
  <c r="D17615" i="1"/>
  <c r="E17615" i="1"/>
  <c r="F17615" i="1"/>
  <c r="G17615" i="1"/>
  <c r="H17615" i="1"/>
  <c r="A17616" i="1"/>
  <c r="B17616" i="1"/>
  <c r="C17616" i="1"/>
  <c r="D17616" i="1"/>
  <c r="E17616" i="1"/>
  <c r="F17616" i="1"/>
  <c r="G17616" i="1"/>
  <c r="H17616" i="1"/>
  <c r="A17617" i="1"/>
  <c r="B17617" i="1"/>
  <c r="C17617" i="1"/>
  <c r="D17617" i="1"/>
  <c r="E17617" i="1"/>
  <c r="F17617" i="1"/>
  <c r="G17617" i="1"/>
  <c r="H17617" i="1"/>
  <c r="A17618" i="1"/>
  <c r="B17618" i="1"/>
  <c r="C17618" i="1"/>
  <c r="D17618" i="1"/>
  <c r="E17618" i="1"/>
  <c r="F17618" i="1"/>
  <c r="G17618" i="1"/>
  <c r="H17618" i="1"/>
  <c r="A17619" i="1"/>
  <c r="B17619" i="1"/>
  <c r="C17619" i="1"/>
  <c r="D17619" i="1"/>
  <c r="E17619" i="1"/>
  <c r="F17619" i="1"/>
  <c r="G17619" i="1"/>
  <c r="H17619" i="1"/>
  <c r="A17620" i="1"/>
  <c r="B17620" i="1"/>
  <c r="C17620" i="1"/>
  <c r="D17620" i="1"/>
  <c r="E17620" i="1"/>
  <c r="F17620" i="1"/>
  <c r="G17620" i="1"/>
  <c r="H17620" i="1"/>
  <c r="A17621" i="1"/>
  <c r="B17621" i="1"/>
  <c r="C17621" i="1"/>
  <c r="D17621" i="1"/>
  <c r="E17621" i="1"/>
  <c r="F17621" i="1"/>
  <c r="G17621" i="1"/>
  <c r="H17621" i="1"/>
  <c r="A17622" i="1"/>
  <c r="B17622" i="1"/>
  <c r="C17622" i="1"/>
  <c r="D17622" i="1"/>
  <c r="E17622" i="1"/>
  <c r="F17622" i="1"/>
  <c r="G17622" i="1"/>
  <c r="H17622" i="1"/>
  <c r="A17623" i="1"/>
  <c r="B17623" i="1"/>
  <c r="C17623" i="1"/>
  <c r="D17623" i="1"/>
  <c r="E17623" i="1"/>
  <c r="F17623" i="1"/>
  <c r="G17623" i="1"/>
  <c r="H17623" i="1"/>
  <c r="A17624" i="1"/>
  <c r="B17624" i="1"/>
  <c r="C17624" i="1"/>
  <c r="D17624" i="1"/>
  <c r="E17624" i="1"/>
  <c r="F17624" i="1"/>
  <c r="G17624" i="1"/>
  <c r="H17624" i="1"/>
  <c r="A17625" i="1"/>
  <c r="B17625" i="1"/>
  <c r="C17625" i="1"/>
  <c r="D17625" i="1"/>
  <c r="E17625" i="1"/>
  <c r="F17625" i="1"/>
  <c r="G17625" i="1"/>
  <c r="H17625" i="1"/>
  <c r="A17626" i="1"/>
  <c r="B17626" i="1"/>
  <c r="C17626" i="1"/>
  <c r="D17626" i="1"/>
  <c r="E17626" i="1"/>
  <c r="F17626" i="1"/>
  <c r="G17626" i="1"/>
  <c r="H17626" i="1"/>
  <c r="A17627" i="1"/>
  <c r="B17627" i="1"/>
  <c r="C17627" i="1"/>
  <c r="D17627" i="1"/>
  <c r="E17627" i="1"/>
  <c r="F17627" i="1"/>
  <c r="G17627" i="1"/>
  <c r="H17627" i="1"/>
  <c r="A17628" i="1"/>
  <c r="B17628" i="1"/>
  <c r="C17628" i="1"/>
  <c r="D17628" i="1"/>
  <c r="E17628" i="1"/>
  <c r="F17628" i="1"/>
  <c r="G17628" i="1"/>
  <c r="H17628" i="1"/>
  <c r="A17629" i="1"/>
  <c r="B17629" i="1"/>
  <c r="C17629" i="1"/>
  <c r="D17629" i="1"/>
  <c r="E17629" i="1"/>
  <c r="F17629" i="1"/>
  <c r="G17629" i="1"/>
  <c r="H17629" i="1"/>
  <c r="A17630" i="1"/>
  <c r="B17630" i="1"/>
  <c r="C17630" i="1"/>
  <c r="D17630" i="1"/>
  <c r="E17630" i="1"/>
  <c r="F17630" i="1"/>
  <c r="G17630" i="1"/>
  <c r="H17630" i="1"/>
  <c r="A17631" i="1"/>
  <c r="B17631" i="1"/>
  <c r="C17631" i="1"/>
  <c r="D17631" i="1"/>
  <c r="E17631" i="1"/>
  <c r="F17631" i="1"/>
  <c r="G17631" i="1"/>
  <c r="H17631" i="1"/>
  <c r="A17632" i="1"/>
  <c r="B17632" i="1"/>
  <c r="C17632" i="1"/>
  <c r="D17632" i="1"/>
  <c r="E17632" i="1"/>
  <c r="F17632" i="1"/>
  <c r="G17632" i="1"/>
  <c r="H17632" i="1"/>
  <c r="A17633" i="1"/>
  <c r="B17633" i="1"/>
  <c r="C17633" i="1"/>
  <c r="D17633" i="1"/>
  <c r="E17633" i="1"/>
  <c r="F17633" i="1"/>
  <c r="G17633" i="1"/>
  <c r="H17633" i="1"/>
  <c r="A17634" i="1"/>
  <c r="B17634" i="1"/>
  <c r="C17634" i="1"/>
  <c r="D17634" i="1"/>
  <c r="E17634" i="1"/>
  <c r="F17634" i="1"/>
  <c r="G17634" i="1"/>
  <c r="H17634" i="1"/>
  <c r="A17635" i="1"/>
  <c r="B17635" i="1"/>
  <c r="C17635" i="1"/>
  <c r="D17635" i="1"/>
  <c r="E17635" i="1"/>
  <c r="F17635" i="1"/>
  <c r="G17635" i="1"/>
  <c r="H17635" i="1"/>
  <c r="A17636" i="1"/>
  <c r="B17636" i="1"/>
  <c r="C17636" i="1"/>
  <c r="D17636" i="1"/>
  <c r="E17636" i="1"/>
  <c r="F17636" i="1"/>
  <c r="G17636" i="1"/>
  <c r="H17636" i="1"/>
  <c r="A17637" i="1"/>
  <c r="B17637" i="1"/>
  <c r="C17637" i="1"/>
  <c r="D17637" i="1"/>
  <c r="E17637" i="1"/>
  <c r="F17637" i="1"/>
  <c r="G17637" i="1"/>
  <c r="H17637" i="1"/>
  <c r="A17638" i="1"/>
  <c r="B17638" i="1"/>
  <c r="C17638" i="1"/>
  <c r="D17638" i="1"/>
  <c r="E17638" i="1"/>
  <c r="F17638" i="1"/>
  <c r="G17638" i="1"/>
  <c r="H17638" i="1"/>
  <c r="A17639" i="1"/>
  <c r="B17639" i="1"/>
  <c r="C17639" i="1"/>
  <c r="D17639" i="1"/>
  <c r="E17639" i="1"/>
  <c r="F17639" i="1"/>
  <c r="G17639" i="1"/>
  <c r="H17639" i="1"/>
  <c r="A17640" i="1"/>
  <c r="B17640" i="1"/>
  <c r="C17640" i="1"/>
  <c r="D17640" i="1"/>
  <c r="E17640" i="1"/>
  <c r="F17640" i="1"/>
  <c r="G17640" i="1"/>
  <c r="H17640" i="1"/>
  <c r="A17641" i="1"/>
  <c r="B17641" i="1"/>
  <c r="C17641" i="1"/>
  <c r="D17641" i="1"/>
  <c r="E17641" i="1"/>
  <c r="F17641" i="1"/>
  <c r="G17641" i="1"/>
  <c r="H17641" i="1"/>
  <c r="A17642" i="1"/>
  <c r="B17642" i="1"/>
  <c r="C17642" i="1"/>
  <c r="D17642" i="1"/>
  <c r="E17642" i="1"/>
  <c r="F17642" i="1"/>
  <c r="G17642" i="1"/>
  <c r="H17642" i="1"/>
  <c r="A17643" i="1"/>
  <c r="B17643" i="1"/>
  <c r="C17643" i="1"/>
  <c r="D17643" i="1"/>
  <c r="E17643" i="1"/>
  <c r="F17643" i="1"/>
  <c r="G17643" i="1"/>
  <c r="H17643" i="1"/>
  <c r="A17644" i="1"/>
  <c r="B17644" i="1"/>
  <c r="C17644" i="1"/>
  <c r="D17644" i="1"/>
  <c r="E17644" i="1"/>
  <c r="F17644" i="1"/>
  <c r="G17644" i="1"/>
  <c r="H17644" i="1"/>
  <c r="A17645" i="1"/>
  <c r="B17645" i="1"/>
  <c r="C17645" i="1"/>
  <c r="D17645" i="1"/>
  <c r="E17645" i="1"/>
  <c r="F17645" i="1"/>
  <c r="G17645" i="1"/>
  <c r="H17645" i="1"/>
  <c r="A17646" i="1"/>
  <c r="B17646" i="1"/>
  <c r="C17646" i="1"/>
  <c r="D17646" i="1"/>
  <c r="E17646" i="1"/>
  <c r="F17646" i="1"/>
  <c r="G17646" i="1"/>
  <c r="H17646" i="1"/>
  <c r="A17647" i="1"/>
  <c r="B17647" i="1"/>
  <c r="C17647" i="1"/>
  <c r="D17647" i="1"/>
  <c r="E17647" i="1"/>
  <c r="F17647" i="1"/>
  <c r="G17647" i="1"/>
  <c r="H17647" i="1"/>
  <c r="A17648" i="1"/>
  <c r="B17648" i="1"/>
  <c r="C17648" i="1"/>
  <c r="D17648" i="1"/>
  <c r="E17648" i="1"/>
  <c r="F17648" i="1"/>
  <c r="G17648" i="1"/>
  <c r="H17648" i="1"/>
  <c r="A17649" i="1"/>
  <c r="B17649" i="1"/>
  <c r="C17649" i="1"/>
  <c r="D17649" i="1"/>
  <c r="E17649" i="1"/>
  <c r="F17649" i="1"/>
  <c r="G17649" i="1"/>
  <c r="H17649" i="1"/>
  <c r="A17650" i="1"/>
  <c r="B17650" i="1"/>
  <c r="C17650" i="1"/>
  <c r="D17650" i="1"/>
  <c r="E17650" i="1"/>
  <c r="F17650" i="1"/>
  <c r="G17650" i="1"/>
  <c r="H17650" i="1"/>
  <c r="A17651" i="1"/>
  <c r="B17651" i="1"/>
  <c r="C17651" i="1"/>
  <c r="D17651" i="1"/>
  <c r="E17651" i="1"/>
  <c r="F17651" i="1"/>
  <c r="G17651" i="1"/>
  <c r="H17651" i="1"/>
  <c r="A17652" i="1"/>
  <c r="B17652" i="1"/>
  <c r="C17652" i="1"/>
  <c r="D17652" i="1"/>
  <c r="E17652" i="1"/>
  <c r="F17652" i="1"/>
  <c r="G17652" i="1"/>
  <c r="H17652" i="1"/>
  <c r="A17653" i="1"/>
  <c r="B17653" i="1"/>
  <c r="C17653" i="1"/>
  <c r="D17653" i="1"/>
  <c r="E17653" i="1"/>
  <c r="F17653" i="1"/>
  <c r="G17653" i="1"/>
  <c r="H17653" i="1"/>
  <c r="A17654" i="1"/>
  <c r="B17654" i="1"/>
  <c r="C17654" i="1"/>
  <c r="D17654" i="1"/>
  <c r="E17654" i="1"/>
  <c r="F17654" i="1"/>
  <c r="G17654" i="1"/>
  <c r="H17654" i="1"/>
  <c r="A17655" i="1"/>
  <c r="B17655" i="1"/>
  <c r="C17655" i="1"/>
  <c r="D17655" i="1"/>
  <c r="E17655" i="1"/>
  <c r="F17655" i="1"/>
  <c r="G17655" i="1"/>
  <c r="H17655" i="1"/>
  <c r="A17656" i="1"/>
  <c r="B17656" i="1"/>
  <c r="C17656" i="1"/>
  <c r="D17656" i="1"/>
  <c r="E17656" i="1"/>
  <c r="F17656" i="1"/>
  <c r="G17656" i="1"/>
  <c r="H17656" i="1"/>
  <c r="A17657" i="1"/>
  <c r="B17657" i="1"/>
  <c r="C17657" i="1"/>
  <c r="D17657" i="1"/>
  <c r="E17657" i="1"/>
  <c r="F17657" i="1"/>
  <c r="G17657" i="1"/>
  <c r="H17657" i="1"/>
  <c r="A17658" i="1"/>
  <c r="B17658" i="1"/>
  <c r="C17658" i="1"/>
  <c r="D17658" i="1"/>
  <c r="E17658" i="1"/>
  <c r="F17658" i="1"/>
  <c r="G17658" i="1"/>
  <c r="H17658" i="1"/>
  <c r="A17659" i="1"/>
  <c r="B17659" i="1"/>
  <c r="C17659" i="1"/>
  <c r="D17659" i="1"/>
  <c r="E17659" i="1"/>
  <c r="F17659" i="1"/>
  <c r="G17659" i="1"/>
  <c r="H17659" i="1"/>
  <c r="A17660" i="1"/>
  <c r="B17660" i="1"/>
  <c r="C17660" i="1"/>
  <c r="D17660" i="1"/>
  <c r="E17660" i="1"/>
  <c r="F17660" i="1"/>
  <c r="G17660" i="1"/>
  <c r="H17660" i="1"/>
  <c r="A17661" i="1"/>
  <c r="B17661" i="1"/>
  <c r="C17661" i="1"/>
  <c r="D17661" i="1"/>
  <c r="E17661" i="1"/>
  <c r="F17661" i="1"/>
  <c r="G17661" i="1"/>
  <c r="H17661" i="1"/>
  <c r="A17662" i="1"/>
  <c r="B17662" i="1"/>
  <c r="C17662" i="1"/>
  <c r="D17662" i="1"/>
  <c r="E17662" i="1"/>
  <c r="F17662" i="1"/>
  <c r="G17662" i="1"/>
  <c r="H17662" i="1"/>
  <c r="A17663" i="1"/>
  <c r="B17663" i="1"/>
  <c r="C17663" i="1"/>
  <c r="D17663" i="1"/>
  <c r="E17663" i="1"/>
  <c r="F17663" i="1"/>
  <c r="G17663" i="1"/>
  <c r="H17663" i="1"/>
  <c r="A17664" i="1"/>
  <c r="B17664" i="1"/>
  <c r="C17664" i="1"/>
  <c r="D17664" i="1"/>
  <c r="E17664" i="1"/>
  <c r="F17664" i="1"/>
  <c r="G17664" i="1"/>
  <c r="H17664" i="1"/>
  <c r="A17665" i="1"/>
  <c r="B17665" i="1"/>
  <c r="C17665" i="1"/>
  <c r="D17665" i="1"/>
  <c r="E17665" i="1"/>
  <c r="F17665" i="1"/>
  <c r="G17665" i="1"/>
  <c r="H17665" i="1"/>
  <c r="A17666" i="1"/>
  <c r="B17666" i="1"/>
  <c r="C17666" i="1"/>
  <c r="D17666" i="1"/>
  <c r="E17666" i="1"/>
  <c r="F17666" i="1"/>
  <c r="G17666" i="1"/>
  <c r="H17666" i="1"/>
  <c r="A17667" i="1"/>
  <c r="B17667" i="1"/>
  <c r="C17667" i="1"/>
  <c r="D17667" i="1"/>
  <c r="E17667" i="1"/>
  <c r="F17667" i="1"/>
  <c r="G17667" i="1"/>
  <c r="H17667" i="1"/>
  <c r="A17668" i="1"/>
  <c r="B17668" i="1"/>
  <c r="C17668" i="1"/>
  <c r="D17668" i="1"/>
  <c r="E17668" i="1"/>
  <c r="F17668" i="1"/>
  <c r="G17668" i="1"/>
  <c r="H17668" i="1"/>
  <c r="A17669" i="1"/>
  <c r="B17669" i="1"/>
  <c r="C17669" i="1"/>
  <c r="D17669" i="1"/>
  <c r="E17669" i="1"/>
  <c r="F17669" i="1"/>
  <c r="G17669" i="1"/>
  <c r="H17669" i="1"/>
  <c r="A17670" i="1"/>
  <c r="B17670" i="1"/>
  <c r="C17670" i="1"/>
  <c r="D17670" i="1"/>
  <c r="E17670" i="1"/>
  <c r="F17670" i="1"/>
  <c r="G17670" i="1"/>
  <c r="H17670" i="1"/>
  <c r="A17671" i="1"/>
  <c r="B17671" i="1"/>
  <c r="C17671" i="1"/>
  <c r="D17671" i="1"/>
  <c r="E17671" i="1"/>
  <c r="F17671" i="1"/>
  <c r="G17671" i="1"/>
  <c r="H17671" i="1"/>
  <c r="A17672" i="1"/>
  <c r="B17672" i="1"/>
  <c r="C17672" i="1"/>
  <c r="D17672" i="1"/>
  <c r="E17672" i="1"/>
  <c r="F17672" i="1"/>
  <c r="G17672" i="1"/>
  <c r="H17672" i="1"/>
  <c r="A17673" i="1"/>
  <c r="B17673" i="1"/>
  <c r="C17673" i="1"/>
  <c r="D17673" i="1"/>
  <c r="E17673" i="1"/>
  <c r="F17673" i="1"/>
  <c r="G17673" i="1"/>
  <c r="H17673" i="1"/>
  <c r="A17674" i="1"/>
  <c r="B17674" i="1"/>
  <c r="C17674" i="1"/>
  <c r="D17674" i="1"/>
  <c r="E17674" i="1"/>
  <c r="F17674" i="1"/>
  <c r="G17674" i="1"/>
  <c r="H17674" i="1"/>
  <c r="A17675" i="1"/>
  <c r="B17675" i="1"/>
  <c r="C17675" i="1"/>
  <c r="D17675" i="1"/>
  <c r="E17675" i="1"/>
  <c r="F17675" i="1"/>
  <c r="G17675" i="1"/>
  <c r="H17675" i="1"/>
  <c r="A17676" i="1"/>
  <c r="B17676" i="1"/>
  <c r="C17676" i="1"/>
  <c r="D17676" i="1"/>
  <c r="E17676" i="1"/>
  <c r="F17676" i="1"/>
  <c r="G17676" i="1"/>
  <c r="H17676" i="1"/>
  <c r="A17677" i="1"/>
  <c r="B17677" i="1"/>
  <c r="C17677" i="1"/>
  <c r="D17677" i="1"/>
  <c r="E17677" i="1"/>
  <c r="F17677" i="1"/>
  <c r="G17677" i="1"/>
  <c r="H17677" i="1"/>
  <c r="A17678" i="1"/>
  <c r="B17678" i="1"/>
  <c r="C17678" i="1"/>
  <c r="D17678" i="1"/>
  <c r="E17678" i="1"/>
  <c r="F17678" i="1"/>
  <c r="G17678" i="1"/>
  <c r="H17678" i="1"/>
  <c r="A17679" i="1"/>
  <c r="B17679" i="1"/>
  <c r="C17679" i="1"/>
  <c r="D17679" i="1"/>
  <c r="E17679" i="1"/>
  <c r="F17679" i="1"/>
  <c r="G17679" i="1"/>
  <c r="H17679" i="1"/>
  <c r="A17680" i="1"/>
  <c r="B17680" i="1"/>
  <c r="C17680" i="1"/>
  <c r="D17680" i="1"/>
  <c r="E17680" i="1"/>
  <c r="F17680" i="1"/>
  <c r="G17680" i="1"/>
  <c r="H17680" i="1"/>
  <c r="A17681" i="1"/>
  <c r="B17681" i="1"/>
  <c r="C17681" i="1"/>
  <c r="D17681" i="1"/>
  <c r="E17681" i="1"/>
  <c r="F17681" i="1"/>
  <c r="G17681" i="1"/>
  <c r="H17681" i="1"/>
  <c r="A17682" i="1"/>
  <c r="B17682" i="1"/>
  <c r="C17682" i="1"/>
  <c r="D17682" i="1"/>
  <c r="E17682" i="1"/>
  <c r="F17682" i="1"/>
  <c r="G17682" i="1"/>
  <c r="H17682" i="1"/>
  <c r="A17683" i="1"/>
  <c r="B17683" i="1"/>
  <c r="C17683" i="1"/>
  <c r="D17683" i="1"/>
  <c r="E17683" i="1"/>
  <c r="F17683" i="1"/>
  <c r="G17683" i="1"/>
  <c r="H17683" i="1"/>
  <c r="A17684" i="1"/>
  <c r="B17684" i="1"/>
  <c r="C17684" i="1"/>
  <c r="D17684" i="1"/>
  <c r="E17684" i="1"/>
  <c r="F17684" i="1"/>
  <c r="G17684" i="1"/>
  <c r="H17684" i="1"/>
  <c r="A17685" i="1"/>
  <c r="B17685" i="1"/>
  <c r="C17685" i="1"/>
  <c r="D17685" i="1"/>
  <c r="E17685" i="1"/>
  <c r="F17685" i="1"/>
  <c r="G17685" i="1"/>
  <c r="H17685" i="1"/>
  <c r="A17686" i="1"/>
  <c r="B17686" i="1"/>
  <c r="C17686" i="1"/>
  <c r="D17686" i="1"/>
  <c r="E17686" i="1"/>
  <c r="F17686" i="1"/>
  <c r="G17686" i="1"/>
  <c r="H17686" i="1"/>
  <c r="A17687" i="1"/>
  <c r="B17687" i="1"/>
  <c r="C17687" i="1"/>
  <c r="D17687" i="1"/>
  <c r="E17687" i="1"/>
  <c r="F17687" i="1"/>
  <c r="G17687" i="1"/>
  <c r="H17687" i="1"/>
  <c r="A17688" i="1"/>
  <c r="B17688" i="1"/>
  <c r="C17688" i="1"/>
  <c r="D17688" i="1"/>
  <c r="E17688" i="1"/>
  <c r="F17688" i="1"/>
  <c r="G17688" i="1"/>
  <c r="H17688" i="1"/>
  <c r="A17689" i="1"/>
  <c r="B17689" i="1"/>
  <c r="C17689" i="1"/>
  <c r="D17689" i="1"/>
  <c r="E17689" i="1"/>
  <c r="F17689" i="1"/>
  <c r="G17689" i="1"/>
  <c r="H17689" i="1"/>
  <c r="A17690" i="1"/>
  <c r="B17690" i="1"/>
  <c r="C17690" i="1"/>
  <c r="D17690" i="1"/>
  <c r="E17690" i="1"/>
  <c r="F17690" i="1"/>
  <c r="G17690" i="1"/>
  <c r="H17690" i="1"/>
  <c r="A17691" i="1"/>
  <c r="B17691" i="1"/>
  <c r="C17691" i="1"/>
  <c r="D17691" i="1"/>
  <c r="E17691" i="1"/>
  <c r="F17691" i="1"/>
  <c r="G17691" i="1"/>
  <c r="H17691" i="1"/>
  <c r="A17692" i="1"/>
  <c r="B17692" i="1"/>
  <c r="C17692" i="1"/>
  <c r="D17692" i="1"/>
  <c r="E17692" i="1"/>
  <c r="F17692" i="1"/>
  <c r="G17692" i="1"/>
  <c r="H17692" i="1"/>
  <c r="A17693" i="1"/>
  <c r="B17693" i="1"/>
  <c r="C17693" i="1"/>
  <c r="D17693" i="1"/>
  <c r="E17693" i="1"/>
  <c r="F17693" i="1"/>
  <c r="G17693" i="1"/>
  <c r="H17693" i="1"/>
  <c r="A17694" i="1"/>
  <c r="B17694" i="1"/>
  <c r="C17694" i="1"/>
  <c r="D17694" i="1"/>
  <c r="E17694" i="1"/>
  <c r="F17694" i="1"/>
  <c r="G17694" i="1"/>
  <c r="H17694" i="1"/>
  <c r="A17695" i="1"/>
  <c r="B17695" i="1"/>
  <c r="C17695" i="1"/>
  <c r="D17695" i="1"/>
  <c r="E17695" i="1"/>
  <c r="F17695" i="1"/>
  <c r="G17695" i="1"/>
  <c r="H17695" i="1"/>
  <c r="A17696" i="1"/>
  <c r="B17696" i="1"/>
  <c r="C17696" i="1"/>
  <c r="D17696" i="1"/>
  <c r="E17696" i="1"/>
  <c r="F17696" i="1"/>
  <c r="G17696" i="1"/>
  <c r="H17696" i="1"/>
  <c r="A17697" i="1"/>
  <c r="B17697" i="1"/>
  <c r="C17697" i="1"/>
  <c r="D17697" i="1"/>
  <c r="E17697" i="1"/>
  <c r="F17697" i="1"/>
  <c r="G17697" i="1"/>
  <c r="H17697" i="1"/>
  <c r="A17698" i="1"/>
  <c r="B17698" i="1"/>
  <c r="C17698" i="1"/>
  <c r="D17698" i="1"/>
  <c r="E17698" i="1"/>
  <c r="F17698" i="1"/>
  <c r="G17698" i="1"/>
  <c r="H17698" i="1"/>
  <c r="A17699" i="1"/>
  <c r="B17699" i="1"/>
  <c r="C17699" i="1"/>
  <c r="D17699" i="1"/>
  <c r="E17699" i="1"/>
  <c r="F17699" i="1"/>
  <c r="G17699" i="1"/>
  <c r="H17699" i="1"/>
  <c r="A17700" i="1"/>
  <c r="B17700" i="1"/>
  <c r="C17700" i="1"/>
  <c r="D17700" i="1"/>
  <c r="E17700" i="1"/>
  <c r="F17700" i="1"/>
  <c r="G17700" i="1"/>
  <c r="H17700" i="1"/>
  <c r="A17701" i="1"/>
  <c r="B17701" i="1"/>
  <c r="C17701" i="1"/>
  <c r="D17701" i="1"/>
  <c r="E17701" i="1"/>
  <c r="F17701" i="1"/>
  <c r="G17701" i="1"/>
  <c r="H17701" i="1"/>
  <c r="A17702" i="1"/>
  <c r="B17702" i="1"/>
  <c r="C17702" i="1"/>
  <c r="D17702" i="1"/>
  <c r="E17702" i="1"/>
  <c r="F17702" i="1"/>
  <c r="G17702" i="1"/>
  <c r="H17702" i="1"/>
  <c r="A17703" i="1"/>
  <c r="B17703" i="1"/>
  <c r="C17703" i="1"/>
  <c r="D17703" i="1"/>
  <c r="E17703" i="1"/>
  <c r="F17703" i="1"/>
  <c r="G17703" i="1"/>
  <c r="H17703" i="1"/>
  <c r="A17704" i="1"/>
  <c r="B17704" i="1"/>
  <c r="C17704" i="1"/>
  <c r="D17704" i="1"/>
  <c r="E17704" i="1"/>
  <c r="F17704" i="1"/>
  <c r="G17704" i="1"/>
  <c r="H17704" i="1"/>
  <c r="A17705" i="1"/>
  <c r="B17705" i="1"/>
  <c r="C17705" i="1"/>
  <c r="D17705" i="1"/>
  <c r="E17705" i="1"/>
  <c r="F17705" i="1"/>
  <c r="G17705" i="1"/>
  <c r="H17705" i="1"/>
  <c r="A17706" i="1"/>
  <c r="B17706" i="1"/>
  <c r="C17706" i="1"/>
  <c r="D17706" i="1"/>
  <c r="E17706" i="1"/>
  <c r="F17706" i="1"/>
  <c r="G17706" i="1"/>
  <c r="H17706" i="1"/>
  <c r="A17707" i="1"/>
  <c r="B17707" i="1"/>
  <c r="C17707" i="1"/>
  <c r="D17707" i="1"/>
  <c r="E17707" i="1"/>
  <c r="F17707" i="1"/>
  <c r="G17707" i="1"/>
  <c r="H17707" i="1"/>
  <c r="A17708" i="1"/>
  <c r="B17708" i="1"/>
  <c r="C17708" i="1"/>
  <c r="D17708" i="1"/>
  <c r="E17708" i="1"/>
  <c r="F17708" i="1"/>
  <c r="G17708" i="1"/>
  <c r="H17708" i="1"/>
  <c r="A17709" i="1"/>
  <c r="B17709" i="1"/>
  <c r="C17709" i="1"/>
  <c r="D17709" i="1"/>
  <c r="E17709" i="1"/>
  <c r="F17709" i="1"/>
  <c r="G17709" i="1"/>
  <c r="H17709" i="1"/>
  <c r="A17710" i="1"/>
  <c r="B17710" i="1"/>
  <c r="C17710" i="1"/>
  <c r="D17710" i="1"/>
  <c r="E17710" i="1"/>
  <c r="F17710" i="1"/>
  <c r="G17710" i="1"/>
  <c r="H17710" i="1"/>
  <c r="A17711" i="1"/>
  <c r="B17711" i="1"/>
  <c r="C17711" i="1"/>
  <c r="D17711" i="1"/>
  <c r="E17711" i="1"/>
  <c r="F17711" i="1"/>
  <c r="G17711" i="1"/>
  <c r="H17711" i="1"/>
  <c r="A17712" i="1"/>
  <c r="B17712" i="1"/>
  <c r="C17712" i="1"/>
  <c r="D17712" i="1"/>
  <c r="E17712" i="1"/>
  <c r="F17712" i="1"/>
  <c r="G17712" i="1"/>
  <c r="H17712" i="1"/>
  <c r="A17713" i="1"/>
  <c r="B17713" i="1"/>
  <c r="C17713" i="1"/>
  <c r="D17713" i="1"/>
  <c r="E17713" i="1"/>
  <c r="F17713" i="1"/>
  <c r="G17713" i="1"/>
  <c r="H17713" i="1"/>
  <c r="A17714" i="1"/>
  <c r="B17714" i="1"/>
  <c r="C17714" i="1"/>
  <c r="D17714" i="1"/>
  <c r="E17714" i="1"/>
  <c r="F17714" i="1"/>
  <c r="G17714" i="1"/>
  <c r="H17714" i="1"/>
  <c r="A17715" i="1"/>
  <c r="B17715" i="1"/>
  <c r="C17715" i="1"/>
  <c r="D17715" i="1"/>
  <c r="E17715" i="1"/>
  <c r="F17715" i="1"/>
  <c r="G17715" i="1"/>
  <c r="H17715" i="1"/>
  <c r="A17716" i="1"/>
  <c r="B17716" i="1"/>
  <c r="C17716" i="1"/>
  <c r="D17716" i="1"/>
  <c r="E17716" i="1"/>
  <c r="F17716" i="1"/>
  <c r="G17716" i="1"/>
  <c r="H17716" i="1"/>
  <c r="A17717" i="1"/>
  <c r="B17717" i="1"/>
  <c r="C17717" i="1"/>
  <c r="D17717" i="1"/>
  <c r="E17717" i="1"/>
  <c r="F17717" i="1"/>
  <c r="G17717" i="1"/>
  <c r="H17717" i="1"/>
  <c r="A17718" i="1"/>
  <c r="B17718" i="1"/>
  <c r="C17718" i="1"/>
  <c r="D17718" i="1"/>
  <c r="E17718" i="1"/>
  <c r="F17718" i="1"/>
  <c r="G17718" i="1"/>
  <c r="H17718" i="1"/>
  <c r="A17719" i="1"/>
  <c r="B17719" i="1"/>
  <c r="C17719" i="1"/>
  <c r="D17719" i="1"/>
  <c r="E17719" i="1"/>
  <c r="F17719" i="1"/>
  <c r="G17719" i="1"/>
  <c r="H17719" i="1"/>
  <c r="A17720" i="1"/>
  <c r="B17720" i="1"/>
  <c r="C17720" i="1"/>
  <c r="D17720" i="1"/>
  <c r="E17720" i="1"/>
  <c r="F17720" i="1"/>
  <c r="G17720" i="1"/>
  <c r="H17720" i="1"/>
  <c r="A17721" i="1"/>
  <c r="B17721" i="1"/>
  <c r="C17721" i="1"/>
  <c r="D17721" i="1"/>
  <c r="E17721" i="1"/>
  <c r="F17721" i="1"/>
  <c r="G17721" i="1"/>
  <c r="H17721" i="1"/>
  <c r="A17722" i="1"/>
  <c r="B17722" i="1"/>
  <c r="C17722" i="1"/>
  <c r="D17722" i="1"/>
  <c r="E17722" i="1"/>
  <c r="F17722" i="1"/>
  <c r="G17722" i="1"/>
  <c r="H17722" i="1"/>
  <c r="A17723" i="1"/>
  <c r="B17723" i="1"/>
  <c r="C17723" i="1"/>
  <c r="D17723" i="1"/>
  <c r="E17723" i="1"/>
  <c r="F17723" i="1"/>
  <c r="G17723" i="1"/>
  <c r="H17723" i="1"/>
  <c r="A17724" i="1"/>
  <c r="B17724" i="1"/>
  <c r="C17724" i="1"/>
  <c r="D17724" i="1"/>
  <c r="E17724" i="1"/>
  <c r="F17724" i="1"/>
  <c r="G17724" i="1"/>
  <c r="H17724" i="1"/>
  <c r="A17725" i="1"/>
  <c r="B17725" i="1"/>
  <c r="C17725" i="1"/>
  <c r="D17725" i="1"/>
  <c r="E17725" i="1"/>
  <c r="F17725" i="1"/>
  <c r="G17725" i="1"/>
  <c r="H17725" i="1"/>
  <c r="A17726" i="1"/>
  <c r="B17726" i="1"/>
  <c r="C17726" i="1"/>
  <c r="D17726" i="1"/>
  <c r="E17726" i="1"/>
  <c r="F17726" i="1"/>
  <c r="G17726" i="1"/>
  <c r="H17726" i="1"/>
  <c r="A17727" i="1"/>
  <c r="B17727" i="1"/>
  <c r="C17727" i="1"/>
  <c r="D17727" i="1"/>
  <c r="E17727" i="1"/>
  <c r="F17727" i="1"/>
  <c r="G17727" i="1"/>
  <c r="H17727" i="1"/>
  <c r="A17728" i="1"/>
  <c r="B17728" i="1"/>
  <c r="C17728" i="1"/>
  <c r="D17728" i="1"/>
  <c r="E17728" i="1"/>
  <c r="F17728" i="1"/>
  <c r="G17728" i="1"/>
  <c r="H17728" i="1"/>
  <c r="A17729" i="1"/>
  <c r="B17729" i="1"/>
  <c r="C17729" i="1"/>
  <c r="D17729" i="1"/>
  <c r="E17729" i="1"/>
  <c r="F17729" i="1"/>
  <c r="G17729" i="1"/>
  <c r="H17729" i="1"/>
  <c r="A17730" i="1"/>
  <c r="B17730" i="1"/>
  <c r="C17730" i="1"/>
  <c r="D17730" i="1"/>
  <c r="E17730" i="1"/>
  <c r="F17730" i="1"/>
  <c r="G17730" i="1"/>
  <c r="H17730" i="1"/>
  <c r="A17731" i="1"/>
  <c r="B17731" i="1"/>
  <c r="C17731" i="1"/>
  <c r="D17731" i="1"/>
  <c r="E17731" i="1"/>
  <c r="F17731" i="1"/>
  <c r="G17731" i="1"/>
  <c r="H17731" i="1"/>
  <c r="A17732" i="1"/>
  <c r="B17732" i="1"/>
  <c r="C17732" i="1"/>
  <c r="D17732" i="1"/>
  <c r="E17732" i="1"/>
  <c r="F17732" i="1"/>
  <c r="G17732" i="1"/>
  <c r="H17732" i="1"/>
  <c r="A17733" i="1"/>
  <c r="B17733" i="1"/>
  <c r="C17733" i="1"/>
  <c r="D17733" i="1"/>
  <c r="E17733" i="1"/>
  <c r="F17733" i="1"/>
  <c r="G17733" i="1"/>
  <c r="H17733" i="1"/>
  <c r="A17734" i="1"/>
  <c r="B17734" i="1"/>
  <c r="C17734" i="1"/>
  <c r="D17734" i="1"/>
  <c r="E17734" i="1"/>
  <c r="F17734" i="1"/>
  <c r="G17734" i="1"/>
  <c r="H17734" i="1"/>
  <c r="A17735" i="1"/>
  <c r="B17735" i="1"/>
  <c r="C17735" i="1"/>
  <c r="D17735" i="1"/>
  <c r="E17735" i="1"/>
  <c r="F17735" i="1"/>
  <c r="G17735" i="1"/>
  <c r="H17735" i="1"/>
  <c r="A17736" i="1"/>
  <c r="B17736" i="1"/>
  <c r="C17736" i="1"/>
  <c r="D17736" i="1"/>
  <c r="E17736" i="1"/>
  <c r="F17736" i="1"/>
  <c r="G17736" i="1"/>
  <c r="H17736" i="1"/>
  <c r="A17737" i="1"/>
  <c r="B17737" i="1"/>
  <c r="C17737" i="1"/>
  <c r="D17737" i="1"/>
  <c r="E17737" i="1"/>
  <c r="F17737" i="1"/>
  <c r="G17737" i="1"/>
  <c r="H17737" i="1"/>
  <c r="A17738" i="1"/>
  <c r="B17738" i="1"/>
  <c r="C17738" i="1"/>
  <c r="D17738" i="1"/>
  <c r="E17738" i="1"/>
  <c r="F17738" i="1"/>
  <c r="G17738" i="1"/>
  <c r="H17738" i="1"/>
  <c r="A17739" i="1"/>
  <c r="B17739" i="1"/>
  <c r="C17739" i="1"/>
  <c r="D17739" i="1"/>
  <c r="E17739" i="1"/>
  <c r="F17739" i="1"/>
  <c r="G17739" i="1"/>
  <c r="H17739" i="1"/>
  <c r="A17740" i="1"/>
  <c r="B17740" i="1"/>
  <c r="C17740" i="1"/>
  <c r="D17740" i="1"/>
  <c r="E17740" i="1"/>
  <c r="F17740" i="1"/>
  <c r="G17740" i="1"/>
  <c r="H17740" i="1"/>
  <c r="A17741" i="1"/>
  <c r="B17741" i="1"/>
  <c r="C17741" i="1"/>
  <c r="D17741" i="1"/>
  <c r="E17741" i="1"/>
  <c r="F17741" i="1"/>
  <c r="G17741" i="1"/>
  <c r="H17741" i="1"/>
  <c r="A17742" i="1"/>
  <c r="B17742" i="1"/>
  <c r="C17742" i="1"/>
  <c r="D17742" i="1"/>
  <c r="E17742" i="1"/>
  <c r="F17742" i="1"/>
  <c r="G17742" i="1"/>
  <c r="H17742" i="1"/>
  <c r="A17743" i="1"/>
  <c r="B17743" i="1"/>
  <c r="C17743" i="1"/>
  <c r="D17743" i="1"/>
  <c r="E17743" i="1"/>
  <c r="F17743" i="1"/>
  <c r="G17743" i="1"/>
  <c r="H17743" i="1"/>
  <c r="A17744" i="1"/>
  <c r="B17744" i="1"/>
  <c r="C17744" i="1"/>
  <c r="D17744" i="1"/>
  <c r="E17744" i="1"/>
  <c r="F17744" i="1"/>
  <c r="G17744" i="1"/>
  <c r="H17744" i="1"/>
  <c r="A17745" i="1"/>
  <c r="B17745" i="1"/>
  <c r="C17745" i="1"/>
  <c r="D17745" i="1"/>
  <c r="E17745" i="1"/>
  <c r="F17745" i="1"/>
  <c r="G17745" i="1"/>
  <c r="H17745" i="1"/>
  <c r="A17746" i="1"/>
  <c r="B17746" i="1"/>
  <c r="C17746" i="1"/>
  <c r="D17746" i="1"/>
  <c r="E17746" i="1"/>
  <c r="F17746" i="1"/>
  <c r="G17746" i="1"/>
  <c r="H17746" i="1"/>
  <c r="A17747" i="1"/>
  <c r="B17747" i="1"/>
  <c r="C17747" i="1"/>
  <c r="D17747" i="1"/>
  <c r="E17747" i="1"/>
  <c r="F17747" i="1"/>
  <c r="G17747" i="1"/>
  <c r="H17747" i="1"/>
  <c r="A17748" i="1"/>
  <c r="B17748" i="1"/>
  <c r="C17748" i="1"/>
  <c r="D17748" i="1"/>
  <c r="E17748" i="1"/>
  <c r="F17748" i="1"/>
  <c r="G17748" i="1"/>
  <c r="H17748" i="1"/>
  <c r="A17749" i="1"/>
  <c r="B17749" i="1"/>
  <c r="C17749" i="1"/>
  <c r="D17749" i="1"/>
  <c r="E17749" i="1"/>
  <c r="F17749" i="1"/>
  <c r="G17749" i="1"/>
  <c r="H17749" i="1"/>
  <c r="A17750" i="1"/>
  <c r="B17750" i="1"/>
  <c r="C17750" i="1"/>
  <c r="D17750" i="1"/>
  <c r="E17750" i="1"/>
  <c r="F17750" i="1"/>
  <c r="G17750" i="1"/>
  <c r="H17750" i="1"/>
  <c r="A17751" i="1"/>
  <c r="B17751" i="1"/>
  <c r="C17751" i="1"/>
  <c r="D17751" i="1"/>
  <c r="E17751" i="1"/>
  <c r="F17751" i="1"/>
  <c r="G17751" i="1"/>
  <c r="H17751" i="1"/>
  <c r="A17752" i="1"/>
  <c r="B17752" i="1"/>
  <c r="C17752" i="1"/>
  <c r="D17752" i="1"/>
  <c r="E17752" i="1"/>
  <c r="F17752" i="1"/>
  <c r="G17752" i="1"/>
  <c r="H17752" i="1"/>
  <c r="A17753" i="1"/>
  <c r="B17753" i="1"/>
  <c r="C17753" i="1"/>
  <c r="D17753" i="1"/>
  <c r="E17753" i="1"/>
  <c r="F17753" i="1"/>
  <c r="G17753" i="1"/>
  <c r="H17753" i="1"/>
  <c r="A17754" i="1"/>
  <c r="B17754" i="1"/>
  <c r="C17754" i="1"/>
  <c r="D17754" i="1"/>
  <c r="E17754" i="1"/>
  <c r="F17754" i="1"/>
  <c r="G17754" i="1"/>
  <c r="H17754" i="1"/>
  <c r="A17755" i="1"/>
  <c r="B17755" i="1"/>
  <c r="C17755" i="1"/>
  <c r="D17755" i="1"/>
  <c r="E17755" i="1"/>
  <c r="F17755" i="1"/>
  <c r="G17755" i="1"/>
  <c r="H17755" i="1"/>
  <c r="A17756" i="1"/>
  <c r="B17756" i="1"/>
  <c r="C17756" i="1"/>
  <c r="D17756" i="1"/>
  <c r="E17756" i="1"/>
  <c r="F17756" i="1"/>
  <c r="G17756" i="1"/>
  <c r="H17756" i="1"/>
  <c r="A17757" i="1"/>
  <c r="B17757" i="1"/>
  <c r="C17757" i="1"/>
  <c r="D17757" i="1"/>
  <c r="E17757" i="1"/>
  <c r="F17757" i="1"/>
  <c r="G17757" i="1"/>
  <c r="H17757" i="1"/>
  <c r="A17758" i="1"/>
  <c r="B17758" i="1"/>
  <c r="C17758" i="1"/>
  <c r="D17758" i="1"/>
  <c r="E17758" i="1"/>
  <c r="F17758" i="1"/>
  <c r="G17758" i="1"/>
  <c r="H17758" i="1"/>
  <c r="A17759" i="1"/>
  <c r="B17759" i="1"/>
  <c r="C17759" i="1"/>
  <c r="D17759" i="1"/>
  <c r="E17759" i="1"/>
  <c r="F17759" i="1"/>
  <c r="G17759" i="1"/>
  <c r="H17759" i="1"/>
  <c r="A17760" i="1"/>
  <c r="B17760" i="1"/>
  <c r="C17760" i="1"/>
  <c r="D17760" i="1"/>
  <c r="E17760" i="1"/>
  <c r="F17760" i="1"/>
  <c r="G17760" i="1"/>
  <c r="H17760" i="1"/>
  <c r="A17761" i="1"/>
  <c r="B17761" i="1"/>
  <c r="C17761" i="1"/>
  <c r="D17761" i="1"/>
  <c r="E17761" i="1"/>
  <c r="F17761" i="1"/>
  <c r="G17761" i="1"/>
  <c r="H17761" i="1"/>
  <c r="A17762" i="1"/>
  <c r="B17762" i="1"/>
  <c r="C17762" i="1"/>
  <c r="D17762" i="1"/>
  <c r="E17762" i="1"/>
  <c r="F17762" i="1"/>
  <c r="G17762" i="1"/>
  <c r="H17762" i="1"/>
  <c r="A17763" i="1"/>
  <c r="B17763" i="1"/>
  <c r="C17763" i="1"/>
  <c r="D17763" i="1"/>
  <c r="E17763" i="1"/>
  <c r="F17763" i="1"/>
  <c r="G17763" i="1"/>
  <c r="H17763" i="1"/>
  <c r="A17764" i="1"/>
  <c r="B17764" i="1"/>
  <c r="C17764" i="1"/>
  <c r="D17764" i="1"/>
  <c r="E17764" i="1"/>
  <c r="F17764" i="1"/>
  <c r="G17764" i="1"/>
  <c r="H17764" i="1"/>
  <c r="A17765" i="1"/>
  <c r="B17765" i="1"/>
  <c r="C17765" i="1"/>
  <c r="D17765" i="1"/>
  <c r="E17765" i="1"/>
  <c r="F17765" i="1"/>
  <c r="G17765" i="1"/>
  <c r="H17765" i="1"/>
  <c r="A17766" i="1"/>
  <c r="B17766" i="1"/>
  <c r="C17766" i="1"/>
  <c r="D17766" i="1"/>
  <c r="E17766" i="1"/>
  <c r="F17766" i="1"/>
  <c r="G17766" i="1"/>
  <c r="H17766" i="1"/>
  <c r="A17767" i="1"/>
  <c r="B17767" i="1"/>
  <c r="C17767" i="1"/>
  <c r="D17767" i="1"/>
  <c r="E17767" i="1"/>
  <c r="F17767" i="1"/>
  <c r="G17767" i="1"/>
  <c r="H17767" i="1"/>
  <c r="A17768" i="1"/>
  <c r="B17768" i="1"/>
  <c r="C17768" i="1"/>
  <c r="D17768" i="1"/>
  <c r="E17768" i="1"/>
  <c r="F17768" i="1"/>
  <c r="G17768" i="1"/>
  <c r="H17768" i="1"/>
  <c r="A17769" i="1"/>
  <c r="B17769" i="1"/>
  <c r="C17769" i="1"/>
  <c r="D17769" i="1"/>
  <c r="E17769" i="1"/>
  <c r="F17769" i="1"/>
  <c r="G17769" i="1"/>
  <c r="H17769" i="1"/>
  <c r="A17770" i="1"/>
  <c r="B17770" i="1"/>
  <c r="C17770" i="1"/>
  <c r="D17770" i="1"/>
  <c r="E17770" i="1"/>
  <c r="F17770" i="1"/>
  <c r="G17770" i="1"/>
  <c r="H17770" i="1"/>
  <c r="A17771" i="1"/>
  <c r="B17771" i="1"/>
  <c r="C17771" i="1"/>
  <c r="D17771" i="1"/>
  <c r="E17771" i="1"/>
  <c r="F17771" i="1"/>
  <c r="G17771" i="1"/>
  <c r="H17771" i="1"/>
  <c r="A17772" i="1"/>
  <c r="B17772" i="1"/>
  <c r="C17772" i="1"/>
  <c r="D17772" i="1"/>
  <c r="E17772" i="1"/>
  <c r="F17772" i="1"/>
  <c r="G17772" i="1"/>
  <c r="H17772" i="1"/>
  <c r="A17773" i="1"/>
  <c r="B17773" i="1"/>
  <c r="C17773" i="1"/>
  <c r="D17773" i="1"/>
  <c r="E17773" i="1"/>
  <c r="F17773" i="1"/>
  <c r="G17773" i="1"/>
  <c r="H17773" i="1"/>
  <c r="A17774" i="1"/>
  <c r="B17774" i="1"/>
  <c r="C17774" i="1"/>
  <c r="D17774" i="1"/>
  <c r="E17774" i="1"/>
  <c r="F17774" i="1"/>
  <c r="G17774" i="1"/>
  <c r="H17774" i="1"/>
  <c r="A17775" i="1"/>
  <c r="B17775" i="1"/>
  <c r="C17775" i="1"/>
  <c r="D17775" i="1"/>
  <c r="E17775" i="1"/>
  <c r="F17775" i="1"/>
  <c r="G17775" i="1"/>
  <c r="H17775" i="1"/>
  <c r="A17776" i="1"/>
  <c r="B17776" i="1"/>
  <c r="C17776" i="1"/>
  <c r="D17776" i="1"/>
  <c r="E17776" i="1"/>
  <c r="F17776" i="1"/>
  <c r="G17776" i="1"/>
  <c r="H17776" i="1"/>
  <c r="A17777" i="1"/>
  <c r="B17777" i="1"/>
  <c r="C17777" i="1"/>
  <c r="D17777" i="1"/>
  <c r="E17777" i="1"/>
  <c r="F17777" i="1"/>
  <c r="G17777" i="1"/>
  <c r="H17777" i="1"/>
  <c r="A17778" i="1"/>
  <c r="B17778" i="1"/>
  <c r="C17778" i="1"/>
  <c r="D17778" i="1"/>
  <c r="E17778" i="1"/>
  <c r="F17778" i="1"/>
  <c r="G17778" i="1"/>
  <c r="H17778" i="1"/>
  <c r="A17779" i="1"/>
  <c r="B17779" i="1"/>
  <c r="C17779" i="1"/>
  <c r="D17779" i="1"/>
  <c r="E17779" i="1"/>
  <c r="F17779" i="1"/>
  <c r="G17779" i="1"/>
  <c r="H17779" i="1"/>
  <c r="A17780" i="1"/>
  <c r="B17780" i="1"/>
  <c r="C17780" i="1"/>
  <c r="D17780" i="1"/>
  <c r="E17780" i="1"/>
  <c r="F17780" i="1"/>
  <c r="G17780" i="1"/>
  <c r="H17780" i="1"/>
  <c r="A17781" i="1"/>
  <c r="B17781" i="1"/>
  <c r="C17781" i="1"/>
  <c r="D17781" i="1"/>
  <c r="E17781" i="1"/>
  <c r="F17781" i="1"/>
  <c r="G17781" i="1"/>
  <c r="H17781" i="1"/>
  <c r="A17782" i="1"/>
  <c r="B17782" i="1"/>
  <c r="C17782" i="1"/>
  <c r="D17782" i="1"/>
  <c r="E17782" i="1"/>
  <c r="F17782" i="1"/>
  <c r="G17782" i="1"/>
  <c r="H17782" i="1"/>
  <c r="A17783" i="1"/>
  <c r="B17783" i="1"/>
  <c r="C17783" i="1"/>
  <c r="D17783" i="1"/>
  <c r="E17783" i="1"/>
  <c r="F17783" i="1"/>
  <c r="G17783" i="1"/>
  <c r="H17783" i="1"/>
  <c r="A17784" i="1"/>
  <c r="B17784" i="1"/>
  <c r="C17784" i="1"/>
  <c r="D17784" i="1"/>
  <c r="E17784" i="1"/>
  <c r="F17784" i="1"/>
  <c r="G17784" i="1"/>
  <c r="H17784" i="1"/>
  <c r="A17785" i="1"/>
  <c r="B17785" i="1"/>
  <c r="C17785" i="1"/>
  <c r="D17785" i="1"/>
  <c r="E17785" i="1"/>
  <c r="F17785" i="1"/>
  <c r="G17785" i="1"/>
  <c r="H17785" i="1"/>
  <c r="A17786" i="1"/>
  <c r="B17786" i="1"/>
  <c r="C17786" i="1"/>
  <c r="D17786" i="1"/>
  <c r="E17786" i="1"/>
  <c r="F17786" i="1"/>
  <c r="G17786" i="1"/>
  <c r="H17786" i="1"/>
  <c r="A17787" i="1"/>
  <c r="B17787" i="1"/>
  <c r="C17787" i="1"/>
  <c r="D17787" i="1"/>
  <c r="E17787" i="1"/>
  <c r="F17787" i="1"/>
  <c r="G17787" i="1"/>
  <c r="H17787" i="1"/>
  <c r="A17788" i="1"/>
  <c r="B17788" i="1"/>
  <c r="C17788" i="1"/>
  <c r="D17788" i="1"/>
  <c r="E17788" i="1"/>
  <c r="F17788" i="1"/>
  <c r="G17788" i="1"/>
  <c r="H17788" i="1"/>
  <c r="A17789" i="1"/>
  <c r="B17789" i="1"/>
  <c r="C17789" i="1"/>
  <c r="D17789" i="1"/>
  <c r="E17789" i="1"/>
  <c r="F17789" i="1"/>
  <c r="G17789" i="1"/>
  <c r="H17789" i="1"/>
  <c r="A17790" i="1"/>
  <c r="B17790" i="1"/>
  <c r="C17790" i="1"/>
  <c r="D17790" i="1"/>
  <c r="E17790" i="1"/>
  <c r="F17790" i="1"/>
  <c r="G17790" i="1"/>
  <c r="H17790" i="1"/>
  <c r="A17791" i="1"/>
  <c r="B17791" i="1"/>
  <c r="C17791" i="1"/>
  <c r="D17791" i="1"/>
  <c r="E17791" i="1"/>
  <c r="F17791" i="1"/>
  <c r="G17791" i="1"/>
  <c r="H17791" i="1"/>
  <c r="A17792" i="1"/>
  <c r="B17792" i="1"/>
  <c r="C17792" i="1"/>
  <c r="D17792" i="1"/>
  <c r="E17792" i="1"/>
  <c r="F17792" i="1"/>
  <c r="G17792" i="1"/>
  <c r="H17792" i="1"/>
  <c r="A17793" i="1"/>
  <c r="B17793" i="1"/>
  <c r="C17793" i="1"/>
  <c r="D17793" i="1"/>
  <c r="E17793" i="1"/>
  <c r="F17793" i="1"/>
  <c r="G17793" i="1"/>
  <c r="H17793" i="1"/>
  <c r="A17794" i="1"/>
  <c r="B17794" i="1"/>
  <c r="C17794" i="1"/>
  <c r="D17794" i="1"/>
  <c r="E17794" i="1"/>
  <c r="F17794" i="1"/>
  <c r="G17794" i="1"/>
  <c r="H17794" i="1"/>
  <c r="A17795" i="1"/>
  <c r="B17795" i="1"/>
  <c r="C17795" i="1"/>
  <c r="D17795" i="1"/>
  <c r="E17795" i="1"/>
  <c r="F17795" i="1"/>
  <c r="G17795" i="1"/>
  <c r="H17795" i="1"/>
  <c r="A17796" i="1"/>
  <c r="B17796" i="1"/>
  <c r="C17796" i="1"/>
  <c r="D17796" i="1"/>
  <c r="E17796" i="1"/>
  <c r="F17796" i="1"/>
  <c r="G17796" i="1"/>
  <c r="H17796" i="1"/>
  <c r="A17797" i="1"/>
  <c r="B17797" i="1"/>
  <c r="C17797" i="1"/>
  <c r="D17797" i="1"/>
  <c r="E17797" i="1"/>
  <c r="F17797" i="1"/>
  <c r="G17797" i="1"/>
  <c r="H17797" i="1"/>
  <c r="A17798" i="1"/>
  <c r="B17798" i="1"/>
  <c r="C17798" i="1"/>
  <c r="D17798" i="1"/>
  <c r="E17798" i="1"/>
  <c r="F17798" i="1"/>
  <c r="G17798" i="1"/>
  <c r="H17798" i="1"/>
  <c r="A17799" i="1"/>
  <c r="B17799" i="1"/>
  <c r="C17799" i="1"/>
  <c r="D17799" i="1"/>
  <c r="E17799" i="1"/>
  <c r="F17799" i="1"/>
  <c r="G17799" i="1"/>
  <c r="H17799" i="1"/>
  <c r="A17800" i="1"/>
  <c r="B17800" i="1"/>
  <c r="C17800" i="1"/>
  <c r="D17800" i="1"/>
  <c r="E17800" i="1"/>
  <c r="F17800" i="1"/>
  <c r="G17800" i="1"/>
  <c r="H17800" i="1"/>
  <c r="A17801" i="1"/>
  <c r="B17801" i="1"/>
  <c r="C17801" i="1"/>
  <c r="D17801" i="1"/>
  <c r="E17801" i="1"/>
  <c r="F17801" i="1"/>
  <c r="G17801" i="1"/>
  <c r="H17801" i="1"/>
  <c r="A17802" i="1"/>
  <c r="B17802" i="1"/>
  <c r="C17802" i="1"/>
  <c r="D17802" i="1"/>
  <c r="E17802" i="1"/>
  <c r="F17802" i="1"/>
  <c r="G17802" i="1"/>
  <c r="H17802" i="1"/>
  <c r="A17803" i="1"/>
  <c r="B17803" i="1"/>
  <c r="C17803" i="1"/>
  <c r="D17803" i="1"/>
  <c r="E17803" i="1"/>
  <c r="F17803" i="1"/>
  <c r="G17803" i="1"/>
  <c r="H17803" i="1"/>
  <c r="A17804" i="1"/>
  <c r="B17804" i="1"/>
  <c r="C17804" i="1"/>
  <c r="D17804" i="1"/>
  <c r="E17804" i="1"/>
  <c r="F17804" i="1"/>
  <c r="G17804" i="1"/>
  <c r="H17804" i="1"/>
  <c r="A17805" i="1"/>
  <c r="B17805" i="1"/>
  <c r="C17805" i="1"/>
  <c r="D17805" i="1"/>
  <c r="E17805" i="1"/>
  <c r="F17805" i="1"/>
  <c r="G17805" i="1"/>
  <c r="H17805" i="1"/>
  <c r="A17806" i="1"/>
  <c r="B17806" i="1"/>
  <c r="C17806" i="1"/>
  <c r="D17806" i="1"/>
  <c r="E17806" i="1"/>
  <c r="F17806" i="1"/>
  <c r="G17806" i="1"/>
  <c r="H17806" i="1"/>
  <c r="A17807" i="1"/>
  <c r="B17807" i="1"/>
  <c r="C17807" i="1"/>
  <c r="D17807" i="1"/>
  <c r="E17807" i="1"/>
  <c r="F17807" i="1"/>
  <c r="G17807" i="1"/>
  <c r="H17807" i="1"/>
  <c r="A17808" i="1"/>
  <c r="B17808" i="1"/>
  <c r="C17808" i="1"/>
  <c r="D17808" i="1"/>
  <c r="E17808" i="1"/>
  <c r="F17808" i="1"/>
  <c r="G17808" i="1"/>
  <c r="H17808" i="1"/>
  <c r="A17809" i="1"/>
  <c r="B17809" i="1"/>
  <c r="C17809" i="1"/>
  <c r="D17809" i="1"/>
  <c r="E17809" i="1"/>
  <c r="F17809" i="1"/>
  <c r="G17809" i="1"/>
  <c r="H17809" i="1"/>
  <c r="A17810" i="1"/>
  <c r="B17810" i="1"/>
  <c r="C17810" i="1"/>
  <c r="D17810" i="1"/>
  <c r="E17810" i="1"/>
  <c r="F17810" i="1"/>
  <c r="G17810" i="1"/>
  <c r="H17810" i="1"/>
  <c r="A17811" i="1"/>
  <c r="B17811" i="1"/>
  <c r="C17811" i="1"/>
  <c r="D17811" i="1"/>
  <c r="E17811" i="1"/>
  <c r="F17811" i="1"/>
  <c r="G17811" i="1"/>
  <c r="H17811" i="1"/>
  <c r="A17812" i="1"/>
  <c r="B17812" i="1"/>
  <c r="C17812" i="1"/>
  <c r="D17812" i="1"/>
  <c r="E17812" i="1"/>
  <c r="F17812" i="1"/>
  <c r="G17812" i="1"/>
  <c r="H17812" i="1"/>
  <c r="A17813" i="1"/>
  <c r="B17813" i="1"/>
  <c r="C17813" i="1"/>
  <c r="D17813" i="1"/>
  <c r="E17813" i="1"/>
  <c r="F17813" i="1"/>
  <c r="G17813" i="1"/>
  <c r="H17813" i="1"/>
  <c r="A17814" i="1"/>
  <c r="B17814" i="1"/>
  <c r="C17814" i="1"/>
  <c r="D17814" i="1"/>
  <c r="E17814" i="1"/>
  <c r="F17814" i="1"/>
  <c r="G17814" i="1"/>
  <c r="H17814" i="1"/>
  <c r="A17815" i="1"/>
  <c r="B17815" i="1"/>
  <c r="C17815" i="1"/>
  <c r="D17815" i="1"/>
  <c r="E17815" i="1"/>
  <c r="F17815" i="1"/>
  <c r="G17815" i="1"/>
  <c r="H17815" i="1"/>
  <c r="A17816" i="1"/>
  <c r="B17816" i="1"/>
  <c r="C17816" i="1"/>
  <c r="D17816" i="1"/>
  <c r="E17816" i="1"/>
  <c r="F17816" i="1"/>
  <c r="G17816" i="1"/>
  <c r="H17816" i="1"/>
  <c r="A17817" i="1"/>
  <c r="B17817" i="1"/>
  <c r="C17817" i="1"/>
  <c r="D17817" i="1"/>
  <c r="E17817" i="1"/>
  <c r="F17817" i="1"/>
  <c r="G17817" i="1"/>
  <c r="H17817" i="1"/>
  <c r="A17818" i="1"/>
  <c r="B17818" i="1"/>
  <c r="C17818" i="1"/>
  <c r="D17818" i="1"/>
  <c r="E17818" i="1"/>
  <c r="F17818" i="1"/>
  <c r="G17818" i="1"/>
  <c r="H17818" i="1"/>
  <c r="A17819" i="1"/>
  <c r="B17819" i="1"/>
  <c r="C17819" i="1"/>
  <c r="D17819" i="1"/>
  <c r="E17819" i="1"/>
  <c r="F17819" i="1"/>
  <c r="G17819" i="1"/>
  <c r="H17819" i="1"/>
  <c r="A17820" i="1"/>
  <c r="B17820" i="1"/>
  <c r="C17820" i="1"/>
  <c r="D17820" i="1"/>
  <c r="E17820" i="1"/>
  <c r="F17820" i="1"/>
  <c r="G17820" i="1"/>
  <c r="H17820" i="1"/>
  <c r="A17821" i="1"/>
  <c r="B17821" i="1"/>
  <c r="C17821" i="1"/>
  <c r="D17821" i="1"/>
  <c r="E17821" i="1"/>
  <c r="F17821" i="1"/>
  <c r="G17821" i="1"/>
  <c r="H17821" i="1"/>
  <c r="A17822" i="1"/>
  <c r="B17822" i="1"/>
  <c r="C17822" i="1"/>
  <c r="D17822" i="1"/>
  <c r="E17822" i="1"/>
  <c r="F17822" i="1"/>
  <c r="G17822" i="1"/>
  <c r="H17822" i="1"/>
  <c r="A17823" i="1"/>
  <c r="B17823" i="1"/>
  <c r="C17823" i="1"/>
  <c r="D17823" i="1"/>
  <c r="E17823" i="1"/>
  <c r="F17823" i="1"/>
  <c r="G17823" i="1"/>
  <c r="H17823" i="1"/>
  <c r="A17824" i="1"/>
  <c r="B17824" i="1"/>
  <c r="C17824" i="1"/>
  <c r="D17824" i="1"/>
  <c r="E17824" i="1"/>
  <c r="F17824" i="1"/>
  <c r="G17824" i="1"/>
  <c r="H17824" i="1"/>
  <c r="A17825" i="1"/>
  <c r="B17825" i="1"/>
  <c r="C17825" i="1"/>
  <c r="D17825" i="1"/>
  <c r="E17825" i="1"/>
  <c r="F17825" i="1"/>
  <c r="G17825" i="1"/>
  <c r="H17825" i="1"/>
  <c r="A17826" i="1"/>
  <c r="B17826" i="1"/>
  <c r="C17826" i="1"/>
  <c r="D17826" i="1"/>
  <c r="E17826" i="1"/>
  <c r="F17826" i="1"/>
  <c r="G17826" i="1"/>
  <c r="H17826" i="1"/>
  <c r="A17827" i="1"/>
  <c r="B17827" i="1"/>
  <c r="C17827" i="1"/>
  <c r="D17827" i="1"/>
  <c r="E17827" i="1"/>
  <c r="F17827" i="1"/>
  <c r="G17827" i="1"/>
  <c r="H17827" i="1"/>
  <c r="A17828" i="1"/>
  <c r="B17828" i="1"/>
  <c r="C17828" i="1"/>
  <c r="D17828" i="1"/>
  <c r="E17828" i="1"/>
  <c r="F17828" i="1"/>
  <c r="G17828" i="1"/>
  <c r="H17828" i="1"/>
  <c r="A17829" i="1"/>
  <c r="B17829" i="1"/>
  <c r="C17829" i="1"/>
  <c r="D17829" i="1"/>
  <c r="E17829" i="1"/>
  <c r="F17829" i="1"/>
  <c r="G17829" i="1"/>
  <c r="H17829" i="1"/>
  <c r="A17830" i="1"/>
  <c r="B17830" i="1"/>
  <c r="C17830" i="1"/>
  <c r="D17830" i="1"/>
  <c r="E17830" i="1"/>
  <c r="F17830" i="1"/>
  <c r="G17830" i="1"/>
  <c r="H17830" i="1"/>
  <c r="A17831" i="1"/>
  <c r="B17831" i="1"/>
  <c r="C17831" i="1"/>
  <c r="D17831" i="1"/>
  <c r="E17831" i="1"/>
  <c r="F17831" i="1"/>
  <c r="G17831" i="1"/>
  <c r="H17831" i="1"/>
  <c r="A17832" i="1"/>
  <c r="B17832" i="1"/>
  <c r="C17832" i="1"/>
  <c r="D17832" i="1"/>
  <c r="E17832" i="1"/>
  <c r="F17832" i="1"/>
  <c r="G17832" i="1"/>
  <c r="H17832" i="1"/>
  <c r="A17833" i="1"/>
  <c r="B17833" i="1"/>
  <c r="C17833" i="1"/>
  <c r="D17833" i="1"/>
  <c r="E17833" i="1"/>
  <c r="F17833" i="1"/>
  <c r="G17833" i="1"/>
  <c r="H17833" i="1"/>
  <c r="A17834" i="1"/>
  <c r="B17834" i="1"/>
  <c r="C17834" i="1"/>
  <c r="D17834" i="1"/>
  <c r="E17834" i="1"/>
  <c r="F17834" i="1"/>
  <c r="G17834" i="1"/>
  <c r="H17834" i="1"/>
  <c r="A17835" i="1"/>
  <c r="B17835" i="1"/>
  <c r="C17835" i="1"/>
  <c r="D17835" i="1"/>
  <c r="E17835" i="1"/>
  <c r="F17835" i="1"/>
  <c r="G17835" i="1"/>
  <c r="H17835" i="1"/>
  <c r="A17836" i="1"/>
  <c r="B17836" i="1"/>
  <c r="C17836" i="1"/>
  <c r="D17836" i="1"/>
  <c r="E17836" i="1"/>
  <c r="F17836" i="1"/>
  <c r="G17836" i="1"/>
  <c r="H17836" i="1"/>
  <c r="A17837" i="1"/>
  <c r="B17837" i="1"/>
  <c r="C17837" i="1"/>
  <c r="D17837" i="1"/>
  <c r="E17837" i="1"/>
  <c r="F17837" i="1"/>
  <c r="G17837" i="1"/>
  <c r="H17837" i="1"/>
  <c r="A17838" i="1"/>
  <c r="B17838" i="1"/>
  <c r="C17838" i="1"/>
  <c r="D17838" i="1"/>
  <c r="E17838" i="1"/>
  <c r="F17838" i="1"/>
  <c r="G17838" i="1"/>
  <c r="H17838" i="1"/>
  <c r="A17839" i="1"/>
  <c r="B17839" i="1"/>
  <c r="C17839" i="1"/>
  <c r="D17839" i="1"/>
  <c r="E17839" i="1"/>
  <c r="F17839" i="1"/>
  <c r="G17839" i="1"/>
  <c r="H17839" i="1"/>
  <c r="A17840" i="1"/>
  <c r="B17840" i="1"/>
  <c r="C17840" i="1"/>
  <c r="D17840" i="1"/>
  <c r="E17840" i="1"/>
  <c r="F17840" i="1"/>
  <c r="G17840" i="1"/>
  <c r="H17840" i="1"/>
  <c r="A17841" i="1"/>
  <c r="B17841" i="1"/>
  <c r="C17841" i="1"/>
  <c r="D17841" i="1"/>
  <c r="E17841" i="1"/>
  <c r="F17841" i="1"/>
  <c r="G17841" i="1"/>
  <c r="H17841" i="1"/>
  <c r="A17842" i="1"/>
  <c r="B17842" i="1"/>
  <c r="C17842" i="1"/>
  <c r="D17842" i="1"/>
  <c r="E17842" i="1"/>
  <c r="F17842" i="1"/>
  <c r="G17842" i="1"/>
  <c r="H17842" i="1"/>
  <c r="A17843" i="1"/>
  <c r="B17843" i="1"/>
  <c r="C17843" i="1"/>
  <c r="D17843" i="1"/>
  <c r="E17843" i="1"/>
  <c r="F17843" i="1"/>
  <c r="G17843" i="1"/>
  <c r="H17843" i="1"/>
  <c r="A17844" i="1"/>
  <c r="B17844" i="1"/>
  <c r="C17844" i="1"/>
  <c r="D17844" i="1"/>
  <c r="E17844" i="1"/>
  <c r="F17844" i="1"/>
  <c r="G17844" i="1"/>
  <c r="H17844" i="1"/>
  <c r="A17845" i="1"/>
  <c r="B17845" i="1"/>
  <c r="C17845" i="1"/>
  <c r="D17845" i="1"/>
  <c r="E17845" i="1"/>
  <c r="F17845" i="1"/>
  <c r="G17845" i="1"/>
  <c r="H17845" i="1"/>
  <c r="A17846" i="1"/>
  <c r="B17846" i="1"/>
  <c r="C17846" i="1"/>
  <c r="D17846" i="1"/>
  <c r="E17846" i="1"/>
  <c r="F17846" i="1"/>
  <c r="G17846" i="1"/>
  <c r="H17846" i="1"/>
  <c r="A17847" i="1"/>
  <c r="B17847" i="1"/>
  <c r="C17847" i="1"/>
  <c r="D17847" i="1"/>
  <c r="E17847" i="1"/>
  <c r="F17847" i="1"/>
  <c r="G17847" i="1"/>
  <c r="H17847" i="1"/>
  <c r="A17848" i="1"/>
  <c r="B17848" i="1"/>
  <c r="C17848" i="1"/>
  <c r="D17848" i="1"/>
  <c r="E17848" i="1"/>
  <c r="F17848" i="1"/>
  <c r="G17848" i="1"/>
  <c r="H17848" i="1"/>
  <c r="A17849" i="1"/>
  <c r="B17849" i="1"/>
  <c r="C17849" i="1"/>
  <c r="D17849" i="1"/>
  <c r="E17849" i="1"/>
  <c r="F17849" i="1"/>
  <c r="G17849" i="1"/>
  <c r="H17849" i="1"/>
  <c r="A17850" i="1"/>
  <c r="B17850" i="1"/>
  <c r="C17850" i="1"/>
  <c r="D17850" i="1"/>
  <c r="E17850" i="1"/>
  <c r="F17850" i="1"/>
  <c r="G17850" i="1"/>
  <c r="H17850" i="1"/>
  <c r="A17851" i="1"/>
  <c r="B17851" i="1"/>
  <c r="C17851" i="1"/>
  <c r="D17851" i="1"/>
  <c r="E17851" i="1"/>
  <c r="F17851" i="1"/>
  <c r="G17851" i="1"/>
  <c r="H17851" i="1"/>
  <c r="A17852" i="1"/>
  <c r="B17852" i="1"/>
  <c r="C17852" i="1"/>
  <c r="D17852" i="1"/>
  <c r="E17852" i="1"/>
  <c r="F17852" i="1"/>
  <c r="G17852" i="1"/>
  <c r="H17852" i="1"/>
  <c r="A17853" i="1"/>
  <c r="B17853" i="1"/>
  <c r="C17853" i="1"/>
  <c r="D17853" i="1"/>
  <c r="E17853" i="1"/>
  <c r="F17853" i="1"/>
  <c r="G17853" i="1"/>
  <c r="H17853" i="1"/>
  <c r="A17854" i="1"/>
  <c r="B17854" i="1"/>
  <c r="C17854" i="1"/>
  <c r="D17854" i="1"/>
  <c r="E17854" i="1"/>
  <c r="F17854" i="1"/>
  <c r="G17854" i="1"/>
  <c r="H17854" i="1"/>
  <c r="A17855" i="1"/>
  <c r="B17855" i="1"/>
  <c r="C17855" i="1"/>
  <c r="D17855" i="1"/>
  <c r="E17855" i="1"/>
  <c r="F17855" i="1"/>
  <c r="G17855" i="1"/>
  <c r="H17855" i="1"/>
  <c r="A17856" i="1"/>
  <c r="B17856" i="1"/>
  <c r="C17856" i="1"/>
  <c r="D17856" i="1"/>
  <c r="E17856" i="1"/>
  <c r="F17856" i="1"/>
  <c r="G17856" i="1"/>
  <c r="H17856" i="1"/>
  <c r="A17857" i="1"/>
  <c r="B17857" i="1"/>
  <c r="C17857" i="1"/>
  <c r="D17857" i="1"/>
  <c r="E17857" i="1"/>
  <c r="F17857" i="1"/>
  <c r="G17857" i="1"/>
  <c r="H17857" i="1"/>
  <c r="A17858" i="1"/>
  <c r="B17858" i="1"/>
  <c r="C17858" i="1"/>
  <c r="D17858" i="1"/>
  <c r="E17858" i="1"/>
  <c r="F17858" i="1"/>
  <c r="G17858" i="1"/>
  <c r="H17858" i="1"/>
  <c r="A17859" i="1"/>
  <c r="B17859" i="1"/>
  <c r="C17859" i="1"/>
  <c r="D17859" i="1"/>
  <c r="E17859" i="1"/>
  <c r="F17859" i="1"/>
  <c r="G17859" i="1"/>
  <c r="H17859" i="1"/>
  <c r="A17860" i="1"/>
  <c r="B17860" i="1"/>
  <c r="C17860" i="1"/>
  <c r="D17860" i="1"/>
  <c r="E17860" i="1"/>
  <c r="F17860" i="1"/>
  <c r="G17860" i="1"/>
  <c r="H17860" i="1"/>
  <c r="A17861" i="1"/>
  <c r="B17861" i="1"/>
  <c r="C17861" i="1"/>
  <c r="D17861" i="1"/>
  <c r="E17861" i="1"/>
  <c r="F17861" i="1"/>
  <c r="G17861" i="1"/>
  <c r="H17861" i="1"/>
  <c r="A17862" i="1"/>
  <c r="B17862" i="1"/>
  <c r="C17862" i="1"/>
  <c r="D17862" i="1"/>
  <c r="E17862" i="1"/>
  <c r="F17862" i="1"/>
  <c r="G17862" i="1"/>
  <c r="H17862" i="1"/>
  <c r="A17863" i="1"/>
  <c r="B17863" i="1"/>
  <c r="C17863" i="1"/>
  <c r="D17863" i="1"/>
  <c r="E17863" i="1"/>
  <c r="F17863" i="1"/>
  <c r="G17863" i="1"/>
  <c r="H17863" i="1"/>
  <c r="A17864" i="1"/>
  <c r="B17864" i="1"/>
  <c r="C17864" i="1"/>
  <c r="D17864" i="1"/>
  <c r="E17864" i="1"/>
  <c r="F17864" i="1"/>
  <c r="G17864" i="1"/>
  <c r="H17864" i="1"/>
  <c r="A17865" i="1"/>
  <c r="B17865" i="1"/>
  <c r="C17865" i="1"/>
  <c r="D17865" i="1"/>
  <c r="E17865" i="1"/>
  <c r="F17865" i="1"/>
  <c r="G17865" i="1"/>
  <c r="H17865" i="1"/>
  <c r="A17866" i="1"/>
  <c r="B17866" i="1"/>
  <c r="C17866" i="1"/>
  <c r="D17866" i="1"/>
  <c r="E17866" i="1"/>
  <c r="F17866" i="1"/>
  <c r="G17866" i="1"/>
  <c r="H17866" i="1"/>
  <c r="A17867" i="1"/>
  <c r="B17867" i="1"/>
  <c r="C17867" i="1"/>
  <c r="D17867" i="1"/>
  <c r="E17867" i="1"/>
  <c r="F17867" i="1"/>
  <c r="G17867" i="1"/>
  <c r="H17867" i="1"/>
  <c r="A17868" i="1"/>
  <c r="B17868" i="1"/>
  <c r="C17868" i="1"/>
  <c r="D17868" i="1"/>
  <c r="E17868" i="1"/>
  <c r="F17868" i="1"/>
  <c r="G17868" i="1"/>
  <c r="H17868" i="1"/>
  <c r="A17869" i="1"/>
  <c r="B17869" i="1"/>
  <c r="C17869" i="1"/>
  <c r="D17869" i="1"/>
  <c r="E17869" i="1"/>
  <c r="F17869" i="1"/>
  <c r="G17869" i="1"/>
  <c r="H17869" i="1"/>
  <c r="A17870" i="1"/>
  <c r="B17870" i="1"/>
  <c r="C17870" i="1"/>
  <c r="D17870" i="1"/>
  <c r="E17870" i="1"/>
  <c r="F17870" i="1"/>
  <c r="G17870" i="1"/>
  <c r="H17870" i="1"/>
  <c r="A17871" i="1"/>
  <c r="B17871" i="1"/>
  <c r="C17871" i="1"/>
  <c r="D17871" i="1"/>
  <c r="E17871" i="1"/>
  <c r="F17871" i="1"/>
  <c r="G17871" i="1"/>
  <c r="H17871" i="1"/>
  <c r="A17872" i="1"/>
  <c r="B17872" i="1"/>
  <c r="C17872" i="1"/>
  <c r="D17872" i="1"/>
  <c r="E17872" i="1"/>
  <c r="F17872" i="1"/>
  <c r="G17872" i="1"/>
  <c r="H17872" i="1"/>
  <c r="A17873" i="1"/>
  <c r="B17873" i="1"/>
  <c r="C17873" i="1"/>
  <c r="D17873" i="1"/>
  <c r="E17873" i="1"/>
  <c r="F17873" i="1"/>
  <c r="G17873" i="1"/>
  <c r="H17873" i="1"/>
  <c r="A17874" i="1"/>
  <c r="B17874" i="1"/>
  <c r="C17874" i="1"/>
  <c r="D17874" i="1"/>
  <c r="E17874" i="1"/>
  <c r="F17874" i="1"/>
  <c r="G17874" i="1"/>
  <c r="H17874" i="1"/>
  <c r="A17875" i="1"/>
  <c r="B17875" i="1"/>
  <c r="C17875" i="1"/>
  <c r="D17875" i="1"/>
  <c r="E17875" i="1"/>
  <c r="F17875" i="1"/>
  <c r="G17875" i="1"/>
  <c r="H17875" i="1"/>
  <c r="A17876" i="1"/>
  <c r="B17876" i="1"/>
  <c r="C17876" i="1"/>
  <c r="D17876" i="1"/>
  <c r="E17876" i="1"/>
  <c r="F17876" i="1"/>
  <c r="G17876" i="1"/>
  <c r="H17876" i="1"/>
  <c r="A17877" i="1"/>
  <c r="B17877" i="1"/>
  <c r="C17877" i="1"/>
  <c r="D17877" i="1"/>
  <c r="E17877" i="1"/>
  <c r="F17877" i="1"/>
  <c r="G17877" i="1"/>
  <c r="H17877" i="1"/>
  <c r="A17878" i="1"/>
  <c r="B17878" i="1"/>
  <c r="C17878" i="1"/>
  <c r="D17878" i="1"/>
  <c r="E17878" i="1"/>
  <c r="F17878" i="1"/>
  <c r="G17878" i="1"/>
  <c r="H17878" i="1"/>
  <c r="A17879" i="1"/>
  <c r="B17879" i="1"/>
  <c r="C17879" i="1"/>
  <c r="D17879" i="1"/>
  <c r="E17879" i="1"/>
  <c r="F17879" i="1"/>
  <c r="G17879" i="1"/>
  <c r="H17879" i="1"/>
  <c r="A17880" i="1"/>
  <c r="B17880" i="1"/>
  <c r="C17880" i="1"/>
  <c r="D17880" i="1"/>
  <c r="E17880" i="1"/>
  <c r="F17880" i="1"/>
  <c r="G17880" i="1"/>
  <c r="H17880" i="1"/>
  <c r="A17881" i="1"/>
  <c r="B17881" i="1"/>
  <c r="C17881" i="1"/>
  <c r="D17881" i="1"/>
  <c r="E17881" i="1"/>
  <c r="F17881" i="1"/>
  <c r="G17881" i="1"/>
  <c r="H17881" i="1"/>
  <c r="A17882" i="1"/>
  <c r="B17882" i="1"/>
  <c r="C17882" i="1"/>
  <c r="D17882" i="1"/>
  <c r="E17882" i="1"/>
  <c r="F17882" i="1"/>
  <c r="G17882" i="1"/>
  <c r="H17882" i="1"/>
  <c r="A17883" i="1"/>
  <c r="B17883" i="1"/>
  <c r="C17883" i="1"/>
  <c r="D17883" i="1"/>
  <c r="E17883" i="1"/>
  <c r="F17883" i="1"/>
  <c r="G17883" i="1"/>
  <c r="H17883" i="1"/>
  <c r="A17884" i="1"/>
  <c r="B17884" i="1"/>
  <c r="C17884" i="1"/>
  <c r="D17884" i="1"/>
  <c r="E17884" i="1"/>
  <c r="F17884" i="1"/>
  <c r="G17884" i="1"/>
  <c r="H17884" i="1"/>
  <c r="A17885" i="1"/>
  <c r="B17885" i="1"/>
  <c r="C17885" i="1"/>
  <c r="D17885" i="1"/>
  <c r="E17885" i="1"/>
  <c r="F17885" i="1"/>
  <c r="G17885" i="1"/>
  <c r="H17885" i="1"/>
  <c r="A17886" i="1"/>
  <c r="B17886" i="1"/>
  <c r="C17886" i="1"/>
  <c r="D17886" i="1"/>
  <c r="E17886" i="1"/>
  <c r="F17886" i="1"/>
  <c r="G17886" i="1"/>
  <c r="H17886" i="1"/>
  <c r="A17887" i="1"/>
  <c r="B17887" i="1"/>
  <c r="C17887" i="1"/>
  <c r="D17887" i="1"/>
  <c r="E17887" i="1"/>
  <c r="F17887" i="1"/>
  <c r="G17887" i="1"/>
  <c r="H17887" i="1"/>
  <c r="A17888" i="1"/>
  <c r="B17888" i="1"/>
  <c r="C17888" i="1"/>
  <c r="D17888" i="1"/>
  <c r="E17888" i="1"/>
  <c r="F17888" i="1"/>
  <c r="G17888" i="1"/>
  <c r="H17888" i="1"/>
  <c r="A17889" i="1"/>
  <c r="B17889" i="1"/>
  <c r="C17889" i="1"/>
  <c r="D17889" i="1"/>
  <c r="E17889" i="1"/>
  <c r="F17889" i="1"/>
  <c r="G17889" i="1"/>
  <c r="H17889" i="1"/>
  <c r="A17890" i="1"/>
  <c r="B17890" i="1"/>
  <c r="C17890" i="1"/>
  <c r="D17890" i="1"/>
  <c r="E17890" i="1"/>
  <c r="F17890" i="1"/>
  <c r="G17890" i="1"/>
  <c r="H17890" i="1"/>
  <c r="A17891" i="1"/>
  <c r="B17891" i="1"/>
  <c r="C17891" i="1"/>
  <c r="D17891" i="1"/>
  <c r="E17891" i="1"/>
  <c r="F17891" i="1"/>
  <c r="G17891" i="1"/>
  <c r="H17891" i="1"/>
  <c r="A17892" i="1"/>
  <c r="B17892" i="1"/>
  <c r="C17892" i="1"/>
  <c r="D17892" i="1"/>
  <c r="E17892" i="1"/>
  <c r="F17892" i="1"/>
  <c r="G17892" i="1"/>
  <c r="H17892" i="1"/>
  <c r="A17893" i="1"/>
  <c r="B17893" i="1"/>
  <c r="C17893" i="1"/>
  <c r="D17893" i="1"/>
  <c r="E17893" i="1"/>
  <c r="F17893" i="1"/>
  <c r="G17893" i="1"/>
  <c r="H17893" i="1"/>
  <c r="A17894" i="1"/>
  <c r="B17894" i="1"/>
  <c r="C17894" i="1"/>
  <c r="D17894" i="1"/>
  <c r="E17894" i="1"/>
  <c r="F17894" i="1"/>
  <c r="G17894" i="1"/>
  <c r="H17894" i="1"/>
  <c r="A17895" i="1"/>
  <c r="B17895" i="1"/>
  <c r="C17895" i="1"/>
  <c r="D17895" i="1"/>
  <c r="E17895" i="1"/>
  <c r="F17895" i="1"/>
  <c r="G17895" i="1"/>
  <c r="H17895" i="1"/>
  <c r="A17896" i="1"/>
  <c r="B17896" i="1"/>
  <c r="C17896" i="1"/>
  <c r="D17896" i="1"/>
  <c r="E17896" i="1"/>
  <c r="F17896" i="1"/>
  <c r="G17896" i="1"/>
  <c r="H17896" i="1"/>
  <c r="A17897" i="1"/>
  <c r="B17897" i="1"/>
  <c r="C17897" i="1"/>
  <c r="D17897" i="1"/>
  <c r="E17897" i="1"/>
  <c r="F17897" i="1"/>
  <c r="G17897" i="1"/>
  <c r="H17897" i="1"/>
  <c r="A17898" i="1"/>
  <c r="B17898" i="1"/>
  <c r="C17898" i="1"/>
  <c r="D17898" i="1"/>
  <c r="E17898" i="1"/>
  <c r="F17898" i="1"/>
  <c r="G17898" i="1"/>
  <c r="H17898" i="1"/>
  <c r="A17899" i="1"/>
  <c r="B17899" i="1"/>
  <c r="C17899" i="1"/>
  <c r="D17899" i="1"/>
  <c r="E17899" i="1"/>
  <c r="F17899" i="1"/>
  <c r="G17899" i="1"/>
  <c r="H17899" i="1"/>
  <c r="A17900" i="1"/>
  <c r="B17900" i="1"/>
  <c r="C17900" i="1"/>
  <c r="D17900" i="1"/>
  <c r="E17900" i="1"/>
  <c r="F17900" i="1"/>
  <c r="G17900" i="1"/>
  <c r="H17900" i="1"/>
  <c r="A17901" i="1"/>
  <c r="B17901" i="1"/>
  <c r="C17901" i="1"/>
  <c r="D17901" i="1"/>
  <c r="E17901" i="1"/>
  <c r="F17901" i="1"/>
  <c r="G17901" i="1"/>
  <c r="H17901" i="1"/>
  <c r="A17902" i="1"/>
  <c r="B17902" i="1"/>
  <c r="C17902" i="1"/>
  <c r="D17902" i="1"/>
  <c r="E17902" i="1"/>
  <c r="F17902" i="1"/>
  <c r="G17902" i="1"/>
  <c r="H17902" i="1"/>
  <c r="A17903" i="1"/>
  <c r="B17903" i="1"/>
  <c r="C17903" i="1"/>
  <c r="D17903" i="1"/>
  <c r="E17903" i="1"/>
  <c r="F17903" i="1"/>
  <c r="G17903" i="1"/>
  <c r="H17903" i="1"/>
  <c r="A17904" i="1"/>
  <c r="B17904" i="1"/>
  <c r="C17904" i="1"/>
  <c r="D17904" i="1"/>
  <c r="E17904" i="1"/>
  <c r="F17904" i="1"/>
  <c r="G17904" i="1"/>
  <c r="H17904" i="1"/>
  <c r="A17905" i="1"/>
  <c r="B17905" i="1"/>
  <c r="C17905" i="1"/>
  <c r="D17905" i="1"/>
  <c r="E17905" i="1"/>
  <c r="F17905" i="1"/>
  <c r="G17905" i="1"/>
  <c r="H17905" i="1"/>
  <c r="A17906" i="1"/>
  <c r="B17906" i="1"/>
  <c r="C17906" i="1"/>
  <c r="D17906" i="1"/>
  <c r="E17906" i="1"/>
  <c r="F17906" i="1"/>
  <c r="G17906" i="1"/>
  <c r="H17906" i="1"/>
  <c r="A17907" i="1"/>
  <c r="B17907" i="1"/>
  <c r="C17907" i="1"/>
  <c r="D17907" i="1"/>
  <c r="E17907" i="1"/>
  <c r="F17907" i="1"/>
  <c r="G17907" i="1"/>
  <c r="H17907" i="1"/>
  <c r="A17908" i="1"/>
  <c r="B17908" i="1"/>
  <c r="C17908" i="1"/>
  <c r="D17908" i="1"/>
  <c r="E17908" i="1"/>
  <c r="F17908" i="1"/>
  <c r="G17908" i="1"/>
  <c r="H17908" i="1"/>
  <c r="A17909" i="1"/>
  <c r="B17909" i="1"/>
  <c r="C17909" i="1"/>
  <c r="D17909" i="1"/>
  <c r="E17909" i="1"/>
  <c r="F17909" i="1"/>
  <c r="G17909" i="1"/>
  <c r="H17909" i="1"/>
  <c r="A17910" i="1"/>
  <c r="B17910" i="1"/>
  <c r="C17910" i="1"/>
  <c r="D17910" i="1"/>
  <c r="E17910" i="1"/>
  <c r="F17910" i="1"/>
  <c r="G17910" i="1"/>
  <c r="H17910" i="1"/>
  <c r="A17911" i="1"/>
  <c r="B17911" i="1"/>
  <c r="C17911" i="1"/>
  <c r="D17911" i="1"/>
  <c r="E17911" i="1"/>
  <c r="F17911" i="1"/>
  <c r="G17911" i="1"/>
  <c r="H17911" i="1"/>
  <c r="A17912" i="1"/>
  <c r="B17912" i="1"/>
  <c r="C17912" i="1"/>
  <c r="D17912" i="1"/>
  <c r="E17912" i="1"/>
  <c r="F17912" i="1"/>
  <c r="G17912" i="1"/>
  <c r="H17912" i="1"/>
  <c r="A17913" i="1"/>
  <c r="B17913" i="1"/>
  <c r="C17913" i="1"/>
  <c r="D17913" i="1"/>
  <c r="E17913" i="1"/>
  <c r="F17913" i="1"/>
  <c r="G17913" i="1"/>
  <c r="H17913" i="1"/>
  <c r="A17914" i="1"/>
  <c r="B17914" i="1"/>
  <c r="C17914" i="1"/>
  <c r="D17914" i="1"/>
  <c r="E17914" i="1"/>
  <c r="F17914" i="1"/>
  <c r="G17914" i="1"/>
  <c r="H17914" i="1"/>
  <c r="A17915" i="1"/>
  <c r="B17915" i="1"/>
  <c r="C17915" i="1"/>
  <c r="D17915" i="1"/>
  <c r="E17915" i="1"/>
  <c r="F17915" i="1"/>
  <c r="G17915" i="1"/>
  <c r="H17915" i="1"/>
  <c r="A17916" i="1"/>
  <c r="B17916" i="1"/>
  <c r="C17916" i="1"/>
  <c r="D17916" i="1"/>
  <c r="E17916" i="1"/>
  <c r="F17916" i="1"/>
  <c r="G17916" i="1"/>
  <c r="H17916" i="1"/>
  <c r="A17917" i="1"/>
  <c r="B17917" i="1"/>
  <c r="C17917" i="1"/>
  <c r="D17917" i="1"/>
  <c r="E17917" i="1"/>
  <c r="F17917" i="1"/>
  <c r="G17917" i="1"/>
  <c r="H17917" i="1"/>
  <c r="A17918" i="1"/>
  <c r="B17918" i="1"/>
  <c r="C17918" i="1"/>
  <c r="D17918" i="1"/>
  <c r="E17918" i="1"/>
  <c r="F17918" i="1"/>
  <c r="G17918" i="1"/>
  <c r="H17918" i="1"/>
  <c r="A17919" i="1"/>
  <c r="B17919" i="1"/>
  <c r="C17919" i="1"/>
  <c r="D17919" i="1"/>
  <c r="E17919" i="1"/>
  <c r="F17919" i="1"/>
  <c r="G17919" i="1"/>
  <c r="H17919" i="1"/>
  <c r="A17920" i="1"/>
  <c r="B17920" i="1"/>
  <c r="C17920" i="1"/>
  <c r="D17920" i="1"/>
  <c r="E17920" i="1"/>
  <c r="F17920" i="1"/>
  <c r="G17920" i="1"/>
  <c r="H17920" i="1"/>
  <c r="A17921" i="1"/>
  <c r="B17921" i="1"/>
  <c r="C17921" i="1"/>
  <c r="D17921" i="1"/>
  <c r="E17921" i="1"/>
  <c r="F17921" i="1"/>
  <c r="G17921" i="1"/>
  <c r="H17921" i="1"/>
  <c r="A17922" i="1"/>
  <c r="B17922" i="1"/>
  <c r="C17922" i="1"/>
  <c r="D17922" i="1"/>
  <c r="E17922" i="1"/>
  <c r="F17922" i="1"/>
  <c r="G17922" i="1"/>
  <c r="H17922" i="1"/>
  <c r="A17923" i="1"/>
  <c r="B17923" i="1"/>
  <c r="C17923" i="1"/>
  <c r="D17923" i="1"/>
  <c r="E17923" i="1"/>
  <c r="F17923" i="1"/>
  <c r="G17923" i="1"/>
  <c r="H17923" i="1"/>
  <c r="A17924" i="1"/>
  <c r="B17924" i="1"/>
  <c r="C17924" i="1"/>
  <c r="D17924" i="1"/>
  <c r="E17924" i="1"/>
  <c r="F17924" i="1"/>
  <c r="G17924" i="1"/>
  <c r="H17924" i="1"/>
  <c r="A17925" i="1"/>
  <c r="B17925" i="1"/>
  <c r="C17925" i="1"/>
  <c r="D17925" i="1"/>
  <c r="E17925" i="1"/>
  <c r="F17925" i="1"/>
  <c r="G17925" i="1"/>
  <c r="H17925" i="1"/>
  <c r="A17926" i="1"/>
  <c r="B17926" i="1"/>
  <c r="C17926" i="1"/>
  <c r="D17926" i="1"/>
  <c r="E17926" i="1"/>
  <c r="F17926" i="1"/>
  <c r="G17926" i="1"/>
  <c r="H17926" i="1"/>
  <c r="A17927" i="1"/>
  <c r="B17927" i="1"/>
  <c r="C17927" i="1"/>
  <c r="D17927" i="1"/>
  <c r="E17927" i="1"/>
  <c r="F17927" i="1"/>
  <c r="G17927" i="1"/>
  <c r="H17927" i="1"/>
  <c r="A17928" i="1"/>
  <c r="B17928" i="1"/>
  <c r="C17928" i="1"/>
  <c r="D17928" i="1"/>
  <c r="E17928" i="1"/>
  <c r="F17928" i="1"/>
  <c r="G17928" i="1"/>
  <c r="H17928" i="1"/>
  <c r="A17929" i="1"/>
  <c r="B17929" i="1"/>
  <c r="C17929" i="1"/>
  <c r="D17929" i="1"/>
  <c r="E17929" i="1"/>
  <c r="F17929" i="1"/>
  <c r="G17929" i="1"/>
  <c r="H17929" i="1"/>
  <c r="A17930" i="1"/>
  <c r="B17930" i="1"/>
  <c r="C17930" i="1"/>
  <c r="D17930" i="1"/>
  <c r="E17930" i="1"/>
  <c r="F17930" i="1"/>
  <c r="G17930" i="1"/>
  <c r="H17930" i="1"/>
  <c r="A17931" i="1"/>
  <c r="B17931" i="1"/>
  <c r="C17931" i="1"/>
  <c r="D17931" i="1"/>
  <c r="E17931" i="1"/>
  <c r="F17931" i="1"/>
  <c r="G17931" i="1"/>
  <c r="H17931" i="1"/>
  <c r="A17932" i="1"/>
  <c r="B17932" i="1"/>
  <c r="C17932" i="1"/>
  <c r="D17932" i="1"/>
  <c r="E17932" i="1"/>
  <c r="F17932" i="1"/>
  <c r="G17932" i="1"/>
  <c r="H17932" i="1"/>
  <c r="A17933" i="1"/>
  <c r="B17933" i="1"/>
  <c r="C17933" i="1"/>
  <c r="D17933" i="1"/>
  <c r="E17933" i="1"/>
  <c r="F17933" i="1"/>
  <c r="G17933" i="1"/>
  <c r="H17933" i="1"/>
  <c r="A17934" i="1"/>
  <c r="B17934" i="1"/>
  <c r="C17934" i="1"/>
  <c r="D17934" i="1"/>
  <c r="E17934" i="1"/>
  <c r="F17934" i="1"/>
  <c r="G17934" i="1"/>
  <c r="H17934" i="1"/>
  <c r="A17935" i="1"/>
  <c r="B17935" i="1"/>
  <c r="C17935" i="1"/>
  <c r="D17935" i="1"/>
  <c r="E17935" i="1"/>
  <c r="F17935" i="1"/>
  <c r="G17935" i="1"/>
  <c r="H17935" i="1"/>
  <c r="A17936" i="1"/>
  <c r="B17936" i="1"/>
  <c r="C17936" i="1"/>
  <c r="D17936" i="1"/>
  <c r="E17936" i="1"/>
  <c r="F17936" i="1"/>
  <c r="G17936" i="1"/>
  <c r="H17936" i="1"/>
  <c r="A17937" i="1"/>
  <c r="B17937" i="1"/>
  <c r="C17937" i="1"/>
  <c r="D17937" i="1"/>
  <c r="E17937" i="1"/>
  <c r="F17937" i="1"/>
  <c r="G17937" i="1"/>
  <c r="H17937" i="1"/>
  <c r="A17938" i="1"/>
  <c r="B17938" i="1"/>
  <c r="C17938" i="1"/>
  <c r="D17938" i="1"/>
  <c r="E17938" i="1"/>
  <c r="F17938" i="1"/>
  <c r="G17938" i="1"/>
  <c r="H17938" i="1"/>
  <c r="A17939" i="1"/>
  <c r="B17939" i="1"/>
  <c r="C17939" i="1"/>
  <c r="D17939" i="1"/>
  <c r="E17939" i="1"/>
  <c r="F17939" i="1"/>
  <c r="G17939" i="1"/>
  <c r="H17939" i="1"/>
  <c r="A17940" i="1"/>
  <c r="B17940" i="1"/>
  <c r="C17940" i="1"/>
  <c r="D17940" i="1"/>
  <c r="E17940" i="1"/>
  <c r="F17940" i="1"/>
  <c r="G17940" i="1"/>
  <c r="H17940" i="1"/>
  <c r="A17941" i="1"/>
  <c r="B17941" i="1"/>
  <c r="C17941" i="1"/>
  <c r="D17941" i="1"/>
  <c r="E17941" i="1"/>
  <c r="F17941" i="1"/>
  <c r="G17941" i="1"/>
  <c r="H17941" i="1"/>
  <c r="A17942" i="1"/>
  <c r="B17942" i="1"/>
  <c r="C17942" i="1"/>
  <c r="D17942" i="1"/>
  <c r="E17942" i="1"/>
  <c r="F17942" i="1"/>
  <c r="G17942" i="1"/>
  <c r="H17942" i="1"/>
  <c r="A17943" i="1"/>
  <c r="B17943" i="1"/>
  <c r="C17943" i="1"/>
  <c r="D17943" i="1"/>
  <c r="E17943" i="1"/>
  <c r="F17943" i="1"/>
  <c r="G17943" i="1"/>
  <c r="H17943" i="1"/>
  <c r="A17944" i="1"/>
  <c r="B17944" i="1"/>
  <c r="C17944" i="1"/>
  <c r="D17944" i="1"/>
  <c r="E17944" i="1"/>
  <c r="F17944" i="1"/>
  <c r="G17944" i="1"/>
  <c r="H17944" i="1"/>
  <c r="A17945" i="1"/>
  <c r="B17945" i="1"/>
  <c r="C17945" i="1"/>
  <c r="D17945" i="1"/>
  <c r="E17945" i="1"/>
  <c r="F17945" i="1"/>
  <c r="G17945" i="1"/>
  <c r="H17945" i="1"/>
  <c r="A17946" i="1"/>
  <c r="B17946" i="1"/>
  <c r="C17946" i="1"/>
  <c r="D17946" i="1"/>
  <c r="E17946" i="1"/>
  <c r="F17946" i="1"/>
  <c r="G17946" i="1"/>
  <c r="H17946" i="1"/>
  <c r="A17947" i="1"/>
  <c r="B17947" i="1"/>
  <c r="C17947" i="1"/>
  <c r="D17947" i="1"/>
  <c r="E17947" i="1"/>
  <c r="F17947" i="1"/>
  <c r="G17947" i="1"/>
  <c r="H17947" i="1"/>
  <c r="A17948" i="1"/>
  <c r="B17948" i="1"/>
  <c r="C17948" i="1"/>
  <c r="D17948" i="1"/>
  <c r="E17948" i="1"/>
  <c r="F17948" i="1"/>
  <c r="G17948" i="1"/>
  <c r="H17948" i="1"/>
  <c r="A17949" i="1"/>
  <c r="B17949" i="1"/>
  <c r="C17949" i="1"/>
  <c r="D17949" i="1"/>
  <c r="E17949" i="1"/>
  <c r="F17949" i="1"/>
  <c r="G17949" i="1"/>
  <c r="H17949" i="1"/>
  <c r="A17950" i="1"/>
  <c r="B17950" i="1"/>
  <c r="C17950" i="1"/>
  <c r="D17950" i="1"/>
  <c r="E17950" i="1"/>
  <c r="F17950" i="1"/>
  <c r="G17950" i="1"/>
  <c r="H17950" i="1"/>
  <c r="A17951" i="1"/>
  <c r="B17951" i="1"/>
  <c r="C17951" i="1"/>
  <c r="D17951" i="1"/>
  <c r="E17951" i="1"/>
  <c r="F17951" i="1"/>
  <c r="G17951" i="1"/>
  <c r="H17951" i="1"/>
  <c r="A17952" i="1"/>
  <c r="B17952" i="1"/>
  <c r="C17952" i="1"/>
  <c r="D17952" i="1"/>
  <c r="E17952" i="1"/>
  <c r="F17952" i="1"/>
  <c r="G17952" i="1"/>
  <c r="H17952" i="1"/>
  <c r="A17953" i="1"/>
  <c r="B17953" i="1"/>
  <c r="C17953" i="1"/>
  <c r="D17953" i="1"/>
  <c r="E17953" i="1"/>
  <c r="F17953" i="1"/>
  <c r="G17953" i="1"/>
  <c r="H17953" i="1"/>
  <c r="A17954" i="1"/>
  <c r="B17954" i="1"/>
  <c r="C17954" i="1"/>
  <c r="D17954" i="1"/>
  <c r="E17954" i="1"/>
  <c r="F17954" i="1"/>
  <c r="G17954" i="1"/>
  <c r="H17954" i="1"/>
  <c r="A17955" i="1"/>
  <c r="B17955" i="1"/>
  <c r="C17955" i="1"/>
  <c r="D17955" i="1"/>
  <c r="E17955" i="1"/>
  <c r="F17955" i="1"/>
  <c r="G17955" i="1"/>
  <c r="H17955" i="1"/>
  <c r="A17956" i="1"/>
  <c r="B17956" i="1"/>
  <c r="C17956" i="1"/>
  <c r="D17956" i="1"/>
  <c r="E17956" i="1"/>
  <c r="F17956" i="1"/>
  <c r="G17956" i="1"/>
  <c r="H17956" i="1"/>
  <c r="A17957" i="1"/>
  <c r="B17957" i="1"/>
  <c r="C17957" i="1"/>
  <c r="D17957" i="1"/>
  <c r="E17957" i="1"/>
  <c r="F17957" i="1"/>
  <c r="G17957" i="1"/>
  <c r="H17957" i="1"/>
  <c r="A17958" i="1"/>
  <c r="B17958" i="1"/>
  <c r="C17958" i="1"/>
  <c r="D17958" i="1"/>
  <c r="E17958" i="1"/>
  <c r="F17958" i="1"/>
  <c r="G17958" i="1"/>
  <c r="H17958" i="1"/>
  <c r="A17959" i="1"/>
  <c r="B17959" i="1"/>
  <c r="C17959" i="1"/>
  <c r="D17959" i="1"/>
  <c r="E17959" i="1"/>
  <c r="F17959" i="1"/>
  <c r="G17959" i="1"/>
  <c r="H17959" i="1"/>
  <c r="A17960" i="1"/>
  <c r="B17960" i="1"/>
  <c r="C17960" i="1"/>
  <c r="D17960" i="1"/>
  <c r="E17960" i="1"/>
  <c r="F17960" i="1"/>
  <c r="G17960" i="1"/>
  <c r="H17960" i="1"/>
  <c r="A17961" i="1"/>
  <c r="B17961" i="1"/>
  <c r="C17961" i="1"/>
  <c r="D17961" i="1"/>
  <c r="E17961" i="1"/>
  <c r="F17961" i="1"/>
  <c r="G17961" i="1"/>
  <c r="H17961" i="1"/>
  <c r="A17962" i="1"/>
  <c r="B17962" i="1"/>
  <c r="C17962" i="1"/>
  <c r="D17962" i="1"/>
  <c r="E17962" i="1"/>
  <c r="F17962" i="1"/>
  <c r="G17962" i="1"/>
  <c r="H17962" i="1"/>
  <c r="A17963" i="1"/>
  <c r="B17963" i="1"/>
  <c r="C17963" i="1"/>
  <c r="D17963" i="1"/>
  <c r="E17963" i="1"/>
  <c r="F17963" i="1"/>
  <c r="G17963" i="1"/>
  <c r="H17963" i="1"/>
  <c r="A17964" i="1"/>
  <c r="B17964" i="1"/>
  <c r="C17964" i="1"/>
  <c r="D17964" i="1"/>
  <c r="E17964" i="1"/>
  <c r="F17964" i="1"/>
  <c r="G17964" i="1"/>
  <c r="H17964" i="1"/>
  <c r="A17965" i="1"/>
  <c r="B17965" i="1"/>
  <c r="C17965" i="1"/>
  <c r="D17965" i="1"/>
  <c r="E17965" i="1"/>
  <c r="F17965" i="1"/>
  <c r="G17965" i="1"/>
  <c r="H17965" i="1"/>
  <c r="A17966" i="1"/>
  <c r="B17966" i="1"/>
  <c r="C17966" i="1"/>
  <c r="D17966" i="1"/>
  <c r="E17966" i="1"/>
  <c r="F17966" i="1"/>
  <c r="G17966" i="1"/>
  <c r="H17966" i="1"/>
  <c r="A17967" i="1"/>
  <c r="B17967" i="1"/>
  <c r="C17967" i="1"/>
  <c r="D17967" i="1"/>
  <c r="E17967" i="1"/>
  <c r="F17967" i="1"/>
  <c r="G17967" i="1"/>
  <c r="H17967" i="1"/>
  <c r="A17968" i="1"/>
  <c r="B17968" i="1"/>
  <c r="C17968" i="1"/>
  <c r="D17968" i="1"/>
  <c r="E17968" i="1"/>
  <c r="F17968" i="1"/>
  <c r="G17968" i="1"/>
  <c r="H17968" i="1"/>
  <c r="A17969" i="1"/>
  <c r="B17969" i="1"/>
  <c r="C17969" i="1"/>
  <c r="D17969" i="1"/>
  <c r="E17969" i="1"/>
  <c r="F17969" i="1"/>
  <c r="G17969" i="1"/>
  <c r="H17969" i="1"/>
  <c r="A17970" i="1"/>
  <c r="B17970" i="1"/>
  <c r="C17970" i="1"/>
  <c r="D17970" i="1"/>
  <c r="E17970" i="1"/>
  <c r="F17970" i="1"/>
  <c r="G17970" i="1"/>
  <c r="H17970" i="1"/>
  <c r="A17971" i="1"/>
  <c r="B17971" i="1"/>
  <c r="C17971" i="1"/>
  <c r="D17971" i="1"/>
  <c r="E17971" i="1"/>
  <c r="F17971" i="1"/>
  <c r="G17971" i="1"/>
  <c r="H17971" i="1"/>
  <c r="A17972" i="1"/>
  <c r="B17972" i="1"/>
  <c r="C17972" i="1"/>
  <c r="D17972" i="1"/>
  <c r="E17972" i="1"/>
  <c r="F17972" i="1"/>
  <c r="G17972" i="1"/>
  <c r="H17972" i="1"/>
  <c r="A17973" i="1"/>
  <c r="B17973" i="1"/>
  <c r="C17973" i="1"/>
  <c r="D17973" i="1"/>
  <c r="E17973" i="1"/>
  <c r="F17973" i="1"/>
  <c r="G17973" i="1"/>
  <c r="H17973" i="1"/>
  <c r="A17974" i="1"/>
  <c r="B17974" i="1"/>
  <c r="C17974" i="1"/>
  <c r="D17974" i="1"/>
  <c r="E17974" i="1"/>
  <c r="F17974" i="1"/>
  <c r="G17974" i="1"/>
  <c r="H17974" i="1"/>
  <c r="A17975" i="1"/>
  <c r="B17975" i="1"/>
  <c r="C17975" i="1"/>
  <c r="D17975" i="1"/>
  <c r="E17975" i="1"/>
  <c r="F17975" i="1"/>
  <c r="G17975" i="1"/>
  <c r="H17975" i="1"/>
  <c r="A17976" i="1"/>
  <c r="B17976" i="1"/>
  <c r="C17976" i="1"/>
  <c r="D17976" i="1"/>
  <c r="E17976" i="1"/>
  <c r="F17976" i="1"/>
  <c r="G17976" i="1"/>
  <c r="H17976" i="1"/>
  <c r="A17977" i="1"/>
  <c r="B17977" i="1"/>
  <c r="C17977" i="1"/>
  <c r="D17977" i="1"/>
  <c r="E17977" i="1"/>
  <c r="F17977" i="1"/>
  <c r="G17977" i="1"/>
  <c r="H17977" i="1"/>
  <c r="A17978" i="1"/>
  <c r="B17978" i="1"/>
  <c r="C17978" i="1"/>
  <c r="D17978" i="1"/>
  <c r="E17978" i="1"/>
  <c r="F17978" i="1"/>
  <c r="G17978" i="1"/>
  <c r="H17978" i="1"/>
  <c r="A17979" i="1"/>
  <c r="B17979" i="1"/>
  <c r="C17979" i="1"/>
  <c r="D17979" i="1"/>
  <c r="E17979" i="1"/>
  <c r="F17979" i="1"/>
  <c r="G17979" i="1"/>
  <c r="H17979" i="1"/>
  <c r="A17980" i="1"/>
  <c r="B17980" i="1"/>
  <c r="C17980" i="1"/>
  <c r="D17980" i="1"/>
  <c r="E17980" i="1"/>
  <c r="F17980" i="1"/>
  <c r="G17980" i="1"/>
  <c r="H17980" i="1"/>
  <c r="A17981" i="1"/>
  <c r="B17981" i="1"/>
  <c r="C17981" i="1"/>
  <c r="D17981" i="1"/>
  <c r="E17981" i="1"/>
  <c r="F17981" i="1"/>
  <c r="G17981" i="1"/>
  <c r="H17981" i="1"/>
  <c r="A17982" i="1"/>
  <c r="B17982" i="1"/>
  <c r="C17982" i="1"/>
  <c r="D17982" i="1"/>
  <c r="E17982" i="1"/>
  <c r="F17982" i="1"/>
  <c r="G17982" i="1"/>
  <c r="H17982" i="1"/>
  <c r="A17983" i="1"/>
  <c r="B17983" i="1"/>
  <c r="C17983" i="1"/>
  <c r="D17983" i="1"/>
  <c r="E17983" i="1"/>
  <c r="F17983" i="1"/>
  <c r="G17983" i="1"/>
  <c r="H17983" i="1"/>
  <c r="A17984" i="1"/>
  <c r="B17984" i="1"/>
  <c r="C17984" i="1"/>
  <c r="D17984" i="1"/>
  <c r="E17984" i="1"/>
  <c r="F17984" i="1"/>
  <c r="G17984" i="1"/>
  <c r="H17984" i="1"/>
  <c r="A17985" i="1"/>
  <c r="B17985" i="1"/>
  <c r="C17985" i="1"/>
  <c r="D17985" i="1"/>
  <c r="E17985" i="1"/>
  <c r="F17985" i="1"/>
  <c r="G17985" i="1"/>
  <c r="H17985" i="1"/>
  <c r="A17986" i="1"/>
  <c r="B17986" i="1"/>
  <c r="C17986" i="1"/>
  <c r="D17986" i="1"/>
  <c r="E17986" i="1"/>
  <c r="F17986" i="1"/>
  <c r="G17986" i="1"/>
  <c r="H17986" i="1"/>
  <c r="A17987" i="1"/>
  <c r="B17987" i="1"/>
  <c r="C17987" i="1"/>
  <c r="D17987" i="1"/>
  <c r="E17987" i="1"/>
  <c r="F17987" i="1"/>
  <c r="G17987" i="1"/>
  <c r="H17987" i="1"/>
  <c r="A17988" i="1"/>
  <c r="B17988" i="1"/>
  <c r="C17988" i="1"/>
  <c r="D17988" i="1"/>
  <c r="E17988" i="1"/>
  <c r="F17988" i="1"/>
  <c r="G17988" i="1"/>
  <c r="H17988" i="1"/>
  <c r="A17989" i="1"/>
  <c r="B17989" i="1"/>
  <c r="C17989" i="1"/>
  <c r="D17989" i="1"/>
  <c r="E17989" i="1"/>
  <c r="F17989" i="1"/>
  <c r="G17989" i="1"/>
  <c r="H17989" i="1"/>
  <c r="A17990" i="1"/>
  <c r="B17990" i="1"/>
  <c r="C17990" i="1"/>
  <c r="D17990" i="1"/>
  <c r="E17990" i="1"/>
  <c r="F17990" i="1"/>
  <c r="G17990" i="1"/>
  <c r="H17990" i="1"/>
  <c r="A17991" i="1"/>
  <c r="B17991" i="1"/>
  <c r="C17991" i="1"/>
  <c r="D17991" i="1"/>
  <c r="E17991" i="1"/>
  <c r="F17991" i="1"/>
  <c r="G17991" i="1"/>
  <c r="H17991" i="1"/>
  <c r="A17992" i="1"/>
  <c r="B17992" i="1"/>
  <c r="C17992" i="1"/>
  <c r="D17992" i="1"/>
  <c r="E17992" i="1"/>
  <c r="F17992" i="1"/>
  <c r="G17992" i="1"/>
  <c r="H17992" i="1"/>
  <c r="A17993" i="1"/>
  <c r="B17993" i="1"/>
  <c r="C17993" i="1"/>
  <c r="D17993" i="1"/>
  <c r="E17993" i="1"/>
  <c r="F17993" i="1"/>
  <c r="G17993" i="1"/>
  <c r="H17993" i="1"/>
  <c r="A17994" i="1"/>
  <c r="B17994" i="1"/>
  <c r="C17994" i="1"/>
  <c r="D17994" i="1"/>
  <c r="E17994" i="1"/>
  <c r="F17994" i="1"/>
  <c r="G17994" i="1"/>
  <c r="H17994" i="1"/>
  <c r="A17995" i="1"/>
  <c r="B17995" i="1"/>
  <c r="C17995" i="1"/>
  <c r="D17995" i="1"/>
  <c r="E17995" i="1"/>
  <c r="F17995" i="1"/>
  <c r="G17995" i="1"/>
  <c r="H17995" i="1"/>
  <c r="A17996" i="1"/>
  <c r="B17996" i="1"/>
  <c r="C17996" i="1"/>
  <c r="D17996" i="1"/>
  <c r="E17996" i="1"/>
  <c r="F17996" i="1"/>
  <c r="G17996" i="1"/>
  <c r="H17996" i="1"/>
  <c r="A17997" i="1"/>
  <c r="B17997" i="1"/>
  <c r="C17997" i="1"/>
  <c r="D17997" i="1"/>
  <c r="E17997" i="1"/>
  <c r="F17997" i="1"/>
  <c r="G17997" i="1"/>
  <c r="H17997" i="1"/>
  <c r="A17998" i="1"/>
  <c r="B17998" i="1"/>
  <c r="C17998" i="1"/>
  <c r="D17998" i="1"/>
  <c r="E17998" i="1"/>
  <c r="F17998" i="1"/>
  <c r="G17998" i="1"/>
  <c r="H17998" i="1"/>
  <c r="A17999" i="1"/>
  <c r="B17999" i="1"/>
  <c r="C17999" i="1"/>
  <c r="D17999" i="1"/>
  <c r="E17999" i="1"/>
  <c r="F17999" i="1"/>
  <c r="G17999" i="1"/>
  <c r="H17999" i="1"/>
  <c r="A18000" i="1"/>
  <c r="B18000" i="1"/>
  <c r="C18000" i="1"/>
  <c r="D18000" i="1"/>
  <c r="E18000" i="1"/>
  <c r="F18000" i="1"/>
  <c r="G18000" i="1"/>
  <c r="H18000" i="1"/>
  <c r="A18001" i="1"/>
  <c r="B18001" i="1"/>
  <c r="C18001" i="1"/>
  <c r="D18001" i="1"/>
  <c r="E18001" i="1"/>
  <c r="F18001" i="1"/>
  <c r="G18001" i="1"/>
  <c r="H18001" i="1"/>
  <c r="A18002" i="1"/>
  <c r="B18002" i="1"/>
  <c r="C18002" i="1"/>
  <c r="D18002" i="1"/>
  <c r="E18002" i="1"/>
  <c r="F18002" i="1"/>
  <c r="G18002" i="1"/>
  <c r="H18002" i="1"/>
  <c r="A18003" i="1"/>
  <c r="B18003" i="1"/>
  <c r="C18003" i="1"/>
  <c r="D18003" i="1"/>
  <c r="E18003" i="1"/>
  <c r="F18003" i="1"/>
  <c r="G18003" i="1"/>
  <c r="H18003" i="1"/>
  <c r="A18004" i="1"/>
  <c r="B18004" i="1"/>
  <c r="C18004" i="1"/>
  <c r="D18004" i="1"/>
  <c r="E18004" i="1"/>
  <c r="F18004" i="1"/>
  <c r="G18004" i="1"/>
  <c r="H18004" i="1"/>
  <c r="A18005" i="1"/>
  <c r="B18005" i="1"/>
  <c r="C18005" i="1"/>
  <c r="D18005" i="1"/>
  <c r="E18005" i="1"/>
  <c r="F18005" i="1"/>
  <c r="G18005" i="1"/>
  <c r="H18005" i="1"/>
  <c r="A18006" i="1"/>
  <c r="B18006" i="1"/>
  <c r="C18006" i="1"/>
  <c r="D18006" i="1"/>
  <c r="E18006" i="1"/>
  <c r="F18006" i="1"/>
  <c r="G18006" i="1"/>
  <c r="H18006" i="1"/>
  <c r="A18007" i="1"/>
  <c r="B18007" i="1"/>
  <c r="C18007" i="1"/>
  <c r="D18007" i="1"/>
  <c r="E18007" i="1"/>
  <c r="F18007" i="1"/>
  <c r="G18007" i="1"/>
  <c r="H18007" i="1"/>
  <c r="A18008" i="1"/>
  <c r="B18008" i="1"/>
  <c r="C18008" i="1"/>
  <c r="D18008" i="1"/>
  <c r="E18008" i="1"/>
  <c r="F18008" i="1"/>
  <c r="G18008" i="1"/>
  <c r="H18008" i="1"/>
  <c r="A18009" i="1"/>
  <c r="B18009" i="1"/>
  <c r="C18009" i="1"/>
  <c r="D18009" i="1"/>
  <c r="E18009" i="1"/>
  <c r="F18009" i="1"/>
  <c r="G18009" i="1"/>
  <c r="H18009" i="1"/>
  <c r="A18010" i="1"/>
  <c r="B18010" i="1"/>
  <c r="C18010" i="1"/>
  <c r="D18010" i="1"/>
  <c r="E18010" i="1"/>
  <c r="F18010" i="1"/>
  <c r="G18010" i="1"/>
  <c r="H18010" i="1"/>
  <c r="A18011" i="1"/>
  <c r="B18011" i="1"/>
  <c r="C18011" i="1"/>
  <c r="D18011" i="1"/>
  <c r="E18011" i="1"/>
  <c r="F18011" i="1"/>
  <c r="G18011" i="1"/>
  <c r="H18011" i="1"/>
  <c r="A18012" i="1"/>
  <c r="B18012" i="1"/>
  <c r="C18012" i="1"/>
  <c r="D18012" i="1"/>
  <c r="E18012" i="1"/>
  <c r="F18012" i="1"/>
  <c r="G18012" i="1"/>
  <c r="H18012" i="1"/>
  <c r="A18013" i="1"/>
  <c r="B18013" i="1"/>
  <c r="C18013" i="1"/>
  <c r="D18013" i="1"/>
  <c r="E18013" i="1"/>
  <c r="F18013" i="1"/>
  <c r="G18013" i="1"/>
  <c r="H18013" i="1"/>
  <c r="A18014" i="1"/>
  <c r="B18014" i="1"/>
  <c r="C18014" i="1"/>
  <c r="D18014" i="1"/>
  <c r="E18014" i="1"/>
  <c r="F18014" i="1"/>
  <c r="G18014" i="1"/>
  <c r="H18014" i="1"/>
  <c r="A18015" i="1"/>
  <c r="B18015" i="1"/>
  <c r="C18015" i="1"/>
  <c r="D18015" i="1"/>
  <c r="E18015" i="1"/>
  <c r="F18015" i="1"/>
  <c r="G18015" i="1"/>
  <c r="H18015" i="1"/>
  <c r="A18016" i="1"/>
  <c r="B18016" i="1"/>
  <c r="C18016" i="1"/>
  <c r="D18016" i="1"/>
  <c r="E18016" i="1"/>
  <c r="F18016" i="1"/>
  <c r="G18016" i="1"/>
  <c r="H18016" i="1"/>
  <c r="A18017" i="1"/>
  <c r="B18017" i="1"/>
  <c r="C18017" i="1"/>
  <c r="D18017" i="1"/>
  <c r="E18017" i="1"/>
  <c r="F18017" i="1"/>
  <c r="G18017" i="1"/>
  <c r="H18017" i="1"/>
  <c r="A18018" i="1"/>
  <c r="B18018" i="1"/>
  <c r="C18018" i="1"/>
  <c r="D18018" i="1"/>
  <c r="E18018" i="1"/>
  <c r="F18018" i="1"/>
  <c r="G18018" i="1"/>
  <c r="H18018" i="1"/>
  <c r="A18019" i="1"/>
  <c r="B18019" i="1"/>
  <c r="C18019" i="1"/>
  <c r="D18019" i="1"/>
  <c r="E18019" i="1"/>
  <c r="F18019" i="1"/>
  <c r="G18019" i="1"/>
  <c r="H18019" i="1"/>
  <c r="A18020" i="1"/>
  <c r="B18020" i="1"/>
  <c r="C18020" i="1"/>
  <c r="D18020" i="1"/>
  <c r="E18020" i="1"/>
  <c r="F18020" i="1"/>
  <c r="G18020" i="1"/>
  <c r="H18020" i="1"/>
  <c r="A18021" i="1"/>
  <c r="B18021" i="1"/>
  <c r="C18021" i="1"/>
  <c r="D18021" i="1"/>
  <c r="E18021" i="1"/>
  <c r="F18021" i="1"/>
  <c r="G18021" i="1"/>
  <c r="H18021" i="1"/>
  <c r="A18022" i="1"/>
  <c r="B18022" i="1"/>
  <c r="C18022" i="1"/>
  <c r="D18022" i="1"/>
  <c r="E18022" i="1"/>
  <c r="F18022" i="1"/>
  <c r="G18022" i="1"/>
  <c r="H18022" i="1"/>
  <c r="A18023" i="1"/>
  <c r="B18023" i="1"/>
  <c r="C18023" i="1"/>
  <c r="D18023" i="1"/>
  <c r="E18023" i="1"/>
  <c r="F18023" i="1"/>
  <c r="G18023" i="1"/>
  <c r="H18023" i="1"/>
  <c r="A18024" i="1"/>
  <c r="B18024" i="1"/>
  <c r="C18024" i="1"/>
  <c r="D18024" i="1"/>
  <c r="E18024" i="1"/>
  <c r="F18024" i="1"/>
  <c r="G18024" i="1"/>
  <c r="H18024" i="1"/>
  <c r="A18025" i="1"/>
  <c r="B18025" i="1"/>
  <c r="C18025" i="1"/>
  <c r="D18025" i="1"/>
  <c r="E18025" i="1"/>
  <c r="F18025" i="1"/>
  <c r="G18025" i="1"/>
  <c r="H18025" i="1"/>
  <c r="A18026" i="1"/>
  <c r="B18026" i="1"/>
  <c r="C18026" i="1"/>
  <c r="D18026" i="1"/>
  <c r="E18026" i="1"/>
  <c r="F18026" i="1"/>
  <c r="G18026" i="1"/>
  <c r="H18026" i="1"/>
  <c r="A18027" i="1"/>
  <c r="B18027" i="1"/>
  <c r="C18027" i="1"/>
  <c r="D18027" i="1"/>
  <c r="E18027" i="1"/>
  <c r="F18027" i="1"/>
  <c r="G18027" i="1"/>
  <c r="H18027" i="1"/>
  <c r="A18028" i="1"/>
  <c r="B18028" i="1"/>
  <c r="C18028" i="1"/>
  <c r="D18028" i="1"/>
  <c r="E18028" i="1"/>
  <c r="F18028" i="1"/>
  <c r="G18028" i="1"/>
  <c r="H18028" i="1"/>
  <c r="A18029" i="1"/>
  <c r="B18029" i="1"/>
  <c r="C18029" i="1"/>
  <c r="D18029" i="1"/>
  <c r="E18029" i="1"/>
  <c r="F18029" i="1"/>
  <c r="G18029" i="1"/>
  <c r="H18029" i="1"/>
  <c r="A18030" i="1"/>
  <c r="B18030" i="1"/>
  <c r="C18030" i="1"/>
  <c r="D18030" i="1"/>
  <c r="E18030" i="1"/>
  <c r="F18030" i="1"/>
  <c r="G18030" i="1"/>
  <c r="H18030" i="1"/>
  <c r="A18031" i="1"/>
  <c r="B18031" i="1"/>
  <c r="C18031" i="1"/>
  <c r="D18031" i="1"/>
  <c r="E18031" i="1"/>
  <c r="F18031" i="1"/>
  <c r="G18031" i="1"/>
  <c r="H18031" i="1"/>
  <c r="A18032" i="1"/>
  <c r="B18032" i="1"/>
  <c r="C18032" i="1"/>
  <c r="D18032" i="1"/>
  <c r="E18032" i="1"/>
  <c r="F18032" i="1"/>
  <c r="G18032" i="1"/>
  <c r="H18032" i="1"/>
  <c r="A18033" i="1"/>
  <c r="B18033" i="1"/>
  <c r="C18033" i="1"/>
  <c r="D18033" i="1"/>
  <c r="E18033" i="1"/>
  <c r="F18033" i="1"/>
  <c r="G18033" i="1"/>
  <c r="H18033" i="1"/>
  <c r="A18034" i="1"/>
  <c r="B18034" i="1"/>
  <c r="C18034" i="1"/>
  <c r="D18034" i="1"/>
  <c r="E18034" i="1"/>
  <c r="F18034" i="1"/>
  <c r="G18034" i="1"/>
  <c r="H18034" i="1"/>
  <c r="A18035" i="1"/>
  <c r="B18035" i="1"/>
  <c r="C18035" i="1"/>
  <c r="D18035" i="1"/>
  <c r="E18035" i="1"/>
  <c r="F18035" i="1"/>
  <c r="G18035" i="1"/>
  <c r="H18035" i="1"/>
  <c r="A18036" i="1"/>
  <c r="B18036" i="1"/>
  <c r="C18036" i="1"/>
  <c r="D18036" i="1"/>
  <c r="E18036" i="1"/>
  <c r="F18036" i="1"/>
  <c r="G18036" i="1"/>
  <c r="H18036" i="1"/>
  <c r="A18037" i="1"/>
  <c r="B18037" i="1"/>
  <c r="C18037" i="1"/>
  <c r="D18037" i="1"/>
  <c r="E18037" i="1"/>
  <c r="F18037" i="1"/>
  <c r="G18037" i="1"/>
  <c r="H18037" i="1"/>
  <c r="A18038" i="1"/>
  <c r="B18038" i="1"/>
  <c r="C18038" i="1"/>
  <c r="D18038" i="1"/>
  <c r="E18038" i="1"/>
  <c r="F18038" i="1"/>
  <c r="G18038" i="1"/>
  <c r="H18038" i="1"/>
  <c r="A18039" i="1"/>
  <c r="B18039" i="1"/>
  <c r="C18039" i="1"/>
  <c r="D18039" i="1"/>
  <c r="E18039" i="1"/>
  <c r="F18039" i="1"/>
  <c r="G18039" i="1"/>
  <c r="H18039" i="1"/>
  <c r="A18040" i="1"/>
  <c r="B18040" i="1"/>
  <c r="C18040" i="1"/>
  <c r="D18040" i="1"/>
  <c r="E18040" i="1"/>
  <c r="F18040" i="1"/>
  <c r="G18040" i="1"/>
  <c r="H18040" i="1"/>
  <c r="A18041" i="1"/>
  <c r="B18041" i="1"/>
  <c r="C18041" i="1"/>
  <c r="D18041" i="1"/>
  <c r="E18041" i="1"/>
  <c r="F18041" i="1"/>
  <c r="G18041" i="1"/>
  <c r="H18041" i="1"/>
  <c r="A18042" i="1"/>
  <c r="B18042" i="1"/>
  <c r="C18042" i="1"/>
  <c r="D18042" i="1"/>
  <c r="E18042" i="1"/>
  <c r="F18042" i="1"/>
  <c r="G18042" i="1"/>
  <c r="H18042" i="1"/>
  <c r="A18043" i="1"/>
  <c r="B18043" i="1"/>
  <c r="C18043" i="1"/>
  <c r="D18043" i="1"/>
  <c r="E18043" i="1"/>
  <c r="F18043" i="1"/>
  <c r="G18043" i="1"/>
  <c r="H18043" i="1"/>
  <c r="A18044" i="1"/>
  <c r="B18044" i="1"/>
  <c r="C18044" i="1"/>
  <c r="D18044" i="1"/>
  <c r="E18044" i="1"/>
  <c r="F18044" i="1"/>
  <c r="G18044" i="1"/>
  <c r="H18044" i="1"/>
  <c r="A18045" i="1"/>
  <c r="B18045" i="1"/>
  <c r="C18045" i="1"/>
  <c r="D18045" i="1"/>
  <c r="E18045" i="1"/>
  <c r="F18045" i="1"/>
  <c r="G18045" i="1"/>
  <c r="H18045" i="1"/>
  <c r="A18046" i="1"/>
  <c r="B18046" i="1"/>
  <c r="C18046" i="1"/>
  <c r="D18046" i="1"/>
  <c r="E18046" i="1"/>
  <c r="F18046" i="1"/>
  <c r="G18046" i="1"/>
  <c r="H18046" i="1"/>
  <c r="A18047" i="1"/>
  <c r="B18047" i="1"/>
  <c r="C18047" i="1"/>
  <c r="D18047" i="1"/>
  <c r="E18047" i="1"/>
  <c r="F18047" i="1"/>
  <c r="G18047" i="1"/>
  <c r="H18047" i="1"/>
  <c r="A18048" i="1"/>
  <c r="B18048" i="1"/>
  <c r="C18048" i="1"/>
  <c r="D18048" i="1"/>
  <c r="E18048" i="1"/>
  <c r="F18048" i="1"/>
  <c r="G18048" i="1"/>
  <c r="H18048" i="1"/>
  <c r="A18049" i="1"/>
  <c r="B18049" i="1"/>
  <c r="C18049" i="1"/>
  <c r="D18049" i="1"/>
  <c r="E18049" i="1"/>
  <c r="F18049" i="1"/>
  <c r="G18049" i="1"/>
  <c r="H18049" i="1"/>
  <c r="A18050" i="1"/>
  <c r="B18050" i="1"/>
  <c r="C18050" i="1"/>
  <c r="D18050" i="1"/>
  <c r="E18050" i="1"/>
  <c r="F18050" i="1"/>
  <c r="G18050" i="1"/>
  <c r="H18050" i="1"/>
  <c r="A18051" i="1"/>
  <c r="B18051" i="1"/>
  <c r="C18051" i="1"/>
  <c r="D18051" i="1"/>
  <c r="E18051" i="1"/>
  <c r="F18051" i="1"/>
  <c r="G18051" i="1"/>
  <c r="H18051" i="1"/>
  <c r="A18052" i="1"/>
  <c r="B18052" i="1"/>
  <c r="C18052" i="1"/>
  <c r="D18052" i="1"/>
  <c r="E18052" i="1"/>
  <c r="F18052" i="1"/>
  <c r="G18052" i="1"/>
  <c r="H18052" i="1"/>
  <c r="A18053" i="1"/>
  <c r="B18053" i="1"/>
  <c r="C18053" i="1"/>
  <c r="D18053" i="1"/>
  <c r="E18053" i="1"/>
  <c r="F18053" i="1"/>
  <c r="G18053" i="1"/>
  <c r="H18053" i="1"/>
  <c r="A18054" i="1"/>
  <c r="B18054" i="1"/>
  <c r="C18054" i="1"/>
  <c r="D18054" i="1"/>
  <c r="E18054" i="1"/>
  <c r="F18054" i="1"/>
  <c r="G18054" i="1"/>
  <c r="H18054" i="1"/>
  <c r="A18055" i="1"/>
  <c r="B18055" i="1"/>
  <c r="C18055" i="1"/>
  <c r="D18055" i="1"/>
  <c r="E18055" i="1"/>
  <c r="F18055" i="1"/>
  <c r="G18055" i="1"/>
  <c r="H18055" i="1"/>
  <c r="A18056" i="1"/>
  <c r="B18056" i="1"/>
  <c r="C18056" i="1"/>
  <c r="D18056" i="1"/>
  <c r="E18056" i="1"/>
  <c r="F18056" i="1"/>
  <c r="G18056" i="1"/>
  <c r="H18056" i="1"/>
  <c r="A18057" i="1"/>
  <c r="B18057" i="1"/>
  <c r="C18057" i="1"/>
  <c r="D18057" i="1"/>
  <c r="E18057" i="1"/>
  <c r="F18057" i="1"/>
  <c r="G18057" i="1"/>
  <c r="H18057" i="1"/>
  <c r="A18058" i="1"/>
  <c r="B18058" i="1"/>
  <c r="C18058" i="1"/>
  <c r="D18058" i="1"/>
  <c r="E18058" i="1"/>
  <c r="F18058" i="1"/>
  <c r="G18058" i="1"/>
  <c r="H18058" i="1"/>
  <c r="A18059" i="1"/>
  <c r="B18059" i="1"/>
  <c r="C18059" i="1"/>
  <c r="D18059" i="1"/>
  <c r="E18059" i="1"/>
  <c r="F18059" i="1"/>
  <c r="G18059" i="1"/>
  <c r="H18059" i="1"/>
  <c r="A18060" i="1"/>
  <c r="B18060" i="1"/>
  <c r="C18060" i="1"/>
  <c r="D18060" i="1"/>
  <c r="E18060" i="1"/>
  <c r="F18060" i="1"/>
  <c r="G18060" i="1"/>
  <c r="H18060" i="1"/>
  <c r="A18061" i="1"/>
  <c r="B18061" i="1"/>
  <c r="C18061" i="1"/>
  <c r="D18061" i="1"/>
  <c r="E18061" i="1"/>
  <c r="F18061" i="1"/>
  <c r="G18061" i="1"/>
  <c r="H18061" i="1"/>
  <c r="A18062" i="1"/>
  <c r="B18062" i="1"/>
  <c r="C18062" i="1"/>
  <c r="D18062" i="1"/>
  <c r="E18062" i="1"/>
  <c r="F18062" i="1"/>
  <c r="G18062" i="1"/>
  <c r="H18062" i="1"/>
  <c r="A18063" i="1"/>
  <c r="B18063" i="1"/>
  <c r="C18063" i="1"/>
  <c r="D18063" i="1"/>
  <c r="E18063" i="1"/>
  <c r="F18063" i="1"/>
  <c r="G18063" i="1"/>
  <c r="H18063" i="1"/>
  <c r="A18064" i="1"/>
  <c r="B18064" i="1"/>
  <c r="C18064" i="1"/>
  <c r="D18064" i="1"/>
  <c r="E18064" i="1"/>
  <c r="F18064" i="1"/>
  <c r="G18064" i="1"/>
  <c r="H18064" i="1"/>
  <c r="A18065" i="1"/>
  <c r="B18065" i="1"/>
  <c r="C18065" i="1"/>
  <c r="D18065" i="1"/>
  <c r="E18065" i="1"/>
  <c r="F18065" i="1"/>
  <c r="G18065" i="1"/>
  <c r="H18065" i="1"/>
  <c r="A18066" i="1"/>
  <c r="B18066" i="1"/>
  <c r="C18066" i="1"/>
  <c r="D18066" i="1"/>
  <c r="E18066" i="1"/>
  <c r="F18066" i="1"/>
  <c r="G18066" i="1"/>
  <c r="H18066" i="1"/>
  <c r="A18067" i="1"/>
  <c r="B18067" i="1"/>
  <c r="C18067" i="1"/>
  <c r="D18067" i="1"/>
  <c r="E18067" i="1"/>
  <c r="F18067" i="1"/>
  <c r="G18067" i="1"/>
  <c r="H18067" i="1"/>
  <c r="A18068" i="1"/>
  <c r="B18068" i="1"/>
  <c r="C18068" i="1"/>
  <c r="D18068" i="1"/>
  <c r="E18068" i="1"/>
  <c r="F18068" i="1"/>
  <c r="G18068" i="1"/>
  <c r="H18068" i="1"/>
  <c r="A18069" i="1"/>
  <c r="B18069" i="1"/>
  <c r="C18069" i="1"/>
  <c r="D18069" i="1"/>
  <c r="E18069" i="1"/>
  <c r="F18069" i="1"/>
  <c r="G18069" i="1"/>
  <c r="H18069" i="1"/>
  <c r="A18070" i="1"/>
  <c r="B18070" i="1"/>
  <c r="C18070" i="1"/>
  <c r="D18070" i="1"/>
  <c r="E18070" i="1"/>
  <c r="F18070" i="1"/>
  <c r="G18070" i="1"/>
  <c r="H18070" i="1"/>
  <c r="A18071" i="1"/>
  <c r="B18071" i="1"/>
  <c r="C18071" i="1"/>
  <c r="D18071" i="1"/>
  <c r="E18071" i="1"/>
  <c r="F18071" i="1"/>
  <c r="G18071" i="1"/>
  <c r="H18071" i="1"/>
  <c r="A18072" i="1"/>
  <c r="B18072" i="1"/>
  <c r="C18072" i="1"/>
  <c r="D18072" i="1"/>
  <c r="E18072" i="1"/>
  <c r="F18072" i="1"/>
  <c r="G18072" i="1"/>
  <c r="H18072" i="1"/>
  <c r="A18073" i="1"/>
  <c r="B18073" i="1"/>
  <c r="C18073" i="1"/>
  <c r="D18073" i="1"/>
  <c r="E18073" i="1"/>
  <c r="F18073" i="1"/>
  <c r="G18073" i="1"/>
  <c r="H18073" i="1"/>
  <c r="A18074" i="1"/>
  <c r="B18074" i="1"/>
  <c r="C18074" i="1"/>
  <c r="D18074" i="1"/>
  <c r="E18074" i="1"/>
  <c r="F18074" i="1"/>
  <c r="G18074" i="1"/>
  <c r="H18074" i="1"/>
  <c r="A18075" i="1"/>
  <c r="B18075" i="1"/>
  <c r="C18075" i="1"/>
  <c r="D18075" i="1"/>
  <c r="E18075" i="1"/>
  <c r="F18075" i="1"/>
  <c r="G18075" i="1"/>
  <c r="H18075" i="1"/>
  <c r="A18076" i="1"/>
  <c r="B18076" i="1"/>
  <c r="C18076" i="1"/>
  <c r="D18076" i="1"/>
  <c r="E18076" i="1"/>
  <c r="F18076" i="1"/>
  <c r="G18076" i="1"/>
  <c r="H18076" i="1"/>
  <c r="A18077" i="1"/>
  <c r="B18077" i="1"/>
  <c r="C18077" i="1"/>
  <c r="D18077" i="1"/>
  <c r="E18077" i="1"/>
  <c r="F18077" i="1"/>
  <c r="G18077" i="1"/>
  <c r="H18077" i="1"/>
  <c r="A18078" i="1"/>
  <c r="B18078" i="1"/>
  <c r="C18078" i="1"/>
  <c r="D18078" i="1"/>
  <c r="E18078" i="1"/>
  <c r="F18078" i="1"/>
  <c r="G18078" i="1"/>
  <c r="H18078" i="1"/>
  <c r="A18079" i="1"/>
  <c r="B18079" i="1"/>
  <c r="C18079" i="1"/>
  <c r="D18079" i="1"/>
  <c r="E18079" i="1"/>
  <c r="F18079" i="1"/>
  <c r="G18079" i="1"/>
  <c r="H18079" i="1"/>
  <c r="A18080" i="1"/>
  <c r="B18080" i="1"/>
  <c r="C18080" i="1"/>
  <c r="D18080" i="1"/>
  <c r="E18080" i="1"/>
  <c r="F18080" i="1"/>
  <c r="G18080" i="1"/>
  <c r="H18080" i="1"/>
  <c r="A18081" i="1"/>
  <c r="B18081" i="1"/>
  <c r="C18081" i="1"/>
  <c r="D18081" i="1"/>
  <c r="E18081" i="1"/>
  <c r="F18081" i="1"/>
  <c r="G18081" i="1"/>
  <c r="H18081" i="1"/>
  <c r="A18082" i="1"/>
  <c r="B18082" i="1"/>
  <c r="C18082" i="1"/>
  <c r="D18082" i="1"/>
  <c r="E18082" i="1"/>
  <c r="F18082" i="1"/>
  <c r="G18082" i="1"/>
  <c r="H18082" i="1"/>
  <c r="A18083" i="1"/>
  <c r="B18083" i="1"/>
  <c r="C18083" i="1"/>
  <c r="D18083" i="1"/>
  <c r="E18083" i="1"/>
  <c r="F18083" i="1"/>
  <c r="G18083" i="1"/>
  <c r="H18083" i="1"/>
  <c r="A18084" i="1"/>
  <c r="B18084" i="1"/>
  <c r="C18084" i="1"/>
  <c r="D18084" i="1"/>
  <c r="E18084" i="1"/>
  <c r="F18084" i="1"/>
  <c r="G18084" i="1"/>
  <c r="H18084" i="1"/>
  <c r="A18085" i="1"/>
  <c r="B18085" i="1"/>
  <c r="C18085" i="1"/>
  <c r="D18085" i="1"/>
  <c r="E18085" i="1"/>
  <c r="F18085" i="1"/>
  <c r="G18085" i="1"/>
  <c r="H18085" i="1"/>
  <c r="A18086" i="1"/>
  <c r="B18086" i="1"/>
  <c r="C18086" i="1"/>
  <c r="D18086" i="1"/>
  <c r="E18086" i="1"/>
  <c r="F18086" i="1"/>
  <c r="G18086" i="1"/>
  <c r="H18086" i="1"/>
  <c r="A18087" i="1"/>
  <c r="B18087" i="1"/>
  <c r="C18087" i="1"/>
  <c r="D18087" i="1"/>
  <c r="E18087" i="1"/>
  <c r="F18087" i="1"/>
  <c r="G18087" i="1"/>
  <c r="H18087" i="1"/>
  <c r="A18088" i="1"/>
  <c r="B18088" i="1"/>
  <c r="C18088" i="1"/>
  <c r="D18088" i="1"/>
  <c r="E18088" i="1"/>
  <c r="F18088" i="1"/>
  <c r="G18088" i="1"/>
  <c r="H18088" i="1"/>
  <c r="A18089" i="1"/>
  <c r="B18089" i="1"/>
  <c r="C18089" i="1"/>
  <c r="D18089" i="1"/>
  <c r="E18089" i="1"/>
  <c r="F18089" i="1"/>
  <c r="G18089" i="1"/>
  <c r="H18089" i="1"/>
  <c r="A18090" i="1"/>
  <c r="B18090" i="1"/>
  <c r="C18090" i="1"/>
  <c r="D18090" i="1"/>
  <c r="E18090" i="1"/>
  <c r="F18090" i="1"/>
  <c r="G18090" i="1"/>
  <c r="H18090" i="1"/>
  <c r="A18091" i="1"/>
  <c r="B18091" i="1"/>
  <c r="C18091" i="1"/>
  <c r="D18091" i="1"/>
  <c r="E18091" i="1"/>
  <c r="F18091" i="1"/>
  <c r="G18091" i="1"/>
  <c r="H18091" i="1"/>
  <c r="A18092" i="1"/>
  <c r="B18092" i="1"/>
  <c r="C18092" i="1"/>
  <c r="D18092" i="1"/>
  <c r="E18092" i="1"/>
  <c r="F18092" i="1"/>
  <c r="G18092" i="1"/>
  <c r="H18092" i="1"/>
  <c r="A18093" i="1"/>
  <c r="B18093" i="1"/>
  <c r="C18093" i="1"/>
  <c r="D18093" i="1"/>
  <c r="E18093" i="1"/>
  <c r="F18093" i="1"/>
  <c r="G18093" i="1"/>
  <c r="H18093" i="1"/>
  <c r="A18094" i="1"/>
  <c r="B18094" i="1"/>
  <c r="C18094" i="1"/>
  <c r="D18094" i="1"/>
  <c r="E18094" i="1"/>
  <c r="F18094" i="1"/>
  <c r="G18094" i="1"/>
  <c r="H18094" i="1"/>
  <c r="A18095" i="1"/>
  <c r="B18095" i="1"/>
  <c r="C18095" i="1"/>
  <c r="D18095" i="1"/>
  <c r="E18095" i="1"/>
  <c r="F18095" i="1"/>
  <c r="G18095" i="1"/>
  <c r="H18095" i="1"/>
  <c r="A18096" i="1"/>
  <c r="B18096" i="1"/>
  <c r="C18096" i="1"/>
  <c r="D18096" i="1"/>
  <c r="E18096" i="1"/>
  <c r="F18096" i="1"/>
  <c r="G18096" i="1"/>
  <c r="H18096" i="1"/>
  <c r="A18097" i="1"/>
  <c r="B18097" i="1"/>
  <c r="C18097" i="1"/>
  <c r="D18097" i="1"/>
  <c r="E18097" i="1"/>
  <c r="F18097" i="1"/>
  <c r="G18097" i="1"/>
  <c r="H18097" i="1"/>
  <c r="A18098" i="1"/>
  <c r="B18098" i="1"/>
  <c r="C18098" i="1"/>
  <c r="D18098" i="1"/>
  <c r="E18098" i="1"/>
  <c r="F18098" i="1"/>
  <c r="G18098" i="1"/>
  <c r="H18098" i="1"/>
  <c r="A18099" i="1"/>
  <c r="B18099" i="1"/>
  <c r="C18099" i="1"/>
  <c r="D18099" i="1"/>
  <c r="E18099" i="1"/>
  <c r="F18099" i="1"/>
  <c r="G18099" i="1"/>
  <c r="H18099" i="1"/>
  <c r="A18100" i="1"/>
  <c r="B18100" i="1"/>
  <c r="C18100" i="1"/>
  <c r="D18100" i="1"/>
  <c r="E18100" i="1"/>
  <c r="F18100" i="1"/>
  <c r="G18100" i="1"/>
  <c r="H18100" i="1"/>
  <c r="A18101" i="1"/>
  <c r="B18101" i="1"/>
  <c r="C18101" i="1"/>
  <c r="D18101" i="1"/>
  <c r="E18101" i="1"/>
  <c r="F18101" i="1"/>
  <c r="G18101" i="1"/>
  <c r="H18101" i="1"/>
  <c r="A18102" i="1"/>
  <c r="B18102" i="1"/>
  <c r="C18102" i="1"/>
  <c r="D18102" i="1"/>
  <c r="E18102" i="1"/>
  <c r="F18102" i="1"/>
  <c r="G18102" i="1"/>
  <c r="H18102" i="1"/>
  <c r="A18103" i="1"/>
  <c r="B18103" i="1"/>
  <c r="C18103" i="1"/>
  <c r="D18103" i="1"/>
  <c r="E18103" i="1"/>
  <c r="F18103" i="1"/>
  <c r="G18103" i="1"/>
  <c r="H18103" i="1"/>
  <c r="A18104" i="1"/>
  <c r="B18104" i="1"/>
  <c r="C18104" i="1"/>
  <c r="D18104" i="1"/>
  <c r="E18104" i="1"/>
  <c r="F18104" i="1"/>
  <c r="G18104" i="1"/>
  <c r="H18104" i="1"/>
  <c r="A18105" i="1"/>
  <c r="B18105" i="1"/>
  <c r="C18105" i="1"/>
  <c r="D18105" i="1"/>
  <c r="E18105" i="1"/>
  <c r="F18105" i="1"/>
  <c r="G18105" i="1"/>
  <c r="H18105" i="1"/>
  <c r="A18106" i="1"/>
  <c r="B18106" i="1"/>
  <c r="C18106" i="1"/>
  <c r="D18106" i="1"/>
  <c r="E18106" i="1"/>
  <c r="F18106" i="1"/>
  <c r="G18106" i="1"/>
  <c r="H18106" i="1"/>
  <c r="A18107" i="1"/>
  <c r="B18107" i="1"/>
  <c r="C18107" i="1"/>
  <c r="D18107" i="1"/>
  <c r="E18107" i="1"/>
  <c r="F18107" i="1"/>
  <c r="G18107" i="1"/>
  <c r="H18107" i="1"/>
  <c r="A18108" i="1"/>
  <c r="B18108" i="1"/>
  <c r="C18108" i="1"/>
  <c r="D18108" i="1"/>
  <c r="E18108" i="1"/>
  <c r="F18108" i="1"/>
  <c r="G18108" i="1"/>
  <c r="H18108" i="1"/>
  <c r="A18109" i="1"/>
  <c r="B18109" i="1"/>
  <c r="C18109" i="1"/>
  <c r="D18109" i="1"/>
  <c r="E18109" i="1"/>
  <c r="F18109" i="1"/>
  <c r="G18109" i="1"/>
  <c r="H18109" i="1"/>
  <c r="A18110" i="1"/>
  <c r="B18110" i="1"/>
  <c r="C18110" i="1"/>
  <c r="D18110" i="1"/>
  <c r="E18110" i="1"/>
  <c r="F18110" i="1"/>
  <c r="G18110" i="1"/>
  <c r="H18110" i="1"/>
  <c r="A18111" i="1"/>
  <c r="B18111" i="1"/>
  <c r="C18111" i="1"/>
  <c r="D18111" i="1"/>
  <c r="E18111" i="1"/>
  <c r="F18111" i="1"/>
  <c r="G18111" i="1"/>
  <c r="H18111" i="1"/>
  <c r="A18112" i="1"/>
  <c r="B18112" i="1"/>
  <c r="C18112" i="1"/>
  <c r="D18112" i="1"/>
  <c r="E18112" i="1"/>
  <c r="F18112" i="1"/>
  <c r="G18112" i="1"/>
  <c r="H18112" i="1"/>
  <c r="A18113" i="1"/>
  <c r="B18113" i="1"/>
  <c r="C18113" i="1"/>
  <c r="D18113" i="1"/>
  <c r="E18113" i="1"/>
  <c r="F18113" i="1"/>
  <c r="G18113" i="1"/>
  <c r="H18113" i="1"/>
  <c r="A18114" i="1"/>
  <c r="B18114" i="1"/>
  <c r="C18114" i="1"/>
  <c r="D18114" i="1"/>
  <c r="E18114" i="1"/>
  <c r="F18114" i="1"/>
  <c r="G18114" i="1"/>
  <c r="H18114" i="1"/>
  <c r="A18115" i="1"/>
  <c r="B18115" i="1"/>
  <c r="C18115" i="1"/>
  <c r="D18115" i="1"/>
  <c r="E18115" i="1"/>
  <c r="F18115" i="1"/>
  <c r="G18115" i="1"/>
  <c r="H18115" i="1"/>
  <c r="A18116" i="1"/>
  <c r="B18116" i="1"/>
  <c r="C18116" i="1"/>
  <c r="D18116" i="1"/>
  <c r="E18116" i="1"/>
  <c r="F18116" i="1"/>
  <c r="G18116" i="1"/>
  <c r="H18116" i="1"/>
  <c r="A18117" i="1"/>
  <c r="B18117" i="1"/>
  <c r="C18117" i="1"/>
  <c r="D18117" i="1"/>
  <c r="E18117" i="1"/>
  <c r="F18117" i="1"/>
  <c r="G18117" i="1"/>
  <c r="H18117" i="1"/>
  <c r="A18118" i="1"/>
  <c r="B18118" i="1"/>
  <c r="C18118" i="1"/>
  <c r="D18118" i="1"/>
  <c r="E18118" i="1"/>
  <c r="F18118" i="1"/>
  <c r="G18118" i="1"/>
  <c r="H18118" i="1"/>
  <c r="A18119" i="1"/>
  <c r="B18119" i="1"/>
  <c r="C18119" i="1"/>
  <c r="D18119" i="1"/>
  <c r="E18119" i="1"/>
  <c r="F18119" i="1"/>
  <c r="G18119" i="1"/>
  <c r="H18119" i="1"/>
  <c r="A18120" i="1"/>
  <c r="B18120" i="1"/>
  <c r="C18120" i="1"/>
  <c r="D18120" i="1"/>
  <c r="E18120" i="1"/>
  <c r="F18120" i="1"/>
  <c r="G18120" i="1"/>
  <c r="H18120" i="1"/>
  <c r="A18121" i="1"/>
  <c r="B18121" i="1"/>
  <c r="C18121" i="1"/>
  <c r="D18121" i="1"/>
  <c r="E18121" i="1"/>
  <c r="F18121" i="1"/>
  <c r="G18121" i="1"/>
  <c r="H18121" i="1"/>
  <c r="A18122" i="1"/>
  <c r="B18122" i="1"/>
  <c r="C18122" i="1"/>
  <c r="D18122" i="1"/>
  <c r="E18122" i="1"/>
  <c r="F18122" i="1"/>
  <c r="G18122" i="1"/>
  <c r="H18122" i="1"/>
  <c r="A18123" i="1"/>
  <c r="B18123" i="1"/>
  <c r="C18123" i="1"/>
  <c r="D18123" i="1"/>
  <c r="E18123" i="1"/>
  <c r="F18123" i="1"/>
  <c r="G18123" i="1"/>
  <c r="H18123" i="1"/>
  <c r="A18124" i="1"/>
  <c r="B18124" i="1"/>
  <c r="C18124" i="1"/>
  <c r="D18124" i="1"/>
  <c r="E18124" i="1"/>
  <c r="F18124" i="1"/>
  <c r="G18124" i="1"/>
  <c r="H18124" i="1"/>
  <c r="A18125" i="1"/>
  <c r="B18125" i="1"/>
  <c r="C18125" i="1"/>
  <c r="D18125" i="1"/>
  <c r="E18125" i="1"/>
  <c r="F18125" i="1"/>
  <c r="G18125" i="1"/>
  <c r="H18125" i="1"/>
  <c r="A18126" i="1"/>
  <c r="B18126" i="1"/>
  <c r="C18126" i="1"/>
  <c r="D18126" i="1"/>
  <c r="E18126" i="1"/>
  <c r="F18126" i="1"/>
  <c r="G18126" i="1"/>
  <c r="H18126" i="1"/>
  <c r="A18127" i="1"/>
  <c r="B18127" i="1"/>
  <c r="C18127" i="1"/>
  <c r="D18127" i="1"/>
  <c r="E18127" i="1"/>
  <c r="F18127" i="1"/>
  <c r="G18127" i="1"/>
  <c r="H18127" i="1"/>
  <c r="A18128" i="1"/>
  <c r="B18128" i="1"/>
  <c r="C18128" i="1"/>
  <c r="D18128" i="1"/>
  <c r="E18128" i="1"/>
  <c r="F18128" i="1"/>
  <c r="G18128" i="1"/>
  <c r="H18128" i="1"/>
  <c r="A18129" i="1"/>
  <c r="B18129" i="1"/>
  <c r="C18129" i="1"/>
  <c r="D18129" i="1"/>
  <c r="E18129" i="1"/>
  <c r="F18129" i="1"/>
  <c r="G18129" i="1"/>
  <c r="H18129" i="1"/>
  <c r="A18130" i="1"/>
  <c r="B18130" i="1"/>
  <c r="C18130" i="1"/>
  <c r="D18130" i="1"/>
  <c r="E18130" i="1"/>
  <c r="F18130" i="1"/>
  <c r="G18130" i="1"/>
  <c r="H18130" i="1"/>
  <c r="A18131" i="1"/>
  <c r="B18131" i="1"/>
  <c r="C18131" i="1"/>
  <c r="D18131" i="1"/>
  <c r="E18131" i="1"/>
  <c r="F18131" i="1"/>
  <c r="G18131" i="1"/>
  <c r="H18131" i="1"/>
  <c r="A18132" i="1"/>
  <c r="B18132" i="1"/>
  <c r="C18132" i="1"/>
  <c r="D18132" i="1"/>
  <c r="E18132" i="1"/>
  <c r="F18132" i="1"/>
  <c r="G18132" i="1"/>
  <c r="H18132" i="1"/>
  <c r="A18133" i="1"/>
  <c r="B18133" i="1"/>
  <c r="C18133" i="1"/>
  <c r="D18133" i="1"/>
  <c r="E18133" i="1"/>
  <c r="F18133" i="1"/>
  <c r="G18133" i="1"/>
  <c r="H18133" i="1"/>
  <c r="A18134" i="1"/>
  <c r="B18134" i="1"/>
  <c r="C18134" i="1"/>
  <c r="D18134" i="1"/>
  <c r="E18134" i="1"/>
  <c r="F18134" i="1"/>
  <c r="G18134" i="1"/>
  <c r="H18134" i="1"/>
  <c r="A18135" i="1"/>
  <c r="B18135" i="1"/>
  <c r="C18135" i="1"/>
  <c r="D18135" i="1"/>
  <c r="E18135" i="1"/>
  <c r="F18135" i="1"/>
  <c r="G18135" i="1"/>
  <c r="H18135" i="1"/>
  <c r="A18136" i="1"/>
  <c r="B18136" i="1"/>
  <c r="C18136" i="1"/>
  <c r="D18136" i="1"/>
  <c r="E18136" i="1"/>
  <c r="F18136" i="1"/>
  <c r="G18136" i="1"/>
  <c r="H18136" i="1"/>
  <c r="A18137" i="1"/>
  <c r="B18137" i="1"/>
  <c r="C18137" i="1"/>
  <c r="D18137" i="1"/>
  <c r="E18137" i="1"/>
  <c r="F18137" i="1"/>
  <c r="G18137" i="1"/>
  <c r="H18137" i="1"/>
  <c r="A18138" i="1"/>
  <c r="B18138" i="1"/>
  <c r="C18138" i="1"/>
  <c r="D18138" i="1"/>
  <c r="E18138" i="1"/>
  <c r="F18138" i="1"/>
  <c r="G18138" i="1"/>
  <c r="H18138" i="1"/>
  <c r="A18139" i="1"/>
  <c r="B18139" i="1"/>
  <c r="C18139" i="1"/>
  <c r="D18139" i="1"/>
  <c r="E18139" i="1"/>
  <c r="F18139" i="1"/>
  <c r="G18139" i="1"/>
  <c r="H18139" i="1"/>
  <c r="A18140" i="1"/>
  <c r="B18140" i="1"/>
  <c r="C18140" i="1"/>
  <c r="D18140" i="1"/>
  <c r="E18140" i="1"/>
  <c r="F18140" i="1"/>
  <c r="G18140" i="1"/>
  <c r="H18140" i="1"/>
  <c r="A18141" i="1"/>
  <c r="B18141" i="1"/>
  <c r="C18141" i="1"/>
  <c r="D18141" i="1"/>
  <c r="E18141" i="1"/>
  <c r="F18141" i="1"/>
  <c r="G18141" i="1"/>
  <c r="H18141" i="1"/>
  <c r="A18142" i="1"/>
  <c r="B18142" i="1"/>
  <c r="C18142" i="1"/>
  <c r="D18142" i="1"/>
  <c r="E18142" i="1"/>
  <c r="F18142" i="1"/>
  <c r="G18142" i="1"/>
  <c r="H18142" i="1"/>
  <c r="A18143" i="1"/>
  <c r="B18143" i="1"/>
  <c r="C18143" i="1"/>
  <c r="D18143" i="1"/>
  <c r="E18143" i="1"/>
  <c r="F18143" i="1"/>
  <c r="G18143" i="1"/>
  <c r="H18143" i="1"/>
  <c r="A18144" i="1"/>
  <c r="B18144" i="1"/>
  <c r="C18144" i="1"/>
  <c r="D18144" i="1"/>
  <c r="E18144" i="1"/>
  <c r="F18144" i="1"/>
  <c r="G18144" i="1"/>
  <c r="H18144" i="1"/>
  <c r="A18145" i="1"/>
  <c r="B18145" i="1"/>
  <c r="C18145" i="1"/>
  <c r="D18145" i="1"/>
  <c r="E18145" i="1"/>
  <c r="F18145" i="1"/>
  <c r="G18145" i="1"/>
  <c r="H18145" i="1"/>
  <c r="A18146" i="1"/>
  <c r="B18146" i="1"/>
  <c r="C18146" i="1"/>
  <c r="D18146" i="1"/>
  <c r="E18146" i="1"/>
  <c r="F18146" i="1"/>
  <c r="G18146" i="1"/>
  <c r="H18146" i="1"/>
  <c r="A18147" i="1"/>
  <c r="B18147" i="1"/>
  <c r="C18147" i="1"/>
  <c r="D18147" i="1"/>
  <c r="E18147" i="1"/>
  <c r="F18147" i="1"/>
  <c r="G18147" i="1"/>
  <c r="H18147" i="1"/>
  <c r="A18148" i="1"/>
  <c r="B18148" i="1"/>
  <c r="C18148" i="1"/>
  <c r="D18148" i="1"/>
  <c r="E18148" i="1"/>
  <c r="F18148" i="1"/>
  <c r="G18148" i="1"/>
  <c r="H18148" i="1"/>
  <c r="A18149" i="1"/>
  <c r="B18149" i="1"/>
  <c r="C18149" i="1"/>
  <c r="D18149" i="1"/>
  <c r="E18149" i="1"/>
  <c r="F18149" i="1"/>
  <c r="G18149" i="1"/>
  <c r="H18149" i="1"/>
  <c r="A18150" i="1"/>
  <c r="B18150" i="1"/>
  <c r="C18150" i="1"/>
  <c r="D18150" i="1"/>
  <c r="E18150" i="1"/>
  <c r="F18150" i="1"/>
  <c r="G18150" i="1"/>
  <c r="H18150" i="1"/>
  <c r="A18151" i="1"/>
  <c r="B18151" i="1"/>
  <c r="C18151" i="1"/>
  <c r="D18151" i="1"/>
  <c r="E18151" i="1"/>
  <c r="F18151" i="1"/>
  <c r="G18151" i="1"/>
  <c r="H18151" i="1"/>
  <c r="A18152" i="1"/>
  <c r="B18152" i="1"/>
  <c r="C18152" i="1"/>
  <c r="D18152" i="1"/>
  <c r="E18152" i="1"/>
  <c r="F18152" i="1"/>
  <c r="G18152" i="1"/>
  <c r="H18152" i="1"/>
  <c r="A18153" i="1"/>
  <c r="B18153" i="1"/>
  <c r="C18153" i="1"/>
  <c r="D18153" i="1"/>
  <c r="E18153" i="1"/>
  <c r="F18153" i="1"/>
  <c r="G18153" i="1"/>
  <c r="H18153" i="1"/>
  <c r="A18154" i="1"/>
  <c r="B18154" i="1"/>
  <c r="C18154" i="1"/>
  <c r="D18154" i="1"/>
  <c r="E18154" i="1"/>
  <c r="F18154" i="1"/>
  <c r="G18154" i="1"/>
  <c r="H18154" i="1"/>
  <c r="A18155" i="1"/>
  <c r="B18155" i="1"/>
  <c r="C18155" i="1"/>
  <c r="D18155" i="1"/>
  <c r="E18155" i="1"/>
  <c r="F18155" i="1"/>
  <c r="G18155" i="1"/>
  <c r="H18155" i="1"/>
  <c r="A18156" i="1"/>
  <c r="B18156" i="1"/>
  <c r="C18156" i="1"/>
  <c r="D18156" i="1"/>
  <c r="E18156" i="1"/>
  <c r="F18156" i="1"/>
  <c r="G18156" i="1"/>
  <c r="H18156" i="1"/>
  <c r="A18157" i="1"/>
  <c r="B18157" i="1"/>
  <c r="C18157" i="1"/>
  <c r="D18157" i="1"/>
  <c r="E18157" i="1"/>
  <c r="F18157" i="1"/>
  <c r="G18157" i="1"/>
  <c r="H18157" i="1"/>
  <c r="A18158" i="1"/>
  <c r="B18158" i="1"/>
  <c r="C18158" i="1"/>
  <c r="D18158" i="1"/>
  <c r="E18158" i="1"/>
  <c r="F18158" i="1"/>
  <c r="G18158" i="1"/>
  <c r="H18158" i="1"/>
  <c r="A18159" i="1"/>
  <c r="B18159" i="1"/>
  <c r="C18159" i="1"/>
  <c r="D18159" i="1"/>
  <c r="E18159" i="1"/>
  <c r="F18159" i="1"/>
  <c r="G18159" i="1"/>
  <c r="H18159" i="1"/>
  <c r="A18160" i="1"/>
  <c r="B18160" i="1"/>
  <c r="C18160" i="1"/>
  <c r="D18160" i="1"/>
  <c r="E18160" i="1"/>
  <c r="F18160" i="1"/>
  <c r="G18160" i="1"/>
  <c r="H18160" i="1"/>
  <c r="A18161" i="1"/>
  <c r="B18161" i="1"/>
  <c r="C18161" i="1"/>
  <c r="D18161" i="1"/>
  <c r="E18161" i="1"/>
  <c r="F18161" i="1"/>
  <c r="G18161" i="1"/>
  <c r="H18161" i="1"/>
  <c r="A18162" i="1"/>
  <c r="B18162" i="1"/>
  <c r="C18162" i="1"/>
  <c r="D18162" i="1"/>
  <c r="E18162" i="1"/>
  <c r="F18162" i="1"/>
  <c r="G18162" i="1"/>
  <c r="H18162" i="1"/>
  <c r="A18163" i="1"/>
  <c r="B18163" i="1"/>
  <c r="C18163" i="1"/>
  <c r="D18163" i="1"/>
  <c r="E18163" i="1"/>
  <c r="F18163" i="1"/>
  <c r="G18163" i="1"/>
  <c r="H18163" i="1"/>
  <c r="A18164" i="1"/>
  <c r="B18164" i="1"/>
  <c r="C18164" i="1"/>
  <c r="D18164" i="1"/>
  <c r="E18164" i="1"/>
  <c r="F18164" i="1"/>
  <c r="G18164" i="1"/>
  <c r="H18164" i="1"/>
  <c r="A18165" i="1"/>
  <c r="B18165" i="1"/>
  <c r="C18165" i="1"/>
  <c r="D18165" i="1"/>
  <c r="E18165" i="1"/>
  <c r="F18165" i="1"/>
  <c r="G18165" i="1"/>
  <c r="H18165" i="1"/>
  <c r="A18166" i="1"/>
  <c r="B18166" i="1"/>
  <c r="C18166" i="1"/>
  <c r="D18166" i="1"/>
  <c r="E18166" i="1"/>
  <c r="F18166" i="1"/>
  <c r="G18166" i="1"/>
  <c r="H18166" i="1"/>
  <c r="A18167" i="1"/>
  <c r="B18167" i="1"/>
  <c r="C18167" i="1"/>
  <c r="D18167" i="1"/>
  <c r="E18167" i="1"/>
  <c r="F18167" i="1"/>
  <c r="G18167" i="1"/>
  <c r="H18167" i="1"/>
  <c r="A18168" i="1"/>
  <c r="B18168" i="1"/>
  <c r="C18168" i="1"/>
  <c r="D18168" i="1"/>
  <c r="E18168" i="1"/>
  <c r="F18168" i="1"/>
  <c r="G18168" i="1"/>
  <c r="H18168" i="1"/>
  <c r="A18169" i="1"/>
  <c r="B18169" i="1"/>
  <c r="C18169" i="1"/>
  <c r="D18169" i="1"/>
  <c r="E18169" i="1"/>
  <c r="F18169" i="1"/>
  <c r="G18169" i="1"/>
  <c r="H18169" i="1"/>
  <c r="A18170" i="1"/>
  <c r="B18170" i="1"/>
  <c r="C18170" i="1"/>
  <c r="D18170" i="1"/>
  <c r="E18170" i="1"/>
  <c r="F18170" i="1"/>
  <c r="G18170" i="1"/>
  <c r="H18170" i="1"/>
  <c r="A18171" i="1"/>
  <c r="B18171" i="1"/>
  <c r="C18171" i="1"/>
  <c r="D18171" i="1"/>
  <c r="E18171" i="1"/>
  <c r="F18171" i="1"/>
  <c r="G18171" i="1"/>
  <c r="H18171" i="1"/>
  <c r="A18172" i="1"/>
  <c r="B18172" i="1"/>
  <c r="C18172" i="1"/>
  <c r="D18172" i="1"/>
  <c r="E18172" i="1"/>
  <c r="F18172" i="1"/>
  <c r="G18172" i="1"/>
  <c r="H18172" i="1"/>
  <c r="A18173" i="1"/>
  <c r="B18173" i="1"/>
  <c r="C18173" i="1"/>
  <c r="D18173" i="1"/>
  <c r="E18173" i="1"/>
  <c r="F18173" i="1"/>
  <c r="G18173" i="1"/>
  <c r="H18173" i="1"/>
  <c r="A18174" i="1"/>
  <c r="B18174" i="1"/>
  <c r="C18174" i="1"/>
  <c r="D18174" i="1"/>
  <c r="E18174" i="1"/>
  <c r="F18174" i="1"/>
  <c r="G18174" i="1"/>
  <c r="H18174" i="1"/>
  <c r="A18175" i="1"/>
  <c r="B18175" i="1"/>
  <c r="C18175" i="1"/>
  <c r="D18175" i="1"/>
  <c r="E18175" i="1"/>
  <c r="F18175" i="1"/>
  <c r="G18175" i="1"/>
  <c r="H18175" i="1"/>
  <c r="A18176" i="1"/>
  <c r="B18176" i="1"/>
  <c r="C18176" i="1"/>
  <c r="D18176" i="1"/>
  <c r="E18176" i="1"/>
  <c r="F18176" i="1"/>
  <c r="G18176" i="1"/>
  <c r="H18176" i="1"/>
  <c r="A18177" i="1"/>
  <c r="B18177" i="1"/>
  <c r="C18177" i="1"/>
  <c r="D18177" i="1"/>
  <c r="E18177" i="1"/>
  <c r="F18177" i="1"/>
  <c r="G18177" i="1"/>
  <c r="H18177" i="1"/>
  <c r="A18178" i="1"/>
  <c r="B18178" i="1"/>
  <c r="C18178" i="1"/>
  <c r="D18178" i="1"/>
  <c r="E18178" i="1"/>
  <c r="F18178" i="1"/>
  <c r="G18178" i="1"/>
  <c r="H18178" i="1"/>
  <c r="A18179" i="1"/>
  <c r="B18179" i="1"/>
  <c r="C18179" i="1"/>
  <c r="D18179" i="1"/>
  <c r="E18179" i="1"/>
  <c r="F18179" i="1"/>
  <c r="G18179" i="1"/>
  <c r="H18179" i="1"/>
  <c r="A18180" i="1"/>
  <c r="B18180" i="1"/>
  <c r="C18180" i="1"/>
  <c r="D18180" i="1"/>
  <c r="E18180" i="1"/>
  <c r="F18180" i="1"/>
  <c r="G18180" i="1"/>
  <c r="H18180" i="1"/>
  <c r="A18181" i="1"/>
  <c r="B18181" i="1"/>
  <c r="C18181" i="1"/>
  <c r="D18181" i="1"/>
  <c r="E18181" i="1"/>
  <c r="F18181" i="1"/>
  <c r="G18181" i="1"/>
  <c r="H18181" i="1"/>
  <c r="A18182" i="1"/>
  <c r="B18182" i="1"/>
  <c r="C18182" i="1"/>
  <c r="D18182" i="1"/>
  <c r="E18182" i="1"/>
  <c r="F18182" i="1"/>
  <c r="G18182" i="1"/>
  <c r="H18182" i="1"/>
  <c r="A18183" i="1"/>
  <c r="B18183" i="1"/>
  <c r="C18183" i="1"/>
  <c r="D18183" i="1"/>
  <c r="E18183" i="1"/>
  <c r="F18183" i="1"/>
  <c r="G18183" i="1"/>
  <c r="H18183" i="1"/>
  <c r="A18184" i="1"/>
  <c r="B18184" i="1"/>
  <c r="C18184" i="1"/>
  <c r="D18184" i="1"/>
  <c r="E18184" i="1"/>
  <c r="F18184" i="1"/>
  <c r="G18184" i="1"/>
  <c r="H18184" i="1"/>
  <c r="A18185" i="1"/>
  <c r="B18185" i="1"/>
  <c r="C18185" i="1"/>
  <c r="D18185" i="1"/>
  <c r="E18185" i="1"/>
  <c r="F18185" i="1"/>
  <c r="G18185" i="1"/>
  <c r="H18185" i="1"/>
  <c r="A18186" i="1"/>
  <c r="B18186" i="1"/>
  <c r="C18186" i="1"/>
  <c r="D18186" i="1"/>
  <c r="E18186" i="1"/>
  <c r="F18186" i="1"/>
  <c r="G18186" i="1"/>
  <c r="H18186" i="1"/>
  <c r="A18187" i="1"/>
  <c r="B18187" i="1"/>
  <c r="C18187" i="1"/>
  <c r="D18187" i="1"/>
  <c r="E18187" i="1"/>
  <c r="F18187" i="1"/>
  <c r="G18187" i="1"/>
  <c r="H18187" i="1"/>
  <c r="A18188" i="1"/>
  <c r="B18188" i="1"/>
  <c r="C18188" i="1"/>
  <c r="D18188" i="1"/>
  <c r="E18188" i="1"/>
  <c r="F18188" i="1"/>
  <c r="G18188" i="1"/>
  <c r="H18188" i="1"/>
  <c r="A18189" i="1"/>
  <c r="B18189" i="1"/>
  <c r="C18189" i="1"/>
  <c r="D18189" i="1"/>
  <c r="E18189" i="1"/>
  <c r="F18189" i="1"/>
  <c r="G18189" i="1"/>
  <c r="H18189" i="1"/>
  <c r="A18190" i="1"/>
  <c r="B18190" i="1"/>
  <c r="C18190" i="1"/>
  <c r="D18190" i="1"/>
  <c r="E18190" i="1"/>
  <c r="F18190" i="1"/>
  <c r="G18190" i="1"/>
  <c r="H18190" i="1"/>
  <c r="A18191" i="1"/>
  <c r="B18191" i="1"/>
  <c r="C18191" i="1"/>
  <c r="D18191" i="1"/>
  <c r="E18191" i="1"/>
  <c r="F18191" i="1"/>
  <c r="G18191" i="1"/>
  <c r="H18191" i="1"/>
  <c r="A18192" i="1"/>
  <c r="B18192" i="1"/>
  <c r="C18192" i="1"/>
  <c r="D18192" i="1"/>
  <c r="E18192" i="1"/>
  <c r="F18192" i="1"/>
  <c r="G18192" i="1"/>
  <c r="H18192" i="1"/>
  <c r="A18193" i="1"/>
  <c r="B18193" i="1"/>
  <c r="C18193" i="1"/>
  <c r="D18193" i="1"/>
  <c r="E18193" i="1"/>
  <c r="F18193" i="1"/>
  <c r="G18193" i="1"/>
  <c r="H18193" i="1"/>
  <c r="A18194" i="1"/>
  <c r="B18194" i="1"/>
  <c r="C18194" i="1"/>
  <c r="D18194" i="1"/>
  <c r="E18194" i="1"/>
  <c r="F18194" i="1"/>
  <c r="G18194" i="1"/>
  <c r="H18194" i="1"/>
  <c r="A18195" i="1"/>
  <c r="B18195" i="1"/>
  <c r="C18195" i="1"/>
  <c r="D18195" i="1"/>
  <c r="E18195" i="1"/>
  <c r="F18195" i="1"/>
  <c r="G18195" i="1"/>
  <c r="H18195" i="1"/>
  <c r="A18196" i="1"/>
  <c r="B18196" i="1"/>
  <c r="C18196" i="1"/>
  <c r="D18196" i="1"/>
  <c r="E18196" i="1"/>
  <c r="F18196" i="1"/>
  <c r="G18196" i="1"/>
  <c r="H18196" i="1"/>
  <c r="A18197" i="1"/>
  <c r="B18197" i="1"/>
  <c r="C18197" i="1"/>
  <c r="D18197" i="1"/>
  <c r="E18197" i="1"/>
  <c r="F18197" i="1"/>
  <c r="G18197" i="1"/>
  <c r="H18197" i="1"/>
  <c r="A18198" i="1"/>
  <c r="B18198" i="1"/>
  <c r="C18198" i="1"/>
  <c r="D18198" i="1"/>
  <c r="E18198" i="1"/>
  <c r="F18198" i="1"/>
  <c r="G18198" i="1"/>
  <c r="H18198" i="1"/>
  <c r="A18199" i="1"/>
  <c r="B18199" i="1"/>
  <c r="C18199" i="1"/>
  <c r="D18199" i="1"/>
  <c r="E18199" i="1"/>
  <c r="F18199" i="1"/>
  <c r="G18199" i="1"/>
  <c r="H18199" i="1"/>
  <c r="A18200" i="1"/>
  <c r="B18200" i="1"/>
  <c r="C18200" i="1"/>
  <c r="D18200" i="1"/>
  <c r="E18200" i="1"/>
  <c r="F18200" i="1"/>
  <c r="G18200" i="1"/>
  <c r="H18200" i="1"/>
  <c r="A18201" i="1"/>
  <c r="B18201" i="1"/>
  <c r="C18201" i="1"/>
  <c r="D18201" i="1"/>
  <c r="E18201" i="1"/>
  <c r="F18201" i="1"/>
  <c r="G18201" i="1"/>
  <c r="H18201" i="1"/>
  <c r="A18202" i="1"/>
  <c r="B18202" i="1"/>
  <c r="C18202" i="1"/>
  <c r="D18202" i="1"/>
  <c r="E18202" i="1"/>
  <c r="F18202" i="1"/>
  <c r="G18202" i="1"/>
  <c r="H18202" i="1"/>
  <c r="A18203" i="1"/>
  <c r="B18203" i="1"/>
  <c r="C18203" i="1"/>
  <c r="D18203" i="1"/>
  <c r="E18203" i="1"/>
  <c r="F18203" i="1"/>
  <c r="G18203" i="1"/>
  <c r="H18203" i="1"/>
  <c r="A18204" i="1"/>
  <c r="B18204" i="1"/>
  <c r="C18204" i="1"/>
  <c r="D18204" i="1"/>
  <c r="E18204" i="1"/>
  <c r="F18204" i="1"/>
  <c r="G18204" i="1"/>
  <c r="H18204" i="1"/>
  <c r="A18205" i="1"/>
  <c r="B18205" i="1"/>
  <c r="C18205" i="1"/>
  <c r="D18205" i="1"/>
  <c r="E18205" i="1"/>
  <c r="F18205" i="1"/>
  <c r="G18205" i="1"/>
  <c r="H18205" i="1"/>
  <c r="A18206" i="1"/>
  <c r="B18206" i="1"/>
  <c r="C18206" i="1"/>
  <c r="D18206" i="1"/>
  <c r="E18206" i="1"/>
  <c r="F18206" i="1"/>
  <c r="G18206" i="1"/>
  <c r="H18206" i="1"/>
  <c r="A18207" i="1"/>
  <c r="B18207" i="1"/>
  <c r="C18207" i="1"/>
  <c r="D18207" i="1"/>
  <c r="E18207" i="1"/>
  <c r="F18207" i="1"/>
  <c r="G18207" i="1"/>
  <c r="H18207" i="1"/>
  <c r="A18208" i="1"/>
  <c r="B18208" i="1"/>
  <c r="C18208" i="1"/>
  <c r="D18208" i="1"/>
  <c r="E18208" i="1"/>
  <c r="F18208" i="1"/>
  <c r="G18208" i="1"/>
  <c r="H18208" i="1"/>
  <c r="A18209" i="1"/>
  <c r="B18209" i="1"/>
  <c r="C18209" i="1"/>
  <c r="D18209" i="1"/>
  <c r="E18209" i="1"/>
  <c r="F18209" i="1"/>
  <c r="G18209" i="1"/>
  <c r="H18209" i="1"/>
  <c r="A18210" i="1"/>
  <c r="B18210" i="1"/>
  <c r="C18210" i="1"/>
  <c r="D18210" i="1"/>
  <c r="E18210" i="1"/>
  <c r="F18210" i="1"/>
  <c r="G18210" i="1"/>
  <c r="H18210" i="1"/>
  <c r="A18211" i="1"/>
  <c r="B18211" i="1"/>
  <c r="C18211" i="1"/>
  <c r="D18211" i="1"/>
  <c r="E18211" i="1"/>
  <c r="F18211" i="1"/>
  <c r="G18211" i="1"/>
  <c r="H18211" i="1"/>
  <c r="A18212" i="1"/>
  <c r="B18212" i="1"/>
  <c r="C18212" i="1"/>
  <c r="D18212" i="1"/>
  <c r="E18212" i="1"/>
  <c r="F18212" i="1"/>
  <c r="G18212" i="1"/>
  <c r="H18212" i="1"/>
  <c r="A18213" i="1"/>
  <c r="B18213" i="1"/>
  <c r="C18213" i="1"/>
  <c r="D18213" i="1"/>
  <c r="E18213" i="1"/>
  <c r="F18213" i="1"/>
  <c r="G18213" i="1"/>
  <c r="H18213" i="1"/>
  <c r="A18214" i="1"/>
  <c r="B18214" i="1"/>
  <c r="C18214" i="1"/>
  <c r="D18214" i="1"/>
  <c r="E18214" i="1"/>
  <c r="F18214" i="1"/>
  <c r="G18214" i="1"/>
  <c r="H18214" i="1"/>
  <c r="A18215" i="1"/>
  <c r="B18215" i="1"/>
  <c r="C18215" i="1"/>
  <c r="D18215" i="1"/>
  <c r="E18215" i="1"/>
  <c r="F18215" i="1"/>
  <c r="G18215" i="1"/>
  <c r="H18215" i="1"/>
  <c r="A18216" i="1"/>
  <c r="B18216" i="1"/>
  <c r="C18216" i="1"/>
  <c r="D18216" i="1"/>
  <c r="E18216" i="1"/>
  <c r="F18216" i="1"/>
  <c r="G18216" i="1"/>
  <c r="H18216" i="1"/>
  <c r="A18217" i="1"/>
  <c r="B18217" i="1"/>
  <c r="C18217" i="1"/>
  <c r="D18217" i="1"/>
  <c r="E18217" i="1"/>
  <c r="F18217" i="1"/>
  <c r="G18217" i="1"/>
  <c r="H18217" i="1"/>
  <c r="A18218" i="1"/>
  <c r="B18218" i="1"/>
  <c r="C18218" i="1"/>
  <c r="D18218" i="1"/>
  <c r="E18218" i="1"/>
  <c r="F18218" i="1"/>
  <c r="G18218" i="1"/>
  <c r="H18218" i="1"/>
  <c r="A18219" i="1"/>
  <c r="B18219" i="1"/>
  <c r="C18219" i="1"/>
  <c r="D18219" i="1"/>
  <c r="E18219" i="1"/>
  <c r="F18219" i="1"/>
  <c r="G18219" i="1"/>
  <c r="H18219" i="1"/>
  <c r="A18220" i="1"/>
  <c r="B18220" i="1"/>
  <c r="C18220" i="1"/>
  <c r="D18220" i="1"/>
  <c r="E18220" i="1"/>
  <c r="F18220" i="1"/>
  <c r="G18220" i="1"/>
  <c r="H18220" i="1"/>
  <c r="A18221" i="1"/>
  <c r="B18221" i="1"/>
  <c r="C18221" i="1"/>
  <c r="D18221" i="1"/>
  <c r="E18221" i="1"/>
  <c r="F18221" i="1"/>
  <c r="G18221" i="1"/>
  <c r="H18221" i="1"/>
  <c r="A18222" i="1"/>
  <c r="B18222" i="1"/>
  <c r="C18222" i="1"/>
  <c r="D18222" i="1"/>
  <c r="E18222" i="1"/>
  <c r="F18222" i="1"/>
  <c r="G18222" i="1"/>
  <c r="H18222" i="1"/>
  <c r="A18223" i="1"/>
  <c r="B18223" i="1"/>
  <c r="C18223" i="1"/>
  <c r="D18223" i="1"/>
  <c r="E18223" i="1"/>
  <c r="F18223" i="1"/>
  <c r="G18223" i="1"/>
  <c r="H18223" i="1"/>
  <c r="A18224" i="1"/>
  <c r="B18224" i="1"/>
  <c r="C18224" i="1"/>
  <c r="D18224" i="1"/>
  <c r="E18224" i="1"/>
  <c r="F18224" i="1"/>
  <c r="G18224" i="1"/>
  <c r="H18224" i="1"/>
  <c r="A18225" i="1"/>
  <c r="B18225" i="1"/>
  <c r="C18225" i="1"/>
  <c r="D18225" i="1"/>
  <c r="E18225" i="1"/>
  <c r="F18225" i="1"/>
  <c r="G18225" i="1"/>
  <c r="H18225" i="1"/>
  <c r="A18226" i="1"/>
  <c r="B18226" i="1"/>
  <c r="C18226" i="1"/>
  <c r="D18226" i="1"/>
  <c r="E18226" i="1"/>
  <c r="F18226" i="1"/>
  <c r="G18226" i="1"/>
  <c r="H18226" i="1"/>
  <c r="A18227" i="1"/>
  <c r="B18227" i="1"/>
  <c r="C18227" i="1"/>
  <c r="D18227" i="1"/>
  <c r="E18227" i="1"/>
  <c r="F18227" i="1"/>
  <c r="G18227" i="1"/>
  <c r="H18227" i="1"/>
  <c r="A18228" i="1"/>
  <c r="B18228" i="1"/>
  <c r="C18228" i="1"/>
  <c r="D18228" i="1"/>
  <c r="E18228" i="1"/>
  <c r="F18228" i="1"/>
  <c r="G18228" i="1"/>
  <c r="H18228" i="1"/>
  <c r="A18229" i="1"/>
  <c r="B18229" i="1"/>
  <c r="C18229" i="1"/>
  <c r="D18229" i="1"/>
  <c r="E18229" i="1"/>
  <c r="F18229" i="1"/>
  <c r="G18229" i="1"/>
  <c r="H18229" i="1"/>
  <c r="A18230" i="1"/>
  <c r="B18230" i="1"/>
  <c r="C18230" i="1"/>
  <c r="D18230" i="1"/>
  <c r="E18230" i="1"/>
  <c r="F18230" i="1"/>
  <c r="G18230" i="1"/>
  <c r="H18230" i="1"/>
  <c r="A18231" i="1"/>
  <c r="B18231" i="1"/>
  <c r="C18231" i="1"/>
  <c r="D18231" i="1"/>
  <c r="E18231" i="1"/>
  <c r="F18231" i="1"/>
  <c r="G18231" i="1"/>
  <c r="H18231" i="1"/>
  <c r="A18232" i="1"/>
  <c r="B18232" i="1"/>
  <c r="C18232" i="1"/>
  <c r="D18232" i="1"/>
  <c r="E18232" i="1"/>
  <c r="F18232" i="1"/>
  <c r="G18232" i="1"/>
  <c r="H18232" i="1"/>
  <c r="A18233" i="1"/>
  <c r="B18233" i="1"/>
  <c r="C18233" i="1"/>
  <c r="D18233" i="1"/>
  <c r="E18233" i="1"/>
  <c r="F18233" i="1"/>
  <c r="G18233" i="1"/>
  <c r="H18233" i="1"/>
  <c r="A18234" i="1"/>
  <c r="B18234" i="1"/>
  <c r="C18234" i="1"/>
  <c r="D18234" i="1"/>
  <c r="E18234" i="1"/>
  <c r="F18234" i="1"/>
  <c r="G18234" i="1"/>
  <c r="H18234" i="1"/>
  <c r="A18235" i="1"/>
  <c r="B18235" i="1"/>
  <c r="C18235" i="1"/>
  <c r="D18235" i="1"/>
  <c r="E18235" i="1"/>
  <c r="F18235" i="1"/>
  <c r="G18235" i="1"/>
  <c r="H18235" i="1"/>
  <c r="A18236" i="1"/>
  <c r="B18236" i="1"/>
  <c r="C18236" i="1"/>
  <c r="D18236" i="1"/>
  <c r="E18236" i="1"/>
  <c r="F18236" i="1"/>
  <c r="G18236" i="1"/>
  <c r="H18236" i="1"/>
  <c r="A18237" i="1"/>
  <c r="B18237" i="1"/>
  <c r="C18237" i="1"/>
  <c r="D18237" i="1"/>
  <c r="E18237" i="1"/>
  <c r="F18237" i="1"/>
  <c r="G18237" i="1"/>
  <c r="H18237" i="1"/>
  <c r="A18238" i="1"/>
  <c r="B18238" i="1"/>
  <c r="C18238" i="1"/>
  <c r="D18238" i="1"/>
  <c r="E18238" i="1"/>
  <c r="F18238" i="1"/>
  <c r="G18238" i="1"/>
  <c r="H18238" i="1"/>
  <c r="A18239" i="1"/>
  <c r="B18239" i="1"/>
  <c r="C18239" i="1"/>
  <c r="D18239" i="1"/>
  <c r="E18239" i="1"/>
  <c r="F18239" i="1"/>
  <c r="G18239" i="1"/>
  <c r="H18239" i="1"/>
  <c r="A18240" i="1"/>
  <c r="B18240" i="1"/>
  <c r="C18240" i="1"/>
  <c r="D18240" i="1"/>
  <c r="E18240" i="1"/>
  <c r="F18240" i="1"/>
  <c r="G18240" i="1"/>
  <c r="H18240" i="1"/>
  <c r="A18241" i="1"/>
  <c r="B18241" i="1"/>
  <c r="C18241" i="1"/>
  <c r="D18241" i="1"/>
  <c r="E18241" i="1"/>
  <c r="F18241" i="1"/>
  <c r="G18241" i="1"/>
  <c r="H18241" i="1"/>
  <c r="A18242" i="1"/>
  <c r="B18242" i="1"/>
  <c r="C18242" i="1"/>
  <c r="D18242" i="1"/>
  <c r="E18242" i="1"/>
  <c r="F18242" i="1"/>
  <c r="G18242" i="1"/>
  <c r="H18242" i="1"/>
  <c r="A18243" i="1"/>
  <c r="B18243" i="1"/>
  <c r="C18243" i="1"/>
  <c r="D18243" i="1"/>
  <c r="E18243" i="1"/>
  <c r="F18243" i="1"/>
  <c r="G18243" i="1"/>
  <c r="H18243" i="1"/>
  <c r="A18244" i="1"/>
  <c r="B18244" i="1"/>
  <c r="C18244" i="1"/>
  <c r="D18244" i="1"/>
  <c r="E18244" i="1"/>
  <c r="F18244" i="1"/>
  <c r="G18244" i="1"/>
  <c r="H18244" i="1"/>
  <c r="A18245" i="1"/>
  <c r="B18245" i="1"/>
  <c r="C18245" i="1"/>
  <c r="D18245" i="1"/>
  <c r="E18245" i="1"/>
  <c r="F18245" i="1"/>
  <c r="G18245" i="1"/>
  <c r="H18245" i="1"/>
  <c r="A18246" i="1"/>
  <c r="B18246" i="1"/>
  <c r="C18246" i="1"/>
  <c r="D18246" i="1"/>
  <c r="E18246" i="1"/>
  <c r="F18246" i="1"/>
  <c r="G18246" i="1"/>
  <c r="H18246" i="1"/>
  <c r="A18247" i="1"/>
  <c r="B18247" i="1"/>
  <c r="C18247" i="1"/>
  <c r="D18247" i="1"/>
  <c r="E18247" i="1"/>
  <c r="F18247" i="1"/>
  <c r="G18247" i="1"/>
  <c r="H18247" i="1"/>
  <c r="A18248" i="1"/>
  <c r="B18248" i="1"/>
  <c r="C18248" i="1"/>
  <c r="D18248" i="1"/>
  <c r="E18248" i="1"/>
  <c r="F18248" i="1"/>
  <c r="G18248" i="1"/>
  <c r="H18248" i="1"/>
  <c r="A18249" i="1"/>
  <c r="B18249" i="1"/>
  <c r="C18249" i="1"/>
  <c r="D18249" i="1"/>
  <c r="E18249" i="1"/>
  <c r="F18249" i="1"/>
  <c r="G18249" i="1"/>
  <c r="H18249" i="1"/>
  <c r="A18250" i="1"/>
  <c r="B18250" i="1"/>
  <c r="C18250" i="1"/>
  <c r="D18250" i="1"/>
  <c r="E18250" i="1"/>
  <c r="F18250" i="1"/>
  <c r="G18250" i="1"/>
  <c r="H18250" i="1"/>
  <c r="A18251" i="1"/>
  <c r="B18251" i="1"/>
  <c r="C18251" i="1"/>
  <c r="D18251" i="1"/>
  <c r="E18251" i="1"/>
  <c r="F18251" i="1"/>
  <c r="G18251" i="1"/>
  <c r="H18251" i="1"/>
  <c r="A18252" i="1"/>
  <c r="B18252" i="1"/>
  <c r="C18252" i="1"/>
  <c r="D18252" i="1"/>
  <c r="E18252" i="1"/>
  <c r="F18252" i="1"/>
  <c r="G18252" i="1"/>
  <c r="H18252" i="1"/>
  <c r="A18253" i="1"/>
  <c r="B18253" i="1"/>
  <c r="C18253" i="1"/>
  <c r="D18253" i="1"/>
  <c r="E18253" i="1"/>
  <c r="F18253" i="1"/>
  <c r="G18253" i="1"/>
  <c r="H18253" i="1"/>
  <c r="A18254" i="1"/>
  <c r="B18254" i="1"/>
  <c r="C18254" i="1"/>
  <c r="D18254" i="1"/>
  <c r="E18254" i="1"/>
  <c r="F18254" i="1"/>
  <c r="G18254" i="1"/>
  <c r="H18254" i="1"/>
  <c r="A18255" i="1"/>
  <c r="B18255" i="1"/>
  <c r="C18255" i="1"/>
  <c r="D18255" i="1"/>
  <c r="E18255" i="1"/>
  <c r="F18255" i="1"/>
  <c r="G18255" i="1"/>
  <c r="H18255" i="1"/>
  <c r="A18256" i="1"/>
  <c r="B18256" i="1"/>
  <c r="C18256" i="1"/>
  <c r="D18256" i="1"/>
  <c r="E18256" i="1"/>
  <c r="F18256" i="1"/>
  <c r="G18256" i="1"/>
  <c r="H18256" i="1"/>
  <c r="A18257" i="1"/>
  <c r="B18257" i="1"/>
  <c r="C18257" i="1"/>
  <c r="D18257" i="1"/>
  <c r="E18257" i="1"/>
  <c r="F18257" i="1"/>
  <c r="G18257" i="1"/>
  <c r="H18257" i="1"/>
  <c r="A18258" i="1"/>
  <c r="B18258" i="1"/>
  <c r="C18258" i="1"/>
  <c r="D18258" i="1"/>
  <c r="E18258" i="1"/>
  <c r="F18258" i="1"/>
  <c r="G18258" i="1"/>
  <c r="H18258" i="1"/>
  <c r="A18259" i="1"/>
  <c r="B18259" i="1"/>
  <c r="C18259" i="1"/>
  <c r="D18259" i="1"/>
  <c r="E18259" i="1"/>
  <c r="F18259" i="1"/>
  <c r="G18259" i="1"/>
  <c r="H18259" i="1"/>
  <c r="A18260" i="1"/>
  <c r="B18260" i="1"/>
  <c r="C18260" i="1"/>
  <c r="D18260" i="1"/>
  <c r="E18260" i="1"/>
  <c r="F18260" i="1"/>
  <c r="G18260" i="1"/>
  <c r="H18260" i="1"/>
  <c r="A18261" i="1"/>
  <c r="B18261" i="1"/>
  <c r="C18261" i="1"/>
  <c r="D18261" i="1"/>
  <c r="E18261" i="1"/>
  <c r="F18261" i="1"/>
  <c r="G18261" i="1"/>
  <c r="H18261" i="1"/>
  <c r="A18262" i="1"/>
  <c r="B18262" i="1"/>
  <c r="C18262" i="1"/>
  <c r="D18262" i="1"/>
  <c r="E18262" i="1"/>
  <c r="F18262" i="1"/>
  <c r="G18262" i="1"/>
  <c r="H18262" i="1"/>
  <c r="A18263" i="1"/>
  <c r="B18263" i="1"/>
  <c r="C18263" i="1"/>
  <c r="D18263" i="1"/>
  <c r="E18263" i="1"/>
  <c r="F18263" i="1"/>
  <c r="G18263" i="1"/>
  <c r="H18263" i="1"/>
  <c r="A18264" i="1"/>
  <c r="B18264" i="1"/>
  <c r="C18264" i="1"/>
  <c r="D18264" i="1"/>
  <c r="E18264" i="1"/>
  <c r="F18264" i="1"/>
  <c r="G18264" i="1"/>
  <c r="H18264" i="1"/>
  <c r="A18265" i="1"/>
  <c r="B18265" i="1"/>
  <c r="C18265" i="1"/>
  <c r="D18265" i="1"/>
  <c r="E18265" i="1"/>
  <c r="F18265" i="1"/>
  <c r="G18265" i="1"/>
  <c r="H18265" i="1"/>
  <c r="A18266" i="1"/>
  <c r="B18266" i="1"/>
  <c r="C18266" i="1"/>
  <c r="D18266" i="1"/>
  <c r="E18266" i="1"/>
  <c r="F18266" i="1"/>
  <c r="G18266" i="1"/>
  <c r="H18266" i="1"/>
  <c r="A18267" i="1"/>
  <c r="B18267" i="1"/>
  <c r="C18267" i="1"/>
  <c r="D18267" i="1"/>
  <c r="E18267" i="1"/>
  <c r="F18267" i="1"/>
  <c r="G18267" i="1"/>
  <c r="H18267" i="1"/>
  <c r="A18268" i="1"/>
  <c r="B18268" i="1"/>
  <c r="C18268" i="1"/>
  <c r="D18268" i="1"/>
  <c r="E18268" i="1"/>
  <c r="F18268" i="1"/>
  <c r="G18268" i="1"/>
  <c r="H18268" i="1"/>
  <c r="A18269" i="1"/>
  <c r="B18269" i="1"/>
  <c r="C18269" i="1"/>
  <c r="D18269" i="1"/>
  <c r="E18269" i="1"/>
  <c r="F18269" i="1"/>
  <c r="G18269" i="1"/>
  <c r="H18269" i="1"/>
  <c r="A18270" i="1"/>
  <c r="B18270" i="1"/>
  <c r="C18270" i="1"/>
  <c r="D18270" i="1"/>
  <c r="E18270" i="1"/>
  <c r="F18270" i="1"/>
  <c r="G18270" i="1"/>
  <c r="H18270" i="1"/>
  <c r="A18271" i="1"/>
  <c r="B18271" i="1"/>
  <c r="C18271" i="1"/>
  <c r="D18271" i="1"/>
  <c r="E18271" i="1"/>
  <c r="F18271" i="1"/>
  <c r="G18271" i="1"/>
  <c r="H18271" i="1"/>
  <c r="A18272" i="1"/>
  <c r="B18272" i="1"/>
  <c r="C18272" i="1"/>
  <c r="D18272" i="1"/>
  <c r="E18272" i="1"/>
  <c r="F18272" i="1"/>
  <c r="G18272" i="1"/>
  <c r="H18272" i="1"/>
  <c r="A18273" i="1"/>
  <c r="B18273" i="1"/>
  <c r="C18273" i="1"/>
  <c r="D18273" i="1"/>
  <c r="E18273" i="1"/>
  <c r="F18273" i="1"/>
  <c r="G18273" i="1"/>
  <c r="H18273" i="1"/>
  <c r="A18274" i="1"/>
  <c r="B18274" i="1"/>
  <c r="C18274" i="1"/>
  <c r="D18274" i="1"/>
  <c r="E18274" i="1"/>
  <c r="F18274" i="1"/>
  <c r="G18274" i="1"/>
  <c r="H18274" i="1"/>
  <c r="A18275" i="1"/>
  <c r="B18275" i="1"/>
  <c r="C18275" i="1"/>
  <c r="D18275" i="1"/>
  <c r="E18275" i="1"/>
  <c r="F18275" i="1"/>
  <c r="G18275" i="1"/>
  <c r="H18275" i="1"/>
  <c r="A18276" i="1"/>
  <c r="B18276" i="1"/>
  <c r="C18276" i="1"/>
  <c r="D18276" i="1"/>
  <c r="E18276" i="1"/>
  <c r="F18276" i="1"/>
  <c r="G18276" i="1"/>
  <c r="H18276" i="1"/>
  <c r="A18277" i="1"/>
  <c r="B18277" i="1"/>
  <c r="C18277" i="1"/>
  <c r="D18277" i="1"/>
  <c r="E18277" i="1"/>
  <c r="F18277" i="1"/>
  <c r="G18277" i="1"/>
  <c r="H18277" i="1"/>
  <c r="A18278" i="1"/>
  <c r="B18278" i="1"/>
  <c r="C18278" i="1"/>
  <c r="D18278" i="1"/>
  <c r="E18278" i="1"/>
  <c r="F18278" i="1"/>
  <c r="G18278" i="1"/>
  <c r="H18278" i="1"/>
  <c r="A18279" i="1"/>
  <c r="B18279" i="1"/>
  <c r="C18279" i="1"/>
  <c r="D18279" i="1"/>
  <c r="E18279" i="1"/>
  <c r="F18279" i="1"/>
  <c r="G18279" i="1"/>
  <c r="H18279" i="1"/>
  <c r="A18280" i="1"/>
  <c r="B18280" i="1"/>
  <c r="C18280" i="1"/>
  <c r="D18280" i="1"/>
  <c r="E18280" i="1"/>
  <c r="F18280" i="1"/>
  <c r="G18280" i="1"/>
  <c r="H18280" i="1"/>
  <c r="A18281" i="1"/>
  <c r="B18281" i="1"/>
  <c r="C18281" i="1"/>
  <c r="D18281" i="1"/>
  <c r="E18281" i="1"/>
  <c r="F18281" i="1"/>
  <c r="G18281" i="1"/>
  <c r="H18281" i="1"/>
  <c r="A18282" i="1"/>
  <c r="B18282" i="1"/>
  <c r="C18282" i="1"/>
  <c r="D18282" i="1"/>
  <c r="E18282" i="1"/>
  <c r="F18282" i="1"/>
  <c r="G18282" i="1"/>
  <c r="H18282" i="1"/>
  <c r="A18283" i="1"/>
  <c r="B18283" i="1"/>
  <c r="C18283" i="1"/>
  <c r="D18283" i="1"/>
  <c r="E18283" i="1"/>
  <c r="F18283" i="1"/>
  <c r="G18283" i="1"/>
  <c r="H18283" i="1"/>
  <c r="A18284" i="1"/>
  <c r="B18284" i="1"/>
  <c r="C18284" i="1"/>
  <c r="D18284" i="1"/>
  <c r="E18284" i="1"/>
  <c r="F18284" i="1"/>
  <c r="G18284" i="1"/>
  <c r="H18284" i="1"/>
  <c r="A18285" i="1"/>
  <c r="B18285" i="1"/>
  <c r="C18285" i="1"/>
  <c r="D18285" i="1"/>
  <c r="E18285" i="1"/>
  <c r="F18285" i="1"/>
  <c r="G18285" i="1"/>
  <c r="H18285" i="1"/>
  <c r="A18286" i="1"/>
  <c r="B18286" i="1"/>
  <c r="C18286" i="1"/>
  <c r="D18286" i="1"/>
  <c r="E18286" i="1"/>
  <c r="F18286" i="1"/>
  <c r="G18286" i="1"/>
  <c r="H18286" i="1"/>
  <c r="A18287" i="1"/>
  <c r="B18287" i="1"/>
  <c r="C18287" i="1"/>
  <c r="D18287" i="1"/>
  <c r="E18287" i="1"/>
  <c r="F18287" i="1"/>
  <c r="G18287" i="1"/>
  <c r="H18287" i="1"/>
  <c r="A18288" i="1"/>
  <c r="B18288" i="1"/>
  <c r="C18288" i="1"/>
  <c r="D18288" i="1"/>
  <c r="E18288" i="1"/>
  <c r="F18288" i="1"/>
  <c r="G18288" i="1"/>
  <c r="H18288" i="1"/>
  <c r="A18289" i="1"/>
  <c r="B18289" i="1"/>
  <c r="C18289" i="1"/>
  <c r="D18289" i="1"/>
  <c r="E18289" i="1"/>
  <c r="F18289" i="1"/>
  <c r="G18289" i="1"/>
  <c r="H18289" i="1"/>
  <c r="A18290" i="1"/>
  <c r="B18290" i="1"/>
  <c r="C18290" i="1"/>
  <c r="D18290" i="1"/>
  <c r="E18290" i="1"/>
  <c r="F18290" i="1"/>
  <c r="G18290" i="1"/>
  <c r="H18290" i="1"/>
  <c r="A18291" i="1"/>
  <c r="B18291" i="1"/>
  <c r="C18291" i="1"/>
  <c r="D18291" i="1"/>
  <c r="E18291" i="1"/>
  <c r="F18291" i="1"/>
  <c r="G18291" i="1"/>
  <c r="H18291" i="1"/>
  <c r="A18292" i="1"/>
  <c r="B18292" i="1"/>
  <c r="C18292" i="1"/>
  <c r="D18292" i="1"/>
  <c r="E18292" i="1"/>
  <c r="F18292" i="1"/>
  <c r="G18292" i="1"/>
  <c r="H18292" i="1"/>
  <c r="A18293" i="1"/>
  <c r="B18293" i="1"/>
  <c r="C18293" i="1"/>
  <c r="D18293" i="1"/>
  <c r="E18293" i="1"/>
  <c r="F18293" i="1"/>
  <c r="G18293" i="1"/>
  <c r="H18293" i="1"/>
  <c r="A18294" i="1"/>
  <c r="B18294" i="1"/>
  <c r="C18294" i="1"/>
  <c r="D18294" i="1"/>
  <c r="E18294" i="1"/>
  <c r="F18294" i="1"/>
  <c r="G18294" i="1"/>
  <c r="H18294" i="1"/>
  <c r="A18295" i="1"/>
  <c r="B18295" i="1"/>
  <c r="C18295" i="1"/>
  <c r="D18295" i="1"/>
  <c r="E18295" i="1"/>
  <c r="F18295" i="1"/>
  <c r="G18295" i="1"/>
  <c r="H18295" i="1"/>
  <c r="A18296" i="1"/>
  <c r="B18296" i="1"/>
  <c r="C18296" i="1"/>
  <c r="D18296" i="1"/>
  <c r="E18296" i="1"/>
  <c r="F18296" i="1"/>
  <c r="G18296" i="1"/>
  <c r="H18296" i="1"/>
  <c r="A18297" i="1"/>
  <c r="B18297" i="1"/>
  <c r="C18297" i="1"/>
  <c r="D18297" i="1"/>
  <c r="E18297" i="1"/>
  <c r="F18297" i="1"/>
  <c r="G18297" i="1"/>
  <c r="H18297" i="1"/>
  <c r="A18298" i="1"/>
  <c r="B18298" i="1"/>
  <c r="C18298" i="1"/>
  <c r="D18298" i="1"/>
  <c r="E18298" i="1"/>
  <c r="F18298" i="1"/>
  <c r="G18298" i="1"/>
  <c r="H18298" i="1"/>
  <c r="A18299" i="1"/>
  <c r="B18299" i="1"/>
  <c r="C18299" i="1"/>
  <c r="D18299" i="1"/>
  <c r="E18299" i="1"/>
  <c r="F18299" i="1"/>
  <c r="G18299" i="1"/>
  <c r="H18299" i="1"/>
  <c r="A18300" i="1"/>
  <c r="B18300" i="1"/>
  <c r="C18300" i="1"/>
  <c r="D18300" i="1"/>
  <c r="E18300" i="1"/>
  <c r="F18300" i="1"/>
  <c r="G18300" i="1"/>
  <c r="H18300" i="1"/>
  <c r="A18301" i="1"/>
  <c r="B18301" i="1"/>
  <c r="C18301" i="1"/>
  <c r="D18301" i="1"/>
  <c r="E18301" i="1"/>
  <c r="F18301" i="1"/>
  <c r="G18301" i="1"/>
  <c r="H18301" i="1"/>
  <c r="A18302" i="1"/>
  <c r="B18302" i="1"/>
  <c r="C18302" i="1"/>
  <c r="D18302" i="1"/>
  <c r="E18302" i="1"/>
  <c r="F18302" i="1"/>
  <c r="G18302" i="1"/>
  <c r="H18302" i="1"/>
  <c r="A18303" i="1"/>
  <c r="B18303" i="1"/>
  <c r="C18303" i="1"/>
  <c r="D18303" i="1"/>
  <c r="E18303" i="1"/>
  <c r="F18303" i="1"/>
  <c r="G18303" i="1"/>
  <c r="H18303" i="1"/>
  <c r="A18304" i="1"/>
  <c r="B18304" i="1"/>
  <c r="C18304" i="1"/>
  <c r="D18304" i="1"/>
  <c r="E18304" i="1"/>
  <c r="F18304" i="1"/>
  <c r="G18304" i="1"/>
  <c r="H18304" i="1"/>
  <c r="A18305" i="1"/>
  <c r="B18305" i="1"/>
  <c r="C18305" i="1"/>
  <c r="D18305" i="1"/>
  <c r="E18305" i="1"/>
  <c r="F18305" i="1"/>
  <c r="G18305" i="1"/>
  <c r="H18305" i="1"/>
  <c r="A18306" i="1"/>
  <c r="B18306" i="1"/>
  <c r="C18306" i="1"/>
  <c r="D18306" i="1"/>
  <c r="E18306" i="1"/>
  <c r="F18306" i="1"/>
  <c r="G18306" i="1"/>
  <c r="H18306" i="1"/>
  <c r="A18307" i="1"/>
  <c r="B18307" i="1"/>
  <c r="C18307" i="1"/>
  <c r="D18307" i="1"/>
  <c r="E18307" i="1"/>
  <c r="F18307" i="1"/>
  <c r="G18307" i="1"/>
  <c r="H18307" i="1"/>
  <c r="A18308" i="1"/>
  <c r="B18308" i="1"/>
  <c r="C18308" i="1"/>
  <c r="D18308" i="1"/>
  <c r="E18308" i="1"/>
  <c r="F18308" i="1"/>
  <c r="G18308" i="1"/>
  <c r="H18308" i="1"/>
  <c r="A18309" i="1"/>
  <c r="B18309" i="1"/>
  <c r="C18309" i="1"/>
  <c r="D18309" i="1"/>
  <c r="E18309" i="1"/>
  <c r="F18309" i="1"/>
  <c r="G18309" i="1"/>
  <c r="H18309" i="1"/>
  <c r="A18310" i="1"/>
  <c r="B18310" i="1"/>
  <c r="C18310" i="1"/>
  <c r="D18310" i="1"/>
  <c r="E18310" i="1"/>
  <c r="F18310" i="1"/>
  <c r="G18310" i="1"/>
  <c r="H18310" i="1"/>
  <c r="A18311" i="1"/>
  <c r="B18311" i="1"/>
  <c r="C18311" i="1"/>
  <c r="D18311" i="1"/>
  <c r="E18311" i="1"/>
  <c r="F18311" i="1"/>
  <c r="G18311" i="1"/>
  <c r="H18311" i="1"/>
  <c r="A18312" i="1"/>
  <c r="B18312" i="1"/>
  <c r="C18312" i="1"/>
  <c r="D18312" i="1"/>
  <c r="E18312" i="1"/>
  <c r="F18312" i="1"/>
  <c r="G18312" i="1"/>
  <c r="H18312" i="1"/>
  <c r="A18313" i="1"/>
  <c r="B18313" i="1"/>
  <c r="C18313" i="1"/>
  <c r="D18313" i="1"/>
  <c r="E18313" i="1"/>
  <c r="F18313" i="1"/>
  <c r="G18313" i="1"/>
  <c r="H18313" i="1"/>
  <c r="A18314" i="1"/>
  <c r="B18314" i="1"/>
  <c r="C18314" i="1"/>
  <c r="D18314" i="1"/>
  <c r="E18314" i="1"/>
  <c r="F18314" i="1"/>
  <c r="G18314" i="1"/>
  <c r="H18314" i="1"/>
  <c r="A18315" i="1"/>
  <c r="B18315" i="1"/>
  <c r="C18315" i="1"/>
  <c r="D18315" i="1"/>
  <c r="E18315" i="1"/>
  <c r="F18315" i="1"/>
  <c r="G18315" i="1"/>
  <c r="H18315" i="1"/>
  <c r="A18316" i="1"/>
  <c r="B18316" i="1"/>
  <c r="C18316" i="1"/>
  <c r="D18316" i="1"/>
  <c r="E18316" i="1"/>
  <c r="F18316" i="1"/>
  <c r="G18316" i="1"/>
  <c r="H18316" i="1"/>
  <c r="A18317" i="1"/>
  <c r="B18317" i="1"/>
  <c r="C18317" i="1"/>
  <c r="D18317" i="1"/>
  <c r="E18317" i="1"/>
  <c r="F18317" i="1"/>
  <c r="G18317" i="1"/>
  <c r="H18317" i="1"/>
  <c r="A18318" i="1"/>
  <c r="B18318" i="1"/>
  <c r="C18318" i="1"/>
  <c r="D18318" i="1"/>
  <c r="E18318" i="1"/>
  <c r="F18318" i="1"/>
  <c r="G18318" i="1"/>
  <c r="H18318" i="1"/>
  <c r="A18319" i="1"/>
  <c r="B18319" i="1"/>
  <c r="C18319" i="1"/>
  <c r="D18319" i="1"/>
  <c r="E18319" i="1"/>
  <c r="F18319" i="1"/>
  <c r="G18319" i="1"/>
  <c r="H18319" i="1"/>
  <c r="A18320" i="1"/>
  <c r="B18320" i="1"/>
  <c r="C18320" i="1"/>
  <c r="D18320" i="1"/>
  <c r="E18320" i="1"/>
  <c r="F18320" i="1"/>
  <c r="G18320" i="1"/>
  <c r="H18320" i="1"/>
  <c r="A18321" i="1"/>
  <c r="B18321" i="1"/>
  <c r="C18321" i="1"/>
  <c r="D18321" i="1"/>
  <c r="E18321" i="1"/>
  <c r="F18321" i="1"/>
  <c r="G18321" i="1"/>
  <c r="H18321" i="1"/>
  <c r="A18322" i="1"/>
  <c r="B18322" i="1"/>
  <c r="C18322" i="1"/>
  <c r="D18322" i="1"/>
  <c r="E18322" i="1"/>
  <c r="F18322" i="1"/>
  <c r="G18322" i="1"/>
  <c r="H18322" i="1"/>
  <c r="A18323" i="1"/>
  <c r="B18323" i="1"/>
  <c r="C18323" i="1"/>
  <c r="D18323" i="1"/>
  <c r="E18323" i="1"/>
  <c r="F18323" i="1"/>
  <c r="G18323" i="1"/>
  <c r="H18323" i="1"/>
  <c r="A18324" i="1"/>
  <c r="B18324" i="1"/>
  <c r="C18324" i="1"/>
  <c r="D18324" i="1"/>
  <c r="E18324" i="1"/>
  <c r="F18324" i="1"/>
  <c r="G18324" i="1"/>
  <c r="H18324" i="1"/>
  <c r="A18325" i="1"/>
  <c r="B18325" i="1"/>
  <c r="C18325" i="1"/>
  <c r="D18325" i="1"/>
  <c r="E18325" i="1"/>
  <c r="F18325" i="1"/>
  <c r="G18325" i="1"/>
  <c r="H18325" i="1"/>
  <c r="A18326" i="1"/>
  <c r="B18326" i="1"/>
  <c r="C18326" i="1"/>
  <c r="D18326" i="1"/>
  <c r="E18326" i="1"/>
  <c r="F18326" i="1"/>
  <c r="G18326" i="1"/>
  <c r="H18326" i="1"/>
  <c r="A18327" i="1"/>
  <c r="B18327" i="1"/>
  <c r="C18327" i="1"/>
  <c r="D18327" i="1"/>
  <c r="E18327" i="1"/>
  <c r="F18327" i="1"/>
  <c r="G18327" i="1"/>
  <c r="H18327" i="1"/>
  <c r="A18328" i="1"/>
  <c r="B18328" i="1"/>
  <c r="C18328" i="1"/>
  <c r="D18328" i="1"/>
  <c r="E18328" i="1"/>
  <c r="F18328" i="1"/>
  <c r="G18328" i="1"/>
  <c r="H18328" i="1"/>
  <c r="A18329" i="1"/>
  <c r="B18329" i="1"/>
  <c r="C18329" i="1"/>
  <c r="D18329" i="1"/>
  <c r="E18329" i="1"/>
  <c r="F18329" i="1"/>
  <c r="G18329" i="1"/>
  <c r="H18329" i="1"/>
  <c r="A18330" i="1"/>
  <c r="B18330" i="1"/>
  <c r="C18330" i="1"/>
  <c r="D18330" i="1"/>
  <c r="E18330" i="1"/>
  <c r="F18330" i="1"/>
  <c r="G18330" i="1"/>
  <c r="H18330" i="1"/>
  <c r="A18331" i="1"/>
  <c r="B18331" i="1"/>
  <c r="C18331" i="1"/>
  <c r="D18331" i="1"/>
  <c r="E18331" i="1"/>
  <c r="F18331" i="1"/>
  <c r="G18331" i="1"/>
  <c r="H18331" i="1"/>
  <c r="A18332" i="1"/>
  <c r="B18332" i="1"/>
  <c r="C18332" i="1"/>
  <c r="D18332" i="1"/>
  <c r="E18332" i="1"/>
  <c r="F18332" i="1"/>
  <c r="G18332" i="1"/>
  <c r="H18332" i="1"/>
  <c r="A18333" i="1"/>
  <c r="B18333" i="1"/>
  <c r="C18333" i="1"/>
  <c r="D18333" i="1"/>
  <c r="E18333" i="1"/>
  <c r="F18333" i="1"/>
  <c r="G18333" i="1"/>
  <c r="H18333" i="1"/>
  <c r="A18334" i="1"/>
  <c r="B18334" i="1"/>
  <c r="C18334" i="1"/>
  <c r="D18334" i="1"/>
  <c r="E18334" i="1"/>
  <c r="F18334" i="1"/>
  <c r="G18334" i="1"/>
  <c r="H18334" i="1"/>
  <c r="A18335" i="1"/>
  <c r="B18335" i="1"/>
  <c r="C18335" i="1"/>
  <c r="D18335" i="1"/>
  <c r="E18335" i="1"/>
  <c r="F18335" i="1"/>
  <c r="G18335" i="1"/>
  <c r="H18335" i="1"/>
  <c r="A18336" i="1"/>
  <c r="B18336" i="1"/>
  <c r="C18336" i="1"/>
  <c r="D18336" i="1"/>
  <c r="E18336" i="1"/>
  <c r="F18336" i="1"/>
  <c r="G18336" i="1"/>
  <c r="H18336" i="1"/>
  <c r="A18337" i="1"/>
  <c r="B18337" i="1"/>
  <c r="C18337" i="1"/>
  <c r="D18337" i="1"/>
  <c r="E18337" i="1"/>
  <c r="F18337" i="1"/>
  <c r="G18337" i="1"/>
  <c r="H18337" i="1"/>
  <c r="A18338" i="1"/>
  <c r="B18338" i="1"/>
  <c r="C18338" i="1"/>
  <c r="D18338" i="1"/>
  <c r="E18338" i="1"/>
  <c r="F18338" i="1"/>
  <c r="G18338" i="1"/>
  <c r="H18338" i="1"/>
  <c r="A18339" i="1"/>
  <c r="B18339" i="1"/>
  <c r="C18339" i="1"/>
  <c r="D18339" i="1"/>
  <c r="E18339" i="1"/>
  <c r="F18339" i="1"/>
  <c r="G18339" i="1"/>
  <c r="H18339" i="1"/>
  <c r="A18340" i="1"/>
  <c r="B18340" i="1"/>
  <c r="C18340" i="1"/>
  <c r="D18340" i="1"/>
  <c r="E18340" i="1"/>
  <c r="F18340" i="1"/>
  <c r="G18340" i="1"/>
  <c r="H18340" i="1"/>
  <c r="A18341" i="1"/>
  <c r="B18341" i="1"/>
  <c r="C18341" i="1"/>
  <c r="D18341" i="1"/>
  <c r="E18341" i="1"/>
  <c r="F18341" i="1"/>
  <c r="G18341" i="1"/>
  <c r="H18341" i="1"/>
  <c r="A18342" i="1"/>
  <c r="B18342" i="1"/>
  <c r="C18342" i="1"/>
  <c r="D18342" i="1"/>
  <c r="E18342" i="1"/>
  <c r="F18342" i="1"/>
  <c r="G18342" i="1"/>
  <c r="H18342" i="1"/>
  <c r="A18343" i="1"/>
  <c r="B18343" i="1"/>
  <c r="C18343" i="1"/>
  <c r="D18343" i="1"/>
  <c r="E18343" i="1"/>
  <c r="F18343" i="1"/>
  <c r="G18343" i="1"/>
  <c r="H18343" i="1"/>
  <c r="A18344" i="1"/>
  <c r="B18344" i="1"/>
  <c r="C18344" i="1"/>
  <c r="D18344" i="1"/>
  <c r="E18344" i="1"/>
  <c r="F18344" i="1"/>
  <c r="G18344" i="1"/>
  <c r="H18344" i="1"/>
  <c r="A18345" i="1"/>
  <c r="B18345" i="1"/>
  <c r="C18345" i="1"/>
  <c r="D18345" i="1"/>
  <c r="E18345" i="1"/>
  <c r="F18345" i="1"/>
  <c r="G18345" i="1"/>
  <c r="H18345" i="1"/>
  <c r="A18346" i="1"/>
  <c r="B18346" i="1"/>
  <c r="C18346" i="1"/>
  <c r="D18346" i="1"/>
  <c r="E18346" i="1"/>
  <c r="F18346" i="1"/>
  <c r="G18346" i="1"/>
  <c r="H18346" i="1"/>
  <c r="A18347" i="1"/>
  <c r="B18347" i="1"/>
  <c r="C18347" i="1"/>
  <c r="D18347" i="1"/>
  <c r="E18347" i="1"/>
  <c r="F18347" i="1"/>
  <c r="G18347" i="1"/>
  <c r="H18347" i="1"/>
  <c r="A18348" i="1"/>
  <c r="B18348" i="1"/>
  <c r="C18348" i="1"/>
  <c r="D18348" i="1"/>
  <c r="E18348" i="1"/>
  <c r="F18348" i="1"/>
  <c r="G18348" i="1"/>
  <c r="H18348" i="1"/>
  <c r="A18349" i="1"/>
  <c r="B18349" i="1"/>
  <c r="C18349" i="1"/>
  <c r="D18349" i="1"/>
  <c r="E18349" i="1"/>
  <c r="F18349" i="1"/>
  <c r="G18349" i="1"/>
  <c r="H18349" i="1"/>
  <c r="A18350" i="1"/>
  <c r="B18350" i="1"/>
  <c r="C18350" i="1"/>
  <c r="D18350" i="1"/>
  <c r="E18350" i="1"/>
  <c r="F18350" i="1"/>
  <c r="G18350" i="1"/>
  <c r="H18350" i="1"/>
  <c r="A18351" i="1"/>
  <c r="B18351" i="1"/>
  <c r="C18351" i="1"/>
  <c r="D18351" i="1"/>
  <c r="E18351" i="1"/>
  <c r="F18351" i="1"/>
  <c r="G18351" i="1"/>
  <c r="H18351" i="1"/>
  <c r="A18352" i="1"/>
  <c r="B18352" i="1"/>
  <c r="C18352" i="1"/>
  <c r="D18352" i="1"/>
  <c r="E18352" i="1"/>
  <c r="F18352" i="1"/>
  <c r="G18352" i="1"/>
  <c r="H18352" i="1"/>
  <c r="A18353" i="1"/>
  <c r="B18353" i="1"/>
  <c r="C18353" i="1"/>
  <c r="D18353" i="1"/>
  <c r="E18353" i="1"/>
  <c r="F18353" i="1"/>
  <c r="G18353" i="1"/>
  <c r="H18353" i="1"/>
  <c r="A18354" i="1"/>
  <c r="B18354" i="1"/>
  <c r="C18354" i="1"/>
  <c r="D18354" i="1"/>
  <c r="E18354" i="1"/>
  <c r="F18354" i="1"/>
  <c r="G18354" i="1"/>
  <c r="H18354" i="1"/>
  <c r="A18355" i="1"/>
  <c r="B18355" i="1"/>
  <c r="C18355" i="1"/>
  <c r="D18355" i="1"/>
  <c r="E18355" i="1"/>
  <c r="F18355" i="1"/>
  <c r="G18355" i="1"/>
  <c r="H18355" i="1"/>
  <c r="A18356" i="1"/>
  <c r="B18356" i="1"/>
  <c r="C18356" i="1"/>
  <c r="D18356" i="1"/>
  <c r="E18356" i="1"/>
  <c r="F18356" i="1"/>
  <c r="G18356" i="1"/>
  <c r="H18356" i="1"/>
  <c r="A18357" i="1"/>
  <c r="B18357" i="1"/>
  <c r="C18357" i="1"/>
  <c r="D18357" i="1"/>
  <c r="E18357" i="1"/>
  <c r="F18357" i="1"/>
  <c r="G18357" i="1"/>
  <c r="H18357" i="1"/>
  <c r="A18358" i="1"/>
  <c r="B18358" i="1"/>
  <c r="C18358" i="1"/>
  <c r="D18358" i="1"/>
  <c r="E18358" i="1"/>
  <c r="F18358" i="1"/>
  <c r="G18358" i="1"/>
  <c r="H18358" i="1"/>
  <c r="A18359" i="1"/>
  <c r="B18359" i="1"/>
  <c r="C18359" i="1"/>
  <c r="D18359" i="1"/>
  <c r="E18359" i="1"/>
  <c r="F18359" i="1"/>
  <c r="G18359" i="1"/>
  <c r="H18359" i="1"/>
  <c r="A18360" i="1"/>
  <c r="B18360" i="1"/>
  <c r="C18360" i="1"/>
  <c r="D18360" i="1"/>
  <c r="E18360" i="1"/>
  <c r="F18360" i="1"/>
  <c r="G18360" i="1"/>
  <c r="H18360" i="1"/>
  <c r="A18361" i="1"/>
  <c r="B18361" i="1"/>
  <c r="C18361" i="1"/>
  <c r="D18361" i="1"/>
  <c r="E18361" i="1"/>
  <c r="F18361" i="1"/>
  <c r="G18361" i="1"/>
  <c r="H18361" i="1"/>
  <c r="A18362" i="1"/>
  <c r="B18362" i="1"/>
  <c r="C18362" i="1"/>
  <c r="D18362" i="1"/>
  <c r="E18362" i="1"/>
  <c r="F18362" i="1"/>
  <c r="G18362" i="1"/>
  <c r="H18362" i="1"/>
  <c r="A18363" i="1"/>
  <c r="B18363" i="1"/>
  <c r="C18363" i="1"/>
  <c r="D18363" i="1"/>
  <c r="E18363" i="1"/>
  <c r="F18363" i="1"/>
  <c r="G18363" i="1"/>
  <c r="H18363" i="1"/>
  <c r="A18364" i="1"/>
  <c r="B18364" i="1"/>
  <c r="C18364" i="1"/>
  <c r="D18364" i="1"/>
  <c r="E18364" i="1"/>
  <c r="F18364" i="1"/>
  <c r="G18364" i="1"/>
  <c r="H18364" i="1"/>
  <c r="A18365" i="1"/>
  <c r="B18365" i="1"/>
  <c r="C18365" i="1"/>
  <c r="D18365" i="1"/>
  <c r="E18365" i="1"/>
  <c r="F18365" i="1"/>
  <c r="G18365" i="1"/>
  <c r="H18365" i="1"/>
  <c r="A18366" i="1"/>
  <c r="B18366" i="1"/>
  <c r="C18366" i="1"/>
  <c r="D18366" i="1"/>
  <c r="E18366" i="1"/>
  <c r="F18366" i="1"/>
  <c r="G18366" i="1"/>
  <c r="H18366" i="1"/>
  <c r="A18367" i="1"/>
  <c r="B18367" i="1"/>
  <c r="C18367" i="1"/>
  <c r="D18367" i="1"/>
  <c r="E18367" i="1"/>
  <c r="F18367" i="1"/>
  <c r="G18367" i="1"/>
  <c r="H18367" i="1"/>
  <c r="A18368" i="1"/>
  <c r="B18368" i="1"/>
  <c r="C18368" i="1"/>
  <c r="D18368" i="1"/>
  <c r="E18368" i="1"/>
  <c r="F18368" i="1"/>
  <c r="G18368" i="1"/>
  <c r="H18368" i="1"/>
  <c r="A18369" i="1"/>
  <c r="B18369" i="1"/>
  <c r="C18369" i="1"/>
  <c r="D18369" i="1"/>
  <c r="E18369" i="1"/>
  <c r="F18369" i="1"/>
  <c r="G18369" i="1"/>
  <c r="H18369" i="1"/>
  <c r="A18370" i="1"/>
  <c r="B18370" i="1"/>
  <c r="C18370" i="1"/>
  <c r="D18370" i="1"/>
  <c r="E18370" i="1"/>
  <c r="F18370" i="1"/>
  <c r="G18370" i="1"/>
  <c r="H18370" i="1"/>
  <c r="A18371" i="1"/>
  <c r="B18371" i="1"/>
  <c r="C18371" i="1"/>
  <c r="D18371" i="1"/>
  <c r="E18371" i="1"/>
  <c r="F18371" i="1"/>
  <c r="G18371" i="1"/>
  <c r="H18371" i="1"/>
  <c r="A18372" i="1"/>
  <c r="B18372" i="1"/>
  <c r="C18372" i="1"/>
  <c r="D18372" i="1"/>
  <c r="E18372" i="1"/>
  <c r="F18372" i="1"/>
  <c r="G18372" i="1"/>
  <c r="H18372" i="1"/>
  <c r="A18373" i="1"/>
  <c r="B18373" i="1"/>
  <c r="C18373" i="1"/>
  <c r="D18373" i="1"/>
  <c r="E18373" i="1"/>
  <c r="F18373" i="1"/>
  <c r="G18373" i="1"/>
  <c r="H18373" i="1"/>
  <c r="A18374" i="1"/>
  <c r="B18374" i="1"/>
  <c r="C18374" i="1"/>
  <c r="D18374" i="1"/>
  <c r="E18374" i="1"/>
  <c r="F18374" i="1"/>
  <c r="G18374" i="1"/>
  <c r="H18374" i="1"/>
  <c r="A18375" i="1"/>
  <c r="B18375" i="1"/>
  <c r="C18375" i="1"/>
  <c r="D18375" i="1"/>
  <c r="E18375" i="1"/>
  <c r="F18375" i="1"/>
  <c r="G18375" i="1"/>
  <c r="H18375" i="1"/>
  <c r="A18376" i="1"/>
  <c r="B18376" i="1"/>
  <c r="C18376" i="1"/>
  <c r="D18376" i="1"/>
  <c r="E18376" i="1"/>
  <c r="F18376" i="1"/>
  <c r="G18376" i="1"/>
  <c r="H18376" i="1"/>
  <c r="A18377" i="1"/>
  <c r="B18377" i="1"/>
  <c r="C18377" i="1"/>
  <c r="D18377" i="1"/>
  <c r="E18377" i="1"/>
  <c r="F18377" i="1"/>
  <c r="G18377" i="1"/>
  <c r="H18377" i="1"/>
  <c r="A18378" i="1"/>
  <c r="B18378" i="1"/>
  <c r="C18378" i="1"/>
  <c r="D18378" i="1"/>
  <c r="E18378" i="1"/>
  <c r="F18378" i="1"/>
  <c r="G18378" i="1"/>
  <c r="H18378" i="1"/>
  <c r="A18379" i="1"/>
  <c r="B18379" i="1"/>
  <c r="C18379" i="1"/>
  <c r="D18379" i="1"/>
  <c r="E18379" i="1"/>
  <c r="F18379" i="1"/>
  <c r="G18379" i="1"/>
  <c r="H18379" i="1"/>
  <c r="A18380" i="1"/>
  <c r="B18380" i="1"/>
  <c r="C18380" i="1"/>
  <c r="D18380" i="1"/>
  <c r="E18380" i="1"/>
  <c r="F18380" i="1"/>
  <c r="G18380" i="1"/>
  <c r="H18380" i="1"/>
  <c r="A18381" i="1"/>
  <c r="B18381" i="1"/>
  <c r="C18381" i="1"/>
  <c r="D18381" i="1"/>
  <c r="E18381" i="1"/>
  <c r="F18381" i="1"/>
  <c r="G18381" i="1"/>
  <c r="H18381" i="1"/>
  <c r="A18382" i="1"/>
  <c r="B18382" i="1"/>
  <c r="C18382" i="1"/>
  <c r="D18382" i="1"/>
  <c r="E18382" i="1"/>
  <c r="F18382" i="1"/>
  <c r="G18382" i="1"/>
  <c r="H18382" i="1"/>
  <c r="A18383" i="1"/>
  <c r="B18383" i="1"/>
  <c r="C18383" i="1"/>
  <c r="D18383" i="1"/>
  <c r="E18383" i="1"/>
  <c r="F18383" i="1"/>
  <c r="G18383" i="1"/>
  <c r="H18383" i="1"/>
  <c r="A18384" i="1"/>
  <c r="B18384" i="1"/>
  <c r="C18384" i="1"/>
  <c r="D18384" i="1"/>
  <c r="E18384" i="1"/>
  <c r="F18384" i="1"/>
  <c r="G18384" i="1"/>
  <c r="H18384" i="1"/>
  <c r="A18385" i="1"/>
  <c r="B18385" i="1"/>
  <c r="C18385" i="1"/>
  <c r="D18385" i="1"/>
  <c r="E18385" i="1"/>
  <c r="F18385" i="1"/>
  <c r="G18385" i="1"/>
  <c r="H18385" i="1"/>
  <c r="A18386" i="1"/>
  <c r="B18386" i="1"/>
  <c r="C18386" i="1"/>
  <c r="D18386" i="1"/>
  <c r="E18386" i="1"/>
  <c r="F18386" i="1"/>
  <c r="G18386" i="1"/>
  <c r="H18386" i="1"/>
  <c r="A18387" i="1"/>
  <c r="B18387" i="1"/>
  <c r="C18387" i="1"/>
  <c r="D18387" i="1"/>
  <c r="E18387" i="1"/>
  <c r="F18387" i="1"/>
  <c r="G18387" i="1"/>
  <c r="H18387" i="1"/>
  <c r="A18388" i="1"/>
  <c r="B18388" i="1"/>
  <c r="C18388" i="1"/>
  <c r="D18388" i="1"/>
  <c r="E18388" i="1"/>
  <c r="F18388" i="1"/>
  <c r="G18388" i="1"/>
  <c r="H18388" i="1"/>
  <c r="A18389" i="1"/>
  <c r="B18389" i="1"/>
  <c r="C18389" i="1"/>
  <c r="D18389" i="1"/>
  <c r="E18389" i="1"/>
  <c r="F18389" i="1"/>
  <c r="G18389" i="1"/>
  <c r="H18389" i="1"/>
  <c r="A18390" i="1"/>
  <c r="B18390" i="1"/>
  <c r="C18390" i="1"/>
  <c r="D18390" i="1"/>
  <c r="E18390" i="1"/>
  <c r="F18390" i="1"/>
  <c r="G18390" i="1"/>
  <c r="H18390" i="1"/>
  <c r="A18391" i="1"/>
  <c r="B18391" i="1"/>
  <c r="C18391" i="1"/>
  <c r="D18391" i="1"/>
  <c r="E18391" i="1"/>
  <c r="F18391" i="1"/>
  <c r="G18391" i="1"/>
  <c r="H18391" i="1"/>
  <c r="A18392" i="1"/>
  <c r="B18392" i="1"/>
  <c r="C18392" i="1"/>
  <c r="D18392" i="1"/>
  <c r="E18392" i="1"/>
  <c r="F18392" i="1"/>
  <c r="G18392" i="1"/>
  <c r="H18392" i="1"/>
  <c r="A18393" i="1"/>
  <c r="B18393" i="1"/>
  <c r="C18393" i="1"/>
  <c r="D18393" i="1"/>
  <c r="E18393" i="1"/>
  <c r="F18393" i="1"/>
  <c r="G18393" i="1"/>
  <c r="H18393" i="1"/>
  <c r="A18394" i="1"/>
  <c r="B18394" i="1"/>
  <c r="C18394" i="1"/>
  <c r="D18394" i="1"/>
  <c r="E18394" i="1"/>
  <c r="F18394" i="1"/>
  <c r="G18394" i="1"/>
  <c r="H18394" i="1"/>
  <c r="A18395" i="1"/>
  <c r="B18395" i="1"/>
  <c r="C18395" i="1"/>
  <c r="D18395" i="1"/>
  <c r="E18395" i="1"/>
  <c r="F18395" i="1"/>
  <c r="G18395" i="1"/>
  <c r="H18395" i="1"/>
  <c r="A18396" i="1"/>
  <c r="B18396" i="1"/>
  <c r="C18396" i="1"/>
  <c r="D18396" i="1"/>
  <c r="E18396" i="1"/>
  <c r="F18396" i="1"/>
  <c r="G18396" i="1"/>
  <c r="H18396" i="1"/>
  <c r="A18397" i="1"/>
  <c r="B18397" i="1"/>
  <c r="C18397" i="1"/>
  <c r="D18397" i="1"/>
  <c r="E18397" i="1"/>
  <c r="F18397" i="1"/>
  <c r="G18397" i="1"/>
  <c r="H18397" i="1"/>
  <c r="A18398" i="1"/>
  <c r="B18398" i="1"/>
  <c r="C18398" i="1"/>
  <c r="D18398" i="1"/>
  <c r="E18398" i="1"/>
  <c r="F18398" i="1"/>
  <c r="G18398" i="1"/>
  <c r="H18398" i="1"/>
  <c r="A18399" i="1"/>
  <c r="B18399" i="1"/>
  <c r="C18399" i="1"/>
  <c r="D18399" i="1"/>
  <c r="E18399" i="1"/>
  <c r="F18399" i="1"/>
  <c r="G18399" i="1"/>
  <c r="H18399" i="1"/>
  <c r="A18400" i="1"/>
  <c r="B18400" i="1"/>
  <c r="C18400" i="1"/>
  <c r="D18400" i="1"/>
  <c r="E18400" i="1"/>
  <c r="F18400" i="1"/>
  <c r="G18400" i="1"/>
  <c r="H18400" i="1"/>
  <c r="A18401" i="1"/>
  <c r="B18401" i="1"/>
  <c r="C18401" i="1"/>
  <c r="D18401" i="1"/>
  <c r="E18401" i="1"/>
  <c r="F18401" i="1"/>
  <c r="G18401" i="1"/>
  <c r="H18401" i="1"/>
  <c r="A18402" i="1"/>
  <c r="B18402" i="1"/>
  <c r="C18402" i="1"/>
  <c r="D18402" i="1"/>
  <c r="E18402" i="1"/>
  <c r="F18402" i="1"/>
  <c r="G18402" i="1"/>
  <c r="H18402" i="1"/>
  <c r="A18403" i="1"/>
  <c r="B18403" i="1"/>
  <c r="C18403" i="1"/>
  <c r="D18403" i="1"/>
  <c r="E18403" i="1"/>
  <c r="F18403" i="1"/>
  <c r="G18403" i="1"/>
  <c r="H18403" i="1"/>
  <c r="A18404" i="1"/>
  <c r="B18404" i="1"/>
  <c r="C18404" i="1"/>
  <c r="D18404" i="1"/>
  <c r="E18404" i="1"/>
  <c r="F18404" i="1"/>
  <c r="G18404" i="1"/>
  <c r="H18404" i="1"/>
  <c r="A18405" i="1"/>
  <c r="B18405" i="1"/>
  <c r="C18405" i="1"/>
  <c r="D18405" i="1"/>
  <c r="E18405" i="1"/>
  <c r="F18405" i="1"/>
  <c r="G18405" i="1"/>
  <c r="H18405" i="1"/>
  <c r="A18406" i="1"/>
  <c r="B18406" i="1"/>
  <c r="C18406" i="1"/>
  <c r="D18406" i="1"/>
  <c r="E18406" i="1"/>
  <c r="F18406" i="1"/>
  <c r="G18406" i="1"/>
  <c r="H18406" i="1"/>
  <c r="A18407" i="1"/>
  <c r="B18407" i="1"/>
  <c r="C18407" i="1"/>
  <c r="D18407" i="1"/>
  <c r="E18407" i="1"/>
  <c r="F18407" i="1"/>
  <c r="G18407" i="1"/>
  <c r="H18407" i="1"/>
  <c r="A18408" i="1"/>
  <c r="B18408" i="1"/>
  <c r="C18408" i="1"/>
  <c r="D18408" i="1"/>
  <c r="E18408" i="1"/>
  <c r="F18408" i="1"/>
  <c r="G18408" i="1"/>
  <c r="H18408" i="1"/>
  <c r="A18409" i="1"/>
  <c r="B18409" i="1"/>
  <c r="C18409" i="1"/>
  <c r="D18409" i="1"/>
  <c r="E18409" i="1"/>
  <c r="F18409" i="1"/>
  <c r="G18409" i="1"/>
  <c r="H18409" i="1"/>
  <c r="A18410" i="1"/>
  <c r="B18410" i="1"/>
  <c r="C18410" i="1"/>
  <c r="D18410" i="1"/>
  <c r="E18410" i="1"/>
  <c r="F18410" i="1"/>
  <c r="G18410" i="1"/>
  <c r="H18410" i="1"/>
  <c r="A18411" i="1"/>
  <c r="B18411" i="1"/>
  <c r="C18411" i="1"/>
  <c r="D18411" i="1"/>
  <c r="E18411" i="1"/>
  <c r="F18411" i="1"/>
  <c r="G18411" i="1"/>
  <c r="H18411" i="1"/>
  <c r="A18412" i="1"/>
  <c r="B18412" i="1"/>
  <c r="C18412" i="1"/>
  <c r="D18412" i="1"/>
  <c r="E18412" i="1"/>
  <c r="F18412" i="1"/>
  <c r="G18412" i="1"/>
  <c r="H18412" i="1"/>
  <c r="A18413" i="1"/>
  <c r="B18413" i="1"/>
  <c r="C18413" i="1"/>
  <c r="D18413" i="1"/>
  <c r="E18413" i="1"/>
  <c r="F18413" i="1"/>
  <c r="G18413" i="1"/>
  <c r="H18413" i="1"/>
  <c r="A18414" i="1"/>
  <c r="B18414" i="1"/>
  <c r="C18414" i="1"/>
  <c r="D18414" i="1"/>
  <c r="E18414" i="1"/>
  <c r="F18414" i="1"/>
  <c r="G18414" i="1"/>
  <c r="H18414" i="1"/>
  <c r="A18415" i="1"/>
  <c r="B18415" i="1"/>
  <c r="C18415" i="1"/>
  <c r="D18415" i="1"/>
  <c r="E18415" i="1"/>
  <c r="F18415" i="1"/>
  <c r="G18415" i="1"/>
  <c r="H18415" i="1"/>
  <c r="A18416" i="1"/>
  <c r="B18416" i="1"/>
  <c r="C18416" i="1"/>
  <c r="D18416" i="1"/>
  <c r="E18416" i="1"/>
  <c r="F18416" i="1"/>
  <c r="G18416" i="1"/>
  <c r="H18416" i="1"/>
  <c r="A18417" i="1"/>
  <c r="B18417" i="1"/>
  <c r="C18417" i="1"/>
  <c r="D18417" i="1"/>
  <c r="E18417" i="1"/>
  <c r="F18417" i="1"/>
  <c r="G18417" i="1"/>
  <c r="H18417" i="1"/>
  <c r="A18418" i="1"/>
  <c r="B18418" i="1"/>
  <c r="C18418" i="1"/>
  <c r="D18418" i="1"/>
  <c r="E18418" i="1"/>
  <c r="F18418" i="1"/>
  <c r="G18418" i="1"/>
  <c r="H18418" i="1"/>
  <c r="A18419" i="1"/>
  <c r="B18419" i="1"/>
  <c r="C18419" i="1"/>
  <c r="D18419" i="1"/>
  <c r="E18419" i="1"/>
  <c r="F18419" i="1"/>
  <c r="G18419" i="1"/>
  <c r="H18419" i="1"/>
  <c r="A18420" i="1"/>
  <c r="B18420" i="1"/>
  <c r="C18420" i="1"/>
  <c r="D18420" i="1"/>
  <c r="E18420" i="1"/>
  <c r="F18420" i="1"/>
  <c r="G18420" i="1"/>
  <c r="H18420" i="1"/>
  <c r="A18421" i="1"/>
  <c r="B18421" i="1"/>
  <c r="C18421" i="1"/>
  <c r="D18421" i="1"/>
  <c r="E18421" i="1"/>
  <c r="F18421" i="1"/>
  <c r="G18421" i="1"/>
  <c r="H18421" i="1"/>
  <c r="A18422" i="1"/>
  <c r="B18422" i="1"/>
  <c r="C18422" i="1"/>
  <c r="D18422" i="1"/>
  <c r="E18422" i="1"/>
  <c r="F18422" i="1"/>
  <c r="G18422" i="1"/>
  <c r="H18422" i="1"/>
  <c r="A18423" i="1"/>
  <c r="B18423" i="1"/>
  <c r="C18423" i="1"/>
  <c r="D18423" i="1"/>
  <c r="E18423" i="1"/>
  <c r="F18423" i="1"/>
  <c r="G18423" i="1"/>
  <c r="H18423" i="1"/>
  <c r="A18424" i="1"/>
  <c r="B18424" i="1"/>
  <c r="C18424" i="1"/>
  <c r="D18424" i="1"/>
  <c r="E18424" i="1"/>
  <c r="F18424" i="1"/>
  <c r="G18424" i="1"/>
  <c r="H18424" i="1"/>
  <c r="A18425" i="1"/>
  <c r="B18425" i="1"/>
  <c r="C18425" i="1"/>
  <c r="D18425" i="1"/>
  <c r="E18425" i="1"/>
  <c r="F18425" i="1"/>
  <c r="G18425" i="1"/>
  <c r="H18425" i="1"/>
  <c r="A18426" i="1"/>
  <c r="B18426" i="1"/>
  <c r="C18426" i="1"/>
  <c r="D18426" i="1"/>
  <c r="E18426" i="1"/>
  <c r="F18426" i="1"/>
  <c r="G18426" i="1"/>
  <c r="H18426" i="1"/>
  <c r="A18427" i="1"/>
  <c r="B18427" i="1"/>
  <c r="C18427" i="1"/>
  <c r="D18427" i="1"/>
  <c r="E18427" i="1"/>
  <c r="F18427" i="1"/>
  <c r="G18427" i="1"/>
  <c r="H18427" i="1"/>
  <c r="A18428" i="1"/>
  <c r="B18428" i="1"/>
  <c r="C18428" i="1"/>
  <c r="D18428" i="1"/>
  <c r="E18428" i="1"/>
  <c r="F18428" i="1"/>
  <c r="G18428" i="1"/>
  <c r="H18428" i="1"/>
  <c r="A18429" i="1"/>
  <c r="B18429" i="1"/>
  <c r="C18429" i="1"/>
  <c r="D18429" i="1"/>
  <c r="E18429" i="1"/>
  <c r="F18429" i="1"/>
  <c r="G18429" i="1"/>
  <c r="H18429" i="1"/>
  <c r="A18430" i="1"/>
  <c r="B18430" i="1"/>
  <c r="C18430" i="1"/>
  <c r="D18430" i="1"/>
  <c r="E18430" i="1"/>
  <c r="F18430" i="1"/>
  <c r="G18430" i="1"/>
  <c r="H18430" i="1"/>
  <c r="A18431" i="1"/>
  <c r="B18431" i="1"/>
  <c r="C18431" i="1"/>
  <c r="D18431" i="1"/>
  <c r="E18431" i="1"/>
  <c r="F18431" i="1"/>
  <c r="G18431" i="1"/>
  <c r="H18431" i="1"/>
  <c r="A18432" i="1"/>
  <c r="B18432" i="1"/>
  <c r="C18432" i="1"/>
  <c r="D18432" i="1"/>
  <c r="E18432" i="1"/>
  <c r="F18432" i="1"/>
  <c r="G18432" i="1"/>
  <c r="H18432" i="1"/>
  <c r="A18433" i="1"/>
  <c r="B18433" i="1"/>
  <c r="C18433" i="1"/>
  <c r="D18433" i="1"/>
  <c r="E18433" i="1"/>
  <c r="F18433" i="1"/>
  <c r="G18433" i="1"/>
  <c r="H18433" i="1"/>
  <c r="A18434" i="1"/>
  <c r="B18434" i="1"/>
  <c r="C18434" i="1"/>
  <c r="D18434" i="1"/>
  <c r="E18434" i="1"/>
  <c r="F18434" i="1"/>
  <c r="G18434" i="1"/>
  <c r="H18434" i="1"/>
  <c r="A18435" i="1"/>
  <c r="B18435" i="1"/>
  <c r="C18435" i="1"/>
  <c r="D18435" i="1"/>
  <c r="E18435" i="1"/>
  <c r="F18435" i="1"/>
  <c r="G18435" i="1"/>
  <c r="H18435" i="1"/>
  <c r="A18436" i="1"/>
  <c r="B18436" i="1"/>
  <c r="C18436" i="1"/>
  <c r="D18436" i="1"/>
  <c r="E18436" i="1"/>
  <c r="F18436" i="1"/>
  <c r="G18436" i="1"/>
  <c r="H18436" i="1"/>
  <c r="A18437" i="1"/>
  <c r="B18437" i="1"/>
  <c r="C18437" i="1"/>
  <c r="D18437" i="1"/>
  <c r="E18437" i="1"/>
  <c r="F18437" i="1"/>
  <c r="G18437" i="1"/>
  <c r="H18437" i="1"/>
  <c r="A18438" i="1"/>
  <c r="B18438" i="1"/>
  <c r="C18438" i="1"/>
  <c r="D18438" i="1"/>
  <c r="E18438" i="1"/>
  <c r="F18438" i="1"/>
  <c r="G18438" i="1"/>
  <c r="H18438" i="1"/>
  <c r="A18439" i="1"/>
  <c r="B18439" i="1"/>
  <c r="C18439" i="1"/>
  <c r="D18439" i="1"/>
  <c r="E18439" i="1"/>
  <c r="F18439" i="1"/>
  <c r="G18439" i="1"/>
  <c r="H18439" i="1"/>
  <c r="A18440" i="1"/>
  <c r="B18440" i="1"/>
  <c r="C18440" i="1"/>
  <c r="D18440" i="1"/>
  <c r="E18440" i="1"/>
  <c r="F18440" i="1"/>
  <c r="G18440" i="1"/>
  <c r="H18440" i="1"/>
  <c r="A18441" i="1"/>
  <c r="B18441" i="1"/>
  <c r="C18441" i="1"/>
  <c r="D18441" i="1"/>
  <c r="E18441" i="1"/>
  <c r="F18441" i="1"/>
  <c r="G18441" i="1"/>
  <c r="H18441" i="1"/>
  <c r="A18442" i="1"/>
  <c r="B18442" i="1"/>
  <c r="C18442" i="1"/>
  <c r="D18442" i="1"/>
  <c r="E18442" i="1"/>
  <c r="F18442" i="1"/>
  <c r="G18442" i="1"/>
  <c r="H18442" i="1"/>
  <c r="A18443" i="1"/>
  <c r="B18443" i="1"/>
  <c r="C18443" i="1"/>
  <c r="D18443" i="1"/>
  <c r="E18443" i="1"/>
  <c r="F18443" i="1"/>
  <c r="G18443" i="1"/>
  <c r="H18443" i="1"/>
  <c r="A18444" i="1"/>
  <c r="B18444" i="1"/>
  <c r="C18444" i="1"/>
  <c r="D18444" i="1"/>
  <c r="E18444" i="1"/>
  <c r="F18444" i="1"/>
  <c r="G18444" i="1"/>
  <c r="H18444" i="1"/>
  <c r="A18445" i="1"/>
  <c r="B18445" i="1"/>
  <c r="C18445" i="1"/>
  <c r="D18445" i="1"/>
  <c r="E18445" i="1"/>
  <c r="F18445" i="1"/>
  <c r="G18445" i="1"/>
  <c r="H18445" i="1"/>
  <c r="A18446" i="1"/>
  <c r="B18446" i="1"/>
  <c r="C18446" i="1"/>
  <c r="D18446" i="1"/>
  <c r="E18446" i="1"/>
  <c r="F18446" i="1"/>
  <c r="G18446" i="1"/>
  <c r="H18446" i="1"/>
  <c r="A18447" i="1"/>
  <c r="B18447" i="1"/>
  <c r="C18447" i="1"/>
  <c r="D18447" i="1"/>
  <c r="E18447" i="1"/>
  <c r="F18447" i="1"/>
  <c r="G18447" i="1"/>
  <c r="H18447" i="1"/>
  <c r="A18448" i="1"/>
  <c r="B18448" i="1"/>
  <c r="C18448" i="1"/>
  <c r="D18448" i="1"/>
  <c r="E18448" i="1"/>
  <c r="F18448" i="1"/>
  <c r="G18448" i="1"/>
  <c r="H18448" i="1"/>
  <c r="A18449" i="1"/>
  <c r="B18449" i="1"/>
  <c r="C18449" i="1"/>
  <c r="D18449" i="1"/>
  <c r="E18449" i="1"/>
  <c r="F18449" i="1"/>
  <c r="G18449" i="1"/>
  <c r="H18449" i="1"/>
  <c r="A18450" i="1"/>
  <c r="B18450" i="1"/>
  <c r="C18450" i="1"/>
  <c r="D18450" i="1"/>
  <c r="E18450" i="1"/>
  <c r="F18450" i="1"/>
  <c r="G18450" i="1"/>
  <c r="H18450" i="1"/>
  <c r="A18451" i="1"/>
  <c r="B18451" i="1"/>
  <c r="C18451" i="1"/>
  <c r="D18451" i="1"/>
  <c r="E18451" i="1"/>
  <c r="F18451" i="1"/>
  <c r="G18451" i="1"/>
  <c r="H18451" i="1"/>
  <c r="A18452" i="1"/>
  <c r="B18452" i="1"/>
  <c r="C18452" i="1"/>
  <c r="D18452" i="1"/>
  <c r="E18452" i="1"/>
  <c r="F18452" i="1"/>
  <c r="G18452" i="1"/>
  <c r="H18452" i="1"/>
  <c r="A18453" i="1"/>
  <c r="B18453" i="1"/>
  <c r="C18453" i="1"/>
  <c r="D18453" i="1"/>
  <c r="E18453" i="1"/>
  <c r="F18453" i="1"/>
  <c r="G18453" i="1"/>
  <c r="H18453" i="1"/>
  <c r="A18454" i="1"/>
  <c r="B18454" i="1"/>
  <c r="C18454" i="1"/>
  <c r="D18454" i="1"/>
  <c r="E18454" i="1"/>
  <c r="F18454" i="1"/>
  <c r="G18454" i="1"/>
  <c r="H18454" i="1"/>
  <c r="A18455" i="1"/>
  <c r="B18455" i="1"/>
  <c r="C18455" i="1"/>
  <c r="D18455" i="1"/>
  <c r="E18455" i="1"/>
  <c r="F18455" i="1"/>
  <c r="G18455" i="1"/>
  <c r="H18455" i="1"/>
  <c r="A18456" i="1"/>
  <c r="B18456" i="1"/>
  <c r="C18456" i="1"/>
  <c r="D18456" i="1"/>
  <c r="E18456" i="1"/>
  <c r="F18456" i="1"/>
  <c r="G18456" i="1"/>
  <c r="H18456" i="1"/>
  <c r="A18457" i="1"/>
  <c r="B18457" i="1"/>
  <c r="C18457" i="1"/>
  <c r="D18457" i="1"/>
  <c r="E18457" i="1"/>
  <c r="F18457" i="1"/>
  <c r="G18457" i="1"/>
  <c r="H18457" i="1"/>
  <c r="A18458" i="1"/>
  <c r="B18458" i="1"/>
  <c r="C18458" i="1"/>
  <c r="D18458" i="1"/>
  <c r="E18458" i="1"/>
  <c r="F18458" i="1"/>
  <c r="G18458" i="1"/>
  <c r="H18458" i="1"/>
  <c r="A18459" i="1"/>
  <c r="B18459" i="1"/>
  <c r="C18459" i="1"/>
  <c r="D18459" i="1"/>
  <c r="E18459" i="1"/>
  <c r="F18459" i="1"/>
  <c r="G18459" i="1"/>
  <c r="H18459" i="1"/>
  <c r="A18460" i="1"/>
  <c r="B18460" i="1"/>
  <c r="C18460" i="1"/>
  <c r="D18460" i="1"/>
  <c r="E18460" i="1"/>
  <c r="F18460" i="1"/>
  <c r="G18460" i="1"/>
  <c r="H18460" i="1"/>
  <c r="A18461" i="1"/>
  <c r="B18461" i="1"/>
  <c r="C18461" i="1"/>
  <c r="D18461" i="1"/>
  <c r="E18461" i="1"/>
  <c r="F18461" i="1"/>
  <c r="G18461" i="1"/>
  <c r="H18461" i="1"/>
  <c r="A18462" i="1"/>
  <c r="B18462" i="1"/>
  <c r="C18462" i="1"/>
  <c r="D18462" i="1"/>
  <c r="E18462" i="1"/>
  <c r="F18462" i="1"/>
  <c r="G18462" i="1"/>
  <c r="H18462" i="1"/>
  <c r="A18463" i="1"/>
  <c r="B18463" i="1"/>
  <c r="C18463" i="1"/>
  <c r="D18463" i="1"/>
  <c r="E18463" i="1"/>
  <c r="F18463" i="1"/>
  <c r="G18463" i="1"/>
  <c r="H18463" i="1"/>
  <c r="A18464" i="1"/>
  <c r="B18464" i="1"/>
  <c r="C18464" i="1"/>
  <c r="D18464" i="1"/>
  <c r="E18464" i="1"/>
  <c r="F18464" i="1"/>
  <c r="G18464" i="1"/>
  <c r="H18464" i="1"/>
  <c r="A18465" i="1"/>
  <c r="B18465" i="1"/>
  <c r="C18465" i="1"/>
  <c r="D18465" i="1"/>
  <c r="E18465" i="1"/>
  <c r="F18465" i="1"/>
  <c r="G18465" i="1"/>
  <c r="H18465" i="1"/>
  <c r="A18466" i="1"/>
  <c r="B18466" i="1"/>
  <c r="C18466" i="1"/>
  <c r="D18466" i="1"/>
  <c r="E18466" i="1"/>
  <c r="F18466" i="1"/>
  <c r="G18466" i="1"/>
  <c r="H18466" i="1"/>
  <c r="A18467" i="1"/>
  <c r="B18467" i="1"/>
  <c r="C18467" i="1"/>
  <c r="D18467" i="1"/>
  <c r="E18467" i="1"/>
  <c r="F18467" i="1"/>
  <c r="G18467" i="1"/>
  <c r="H18467" i="1"/>
  <c r="A18468" i="1"/>
  <c r="B18468" i="1"/>
  <c r="C18468" i="1"/>
  <c r="D18468" i="1"/>
  <c r="E18468" i="1"/>
  <c r="F18468" i="1"/>
  <c r="G18468" i="1"/>
  <c r="H18468" i="1"/>
  <c r="A18469" i="1"/>
  <c r="B18469" i="1"/>
  <c r="C18469" i="1"/>
  <c r="D18469" i="1"/>
  <c r="E18469" i="1"/>
  <c r="F18469" i="1"/>
  <c r="G18469" i="1"/>
  <c r="H18469" i="1"/>
  <c r="A18470" i="1"/>
  <c r="B18470" i="1"/>
  <c r="C18470" i="1"/>
  <c r="D18470" i="1"/>
  <c r="E18470" i="1"/>
  <c r="F18470" i="1"/>
  <c r="G18470" i="1"/>
  <c r="H18470" i="1"/>
  <c r="A18471" i="1"/>
  <c r="B18471" i="1"/>
  <c r="C18471" i="1"/>
  <c r="D18471" i="1"/>
  <c r="E18471" i="1"/>
  <c r="F18471" i="1"/>
  <c r="G18471" i="1"/>
  <c r="H18471" i="1"/>
  <c r="A18472" i="1"/>
  <c r="B18472" i="1"/>
  <c r="C18472" i="1"/>
  <c r="D18472" i="1"/>
  <c r="E18472" i="1"/>
  <c r="F18472" i="1"/>
  <c r="G18472" i="1"/>
  <c r="H18472" i="1"/>
  <c r="A18473" i="1"/>
  <c r="B18473" i="1"/>
  <c r="C18473" i="1"/>
  <c r="D18473" i="1"/>
  <c r="E18473" i="1"/>
  <c r="F18473" i="1"/>
  <c r="G18473" i="1"/>
  <c r="H18473" i="1"/>
  <c r="A18474" i="1"/>
  <c r="B18474" i="1"/>
  <c r="C18474" i="1"/>
  <c r="D18474" i="1"/>
  <c r="E18474" i="1"/>
  <c r="F18474" i="1"/>
  <c r="G18474" i="1"/>
  <c r="H18474" i="1"/>
  <c r="A18475" i="1"/>
  <c r="B18475" i="1"/>
  <c r="C18475" i="1"/>
  <c r="D18475" i="1"/>
  <c r="E18475" i="1"/>
  <c r="F18475" i="1"/>
  <c r="G18475" i="1"/>
  <c r="H18475" i="1"/>
  <c r="A18476" i="1"/>
  <c r="B18476" i="1"/>
  <c r="C18476" i="1"/>
  <c r="D18476" i="1"/>
  <c r="E18476" i="1"/>
  <c r="F18476" i="1"/>
  <c r="G18476" i="1"/>
  <c r="H18476" i="1"/>
  <c r="A18477" i="1"/>
  <c r="B18477" i="1"/>
  <c r="C18477" i="1"/>
  <c r="D18477" i="1"/>
  <c r="E18477" i="1"/>
  <c r="F18477" i="1"/>
  <c r="G18477" i="1"/>
  <c r="H18477" i="1"/>
  <c r="A18478" i="1"/>
  <c r="B18478" i="1"/>
  <c r="C18478" i="1"/>
  <c r="D18478" i="1"/>
  <c r="E18478" i="1"/>
  <c r="F18478" i="1"/>
  <c r="G18478" i="1"/>
  <c r="H18478" i="1"/>
  <c r="A18479" i="1"/>
  <c r="B18479" i="1"/>
  <c r="C18479" i="1"/>
  <c r="D18479" i="1"/>
  <c r="E18479" i="1"/>
  <c r="F18479" i="1"/>
  <c r="G18479" i="1"/>
  <c r="H18479" i="1"/>
  <c r="A18480" i="1"/>
  <c r="B18480" i="1"/>
  <c r="C18480" i="1"/>
  <c r="D18480" i="1"/>
  <c r="E18480" i="1"/>
  <c r="F18480" i="1"/>
  <c r="G18480" i="1"/>
  <c r="H18480" i="1"/>
  <c r="A18481" i="1"/>
  <c r="B18481" i="1"/>
  <c r="C18481" i="1"/>
  <c r="D18481" i="1"/>
  <c r="E18481" i="1"/>
  <c r="F18481" i="1"/>
  <c r="G18481" i="1"/>
  <c r="H18481" i="1"/>
  <c r="A18482" i="1"/>
  <c r="B18482" i="1"/>
  <c r="C18482" i="1"/>
  <c r="D18482" i="1"/>
  <c r="E18482" i="1"/>
  <c r="F18482" i="1"/>
  <c r="G18482" i="1"/>
  <c r="H18482" i="1"/>
  <c r="A18483" i="1"/>
  <c r="B18483" i="1"/>
  <c r="C18483" i="1"/>
  <c r="D18483" i="1"/>
  <c r="E18483" i="1"/>
  <c r="F18483" i="1"/>
  <c r="G18483" i="1"/>
  <c r="H18483" i="1"/>
  <c r="A18484" i="1"/>
  <c r="B18484" i="1"/>
  <c r="C18484" i="1"/>
  <c r="D18484" i="1"/>
  <c r="E18484" i="1"/>
  <c r="F18484" i="1"/>
  <c r="G18484" i="1"/>
  <c r="H18484" i="1"/>
  <c r="A18485" i="1"/>
  <c r="B18485" i="1"/>
  <c r="C18485" i="1"/>
  <c r="D18485" i="1"/>
  <c r="E18485" i="1"/>
  <c r="F18485" i="1"/>
  <c r="G18485" i="1"/>
  <c r="H18485" i="1"/>
  <c r="A18486" i="1"/>
  <c r="B18486" i="1"/>
  <c r="C18486" i="1"/>
  <c r="D18486" i="1"/>
  <c r="E18486" i="1"/>
  <c r="F18486" i="1"/>
  <c r="G18486" i="1"/>
  <c r="H18486" i="1"/>
  <c r="A18487" i="1"/>
  <c r="B18487" i="1"/>
  <c r="C18487" i="1"/>
  <c r="D18487" i="1"/>
  <c r="E18487" i="1"/>
  <c r="F18487" i="1"/>
  <c r="G18487" i="1"/>
  <c r="H18487" i="1"/>
  <c r="A18488" i="1"/>
  <c r="B18488" i="1"/>
  <c r="C18488" i="1"/>
  <c r="D18488" i="1"/>
  <c r="E18488" i="1"/>
  <c r="F18488" i="1"/>
  <c r="G18488" i="1"/>
  <c r="H18488" i="1"/>
  <c r="A18489" i="1"/>
  <c r="B18489" i="1"/>
  <c r="C18489" i="1"/>
  <c r="D18489" i="1"/>
  <c r="E18489" i="1"/>
  <c r="F18489" i="1"/>
  <c r="G18489" i="1"/>
  <c r="H18489" i="1"/>
  <c r="A18490" i="1"/>
  <c r="B18490" i="1"/>
  <c r="C18490" i="1"/>
  <c r="D18490" i="1"/>
  <c r="E18490" i="1"/>
  <c r="F18490" i="1"/>
  <c r="G18490" i="1"/>
  <c r="H18490" i="1"/>
  <c r="A18491" i="1"/>
  <c r="B18491" i="1"/>
  <c r="C18491" i="1"/>
  <c r="D18491" i="1"/>
  <c r="E18491" i="1"/>
  <c r="F18491" i="1"/>
  <c r="G18491" i="1"/>
  <c r="H18491" i="1"/>
  <c r="A18492" i="1"/>
  <c r="B18492" i="1"/>
  <c r="C18492" i="1"/>
  <c r="D18492" i="1"/>
  <c r="E18492" i="1"/>
  <c r="F18492" i="1"/>
  <c r="G18492" i="1"/>
  <c r="H18492" i="1"/>
  <c r="A18493" i="1"/>
  <c r="B18493" i="1"/>
  <c r="C18493" i="1"/>
  <c r="D18493" i="1"/>
  <c r="E18493" i="1"/>
  <c r="F18493" i="1"/>
  <c r="G18493" i="1"/>
  <c r="H18493" i="1"/>
  <c r="A18494" i="1"/>
  <c r="B18494" i="1"/>
  <c r="C18494" i="1"/>
  <c r="D18494" i="1"/>
  <c r="E18494" i="1"/>
  <c r="F18494" i="1"/>
  <c r="G18494" i="1"/>
  <c r="H18494" i="1"/>
  <c r="A18495" i="1"/>
  <c r="B18495" i="1"/>
  <c r="C18495" i="1"/>
  <c r="D18495" i="1"/>
  <c r="E18495" i="1"/>
  <c r="F18495" i="1"/>
  <c r="G18495" i="1"/>
  <c r="H18495" i="1"/>
  <c r="A18496" i="1"/>
  <c r="B18496" i="1"/>
  <c r="C18496" i="1"/>
  <c r="D18496" i="1"/>
  <c r="E18496" i="1"/>
  <c r="F18496" i="1"/>
  <c r="G18496" i="1"/>
  <c r="H18496" i="1"/>
  <c r="A18497" i="1"/>
  <c r="B18497" i="1"/>
  <c r="C18497" i="1"/>
  <c r="D18497" i="1"/>
  <c r="E18497" i="1"/>
  <c r="F18497" i="1"/>
  <c r="G18497" i="1"/>
  <c r="H18497" i="1"/>
  <c r="A18498" i="1"/>
  <c r="B18498" i="1"/>
  <c r="C18498" i="1"/>
  <c r="D18498" i="1"/>
  <c r="E18498" i="1"/>
  <c r="F18498" i="1"/>
  <c r="G18498" i="1"/>
  <c r="H18498" i="1"/>
  <c r="A18499" i="1"/>
  <c r="B18499" i="1"/>
  <c r="C18499" i="1"/>
  <c r="D18499" i="1"/>
  <c r="E18499" i="1"/>
  <c r="F18499" i="1"/>
  <c r="G18499" i="1"/>
  <c r="H18499" i="1"/>
  <c r="A18500" i="1"/>
  <c r="B18500" i="1"/>
  <c r="C18500" i="1"/>
  <c r="D18500" i="1"/>
  <c r="E18500" i="1"/>
  <c r="F18500" i="1"/>
  <c r="G18500" i="1"/>
  <c r="H18500" i="1"/>
  <c r="A18501" i="1"/>
  <c r="B18501" i="1"/>
  <c r="C18501" i="1"/>
  <c r="D18501" i="1"/>
  <c r="E18501" i="1"/>
  <c r="F18501" i="1"/>
  <c r="G18501" i="1"/>
  <c r="H18501" i="1"/>
  <c r="A18502" i="1"/>
  <c r="B18502" i="1"/>
  <c r="C18502" i="1"/>
  <c r="D18502" i="1"/>
  <c r="E18502" i="1"/>
  <c r="F18502" i="1"/>
  <c r="G18502" i="1"/>
  <c r="H18502" i="1"/>
  <c r="A18503" i="1"/>
  <c r="B18503" i="1"/>
  <c r="C18503" i="1"/>
  <c r="D18503" i="1"/>
  <c r="E18503" i="1"/>
  <c r="F18503" i="1"/>
  <c r="G18503" i="1"/>
  <c r="H18503" i="1"/>
  <c r="A18504" i="1"/>
  <c r="B18504" i="1"/>
  <c r="C18504" i="1"/>
  <c r="D18504" i="1"/>
  <c r="E18504" i="1"/>
  <c r="F18504" i="1"/>
  <c r="G18504" i="1"/>
  <c r="H18504" i="1"/>
  <c r="A18505" i="1"/>
  <c r="B18505" i="1"/>
  <c r="C18505" i="1"/>
  <c r="D18505" i="1"/>
  <c r="E18505" i="1"/>
  <c r="F18505" i="1"/>
  <c r="G18505" i="1"/>
  <c r="H18505" i="1"/>
  <c r="A18506" i="1"/>
  <c r="B18506" i="1"/>
  <c r="C18506" i="1"/>
  <c r="D18506" i="1"/>
  <c r="E18506" i="1"/>
  <c r="F18506" i="1"/>
  <c r="G18506" i="1"/>
  <c r="H18506" i="1"/>
  <c r="A18507" i="1"/>
  <c r="B18507" i="1"/>
  <c r="C18507" i="1"/>
  <c r="D18507" i="1"/>
  <c r="E18507" i="1"/>
  <c r="F18507" i="1"/>
  <c r="G18507" i="1"/>
  <c r="H18507" i="1"/>
  <c r="A18508" i="1"/>
  <c r="B18508" i="1"/>
  <c r="C18508" i="1"/>
  <c r="D18508" i="1"/>
  <c r="E18508" i="1"/>
  <c r="F18508" i="1"/>
  <c r="G18508" i="1"/>
  <c r="H18508" i="1"/>
  <c r="A18509" i="1"/>
  <c r="B18509" i="1"/>
  <c r="C18509" i="1"/>
  <c r="D18509" i="1"/>
  <c r="E18509" i="1"/>
  <c r="F18509" i="1"/>
  <c r="G18509" i="1"/>
  <c r="H18509" i="1"/>
  <c r="A18510" i="1"/>
  <c r="B18510" i="1"/>
  <c r="C18510" i="1"/>
  <c r="D18510" i="1"/>
  <c r="E18510" i="1"/>
  <c r="F18510" i="1"/>
  <c r="G18510" i="1"/>
  <c r="H18510" i="1"/>
  <c r="A18511" i="1"/>
  <c r="B18511" i="1"/>
  <c r="C18511" i="1"/>
  <c r="D18511" i="1"/>
  <c r="E18511" i="1"/>
  <c r="F18511" i="1"/>
  <c r="G18511" i="1"/>
  <c r="H18511" i="1"/>
  <c r="A18512" i="1"/>
  <c r="B18512" i="1"/>
  <c r="C18512" i="1"/>
  <c r="D18512" i="1"/>
  <c r="E18512" i="1"/>
  <c r="F18512" i="1"/>
  <c r="G18512" i="1"/>
  <c r="H18512" i="1"/>
  <c r="A18513" i="1"/>
  <c r="B18513" i="1"/>
  <c r="C18513" i="1"/>
  <c r="D18513" i="1"/>
  <c r="E18513" i="1"/>
  <c r="F18513" i="1"/>
  <c r="G18513" i="1"/>
  <c r="H18513" i="1"/>
  <c r="A18514" i="1"/>
  <c r="B18514" i="1"/>
  <c r="C18514" i="1"/>
  <c r="D18514" i="1"/>
  <c r="E18514" i="1"/>
  <c r="F18514" i="1"/>
  <c r="G18514" i="1"/>
  <c r="H18514" i="1"/>
  <c r="A18515" i="1"/>
  <c r="B18515" i="1"/>
  <c r="C18515" i="1"/>
  <c r="D18515" i="1"/>
  <c r="E18515" i="1"/>
  <c r="F18515" i="1"/>
  <c r="G18515" i="1"/>
  <c r="H18515" i="1"/>
  <c r="A18516" i="1"/>
  <c r="B18516" i="1"/>
  <c r="C18516" i="1"/>
  <c r="D18516" i="1"/>
  <c r="E18516" i="1"/>
  <c r="F18516" i="1"/>
  <c r="G18516" i="1"/>
  <c r="H18516" i="1"/>
  <c r="A18517" i="1"/>
  <c r="B18517" i="1"/>
  <c r="C18517" i="1"/>
  <c r="D18517" i="1"/>
  <c r="E18517" i="1"/>
  <c r="F18517" i="1"/>
  <c r="G18517" i="1"/>
  <c r="H18517" i="1"/>
  <c r="A18518" i="1"/>
  <c r="B18518" i="1"/>
  <c r="C18518" i="1"/>
  <c r="D18518" i="1"/>
  <c r="E18518" i="1"/>
  <c r="F18518" i="1"/>
  <c r="G18518" i="1"/>
  <c r="H18518" i="1"/>
  <c r="A18519" i="1"/>
  <c r="B18519" i="1"/>
  <c r="C18519" i="1"/>
  <c r="D18519" i="1"/>
  <c r="E18519" i="1"/>
  <c r="F18519" i="1"/>
  <c r="G18519" i="1"/>
  <c r="H18519" i="1"/>
  <c r="A18520" i="1"/>
  <c r="B18520" i="1"/>
  <c r="C18520" i="1"/>
  <c r="D18520" i="1"/>
  <c r="E18520" i="1"/>
  <c r="F18520" i="1"/>
  <c r="G18520" i="1"/>
  <c r="H18520" i="1"/>
  <c r="A18521" i="1"/>
  <c r="B18521" i="1"/>
  <c r="C18521" i="1"/>
  <c r="D18521" i="1"/>
  <c r="E18521" i="1"/>
  <c r="F18521" i="1"/>
  <c r="G18521" i="1"/>
  <c r="H18521" i="1"/>
  <c r="A18522" i="1"/>
  <c r="B18522" i="1"/>
  <c r="C18522" i="1"/>
  <c r="D18522" i="1"/>
  <c r="E18522" i="1"/>
  <c r="F18522" i="1"/>
  <c r="G18522" i="1"/>
  <c r="H18522" i="1"/>
  <c r="A18523" i="1"/>
  <c r="B18523" i="1"/>
  <c r="C18523" i="1"/>
  <c r="D18523" i="1"/>
  <c r="E18523" i="1"/>
  <c r="F18523" i="1"/>
  <c r="G18523" i="1"/>
  <c r="H18523" i="1"/>
  <c r="A18524" i="1"/>
  <c r="B18524" i="1"/>
  <c r="C18524" i="1"/>
  <c r="D18524" i="1"/>
  <c r="E18524" i="1"/>
  <c r="F18524" i="1"/>
  <c r="G18524" i="1"/>
  <c r="H18524" i="1"/>
</calcChain>
</file>

<file path=xl/sharedStrings.xml><?xml version="1.0" encoding="utf-8"?>
<sst xmlns="http://schemas.openxmlformats.org/spreadsheetml/2006/main" count="8" uniqueCount="8">
  <si>
    <t>Local ID</t>
  </si>
  <si>
    <t>First</t>
  </si>
  <si>
    <t>Last</t>
  </si>
  <si>
    <t>Grade</t>
  </si>
  <si>
    <t>Teacher / Period</t>
  </si>
  <si>
    <t>Course Title</t>
  </si>
  <si>
    <t>Room</t>
  </si>
  <si>
    <t>Rotation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</si>
</sst>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6A63-D775-774F-A809-8A0B38A232F4}">
  <dimension ref="A1:H18524"/>
  <sheetViews>
    <sheetView tabSelected="1" workbookViewId="0">
      <selection activeCell="A3" sqref="A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 t="shared" ref="A2:A9" si="0">"0614138899"</f>
        <v>0614138899</v>
      </c>
      <c r="B2" t="str">
        <f t="shared" ref="B2:B9" si="1">"NICHOLAS"</f>
        <v>NICHOLAS</v>
      </c>
      <c r="C2" t="str">
        <f t="shared" ref="C2:C17" si="2">"AAMODT"</f>
        <v>AAMODT</v>
      </c>
      <c r="D2">
        <f>11</f>
        <v>11</v>
      </c>
      <c r="E2" t="str">
        <f>"04 - A - 201 - Scott A Dethloff"</f>
        <v>04 - A - 201 - Scott A Dethloff</v>
      </c>
      <c r="F2" t="str">
        <f>"AICE THINK SKLS 1 AS"</f>
        <v>AICE THINK SKLS 1 AS</v>
      </c>
      <c r="G2" t="str">
        <f>"08-812"</f>
        <v>08-812</v>
      </c>
      <c r="H2" t="str">
        <f>"A"</f>
        <v>A</v>
      </c>
    </row>
    <row r="3" spans="1:8" x14ac:dyDescent="0.2">
      <c r="A3" t="str">
        <f t="shared" si="0"/>
        <v>0614138899</v>
      </c>
      <c r="B3" t="str">
        <f t="shared" si="1"/>
        <v>NICHOLAS</v>
      </c>
      <c r="C3" t="str">
        <f t="shared" si="2"/>
        <v>AAMODT</v>
      </c>
      <c r="D3">
        <f>11</f>
        <v>11</v>
      </c>
      <c r="E3" t="str">
        <f>"06 - B - 202 - Samantha L Martinez"</f>
        <v>06 - B - 202 - Samantha L Martinez</v>
      </c>
      <c r="F3" t="str">
        <f>"GUITAR 1"</f>
        <v>GUITAR 1</v>
      </c>
      <c r="G3" t="str">
        <f>"05-505"</f>
        <v>05-505</v>
      </c>
      <c r="H3" t="str">
        <f>"B"</f>
        <v>B</v>
      </c>
    </row>
    <row r="4" spans="1:8" x14ac:dyDescent="0.2">
      <c r="A4" t="str">
        <f t="shared" si="0"/>
        <v>0614138899</v>
      </c>
      <c r="B4" t="str">
        <f t="shared" si="1"/>
        <v>NICHOLAS</v>
      </c>
      <c r="C4" t="str">
        <f t="shared" si="2"/>
        <v>AAMODT</v>
      </c>
      <c r="D4">
        <f>11</f>
        <v>11</v>
      </c>
      <c r="E4" t="str">
        <f>"03 - A - 102 - Thomas G Handwerg"</f>
        <v>03 - A - 102 - Thomas G Handwerg</v>
      </c>
      <c r="F4" t="str">
        <f>"MATH COLL ALGEBRA"</f>
        <v>MATH COLL ALGEBRA</v>
      </c>
      <c r="G4" t="str">
        <f>"21-2146"</f>
        <v>21-2146</v>
      </c>
      <c r="H4" t="str">
        <f>"A"</f>
        <v>A</v>
      </c>
    </row>
    <row r="5" spans="1:8" x14ac:dyDescent="0.2">
      <c r="A5" t="str">
        <f t="shared" si="0"/>
        <v>0614138899</v>
      </c>
      <c r="B5" t="str">
        <f t="shared" si="1"/>
        <v>NICHOLAS</v>
      </c>
      <c r="C5" t="str">
        <f t="shared" si="2"/>
        <v>AAMODT</v>
      </c>
      <c r="D5">
        <f>11</f>
        <v>11</v>
      </c>
      <c r="E5" t="str">
        <f>"02 - A - 108 - Stephen T Ripp"</f>
        <v>02 - A - 108 - Stephen T Ripp</v>
      </c>
      <c r="F5" t="str">
        <f>"NC STUDY HALL 1"</f>
        <v>NC STUDY HALL 1</v>
      </c>
      <c r="G5" t="str">
        <f>"17-1744"</f>
        <v>17-1744</v>
      </c>
      <c r="H5" t="str">
        <f>"A"</f>
        <v>A</v>
      </c>
    </row>
    <row r="6" spans="1:8" x14ac:dyDescent="0.2">
      <c r="A6" t="str">
        <f t="shared" si="0"/>
        <v>0614138899</v>
      </c>
      <c r="B6" t="str">
        <f t="shared" si="1"/>
        <v>NICHOLAS</v>
      </c>
      <c r="C6" t="str">
        <f t="shared" si="2"/>
        <v>AAMODT</v>
      </c>
      <c r="D6">
        <f>11</f>
        <v>11</v>
      </c>
      <c r="E6" t="str">
        <f>"07 - B - 105 - Byron G Montenegro"</f>
        <v>07 - B - 105 - Byron G Montenegro</v>
      </c>
      <c r="F6" t="str">
        <f>"AICE MARINE SCI 1 AS"</f>
        <v>AICE MARINE SCI 1 AS</v>
      </c>
      <c r="G6" t="str">
        <f>"21-2144"</f>
        <v>21-2144</v>
      </c>
      <c r="H6" t="str">
        <f>"B"</f>
        <v>B</v>
      </c>
    </row>
    <row r="7" spans="1:8" x14ac:dyDescent="0.2">
      <c r="A7" t="str">
        <f t="shared" si="0"/>
        <v>0614138899</v>
      </c>
      <c r="B7" t="str">
        <f t="shared" si="1"/>
        <v>NICHOLAS</v>
      </c>
      <c r="C7" t="str">
        <f t="shared" si="2"/>
        <v>AAMODT</v>
      </c>
      <c r="D7">
        <f>11</f>
        <v>11</v>
      </c>
      <c r="E7" t="str">
        <f>"05 - B - 105 - Adam Marcus  Drucker"</f>
        <v>05 - B - 105 - Adam Marcus  Drucker</v>
      </c>
      <c r="F7" t="str">
        <f>"HOPE-PE V"</f>
        <v>HOPE-PE V</v>
      </c>
      <c r="G7" t="str">
        <f>"04-254"</f>
        <v>04-254</v>
      </c>
      <c r="H7" t="str">
        <f>"B"</f>
        <v>B</v>
      </c>
    </row>
    <row r="8" spans="1:8" x14ac:dyDescent="0.2">
      <c r="A8" t="str">
        <f t="shared" si="0"/>
        <v>0614138899</v>
      </c>
      <c r="B8" t="str">
        <f t="shared" si="1"/>
        <v>NICHOLAS</v>
      </c>
      <c r="C8" t="str">
        <f t="shared" si="2"/>
        <v>AAMODT</v>
      </c>
      <c r="D8">
        <f>11</f>
        <v>11</v>
      </c>
      <c r="E8" t="str">
        <f>"01 - A - 101 - Jacklyn M James"</f>
        <v>01 - A - 101 - Jacklyn M James</v>
      </c>
      <c r="F8" t="str">
        <f>"AICE ENG LANG AS"</f>
        <v>AICE ENG LANG AS</v>
      </c>
      <c r="G8" t="str">
        <f>"17-1731"</f>
        <v>17-1731</v>
      </c>
      <c r="H8" t="str">
        <f>"A"</f>
        <v>A</v>
      </c>
    </row>
    <row r="9" spans="1:8" x14ac:dyDescent="0.2">
      <c r="A9" t="str">
        <f t="shared" si="0"/>
        <v>0614138899</v>
      </c>
      <c r="B9" t="str">
        <f t="shared" si="1"/>
        <v>NICHOLAS</v>
      </c>
      <c r="C9" t="str">
        <f t="shared" si="2"/>
        <v>AAMODT</v>
      </c>
      <c r="D9">
        <f>11</f>
        <v>11</v>
      </c>
      <c r="E9" t="str">
        <f>"08 - B - 001 - Jerry S Jiampetti"</f>
        <v>08 - B - 001 - Jerry S Jiampetti</v>
      </c>
      <c r="F9" t="str">
        <f>"AICE U.S. HIST 1 AS"</f>
        <v>AICE U.S. HIST 1 AS</v>
      </c>
      <c r="G9" t="str">
        <f>"17-1751"</f>
        <v>17-1751</v>
      </c>
      <c r="H9" t="str">
        <f>"B"</f>
        <v>B</v>
      </c>
    </row>
    <row r="10" spans="1:8" x14ac:dyDescent="0.2">
      <c r="A10" t="str">
        <f t="shared" ref="A10:A17" si="3">"0614015471"</f>
        <v>0614015471</v>
      </c>
      <c r="B10" t="str">
        <f t="shared" ref="B10:B17" si="4">"TIMOTHY"</f>
        <v>TIMOTHY</v>
      </c>
      <c r="C10" t="str">
        <f t="shared" si="2"/>
        <v>AAMODT</v>
      </c>
      <c r="D10">
        <f>12</f>
        <v>12</v>
      </c>
      <c r="E10" t="str">
        <f>"04 - S1 - A - 106 - Kelly N Panza"</f>
        <v>04 - S1 - A - 106 - Kelly N Panza</v>
      </c>
      <c r="F10" t="str">
        <f>"US GOVT HON"</f>
        <v>US GOVT HON</v>
      </c>
      <c r="G10" t="str">
        <f>"17-1753"</f>
        <v>17-1753</v>
      </c>
      <c r="H10" t="str">
        <f>"A"</f>
        <v>A</v>
      </c>
    </row>
    <row r="11" spans="1:8" x14ac:dyDescent="0.2">
      <c r="A11" t="str">
        <f t="shared" si="3"/>
        <v>0614015471</v>
      </c>
      <c r="B11" t="str">
        <f t="shared" si="4"/>
        <v>TIMOTHY</v>
      </c>
      <c r="C11" t="str">
        <f t="shared" si="2"/>
        <v>AAMODT</v>
      </c>
      <c r="D11">
        <f>12</f>
        <v>12</v>
      </c>
      <c r="E11" t="str">
        <f>"06 - B - 110 - Barbara L Segal"</f>
        <v>06 - B - 110 - Barbara L Segal</v>
      </c>
      <c r="F11" t="str">
        <f>"NC STUDY HALL 1"</f>
        <v>NC STUDY HALL 1</v>
      </c>
      <c r="G11" t="str">
        <f>"17-1742"</f>
        <v>17-1742</v>
      </c>
      <c r="H11" t="str">
        <f>"B"</f>
        <v>B</v>
      </c>
    </row>
    <row r="12" spans="1:8" x14ac:dyDescent="0.2">
      <c r="A12" t="str">
        <f t="shared" si="3"/>
        <v>0614015471</v>
      </c>
      <c r="B12" t="str">
        <f t="shared" si="4"/>
        <v>TIMOTHY</v>
      </c>
      <c r="C12" t="str">
        <f t="shared" si="2"/>
        <v>AAMODT</v>
      </c>
      <c r="D12">
        <f>12</f>
        <v>12</v>
      </c>
      <c r="E12" t="str">
        <f>"03 - A - 101 - Jeffrey S Gallagher"</f>
        <v>03 - A - 101 - Jeffrey S Gallagher</v>
      </c>
      <c r="F12" t="str">
        <f>"ENG HON 4"</f>
        <v>ENG HON 4</v>
      </c>
      <c r="G12" t="str">
        <f>"17-1724"</f>
        <v>17-1724</v>
      </c>
      <c r="H12" t="str">
        <f>"A"</f>
        <v>A</v>
      </c>
    </row>
    <row r="13" spans="1:8" x14ac:dyDescent="0.2">
      <c r="A13" t="str">
        <f t="shared" si="3"/>
        <v>0614015471</v>
      </c>
      <c r="B13" t="str">
        <f t="shared" si="4"/>
        <v>TIMOTHY</v>
      </c>
      <c r="C13" t="str">
        <f t="shared" si="2"/>
        <v>AAMODT</v>
      </c>
      <c r="D13">
        <f>12</f>
        <v>12</v>
      </c>
      <c r="E13" t="str">
        <f>"02 - S1 - A - 101 - Carol S Moore"</f>
        <v>02 - S1 - A - 101 - Carol S Moore</v>
      </c>
      <c r="F13" t="str">
        <f>"PER CAR SCH DEV 1 LH"</f>
        <v>PER CAR SCH DEV 1 LH</v>
      </c>
      <c r="G13" t="str">
        <f>"17-1733"</f>
        <v>17-1733</v>
      </c>
      <c r="H13" t="str">
        <f>"A"</f>
        <v>A</v>
      </c>
    </row>
    <row r="14" spans="1:8" x14ac:dyDescent="0.2">
      <c r="A14" t="str">
        <f t="shared" si="3"/>
        <v>0614015471</v>
      </c>
      <c r="B14" t="str">
        <f t="shared" si="4"/>
        <v>TIMOTHY</v>
      </c>
      <c r="C14" t="str">
        <f t="shared" si="2"/>
        <v>AAMODT</v>
      </c>
      <c r="D14">
        <f>12</f>
        <v>12</v>
      </c>
      <c r="E14" t="str">
        <f>"07 - B - 101 - Lisa  Quinn"</f>
        <v>07 - B - 101 - Lisa  Quinn</v>
      </c>
      <c r="F14" t="str">
        <f>"RESEARCH 1"</f>
        <v>RESEARCH 1</v>
      </c>
      <c r="G14" t="str">
        <f>"17-1725"</f>
        <v>17-1725</v>
      </c>
      <c r="H14" t="str">
        <f>"B"</f>
        <v>B</v>
      </c>
    </row>
    <row r="15" spans="1:8" x14ac:dyDescent="0.2">
      <c r="A15" t="str">
        <f t="shared" si="3"/>
        <v>0614015471</v>
      </c>
      <c r="B15" t="str">
        <f t="shared" si="4"/>
        <v>TIMOTHY</v>
      </c>
      <c r="C15" t="str">
        <f t="shared" si="2"/>
        <v>AAMODT</v>
      </c>
      <c r="D15">
        <f>12</f>
        <v>12</v>
      </c>
      <c r="E15" t="str">
        <f>"05 - B - 104 - Lourivaldo  Da Silva"</f>
        <v>05 - B - 104 - Lourivaldo  Da Silva</v>
      </c>
      <c r="F15" t="str">
        <f>"PRE-CALCULUS HON"</f>
        <v>PRE-CALCULUS HON</v>
      </c>
      <c r="G15" t="str">
        <f>"20-2079"</f>
        <v>20-2079</v>
      </c>
      <c r="H15" t="str">
        <f>"B"</f>
        <v>B</v>
      </c>
    </row>
    <row r="16" spans="1:8" x14ac:dyDescent="0.2">
      <c r="A16" t="str">
        <f t="shared" si="3"/>
        <v>0614015471</v>
      </c>
      <c r="B16" t="str">
        <f t="shared" si="4"/>
        <v>TIMOTHY</v>
      </c>
      <c r="C16" t="str">
        <f t="shared" si="2"/>
        <v>AAMODT</v>
      </c>
      <c r="D16">
        <f>12</f>
        <v>12</v>
      </c>
      <c r="E16" t="str">
        <f>"01 - A - 201 - Jeanne M Bermudez"</f>
        <v>01 - A - 201 - Jeanne M Bermudez</v>
      </c>
      <c r="F16" t="str">
        <f>"PHYSICS 1 HON"</f>
        <v>PHYSICS 1 HON</v>
      </c>
      <c r="G16" t="str">
        <f>"21-2141"</f>
        <v>21-2141</v>
      </c>
      <c r="H16" t="str">
        <f>"A"</f>
        <v>A</v>
      </c>
    </row>
    <row r="17" spans="1:8" x14ac:dyDescent="0.2">
      <c r="A17" t="str">
        <f t="shared" si="3"/>
        <v>0614015471</v>
      </c>
      <c r="B17" t="str">
        <f t="shared" si="4"/>
        <v>TIMOTHY</v>
      </c>
      <c r="C17" t="str">
        <f t="shared" si="2"/>
        <v>AAMODT</v>
      </c>
      <c r="D17">
        <f>12</f>
        <v>12</v>
      </c>
      <c r="E17" t="str">
        <f>"08 - B - 001 - Brian M Fitzgerald"</f>
        <v>08 - B - 001 - Brian M Fitzgerald</v>
      </c>
      <c r="F17" t="str">
        <f>"CERAM/POT 1"</f>
        <v>CERAM/POT 1</v>
      </c>
      <c r="G17" t="str">
        <f>"09-908"</f>
        <v>09-908</v>
      </c>
      <c r="H17" t="str">
        <f>"B"</f>
        <v>B</v>
      </c>
    </row>
    <row r="18" spans="1:8" x14ac:dyDescent="0.2">
      <c r="A18" t="str">
        <f t="shared" ref="A18:A25" si="5">"0612079009"</f>
        <v>0612079009</v>
      </c>
      <c r="B18" t="str">
        <f t="shared" ref="B18:B25" si="6">"DEZ'TYNIE"</f>
        <v>DEZ'TYNIE</v>
      </c>
      <c r="C18" t="str">
        <f t="shared" ref="C18:C25" si="7">"AARON"</f>
        <v>AARON</v>
      </c>
      <c r="D18">
        <f>11</f>
        <v>11</v>
      </c>
      <c r="E18" t="str">
        <f>"04 - A - 105 - Milca  Exantus"</f>
        <v>04 - A - 105 - Milca  Exantus</v>
      </c>
      <c r="F18" t="str">
        <f>"MATH COLLEGE LIB ART"</f>
        <v>MATH COLLEGE LIB ART</v>
      </c>
      <c r="G18" t="str">
        <f>"21-2145"</f>
        <v>21-2145</v>
      </c>
      <c r="H18" t="str">
        <f>"A"</f>
        <v>A</v>
      </c>
    </row>
    <row r="19" spans="1:8" x14ac:dyDescent="0.2">
      <c r="A19" t="str">
        <f t="shared" si="5"/>
        <v>0612079009</v>
      </c>
      <c r="B19" t="str">
        <f t="shared" si="6"/>
        <v>DEZ'TYNIE</v>
      </c>
      <c r="C19" t="str">
        <f t="shared" si="7"/>
        <v>AARON</v>
      </c>
      <c r="D19">
        <f>11</f>
        <v>11</v>
      </c>
      <c r="E19" t="str">
        <f>"06 - S1 - B - 104 - Leslie J Barton"</f>
        <v>06 - S1 - B - 104 - Leslie J Barton</v>
      </c>
      <c r="F19" t="str">
        <f>"FIRST AID SAFETY"</f>
        <v>FIRST AID SAFETY</v>
      </c>
      <c r="G19" t="str">
        <f>"05-521"</f>
        <v>05-521</v>
      </c>
      <c r="H19" t="str">
        <f>"B"</f>
        <v>B</v>
      </c>
    </row>
    <row r="20" spans="1:8" x14ac:dyDescent="0.2">
      <c r="A20" t="str">
        <f t="shared" si="5"/>
        <v>0612079009</v>
      </c>
      <c r="B20" t="str">
        <f t="shared" si="6"/>
        <v>DEZ'TYNIE</v>
      </c>
      <c r="C20" t="str">
        <f t="shared" si="7"/>
        <v>AARON</v>
      </c>
      <c r="D20">
        <f>11</f>
        <v>11</v>
      </c>
      <c r="E20" t="str">
        <f>"03 - A - 201 - Chrystina M Marchionne"</f>
        <v>03 - A - 201 - Chrystina M Marchionne</v>
      </c>
      <c r="F20" t="str">
        <f>"JOURN 1 (YB) LH"</f>
        <v>JOURN 1 (YB) LH</v>
      </c>
      <c r="G20" t="str">
        <f>"05-520"</f>
        <v>05-520</v>
      </c>
      <c r="H20" t="str">
        <f>"A"</f>
        <v>A</v>
      </c>
    </row>
    <row r="21" spans="1:8" x14ac:dyDescent="0.2">
      <c r="A21" t="str">
        <f t="shared" si="5"/>
        <v>0612079009</v>
      </c>
      <c r="B21" t="str">
        <f t="shared" si="6"/>
        <v>DEZ'TYNIE</v>
      </c>
      <c r="C21" t="str">
        <f t="shared" si="7"/>
        <v>AARON</v>
      </c>
      <c r="D21">
        <f>11</f>
        <v>11</v>
      </c>
      <c r="E21" t="str">
        <f>"02 - A - 108 - Stephen T Ripp"</f>
        <v>02 - A - 108 - Stephen T Ripp</v>
      </c>
      <c r="F21" t="str">
        <f>"NC STUDY HALL 1"</f>
        <v>NC STUDY HALL 1</v>
      </c>
      <c r="G21" t="str">
        <f>"17-1744"</f>
        <v>17-1744</v>
      </c>
      <c r="H21" t="str">
        <f>"A"</f>
        <v>A</v>
      </c>
    </row>
    <row r="22" spans="1:8" x14ac:dyDescent="0.2">
      <c r="A22" t="str">
        <f t="shared" si="5"/>
        <v>0612079009</v>
      </c>
      <c r="B22" t="str">
        <f t="shared" si="6"/>
        <v>DEZ'TYNIE</v>
      </c>
      <c r="C22" t="str">
        <f t="shared" si="7"/>
        <v>AARON</v>
      </c>
      <c r="D22">
        <f>11</f>
        <v>11</v>
      </c>
      <c r="E22" t="str">
        <f>"07 - B - 105 - Josiah I Lacy"</f>
        <v>07 - B - 105 - Josiah I Lacy</v>
      </c>
      <c r="F22" t="str">
        <f>"ANAT PHYSIO HON"</f>
        <v>ANAT PHYSIO HON</v>
      </c>
      <c r="G22" t="str">
        <f>"08-801"</f>
        <v>08-801</v>
      </c>
      <c r="H22" t="str">
        <f>"B"</f>
        <v>B</v>
      </c>
    </row>
    <row r="23" spans="1:8" x14ac:dyDescent="0.2">
      <c r="A23" t="str">
        <f t="shared" si="5"/>
        <v>0612079009</v>
      </c>
      <c r="B23" t="str">
        <f t="shared" si="6"/>
        <v>DEZ'TYNIE</v>
      </c>
      <c r="C23" t="str">
        <f t="shared" si="7"/>
        <v>AARON</v>
      </c>
      <c r="D23">
        <f>11</f>
        <v>11</v>
      </c>
      <c r="E23" t="str">
        <f>"05 - B - 103 - Heidi M Knopp"</f>
        <v>05 - B - 103 - Heidi M Knopp</v>
      </c>
      <c r="F23" t="str">
        <f>"ENG HON 3"</f>
        <v>ENG HON 3</v>
      </c>
      <c r="G23" t="str">
        <f>"17-1723"</f>
        <v>17-1723</v>
      </c>
      <c r="H23" t="str">
        <f>"B"</f>
        <v>B</v>
      </c>
    </row>
    <row r="24" spans="1:8" x14ac:dyDescent="0.2">
      <c r="A24" t="str">
        <f t="shared" si="5"/>
        <v>0612079009</v>
      </c>
      <c r="B24" t="str">
        <f t="shared" si="6"/>
        <v>DEZ'TYNIE</v>
      </c>
      <c r="C24" t="str">
        <f t="shared" si="7"/>
        <v>AARON</v>
      </c>
      <c r="D24">
        <f>11</f>
        <v>11</v>
      </c>
      <c r="E24" t="str">
        <f>"01 - A - 104 - Jerry S Jiampetti"</f>
        <v>01 - A - 104 - Jerry S Jiampetti</v>
      </c>
      <c r="F24" t="str">
        <f>"US HISTORY HON"</f>
        <v>US HISTORY HON</v>
      </c>
      <c r="G24" t="str">
        <f>"17-1751"</f>
        <v>17-1751</v>
      </c>
      <c r="H24" t="str">
        <f>"A"</f>
        <v>A</v>
      </c>
    </row>
    <row r="25" spans="1:8" x14ac:dyDescent="0.2">
      <c r="A25" t="str">
        <f t="shared" si="5"/>
        <v>0612079009</v>
      </c>
      <c r="B25" t="str">
        <f t="shared" si="6"/>
        <v>DEZ'TYNIE</v>
      </c>
      <c r="C25" t="str">
        <f t="shared" si="7"/>
        <v>AARON</v>
      </c>
      <c r="D25">
        <f>11</f>
        <v>11</v>
      </c>
      <c r="E25" t="str">
        <f>"08 - S1 - B - 105 - James H Mccann"</f>
        <v>08 - S1 - B - 105 - James H Mccann</v>
      </c>
      <c r="F25" t="str">
        <f>"PERS FIN &amp; MON MGT H"</f>
        <v>PERS FIN &amp; MON MGT H</v>
      </c>
      <c r="G25" t="str">
        <f>"17-1716"</f>
        <v>17-1716</v>
      </c>
      <c r="H25" t="str">
        <f>"B"</f>
        <v>B</v>
      </c>
    </row>
    <row r="26" spans="1:8" x14ac:dyDescent="0.2">
      <c r="A26" t="str">
        <f t="shared" ref="A26:A33" si="8">"0617045333"</f>
        <v>0617045333</v>
      </c>
      <c r="B26" t="str">
        <f t="shared" ref="B26:B33" si="9">"CLARIEL"</f>
        <v>CLARIEL</v>
      </c>
      <c r="C26" t="str">
        <f t="shared" ref="C26:C41" si="10">"ABUTOG"</f>
        <v>ABUTOG</v>
      </c>
      <c r="D26" t="str">
        <f t="shared" ref="D26:D33" si="11">"09"</f>
        <v>09</v>
      </c>
      <c r="E26" t="str">
        <f>"04 - A - 101 - Jeanne M Bermudez"</f>
        <v>04 - A - 101 - Jeanne M Bermudez</v>
      </c>
      <c r="F26" t="str">
        <f>"ADVANCED IT HON"</f>
        <v>ADVANCED IT HON</v>
      </c>
      <c r="G26" t="str">
        <f>"21-2141"</f>
        <v>21-2141</v>
      </c>
      <c r="H26" t="str">
        <f>"A"</f>
        <v>A</v>
      </c>
    </row>
    <row r="27" spans="1:8" x14ac:dyDescent="0.2">
      <c r="A27" t="str">
        <f t="shared" si="8"/>
        <v>0617045333</v>
      </c>
      <c r="B27" t="str">
        <f t="shared" si="9"/>
        <v>CLARIEL</v>
      </c>
      <c r="C27" t="str">
        <f t="shared" si="10"/>
        <v>ABUTOG</v>
      </c>
      <c r="D27" t="str">
        <f t="shared" si="11"/>
        <v>09</v>
      </c>
      <c r="E27" t="str">
        <f>"06 - B - 202 - Brian M Fitzgerald"</f>
        <v>06 - B - 202 - Brian M Fitzgerald</v>
      </c>
      <c r="F27" t="str">
        <f>"DRAW 1"</f>
        <v>DRAW 1</v>
      </c>
      <c r="G27" t="str">
        <f>"09-908"</f>
        <v>09-908</v>
      </c>
      <c r="H27" t="str">
        <f>"B"</f>
        <v>B</v>
      </c>
    </row>
    <row r="28" spans="1:8" x14ac:dyDescent="0.2">
      <c r="A28" t="str">
        <f t="shared" si="8"/>
        <v>0617045333</v>
      </c>
      <c r="B28" t="str">
        <f t="shared" si="9"/>
        <v>CLARIEL</v>
      </c>
      <c r="C28" t="str">
        <f t="shared" si="10"/>
        <v>ABUTOG</v>
      </c>
      <c r="D28" t="str">
        <f t="shared" si="11"/>
        <v>09</v>
      </c>
      <c r="E28" t="str">
        <f>"03 - A - 101 - Rosa Elaine  Collado-Duff"</f>
        <v>03 - A - 101 - Rosa Elaine  Collado-Duff</v>
      </c>
      <c r="F28" t="str">
        <f>"SPANISH 3 HON"</f>
        <v>SPANISH 3 HON</v>
      </c>
      <c r="G28" t="str">
        <f>"09-913"</f>
        <v>09-913</v>
      </c>
      <c r="H28" t="str">
        <f>"A"</f>
        <v>A</v>
      </c>
    </row>
    <row r="29" spans="1:8" x14ac:dyDescent="0.2">
      <c r="A29" t="str">
        <f t="shared" si="8"/>
        <v>0617045333</v>
      </c>
      <c r="B29" t="str">
        <f t="shared" si="9"/>
        <v>CLARIEL</v>
      </c>
      <c r="C29" t="str">
        <f t="shared" si="10"/>
        <v>ABUTOG</v>
      </c>
      <c r="D29" t="str">
        <f t="shared" si="11"/>
        <v>09</v>
      </c>
      <c r="E29" t="str">
        <f>"02 - A - 107 - Cerine S Stewart"</f>
        <v>02 - A - 107 - Cerine S Stewart</v>
      </c>
      <c r="F29" t="str">
        <f>"NC STUDY HALL 1"</f>
        <v>NC STUDY HALL 1</v>
      </c>
      <c r="G29" t="str">
        <f>"17-1720"</f>
        <v>17-1720</v>
      </c>
      <c r="H29" t="str">
        <f>"A"</f>
        <v>A</v>
      </c>
    </row>
    <row r="30" spans="1:8" x14ac:dyDescent="0.2">
      <c r="A30" t="str">
        <f t="shared" si="8"/>
        <v>0617045333</v>
      </c>
      <c r="B30" t="str">
        <f t="shared" si="9"/>
        <v>CLARIEL</v>
      </c>
      <c r="C30" t="str">
        <f t="shared" si="10"/>
        <v>ABUTOG</v>
      </c>
      <c r="D30" t="str">
        <f t="shared" si="11"/>
        <v>09</v>
      </c>
      <c r="E30" t="str">
        <f>"07 - B - 105 - Paige Lauren  Brochu"</f>
        <v>07 - B - 105 - Paige Lauren  Brochu</v>
      </c>
      <c r="F30" t="str">
        <f>"PRE-AICE BIO IG"</f>
        <v>PRE-AICE BIO IG</v>
      </c>
      <c r="G30" t="str">
        <f>"21-2134"</f>
        <v>21-2134</v>
      </c>
      <c r="H30" t="str">
        <f>"B"</f>
        <v>B</v>
      </c>
    </row>
    <row r="31" spans="1:8" x14ac:dyDescent="0.2">
      <c r="A31" t="str">
        <f t="shared" si="8"/>
        <v>0617045333</v>
      </c>
      <c r="B31" t="str">
        <f t="shared" si="9"/>
        <v>CLARIEL</v>
      </c>
      <c r="C31" t="str">
        <f t="shared" si="10"/>
        <v>ABUTOG</v>
      </c>
      <c r="D31" t="str">
        <f t="shared" si="11"/>
        <v>09</v>
      </c>
      <c r="E31" t="str">
        <f>"05 - B - 104 - Maried P Ramos"</f>
        <v>05 - B - 104 - Maried P Ramos</v>
      </c>
      <c r="F31" t="str">
        <f>"PRE-AICE MATH 2 IG"</f>
        <v>PRE-AICE MATH 2 IG</v>
      </c>
      <c r="G31" t="str">
        <f>"21-2159"</f>
        <v>21-2159</v>
      </c>
      <c r="H31" t="str">
        <f>"B"</f>
        <v>B</v>
      </c>
    </row>
    <row r="32" spans="1:8" x14ac:dyDescent="0.2">
      <c r="A32" t="str">
        <f t="shared" si="8"/>
        <v>0617045333</v>
      </c>
      <c r="B32" t="str">
        <f t="shared" si="9"/>
        <v>CLARIEL</v>
      </c>
      <c r="C32" t="str">
        <f t="shared" si="10"/>
        <v>ABUTOG</v>
      </c>
      <c r="D32" t="str">
        <f t="shared" si="11"/>
        <v>09</v>
      </c>
      <c r="E32" t="str">
        <f>"01 - A - 101 - Elizabeth R Walker"</f>
        <v>01 - A - 101 - Elizabeth R Walker</v>
      </c>
      <c r="F32" t="str">
        <f>"AICE ENG GEN PAPER 1"</f>
        <v>AICE ENG GEN PAPER 1</v>
      </c>
      <c r="G32" t="str">
        <f>"17-1703"</f>
        <v>17-1703</v>
      </c>
      <c r="H32" t="str">
        <f>"A"</f>
        <v>A</v>
      </c>
    </row>
    <row r="33" spans="1:8" x14ac:dyDescent="0.2">
      <c r="A33" t="str">
        <f t="shared" si="8"/>
        <v>0617045333</v>
      </c>
      <c r="B33" t="str">
        <f t="shared" si="9"/>
        <v>CLARIEL</v>
      </c>
      <c r="C33" t="str">
        <f t="shared" si="10"/>
        <v>ABUTOG</v>
      </c>
      <c r="D33" t="str">
        <f t="shared" si="11"/>
        <v>09</v>
      </c>
      <c r="E33" t="str">
        <f>"08 - B - 109 - Rory T Sponsler"</f>
        <v>08 - B - 109 - Rory T Sponsler</v>
      </c>
      <c r="F33" t="str">
        <f>"PRE-AICE WRLD HST IG"</f>
        <v>PRE-AICE WRLD HST IG</v>
      </c>
      <c r="G33" t="str">
        <f>"17-1740"</f>
        <v>17-1740</v>
      </c>
      <c r="H33" t="str">
        <f>"B"</f>
        <v>B</v>
      </c>
    </row>
    <row r="34" spans="1:8" x14ac:dyDescent="0.2">
      <c r="A34" t="str">
        <f t="shared" ref="A34:A41" si="12">"0617047055"</f>
        <v>0617047055</v>
      </c>
      <c r="B34" t="str">
        <f t="shared" ref="B34:B41" si="13">"DWYANE"</f>
        <v>DWYANE</v>
      </c>
      <c r="C34" t="str">
        <f t="shared" si="10"/>
        <v>ABUTOG</v>
      </c>
      <c r="D34">
        <f>10</f>
        <v>10</v>
      </c>
      <c r="E34" t="str">
        <f>"04 - A - 105 - Milca  Exantus"</f>
        <v>04 - A - 105 - Milca  Exantus</v>
      </c>
      <c r="F34" t="str">
        <f>"MATH COLLEGE LIB ART"</f>
        <v>MATH COLLEGE LIB ART</v>
      </c>
      <c r="G34" t="str">
        <f>"21-2145"</f>
        <v>21-2145</v>
      </c>
      <c r="H34" t="str">
        <f>"A"</f>
        <v>A</v>
      </c>
    </row>
    <row r="35" spans="1:8" x14ac:dyDescent="0.2">
      <c r="A35" t="str">
        <f t="shared" si="12"/>
        <v>0617047055</v>
      </c>
      <c r="B35" t="str">
        <f t="shared" si="13"/>
        <v>DWYANE</v>
      </c>
      <c r="C35" t="str">
        <f t="shared" si="10"/>
        <v>ABUTOG</v>
      </c>
      <c r="D35">
        <f>10</f>
        <v>10</v>
      </c>
      <c r="E35" t="str">
        <f>"06 - B - 107 - Dorothy D Moore"</f>
        <v>06 - B - 107 - Dorothy D Moore</v>
      </c>
      <c r="F35" t="str">
        <f>"NC STUDY HALL 1"</f>
        <v>NC STUDY HALL 1</v>
      </c>
      <c r="G35" t="str">
        <f>"08-803"</f>
        <v>08-803</v>
      </c>
      <c r="H35" t="str">
        <f>"B"</f>
        <v>B</v>
      </c>
    </row>
    <row r="36" spans="1:8" x14ac:dyDescent="0.2">
      <c r="A36" t="str">
        <f t="shared" si="12"/>
        <v>0617047055</v>
      </c>
      <c r="B36" t="str">
        <f t="shared" si="13"/>
        <v>DWYANE</v>
      </c>
      <c r="C36" t="str">
        <f t="shared" si="10"/>
        <v>ABUTOG</v>
      </c>
      <c r="D36">
        <f>10</f>
        <v>10</v>
      </c>
      <c r="E36" t="str">
        <f>"03 - A - 103 - Kelly N Panza"</f>
        <v>03 - A - 103 - Kelly N Panza</v>
      </c>
      <c r="F36" t="str">
        <f>"AICE GLBL PERSP 1 AS"</f>
        <v>AICE GLBL PERSP 1 AS</v>
      </c>
      <c r="G36" t="str">
        <f>"17-1753"</f>
        <v>17-1753</v>
      </c>
      <c r="H36" t="str">
        <f>"A"</f>
        <v>A</v>
      </c>
    </row>
    <row r="37" spans="1:8" x14ac:dyDescent="0.2">
      <c r="A37" t="str">
        <f t="shared" si="12"/>
        <v>0617047055</v>
      </c>
      <c r="B37" t="str">
        <f t="shared" si="13"/>
        <v>DWYANE</v>
      </c>
      <c r="C37" t="str">
        <f t="shared" si="10"/>
        <v>ABUTOG</v>
      </c>
      <c r="D37">
        <f>10</f>
        <v>10</v>
      </c>
      <c r="E37" t="str">
        <f>"02 - S1 - A - 101 - Carol S Moore"</f>
        <v>02 - S1 - A - 101 - Carol S Moore</v>
      </c>
      <c r="F37" t="str">
        <f>"PER CAR SCH DEV 1 LH"</f>
        <v>PER CAR SCH DEV 1 LH</v>
      </c>
      <c r="G37" t="str">
        <f>"17-1733"</f>
        <v>17-1733</v>
      </c>
      <c r="H37" t="str">
        <f>"A"</f>
        <v>A</v>
      </c>
    </row>
    <row r="38" spans="1:8" x14ac:dyDescent="0.2">
      <c r="A38" t="str">
        <f t="shared" si="12"/>
        <v>0617047055</v>
      </c>
      <c r="B38" t="str">
        <f t="shared" si="13"/>
        <v>DWYANE</v>
      </c>
      <c r="C38" t="str">
        <f t="shared" si="10"/>
        <v>ABUTOG</v>
      </c>
      <c r="D38">
        <f>10</f>
        <v>10</v>
      </c>
      <c r="E38" t="str">
        <f>"07 - B - 201 - Angela S Adeshina-Morrison"</f>
        <v>07 - B - 201 - Angela S Adeshina-Morrison</v>
      </c>
      <c r="F38" t="str">
        <f>"BUSINESS OWNER HON"</f>
        <v>BUSINESS OWNER HON</v>
      </c>
      <c r="G38" t="str">
        <f>"05-518"</f>
        <v>05-518</v>
      </c>
      <c r="H38" t="str">
        <f>"B"</f>
        <v>B</v>
      </c>
    </row>
    <row r="39" spans="1:8" x14ac:dyDescent="0.2">
      <c r="A39" t="str">
        <f t="shared" si="12"/>
        <v>0617047055</v>
      </c>
      <c r="B39" t="str">
        <f t="shared" si="13"/>
        <v>DWYANE</v>
      </c>
      <c r="C39" t="str">
        <f t="shared" si="10"/>
        <v>ABUTOG</v>
      </c>
      <c r="D39">
        <f>10</f>
        <v>10</v>
      </c>
      <c r="E39" t="str">
        <f>"05 - B - 103 - Byron G Montenegro"</f>
        <v>05 - B - 103 - Byron G Montenegro</v>
      </c>
      <c r="F39" t="str">
        <f>"AICE MARINE SCI 1 AS"</f>
        <v>AICE MARINE SCI 1 AS</v>
      </c>
      <c r="G39" t="str">
        <f>"21-2144"</f>
        <v>21-2144</v>
      </c>
      <c r="H39" t="str">
        <f>"B"</f>
        <v>B</v>
      </c>
    </row>
    <row r="40" spans="1:8" x14ac:dyDescent="0.2">
      <c r="A40" t="str">
        <f t="shared" si="12"/>
        <v>0617047055</v>
      </c>
      <c r="B40" t="str">
        <f t="shared" si="13"/>
        <v>DWYANE</v>
      </c>
      <c r="C40" t="str">
        <f t="shared" si="10"/>
        <v>ABUTOG</v>
      </c>
      <c r="D40">
        <f>10</f>
        <v>10</v>
      </c>
      <c r="E40" t="str">
        <f>"01 - A - 101 - Josiah I Lacy"</f>
        <v>01 - A - 101 - Josiah I Lacy</v>
      </c>
      <c r="F40" t="str">
        <f>"PRE-AICE BIO IG"</f>
        <v>PRE-AICE BIO IG</v>
      </c>
      <c r="G40" t="str">
        <f>"08-801"</f>
        <v>08-801</v>
      </c>
      <c r="H40" t="str">
        <f>"A"</f>
        <v>A</v>
      </c>
    </row>
    <row r="41" spans="1:8" x14ac:dyDescent="0.2">
      <c r="A41" t="str">
        <f t="shared" si="12"/>
        <v>0617047055</v>
      </c>
      <c r="B41" t="str">
        <f t="shared" si="13"/>
        <v>DWYANE</v>
      </c>
      <c r="C41" t="str">
        <f t="shared" si="10"/>
        <v>ABUTOG</v>
      </c>
      <c r="D41">
        <f>10</f>
        <v>10</v>
      </c>
      <c r="E41" t="str">
        <f>"08 - B - 102 - Jacquelyn M Neeson"</f>
        <v>08 - B - 102 - Jacquelyn M Neeson</v>
      </c>
      <c r="F41" t="str">
        <f>"AICE ENG GEN PAPER 1"</f>
        <v>AICE ENG GEN PAPER 1</v>
      </c>
      <c r="G41" t="str">
        <f>"17-1715"</f>
        <v>17-1715</v>
      </c>
      <c r="H41" t="str">
        <f>"B"</f>
        <v>B</v>
      </c>
    </row>
    <row r="42" spans="1:8" x14ac:dyDescent="0.2">
      <c r="A42" t="str">
        <f t="shared" ref="A42:A49" si="14">"0616137540"</f>
        <v>0616137540</v>
      </c>
      <c r="B42" t="str">
        <f t="shared" ref="B42:B49" si="15">"STANLEY"</f>
        <v>STANLEY</v>
      </c>
      <c r="C42" t="str">
        <f t="shared" ref="C42:C49" si="16">"ACE"</f>
        <v>ACE</v>
      </c>
      <c r="D42" t="str">
        <f t="shared" ref="D42:D49" si="17">"09"</f>
        <v>09</v>
      </c>
      <c r="E42" t="str">
        <f>"04 - A - 104 - Dayna M Foster"</f>
        <v>04 - A - 104 - Dayna M Foster</v>
      </c>
      <c r="F42" t="str">
        <f>"ALGEBRA 2"</f>
        <v>ALGEBRA 2</v>
      </c>
      <c r="G42" t="str">
        <f>"21-2109"</f>
        <v>21-2109</v>
      </c>
      <c r="H42" t="str">
        <f>"A"</f>
        <v>A</v>
      </c>
    </row>
    <row r="43" spans="1:8" x14ac:dyDescent="0.2">
      <c r="A43" t="str">
        <f t="shared" si="14"/>
        <v>0616137540</v>
      </c>
      <c r="B43" t="str">
        <f t="shared" si="15"/>
        <v>STANLEY</v>
      </c>
      <c r="C43" t="str">
        <f t="shared" si="16"/>
        <v>ACE</v>
      </c>
      <c r="D43" t="str">
        <f t="shared" si="17"/>
        <v>09</v>
      </c>
      <c r="E43" t="str">
        <f>"06 - S1 - B - 102 - Daniel S Katz"</f>
        <v>06 - S1 - B - 102 - Daniel S Katz</v>
      </c>
      <c r="F43" t="str">
        <f>"COURT PROCED"</f>
        <v>COURT PROCED</v>
      </c>
      <c r="G43" t="str">
        <f>"21-2156"</f>
        <v>21-2156</v>
      </c>
      <c r="H43" t="str">
        <f>"B"</f>
        <v>B</v>
      </c>
    </row>
    <row r="44" spans="1:8" x14ac:dyDescent="0.2">
      <c r="A44" t="str">
        <f t="shared" si="14"/>
        <v>0616137540</v>
      </c>
      <c r="B44" t="str">
        <f t="shared" si="15"/>
        <v>STANLEY</v>
      </c>
      <c r="C44" t="str">
        <f t="shared" si="16"/>
        <v>ACE</v>
      </c>
      <c r="D44" t="str">
        <f t="shared" si="17"/>
        <v>09</v>
      </c>
      <c r="E44" t="str">
        <f>"03 - A - 103 - Adam Marcus  Drucker"</f>
        <v>03 - A - 103 - Adam Marcus  Drucker</v>
      </c>
      <c r="F44" t="str">
        <f>"HOPE-PE V"</f>
        <v>HOPE-PE V</v>
      </c>
      <c r="G44" t="str">
        <f>"04-254"</f>
        <v>04-254</v>
      </c>
      <c r="H44" t="str">
        <f>"A"</f>
        <v>A</v>
      </c>
    </row>
    <row r="45" spans="1:8" x14ac:dyDescent="0.2">
      <c r="A45" t="str">
        <f t="shared" si="14"/>
        <v>0616137540</v>
      </c>
      <c r="B45" t="str">
        <f t="shared" si="15"/>
        <v>STANLEY</v>
      </c>
      <c r="C45" t="str">
        <f t="shared" si="16"/>
        <v>ACE</v>
      </c>
      <c r="D45" t="str">
        <f t="shared" si="17"/>
        <v>09</v>
      </c>
      <c r="E45" t="str">
        <f>"02 - A - 108 - Rory T Sponsler"</f>
        <v>02 - A - 108 - Rory T Sponsler</v>
      </c>
      <c r="F45" t="str">
        <f>"NC STUDY HALL 1"</f>
        <v>NC STUDY HALL 1</v>
      </c>
      <c r="G45" t="str">
        <f>"17-1740"</f>
        <v>17-1740</v>
      </c>
      <c r="H45" t="str">
        <f>"A"</f>
        <v>A</v>
      </c>
    </row>
    <row r="46" spans="1:8" x14ac:dyDescent="0.2">
      <c r="A46" t="str">
        <f t="shared" si="14"/>
        <v>0616137540</v>
      </c>
      <c r="B46" t="str">
        <f t="shared" si="15"/>
        <v>STANLEY</v>
      </c>
      <c r="C46" t="str">
        <f t="shared" si="16"/>
        <v>ACE</v>
      </c>
      <c r="D46" t="str">
        <f t="shared" si="17"/>
        <v>09</v>
      </c>
      <c r="E46" t="str">
        <f>"07 - B - 105 - Paige Lauren  Brochu"</f>
        <v>07 - B - 105 - Paige Lauren  Brochu</v>
      </c>
      <c r="F46" t="str">
        <f>"PRE-AICE BIO IG"</f>
        <v>PRE-AICE BIO IG</v>
      </c>
      <c r="G46" t="str">
        <f>"21-2134"</f>
        <v>21-2134</v>
      </c>
      <c r="H46" t="str">
        <f>"B"</f>
        <v>B</v>
      </c>
    </row>
    <row r="47" spans="1:8" x14ac:dyDescent="0.2">
      <c r="A47" t="str">
        <f t="shared" si="14"/>
        <v>0616137540</v>
      </c>
      <c r="B47" t="str">
        <f t="shared" si="15"/>
        <v>STANLEY</v>
      </c>
      <c r="C47" t="str">
        <f t="shared" si="16"/>
        <v>ACE</v>
      </c>
      <c r="D47" t="str">
        <f t="shared" si="17"/>
        <v>09</v>
      </c>
      <c r="E47" t="str">
        <f>"05 - B - 204 - Cheryl L Beach"</f>
        <v>05 - B - 204 - Cheryl L Beach</v>
      </c>
      <c r="F47" t="str">
        <f>"AICE ENV MGMNT AS"</f>
        <v>AICE ENV MGMNT AS</v>
      </c>
      <c r="G47" t="str">
        <f>"08-811"</f>
        <v>08-811</v>
      </c>
      <c r="H47" t="str">
        <f>"B"</f>
        <v>B</v>
      </c>
    </row>
    <row r="48" spans="1:8" x14ac:dyDescent="0.2">
      <c r="A48" t="str">
        <f t="shared" si="14"/>
        <v>0616137540</v>
      </c>
      <c r="B48" t="str">
        <f t="shared" si="15"/>
        <v>STANLEY</v>
      </c>
      <c r="C48" t="str">
        <f t="shared" si="16"/>
        <v>ACE</v>
      </c>
      <c r="D48" t="str">
        <f t="shared" si="17"/>
        <v>09</v>
      </c>
      <c r="E48" t="str">
        <f>"01 - A - 006 - Emmily A Sarmiento"</f>
        <v>01 - A - 006 - Emmily A Sarmiento</v>
      </c>
      <c r="F48" t="str">
        <f>"AICE GLBL PERSP 1 AS"</f>
        <v>AICE GLBL PERSP 1 AS</v>
      </c>
      <c r="G48" t="str">
        <f>"17-1743"</f>
        <v>17-1743</v>
      </c>
      <c r="H48" t="str">
        <f>"A"</f>
        <v>A</v>
      </c>
    </row>
    <row r="49" spans="1:8" x14ac:dyDescent="0.2">
      <c r="A49" t="str">
        <f t="shared" si="14"/>
        <v>0616137540</v>
      </c>
      <c r="B49" t="str">
        <f t="shared" si="15"/>
        <v>STANLEY</v>
      </c>
      <c r="C49" t="str">
        <f t="shared" si="16"/>
        <v>ACE</v>
      </c>
      <c r="D49" t="str">
        <f t="shared" si="17"/>
        <v>09</v>
      </c>
      <c r="E49" t="str">
        <f>"08 - B - 201 - Elizabeth R Walker"</f>
        <v>08 - B - 201 - Elizabeth R Walker</v>
      </c>
      <c r="F49" t="str">
        <f>"AICE ENG GEN PAPER 1"</f>
        <v>AICE ENG GEN PAPER 1</v>
      </c>
      <c r="G49" t="str">
        <f>"17-1703"</f>
        <v>17-1703</v>
      </c>
      <c r="H49" t="str">
        <f>"B"</f>
        <v>B</v>
      </c>
    </row>
    <row r="50" spans="1:8" x14ac:dyDescent="0.2">
      <c r="A50" t="str">
        <f t="shared" ref="A50:A57" si="18">"0626001332"</f>
        <v>0626001332</v>
      </c>
      <c r="B50" t="str">
        <f t="shared" ref="B50:B57" si="19">"LILIANE"</f>
        <v>LILIANE</v>
      </c>
      <c r="C50" t="str">
        <f t="shared" ref="C50:C57" si="20">"ACEVEDO"</f>
        <v>ACEVEDO</v>
      </c>
      <c r="D50">
        <f>12</f>
        <v>12</v>
      </c>
      <c r="E50" t="str">
        <f>"04 - A - 102 - Elizabeth Ellen  Moran"</f>
        <v>04 - A - 102 - Elizabeth Ellen  Moran</v>
      </c>
      <c r="F50" t="str">
        <f>"US HISTORY"</f>
        <v>US HISTORY</v>
      </c>
      <c r="G50" t="str">
        <f>"17-1752"</f>
        <v>17-1752</v>
      </c>
      <c r="H50" t="str">
        <f>"A"</f>
        <v>A</v>
      </c>
    </row>
    <row r="51" spans="1:8" x14ac:dyDescent="0.2">
      <c r="A51" t="str">
        <f t="shared" si="18"/>
        <v>0626001332</v>
      </c>
      <c r="B51" t="str">
        <f t="shared" si="19"/>
        <v>LILIANE</v>
      </c>
      <c r="C51" t="str">
        <f t="shared" si="20"/>
        <v>ACEVEDO</v>
      </c>
      <c r="D51">
        <f>12</f>
        <v>12</v>
      </c>
      <c r="E51" t="str">
        <f>"06 - B - 111 - James H Mccann"</f>
        <v>06 - B - 111 - James H Mccann</v>
      </c>
      <c r="F51" t="str">
        <f>"NC STUDY HALL 1"</f>
        <v>NC STUDY HALL 1</v>
      </c>
      <c r="G51" t="str">
        <f>"17-1716"</f>
        <v>17-1716</v>
      </c>
      <c r="H51" t="str">
        <f>"B"</f>
        <v>B</v>
      </c>
    </row>
    <row r="52" spans="1:8" x14ac:dyDescent="0.2">
      <c r="A52" t="str">
        <f t="shared" si="18"/>
        <v>0626001332</v>
      </c>
      <c r="B52" t="str">
        <f t="shared" si="19"/>
        <v>LILIANE</v>
      </c>
      <c r="C52" t="str">
        <f t="shared" si="20"/>
        <v>ACEVEDO</v>
      </c>
      <c r="D52">
        <f>12</f>
        <v>12</v>
      </c>
      <c r="E52" t="str">
        <f>"03 - A - 102 - Cliffon  Saurel"</f>
        <v>03 - A - 102 - Cliffon  Saurel</v>
      </c>
      <c r="F52" t="str">
        <f>"PHYSICAL SCI"</f>
        <v>PHYSICAL SCI</v>
      </c>
      <c r="G52" t="str">
        <f>"05-522"</f>
        <v>05-522</v>
      </c>
      <c r="H52" t="str">
        <f>"A"</f>
        <v>A</v>
      </c>
    </row>
    <row r="53" spans="1:8" x14ac:dyDescent="0.2">
      <c r="A53" t="str">
        <f t="shared" si="18"/>
        <v>0626001332</v>
      </c>
      <c r="B53" t="str">
        <f t="shared" si="19"/>
        <v>LILIANE</v>
      </c>
      <c r="C53" t="str">
        <f t="shared" si="20"/>
        <v>ACEVEDO</v>
      </c>
      <c r="D53">
        <f>12</f>
        <v>12</v>
      </c>
      <c r="E53" t="str">
        <f>"02 - S1 - A - 103 - Barbara L Segal"</f>
        <v>02 - S1 - A - 103 - Barbara L Segal</v>
      </c>
      <c r="F53" t="str">
        <f>"US GOVT HON"</f>
        <v>US GOVT HON</v>
      </c>
      <c r="G53" t="str">
        <f>"17-1742"</f>
        <v>17-1742</v>
      </c>
      <c r="H53" t="str">
        <f>"A"</f>
        <v>A</v>
      </c>
    </row>
    <row r="54" spans="1:8" x14ac:dyDescent="0.2">
      <c r="A54" t="str">
        <f t="shared" si="18"/>
        <v>0626001332</v>
      </c>
      <c r="B54" t="str">
        <f t="shared" si="19"/>
        <v>LILIANE</v>
      </c>
      <c r="C54" t="str">
        <f t="shared" si="20"/>
        <v>ACEVEDO</v>
      </c>
      <c r="D54">
        <f>12</f>
        <v>12</v>
      </c>
      <c r="E54" t="str">
        <f>"07 - B - 102 - Tina L Lovett"</f>
        <v>07 - B - 102 - Tina L Lovett</v>
      </c>
      <c r="F54" t="str">
        <f>"MATH DATA &amp; FIN LIT"</f>
        <v>MATH DATA &amp; FIN LIT</v>
      </c>
      <c r="G54" t="str">
        <f>"21-2153"</f>
        <v>21-2153</v>
      </c>
      <c r="H54" t="str">
        <f>"B"</f>
        <v>B</v>
      </c>
    </row>
    <row r="55" spans="1:8" x14ac:dyDescent="0.2">
      <c r="A55" t="str">
        <f t="shared" si="18"/>
        <v>0626001332</v>
      </c>
      <c r="B55" t="str">
        <f t="shared" si="19"/>
        <v>LILIANE</v>
      </c>
      <c r="C55" t="str">
        <f t="shared" si="20"/>
        <v>ACEVEDO</v>
      </c>
      <c r="D55">
        <f>12</f>
        <v>12</v>
      </c>
      <c r="E55" t="str">
        <f>"05 - S1 - B - 102 - Lissa C Frederique"</f>
        <v>05 - S1 - B - 102 - Lissa C Frederique</v>
      </c>
      <c r="F55" t="str">
        <f>"PERS FIN &amp; MON MGT H"</f>
        <v>PERS FIN &amp; MON MGT H</v>
      </c>
      <c r="G55" t="str">
        <f>"17-1754"</f>
        <v>17-1754</v>
      </c>
      <c r="H55" t="str">
        <f>"B"</f>
        <v>B</v>
      </c>
    </row>
    <row r="56" spans="1:8" x14ac:dyDescent="0.2">
      <c r="A56" t="str">
        <f t="shared" si="18"/>
        <v>0626001332</v>
      </c>
      <c r="B56" t="str">
        <f t="shared" si="19"/>
        <v>LILIANE</v>
      </c>
      <c r="C56" t="str">
        <f t="shared" si="20"/>
        <v>ACEVEDO</v>
      </c>
      <c r="D56">
        <f>12</f>
        <v>12</v>
      </c>
      <c r="E56" t="str">
        <f>"01 - A - 103 - Jeffrey S Gallagher"</f>
        <v>01 - A - 103 - Jeffrey S Gallagher</v>
      </c>
      <c r="F56" t="str">
        <f>"ENG HON 4"</f>
        <v>ENG HON 4</v>
      </c>
      <c r="G56" t="str">
        <f>"17-1724"</f>
        <v>17-1724</v>
      </c>
      <c r="H56" t="str">
        <f>"A"</f>
        <v>A</v>
      </c>
    </row>
    <row r="57" spans="1:8" x14ac:dyDescent="0.2">
      <c r="A57" t="str">
        <f t="shared" si="18"/>
        <v>0626001332</v>
      </c>
      <c r="B57" t="str">
        <f t="shared" si="19"/>
        <v>LILIANE</v>
      </c>
      <c r="C57" t="str">
        <f t="shared" si="20"/>
        <v>ACEVEDO</v>
      </c>
      <c r="D57">
        <f>12</f>
        <v>12</v>
      </c>
      <c r="E57" t="str">
        <f>"08 - S1 - B - 102 - Nahum  Saint-Preux"</f>
        <v>08 - S1 - B - 102 - Nahum  Saint-Preux</v>
      </c>
      <c r="F57" t="str">
        <f>"CRIT THINK ST SKLS"</f>
        <v>CRIT THINK ST SKLS</v>
      </c>
      <c r="G57" t="str">
        <f>"17-1712"</f>
        <v>17-1712</v>
      </c>
      <c r="H57" t="str">
        <f>"B"</f>
        <v>B</v>
      </c>
    </row>
    <row r="58" spans="1:8" x14ac:dyDescent="0.2">
      <c r="A58" t="str">
        <f t="shared" ref="A58:A67" si="21">"0615090297"</f>
        <v>0615090297</v>
      </c>
      <c r="B58" t="str">
        <f t="shared" ref="B58:B67" si="22">"ESTEBAN"</f>
        <v>ESTEBAN</v>
      </c>
      <c r="C58" t="str">
        <f t="shared" ref="C58:C75" si="23">"ACOSTA"</f>
        <v>ACOSTA</v>
      </c>
      <c r="D58">
        <f>12</f>
        <v>12</v>
      </c>
      <c r="E58" t="str">
        <f>"04 - A - 103 - Daniel S Tyson"</f>
        <v>04 - A - 103 - Daniel S Tyson</v>
      </c>
      <c r="F58" t="str">
        <f>"JROTC NAVAL SCI 4"</f>
        <v>JROTC NAVAL SCI 4</v>
      </c>
      <c r="G58" t="str">
        <f>"05-510"</f>
        <v>05-510</v>
      </c>
      <c r="H58" t="str">
        <f>"A"</f>
        <v>A</v>
      </c>
    </row>
    <row r="59" spans="1:8" x14ac:dyDescent="0.2">
      <c r="A59" t="str">
        <f t="shared" si="21"/>
        <v>0615090297</v>
      </c>
      <c r="B59" t="str">
        <f t="shared" si="22"/>
        <v>ESTEBAN</v>
      </c>
      <c r="C59" t="str">
        <f t="shared" si="23"/>
        <v>ACOSTA</v>
      </c>
      <c r="D59">
        <f>12</f>
        <v>12</v>
      </c>
      <c r="E59" t="str">
        <f>"06 - B - 101 - Justin D Willard"</f>
        <v>06 - B - 101 - Justin D Willard</v>
      </c>
      <c r="F59" t="str">
        <f>"CAR EXERIENCES: 9-12"</f>
        <v>CAR EXERIENCES: 9-12</v>
      </c>
      <c r="G59" t="str">
        <f>"21-2111"</f>
        <v>21-2111</v>
      </c>
      <c r="H59" t="str">
        <f>"B"</f>
        <v>B</v>
      </c>
    </row>
    <row r="60" spans="1:8" x14ac:dyDescent="0.2">
      <c r="A60" t="str">
        <f t="shared" si="21"/>
        <v>0615090297</v>
      </c>
      <c r="B60" t="str">
        <f t="shared" si="22"/>
        <v>ESTEBAN</v>
      </c>
      <c r="C60" t="str">
        <f t="shared" si="23"/>
        <v>ACOSTA</v>
      </c>
      <c r="D60">
        <f>12</f>
        <v>12</v>
      </c>
      <c r="E60" t="str">
        <f>"03 - A - 101 - Justin D Willard"</f>
        <v>03 - A - 101 - Justin D Willard</v>
      </c>
      <c r="F60" t="str">
        <f>"SELF-DETERMINATION"</f>
        <v>SELF-DETERMINATION</v>
      </c>
      <c r="G60" t="str">
        <f>"21-2111"</f>
        <v>21-2111</v>
      </c>
      <c r="H60" t="str">
        <f>"A"</f>
        <v>A</v>
      </c>
    </row>
    <row r="61" spans="1:8" x14ac:dyDescent="0.2">
      <c r="A61" t="str">
        <f t="shared" si="21"/>
        <v>0615090297</v>
      </c>
      <c r="B61" t="str">
        <f t="shared" si="22"/>
        <v>ESTEBAN</v>
      </c>
      <c r="C61" t="str">
        <f t="shared" si="23"/>
        <v>ACOSTA</v>
      </c>
      <c r="D61">
        <f>12</f>
        <v>12</v>
      </c>
      <c r="E61" t="str">
        <f>"02 - A - 101 - Justin D Willard"</f>
        <v>02 - A - 101 - Justin D Willard</v>
      </c>
      <c r="F61" t="str">
        <f>"CAREER ED: 9-12"</f>
        <v>CAREER ED: 9-12</v>
      </c>
      <c r="G61" t="str">
        <f>"21-2111"</f>
        <v>21-2111</v>
      </c>
      <c r="H61" t="str">
        <f>"A"</f>
        <v>A</v>
      </c>
    </row>
    <row r="62" spans="1:8" x14ac:dyDescent="0.2">
      <c r="A62" t="str">
        <f t="shared" si="21"/>
        <v>0615090297</v>
      </c>
      <c r="B62" t="str">
        <f t="shared" si="22"/>
        <v>ESTEBAN</v>
      </c>
      <c r="C62" t="str">
        <f t="shared" si="23"/>
        <v>ACOSTA</v>
      </c>
      <c r="D62">
        <f>12</f>
        <v>12</v>
      </c>
      <c r="E62" t="str">
        <f>"07 - B - 101 - Justin D Willard"</f>
        <v>07 - B - 101 - Justin D Willard</v>
      </c>
      <c r="F62" t="str">
        <f>"CAR PLACEMENT: 9-12"</f>
        <v>CAR PLACEMENT: 9-12</v>
      </c>
      <c r="G62" t="str">
        <f>"21-2111"</f>
        <v>21-2111</v>
      </c>
      <c r="H62" t="str">
        <f>"B"</f>
        <v>B</v>
      </c>
    </row>
    <row r="63" spans="1:8" x14ac:dyDescent="0.2">
      <c r="A63" t="str">
        <f t="shared" si="21"/>
        <v>0615090297</v>
      </c>
      <c r="B63" t="str">
        <f t="shared" si="22"/>
        <v>ESTEBAN</v>
      </c>
      <c r="C63" t="str">
        <f t="shared" si="23"/>
        <v>ACOSTA</v>
      </c>
      <c r="D63">
        <f>12</f>
        <v>12</v>
      </c>
      <c r="E63" t="str">
        <f>"05 - B - 103 - Justin D Willard"</f>
        <v>05 - B - 103 - Justin D Willard</v>
      </c>
      <c r="F63" t="str">
        <f>"U SKLS: 9-12"</f>
        <v>U SKLS: 9-12</v>
      </c>
      <c r="G63" t="str">
        <f>"21-2111"</f>
        <v>21-2111</v>
      </c>
      <c r="H63" t="str">
        <f>"B"</f>
        <v>B</v>
      </c>
    </row>
    <row r="64" spans="1:8" x14ac:dyDescent="0.2">
      <c r="A64" t="str">
        <f t="shared" si="21"/>
        <v>0615090297</v>
      </c>
      <c r="B64" t="str">
        <f t="shared" si="22"/>
        <v>ESTEBAN</v>
      </c>
      <c r="C64" t="str">
        <f t="shared" si="23"/>
        <v>ACOSTA</v>
      </c>
      <c r="D64">
        <f>12</f>
        <v>12</v>
      </c>
      <c r="E64" t="str">
        <f>"05 - B - 115 - Karen A Toomer"</f>
        <v>05 - B - 115 - Karen A Toomer</v>
      </c>
      <c r="F64" t="str">
        <f>"LANG THERAPY"</f>
        <v>LANG THERAPY</v>
      </c>
      <c r="G64" t="str">
        <f>"21-2110"</f>
        <v>21-2110</v>
      </c>
      <c r="H64" t="str">
        <f>"B"</f>
        <v>B</v>
      </c>
    </row>
    <row r="65" spans="1:8" x14ac:dyDescent="0.2">
      <c r="A65" t="str">
        <f t="shared" si="21"/>
        <v>0615090297</v>
      </c>
      <c r="B65" t="str">
        <f t="shared" si="22"/>
        <v>ESTEBAN</v>
      </c>
      <c r="C65" t="str">
        <f t="shared" si="23"/>
        <v>ACOSTA</v>
      </c>
      <c r="D65">
        <f>12</f>
        <v>12</v>
      </c>
      <c r="E65" t="str">
        <f>"05 - B - 115 - Karen A Toomer"</f>
        <v>05 - B - 115 - Karen A Toomer</v>
      </c>
      <c r="F65" t="str">
        <f>"SPEECH THRPY"</f>
        <v>SPEECH THRPY</v>
      </c>
      <c r="G65">
        <f>2110</f>
        <v>2110</v>
      </c>
      <c r="H65" t="str">
        <f>"B"</f>
        <v>B</v>
      </c>
    </row>
    <row r="66" spans="1:8" x14ac:dyDescent="0.2">
      <c r="A66" t="str">
        <f t="shared" si="21"/>
        <v>0615090297</v>
      </c>
      <c r="B66" t="str">
        <f t="shared" si="22"/>
        <v>ESTEBAN</v>
      </c>
      <c r="C66" t="str">
        <f t="shared" si="23"/>
        <v>ACOSTA</v>
      </c>
      <c r="D66">
        <f>12</f>
        <v>12</v>
      </c>
      <c r="E66" t="str">
        <f>"01 - A - 101 - Justin D Willard"</f>
        <v>01 - A - 101 - Justin D Willard</v>
      </c>
      <c r="F66" t="str">
        <f>"PREP AD LIV"</f>
        <v>PREP AD LIV</v>
      </c>
      <c r="G66" t="str">
        <f>"21-2111"</f>
        <v>21-2111</v>
      </c>
      <c r="H66" t="str">
        <f>"A"</f>
        <v>A</v>
      </c>
    </row>
    <row r="67" spans="1:8" x14ac:dyDescent="0.2">
      <c r="A67" t="str">
        <f t="shared" si="21"/>
        <v>0615090297</v>
      </c>
      <c r="B67" t="str">
        <f t="shared" si="22"/>
        <v>ESTEBAN</v>
      </c>
      <c r="C67" t="str">
        <f t="shared" si="23"/>
        <v>ACOSTA</v>
      </c>
      <c r="D67">
        <f>12</f>
        <v>12</v>
      </c>
      <c r="E67" t="str">
        <f>"08 - B - 101 - Jazmin S Fletcher"</f>
        <v>08 - B - 101 - Jazmin S Fletcher</v>
      </c>
      <c r="F67" t="str">
        <f>"PRE-AICE DRAMA 1G"</f>
        <v>PRE-AICE DRAMA 1G</v>
      </c>
      <c r="G67" t="str">
        <f>"09-909"</f>
        <v>09-909</v>
      </c>
      <c r="H67" t="str">
        <f>"B"</f>
        <v>B</v>
      </c>
    </row>
    <row r="68" spans="1:8" x14ac:dyDescent="0.2">
      <c r="A68" t="str">
        <f t="shared" ref="A68:A75" si="24">"0614118044"</f>
        <v>0614118044</v>
      </c>
      <c r="B68" t="str">
        <f t="shared" ref="B68:B75" si="25">"MATEO"</f>
        <v>MATEO</v>
      </c>
      <c r="C68" t="str">
        <f t="shared" si="23"/>
        <v>ACOSTA</v>
      </c>
      <c r="D68">
        <f>10</f>
        <v>10</v>
      </c>
      <c r="E68" t="str">
        <f>"04 - A - 105 - Jacklyn M James"</f>
        <v>04 - A - 105 - Jacklyn M James</v>
      </c>
      <c r="F68" t="str">
        <f>"AICE ENG LANG AS"</f>
        <v>AICE ENG LANG AS</v>
      </c>
      <c r="G68" t="str">
        <f>"17-1731"</f>
        <v>17-1731</v>
      </c>
      <c r="H68" t="str">
        <f>"A"</f>
        <v>A</v>
      </c>
    </row>
    <row r="69" spans="1:8" x14ac:dyDescent="0.2">
      <c r="A69" t="str">
        <f t="shared" si="24"/>
        <v>0614118044</v>
      </c>
      <c r="B69" t="str">
        <f t="shared" si="25"/>
        <v>MATEO</v>
      </c>
      <c r="C69" t="str">
        <f t="shared" si="23"/>
        <v>ACOSTA</v>
      </c>
      <c r="D69">
        <f>10</f>
        <v>10</v>
      </c>
      <c r="E69" t="str">
        <f>"06 - B - 114 - Richard E Dunbar Iii"</f>
        <v>06 - B - 114 - Richard E Dunbar Iii</v>
      </c>
      <c r="F69" t="str">
        <f>"NC STUDY HALL 1"</f>
        <v>NC STUDY HALL 1</v>
      </c>
      <c r="G69" t="str">
        <f>"17-1703"</f>
        <v>17-1703</v>
      </c>
      <c r="H69" t="str">
        <f>"B"</f>
        <v>B</v>
      </c>
    </row>
    <row r="70" spans="1:8" x14ac:dyDescent="0.2">
      <c r="A70" t="str">
        <f t="shared" si="24"/>
        <v>0614118044</v>
      </c>
      <c r="B70" t="str">
        <f t="shared" si="25"/>
        <v>MATEO</v>
      </c>
      <c r="C70" t="str">
        <f t="shared" si="23"/>
        <v>ACOSTA</v>
      </c>
      <c r="D70">
        <f>10</f>
        <v>10</v>
      </c>
      <c r="E70" t="str">
        <f>"03 - A - 103 - Pamela M Corzo"</f>
        <v>03 - A - 103 - Pamela M Corzo</v>
      </c>
      <c r="F70" t="str">
        <f>"ALGEBRA 2 HON"</f>
        <v>ALGEBRA 2 HON</v>
      </c>
      <c r="G70" t="str">
        <f>"21-2133"</f>
        <v>21-2133</v>
      </c>
      <c r="H70" t="str">
        <f>"A"</f>
        <v>A</v>
      </c>
    </row>
    <row r="71" spans="1:8" x14ac:dyDescent="0.2">
      <c r="A71" t="str">
        <f t="shared" si="24"/>
        <v>0614118044</v>
      </c>
      <c r="B71" t="str">
        <f t="shared" si="25"/>
        <v>MATEO</v>
      </c>
      <c r="C71" t="str">
        <f t="shared" si="23"/>
        <v>ACOSTA</v>
      </c>
      <c r="D71">
        <f>10</f>
        <v>10</v>
      </c>
      <c r="E71" t="str">
        <f>"02 - A - 102 - Chrystina M Marchionne"</f>
        <v>02 - A - 102 - Chrystina M Marchionne</v>
      </c>
      <c r="F71" t="str">
        <f>"AICE MEDIASTUDIES AS"</f>
        <v>AICE MEDIASTUDIES AS</v>
      </c>
      <c r="G71" t="str">
        <f>"05-520"</f>
        <v>05-520</v>
      </c>
      <c r="H71" t="str">
        <f>"A"</f>
        <v>A</v>
      </c>
    </row>
    <row r="72" spans="1:8" x14ac:dyDescent="0.2">
      <c r="A72" t="str">
        <f t="shared" si="24"/>
        <v>0614118044</v>
      </c>
      <c r="B72" t="str">
        <f t="shared" si="25"/>
        <v>MATEO</v>
      </c>
      <c r="C72" t="str">
        <f t="shared" si="23"/>
        <v>ACOSTA</v>
      </c>
      <c r="D72">
        <f>10</f>
        <v>10</v>
      </c>
      <c r="E72" t="str">
        <f>"07 - B - 206 - Cheryl L Beach"</f>
        <v>07 - B - 206 - Cheryl L Beach</v>
      </c>
      <c r="F72" t="str">
        <f>"AICE ENV MGMNT AS"</f>
        <v>AICE ENV MGMNT AS</v>
      </c>
      <c r="G72" t="str">
        <f>"08-811"</f>
        <v>08-811</v>
      </c>
      <c r="H72" t="str">
        <f>"B"</f>
        <v>B</v>
      </c>
    </row>
    <row r="73" spans="1:8" x14ac:dyDescent="0.2">
      <c r="A73" t="str">
        <f t="shared" si="24"/>
        <v>0614118044</v>
      </c>
      <c r="B73" t="str">
        <f t="shared" si="25"/>
        <v>MATEO</v>
      </c>
      <c r="C73" t="str">
        <f t="shared" si="23"/>
        <v>ACOSTA</v>
      </c>
      <c r="D73">
        <f>10</f>
        <v>10</v>
      </c>
      <c r="E73" t="str">
        <f>"05 - S1 - B - 102 - Carol S Moore"</f>
        <v>05 - S1 - B - 102 - Carol S Moore</v>
      </c>
      <c r="F73" t="str">
        <f>"PERS FIN &amp; MON MGT H"</f>
        <v>PERS FIN &amp; MON MGT H</v>
      </c>
      <c r="G73" t="str">
        <f>"17-1733"</f>
        <v>17-1733</v>
      </c>
      <c r="H73" t="str">
        <f>"B"</f>
        <v>B</v>
      </c>
    </row>
    <row r="74" spans="1:8" x14ac:dyDescent="0.2">
      <c r="A74" t="str">
        <f t="shared" si="24"/>
        <v>0614118044</v>
      </c>
      <c r="B74" t="str">
        <f t="shared" si="25"/>
        <v>MATEO</v>
      </c>
      <c r="C74" t="str">
        <f t="shared" si="23"/>
        <v>ACOSTA</v>
      </c>
      <c r="D74">
        <f>10</f>
        <v>10</v>
      </c>
      <c r="E74" t="str">
        <f>"01 - A - 101 - Eva T Rimmer"</f>
        <v>01 - A - 101 - Eva T Rimmer</v>
      </c>
      <c r="F74" t="str">
        <f>"CRIMINAL JUST OPS 2"</f>
        <v>CRIMINAL JUST OPS 2</v>
      </c>
      <c r="G74" t="str">
        <f>"05-523"</f>
        <v>05-523</v>
      </c>
      <c r="H74" t="str">
        <f>"A"</f>
        <v>A</v>
      </c>
    </row>
    <row r="75" spans="1:8" x14ac:dyDescent="0.2">
      <c r="A75" t="str">
        <f t="shared" si="24"/>
        <v>0614118044</v>
      </c>
      <c r="B75" t="str">
        <f t="shared" si="25"/>
        <v>MATEO</v>
      </c>
      <c r="C75" t="str">
        <f t="shared" si="23"/>
        <v>ACOSTA</v>
      </c>
      <c r="D75">
        <f>10</f>
        <v>10</v>
      </c>
      <c r="E75" t="str">
        <f>"08 - B - 109 - Emmily A Sarmiento"</f>
        <v>08 - B - 109 - Emmily A Sarmiento</v>
      </c>
      <c r="F75" t="str">
        <f>"AICE GLBL PERSP 1 AS"</f>
        <v>AICE GLBL PERSP 1 AS</v>
      </c>
      <c r="G75" t="str">
        <f>"17-1743"</f>
        <v>17-1743</v>
      </c>
      <c r="H75" t="str">
        <f>"B"</f>
        <v>B</v>
      </c>
    </row>
    <row r="76" spans="1:8" x14ac:dyDescent="0.2">
      <c r="A76" t="str">
        <f t="shared" ref="A76:A83" si="26">"0616005529"</f>
        <v>0616005529</v>
      </c>
      <c r="B76" t="str">
        <f t="shared" ref="B76:B83" si="27">"MIA"</f>
        <v>MIA</v>
      </c>
      <c r="C76" t="str">
        <f t="shared" ref="C76:C83" si="28">"ACOSTA GUZMAN"</f>
        <v>ACOSTA GUZMAN</v>
      </c>
      <c r="D76">
        <f>10</f>
        <v>10</v>
      </c>
      <c r="E76" t="str">
        <f>"04 - A - 203 - Cheryl L Beach"</f>
        <v>04 - A - 203 - Cheryl L Beach</v>
      </c>
      <c r="F76" t="str">
        <f>"AICE ENV MGMNT AS"</f>
        <v>AICE ENV MGMNT AS</v>
      </c>
      <c r="G76" t="str">
        <f>"08-811"</f>
        <v>08-811</v>
      </c>
      <c r="H76" t="str">
        <f>"A"</f>
        <v>A</v>
      </c>
    </row>
    <row r="77" spans="1:8" x14ac:dyDescent="0.2">
      <c r="A77" t="str">
        <f t="shared" si="26"/>
        <v>0616005529</v>
      </c>
      <c r="B77" t="str">
        <f t="shared" si="27"/>
        <v>MIA</v>
      </c>
      <c r="C77" t="str">
        <f t="shared" si="28"/>
        <v>ACOSTA GUZMAN</v>
      </c>
      <c r="D77">
        <f>10</f>
        <v>10</v>
      </c>
      <c r="E77" t="str">
        <f>"06 - B - 116 - Jordana K Hass"</f>
        <v>06 - B - 116 - Jordana K Hass</v>
      </c>
      <c r="F77" t="str">
        <f>"NC STUDY HALL 1"</f>
        <v>NC STUDY HALL 1</v>
      </c>
      <c r="G77" t="str">
        <f>"08-807"</f>
        <v>08-807</v>
      </c>
      <c r="H77" t="str">
        <f>"B"</f>
        <v>B</v>
      </c>
    </row>
    <row r="78" spans="1:8" x14ac:dyDescent="0.2">
      <c r="A78" t="str">
        <f t="shared" si="26"/>
        <v>0616005529</v>
      </c>
      <c r="B78" t="str">
        <f t="shared" si="27"/>
        <v>MIA</v>
      </c>
      <c r="C78" t="str">
        <f t="shared" si="28"/>
        <v>ACOSTA GUZMAN</v>
      </c>
      <c r="D78">
        <f>10</f>
        <v>10</v>
      </c>
      <c r="E78" t="str">
        <f>"03 - A - 103 - Kelly N Panza"</f>
        <v>03 - A - 103 - Kelly N Panza</v>
      </c>
      <c r="F78" t="str">
        <f>"AICE GLBL PERSP 1 AS"</f>
        <v>AICE GLBL PERSP 1 AS</v>
      </c>
      <c r="G78" t="str">
        <f>"17-1753"</f>
        <v>17-1753</v>
      </c>
      <c r="H78" t="str">
        <f>"A"</f>
        <v>A</v>
      </c>
    </row>
    <row r="79" spans="1:8" x14ac:dyDescent="0.2">
      <c r="A79" t="str">
        <f t="shared" si="26"/>
        <v>0616005529</v>
      </c>
      <c r="B79" t="str">
        <f t="shared" si="27"/>
        <v>MIA</v>
      </c>
      <c r="C79" t="str">
        <f t="shared" si="28"/>
        <v>ACOSTA GUZMAN</v>
      </c>
      <c r="D79">
        <f>10</f>
        <v>10</v>
      </c>
      <c r="E79" t="str">
        <f>"02 - A - 105 - Semra  Bahadir"</f>
        <v>02 - A - 105 - Semra  Bahadir</v>
      </c>
      <c r="F79" t="str">
        <f>"ALGEBRA 2"</f>
        <v>ALGEBRA 2</v>
      </c>
      <c r="G79" t="str">
        <f>"21-2107"</f>
        <v>21-2107</v>
      </c>
      <c r="H79" t="str">
        <f>"A"</f>
        <v>A</v>
      </c>
    </row>
    <row r="80" spans="1:8" x14ac:dyDescent="0.2">
      <c r="A80" t="str">
        <f t="shared" si="26"/>
        <v>0616005529</v>
      </c>
      <c r="B80" t="str">
        <f t="shared" si="27"/>
        <v>MIA</v>
      </c>
      <c r="C80" t="str">
        <f t="shared" si="28"/>
        <v>ACOSTA GUZMAN</v>
      </c>
      <c r="D80">
        <f>10</f>
        <v>10</v>
      </c>
      <c r="E80" t="str">
        <f>"07 - B - 105 - Paige Lauren  Brochu"</f>
        <v>07 - B - 105 - Paige Lauren  Brochu</v>
      </c>
      <c r="F80" t="str">
        <f>"PRE-AICE BIO IG"</f>
        <v>PRE-AICE BIO IG</v>
      </c>
      <c r="G80" t="str">
        <f>"21-2134"</f>
        <v>21-2134</v>
      </c>
      <c r="H80" t="str">
        <f>"B"</f>
        <v>B</v>
      </c>
    </row>
    <row r="81" spans="1:8" x14ac:dyDescent="0.2">
      <c r="A81" t="str">
        <f t="shared" si="26"/>
        <v>0616005529</v>
      </c>
      <c r="B81" t="str">
        <f t="shared" si="27"/>
        <v>MIA</v>
      </c>
      <c r="C81" t="str">
        <f t="shared" si="28"/>
        <v>ACOSTA GUZMAN</v>
      </c>
      <c r="D81">
        <f>10</f>
        <v>10</v>
      </c>
      <c r="E81" t="str">
        <f>"05 - S1 - B - 102 - Lissa C Frederique"</f>
        <v>05 - S1 - B - 102 - Lissa C Frederique</v>
      </c>
      <c r="F81" t="str">
        <f>"PERS FIN &amp; MON MGT H"</f>
        <v>PERS FIN &amp; MON MGT H</v>
      </c>
      <c r="G81" t="str">
        <f>"17-1754"</f>
        <v>17-1754</v>
      </c>
      <c r="H81" t="str">
        <f>"B"</f>
        <v>B</v>
      </c>
    </row>
    <row r="82" spans="1:8" x14ac:dyDescent="0.2">
      <c r="A82" t="str">
        <f t="shared" si="26"/>
        <v>0616005529</v>
      </c>
      <c r="B82" t="str">
        <f t="shared" si="27"/>
        <v>MIA</v>
      </c>
      <c r="C82" t="str">
        <f t="shared" si="28"/>
        <v>ACOSTA GUZMAN</v>
      </c>
      <c r="D82">
        <f>10</f>
        <v>10</v>
      </c>
      <c r="E82" t="str">
        <f>"01 - A - 101 - Daniel S Katz"</f>
        <v>01 - A - 101 - Daniel S Katz</v>
      </c>
      <c r="F82" t="str">
        <f>"EXEC INTERN 3 LH"</f>
        <v>EXEC INTERN 3 LH</v>
      </c>
      <c r="G82" t="str">
        <f>"21-2156"</f>
        <v>21-2156</v>
      </c>
      <c r="H82" t="str">
        <f>"A"</f>
        <v>A</v>
      </c>
    </row>
    <row r="83" spans="1:8" x14ac:dyDescent="0.2">
      <c r="A83" t="str">
        <f t="shared" si="26"/>
        <v>0616005529</v>
      </c>
      <c r="B83" t="str">
        <f t="shared" si="27"/>
        <v>MIA</v>
      </c>
      <c r="C83" t="str">
        <f t="shared" si="28"/>
        <v>ACOSTA GUZMAN</v>
      </c>
      <c r="D83">
        <f>10</f>
        <v>10</v>
      </c>
      <c r="E83" t="str">
        <f>"08 - B - 102 - Jacquelyn M Neeson"</f>
        <v>08 - B - 102 - Jacquelyn M Neeson</v>
      </c>
      <c r="F83" t="str">
        <f>"AICE ENG GEN PAPER 1"</f>
        <v>AICE ENG GEN PAPER 1</v>
      </c>
      <c r="G83" t="str">
        <f>"17-1715"</f>
        <v>17-1715</v>
      </c>
      <c r="H83" t="str">
        <f>"B"</f>
        <v>B</v>
      </c>
    </row>
    <row r="84" spans="1:8" x14ac:dyDescent="0.2">
      <c r="A84" t="str">
        <f t="shared" ref="A84:A91" si="29">"0625039984"</f>
        <v>0625039984</v>
      </c>
      <c r="B84" t="str">
        <f t="shared" ref="B84:B91" si="30">"A'mariyah"</f>
        <v>A'mariyah</v>
      </c>
      <c r="C84" t="str">
        <f t="shared" ref="C84:C91" si="31">"Adams"</f>
        <v>Adams</v>
      </c>
      <c r="D84">
        <f>10</f>
        <v>10</v>
      </c>
      <c r="E84" t="str">
        <f>"04 - A - 104 - Nikiel  Nesbeth"</f>
        <v>04 - A - 104 - Nikiel  Nesbeth</v>
      </c>
      <c r="F84" t="str">
        <f>"ENG 2"</f>
        <v>ENG 2</v>
      </c>
      <c r="G84" t="str">
        <f>"17-1705"</f>
        <v>17-1705</v>
      </c>
      <c r="H84" t="str">
        <f>"A"</f>
        <v>A</v>
      </c>
    </row>
    <row r="85" spans="1:8" x14ac:dyDescent="0.2">
      <c r="A85" t="str">
        <f t="shared" si="29"/>
        <v>0625039984</v>
      </c>
      <c r="B85" t="str">
        <f t="shared" si="30"/>
        <v>A'mariyah</v>
      </c>
      <c r="C85" t="str">
        <f t="shared" si="31"/>
        <v>Adams</v>
      </c>
      <c r="D85">
        <f>10</f>
        <v>10</v>
      </c>
      <c r="E85" t="str">
        <f>"06 - B - 112 - Tina M Jaramillo"</f>
        <v>06 - B - 112 - Tina M Jaramillo</v>
      </c>
      <c r="F85" t="str">
        <f>"NC STUDY HALL 1"</f>
        <v>NC STUDY HALL 1</v>
      </c>
      <c r="G85" t="str">
        <f>"17-1706"</f>
        <v>17-1706</v>
      </c>
      <c r="H85" t="str">
        <f>"B"</f>
        <v>B</v>
      </c>
    </row>
    <row r="86" spans="1:8" x14ac:dyDescent="0.2">
      <c r="A86" t="str">
        <f t="shared" si="29"/>
        <v>0625039984</v>
      </c>
      <c r="B86" t="str">
        <f t="shared" si="30"/>
        <v>A'mariyah</v>
      </c>
      <c r="C86" t="str">
        <f t="shared" si="31"/>
        <v>Adams</v>
      </c>
      <c r="D86">
        <f>10</f>
        <v>10</v>
      </c>
      <c r="E86" t="str">
        <f>"03 - A - 206 - Josiah I Lacy"</f>
        <v>03 - A - 206 - Josiah I Lacy</v>
      </c>
      <c r="F86" t="str">
        <f>"BIOLOGY 1"</f>
        <v>BIOLOGY 1</v>
      </c>
      <c r="G86" t="str">
        <f>"08-801"</f>
        <v>08-801</v>
      </c>
      <c r="H86" t="str">
        <f>"A"</f>
        <v>A</v>
      </c>
    </row>
    <row r="87" spans="1:8" x14ac:dyDescent="0.2">
      <c r="A87" t="str">
        <f t="shared" si="29"/>
        <v>0625039984</v>
      </c>
      <c r="B87" t="str">
        <f t="shared" si="30"/>
        <v>A'mariyah</v>
      </c>
      <c r="C87" t="str">
        <f t="shared" si="31"/>
        <v>Adams</v>
      </c>
      <c r="D87">
        <f>10</f>
        <v>10</v>
      </c>
      <c r="E87" t="str">
        <f>"02 - A - 102 - Adam Marcus  Drucker"</f>
        <v>02 - A - 102 - Adam Marcus  Drucker</v>
      </c>
      <c r="F87" t="str">
        <f>"HOPE-PE V"</f>
        <v>HOPE-PE V</v>
      </c>
      <c r="G87" t="str">
        <f>"04-254"</f>
        <v>04-254</v>
      </c>
      <c r="H87" t="str">
        <f>"A"</f>
        <v>A</v>
      </c>
    </row>
    <row r="88" spans="1:8" x14ac:dyDescent="0.2">
      <c r="A88" t="str">
        <f t="shared" si="29"/>
        <v>0625039984</v>
      </c>
      <c r="B88" t="str">
        <f t="shared" si="30"/>
        <v>A'mariyah</v>
      </c>
      <c r="C88" t="str">
        <f t="shared" si="31"/>
        <v>Adams</v>
      </c>
      <c r="D88">
        <f>10</f>
        <v>10</v>
      </c>
      <c r="E88" t="str">
        <f>"07 - B - 107 - Milca  Exantus"</f>
        <v>07 - B - 107 - Milca  Exantus</v>
      </c>
      <c r="F88" t="str">
        <f>"MATH COLLEGE LIB ART"</f>
        <v>MATH COLLEGE LIB ART</v>
      </c>
      <c r="G88" t="str">
        <f>"21-2145"</f>
        <v>21-2145</v>
      </c>
      <c r="H88" t="str">
        <f>"B"</f>
        <v>B</v>
      </c>
    </row>
    <row r="89" spans="1:8" x14ac:dyDescent="0.2">
      <c r="A89" t="str">
        <f t="shared" si="29"/>
        <v>0625039984</v>
      </c>
      <c r="B89" t="str">
        <f t="shared" si="30"/>
        <v>A'mariyah</v>
      </c>
      <c r="C89" t="str">
        <f t="shared" si="31"/>
        <v>Adams</v>
      </c>
      <c r="D89">
        <f>10</f>
        <v>10</v>
      </c>
      <c r="E89" t="str">
        <f>"05 - B - 201 - Jazmin S Fletcher"</f>
        <v>05 - B - 201 - Jazmin S Fletcher</v>
      </c>
      <c r="F89" t="str">
        <f>"THEATRE 1"</f>
        <v>THEATRE 1</v>
      </c>
      <c r="G89" t="str">
        <f>"09-909"</f>
        <v>09-909</v>
      </c>
      <c r="H89" t="str">
        <f>"B"</f>
        <v>B</v>
      </c>
    </row>
    <row r="90" spans="1:8" x14ac:dyDescent="0.2">
      <c r="A90" t="str">
        <f t="shared" si="29"/>
        <v>0625039984</v>
      </c>
      <c r="B90" t="str">
        <f t="shared" si="30"/>
        <v>A'mariyah</v>
      </c>
      <c r="C90" t="str">
        <f t="shared" si="31"/>
        <v>Adams</v>
      </c>
      <c r="D90">
        <f>10</f>
        <v>10</v>
      </c>
      <c r="E90" t="str">
        <f>"01 - A - 107 - Jazmin S Fletcher"</f>
        <v>01 - A - 107 - Jazmin S Fletcher</v>
      </c>
      <c r="F90" t="str">
        <f>"WORLD HISTORY"</f>
        <v>WORLD HISTORY</v>
      </c>
      <c r="G90" t="str">
        <f>"09-909"</f>
        <v>09-909</v>
      </c>
      <c r="H90" t="str">
        <f>"A"</f>
        <v>A</v>
      </c>
    </row>
    <row r="91" spans="1:8" x14ac:dyDescent="0.2">
      <c r="A91" t="str">
        <f t="shared" si="29"/>
        <v>0625039984</v>
      </c>
      <c r="B91" t="str">
        <f t="shared" si="30"/>
        <v>A'mariyah</v>
      </c>
      <c r="C91" t="str">
        <f t="shared" si="31"/>
        <v>Adams</v>
      </c>
      <c r="D91">
        <f>10</f>
        <v>10</v>
      </c>
      <c r="E91" t="str">
        <f>"08 - S1 - B - 001 - Carol S Moore"</f>
        <v>08 - S1 - B - 001 - Carol S Moore</v>
      </c>
      <c r="F91" t="str">
        <f>"PER CAR SCH DEV 1 LH"</f>
        <v>PER CAR SCH DEV 1 LH</v>
      </c>
      <c r="G91" t="str">
        <f>"17-1733"</f>
        <v>17-1733</v>
      </c>
      <c r="H91" t="str">
        <f>"B"</f>
        <v>B</v>
      </c>
    </row>
    <row r="92" spans="1:8" x14ac:dyDescent="0.2">
      <c r="A92" t="str">
        <f t="shared" ref="A92:A99" si="32">"0613120187"</f>
        <v>0613120187</v>
      </c>
      <c r="B92" t="str">
        <f t="shared" ref="B92:B99" si="33">"KHAILA"</f>
        <v>KHAILA</v>
      </c>
      <c r="C92" t="str">
        <f t="shared" ref="C92:C99" si="34">"ADAMS"</f>
        <v>ADAMS</v>
      </c>
      <c r="D92">
        <f>12</f>
        <v>12</v>
      </c>
      <c r="E92" t="str">
        <f>"04 - S1 - A - 101 - Nahum  Saint-Preux"</f>
        <v>04 - S1 - A - 101 - Nahum  Saint-Preux</v>
      </c>
      <c r="F92" t="str">
        <f>"CRIT THINK ST SKLS"</f>
        <v>CRIT THINK ST SKLS</v>
      </c>
      <c r="G92" t="str">
        <f>"17-1712"</f>
        <v>17-1712</v>
      </c>
      <c r="H92" t="str">
        <f>"A"</f>
        <v>A</v>
      </c>
    </row>
    <row r="93" spans="1:8" x14ac:dyDescent="0.2">
      <c r="A93" t="str">
        <f t="shared" si="32"/>
        <v>0613120187</v>
      </c>
      <c r="B93" t="str">
        <f t="shared" si="33"/>
        <v>KHAILA</v>
      </c>
      <c r="C93" t="str">
        <f t="shared" si="34"/>
        <v>ADAMS</v>
      </c>
      <c r="D93">
        <f>12</f>
        <v>12</v>
      </c>
      <c r="E93" t="str">
        <f>"06 - B - 113 - Marielle A Witting"</f>
        <v>06 - B - 113 - Marielle A Witting</v>
      </c>
      <c r="F93" t="str">
        <f>"NC STUDY HALL 1"</f>
        <v>NC STUDY HALL 1</v>
      </c>
      <c r="G93" t="str">
        <f>"08-805"</f>
        <v>08-805</v>
      </c>
      <c r="H93" t="str">
        <f>"B"</f>
        <v>B</v>
      </c>
    </row>
    <row r="94" spans="1:8" x14ac:dyDescent="0.2">
      <c r="A94" t="str">
        <f t="shared" si="32"/>
        <v>0613120187</v>
      </c>
      <c r="B94" t="str">
        <f t="shared" si="33"/>
        <v>KHAILA</v>
      </c>
      <c r="C94" t="str">
        <f t="shared" si="34"/>
        <v>ADAMS</v>
      </c>
      <c r="D94">
        <f>12</f>
        <v>12</v>
      </c>
      <c r="E94" t="str">
        <f>"03 - A - 101 - Dorothy D Moore"</f>
        <v>03 - A - 101 - Dorothy D Moore</v>
      </c>
      <c r="F94" t="str">
        <f>"FORC SCI 1 LH"</f>
        <v>FORC SCI 1 LH</v>
      </c>
      <c r="G94" t="str">
        <f>"08-803"</f>
        <v>08-803</v>
      </c>
      <c r="H94" t="str">
        <f>"A"</f>
        <v>A</v>
      </c>
    </row>
    <row r="95" spans="1:8" x14ac:dyDescent="0.2">
      <c r="A95" t="str">
        <f t="shared" si="32"/>
        <v>0613120187</v>
      </c>
      <c r="B95" t="str">
        <f t="shared" si="33"/>
        <v>KHAILA</v>
      </c>
      <c r="C95" t="str">
        <f t="shared" si="34"/>
        <v>ADAMS</v>
      </c>
      <c r="D95">
        <f>12</f>
        <v>12</v>
      </c>
      <c r="E95" t="str">
        <f>"02 - S1 - A - 104 - Robert O Burger"</f>
        <v>02 - S1 - A - 104 - Robert O Burger</v>
      </c>
      <c r="F95" t="str">
        <f>"US GOVT"</f>
        <v>US GOVT</v>
      </c>
      <c r="G95" t="str">
        <f>"17-1755"</f>
        <v>17-1755</v>
      </c>
      <c r="H95" t="str">
        <f>"A"</f>
        <v>A</v>
      </c>
    </row>
    <row r="96" spans="1:8" x14ac:dyDescent="0.2">
      <c r="A96" t="str">
        <f t="shared" si="32"/>
        <v>0613120187</v>
      </c>
      <c r="B96" t="str">
        <f t="shared" si="33"/>
        <v>KHAILA</v>
      </c>
      <c r="C96" t="str">
        <f t="shared" si="34"/>
        <v>ADAMS</v>
      </c>
      <c r="D96">
        <f>12</f>
        <v>12</v>
      </c>
      <c r="E96" t="str">
        <f>"07 - B - 102 - Chrystina M Marchionne"</f>
        <v>07 - B - 102 - Chrystina M Marchionne</v>
      </c>
      <c r="F96" t="str">
        <f>"JOURN 2 (YB) LH"</f>
        <v>JOURN 2 (YB) LH</v>
      </c>
      <c r="G96" t="str">
        <f>"05-520"</f>
        <v>05-520</v>
      </c>
      <c r="H96" t="str">
        <f>"B"</f>
        <v>B</v>
      </c>
    </row>
    <row r="97" spans="1:8" x14ac:dyDescent="0.2">
      <c r="A97" t="str">
        <f t="shared" si="32"/>
        <v>0613120187</v>
      </c>
      <c r="B97" t="str">
        <f t="shared" si="33"/>
        <v>KHAILA</v>
      </c>
      <c r="C97" t="str">
        <f t="shared" si="34"/>
        <v>ADAMS</v>
      </c>
      <c r="D97">
        <f>12</f>
        <v>12</v>
      </c>
      <c r="E97" t="str">
        <f>"05 - B - 102 - Robyn L Trainer"</f>
        <v>05 - B - 102 - Robyn L Trainer</v>
      </c>
      <c r="F97" t="str">
        <f>"ENG 4"</f>
        <v>ENG 4</v>
      </c>
      <c r="G97" t="str">
        <f>"17-1734"</f>
        <v>17-1734</v>
      </c>
      <c r="H97" t="str">
        <f>"B"</f>
        <v>B</v>
      </c>
    </row>
    <row r="98" spans="1:8" x14ac:dyDescent="0.2">
      <c r="A98" t="str">
        <f t="shared" si="32"/>
        <v>0613120187</v>
      </c>
      <c r="B98" t="str">
        <f t="shared" si="33"/>
        <v>KHAILA</v>
      </c>
      <c r="C98" t="str">
        <f t="shared" si="34"/>
        <v>ADAMS</v>
      </c>
      <c r="D98">
        <f>12</f>
        <v>12</v>
      </c>
      <c r="E98" t="str">
        <f>"01 - A - 101 - James H Mccann"</f>
        <v>01 - A - 101 - James H Mccann</v>
      </c>
      <c r="F98" t="str">
        <f>"ALGEBRA 2"</f>
        <v>ALGEBRA 2</v>
      </c>
      <c r="G98" t="str">
        <f>"17-1716"</f>
        <v>17-1716</v>
      </c>
      <c r="H98" t="str">
        <f>"A"</f>
        <v>A</v>
      </c>
    </row>
    <row r="99" spans="1:8" x14ac:dyDescent="0.2">
      <c r="A99" t="str">
        <f t="shared" si="32"/>
        <v>0613120187</v>
      </c>
      <c r="B99" t="str">
        <f t="shared" si="33"/>
        <v>KHAILA</v>
      </c>
      <c r="C99" t="str">
        <f t="shared" si="34"/>
        <v>ADAMS</v>
      </c>
      <c r="D99">
        <f>12</f>
        <v>12</v>
      </c>
      <c r="E99" t="str">
        <f>"08 - S1 - B - 104 - Leslie J Barton"</f>
        <v>08 - S1 - B - 104 - Leslie J Barton</v>
      </c>
      <c r="F99" t="str">
        <f>"TEAM SPORTS 1"</f>
        <v>TEAM SPORTS 1</v>
      </c>
      <c r="G99" t="str">
        <f>"04-254"</f>
        <v>04-254</v>
      </c>
      <c r="H99" t="str">
        <f>"B"</f>
        <v>B</v>
      </c>
    </row>
    <row r="100" spans="1:8" x14ac:dyDescent="0.2">
      <c r="A100" t="str">
        <f t="shared" ref="A100:A107" si="35">"0616018927"</f>
        <v>0616018927</v>
      </c>
      <c r="B100" t="str">
        <f t="shared" ref="B100:B107" si="36">"BRANDON"</f>
        <v>BRANDON</v>
      </c>
      <c r="C100" t="str">
        <f t="shared" ref="C100:C107" si="37">"ADAMSON"</f>
        <v>ADAMSON</v>
      </c>
      <c r="D100">
        <f>10</f>
        <v>10</v>
      </c>
      <c r="E100" t="str">
        <f>"04 - A - 108 - Maried P Ramos"</f>
        <v>04 - A - 108 - Maried P Ramos</v>
      </c>
      <c r="F100" t="str">
        <f>"GEOMETRY"</f>
        <v>GEOMETRY</v>
      </c>
      <c r="G100" t="str">
        <f>"21-2159"</f>
        <v>21-2159</v>
      </c>
      <c r="H100" t="str">
        <f>"A"</f>
        <v>A</v>
      </c>
    </row>
    <row r="101" spans="1:8" x14ac:dyDescent="0.2">
      <c r="A101" t="str">
        <f t="shared" si="35"/>
        <v>0616018927</v>
      </c>
      <c r="B101" t="str">
        <f t="shared" si="36"/>
        <v>BRANDON</v>
      </c>
      <c r="C101" t="str">
        <f t="shared" si="37"/>
        <v>ADAMSON</v>
      </c>
      <c r="D101">
        <f>10</f>
        <v>10</v>
      </c>
      <c r="E101" t="str">
        <f>"06 - B - 001 - Ferrie J Arostique"</f>
        <v>06 - B - 001 - Ferrie J Arostique</v>
      </c>
      <c r="F101" t="str">
        <f>"NC STUDY HALL 1"</f>
        <v>NC STUDY HALL 1</v>
      </c>
      <c r="G101" t="str">
        <f>"21-2139"</f>
        <v>21-2139</v>
      </c>
      <c r="H101" t="str">
        <f>"B"</f>
        <v>B</v>
      </c>
    </row>
    <row r="102" spans="1:8" x14ac:dyDescent="0.2">
      <c r="A102" t="str">
        <f t="shared" si="35"/>
        <v>0616018927</v>
      </c>
      <c r="B102" t="str">
        <f t="shared" si="36"/>
        <v>BRANDON</v>
      </c>
      <c r="C102" t="str">
        <f t="shared" si="37"/>
        <v>ADAMSON</v>
      </c>
      <c r="D102">
        <f>10</f>
        <v>10</v>
      </c>
      <c r="E102" t="str">
        <f>"03 - A - 002 - Brandy N Zdenek"</f>
        <v>03 - A - 002 - Brandy N Zdenek</v>
      </c>
      <c r="F102" t="str">
        <f>"AICE ENG LANG AS"</f>
        <v>AICE ENG LANG AS</v>
      </c>
      <c r="G102" t="str">
        <f>"17-1704"</f>
        <v>17-1704</v>
      </c>
      <c r="H102" t="str">
        <f>"A"</f>
        <v>A</v>
      </c>
    </row>
    <row r="103" spans="1:8" x14ac:dyDescent="0.2">
      <c r="A103" t="str">
        <f t="shared" si="35"/>
        <v>0616018927</v>
      </c>
      <c r="B103" t="str">
        <f t="shared" si="36"/>
        <v>BRANDON</v>
      </c>
      <c r="C103" t="str">
        <f t="shared" si="37"/>
        <v>ADAMSON</v>
      </c>
      <c r="D103">
        <f>10</f>
        <v>10</v>
      </c>
      <c r="E103" t="str">
        <f>"02 - A - 205 - Emmily A Sarmiento"</f>
        <v>02 - A - 205 - Emmily A Sarmiento</v>
      </c>
      <c r="F103" t="str">
        <f>"AICE GLBL PERSP 1 AS"</f>
        <v>AICE GLBL PERSP 1 AS</v>
      </c>
      <c r="G103" t="str">
        <f>"17-1743"</f>
        <v>17-1743</v>
      </c>
      <c r="H103" t="str">
        <f>"A"</f>
        <v>A</v>
      </c>
    </row>
    <row r="104" spans="1:8" x14ac:dyDescent="0.2">
      <c r="A104" t="str">
        <f t="shared" si="35"/>
        <v>0616018927</v>
      </c>
      <c r="B104" t="str">
        <f t="shared" si="36"/>
        <v>BRANDON</v>
      </c>
      <c r="C104" t="str">
        <f t="shared" si="37"/>
        <v>ADAMSON</v>
      </c>
      <c r="D104">
        <f>10</f>
        <v>10</v>
      </c>
      <c r="E104" t="str">
        <f>"07 - B - 106 - Taraneh C Abreu"</f>
        <v>07 - B - 106 - Taraneh C Abreu</v>
      </c>
      <c r="F104" t="str">
        <f>"INTENS READ 2"</f>
        <v>INTENS READ 2</v>
      </c>
      <c r="G104" t="str">
        <f>"17-1713"</f>
        <v>17-1713</v>
      </c>
      <c r="H104" t="str">
        <f>"B"</f>
        <v>B</v>
      </c>
    </row>
    <row r="105" spans="1:8" x14ac:dyDescent="0.2">
      <c r="A105" t="str">
        <f t="shared" si="35"/>
        <v>0616018927</v>
      </c>
      <c r="B105" t="str">
        <f t="shared" si="36"/>
        <v>BRANDON</v>
      </c>
      <c r="C105" t="str">
        <f t="shared" si="37"/>
        <v>ADAMSON</v>
      </c>
      <c r="D105">
        <f>10</f>
        <v>10</v>
      </c>
      <c r="E105" t="str">
        <f>"05 - B - 103 - Byron G Montenegro"</f>
        <v>05 - B - 103 - Byron G Montenegro</v>
      </c>
      <c r="F105" t="str">
        <f>"AICE MARINE SCI 1 AS"</f>
        <v>AICE MARINE SCI 1 AS</v>
      </c>
      <c r="G105" t="str">
        <f>"21-2144"</f>
        <v>21-2144</v>
      </c>
      <c r="H105" t="str">
        <f>"B"</f>
        <v>B</v>
      </c>
    </row>
    <row r="106" spans="1:8" x14ac:dyDescent="0.2">
      <c r="A106" t="str">
        <f t="shared" si="35"/>
        <v>0616018927</v>
      </c>
      <c r="B106" t="str">
        <f t="shared" si="36"/>
        <v>BRANDON</v>
      </c>
      <c r="C106" t="str">
        <f t="shared" si="37"/>
        <v>ADAMSON</v>
      </c>
      <c r="D106">
        <f>10</f>
        <v>10</v>
      </c>
      <c r="E106" t="str">
        <f>"01 - S1 - A - 101 - Carol S Moore"</f>
        <v>01 - S1 - A - 101 - Carol S Moore</v>
      </c>
      <c r="F106" t="str">
        <f>"PERS FIN &amp; MON MGT H"</f>
        <v>PERS FIN &amp; MON MGT H</v>
      </c>
      <c r="G106" t="str">
        <f>"17-1733"</f>
        <v>17-1733</v>
      </c>
      <c r="H106" t="str">
        <f>"A"</f>
        <v>A</v>
      </c>
    </row>
    <row r="107" spans="1:8" x14ac:dyDescent="0.2">
      <c r="A107" t="str">
        <f t="shared" si="35"/>
        <v>0616018927</v>
      </c>
      <c r="B107" t="str">
        <f t="shared" si="36"/>
        <v>BRANDON</v>
      </c>
      <c r="C107" t="str">
        <f t="shared" si="37"/>
        <v>ADAMSON</v>
      </c>
      <c r="D107">
        <f>10</f>
        <v>10</v>
      </c>
      <c r="E107" t="str">
        <f>"08 - S1 - B - 104 - Angela S Adeshina-Morrison"</f>
        <v>08 - S1 - B - 104 - Angela S Adeshina-Morrison</v>
      </c>
      <c r="F107" t="str">
        <f>"PEER COUN 1"</f>
        <v>PEER COUN 1</v>
      </c>
      <c r="G107" t="str">
        <f>"05-518"</f>
        <v>05-518</v>
      </c>
      <c r="H107" t="str">
        <f>"B"</f>
        <v>B</v>
      </c>
    </row>
    <row r="108" spans="1:8" x14ac:dyDescent="0.2">
      <c r="A108" t="str">
        <f t="shared" ref="A108:A115" si="38">"0624113490"</f>
        <v>0624113490</v>
      </c>
      <c r="B108" t="str">
        <f t="shared" ref="B108:B115" si="39">"DAYSHA"</f>
        <v>DAYSHA</v>
      </c>
      <c r="C108" t="str">
        <f t="shared" ref="C108:C115" si="40">"ADDERLEY"</f>
        <v>ADDERLEY</v>
      </c>
      <c r="D108">
        <f>10</f>
        <v>10</v>
      </c>
      <c r="E108" t="str">
        <f>"04 - A - 103 - Joe  Kilpatrick Jr"</f>
        <v>04 - A - 103 - Joe  Kilpatrick Jr</v>
      </c>
      <c r="F108" t="str">
        <f>"PRE-AICE SPAN 1 IG"</f>
        <v>PRE-AICE SPAN 1 IG</v>
      </c>
      <c r="G108" t="str">
        <f>"09-912"</f>
        <v>09-912</v>
      </c>
      <c r="H108" t="str">
        <f>"A"</f>
        <v>A</v>
      </c>
    </row>
    <row r="109" spans="1:8" x14ac:dyDescent="0.2">
      <c r="A109" t="str">
        <f t="shared" si="38"/>
        <v>0624113490</v>
      </c>
      <c r="B109" t="str">
        <f t="shared" si="39"/>
        <v>DAYSHA</v>
      </c>
      <c r="C109" t="str">
        <f t="shared" si="40"/>
        <v>ADDERLEY</v>
      </c>
      <c r="D109">
        <f>10</f>
        <v>10</v>
      </c>
      <c r="E109" t="str">
        <f>"06 - B - 002 - Lenecy  Nodarse"</f>
        <v>06 - B - 002 - Lenecy  Nodarse</v>
      </c>
      <c r="F109" t="str">
        <f>"NC STUDY HALL 1"</f>
        <v>NC STUDY HALL 1</v>
      </c>
      <c r="G109" t="str">
        <f>"17-1741"</f>
        <v>17-1741</v>
      </c>
      <c r="H109" t="str">
        <f>"B"</f>
        <v>B</v>
      </c>
    </row>
    <row r="110" spans="1:8" x14ac:dyDescent="0.2">
      <c r="A110" t="str">
        <f t="shared" si="38"/>
        <v>0624113490</v>
      </c>
      <c r="B110" t="str">
        <f t="shared" si="39"/>
        <v>DAYSHA</v>
      </c>
      <c r="C110" t="str">
        <f t="shared" si="40"/>
        <v>ADDERLEY</v>
      </c>
      <c r="D110">
        <f>10</f>
        <v>10</v>
      </c>
      <c r="E110" t="str">
        <f>"03 - A - 103 - Taraneh C Abreu"</f>
        <v>03 - A - 103 - Taraneh C Abreu</v>
      </c>
      <c r="F110" t="str">
        <f>"INTENS READ 2"</f>
        <v>INTENS READ 2</v>
      </c>
      <c r="G110" t="str">
        <f>"17-1713"</f>
        <v>17-1713</v>
      </c>
      <c r="H110" t="str">
        <f>"A"</f>
        <v>A</v>
      </c>
    </row>
    <row r="111" spans="1:8" x14ac:dyDescent="0.2">
      <c r="A111" t="str">
        <f t="shared" si="38"/>
        <v>0624113490</v>
      </c>
      <c r="B111" t="str">
        <f t="shared" si="39"/>
        <v>DAYSHA</v>
      </c>
      <c r="C111" t="str">
        <f t="shared" si="40"/>
        <v>ADDERLEY</v>
      </c>
      <c r="D111">
        <f>10</f>
        <v>10</v>
      </c>
      <c r="E111" t="str">
        <f>"02 - A - 102 - Daniel S Tyson"</f>
        <v>02 - A - 102 - Daniel S Tyson</v>
      </c>
      <c r="F111" t="str">
        <f>"JROTC NAVAL SCI 1"</f>
        <v>JROTC NAVAL SCI 1</v>
      </c>
      <c r="G111" t="str">
        <f>"05-510"</f>
        <v>05-510</v>
      </c>
      <c r="H111" t="str">
        <f>"A"</f>
        <v>A</v>
      </c>
    </row>
    <row r="112" spans="1:8" x14ac:dyDescent="0.2">
      <c r="A112" t="str">
        <f t="shared" si="38"/>
        <v>0624113490</v>
      </c>
      <c r="B112" t="str">
        <f t="shared" si="39"/>
        <v>DAYSHA</v>
      </c>
      <c r="C112" t="str">
        <f t="shared" si="40"/>
        <v>ADDERLEY</v>
      </c>
      <c r="D112">
        <f>10</f>
        <v>10</v>
      </c>
      <c r="E112" t="str">
        <f>"07 - B - 108 - Jacquelyn M Neeson"</f>
        <v>07 - B - 108 - Jacquelyn M Neeson</v>
      </c>
      <c r="F112" t="str">
        <f>"ENG 2"</f>
        <v>ENG 2</v>
      </c>
      <c r="G112" t="str">
        <f>"17-1715"</f>
        <v>17-1715</v>
      </c>
      <c r="H112" t="str">
        <f>"B"</f>
        <v>B</v>
      </c>
    </row>
    <row r="113" spans="1:8" x14ac:dyDescent="0.2">
      <c r="A113" t="str">
        <f t="shared" si="38"/>
        <v>0624113490</v>
      </c>
      <c r="B113" t="str">
        <f t="shared" si="39"/>
        <v>DAYSHA</v>
      </c>
      <c r="C113" t="str">
        <f t="shared" si="40"/>
        <v>ADDERLEY</v>
      </c>
      <c r="D113">
        <f>10</f>
        <v>10</v>
      </c>
      <c r="E113" t="str">
        <f>"05 - S1 - B - 102 - Carol S Moore"</f>
        <v>05 - S1 - B - 102 - Carol S Moore</v>
      </c>
      <c r="F113" t="str">
        <f>"PERS FIN &amp; MON MGT H"</f>
        <v>PERS FIN &amp; MON MGT H</v>
      </c>
      <c r="G113" t="str">
        <f>"17-1733"</f>
        <v>17-1733</v>
      </c>
      <c r="H113" t="str">
        <f>"B"</f>
        <v>B</v>
      </c>
    </row>
    <row r="114" spans="1:8" x14ac:dyDescent="0.2">
      <c r="A114" t="str">
        <f t="shared" si="38"/>
        <v>0624113490</v>
      </c>
      <c r="B114" t="str">
        <f t="shared" si="39"/>
        <v>DAYSHA</v>
      </c>
      <c r="C114" t="str">
        <f t="shared" si="40"/>
        <v>ADDERLEY</v>
      </c>
      <c r="D114">
        <f>10</f>
        <v>10</v>
      </c>
      <c r="E114" t="str">
        <f>"01 - A - 104 - Milca  Exantus"</f>
        <v>01 - A - 104 - Milca  Exantus</v>
      </c>
      <c r="F114" t="str">
        <f>"MATH COLLEGE LIB ART"</f>
        <v>MATH COLLEGE LIB ART</v>
      </c>
      <c r="G114" t="str">
        <f>"21-2145"</f>
        <v>21-2145</v>
      </c>
      <c r="H114" t="str">
        <f>"A"</f>
        <v>A</v>
      </c>
    </row>
    <row r="115" spans="1:8" x14ac:dyDescent="0.2">
      <c r="A115" t="str">
        <f t="shared" si="38"/>
        <v>0624113490</v>
      </c>
      <c r="B115" t="str">
        <f t="shared" si="39"/>
        <v>DAYSHA</v>
      </c>
      <c r="C115" t="str">
        <f t="shared" si="40"/>
        <v>ADDERLEY</v>
      </c>
      <c r="D115">
        <f>10</f>
        <v>10</v>
      </c>
      <c r="E115" t="str">
        <f>"08 - B - 108 - Paige Lauren  Brochu"</f>
        <v>08 - B - 108 - Paige Lauren  Brochu</v>
      </c>
      <c r="F115" t="str">
        <f>"BIOLOGY 1"</f>
        <v>BIOLOGY 1</v>
      </c>
      <c r="G115" t="str">
        <f>"21-2134"</f>
        <v>21-2134</v>
      </c>
      <c r="H115" t="str">
        <f>"B"</f>
        <v>B</v>
      </c>
    </row>
    <row r="116" spans="1:8" x14ac:dyDescent="0.2">
      <c r="A116" t="str">
        <f t="shared" ref="A116:A123" si="41">"0615007435"</f>
        <v>0615007435</v>
      </c>
      <c r="B116" t="str">
        <f t="shared" ref="B116:B123" si="42">"RANDY"</f>
        <v>RANDY</v>
      </c>
      <c r="C116" t="str">
        <f t="shared" ref="C116:C123" si="43">"ADECLAT"</f>
        <v>ADECLAT</v>
      </c>
      <c r="D116">
        <f>11</f>
        <v>11</v>
      </c>
      <c r="E116" t="str">
        <f>"04 - S1 - A - 101 - Leslie J Barton"</f>
        <v>04 - S1 - A - 101 - Leslie J Barton</v>
      </c>
      <c r="F116" t="str">
        <f>"TEAM SPORTS 1"</f>
        <v>TEAM SPORTS 1</v>
      </c>
      <c r="G116" t="str">
        <f>"04-254"</f>
        <v>04-254</v>
      </c>
      <c r="H116" t="str">
        <f>"A"</f>
        <v>A</v>
      </c>
    </row>
    <row r="117" spans="1:8" x14ac:dyDescent="0.2">
      <c r="A117" t="str">
        <f t="shared" si="41"/>
        <v>0615007435</v>
      </c>
      <c r="B117" t="str">
        <f t="shared" si="42"/>
        <v>RANDY</v>
      </c>
      <c r="C117" t="str">
        <f t="shared" si="43"/>
        <v>ADECLAT</v>
      </c>
      <c r="D117">
        <f>11</f>
        <v>11</v>
      </c>
      <c r="E117" t="str">
        <f>"06 - B - 206 - Jacqueline R Morphet"</f>
        <v>06 - B - 206 - Jacqueline R Morphet</v>
      </c>
      <c r="F117" t="str">
        <f>"PHYSICS 1 HON"</f>
        <v>PHYSICS 1 HON</v>
      </c>
      <c r="G117" t="str">
        <f>"21-2138"</f>
        <v>21-2138</v>
      </c>
      <c r="H117" t="str">
        <f>"B"</f>
        <v>B</v>
      </c>
    </row>
    <row r="118" spans="1:8" x14ac:dyDescent="0.2">
      <c r="A118" t="str">
        <f t="shared" si="41"/>
        <v>0615007435</v>
      </c>
      <c r="B118" t="str">
        <f t="shared" si="42"/>
        <v>RANDY</v>
      </c>
      <c r="C118" t="str">
        <f t="shared" si="43"/>
        <v>ADECLAT</v>
      </c>
      <c r="D118">
        <f>11</f>
        <v>11</v>
      </c>
      <c r="E118" t="str">
        <f>"03 - A - 104 - Kyle  Robbins"</f>
        <v>03 - A - 104 - Kyle  Robbins</v>
      </c>
      <c r="F118" t="str">
        <f>"US HISTORY"</f>
        <v>US HISTORY</v>
      </c>
      <c r="G118" t="str">
        <f>"17-1745"</f>
        <v>17-1745</v>
      </c>
      <c r="H118" t="str">
        <f>"A"</f>
        <v>A</v>
      </c>
    </row>
    <row r="119" spans="1:8" x14ac:dyDescent="0.2">
      <c r="A119" t="str">
        <f t="shared" si="41"/>
        <v>0615007435</v>
      </c>
      <c r="B119" t="str">
        <f t="shared" si="42"/>
        <v>RANDY</v>
      </c>
      <c r="C119" t="str">
        <f t="shared" si="43"/>
        <v>ADECLAT</v>
      </c>
      <c r="D119">
        <f>11</f>
        <v>11</v>
      </c>
      <c r="E119" t="str">
        <f>"02 - A - 102 - Brook E Goren"</f>
        <v>02 - A - 102 - Brook E Goren</v>
      </c>
      <c r="F119" t="str">
        <f>"NC STUDY HALL 1"</f>
        <v>NC STUDY HALL 1</v>
      </c>
      <c r="G119" t="str">
        <f>"21-2158"</f>
        <v>21-2158</v>
      </c>
      <c r="H119" t="str">
        <f>"A"</f>
        <v>A</v>
      </c>
    </row>
    <row r="120" spans="1:8" x14ac:dyDescent="0.2">
      <c r="A120" t="str">
        <f t="shared" si="41"/>
        <v>0615007435</v>
      </c>
      <c r="B120" t="str">
        <f t="shared" si="42"/>
        <v>RANDY</v>
      </c>
      <c r="C120" t="str">
        <f t="shared" si="43"/>
        <v>ADECLAT</v>
      </c>
      <c r="D120">
        <f>11</f>
        <v>11</v>
      </c>
      <c r="E120" t="str">
        <f>"07 - B - 107 - Semra  Bahadir"</f>
        <v>07 - B - 107 - Semra  Bahadir</v>
      </c>
      <c r="F120" t="str">
        <f>"MATH COLL ALGEBRA"</f>
        <v>MATH COLL ALGEBRA</v>
      </c>
      <c r="G120" t="str">
        <f>"21-2107"</f>
        <v>21-2107</v>
      </c>
      <c r="H120" t="str">
        <f>"B"</f>
        <v>B</v>
      </c>
    </row>
    <row r="121" spans="1:8" x14ac:dyDescent="0.2">
      <c r="A121" t="str">
        <f t="shared" si="41"/>
        <v>0615007435</v>
      </c>
      <c r="B121" t="str">
        <f t="shared" si="42"/>
        <v>RANDY</v>
      </c>
      <c r="C121" t="str">
        <f t="shared" si="43"/>
        <v>ADECLAT</v>
      </c>
      <c r="D121">
        <f>11</f>
        <v>11</v>
      </c>
      <c r="E121" t="str">
        <f>"05 - B - 103 - Tina M Jaramillo"</f>
        <v>05 - B - 103 - Tina M Jaramillo</v>
      </c>
      <c r="F121" t="str">
        <f>"AP ENG COMPO"</f>
        <v>AP ENG COMPO</v>
      </c>
      <c r="G121" t="str">
        <f>"17-1706"</f>
        <v>17-1706</v>
      </c>
      <c r="H121" t="str">
        <f>"B"</f>
        <v>B</v>
      </c>
    </row>
    <row r="122" spans="1:8" x14ac:dyDescent="0.2">
      <c r="A122" t="str">
        <f t="shared" si="41"/>
        <v>0615007435</v>
      </c>
      <c r="B122" t="str">
        <f t="shared" si="42"/>
        <v>RANDY</v>
      </c>
      <c r="C122" t="str">
        <f t="shared" si="43"/>
        <v>ADECLAT</v>
      </c>
      <c r="D122">
        <f>11</f>
        <v>11</v>
      </c>
      <c r="E122" t="str">
        <f>"01 - A - 101 - Vanessa J Liburd"</f>
        <v>01 - A - 101 - Vanessa J Liburd</v>
      </c>
      <c r="F122" t="str">
        <f>"PRE-AICE FRENCH 1 IG"</f>
        <v>PRE-AICE FRENCH 1 IG</v>
      </c>
      <c r="G122" t="str">
        <f>"05-519"</f>
        <v>05-519</v>
      </c>
      <c r="H122" t="str">
        <f>"A"</f>
        <v>A</v>
      </c>
    </row>
    <row r="123" spans="1:8" x14ac:dyDescent="0.2">
      <c r="A123" t="str">
        <f t="shared" si="41"/>
        <v>0615007435</v>
      </c>
      <c r="B123" t="str">
        <f t="shared" si="42"/>
        <v>RANDY</v>
      </c>
      <c r="C123" t="str">
        <f t="shared" si="43"/>
        <v>ADECLAT</v>
      </c>
      <c r="D123">
        <f>11</f>
        <v>11</v>
      </c>
      <c r="E123" t="str">
        <f>"08 - B - 206 - Daniel S Katz"</f>
        <v>08 - B - 206 - Daniel S Katz</v>
      </c>
      <c r="F123" t="str">
        <f>"AICE MEDIASTUDIES AS"</f>
        <v>AICE MEDIASTUDIES AS</v>
      </c>
      <c r="G123" t="str">
        <f>"05-521"</f>
        <v>05-521</v>
      </c>
      <c r="H123" t="str">
        <f>"B"</f>
        <v>B</v>
      </c>
    </row>
    <row r="124" spans="1:8" x14ac:dyDescent="0.2">
      <c r="A124" t="str">
        <f t="shared" ref="A124:A131" si="44">"0613096783"</f>
        <v>0613096783</v>
      </c>
      <c r="B124" t="str">
        <f t="shared" ref="B124:B131" si="45">"BENJAMIN"</f>
        <v>BENJAMIN</v>
      </c>
      <c r="C124" t="str">
        <f t="shared" ref="C124:C131" si="46">"ADELSON"</f>
        <v>ADELSON</v>
      </c>
      <c r="D124">
        <f>12</f>
        <v>12</v>
      </c>
      <c r="E124" t="str">
        <f>"04 - A - 106 - Tina M Jaramillo"</f>
        <v>04 - A - 106 - Tina M Jaramillo</v>
      </c>
      <c r="F124" t="str">
        <f>"AP ENG LIT COMPO"</f>
        <v>AP ENG LIT COMPO</v>
      </c>
      <c r="G124" t="str">
        <f>"17-1706"</f>
        <v>17-1706</v>
      </c>
      <c r="H124" t="str">
        <f>"A"</f>
        <v>A</v>
      </c>
    </row>
    <row r="125" spans="1:8" x14ac:dyDescent="0.2">
      <c r="A125" t="str">
        <f t="shared" si="44"/>
        <v>0613096783</v>
      </c>
      <c r="B125" t="str">
        <f t="shared" si="45"/>
        <v>BENJAMIN</v>
      </c>
      <c r="C125" t="str">
        <f t="shared" si="46"/>
        <v>ADELSON</v>
      </c>
      <c r="D125">
        <f>12</f>
        <v>12</v>
      </c>
      <c r="E125" t="str">
        <f>"06 - B - 109 - Carol S Moore"</f>
        <v>06 - B - 109 - Carol S Moore</v>
      </c>
      <c r="F125" t="str">
        <f>"NC STUDY HALL 1"</f>
        <v>NC STUDY HALL 1</v>
      </c>
      <c r="G125" t="str">
        <f>"17-1733"</f>
        <v>17-1733</v>
      </c>
      <c r="H125" t="str">
        <f>"B"</f>
        <v>B</v>
      </c>
    </row>
    <row r="126" spans="1:8" x14ac:dyDescent="0.2">
      <c r="A126" t="str">
        <f t="shared" si="44"/>
        <v>0613096783</v>
      </c>
      <c r="B126" t="str">
        <f t="shared" si="45"/>
        <v>BENJAMIN</v>
      </c>
      <c r="C126" t="str">
        <f t="shared" si="46"/>
        <v>ADELSON</v>
      </c>
      <c r="D126">
        <f>12</f>
        <v>12</v>
      </c>
      <c r="E126" t="str">
        <f>"03 - A - 101 - Lisa J London"</f>
        <v>03 - A - 101 - Lisa J London</v>
      </c>
      <c r="F126" t="str">
        <f>"AP CAPSTONE RESEARCH"</f>
        <v>AP CAPSTONE RESEARCH</v>
      </c>
      <c r="G126" t="str">
        <f>"17-1714"</f>
        <v>17-1714</v>
      </c>
      <c r="H126" t="str">
        <f>"A"</f>
        <v>A</v>
      </c>
    </row>
    <row r="127" spans="1:8" x14ac:dyDescent="0.2">
      <c r="A127" t="str">
        <f t="shared" si="44"/>
        <v>0613096783</v>
      </c>
      <c r="B127" t="str">
        <f t="shared" si="45"/>
        <v>BENJAMIN</v>
      </c>
      <c r="C127" t="str">
        <f t="shared" si="46"/>
        <v>ADELSON</v>
      </c>
      <c r="D127">
        <f>12</f>
        <v>12</v>
      </c>
      <c r="E127" t="str">
        <f>"02 - A - 102 - Marielle A Witting"</f>
        <v>02 - A - 102 - Marielle A Witting</v>
      </c>
      <c r="F127" t="str">
        <f>"AP BIO"</f>
        <v>AP BIO</v>
      </c>
      <c r="G127" t="str">
        <f>"08-805"</f>
        <v>08-805</v>
      </c>
      <c r="H127" t="str">
        <f>"A"</f>
        <v>A</v>
      </c>
    </row>
    <row r="128" spans="1:8" x14ac:dyDescent="0.2">
      <c r="A128" t="str">
        <f t="shared" si="44"/>
        <v>0613096783</v>
      </c>
      <c r="B128" t="str">
        <f t="shared" si="45"/>
        <v>BENJAMIN</v>
      </c>
      <c r="C128" t="str">
        <f t="shared" si="46"/>
        <v>ADELSON</v>
      </c>
      <c r="D128">
        <f>12</f>
        <v>12</v>
      </c>
      <c r="E128" t="str">
        <f>"07 - B - 102 - Carleigh R Carmichael"</f>
        <v>07 - B - 102 - Carleigh R Carmichael</v>
      </c>
      <c r="F128" t="str">
        <f>"LEAD SKLS DEV LH"</f>
        <v>LEAD SKLS DEV LH</v>
      </c>
      <c r="G128" t="str">
        <f>"20-2072"</f>
        <v>20-2072</v>
      </c>
      <c r="H128" t="str">
        <f>"B"</f>
        <v>B</v>
      </c>
    </row>
    <row r="129" spans="1:8" x14ac:dyDescent="0.2">
      <c r="A129" t="str">
        <f t="shared" si="44"/>
        <v>0613096783</v>
      </c>
      <c r="B129" t="str">
        <f t="shared" si="45"/>
        <v>BENJAMIN</v>
      </c>
      <c r="C129" t="str">
        <f t="shared" si="46"/>
        <v>ADELSON</v>
      </c>
      <c r="D129">
        <f>12</f>
        <v>12</v>
      </c>
      <c r="E129" t="str">
        <f>"05 - S1 - B - 103 - Stephen T Ripp"</f>
        <v>05 - S1 - B - 103 - Stephen T Ripp</v>
      </c>
      <c r="F129" t="str">
        <f>"AP US GOVT/POL"</f>
        <v>AP US GOVT/POL</v>
      </c>
      <c r="G129" t="str">
        <f>"17-1744"</f>
        <v>17-1744</v>
      </c>
      <c r="H129" t="str">
        <f>"B"</f>
        <v>B</v>
      </c>
    </row>
    <row r="130" spans="1:8" x14ac:dyDescent="0.2">
      <c r="A130" t="str">
        <f t="shared" si="44"/>
        <v>0613096783</v>
      </c>
      <c r="B130" t="str">
        <f t="shared" si="45"/>
        <v>BENJAMIN</v>
      </c>
      <c r="C130" t="str">
        <f t="shared" si="46"/>
        <v>ADELSON</v>
      </c>
      <c r="D130">
        <f>12</f>
        <v>12</v>
      </c>
      <c r="E130" t="str">
        <f>"01 - A - 201 - Pamela M Corzo"</f>
        <v>01 - A - 201 - Pamela M Corzo</v>
      </c>
      <c r="F130" t="str">
        <f>"AP CALCULUS BC"</f>
        <v>AP CALCULUS BC</v>
      </c>
      <c r="G130" t="str">
        <f>"21-2133"</f>
        <v>21-2133</v>
      </c>
      <c r="H130" t="str">
        <f>"A"</f>
        <v>A</v>
      </c>
    </row>
    <row r="131" spans="1:8" x14ac:dyDescent="0.2">
      <c r="A131" t="str">
        <f t="shared" si="44"/>
        <v>0613096783</v>
      </c>
      <c r="B131" t="str">
        <f t="shared" si="45"/>
        <v>BENJAMIN</v>
      </c>
      <c r="C131" t="str">
        <f t="shared" si="46"/>
        <v>ADELSON</v>
      </c>
      <c r="D131">
        <f>12</f>
        <v>12</v>
      </c>
      <c r="E131" t="str">
        <f>"08 - B - 001 - Chrystina M Marchionne"</f>
        <v>08 - B - 001 - Chrystina M Marchionne</v>
      </c>
      <c r="F131" t="str">
        <f>"JOURN 1 (YB) LH"</f>
        <v>JOURN 1 (YB) LH</v>
      </c>
      <c r="G131" t="str">
        <f>"05-520"</f>
        <v>05-520</v>
      </c>
      <c r="H131" t="str">
        <f>"B"</f>
        <v>B</v>
      </c>
    </row>
    <row r="132" spans="1:8" x14ac:dyDescent="0.2">
      <c r="A132" t="str">
        <f t="shared" ref="A132:A139" si="47">"0614031026"</f>
        <v>0614031026</v>
      </c>
      <c r="B132" t="str">
        <f t="shared" ref="B132:B139" si="48">"ELLA"</f>
        <v>ELLA</v>
      </c>
      <c r="C132" t="str">
        <f t="shared" ref="C132:C139" si="49">"AGNESE"</f>
        <v>AGNESE</v>
      </c>
      <c r="D132">
        <f>12</f>
        <v>12</v>
      </c>
      <c r="E132" t="str">
        <f>"04 - A - 106 - Tina M Jaramillo"</f>
        <v>04 - A - 106 - Tina M Jaramillo</v>
      </c>
      <c r="F132" t="str">
        <f>"AP ENG LIT COMPO"</f>
        <v>AP ENG LIT COMPO</v>
      </c>
      <c r="G132" t="str">
        <f>"17-1706"</f>
        <v>17-1706</v>
      </c>
      <c r="H132" t="str">
        <f>"A"</f>
        <v>A</v>
      </c>
    </row>
    <row r="133" spans="1:8" x14ac:dyDescent="0.2">
      <c r="A133" t="str">
        <f t="shared" si="47"/>
        <v>0614031026</v>
      </c>
      <c r="B133" t="str">
        <f t="shared" si="48"/>
        <v>ELLA</v>
      </c>
      <c r="C133" t="str">
        <f t="shared" si="49"/>
        <v>AGNESE</v>
      </c>
      <c r="D133">
        <f>12</f>
        <v>12</v>
      </c>
      <c r="E133" t="str">
        <f>"06 - B - 101 - Cliffon  Saurel"</f>
        <v>06 - B - 101 - Cliffon  Saurel</v>
      </c>
      <c r="F133" t="str">
        <f>"NC STUDY HALL 1"</f>
        <v>NC STUDY HALL 1</v>
      </c>
      <c r="G133" t="str">
        <f>"05-522"</f>
        <v>05-522</v>
      </c>
      <c r="H133" t="str">
        <f>"B"</f>
        <v>B</v>
      </c>
    </row>
    <row r="134" spans="1:8" x14ac:dyDescent="0.2">
      <c r="A134" t="str">
        <f t="shared" si="47"/>
        <v>0614031026</v>
      </c>
      <c r="B134" t="str">
        <f t="shared" si="48"/>
        <v>ELLA</v>
      </c>
      <c r="C134" t="str">
        <f t="shared" si="49"/>
        <v>AGNESE</v>
      </c>
      <c r="D134">
        <f>12</f>
        <v>12</v>
      </c>
      <c r="E134" t="str">
        <f>"03 - A - 101 - Lisa J London"</f>
        <v>03 - A - 101 - Lisa J London</v>
      </c>
      <c r="F134" t="str">
        <f>"AP CAPSTONE RESEARCH"</f>
        <v>AP CAPSTONE RESEARCH</v>
      </c>
      <c r="G134" t="str">
        <f>"17-1714"</f>
        <v>17-1714</v>
      </c>
      <c r="H134" t="str">
        <f>"A"</f>
        <v>A</v>
      </c>
    </row>
    <row r="135" spans="1:8" x14ac:dyDescent="0.2">
      <c r="A135" t="str">
        <f t="shared" si="47"/>
        <v>0614031026</v>
      </c>
      <c r="B135" t="str">
        <f t="shared" si="48"/>
        <v>ELLA</v>
      </c>
      <c r="C135" t="str">
        <f t="shared" si="49"/>
        <v>AGNESE</v>
      </c>
      <c r="D135">
        <f>12</f>
        <v>12</v>
      </c>
      <c r="E135" t="str">
        <f>"02 - A - 201 - Jeanne M Bermudez"</f>
        <v>02 - A - 201 - Jeanne M Bermudez</v>
      </c>
      <c r="F135" t="str">
        <f>"AP ENV SCI"</f>
        <v>AP ENV SCI</v>
      </c>
      <c r="G135" t="str">
        <f>"21-2141"</f>
        <v>21-2141</v>
      </c>
      <c r="H135" t="str">
        <f>"A"</f>
        <v>A</v>
      </c>
    </row>
    <row r="136" spans="1:8" x14ac:dyDescent="0.2">
      <c r="A136" t="str">
        <f t="shared" si="47"/>
        <v>0614031026</v>
      </c>
      <c r="B136" t="str">
        <f t="shared" si="48"/>
        <v>ELLA</v>
      </c>
      <c r="C136" t="str">
        <f t="shared" si="49"/>
        <v>AGNESE</v>
      </c>
      <c r="D136">
        <f>12</f>
        <v>12</v>
      </c>
      <c r="E136" t="str">
        <f>"07 - S1 - B - 101 - Stephen T Ripp"</f>
        <v>07 - S1 - B - 101 - Stephen T Ripp</v>
      </c>
      <c r="F136" t="str">
        <f>"AP US GOVT/POL"</f>
        <v>AP US GOVT/POL</v>
      </c>
      <c r="G136" t="str">
        <f>"17-1744"</f>
        <v>17-1744</v>
      </c>
      <c r="H136" t="str">
        <f>"B"</f>
        <v>B</v>
      </c>
    </row>
    <row r="137" spans="1:8" x14ac:dyDescent="0.2">
      <c r="A137" t="str">
        <f t="shared" si="47"/>
        <v>0614031026</v>
      </c>
      <c r="B137" t="str">
        <f t="shared" si="48"/>
        <v>ELLA</v>
      </c>
      <c r="C137" t="str">
        <f t="shared" si="49"/>
        <v>AGNESE</v>
      </c>
      <c r="D137">
        <f>12</f>
        <v>12</v>
      </c>
      <c r="E137" t="str">
        <f>"05 - B - 105 - Norayda D Suarez"</f>
        <v>05 - B - 105 - Norayda D Suarez</v>
      </c>
      <c r="F137" t="str">
        <f>"RESEARCH 1 LH"</f>
        <v>RESEARCH 1 LH</v>
      </c>
      <c r="G137">
        <f>2041</f>
        <v>2041</v>
      </c>
      <c r="H137" t="str">
        <f>"B"</f>
        <v>B</v>
      </c>
    </row>
    <row r="138" spans="1:8" x14ac:dyDescent="0.2">
      <c r="A138" t="str">
        <f t="shared" si="47"/>
        <v>0614031026</v>
      </c>
      <c r="B138" t="str">
        <f t="shared" si="48"/>
        <v>ELLA</v>
      </c>
      <c r="C138" t="str">
        <f t="shared" si="49"/>
        <v>AGNESE</v>
      </c>
      <c r="D138">
        <f>12</f>
        <v>12</v>
      </c>
      <c r="E138" t="str">
        <f>"01 - A - 201 - Pamela M Corzo"</f>
        <v>01 - A - 201 - Pamela M Corzo</v>
      </c>
      <c r="F138" t="str">
        <f>"AP CALCULUS BC"</f>
        <v>AP CALCULUS BC</v>
      </c>
      <c r="G138" t="str">
        <f>"21-2133"</f>
        <v>21-2133</v>
      </c>
      <c r="H138" t="str">
        <f>"A"</f>
        <v>A</v>
      </c>
    </row>
    <row r="139" spans="1:8" x14ac:dyDescent="0.2">
      <c r="A139" t="str">
        <f t="shared" si="47"/>
        <v>0614031026</v>
      </c>
      <c r="B139" t="str">
        <f t="shared" si="48"/>
        <v>ELLA</v>
      </c>
      <c r="C139" t="str">
        <f t="shared" si="49"/>
        <v>AGNESE</v>
      </c>
      <c r="D139">
        <f>12</f>
        <v>12</v>
      </c>
      <c r="E139" t="str">
        <f>"08 - B - 103 - Marielle A Witting"</f>
        <v>08 - B - 103 - Marielle A Witting</v>
      </c>
      <c r="F139" t="str">
        <f>"AP BIO"</f>
        <v>AP BIO</v>
      </c>
      <c r="G139" t="str">
        <f>"08-805"</f>
        <v>08-805</v>
      </c>
      <c r="H139" t="str">
        <f>"B"</f>
        <v>B</v>
      </c>
    </row>
    <row r="140" spans="1:8" x14ac:dyDescent="0.2">
      <c r="A140" t="str">
        <f t="shared" ref="A140:A147" si="50">"0619079394"</f>
        <v>0619079394</v>
      </c>
      <c r="B140" t="str">
        <f t="shared" ref="B140:B147" si="51">"ANA CLARA"</f>
        <v>ANA CLARA</v>
      </c>
      <c r="C140" t="str">
        <f t="shared" ref="C140:C147" si="52">"AGUIAR"</f>
        <v>AGUIAR</v>
      </c>
      <c r="D140">
        <f>10</f>
        <v>10</v>
      </c>
      <c r="E140" t="str">
        <f>"04 - A - 203 - Cheryl L Beach"</f>
        <v>04 - A - 203 - Cheryl L Beach</v>
      </c>
      <c r="F140" t="str">
        <f>"AICE ENV MGMNT AS"</f>
        <v>AICE ENV MGMNT AS</v>
      </c>
      <c r="G140" t="str">
        <f>"08-811"</f>
        <v>08-811</v>
      </c>
      <c r="H140" t="str">
        <f>"A"</f>
        <v>A</v>
      </c>
    </row>
    <row r="141" spans="1:8" x14ac:dyDescent="0.2">
      <c r="A141" t="str">
        <f t="shared" si="50"/>
        <v>0619079394</v>
      </c>
      <c r="B141" t="str">
        <f t="shared" si="51"/>
        <v>ANA CLARA</v>
      </c>
      <c r="C141" t="str">
        <f t="shared" si="52"/>
        <v>AGUIAR</v>
      </c>
      <c r="D141">
        <f>10</f>
        <v>10</v>
      </c>
      <c r="E141" t="str">
        <f>"06 - B - 112 - Tina M Jaramillo"</f>
        <v>06 - B - 112 - Tina M Jaramillo</v>
      </c>
      <c r="F141" t="str">
        <f>"NC STUDY HALL 1"</f>
        <v>NC STUDY HALL 1</v>
      </c>
      <c r="G141" t="str">
        <f>"17-1706"</f>
        <v>17-1706</v>
      </c>
      <c r="H141" t="str">
        <f>"B"</f>
        <v>B</v>
      </c>
    </row>
    <row r="142" spans="1:8" x14ac:dyDescent="0.2">
      <c r="A142" t="str">
        <f t="shared" si="50"/>
        <v>0619079394</v>
      </c>
      <c r="B142" t="str">
        <f t="shared" si="51"/>
        <v>ANA CLARA</v>
      </c>
      <c r="C142" t="str">
        <f t="shared" si="52"/>
        <v>AGUIAR</v>
      </c>
      <c r="D142">
        <f>10</f>
        <v>10</v>
      </c>
      <c r="E142" t="str">
        <f>"03 - A - 103 - Adam Marcus  Drucker"</f>
        <v>03 - A - 103 - Adam Marcus  Drucker</v>
      </c>
      <c r="F142" t="str">
        <f>"HOPE-PE V"</f>
        <v>HOPE-PE V</v>
      </c>
      <c r="G142" t="str">
        <f>"04-254"</f>
        <v>04-254</v>
      </c>
      <c r="H142" t="str">
        <f>"A"</f>
        <v>A</v>
      </c>
    </row>
    <row r="143" spans="1:8" x14ac:dyDescent="0.2">
      <c r="A143" t="str">
        <f t="shared" si="50"/>
        <v>0619079394</v>
      </c>
      <c r="B143" t="str">
        <f t="shared" si="51"/>
        <v>ANA CLARA</v>
      </c>
      <c r="C143" t="str">
        <f t="shared" si="52"/>
        <v>AGUIAR</v>
      </c>
      <c r="D143">
        <f>10</f>
        <v>10</v>
      </c>
      <c r="E143" t="str">
        <f>"02 - A - 105 - Semra  Bahadir"</f>
        <v>02 - A - 105 - Semra  Bahadir</v>
      </c>
      <c r="F143" t="str">
        <f>"ALGEBRA 2"</f>
        <v>ALGEBRA 2</v>
      </c>
      <c r="G143" t="str">
        <f>"21-2107"</f>
        <v>21-2107</v>
      </c>
      <c r="H143" t="str">
        <f>"A"</f>
        <v>A</v>
      </c>
    </row>
    <row r="144" spans="1:8" x14ac:dyDescent="0.2">
      <c r="A144" t="str">
        <f t="shared" si="50"/>
        <v>0619079394</v>
      </c>
      <c r="B144" t="str">
        <f t="shared" si="51"/>
        <v>ANA CLARA</v>
      </c>
      <c r="C144" t="str">
        <f t="shared" si="52"/>
        <v>AGUIAR</v>
      </c>
      <c r="D144">
        <f>10</f>
        <v>10</v>
      </c>
      <c r="E144" t="str">
        <f>"07 - B - 207 - Krystal Marie  Beruty"</f>
        <v>07 - B - 207 - Krystal Marie  Beruty</v>
      </c>
      <c r="F144" t="str">
        <f>"AICE GLBL PERSP 1 AS"</f>
        <v>AICE GLBL PERSP 1 AS</v>
      </c>
      <c r="G144" t="str">
        <f>"17-1721"</f>
        <v>17-1721</v>
      </c>
      <c r="H144" t="str">
        <f>"B"</f>
        <v>B</v>
      </c>
    </row>
    <row r="145" spans="1:8" x14ac:dyDescent="0.2">
      <c r="A145" t="str">
        <f t="shared" si="50"/>
        <v>0619079394</v>
      </c>
      <c r="B145" t="str">
        <f t="shared" si="51"/>
        <v>ANA CLARA</v>
      </c>
      <c r="C145" t="str">
        <f t="shared" si="52"/>
        <v>AGUIAR</v>
      </c>
      <c r="D145">
        <f>10</f>
        <v>10</v>
      </c>
      <c r="E145" t="str">
        <f>"05 - B - 205 - Rosa Elaine  Collado-Duff"</f>
        <v>05 - B - 205 - Rosa Elaine  Collado-Duff</v>
      </c>
      <c r="F145" t="str">
        <f>"PRE-AICE SPAN 2 IG"</f>
        <v>PRE-AICE SPAN 2 IG</v>
      </c>
      <c r="G145" t="str">
        <f>"09-913"</f>
        <v>09-913</v>
      </c>
      <c r="H145" t="str">
        <f>"B"</f>
        <v>B</v>
      </c>
    </row>
    <row r="146" spans="1:8" x14ac:dyDescent="0.2">
      <c r="A146" t="str">
        <f t="shared" si="50"/>
        <v>0619079394</v>
      </c>
      <c r="B146" t="str">
        <f t="shared" si="51"/>
        <v>ANA CLARA</v>
      </c>
      <c r="C146" t="str">
        <f t="shared" si="52"/>
        <v>AGUIAR</v>
      </c>
      <c r="D146">
        <f>10</f>
        <v>10</v>
      </c>
      <c r="E146" t="str">
        <f>"01 - A - 101 - Courtney E Hambright"</f>
        <v>01 - A - 101 - Courtney E Hambright</v>
      </c>
      <c r="F146" t="str">
        <f>"AICE ENG LANG AS"</f>
        <v>AICE ENG LANG AS</v>
      </c>
      <c r="G146" t="str">
        <f>"17-1711"</f>
        <v>17-1711</v>
      </c>
      <c r="H146" t="str">
        <f>"A"</f>
        <v>A</v>
      </c>
    </row>
    <row r="147" spans="1:8" x14ac:dyDescent="0.2">
      <c r="A147" t="str">
        <f t="shared" si="50"/>
        <v>0619079394</v>
      </c>
      <c r="B147" t="str">
        <f t="shared" si="51"/>
        <v>ANA CLARA</v>
      </c>
      <c r="C147" t="str">
        <f t="shared" si="52"/>
        <v>AGUIAR</v>
      </c>
      <c r="D147">
        <f>10</f>
        <v>10</v>
      </c>
      <c r="E147" t="str">
        <f>"08 - B - 202 - Krystal Marie  Beruty"</f>
        <v>08 - B - 202 - Krystal Marie  Beruty</v>
      </c>
      <c r="F147" t="str">
        <f>"AICE PSYCH 1 AS"</f>
        <v>AICE PSYCH 1 AS</v>
      </c>
      <c r="G147" t="str">
        <f>"17-1721"</f>
        <v>17-1721</v>
      </c>
      <c r="H147" t="str">
        <f>"B"</f>
        <v>B</v>
      </c>
    </row>
    <row r="148" spans="1:8" x14ac:dyDescent="0.2">
      <c r="A148" t="str">
        <f t="shared" ref="A148:A155" si="53">"0615001437"</f>
        <v>0615001437</v>
      </c>
      <c r="B148" t="str">
        <f t="shared" ref="B148:B155" si="54">"MELANI"</f>
        <v>MELANI</v>
      </c>
      <c r="C148" t="str">
        <f t="shared" ref="C148:C155" si="55">"AGUILAR"</f>
        <v>AGUILAR</v>
      </c>
      <c r="D148">
        <f>11</f>
        <v>11</v>
      </c>
      <c r="E148" t="str">
        <f>"04 - A - 101 - Stephen T Ripp"</f>
        <v>04 - A - 101 - Stephen T Ripp</v>
      </c>
      <c r="F148" t="str">
        <f>"AP U.S. HIST"</f>
        <v>AP U.S. HIST</v>
      </c>
      <c r="G148" t="str">
        <f>"17-1744"</f>
        <v>17-1744</v>
      </c>
      <c r="H148" t="str">
        <f>"A"</f>
        <v>A</v>
      </c>
    </row>
    <row r="149" spans="1:8" x14ac:dyDescent="0.2">
      <c r="A149" t="str">
        <f t="shared" si="53"/>
        <v>0615001437</v>
      </c>
      <c r="B149" t="str">
        <f t="shared" si="54"/>
        <v>MELANI</v>
      </c>
      <c r="C149" t="str">
        <f t="shared" si="55"/>
        <v>AGUILAR</v>
      </c>
      <c r="D149">
        <f>11</f>
        <v>11</v>
      </c>
      <c r="E149" t="str">
        <f>"06 - B - 202 - Alejandro  Navarro"</f>
        <v>06 - B - 202 - Alejandro  Navarro</v>
      </c>
      <c r="F149" t="str">
        <f>"BAND 1"</f>
        <v>BAND 1</v>
      </c>
      <c r="G149" t="str">
        <f>"05-504"</f>
        <v>05-504</v>
      </c>
      <c r="H149" t="str">
        <f>"B"</f>
        <v>B</v>
      </c>
    </row>
    <row r="150" spans="1:8" x14ac:dyDescent="0.2">
      <c r="A150" t="str">
        <f t="shared" si="53"/>
        <v>0615001437</v>
      </c>
      <c r="B150" t="str">
        <f t="shared" si="54"/>
        <v>MELANI</v>
      </c>
      <c r="C150" t="str">
        <f t="shared" si="55"/>
        <v>AGUILAR</v>
      </c>
      <c r="D150">
        <f>11</f>
        <v>11</v>
      </c>
      <c r="E150" t="str">
        <f>"03 - A - 203 - Stefanie S Scher"</f>
        <v>03 - A - 203 - Stefanie S Scher</v>
      </c>
      <c r="F150" t="str">
        <f>"AP PSYCH"</f>
        <v>AP PSYCH</v>
      </c>
      <c r="G150" t="str">
        <f>"17-1735"</f>
        <v>17-1735</v>
      </c>
      <c r="H150" t="str">
        <f>"A"</f>
        <v>A</v>
      </c>
    </row>
    <row r="151" spans="1:8" x14ac:dyDescent="0.2">
      <c r="A151" t="str">
        <f t="shared" si="53"/>
        <v>0615001437</v>
      </c>
      <c r="B151" t="str">
        <f t="shared" si="54"/>
        <v>MELANI</v>
      </c>
      <c r="C151" t="str">
        <f t="shared" si="55"/>
        <v>AGUILAR</v>
      </c>
      <c r="D151">
        <f>11</f>
        <v>11</v>
      </c>
      <c r="E151" t="str">
        <f>"02 - A - 106 - Heidi M Knopp"</f>
        <v>02 - A - 106 - Heidi M Knopp</v>
      </c>
      <c r="F151" t="str">
        <f>"NC STUDY HALL 1"</f>
        <v>NC STUDY HALL 1</v>
      </c>
      <c r="G151" t="str">
        <f>"17-1735"</f>
        <v>17-1735</v>
      </c>
      <c r="H151" t="str">
        <f>"A"</f>
        <v>A</v>
      </c>
    </row>
    <row r="152" spans="1:8" x14ac:dyDescent="0.2">
      <c r="A152" t="str">
        <f t="shared" si="53"/>
        <v>0615001437</v>
      </c>
      <c r="B152" t="str">
        <f t="shared" si="54"/>
        <v>MELANI</v>
      </c>
      <c r="C152" t="str">
        <f t="shared" si="55"/>
        <v>AGUILAR</v>
      </c>
      <c r="D152">
        <f>11</f>
        <v>11</v>
      </c>
      <c r="E152" t="str">
        <f>"07 - B - 103 - Lisa J London"</f>
        <v>07 - B - 103 - Lisa J London</v>
      </c>
      <c r="F152" t="str">
        <f>"AP CAPSTONE SEMINAR"</f>
        <v>AP CAPSTONE SEMINAR</v>
      </c>
      <c r="G152" t="str">
        <f>"17-1714"</f>
        <v>17-1714</v>
      </c>
      <c r="H152" t="str">
        <f>"B"</f>
        <v>B</v>
      </c>
    </row>
    <row r="153" spans="1:8" x14ac:dyDescent="0.2">
      <c r="A153" t="str">
        <f t="shared" si="53"/>
        <v>0615001437</v>
      </c>
      <c r="B153" t="str">
        <f t="shared" si="54"/>
        <v>MELANI</v>
      </c>
      <c r="C153" t="str">
        <f t="shared" si="55"/>
        <v>AGUILAR</v>
      </c>
      <c r="D153">
        <f>11</f>
        <v>11</v>
      </c>
      <c r="E153" t="str">
        <f>"05 - B - 201 - Scott A Dethloff"</f>
        <v>05 - B - 201 - Scott A Dethloff</v>
      </c>
      <c r="F153" t="str">
        <f>"AP CHEM"</f>
        <v>AP CHEM</v>
      </c>
      <c r="G153" t="str">
        <f>"08-812"</f>
        <v>08-812</v>
      </c>
      <c r="H153" t="str">
        <f>"B"</f>
        <v>B</v>
      </c>
    </row>
    <row r="154" spans="1:8" x14ac:dyDescent="0.2">
      <c r="A154" t="str">
        <f t="shared" si="53"/>
        <v>0615001437</v>
      </c>
      <c r="B154" t="str">
        <f t="shared" si="54"/>
        <v>MELANI</v>
      </c>
      <c r="C154" t="str">
        <f t="shared" si="55"/>
        <v>AGUILAR</v>
      </c>
      <c r="D154">
        <f>11</f>
        <v>11</v>
      </c>
      <c r="E154" t="str">
        <f>"01 - A - 101 - Brandy N Zdenek"</f>
        <v>01 - A - 101 - Brandy N Zdenek</v>
      </c>
      <c r="F154" t="str">
        <f>"AICE ENG LANG 2 AL"</f>
        <v>AICE ENG LANG 2 AL</v>
      </c>
      <c r="G154" t="str">
        <f>"17-1704"</f>
        <v>17-1704</v>
      </c>
      <c r="H154" t="str">
        <f>"A"</f>
        <v>A</v>
      </c>
    </row>
    <row r="155" spans="1:8" x14ac:dyDescent="0.2">
      <c r="A155" t="str">
        <f t="shared" si="53"/>
        <v>0615001437</v>
      </c>
      <c r="B155" t="str">
        <f t="shared" si="54"/>
        <v>MELANI</v>
      </c>
      <c r="C155" t="str">
        <f t="shared" si="55"/>
        <v>AGUILAR</v>
      </c>
      <c r="D155">
        <f>11</f>
        <v>11</v>
      </c>
      <c r="E155" t="str">
        <f>"08 - B - 102 - Pamela M Corzo"</f>
        <v>08 - B - 102 - Pamela M Corzo</v>
      </c>
      <c r="F155" t="str">
        <f>"AP STAT"</f>
        <v>AP STAT</v>
      </c>
      <c r="G155" t="str">
        <f>"21-2133"</f>
        <v>21-2133</v>
      </c>
      <c r="H155" t="str">
        <f>"B"</f>
        <v>B</v>
      </c>
    </row>
    <row r="156" spans="1:8" x14ac:dyDescent="0.2">
      <c r="A156" t="str">
        <f t="shared" ref="A156:A163" si="56">"0615135270"</f>
        <v>0615135270</v>
      </c>
      <c r="B156" t="str">
        <f t="shared" ref="B156:B163" si="57">"NICO"</f>
        <v>NICO</v>
      </c>
      <c r="C156" t="str">
        <f t="shared" ref="C156:C163" si="58">"AGUINAGA"</f>
        <v>AGUINAGA</v>
      </c>
      <c r="D156">
        <f>10</f>
        <v>10</v>
      </c>
      <c r="E156" t="str">
        <f>"04 - A - 105 - Jacklyn M James"</f>
        <v>04 - A - 105 - Jacklyn M James</v>
      </c>
      <c r="F156" t="str">
        <f>"AICE ENG LANG AS"</f>
        <v>AICE ENG LANG AS</v>
      </c>
      <c r="G156" t="str">
        <f>"17-1731"</f>
        <v>17-1731</v>
      </c>
      <c r="H156" t="str">
        <f>"A"</f>
        <v>A</v>
      </c>
    </row>
    <row r="157" spans="1:8" x14ac:dyDescent="0.2">
      <c r="A157" t="str">
        <f t="shared" si="56"/>
        <v>0615135270</v>
      </c>
      <c r="B157" t="str">
        <f t="shared" si="57"/>
        <v>NICO</v>
      </c>
      <c r="C157" t="str">
        <f t="shared" si="58"/>
        <v>AGUINAGA</v>
      </c>
      <c r="D157">
        <f>10</f>
        <v>10</v>
      </c>
      <c r="E157" t="str">
        <f>"06 - B - 104 - Robert H Rindner"</f>
        <v>06 - B - 104 - Robert H Rindner</v>
      </c>
      <c r="F157" t="str">
        <f>"NC STUDY HALL 1"</f>
        <v>NC STUDY HALL 1</v>
      </c>
      <c r="G157" t="str">
        <f>"21-2160"</f>
        <v>21-2160</v>
      </c>
      <c r="H157" t="str">
        <f>"B"</f>
        <v>B</v>
      </c>
    </row>
    <row r="158" spans="1:8" x14ac:dyDescent="0.2">
      <c r="A158" t="str">
        <f t="shared" si="56"/>
        <v>0615135270</v>
      </c>
      <c r="B158" t="str">
        <f t="shared" si="57"/>
        <v>NICO</v>
      </c>
      <c r="C158" t="str">
        <f t="shared" si="58"/>
        <v>AGUINAGA</v>
      </c>
      <c r="D158">
        <f>10</f>
        <v>10</v>
      </c>
      <c r="E158" t="str">
        <f>"03 - A - 106 - Krystal Marie  Beruty"</f>
        <v>03 - A - 106 - Krystal Marie  Beruty</v>
      </c>
      <c r="F158" t="str">
        <f>"AICE PSYCH 1 AS"</f>
        <v>AICE PSYCH 1 AS</v>
      </c>
      <c r="G158" t="str">
        <f>"17-1721"</f>
        <v>17-1721</v>
      </c>
      <c r="H158" t="str">
        <f>"A"</f>
        <v>A</v>
      </c>
    </row>
    <row r="159" spans="1:8" x14ac:dyDescent="0.2">
      <c r="A159" t="str">
        <f t="shared" si="56"/>
        <v>0615135270</v>
      </c>
      <c r="B159" t="str">
        <f t="shared" si="57"/>
        <v>NICO</v>
      </c>
      <c r="C159" t="str">
        <f t="shared" si="58"/>
        <v>AGUINAGA</v>
      </c>
      <c r="D159">
        <f>10</f>
        <v>10</v>
      </c>
      <c r="E159" t="str">
        <f>"02 - A - 105 - Semra  Bahadir"</f>
        <v>02 - A - 105 - Semra  Bahadir</v>
      </c>
      <c r="F159" t="str">
        <f>"ALGEBRA 2"</f>
        <v>ALGEBRA 2</v>
      </c>
      <c r="G159" t="str">
        <f>"21-2107"</f>
        <v>21-2107</v>
      </c>
      <c r="H159" t="str">
        <f>"A"</f>
        <v>A</v>
      </c>
    </row>
    <row r="160" spans="1:8" x14ac:dyDescent="0.2">
      <c r="A160" t="str">
        <f t="shared" si="56"/>
        <v>0615135270</v>
      </c>
      <c r="B160" t="str">
        <f t="shared" si="57"/>
        <v>NICO</v>
      </c>
      <c r="C160" t="str">
        <f t="shared" si="58"/>
        <v>AGUINAGA</v>
      </c>
      <c r="D160">
        <f>10</f>
        <v>10</v>
      </c>
      <c r="E160" t="str">
        <f>"07 - B - 107 - Rosa Elaine  Collado-Duff"</f>
        <v>07 - B - 107 - Rosa Elaine  Collado-Duff</v>
      </c>
      <c r="F160" t="str">
        <f>"PRE-AICE SPAN 2 IG"</f>
        <v>PRE-AICE SPAN 2 IG</v>
      </c>
      <c r="G160" t="str">
        <f>"09-913"</f>
        <v>09-913</v>
      </c>
      <c r="H160" t="str">
        <f>"B"</f>
        <v>B</v>
      </c>
    </row>
    <row r="161" spans="1:8" x14ac:dyDescent="0.2">
      <c r="A161" t="str">
        <f t="shared" si="56"/>
        <v>0615135270</v>
      </c>
      <c r="B161" t="str">
        <f t="shared" si="57"/>
        <v>NICO</v>
      </c>
      <c r="C161" t="str">
        <f t="shared" si="58"/>
        <v>AGUINAGA</v>
      </c>
      <c r="D161">
        <f>10</f>
        <v>10</v>
      </c>
      <c r="E161" t="str">
        <f>"05 - B - 108 - Valerie J Ruwe"</f>
        <v>05 - B - 108 - Valerie J Ruwe</v>
      </c>
      <c r="F161" t="str">
        <f>"CHEMISTRY 1 HON"</f>
        <v>CHEMISTRY 1 HON</v>
      </c>
      <c r="G161" t="str">
        <f>"21-2138"</f>
        <v>21-2138</v>
      </c>
      <c r="H161" t="str">
        <f>"B"</f>
        <v>B</v>
      </c>
    </row>
    <row r="162" spans="1:8" x14ac:dyDescent="0.2">
      <c r="A162" t="str">
        <f t="shared" si="56"/>
        <v>0615135270</v>
      </c>
      <c r="B162" t="str">
        <f t="shared" si="57"/>
        <v>NICO</v>
      </c>
      <c r="C162" t="str">
        <f t="shared" si="58"/>
        <v>AGUINAGA</v>
      </c>
      <c r="D162">
        <f>10</f>
        <v>10</v>
      </c>
      <c r="E162" t="str">
        <f>"01 - A - 201 - Chrystina M Marchionne"</f>
        <v>01 - A - 201 - Chrystina M Marchionne</v>
      </c>
      <c r="F162" t="str">
        <f>"AICE MEDIASTUDIES AS"</f>
        <v>AICE MEDIASTUDIES AS</v>
      </c>
      <c r="G162" t="str">
        <f>"05-520"</f>
        <v>05-520</v>
      </c>
      <c r="H162" t="str">
        <f>"A"</f>
        <v>A</v>
      </c>
    </row>
    <row r="163" spans="1:8" x14ac:dyDescent="0.2">
      <c r="A163" t="str">
        <f t="shared" si="56"/>
        <v>0615135270</v>
      </c>
      <c r="B163" t="str">
        <f t="shared" si="57"/>
        <v>NICO</v>
      </c>
      <c r="C163" t="str">
        <f t="shared" si="58"/>
        <v>AGUINAGA</v>
      </c>
      <c r="D163">
        <f>10</f>
        <v>10</v>
      </c>
      <c r="E163" t="str">
        <f>"08 - B - 201 - Lenecy  Nodarse"</f>
        <v>08 - B - 201 - Lenecy  Nodarse</v>
      </c>
      <c r="F163" t="str">
        <f>"AICE EURO HIST 1 AS"</f>
        <v>AICE EURO HIST 1 AS</v>
      </c>
      <c r="G163" t="str">
        <f>"17-1741"</f>
        <v>17-1741</v>
      </c>
      <c r="H163" t="str">
        <f>"B"</f>
        <v>B</v>
      </c>
    </row>
    <row r="164" spans="1:8" x14ac:dyDescent="0.2">
      <c r="A164" t="str">
        <f t="shared" ref="A164:A171" si="59">"0617063409"</f>
        <v>0617063409</v>
      </c>
      <c r="B164" t="str">
        <f t="shared" ref="B164:B171" si="60">"LUIS"</f>
        <v>LUIS</v>
      </c>
      <c r="C164" t="str">
        <f t="shared" ref="C164:C171" si="61">"AGURCIA ERAZO"</f>
        <v>AGURCIA ERAZO</v>
      </c>
      <c r="D164">
        <f>11</f>
        <v>11</v>
      </c>
      <c r="E164" t="str">
        <f>"04 - A - 103 - Joe  Kilpatrick Jr"</f>
        <v>04 - A - 103 - Joe  Kilpatrick Jr</v>
      </c>
      <c r="F164" t="str">
        <f>"PRE-AICE SPAN 1 IG"</f>
        <v>PRE-AICE SPAN 1 IG</v>
      </c>
      <c r="G164" t="str">
        <f>"09-912"</f>
        <v>09-912</v>
      </c>
      <c r="H164" t="str">
        <f>"A"</f>
        <v>A</v>
      </c>
    </row>
    <row r="165" spans="1:8" x14ac:dyDescent="0.2">
      <c r="A165" t="str">
        <f t="shared" si="59"/>
        <v>0617063409</v>
      </c>
      <c r="B165" t="str">
        <f t="shared" si="60"/>
        <v>LUIS</v>
      </c>
      <c r="C165" t="str">
        <f t="shared" si="61"/>
        <v>AGURCIA ERAZO</v>
      </c>
      <c r="D165">
        <f>11</f>
        <v>11</v>
      </c>
      <c r="E165" t="str">
        <f>"06 - B - 103 - Helen A Flores"</f>
        <v>06 - B - 103 - Helen A Flores</v>
      </c>
      <c r="F165" t="str">
        <f>"ALGEBRA 2"</f>
        <v>ALGEBRA 2</v>
      </c>
      <c r="G165" t="str">
        <f>"21-2101"</f>
        <v>21-2101</v>
      </c>
      <c r="H165" t="str">
        <f>"B"</f>
        <v>B</v>
      </c>
    </row>
    <row r="166" spans="1:8" x14ac:dyDescent="0.2">
      <c r="A166" t="str">
        <f t="shared" si="59"/>
        <v>0617063409</v>
      </c>
      <c r="B166" t="str">
        <f t="shared" si="60"/>
        <v>LUIS</v>
      </c>
      <c r="C166" t="str">
        <f t="shared" si="61"/>
        <v>AGURCIA ERAZO</v>
      </c>
      <c r="D166">
        <f>11</f>
        <v>11</v>
      </c>
      <c r="E166" t="str">
        <f>"03 - A - 101 - Brian M Fitzgerald"</f>
        <v>03 - A - 101 - Brian M Fitzgerald</v>
      </c>
      <c r="F166" t="str">
        <f>"SCULPT 1"</f>
        <v>SCULPT 1</v>
      </c>
      <c r="G166" t="str">
        <f>"09-908"</f>
        <v>09-908</v>
      </c>
      <c r="H166" t="str">
        <f>"A"</f>
        <v>A</v>
      </c>
    </row>
    <row r="167" spans="1:8" x14ac:dyDescent="0.2">
      <c r="A167" t="str">
        <f t="shared" si="59"/>
        <v>0617063409</v>
      </c>
      <c r="B167" t="str">
        <f t="shared" si="60"/>
        <v>LUIS</v>
      </c>
      <c r="C167" t="str">
        <f t="shared" si="61"/>
        <v>AGURCIA ERAZO</v>
      </c>
      <c r="D167">
        <f>11</f>
        <v>11</v>
      </c>
      <c r="E167" t="str">
        <f>"02 - A - 107 - Elizabeth Ellen  Moran"</f>
        <v>02 - A - 107 - Elizabeth Ellen  Moran</v>
      </c>
      <c r="F167" t="str">
        <f>"NC STUDY HALL 1"</f>
        <v>NC STUDY HALL 1</v>
      </c>
      <c r="G167" t="str">
        <f>"17-1752"</f>
        <v>17-1752</v>
      </c>
      <c r="H167" t="str">
        <f>"A"</f>
        <v>A</v>
      </c>
    </row>
    <row r="168" spans="1:8" x14ac:dyDescent="0.2">
      <c r="A168" t="str">
        <f t="shared" si="59"/>
        <v>0617063409</v>
      </c>
      <c r="B168" t="str">
        <f t="shared" si="60"/>
        <v>LUIS</v>
      </c>
      <c r="C168" t="str">
        <f t="shared" si="61"/>
        <v>AGURCIA ERAZO</v>
      </c>
      <c r="D168">
        <f>11</f>
        <v>11</v>
      </c>
      <c r="E168" t="str">
        <f>"07 - S1 - B - 103 - Leslie J Barton"</f>
        <v>07 - S1 - B - 103 - Leslie J Barton</v>
      </c>
      <c r="F168" t="str">
        <f>"TEAM SPORTS 1"</f>
        <v>TEAM SPORTS 1</v>
      </c>
      <c r="G168" t="str">
        <f>"04-254"</f>
        <v>04-254</v>
      </c>
      <c r="H168" t="str">
        <f>"B"</f>
        <v>B</v>
      </c>
    </row>
    <row r="169" spans="1:8" x14ac:dyDescent="0.2">
      <c r="A169" t="str">
        <f t="shared" si="59"/>
        <v>0617063409</v>
      </c>
      <c r="B169" t="str">
        <f t="shared" si="60"/>
        <v>LUIS</v>
      </c>
      <c r="C169" t="str">
        <f t="shared" si="61"/>
        <v>AGURCIA ERAZO</v>
      </c>
      <c r="D169">
        <f>11</f>
        <v>11</v>
      </c>
      <c r="E169" t="str">
        <f>"05 - B - 204 - Cliffon  Saurel"</f>
        <v>05 - B - 204 - Cliffon  Saurel</v>
      </c>
      <c r="F169" t="str">
        <f>"PHYSICAL SCI"</f>
        <v>PHYSICAL SCI</v>
      </c>
      <c r="G169" t="str">
        <f>"05-522"</f>
        <v>05-522</v>
      </c>
      <c r="H169" t="str">
        <f>"B"</f>
        <v>B</v>
      </c>
    </row>
    <row r="170" spans="1:8" x14ac:dyDescent="0.2">
      <c r="A170" t="str">
        <f t="shared" si="59"/>
        <v>0617063409</v>
      </c>
      <c r="B170" t="str">
        <f t="shared" si="60"/>
        <v>LUIS</v>
      </c>
      <c r="C170" t="str">
        <f t="shared" si="61"/>
        <v>AGURCIA ERAZO</v>
      </c>
      <c r="D170">
        <f>11</f>
        <v>11</v>
      </c>
      <c r="E170" t="str">
        <f>"01 - A - 101 - Lisa  Quinn"</f>
        <v>01 - A - 101 - Lisa  Quinn</v>
      </c>
      <c r="F170" t="str">
        <f>"ENG 3"</f>
        <v>ENG 3</v>
      </c>
      <c r="G170" t="str">
        <f>"17-1725"</f>
        <v>17-1725</v>
      </c>
      <c r="H170" t="str">
        <f>"A"</f>
        <v>A</v>
      </c>
    </row>
    <row r="171" spans="1:8" x14ac:dyDescent="0.2">
      <c r="A171" t="str">
        <f t="shared" si="59"/>
        <v>0617063409</v>
      </c>
      <c r="B171" t="str">
        <f t="shared" si="60"/>
        <v>LUIS</v>
      </c>
      <c r="C171" t="str">
        <f t="shared" si="61"/>
        <v>AGURCIA ERAZO</v>
      </c>
      <c r="D171">
        <f>11</f>
        <v>11</v>
      </c>
      <c r="E171" t="str">
        <f>"08 - B - 109 - Lauren N Logan"</f>
        <v>08 - B - 109 - Lauren N Logan</v>
      </c>
      <c r="F171" t="str">
        <f>"US HISTORY"</f>
        <v>US HISTORY</v>
      </c>
      <c r="G171" t="str">
        <f>"17-1754"</f>
        <v>17-1754</v>
      </c>
      <c r="H171" t="str">
        <f>"B"</f>
        <v>B</v>
      </c>
    </row>
    <row r="172" spans="1:8" x14ac:dyDescent="0.2">
      <c r="A172" t="str">
        <f t="shared" ref="A172:A179" si="62">"0617097712"</f>
        <v>0617097712</v>
      </c>
      <c r="B172" t="str">
        <f t="shared" ref="B172:B179" si="63">"AYLIN"</f>
        <v>AYLIN</v>
      </c>
      <c r="C172" t="str">
        <f t="shared" ref="C172:C179" si="64">"AHUMADA"</f>
        <v>AHUMADA</v>
      </c>
      <c r="D172" t="str">
        <f t="shared" ref="D172:D179" si="65">"09"</f>
        <v>09</v>
      </c>
      <c r="E172" t="str">
        <f>"04 - A - 105 - Carol S Moore"</f>
        <v>04 - A - 105 - Carol S Moore</v>
      </c>
      <c r="F172" t="str">
        <f>"PRE-AICE WRLD HST IG"</f>
        <v>PRE-AICE WRLD HST IG</v>
      </c>
      <c r="G172" t="str">
        <f>"17-1733"</f>
        <v>17-1733</v>
      </c>
      <c r="H172" t="str">
        <f>"A"</f>
        <v>A</v>
      </c>
    </row>
    <row r="173" spans="1:8" x14ac:dyDescent="0.2">
      <c r="A173" t="str">
        <f t="shared" si="62"/>
        <v>0617097712</v>
      </c>
      <c r="B173" t="str">
        <f t="shared" si="63"/>
        <v>AYLIN</v>
      </c>
      <c r="C173" t="str">
        <f t="shared" si="64"/>
        <v>AHUMADA</v>
      </c>
      <c r="D173" t="str">
        <f t="shared" si="65"/>
        <v>09</v>
      </c>
      <c r="E173" t="str">
        <f>"06 - B - 104 - Lytrell T Dixon"</f>
        <v>06 - B - 104 - Lytrell T Dixon</v>
      </c>
      <c r="F173" t="str">
        <f>"PRE-AICE BIO IG"</f>
        <v>PRE-AICE BIO IG</v>
      </c>
      <c r="G173" t="str">
        <f>"08-808"</f>
        <v>08-808</v>
      </c>
      <c r="H173" t="str">
        <f>"B"</f>
        <v>B</v>
      </c>
    </row>
    <row r="174" spans="1:8" x14ac:dyDescent="0.2">
      <c r="A174" t="str">
        <f t="shared" si="62"/>
        <v>0617097712</v>
      </c>
      <c r="B174" t="str">
        <f t="shared" si="63"/>
        <v>AYLIN</v>
      </c>
      <c r="C174" t="str">
        <f t="shared" si="64"/>
        <v>AHUMADA</v>
      </c>
      <c r="D174" t="str">
        <f t="shared" si="65"/>
        <v>09</v>
      </c>
      <c r="E174" t="str">
        <f>"03 - A - 101 - Samantha L Martinez"</f>
        <v>03 - A - 101 - Samantha L Martinez</v>
      </c>
      <c r="F174" t="str">
        <f>"VOCAL ENS 1"</f>
        <v>VOCAL ENS 1</v>
      </c>
      <c r="G174" t="str">
        <f>"05-505"</f>
        <v>05-505</v>
      </c>
      <c r="H174" t="str">
        <f>"A"</f>
        <v>A</v>
      </c>
    </row>
    <row r="175" spans="1:8" x14ac:dyDescent="0.2">
      <c r="A175" t="str">
        <f t="shared" si="62"/>
        <v>0617097712</v>
      </c>
      <c r="B175" t="str">
        <f t="shared" si="63"/>
        <v>AYLIN</v>
      </c>
      <c r="C175" t="str">
        <f t="shared" si="64"/>
        <v>AHUMADA</v>
      </c>
      <c r="D175" t="str">
        <f t="shared" si="65"/>
        <v>09</v>
      </c>
      <c r="E175" t="str">
        <f>"02 - A - 110 - Maried P Ramos"</f>
        <v>02 - A - 110 - Maried P Ramos</v>
      </c>
      <c r="F175" t="str">
        <f>"NC STUDY HALL 1"</f>
        <v>NC STUDY HALL 1</v>
      </c>
      <c r="G175" t="str">
        <f>"21-2159"</f>
        <v>21-2159</v>
      </c>
      <c r="H175" t="str">
        <f>"A"</f>
        <v>A</v>
      </c>
    </row>
    <row r="176" spans="1:8" x14ac:dyDescent="0.2">
      <c r="A176" t="str">
        <f t="shared" si="62"/>
        <v>0617097712</v>
      </c>
      <c r="B176" t="str">
        <f t="shared" si="63"/>
        <v>AYLIN</v>
      </c>
      <c r="C176" t="str">
        <f t="shared" si="64"/>
        <v>AHUMADA</v>
      </c>
      <c r="D176" t="str">
        <f t="shared" si="65"/>
        <v>09</v>
      </c>
      <c r="E176" t="str">
        <f>"07 - B - 101 - Jeanne M Bermudez"</f>
        <v>07 - B - 101 - Jeanne M Bermudez</v>
      </c>
      <c r="F176" t="str">
        <f>"FOUND OF PROGRAM HON"</f>
        <v>FOUND OF PROGRAM HON</v>
      </c>
      <c r="G176" t="str">
        <f>"21-2141"</f>
        <v>21-2141</v>
      </c>
      <c r="H176" t="str">
        <f>"B"</f>
        <v>B</v>
      </c>
    </row>
    <row r="177" spans="1:8" x14ac:dyDescent="0.2">
      <c r="A177" t="str">
        <f t="shared" si="62"/>
        <v>0617097712</v>
      </c>
      <c r="B177" t="str">
        <f t="shared" si="63"/>
        <v>AYLIN</v>
      </c>
      <c r="C177" t="str">
        <f t="shared" si="64"/>
        <v>AHUMADA</v>
      </c>
      <c r="D177" t="str">
        <f t="shared" si="65"/>
        <v>09</v>
      </c>
      <c r="E177" t="str">
        <f>"05 - S1 - B - 102 - Richard E Dunbar Iii"</f>
        <v>05 - S1 - B - 102 - Richard E Dunbar Iii</v>
      </c>
      <c r="F177" t="str">
        <f>"TEAM SPORTS 1"</f>
        <v>TEAM SPORTS 1</v>
      </c>
      <c r="G177" t="str">
        <f>"04-254"</f>
        <v>04-254</v>
      </c>
      <c r="H177" t="str">
        <f>"B"</f>
        <v>B</v>
      </c>
    </row>
    <row r="178" spans="1:8" x14ac:dyDescent="0.2">
      <c r="A178" t="str">
        <f t="shared" si="62"/>
        <v>0617097712</v>
      </c>
      <c r="B178" t="str">
        <f t="shared" si="63"/>
        <v>AYLIN</v>
      </c>
      <c r="C178" t="str">
        <f t="shared" si="64"/>
        <v>AHUMADA</v>
      </c>
      <c r="D178" t="str">
        <f t="shared" si="65"/>
        <v>09</v>
      </c>
      <c r="E178" t="str">
        <f>"01 - A - 101 - Elizabeth R Walker"</f>
        <v>01 - A - 101 - Elizabeth R Walker</v>
      </c>
      <c r="F178" t="str">
        <f>"AICE ENG GEN PAPER 1"</f>
        <v>AICE ENG GEN PAPER 1</v>
      </c>
      <c r="G178" t="str">
        <f>"17-1703"</f>
        <v>17-1703</v>
      </c>
      <c r="H178" t="str">
        <f>"A"</f>
        <v>A</v>
      </c>
    </row>
    <row r="179" spans="1:8" x14ac:dyDescent="0.2">
      <c r="A179" t="str">
        <f t="shared" si="62"/>
        <v>0617097712</v>
      </c>
      <c r="B179" t="str">
        <f t="shared" si="63"/>
        <v>AYLIN</v>
      </c>
      <c r="C179" t="str">
        <f t="shared" si="64"/>
        <v>AHUMADA</v>
      </c>
      <c r="D179" t="str">
        <f t="shared" si="65"/>
        <v>09</v>
      </c>
      <c r="E179" t="str">
        <f>"08 - B - 107 - Brook E Goren"</f>
        <v>08 - B - 107 - Brook E Goren</v>
      </c>
      <c r="F179" t="str">
        <f>"GEOMETRY"</f>
        <v>GEOMETRY</v>
      </c>
      <c r="G179" t="str">
        <f>"21-2158"</f>
        <v>21-2158</v>
      </c>
      <c r="H179" t="str">
        <f>"B"</f>
        <v>B</v>
      </c>
    </row>
    <row r="180" spans="1:8" x14ac:dyDescent="0.2">
      <c r="A180" t="str">
        <f t="shared" ref="A180:A187" si="66">"0615097477"</f>
        <v>0615097477</v>
      </c>
      <c r="B180" t="str">
        <f t="shared" ref="B180:B187" si="67">"MARISSA"</f>
        <v>MARISSA</v>
      </c>
      <c r="C180" t="str">
        <f t="shared" ref="C180:C187" si="68">"ALBERTI"</f>
        <v>ALBERTI</v>
      </c>
      <c r="D180">
        <f>10</f>
        <v>10</v>
      </c>
      <c r="E180" t="str">
        <f>"04 - A - 102 - Daniel S Katz"</f>
        <v>04 - A - 102 - Daniel S Katz</v>
      </c>
      <c r="F180" t="str">
        <f>"AICE DRAMA 1 AS LEV"</f>
        <v>AICE DRAMA 1 AS LEV</v>
      </c>
      <c r="G180" t="str">
        <f>"05-521"</f>
        <v>05-521</v>
      </c>
      <c r="H180" t="str">
        <f>"A"</f>
        <v>A</v>
      </c>
    </row>
    <row r="181" spans="1:8" x14ac:dyDescent="0.2">
      <c r="A181" t="str">
        <f t="shared" si="66"/>
        <v>0615097477</v>
      </c>
      <c r="B181" t="str">
        <f t="shared" si="67"/>
        <v>MARISSA</v>
      </c>
      <c r="C181" t="str">
        <f t="shared" si="68"/>
        <v>ALBERTI</v>
      </c>
      <c r="D181">
        <f>10</f>
        <v>10</v>
      </c>
      <c r="E181" t="str">
        <f>"06 - B - 117 - Daniel S Tyson"</f>
        <v>06 - B - 117 - Daniel S Tyson</v>
      </c>
      <c r="F181" t="str">
        <f>"NC STUDY HALL 1"</f>
        <v>NC STUDY HALL 1</v>
      </c>
      <c r="G181" t="str">
        <f>"05-510"</f>
        <v>05-510</v>
      </c>
      <c r="H181" t="str">
        <f>"B"</f>
        <v>B</v>
      </c>
    </row>
    <row r="182" spans="1:8" x14ac:dyDescent="0.2">
      <c r="A182" t="str">
        <f t="shared" si="66"/>
        <v>0615097477</v>
      </c>
      <c r="B182" t="str">
        <f t="shared" si="67"/>
        <v>MARISSA</v>
      </c>
      <c r="C182" t="str">
        <f t="shared" si="68"/>
        <v>ALBERTI</v>
      </c>
      <c r="D182">
        <f>10</f>
        <v>10</v>
      </c>
      <c r="E182" t="str">
        <f>"03 - A - 102 - Semra  Bahadir"</f>
        <v>03 - A - 102 - Semra  Bahadir</v>
      </c>
      <c r="F182" t="str">
        <f>"ALGEBRA 2"</f>
        <v>ALGEBRA 2</v>
      </c>
      <c r="G182" t="str">
        <f>"21-2107"</f>
        <v>21-2107</v>
      </c>
      <c r="H182" t="str">
        <f>"A"</f>
        <v>A</v>
      </c>
    </row>
    <row r="183" spans="1:8" x14ac:dyDescent="0.2">
      <c r="A183" t="str">
        <f t="shared" si="66"/>
        <v>0615097477</v>
      </c>
      <c r="B183" t="str">
        <f t="shared" si="67"/>
        <v>MARISSA</v>
      </c>
      <c r="C183" t="str">
        <f t="shared" si="68"/>
        <v>ALBERTI</v>
      </c>
      <c r="D183">
        <f>10</f>
        <v>10</v>
      </c>
      <c r="E183" t="str">
        <f>"02 - A - 104 - Joe  Kilpatrick Jr"</f>
        <v>02 - A - 104 - Joe  Kilpatrick Jr</v>
      </c>
      <c r="F183" t="str">
        <f>"PRE-AICE SPAN 2 IG"</f>
        <v>PRE-AICE SPAN 2 IG</v>
      </c>
      <c r="G183" t="str">
        <f>"09-912"</f>
        <v>09-912</v>
      </c>
      <c r="H183" t="str">
        <f>"A"</f>
        <v>A</v>
      </c>
    </row>
    <row r="184" spans="1:8" x14ac:dyDescent="0.2">
      <c r="A184" t="str">
        <f t="shared" si="66"/>
        <v>0615097477</v>
      </c>
      <c r="B184" t="str">
        <f t="shared" si="67"/>
        <v>MARISSA</v>
      </c>
      <c r="C184" t="str">
        <f t="shared" si="68"/>
        <v>ALBERTI</v>
      </c>
      <c r="D184">
        <f>10</f>
        <v>10</v>
      </c>
      <c r="E184" t="str">
        <f>"07 - B - 207 - Krystal Marie  Beruty"</f>
        <v>07 - B - 207 - Krystal Marie  Beruty</v>
      </c>
      <c r="F184" t="str">
        <f>"AICE GLBL PERSP 1 AS"</f>
        <v>AICE GLBL PERSP 1 AS</v>
      </c>
      <c r="G184" t="str">
        <f>"17-1721"</f>
        <v>17-1721</v>
      </c>
      <c r="H184" t="str">
        <f>"B"</f>
        <v>B</v>
      </c>
    </row>
    <row r="185" spans="1:8" x14ac:dyDescent="0.2">
      <c r="A185" t="str">
        <f t="shared" si="66"/>
        <v>0615097477</v>
      </c>
      <c r="B185" t="str">
        <f t="shared" si="67"/>
        <v>MARISSA</v>
      </c>
      <c r="C185" t="str">
        <f t="shared" si="68"/>
        <v>ALBERTI</v>
      </c>
      <c r="D185">
        <f>10</f>
        <v>10</v>
      </c>
      <c r="E185" t="str">
        <f>"05 - B - 202 - Daniel S Katz"</f>
        <v>05 - B - 202 - Daniel S Katz</v>
      </c>
      <c r="F185" t="str">
        <f>"EXEC INTERN 3 LH"</f>
        <v>EXEC INTERN 3 LH</v>
      </c>
      <c r="G185" t="str">
        <f>"21-2156"</f>
        <v>21-2156</v>
      </c>
      <c r="H185" t="str">
        <f>"B"</f>
        <v>B</v>
      </c>
    </row>
    <row r="186" spans="1:8" x14ac:dyDescent="0.2">
      <c r="A186" t="str">
        <f t="shared" si="66"/>
        <v>0615097477</v>
      </c>
      <c r="B186" t="str">
        <f t="shared" si="67"/>
        <v>MARISSA</v>
      </c>
      <c r="C186" t="str">
        <f t="shared" si="68"/>
        <v>ALBERTI</v>
      </c>
      <c r="D186">
        <f>10</f>
        <v>10</v>
      </c>
      <c r="E186" t="str">
        <f>"01 - A - 201 - Cheryl L Beach"</f>
        <v>01 - A - 201 - Cheryl L Beach</v>
      </c>
      <c r="F186" t="str">
        <f>"AICE ENV MGMNT AS"</f>
        <v>AICE ENV MGMNT AS</v>
      </c>
      <c r="G186" t="str">
        <f>"08-811"</f>
        <v>08-811</v>
      </c>
      <c r="H186" t="str">
        <f>"A"</f>
        <v>A</v>
      </c>
    </row>
    <row r="187" spans="1:8" x14ac:dyDescent="0.2">
      <c r="A187" t="str">
        <f t="shared" si="66"/>
        <v>0615097477</v>
      </c>
      <c r="B187" t="str">
        <f t="shared" si="67"/>
        <v>MARISSA</v>
      </c>
      <c r="C187" t="str">
        <f t="shared" si="68"/>
        <v>ALBERTI</v>
      </c>
      <c r="D187">
        <f>10</f>
        <v>10</v>
      </c>
      <c r="E187" t="str">
        <f>"08 - B - 001 - Jacklyn M James"</f>
        <v>08 - B - 001 - Jacklyn M James</v>
      </c>
      <c r="F187" t="str">
        <f>"AICE ENG LANG AS"</f>
        <v>AICE ENG LANG AS</v>
      </c>
      <c r="G187" t="str">
        <f>"17-1731"</f>
        <v>17-1731</v>
      </c>
      <c r="H187" t="str">
        <f>"B"</f>
        <v>B</v>
      </c>
    </row>
    <row r="188" spans="1:8" x14ac:dyDescent="0.2">
      <c r="A188" t="str">
        <f t="shared" ref="A188:A195" si="69">"0614106781"</f>
        <v>0614106781</v>
      </c>
      <c r="B188" t="str">
        <f t="shared" ref="B188:B195" si="70">"LILY"</f>
        <v>LILY</v>
      </c>
      <c r="C188" t="str">
        <f t="shared" ref="C188:C195" si="71">"ALBOLINO"</f>
        <v>ALBOLINO</v>
      </c>
      <c r="D188">
        <f>11</f>
        <v>11</v>
      </c>
      <c r="E188" t="str">
        <f>"04 - A - 102 - Lisa J London"</f>
        <v>04 - A - 102 - Lisa J London</v>
      </c>
      <c r="F188" t="str">
        <f>"AP CAPSTONE SEMINAR"</f>
        <v>AP CAPSTONE SEMINAR</v>
      </c>
      <c r="G188" t="str">
        <f>"17-1714"</f>
        <v>17-1714</v>
      </c>
      <c r="H188" t="str">
        <f>"A"</f>
        <v>A</v>
      </c>
    </row>
    <row r="189" spans="1:8" x14ac:dyDescent="0.2">
      <c r="A189" t="str">
        <f t="shared" si="69"/>
        <v>0614106781</v>
      </c>
      <c r="B189" t="str">
        <f t="shared" si="70"/>
        <v>LILY</v>
      </c>
      <c r="C189" t="str">
        <f t="shared" si="71"/>
        <v>ALBOLINO</v>
      </c>
      <c r="D189">
        <f>11</f>
        <v>11</v>
      </c>
      <c r="E189" t="str">
        <f>"06 - B - 204 - Chrystina M Marchionne"</f>
        <v>06 - B - 204 - Chrystina M Marchionne</v>
      </c>
      <c r="F189" t="str">
        <f>"AICE MEDIASTUDIES AS"</f>
        <v>AICE MEDIASTUDIES AS</v>
      </c>
      <c r="G189" t="str">
        <f>"05-520"</f>
        <v>05-520</v>
      </c>
      <c r="H189" t="str">
        <f>"B"</f>
        <v>B</v>
      </c>
    </row>
    <row r="190" spans="1:8" x14ac:dyDescent="0.2">
      <c r="A190" t="str">
        <f t="shared" si="69"/>
        <v>0614106781</v>
      </c>
      <c r="B190" t="str">
        <f t="shared" si="70"/>
        <v>LILY</v>
      </c>
      <c r="C190" t="str">
        <f t="shared" si="71"/>
        <v>ALBOLINO</v>
      </c>
      <c r="D190">
        <f>11</f>
        <v>11</v>
      </c>
      <c r="E190" t="str">
        <f>"03 - A - 103 - Jordana K Hass"</f>
        <v>03 - A - 103 - Jordana K Hass</v>
      </c>
      <c r="F190" t="str">
        <f>"CHEMISTRY 1"</f>
        <v>CHEMISTRY 1</v>
      </c>
      <c r="G190" t="str">
        <f>"08-807"</f>
        <v>08-807</v>
      </c>
      <c r="H190" t="str">
        <f>"A"</f>
        <v>A</v>
      </c>
    </row>
    <row r="191" spans="1:8" x14ac:dyDescent="0.2">
      <c r="A191" t="str">
        <f t="shared" si="69"/>
        <v>0614106781</v>
      </c>
      <c r="B191" t="str">
        <f t="shared" si="70"/>
        <v>LILY</v>
      </c>
      <c r="C191" t="str">
        <f t="shared" si="71"/>
        <v>ALBOLINO</v>
      </c>
      <c r="D191">
        <f>11</f>
        <v>11</v>
      </c>
      <c r="E191" t="str">
        <f>"02 - A - 109 - Daniel S Katz"</f>
        <v>02 - A - 109 - Daniel S Katz</v>
      </c>
      <c r="F191" t="str">
        <f>"NC STUDY HALL 1"</f>
        <v>NC STUDY HALL 1</v>
      </c>
      <c r="G191" t="str">
        <f>"21-2156"</f>
        <v>21-2156</v>
      </c>
      <c r="H191" t="str">
        <f>"A"</f>
        <v>A</v>
      </c>
    </row>
    <row r="192" spans="1:8" x14ac:dyDescent="0.2">
      <c r="A192" t="str">
        <f t="shared" si="69"/>
        <v>0614106781</v>
      </c>
      <c r="B192" t="str">
        <f t="shared" si="70"/>
        <v>LILY</v>
      </c>
      <c r="C192" t="str">
        <f t="shared" si="71"/>
        <v>ALBOLINO</v>
      </c>
      <c r="D192">
        <f>11</f>
        <v>11</v>
      </c>
      <c r="E192" t="str">
        <f>"07 - B - 106 - James H Mccann"</f>
        <v>07 - B - 106 - James H Mccann</v>
      </c>
      <c r="F192" t="str">
        <f>"ALGEBRA 2"</f>
        <v>ALGEBRA 2</v>
      </c>
      <c r="G192" t="str">
        <f>"17-1716"</f>
        <v>17-1716</v>
      </c>
      <c r="H192" t="str">
        <f>"B"</f>
        <v>B</v>
      </c>
    </row>
    <row r="193" spans="1:8" x14ac:dyDescent="0.2">
      <c r="A193" t="str">
        <f t="shared" si="69"/>
        <v>0614106781</v>
      </c>
      <c r="B193" t="str">
        <f t="shared" si="70"/>
        <v>LILY</v>
      </c>
      <c r="C193" t="str">
        <f t="shared" si="71"/>
        <v>ALBOLINO</v>
      </c>
      <c r="D193">
        <f>11</f>
        <v>11</v>
      </c>
      <c r="E193" t="str">
        <f>"05 - B - 103 - Brandy N Zdenek"</f>
        <v>05 - B - 103 - Brandy N Zdenek</v>
      </c>
      <c r="F193" t="str">
        <f>"AICE ENG LANG 2 AL"</f>
        <v>AICE ENG LANG 2 AL</v>
      </c>
      <c r="G193" t="str">
        <f>"17-1704"</f>
        <v>17-1704</v>
      </c>
      <c r="H193" t="str">
        <f>"B"</f>
        <v>B</v>
      </c>
    </row>
    <row r="194" spans="1:8" x14ac:dyDescent="0.2">
      <c r="A194" t="str">
        <f t="shared" si="69"/>
        <v>0614106781</v>
      </c>
      <c r="B194" t="str">
        <f t="shared" si="70"/>
        <v>LILY</v>
      </c>
      <c r="C194" t="str">
        <f t="shared" si="71"/>
        <v>ALBOLINO</v>
      </c>
      <c r="D194">
        <f>11</f>
        <v>11</v>
      </c>
      <c r="E194" t="str">
        <f>"01 - A - 001 - Brian M Fitzgerald"</f>
        <v>01 - A - 001 - Brian M Fitzgerald</v>
      </c>
      <c r="F194" t="str">
        <f>"CERAM/POT 2"</f>
        <v>CERAM/POT 2</v>
      </c>
      <c r="G194" t="str">
        <f>"09-908"</f>
        <v>09-908</v>
      </c>
      <c r="H194" t="str">
        <f>"A"</f>
        <v>A</v>
      </c>
    </row>
    <row r="195" spans="1:8" x14ac:dyDescent="0.2">
      <c r="A195" t="str">
        <f t="shared" si="69"/>
        <v>0614106781</v>
      </c>
      <c r="B195" t="str">
        <f t="shared" si="70"/>
        <v>LILY</v>
      </c>
      <c r="C195" t="str">
        <f t="shared" si="71"/>
        <v>ALBOLINO</v>
      </c>
      <c r="D195">
        <f>11</f>
        <v>11</v>
      </c>
      <c r="E195" t="str">
        <f>"08 - B - 001 - Jerry S Jiampetti"</f>
        <v>08 - B - 001 - Jerry S Jiampetti</v>
      </c>
      <c r="F195" t="str">
        <f>"AICE U.S. HIST 1 AS"</f>
        <v>AICE U.S. HIST 1 AS</v>
      </c>
      <c r="G195" t="str">
        <f>"17-1751"</f>
        <v>17-1751</v>
      </c>
      <c r="H195" t="str">
        <f>"B"</f>
        <v>B</v>
      </c>
    </row>
    <row r="196" spans="1:8" x14ac:dyDescent="0.2">
      <c r="A196" t="str">
        <f t="shared" ref="A196:A203" si="72">"0616124865"</f>
        <v>0616124865</v>
      </c>
      <c r="B196" t="str">
        <f t="shared" ref="B196:B203" si="73">"VA'RYLA"</f>
        <v>VA'RYLA</v>
      </c>
      <c r="C196" t="str">
        <f t="shared" ref="C196:C203" si="74">"ALCEMA"</f>
        <v>ALCEMA</v>
      </c>
      <c r="D196">
        <f>10</f>
        <v>10</v>
      </c>
      <c r="E196" t="str">
        <f>"04 - A - 201 - Brian M Fitzgerald"</f>
        <v>04 - A - 201 - Brian M Fitzgerald</v>
      </c>
      <c r="F196" t="str">
        <f>"PAINT 2"</f>
        <v>PAINT 2</v>
      </c>
      <c r="G196" t="str">
        <f>"09-908"</f>
        <v>09-908</v>
      </c>
      <c r="H196" t="str">
        <f>"A"</f>
        <v>A</v>
      </c>
    </row>
    <row r="197" spans="1:8" x14ac:dyDescent="0.2">
      <c r="A197" t="str">
        <f t="shared" si="72"/>
        <v>0616124865</v>
      </c>
      <c r="B197" t="str">
        <f t="shared" si="73"/>
        <v>VA'RYLA</v>
      </c>
      <c r="C197" t="str">
        <f t="shared" si="74"/>
        <v>ALCEMA</v>
      </c>
      <c r="D197">
        <f>10</f>
        <v>10</v>
      </c>
      <c r="E197" t="str">
        <f>"06 - B - 117 - Daniel S Tyson"</f>
        <v>06 - B - 117 - Daniel S Tyson</v>
      </c>
      <c r="F197" t="str">
        <f>"NC STUDY HALL 1"</f>
        <v>NC STUDY HALL 1</v>
      </c>
      <c r="G197" t="str">
        <f>"05-510"</f>
        <v>05-510</v>
      </c>
      <c r="H197" t="str">
        <f>"B"</f>
        <v>B</v>
      </c>
    </row>
    <row r="198" spans="1:8" x14ac:dyDescent="0.2">
      <c r="A198" t="str">
        <f t="shared" si="72"/>
        <v>0616124865</v>
      </c>
      <c r="B198" t="str">
        <f t="shared" si="73"/>
        <v>VA'RYLA</v>
      </c>
      <c r="C198" t="str">
        <f t="shared" si="74"/>
        <v>ALCEMA</v>
      </c>
      <c r="D198">
        <f>10</f>
        <v>10</v>
      </c>
      <c r="E198" t="str">
        <f>"03 - A - 002 - Brandy N Zdenek"</f>
        <v>03 - A - 002 - Brandy N Zdenek</v>
      </c>
      <c r="F198" t="str">
        <f>"AICE ENG LANG AS"</f>
        <v>AICE ENG LANG AS</v>
      </c>
      <c r="G198" t="str">
        <f>"17-1704"</f>
        <v>17-1704</v>
      </c>
      <c r="H198" t="str">
        <f>"A"</f>
        <v>A</v>
      </c>
    </row>
    <row r="199" spans="1:8" x14ac:dyDescent="0.2">
      <c r="A199" t="str">
        <f t="shared" si="72"/>
        <v>0616124865</v>
      </c>
      <c r="B199" t="str">
        <f t="shared" si="73"/>
        <v>VA'RYLA</v>
      </c>
      <c r="C199" t="str">
        <f t="shared" si="74"/>
        <v>ALCEMA</v>
      </c>
      <c r="D199">
        <f>10</f>
        <v>10</v>
      </c>
      <c r="E199" t="str">
        <f>"02 - A - 102 - Vanessa J Liburd"</f>
        <v>02 - A - 102 - Vanessa J Liburd</v>
      </c>
      <c r="F199" t="str">
        <f>"PRE-AICE FRENCH 2 IG"</f>
        <v>PRE-AICE FRENCH 2 IG</v>
      </c>
      <c r="G199" t="str">
        <f>"05-519"</f>
        <v>05-519</v>
      </c>
      <c r="H199" t="str">
        <f>"A"</f>
        <v>A</v>
      </c>
    </row>
    <row r="200" spans="1:8" x14ac:dyDescent="0.2">
      <c r="A200" t="str">
        <f t="shared" si="72"/>
        <v>0616124865</v>
      </c>
      <c r="B200" t="str">
        <f t="shared" si="73"/>
        <v>VA'RYLA</v>
      </c>
      <c r="C200" t="str">
        <f t="shared" si="74"/>
        <v>ALCEMA</v>
      </c>
      <c r="D200">
        <f>10</f>
        <v>10</v>
      </c>
      <c r="E200" t="str">
        <f>"07 - B - 002 - Jordana K Hass"</f>
        <v>07 - B - 002 - Jordana K Hass</v>
      </c>
      <c r="F200" t="str">
        <f>"CHEMISTRY 1 HON"</f>
        <v>CHEMISTRY 1 HON</v>
      </c>
      <c r="G200" t="str">
        <f>"08-807"</f>
        <v>08-807</v>
      </c>
      <c r="H200" t="str">
        <f>"B"</f>
        <v>B</v>
      </c>
    </row>
    <row r="201" spans="1:8" x14ac:dyDescent="0.2">
      <c r="A201" t="str">
        <f t="shared" si="72"/>
        <v>0616124865</v>
      </c>
      <c r="B201" t="str">
        <f t="shared" si="73"/>
        <v>VA'RYLA</v>
      </c>
      <c r="C201" t="str">
        <f t="shared" si="74"/>
        <v>ALCEMA</v>
      </c>
      <c r="D201">
        <f>10</f>
        <v>10</v>
      </c>
      <c r="E201" t="str">
        <f>"05 - B - 104 - Lourivaldo  Da Silva"</f>
        <v>05 - B - 104 - Lourivaldo  Da Silva</v>
      </c>
      <c r="F201" t="str">
        <f>"PRE-CALCULUS HON"</f>
        <v>PRE-CALCULUS HON</v>
      </c>
      <c r="G201" t="str">
        <f>"20-2079"</f>
        <v>20-2079</v>
      </c>
      <c r="H201" t="str">
        <f>"B"</f>
        <v>B</v>
      </c>
    </row>
    <row r="202" spans="1:8" x14ac:dyDescent="0.2">
      <c r="A202" t="str">
        <f t="shared" si="72"/>
        <v>0616124865</v>
      </c>
      <c r="B202" t="str">
        <f t="shared" si="73"/>
        <v>VA'RYLA</v>
      </c>
      <c r="C202" t="str">
        <f t="shared" si="74"/>
        <v>ALCEMA</v>
      </c>
      <c r="D202">
        <f>10</f>
        <v>10</v>
      </c>
      <c r="E202" t="str">
        <f>"01 - A - 201 - Chrystina M Marchionne"</f>
        <v>01 - A - 201 - Chrystina M Marchionne</v>
      </c>
      <c r="F202" t="str">
        <f>"AICE MEDIASTUDIES AS"</f>
        <v>AICE MEDIASTUDIES AS</v>
      </c>
      <c r="G202" t="str">
        <f>"05-520"</f>
        <v>05-520</v>
      </c>
      <c r="H202" t="str">
        <f>"A"</f>
        <v>A</v>
      </c>
    </row>
    <row r="203" spans="1:8" x14ac:dyDescent="0.2">
      <c r="A203" t="str">
        <f t="shared" si="72"/>
        <v>0616124865</v>
      </c>
      <c r="B203" t="str">
        <f t="shared" si="73"/>
        <v>VA'RYLA</v>
      </c>
      <c r="C203" t="str">
        <f t="shared" si="74"/>
        <v>ALCEMA</v>
      </c>
      <c r="D203">
        <f>10</f>
        <v>10</v>
      </c>
      <c r="E203" t="str">
        <f>"08 - B - 201 - Lenecy  Nodarse"</f>
        <v>08 - B - 201 - Lenecy  Nodarse</v>
      </c>
      <c r="F203" t="str">
        <f>"AICE EURO HIST 1 AS"</f>
        <v>AICE EURO HIST 1 AS</v>
      </c>
      <c r="G203" t="str">
        <f>"17-1741"</f>
        <v>17-1741</v>
      </c>
      <c r="H203" t="str">
        <f>"B"</f>
        <v>B</v>
      </c>
    </row>
    <row r="204" spans="1:8" x14ac:dyDescent="0.2">
      <c r="A204" t="str">
        <f t="shared" ref="A204:A211" si="75">"0615022741"</f>
        <v>0615022741</v>
      </c>
      <c r="B204" t="str">
        <f t="shared" ref="B204:B211" si="76">"IYANNA"</f>
        <v>IYANNA</v>
      </c>
      <c r="C204" t="str">
        <f t="shared" ref="C204:C211" si="77">"ALCIME"</f>
        <v>ALCIME</v>
      </c>
      <c r="D204">
        <f>11</f>
        <v>11</v>
      </c>
      <c r="E204" t="str">
        <f>"04 - A - 102 - Jeffrey S Gallagher"</f>
        <v>04 - A - 102 - Jeffrey S Gallagher</v>
      </c>
      <c r="F204" t="str">
        <f>"ENG HON 3"</f>
        <v>ENG HON 3</v>
      </c>
      <c r="G204" t="str">
        <f>"17-1724"</f>
        <v>17-1724</v>
      </c>
      <c r="H204" t="str">
        <f>"A"</f>
        <v>A</v>
      </c>
    </row>
    <row r="205" spans="1:8" x14ac:dyDescent="0.2">
      <c r="A205" t="str">
        <f t="shared" si="75"/>
        <v>0615022741</v>
      </c>
      <c r="B205" t="str">
        <f t="shared" si="76"/>
        <v>IYANNA</v>
      </c>
      <c r="C205" t="str">
        <f t="shared" si="77"/>
        <v>ALCIME</v>
      </c>
      <c r="D205">
        <f>11</f>
        <v>11</v>
      </c>
      <c r="E205" t="str">
        <f>"06 - S1 - B - 102 - Daniel S Katz"</f>
        <v>06 - S1 - B - 102 - Daniel S Katz</v>
      </c>
      <c r="F205" t="str">
        <f>"COURT PROCED"</f>
        <v>COURT PROCED</v>
      </c>
      <c r="G205" t="str">
        <f>"21-2156"</f>
        <v>21-2156</v>
      </c>
      <c r="H205" t="str">
        <f>"B"</f>
        <v>B</v>
      </c>
    </row>
    <row r="206" spans="1:8" x14ac:dyDescent="0.2">
      <c r="A206" t="str">
        <f t="shared" si="75"/>
        <v>0615022741</v>
      </c>
      <c r="B206" t="str">
        <f t="shared" si="76"/>
        <v>IYANNA</v>
      </c>
      <c r="C206" t="str">
        <f t="shared" si="77"/>
        <v>ALCIME</v>
      </c>
      <c r="D206">
        <f>11</f>
        <v>11</v>
      </c>
      <c r="E206" t="str">
        <f>"03 - A - 101 - Scott A Dethloff"</f>
        <v>03 - A - 101 - Scott A Dethloff</v>
      </c>
      <c r="F206" t="str">
        <f>"CHEMISTRY 1 HON"</f>
        <v>CHEMISTRY 1 HON</v>
      </c>
      <c r="G206" t="str">
        <f>"08-812"</f>
        <v>08-812</v>
      </c>
      <c r="H206" t="str">
        <f>"A"</f>
        <v>A</v>
      </c>
    </row>
    <row r="207" spans="1:8" x14ac:dyDescent="0.2">
      <c r="A207" t="str">
        <f t="shared" si="75"/>
        <v>0615022741</v>
      </c>
      <c r="B207" t="str">
        <f t="shared" si="76"/>
        <v>IYANNA</v>
      </c>
      <c r="C207" t="str">
        <f t="shared" si="77"/>
        <v>ALCIME</v>
      </c>
      <c r="D207">
        <f>11</f>
        <v>11</v>
      </c>
      <c r="E207" t="str">
        <f>"02 - A - 106 - Heidi M Knopp"</f>
        <v>02 - A - 106 - Heidi M Knopp</v>
      </c>
      <c r="F207" t="str">
        <f>"NC STUDY HALL 1"</f>
        <v>NC STUDY HALL 1</v>
      </c>
      <c r="G207" t="str">
        <f>"17-1735"</f>
        <v>17-1735</v>
      </c>
      <c r="H207" t="str">
        <f>"A"</f>
        <v>A</v>
      </c>
    </row>
    <row r="208" spans="1:8" x14ac:dyDescent="0.2">
      <c r="A208" t="str">
        <f t="shared" si="75"/>
        <v>0615022741</v>
      </c>
      <c r="B208" t="str">
        <f t="shared" si="76"/>
        <v>IYANNA</v>
      </c>
      <c r="C208" t="str">
        <f t="shared" si="77"/>
        <v>ALCIME</v>
      </c>
      <c r="D208">
        <f>11</f>
        <v>11</v>
      </c>
      <c r="E208" t="str">
        <f>"07 - B - 101 - Fernando  Vega-Cid"</f>
        <v>07 - B - 101 - Fernando  Vega-Cid</v>
      </c>
      <c r="F208" t="str">
        <f>"AP PRECALCULUS"</f>
        <v>AP PRECALCULUS</v>
      </c>
      <c r="G208" t="str">
        <f>"21-2163"</f>
        <v>21-2163</v>
      </c>
      <c r="H208" t="str">
        <f>"B"</f>
        <v>B</v>
      </c>
    </row>
    <row r="209" spans="1:8" x14ac:dyDescent="0.2">
      <c r="A209" t="str">
        <f t="shared" si="75"/>
        <v>0615022741</v>
      </c>
      <c r="B209" t="str">
        <f t="shared" si="76"/>
        <v>IYANNA</v>
      </c>
      <c r="C209" t="str">
        <f t="shared" si="77"/>
        <v>ALCIME</v>
      </c>
      <c r="D209">
        <f>11</f>
        <v>11</v>
      </c>
      <c r="E209" t="str">
        <f>"05 - B - 001 - Kyle  Robbins"</f>
        <v>05 - B - 001 - Kyle  Robbins</v>
      </c>
      <c r="F209" t="str">
        <f>"US HISTORY HON"</f>
        <v>US HISTORY HON</v>
      </c>
      <c r="G209" t="str">
        <f>"17-1745"</f>
        <v>17-1745</v>
      </c>
      <c r="H209" t="str">
        <f>"B"</f>
        <v>B</v>
      </c>
    </row>
    <row r="210" spans="1:8" x14ac:dyDescent="0.2">
      <c r="A210" t="str">
        <f t="shared" si="75"/>
        <v>0615022741</v>
      </c>
      <c r="B210" t="str">
        <f t="shared" si="76"/>
        <v>IYANNA</v>
      </c>
      <c r="C210" t="str">
        <f t="shared" si="77"/>
        <v>ALCIME</v>
      </c>
      <c r="D210">
        <f>11</f>
        <v>11</v>
      </c>
      <c r="E210" t="str">
        <f>"01 - A - 101 - Vanessa J Liburd"</f>
        <v>01 - A - 101 - Vanessa J Liburd</v>
      </c>
      <c r="F210" t="str">
        <f>"PRE-AICE FRENCH 1 IG"</f>
        <v>PRE-AICE FRENCH 1 IG</v>
      </c>
      <c r="G210" t="str">
        <f>"05-519"</f>
        <v>05-519</v>
      </c>
      <c r="H210" t="str">
        <f>"A"</f>
        <v>A</v>
      </c>
    </row>
    <row r="211" spans="1:8" x14ac:dyDescent="0.2">
      <c r="A211" t="str">
        <f t="shared" si="75"/>
        <v>0615022741</v>
      </c>
      <c r="B211" t="str">
        <f t="shared" si="76"/>
        <v>IYANNA</v>
      </c>
      <c r="C211" t="str">
        <f t="shared" si="77"/>
        <v>ALCIME</v>
      </c>
      <c r="D211">
        <f>11</f>
        <v>11</v>
      </c>
      <c r="E211" t="str">
        <f>"08 - B - 103 - Chrystina M Marchionne"</f>
        <v>08 - B - 103 - Chrystina M Marchionne</v>
      </c>
      <c r="F211" t="str">
        <f>"JOURN 2 (YB) LH"</f>
        <v>JOURN 2 (YB) LH</v>
      </c>
      <c r="G211" t="str">
        <f>"05-520"</f>
        <v>05-520</v>
      </c>
      <c r="H211" t="str">
        <f>"B"</f>
        <v>B</v>
      </c>
    </row>
    <row r="212" spans="1:8" x14ac:dyDescent="0.2">
      <c r="A212" t="str">
        <f t="shared" ref="A212:A219" si="78">"0625032795"</f>
        <v>0625032795</v>
      </c>
      <c r="B212" t="str">
        <f t="shared" ref="B212:B219" si="79">"Maria Jose"</f>
        <v>Maria Jose</v>
      </c>
      <c r="C212" t="str">
        <f t="shared" ref="C212:C219" si="80">"Alcocer"</f>
        <v>Alcocer</v>
      </c>
      <c r="D212">
        <f>12</f>
        <v>12</v>
      </c>
      <c r="E212" t="str">
        <f>"04 - A - 101 - Staci M Newton"</f>
        <v>04 - A - 101 - Staci M Newton</v>
      </c>
      <c r="F212" t="str">
        <f>"ACCESS HEALTH/SAFETY"</f>
        <v>ACCESS HEALTH/SAFETY</v>
      </c>
      <c r="G212" t="str">
        <f>"21-2103"</f>
        <v>21-2103</v>
      </c>
      <c r="H212" t="str">
        <f>"A"</f>
        <v>A</v>
      </c>
    </row>
    <row r="213" spans="1:8" x14ac:dyDescent="0.2">
      <c r="A213" t="str">
        <f t="shared" si="78"/>
        <v>0625032795</v>
      </c>
      <c r="B213" t="str">
        <f t="shared" si="79"/>
        <v>Maria Jose</v>
      </c>
      <c r="C213" t="str">
        <f t="shared" si="80"/>
        <v>Alcocer</v>
      </c>
      <c r="D213">
        <f>12</f>
        <v>12</v>
      </c>
      <c r="E213" t="str">
        <f>"06 - B - 101 - Justin D Willard"</f>
        <v>06 - B - 101 - Justin D Willard</v>
      </c>
      <c r="F213" t="str">
        <f>"CAR EXERIENCES: 9-12"</f>
        <v>CAR EXERIENCES: 9-12</v>
      </c>
      <c r="G213" t="str">
        <f t="shared" ref="G213:G219" si="81">"21-2111"</f>
        <v>21-2111</v>
      </c>
      <c r="H213" t="str">
        <f>"B"</f>
        <v>B</v>
      </c>
    </row>
    <row r="214" spans="1:8" x14ac:dyDescent="0.2">
      <c r="A214" t="str">
        <f t="shared" si="78"/>
        <v>0625032795</v>
      </c>
      <c r="B214" t="str">
        <f t="shared" si="79"/>
        <v>Maria Jose</v>
      </c>
      <c r="C214" t="str">
        <f t="shared" si="80"/>
        <v>Alcocer</v>
      </c>
      <c r="D214">
        <f>12</f>
        <v>12</v>
      </c>
      <c r="E214" t="str">
        <f>"03 - A - 101 - Justin D Willard"</f>
        <v>03 - A - 101 - Justin D Willard</v>
      </c>
      <c r="F214" t="str">
        <f>"SELF-DETERMINATION"</f>
        <v>SELF-DETERMINATION</v>
      </c>
      <c r="G214" t="str">
        <f t="shared" si="81"/>
        <v>21-2111</v>
      </c>
      <c r="H214" t="str">
        <f>"A"</f>
        <v>A</v>
      </c>
    </row>
    <row r="215" spans="1:8" x14ac:dyDescent="0.2">
      <c r="A215" t="str">
        <f t="shared" si="78"/>
        <v>0625032795</v>
      </c>
      <c r="B215" t="str">
        <f t="shared" si="79"/>
        <v>Maria Jose</v>
      </c>
      <c r="C215" t="str">
        <f t="shared" si="80"/>
        <v>Alcocer</v>
      </c>
      <c r="D215">
        <f>12</f>
        <v>12</v>
      </c>
      <c r="E215" t="str">
        <f>"02 - A - 101 - Justin D Willard"</f>
        <v>02 - A - 101 - Justin D Willard</v>
      </c>
      <c r="F215" t="str">
        <f>"CAREER ED: 9-12"</f>
        <v>CAREER ED: 9-12</v>
      </c>
      <c r="G215" t="str">
        <f t="shared" si="81"/>
        <v>21-2111</v>
      </c>
      <c r="H215" t="str">
        <f>"A"</f>
        <v>A</v>
      </c>
    </row>
    <row r="216" spans="1:8" x14ac:dyDescent="0.2">
      <c r="A216" t="str">
        <f t="shared" si="78"/>
        <v>0625032795</v>
      </c>
      <c r="B216" t="str">
        <f t="shared" si="79"/>
        <v>Maria Jose</v>
      </c>
      <c r="C216" t="str">
        <f t="shared" si="80"/>
        <v>Alcocer</v>
      </c>
      <c r="D216">
        <f>12</f>
        <v>12</v>
      </c>
      <c r="E216" t="str">
        <f>"07 - B - 101 - Justin D Willard"</f>
        <v>07 - B - 101 - Justin D Willard</v>
      </c>
      <c r="F216" t="str">
        <f>"CAR PLACEMENT: 9-12"</f>
        <v>CAR PLACEMENT: 9-12</v>
      </c>
      <c r="G216" t="str">
        <f t="shared" si="81"/>
        <v>21-2111</v>
      </c>
      <c r="H216" t="str">
        <f>"B"</f>
        <v>B</v>
      </c>
    </row>
    <row r="217" spans="1:8" x14ac:dyDescent="0.2">
      <c r="A217" t="str">
        <f t="shared" si="78"/>
        <v>0625032795</v>
      </c>
      <c r="B217" t="str">
        <f t="shared" si="79"/>
        <v>Maria Jose</v>
      </c>
      <c r="C217" t="str">
        <f t="shared" si="80"/>
        <v>Alcocer</v>
      </c>
      <c r="D217">
        <f>12</f>
        <v>12</v>
      </c>
      <c r="E217" t="str">
        <f>"05 - B - 103 - Justin D Willard"</f>
        <v>05 - B - 103 - Justin D Willard</v>
      </c>
      <c r="F217" t="str">
        <f>"U SKLS: 9-12"</f>
        <v>U SKLS: 9-12</v>
      </c>
      <c r="G217" t="str">
        <f t="shared" si="81"/>
        <v>21-2111</v>
      </c>
      <c r="H217" t="str">
        <f>"B"</f>
        <v>B</v>
      </c>
    </row>
    <row r="218" spans="1:8" x14ac:dyDescent="0.2">
      <c r="A218" t="str">
        <f t="shared" si="78"/>
        <v>0625032795</v>
      </c>
      <c r="B218" t="str">
        <f t="shared" si="79"/>
        <v>Maria Jose</v>
      </c>
      <c r="C218" t="str">
        <f t="shared" si="80"/>
        <v>Alcocer</v>
      </c>
      <c r="D218">
        <f>12</f>
        <v>12</v>
      </c>
      <c r="E218" t="str">
        <f>"01 - A - 101 - Justin D Willard"</f>
        <v>01 - A - 101 - Justin D Willard</v>
      </c>
      <c r="F218" t="str">
        <f>"PREP AD LIV"</f>
        <v>PREP AD LIV</v>
      </c>
      <c r="G218" t="str">
        <f t="shared" si="81"/>
        <v>21-2111</v>
      </c>
      <c r="H218" t="str">
        <f>"A"</f>
        <v>A</v>
      </c>
    </row>
    <row r="219" spans="1:8" x14ac:dyDescent="0.2">
      <c r="A219" t="str">
        <f t="shared" si="78"/>
        <v>0625032795</v>
      </c>
      <c r="B219" t="str">
        <f t="shared" si="79"/>
        <v>Maria Jose</v>
      </c>
      <c r="C219" t="str">
        <f t="shared" si="80"/>
        <v>Alcocer</v>
      </c>
      <c r="D219">
        <f>12</f>
        <v>12</v>
      </c>
      <c r="E219" t="str">
        <f>"08 - B - 101 - Justin D Willard"</f>
        <v>08 - B - 101 - Justin D Willard</v>
      </c>
      <c r="F219" t="str">
        <f>"U SKLS: SOC&amp;EMO 9-12"</f>
        <v>U SKLS: SOC&amp;EMO 9-12</v>
      </c>
      <c r="G219" t="str">
        <f t="shared" si="81"/>
        <v>21-2111</v>
      </c>
      <c r="H219" t="str">
        <f>"B"</f>
        <v>B</v>
      </c>
    </row>
    <row r="220" spans="1:8" x14ac:dyDescent="0.2">
      <c r="A220" t="str">
        <f t="shared" ref="A220:A227" si="82">"0613084600"</f>
        <v>0613084600</v>
      </c>
      <c r="B220" t="str">
        <f t="shared" ref="B220:B227" si="83">"PAYTON"</f>
        <v>PAYTON</v>
      </c>
      <c r="C220" t="str">
        <f t="shared" ref="C220:C243" si="84">"ALEXANDER"</f>
        <v>ALEXANDER</v>
      </c>
      <c r="D220">
        <f>12</f>
        <v>12</v>
      </c>
      <c r="E220" t="str">
        <f>"04 - S1 - A - 105 - Robert O Burger"</f>
        <v>04 - S1 - A - 105 - Robert O Burger</v>
      </c>
      <c r="F220" t="str">
        <f>"US GOVT"</f>
        <v>US GOVT</v>
      </c>
      <c r="G220" t="str">
        <f>"17-1755"</f>
        <v>17-1755</v>
      </c>
      <c r="H220" t="str">
        <f>"A"</f>
        <v>A</v>
      </c>
    </row>
    <row r="221" spans="1:8" x14ac:dyDescent="0.2">
      <c r="A221" t="str">
        <f t="shared" si="82"/>
        <v>0613084600</v>
      </c>
      <c r="B221" t="str">
        <f t="shared" si="83"/>
        <v>PAYTON</v>
      </c>
      <c r="C221" t="str">
        <f t="shared" si="84"/>
        <v>ALEXANDER</v>
      </c>
      <c r="D221">
        <f>12</f>
        <v>12</v>
      </c>
      <c r="E221" t="str">
        <f>"06 - B - 109 - Carol S Moore"</f>
        <v>06 - B - 109 - Carol S Moore</v>
      </c>
      <c r="F221" t="str">
        <f>"NC STUDY HALL 1"</f>
        <v>NC STUDY HALL 1</v>
      </c>
      <c r="G221" t="str">
        <f>"17-1733"</f>
        <v>17-1733</v>
      </c>
      <c r="H221" t="str">
        <f>"B"</f>
        <v>B</v>
      </c>
    </row>
    <row r="222" spans="1:8" x14ac:dyDescent="0.2">
      <c r="A222" t="str">
        <f t="shared" si="82"/>
        <v>0613084600</v>
      </c>
      <c r="B222" t="str">
        <f t="shared" si="83"/>
        <v>PAYTON</v>
      </c>
      <c r="C222" t="str">
        <f t="shared" si="84"/>
        <v>ALEXANDER</v>
      </c>
      <c r="D222">
        <f>12</f>
        <v>12</v>
      </c>
      <c r="E222" t="str">
        <f>"03 - A - 103 - Jordana K Hass"</f>
        <v>03 - A - 103 - Jordana K Hass</v>
      </c>
      <c r="F222" t="str">
        <f>"CHEMISTRY 1"</f>
        <v>CHEMISTRY 1</v>
      </c>
      <c r="G222" t="str">
        <f>"08-807"</f>
        <v>08-807</v>
      </c>
      <c r="H222" t="str">
        <f>"A"</f>
        <v>A</v>
      </c>
    </row>
    <row r="223" spans="1:8" x14ac:dyDescent="0.2">
      <c r="A223" t="str">
        <f t="shared" si="82"/>
        <v>0613084600</v>
      </c>
      <c r="B223" t="str">
        <f t="shared" si="83"/>
        <v>PAYTON</v>
      </c>
      <c r="C223" t="str">
        <f t="shared" si="84"/>
        <v>ALEXANDER</v>
      </c>
      <c r="D223">
        <f>12</f>
        <v>12</v>
      </c>
      <c r="E223" t="str">
        <f>"02 - A - 102 - Bruce A Evans"</f>
        <v>02 - A - 102 - Bruce A Evans</v>
      </c>
      <c r="F223" t="str">
        <f>"EMERG MED RESP 3 HON"</f>
        <v>EMERG MED RESP 3 HON</v>
      </c>
      <c r="G223" t="str">
        <f>"21-2142"</f>
        <v>21-2142</v>
      </c>
      <c r="H223" t="str">
        <f>"A"</f>
        <v>A</v>
      </c>
    </row>
    <row r="224" spans="1:8" x14ac:dyDescent="0.2">
      <c r="A224" t="str">
        <f t="shared" si="82"/>
        <v>0613084600</v>
      </c>
      <c r="B224" t="str">
        <f t="shared" si="83"/>
        <v>PAYTON</v>
      </c>
      <c r="C224" t="str">
        <f t="shared" si="84"/>
        <v>ALEXANDER</v>
      </c>
      <c r="D224">
        <f>12</f>
        <v>12</v>
      </c>
      <c r="E224" t="str">
        <f>"07 - B - 105 - Robert H Rindner"</f>
        <v>07 - B - 105 - Robert H Rindner</v>
      </c>
      <c r="F224" t="str">
        <f>"MATH DATA&amp;FIN LIT H"</f>
        <v>MATH DATA&amp;FIN LIT H</v>
      </c>
      <c r="G224" t="str">
        <f>"21-2160"</f>
        <v>21-2160</v>
      </c>
      <c r="H224" t="str">
        <f>"B"</f>
        <v>B</v>
      </c>
    </row>
    <row r="225" spans="1:8" x14ac:dyDescent="0.2">
      <c r="A225" t="str">
        <f t="shared" si="82"/>
        <v>0613084600</v>
      </c>
      <c r="B225" t="str">
        <f t="shared" si="83"/>
        <v>PAYTON</v>
      </c>
      <c r="C225" t="str">
        <f t="shared" si="84"/>
        <v>ALEXANDER</v>
      </c>
      <c r="D225">
        <f>12</f>
        <v>12</v>
      </c>
      <c r="E225" t="str">
        <f>"05 - B - 201 - Bruce A Evans"</f>
        <v>05 - B - 201 - Bruce A Evans</v>
      </c>
      <c r="F225" t="str">
        <f>"HEALTH SCI FOUND HON"</f>
        <v>HEALTH SCI FOUND HON</v>
      </c>
      <c r="G225" t="str">
        <f>"21-2142"</f>
        <v>21-2142</v>
      </c>
      <c r="H225" t="str">
        <f>"B"</f>
        <v>B</v>
      </c>
    </row>
    <row r="226" spans="1:8" x14ac:dyDescent="0.2">
      <c r="A226" t="str">
        <f t="shared" si="82"/>
        <v>0613084600</v>
      </c>
      <c r="B226" t="str">
        <f t="shared" si="83"/>
        <v>PAYTON</v>
      </c>
      <c r="C226" t="str">
        <f t="shared" si="84"/>
        <v>ALEXANDER</v>
      </c>
      <c r="D226">
        <f>12</f>
        <v>12</v>
      </c>
      <c r="E226" t="str">
        <f>"01 - A - 103 - Robyn L Trainer"</f>
        <v>01 - A - 103 - Robyn L Trainer</v>
      </c>
      <c r="F226" t="str">
        <f>"ENG 4"</f>
        <v>ENG 4</v>
      </c>
      <c r="G226" t="str">
        <f>"17-1734"</f>
        <v>17-1734</v>
      </c>
      <c r="H226" t="str">
        <f>"A"</f>
        <v>A</v>
      </c>
    </row>
    <row r="227" spans="1:8" x14ac:dyDescent="0.2">
      <c r="A227" t="str">
        <f t="shared" si="82"/>
        <v>0613084600</v>
      </c>
      <c r="B227" t="str">
        <f t="shared" si="83"/>
        <v>PAYTON</v>
      </c>
      <c r="C227" t="str">
        <f t="shared" si="84"/>
        <v>ALEXANDER</v>
      </c>
      <c r="D227">
        <f>12</f>
        <v>12</v>
      </c>
      <c r="E227" t="str">
        <f>"08 - B - 101 - Alejandro  Navarro"</f>
        <v>08 - B - 101 - Alejandro  Navarro</v>
      </c>
      <c r="F227" t="str">
        <f>"GUITAR 1"</f>
        <v>GUITAR 1</v>
      </c>
      <c r="G227" t="str">
        <f>"05-504"</f>
        <v>05-504</v>
      </c>
      <c r="H227" t="str">
        <f>"B"</f>
        <v>B</v>
      </c>
    </row>
    <row r="228" spans="1:8" x14ac:dyDescent="0.2">
      <c r="A228" t="str">
        <f t="shared" ref="A228:A235" si="85">"0616126489"</f>
        <v>0616126489</v>
      </c>
      <c r="B228" t="str">
        <f t="shared" ref="B228:B235" si="86">"TAYLOR"</f>
        <v>TAYLOR</v>
      </c>
      <c r="C228" t="str">
        <f t="shared" si="84"/>
        <v>ALEXANDER</v>
      </c>
      <c r="D228" t="str">
        <f t="shared" ref="D228:D235" si="87">"09"</f>
        <v>09</v>
      </c>
      <c r="E228" t="str">
        <f>"04 - A - 102 - Eva T Rimmer"</f>
        <v>04 - A - 102 - Eva T Rimmer</v>
      </c>
      <c r="F228" t="str">
        <f>"CRIMINAL JUST OPS 1"</f>
        <v>CRIMINAL JUST OPS 1</v>
      </c>
      <c r="G228" t="str">
        <f>"05-523"</f>
        <v>05-523</v>
      </c>
      <c r="H228" t="str">
        <f>"A"</f>
        <v>A</v>
      </c>
    </row>
    <row r="229" spans="1:8" x14ac:dyDescent="0.2">
      <c r="A229" t="str">
        <f t="shared" si="85"/>
        <v>0616126489</v>
      </c>
      <c r="B229" t="str">
        <f t="shared" si="86"/>
        <v>TAYLOR</v>
      </c>
      <c r="C229" t="str">
        <f t="shared" si="84"/>
        <v>ALEXANDER</v>
      </c>
      <c r="D229" t="str">
        <f t="shared" si="87"/>
        <v>09</v>
      </c>
      <c r="E229" t="str">
        <f>"06 - B - 104 - Lytrell T Dixon"</f>
        <v>06 - B - 104 - Lytrell T Dixon</v>
      </c>
      <c r="F229" t="str">
        <f>"PRE-AICE BIO IG"</f>
        <v>PRE-AICE BIO IG</v>
      </c>
      <c r="G229" t="str">
        <f>"08-808"</f>
        <v>08-808</v>
      </c>
      <c r="H229" t="str">
        <f>"B"</f>
        <v>B</v>
      </c>
    </row>
    <row r="230" spans="1:8" x14ac:dyDescent="0.2">
      <c r="A230" t="str">
        <f t="shared" si="85"/>
        <v>0616126489</v>
      </c>
      <c r="B230" t="str">
        <f t="shared" si="86"/>
        <v>TAYLOR</v>
      </c>
      <c r="C230" t="str">
        <f t="shared" si="84"/>
        <v>ALEXANDER</v>
      </c>
      <c r="D230" t="str">
        <f t="shared" si="87"/>
        <v>09</v>
      </c>
      <c r="E230" t="str">
        <f>"03 - S1 - A - 102 - Leslie J Barton"</f>
        <v>03 - S1 - A - 102 - Leslie J Barton</v>
      </c>
      <c r="F230" t="str">
        <f>"FIRST AID SAFETY"</f>
        <v>FIRST AID SAFETY</v>
      </c>
      <c r="G230" t="str">
        <f>"05-521"</f>
        <v>05-521</v>
      </c>
      <c r="H230" t="str">
        <f>"A"</f>
        <v>A</v>
      </c>
    </row>
    <row r="231" spans="1:8" x14ac:dyDescent="0.2">
      <c r="A231" t="str">
        <f t="shared" si="85"/>
        <v>0616126489</v>
      </c>
      <c r="B231" t="str">
        <f t="shared" si="86"/>
        <v>TAYLOR</v>
      </c>
      <c r="C231" t="str">
        <f t="shared" si="84"/>
        <v>ALEXANDER</v>
      </c>
      <c r="D231" t="str">
        <f t="shared" si="87"/>
        <v>09</v>
      </c>
      <c r="E231" t="str">
        <f>"02 - A - 101 - Josiah I Lacy"</f>
        <v>02 - A - 101 - Josiah I Lacy</v>
      </c>
      <c r="F231" t="str">
        <f>"NC STUDY HALL 1"</f>
        <v>NC STUDY HALL 1</v>
      </c>
      <c r="G231" t="str">
        <f>"08-801"</f>
        <v>08-801</v>
      </c>
      <c r="H231" t="str">
        <f>"A"</f>
        <v>A</v>
      </c>
    </row>
    <row r="232" spans="1:8" x14ac:dyDescent="0.2">
      <c r="A232" t="str">
        <f t="shared" si="85"/>
        <v>0616126489</v>
      </c>
      <c r="B232" t="str">
        <f t="shared" si="86"/>
        <v>TAYLOR</v>
      </c>
      <c r="C232" t="str">
        <f t="shared" si="84"/>
        <v>ALEXANDER</v>
      </c>
      <c r="D232" t="str">
        <f t="shared" si="87"/>
        <v>09</v>
      </c>
      <c r="E232" t="str">
        <f>"07 - B - 110 - Ferrie J Arostique"</f>
        <v>07 - B - 110 - Ferrie J Arostique</v>
      </c>
      <c r="F232" t="str">
        <f>"GEOMETRY"</f>
        <v>GEOMETRY</v>
      </c>
      <c r="G232" t="str">
        <f>"21-2139"</f>
        <v>21-2139</v>
      </c>
      <c r="H232" t="str">
        <f>"B"</f>
        <v>B</v>
      </c>
    </row>
    <row r="233" spans="1:8" x14ac:dyDescent="0.2">
      <c r="A233" t="str">
        <f t="shared" si="85"/>
        <v>0616126489</v>
      </c>
      <c r="B233" t="str">
        <f t="shared" si="86"/>
        <v>TAYLOR</v>
      </c>
      <c r="C233" t="str">
        <f t="shared" si="84"/>
        <v>ALEXANDER</v>
      </c>
      <c r="D233" t="str">
        <f t="shared" si="87"/>
        <v>09</v>
      </c>
      <c r="E233" t="str">
        <f>"05 - S1 - B - 102 - Richard E Dunbar Iii"</f>
        <v>05 - S1 - B - 102 - Richard E Dunbar Iii</v>
      </c>
      <c r="F233" t="str">
        <f>"TEAM SPORTS 1"</f>
        <v>TEAM SPORTS 1</v>
      </c>
      <c r="G233" t="str">
        <f>"04-254"</f>
        <v>04-254</v>
      </c>
      <c r="H233" t="str">
        <f>"B"</f>
        <v>B</v>
      </c>
    </row>
    <row r="234" spans="1:8" x14ac:dyDescent="0.2">
      <c r="A234" t="str">
        <f t="shared" si="85"/>
        <v>0616126489</v>
      </c>
      <c r="B234" t="str">
        <f t="shared" si="86"/>
        <v>TAYLOR</v>
      </c>
      <c r="C234" t="str">
        <f t="shared" si="84"/>
        <v>ALEXANDER</v>
      </c>
      <c r="D234" t="str">
        <f t="shared" si="87"/>
        <v>09</v>
      </c>
      <c r="E234" t="str">
        <f>"01 - A - 101 - Cheryl Anne  Berman-Schechter"</f>
        <v>01 - A - 101 - Cheryl Anne  Berman-Schechter</v>
      </c>
      <c r="F234" t="str">
        <f>"PRE-AICE ENG LANG IG"</f>
        <v>PRE-AICE ENG LANG IG</v>
      </c>
      <c r="G234" t="str">
        <f>"17-1722"</f>
        <v>17-1722</v>
      </c>
      <c r="H234" t="str">
        <f>"A"</f>
        <v>A</v>
      </c>
    </row>
    <row r="235" spans="1:8" x14ac:dyDescent="0.2">
      <c r="A235" t="str">
        <f t="shared" si="85"/>
        <v>0616126489</v>
      </c>
      <c r="B235" t="str">
        <f t="shared" si="86"/>
        <v>TAYLOR</v>
      </c>
      <c r="C235" t="str">
        <f t="shared" si="84"/>
        <v>ALEXANDER</v>
      </c>
      <c r="D235" t="str">
        <f t="shared" si="87"/>
        <v>09</v>
      </c>
      <c r="E235" t="str">
        <f>"08 - B - 109 - Rory T Sponsler"</f>
        <v>08 - B - 109 - Rory T Sponsler</v>
      </c>
      <c r="F235" t="str">
        <f>"PRE-AICE WRLD HST IG"</f>
        <v>PRE-AICE WRLD HST IG</v>
      </c>
      <c r="G235" t="str">
        <f>"17-1740"</f>
        <v>17-1740</v>
      </c>
      <c r="H235" t="str">
        <f>"B"</f>
        <v>B</v>
      </c>
    </row>
    <row r="236" spans="1:8" x14ac:dyDescent="0.2">
      <c r="A236" t="str">
        <f t="shared" ref="A236:A243" si="88">"0613083692"</f>
        <v>0613083692</v>
      </c>
      <c r="B236" t="str">
        <f t="shared" ref="B236:B243" si="89">"VICTORIA"</f>
        <v>VICTORIA</v>
      </c>
      <c r="C236" t="str">
        <f t="shared" si="84"/>
        <v>ALEXANDER</v>
      </c>
      <c r="D236">
        <f>12</f>
        <v>12</v>
      </c>
      <c r="E236" t="str">
        <f>"04 - A - 205 - Robyn L Trainer"</f>
        <v>04 - A - 205 - Robyn L Trainer</v>
      </c>
      <c r="F236" t="str">
        <f>"ENG 4: FL COLL PREP"</f>
        <v>ENG 4: FL COLL PREP</v>
      </c>
      <c r="G236" t="str">
        <f>"17-1734"</f>
        <v>17-1734</v>
      </c>
      <c r="H236" t="str">
        <f>"A"</f>
        <v>A</v>
      </c>
    </row>
    <row r="237" spans="1:8" x14ac:dyDescent="0.2">
      <c r="A237" t="str">
        <f t="shared" si="88"/>
        <v>0613083692</v>
      </c>
      <c r="B237" t="str">
        <f t="shared" si="89"/>
        <v>VICTORIA</v>
      </c>
      <c r="C237" t="str">
        <f t="shared" si="84"/>
        <v>ALEXANDER</v>
      </c>
      <c r="D237">
        <f>12</f>
        <v>12</v>
      </c>
      <c r="E237" t="str">
        <f>"06 - B - 111 - James H Mccann"</f>
        <v>06 - B - 111 - James H Mccann</v>
      </c>
      <c r="F237" t="str">
        <f>"NC STUDY HALL 1"</f>
        <v>NC STUDY HALL 1</v>
      </c>
      <c r="G237" t="str">
        <f>"17-1716"</f>
        <v>17-1716</v>
      </c>
      <c r="H237" t="str">
        <f>"B"</f>
        <v>B</v>
      </c>
    </row>
    <row r="238" spans="1:8" x14ac:dyDescent="0.2">
      <c r="A238" t="str">
        <f t="shared" si="88"/>
        <v>0613083692</v>
      </c>
      <c r="B238" t="str">
        <f t="shared" si="89"/>
        <v>VICTORIA</v>
      </c>
      <c r="C238" t="str">
        <f t="shared" si="84"/>
        <v>ALEXANDER</v>
      </c>
      <c r="D238">
        <f>12</f>
        <v>12</v>
      </c>
      <c r="E238" t="str">
        <f>"03 - A - 103 - Samantha J Headley"</f>
        <v>03 - A - 103 - Samantha J Headley</v>
      </c>
      <c r="F238" t="str">
        <f>"MARINE SCI 1 HON"</f>
        <v>MARINE SCI 1 HON</v>
      </c>
      <c r="G238" t="str">
        <f>"21-2134"</f>
        <v>21-2134</v>
      </c>
      <c r="H238" t="str">
        <f>"A"</f>
        <v>A</v>
      </c>
    </row>
    <row r="239" spans="1:8" x14ac:dyDescent="0.2">
      <c r="A239" t="str">
        <f t="shared" si="88"/>
        <v>0613083692</v>
      </c>
      <c r="B239" t="str">
        <f t="shared" si="89"/>
        <v>VICTORIA</v>
      </c>
      <c r="C239" t="str">
        <f t="shared" si="84"/>
        <v>ALEXANDER</v>
      </c>
      <c r="D239">
        <f>12</f>
        <v>12</v>
      </c>
      <c r="E239" t="str">
        <f>"02 - A - 101 - Nahum  Saint-Preux"</f>
        <v>02 - A - 101 - Nahum  Saint-Preux</v>
      </c>
      <c r="F239" t="str">
        <f>"INTENS READ 4"</f>
        <v>INTENS READ 4</v>
      </c>
      <c r="G239" t="str">
        <f>"17-1712"</f>
        <v>17-1712</v>
      </c>
      <c r="H239" t="str">
        <f>"A"</f>
        <v>A</v>
      </c>
    </row>
    <row r="240" spans="1:8" x14ac:dyDescent="0.2">
      <c r="A240" t="str">
        <f t="shared" si="88"/>
        <v>0613083692</v>
      </c>
      <c r="B240" t="str">
        <f t="shared" si="89"/>
        <v>VICTORIA</v>
      </c>
      <c r="C240" t="str">
        <f t="shared" si="84"/>
        <v>ALEXANDER</v>
      </c>
      <c r="D240">
        <f>12</f>
        <v>12</v>
      </c>
      <c r="E240" t="str">
        <f>"07 - B - 102 - Chrystina M Marchionne"</f>
        <v>07 - B - 102 - Chrystina M Marchionne</v>
      </c>
      <c r="F240" t="str">
        <f>"JOURN 2 (YB) LH"</f>
        <v>JOURN 2 (YB) LH</v>
      </c>
      <c r="G240" t="str">
        <f>"05-520"</f>
        <v>05-520</v>
      </c>
      <c r="H240" t="str">
        <f>"B"</f>
        <v>B</v>
      </c>
    </row>
    <row r="241" spans="1:8" x14ac:dyDescent="0.2">
      <c r="A241" t="str">
        <f t="shared" si="88"/>
        <v>0613083692</v>
      </c>
      <c r="B241" t="str">
        <f t="shared" si="89"/>
        <v>VICTORIA</v>
      </c>
      <c r="C241" t="str">
        <f t="shared" si="84"/>
        <v>ALEXANDER</v>
      </c>
      <c r="D241">
        <f>12</f>
        <v>12</v>
      </c>
      <c r="E241" t="str">
        <f>"05 - B - 108 - James H Mccann"</f>
        <v>05 - B - 108 - James H Mccann</v>
      </c>
      <c r="F241" t="str">
        <f>"ALGEBRA 2"</f>
        <v>ALGEBRA 2</v>
      </c>
      <c r="G241" t="str">
        <f>"17-1716"</f>
        <v>17-1716</v>
      </c>
      <c r="H241" t="str">
        <f>"B"</f>
        <v>B</v>
      </c>
    </row>
    <row r="242" spans="1:8" x14ac:dyDescent="0.2">
      <c r="A242" t="str">
        <f t="shared" si="88"/>
        <v>0613083692</v>
      </c>
      <c r="B242" t="str">
        <f t="shared" si="89"/>
        <v>VICTORIA</v>
      </c>
      <c r="C242" t="str">
        <f t="shared" si="84"/>
        <v>ALEXANDER</v>
      </c>
      <c r="D242">
        <f>12</f>
        <v>12</v>
      </c>
      <c r="E242" t="str">
        <f>"01 - S1 - A - 101 - Robert O Burger"</f>
        <v>01 - S1 - A - 101 - Robert O Burger</v>
      </c>
      <c r="F242" t="str">
        <f>"US GOVT"</f>
        <v>US GOVT</v>
      </c>
      <c r="G242" t="str">
        <f>"17-1755"</f>
        <v>17-1755</v>
      </c>
      <c r="H242" t="str">
        <f>"A"</f>
        <v>A</v>
      </c>
    </row>
    <row r="243" spans="1:8" x14ac:dyDescent="0.2">
      <c r="A243" t="str">
        <f t="shared" si="88"/>
        <v>0613083692</v>
      </c>
      <c r="B243" t="str">
        <f t="shared" si="89"/>
        <v>VICTORIA</v>
      </c>
      <c r="C243" t="str">
        <f t="shared" si="84"/>
        <v>ALEXANDER</v>
      </c>
      <c r="D243">
        <f>12</f>
        <v>12</v>
      </c>
      <c r="E243" t="str">
        <f>"08 - B - 101 - Eva T Rimmer"</f>
        <v>08 - B - 101 - Eva T Rimmer</v>
      </c>
      <c r="F243" t="str">
        <f>"CRIM JUST OPS 3 HON"</f>
        <v>CRIM JUST OPS 3 HON</v>
      </c>
      <c r="G243" t="str">
        <f>"05-523"</f>
        <v>05-523</v>
      </c>
      <c r="H243" t="str">
        <f>"B"</f>
        <v>B</v>
      </c>
    </row>
    <row r="244" spans="1:8" x14ac:dyDescent="0.2">
      <c r="A244" t="str">
        <f t="shared" ref="A244:A251" si="90">"0619027691"</f>
        <v>0619027691</v>
      </c>
      <c r="B244" t="str">
        <f t="shared" ref="B244:B251" si="91">"AIDEN"</f>
        <v>AIDEN</v>
      </c>
      <c r="C244" t="str">
        <f t="shared" ref="C244:C259" si="92">"ALEXANDRE"</f>
        <v>ALEXANDRE</v>
      </c>
      <c r="D244" t="str">
        <f t="shared" ref="D244:D259" si="93">"09"</f>
        <v>09</v>
      </c>
      <c r="E244" t="str">
        <f>"04 - A - 104 - Adam Marcus  Drucker"</f>
        <v>04 - A - 104 - Adam Marcus  Drucker</v>
      </c>
      <c r="F244" t="str">
        <f>"HOPE-PE V"</f>
        <v>HOPE-PE V</v>
      </c>
      <c r="G244" t="str">
        <f>"04-254"</f>
        <v>04-254</v>
      </c>
      <c r="H244" t="str">
        <f>"A"</f>
        <v>A</v>
      </c>
    </row>
    <row r="245" spans="1:8" x14ac:dyDescent="0.2">
      <c r="A245" t="str">
        <f t="shared" si="90"/>
        <v>0619027691</v>
      </c>
      <c r="B245" t="str">
        <f t="shared" si="91"/>
        <v>AIDEN</v>
      </c>
      <c r="C245" t="str">
        <f t="shared" si="92"/>
        <v>ALEXANDRE</v>
      </c>
      <c r="D245" t="str">
        <f t="shared" si="93"/>
        <v>09</v>
      </c>
      <c r="E245" t="str">
        <f>"06 - B - 104 - Byron G Montenegro"</f>
        <v>06 - B - 104 - Byron G Montenegro</v>
      </c>
      <c r="F245" t="str">
        <f>"AICE MARINE SCI 1 AS"</f>
        <v>AICE MARINE SCI 1 AS</v>
      </c>
      <c r="G245" t="str">
        <f>"21-2144"</f>
        <v>21-2144</v>
      </c>
      <c r="H245" t="str">
        <f>"B"</f>
        <v>B</v>
      </c>
    </row>
    <row r="246" spans="1:8" x14ac:dyDescent="0.2">
      <c r="A246" t="str">
        <f t="shared" si="90"/>
        <v>0619027691</v>
      </c>
      <c r="B246" t="str">
        <f t="shared" si="91"/>
        <v>AIDEN</v>
      </c>
      <c r="C246" t="str">
        <f t="shared" si="92"/>
        <v>ALEXANDRE</v>
      </c>
      <c r="D246" t="str">
        <f t="shared" si="93"/>
        <v>09</v>
      </c>
      <c r="E246" t="str">
        <f>"03 - A - 103 - Kelly N Panza"</f>
        <v>03 - A - 103 - Kelly N Panza</v>
      </c>
      <c r="F246" t="str">
        <f>"AICE GLBL PERSP 1 AS"</f>
        <v>AICE GLBL PERSP 1 AS</v>
      </c>
      <c r="G246" t="str">
        <f>"17-1753"</f>
        <v>17-1753</v>
      </c>
      <c r="H246" t="str">
        <f>"A"</f>
        <v>A</v>
      </c>
    </row>
    <row r="247" spans="1:8" x14ac:dyDescent="0.2">
      <c r="A247" t="str">
        <f t="shared" si="90"/>
        <v>0619027691</v>
      </c>
      <c r="B247" t="str">
        <f t="shared" si="91"/>
        <v>AIDEN</v>
      </c>
      <c r="C247" t="str">
        <f t="shared" si="92"/>
        <v>ALEXANDRE</v>
      </c>
      <c r="D247" t="str">
        <f t="shared" si="93"/>
        <v>09</v>
      </c>
      <c r="E247" t="str">
        <f>"02 - A - 110 - Maried P Ramos"</f>
        <v>02 - A - 110 - Maried P Ramos</v>
      </c>
      <c r="F247" t="str">
        <f>"NC STUDY HALL 1"</f>
        <v>NC STUDY HALL 1</v>
      </c>
      <c r="G247" t="str">
        <f>"21-2159"</f>
        <v>21-2159</v>
      </c>
      <c r="H247" t="str">
        <f>"A"</f>
        <v>A</v>
      </c>
    </row>
    <row r="248" spans="1:8" x14ac:dyDescent="0.2">
      <c r="A248" t="str">
        <f t="shared" si="90"/>
        <v>0619027691</v>
      </c>
      <c r="B248" t="str">
        <f t="shared" si="91"/>
        <v>AIDEN</v>
      </c>
      <c r="C248" t="str">
        <f t="shared" si="92"/>
        <v>ALEXANDRE</v>
      </c>
      <c r="D248" t="str">
        <f t="shared" si="93"/>
        <v>09</v>
      </c>
      <c r="E248" t="str">
        <f>"07 - B - 103 - Vanessa J Liburd"</f>
        <v>07 - B - 103 - Vanessa J Liburd</v>
      </c>
      <c r="F248" t="str">
        <f>"PRE-AICE FRENCH 1 IG"</f>
        <v>PRE-AICE FRENCH 1 IG</v>
      </c>
      <c r="G248" t="str">
        <f>"05-519"</f>
        <v>05-519</v>
      </c>
      <c r="H248" t="str">
        <f>"B"</f>
        <v>B</v>
      </c>
    </row>
    <row r="249" spans="1:8" x14ac:dyDescent="0.2">
      <c r="A249" t="str">
        <f t="shared" si="90"/>
        <v>0619027691</v>
      </c>
      <c r="B249" t="str">
        <f t="shared" si="91"/>
        <v>AIDEN</v>
      </c>
      <c r="C249" t="str">
        <f t="shared" si="92"/>
        <v>ALEXANDRE</v>
      </c>
      <c r="D249" t="str">
        <f t="shared" si="93"/>
        <v>09</v>
      </c>
      <c r="E249" t="str">
        <f>"05 - B - 002 - Cheryl Anne  Berman-Schechter"</f>
        <v>05 - B - 002 - Cheryl Anne  Berman-Schechter</v>
      </c>
      <c r="F249" t="str">
        <f>"AICE ENG GEN PAPER 1"</f>
        <v>AICE ENG GEN PAPER 1</v>
      </c>
      <c r="G249" t="str">
        <f>"17-1722"</f>
        <v>17-1722</v>
      </c>
      <c r="H249" t="str">
        <f>"B"</f>
        <v>B</v>
      </c>
    </row>
    <row r="250" spans="1:8" x14ac:dyDescent="0.2">
      <c r="A250" t="str">
        <f t="shared" si="90"/>
        <v>0619027691</v>
      </c>
      <c r="B250" t="str">
        <f t="shared" si="91"/>
        <v>AIDEN</v>
      </c>
      <c r="C250" t="str">
        <f t="shared" si="92"/>
        <v>ALEXANDRE</v>
      </c>
      <c r="D250" t="str">
        <f t="shared" si="93"/>
        <v>09</v>
      </c>
      <c r="E250" t="str">
        <f>"01 - A - 101 - Maried P Ramos"</f>
        <v>01 - A - 101 - Maried P Ramos</v>
      </c>
      <c r="F250" t="str">
        <f>"ALGEBRA 2 HON"</f>
        <v>ALGEBRA 2 HON</v>
      </c>
      <c r="G250" t="str">
        <f>"21-2159"</f>
        <v>21-2159</v>
      </c>
      <c r="H250" t="str">
        <f>"A"</f>
        <v>A</v>
      </c>
    </row>
    <row r="251" spans="1:8" x14ac:dyDescent="0.2">
      <c r="A251" t="str">
        <f t="shared" si="90"/>
        <v>0619027691</v>
      </c>
      <c r="B251" t="str">
        <f t="shared" si="91"/>
        <v>AIDEN</v>
      </c>
      <c r="C251" t="str">
        <f t="shared" si="92"/>
        <v>ALEXANDRE</v>
      </c>
      <c r="D251" t="str">
        <f t="shared" si="93"/>
        <v>09</v>
      </c>
      <c r="E251" t="str">
        <f>"08 - B - 103 - Jeanne M Bermudez"</f>
        <v>08 - B - 103 - Jeanne M Bermudez</v>
      </c>
      <c r="F251" t="str">
        <f>"ADVANCED IT HON"</f>
        <v>ADVANCED IT HON</v>
      </c>
      <c r="G251" t="str">
        <f>"21-2141"</f>
        <v>21-2141</v>
      </c>
      <c r="H251" t="str">
        <f>"B"</f>
        <v>B</v>
      </c>
    </row>
    <row r="252" spans="1:8" x14ac:dyDescent="0.2">
      <c r="A252" t="str">
        <f t="shared" ref="A252:A259" si="94">"0616076155"</f>
        <v>0616076155</v>
      </c>
      <c r="B252" t="str">
        <f t="shared" ref="B252:B259" si="95">"ITIAH"</f>
        <v>ITIAH</v>
      </c>
      <c r="C252" t="str">
        <f t="shared" si="92"/>
        <v>ALEXANDRE</v>
      </c>
      <c r="D252" t="str">
        <f t="shared" si="93"/>
        <v>09</v>
      </c>
      <c r="E252" t="str">
        <f>"04 - A - 104 - Brook E Goren"</f>
        <v>04 - A - 104 - Brook E Goren</v>
      </c>
      <c r="F252" t="str">
        <f>"ALGEBRA 2 HON"</f>
        <v>ALGEBRA 2 HON</v>
      </c>
      <c r="G252" t="str">
        <f>"21-2158"</f>
        <v>21-2158</v>
      </c>
      <c r="H252" t="str">
        <f>"A"</f>
        <v>A</v>
      </c>
    </row>
    <row r="253" spans="1:8" x14ac:dyDescent="0.2">
      <c r="A253" t="str">
        <f t="shared" si="94"/>
        <v>0616076155</v>
      </c>
      <c r="B253" t="str">
        <f t="shared" si="95"/>
        <v>ITIAH</v>
      </c>
      <c r="C253" t="str">
        <f t="shared" si="92"/>
        <v>ALEXANDRE</v>
      </c>
      <c r="D253" t="str">
        <f t="shared" si="93"/>
        <v>09</v>
      </c>
      <c r="E253" t="str">
        <f>"06 - B - 110 - Krystal Marie  Beruty"</f>
        <v>06 - B - 110 - Krystal Marie  Beruty</v>
      </c>
      <c r="F253" t="str">
        <f>"AICE GLBL PERSP 1 AS"</f>
        <v>AICE GLBL PERSP 1 AS</v>
      </c>
      <c r="G253" t="str">
        <f>"17-1721"</f>
        <v>17-1721</v>
      </c>
      <c r="H253" t="str">
        <f>"B"</f>
        <v>B</v>
      </c>
    </row>
    <row r="254" spans="1:8" x14ac:dyDescent="0.2">
      <c r="A254" t="str">
        <f t="shared" si="94"/>
        <v>0616076155</v>
      </c>
      <c r="B254" t="str">
        <f t="shared" si="95"/>
        <v>ITIAH</v>
      </c>
      <c r="C254" t="str">
        <f t="shared" si="92"/>
        <v>ALEXANDRE</v>
      </c>
      <c r="D254" t="str">
        <f t="shared" si="93"/>
        <v>09</v>
      </c>
      <c r="E254" t="str">
        <f>"03 - A - 101 - Rosa Elaine  Collado-Duff"</f>
        <v>03 - A - 101 - Rosa Elaine  Collado-Duff</v>
      </c>
      <c r="F254" t="str">
        <f>"SPANISH 3 HON"</f>
        <v>SPANISH 3 HON</v>
      </c>
      <c r="G254" t="str">
        <f>"09-913"</f>
        <v>09-913</v>
      </c>
      <c r="H254" t="str">
        <f>"A"</f>
        <v>A</v>
      </c>
    </row>
    <row r="255" spans="1:8" x14ac:dyDescent="0.2">
      <c r="A255" t="str">
        <f t="shared" si="94"/>
        <v>0616076155</v>
      </c>
      <c r="B255" t="str">
        <f t="shared" si="95"/>
        <v>ITIAH</v>
      </c>
      <c r="C255" t="str">
        <f t="shared" si="92"/>
        <v>ALEXANDRE</v>
      </c>
      <c r="D255" t="str">
        <f t="shared" si="93"/>
        <v>09</v>
      </c>
      <c r="E255" t="str">
        <f>"02 - A - 116 - Tina L Lovett"</f>
        <v>02 - A - 116 - Tina L Lovett</v>
      </c>
      <c r="F255" t="str">
        <f>"NC STUDY HALL 1"</f>
        <v>NC STUDY HALL 1</v>
      </c>
      <c r="G255" t="str">
        <f>"21-2153"</f>
        <v>21-2153</v>
      </c>
      <c r="H255" t="str">
        <f>"A"</f>
        <v>A</v>
      </c>
    </row>
    <row r="256" spans="1:8" x14ac:dyDescent="0.2">
      <c r="A256" t="str">
        <f t="shared" si="94"/>
        <v>0616076155</v>
      </c>
      <c r="B256" t="str">
        <f t="shared" si="95"/>
        <v>ITIAH</v>
      </c>
      <c r="C256" t="str">
        <f t="shared" si="92"/>
        <v>ALEXANDRE</v>
      </c>
      <c r="D256" t="str">
        <f t="shared" si="93"/>
        <v>09</v>
      </c>
      <c r="E256" t="str">
        <f>"07 - B - 001 - Cheryl Anne  Berman-Schechter"</f>
        <v>07 - B - 001 - Cheryl Anne  Berman-Schechter</v>
      </c>
      <c r="F256" t="str">
        <f>"AICE ENG GEN PAPER 1"</f>
        <v>AICE ENG GEN PAPER 1</v>
      </c>
      <c r="G256" t="str">
        <f>"17-1722"</f>
        <v>17-1722</v>
      </c>
      <c r="H256" t="str">
        <f>"B"</f>
        <v>B</v>
      </c>
    </row>
    <row r="257" spans="1:8" x14ac:dyDescent="0.2">
      <c r="A257" t="str">
        <f t="shared" si="94"/>
        <v>0616076155</v>
      </c>
      <c r="B257" t="str">
        <f t="shared" si="95"/>
        <v>ITIAH</v>
      </c>
      <c r="C257" t="str">
        <f t="shared" si="92"/>
        <v>ALEXANDRE</v>
      </c>
      <c r="D257" t="str">
        <f t="shared" si="93"/>
        <v>09</v>
      </c>
      <c r="E257" t="str">
        <f>"05 - B - 105 - Marius D Orsolini"</f>
        <v>05 - B - 105 - Marius D Orsolini</v>
      </c>
      <c r="F257" t="str">
        <f>"CULINARY ARTS 1"</f>
        <v>CULINARY ARTS 1</v>
      </c>
      <c r="G257" t="str">
        <f>"21-2115"</f>
        <v>21-2115</v>
      </c>
      <c r="H257" t="str">
        <f>"B"</f>
        <v>B</v>
      </c>
    </row>
    <row r="258" spans="1:8" x14ac:dyDescent="0.2">
      <c r="A258" t="str">
        <f t="shared" si="94"/>
        <v>0616076155</v>
      </c>
      <c r="B258" t="str">
        <f t="shared" si="95"/>
        <v>ITIAH</v>
      </c>
      <c r="C258" t="str">
        <f t="shared" si="92"/>
        <v>ALEXANDRE</v>
      </c>
      <c r="D258" t="str">
        <f t="shared" si="93"/>
        <v>09</v>
      </c>
      <c r="E258" t="str">
        <f>"01 - A - 101 - Byron G Montenegro"</f>
        <v>01 - A - 101 - Byron G Montenegro</v>
      </c>
      <c r="F258" t="str">
        <f>"AICE MARINE SCI 1 AS"</f>
        <v>AICE MARINE SCI 1 AS</v>
      </c>
      <c r="G258" t="str">
        <f>"21-2144"</f>
        <v>21-2144</v>
      </c>
      <c r="H258" t="str">
        <f>"A"</f>
        <v>A</v>
      </c>
    </row>
    <row r="259" spans="1:8" x14ac:dyDescent="0.2">
      <c r="A259" t="str">
        <f t="shared" si="94"/>
        <v>0616076155</v>
      </c>
      <c r="B259" t="str">
        <f t="shared" si="95"/>
        <v>ITIAH</v>
      </c>
      <c r="C259" t="str">
        <f t="shared" si="92"/>
        <v>ALEXANDRE</v>
      </c>
      <c r="D259" t="str">
        <f t="shared" si="93"/>
        <v>09</v>
      </c>
      <c r="E259" t="str">
        <f>"08 - B - 202 - Dorothy D Moore"</f>
        <v>08 - B - 202 - Dorothy D Moore</v>
      </c>
      <c r="F259" t="str">
        <f>"HEALTH SCI 1/A&amp;P HON"</f>
        <v>HEALTH SCI 1/A&amp;P HON</v>
      </c>
      <c r="G259" t="str">
        <f>"08-803"</f>
        <v>08-803</v>
      </c>
      <c r="H259" t="str">
        <f>"B"</f>
        <v>B</v>
      </c>
    </row>
    <row r="260" spans="1:8" x14ac:dyDescent="0.2">
      <c r="A260" t="str">
        <f t="shared" ref="A260:A267" si="96">"0614107434"</f>
        <v>0614107434</v>
      </c>
      <c r="B260" t="str">
        <f t="shared" ref="B260:B267" si="97">"ALONZO"</f>
        <v>ALONZO</v>
      </c>
      <c r="C260" t="str">
        <f t="shared" ref="C260:C275" si="98">"ALEXIS"</f>
        <v>ALEXIS</v>
      </c>
      <c r="D260">
        <f>11</f>
        <v>11</v>
      </c>
      <c r="E260" t="str">
        <f>"04 - A - 102 - Jeffrey S Gallagher"</f>
        <v>04 - A - 102 - Jeffrey S Gallagher</v>
      </c>
      <c r="F260" t="str">
        <f>"ENG HON 3"</f>
        <v>ENG HON 3</v>
      </c>
      <c r="G260" t="str">
        <f>"17-1724"</f>
        <v>17-1724</v>
      </c>
      <c r="H260" t="str">
        <f>"A"</f>
        <v>A</v>
      </c>
    </row>
    <row r="261" spans="1:8" x14ac:dyDescent="0.2">
      <c r="A261" t="str">
        <f t="shared" si="96"/>
        <v>0614107434</v>
      </c>
      <c r="B261" t="str">
        <f t="shared" si="97"/>
        <v>ALONZO</v>
      </c>
      <c r="C261" t="str">
        <f t="shared" si="98"/>
        <v>ALEXIS</v>
      </c>
      <c r="D261">
        <f>11</f>
        <v>11</v>
      </c>
      <c r="E261" t="str">
        <f>"06 - B - 206 - Jacqueline R Morphet"</f>
        <v>06 - B - 206 - Jacqueline R Morphet</v>
      </c>
      <c r="F261" t="str">
        <f>"PHYSICS 1 HON"</f>
        <v>PHYSICS 1 HON</v>
      </c>
      <c r="G261" t="str">
        <f>"21-2138"</f>
        <v>21-2138</v>
      </c>
      <c r="H261" t="str">
        <f>"B"</f>
        <v>B</v>
      </c>
    </row>
    <row r="262" spans="1:8" x14ac:dyDescent="0.2">
      <c r="A262" t="str">
        <f t="shared" si="96"/>
        <v>0614107434</v>
      </c>
      <c r="B262" t="str">
        <f t="shared" si="97"/>
        <v>ALONZO</v>
      </c>
      <c r="C262" t="str">
        <f t="shared" si="98"/>
        <v>ALEXIS</v>
      </c>
      <c r="D262">
        <f>11</f>
        <v>11</v>
      </c>
      <c r="E262" t="str">
        <f>"03 - S1 - A - 103 - Richard E Dunbar Iii"</f>
        <v>03 - S1 - A - 103 - Richard E Dunbar Iii</v>
      </c>
      <c r="F262" t="str">
        <f>"WEIGHT TRAIN 1"</f>
        <v>WEIGHT TRAIN 1</v>
      </c>
      <c r="G262" t="str">
        <f>"05-501"</f>
        <v>05-501</v>
      </c>
      <c r="H262" t="str">
        <f>"A"</f>
        <v>A</v>
      </c>
    </row>
    <row r="263" spans="1:8" x14ac:dyDescent="0.2">
      <c r="A263" t="str">
        <f t="shared" si="96"/>
        <v>0614107434</v>
      </c>
      <c r="B263" t="str">
        <f t="shared" si="97"/>
        <v>ALONZO</v>
      </c>
      <c r="C263" t="str">
        <f t="shared" si="98"/>
        <v>ALEXIS</v>
      </c>
      <c r="D263">
        <f>11</f>
        <v>11</v>
      </c>
      <c r="E263" t="str">
        <f>"02 - A - 113 - Byron G Montenegro"</f>
        <v>02 - A - 113 - Byron G Montenegro</v>
      </c>
      <c r="F263" t="str">
        <f>"NC STUDY HALL 1"</f>
        <v>NC STUDY HALL 1</v>
      </c>
      <c r="G263" t="str">
        <f>"21-2144"</f>
        <v>21-2144</v>
      </c>
      <c r="H263" t="str">
        <f>"A"</f>
        <v>A</v>
      </c>
    </row>
    <row r="264" spans="1:8" x14ac:dyDescent="0.2">
      <c r="A264" t="str">
        <f t="shared" si="96"/>
        <v>0614107434</v>
      </c>
      <c r="B264" t="str">
        <f t="shared" si="97"/>
        <v>ALONZO</v>
      </c>
      <c r="C264" t="str">
        <f t="shared" si="98"/>
        <v>ALEXIS</v>
      </c>
      <c r="D264">
        <f>11</f>
        <v>11</v>
      </c>
      <c r="E264" t="str">
        <f>"07 - B - 101 - Jeanne M Bermudez"</f>
        <v>07 - B - 101 - Jeanne M Bermudez</v>
      </c>
      <c r="F264" t="str">
        <f>"FOUND OF PROGRAM HON"</f>
        <v>FOUND OF PROGRAM HON</v>
      </c>
      <c r="G264" t="str">
        <f>"21-2141"</f>
        <v>21-2141</v>
      </c>
      <c r="H264" t="str">
        <f>"B"</f>
        <v>B</v>
      </c>
    </row>
    <row r="265" spans="1:8" x14ac:dyDescent="0.2">
      <c r="A265" t="str">
        <f t="shared" si="96"/>
        <v>0614107434</v>
      </c>
      <c r="B265" t="str">
        <f t="shared" si="97"/>
        <v>ALONZO</v>
      </c>
      <c r="C265" t="str">
        <f t="shared" si="98"/>
        <v>ALEXIS</v>
      </c>
      <c r="D265">
        <f>11</f>
        <v>11</v>
      </c>
      <c r="E265" t="str">
        <f>"05 - B - 106 - Thomas G Handwerg"</f>
        <v>05 - B - 106 - Thomas G Handwerg</v>
      </c>
      <c r="F265" t="str">
        <f>"MATH COLL ALGEBRA"</f>
        <v>MATH COLL ALGEBRA</v>
      </c>
      <c r="G265" t="str">
        <f>"21-2146"</f>
        <v>21-2146</v>
      </c>
      <c r="H265" t="str">
        <f>"B"</f>
        <v>B</v>
      </c>
    </row>
    <row r="266" spans="1:8" x14ac:dyDescent="0.2">
      <c r="A266" t="str">
        <f t="shared" si="96"/>
        <v>0614107434</v>
      </c>
      <c r="B266" t="str">
        <f t="shared" si="97"/>
        <v>ALONZO</v>
      </c>
      <c r="C266" t="str">
        <f t="shared" si="98"/>
        <v>ALEXIS</v>
      </c>
      <c r="D266">
        <f>11</f>
        <v>11</v>
      </c>
      <c r="E266" t="str">
        <f>"01 - A - 104 - Jerry S Jiampetti"</f>
        <v>01 - A - 104 - Jerry S Jiampetti</v>
      </c>
      <c r="F266" t="str">
        <f>"US HISTORY HON"</f>
        <v>US HISTORY HON</v>
      </c>
      <c r="G266" t="str">
        <f>"17-1751"</f>
        <v>17-1751</v>
      </c>
      <c r="H266" t="str">
        <f>"A"</f>
        <v>A</v>
      </c>
    </row>
    <row r="267" spans="1:8" x14ac:dyDescent="0.2">
      <c r="A267" t="str">
        <f t="shared" si="96"/>
        <v>0614107434</v>
      </c>
      <c r="B267" t="str">
        <f t="shared" si="97"/>
        <v>ALONZO</v>
      </c>
      <c r="C267" t="str">
        <f t="shared" si="98"/>
        <v>ALEXIS</v>
      </c>
      <c r="D267">
        <f>11</f>
        <v>11</v>
      </c>
      <c r="E267" t="str">
        <f>"08 - S1 - B - 001 - Carol S Moore"</f>
        <v>08 - S1 - B - 001 - Carol S Moore</v>
      </c>
      <c r="F267" t="str">
        <f>"PER CAR SCH DEV 1 LH"</f>
        <v>PER CAR SCH DEV 1 LH</v>
      </c>
      <c r="G267" t="str">
        <f>"17-1733"</f>
        <v>17-1733</v>
      </c>
      <c r="H267" t="str">
        <f>"B"</f>
        <v>B</v>
      </c>
    </row>
    <row r="268" spans="1:8" x14ac:dyDescent="0.2">
      <c r="A268" t="str">
        <f t="shared" ref="A268:A275" si="99">"0614016632"</f>
        <v>0614016632</v>
      </c>
      <c r="B268" t="str">
        <f t="shared" ref="B268:B275" si="100">"FONTANA"</f>
        <v>FONTANA</v>
      </c>
      <c r="C268" t="str">
        <f t="shared" si="98"/>
        <v>ALEXIS</v>
      </c>
      <c r="D268">
        <f>11</f>
        <v>11</v>
      </c>
      <c r="E268" t="str">
        <f>"04 - A - 103 - Cliffon  Saurel"</f>
        <v>04 - A - 103 - Cliffon  Saurel</v>
      </c>
      <c r="F268" t="str">
        <f>"PHYSICAL SCI"</f>
        <v>PHYSICAL SCI</v>
      </c>
      <c r="G268" t="str">
        <f>"05-522"</f>
        <v>05-522</v>
      </c>
      <c r="H268" t="str">
        <f>"A"</f>
        <v>A</v>
      </c>
    </row>
    <row r="269" spans="1:8" x14ac:dyDescent="0.2">
      <c r="A269" t="str">
        <f t="shared" si="99"/>
        <v>0614016632</v>
      </c>
      <c r="B269" t="str">
        <f t="shared" si="100"/>
        <v>FONTANA</v>
      </c>
      <c r="C269" t="str">
        <f t="shared" si="98"/>
        <v>ALEXIS</v>
      </c>
      <c r="D269">
        <f>11</f>
        <v>11</v>
      </c>
      <c r="E269" t="str">
        <f>"06 - B - 102 - Angela S Adeshina-Morrison"</f>
        <v>06 - B - 102 - Angela S Adeshina-Morrison</v>
      </c>
      <c r="F269" t="str">
        <f>"MARKETING ESSENTIALS"</f>
        <v>MARKETING ESSENTIALS</v>
      </c>
      <c r="G269" t="str">
        <f>"05-518"</f>
        <v>05-518</v>
      </c>
      <c r="H269" t="str">
        <f>"B"</f>
        <v>B</v>
      </c>
    </row>
    <row r="270" spans="1:8" x14ac:dyDescent="0.2">
      <c r="A270" t="str">
        <f t="shared" si="99"/>
        <v>0614016632</v>
      </c>
      <c r="B270" t="str">
        <f t="shared" si="100"/>
        <v>FONTANA</v>
      </c>
      <c r="C270" t="str">
        <f t="shared" si="98"/>
        <v>ALEXIS</v>
      </c>
      <c r="D270">
        <f>11</f>
        <v>11</v>
      </c>
      <c r="E270" t="str">
        <f>"03 - A - 201 - Christa T Parisi"</f>
        <v>03 - A - 201 - Christa T Parisi</v>
      </c>
      <c r="F270" t="str">
        <f>"DANCE TECHNQS 1"</f>
        <v>DANCE TECHNQS 1</v>
      </c>
      <c r="G270" t="str">
        <f>"05-503"</f>
        <v>05-503</v>
      </c>
      <c r="H270" t="str">
        <f>"A"</f>
        <v>A</v>
      </c>
    </row>
    <row r="271" spans="1:8" x14ac:dyDescent="0.2">
      <c r="A271" t="str">
        <f t="shared" si="99"/>
        <v>0614016632</v>
      </c>
      <c r="B271" t="str">
        <f t="shared" si="100"/>
        <v>FONTANA</v>
      </c>
      <c r="C271" t="str">
        <f t="shared" si="98"/>
        <v>ALEXIS</v>
      </c>
      <c r="D271">
        <f>11</f>
        <v>11</v>
      </c>
      <c r="E271" t="str">
        <f>"02 - A - 114 - Eva T Rimmer"</f>
        <v>02 - A - 114 - Eva T Rimmer</v>
      </c>
      <c r="F271" t="str">
        <f>"NC STUDY HALL 1"</f>
        <v>NC STUDY HALL 1</v>
      </c>
      <c r="G271" t="str">
        <f>"05-523"</f>
        <v>05-523</v>
      </c>
      <c r="H271" t="str">
        <f>"A"</f>
        <v>A</v>
      </c>
    </row>
    <row r="272" spans="1:8" x14ac:dyDescent="0.2">
      <c r="A272" t="str">
        <f t="shared" si="99"/>
        <v>0614016632</v>
      </c>
      <c r="B272" t="str">
        <f t="shared" si="100"/>
        <v>FONTANA</v>
      </c>
      <c r="C272" t="str">
        <f t="shared" si="98"/>
        <v>ALEXIS</v>
      </c>
      <c r="D272">
        <f>11</f>
        <v>11</v>
      </c>
      <c r="E272" t="str">
        <f>"07 - B - 108 - Lauren N Logan"</f>
        <v>07 - B - 108 - Lauren N Logan</v>
      </c>
      <c r="F272" t="str">
        <f>"US HISTORY"</f>
        <v>US HISTORY</v>
      </c>
      <c r="G272" t="str">
        <f>"17-1745"</f>
        <v>17-1745</v>
      </c>
      <c r="H272" t="str">
        <f>"B"</f>
        <v>B</v>
      </c>
    </row>
    <row r="273" spans="1:8" x14ac:dyDescent="0.2">
      <c r="A273" t="str">
        <f t="shared" si="99"/>
        <v>0614016632</v>
      </c>
      <c r="B273" t="str">
        <f t="shared" si="100"/>
        <v>FONTANA</v>
      </c>
      <c r="C273" t="str">
        <f t="shared" si="98"/>
        <v>ALEXIS</v>
      </c>
      <c r="D273">
        <f>11</f>
        <v>11</v>
      </c>
      <c r="E273" t="str">
        <f>"05 - B - 109 - Ferrie J Arostique"</f>
        <v>05 - B - 109 - Ferrie J Arostique</v>
      </c>
      <c r="F273" t="str">
        <f>"GEOMETRY"</f>
        <v>GEOMETRY</v>
      </c>
      <c r="G273" t="str">
        <f>"21-2139"</f>
        <v>21-2139</v>
      </c>
      <c r="H273" t="str">
        <f>"B"</f>
        <v>B</v>
      </c>
    </row>
    <row r="274" spans="1:8" x14ac:dyDescent="0.2">
      <c r="A274" t="str">
        <f t="shared" si="99"/>
        <v>0614016632</v>
      </c>
      <c r="B274" t="str">
        <f t="shared" si="100"/>
        <v>FONTANA</v>
      </c>
      <c r="C274" t="str">
        <f t="shared" si="98"/>
        <v>ALEXIS</v>
      </c>
      <c r="D274">
        <f>11</f>
        <v>11</v>
      </c>
      <c r="E274" t="str">
        <f>"01 - A - 101 - Lisa  Quinn"</f>
        <v>01 - A - 101 - Lisa  Quinn</v>
      </c>
      <c r="F274" t="str">
        <f>"ENG 3"</f>
        <v>ENG 3</v>
      </c>
      <c r="G274" t="str">
        <f>"17-1725"</f>
        <v>17-1725</v>
      </c>
      <c r="H274" t="str">
        <f>"A"</f>
        <v>A</v>
      </c>
    </row>
    <row r="275" spans="1:8" x14ac:dyDescent="0.2">
      <c r="A275" t="str">
        <f t="shared" si="99"/>
        <v>0614016632</v>
      </c>
      <c r="B275" t="str">
        <f t="shared" si="100"/>
        <v>FONTANA</v>
      </c>
      <c r="C275" t="str">
        <f t="shared" si="98"/>
        <v>ALEXIS</v>
      </c>
      <c r="D275">
        <f>11</f>
        <v>11</v>
      </c>
      <c r="E275" t="str">
        <f>"08 - B - 001 - Brian M Fitzgerald"</f>
        <v>08 - B - 001 - Brian M Fitzgerald</v>
      </c>
      <c r="F275" t="str">
        <f>"CERAM/POT 1"</f>
        <v>CERAM/POT 1</v>
      </c>
      <c r="G275" t="str">
        <f>"09-908"</f>
        <v>09-908</v>
      </c>
      <c r="H275" t="str">
        <f>"B"</f>
        <v>B</v>
      </c>
    </row>
    <row r="276" spans="1:8" x14ac:dyDescent="0.2">
      <c r="A276" t="str">
        <f t="shared" ref="A276:A283" si="101">"0616119990"</f>
        <v>0616119990</v>
      </c>
      <c r="B276" t="str">
        <f t="shared" ref="B276:B283" si="102">"NATALIA"</f>
        <v>NATALIA</v>
      </c>
      <c r="C276" t="str">
        <f t="shared" ref="C276:C283" si="103">"ALFANO"</f>
        <v>ALFANO</v>
      </c>
      <c r="D276" t="str">
        <f t="shared" ref="D276:D283" si="104">"09"</f>
        <v>09</v>
      </c>
      <c r="E276" t="str">
        <f>"04 - A - 102 - Eva T Rimmer"</f>
        <v>04 - A - 102 - Eva T Rimmer</v>
      </c>
      <c r="F276" t="str">
        <f>"CRIMINAL JUST OPS 1"</f>
        <v>CRIMINAL JUST OPS 1</v>
      </c>
      <c r="G276" t="str">
        <f>"05-523"</f>
        <v>05-523</v>
      </c>
      <c r="H276" t="str">
        <f>"A"</f>
        <v>A</v>
      </c>
    </row>
    <row r="277" spans="1:8" x14ac:dyDescent="0.2">
      <c r="A277" t="str">
        <f t="shared" si="101"/>
        <v>0616119990</v>
      </c>
      <c r="B277" t="str">
        <f t="shared" si="102"/>
        <v>NATALIA</v>
      </c>
      <c r="C277" t="str">
        <f t="shared" si="103"/>
        <v>ALFANO</v>
      </c>
      <c r="D277" t="str">
        <f t="shared" si="104"/>
        <v>09</v>
      </c>
      <c r="E277" t="str">
        <f>"06 - B - 106 - Marius D Orsolini"</f>
        <v>06 - B - 106 - Marius D Orsolini</v>
      </c>
      <c r="F277" t="str">
        <f>"CULINARY ARTS 1"</f>
        <v>CULINARY ARTS 1</v>
      </c>
      <c r="G277" t="str">
        <f>"21-2115"</f>
        <v>21-2115</v>
      </c>
      <c r="H277" t="str">
        <f>"B"</f>
        <v>B</v>
      </c>
    </row>
    <row r="278" spans="1:8" x14ac:dyDescent="0.2">
      <c r="A278" t="str">
        <f t="shared" si="101"/>
        <v>0616119990</v>
      </c>
      <c r="B278" t="str">
        <f t="shared" si="102"/>
        <v>NATALIA</v>
      </c>
      <c r="C278" t="str">
        <f t="shared" si="103"/>
        <v>ALFANO</v>
      </c>
      <c r="D278" t="str">
        <f t="shared" si="104"/>
        <v>09</v>
      </c>
      <c r="E278" t="str">
        <f>"03 - A - 202 - Cheryl L Beach"</f>
        <v>03 - A - 202 - Cheryl L Beach</v>
      </c>
      <c r="F278" t="str">
        <f>"AICE ENV MGMNT AS"</f>
        <v>AICE ENV MGMNT AS</v>
      </c>
      <c r="G278" t="str">
        <f>"08-811"</f>
        <v>08-811</v>
      </c>
      <c r="H278" t="str">
        <f>"A"</f>
        <v>A</v>
      </c>
    </row>
    <row r="279" spans="1:8" x14ac:dyDescent="0.2">
      <c r="A279" t="str">
        <f t="shared" si="101"/>
        <v>0616119990</v>
      </c>
      <c r="B279" t="str">
        <f t="shared" si="102"/>
        <v>NATALIA</v>
      </c>
      <c r="C279" t="str">
        <f t="shared" si="103"/>
        <v>ALFANO</v>
      </c>
      <c r="D279" t="str">
        <f t="shared" si="104"/>
        <v>09</v>
      </c>
      <c r="E279" t="str">
        <f>"02 - A - 107 - Cerine S Stewart"</f>
        <v>02 - A - 107 - Cerine S Stewart</v>
      </c>
      <c r="F279" t="str">
        <f>"NC STUDY HALL 1"</f>
        <v>NC STUDY HALL 1</v>
      </c>
      <c r="G279" t="str">
        <f>"17-1720"</f>
        <v>17-1720</v>
      </c>
      <c r="H279" t="str">
        <f>"A"</f>
        <v>A</v>
      </c>
    </row>
    <row r="280" spans="1:8" x14ac:dyDescent="0.2">
      <c r="A280" t="str">
        <f t="shared" si="101"/>
        <v>0616119990</v>
      </c>
      <c r="B280" t="str">
        <f t="shared" si="102"/>
        <v>NATALIA</v>
      </c>
      <c r="C280" t="str">
        <f t="shared" si="103"/>
        <v>ALFANO</v>
      </c>
      <c r="D280" t="str">
        <f t="shared" si="104"/>
        <v>09</v>
      </c>
      <c r="E280" t="str">
        <f>"07 - B - 106 - James H Mccann"</f>
        <v>07 - B - 106 - James H Mccann</v>
      </c>
      <c r="F280" t="str">
        <f>"ALGEBRA 2"</f>
        <v>ALGEBRA 2</v>
      </c>
      <c r="G280" t="str">
        <f>"17-1716"</f>
        <v>17-1716</v>
      </c>
      <c r="H280" t="str">
        <f>"B"</f>
        <v>B</v>
      </c>
    </row>
    <row r="281" spans="1:8" x14ac:dyDescent="0.2">
      <c r="A281" t="str">
        <f t="shared" si="101"/>
        <v>0616119990</v>
      </c>
      <c r="B281" t="str">
        <f t="shared" si="102"/>
        <v>NATALIA</v>
      </c>
      <c r="C281" t="str">
        <f t="shared" si="103"/>
        <v>ALFANO</v>
      </c>
      <c r="D281" t="str">
        <f t="shared" si="104"/>
        <v>09</v>
      </c>
      <c r="E281" t="str">
        <f>"05 - B - 003 - Krystal Marie  Beruty"</f>
        <v>05 - B - 003 - Krystal Marie  Beruty</v>
      </c>
      <c r="F281" t="str">
        <f>"AICE GLBL PERSP 1 AS"</f>
        <v>AICE GLBL PERSP 1 AS</v>
      </c>
      <c r="G281" t="str">
        <f>"17-1721"</f>
        <v>17-1721</v>
      </c>
      <c r="H281" t="str">
        <f>"B"</f>
        <v>B</v>
      </c>
    </row>
    <row r="282" spans="1:8" x14ac:dyDescent="0.2">
      <c r="A282" t="str">
        <f t="shared" si="101"/>
        <v>0616119990</v>
      </c>
      <c r="B282" t="str">
        <f t="shared" si="102"/>
        <v>NATALIA</v>
      </c>
      <c r="C282" t="str">
        <f t="shared" si="103"/>
        <v>ALFANO</v>
      </c>
      <c r="D282" t="str">
        <f t="shared" si="104"/>
        <v>09</v>
      </c>
      <c r="E282" t="str">
        <f>"01 - A - 101 - Brian M Fitzgerald"</f>
        <v>01 - A - 101 - Brian M Fitzgerald</v>
      </c>
      <c r="F282" t="str">
        <f>"CERAM/POT 1"</f>
        <v>CERAM/POT 1</v>
      </c>
      <c r="G282" t="str">
        <f>"09-908"</f>
        <v>09-908</v>
      </c>
      <c r="H282" t="str">
        <f>"A"</f>
        <v>A</v>
      </c>
    </row>
    <row r="283" spans="1:8" x14ac:dyDescent="0.2">
      <c r="A283" t="str">
        <f t="shared" si="101"/>
        <v>0616119990</v>
      </c>
      <c r="B283" t="str">
        <f t="shared" si="102"/>
        <v>NATALIA</v>
      </c>
      <c r="C283" t="str">
        <f t="shared" si="103"/>
        <v>ALFANO</v>
      </c>
      <c r="D283" t="str">
        <f t="shared" si="104"/>
        <v>09</v>
      </c>
      <c r="E283" t="str">
        <f>"08 - B - 004 - Cheryl Anne  Berman-Schechter"</f>
        <v>08 - B - 004 - Cheryl Anne  Berman-Schechter</v>
      </c>
      <c r="F283" t="str">
        <f>"AICE ENG GEN PAPER 1"</f>
        <v>AICE ENG GEN PAPER 1</v>
      </c>
      <c r="G283" t="str">
        <f>"17-1722"</f>
        <v>17-1722</v>
      </c>
      <c r="H283" t="str">
        <f>"B"</f>
        <v>B</v>
      </c>
    </row>
    <row r="284" spans="1:8" x14ac:dyDescent="0.2">
      <c r="A284" t="str">
        <f t="shared" ref="A284:A291" si="105">"0613120351"</f>
        <v>0613120351</v>
      </c>
      <c r="B284" t="str">
        <f t="shared" ref="B284:B291" si="106">"GOLDIE"</f>
        <v>GOLDIE</v>
      </c>
      <c r="C284" t="str">
        <f t="shared" ref="C284:C291" si="107">"ALFONSO"</f>
        <v>ALFONSO</v>
      </c>
      <c r="D284">
        <f>10</f>
        <v>10</v>
      </c>
      <c r="E284" t="str">
        <f>"04 - A - 201 - Scott A Dethloff"</f>
        <v>04 - A - 201 - Scott A Dethloff</v>
      </c>
      <c r="F284" t="str">
        <f>"AICE THINK SKLS 1 AS"</f>
        <v>AICE THINK SKLS 1 AS</v>
      </c>
      <c r="G284" t="str">
        <f>"08-812"</f>
        <v>08-812</v>
      </c>
      <c r="H284" t="str">
        <f>"A"</f>
        <v>A</v>
      </c>
    </row>
    <row r="285" spans="1:8" x14ac:dyDescent="0.2">
      <c r="A285" t="str">
        <f t="shared" si="105"/>
        <v>0613120351</v>
      </c>
      <c r="B285" t="str">
        <f t="shared" si="106"/>
        <v>GOLDIE</v>
      </c>
      <c r="C285" t="str">
        <f t="shared" si="107"/>
        <v>ALFONSO</v>
      </c>
      <c r="D285">
        <f>10</f>
        <v>10</v>
      </c>
      <c r="E285" t="str">
        <f>"06 - B - 103 - Thomas G Handwerg"</f>
        <v>06 - B - 103 - Thomas G Handwerg</v>
      </c>
      <c r="F285" t="str">
        <f>"NC STUDY HALL 1"</f>
        <v>NC STUDY HALL 1</v>
      </c>
      <c r="G285" t="str">
        <f>"21-2146"</f>
        <v>21-2146</v>
      </c>
      <c r="H285" t="str">
        <f>"B"</f>
        <v>B</v>
      </c>
    </row>
    <row r="286" spans="1:8" x14ac:dyDescent="0.2">
      <c r="A286" t="str">
        <f t="shared" si="105"/>
        <v>0613120351</v>
      </c>
      <c r="B286" t="str">
        <f t="shared" si="106"/>
        <v>GOLDIE</v>
      </c>
      <c r="C286" t="str">
        <f t="shared" si="107"/>
        <v>ALFONSO</v>
      </c>
      <c r="D286">
        <f>10</f>
        <v>10</v>
      </c>
      <c r="E286" t="str">
        <f>"03 - A - 002 - Lenecy  Nodarse"</f>
        <v>03 - A - 002 - Lenecy  Nodarse</v>
      </c>
      <c r="F286" t="str">
        <f>"AICE EURO HIST 1 AS"</f>
        <v>AICE EURO HIST 1 AS</v>
      </c>
      <c r="G286" t="str">
        <f>"17-1741"</f>
        <v>17-1741</v>
      </c>
      <c r="H286" t="str">
        <f>"A"</f>
        <v>A</v>
      </c>
    </row>
    <row r="287" spans="1:8" x14ac:dyDescent="0.2">
      <c r="A287" t="str">
        <f t="shared" si="105"/>
        <v>0613120351</v>
      </c>
      <c r="B287" t="str">
        <f t="shared" si="106"/>
        <v>GOLDIE</v>
      </c>
      <c r="C287" t="str">
        <f t="shared" si="107"/>
        <v>ALFONSO</v>
      </c>
      <c r="D287">
        <f>10</f>
        <v>10</v>
      </c>
      <c r="E287" t="str">
        <f>"02 - A - 104 - Scott A Dethloff"</f>
        <v>02 - A - 104 - Scott A Dethloff</v>
      </c>
      <c r="F287" t="str">
        <f>"CHEMISTRY 1 HON"</f>
        <v>CHEMISTRY 1 HON</v>
      </c>
      <c r="G287" t="str">
        <f>"08-812"</f>
        <v>08-812</v>
      </c>
      <c r="H287" t="str">
        <f>"A"</f>
        <v>A</v>
      </c>
    </row>
    <row r="288" spans="1:8" x14ac:dyDescent="0.2">
      <c r="A288" t="str">
        <f t="shared" si="105"/>
        <v>0613120351</v>
      </c>
      <c r="B288" t="str">
        <f t="shared" si="106"/>
        <v>GOLDIE</v>
      </c>
      <c r="C288" t="str">
        <f t="shared" si="107"/>
        <v>ALFONSO</v>
      </c>
      <c r="D288">
        <f>10</f>
        <v>10</v>
      </c>
      <c r="E288" t="str">
        <f>"07 - B - 101 - Fernando  Vega-Cid"</f>
        <v>07 - B - 101 - Fernando  Vega-Cid</v>
      </c>
      <c r="F288" t="str">
        <f>"AP PRECALCULUS"</f>
        <v>AP PRECALCULUS</v>
      </c>
      <c r="G288" t="str">
        <f>"21-2163"</f>
        <v>21-2163</v>
      </c>
      <c r="H288" t="str">
        <f>"B"</f>
        <v>B</v>
      </c>
    </row>
    <row r="289" spans="1:8" x14ac:dyDescent="0.2">
      <c r="A289" t="str">
        <f t="shared" si="105"/>
        <v>0613120351</v>
      </c>
      <c r="B289" t="str">
        <f t="shared" si="106"/>
        <v>GOLDIE</v>
      </c>
      <c r="C289" t="str">
        <f t="shared" si="107"/>
        <v>ALFONSO</v>
      </c>
      <c r="D289">
        <f>10</f>
        <v>10</v>
      </c>
      <c r="E289" t="str">
        <f>"05 - B - 202 - Daniel S Katz"</f>
        <v>05 - B - 202 - Daniel S Katz</v>
      </c>
      <c r="F289" t="str">
        <f>"EXEC INTERN 3 LH"</f>
        <v>EXEC INTERN 3 LH</v>
      </c>
      <c r="G289" t="str">
        <f>"21-2156"</f>
        <v>21-2156</v>
      </c>
      <c r="H289" t="str">
        <f>"B"</f>
        <v>B</v>
      </c>
    </row>
    <row r="290" spans="1:8" x14ac:dyDescent="0.2">
      <c r="A290" t="str">
        <f t="shared" si="105"/>
        <v>0613120351</v>
      </c>
      <c r="B290" t="str">
        <f t="shared" si="106"/>
        <v>GOLDIE</v>
      </c>
      <c r="C290" t="str">
        <f t="shared" si="107"/>
        <v>ALFONSO</v>
      </c>
      <c r="D290">
        <f>10</f>
        <v>10</v>
      </c>
      <c r="E290" t="str">
        <f>"01 - A - 201 - Chrystina M Marchionne"</f>
        <v>01 - A - 201 - Chrystina M Marchionne</v>
      </c>
      <c r="F290" t="str">
        <f>"AICE MEDIASTUDIES AS"</f>
        <v>AICE MEDIASTUDIES AS</v>
      </c>
      <c r="G290" t="str">
        <f>"05-520"</f>
        <v>05-520</v>
      </c>
      <c r="H290" t="str">
        <f>"A"</f>
        <v>A</v>
      </c>
    </row>
    <row r="291" spans="1:8" x14ac:dyDescent="0.2">
      <c r="A291" t="str">
        <f t="shared" si="105"/>
        <v>0613120351</v>
      </c>
      <c r="B291" t="str">
        <f t="shared" si="106"/>
        <v>GOLDIE</v>
      </c>
      <c r="C291" t="str">
        <f t="shared" si="107"/>
        <v>ALFONSO</v>
      </c>
      <c r="D291">
        <f>10</f>
        <v>10</v>
      </c>
      <c r="E291" t="str">
        <f>"08 - B - 001 - Jacklyn M James"</f>
        <v>08 - B - 001 - Jacklyn M James</v>
      </c>
      <c r="F291" t="str">
        <f>"AICE ENG LANG AS"</f>
        <v>AICE ENG LANG AS</v>
      </c>
      <c r="G291" t="str">
        <f>"17-1731"</f>
        <v>17-1731</v>
      </c>
      <c r="H291" t="str">
        <f>"B"</f>
        <v>B</v>
      </c>
    </row>
    <row r="292" spans="1:8" x14ac:dyDescent="0.2">
      <c r="A292" t="str">
        <f t="shared" ref="A292:A299" si="108">"0616001581"</f>
        <v>0616001581</v>
      </c>
      <c r="B292" t="str">
        <f t="shared" ref="B292:B299" si="109">"LUNA"</f>
        <v>LUNA</v>
      </c>
      <c r="C292" t="str">
        <f t="shared" ref="C292:C299" si="110">"ALGANARAS"</f>
        <v>ALGANARAS</v>
      </c>
      <c r="D292">
        <f>10</f>
        <v>10</v>
      </c>
      <c r="E292" t="str">
        <f>"04 - A - 205 - Jacqueline R Morphet"</f>
        <v>04 - A - 205 - Jacqueline R Morphet</v>
      </c>
      <c r="F292" t="str">
        <f>"PHYSICS 1 HON"</f>
        <v>PHYSICS 1 HON</v>
      </c>
      <c r="G292" t="str">
        <f>"21-2138"</f>
        <v>21-2138</v>
      </c>
      <c r="H292" t="str">
        <f>"A"</f>
        <v>A</v>
      </c>
    </row>
    <row r="293" spans="1:8" x14ac:dyDescent="0.2">
      <c r="A293" t="str">
        <f t="shared" si="108"/>
        <v>0616001581</v>
      </c>
      <c r="B293" t="str">
        <f t="shared" si="109"/>
        <v>LUNA</v>
      </c>
      <c r="C293" t="str">
        <f t="shared" si="110"/>
        <v>ALGANARAS</v>
      </c>
      <c r="D293">
        <f>10</f>
        <v>10</v>
      </c>
      <c r="E293" t="str">
        <f>"06 - B - 116 - Jordana K Hass"</f>
        <v>06 - B - 116 - Jordana K Hass</v>
      </c>
      <c r="F293" t="str">
        <f>"NC STUDY HALL 1"</f>
        <v>NC STUDY HALL 1</v>
      </c>
      <c r="G293" t="str">
        <f>"08-807"</f>
        <v>08-807</v>
      </c>
      <c r="H293" t="str">
        <f>"B"</f>
        <v>B</v>
      </c>
    </row>
    <row r="294" spans="1:8" x14ac:dyDescent="0.2">
      <c r="A294" t="str">
        <f t="shared" si="108"/>
        <v>0616001581</v>
      </c>
      <c r="B294" t="str">
        <f t="shared" si="109"/>
        <v>LUNA</v>
      </c>
      <c r="C294" t="str">
        <f t="shared" si="110"/>
        <v>ALGANARAS</v>
      </c>
      <c r="D294">
        <f>10</f>
        <v>10</v>
      </c>
      <c r="E294" t="str">
        <f>"03 - A - 104 - Brook E Goren"</f>
        <v>03 - A - 104 - Brook E Goren</v>
      </c>
      <c r="F294" t="str">
        <f>"ALGEBRA 2 HON"</f>
        <v>ALGEBRA 2 HON</v>
      </c>
      <c r="G294" t="str">
        <f>"21-2158"</f>
        <v>21-2158</v>
      </c>
      <c r="H294" t="str">
        <f>"A"</f>
        <v>A</v>
      </c>
    </row>
    <row r="295" spans="1:8" x14ac:dyDescent="0.2">
      <c r="A295" t="str">
        <f t="shared" si="108"/>
        <v>0616001581</v>
      </c>
      <c r="B295" t="str">
        <f t="shared" si="109"/>
        <v>LUNA</v>
      </c>
      <c r="C295" t="str">
        <f t="shared" si="110"/>
        <v>ALGANARAS</v>
      </c>
      <c r="D295">
        <f>10</f>
        <v>10</v>
      </c>
      <c r="E295" t="str">
        <f>"02 - A - 202 - Daniel S Tyson"</f>
        <v>02 - A - 202 - Daniel S Tyson</v>
      </c>
      <c r="F295" t="str">
        <f>"JROTC NAVAL SCI 2"</f>
        <v>JROTC NAVAL SCI 2</v>
      </c>
      <c r="G295" t="str">
        <f>"05-510"</f>
        <v>05-510</v>
      </c>
      <c r="H295" t="str">
        <f>"A"</f>
        <v>A</v>
      </c>
    </row>
    <row r="296" spans="1:8" x14ac:dyDescent="0.2">
      <c r="A296" t="str">
        <f t="shared" si="108"/>
        <v>0616001581</v>
      </c>
      <c r="B296" t="str">
        <f t="shared" si="109"/>
        <v>LUNA</v>
      </c>
      <c r="C296" t="str">
        <f t="shared" si="110"/>
        <v>ALGANARAS</v>
      </c>
      <c r="D296">
        <f>10</f>
        <v>10</v>
      </c>
      <c r="E296" t="str">
        <f>"07 - B - 102 - Nikiel  Nesbeth"</f>
        <v>07 - B - 102 - Nikiel  Nesbeth</v>
      </c>
      <c r="F296" t="str">
        <f>"PRE-AICE ENG LIT IG"</f>
        <v>PRE-AICE ENG LIT IG</v>
      </c>
      <c r="G296" t="str">
        <f>"17-1705"</f>
        <v>17-1705</v>
      </c>
      <c r="H296" t="str">
        <f>"B"</f>
        <v>B</v>
      </c>
    </row>
    <row r="297" spans="1:8" x14ac:dyDescent="0.2">
      <c r="A297" t="str">
        <f t="shared" si="108"/>
        <v>0616001581</v>
      </c>
      <c r="B297" t="str">
        <f t="shared" si="109"/>
        <v>LUNA</v>
      </c>
      <c r="C297" t="str">
        <f t="shared" si="110"/>
        <v>ALGANARAS</v>
      </c>
      <c r="D297">
        <f>10</f>
        <v>10</v>
      </c>
      <c r="E297" t="str">
        <f>"05 - B - 101 - Brian M Fitzgerald"</f>
        <v>05 - B - 101 - Brian M Fitzgerald</v>
      </c>
      <c r="F297" t="str">
        <f>"PAINT 1"</f>
        <v>PAINT 1</v>
      </c>
      <c r="G297" t="str">
        <f>"09-908"</f>
        <v>09-908</v>
      </c>
      <c r="H297" t="str">
        <f>"B"</f>
        <v>B</v>
      </c>
    </row>
    <row r="298" spans="1:8" x14ac:dyDescent="0.2">
      <c r="A298" t="str">
        <f t="shared" si="108"/>
        <v>0616001581</v>
      </c>
      <c r="B298" t="str">
        <f t="shared" si="109"/>
        <v>LUNA</v>
      </c>
      <c r="C298" t="str">
        <f t="shared" si="110"/>
        <v>ALGANARAS</v>
      </c>
      <c r="D298">
        <f>10</f>
        <v>10</v>
      </c>
      <c r="E298" t="str">
        <f>"01 - A - 101 - Marius D Orsolini"</f>
        <v>01 - A - 101 - Marius D Orsolini</v>
      </c>
      <c r="F298" t="str">
        <f>"CULINARY ARTS 1"</f>
        <v>CULINARY ARTS 1</v>
      </c>
      <c r="G298" t="str">
        <f>"21-2115"</f>
        <v>21-2115</v>
      </c>
      <c r="H298" t="str">
        <f>"A"</f>
        <v>A</v>
      </c>
    </row>
    <row r="299" spans="1:8" x14ac:dyDescent="0.2">
      <c r="A299" t="str">
        <f t="shared" si="108"/>
        <v>0616001581</v>
      </c>
      <c r="B299" t="str">
        <f t="shared" si="109"/>
        <v>LUNA</v>
      </c>
      <c r="C299" t="str">
        <f t="shared" si="110"/>
        <v>ALGANARAS</v>
      </c>
      <c r="D299">
        <f>10</f>
        <v>10</v>
      </c>
      <c r="E299" t="str">
        <f>"08 - S1 - B - 105 - James H Mccann"</f>
        <v>08 - S1 - B - 105 - James H Mccann</v>
      </c>
      <c r="F299" t="str">
        <f>"PERS FIN &amp; MON MGT H"</f>
        <v>PERS FIN &amp; MON MGT H</v>
      </c>
      <c r="G299" t="str">
        <f>"17-1716"</f>
        <v>17-1716</v>
      </c>
      <c r="H299" t="str">
        <f>"B"</f>
        <v>B</v>
      </c>
    </row>
    <row r="300" spans="1:8" x14ac:dyDescent="0.2">
      <c r="A300" t="str">
        <f t="shared" ref="A300:A307" si="111">"0616045077"</f>
        <v>0616045077</v>
      </c>
      <c r="B300" t="str">
        <f t="shared" ref="B300:B307" si="112">"IBRAAHEEM"</f>
        <v>IBRAAHEEM</v>
      </c>
      <c r="C300" t="str">
        <f t="shared" ref="C300:C307" si="113">"ALI"</f>
        <v>ALI</v>
      </c>
      <c r="D300">
        <f>12</f>
        <v>12</v>
      </c>
      <c r="E300" t="str">
        <f>"04 - A - 101 - Jeanne M Bermudez"</f>
        <v>04 - A - 101 - Jeanne M Bermudez</v>
      </c>
      <c r="F300" t="str">
        <f>"ADVANCED IT HON"</f>
        <v>ADVANCED IT HON</v>
      </c>
      <c r="G300" t="str">
        <f>"21-2141"</f>
        <v>21-2141</v>
      </c>
      <c r="H300" t="str">
        <f>"A"</f>
        <v>A</v>
      </c>
    </row>
    <row r="301" spans="1:8" x14ac:dyDescent="0.2">
      <c r="A301" t="str">
        <f t="shared" si="111"/>
        <v>0616045077</v>
      </c>
      <c r="B301" t="str">
        <f t="shared" si="112"/>
        <v>IBRAAHEEM</v>
      </c>
      <c r="C301" t="str">
        <f t="shared" si="113"/>
        <v>ALI</v>
      </c>
      <c r="D301">
        <f>12</f>
        <v>12</v>
      </c>
      <c r="E301" t="str">
        <f>"06 - B - 101 - Cliffon  Saurel"</f>
        <v>06 - B - 101 - Cliffon  Saurel</v>
      </c>
      <c r="F301" t="str">
        <f>"NC STUDY HALL 1"</f>
        <v>NC STUDY HALL 1</v>
      </c>
      <c r="G301" t="str">
        <f>"05-522"</f>
        <v>05-522</v>
      </c>
      <c r="H301" t="str">
        <f>"B"</f>
        <v>B</v>
      </c>
    </row>
    <row r="302" spans="1:8" x14ac:dyDescent="0.2">
      <c r="A302" t="str">
        <f t="shared" si="111"/>
        <v>0616045077</v>
      </c>
      <c r="B302" t="str">
        <f t="shared" si="112"/>
        <v>IBRAAHEEM</v>
      </c>
      <c r="C302" t="str">
        <f t="shared" si="113"/>
        <v>ALI</v>
      </c>
      <c r="D302">
        <f>12</f>
        <v>12</v>
      </c>
      <c r="E302" t="str">
        <f>"03 - A - 101 - Jeffrey S Gallagher"</f>
        <v>03 - A - 101 - Jeffrey S Gallagher</v>
      </c>
      <c r="F302" t="str">
        <f>"ENG HON 4"</f>
        <v>ENG HON 4</v>
      </c>
      <c r="G302" t="str">
        <f>"17-1724"</f>
        <v>17-1724</v>
      </c>
      <c r="H302" t="str">
        <f>"A"</f>
        <v>A</v>
      </c>
    </row>
    <row r="303" spans="1:8" x14ac:dyDescent="0.2">
      <c r="A303" t="str">
        <f t="shared" si="111"/>
        <v>0616045077</v>
      </c>
      <c r="B303" t="str">
        <f t="shared" si="112"/>
        <v>IBRAAHEEM</v>
      </c>
      <c r="C303" t="str">
        <f t="shared" si="113"/>
        <v>ALI</v>
      </c>
      <c r="D303">
        <f>12</f>
        <v>12</v>
      </c>
      <c r="E303" t="str">
        <f>"02 - S1 - A - 102 - Richard E Dunbar Iii"</f>
        <v>02 - S1 - A - 102 - Richard E Dunbar Iii</v>
      </c>
      <c r="F303" t="str">
        <f>"WEIGHT TRAIN 3"</f>
        <v>WEIGHT TRAIN 3</v>
      </c>
      <c r="G303" t="str">
        <f>"05-501"</f>
        <v>05-501</v>
      </c>
      <c r="H303" t="str">
        <f>"A"</f>
        <v>A</v>
      </c>
    </row>
    <row r="304" spans="1:8" x14ac:dyDescent="0.2">
      <c r="A304" t="str">
        <f t="shared" si="111"/>
        <v>0616045077</v>
      </c>
      <c r="B304" t="str">
        <f t="shared" si="112"/>
        <v>IBRAAHEEM</v>
      </c>
      <c r="C304" t="str">
        <f t="shared" si="113"/>
        <v>ALI</v>
      </c>
      <c r="D304">
        <f>12</f>
        <v>12</v>
      </c>
      <c r="E304" t="str">
        <f>"07 - B - 105 - Robert H Rindner"</f>
        <v>07 - B - 105 - Robert H Rindner</v>
      </c>
      <c r="F304" t="str">
        <f>"MATH DATA&amp;FIN LIT H"</f>
        <v>MATH DATA&amp;FIN LIT H</v>
      </c>
      <c r="G304" t="str">
        <f>"21-2160"</f>
        <v>21-2160</v>
      </c>
      <c r="H304" t="str">
        <f>"B"</f>
        <v>B</v>
      </c>
    </row>
    <row r="305" spans="1:8" x14ac:dyDescent="0.2">
      <c r="A305" t="str">
        <f t="shared" si="111"/>
        <v>0616045077</v>
      </c>
      <c r="B305" t="str">
        <f t="shared" si="112"/>
        <v>IBRAAHEEM</v>
      </c>
      <c r="C305" t="str">
        <f t="shared" si="113"/>
        <v>ALI</v>
      </c>
      <c r="D305">
        <f>12</f>
        <v>12</v>
      </c>
      <c r="E305" t="str">
        <f>"05 - B - 101 - Angela S Adeshina-Morrison"</f>
        <v>05 - B - 101 - Angela S Adeshina-Morrison</v>
      </c>
      <c r="F305" t="str">
        <f>"MKT MANAGEMENT LH"</f>
        <v>MKT MANAGEMENT LH</v>
      </c>
      <c r="G305" t="str">
        <f>"05-518"</f>
        <v>05-518</v>
      </c>
      <c r="H305" t="str">
        <f>"B"</f>
        <v>B</v>
      </c>
    </row>
    <row r="306" spans="1:8" x14ac:dyDescent="0.2">
      <c r="A306" t="str">
        <f t="shared" si="111"/>
        <v>0616045077</v>
      </c>
      <c r="B306" t="str">
        <f t="shared" si="112"/>
        <v>IBRAAHEEM</v>
      </c>
      <c r="C306" t="str">
        <f t="shared" si="113"/>
        <v>ALI</v>
      </c>
      <c r="D306">
        <f>12</f>
        <v>12</v>
      </c>
      <c r="E306" t="str">
        <f>"01 - A - 201 - Jeanne M Bermudez"</f>
        <v>01 - A - 201 - Jeanne M Bermudez</v>
      </c>
      <c r="F306" t="str">
        <f>"PHYSICS 1 HON"</f>
        <v>PHYSICS 1 HON</v>
      </c>
      <c r="G306" t="str">
        <f>"21-2141"</f>
        <v>21-2141</v>
      </c>
      <c r="H306" t="str">
        <f>"A"</f>
        <v>A</v>
      </c>
    </row>
    <row r="307" spans="1:8" x14ac:dyDescent="0.2">
      <c r="A307" t="str">
        <f t="shared" si="111"/>
        <v>0616045077</v>
      </c>
      <c r="B307" t="str">
        <f t="shared" si="112"/>
        <v>IBRAAHEEM</v>
      </c>
      <c r="C307" t="str">
        <f t="shared" si="113"/>
        <v>ALI</v>
      </c>
      <c r="D307">
        <f>12</f>
        <v>12</v>
      </c>
      <c r="E307" t="str">
        <f>"08 - S1 - B - 105 - Kelly N Panza"</f>
        <v>08 - S1 - B - 105 - Kelly N Panza</v>
      </c>
      <c r="F307" t="str">
        <f>"US GOVT HON"</f>
        <v>US GOVT HON</v>
      </c>
      <c r="G307" t="str">
        <f>"17-1753"</f>
        <v>17-1753</v>
      </c>
      <c r="H307" t="str">
        <f>"B"</f>
        <v>B</v>
      </c>
    </row>
    <row r="308" spans="1:8" x14ac:dyDescent="0.2">
      <c r="A308" t="str">
        <f t="shared" ref="A308:A315" si="114">"0618013878"</f>
        <v>0618013878</v>
      </c>
      <c r="B308" t="str">
        <f t="shared" ref="B308:B315" si="115">"AYANNAH"</f>
        <v>AYANNAH</v>
      </c>
      <c r="C308" t="str">
        <f t="shared" ref="C308:C323" si="116">"ALINCY"</f>
        <v>ALINCY</v>
      </c>
      <c r="D308">
        <f>12</f>
        <v>12</v>
      </c>
      <c r="E308" t="str">
        <f>"04 - S1 - A - 101 - Barbara L Segal"</f>
        <v>04 - S1 - A - 101 - Barbara L Segal</v>
      </c>
      <c r="F308" t="str">
        <f>"AP US GOVT/POL"</f>
        <v>AP US GOVT/POL</v>
      </c>
      <c r="G308" t="str">
        <f>"17-1742"</f>
        <v>17-1742</v>
      </c>
      <c r="H308" t="str">
        <f>"A"</f>
        <v>A</v>
      </c>
    </row>
    <row r="309" spans="1:8" x14ac:dyDescent="0.2">
      <c r="A309" t="str">
        <f t="shared" si="114"/>
        <v>0618013878</v>
      </c>
      <c r="B309" t="str">
        <f t="shared" si="115"/>
        <v>AYANNAH</v>
      </c>
      <c r="C309" t="str">
        <f t="shared" si="116"/>
        <v>ALINCY</v>
      </c>
      <c r="D309">
        <f>12</f>
        <v>12</v>
      </c>
      <c r="E309" t="str">
        <f>"06 - B - 001 - Robert O Burger"</f>
        <v>06 - B - 001 - Robert O Burger</v>
      </c>
      <c r="F309" t="str">
        <f>"NC STUDY HALL 1"</f>
        <v>NC STUDY HALL 1</v>
      </c>
      <c r="G309" t="str">
        <f>"17-1755"</f>
        <v>17-1755</v>
      </c>
      <c r="H309" t="str">
        <f>"B"</f>
        <v>B</v>
      </c>
    </row>
    <row r="310" spans="1:8" x14ac:dyDescent="0.2">
      <c r="A310" t="str">
        <f t="shared" si="114"/>
        <v>0618013878</v>
      </c>
      <c r="B310" t="str">
        <f t="shared" si="115"/>
        <v>AYANNAH</v>
      </c>
      <c r="C310" t="str">
        <f t="shared" si="116"/>
        <v>ALINCY</v>
      </c>
      <c r="D310">
        <f>12</f>
        <v>12</v>
      </c>
      <c r="E310" t="str">
        <f>"03 - A - 201 - Joe  Kilpatrick Jr"</f>
        <v>03 - A - 201 - Joe  Kilpatrick Jr</v>
      </c>
      <c r="F310" t="str">
        <f>"PRE-AICE SPAN 2 IG"</f>
        <v>PRE-AICE SPAN 2 IG</v>
      </c>
      <c r="G310" t="str">
        <f>"09-912"</f>
        <v>09-912</v>
      </c>
      <c r="H310" t="str">
        <f>"A"</f>
        <v>A</v>
      </c>
    </row>
    <row r="311" spans="1:8" x14ac:dyDescent="0.2">
      <c r="A311" t="str">
        <f t="shared" si="114"/>
        <v>0618013878</v>
      </c>
      <c r="B311" t="str">
        <f t="shared" si="115"/>
        <v>AYANNAH</v>
      </c>
      <c r="C311" t="str">
        <f t="shared" si="116"/>
        <v>ALINCY</v>
      </c>
      <c r="D311">
        <f>12</f>
        <v>12</v>
      </c>
      <c r="E311" t="str">
        <f>"02 - A - 204 - Jacqueline R Morphet"</f>
        <v>02 - A - 204 - Jacqueline R Morphet</v>
      </c>
      <c r="F311" t="str">
        <f>"PHYSICS 1 HON"</f>
        <v>PHYSICS 1 HON</v>
      </c>
      <c r="G311" t="str">
        <f>"21-2138"</f>
        <v>21-2138</v>
      </c>
      <c r="H311" t="str">
        <f>"A"</f>
        <v>A</v>
      </c>
    </row>
    <row r="312" spans="1:8" x14ac:dyDescent="0.2">
      <c r="A312" t="str">
        <f t="shared" si="114"/>
        <v>0618013878</v>
      </c>
      <c r="B312" t="str">
        <f t="shared" si="115"/>
        <v>AYANNAH</v>
      </c>
      <c r="C312" t="str">
        <f t="shared" si="116"/>
        <v>ALINCY</v>
      </c>
      <c r="D312">
        <f>12</f>
        <v>12</v>
      </c>
      <c r="E312" t="str">
        <f>"07 - S1 - B - 101 - Daniel S Katz"</f>
        <v>07 - S1 - B - 101 - Daniel S Katz</v>
      </c>
      <c r="F312" t="str">
        <f>"CRIMINAL LAW"</f>
        <v>CRIMINAL LAW</v>
      </c>
      <c r="G312" t="str">
        <f>"21-2156"</f>
        <v>21-2156</v>
      </c>
      <c r="H312" t="str">
        <f>"B"</f>
        <v>B</v>
      </c>
    </row>
    <row r="313" spans="1:8" x14ac:dyDescent="0.2">
      <c r="A313" t="str">
        <f t="shared" si="114"/>
        <v>0618013878</v>
      </c>
      <c r="B313" t="str">
        <f t="shared" si="115"/>
        <v>AYANNAH</v>
      </c>
      <c r="C313" t="str">
        <f t="shared" si="116"/>
        <v>ALINCY</v>
      </c>
      <c r="D313">
        <f>12</f>
        <v>12</v>
      </c>
      <c r="E313" t="str">
        <f>"05 - B - 103 - Brandy N Zdenek"</f>
        <v>05 - B - 103 - Brandy N Zdenek</v>
      </c>
      <c r="F313" t="str">
        <f>"AICE ENG LANG 2 AL"</f>
        <v>AICE ENG LANG 2 AL</v>
      </c>
      <c r="G313" t="str">
        <f>"17-1704"</f>
        <v>17-1704</v>
      </c>
      <c r="H313" t="str">
        <f>"B"</f>
        <v>B</v>
      </c>
    </row>
    <row r="314" spans="1:8" x14ac:dyDescent="0.2">
      <c r="A314" t="str">
        <f t="shared" si="114"/>
        <v>0618013878</v>
      </c>
      <c r="B314" t="str">
        <f t="shared" si="115"/>
        <v>AYANNAH</v>
      </c>
      <c r="C314" t="str">
        <f t="shared" si="116"/>
        <v>ALINCY</v>
      </c>
      <c r="D314">
        <f>12</f>
        <v>12</v>
      </c>
      <c r="E314" t="str">
        <f>"01 - A - 101 - Thomas G Handwerg"</f>
        <v>01 - A - 101 - Thomas G Handwerg</v>
      </c>
      <c r="F314" t="str">
        <f>"PROB STAT W/APPS HON"</f>
        <v>PROB STAT W/APPS HON</v>
      </c>
      <c r="G314" t="str">
        <f>"21-2146"</f>
        <v>21-2146</v>
      </c>
      <c r="H314" t="str">
        <f>"A"</f>
        <v>A</v>
      </c>
    </row>
    <row r="315" spans="1:8" x14ac:dyDescent="0.2">
      <c r="A315" t="str">
        <f t="shared" si="114"/>
        <v>0618013878</v>
      </c>
      <c r="B315" t="str">
        <f t="shared" si="115"/>
        <v>AYANNAH</v>
      </c>
      <c r="C315" t="str">
        <f t="shared" si="116"/>
        <v>ALINCY</v>
      </c>
      <c r="D315">
        <f>12</f>
        <v>12</v>
      </c>
      <c r="E315" t="str">
        <f>"08 - B - 107 - Taraneh C Abreu"</f>
        <v>08 - B - 107 - Taraneh C Abreu</v>
      </c>
      <c r="F315" t="str">
        <f>"RESEARCH 1 LH"</f>
        <v>RESEARCH 1 LH</v>
      </c>
      <c r="G315">
        <f>2041</f>
        <v>2041</v>
      </c>
      <c r="H315" t="str">
        <f>"B"</f>
        <v>B</v>
      </c>
    </row>
    <row r="316" spans="1:8" x14ac:dyDescent="0.2">
      <c r="A316" t="str">
        <f t="shared" ref="A316:A323" si="117">"0618013881"</f>
        <v>0618013881</v>
      </c>
      <c r="B316" t="str">
        <f t="shared" ref="B316:B323" si="118">"TYSON"</f>
        <v>TYSON</v>
      </c>
      <c r="C316" t="str">
        <f t="shared" si="116"/>
        <v>ALINCY</v>
      </c>
      <c r="D316">
        <f>11</f>
        <v>11</v>
      </c>
      <c r="E316" t="str">
        <f>"04 - A - 102 - Lisa J London"</f>
        <v>04 - A - 102 - Lisa J London</v>
      </c>
      <c r="F316" t="str">
        <f>"AP CAPSTONE SEMINAR"</f>
        <v>AP CAPSTONE SEMINAR</v>
      </c>
      <c r="G316" t="str">
        <f>"17-1714"</f>
        <v>17-1714</v>
      </c>
      <c r="H316" t="str">
        <f>"A"</f>
        <v>A</v>
      </c>
    </row>
    <row r="317" spans="1:8" x14ac:dyDescent="0.2">
      <c r="A317" t="str">
        <f t="shared" si="117"/>
        <v>0618013881</v>
      </c>
      <c r="B317" t="str">
        <f t="shared" si="118"/>
        <v>TYSON</v>
      </c>
      <c r="C317" t="str">
        <f t="shared" si="116"/>
        <v>ALINCY</v>
      </c>
      <c r="D317">
        <f>11</f>
        <v>11</v>
      </c>
      <c r="E317" t="str">
        <f>"06 - B - 102 - Stephen T Ripp"</f>
        <v>06 - B - 102 - Stephen T Ripp</v>
      </c>
      <c r="F317" t="str">
        <f>"AP U.S. HIST"</f>
        <v>AP U.S. HIST</v>
      </c>
      <c r="G317" t="str">
        <f>"17-1744"</f>
        <v>17-1744</v>
      </c>
      <c r="H317" t="str">
        <f>"B"</f>
        <v>B</v>
      </c>
    </row>
    <row r="318" spans="1:8" x14ac:dyDescent="0.2">
      <c r="A318" t="str">
        <f t="shared" si="117"/>
        <v>0618013881</v>
      </c>
      <c r="B318" t="str">
        <f t="shared" si="118"/>
        <v>TYSON</v>
      </c>
      <c r="C318" t="str">
        <f t="shared" si="116"/>
        <v>ALINCY</v>
      </c>
      <c r="D318">
        <f>11</f>
        <v>11</v>
      </c>
      <c r="E318" t="str">
        <f>"03 - A - 102 - Tina M Jaramillo"</f>
        <v>03 - A - 102 - Tina M Jaramillo</v>
      </c>
      <c r="F318" t="str">
        <f>"AP ENG COMPO"</f>
        <v>AP ENG COMPO</v>
      </c>
      <c r="G318" t="str">
        <f>"17-1706"</f>
        <v>17-1706</v>
      </c>
      <c r="H318" t="str">
        <f>"A"</f>
        <v>A</v>
      </c>
    </row>
    <row r="319" spans="1:8" x14ac:dyDescent="0.2">
      <c r="A319" t="str">
        <f t="shared" si="117"/>
        <v>0618013881</v>
      </c>
      <c r="B319" t="str">
        <f t="shared" si="118"/>
        <v>TYSON</v>
      </c>
      <c r="C319" t="str">
        <f t="shared" si="116"/>
        <v>ALINCY</v>
      </c>
      <c r="D319">
        <f>11</f>
        <v>11</v>
      </c>
      <c r="E319" t="str">
        <f>"02 - A - 106 - Heidi M Knopp"</f>
        <v>02 - A - 106 - Heidi M Knopp</v>
      </c>
      <c r="F319" t="str">
        <f>"NC STUDY HALL 1"</f>
        <v>NC STUDY HALL 1</v>
      </c>
      <c r="G319" t="str">
        <f>"17-1735"</f>
        <v>17-1735</v>
      </c>
      <c r="H319" t="str">
        <f>"A"</f>
        <v>A</v>
      </c>
    </row>
    <row r="320" spans="1:8" x14ac:dyDescent="0.2">
      <c r="A320" t="str">
        <f t="shared" si="117"/>
        <v>0618013881</v>
      </c>
      <c r="B320" t="str">
        <f t="shared" si="118"/>
        <v>TYSON</v>
      </c>
      <c r="C320" t="str">
        <f t="shared" si="116"/>
        <v>ALINCY</v>
      </c>
      <c r="D320">
        <f>11</f>
        <v>11</v>
      </c>
      <c r="E320" t="str">
        <f>"07 - B - 102 - Pamela M Corzo"</f>
        <v>07 - B - 102 - Pamela M Corzo</v>
      </c>
      <c r="F320" t="str">
        <f>"AP CALCULUS AB"</f>
        <v>AP CALCULUS AB</v>
      </c>
      <c r="G320" t="str">
        <f>"21-2133"</f>
        <v>21-2133</v>
      </c>
      <c r="H320" t="str">
        <f>"B"</f>
        <v>B</v>
      </c>
    </row>
    <row r="321" spans="1:8" x14ac:dyDescent="0.2">
      <c r="A321" t="str">
        <f t="shared" si="117"/>
        <v>0618013881</v>
      </c>
      <c r="B321" t="str">
        <f t="shared" si="118"/>
        <v>TYSON</v>
      </c>
      <c r="C321" t="str">
        <f t="shared" si="116"/>
        <v>ALINCY</v>
      </c>
      <c r="D321">
        <f>11</f>
        <v>11</v>
      </c>
      <c r="E321" t="str">
        <f>"05 - B - 101 - Jordana K Hass"</f>
        <v>05 - B - 101 - Jordana K Hass</v>
      </c>
      <c r="F321" t="str">
        <f>"AP COMP SCI PRIN"</f>
        <v>AP COMP SCI PRIN</v>
      </c>
      <c r="G321" t="str">
        <f>"08-807"</f>
        <v>08-807</v>
      </c>
      <c r="H321" t="str">
        <f>"B"</f>
        <v>B</v>
      </c>
    </row>
    <row r="322" spans="1:8" x14ac:dyDescent="0.2">
      <c r="A322" t="str">
        <f t="shared" si="117"/>
        <v>0618013881</v>
      </c>
      <c r="B322" t="str">
        <f t="shared" si="118"/>
        <v>TYSON</v>
      </c>
      <c r="C322" t="str">
        <f t="shared" si="116"/>
        <v>ALINCY</v>
      </c>
      <c r="D322">
        <f>11</f>
        <v>11</v>
      </c>
      <c r="E322" t="str">
        <f>"01 - A - 101 - Marielle A Witting"</f>
        <v>01 - A - 101 - Marielle A Witting</v>
      </c>
      <c r="F322" t="str">
        <f>"AP BIO"</f>
        <v>AP BIO</v>
      </c>
      <c r="G322" t="str">
        <f>"08-805"</f>
        <v>08-805</v>
      </c>
      <c r="H322" t="str">
        <f>"A"</f>
        <v>A</v>
      </c>
    </row>
    <row r="323" spans="1:8" x14ac:dyDescent="0.2">
      <c r="A323" t="str">
        <f t="shared" si="117"/>
        <v>0618013881</v>
      </c>
      <c r="B323" t="str">
        <f t="shared" si="118"/>
        <v>TYSON</v>
      </c>
      <c r="C323" t="str">
        <f t="shared" si="116"/>
        <v>ALINCY</v>
      </c>
      <c r="D323">
        <f>11</f>
        <v>11</v>
      </c>
      <c r="E323" t="str">
        <f>"08 - S1 - B - 105 - Richard E Dunbar Iii"</f>
        <v>08 - S1 - B - 105 - Richard E Dunbar Iii</v>
      </c>
      <c r="F323" t="str">
        <f>"WEIGHT TRAIN 1"</f>
        <v>WEIGHT TRAIN 1</v>
      </c>
      <c r="G323" t="str">
        <f>"05-501"</f>
        <v>05-501</v>
      </c>
      <c r="H323" t="str">
        <f>"B"</f>
        <v>B</v>
      </c>
    </row>
    <row r="324" spans="1:8" x14ac:dyDescent="0.2">
      <c r="A324" t="str">
        <f t="shared" ref="A324:A331" si="119">"0616141439"</f>
        <v>0616141439</v>
      </c>
      <c r="B324" t="str">
        <f t="shared" ref="B324:B331" si="120">"NATALY"</f>
        <v>NATALY</v>
      </c>
      <c r="C324" t="str">
        <f t="shared" ref="C324:C331" si="121">"ALKHATIB"</f>
        <v>ALKHATIB</v>
      </c>
      <c r="D324">
        <f>10</f>
        <v>10</v>
      </c>
      <c r="E324" t="str">
        <f>"04 - A - 108 - Maried P Ramos"</f>
        <v>04 - A - 108 - Maried P Ramos</v>
      </c>
      <c r="F324" t="str">
        <f>"GEOMETRY"</f>
        <v>GEOMETRY</v>
      </c>
      <c r="G324" t="str">
        <f>"21-2159"</f>
        <v>21-2159</v>
      </c>
      <c r="H324" t="str">
        <f>"A"</f>
        <v>A</v>
      </c>
    </row>
    <row r="325" spans="1:8" x14ac:dyDescent="0.2">
      <c r="A325" t="str">
        <f t="shared" si="119"/>
        <v>0616141439</v>
      </c>
      <c r="B325" t="str">
        <f t="shared" si="120"/>
        <v>NATALY</v>
      </c>
      <c r="C325" t="str">
        <f t="shared" si="121"/>
        <v>ALKHATIB</v>
      </c>
      <c r="D325">
        <f>10</f>
        <v>10</v>
      </c>
      <c r="E325" t="str">
        <f>"06 - B - 103 - Thomas G Handwerg"</f>
        <v>06 - B - 103 - Thomas G Handwerg</v>
      </c>
      <c r="F325" t="str">
        <f>"NC STUDY HALL 1"</f>
        <v>NC STUDY HALL 1</v>
      </c>
      <c r="G325" t="str">
        <f>"21-2146"</f>
        <v>21-2146</v>
      </c>
      <c r="H325" t="str">
        <f>"B"</f>
        <v>B</v>
      </c>
    </row>
    <row r="326" spans="1:8" x14ac:dyDescent="0.2">
      <c r="A326" t="str">
        <f t="shared" si="119"/>
        <v>0616141439</v>
      </c>
      <c r="B326" t="str">
        <f t="shared" si="120"/>
        <v>NATALY</v>
      </c>
      <c r="C326" t="str">
        <f t="shared" si="121"/>
        <v>ALKHATIB</v>
      </c>
      <c r="D326">
        <f>10</f>
        <v>10</v>
      </c>
      <c r="E326" t="str">
        <f>"03 - A - 103 - Kelly N Panza"</f>
        <v>03 - A - 103 - Kelly N Panza</v>
      </c>
      <c r="F326" t="str">
        <f>"AICE GLBL PERSP 1 AS"</f>
        <v>AICE GLBL PERSP 1 AS</v>
      </c>
      <c r="G326" t="str">
        <f>"17-1753"</f>
        <v>17-1753</v>
      </c>
      <c r="H326" t="str">
        <f>"A"</f>
        <v>A</v>
      </c>
    </row>
    <row r="327" spans="1:8" x14ac:dyDescent="0.2">
      <c r="A327" t="str">
        <f t="shared" si="119"/>
        <v>0616141439</v>
      </c>
      <c r="B327" t="str">
        <f t="shared" si="120"/>
        <v>NATALY</v>
      </c>
      <c r="C327" t="str">
        <f t="shared" si="121"/>
        <v>ALKHATIB</v>
      </c>
      <c r="D327">
        <f>10</f>
        <v>10</v>
      </c>
      <c r="E327" t="str">
        <f>"02 - A - 102 - Chrystina M Marchionne"</f>
        <v>02 - A - 102 - Chrystina M Marchionne</v>
      </c>
      <c r="F327" t="str">
        <f>"AICE MEDIASTUDIES AS"</f>
        <v>AICE MEDIASTUDIES AS</v>
      </c>
      <c r="G327" t="str">
        <f>"05-520"</f>
        <v>05-520</v>
      </c>
      <c r="H327" t="str">
        <f>"A"</f>
        <v>A</v>
      </c>
    </row>
    <row r="328" spans="1:8" x14ac:dyDescent="0.2">
      <c r="A328" t="str">
        <f t="shared" si="119"/>
        <v>0616141439</v>
      </c>
      <c r="B328" t="str">
        <f t="shared" si="120"/>
        <v>NATALY</v>
      </c>
      <c r="C328" t="str">
        <f t="shared" si="121"/>
        <v>ALKHATIB</v>
      </c>
      <c r="D328">
        <f>10</f>
        <v>10</v>
      </c>
      <c r="E328" t="str">
        <f>"07 - B - 107 - Marius D Orsolini"</f>
        <v>07 - B - 107 - Marius D Orsolini</v>
      </c>
      <c r="F328" t="str">
        <f>"CULINARY ARTS 1"</f>
        <v>CULINARY ARTS 1</v>
      </c>
      <c r="G328" t="str">
        <f>"21-2115"</f>
        <v>21-2115</v>
      </c>
      <c r="H328" t="str">
        <f>"B"</f>
        <v>B</v>
      </c>
    </row>
    <row r="329" spans="1:8" x14ac:dyDescent="0.2">
      <c r="A329" t="str">
        <f t="shared" si="119"/>
        <v>0616141439</v>
      </c>
      <c r="B329" t="str">
        <f t="shared" si="120"/>
        <v>NATALY</v>
      </c>
      <c r="C329" t="str">
        <f t="shared" si="121"/>
        <v>ALKHATIB</v>
      </c>
      <c r="D329">
        <f>10</f>
        <v>10</v>
      </c>
      <c r="E329" t="str">
        <f>"05 - B - 102 - Jeanne M Bermudez"</f>
        <v>05 - B - 102 - Jeanne M Bermudez</v>
      </c>
      <c r="F329" t="str">
        <f>"ADVANCED IT HON"</f>
        <v>ADVANCED IT HON</v>
      </c>
      <c r="G329" t="str">
        <f>"21-2141"</f>
        <v>21-2141</v>
      </c>
      <c r="H329" t="str">
        <f>"B"</f>
        <v>B</v>
      </c>
    </row>
    <row r="330" spans="1:8" x14ac:dyDescent="0.2">
      <c r="A330" t="str">
        <f t="shared" si="119"/>
        <v>0616141439</v>
      </c>
      <c r="B330" t="str">
        <f t="shared" si="120"/>
        <v>NATALY</v>
      </c>
      <c r="C330" t="str">
        <f t="shared" si="121"/>
        <v>ALKHATIB</v>
      </c>
      <c r="D330">
        <f>10</f>
        <v>10</v>
      </c>
      <c r="E330" t="str">
        <f>"01 - A - 201 - Cheryl L Beach"</f>
        <v>01 - A - 201 - Cheryl L Beach</v>
      </c>
      <c r="F330" t="str">
        <f>"AICE ENV MGMNT AS"</f>
        <v>AICE ENV MGMNT AS</v>
      </c>
      <c r="G330" t="str">
        <f>"08-811"</f>
        <v>08-811</v>
      </c>
      <c r="H330" t="str">
        <f>"A"</f>
        <v>A</v>
      </c>
    </row>
    <row r="331" spans="1:8" x14ac:dyDescent="0.2">
      <c r="A331" t="str">
        <f t="shared" si="119"/>
        <v>0616141439</v>
      </c>
      <c r="B331" t="str">
        <f t="shared" si="120"/>
        <v>NATALY</v>
      </c>
      <c r="C331" t="str">
        <f t="shared" si="121"/>
        <v>ALKHATIB</v>
      </c>
      <c r="D331">
        <f>10</f>
        <v>10</v>
      </c>
      <c r="E331" t="str">
        <f>"08 - B - 102 - Jacquelyn M Neeson"</f>
        <v>08 - B - 102 - Jacquelyn M Neeson</v>
      </c>
      <c r="F331" t="str">
        <f>"AICE ENG GEN PAPER 1"</f>
        <v>AICE ENG GEN PAPER 1</v>
      </c>
      <c r="G331" t="str">
        <f>"17-1715"</f>
        <v>17-1715</v>
      </c>
      <c r="H331" t="str">
        <f>"B"</f>
        <v>B</v>
      </c>
    </row>
    <row r="332" spans="1:8" x14ac:dyDescent="0.2">
      <c r="A332" t="str">
        <f t="shared" ref="A332:A339" si="122">"0614055210"</f>
        <v>0614055210</v>
      </c>
      <c r="B332" t="str">
        <f t="shared" ref="B332:B339" si="123">"ATARE"</f>
        <v>ATARE</v>
      </c>
      <c r="C332" t="str">
        <f t="shared" ref="C332:C364" si="124">"ALLEN"</f>
        <v>ALLEN</v>
      </c>
      <c r="D332">
        <f>11</f>
        <v>11</v>
      </c>
      <c r="E332" t="str">
        <f>"04 - S1 - A - 101 - Nahum  Saint-Preux"</f>
        <v>04 - S1 - A - 101 - Nahum  Saint-Preux</v>
      </c>
      <c r="F332" t="str">
        <f>"CRIT THINK ST SKLS"</f>
        <v>CRIT THINK ST SKLS</v>
      </c>
      <c r="G332" t="str">
        <f>"17-1712"</f>
        <v>17-1712</v>
      </c>
      <c r="H332" t="str">
        <f>"A"</f>
        <v>A</v>
      </c>
    </row>
    <row r="333" spans="1:8" x14ac:dyDescent="0.2">
      <c r="A333" t="str">
        <f t="shared" si="122"/>
        <v>0614055210</v>
      </c>
      <c r="B333" t="str">
        <f t="shared" si="123"/>
        <v>ATARE</v>
      </c>
      <c r="C333" t="str">
        <f t="shared" si="124"/>
        <v>ALLEN</v>
      </c>
      <c r="D333">
        <f>11</f>
        <v>11</v>
      </c>
      <c r="E333" t="str">
        <f>"06 - B - 001 - Samantha J Headley"</f>
        <v>06 - B - 001 - Samantha J Headley</v>
      </c>
      <c r="F333" t="str">
        <f>"MARINE SCI 1 HON"</f>
        <v>MARINE SCI 1 HON</v>
      </c>
      <c r="G333" t="str">
        <f>"21-2134"</f>
        <v>21-2134</v>
      </c>
      <c r="H333" t="str">
        <f>"B"</f>
        <v>B</v>
      </c>
    </row>
    <row r="334" spans="1:8" x14ac:dyDescent="0.2">
      <c r="A334" t="str">
        <f t="shared" si="122"/>
        <v>0614055210</v>
      </c>
      <c r="B334" t="str">
        <f t="shared" si="123"/>
        <v>ATARE</v>
      </c>
      <c r="C334" t="str">
        <f t="shared" si="124"/>
        <v>ALLEN</v>
      </c>
      <c r="D334">
        <f>11</f>
        <v>11</v>
      </c>
      <c r="E334" t="str">
        <f>"03 - A - 102 - Lisa  Quinn"</f>
        <v>03 - A - 102 - Lisa  Quinn</v>
      </c>
      <c r="F334" t="str">
        <f>"ENG 3"</f>
        <v>ENG 3</v>
      </c>
      <c r="G334" t="str">
        <f>"17-1725"</f>
        <v>17-1725</v>
      </c>
      <c r="H334" t="str">
        <f>"A"</f>
        <v>A</v>
      </c>
    </row>
    <row r="335" spans="1:8" x14ac:dyDescent="0.2">
      <c r="A335" t="str">
        <f t="shared" si="122"/>
        <v>0614055210</v>
      </c>
      <c r="B335" t="str">
        <f t="shared" si="123"/>
        <v>ATARE</v>
      </c>
      <c r="C335" t="str">
        <f t="shared" si="124"/>
        <v>ALLEN</v>
      </c>
      <c r="D335">
        <f>11</f>
        <v>11</v>
      </c>
      <c r="E335" t="str">
        <f>"02 - A - 103 - Kelly N Panza"</f>
        <v>02 - A - 103 - Kelly N Panza</v>
      </c>
      <c r="F335" t="str">
        <f>"NC STUDY HALL 1"</f>
        <v>NC STUDY HALL 1</v>
      </c>
      <c r="G335" t="str">
        <f>"17-1753"</f>
        <v>17-1753</v>
      </c>
      <c r="H335" t="str">
        <f>"A"</f>
        <v>A</v>
      </c>
    </row>
    <row r="336" spans="1:8" x14ac:dyDescent="0.2">
      <c r="A336" t="str">
        <f t="shared" si="122"/>
        <v>0614055210</v>
      </c>
      <c r="B336" t="str">
        <f t="shared" si="123"/>
        <v>ATARE</v>
      </c>
      <c r="C336" t="str">
        <f t="shared" si="124"/>
        <v>ALLEN</v>
      </c>
      <c r="D336">
        <f>11</f>
        <v>11</v>
      </c>
      <c r="E336" t="str">
        <f>"07 - B - 110 - Ferrie J Arostique"</f>
        <v>07 - B - 110 - Ferrie J Arostique</v>
      </c>
      <c r="F336" t="str">
        <f>"GEOMETRY"</f>
        <v>GEOMETRY</v>
      </c>
      <c r="G336" t="str">
        <f>"21-2139"</f>
        <v>21-2139</v>
      </c>
      <c r="H336" t="str">
        <f>"B"</f>
        <v>B</v>
      </c>
    </row>
    <row r="337" spans="1:8" x14ac:dyDescent="0.2">
      <c r="A337" t="str">
        <f t="shared" si="122"/>
        <v>0614055210</v>
      </c>
      <c r="B337" t="str">
        <f t="shared" si="123"/>
        <v>ATARE</v>
      </c>
      <c r="C337" t="str">
        <f t="shared" si="124"/>
        <v>ALLEN</v>
      </c>
      <c r="D337">
        <f>11</f>
        <v>11</v>
      </c>
      <c r="E337" t="str">
        <f>"05 - B - 001 - Kyle  Robbins"</f>
        <v>05 - B - 001 - Kyle  Robbins</v>
      </c>
      <c r="F337" t="str">
        <f>"US HISTORY HON"</f>
        <v>US HISTORY HON</v>
      </c>
      <c r="G337" t="str">
        <f>"17-1745"</f>
        <v>17-1745</v>
      </c>
      <c r="H337" t="str">
        <f>"B"</f>
        <v>B</v>
      </c>
    </row>
    <row r="338" spans="1:8" x14ac:dyDescent="0.2">
      <c r="A338" t="str">
        <f t="shared" si="122"/>
        <v>0614055210</v>
      </c>
      <c r="B338" t="str">
        <f t="shared" si="123"/>
        <v>ATARE</v>
      </c>
      <c r="C338" t="str">
        <f t="shared" si="124"/>
        <v>ALLEN</v>
      </c>
      <c r="D338">
        <f>11</f>
        <v>11</v>
      </c>
      <c r="E338" t="str">
        <f>"01 - A - 101 - Nahum  Saint-Preux"</f>
        <v>01 - A - 101 - Nahum  Saint-Preux</v>
      </c>
      <c r="F338" t="str">
        <f>"INTENS READ 3"</f>
        <v>INTENS READ 3</v>
      </c>
      <c r="G338" t="str">
        <f>"17-1712"</f>
        <v>17-1712</v>
      </c>
      <c r="H338" t="str">
        <f>"A"</f>
        <v>A</v>
      </c>
    </row>
    <row r="339" spans="1:8" x14ac:dyDescent="0.2">
      <c r="A339" t="str">
        <f t="shared" si="122"/>
        <v>0614055210</v>
      </c>
      <c r="B339" t="str">
        <f t="shared" si="123"/>
        <v>ATARE</v>
      </c>
      <c r="C339" t="str">
        <f t="shared" si="124"/>
        <v>ALLEN</v>
      </c>
      <c r="D339">
        <f>11</f>
        <v>11</v>
      </c>
      <c r="E339" t="str">
        <f>"08 - B - 103 - Joe  Kilpatrick Jr"</f>
        <v>08 - B - 103 - Joe  Kilpatrick Jr</v>
      </c>
      <c r="F339" t="str">
        <f>"PRE-AICE SPAN 2 IG"</f>
        <v>PRE-AICE SPAN 2 IG</v>
      </c>
      <c r="G339" t="str">
        <f>"09-912"</f>
        <v>09-912</v>
      </c>
      <c r="H339" t="str">
        <f>"B"</f>
        <v>B</v>
      </c>
    </row>
    <row r="340" spans="1:8" x14ac:dyDescent="0.2">
      <c r="A340" t="str">
        <f t="shared" ref="A340:A348" si="125">"0612103024"</f>
        <v>0612103024</v>
      </c>
      <c r="B340" t="str">
        <f t="shared" ref="B340:B348" si="126">"JADEN"</f>
        <v>JADEN</v>
      </c>
      <c r="C340" t="str">
        <f t="shared" si="124"/>
        <v>ALLEN</v>
      </c>
      <c r="D340">
        <f>10</f>
        <v>10</v>
      </c>
      <c r="E340" t="str">
        <f>"04 - A - 205 - Lytrell T Dixon"</f>
        <v>04 - A - 205 - Lytrell T Dixon</v>
      </c>
      <c r="F340" t="str">
        <f>"BIOLOGY 1"</f>
        <v>BIOLOGY 1</v>
      </c>
      <c r="G340" t="str">
        <f>"08-808"</f>
        <v>08-808</v>
      </c>
      <c r="H340" t="str">
        <f>"A"</f>
        <v>A</v>
      </c>
    </row>
    <row r="341" spans="1:8" x14ac:dyDescent="0.2">
      <c r="A341" t="str">
        <f t="shared" si="125"/>
        <v>0612103024</v>
      </c>
      <c r="B341" t="str">
        <f t="shared" si="126"/>
        <v>JADEN</v>
      </c>
      <c r="C341" t="str">
        <f t="shared" si="124"/>
        <v>ALLEN</v>
      </c>
      <c r="D341">
        <f>10</f>
        <v>10</v>
      </c>
      <c r="E341" t="str">
        <f>"06 - B - 002 - Lenecy  Nodarse"</f>
        <v>06 - B - 002 - Lenecy  Nodarse</v>
      </c>
      <c r="F341" t="str">
        <f>"NC STUDY HALL 1"</f>
        <v>NC STUDY HALL 1</v>
      </c>
      <c r="G341" t="str">
        <f>"17-1741"</f>
        <v>17-1741</v>
      </c>
      <c r="H341" t="str">
        <f>"B"</f>
        <v>B</v>
      </c>
    </row>
    <row r="342" spans="1:8" x14ac:dyDescent="0.2">
      <c r="A342" t="str">
        <f t="shared" si="125"/>
        <v>0612103024</v>
      </c>
      <c r="B342" t="str">
        <f t="shared" si="126"/>
        <v>JADEN</v>
      </c>
      <c r="C342" t="str">
        <f t="shared" si="124"/>
        <v>ALLEN</v>
      </c>
      <c r="D342">
        <f>10</f>
        <v>10</v>
      </c>
      <c r="E342" t="str">
        <f>"06 - B - 106 - Eric  Lopapa"</f>
        <v>06 - B - 106 - Eric  Lopapa</v>
      </c>
      <c r="F342" t="str">
        <f>"LANG THERAPY"</f>
        <v>LANG THERAPY</v>
      </c>
      <c r="G342" t="str">
        <f>"21-2110"</f>
        <v>21-2110</v>
      </c>
      <c r="H342" t="str">
        <f>"B"</f>
        <v>B</v>
      </c>
    </row>
    <row r="343" spans="1:8" x14ac:dyDescent="0.2">
      <c r="A343" t="str">
        <f t="shared" si="125"/>
        <v>0612103024</v>
      </c>
      <c r="B343" t="str">
        <f t="shared" si="126"/>
        <v>JADEN</v>
      </c>
      <c r="C343" t="str">
        <f t="shared" si="124"/>
        <v>ALLEN</v>
      </c>
      <c r="D343">
        <f>10</f>
        <v>10</v>
      </c>
      <c r="E343" t="str">
        <f>"03 - A - 103 - Adam Marcus  Drucker"</f>
        <v>03 - A - 103 - Adam Marcus  Drucker</v>
      </c>
      <c r="F343" t="str">
        <f>"HOPE-PE V"</f>
        <v>HOPE-PE V</v>
      </c>
      <c r="G343" t="str">
        <f>"04-254"</f>
        <v>04-254</v>
      </c>
      <c r="H343" t="str">
        <f>"A"</f>
        <v>A</v>
      </c>
    </row>
    <row r="344" spans="1:8" x14ac:dyDescent="0.2">
      <c r="A344" t="str">
        <f t="shared" si="125"/>
        <v>0612103024</v>
      </c>
      <c r="B344" t="str">
        <f t="shared" si="126"/>
        <v>JADEN</v>
      </c>
      <c r="C344" t="str">
        <f t="shared" si="124"/>
        <v>ALLEN</v>
      </c>
      <c r="D344">
        <f>10</f>
        <v>10</v>
      </c>
      <c r="E344" t="str">
        <f>"02 - A - 105 - Semra  Bahadir"</f>
        <v>02 - A - 105 - Semra  Bahadir</v>
      </c>
      <c r="F344" t="str">
        <f>"ALGEBRA 2"</f>
        <v>ALGEBRA 2</v>
      </c>
      <c r="G344" t="str">
        <f>"21-2107"</f>
        <v>21-2107</v>
      </c>
      <c r="H344" t="str">
        <f>"A"</f>
        <v>A</v>
      </c>
    </row>
    <row r="345" spans="1:8" x14ac:dyDescent="0.2">
      <c r="A345" t="str">
        <f t="shared" si="125"/>
        <v>0612103024</v>
      </c>
      <c r="B345" t="str">
        <f t="shared" si="126"/>
        <v>JADEN</v>
      </c>
      <c r="C345" t="str">
        <f t="shared" si="124"/>
        <v>ALLEN</v>
      </c>
      <c r="D345">
        <f>10</f>
        <v>10</v>
      </c>
      <c r="E345" t="str">
        <f>"07 - B - 106 - Taraneh C Abreu"</f>
        <v>07 - B - 106 - Taraneh C Abreu</v>
      </c>
      <c r="F345" t="str">
        <f>"INTENS READ 2"</f>
        <v>INTENS READ 2</v>
      </c>
      <c r="G345" t="str">
        <f>"17-1713"</f>
        <v>17-1713</v>
      </c>
      <c r="H345" t="str">
        <f>"B"</f>
        <v>B</v>
      </c>
    </row>
    <row r="346" spans="1:8" x14ac:dyDescent="0.2">
      <c r="A346" t="str">
        <f t="shared" si="125"/>
        <v>0612103024</v>
      </c>
      <c r="B346" t="str">
        <f t="shared" si="126"/>
        <v>JADEN</v>
      </c>
      <c r="C346" t="str">
        <f t="shared" si="124"/>
        <v>ALLEN</v>
      </c>
      <c r="D346">
        <f>10</f>
        <v>10</v>
      </c>
      <c r="E346" t="str">
        <f>"05 - B - 106 - Jacquelyn M Neeson"</f>
        <v>05 - B - 106 - Jacquelyn M Neeson</v>
      </c>
      <c r="F346" t="str">
        <f>"ENG 2"</f>
        <v>ENG 2</v>
      </c>
      <c r="G346" t="str">
        <f>"17-1715"</f>
        <v>17-1715</v>
      </c>
      <c r="H346" t="str">
        <f>"B"</f>
        <v>B</v>
      </c>
    </row>
    <row r="347" spans="1:8" x14ac:dyDescent="0.2">
      <c r="A347" t="str">
        <f t="shared" si="125"/>
        <v>0612103024</v>
      </c>
      <c r="B347" t="str">
        <f t="shared" si="126"/>
        <v>JADEN</v>
      </c>
      <c r="C347" t="str">
        <f t="shared" si="124"/>
        <v>ALLEN</v>
      </c>
      <c r="D347">
        <f>10</f>
        <v>10</v>
      </c>
      <c r="E347" t="str">
        <f>"01 - A - 201 - Daniel S Tyson"</f>
        <v>01 - A - 201 - Daniel S Tyson</v>
      </c>
      <c r="F347" t="str">
        <f>"JROTC NAVAL SCI 1"</f>
        <v>JROTC NAVAL SCI 1</v>
      </c>
      <c r="G347" t="str">
        <f>"05-510"</f>
        <v>05-510</v>
      </c>
      <c r="H347" t="str">
        <f>"A"</f>
        <v>A</v>
      </c>
    </row>
    <row r="348" spans="1:8" x14ac:dyDescent="0.2">
      <c r="A348" t="str">
        <f t="shared" si="125"/>
        <v>0612103024</v>
      </c>
      <c r="B348" t="str">
        <f t="shared" si="126"/>
        <v>JADEN</v>
      </c>
      <c r="C348" t="str">
        <f t="shared" si="124"/>
        <v>ALLEN</v>
      </c>
      <c r="D348">
        <f>10</f>
        <v>10</v>
      </c>
      <c r="E348" t="str">
        <f>"08 - S1 - B - 102 - Kyle  Robbins"</f>
        <v>08 - S1 - B - 102 - Kyle  Robbins</v>
      </c>
      <c r="F348" t="str">
        <f>"PERS FIN &amp; MON MGT H"</f>
        <v>PERS FIN &amp; MON MGT H</v>
      </c>
      <c r="G348" t="str">
        <f>"17-1745"</f>
        <v>17-1745</v>
      </c>
      <c r="H348" t="str">
        <f>"B"</f>
        <v>B</v>
      </c>
    </row>
    <row r="349" spans="1:8" x14ac:dyDescent="0.2">
      <c r="A349" t="str">
        <f t="shared" ref="A349:A356" si="127">"0616106970"</f>
        <v>0616106970</v>
      </c>
      <c r="B349" t="str">
        <f t="shared" ref="B349:B356" si="128">"JAKE"</f>
        <v>JAKE</v>
      </c>
      <c r="C349" t="str">
        <f t="shared" si="124"/>
        <v>ALLEN</v>
      </c>
      <c r="D349" t="str">
        <f t="shared" ref="D349:D356" si="129">"09"</f>
        <v>09</v>
      </c>
      <c r="E349" t="str">
        <f>"04 - A - 104 - Helen A Flores"</f>
        <v>04 - A - 104 - Helen A Flores</v>
      </c>
      <c r="F349" t="str">
        <f>"FDN SKLS MATH 9-12"</f>
        <v>FDN SKLS MATH 9-12</v>
      </c>
      <c r="G349" t="str">
        <f>"21-2101"</f>
        <v>21-2101</v>
      </c>
      <c r="H349" t="str">
        <f>"A"</f>
        <v>A</v>
      </c>
    </row>
    <row r="350" spans="1:8" x14ac:dyDescent="0.2">
      <c r="A350" t="str">
        <f t="shared" si="127"/>
        <v>0616106970</v>
      </c>
      <c r="B350" t="str">
        <f t="shared" si="128"/>
        <v>JAKE</v>
      </c>
      <c r="C350" t="str">
        <f t="shared" si="124"/>
        <v>ALLEN</v>
      </c>
      <c r="D350" t="str">
        <f t="shared" si="129"/>
        <v>09</v>
      </c>
      <c r="E350" t="str">
        <f>"06 - B - 106 - Adam Marcus  Drucker"</f>
        <v>06 - B - 106 - Adam Marcus  Drucker</v>
      </c>
      <c r="F350" t="str">
        <f>"HOPE-PE V"</f>
        <v>HOPE-PE V</v>
      </c>
      <c r="G350" t="str">
        <f>"04-254"</f>
        <v>04-254</v>
      </c>
      <c r="H350" t="str">
        <f>"B"</f>
        <v>B</v>
      </c>
    </row>
    <row r="351" spans="1:8" x14ac:dyDescent="0.2">
      <c r="A351" t="str">
        <f t="shared" si="127"/>
        <v>0616106970</v>
      </c>
      <c r="B351" t="str">
        <f t="shared" si="128"/>
        <v>JAKE</v>
      </c>
      <c r="C351" t="str">
        <f t="shared" si="124"/>
        <v>ALLEN</v>
      </c>
      <c r="D351" t="str">
        <f t="shared" si="129"/>
        <v>09</v>
      </c>
      <c r="E351" t="str">
        <f>"03 - A - 105 - Cheryl Anne  Berman-Schechter"</f>
        <v>03 - A - 105 - Cheryl Anne  Berman-Schechter</v>
      </c>
      <c r="F351" t="str">
        <f>"ENG 1"</f>
        <v>ENG 1</v>
      </c>
      <c r="G351" t="str">
        <f>"17-1722"</f>
        <v>17-1722</v>
      </c>
      <c r="H351" t="str">
        <f>"A"</f>
        <v>A</v>
      </c>
    </row>
    <row r="352" spans="1:8" x14ac:dyDescent="0.2">
      <c r="A352" t="str">
        <f t="shared" si="127"/>
        <v>0616106970</v>
      </c>
      <c r="B352" t="str">
        <f t="shared" si="128"/>
        <v>JAKE</v>
      </c>
      <c r="C352" t="str">
        <f t="shared" si="124"/>
        <v>ALLEN</v>
      </c>
      <c r="D352" t="str">
        <f t="shared" si="129"/>
        <v>09</v>
      </c>
      <c r="E352" t="str">
        <f>"02 - A - 103 - Angela S Adeshina-Morrison"</f>
        <v>02 - A - 103 - Angela S Adeshina-Morrison</v>
      </c>
      <c r="F352" t="str">
        <f>"NC STUDY HALL 1"</f>
        <v>NC STUDY HALL 1</v>
      </c>
      <c r="G352" t="str">
        <f>"05-518"</f>
        <v>05-518</v>
      </c>
      <c r="H352" t="str">
        <f>"A"</f>
        <v>A</v>
      </c>
    </row>
    <row r="353" spans="1:8" x14ac:dyDescent="0.2">
      <c r="A353" t="str">
        <f t="shared" si="127"/>
        <v>0616106970</v>
      </c>
      <c r="B353" t="str">
        <f t="shared" si="128"/>
        <v>JAKE</v>
      </c>
      <c r="C353" t="str">
        <f t="shared" si="124"/>
        <v>ALLEN</v>
      </c>
      <c r="D353" t="str">
        <f t="shared" si="129"/>
        <v>09</v>
      </c>
      <c r="E353" t="str">
        <f>"07 - B - 003 - Samantha J Headley"</f>
        <v>07 - B - 003 - Samantha J Headley</v>
      </c>
      <c r="F353" t="str">
        <f>"ENV SCI"</f>
        <v>ENV SCI</v>
      </c>
      <c r="G353" t="str">
        <f>"08-802"</f>
        <v>08-802</v>
      </c>
      <c r="H353" t="str">
        <f>"B"</f>
        <v>B</v>
      </c>
    </row>
    <row r="354" spans="1:8" x14ac:dyDescent="0.2">
      <c r="A354" t="str">
        <f t="shared" si="127"/>
        <v>0616106970</v>
      </c>
      <c r="B354" t="str">
        <f t="shared" si="128"/>
        <v>JAKE</v>
      </c>
      <c r="C354" t="str">
        <f t="shared" si="124"/>
        <v>ALLEN</v>
      </c>
      <c r="D354" t="str">
        <f t="shared" si="129"/>
        <v>09</v>
      </c>
      <c r="E354" t="str">
        <f>"05 - B - 001 - Laselleda D Shaw"</f>
        <v>05 - B - 001 - Laselleda D Shaw</v>
      </c>
      <c r="F354" t="str">
        <f>"INTENS READ 1"</f>
        <v>INTENS READ 1</v>
      </c>
      <c r="G354" t="str">
        <f>"17-1723"</f>
        <v>17-1723</v>
      </c>
      <c r="H354" t="str">
        <f>"B"</f>
        <v>B</v>
      </c>
    </row>
    <row r="355" spans="1:8" x14ac:dyDescent="0.2">
      <c r="A355" t="str">
        <f t="shared" si="127"/>
        <v>0616106970</v>
      </c>
      <c r="B355" t="str">
        <f t="shared" si="128"/>
        <v>JAKE</v>
      </c>
      <c r="C355" t="str">
        <f t="shared" si="124"/>
        <v>ALLEN</v>
      </c>
      <c r="D355" t="str">
        <f t="shared" si="129"/>
        <v>09</v>
      </c>
      <c r="E355" t="str">
        <f>"01 - A - 107 - Jazmin S Fletcher"</f>
        <v>01 - A - 107 - Jazmin S Fletcher</v>
      </c>
      <c r="F355" t="str">
        <f>"WORLD HISTORY"</f>
        <v>WORLD HISTORY</v>
      </c>
      <c r="G355" t="str">
        <f>"09-909"</f>
        <v>09-909</v>
      </c>
      <c r="H355" t="str">
        <f>"A"</f>
        <v>A</v>
      </c>
    </row>
    <row r="356" spans="1:8" x14ac:dyDescent="0.2">
      <c r="A356" t="str">
        <f t="shared" si="127"/>
        <v>0616106970</v>
      </c>
      <c r="B356" t="str">
        <f t="shared" si="128"/>
        <v>JAKE</v>
      </c>
      <c r="C356" t="str">
        <f t="shared" si="124"/>
        <v>ALLEN</v>
      </c>
      <c r="D356" t="str">
        <f t="shared" si="129"/>
        <v>09</v>
      </c>
      <c r="E356" t="str">
        <f>"08 - B - 106 - Helen A Flores"</f>
        <v>08 - B - 106 - Helen A Flores</v>
      </c>
      <c r="F356" t="str">
        <f>"ALGEBRA 1"</f>
        <v>ALGEBRA 1</v>
      </c>
      <c r="G356" t="str">
        <f>"21-2101"</f>
        <v>21-2101</v>
      </c>
      <c r="H356" t="str">
        <f>"B"</f>
        <v>B</v>
      </c>
    </row>
    <row r="357" spans="1:8" x14ac:dyDescent="0.2">
      <c r="A357" t="str">
        <f t="shared" ref="A357:A364" si="130">"0608097953"</f>
        <v>0608097953</v>
      </c>
      <c r="B357" t="str">
        <f t="shared" ref="B357:B364" si="131">"KAMIYA"</f>
        <v>KAMIYA</v>
      </c>
      <c r="C357" t="str">
        <f t="shared" si="124"/>
        <v>ALLEN</v>
      </c>
      <c r="D357">
        <f>12</f>
        <v>12</v>
      </c>
      <c r="E357" t="str">
        <f>"04 - A - 101 - Chrystina M Marchionne"</f>
        <v>04 - A - 101 - Chrystina M Marchionne</v>
      </c>
      <c r="F357" t="str">
        <f>"THEA CIN &amp; FILM LH"</f>
        <v>THEA CIN &amp; FILM LH</v>
      </c>
      <c r="G357" t="str">
        <f>"05-520"</f>
        <v>05-520</v>
      </c>
      <c r="H357" t="str">
        <f>"A"</f>
        <v>A</v>
      </c>
    </row>
    <row r="358" spans="1:8" x14ac:dyDescent="0.2">
      <c r="A358" t="str">
        <f t="shared" si="130"/>
        <v>0608097953</v>
      </c>
      <c r="B358" t="str">
        <f t="shared" si="131"/>
        <v>KAMIYA</v>
      </c>
      <c r="C358" t="str">
        <f t="shared" si="124"/>
        <v>ALLEN</v>
      </c>
      <c r="D358">
        <f>12</f>
        <v>12</v>
      </c>
      <c r="E358" t="str">
        <f>"06 - B - 001 - Robert O Burger"</f>
        <v>06 - B - 001 - Robert O Burger</v>
      </c>
      <c r="F358" t="str">
        <f>"NC STUDY HALL 1"</f>
        <v>NC STUDY HALL 1</v>
      </c>
      <c r="G358" t="str">
        <f>"17-1755"</f>
        <v>17-1755</v>
      </c>
      <c r="H358" t="str">
        <f>"B"</f>
        <v>B</v>
      </c>
    </row>
    <row r="359" spans="1:8" x14ac:dyDescent="0.2">
      <c r="A359" t="str">
        <f t="shared" si="130"/>
        <v>0608097953</v>
      </c>
      <c r="B359" t="str">
        <f t="shared" si="131"/>
        <v>KAMIYA</v>
      </c>
      <c r="C359" t="str">
        <f t="shared" si="124"/>
        <v>ALLEN</v>
      </c>
      <c r="D359">
        <f>12</f>
        <v>12</v>
      </c>
      <c r="E359" t="str">
        <f>"03 - A - 101 - Dorothy D Moore"</f>
        <v>03 - A - 101 - Dorothy D Moore</v>
      </c>
      <c r="F359" t="str">
        <f>"FORC SCI 1 LH"</f>
        <v>FORC SCI 1 LH</v>
      </c>
      <c r="G359" t="str">
        <f>"08-803"</f>
        <v>08-803</v>
      </c>
      <c r="H359" t="str">
        <f>"A"</f>
        <v>A</v>
      </c>
    </row>
    <row r="360" spans="1:8" x14ac:dyDescent="0.2">
      <c r="A360" t="str">
        <f t="shared" si="130"/>
        <v>0608097953</v>
      </c>
      <c r="B360" t="str">
        <f t="shared" si="131"/>
        <v>KAMIYA</v>
      </c>
      <c r="C360" t="str">
        <f t="shared" si="124"/>
        <v>ALLEN</v>
      </c>
      <c r="D360">
        <f>12</f>
        <v>12</v>
      </c>
      <c r="E360" t="str">
        <f>"02 - A - 102 - Jeffrey S Gallagher"</f>
        <v>02 - A - 102 - Jeffrey S Gallagher</v>
      </c>
      <c r="F360" t="str">
        <f>"ENG HON 4"</f>
        <v>ENG HON 4</v>
      </c>
      <c r="G360" t="str">
        <f>"17-1724"</f>
        <v>17-1724</v>
      </c>
      <c r="H360" t="str">
        <f>"A"</f>
        <v>A</v>
      </c>
    </row>
    <row r="361" spans="1:8" x14ac:dyDescent="0.2">
      <c r="A361" t="str">
        <f t="shared" si="130"/>
        <v>0608097953</v>
      </c>
      <c r="B361" t="str">
        <f t="shared" si="131"/>
        <v>KAMIYA</v>
      </c>
      <c r="C361" t="str">
        <f t="shared" si="124"/>
        <v>ALLEN</v>
      </c>
      <c r="D361">
        <f>12</f>
        <v>12</v>
      </c>
      <c r="E361" t="str">
        <f>"07 - B - 101 - Lisa  Quinn"</f>
        <v>07 - B - 101 - Lisa  Quinn</v>
      </c>
      <c r="F361" t="str">
        <f>"RESEARCH 1"</f>
        <v>RESEARCH 1</v>
      </c>
      <c r="G361" t="str">
        <f>"17-1725"</f>
        <v>17-1725</v>
      </c>
      <c r="H361" t="str">
        <f>"B"</f>
        <v>B</v>
      </c>
    </row>
    <row r="362" spans="1:8" x14ac:dyDescent="0.2">
      <c r="A362" t="str">
        <f t="shared" si="130"/>
        <v>0608097953</v>
      </c>
      <c r="B362" t="str">
        <f t="shared" si="131"/>
        <v>KAMIYA</v>
      </c>
      <c r="C362" t="str">
        <f t="shared" si="124"/>
        <v>ALLEN</v>
      </c>
      <c r="D362">
        <f>12</f>
        <v>12</v>
      </c>
      <c r="E362" t="str">
        <f>"05 - B - 104 - Lourivaldo  Da Silva"</f>
        <v>05 - B - 104 - Lourivaldo  Da Silva</v>
      </c>
      <c r="F362" t="str">
        <f>"PRE-CALCULUS HON"</f>
        <v>PRE-CALCULUS HON</v>
      </c>
      <c r="G362" t="str">
        <f>"20-2079"</f>
        <v>20-2079</v>
      </c>
      <c r="H362" t="str">
        <f>"B"</f>
        <v>B</v>
      </c>
    </row>
    <row r="363" spans="1:8" x14ac:dyDescent="0.2">
      <c r="A363" t="str">
        <f t="shared" si="130"/>
        <v>0608097953</v>
      </c>
      <c r="B363" t="str">
        <f t="shared" si="131"/>
        <v>KAMIYA</v>
      </c>
      <c r="C363" t="str">
        <f t="shared" si="124"/>
        <v>ALLEN</v>
      </c>
      <c r="D363">
        <f>12</f>
        <v>12</v>
      </c>
      <c r="E363" t="str">
        <f>"01 - A - 101 - Nikiel  Nesbeth"</f>
        <v>01 - A - 101 - Nikiel  Nesbeth</v>
      </c>
      <c r="F363" t="str">
        <f>"CONST LAW HON"</f>
        <v>CONST LAW HON</v>
      </c>
      <c r="G363" t="str">
        <f>"17-1705"</f>
        <v>17-1705</v>
      </c>
      <c r="H363" t="str">
        <f>"A"</f>
        <v>A</v>
      </c>
    </row>
    <row r="364" spans="1:8" x14ac:dyDescent="0.2">
      <c r="A364" t="str">
        <f t="shared" si="130"/>
        <v>0608097953</v>
      </c>
      <c r="B364" t="str">
        <f t="shared" si="131"/>
        <v>KAMIYA</v>
      </c>
      <c r="C364" t="str">
        <f t="shared" si="124"/>
        <v>ALLEN</v>
      </c>
      <c r="D364">
        <f>12</f>
        <v>12</v>
      </c>
      <c r="E364" t="str">
        <f>"08 - S1 - B - 105 - Kelly N Panza"</f>
        <v>08 - S1 - B - 105 - Kelly N Panza</v>
      </c>
      <c r="F364" t="str">
        <f>"US GOVT HON"</f>
        <v>US GOVT HON</v>
      </c>
      <c r="G364" t="str">
        <f>"17-1753"</f>
        <v>17-1753</v>
      </c>
      <c r="H364" t="str">
        <f>"B"</f>
        <v>B</v>
      </c>
    </row>
    <row r="365" spans="1:8" x14ac:dyDescent="0.2">
      <c r="A365" t="str">
        <f t="shared" ref="A365:A372" si="132">"0614050063"</f>
        <v>0614050063</v>
      </c>
      <c r="B365" t="str">
        <f t="shared" ref="B365:B372" si="133">"SAMANTHA"</f>
        <v>SAMANTHA</v>
      </c>
      <c r="C365" t="str">
        <f t="shared" ref="C365:C372" si="134">"ALLIE"</f>
        <v>ALLIE</v>
      </c>
      <c r="D365">
        <f>12</f>
        <v>12</v>
      </c>
      <c r="E365" t="str">
        <f>"04 - A - 101 - Stefanie S Scher"</f>
        <v>04 - A - 101 - Stefanie S Scher</v>
      </c>
      <c r="F365" t="str">
        <f>"AP PSYCH"</f>
        <v>AP PSYCH</v>
      </c>
      <c r="G365" t="str">
        <f>"17-1735"</f>
        <v>17-1735</v>
      </c>
      <c r="H365" t="str">
        <f>"A"</f>
        <v>A</v>
      </c>
    </row>
    <row r="366" spans="1:8" x14ac:dyDescent="0.2">
      <c r="A366" t="str">
        <f t="shared" si="132"/>
        <v>0614050063</v>
      </c>
      <c r="B366" t="str">
        <f t="shared" si="133"/>
        <v>SAMANTHA</v>
      </c>
      <c r="C366" t="str">
        <f t="shared" si="134"/>
        <v>ALLIE</v>
      </c>
      <c r="D366">
        <f>12</f>
        <v>12</v>
      </c>
      <c r="E366" t="str">
        <f>"06 - B - 106 - Taraneh C Abreu"</f>
        <v>06 - B - 106 - Taraneh C Abreu</v>
      </c>
      <c r="F366" t="str">
        <f>"NC STUDY HALL 1"</f>
        <v>NC STUDY HALL 1</v>
      </c>
      <c r="G366" t="str">
        <f>"17-1713"</f>
        <v>17-1713</v>
      </c>
      <c r="H366" t="str">
        <f>"B"</f>
        <v>B</v>
      </c>
    </row>
    <row r="367" spans="1:8" x14ac:dyDescent="0.2">
      <c r="A367" t="str">
        <f t="shared" si="132"/>
        <v>0614050063</v>
      </c>
      <c r="B367" t="str">
        <f t="shared" si="133"/>
        <v>SAMANTHA</v>
      </c>
      <c r="C367" t="str">
        <f t="shared" si="134"/>
        <v>ALLIE</v>
      </c>
      <c r="D367">
        <f>12</f>
        <v>12</v>
      </c>
      <c r="E367" t="str">
        <f>"03 - S1 - A - 102 - Angela S Adeshina-Morrison"</f>
        <v>03 - S1 - A - 102 - Angela S Adeshina-Morrison</v>
      </c>
      <c r="F367" t="str">
        <f>"PEER COUN 1"</f>
        <v>PEER COUN 1</v>
      </c>
      <c r="G367" t="str">
        <f>"05-518"</f>
        <v>05-518</v>
      </c>
      <c r="H367" t="str">
        <f>"A"</f>
        <v>A</v>
      </c>
    </row>
    <row r="368" spans="1:8" x14ac:dyDescent="0.2">
      <c r="A368" t="str">
        <f t="shared" si="132"/>
        <v>0614050063</v>
      </c>
      <c r="B368" t="str">
        <f t="shared" si="133"/>
        <v>SAMANTHA</v>
      </c>
      <c r="C368" t="str">
        <f t="shared" si="134"/>
        <v>ALLIE</v>
      </c>
      <c r="D368">
        <f>12</f>
        <v>12</v>
      </c>
      <c r="E368" t="str">
        <f>"02 - S1 - A - 103 - Barbara L Segal"</f>
        <v>02 - S1 - A - 103 - Barbara L Segal</v>
      </c>
      <c r="F368" t="str">
        <f>"US GOVT HON"</f>
        <v>US GOVT HON</v>
      </c>
      <c r="G368" t="str">
        <f>"17-1742"</f>
        <v>17-1742</v>
      </c>
      <c r="H368" t="str">
        <f>"A"</f>
        <v>A</v>
      </c>
    </row>
    <row r="369" spans="1:8" x14ac:dyDescent="0.2">
      <c r="A369" t="str">
        <f t="shared" si="132"/>
        <v>0614050063</v>
      </c>
      <c r="B369" t="str">
        <f t="shared" si="133"/>
        <v>SAMANTHA</v>
      </c>
      <c r="C369" t="str">
        <f t="shared" si="134"/>
        <v>ALLIE</v>
      </c>
      <c r="D369">
        <f>12</f>
        <v>12</v>
      </c>
      <c r="E369" t="str">
        <f>"07 - B - 106 - Norayda D Suarez"</f>
        <v>07 - B - 106 - Norayda D Suarez</v>
      </c>
      <c r="F369" t="str">
        <f>"RESEARCH 1 LH"</f>
        <v>RESEARCH 1 LH</v>
      </c>
      <c r="G369">
        <f>2041</f>
        <v>2041</v>
      </c>
      <c r="H369" t="str">
        <f>"B"</f>
        <v>B</v>
      </c>
    </row>
    <row r="370" spans="1:8" x14ac:dyDescent="0.2">
      <c r="A370" t="str">
        <f t="shared" si="132"/>
        <v>0614050063</v>
      </c>
      <c r="B370" t="str">
        <f t="shared" si="133"/>
        <v>SAMANTHA</v>
      </c>
      <c r="C370" t="str">
        <f t="shared" si="134"/>
        <v>ALLIE</v>
      </c>
      <c r="D370">
        <f>12</f>
        <v>12</v>
      </c>
      <c r="E370" t="str">
        <f>"05 - B - 106 - Thomas G Handwerg"</f>
        <v>05 - B - 106 - Thomas G Handwerg</v>
      </c>
      <c r="F370" t="str">
        <f>"MATH COLL ALGEBRA"</f>
        <v>MATH COLL ALGEBRA</v>
      </c>
      <c r="G370" t="str">
        <f>"21-2146"</f>
        <v>21-2146</v>
      </c>
      <c r="H370" t="str">
        <f>"B"</f>
        <v>B</v>
      </c>
    </row>
    <row r="371" spans="1:8" x14ac:dyDescent="0.2">
      <c r="A371" t="str">
        <f t="shared" si="132"/>
        <v>0614050063</v>
      </c>
      <c r="B371" t="str">
        <f t="shared" si="133"/>
        <v>SAMANTHA</v>
      </c>
      <c r="C371" t="str">
        <f t="shared" si="134"/>
        <v>ALLIE</v>
      </c>
      <c r="D371">
        <f>12</f>
        <v>12</v>
      </c>
      <c r="E371" t="str">
        <f>"01 - A - 001 - Dorothy D Moore"</f>
        <v>01 - A - 001 - Dorothy D Moore</v>
      </c>
      <c r="F371" t="str">
        <f>"ANAT PHYSIO HON"</f>
        <v>ANAT PHYSIO HON</v>
      </c>
      <c r="G371" t="str">
        <f>"08-803"</f>
        <v>08-803</v>
      </c>
      <c r="H371" t="str">
        <f>"A"</f>
        <v>A</v>
      </c>
    </row>
    <row r="372" spans="1:8" x14ac:dyDescent="0.2">
      <c r="A372" t="str">
        <f t="shared" si="132"/>
        <v>0614050063</v>
      </c>
      <c r="B372" t="str">
        <f t="shared" si="133"/>
        <v>SAMANTHA</v>
      </c>
      <c r="C372" t="str">
        <f t="shared" si="134"/>
        <v>ALLIE</v>
      </c>
      <c r="D372">
        <f>12</f>
        <v>12</v>
      </c>
      <c r="E372" t="str">
        <f>"08 - B - 203 - Courtney E Hambright"</f>
        <v>08 - B - 203 - Courtney E Hambright</v>
      </c>
      <c r="F372" t="str">
        <f>"AP ENG LIT COMPO"</f>
        <v>AP ENG LIT COMPO</v>
      </c>
      <c r="G372" t="str">
        <f>"17-1711"</f>
        <v>17-1711</v>
      </c>
      <c r="H372" t="str">
        <f>"B"</f>
        <v>B</v>
      </c>
    </row>
    <row r="373" spans="1:8" x14ac:dyDescent="0.2">
      <c r="A373" t="str">
        <f t="shared" ref="A373:A380" si="135">"0626000548"</f>
        <v>0626000548</v>
      </c>
      <c r="B373" t="str">
        <f t="shared" ref="B373:B380" si="136">"SALMA"</f>
        <v>SALMA</v>
      </c>
      <c r="C373" t="str">
        <f t="shared" ref="C373:C380" si="137">"AL MAHSIRI"</f>
        <v>AL MAHSIRI</v>
      </c>
      <c r="D373">
        <f>10</f>
        <v>10</v>
      </c>
      <c r="E373" t="str">
        <f>"04 - A - 104 - Nikiel  Nesbeth"</f>
        <v>04 - A - 104 - Nikiel  Nesbeth</v>
      </c>
      <c r="F373" t="str">
        <f>"ENG 2"</f>
        <v>ENG 2</v>
      </c>
      <c r="G373" t="str">
        <f>"17-1705"</f>
        <v>17-1705</v>
      </c>
      <c r="H373" t="str">
        <f>"A"</f>
        <v>A</v>
      </c>
    </row>
    <row r="374" spans="1:8" x14ac:dyDescent="0.2">
      <c r="A374" t="str">
        <f t="shared" si="135"/>
        <v>0626000548</v>
      </c>
      <c r="B374" t="str">
        <f t="shared" si="136"/>
        <v>SALMA</v>
      </c>
      <c r="C374" t="str">
        <f t="shared" si="137"/>
        <v>AL MAHSIRI</v>
      </c>
      <c r="D374">
        <f>10</f>
        <v>10</v>
      </c>
      <c r="E374" t="str">
        <f>"06 - B - 112 - Tina M Jaramillo"</f>
        <v>06 - B - 112 - Tina M Jaramillo</v>
      </c>
      <c r="F374" t="str">
        <f>"NC STUDY HALL 1"</f>
        <v>NC STUDY HALL 1</v>
      </c>
      <c r="G374" t="str">
        <f>"17-1706"</f>
        <v>17-1706</v>
      </c>
      <c r="H374" t="str">
        <f>"B"</f>
        <v>B</v>
      </c>
    </row>
    <row r="375" spans="1:8" x14ac:dyDescent="0.2">
      <c r="A375" t="str">
        <f t="shared" si="135"/>
        <v>0626000548</v>
      </c>
      <c r="B375" t="str">
        <f t="shared" si="136"/>
        <v>SALMA</v>
      </c>
      <c r="C375" t="str">
        <f t="shared" si="137"/>
        <v>AL MAHSIRI</v>
      </c>
      <c r="D375">
        <f>10</f>
        <v>10</v>
      </c>
      <c r="E375" t="str">
        <f>"03 - A - 204 - Lytrell T Dixon"</f>
        <v>03 - A - 204 - Lytrell T Dixon</v>
      </c>
      <c r="F375" t="str">
        <f>"BIOLOGY 1"</f>
        <v>BIOLOGY 1</v>
      </c>
      <c r="G375" t="str">
        <f>"08-808"</f>
        <v>08-808</v>
      </c>
      <c r="H375" t="str">
        <f>"A"</f>
        <v>A</v>
      </c>
    </row>
    <row r="376" spans="1:8" x14ac:dyDescent="0.2">
      <c r="A376" t="str">
        <f t="shared" si="135"/>
        <v>0626000548</v>
      </c>
      <c r="B376" t="str">
        <f t="shared" si="136"/>
        <v>SALMA</v>
      </c>
      <c r="C376" t="str">
        <f t="shared" si="137"/>
        <v>AL MAHSIRI</v>
      </c>
      <c r="D376">
        <f>10</f>
        <v>10</v>
      </c>
      <c r="E376" t="str">
        <f>"02 - S1 - A - 101 - James H Mccann"</f>
        <v>02 - S1 - A - 101 - James H Mccann</v>
      </c>
      <c r="F376" t="str">
        <f>"PERS FIN &amp; MON MGT H"</f>
        <v>PERS FIN &amp; MON MGT H</v>
      </c>
      <c r="G376" t="str">
        <f>"17-1716"</f>
        <v>17-1716</v>
      </c>
      <c r="H376" t="str">
        <f>"A"</f>
        <v>A</v>
      </c>
    </row>
    <row r="377" spans="1:8" x14ac:dyDescent="0.2">
      <c r="A377" t="str">
        <f t="shared" si="135"/>
        <v>0626000548</v>
      </c>
      <c r="B377" t="str">
        <f t="shared" si="136"/>
        <v>SALMA</v>
      </c>
      <c r="C377" t="str">
        <f t="shared" si="137"/>
        <v>AL MAHSIRI</v>
      </c>
      <c r="D377">
        <f>10</f>
        <v>10</v>
      </c>
      <c r="E377" t="str">
        <f>"07 - B - 110 - Ferrie J Arostique"</f>
        <v>07 - B - 110 - Ferrie J Arostique</v>
      </c>
      <c r="F377" t="str">
        <f>"GEOMETRY"</f>
        <v>GEOMETRY</v>
      </c>
      <c r="G377" t="str">
        <f>"21-2139"</f>
        <v>21-2139</v>
      </c>
      <c r="H377" t="str">
        <f>"B"</f>
        <v>B</v>
      </c>
    </row>
    <row r="378" spans="1:8" x14ac:dyDescent="0.2">
      <c r="A378" t="str">
        <f t="shared" si="135"/>
        <v>0626000548</v>
      </c>
      <c r="B378" t="str">
        <f t="shared" si="136"/>
        <v>SALMA</v>
      </c>
      <c r="C378" t="str">
        <f t="shared" si="137"/>
        <v>AL MAHSIRI</v>
      </c>
      <c r="D378">
        <f>10</f>
        <v>10</v>
      </c>
      <c r="E378" t="str">
        <f>"05 - S1 - B - 103 - Leslie J Barton"</f>
        <v>05 - S1 - B - 103 - Leslie J Barton</v>
      </c>
      <c r="F378" t="str">
        <f>"FIRST AID SAFETY"</f>
        <v>FIRST AID SAFETY</v>
      </c>
      <c r="G378" t="str">
        <f>"05-521"</f>
        <v>05-521</v>
      </c>
      <c r="H378" t="str">
        <f>"B"</f>
        <v>B</v>
      </c>
    </row>
    <row r="379" spans="1:8" x14ac:dyDescent="0.2">
      <c r="A379" t="str">
        <f t="shared" si="135"/>
        <v>0626000548</v>
      </c>
      <c r="B379" t="str">
        <f t="shared" si="136"/>
        <v>SALMA</v>
      </c>
      <c r="C379" t="str">
        <f t="shared" si="137"/>
        <v>AL MAHSIRI</v>
      </c>
      <c r="D379">
        <f>10</f>
        <v>10</v>
      </c>
      <c r="E379" t="str">
        <f>"01 - A - 101 - Adam Marcus  Drucker"</f>
        <v>01 - A - 101 - Adam Marcus  Drucker</v>
      </c>
      <c r="F379" t="str">
        <f>"HOPE-PE V"</f>
        <v>HOPE-PE V</v>
      </c>
      <c r="G379" t="str">
        <f>"04-254"</f>
        <v>04-254</v>
      </c>
      <c r="H379" t="str">
        <f>"A"</f>
        <v>A</v>
      </c>
    </row>
    <row r="380" spans="1:8" x14ac:dyDescent="0.2">
      <c r="A380" t="str">
        <f t="shared" si="135"/>
        <v>0626000548</v>
      </c>
      <c r="B380" t="str">
        <f t="shared" si="136"/>
        <v>SALMA</v>
      </c>
      <c r="C380" t="str">
        <f t="shared" si="137"/>
        <v>AL MAHSIRI</v>
      </c>
      <c r="D380">
        <f>10</f>
        <v>10</v>
      </c>
      <c r="E380" t="str">
        <f>"08 - B - 001 - Brian M Fitzgerald"</f>
        <v>08 - B - 001 - Brian M Fitzgerald</v>
      </c>
      <c r="F380" t="str">
        <f>"CERAM/POT 1"</f>
        <v>CERAM/POT 1</v>
      </c>
      <c r="G380" t="str">
        <f>"09-908"</f>
        <v>09-908</v>
      </c>
      <c r="H380" t="str">
        <f>"B"</f>
        <v>B</v>
      </c>
    </row>
    <row r="381" spans="1:8" x14ac:dyDescent="0.2">
      <c r="A381" t="str">
        <f t="shared" ref="A381:A386" si="138">"0616118664"</f>
        <v>0616118664</v>
      </c>
      <c r="B381" t="str">
        <f t="shared" ref="B381:B386" si="139">"CAROLINE"</f>
        <v>CAROLINE</v>
      </c>
      <c r="C381" t="str">
        <f t="shared" ref="C381:C386" si="140">"ALMEIDA"</f>
        <v>ALMEIDA</v>
      </c>
      <c r="D381" t="str">
        <f t="shared" ref="D381:D386" si="141">"09"</f>
        <v>09</v>
      </c>
      <c r="E381" t="str">
        <f>"06 - B - 105 - Cerine S Stewart"</f>
        <v>06 - B - 105 - Cerine S Stewart</v>
      </c>
      <c r="F381" t="str">
        <f>"AICE ENG GEN PAPER 1"</f>
        <v>AICE ENG GEN PAPER 1</v>
      </c>
      <c r="G381" t="str">
        <f>"17-1720"</f>
        <v>17-1720</v>
      </c>
      <c r="H381" t="str">
        <f>"B"</f>
        <v>B</v>
      </c>
    </row>
    <row r="382" spans="1:8" x14ac:dyDescent="0.2">
      <c r="A382" t="str">
        <f t="shared" si="138"/>
        <v>0616118664</v>
      </c>
      <c r="B382" t="str">
        <f t="shared" si="139"/>
        <v>CAROLINE</v>
      </c>
      <c r="C382" t="str">
        <f t="shared" si="140"/>
        <v>ALMEIDA</v>
      </c>
      <c r="D382" t="str">
        <f t="shared" si="141"/>
        <v>09</v>
      </c>
      <c r="E382" t="str">
        <f>"03 - A - 103 - Kelly N Panza"</f>
        <v>03 - A - 103 - Kelly N Panza</v>
      </c>
      <c r="F382" t="str">
        <f>"AICE GLBL PERSP 1 AS"</f>
        <v>AICE GLBL PERSP 1 AS</v>
      </c>
      <c r="G382" t="str">
        <f>"17-1753"</f>
        <v>17-1753</v>
      </c>
      <c r="H382" t="str">
        <f>"A"</f>
        <v>A</v>
      </c>
    </row>
    <row r="383" spans="1:8" x14ac:dyDescent="0.2">
      <c r="A383" t="str">
        <f t="shared" si="138"/>
        <v>0616118664</v>
      </c>
      <c r="B383" t="str">
        <f t="shared" si="139"/>
        <v>CAROLINE</v>
      </c>
      <c r="C383" t="str">
        <f t="shared" si="140"/>
        <v>ALMEIDA</v>
      </c>
      <c r="D383" t="str">
        <f t="shared" si="141"/>
        <v>09</v>
      </c>
      <c r="E383" t="str">
        <f>"02 - A - 101 - Josiah I Lacy"</f>
        <v>02 - A - 101 - Josiah I Lacy</v>
      </c>
      <c r="F383" t="str">
        <f>"NC STUDY HALL 1"</f>
        <v>NC STUDY HALL 1</v>
      </c>
      <c r="G383" t="str">
        <f>"08-801"</f>
        <v>08-801</v>
      </c>
      <c r="H383" t="str">
        <f>"A"</f>
        <v>A</v>
      </c>
    </row>
    <row r="384" spans="1:8" x14ac:dyDescent="0.2">
      <c r="A384" t="str">
        <f t="shared" si="138"/>
        <v>0616118664</v>
      </c>
      <c r="B384" t="str">
        <f t="shared" si="139"/>
        <v>CAROLINE</v>
      </c>
      <c r="C384" t="str">
        <f t="shared" si="140"/>
        <v>ALMEIDA</v>
      </c>
      <c r="D384" t="str">
        <f t="shared" si="141"/>
        <v>09</v>
      </c>
      <c r="E384" t="str">
        <f>"07 - B - 202 - Chrystina M Marchionne"</f>
        <v>07 - B - 202 - Chrystina M Marchionne</v>
      </c>
      <c r="F384" t="str">
        <f>"JOURN 1 (YB) LH"</f>
        <v>JOURN 1 (YB) LH</v>
      </c>
      <c r="G384" t="str">
        <f>"05-520"</f>
        <v>05-520</v>
      </c>
      <c r="H384" t="str">
        <f>"B"</f>
        <v>B</v>
      </c>
    </row>
    <row r="385" spans="1:8" x14ac:dyDescent="0.2">
      <c r="A385" t="str">
        <f t="shared" si="138"/>
        <v>0616118664</v>
      </c>
      <c r="B385" t="str">
        <f t="shared" si="139"/>
        <v>CAROLINE</v>
      </c>
      <c r="C385" t="str">
        <f t="shared" si="140"/>
        <v>ALMEIDA</v>
      </c>
      <c r="D385" t="str">
        <f t="shared" si="141"/>
        <v>09</v>
      </c>
      <c r="E385" t="str">
        <f>"05 - B - 103 - Byron G Montenegro"</f>
        <v>05 - B - 103 - Byron G Montenegro</v>
      </c>
      <c r="F385" t="str">
        <f>"AICE MARINE SCI 1 AS"</f>
        <v>AICE MARINE SCI 1 AS</v>
      </c>
      <c r="G385" t="str">
        <f>"21-2144"</f>
        <v>21-2144</v>
      </c>
      <c r="H385" t="str">
        <f>"B"</f>
        <v>B</v>
      </c>
    </row>
    <row r="386" spans="1:8" x14ac:dyDescent="0.2">
      <c r="A386" t="str">
        <f t="shared" si="138"/>
        <v>0616118664</v>
      </c>
      <c r="B386" t="str">
        <f t="shared" si="139"/>
        <v>CAROLINE</v>
      </c>
      <c r="C386" t="str">
        <f t="shared" si="140"/>
        <v>ALMEIDA</v>
      </c>
      <c r="D386" t="str">
        <f t="shared" si="141"/>
        <v>09</v>
      </c>
      <c r="E386" t="str">
        <f>"01 - A - 101 - Maried P Ramos"</f>
        <v>01 - A - 101 - Maried P Ramos</v>
      </c>
      <c r="F386" t="str">
        <f>"ALGEBRA 2 HON"</f>
        <v>ALGEBRA 2 HON</v>
      </c>
      <c r="G386" t="str">
        <f>"21-2159"</f>
        <v>21-2159</v>
      </c>
      <c r="H386" t="str">
        <f>"A"</f>
        <v>A</v>
      </c>
    </row>
    <row r="387" spans="1:8" x14ac:dyDescent="0.2">
      <c r="A387" t="str">
        <f t="shared" ref="A387:A394" si="142">"0609110090"</f>
        <v>0609110090</v>
      </c>
      <c r="B387" t="str">
        <f t="shared" ref="B387:B394" si="143">"BRIANNA"</f>
        <v>BRIANNA</v>
      </c>
      <c r="C387" t="str">
        <f t="shared" ref="C387:C394" si="144">"ALMONORD"</f>
        <v>ALMONORD</v>
      </c>
      <c r="D387">
        <f>11</f>
        <v>11</v>
      </c>
      <c r="E387" t="str">
        <f>"04 - A - 102 - Daniel S Katz"</f>
        <v>04 - A - 102 - Daniel S Katz</v>
      </c>
      <c r="F387" t="str">
        <f>"AICE DRAMA 1 AS LEV"</f>
        <v>AICE DRAMA 1 AS LEV</v>
      </c>
      <c r="G387" t="str">
        <f>"05-521"</f>
        <v>05-521</v>
      </c>
      <c r="H387" t="str">
        <f>"A"</f>
        <v>A</v>
      </c>
    </row>
    <row r="388" spans="1:8" x14ac:dyDescent="0.2">
      <c r="A388" t="str">
        <f t="shared" si="142"/>
        <v>0609110090</v>
      </c>
      <c r="B388" t="str">
        <f t="shared" si="143"/>
        <v>BRIANNA</v>
      </c>
      <c r="C388" t="str">
        <f t="shared" si="144"/>
        <v>ALMONORD</v>
      </c>
      <c r="D388">
        <f>11</f>
        <v>11</v>
      </c>
      <c r="E388" t="str">
        <f>"06 - S1 - B - 102 - Daniel S Katz"</f>
        <v>06 - S1 - B - 102 - Daniel S Katz</v>
      </c>
      <c r="F388" t="str">
        <f>"COURT PROCED"</f>
        <v>COURT PROCED</v>
      </c>
      <c r="G388" t="str">
        <f>"21-2156"</f>
        <v>21-2156</v>
      </c>
      <c r="H388" t="str">
        <f>"B"</f>
        <v>B</v>
      </c>
    </row>
    <row r="389" spans="1:8" x14ac:dyDescent="0.2">
      <c r="A389" t="str">
        <f t="shared" si="142"/>
        <v>0609110090</v>
      </c>
      <c r="B389" t="str">
        <f t="shared" si="143"/>
        <v>BRIANNA</v>
      </c>
      <c r="C389" t="str">
        <f t="shared" si="144"/>
        <v>ALMONORD</v>
      </c>
      <c r="D389">
        <f>11</f>
        <v>11</v>
      </c>
      <c r="E389" t="str">
        <f>"03 - A - 102 - Semra  Bahadir"</f>
        <v>03 - A - 102 - Semra  Bahadir</v>
      </c>
      <c r="F389" t="str">
        <f>"ALGEBRA 2"</f>
        <v>ALGEBRA 2</v>
      </c>
      <c r="G389" t="str">
        <f>"21-2107"</f>
        <v>21-2107</v>
      </c>
      <c r="H389" t="str">
        <f>"A"</f>
        <v>A</v>
      </c>
    </row>
    <row r="390" spans="1:8" x14ac:dyDescent="0.2">
      <c r="A390" t="str">
        <f t="shared" si="142"/>
        <v>0609110090</v>
      </c>
      <c r="B390" t="str">
        <f t="shared" si="143"/>
        <v>BRIANNA</v>
      </c>
      <c r="C390" t="str">
        <f t="shared" si="144"/>
        <v>ALMONORD</v>
      </c>
      <c r="D390">
        <f>11</f>
        <v>11</v>
      </c>
      <c r="E390" t="str">
        <f>"02 - A - 001 - Jazmin S Fletcher"</f>
        <v>02 - A - 001 - Jazmin S Fletcher</v>
      </c>
      <c r="F390" t="str">
        <f>"NC STUDY HALL 1"</f>
        <v>NC STUDY HALL 1</v>
      </c>
      <c r="G390" t="str">
        <f>"09-909"</f>
        <v>09-909</v>
      </c>
      <c r="H390" t="str">
        <f>"A"</f>
        <v>A</v>
      </c>
    </row>
    <row r="391" spans="1:8" x14ac:dyDescent="0.2">
      <c r="A391" t="str">
        <f t="shared" si="142"/>
        <v>0609110090</v>
      </c>
      <c r="B391" t="str">
        <f t="shared" si="143"/>
        <v>BRIANNA</v>
      </c>
      <c r="C391" t="str">
        <f t="shared" si="144"/>
        <v>ALMONORD</v>
      </c>
      <c r="D391">
        <f>11</f>
        <v>11</v>
      </c>
      <c r="E391" t="str">
        <f>"07 - B - 104 - Marielle A Witting"</f>
        <v>07 - B - 104 - Marielle A Witting</v>
      </c>
      <c r="F391" t="str">
        <f>"ANAT PHYSIO"</f>
        <v>ANAT PHYSIO</v>
      </c>
      <c r="G391" t="str">
        <f>"08-805"</f>
        <v>08-805</v>
      </c>
      <c r="H391" t="str">
        <f>"B"</f>
        <v>B</v>
      </c>
    </row>
    <row r="392" spans="1:8" x14ac:dyDescent="0.2">
      <c r="A392" t="str">
        <f t="shared" si="142"/>
        <v>0609110090</v>
      </c>
      <c r="B392" t="str">
        <f t="shared" si="143"/>
        <v>BRIANNA</v>
      </c>
      <c r="C392" t="str">
        <f t="shared" si="144"/>
        <v>ALMONORD</v>
      </c>
      <c r="D392">
        <f>11</f>
        <v>11</v>
      </c>
      <c r="E392" t="str">
        <f>"05 - B - 103 - Vanessa J Liburd"</f>
        <v>05 - B - 103 - Vanessa J Liburd</v>
      </c>
      <c r="F392" t="str">
        <f>"PRE-AICE FRENCH 2 IG"</f>
        <v>PRE-AICE FRENCH 2 IG</v>
      </c>
      <c r="G392" t="str">
        <f>"05-519"</f>
        <v>05-519</v>
      </c>
      <c r="H392" t="str">
        <f>"B"</f>
        <v>B</v>
      </c>
    </row>
    <row r="393" spans="1:8" x14ac:dyDescent="0.2">
      <c r="A393" t="str">
        <f t="shared" si="142"/>
        <v>0609110090</v>
      </c>
      <c r="B393" t="str">
        <f t="shared" si="143"/>
        <v>BRIANNA</v>
      </c>
      <c r="C393" t="str">
        <f t="shared" si="144"/>
        <v>ALMONORD</v>
      </c>
      <c r="D393">
        <f>11</f>
        <v>11</v>
      </c>
      <c r="E393" t="str">
        <f>"01 - A - 104 - Jerry S Jiampetti"</f>
        <v>01 - A - 104 - Jerry S Jiampetti</v>
      </c>
      <c r="F393" t="str">
        <f>"US HISTORY HON"</f>
        <v>US HISTORY HON</v>
      </c>
      <c r="G393" t="str">
        <f>"17-1751"</f>
        <v>17-1751</v>
      </c>
      <c r="H393" t="str">
        <f>"A"</f>
        <v>A</v>
      </c>
    </row>
    <row r="394" spans="1:8" x14ac:dyDescent="0.2">
      <c r="A394" t="str">
        <f t="shared" si="142"/>
        <v>0609110090</v>
      </c>
      <c r="B394" t="str">
        <f t="shared" si="143"/>
        <v>BRIANNA</v>
      </c>
      <c r="C394" t="str">
        <f t="shared" si="144"/>
        <v>ALMONORD</v>
      </c>
      <c r="D394">
        <f>11</f>
        <v>11</v>
      </c>
      <c r="E394" t="str">
        <f>"08 - B - 105 - Brandy N Zdenek"</f>
        <v>08 - B - 105 - Brandy N Zdenek</v>
      </c>
      <c r="F394" t="str">
        <f>"AICE ENG LANG 2 AL"</f>
        <v>AICE ENG LANG 2 AL</v>
      </c>
      <c r="G394" t="str">
        <f>"17-1704"</f>
        <v>17-1704</v>
      </c>
      <c r="H394" t="str">
        <f>"B"</f>
        <v>B</v>
      </c>
    </row>
    <row r="395" spans="1:8" x14ac:dyDescent="0.2">
      <c r="A395" t="str">
        <f t="shared" ref="A395:A402" si="145">"0616045692"</f>
        <v>0616045692</v>
      </c>
      <c r="B395" t="str">
        <f t="shared" ref="B395:B402" si="146">"KARLENY"</f>
        <v>KARLENY</v>
      </c>
      <c r="C395" t="str">
        <f t="shared" ref="C395:C402" si="147">"ALMONTE"</f>
        <v>ALMONTE</v>
      </c>
      <c r="D395" t="str">
        <f t="shared" ref="D395:D426" si="148">"09"</f>
        <v>09</v>
      </c>
      <c r="E395" t="str">
        <f>"04 - A - 106 - Ferrie J Arostique"</f>
        <v>04 - A - 106 - Ferrie J Arostique</v>
      </c>
      <c r="F395" t="str">
        <f>"PRE-AICE MATH 2 IG"</f>
        <v>PRE-AICE MATH 2 IG</v>
      </c>
      <c r="G395" t="str">
        <f>"21-2139"</f>
        <v>21-2139</v>
      </c>
      <c r="H395" t="str">
        <f>"A"</f>
        <v>A</v>
      </c>
    </row>
    <row r="396" spans="1:8" x14ac:dyDescent="0.2">
      <c r="A396" t="str">
        <f t="shared" si="145"/>
        <v>0616045692</v>
      </c>
      <c r="B396" t="str">
        <f t="shared" si="146"/>
        <v>KARLENY</v>
      </c>
      <c r="C396" t="str">
        <f t="shared" si="147"/>
        <v>ALMONTE</v>
      </c>
      <c r="D396" t="str">
        <f t="shared" si="148"/>
        <v>09</v>
      </c>
      <c r="E396" t="str">
        <f>"06 - B - 202 - Brian M Fitzgerald"</f>
        <v>06 - B - 202 - Brian M Fitzgerald</v>
      </c>
      <c r="F396" t="str">
        <f>"DRAW 1"</f>
        <v>DRAW 1</v>
      </c>
      <c r="G396" t="str">
        <f>"09-908"</f>
        <v>09-908</v>
      </c>
      <c r="H396" t="str">
        <f>"B"</f>
        <v>B</v>
      </c>
    </row>
    <row r="397" spans="1:8" x14ac:dyDescent="0.2">
      <c r="A397" t="str">
        <f t="shared" si="145"/>
        <v>0616045692</v>
      </c>
      <c r="B397" t="str">
        <f t="shared" si="146"/>
        <v>KARLENY</v>
      </c>
      <c r="C397" t="str">
        <f t="shared" si="147"/>
        <v>ALMONTE</v>
      </c>
      <c r="D397" t="str">
        <f t="shared" si="148"/>
        <v>09</v>
      </c>
      <c r="E397" t="str">
        <f>"03 - S1 - A - 102 - Leslie J Barton"</f>
        <v>03 - S1 - A - 102 - Leslie J Barton</v>
      </c>
      <c r="F397" t="str">
        <f>"FIRST AID SAFETY"</f>
        <v>FIRST AID SAFETY</v>
      </c>
      <c r="G397" t="str">
        <f>"05-521"</f>
        <v>05-521</v>
      </c>
      <c r="H397" t="str">
        <f>"A"</f>
        <v>A</v>
      </c>
    </row>
    <row r="398" spans="1:8" x14ac:dyDescent="0.2">
      <c r="A398" t="str">
        <f t="shared" si="145"/>
        <v>0616045692</v>
      </c>
      <c r="B398" t="str">
        <f t="shared" si="146"/>
        <v>KARLENY</v>
      </c>
      <c r="C398" t="str">
        <f t="shared" si="147"/>
        <v>ALMONTE</v>
      </c>
      <c r="D398" t="str">
        <f t="shared" si="148"/>
        <v>09</v>
      </c>
      <c r="E398" t="str">
        <f>"02 - A - 105 - Elizabeth R Walker"</f>
        <v>02 - A - 105 - Elizabeth R Walker</v>
      </c>
      <c r="F398" t="str">
        <f>"NC STUDY HALL 1"</f>
        <v>NC STUDY HALL 1</v>
      </c>
      <c r="G398" t="str">
        <f>"17-1703"</f>
        <v>17-1703</v>
      </c>
      <c r="H398" t="str">
        <f>"A"</f>
        <v>A</v>
      </c>
    </row>
    <row r="399" spans="1:8" x14ac:dyDescent="0.2">
      <c r="A399" t="str">
        <f t="shared" si="145"/>
        <v>0616045692</v>
      </c>
      <c r="B399" t="str">
        <f t="shared" si="146"/>
        <v>KARLENY</v>
      </c>
      <c r="C399" t="str">
        <f t="shared" si="147"/>
        <v>ALMONTE</v>
      </c>
      <c r="D399" t="str">
        <f t="shared" si="148"/>
        <v>09</v>
      </c>
      <c r="E399" t="str">
        <f>"07 - B - 003 - Brandy N Zdenek"</f>
        <v>07 - B - 003 - Brandy N Zdenek</v>
      </c>
      <c r="F399" t="str">
        <f>"AICE ENG GEN PAPER 1"</f>
        <v>AICE ENG GEN PAPER 1</v>
      </c>
      <c r="G399" t="str">
        <f>"17-1704"</f>
        <v>17-1704</v>
      </c>
      <c r="H399" t="str">
        <f>"B"</f>
        <v>B</v>
      </c>
    </row>
    <row r="400" spans="1:8" x14ac:dyDescent="0.2">
      <c r="A400" t="str">
        <f t="shared" si="145"/>
        <v>0616045692</v>
      </c>
      <c r="B400" t="str">
        <f t="shared" si="146"/>
        <v>KARLENY</v>
      </c>
      <c r="C400" t="str">
        <f t="shared" si="147"/>
        <v>ALMONTE</v>
      </c>
      <c r="D400" t="str">
        <f t="shared" si="148"/>
        <v>09</v>
      </c>
      <c r="E400" t="str">
        <f>"05 - B - 102 - Jeanne M Bermudez"</f>
        <v>05 - B - 102 - Jeanne M Bermudez</v>
      </c>
      <c r="F400" t="str">
        <f>"ADVANCED IT HON"</f>
        <v>ADVANCED IT HON</v>
      </c>
      <c r="G400" t="str">
        <f>"21-2141"</f>
        <v>21-2141</v>
      </c>
      <c r="H400" t="str">
        <f>"B"</f>
        <v>B</v>
      </c>
    </row>
    <row r="401" spans="1:8" x14ac:dyDescent="0.2">
      <c r="A401" t="str">
        <f t="shared" si="145"/>
        <v>0616045692</v>
      </c>
      <c r="B401" t="str">
        <f t="shared" si="146"/>
        <v>KARLENY</v>
      </c>
      <c r="C401" t="str">
        <f t="shared" si="147"/>
        <v>ALMONTE</v>
      </c>
      <c r="D401" t="str">
        <f t="shared" si="148"/>
        <v>09</v>
      </c>
      <c r="E401" t="str">
        <f>"01 - A - 001 - Dorothy D Moore"</f>
        <v>01 - A - 001 - Dorothy D Moore</v>
      </c>
      <c r="F401" t="str">
        <f>"ANAT PHYSIO HON"</f>
        <v>ANAT PHYSIO HON</v>
      </c>
      <c r="G401" t="str">
        <f>"08-803"</f>
        <v>08-803</v>
      </c>
      <c r="H401" t="str">
        <f>"A"</f>
        <v>A</v>
      </c>
    </row>
    <row r="402" spans="1:8" x14ac:dyDescent="0.2">
      <c r="A402" t="str">
        <f t="shared" si="145"/>
        <v>0616045692</v>
      </c>
      <c r="B402" t="str">
        <f t="shared" si="146"/>
        <v>KARLENY</v>
      </c>
      <c r="C402" t="str">
        <f t="shared" si="147"/>
        <v>ALMONTE</v>
      </c>
      <c r="D402" t="str">
        <f t="shared" si="148"/>
        <v>09</v>
      </c>
      <c r="E402" t="str">
        <f>"08 - B - 109 - Rory T Sponsler"</f>
        <v>08 - B - 109 - Rory T Sponsler</v>
      </c>
      <c r="F402" t="str">
        <f>"PRE-AICE WRLD HST IG"</f>
        <v>PRE-AICE WRLD HST IG</v>
      </c>
      <c r="G402" t="str">
        <f>"17-1740"</f>
        <v>17-1740</v>
      </c>
      <c r="H402" t="str">
        <f>"B"</f>
        <v>B</v>
      </c>
    </row>
    <row r="403" spans="1:8" x14ac:dyDescent="0.2">
      <c r="A403" t="str">
        <f t="shared" ref="A403:A410" si="149">"0622074968"</f>
        <v>0622074968</v>
      </c>
      <c r="B403" t="str">
        <f t="shared" ref="B403:B410" si="150">"CAROL"</f>
        <v>CAROL</v>
      </c>
      <c r="C403" t="str">
        <f t="shared" ref="C403:C410" si="151">"ALOMA"</f>
        <v>ALOMA</v>
      </c>
      <c r="D403" t="str">
        <f t="shared" si="148"/>
        <v>09</v>
      </c>
      <c r="E403" t="str">
        <f>"04 - A - 103 - Lenecy  Nodarse"</f>
        <v>04 - A - 103 - Lenecy  Nodarse</v>
      </c>
      <c r="F403" t="str">
        <f>"WORLD HISTORY"</f>
        <v>WORLD HISTORY</v>
      </c>
      <c r="G403" t="str">
        <f>"17-1741"</f>
        <v>17-1741</v>
      </c>
      <c r="H403" t="str">
        <f>"A"</f>
        <v>A</v>
      </c>
    </row>
    <row r="404" spans="1:8" x14ac:dyDescent="0.2">
      <c r="A404" t="str">
        <f t="shared" si="149"/>
        <v>0622074968</v>
      </c>
      <c r="B404" t="str">
        <f t="shared" si="150"/>
        <v>CAROL</v>
      </c>
      <c r="C404" t="str">
        <f t="shared" si="151"/>
        <v>ALOMA</v>
      </c>
      <c r="D404" t="str">
        <f t="shared" si="148"/>
        <v>09</v>
      </c>
      <c r="E404" t="str">
        <f>"06 - B - 202 - Samantha L Martinez"</f>
        <v>06 - B - 202 - Samantha L Martinez</v>
      </c>
      <c r="F404" t="str">
        <f>"GUITAR 1"</f>
        <v>GUITAR 1</v>
      </c>
      <c r="G404" t="str">
        <f>"05-505"</f>
        <v>05-505</v>
      </c>
      <c r="H404" t="str">
        <f>"B"</f>
        <v>B</v>
      </c>
    </row>
    <row r="405" spans="1:8" x14ac:dyDescent="0.2">
      <c r="A405" t="str">
        <f t="shared" si="149"/>
        <v>0622074968</v>
      </c>
      <c r="B405" t="str">
        <f t="shared" si="150"/>
        <v>CAROL</v>
      </c>
      <c r="C405" t="str">
        <f t="shared" si="151"/>
        <v>ALOMA</v>
      </c>
      <c r="D405" t="str">
        <f t="shared" si="148"/>
        <v>09</v>
      </c>
      <c r="E405" t="str">
        <f>"03 - A - 206 - Josiah I Lacy"</f>
        <v>03 - A - 206 - Josiah I Lacy</v>
      </c>
      <c r="F405" t="str">
        <f>"BIOLOGY 1"</f>
        <v>BIOLOGY 1</v>
      </c>
      <c r="G405" t="str">
        <f>"08-801"</f>
        <v>08-801</v>
      </c>
      <c r="H405" t="str">
        <f>"A"</f>
        <v>A</v>
      </c>
    </row>
    <row r="406" spans="1:8" x14ac:dyDescent="0.2">
      <c r="A406" t="str">
        <f t="shared" si="149"/>
        <v>0622074968</v>
      </c>
      <c r="B406" t="str">
        <f t="shared" si="150"/>
        <v>CAROL</v>
      </c>
      <c r="C406" t="str">
        <f t="shared" si="151"/>
        <v>ALOMA</v>
      </c>
      <c r="D406" t="str">
        <f t="shared" si="148"/>
        <v>09</v>
      </c>
      <c r="E406" t="str">
        <f>"02 - A - 116 - Tina L Lovett"</f>
        <v>02 - A - 116 - Tina L Lovett</v>
      </c>
      <c r="F406" t="str">
        <f>"NC STUDY HALL 1"</f>
        <v>NC STUDY HALL 1</v>
      </c>
      <c r="G406" t="str">
        <f>"21-2153"</f>
        <v>21-2153</v>
      </c>
      <c r="H406" t="str">
        <f>"A"</f>
        <v>A</v>
      </c>
    </row>
    <row r="407" spans="1:8" x14ac:dyDescent="0.2">
      <c r="A407" t="str">
        <f t="shared" si="149"/>
        <v>0622074968</v>
      </c>
      <c r="B407" t="str">
        <f t="shared" si="150"/>
        <v>CAROL</v>
      </c>
      <c r="C407" t="str">
        <f t="shared" si="151"/>
        <v>ALOMA</v>
      </c>
      <c r="D407" t="str">
        <f t="shared" si="148"/>
        <v>09</v>
      </c>
      <c r="E407" t="str">
        <f>"07 - B - 107 - Helen A Flores"</f>
        <v>07 - B - 107 - Helen A Flores</v>
      </c>
      <c r="F407" t="str">
        <f>"ALGEBRA 1"</f>
        <v>ALGEBRA 1</v>
      </c>
      <c r="G407" t="str">
        <f>"21-2101"</f>
        <v>21-2101</v>
      </c>
      <c r="H407" t="str">
        <f>"B"</f>
        <v>B</v>
      </c>
    </row>
    <row r="408" spans="1:8" x14ac:dyDescent="0.2">
      <c r="A408" t="str">
        <f t="shared" si="149"/>
        <v>0622074968</v>
      </c>
      <c r="B408" t="str">
        <f t="shared" si="150"/>
        <v>CAROL</v>
      </c>
      <c r="C408" t="str">
        <f t="shared" si="151"/>
        <v>ALOMA</v>
      </c>
      <c r="D408" t="str">
        <f t="shared" si="148"/>
        <v>09</v>
      </c>
      <c r="E408" t="str">
        <f>"05 - B - 104 - Cerine S Stewart"</f>
        <v>05 - B - 104 - Cerine S Stewart</v>
      </c>
      <c r="F408" t="str">
        <f>"ENG 1"</f>
        <v>ENG 1</v>
      </c>
      <c r="G408" t="str">
        <f>"17-1720"</f>
        <v>17-1720</v>
      </c>
      <c r="H408" t="str">
        <f>"B"</f>
        <v>B</v>
      </c>
    </row>
    <row r="409" spans="1:8" x14ac:dyDescent="0.2">
      <c r="A409" t="str">
        <f t="shared" si="149"/>
        <v>0622074968</v>
      </c>
      <c r="B409" t="str">
        <f t="shared" si="150"/>
        <v>CAROL</v>
      </c>
      <c r="C409" t="str">
        <f t="shared" si="151"/>
        <v>ALOMA</v>
      </c>
      <c r="D409" t="str">
        <f t="shared" si="148"/>
        <v>09</v>
      </c>
      <c r="E409" t="str">
        <f>"01 - A - 102 - Helen A Flores"</f>
        <v>01 - A - 102 - Helen A Flores</v>
      </c>
      <c r="F409" t="str">
        <f>"FDN SKLS MATH 9-12"</f>
        <v>FDN SKLS MATH 9-12</v>
      </c>
      <c r="G409" t="str">
        <f>"21-2101"</f>
        <v>21-2101</v>
      </c>
      <c r="H409" t="str">
        <f>"A"</f>
        <v>A</v>
      </c>
    </row>
    <row r="410" spans="1:8" x14ac:dyDescent="0.2">
      <c r="A410" t="str">
        <f t="shared" si="149"/>
        <v>0622074968</v>
      </c>
      <c r="B410" t="str">
        <f t="shared" si="150"/>
        <v>CAROL</v>
      </c>
      <c r="C410" t="str">
        <f t="shared" si="151"/>
        <v>ALOMA</v>
      </c>
      <c r="D410" t="str">
        <f t="shared" si="148"/>
        <v>09</v>
      </c>
      <c r="E410" t="str">
        <f>"08 - B - 108 - Adam Marcus  Drucker"</f>
        <v>08 - B - 108 - Adam Marcus  Drucker</v>
      </c>
      <c r="F410" t="str">
        <f>"HOPE-PE V"</f>
        <v>HOPE-PE V</v>
      </c>
      <c r="G410" t="str">
        <f>"04-254"</f>
        <v>04-254</v>
      </c>
      <c r="H410" t="str">
        <f>"B"</f>
        <v>B</v>
      </c>
    </row>
    <row r="411" spans="1:8" x14ac:dyDescent="0.2">
      <c r="A411" t="str">
        <f t="shared" ref="A411:A418" si="152">"0617013177"</f>
        <v>0617013177</v>
      </c>
      <c r="B411" t="str">
        <f t="shared" ref="B411:B418" si="153">"JANELLE"</f>
        <v>JANELLE</v>
      </c>
      <c r="C411" t="str">
        <f t="shared" ref="C411:C418" si="154">"ALOUIDOR"</f>
        <v>ALOUIDOR</v>
      </c>
      <c r="D411" t="str">
        <f t="shared" si="148"/>
        <v>09</v>
      </c>
      <c r="E411" t="str">
        <f>"04 - A - 101 - Chrystina M Marchionne"</f>
        <v>04 - A - 101 - Chrystina M Marchionne</v>
      </c>
      <c r="F411" t="str">
        <f>"THEA CIN &amp; FILM LH"</f>
        <v>THEA CIN &amp; FILM LH</v>
      </c>
      <c r="G411" t="str">
        <f>"05-520"</f>
        <v>05-520</v>
      </c>
      <c r="H411" t="str">
        <f>"A"</f>
        <v>A</v>
      </c>
    </row>
    <row r="412" spans="1:8" x14ac:dyDescent="0.2">
      <c r="A412" t="str">
        <f t="shared" si="152"/>
        <v>0617013177</v>
      </c>
      <c r="B412" t="str">
        <f t="shared" si="153"/>
        <v>JANELLE</v>
      </c>
      <c r="C412" t="str">
        <f t="shared" si="154"/>
        <v>ALOUIDOR</v>
      </c>
      <c r="D412" t="str">
        <f t="shared" si="148"/>
        <v>09</v>
      </c>
      <c r="E412" t="str">
        <f>"06 - B - 105 - Cheryl L Beach"</f>
        <v>06 - B - 105 - Cheryl L Beach</v>
      </c>
      <c r="F412" t="str">
        <f>"AICE ENV MGMNT AS"</f>
        <v>AICE ENV MGMNT AS</v>
      </c>
      <c r="G412" t="str">
        <f>"08-811"</f>
        <v>08-811</v>
      </c>
      <c r="H412" t="str">
        <f>"B"</f>
        <v>B</v>
      </c>
    </row>
    <row r="413" spans="1:8" x14ac:dyDescent="0.2">
      <c r="A413" t="str">
        <f t="shared" si="152"/>
        <v>0617013177</v>
      </c>
      <c r="B413" t="str">
        <f t="shared" si="153"/>
        <v>JANELLE</v>
      </c>
      <c r="C413" t="str">
        <f t="shared" si="154"/>
        <v>ALOUIDOR</v>
      </c>
      <c r="D413" t="str">
        <f t="shared" si="148"/>
        <v>09</v>
      </c>
      <c r="E413" t="str">
        <f>"03 - A - 203 - Elizabeth R Walker"</f>
        <v>03 - A - 203 - Elizabeth R Walker</v>
      </c>
      <c r="F413" t="str">
        <f>"AICE ENG GEN PAPER 1"</f>
        <v>AICE ENG GEN PAPER 1</v>
      </c>
      <c r="G413" t="str">
        <f>"17-1703"</f>
        <v>17-1703</v>
      </c>
      <c r="H413" t="str">
        <f>"A"</f>
        <v>A</v>
      </c>
    </row>
    <row r="414" spans="1:8" x14ac:dyDescent="0.2">
      <c r="A414" t="str">
        <f t="shared" si="152"/>
        <v>0617013177</v>
      </c>
      <c r="B414" t="str">
        <f t="shared" si="153"/>
        <v>JANELLE</v>
      </c>
      <c r="C414" t="str">
        <f t="shared" si="154"/>
        <v>ALOUIDOR</v>
      </c>
      <c r="D414" t="str">
        <f t="shared" si="148"/>
        <v>09</v>
      </c>
      <c r="E414" t="str">
        <f>"02 - A - 111 - Cheryl L Beach"</f>
        <v>02 - A - 111 - Cheryl L Beach</v>
      </c>
      <c r="F414" t="str">
        <f>"NC STUDY HALL 1"</f>
        <v>NC STUDY HALL 1</v>
      </c>
      <c r="G414" t="str">
        <f>"08-811"</f>
        <v>08-811</v>
      </c>
      <c r="H414" t="str">
        <f>"A"</f>
        <v>A</v>
      </c>
    </row>
    <row r="415" spans="1:8" x14ac:dyDescent="0.2">
      <c r="A415" t="str">
        <f t="shared" si="152"/>
        <v>0617013177</v>
      </c>
      <c r="B415" t="str">
        <f t="shared" si="153"/>
        <v>JANELLE</v>
      </c>
      <c r="C415" t="str">
        <f t="shared" si="154"/>
        <v>ALOUIDOR</v>
      </c>
      <c r="D415" t="str">
        <f t="shared" si="148"/>
        <v>09</v>
      </c>
      <c r="E415" t="str">
        <f>"07 - B - 105 - Paige Lauren  Brochu"</f>
        <v>07 - B - 105 - Paige Lauren  Brochu</v>
      </c>
      <c r="F415" t="str">
        <f>"PRE-AICE BIO IG"</f>
        <v>PRE-AICE BIO IG</v>
      </c>
      <c r="G415" t="str">
        <f>"21-2134"</f>
        <v>21-2134</v>
      </c>
      <c r="H415" t="str">
        <f>"B"</f>
        <v>B</v>
      </c>
    </row>
    <row r="416" spans="1:8" x14ac:dyDescent="0.2">
      <c r="A416" t="str">
        <f t="shared" si="152"/>
        <v>0617013177</v>
      </c>
      <c r="B416" t="str">
        <f t="shared" si="153"/>
        <v>JANELLE</v>
      </c>
      <c r="C416" t="str">
        <f t="shared" si="154"/>
        <v>ALOUIDOR</v>
      </c>
      <c r="D416" t="str">
        <f t="shared" si="148"/>
        <v>09</v>
      </c>
      <c r="E416" t="str">
        <f>"05 - B - 103 - Brook E Goren"</f>
        <v>05 - B - 103 - Brook E Goren</v>
      </c>
      <c r="F416" t="str">
        <f>"PRE-AICE MATH 2 IG"</f>
        <v>PRE-AICE MATH 2 IG</v>
      </c>
      <c r="G416" t="str">
        <f>"21-2158"</f>
        <v>21-2158</v>
      </c>
      <c r="H416" t="str">
        <f>"B"</f>
        <v>B</v>
      </c>
    </row>
    <row r="417" spans="1:8" x14ac:dyDescent="0.2">
      <c r="A417" t="str">
        <f t="shared" si="152"/>
        <v>0617013177</v>
      </c>
      <c r="B417" t="str">
        <f t="shared" si="153"/>
        <v>JANELLE</v>
      </c>
      <c r="C417" t="str">
        <f t="shared" si="154"/>
        <v>ALOUIDOR</v>
      </c>
      <c r="D417" t="str">
        <f t="shared" si="148"/>
        <v>09</v>
      </c>
      <c r="E417" t="str">
        <f>"01 - A - 101 - Arthur  Kulawik"</f>
        <v>01 - A - 101 - Arthur  Kulawik</v>
      </c>
      <c r="F417" t="str">
        <f>"DEBATE 1 LH"</f>
        <v>DEBATE 1 LH</v>
      </c>
      <c r="G417" t="str">
        <f>"05-506"</f>
        <v>05-506</v>
      </c>
      <c r="H417" t="str">
        <f>"A"</f>
        <v>A</v>
      </c>
    </row>
    <row r="418" spans="1:8" x14ac:dyDescent="0.2">
      <c r="A418" t="str">
        <f t="shared" si="152"/>
        <v>0617013177</v>
      </c>
      <c r="B418" t="str">
        <f t="shared" si="153"/>
        <v>JANELLE</v>
      </c>
      <c r="C418" t="str">
        <f t="shared" si="154"/>
        <v>ALOUIDOR</v>
      </c>
      <c r="D418" t="str">
        <f t="shared" si="148"/>
        <v>09</v>
      </c>
      <c r="E418" t="str">
        <f>"08 - B - 109 - Emmily A Sarmiento"</f>
        <v>08 - B - 109 - Emmily A Sarmiento</v>
      </c>
      <c r="F418" t="str">
        <f>"AICE GLBL PERSP 1 AS"</f>
        <v>AICE GLBL PERSP 1 AS</v>
      </c>
      <c r="G418" t="str">
        <f>"17-1743"</f>
        <v>17-1743</v>
      </c>
      <c r="H418" t="str">
        <f>"B"</f>
        <v>B</v>
      </c>
    </row>
    <row r="419" spans="1:8" x14ac:dyDescent="0.2">
      <c r="A419" t="str">
        <f t="shared" ref="A419:A426" si="155">"0614043768"</f>
        <v>0614043768</v>
      </c>
      <c r="B419" t="str">
        <f t="shared" ref="B419:B426" si="156">"THERA"</f>
        <v>THERA</v>
      </c>
      <c r="C419" t="str">
        <f t="shared" ref="C419:C426" si="157">"ALPHONSE"</f>
        <v>ALPHONSE</v>
      </c>
      <c r="D419" t="str">
        <f t="shared" si="148"/>
        <v>09</v>
      </c>
      <c r="E419" t="str">
        <f>"04 - A - 004 - Krystal Marie  Beruty"</f>
        <v>04 - A - 004 - Krystal Marie  Beruty</v>
      </c>
      <c r="F419" t="str">
        <f>"AICE GLBL PERSP 1 AS"</f>
        <v>AICE GLBL PERSP 1 AS</v>
      </c>
      <c r="G419" t="str">
        <f>"17-1721"</f>
        <v>17-1721</v>
      </c>
      <c r="H419" t="str">
        <f>"A"</f>
        <v>A</v>
      </c>
    </row>
    <row r="420" spans="1:8" x14ac:dyDescent="0.2">
      <c r="A420" t="str">
        <f t="shared" si="155"/>
        <v>0614043768</v>
      </c>
      <c r="B420" t="str">
        <f t="shared" si="156"/>
        <v>THERA</v>
      </c>
      <c r="C420" t="str">
        <f t="shared" si="157"/>
        <v>ALPHONSE</v>
      </c>
      <c r="D420" t="str">
        <f t="shared" si="148"/>
        <v>09</v>
      </c>
      <c r="E420" t="str">
        <f>"06 - B - 102 - Angela S Adeshina-Morrison"</f>
        <v>06 - B - 102 - Angela S Adeshina-Morrison</v>
      </c>
      <c r="F420" t="str">
        <f>"MARKETING ESSENTIALS"</f>
        <v>MARKETING ESSENTIALS</v>
      </c>
      <c r="G420" t="str">
        <f>"05-518"</f>
        <v>05-518</v>
      </c>
      <c r="H420" t="str">
        <f>"B"</f>
        <v>B</v>
      </c>
    </row>
    <row r="421" spans="1:8" x14ac:dyDescent="0.2">
      <c r="A421" t="str">
        <f t="shared" si="155"/>
        <v>0614043768</v>
      </c>
      <c r="B421" t="str">
        <f t="shared" si="156"/>
        <v>THERA</v>
      </c>
      <c r="C421" t="str">
        <f t="shared" si="157"/>
        <v>ALPHONSE</v>
      </c>
      <c r="D421" t="str">
        <f t="shared" si="148"/>
        <v>09</v>
      </c>
      <c r="E421" t="str">
        <f>"03 - A - 203 - Elizabeth R Walker"</f>
        <v>03 - A - 203 - Elizabeth R Walker</v>
      </c>
      <c r="F421" t="str">
        <f>"AICE ENG GEN PAPER 1"</f>
        <v>AICE ENG GEN PAPER 1</v>
      </c>
      <c r="G421" t="str">
        <f>"17-1703"</f>
        <v>17-1703</v>
      </c>
      <c r="H421" t="str">
        <f>"A"</f>
        <v>A</v>
      </c>
    </row>
    <row r="422" spans="1:8" x14ac:dyDescent="0.2">
      <c r="A422" t="str">
        <f t="shared" si="155"/>
        <v>0614043768</v>
      </c>
      <c r="B422" t="str">
        <f t="shared" si="156"/>
        <v>THERA</v>
      </c>
      <c r="C422" t="str">
        <f t="shared" si="157"/>
        <v>ALPHONSE</v>
      </c>
      <c r="D422" t="str">
        <f t="shared" si="148"/>
        <v>09</v>
      </c>
      <c r="E422" t="str">
        <f>"02 - A - 113 - Amy Beth  Broyles"</f>
        <v>02 - A - 113 - Amy Beth  Broyles</v>
      </c>
      <c r="F422" t="str">
        <f>"NC STUDY HALL 1"</f>
        <v>NC STUDY HALL 1</v>
      </c>
      <c r="G422" t="str">
        <f>"08-802"</f>
        <v>08-802</v>
      </c>
      <c r="H422" t="str">
        <f>"A"</f>
        <v>A</v>
      </c>
    </row>
    <row r="423" spans="1:8" x14ac:dyDescent="0.2">
      <c r="A423" t="str">
        <f t="shared" si="155"/>
        <v>0614043768</v>
      </c>
      <c r="B423" t="str">
        <f t="shared" si="156"/>
        <v>THERA</v>
      </c>
      <c r="C423" t="str">
        <f t="shared" si="157"/>
        <v>ALPHONSE</v>
      </c>
      <c r="D423" t="str">
        <f t="shared" si="148"/>
        <v>09</v>
      </c>
      <c r="E423" t="str">
        <f>"07 - B - 002 - Rachel M Montrose"</f>
        <v>07 - B - 002 - Rachel M Montrose</v>
      </c>
      <c r="F423" t="str">
        <f>"JOURN 1 (NP) LH"</f>
        <v>JOURN 1 (NP) LH</v>
      </c>
      <c r="G423" t="str">
        <f>"05-521"</f>
        <v>05-521</v>
      </c>
      <c r="H423" t="str">
        <f>"B"</f>
        <v>B</v>
      </c>
    </row>
    <row r="424" spans="1:8" x14ac:dyDescent="0.2">
      <c r="A424" t="str">
        <f t="shared" si="155"/>
        <v>0614043768</v>
      </c>
      <c r="B424" t="str">
        <f t="shared" si="156"/>
        <v>THERA</v>
      </c>
      <c r="C424" t="str">
        <f t="shared" si="157"/>
        <v>ALPHONSE</v>
      </c>
      <c r="D424" t="str">
        <f t="shared" si="148"/>
        <v>09</v>
      </c>
      <c r="E424" t="str">
        <f>"05 - B - 202 - Daniel S Katz"</f>
        <v>05 - B - 202 - Daniel S Katz</v>
      </c>
      <c r="F424" t="str">
        <f>"EXEC INTERN 3 LH"</f>
        <v>EXEC INTERN 3 LH</v>
      </c>
      <c r="G424" t="str">
        <f>"21-2156"</f>
        <v>21-2156</v>
      </c>
      <c r="H424" t="str">
        <f>"B"</f>
        <v>B</v>
      </c>
    </row>
    <row r="425" spans="1:8" x14ac:dyDescent="0.2">
      <c r="A425" t="str">
        <f t="shared" si="155"/>
        <v>0614043768</v>
      </c>
      <c r="B425" t="str">
        <f t="shared" si="156"/>
        <v>THERA</v>
      </c>
      <c r="C425" t="str">
        <f t="shared" si="157"/>
        <v>ALPHONSE</v>
      </c>
      <c r="D425" t="str">
        <f t="shared" si="148"/>
        <v>09</v>
      </c>
      <c r="E425" t="str">
        <f>"01 - A - 101 - Byron G Montenegro"</f>
        <v>01 - A - 101 - Byron G Montenegro</v>
      </c>
      <c r="F425" t="str">
        <f>"AICE MARINE SCI 1 AS"</f>
        <v>AICE MARINE SCI 1 AS</v>
      </c>
      <c r="G425" t="str">
        <f>"21-2144"</f>
        <v>21-2144</v>
      </c>
      <c r="H425" t="str">
        <f>"A"</f>
        <v>A</v>
      </c>
    </row>
    <row r="426" spans="1:8" x14ac:dyDescent="0.2">
      <c r="A426" t="str">
        <f t="shared" si="155"/>
        <v>0614043768</v>
      </c>
      <c r="B426" t="str">
        <f t="shared" si="156"/>
        <v>THERA</v>
      </c>
      <c r="C426" t="str">
        <f t="shared" si="157"/>
        <v>ALPHONSE</v>
      </c>
      <c r="D426" t="str">
        <f t="shared" si="148"/>
        <v>09</v>
      </c>
      <c r="E426" t="str">
        <f>"08 - B - 105 - Ferrie J Arostique"</f>
        <v>08 - B - 105 - Ferrie J Arostique</v>
      </c>
      <c r="F426" t="str">
        <f>"PRE-AICE MATH 2 IG"</f>
        <v>PRE-AICE MATH 2 IG</v>
      </c>
      <c r="G426" t="str">
        <f>"21-2139"</f>
        <v>21-2139</v>
      </c>
      <c r="H426" t="str">
        <f>"B"</f>
        <v>B</v>
      </c>
    </row>
    <row r="427" spans="1:8" x14ac:dyDescent="0.2">
      <c r="A427" t="str">
        <f t="shared" ref="A427:A434" si="158">"0620074335"</f>
        <v>0620074335</v>
      </c>
      <c r="B427" t="str">
        <f t="shared" ref="B427:B434" si="159">"RAQUEL"</f>
        <v>RAQUEL</v>
      </c>
      <c r="C427" t="str">
        <f t="shared" ref="C427:C434" si="160">"ALTIDOR"</f>
        <v>ALTIDOR</v>
      </c>
      <c r="D427">
        <f>12</f>
        <v>12</v>
      </c>
      <c r="E427" t="str">
        <f>"04 - A - 205 - Robyn L Trainer"</f>
        <v>04 - A - 205 - Robyn L Trainer</v>
      </c>
      <c r="F427" t="str">
        <f>"ENG 4: FL COLL PREP"</f>
        <v>ENG 4: FL COLL PREP</v>
      </c>
      <c r="G427" t="str">
        <f>"17-1734"</f>
        <v>17-1734</v>
      </c>
      <c r="H427" t="str">
        <f>"A"</f>
        <v>A</v>
      </c>
    </row>
    <row r="428" spans="1:8" x14ac:dyDescent="0.2">
      <c r="A428" t="str">
        <f t="shared" si="158"/>
        <v>0620074335</v>
      </c>
      <c r="B428" t="str">
        <f t="shared" si="159"/>
        <v>RAQUEL</v>
      </c>
      <c r="C428" t="str">
        <f t="shared" si="160"/>
        <v>ALTIDOR</v>
      </c>
      <c r="D428">
        <f>12</f>
        <v>12</v>
      </c>
      <c r="E428" t="str">
        <f>"06 - B - 102 - Andrea A Amison"</f>
        <v>06 - B - 102 - Andrea A Amison</v>
      </c>
      <c r="F428" t="str">
        <f>"NC STUDY HALL 1"</f>
        <v>NC STUDY HALL 1</v>
      </c>
      <c r="G428" t="str">
        <f>"09-922C"</f>
        <v>09-922C</v>
      </c>
      <c r="H428" t="str">
        <f>"B"</f>
        <v>B</v>
      </c>
    </row>
    <row r="429" spans="1:8" x14ac:dyDescent="0.2">
      <c r="A429" t="str">
        <f t="shared" si="158"/>
        <v>0620074335</v>
      </c>
      <c r="B429" t="str">
        <f t="shared" si="159"/>
        <v>RAQUEL</v>
      </c>
      <c r="C429" t="str">
        <f t="shared" si="160"/>
        <v>ALTIDOR</v>
      </c>
      <c r="D429">
        <f>12</f>
        <v>12</v>
      </c>
      <c r="E429" t="str">
        <f>"03 - A - 101 - Tina L Lovett"</f>
        <v>03 - A - 101 - Tina L Lovett</v>
      </c>
      <c r="F429" t="str">
        <f>"MATH DATA &amp; FIN LIT"</f>
        <v>MATH DATA &amp; FIN LIT</v>
      </c>
      <c r="G429" t="str">
        <f>"21-2153"</f>
        <v>21-2153</v>
      </c>
      <c r="H429" t="str">
        <f>"A"</f>
        <v>A</v>
      </c>
    </row>
    <row r="430" spans="1:8" x14ac:dyDescent="0.2">
      <c r="A430" t="str">
        <f t="shared" si="158"/>
        <v>0620074335</v>
      </c>
      <c r="B430" t="str">
        <f t="shared" si="159"/>
        <v>RAQUEL</v>
      </c>
      <c r="C430" t="str">
        <f t="shared" si="160"/>
        <v>ALTIDOR</v>
      </c>
      <c r="D430">
        <f>12</f>
        <v>12</v>
      </c>
      <c r="E430" t="str">
        <f>"02 - A - 102 - Bruce A Evans"</f>
        <v>02 - A - 102 - Bruce A Evans</v>
      </c>
      <c r="F430" t="str">
        <f>"EMERG MED RESP 3 HON"</f>
        <v>EMERG MED RESP 3 HON</v>
      </c>
      <c r="G430" t="str">
        <f>"21-2142"</f>
        <v>21-2142</v>
      </c>
      <c r="H430" t="str">
        <f>"A"</f>
        <v>A</v>
      </c>
    </row>
    <row r="431" spans="1:8" x14ac:dyDescent="0.2">
      <c r="A431" t="str">
        <f t="shared" si="158"/>
        <v>0620074335</v>
      </c>
      <c r="B431" t="str">
        <f t="shared" si="159"/>
        <v>RAQUEL</v>
      </c>
      <c r="C431" t="str">
        <f t="shared" si="160"/>
        <v>ALTIDOR</v>
      </c>
      <c r="D431">
        <f>12</f>
        <v>12</v>
      </c>
      <c r="E431" t="str">
        <f>"07 - B - 103 - Nahum  Saint-Preux"</f>
        <v>07 - B - 103 - Nahum  Saint-Preux</v>
      </c>
      <c r="F431" t="str">
        <f>"INTENS READ 4"</f>
        <v>INTENS READ 4</v>
      </c>
      <c r="G431" t="str">
        <f>"17-1712"</f>
        <v>17-1712</v>
      </c>
      <c r="H431" t="str">
        <f>"B"</f>
        <v>B</v>
      </c>
    </row>
    <row r="432" spans="1:8" x14ac:dyDescent="0.2">
      <c r="A432" t="str">
        <f t="shared" si="158"/>
        <v>0620074335</v>
      </c>
      <c r="B432" t="str">
        <f t="shared" si="159"/>
        <v>RAQUEL</v>
      </c>
      <c r="C432" t="str">
        <f t="shared" si="160"/>
        <v>ALTIDOR</v>
      </c>
      <c r="D432">
        <f>12</f>
        <v>12</v>
      </c>
      <c r="E432" t="str">
        <f>"05 - B - 201 - Bruce A Evans"</f>
        <v>05 - B - 201 - Bruce A Evans</v>
      </c>
      <c r="F432" t="str">
        <f>"HEALTH SCI FOUND HON"</f>
        <v>HEALTH SCI FOUND HON</v>
      </c>
      <c r="G432" t="str">
        <f>"21-2142"</f>
        <v>21-2142</v>
      </c>
      <c r="H432" t="str">
        <f>"B"</f>
        <v>B</v>
      </c>
    </row>
    <row r="433" spans="1:8" x14ac:dyDescent="0.2">
      <c r="A433" t="str">
        <f t="shared" si="158"/>
        <v>0620074335</v>
      </c>
      <c r="B433" t="str">
        <f t="shared" si="159"/>
        <v>RAQUEL</v>
      </c>
      <c r="C433" t="str">
        <f t="shared" si="160"/>
        <v>ALTIDOR</v>
      </c>
      <c r="D433">
        <f>12</f>
        <v>12</v>
      </c>
      <c r="E433" t="str">
        <f>"01 - S1 - A - 101 - Robert O Burger"</f>
        <v>01 - S1 - A - 101 - Robert O Burger</v>
      </c>
      <c r="F433" t="str">
        <f>"US GOVT"</f>
        <v>US GOVT</v>
      </c>
      <c r="G433" t="str">
        <f>"17-1755"</f>
        <v>17-1755</v>
      </c>
      <c r="H433" t="str">
        <f>"A"</f>
        <v>A</v>
      </c>
    </row>
    <row r="434" spans="1:8" x14ac:dyDescent="0.2">
      <c r="A434" t="str">
        <f t="shared" si="158"/>
        <v>0620074335</v>
      </c>
      <c r="B434" t="str">
        <f t="shared" si="159"/>
        <v>RAQUEL</v>
      </c>
      <c r="C434" t="str">
        <f t="shared" si="160"/>
        <v>ALTIDOR</v>
      </c>
      <c r="D434">
        <f>12</f>
        <v>12</v>
      </c>
      <c r="E434" t="str">
        <f>"08 - B - 202 - Brian M Fitzgerald"</f>
        <v>08 - B - 202 - Brian M Fitzgerald</v>
      </c>
      <c r="F434" t="str">
        <f>"CERAM/POT 2"</f>
        <v>CERAM/POT 2</v>
      </c>
      <c r="G434" t="str">
        <f>"09-908"</f>
        <v>09-908</v>
      </c>
      <c r="H434" t="str">
        <f>"B"</f>
        <v>B</v>
      </c>
    </row>
    <row r="435" spans="1:8" x14ac:dyDescent="0.2">
      <c r="A435" t="str">
        <f t="shared" ref="A435:A442" si="161">"0614077009"</f>
        <v>0614077009</v>
      </c>
      <c r="B435" t="str">
        <f t="shared" ref="B435:B450" si="162">"BRANDON"</f>
        <v>BRANDON</v>
      </c>
      <c r="C435" t="str">
        <f t="shared" ref="C435:C442" si="163">"ALVARADO"</f>
        <v>ALVARADO</v>
      </c>
      <c r="D435">
        <f>10</f>
        <v>10</v>
      </c>
      <c r="E435" t="str">
        <f>"04 - A - 104 - Courtney E Hambright"</f>
        <v>04 - A - 104 - Courtney E Hambright</v>
      </c>
      <c r="F435" t="str">
        <f>"AICE ENG LANG AS"</f>
        <v>AICE ENG LANG AS</v>
      </c>
      <c r="G435" t="str">
        <f>"17-1711"</f>
        <v>17-1711</v>
      </c>
      <c r="H435" t="str">
        <f>"A"</f>
        <v>A</v>
      </c>
    </row>
    <row r="436" spans="1:8" x14ac:dyDescent="0.2">
      <c r="A436" t="str">
        <f t="shared" si="161"/>
        <v>0614077009</v>
      </c>
      <c r="B436" t="str">
        <f t="shared" si="162"/>
        <v>BRANDON</v>
      </c>
      <c r="C436" t="str">
        <f t="shared" si="163"/>
        <v>ALVARADO</v>
      </c>
      <c r="D436">
        <f>10</f>
        <v>10</v>
      </c>
      <c r="E436" t="str">
        <f>"06 - B - 116 - Jordana K Hass"</f>
        <v>06 - B - 116 - Jordana K Hass</v>
      </c>
      <c r="F436" t="str">
        <f>"NC STUDY HALL 1"</f>
        <v>NC STUDY HALL 1</v>
      </c>
      <c r="G436" t="str">
        <f>"08-807"</f>
        <v>08-807</v>
      </c>
      <c r="H436" t="str">
        <f>"B"</f>
        <v>B</v>
      </c>
    </row>
    <row r="437" spans="1:8" x14ac:dyDescent="0.2">
      <c r="A437" t="str">
        <f t="shared" si="161"/>
        <v>0614077009</v>
      </c>
      <c r="B437" t="str">
        <f t="shared" si="162"/>
        <v>BRANDON</v>
      </c>
      <c r="C437" t="str">
        <f t="shared" si="163"/>
        <v>ALVARADO</v>
      </c>
      <c r="D437">
        <f>10</f>
        <v>10</v>
      </c>
      <c r="E437" t="str">
        <f>"03 - A - 103 - Pamela M Corzo"</f>
        <v>03 - A - 103 - Pamela M Corzo</v>
      </c>
      <c r="F437" t="str">
        <f>"ALGEBRA 2 HON"</f>
        <v>ALGEBRA 2 HON</v>
      </c>
      <c r="G437" t="str">
        <f>"21-2133"</f>
        <v>21-2133</v>
      </c>
      <c r="H437" t="str">
        <f>"A"</f>
        <v>A</v>
      </c>
    </row>
    <row r="438" spans="1:8" x14ac:dyDescent="0.2">
      <c r="A438" t="str">
        <f t="shared" si="161"/>
        <v>0614077009</v>
      </c>
      <c r="B438" t="str">
        <f t="shared" si="162"/>
        <v>BRANDON</v>
      </c>
      <c r="C438" t="str">
        <f t="shared" si="163"/>
        <v>ALVARADO</v>
      </c>
      <c r="D438">
        <f>10</f>
        <v>10</v>
      </c>
      <c r="E438" t="str">
        <f>"02 - S1 - A - 102 - Richard E Dunbar Iii"</f>
        <v>02 - S1 - A - 102 - Richard E Dunbar Iii</v>
      </c>
      <c r="F438" t="str">
        <f>"WEIGHT TRAIN 1"</f>
        <v>WEIGHT TRAIN 1</v>
      </c>
      <c r="G438" t="str">
        <f>"05-501"</f>
        <v>05-501</v>
      </c>
      <c r="H438" t="str">
        <f>"A"</f>
        <v>A</v>
      </c>
    </row>
    <row r="439" spans="1:8" x14ac:dyDescent="0.2">
      <c r="A439" t="str">
        <f t="shared" si="161"/>
        <v>0614077009</v>
      </c>
      <c r="B439" t="str">
        <f t="shared" si="162"/>
        <v>BRANDON</v>
      </c>
      <c r="C439" t="str">
        <f t="shared" si="163"/>
        <v>ALVARADO</v>
      </c>
      <c r="D439">
        <f>10</f>
        <v>10</v>
      </c>
      <c r="E439" t="str">
        <f>"07 - S1 - B - 102 - Arthur  Kulawik"</f>
        <v>07 - S1 - B - 102 - Arthur  Kulawik</v>
      </c>
      <c r="F439" t="str">
        <f>"PERS FIN &amp; MON MGT H"</f>
        <v>PERS FIN &amp; MON MGT H</v>
      </c>
      <c r="G439" t="str">
        <f>"05-506"</f>
        <v>05-506</v>
      </c>
      <c r="H439" t="str">
        <f>"B"</f>
        <v>B</v>
      </c>
    </row>
    <row r="440" spans="1:8" x14ac:dyDescent="0.2">
      <c r="A440" t="str">
        <f t="shared" si="161"/>
        <v>0614077009</v>
      </c>
      <c r="B440" t="str">
        <f t="shared" si="162"/>
        <v>BRANDON</v>
      </c>
      <c r="C440" t="str">
        <f t="shared" si="163"/>
        <v>ALVARADO</v>
      </c>
      <c r="D440">
        <f>10</f>
        <v>10</v>
      </c>
      <c r="E440" t="str">
        <f>"05 - B - 204 - Cheryl L Beach"</f>
        <v>05 - B - 204 - Cheryl L Beach</v>
      </c>
      <c r="F440" t="str">
        <f>"AICE ENV MGMNT AS"</f>
        <v>AICE ENV MGMNT AS</v>
      </c>
      <c r="G440" t="str">
        <f>"08-811"</f>
        <v>08-811</v>
      </c>
      <c r="H440" t="str">
        <f>"B"</f>
        <v>B</v>
      </c>
    </row>
    <row r="441" spans="1:8" x14ac:dyDescent="0.2">
      <c r="A441" t="str">
        <f t="shared" si="161"/>
        <v>0614077009</v>
      </c>
      <c r="B441" t="str">
        <f t="shared" si="162"/>
        <v>BRANDON</v>
      </c>
      <c r="C441" t="str">
        <f t="shared" si="163"/>
        <v>ALVARADO</v>
      </c>
      <c r="D441">
        <f>10</f>
        <v>10</v>
      </c>
      <c r="E441" t="str">
        <f>"01 - A - 002 - Krystal Marie  Beruty"</f>
        <v>01 - A - 002 - Krystal Marie  Beruty</v>
      </c>
      <c r="F441" t="str">
        <f>"AICE GLBL PERSP 1 AS"</f>
        <v>AICE GLBL PERSP 1 AS</v>
      </c>
      <c r="G441" t="str">
        <f>"17-1721"</f>
        <v>17-1721</v>
      </c>
      <c r="H441" t="str">
        <f>"A"</f>
        <v>A</v>
      </c>
    </row>
    <row r="442" spans="1:8" x14ac:dyDescent="0.2">
      <c r="A442" t="str">
        <f t="shared" si="161"/>
        <v>0614077009</v>
      </c>
      <c r="B442" t="str">
        <f t="shared" si="162"/>
        <v>BRANDON</v>
      </c>
      <c r="C442" t="str">
        <f t="shared" si="163"/>
        <v>ALVARADO</v>
      </c>
      <c r="D442">
        <f>10</f>
        <v>10</v>
      </c>
      <c r="E442" t="str">
        <f>"08 - B - 105 - Daniel S Tyson"</f>
        <v>08 - B - 105 - Daniel S Tyson</v>
      </c>
      <c r="F442" t="str">
        <f>"JROTC NAVAL SCI 2"</f>
        <v>JROTC NAVAL SCI 2</v>
      </c>
      <c r="G442" t="str">
        <f>"05-510"</f>
        <v>05-510</v>
      </c>
      <c r="H442" t="str">
        <f>"B"</f>
        <v>B</v>
      </c>
    </row>
    <row r="443" spans="1:8" x14ac:dyDescent="0.2">
      <c r="A443" t="str">
        <f t="shared" ref="A443:A450" si="164">"0617044478"</f>
        <v>0617044478</v>
      </c>
      <c r="B443" t="str">
        <f t="shared" si="162"/>
        <v>BRANDON</v>
      </c>
      <c r="C443" t="str">
        <f t="shared" ref="C443:C458" si="165">"ALVAREZ"</f>
        <v>ALVAREZ</v>
      </c>
      <c r="D443" t="str">
        <f t="shared" ref="D443:D450" si="166">"09"</f>
        <v>09</v>
      </c>
      <c r="E443" t="str">
        <f>"04 - A - 005 - Emmily A Sarmiento"</f>
        <v>04 - A - 005 - Emmily A Sarmiento</v>
      </c>
      <c r="F443" t="str">
        <f>"AICE GLBL PERSP 1 AS"</f>
        <v>AICE GLBL PERSP 1 AS</v>
      </c>
      <c r="G443" t="str">
        <f>"17-1743"</f>
        <v>17-1743</v>
      </c>
      <c r="H443" t="str">
        <f>"A"</f>
        <v>A</v>
      </c>
    </row>
    <row r="444" spans="1:8" x14ac:dyDescent="0.2">
      <c r="A444" t="str">
        <f t="shared" si="164"/>
        <v>0617044478</v>
      </c>
      <c r="B444" t="str">
        <f t="shared" si="162"/>
        <v>BRANDON</v>
      </c>
      <c r="C444" t="str">
        <f t="shared" si="165"/>
        <v>ALVAREZ</v>
      </c>
      <c r="D444" t="str">
        <f t="shared" si="166"/>
        <v>09</v>
      </c>
      <c r="E444" t="str">
        <f>"06 - B - 105 - Cheryl L Beach"</f>
        <v>06 - B - 105 - Cheryl L Beach</v>
      </c>
      <c r="F444" t="str">
        <f>"AICE ENV MGMNT AS"</f>
        <v>AICE ENV MGMNT AS</v>
      </c>
      <c r="G444" t="str">
        <f>"08-811"</f>
        <v>08-811</v>
      </c>
      <c r="H444" t="str">
        <f>"B"</f>
        <v>B</v>
      </c>
    </row>
    <row r="445" spans="1:8" x14ac:dyDescent="0.2">
      <c r="A445" t="str">
        <f t="shared" si="164"/>
        <v>0617044478</v>
      </c>
      <c r="B445" t="str">
        <f t="shared" si="162"/>
        <v>BRANDON</v>
      </c>
      <c r="C445" t="str">
        <f t="shared" si="165"/>
        <v>ALVAREZ</v>
      </c>
      <c r="D445" t="str">
        <f t="shared" si="166"/>
        <v>09</v>
      </c>
      <c r="E445" t="str">
        <f>"03 - S1 - A - 101 - Daniel S Katz"</f>
        <v>03 - S1 - A - 101 - Daniel S Katz</v>
      </c>
      <c r="F445" t="str">
        <f>"COURT PROCED"</f>
        <v>COURT PROCED</v>
      </c>
      <c r="G445" t="str">
        <f>"21-2156"</f>
        <v>21-2156</v>
      </c>
      <c r="H445" t="str">
        <f>"A"</f>
        <v>A</v>
      </c>
    </row>
    <row r="446" spans="1:8" x14ac:dyDescent="0.2">
      <c r="A446" t="str">
        <f t="shared" si="164"/>
        <v>0617044478</v>
      </c>
      <c r="B446" t="str">
        <f t="shared" si="162"/>
        <v>BRANDON</v>
      </c>
      <c r="C446" t="str">
        <f t="shared" si="165"/>
        <v>ALVAREZ</v>
      </c>
      <c r="D446" t="str">
        <f t="shared" si="166"/>
        <v>09</v>
      </c>
      <c r="E446" t="str">
        <f>"02 - A - 106 - Helen A Flores"</f>
        <v>02 - A - 106 - Helen A Flores</v>
      </c>
      <c r="F446" t="str">
        <f>"NC STUDY HALL 1"</f>
        <v>NC STUDY HALL 1</v>
      </c>
      <c r="G446" t="str">
        <f>"21-2101"</f>
        <v>21-2101</v>
      </c>
      <c r="H446" t="str">
        <f>"A"</f>
        <v>A</v>
      </c>
    </row>
    <row r="447" spans="1:8" x14ac:dyDescent="0.2">
      <c r="A447" t="str">
        <f t="shared" si="164"/>
        <v>0617044478</v>
      </c>
      <c r="B447" t="str">
        <f t="shared" si="162"/>
        <v>BRANDON</v>
      </c>
      <c r="C447" t="str">
        <f t="shared" si="165"/>
        <v>ALVAREZ</v>
      </c>
      <c r="D447" t="str">
        <f t="shared" si="166"/>
        <v>09</v>
      </c>
      <c r="E447" t="str">
        <f>"07 - B - 105 - Paige Lauren  Brochu"</f>
        <v>07 - B - 105 - Paige Lauren  Brochu</v>
      </c>
      <c r="F447" t="str">
        <f>"PRE-AICE BIO IG"</f>
        <v>PRE-AICE BIO IG</v>
      </c>
      <c r="G447" t="str">
        <f>"21-2134"</f>
        <v>21-2134</v>
      </c>
      <c r="H447" t="str">
        <f>"B"</f>
        <v>B</v>
      </c>
    </row>
    <row r="448" spans="1:8" x14ac:dyDescent="0.2">
      <c r="A448" t="str">
        <f t="shared" si="164"/>
        <v>0617044478</v>
      </c>
      <c r="B448" t="str">
        <f t="shared" si="162"/>
        <v>BRANDON</v>
      </c>
      <c r="C448" t="str">
        <f t="shared" si="165"/>
        <v>ALVAREZ</v>
      </c>
      <c r="D448" t="str">
        <f t="shared" si="166"/>
        <v>09</v>
      </c>
      <c r="E448" t="str">
        <f>"05 - B - 105 - Marius D Orsolini"</f>
        <v>05 - B - 105 - Marius D Orsolini</v>
      </c>
      <c r="F448" t="str">
        <f>"CULINARY ARTS 1"</f>
        <v>CULINARY ARTS 1</v>
      </c>
      <c r="G448" t="str">
        <f>"21-2115"</f>
        <v>21-2115</v>
      </c>
      <c r="H448" t="str">
        <f>"B"</f>
        <v>B</v>
      </c>
    </row>
    <row r="449" spans="1:8" x14ac:dyDescent="0.2">
      <c r="A449" t="str">
        <f t="shared" si="164"/>
        <v>0617044478</v>
      </c>
      <c r="B449" t="str">
        <f t="shared" si="162"/>
        <v>BRANDON</v>
      </c>
      <c r="C449" t="str">
        <f t="shared" si="165"/>
        <v>ALVAREZ</v>
      </c>
      <c r="D449" t="str">
        <f t="shared" si="166"/>
        <v>09</v>
      </c>
      <c r="E449" t="str">
        <f>"01 - A - 101 - Elizabeth R Walker"</f>
        <v>01 - A - 101 - Elizabeth R Walker</v>
      </c>
      <c r="F449" t="str">
        <f>"AICE ENG GEN PAPER 1"</f>
        <v>AICE ENG GEN PAPER 1</v>
      </c>
      <c r="G449" t="str">
        <f>"17-1703"</f>
        <v>17-1703</v>
      </c>
      <c r="H449" t="str">
        <f>"A"</f>
        <v>A</v>
      </c>
    </row>
    <row r="450" spans="1:8" x14ac:dyDescent="0.2">
      <c r="A450" t="str">
        <f t="shared" si="164"/>
        <v>0617044478</v>
      </c>
      <c r="B450" t="str">
        <f t="shared" si="162"/>
        <v>BRANDON</v>
      </c>
      <c r="C450" t="str">
        <f t="shared" si="165"/>
        <v>ALVAREZ</v>
      </c>
      <c r="D450" t="str">
        <f t="shared" si="166"/>
        <v>09</v>
      </c>
      <c r="E450" t="str">
        <f>"08 - B - 107 - Dayna M Foster"</f>
        <v>08 - B - 107 - Dayna M Foster</v>
      </c>
      <c r="F450" t="str">
        <f>"ALGEBRA 2"</f>
        <v>ALGEBRA 2</v>
      </c>
      <c r="G450" t="str">
        <f>"21-2109"</f>
        <v>21-2109</v>
      </c>
      <c r="H450" t="str">
        <f>"B"</f>
        <v>B</v>
      </c>
    </row>
    <row r="451" spans="1:8" x14ac:dyDescent="0.2">
      <c r="A451" t="str">
        <f t="shared" ref="A451:A458" si="167">"0616066062"</f>
        <v>0616066062</v>
      </c>
      <c r="B451" t="str">
        <f t="shared" ref="B451:B458" si="168">"LAYLA"</f>
        <v>LAYLA</v>
      </c>
      <c r="C451" t="str">
        <f t="shared" si="165"/>
        <v>ALVAREZ</v>
      </c>
      <c r="D451">
        <f>10</f>
        <v>10</v>
      </c>
      <c r="E451" t="str">
        <f>"04 - A - 201 - Alejandro  Navarro"</f>
        <v>04 - A - 201 - Alejandro  Navarro</v>
      </c>
      <c r="F451" t="str">
        <f>"BAND 4"</f>
        <v>BAND 4</v>
      </c>
      <c r="G451" t="str">
        <f>"05-504"</f>
        <v>05-504</v>
      </c>
      <c r="H451" t="str">
        <f>"A"</f>
        <v>A</v>
      </c>
    </row>
    <row r="452" spans="1:8" x14ac:dyDescent="0.2">
      <c r="A452" t="str">
        <f t="shared" si="167"/>
        <v>0616066062</v>
      </c>
      <c r="B452" t="str">
        <f t="shared" si="168"/>
        <v>LAYLA</v>
      </c>
      <c r="C452" t="str">
        <f t="shared" si="165"/>
        <v>ALVAREZ</v>
      </c>
      <c r="D452">
        <f>10</f>
        <v>10</v>
      </c>
      <c r="E452" t="str">
        <f>"06 - B - 109 - Semra  Bahadir"</f>
        <v>06 - B - 109 - Semra  Bahadir</v>
      </c>
      <c r="F452" t="str">
        <f>"NC STUDY HALL 1"</f>
        <v>NC STUDY HALL 1</v>
      </c>
      <c r="G452" t="str">
        <f>"21-2107"</f>
        <v>21-2107</v>
      </c>
      <c r="H452" t="str">
        <f>"B"</f>
        <v>B</v>
      </c>
    </row>
    <row r="453" spans="1:8" x14ac:dyDescent="0.2">
      <c r="A453" t="str">
        <f t="shared" si="167"/>
        <v>0616066062</v>
      </c>
      <c r="B453" t="str">
        <f t="shared" si="168"/>
        <v>LAYLA</v>
      </c>
      <c r="C453" t="str">
        <f t="shared" si="165"/>
        <v>ALVAREZ</v>
      </c>
      <c r="D453">
        <f>10</f>
        <v>10</v>
      </c>
      <c r="E453" t="str">
        <f>"03 - A - 002 - Ferrie J Arostique"</f>
        <v>03 - A - 002 - Ferrie J Arostique</v>
      </c>
      <c r="F453" t="str">
        <f>"GEOMETRY"</f>
        <v>GEOMETRY</v>
      </c>
      <c r="G453" t="str">
        <f>"21-2139"</f>
        <v>21-2139</v>
      </c>
      <c r="H453" t="str">
        <f>"A"</f>
        <v>A</v>
      </c>
    </row>
    <row r="454" spans="1:8" x14ac:dyDescent="0.2">
      <c r="A454" t="str">
        <f t="shared" si="167"/>
        <v>0616066062</v>
      </c>
      <c r="B454" t="str">
        <f t="shared" si="168"/>
        <v>LAYLA</v>
      </c>
      <c r="C454" t="str">
        <f t="shared" si="165"/>
        <v>ALVAREZ</v>
      </c>
      <c r="D454">
        <f>10</f>
        <v>10</v>
      </c>
      <c r="E454" t="str">
        <f>"02 - A - 202 - Daniel S Tyson"</f>
        <v>02 - A - 202 - Daniel S Tyson</v>
      </c>
      <c r="F454" t="str">
        <f>"JROTC NAVAL SCI 2"</f>
        <v>JROTC NAVAL SCI 2</v>
      </c>
      <c r="G454" t="str">
        <f>"05-510"</f>
        <v>05-510</v>
      </c>
      <c r="H454" t="str">
        <f>"A"</f>
        <v>A</v>
      </c>
    </row>
    <row r="455" spans="1:8" x14ac:dyDescent="0.2">
      <c r="A455" t="str">
        <f t="shared" si="167"/>
        <v>0616066062</v>
      </c>
      <c r="B455" t="str">
        <f t="shared" si="168"/>
        <v>LAYLA</v>
      </c>
      <c r="C455" t="str">
        <f t="shared" si="165"/>
        <v>ALVAREZ</v>
      </c>
      <c r="D455">
        <f>10</f>
        <v>10</v>
      </c>
      <c r="E455" t="str">
        <f>"07 - B - 104 - Marielle A Witting"</f>
        <v>07 - B - 104 - Marielle A Witting</v>
      </c>
      <c r="F455" t="str">
        <f>"ANAT PHYSIO"</f>
        <v>ANAT PHYSIO</v>
      </c>
      <c r="G455" t="str">
        <f>"08-805"</f>
        <v>08-805</v>
      </c>
      <c r="H455" t="str">
        <f>"B"</f>
        <v>B</v>
      </c>
    </row>
    <row r="456" spans="1:8" x14ac:dyDescent="0.2">
      <c r="A456" t="str">
        <f t="shared" si="167"/>
        <v>0616066062</v>
      </c>
      <c r="B456" t="str">
        <f t="shared" si="168"/>
        <v>LAYLA</v>
      </c>
      <c r="C456" t="str">
        <f t="shared" si="165"/>
        <v>ALVAREZ</v>
      </c>
      <c r="D456">
        <f>10</f>
        <v>10</v>
      </c>
      <c r="E456" t="str">
        <f>"05 - S1 - B - 102 - Carol S Moore"</f>
        <v>05 - S1 - B - 102 - Carol S Moore</v>
      </c>
      <c r="F456" t="str">
        <f>"PERS FIN &amp; MON MGT H"</f>
        <v>PERS FIN &amp; MON MGT H</v>
      </c>
      <c r="G456" t="str">
        <f>"17-1733"</f>
        <v>17-1733</v>
      </c>
      <c r="H456" t="str">
        <f>"B"</f>
        <v>B</v>
      </c>
    </row>
    <row r="457" spans="1:8" x14ac:dyDescent="0.2">
      <c r="A457" t="str">
        <f t="shared" si="167"/>
        <v>0616066062</v>
      </c>
      <c r="B457" t="str">
        <f t="shared" si="168"/>
        <v>LAYLA</v>
      </c>
      <c r="C457" t="str">
        <f t="shared" si="165"/>
        <v>ALVAREZ</v>
      </c>
      <c r="D457">
        <f>10</f>
        <v>10</v>
      </c>
      <c r="E457" t="str">
        <f>"01 - A - 101 - Eva T Rimmer"</f>
        <v>01 - A - 101 - Eva T Rimmer</v>
      </c>
      <c r="F457" t="str">
        <f>"CRIMINAL JUST OPS 2"</f>
        <v>CRIMINAL JUST OPS 2</v>
      </c>
      <c r="G457" t="str">
        <f>"05-523"</f>
        <v>05-523</v>
      </c>
      <c r="H457" t="str">
        <f>"A"</f>
        <v>A</v>
      </c>
    </row>
    <row r="458" spans="1:8" x14ac:dyDescent="0.2">
      <c r="A458" t="str">
        <f t="shared" si="167"/>
        <v>0616066062</v>
      </c>
      <c r="B458" t="str">
        <f t="shared" si="168"/>
        <v>LAYLA</v>
      </c>
      <c r="C458" t="str">
        <f t="shared" si="165"/>
        <v>ALVAREZ</v>
      </c>
      <c r="D458">
        <f>10</f>
        <v>10</v>
      </c>
      <c r="E458" t="str">
        <f>"08 - B - 109 - Nikiel  Nesbeth"</f>
        <v>08 - B - 109 - Nikiel  Nesbeth</v>
      </c>
      <c r="F458" t="str">
        <f>"ENG 2"</f>
        <v>ENG 2</v>
      </c>
      <c r="G458" t="str">
        <f>"17-1705"</f>
        <v>17-1705</v>
      </c>
      <c r="H458" t="str">
        <f>"B"</f>
        <v>B</v>
      </c>
    </row>
    <row r="459" spans="1:8" x14ac:dyDescent="0.2">
      <c r="A459" t="str">
        <f t="shared" ref="A459:A466" si="169">"0616023890"</f>
        <v>0616023890</v>
      </c>
      <c r="B459" t="str">
        <f t="shared" ref="B459:B466" si="170">"GABRIEL"</f>
        <v>GABRIEL</v>
      </c>
      <c r="C459" t="str">
        <f t="shared" ref="C459:C466" si="171">"ALVAREZ AREVALO"</f>
        <v>ALVAREZ AREVALO</v>
      </c>
      <c r="D459">
        <f>10</f>
        <v>10</v>
      </c>
      <c r="E459" t="str">
        <f>"04 - A - 102 - Samantha L Martinez"</f>
        <v>04 - A - 102 - Samantha L Martinez</v>
      </c>
      <c r="F459" t="str">
        <f>"KEYBD 1"</f>
        <v>KEYBD 1</v>
      </c>
      <c r="G459" t="str">
        <f>"05-505"</f>
        <v>05-505</v>
      </c>
      <c r="H459" t="str">
        <f>"A"</f>
        <v>A</v>
      </c>
    </row>
    <row r="460" spans="1:8" x14ac:dyDescent="0.2">
      <c r="A460" t="str">
        <f t="shared" si="169"/>
        <v>0616023890</v>
      </c>
      <c r="B460" t="str">
        <f t="shared" si="170"/>
        <v>GABRIEL</v>
      </c>
      <c r="C460" t="str">
        <f t="shared" si="171"/>
        <v>ALVAREZ AREVALO</v>
      </c>
      <c r="D460">
        <f>10</f>
        <v>10</v>
      </c>
      <c r="E460" t="str">
        <f>"06 - B - 119 - Nikiel  Nesbeth"</f>
        <v>06 - B - 119 - Nikiel  Nesbeth</v>
      </c>
      <c r="F460" t="str">
        <f>"NC STUDY HALL 1"</f>
        <v>NC STUDY HALL 1</v>
      </c>
      <c r="G460" t="str">
        <f>"17-1705"</f>
        <v>17-1705</v>
      </c>
      <c r="H460" t="str">
        <f>"B"</f>
        <v>B</v>
      </c>
    </row>
    <row r="461" spans="1:8" x14ac:dyDescent="0.2">
      <c r="A461" t="str">
        <f t="shared" si="169"/>
        <v>0616023890</v>
      </c>
      <c r="B461" t="str">
        <f t="shared" si="170"/>
        <v>GABRIEL</v>
      </c>
      <c r="C461" t="str">
        <f t="shared" si="171"/>
        <v>ALVAREZ AREVALO</v>
      </c>
      <c r="D461">
        <f>10</f>
        <v>10</v>
      </c>
      <c r="E461" t="str">
        <f>"03 - A - 101 - Timothy J Lawrence"</f>
        <v>03 - A - 101 - Timothy J Lawrence</v>
      </c>
      <c r="F461" t="str">
        <f>"AICE PHYS ED 1 AS"</f>
        <v>AICE PHYS ED 1 AS</v>
      </c>
      <c r="G461" t="str">
        <f>"05-519"</f>
        <v>05-519</v>
      </c>
      <c r="H461" t="str">
        <f>"A"</f>
        <v>A</v>
      </c>
    </row>
    <row r="462" spans="1:8" x14ac:dyDescent="0.2">
      <c r="A462" t="str">
        <f t="shared" si="169"/>
        <v>0616023890</v>
      </c>
      <c r="B462" t="str">
        <f t="shared" si="170"/>
        <v>GABRIEL</v>
      </c>
      <c r="C462" t="str">
        <f t="shared" si="171"/>
        <v>ALVAREZ AREVALO</v>
      </c>
      <c r="D462">
        <f>10</f>
        <v>10</v>
      </c>
      <c r="E462" t="str">
        <f>"02 - A - 104 - Scott A Dethloff"</f>
        <v>02 - A - 104 - Scott A Dethloff</v>
      </c>
      <c r="F462" t="str">
        <f>"CHEMISTRY 1 HON"</f>
        <v>CHEMISTRY 1 HON</v>
      </c>
      <c r="G462" t="str">
        <f>"08-812"</f>
        <v>08-812</v>
      </c>
      <c r="H462" t="str">
        <f>"A"</f>
        <v>A</v>
      </c>
    </row>
    <row r="463" spans="1:8" x14ac:dyDescent="0.2">
      <c r="A463" t="str">
        <f t="shared" si="169"/>
        <v>0616023890</v>
      </c>
      <c r="B463" t="str">
        <f t="shared" si="170"/>
        <v>GABRIEL</v>
      </c>
      <c r="C463" t="str">
        <f t="shared" si="171"/>
        <v>ALVAREZ AREVALO</v>
      </c>
      <c r="D463">
        <f>10</f>
        <v>10</v>
      </c>
      <c r="E463" t="str">
        <f>"07 - B - 107 - Jacklyn M James"</f>
        <v>07 - B - 107 - Jacklyn M James</v>
      </c>
      <c r="F463" t="str">
        <f>"AICE ENG LANG AS"</f>
        <v>AICE ENG LANG AS</v>
      </c>
      <c r="G463" t="str">
        <f>"17-1731"</f>
        <v>17-1731</v>
      </c>
      <c r="H463" t="str">
        <f>"B"</f>
        <v>B</v>
      </c>
    </row>
    <row r="464" spans="1:8" x14ac:dyDescent="0.2">
      <c r="A464" t="str">
        <f t="shared" si="169"/>
        <v>0616023890</v>
      </c>
      <c r="B464" t="str">
        <f t="shared" si="170"/>
        <v>GABRIEL</v>
      </c>
      <c r="C464" t="str">
        <f t="shared" si="171"/>
        <v>ALVAREZ AREVALO</v>
      </c>
      <c r="D464">
        <f>10</f>
        <v>10</v>
      </c>
      <c r="E464" t="str">
        <f>"05 - B - 001 - Stefanie S Scher"</f>
        <v>05 - B - 001 - Stefanie S Scher</v>
      </c>
      <c r="F464" t="str">
        <f>"AICE PSYCH 1 AS"</f>
        <v>AICE PSYCH 1 AS</v>
      </c>
      <c r="G464" t="str">
        <f>"17-1735"</f>
        <v>17-1735</v>
      </c>
      <c r="H464" t="str">
        <f>"B"</f>
        <v>B</v>
      </c>
    </row>
    <row r="465" spans="1:8" x14ac:dyDescent="0.2">
      <c r="A465" t="str">
        <f t="shared" si="169"/>
        <v>0616023890</v>
      </c>
      <c r="B465" t="str">
        <f t="shared" si="170"/>
        <v>GABRIEL</v>
      </c>
      <c r="C465" t="str">
        <f t="shared" si="171"/>
        <v>ALVAREZ AREVALO</v>
      </c>
      <c r="D465">
        <f>10</f>
        <v>10</v>
      </c>
      <c r="E465" t="str">
        <f>"01 - A - 201 - Jeanne M Bermudez"</f>
        <v>01 - A - 201 - Jeanne M Bermudez</v>
      </c>
      <c r="F465" t="str">
        <f>"PHYSICS 1 HON"</f>
        <v>PHYSICS 1 HON</v>
      </c>
      <c r="G465" t="str">
        <f>"21-2141"</f>
        <v>21-2141</v>
      </c>
      <c r="H465" t="str">
        <f>"A"</f>
        <v>A</v>
      </c>
    </row>
    <row r="466" spans="1:8" x14ac:dyDescent="0.2">
      <c r="A466" t="str">
        <f t="shared" si="169"/>
        <v>0616023890</v>
      </c>
      <c r="B466" t="str">
        <f t="shared" si="170"/>
        <v>GABRIEL</v>
      </c>
      <c r="C466" t="str">
        <f t="shared" si="171"/>
        <v>ALVAREZ AREVALO</v>
      </c>
      <c r="D466">
        <f>10</f>
        <v>10</v>
      </c>
      <c r="E466" t="str">
        <f>"08 - B - 201 - Lenecy  Nodarse"</f>
        <v>08 - B - 201 - Lenecy  Nodarse</v>
      </c>
      <c r="F466" t="str">
        <f>"AICE EURO HIST 1 AS"</f>
        <v>AICE EURO HIST 1 AS</v>
      </c>
      <c r="G466" t="str">
        <f>"17-1741"</f>
        <v>17-1741</v>
      </c>
      <c r="H466" t="str">
        <f>"B"</f>
        <v>B</v>
      </c>
    </row>
    <row r="467" spans="1:8" x14ac:dyDescent="0.2">
      <c r="A467" t="str">
        <f t="shared" ref="A467:A474" si="172">"0623119950"</f>
        <v>0623119950</v>
      </c>
      <c r="B467" t="str">
        <f t="shared" ref="B467:B474" si="173">"ELISA"</f>
        <v>ELISA</v>
      </c>
      <c r="C467" t="str">
        <f t="shared" ref="C467:C474" si="174">"ALVAREZ JIMENEZ"</f>
        <v>ALVAREZ JIMENEZ</v>
      </c>
      <c r="D467">
        <f>10</f>
        <v>10</v>
      </c>
      <c r="E467" t="str">
        <f>"04 - A - 104 - Dayna M Foster"</f>
        <v>04 - A - 104 - Dayna M Foster</v>
      </c>
      <c r="F467" t="str">
        <f>"ALGEBRA 2"</f>
        <v>ALGEBRA 2</v>
      </c>
      <c r="G467" t="str">
        <f>"21-2109"</f>
        <v>21-2109</v>
      </c>
      <c r="H467" t="str">
        <f>"A"</f>
        <v>A</v>
      </c>
    </row>
    <row r="468" spans="1:8" x14ac:dyDescent="0.2">
      <c r="A468" t="str">
        <f t="shared" si="172"/>
        <v>0623119950</v>
      </c>
      <c r="B468" t="str">
        <f t="shared" si="173"/>
        <v>ELISA</v>
      </c>
      <c r="C468" t="str">
        <f t="shared" si="174"/>
        <v>ALVAREZ JIMENEZ</v>
      </c>
      <c r="D468">
        <f>10</f>
        <v>10</v>
      </c>
      <c r="E468" t="str">
        <f>"06 - B - 109 - Semra  Bahadir"</f>
        <v>06 - B - 109 - Semra  Bahadir</v>
      </c>
      <c r="F468" t="str">
        <f>"NC STUDY HALL 1"</f>
        <v>NC STUDY HALL 1</v>
      </c>
      <c r="G468" t="str">
        <f>"21-2107"</f>
        <v>21-2107</v>
      </c>
      <c r="H468" t="str">
        <f>"B"</f>
        <v>B</v>
      </c>
    </row>
    <row r="469" spans="1:8" x14ac:dyDescent="0.2">
      <c r="A469" t="str">
        <f t="shared" si="172"/>
        <v>0623119950</v>
      </c>
      <c r="B469" t="str">
        <f t="shared" si="173"/>
        <v>ELISA</v>
      </c>
      <c r="C469" t="str">
        <f t="shared" si="174"/>
        <v>ALVAREZ JIMENEZ</v>
      </c>
      <c r="D469">
        <f>10</f>
        <v>10</v>
      </c>
      <c r="E469" t="str">
        <f>"03 - A - 103 - Courtney E Hambright"</f>
        <v>03 - A - 103 - Courtney E Hambright</v>
      </c>
      <c r="F469" t="str">
        <f>"AICE ENG LANG AS"</f>
        <v>AICE ENG LANG AS</v>
      </c>
      <c r="G469" t="str">
        <f>"17-1711"</f>
        <v>17-1711</v>
      </c>
      <c r="H469" t="str">
        <f>"A"</f>
        <v>A</v>
      </c>
    </row>
    <row r="470" spans="1:8" x14ac:dyDescent="0.2">
      <c r="A470" t="str">
        <f t="shared" si="172"/>
        <v>0623119950</v>
      </c>
      <c r="B470" t="str">
        <f t="shared" si="173"/>
        <v>ELISA</v>
      </c>
      <c r="C470" t="str">
        <f t="shared" si="174"/>
        <v>ALVAREZ JIMENEZ</v>
      </c>
      <c r="D470">
        <f>10</f>
        <v>10</v>
      </c>
      <c r="E470" t="str">
        <f>"02 - A - 102 - Chrystina M Marchionne"</f>
        <v>02 - A - 102 - Chrystina M Marchionne</v>
      </c>
      <c r="F470" t="str">
        <f>"AICE MEDIASTUDIES AS"</f>
        <v>AICE MEDIASTUDIES AS</v>
      </c>
      <c r="G470" t="str">
        <f>"05-520"</f>
        <v>05-520</v>
      </c>
      <c r="H470" t="str">
        <f>"A"</f>
        <v>A</v>
      </c>
    </row>
    <row r="471" spans="1:8" x14ac:dyDescent="0.2">
      <c r="A471" t="str">
        <f t="shared" si="172"/>
        <v>0623119950</v>
      </c>
      <c r="B471" t="str">
        <f t="shared" si="173"/>
        <v>ELISA</v>
      </c>
      <c r="C471" t="str">
        <f t="shared" si="174"/>
        <v>ALVAREZ JIMENEZ</v>
      </c>
      <c r="D471">
        <f>10</f>
        <v>10</v>
      </c>
      <c r="E471" t="str">
        <f>"07 - B - 204 - Elizabeth Ellen  Moran"</f>
        <v>07 - B - 204 - Elizabeth Ellen  Moran</v>
      </c>
      <c r="F471" t="str">
        <f>"AICE EURO HIST 1 AS"</f>
        <v>AICE EURO HIST 1 AS</v>
      </c>
      <c r="G471" t="str">
        <f>"17-1752"</f>
        <v>17-1752</v>
      </c>
      <c r="H471" t="str">
        <f>"B"</f>
        <v>B</v>
      </c>
    </row>
    <row r="472" spans="1:8" x14ac:dyDescent="0.2">
      <c r="A472" t="str">
        <f t="shared" si="172"/>
        <v>0623119950</v>
      </c>
      <c r="B472" t="str">
        <f t="shared" si="173"/>
        <v>ELISA</v>
      </c>
      <c r="C472" t="str">
        <f t="shared" si="174"/>
        <v>ALVAREZ JIMENEZ</v>
      </c>
      <c r="D472">
        <f>10</f>
        <v>10</v>
      </c>
      <c r="E472" t="str">
        <f>"05 - B - 103 - Vanessa J Liburd"</f>
        <v>05 - B - 103 - Vanessa J Liburd</v>
      </c>
      <c r="F472" t="str">
        <f>"PRE-AICE FRENCH 2 IG"</f>
        <v>PRE-AICE FRENCH 2 IG</v>
      </c>
      <c r="G472" t="str">
        <f>"05-519"</f>
        <v>05-519</v>
      </c>
      <c r="H472" t="str">
        <f>"B"</f>
        <v>B</v>
      </c>
    </row>
    <row r="473" spans="1:8" x14ac:dyDescent="0.2">
      <c r="A473" t="str">
        <f t="shared" si="172"/>
        <v>0623119950</v>
      </c>
      <c r="B473" t="str">
        <f t="shared" si="173"/>
        <v>ELISA</v>
      </c>
      <c r="C473" t="str">
        <f t="shared" si="174"/>
        <v>ALVAREZ JIMENEZ</v>
      </c>
      <c r="D473">
        <f>10</f>
        <v>10</v>
      </c>
      <c r="E473" t="str">
        <f>"01 - A - 201 - Stefanie S Scher"</f>
        <v>01 - A - 201 - Stefanie S Scher</v>
      </c>
      <c r="F473" t="str">
        <f>"AICE PSYCH 1 AS"</f>
        <v>AICE PSYCH 1 AS</v>
      </c>
      <c r="G473" t="str">
        <f>"17-1735"</f>
        <v>17-1735</v>
      </c>
      <c r="H473" t="str">
        <f>"A"</f>
        <v>A</v>
      </c>
    </row>
    <row r="474" spans="1:8" x14ac:dyDescent="0.2">
      <c r="A474" t="str">
        <f t="shared" si="172"/>
        <v>0623119950</v>
      </c>
      <c r="B474" t="str">
        <f t="shared" si="173"/>
        <v>ELISA</v>
      </c>
      <c r="C474" t="str">
        <f t="shared" si="174"/>
        <v>ALVAREZ JIMENEZ</v>
      </c>
      <c r="D474">
        <f>10</f>
        <v>10</v>
      </c>
      <c r="E474" t="str">
        <f>"08 - B - 001 - Scott A Dethloff"</f>
        <v>08 - B - 001 - Scott A Dethloff</v>
      </c>
      <c r="F474" t="str">
        <f>"CHEMISTRY 1 HON"</f>
        <v>CHEMISTRY 1 HON</v>
      </c>
      <c r="G474" t="str">
        <f>"08-812"</f>
        <v>08-812</v>
      </c>
      <c r="H474" t="str">
        <f>"B"</f>
        <v>B</v>
      </c>
    </row>
    <row r="475" spans="1:8" x14ac:dyDescent="0.2">
      <c r="A475" t="str">
        <f t="shared" ref="A475:A483" si="175">"0612128502"</f>
        <v>0612128502</v>
      </c>
      <c r="B475" t="str">
        <f t="shared" ref="B475:B483" si="176">"IRIS"</f>
        <v>IRIS</v>
      </c>
      <c r="C475" t="str">
        <f t="shared" ref="C475:C483" si="177">"ALVAREZ VILLATORO"</f>
        <v>ALVAREZ VILLATORO</v>
      </c>
      <c r="D475">
        <f>12</f>
        <v>12</v>
      </c>
      <c r="E475" t="str">
        <f>"04 - S1 - A - 101 - Nahum  Saint-Preux"</f>
        <v>04 - S1 - A - 101 - Nahum  Saint-Preux</v>
      </c>
      <c r="F475" t="str">
        <f>"CRIT THINK ST SKLS"</f>
        <v>CRIT THINK ST SKLS</v>
      </c>
      <c r="G475" t="str">
        <f>"17-1712"</f>
        <v>17-1712</v>
      </c>
      <c r="H475" t="str">
        <f>"A"</f>
        <v>A</v>
      </c>
    </row>
    <row r="476" spans="1:8" x14ac:dyDescent="0.2">
      <c r="A476" t="str">
        <f t="shared" si="175"/>
        <v>0612128502</v>
      </c>
      <c r="B476" t="str">
        <f t="shared" si="176"/>
        <v>IRIS</v>
      </c>
      <c r="C476" t="str">
        <f t="shared" si="177"/>
        <v>ALVAREZ VILLATORO</v>
      </c>
      <c r="D476">
        <f>12</f>
        <v>12</v>
      </c>
      <c r="E476" t="str">
        <f>"06 - B - 110 - Barbara L Segal"</f>
        <v>06 - B - 110 - Barbara L Segal</v>
      </c>
      <c r="F476" t="str">
        <f>"NC STUDY HALL 1"</f>
        <v>NC STUDY HALL 1</v>
      </c>
      <c r="G476" t="str">
        <f>"17-1742"</f>
        <v>17-1742</v>
      </c>
      <c r="H476" t="str">
        <f>"B"</f>
        <v>B</v>
      </c>
    </row>
    <row r="477" spans="1:8" x14ac:dyDescent="0.2">
      <c r="A477" t="str">
        <f t="shared" si="175"/>
        <v>0612128502</v>
      </c>
      <c r="B477" t="str">
        <f t="shared" si="176"/>
        <v>IRIS</v>
      </c>
      <c r="C477" t="str">
        <f t="shared" si="177"/>
        <v>ALVAREZ VILLATORO</v>
      </c>
      <c r="D477">
        <f>12</f>
        <v>12</v>
      </c>
      <c r="E477" t="str">
        <f>"06 - B - 116 - Karen A Toomer"</f>
        <v>06 - B - 116 - Karen A Toomer</v>
      </c>
      <c r="F477" t="str">
        <f>"LANG THERAPY"</f>
        <v>LANG THERAPY</v>
      </c>
      <c r="G477" t="str">
        <f>"21-2110"</f>
        <v>21-2110</v>
      </c>
      <c r="H477" t="str">
        <f>"B"</f>
        <v>B</v>
      </c>
    </row>
    <row r="478" spans="1:8" x14ac:dyDescent="0.2">
      <c r="A478" t="str">
        <f t="shared" si="175"/>
        <v>0612128502</v>
      </c>
      <c r="B478" t="str">
        <f t="shared" si="176"/>
        <v>IRIS</v>
      </c>
      <c r="C478" t="str">
        <f t="shared" si="177"/>
        <v>ALVAREZ VILLATORO</v>
      </c>
      <c r="D478">
        <f>12</f>
        <v>12</v>
      </c>
      <c r="E478" t="str">
        <f>"03 - A - 102 - Cliffon  Saurel"</f>
        <v>03 - A - 102 - Cliffon  Saurel</v>
      </c>
      <c r="F478" t="str">
        <f>"PHYSICAL SCI"</f>
        <v>PHYSICAL SCI</v>
      </c>
      <c r="G478" t="str">
        <f>"05-522"</f>
        <v>05-522</v>
      </c>
      <c r="H478" t="str">
        <f>"A"</f>
        <v>A</v>
      </c>
    </row>
    <row r="479" spans="1:8" x14ac:dyDescent="0.2">
      <c r="A479" t="str">
        <f t="shared" si="175"/>
        <v>0612128502</v>
      </c>
      <c r="B479" t="str">
        <f t="shared" si="176"/>
        <v>IRIS</v>
      </c>
      <c r="C479" t="str">
        <f t="shared" si="177"/>
        <v>ALVAREZ VILLATORO</v>
      </c>
      <c r="D479">
        <f>12</f>
        <v>12</v>
      </c>
      <c r="E479" t="str">
        <f>"02 - A - 101 - Robyn L Trainer"</f>
        <v>02 - A - 101 - Robyn L Trainer</v>
      </c>
      <c r="F479" t="str">
        <f>"ENG 4"</f>
        <v>ENG 4</v>
      </c>
      <c r="G479" t="str">
        <f>"17-1734"</f>
        <v>17-1734</v>
      </c>
      <c r="H479" t="str">
        <f>"A"</f>
        <v>A</v>
      </c>
    </row>
    <row r="480" spans="1:8" x14ac:dyDescent="0.2">
      <c r="A480" t="str">
        <f t="shared" si="175"/>
        <v>0612128502</v>
      </c>
      <c r="B480" t="str">
        <f t="shared" si="176"/>
        <v>IRIS</v>
      </c>
      <c r="C480" t="str">
        <f t="shared" si="177"/>
        <v>ALVAREZ VILLATORO</v>
      </c>
      <c r="D480">
        <f>12</f>
        <v>12</v>
      </c>
      <c r="E480" t="str">
        <f>"07 - B - 101 - Lisa  Quinn"</f>
        <v>07 - B - 101 - Lisa  Quinn</v>
      </c>
      <c r="F480" t="str">
        <f>"RESEARCH 1"</f>
        <v>RESEARCH 1</v>
      </c>
      <c r="G480" t="str">
        <f>"17-1725"</f>
        <v>17-1725</v>
      </c>
      <c r="H480" t="str">
        <f>"B"</f>
        <v>B</v>
      </c>
    </row>
    <row r="481" spans="1:8" x14ac:dyDescent="0.2">
      <c r="A481" t="str">
        <f t="shared" si="175"/>
        <v>0612128502</v>
      </c>
      <c r="B481" t="str">
        <f t="shared" si="176"/>
        <v>IRIS</v>
      </c>
      <c r="C481" t="str">
        <f t="shared" si="177"/>
        <v>ALVAREZ VILLATORO</v>
      </c>
      <c r="D481">
        <f>12</f>
        <v>12</v>
      </c>
      <c r="E481" t="str">
        <f>"05 - S1 - B - 102 - Robert O Burger"</f>
        <v>05 - S1 - B - 102 - Robert O Burger</v>
      </c>
      <c r="F481" t="str">
        <f>"US GOVT"</f>
        <v>US GOVT</v>
      </c>
      <c r="G481" t="str">
        <f>"17-1755"</f>
        <v>17-1755</v>
      </c>
      <c r="H481" t="str">
        <f>"B"</f>
        <v>B</v>
      </c>
    </row>
    <row r="482" spans="1:8" x14ac:dyDescent="0.2">
      <c r="A482" t="str">
        <f t="shared" si="175"/>
        <v>0612128502</v>
      </c>
      <c r="B482" t="str">
        <f t="shared" si="176"/>
        <v>IRIS</v>
      </c>
      <c r="C482" t="str">
        <f t="shared" si="177"/>
        <v>ALVAREZ VILLATORO</v>
      </c>
      <c r="D482">
        <f>12</f>
        <v>12</v>
      </c>
      <c r="E482" t="str">
        <f>"01 - A - 102 - Robert H Rindner"</f>
        <v>01 - A - 102 - Robert H Rindner</v>
      </c>
      <c r="F482" t="str">
        <f>"MATH DATA&amp;FIN LIT H"</f>
        <v>MATH DATA&amp;FIN LIT H</v>
      </c>
      <c r="G482" t="str">
        <f>"21-2160"</f>
        <v>21-2160</v>
      </c>
      <c r="H482" t="str">
        <f>"A"</f>
        <v>A</v>
      </c>
    </row>
    <row r="483" spans="1:8" x14ac:dyDescent="0.2">
      <c r="A483" t="str">
        <f t="shared" si="175"/>
        <v>0612128502</v>
      </c>
      <c r="B483" t="str">
        <f t="shared" si="176"/>
        <v>IRIS</v>
      </c>
      <c r="C483" t="str">
        <f t="shared" si="177"/>
        <v>ALVAREZ VILLATORO</v>
      </c>
      <c r="D483">
        <f>12</f>
        <v>12</v>
      </c>
      <c r="E483" t="str">
        <f>"08 - S1 - B - 104 - Angela S Adeshina-Morrison"</f>
        <v>08 - S1 - B - 104 - Angela S Adeshina-Morrison</v>
      </c>
      <c r="F483" t="str">
        <f>"PEER COUN 1"</f>
        <v>PEER COUN 1</v>
      </c>
      <c r="G483" t="str">
        <f>"05-518"</f>
        <v>05-518</v>
      </c>
      <c r="H483" t="str">
        <f>"B"</f>
        <v>B</v>
      </c>
    </row>
    <row r="484" spans="1:8" x14ac:dyDescent="0.2">
      <c r="A484" t="str">
        <f t="shared" ref="A484:A491" si="178">"0615041998"</f>
        <v>0615041998</v>
      </c>
      <c r="B484" t="str">
        <f t="shared" ref="B484:B491" si="179">"DANIEL"</f>
        <v>DANIEL</v>
      </c>
      <c r="C484" t="str">
        <f t="shared" ref="C484:C491" si="180">"ALVAREZ-VILLATORO"</f>
        <v>ALVAREZ-VILLATORO</v>
      </c>
      <c r="D484">
        <f>10</f>
        <v>10</v>
      </c>
      <c r="E484" t="str">
        <f>"04 - A - 104 - Marius D Orsolini"</f>
        <v>04 - A - 104 - Marius D Orsolini</v>
      </c>
      <c r="F484" t="str">
        <f>"CULINARY ARTS 1"</f>
        <v>CULINARY ARTS 1</v>
      </c>
      <c r="G484" t="str">
        <f>"21-2115"</f>
        <v>21-2115</v>
      </c>
      <c r="H484" t="str">
        <f>"A"</f>
        <v>A</v>
      </c>
    </row>
    <row r="485" spans="1:8" x14ac:dyDescent="0.2">
      <c r="A485" t="str">
        <f t="shared" si="178"/>
        <v>0615041998</v>
      </c>
      <c r="B485" t="str">
        <f t="shared" si="179"/>
        <v>DANIEL</v>
      </c>
      <c r="C485" t="str">
        <f t="shared" si="180"/>
        <v>ALVAREZ-VILLATORO</v>
      </c>
      <c r="D485">
        <f>10</f>
        <v>10</v>
      </c>
      <c r="E485" t="str">
        <f>"06 - B - 113 - Joe  Kilpatrick Jr"</f>
        <v>06 - B - 113 - Joe  Kilpatrick Jr</v>
      </c>
      <c r="F485" t="str">
        <f>"NC STUDY HALL 1"</f>
        <v>NC STUDY HALL 1</v>
      </c>
      <c r="G485" t="str">
        <f>"09-912"</f>
        <v>09-912</v>
      </c>
      <c r="H485" t="str">
        <f>"B"</f>
        <v>B</v>
      </c>
    </row>
    <row r="486" spans="1:8" x14ac:dyDescent="0.2">
      <c r="A486" t="str">
        <f t="shared" si="178"/>
        <v>0615041998</v>
      </c>
      <c r="B486" t="str">
        <f t="shared" si="179"/>
        <v>DANIEL</v>
      </c>
      <c r="C486" t="str">
        <f t="shared" si="180"/>
        <v>ALVAREZ-VILLATORO</v>
      </c>
      <c r="D486">
        <f>10</f>
        <v>10</v>
      </c>
      <c r="E486" t="str">
        <f>"03 - S1 - A - 102 - Leslie J Barton"</f>
        <v>03 - S1 - A - 102 - Leslie J Barton</v>
      </c>
      <c r="F486" t="str">
        <f>"FIRST AID SAFETY"</f>
        <v>FIRST AID SAFETY</v>
      </c>
      <c r="G486" t="str">
        <f>"05-521"</f>
        <v>05-521</v>
      </c>
      <c r="H486" t="str">
        <f>"A"</f>
        <v>A</v>
      </c>
    </row>
    <row r="487" spans="1:8" x14ac:dyDescent="0.2">
      <c r="A487" t="str">
        <f t="shared" si="178"/>
        <v>0615041998</v>
      </c>
      <c r="B487" t="str">
        <f t="shared" si="179"/>
        <v>DANIEL</v>
      </c>
      <c r="C487" t="str">
        <f t="shared" si="180"/>
        <v>ALVAREZ-VILLATORO</v>
      </c>
      <c r="D487">
        <f>10</f>
        <v>10</v>
      </c>
      <c r="E487" t="str">
        <f>"02 - A - 204 - Jacqueline R Morphet"</f>
        <v>02 - A - 204 - Jacqueline R Morphet</v>
      </c>
      <c r="F487" t="str">
        <f>"PHYSICS 1 HON"</f>
        <v>PHYSICS 1 HON</v>
      </c>
      <c r="G487" t="str">
        <f>"21-2138"</f>
        <v>21-2138</v>
      </c>
      <c r="H487" t="str">
        <f>"A"</f>
        <v>A</v>
      </c>
    </row>
    <row r="488" spans="1:8" x14ac:dyDescent="0.2">
      <c r="A488" t="str">
        <f t="shared" si="178"/>
        <v>0615041998</v>
      </c>
      <c r="B488" t="str">
        <f t="shared" si="179"/>
        <v>DANIEL</v>
      </c>
      <c r="C488" t="str">
        <f t="shared" si="180"/>
        <v>ALVAREZ-VILLATORO</v>
      </c>
      <c r="D488">
        <f>10</f>
        <v>10</v>
      </c>
      <c r="E488" t="str">
        <f>"07 - B - 206 - Cheryl L Beach"</f>
        <v>07 - B - 206 - Cheryl L Beach</v>
      </c>
      <c r="F488" t="str">
        <f>"AICE ENV MGMNT AS"</f>
        <v>AICE ENV MGMNT AS</v>
      </c>
      <c r="G488" t="str">
        <f>"08-811"</f>
        <v>08-811</v>
      </c>
      <c r="H488" t="str">
        <f>"B"</f>
        <v>B</v>
      </c>
    </row>
    <row r="489" spans="1:8" x14ac:dyDescent="0.2">
      <c r="A489" t="str">
        <f t="shared" si="178"/>
        <v>0615041998</v>
      </c>
      <c r="B489" t="str">
        <f t="shared" si="179"/>
        <v>DANIEL</v>
      </c>
      <c r="C489" t="str">
        <f t="shared" si="180"/>
        <v>ALVAREZ-VILLATORO</v>
      </c>
      <c r="D489">
        <f>10</f>
        <v>10</v>
      </c>
      <c r="E489" t="str">
        <f>"05 - B - 003 - Krystal Marie  Beruty"</f>
        <v>05 - B - 003 - Krystal Marie  Beruty</v>
      </c>
      <c r="F489" t="str">
        <f>"AICE GLBL PERSP 1 AS"</f>
        <v>AICE GLBL PERSP 1 AS</v>
      </c>
      <c r="G489" t="str">
        <f>"17-1721"</f>
        <v>17-1721</v>
      </c>
      <c r="H489" t="str">
        <f>"B"</f>
        <v>B</v>
      </c>
    </row>
    <row r="490" spans="1:8" x14ac:dyDescent="0.2">
      <c r="A490" t="str">
        <f t="shared" si="178"/>
        <v>0615041998</v>
      </c>
      <c r="B490" t="str">
        <f t="shared" si="179"/>
        <v>DANIEL</v>
      </c>
      <c r="C490" t="str">
        <f t="shared" si="180"/>
        <v>ALVAREZ-VILLATORO</v>
      </c>
      <c r="D490">
        <f>10</f>
        <v>10</v>
      </c>
      <c r="E490" t="str">
        <f>"01 - A - 101 - James H Mccann"</f>
        <v>01 - A - 101 - James H Mccann</v>
      </c>
      <c r="F490" t="str">
        <f>"ALGEBRA 2"</f>
        <v>ALGEBRA 2</v>
      </c>
      <c r="G490" t="str">
        <f>"17-1716"</f>
        <v>17-1716</v>
      </c>
      <c r="H490" t="str">
        <f>"A"</f>
        <v>A</v>
      </c>
    </row>
    <row r="491" spans="1:8" x14ac:dyDescent="0.2">
      <c r="A491" t="str">
        <f t="shared" si="178"/>
        <v>0615041998</v>
      </c>
      <c r="B491" t="str">
        <f t="shared" si="179"/>
        <v>DANIEL</v>
      </c>
      <c r="C491" t="str">
        <f t="shared" si="180"/>
        <v>ALVAREZ-VILLATORO</v>
      </c>
      <c r="D491">
        <f>10</f>
        <v>10</v>
      </c>
      <c r="E491" t="str">
        <f>"08 - B - 102 - Jacquelyn M Neeson"</f>
        <v>08 - B - 102 - Jacquelyn M Neeson</v>
      </c>
      <c r="F491" t="str">
        <f>"AICE ENG GEN PAPER 1"</f>
        <v>AICE ENG GEN PAPER 1</v>
      </c>
      <c r="G491" t="str">
        <f>"17-1715"</f>
        <v>17-1715</v>
      </c>
      <c r="H491" t="str">
        <f>"B"</f>
        <v>B</v>
      </c>
    </row>
    <row r="492" spans="1:8" x14ac:dyDescent="0.2">
      <c r="A492" t="str">
        <f t="shared" ref="A492:A499" si="181">"0615080114"</f>
        <v>0615080114</v>
      </c>
      <c r="B492" t="str">
        <f t="shared" ref="B492:B499" si="182">"DAMIAN"</f>
        <v>DAMIAN</v>
      </c>
      <c r="C492" t="str">
        <f t="shared" ref="C492:C499" si="183">"ALY"</f>
        <v>ALY</v>
      </c>
      <c r="D492" t="str">
        <f t="shared" ref="D492:D523" si="184">"09"</f>
        <v>09</v>
      </c>
      <c r="E492" t="str">
        <f>"04 - A - 102 - Eva T Rimmer"</f>
        <v>04 - A - 102 - Eva T Rimmer</v>
      </c>
      <c r="F492" t="str">
        <f>"CRIMINAL JUST OPS 1"</f>
        <v>CRIMINAL JUST OPS 1</v>
      </c>
      <c r="G492" t="str">
        <f>"05-523"</f>
        <v>05-523</v>
      </c>
      <c r="H492" t="str">
        <f>"A"</f>
        <v>A</v>
      </c>
    </row>
    <row r="493" spans="1:8" x14ac:dyDescent="0.2">
      <c r="A493" t="str">
        <f t="shared" si="181"/>
        <v>0615080114</v>
      </c>
      <c r="B493" t="str">
        <f t="shared" si="182"/>
        <v>DAMIAN</v>
      </c>
      <c r="C493" t="str">
        <f t="shared" si="183"/>
        <v>ALY</v>
      </c>
      <c r="D493" t="str">
        <f t="shared" si="184"/>
        <v>09</v>
      </c>
      <c r="E493" t="str">
        <f>"06 - B - 105 - Cheryl L Beach"</f>
        <v>06 - B - 105 - Cheryl L Beach</v>
      </c>
      <c r="F493" t="str">
        <f>"AICE ENV MGMNT AS"</f>
        <v>AICE ENV MGMNT AS</v>
      </c>
      <c r="G493" t="str">
        <f>"08-811"</f>
        <v>08-811</v>
      </c>
      <c r="H493" t="str">
        <f>"B"</f>
        <v>B</v>
      </c>
    </row>
    <row r="494" spans="1:8" x14ac:dyDescent="0.2">
      <c r="A494" t="str">
        <f t="shared" si="181"/>
        <v>0615080114</v>
      </c>
      <c r="B494" t="str">
        <f t="shared" si="182"/>
        <v>DAMIAN</v>
      </c>
      <c r="C494" t="str">
        <f t="shared" si="183"/>
        <v>ALY</v>
      </c>
      <c r="D494" t="str">
        <f t="shared" si="184"/>
        <v>09</v>
      </c>
      <c r="E494" t="str">
        <f>"03 - S1 - A - 101 - Daniel S Katz"</f>
        <v>03 - S1 - A - 101 - Daniel S Katz</v>
      </c>
      <c r="F494" t="str">
        <f>"COURT PROCED"</f>
        <v>COURT PROCED</v>
      </c>
      <c r="G494" t="str">
        <f>"21-2156"</f>
        <v>21-2156</v>
      </c>
      <c r="H494" t="str">
        <f>"A"</f>
        <v>A</v>
      </c>
    </row>
    <row r="495" spans="1:8" x14ac:dyDescent="0.2">
      <c r="A495" t="str">
        <f t="shared" si="181"/>
        <v>0615080114</v>
      </c>
      <c r="B495" t="str">
        <f t="shared" si="182"/>
        <v>DAMIAN</v>
      </c>
      <c r="C495" t="str">
        <f t="shared" si="183"/>
        <v>ALY</v>
      </c>
      <c r="D495" t="str">
        <f t="shared" si="184"/>
        <v>09</v>
      </c>
      <c r="E495" t="str">
        <f>"02 - A - 115 - Lourivaldo  Da Silva"</f>
        <v>02 - A - 115 - Lourivaldo  Da Silva</v>
      </c>
      <c r="F495" t="str">
        <f>"NC STUDY HALL 1"</f>
        <v>NC STUDY HALL 1</v>
      </c>
      <c r="G495" t="str">
        <f>"20-2079"</f>
        <v>20-2079</v>
      </c>
      <c r="H495" t="str">
        <f>"A"</f>
        <v>A</v>
      </c>
    </row>
    <row r="496" spans="1:8" x14ac:dyDescent="0.2">
      <c r="A496" t="str">
        <f t="shared" si="181"/>
        <v>0615080114</v>
      </c>
      <c r="B496" t="str">
        <f t="shared" si="182"/>
        <v>DAMIAN</v>
      </c>
      <c r="C496" t="str">
        <f t="shared" si="183"/>
        <v>ALY</v>
      </c>
      <c r="D496" t="str">
        <f t="shared" si="184"/>
        <v>09</v>
      </c>
      <c r="E496" t="str">
        <f>"07 - B - 107 - Rosa Elaine  Collado-Duff"</f>
        <v>07 - B - 107 - Rosa Elaine  Collado-Duff</v>
      </c>
      <c r="F496" t="str">
        <f>"PRE-AICE SPAN 2 IG"</f>
        <v>PRE-AICE SPAN 2 IG</v>
      </c>
      <c r="G496" t="str">
        <f>"09-913"</f>
        <v>09-913</v>
      </c>
      <c r="H496" t="str">
        <f>"B"</f>
        <v>B</v>
      </c>
    </row>
    <row r="497" spans="1:8" x14ac:dyDescent="0.2">
      <c r="A497" t="str">
        <f t="shared" si="181"/>
        <v>0615080114</v>
      </c>
      <c r="B497" t="str">
        <f t="shared" si="182"/>
        <v>DAMIAN</v>
      </c>
      <c r="C497" t="str">
        <f t="shared" si="183"/>
        <v>ALY</v>
      </c>
      <c r="D497" t="str">
        <f t="shared" si="184"/>
        <v>09</v>
      </c>
      <c r="E497" t="str">
        <f>"05 - B - 001 - Kelly N Panza"</f>
        <v>05 - B - 001 - Kelly N Panza</v>
      </c>
      <c r="F497" t="str">
        <f>"AICE GLBL PERSP 1 AS"</f>
        <v>AICE GLBL PERSP 1 AS</v>
      </c>
      <c r="G497" t="str">
        <f>"17-1753"</f>
        <v>17-1753</v>
      </c>
      <c r="H497" t="str">
        <f>"B"</f>
        <v>B</v>
      </c>
    </row>
    <row r="498" spans="1:8" x14ac:dyDescent="0.2">
      <c r="A498" t="str">
        <f t="shared" si="181"/>
        <v>0615080114</v>
      </c>
      <c r="B498" t="str">
        <f t="shared" si="182"/>
        <v>DAMIAN</v>
      </c>
      <c r="C498" t="str">
        <f t="shared" si="183"/>
        <v>ALY</v>
      </c>
      <c r="D498" t="str">
        <f t="shared" si="184"/>
        <v>09</v>
      </c>
      <c r="E498" t="str">
        <f>"01 - A - 101 - Maried P Ramos"</f>
        <v>01 - A - 101 - Maried P Ramos</v>
      </c>
      <c r="F498" t="str">
        <f>"ALGEBRA 2 HON"</f>
        <v>ALGEBRA 2 HON</v>
      </c>
      <c r="G498" t="str">
        <f>"21-2159"</f>
        <v>21-2159</v>
      </c>
      <c r="H498" t="str">
        <f>"A"</f>
        <v>A</v>
      </c>
    </row>
    <row r="499" spans="1:8" x14ac:dyDescent="0.2">
      <c r="A499" t="str">
        <f t="shared" si="181"/>
        <v>0615080114</v>
      </c>
      <c r="B499" t="str">
        <f t="shared" si="182"/>
        <v>DAMIAN</v>
      </c>
      <c r="C499" t="str">
        <f t="shared" si="183"/>
        <v>ALY</v>
      </c>
      <c r="D499" t="str">
        <f t="shared" si="184"/>
        <v>09</v>
      </c>
      <c r="E499" t="str">
        <f>"08 - B - 201 - Elizabeth R Walker"</f>
        <v>08 - B - 201 - Elizabeth R Walker</v>
      </c>
      <c r="F499" t="str">
        <f>"AICE ENG GEN PAPER 1"</f>
        <v>AICE ENG GEN PAPER 1</v>
      </c>
      <c r="G499" t="str">
        <f>"17-1703"</f>
        <v>17-1703</v>
      </c>
      <c r="H499" t="str">
        <f>"B"</f>
        <v>B</v>
      </c>
    </row>
    <row r="500" spans="1:8" x14ac:dyDescent="0.2">
      <c r="A500" t="str">
        <f t="shared" ref="A500:A507" si="185">"0622136104"</f>
        <v>0622136104</v>
      </c>
      <c r="B500" t="str">
        <f t="shared" ref="B500:B507" si="186">"DILAN"</f>
        <v>DILAN</v>
      </c>
      <c r="C500" t="str">
        <f t="shared" ref="C500:C507" si="187">"ALZA MELO"</f>
        <v>ALZA MELO</v>
      </c>
      <c r="D500" t="str">
        <f t="shared" si="184"/>
        <v>09</v>
      </c>
      <c r="E500" t="str">
        <f>"04 - A - 103 - Cerine S Stewart"</f>
        <v>04 - A - 103 - Cerine S Stewart</v>
      </c>
      <c r="F500" t="str">
        <f>"ENG 1"</f>
        <v>ENG 1</v>
      </c>
      <c r="G500" t="str">
        <f>"17-1720"</f>
        <v>17-1720</v>
      </c>
      <c r="H500" t="str">
        <f>"A"</f>
        <v>A</v>
      </c>
    </row>
    <row r="501" spans="1:8" x14ac:dyDescent="0.2">
      <c r="A501" t="str">
        <f t="shared" si="185"/>
        <v>0622136104</v>
      </c>
      <c r="B501" t="str">
        <f t="shared" si="186"/>
        <v>DILAN</v>
      </c>
      <c r="C501" t="str">
        <f t="shared" si="187"/>
        <v>ALZA MELO</v>
      </c>
      <c r="D501" t="str">
        <f t="shared" si="184"/>
        <v>09</v>
      </c>
      <c r="E501" t="str">
        <f>"06 - B - 002 - Amy Beth  Broyles"</f>
        <v>06 - B - 002 - Amy Beth  Broyles</v>
      </c>
      <c r="F501" t="str">
        <f>"ENV SCI"</f>
        <v>ENV SCI</v>
      </c>
      <c r="G501" t="str">
        <f>"08-802"</f>
        <v>08-802</v>
      </c>
      <c r="H501" t="str">
        <f>"B"</f>
        <v>B</v>
      </c>
    </row>
    <row r="502" spans="1:8" x14ac:dyDescent="0.2">
      <c r="A502" t="str">
        <f t="shared" si="185"/>
        <v>0622136104</v>
      </c>
      <c r="B502" t="str">
        <f t="shared" si="186"/>
        <v>DILAN</v>
      </c>
      <c r="C502" t="str">
        <f t="shared" si="187"/>
        <v>ALZA MELO</v>
      </c>
      <c r="D502" t="str">
        <f t="shared" si="184"/>
        <v>09</v>
      </c>
      <c r="E502" t="str">
        <f>"03 - A - 201 - Emmily A Sarmiento"</f>
        <v>03 - A - 201 - Emmily A Sarmiento</v>
      </c>
      <c r="F502" t="str">
        <f>"LEAD SKLS DEV LH"</f>
        <v>LEAD SKLS DEV LH</v>
      </c>
      <c r="G502" t="str">
        <f>"17-1743"</f>
        <v>17-1743</v>
      </c>
      <c r="H502" t="str">
        <f>"A"</f>
        <v>A</v>
      </c>
    </row>
    <row r="503" spans="1:8" x14ac:dyDescent="0.2">
      <c r="A503" t="str">
        <f t="shared" si="185"/>
        <v>0622136104</v>
      </c>
      <c r="B503" t="str">
        <f t="shared" si="186"/>
        <v>DILAN</v>
      </c>
      <c r="C503" t="str">
        <f t="shared" si="187"/>
        <v>ALZA MELO</v>
      </c>
      <c r="D503" t="str">
        <f t="shared" si="184"/>
        <v>09</v>
      </c>
      <c r="E503" t="str">
        <f>"02 - A - 102 - Fernando  Vega-Cid"</f>
        <v>02 - A - 102 - Fernando  Vega-Cid</v>
      </c>
      <c r="F503" t="str">
        <f>"NC STUDY HALL 1"</f>
        <v>NC STUDY HALL 1</v>
      </c>
      <c r="G503" t="str">
        <f>"21-2163"</f>
        <v>21-2163</v>
      </c>
      <c r="H503" t="str">
        <f>"A"</f>
        <v>A</v>
      </c>
    </row>
    <row r="504" spans="1:8" x14ac:dyDescent="0.2">
      <c r="A504" t="str">
        <f t="shared" si="185"/>
        <v>0622136104</v>
      </c>
      <c r="B504" t="str">
        <f t="shared" si="186"/>
        <v>DILAN</v>
      </c>
      <c r="C504" t="str">
        <f t="shared" si="187"/>
        <v>ALZA MELO</v>
      </c>
      <c r="D504" t="str">
        <f t="shared" si="184"/>
        <v>09</v>
      </c>
      <c r="E504" t="str">
        <f>"07 - B - 107 - Helen A Flores"</f>
        <v>07 - B - 107 - Helen A Flores</v>
      </c>
      <c r="F504" t="str">
        <f>"ALGEBRA 1"</f>
        <v>ALGEBRA 1</v>
      </c>
      <c r="G504" t="str">
        <f>"21-2101"</f>
        <v>21-2101</v>
      </c>
      <c r="H504" t="str">
        <f>"B"</f>
        <v>B</v>
      </c>
    </row>
    <row r="505" spans="1:8" x14ac:dyDescent="0.2">
      <c r="A505" t="str">
        <f t="shared" si="185"/>
        <v>0622136104</v>
      </c>
      <c r="B505" t="str">
        <f t="shared" si="186"/>
        <v>DILAN</v>
      </c>
      <c r="C505" t="str">
        <f t="shared" si="187"/>
        <v>ALZA MELO</v>
      </c>
      <c r="D505" t="str">
        <f t="shared" si="184"/>
        <v>09</v>
      </c>
      <c r="E505" t="str">
        <f>"05 - B - 102 - Vanessa J Pena"</f>
        <v>05 - B - 102 - Vanessa J Pena</v>
      </c>
      <c r="F505" t="str">
        <f>"DEV LANG ARTS ESOL-R"</f>
        <v>DEV LANG ARTS ESOL-R</v>
      </c>
      <c r="G505" t="str">
        <f>"09-926"</f>
        <v>09-926</v>
      </c>
      <c r="H505" t="str">
        <f>"B"</f>
        <v>B</v>
      </c>
    </row>
    <row r="506" spans="1:8" x14ac:dyDescent="0.2">
      <c r="A506" t="str">
        <f t="shared" si="185"/>
        <v>0622136104</v>
      </c>
      <c r="B506" t="str">
        <f t="shared" si="186"/>
        <v>DILAN</v>
      </c>
      <c r="C506" t="str">
        <f t="shared" si="187"/>
        <v>ALZA MELO</v>
      </c>
      <c r="D506" t="str">
        <f t="shared" si="184"/>
        <v>09</v>
      </c>
      <c r="E506" t="str">
        <f>"01 - A - 102 - Helen A Flores"</f>
        <v>01 - A - 102 - Helen A Flores</v>
      </c>
      <c r="F506" t="str">
        <f>"FDN SKLS MATH 9-12"</f>
        <v>FDN SKLS MATH 9-12</v>
      </c>
      <c r="G506" t="str">
        <f>"21-2101"</f>
        <v>21-2101</v>
      </c>
      <c r="H506" t="str">
        <f>"A"</f>
        <v>A</v>
      </c>
    </row>
    <row r="507" spans="1:8" x14ac:dyDescent="0.2">
      <c r="A507" t="str">
        <f t="shared" si="185"/>
        <v>0622136104</v>
      </c>
      <c r="B507" t="str">
        <f t="shared" si="186"/>
        <v>DILAN</v>
      </c>
      <c r="C507" t="str">
        <f t="shared" si="187"/>
        <v>ALZA MELO</v>
      </c>
      <c r="D507" t="str">
        <f t="shared" si="184"/>
        <v>09</v>
      </c>
      <c r="E507" t="str">
        <f>"08 - B - 101 - Elizabeth Ellen  Moran"</f>
        <v>08 - B - 101 - Elizabeth Ellen  Moran</v>
      </c>
      <c r="F507" t="str">
        <f>"WORLD HISTORY"</f>
        <v>WORLD HISTORY</v>
      </c>
      <c r="G507" t="str">
        <f>"17-1752"</f>
        <v>17-1752</v>
      </c>
      <c r="H507" t="str">
        <f>"B"</f>
        <v>B</v>
      </c>
    </row>
    <row r="508" spans="1:8" x14ac:dyDescent="0.2">
      <c r="A508" t="str">
        <f t="shared" ref="A508:A515" si="188">"0616077049"</f>
        <v>0616077049</v>
      </c>
      <c r="B508" t="str">
        <f t="shared" ref="B508:B515" si="189">"DAYANA"</f>
        <v>DAYANA</v>
      </c>
      <c r="C508" t="str">
        <f t="shared" ref="C508:C515" si="190">"AMAYA CORTEZ"</f>
        <v>AMAYA CORTEZ</v>
      </c>
      <c r="D508" t="str">
        <f t="shared" si="184"/>
        <v>09</v>
      </c>
      <c r="E508" t="str">
        <f>"04 - A - 102 - Tina L Lovett"</f>
        <v>04 - A - 102 - Tina L Lovett</v>
      </c>
      <c r="F508" t="str">
        <f>"ALGEBRA 1"</f>
        <v>ALGEBRA 1</v>
      </c>
      <c r="G508" t="str">
        <f>"21-2153"</f>
        <v>21-2153</v>
      </c>
      <c r="H508" t="str">
        <f>"A"</f>
        <v>A</v>
      </c>
    </row>
    <row r="509" spans="1:8" x14ac:dyDescent="0.2">
      <c r="A509" t="str">
        <f t="shared" si="188"/>
        <v>0616077049</v>
      </c>
      <c r="B509" t="str">
        <f t="shared" si="189"/>
        <v>DAYANA</v>
      </c>
      <c r="C509" t="str">
        <f t="shared" si="190"/>
        <v>AMAYA CORTEZ</v>
      </c>
      <c r="D509" t="str">
        <f t="shared" si="184"/>
        <v>09</v>
      </c>
      <c r="E509" t="str">
        <f>"06 - B - 104 - Rory T Sponsler"</f>
        <v>06 - B - 104 - Rory T Sponsler</v>
      </c>
      <c r="F509" t="str">
        <f>"PRE-AICE WRLD HST IG"</f>
        <v>PRE-AICE WRLD HST IG</v>
      </c>
      <c r="G509" t="str">
        <f>"17-1740"</f>
        <v>17-1740</v>
      </c>
      <c r="H509" t="str">
        <f>"B"</f>
        <v>B</v>
      </c>
    </row>
    <row r="510" spans="1:8" x14ac:dyDescent="0.2">
      <c r="A510" t="str">
        <f t="shared" si="188"/>
        <v>0616077049</v>
      </c>
      <c r="B510" t="str">
        <f t="shared" si="189"/>
        <v>DAYANA</v>
      </c>
      <c r="C510" t="str">
        <f t="shared" si="190"/>
        <v>AMAYA CORTEZ</v>
      </c>
      <c r="D510" t="str">
        <f t="shared" si="184"/>
        <v>09</v>
      </c>
      <c r="E510" t="str">
        <f>"03 - A - 201 - Emmily A Sarmiento"</f>
        <v>03 - A - 201 - Emmily A Sarmiento</v>
      </c>
      <c r="F510" t="str">
        <f>"LEAD SKLS DEV LH"</f>
        <v>LEAD SKLS DEV LH</v>
      </c>
      <c r="G510" t="str">
        <f>"17-1743"</f>
        <v>17-1743</v>
      </c>
      <c r="H510" t="str">
        <f>"A"</f>
        <v>A</v>
      </c>
    </row>
    <row r="511" spans="1:8" x14ac:dyDescent="0.2">
      <c r="A511" t="str">
        <f t="shared" si="188"/>
        <v>0616077049</v>
      </c>
      <c r="B511" t="str">
        <f t="shared" si="189"/>
        <v>DAYANA</v>
      </c>
      <c r="C511" t="str">
        <f t="shared" si="190"/>
        <v>AMAYA CORTEZ</v>
      </c>
      <c r="D511" t="str">
        <f t="shared" si="184"/>
        <v>09</v>
      </c>
      <c r="E511" t="str">
        <f>"02 - A - 115 - Lourivaldo  Da Silva"</f>
        <v>02 - A - 115 - Lourivaldo  Da Silva</v>
      </c>
      <c r="F511" t="str">
        <f>"NC STUDY HALL 1"</f>
        <v>NC STUDY HALL 1</v>
      </c>
      <c r="G511" t="str">
        <f>"20-2079"</f>
        <v>20-2079</v>
      </c>
      <c r="H511" t="str">
        <f>"A"</f>
        <v>A</v>
      </c>
    </row>
    <row r="512" spans="1:8" x14ac:dyDescent="0.2">
      <c r="A512" t="str">
        <f t="shared" si="188"/>
        <v>0616077049</v>
      </c>
      <c r="B512" t="str">
        <f t="shared" si="189"/>
        <v>DAYANA</v>
      </c>
      <c r="C512" t="str">
        <f t="shared" si="190"/>
        <v>AMAYA CORTEZ</v>
      </c>
      <c r="D512" t="str">
        <f t="shared" si="184"/>
        <v>09</v>
      </c>
      <c r="E512" t="str">
        <f>"07 - B - 105 - Paige Lauren  Brochu"</f>
        <v>07 - B - 105 - Paige Lauren  Brochu</v>
      </c>
      <c r="F512" t="str">
        <f>"PRE-AICE BIO IG"</f>
        <v>PRE-AICE BIO IG</v>
      </c>
      <c r="G512" t="str">
        <f>"21-2134"</f>
        <v>21-2134</v>
      </c>
      <c r="H512" t="str">
        <f>"B"</f>
        <v>B</v>
      </c>
    </row>
    <row r="513" spans="1:8" x14ac:dyDescent="0.2">
      <c r="A513" t="str">
        <f t="shared" si="188"/>
        <v>0616077049</v>
      </c>
      <c r="B513" t="str">
        <f t="shared" si="189"/>
        <v>DAYANA</v>
      </c>
      <c r="C513" t="str">
        <f t="shared" si="190"/>
        <v>AMAYA CORTEZ</v>
      </c>
      <c r="D513" t="str">
        <f t="shared" si="184"/>
        <v>09</v>
      </c>
      <c r="E513" t="str">
        <f>"05 - B - 204 - Elizabeth R Walker"</f>
        <v>05 - B - 204 - Elizabeth R Walker</v>
      </c>
      <c r="F513" t="str">
        <f>"AICE ENG GEN PAPER 1"</f>
        <v>AICE ENG GEN PAPER 1</v>
      </c>
      <c r="G513" t="str">
        <f>"17-1703"</f>
        <v>17-1703</v>
      </c>
      <c r="H513" t="str">
        <f>"B"</f>
        <v>B</v>
      </c>
    </row>
    <row r="514" spans="1:8" x14ac:dyDescent="0.2">
      <c r="A514" t="str">
        <f t="shared" si="188"/>
        <v>0616077049</v>
      </c>
      <c r="B514" t="str">
        <f t="shared" si="189"/>
        <v>DAYANA</v>
      </c>
      <c r="C514" t="str">
        <f t="shared" si="190"/>
        <v>AMAYA CORTEZ</v>
      </c>
      <c r="D514" t="str">
        <f t="shared" si="184"/>
        <v>09</v>
      </c>
      <c r="E514" t="str">
        <f>"01 - A - 101 - Brian M Fitzgerald"</f>
        <v>01 - A - 101 - Brian M Fitzgerald</v>
      </c>
      <c r="F514" t="str">
        <f>"CERAM/POT 1"</f>
        <v>CERAM/POT 1</v>
      </c>
      <c r="G514" t="str">
        <f>"09-908"</f>
        <v>09-908</v>
      </c>
      <c r="H514" t="str">
        <f>"A"</f>
        <v>A</v>
      </c>
    </row>
    <row r="515" spans="1:8" x14ac:dyDescent="0.2">
      <c r="A515" t="str">
        <f t="shared" si="188"/>
        <v>0616077049</v>
      </c>
      <c r="B515" t="str">
        <f t="shared" si="189"/>
        <v>DAYANA</v>
      </c>
      <c r="C515" t="str">
        <f t="shared" si="190"/>
        <v>AMAYA CORTEZ</v>
      </c>
      <c r="D515" t="str">
        <f t="shared" si="184"/>
        <v>09</v>
      </c>
      <c r="E515" t="str">
        <f>"08 - B - 108 - Tina L Lovett"</f>
        <v>08 - B - 108 - Tina L Lovett</v>
      </c>
      <c r="F515" t="str">
        <f>"FDN SKLS MATH 9-12"</f>
        <v>FDN SKLS MATH 9-12</v>
      </c>
      <c r="G515" t="str">
        <f>"21-2153"</f>
        <v>21-2153</v>
      </c>
      <c r="H515" t="str">
        <f>"B"</f>
        <v>B</v>
      </c>
    </row>
    <row r="516" spans="1:8" x14ac:dyDescent="0.2">
      <c r="A516" t="str">
        <f t="shared" ref="A516:A523" si="191">"0617050139"</f>
        <v>0617050139</v>
      </c>
      <c r="B516" t="str">
        <f t="shared" ref="B516:B523" si="192">"ELSA"</f>
        <v>ELSA</v>
      </c>
      <c r="C516" t="str">
        <f t="shared" ref="C516:C532" si="193">"AMAYA MARTINEZ"</f>
        <v>AMAYA MARTINEZ</v>
      </c>
      <c r="D516" t="str">
        <f t="shared" si="184"/>
        <v>09</v>
      </c>
      <c r="E516" t="str">
        <f>"04 - A - 105 - Carol S Moore"</f>
        <v>04 - A - 105 - Carol S Moore</v>
      </c>
      <c r="F516" t="str">
        <f>"PRE-AICE WRLD HST IG"</f>
        <v>PRE-AICE WRLD HST IG</v>
      </c>
      <c r="G516" t="str">
        <f>"17-1733"</f>
        <v>17-1733</v>
      </c>
      <c r="H516" t="str">
        <f>"A"</f>
        <v>A</v>
      </c>
    </row>
    <row r="517" spans="1:8" x14ac:dyDescent="0.2">
      <c r="A517" t="str">
        <f t="shared" si="191"/>
        <v>0617050139</v>
      </c>
      <c r="B517" t="str">
        <f t="shared" si="192"/>
        <v>ELSA</v>
      </c>
      <c r="C517" t="str">
        <f t="shared" si="193"/>
        <v>AMAYA MARTINEZ</v>
      </c>
      <c r="D517" t="str">
        <f t="shared" si="184"/>
        <v>09</v>
      </c>
      <c r="E517" t="str">
        <f>"06 - B - 102 - Angela S Adeshina-Morrison"</f>
        <v>06 - B - 102 - Angela S Adeshina-Morrison</v>
      </c>
      <c r="F517" t="str">
        <f>"MARKETING ESSENTIALS"</f>
        <v>MARKETING ESSENTIALS</v>
      </c>
      <c r="G517" t="str">
        <f>"05-518"</f>
        <v>05-518</v>
      </c>
      <c r="H517" t="str">
        <f>"B"</f>
        <v>B</v>
      </c>
    </row>
    <row r="518" spans="1:8" x14ac:dyDescent="0.2">
      <c r="A518" t="str">
        <f t="shared" si="191"/>
        <v>0617050139</v>
      </c>
      <c r="B518" t="str">
        <f t="shared" si="192"/>
        <v>ELSA</v>
      </c>
      <c r="C518" t="str">
        <f t="shared" si="193"/>
        <v>AMAYA MARTINEZ</v>
      </c>
      <c r="D518" t="str">
        <f t="shared" si="184"/>
        <v>09</v>
      </c>
      <c r="E518" t="str">
        <f>"03 - A - 101 - Milca  Exantus"</f>
        <v>03 - A - 101 - Milca  Exantus</v>
      </c>
      <c r="F518" t="str">
        <f>"ALGEBRA 1-A"</f>
        <v>ALGEBRA 1-A</v>
      </c>
      <c r="G518" t="str">
        <f>"21-2145"</f>
        <v>21-2145</v>
      </c>
      <c r="H518" t="str">
        <f>"A"</f>
        <v>A</v>
      </c>
    </row>
    <row r="519" spans="1:8" x14ac:dyDescent="0.2">
      <c r="A519" t="str">
        <f t="shared" si="191"/>
        <v>0617050139</v>
      </c>
      <c r="B519" t="str">
        <f t="shared" si="192"/>
        <v>ELSA</v>
      </c>
      <c r="C519" t="str">
        <f t="shared" si="193"/>
        <v>AMAYA MARTINEZ</v>
      </c>
      <c r="D519" t="str">
        <f t="shared" si="184"/>
        <v>09</v>
      </c>
      <c r="E519" t="str">
        <f>"02 - A - 113 - Amy Beth  Broyles"</f>
        <v>02 - A - 113 - Amy Beth  Broyles</v>
      </c>
      <c r="F519" t="str">
        <f>"NC STUDY HALL 1"</f>
        <v>NC STUDY HALL 1</v>
      </c>
      <c r="G519" t="str">
        <f>"08-802"</f>
        <v>08-802</v>
      </c>
      <c r="H519" t="str">
        <f>"A"</f>
        <v>A</v>
      </c>
    </row>
    <row r="520" spans="1:8" x14ac:dyDescent="0.2">
      <c r="A520" t="str">
        <f t="shared" si="191"/>
        <v>0617050139</v>
      </c>
      <c r="B520" t="str">
        <f t="shared" si="192"/>
        <v>ELSA</v>
      </c>
      <c r="C520" t="str">
        <f t="shared" si="193"/>
        <v>AMAYA MARTINEZ</v>
      </c>
      <c r="D520" t="str">
        <f t="shared" si="184"/>
        <v>09</v>
      </c>
      <c r="E520" t="str">
        <f>"07 - B - 105 - Paige Lauren  Brochu"</f>
        <v>07 - B - 105 - Paige Lauren  Brochu</v>
      </c>
      <c r="F520" t="str">
        <f>"PRE-AICE BIO IG"</f>
        <v>PRE-AICE BIO IG</v>
      </c>
      <c r="G520" t="str">
        <f>"21-2134"</f>
        <v>21-2134</v>
      </c>
      <c r="H520" t="str">
        <f>"B"</f>
        <v>B</v>
      </c>
    </row>
    <row r="521" spans="1:8" x14ac:dyDescent="0.2">
      <c r="A521" t="str">
        <f t="shared" si="191"/>
        <v>0617050139</v>
      </c>
      <c r="B521" t="str">
        <f t="shared" si="192"/>
        <v>ELSA</v>
      </c>
      <c r="C521" t="str">
        <f t="shared" si="193"/>
        <v>AMAYA MARTINEZ</v>
      </c>
      <c r="D521" t="str">
        <f t="shared" si="184"/>
        <v>09</v>
      </c>
      <c r="E521" t="str">
        <f>"05 - B - 002 - Cheryl Anne  Berman-Schechter"</f>
        <v>05 - B - 002 - Cheryl Anne  Berman-Schechter</v>
      </c>
      <c r="F521" t="str">
        <f>"AICE ENG GEN PAPER 1"</f>
        <v>AICE ENG GEN PAPER 1</v>
      </c>
      <c r="G521" t="str">
        <f>"17-1722"</f>
        <v>17-1722</v>
      </c>
      <c r="H521" t="str">
        <f>"B"</f>
        <v>B</v>
      </c>
    </row>
    <row r="522" spans="1:8" x14ac:dyDescent="0.2">
      <c r="A522" t="str">
        <f t="shared" si="191"/>
        <v>0617050139</v>
      </c>
      <c r="B522" t="str">
        <f t="shared" si="192"/>
        <v>ELSA</v>
      </c>
      <c r="C522" t="str">
        <f t="shared" si="193"/>
        <v>AMAYA MARTINEZ</v>
      </c>
      <c r="D522" t="str">
        <f t="shared" si="184"/>
        <v>09</v>
      </c>
      <c r="E522" t="str">
        <f>"01 - A - 101 - Brian M Fitzgerald"</f>
        <v>01 - A - 101 - Brian M Fitzgerald</v>
      </c>
      <c r="F522" t="str">
        <f>"CERAM/POT 1"</f>
        <v>CERAM/POT 1</v>
      </c>
      <c r="G522" t="str">
        <f>"09-908"</f>
        <v>09-908</v>
      </c>
      <c r="H522" t="str">
        <f>"A"</f>
        <v>A</v>
      </c>
    </row>
    <row r="523" spans="1:8" x14ac:dyDescent="0.2">
      <c r="A523" t="str">
        <f t="shared" si="191"/>
        <v>0617050139</v>
      </c>
      <c r="B523" t="str">
        <f t="shared" si="192"/>
        <v>ELSA</v>
      </c>
      <c r="C523" t="str">
        <f t="shared" si="193"/>
        <v>AMAYA MARTINEZ</v>
      </c>
      <c r="D523" t="str">
        <f t="shared" si="184"/>
        <v>09</v>
      </c>
      <c r="E523" t="str">
        <f>"08 - B - 101 - Jazmin S Fletcher"</f>
        <v>08 - B - 101 - Jazmin S Fletcher</v>
      </c>
      <c r="F523" t="str">
        <f>"PRE-AICE DRAMA 1G"</f>
        <v>PRE-AICE DRAMA 1G</v>
      </c>
      <c r="G523" t="str">
        <f>"09-909"</f>
        <v>09-909</v>
      </c>
      <c r="H523" t="str">
        <f>"B"</f>
        <v>B</v>
      </c>
    </row>
    <row r="524" spans="1:8" x14ac:dyDescent="0.2">
      <c r="A524" t="str">
        <f t="shared" ref="A524:A532" si="194">"0615055044"</f>
        <v>0615055044</v>
      </c>
      <c r="B524" t="str">
        <f t="shared" ref="B524:B532" si="195">"ODALI"</f>
        <v>ODALI</v>
      </c>
      <c r="C524" t="str">
        <f t="shared" si="193"/>
        <v>AMAYA MARTINEZ</v>
      </c>
      <c r="D524">
        <f>10</f>
        <v>10</v>
      </c>
      <c r="E524" t="str">
        <f>"04 - A - 205 - Lytrell T Dixon"</f>
        <v>04 - A - 205 - Lytrell T Dixon</v>
      </c>
      <c r="F524" t="str">
        <f>"BIOLOGY 1"</f>
        <v>BIOLOGY 1</v>
      </c>
      <c r="G524" t="str">
        <f>"08-808"</f>
        <v>08-808</v>
      </c>
      <c r="H524" t="str">
        <f>"A"</f>
        <v>A</v>
      </c>
    </row>
    <row r="525" spans="1:8" x14ac:dyDescent="0.2">
      <c r="A525" t="str">
        <f t="shared" si="194"/>
        <v>0615055044</v>
      </c>
      <c r="B525" t="str">
        <f t="shared" si="195"/>
        <v>ODALI</v>
      </c>
      <c r="C525" t="str">
        <f t="shared" si="193"/>
        <v>AMAYA MARTINEZ</v>
      </c>
      <c r="D525">
        <f>10</f>
        <v>10</v>
      </c>
      <c r="E525" t="str">
        <f>"06 - B - 118 - Jeanne M Bermudez"</f>
        <v>06 - B - 118 - Jeanne M Bermudez</v>
      </c>
      <c r="F525" t="str">
        <f>"NC STUDY HALL 1"</f>
        <v>NC STUDY HALL 1</v>
      </c>
      <c r="G525" t="str">
        <f>"21-2141"</f>
        <v>21-2141</v>
      </c>
      <c r="H525" t="str">
        <f>"B"</f>
        <v>B</v>
      </c>
    </row>
    <row r="526" spans="1:8" x14ac:dyDescent="0.2">
      <c r="A526" t="str">
        <f t="shared" si="194"/>
        <v>0615055044</v>
      </c>
      <c r="B526" t="str">
        <f t="shared" si="195"/>
        <v>ODALI</v>
      </c>
      <c r="C526" t="str">
        <f t="shared" si="193"/>
        <v>AMAYA MARTINEZ</v>
      </c>
      <c r="D526">
        <f>10</f>
        <v>10</v>
      </c>
      <c r="E526" t="str">
        <f>"06 - B - 106 - Eric  Lopapa"</f>
        <v>06 - B - 106 - Eric  Lopapa</v>
      </c>
      <c r="F526" t="str">
        <f>"LANG THERAPY"</f>
        <v>LANG THERAPY</v>
      </c>
      <c r="G526" t="str">
        <f>"21-2110"</f>
        <v>21-2110</v>
      </c>
      <c r="H526" t="str">
        <f>"B"</f>
        <v>B</v>
      </c>
    </row>
    <row r="527" spans="1:8" x14ac:dyDescent="0.2">
      <c r="A527" t="str">
        <f t="shared" si="194"/>
        <v>0615055044</v>
      </c>
      <c r="B527" t="str">
        <f t="shared" si="195"/>
        <v>ODALI</v>
      </c>
      <c r="C527" t="str">
        <f t="shared" si="193"/>
        <v>AMAYA MARTINEZ</v>
      </c>
      <c r="D527">
        <f>10</f>
        <v>10</v>
      </c>
      <c r="E527" t="str">
        <f>"03 - A - 103 - Jacquelyn M Neeson"</f>
        <v>03 - A - 103 - Jacquelyn M Neeson</v>
      </c>
      <c r="F527" t="str">
        <f>"ENG 2"</f>
        <v>ENG 2</v>
      </c>
      <c r="G527" t="str">
        <f>"17-1715"</f>
        <v>17-1715</v>
      </c>
      <c r="H527" t="str">
        <f>"A"</f>
        <v>A</v>
      </c>
    </row>
    <row r="528" spans="1:8" x14ac:dyDescent="0.2">
      <c r="A528" t="str">
        <f t="shared" si="194"/>
        <v>0615055044</v>
      </c>
      <c r="B528" t="str">
        <f t="shared" si="195"/>
        <v>ODALI</v>
      </c>
      <c r="C528" t="str">
        <f t="shared" si="193"/>
        <v>AMAYA MARTINEZ</v>
      </c>
      <c r="D528">
        <f>10</f>
        <v>10</v>
      </c>
      <c r="E528" t="str">
        <f>"02 - A - 001 - Alejandro  Navarro"</f>
        <v>02 - A - 001 - Alejandro  Navarro</v>
      </c>
      <c r="F528" t="str">
        <f>"BAND 1"</f>
        <v>BAND 1</v>
      </c>
      <c r="G528" t="str">
        <f>"05-504"</f>
        <v>05-504</v>
      </c>
      <c r="H528" t="str">
        <f>"A"</f>
        <v>A</v>
      </c>
    </row>
    <row r="529" spans="1:8" x14ac:dyDescent="0.2">
      <c r="A529" t="str">
        <f t="shared" si="194"/>
        <v>0615055044</v>
      </c>
      <c r="B529" t="str">
        <f t="shared" si="195"/>
        <v>ODALI</v>
      </c>
      <c r="C529" t="str">
        <f t="shared" si="193"/>
        <v>AMAYA MARTINEZ</v>
      </c>
      <c r="D529">
        <f>10</f>
        <v>10</v>
      </c>
      <c r="E529" t="str">
        <f>"07 - B - 101 - Samantha L Martinez"</f>
        <v>07 - B - 101 - Samantha L Martinez</v>
      </c>
      <c r="F529" t="str">
        <f>"KEYBD 1"</f>
        <v>KEYBD 1</v>
      </c>
      <c r="G529" t="str">
        <f>"05-505"</f>
        <v>05-505</v>
      </c>
      <c r="H529" t="str">
        <f>"B"</f>
        <v>B</v>
      </c>
    </row>
    <row r="530" spans="1:8" x14ac:dyDescent="0.2">
      <c r="A530" t="str">
        <f t="shared" si="194"/>
        <v>0615055044</v>
      </c>
      <c r="B530" t="str">
        <f t="shared" si="195"/>
        <v>ODALI</v>
      </c>
      <c r="C530" t="str">
        <f t="shared" si="193"/>
        <v>AMAYA MARTINEZ</v>
      </c>
      <c r="D530">
        <f>10</f>
        <v>10</v>
      </c>
      <c r="E530" t="str">
        <f>"05 - B - 106 - Milca  Exantus"</f>
        <v>05 - B - 106 - Milca  Exantus</v>
      </c>
      <c r="F530" t="str">
        <f>"MATH COLLEGE LIB ART"</f>
        <v>MATH COLLEGE LIB ART</v>
      </c>
      <c r="G530" t="str">
        <f>"21-2145"</f>
        <v>21-2145</v>
      </c>
      <c r="H530" t="str">
        <f>"B"</f>
        <v>B</v>
      </c>
    </row>
    <row r="531" spans="1:8" x14ac:dyDescent="0.2">
      <c r="A531" t="str">
        <f t="shared" si="194"/>
        <v>0615055044</v>
      </c>
      <c r="B531" t="str">
        <f t="shared" si="195"/>
        <v>ODALI</v>
      </c>
      <c r="C531" t="str">
        <f t="shared" si="193"/>
        <v>AMAYA MARTINEZ</v>
      </c>
      <c r="D531">
        <f>10</f>
        <v>10</v>
      </c>
      <c r="E531" t="str">
        <f>"01 - A - 101 - Taraneh C Abreu"</f>
        <v>01 - A - 101 - Taraneh C Abreu</v>
      </c>
      <c r="F531" t="str">
        <f>"INTENS READ 2"</f>
        <v>INTENS READ 2</v>
      </c>
      <c r="G531" t="str">
        <f>"17-1713"</f>
        <v>17-1713</v>
      </c>
      <c r="H531" t="str">
        <f>"A"</f>
        <v>A</v>
      </c>
    </row>
    <row r="532" spans="1:8" x14ac:dyDescent="0.2">
      <c r="A532" t="str">
        <f t="shared" si="194"/>
        <v>0615055044</v>
      </c>
      <c r="B532" t="str">
        <f t="shared" si="195"/>
        <v>ODALI</v>
      </c>
      <c r="C532" t="str">
        <f t="shared" si="193"/>
        <v>AMAYA MARTINEZ</v>
      </c>
      <c r="D532">
        <f>10</f>
        <v>10</v>
      </c>
      <c r="E532" t="str">
        <f>"08 - B - 105 - Daniel S Tyson"</f>
        <v>08 - B - 105 - Daniel S Tyson</v>
      </c>
      <c r="F532" t="str">
        <f>"JROTC NAVAL SCI 2"</f>
        <v>JROTC NAVAL SCI 2</v>
      </c>
      <c r="G532" t="str">
        <f>"05-510"</f>
        <v>05-510</v>
      </c>
      <c r="H532" t="str">
        <f>"B"</f>
        <v>B</v>
      </c>
    </row>
    <row r="533" spans="1:8" x14ac:dyDescent="0.2">
      <c r="A533" t="str">
        <f t="shared" ref="A533:A540" si="196">"0617054141"</f>
        <v>0617054141</v>
      </c>
      <c r="B533" t="str">
        <f t="shared" ref="B533:B540" si="197">"AR'VIANNA"</f>
        <v>AR'VIANNA</v>
      </c>
      <c r="C533" t="str">
        <f t="shared" ref="C533:C540" si="198">"AMBOISE"</f>
        <v>AMBOISE</v>
      </c>
      <c r="D533" t="str">
        <f t="shared" ref="D533:D540" si="199">"09"</f>
        <v>09</v>
      </c>
      <c r="E533" t="str">
        <f>"04 - A - 104 - Marius D Orsolini"</f>
        <v>04 - A - 104 - Marius D Orsolini</v>
      </c>
      <c r="F533" t="str">
        <f>"CULINARY ARTS 1"</f>
        <v>CULINARY ARTS 1</v>
      </c>
      <c r="G533" t="str">
        <f>"21-2115"</f>
        <v>21-2115</v>
      </c>
      <c r="H533" t="str">
        <f>"A"</f>
        <v>A</v>
      </c>
    </row>
    <row r="534" spans="1:8" x14ac:dyDescent="0.2">
      <c r="A534" t="str">
        <f t="shared" si="196"/>
        <v>0617054141</v>
      </c>
      <c r="B534" t="str">
        <f t="shared" si="197"/>
        <v>AR'VIANNA</v>
      </c>
      <c r="C534" t="str">
        <f t="shared" si="198"/>
        <v>AMBOISE</v>
      </c>
      <c r="D534" t="str">
        <f t="shared" si="199"/>
        <v>09</v>
      </c>
      <c r="E534" t="str">
        <f>"06 - B - 102 - Angela S Adeshina-Morrison"</f>
        <v>06 - B - 102 - Angela S Adeshina-Morrison</v>
      </c>
      <c r="F534" t="str">
        <f>"MARKETING ESSENTIALS"</f>
        <v>MARKETING ESSENTIALS</v>
      </c>
      <c r="G534" t="str">
        <f>"05-518"</f>
        <v>05-518</v>
      </c>
      <c r="H534" t="str">
        <f>"B"</f>
        <v>B</v>
      </c>
    </row>
    <row r="535" spans="1:8" x14ac:dyDescent="0.2">
      <c r="A535" t="str">
        <f t="shared" si="196"/>
        <v>0617054141</v>
      </c>
      <c r="B535" t="str">
        <f t="shared" si="197"/>
        <v>AR'VIANNA</v>
      </c>
      <c r="C535" t="str">
        <f t="shared" si="198"/>
        <v>AMBOISE</v>
      </c>
      <c r="D535" t="str">
        <f t="shared" si="199"/>
        <v>09</v>
      </c>
      <c r="E535" t="str">
        <f>"03 - A - 101 - Milca  Exantus"</f>
        <v>03 - A - 101 - Milca  Exantus</v>
      </c>
      <c r="F535" t="str">
        <f>"ALGEBRA 1-A"</f>
        <v>ALGEBRA 1-A</v>
      </c>
      <c r="G535" t="str">
        <f>"21-2145"</f>
        <v>21-2145</v>
      </c>
      <c r="H535" t="str">
        <f>"A"</f>
        <v>A</v>
      </c>
    </row>
    <row r="536" spans="1:8" x14ac:dyDescent="0.2">
      <c r="A536" t="str">
        <f t="shared" si="196"/>
        <v>0617054141</v>
      </c>
      <c r="B536" t="str">
        <f t="shared" si="197"/>
        <v>AR'VIANNA</v>
      </c>
      <c r="C536" t="str">
        <f t="shared" si="198"/>
        <v>AMBOISE</v>
      </c>
      <c r="D536" t="str">
        <f t="shared" si="199"/>
        <v>09</v>
      </c>
      <c r="E536" t="str">
        <f>"02 - A - 110 - Maried P Ramos"</f>
        <v>02 - A - 110 - Maried P Ramos</v>
      </c>
      <c r="F536" t="str">
        <f>"NC STUDY HALL 1"</f>
        <v>NC STUDY HALL 1</v>
      </c>
      <c r="G536" t="str">
        <f>"21-2159"</f>
        <v>21-2159</v>
      </c>
      <c r="H536" t="str">
        <f>"A"</f>
        <v>A</v>
      </c>
    </row>
    <row r="537" spans="1:8" x14ac:dyDescent="0.2">
      <c r="A537" t="str">
        <f t="shared" si="196"/>
        <v>0617054141</v>
      </c>
      <c r="B537" t="str">
        <f t="shared" si="197"/>
        <v>AR'VIANNA</v>
      </c>
      <c r="C537" t="str">
        <f t="shared" si="198"/>
        <v>AMBOISE</v>
      </c>
      <c r="D537" t="str">
        <f t="shared" si="199"/>
        <v>09</v>
      </c>
      <c r="E537" t="str">
        <f>"07 - B - 105 - Paige Lauren  Brochu"</f>
        <v>07 - B - 105 - Paige Lauren  Brochu</v>
      </c>
      <c r="F537" t="str">
        <f>"PRE-AICE BIO IG"</f>
        <v>PRE-AICE BIO IG</v>
      </c>
      <c r="G537" t="str">
        <f>"21-2134"</f>
        <v>21-2134</v>
      </c>
      <c r="H537" t="str">
        <f>"B"</f>
        <v>B</v>
      </c>
    </row>
    <row r="538" spans="1:8" x14ac:dyDescent="0.2">
      <c r="A538" t="str">
        <f t="shared" si="196"/>
        <v>0617054141</v>
      </c>
      <c r="B538" t="str">
        <f t="shared" si="197"/>
        <v>AR'VIANNA</v>
      </c>
      <c r="C538" t="str">
        <f t="shared" si="198"/>
        <v>AMBOISE</v>
      </c>
      <c r="D538" t="str">
        <f t="shared" si="199"/>
        <v>09</v>
      </c>
      <c r="E538" t="str">
        <f>"05 - B - 204 - Elizabeth R Walker"</f>
        <v>05 - B - 204 - Elizabeth R Walker</v>
      </c>
      <c r="F538" t="str">
        <f>"AICE ENG GEN PAPER 1"</f>
        <v>AICE ENG GEN PAPER 1</v>
      </c>
      <c r="G538" t="str">
        <f>"17-1703"</f>
        <v>17-1703</v>
      </c>
      <c r="H538" t="str">
        <f>"B"</f>
        <v>B</v>
      </c>
    </row>
    <row r="539" spans="1:8" x14ac:dyDescent="0.2">
      <c r="A539" t="str">
        <f t="shared" si="196"/>
        <v>0617054141</v>
      </c>
      <c r="B539" t="str">
        <f t="shared" si="197"/>
        <v>AR'VIANNA</v>
      </c>
      <c r="C539" t="str">
        <f t="shared" si="198"/>
        <v>AMBOISE</v>
      </c>
      <c r="D539" t="str">
        <f t="shared" si="199"/>
        <v>09</v>
      </c>
      <c r="E539" t="str">
        <f>"01 - A - 101 - Adam Marcus  Drucker"</f>
        <v>01 - A - 101 - Adam Marcus  Drucker</v>
      </c>
      <c r="F539" t="str">
        <f>"HOPE-PE V"</f>
        <v>HOPE-PE V</v>
      </c>
      <c r="G539" t="str">
        <f>"04-254"</f>
        <v>04-254</v>
      </c>
      <c r="H539" t="str">
        <f>"A"</f>
        <v>A</v>
      </c>
    </row>
    <row r="540" spans="1:8" x14ac:dyDescent="0.2">
      <c r="A540" t="str">
        <f t="shared" si="196"/>
        <v>0617054141</v>
      </c>
      <c r="B540" t="str">
        <f t="shared" si="197"/>
        <v>AR'VIANNA</v>
      </c>
      <c r="C540" t="str">
        <f t="shared" si="198"/>
        <v>AMBOISE</v>
      </c>
      <c r="D540" t="str">
        <f t="shared" si="199"/>
        <v>09</v>
      </c>
      <c r="E540" t="str">
        <f>"08 - B - 109 - Rory T Sponsler"</f>
        <v>08 - B - 109 - Rory T Sponsler</v>
      </c>
      <c r="F540" t="str">
        <f>"PRE-AICE WRLD HST IG"</f>
        <v>PRE-AICE WRLD HST IG</v>
      </c>
      <c r="G540" t="str">
        <f>"17-1740"</f>
        <v>17-1740</v>
      </c>
      <c r="H540" t="str">
        <f>"B"</f>
        <v>B</v>
      </c>
    </row>
    <row r="541" spans="1:8" x14ac:dyDescent="0.2">
      <c r="A541" t="str">
        <f t="shared" ref="A541:A548" si="200">"0615143541"</f>
        <v>0615143541</v>
      </c>
      <c r="B541" t="str">
        <f t="shared" ref="B541:B548" si="201">"JACOB"</f>
        <v>JACOB</v>
      </c>
      <c r="C541" t="str">
        <f t="shared" ref="C541:C548" si="202">"ANDAH"</f>
        <v>ANDAH</v>
      </c>
      <c r="D541">
        <f>10</f>
        <v>10</v>
      </c>
      <c r="E541" t="str">
        <f>"04 - S1 - A - 101 - Kyle  Robbins"</f>
        <v>04 - S1 - A - 101 - Kyle  Robbins</v>
      </c>
      <c r="F541" t="str">
        <f>"PERS FIN &amp; MON MGT H"</f>
        <v>PERS FIN &amp; MON MGT H</v>
      </c>
      <c r="G541" t="str">
        <f>"17-1745"</f>
        <v>17-1745</v>
      </c>
      <c r="H541" t="str">
        <f>"A"</f>
        <v>A</v>
      </c>
    </row>
    <row r="542" spans="1:8" x14ac:dyDescent="0.2">
      <c r="A542" t="str">
        <f t="shared" si="200"/>
        <v>0615143541</v>
      </c>
      <c r="B542" t="str">
        <f t="shared" si="201"/>
        <v>JACOB</v>
      </c>
      <c r="C542" t="str">
        <f t="shared" si="202"/>
        <v>ANDAH</v>
      </c>
      <c r="D542">
        <f>10</f>
        <v>10</v>
      </c>
      <c r="E542" t="str">
        <f>"06 - B - 001 - Ferrie J Arostique"</f>
        <v>06 - B - 001 - Ferrie J Arostique</v>
      </c>
      <c r="F542" t="str">
        <f>"NC STUDY HALL 1"</f>
        <v>NC STUDY HALL 1</v>
      </c>
      <c r="G542" t="str">
        <f>"21-2139"</f>
        <v>21-2139</v>
      </c>
      <c r="H542" t="str">
        <f>"B"</f>
        <v>B</v>
      </c>
    </row>
    <row r="543" spans="1:8" x14ac:dyDescent="0.2">
      <c r="A543" t="str">
        <f t="shared" si="200"/>
        <v>0615143541</v>
      </c>
      <c r="B543" t="str">
        <f t="shared" si="201"/>
        <v>JACOB</v>
      </c>
      <c r="C543" t="str">
        <f t="shared" si="202"/>
        <v>ANDAH</v>
      </c>
      <c r="D543">
        <f>10</f>
        <v>10</v>
      </c>
      <c r="E543" t="str">
        <f>"03 - A - 104 - Fernando  Vega-Cid"</f>
        <v>03 - A - 104 - Fernando  Vega-Cid</v>
      </c>
      <c r="F543" t="str">
        <f>"GEOMETRY"</f>
        <v>GEOMETRY</v>
      </c>
      <c r="G543" t="str">
        <f>"21-2163"</f>
        <v>21-2163</v>
      </c>
      <c r="H543" t="str">
        <f>"A"</f>
        <v>A</v>
      </c>
    </row>
    <row r="544" spans="1:8" x14ac:dyDescent="0.2">
      <c r="A544" t="str">
        <f t="shared" si="200"/>
        <v>0615143541</v>
      </c>
      <c r="B544" t="str">
        <f t="shared" si="201"/>
        <v>JACOB</v>
      </c>
      <c r="C544" t="str">
        <f t="shared" si="202"/>
        <v>ANDAH</v>
      </c>
      <c r="D544">
        <f>10</f>
        <v>10</v>
      </c>
      <c r="E544" t="str">
        <f>"02 - A - 102 - Nikiel  Nesbeth"</f>
        <v>02 - A - 102 - Nikiel  Nesbeth</v>
      </c>
      <c r="F544" t="str">
        <f>"ENG 2"</f>
        <v>ENG 2</v>
      </c>
      <c r="G544" t="str">
        <f>"17-1705"</f>
        <v>17-1705</v>
      </c>
      <c r="H544" t="str">
        <f>"A"</f>
        <v>A</v>
      </c>
    </row>
    <row r="545" spans="1:8" x14ac:dyDescent="0.2">
      <c r="A545" t="str">
        <f t="shared" si="200"/>
        <v>0615143541</v>
      </c>
      <c r="B545" t="str">
        <f t="shared" si="201"/>
        <v>JACOB</v>
      </c>
      <c r="C545" t="str">
        <f t="shared" si="202"/>
        <v>ANDAH</v>
      </c>
      <c r="D545">
        <f>10</f>
        <v>10</v>
      </c>
      <c r="E545" t="str">
        <f>"07 - B - 105 - Paige Lauren  Brochu"</f>
        <v>07 - B - 105 - Paige Lauren  Brochu</v>
      </c>
      <c r="F545" t="str">
        <f>"PRE-AICE BIO IG"</f>
        <v>PRE-AICE BIO IG</v>
      </c>
      <c r="G545" t="str">
        <f>"21-2134"</f>
        <v>21-2134</v>
      </c>
      <c r="H545" t="str">
        <f>"B"</f>
        <v>B</v>
      </c>
    </row>
    <row r="546" spans="1:8" x14ac:dyDescent="0.2">
      <c r="A546" t="str">
        <f t="shared" si="200"/>
        <v>0615143541</v>
      </c>
      <c r="B546" t="str">
        <f t="shared" si="201"/>
        <v>JACOB</v>
      </c>
      <c r="C546" t="str">
        <f t="shared" si="202"/>
        <v>ANDAH</v>
      </c>
      <c r="D546">
        <f>10</f>
        <v>10</v>
      </c>
      <c r="E546" t="str">
        <f>"05 - B - 103 - Eva T Rimmer"</f>
        <v>05 - B - 103 - Eva T Rimmer</v>
      </c>
      <c r="F546" t="str">
        <f>"CRIMINAL JUST OPS 1"</f>
        <v>CRIMINAL JUST OPS 1</v>
      </c>
      <c r="G546" t="str">
        <f>"05-523"</f>
        <v>05-523</v>
      </c>
      <c r="H546" t="str">
        <f>"B"</f>
        <v>B</v>
      </c>
    </row>
    <row r="547" spans="1:8" x14ac:dyDescent="0.2">
      <c r="A547" t="str">
        <f t="shared" si="200"/>
        <v>0615143541</v>
      </c>
      <c r="B547" t="str">
        <f t="shared" si="201"/>
        <v>JACOB</v>
      </c>
      <c r="C547" t="str">
        <f t="shared" si="202"/>
        <v>ANDAH</v>
      </c>
      <c r="D547">
        <f>10</f>
        <v>10</v>
      </c>
      <c r="E547" t="str">
        <f>"01 - A - 101 - Marius D Orsolini"</f>
        <v>01 - A - 101 - Marius D Orsolini</v>
      </c>
      <c r="F547" t="str">
        <f>"CULINARY ARTS 1"</f>
        <v>CULINARY ARTS 1</v>
      </c>
      <c r="G547" t="str">
        <f>"21-2115"</f>
        <v>21-2115</v>
      </c>
      <c r="H547" t="str">
        <f>"A"</f>
        <v>A</v>
      </c>
    </row>
    <row r="548" spans="1:8" x14ac:dyDescent="0.2">
      <c r="A548" t="str">
        <f t="shared" si="200"/>
        <v>0615143541</v>
      </c>
      <c r="B548" t="str">
        <f t="shared" si="201"/>
        <v>JACOB</v>
      </c>
      <c r="C548" t="str">
        <f t="shared" si="202"/>
        <v>ANDAH</v>
      </c>
      <c r="D548">
        <f>10</f>
        <v>10</v>
      </c>
      <c r="E548" t="str">
        <f>"08 - B - 101 - Alejandro  Navarro"</f>
        <v>08 - B - 101 - Alejandro  Navarro</v>
      </c>
      <c r="F548" t="str">
        <f>"GUITAR 1"</f>
        <v>GUITAR 1</v>
      </c>
      <c r="G548" t="str">
        <f>"05-504"</f>
        <v>05-504</v>
      </c>
      <c r="H548" t="str">
        <f>"B"</f>
        <v>B</v>
      </c>
    </row>
    <row r="549" spans="1:8" x14ac:dyDescent="0.2">
      <c r="A549" t="str">
        <f t="shared" ref="A549:A556" si="203">"0615095593"</f>
        <v>0615095593</v>
      </c>
      <c r="B549" t="str">
        <f t="shared" ref="B549:B556" si="204">"JULIAN"</f>
        <v>JULIAN</v>
      </c>
      <c r="C549" t="str">
        <f t="shared" ref="C549:C564" si="205">"ANDERSON"</f>
        <v>ANDERSON</v>
      </c>
      <c r="D549">
        <f>10</f>
        <v>10</v>
      </c>
      <c r="E549" t="str">
        <f>"04 - A - 201 - Scott A Dethloff"</f>
        <v>04 - A - 201 - Scott A Dethloff</v>
      </c>
      <c r="F549" t="str">
        <f>"AICE THINK SKLS 1 AS"</f>
        <v>AICE THINK SKLS 1 AS</v>
      </c>
      <c r="G549" t="str">
        <f>"08-812"</f>
        <v>08-812</v>
      </c>
      <c r="H549" t="str">
        <f>"A"</f>
        <v>A</v>
      </c>
    </row>
    <row r="550" spans="1:8" x14ac:dyDescent="0.2">
      <c r="A550" t="str">
        <f t="shared" si="203"/>
        <v>0615095593</v>
      </c>
      <c r="B550" t="str">
        <f t="shared" si="204"/>
        <v>JULIAN</v>
      </c>
      <c r="C550" t="str">
        <f t="shared" si="205"/>
        <v>ANDERSON</v>
      </c>
      <c r="D550">
        <f>10</f>
        <v>10</v>
      </c>
      <c r="E550" t="str">
        <f>"06 - B - 108 - Jacklyn M James"</f>
        <v>06 - B - 108 - Jacklyn M James</v>
      </c>
      <c r="F550" t="str">
        <f>"NC STUDY HALL 1"</f>
        <v>NC STUDY HALL 1</v>
      </c>
      <c r="G550" t="str">
        <f>"17-1731"</f>
        <v>17-1731</v>
      </c>
      <c r="H550" t="str">
        <f>"B"</f>
        <v>B</v>
      </c>
    </row>
    <row r="551" spans="1:8" x14ac:dyDescent="0.2">
      <c r="A551" t="str">
        <f t="shared" si="203"/>
        <v>0615095593</v>
      </c>
      <c r="B551" t="str">
        <f t="shared" si="204"/>
        <v>JULIAN</v>
      </c>
      <c r="C551" t="str">
        <f t="shared" si="205"/>
        <v>ANDERSON</v>
      </c>
      <c r="D551">
        <f>10</f>
        <v>10</v>
      </c>
      <c r="E551" t="str">
        <f>"03 - A - 201 - Joe  Kilpatrick Jr"</f>
        <v>03 - A - 201 - Joe  Kilpatrick Jr</v>
      </c>
      <c r="F551" t="str">
        <f>"PRE-AICE SPAN 2 IG"</f>
        <v>PRE-AICE SPAN 2 IG</v>
      </c>
      <c r="G551" t="str">
        <f>"09-912"</f>
        <v>09-912</v>
      </c>
      <c r="H551" t="str">
        <f>"A"</f>
        <v>A</v>
      </c>
    </row>
    <row r="552" spans="1:8" x14ac:dyDescent="0.2">
      <c r="A552" t="str">
        <f t="shared" si="203"/>
        <v>0615095593</v>
      </c>
      <c r="B552" t="str">
        <f t="shared" si="204"/>
        <v>JULIAN</v>
      </c>
      <c r="C552" t="str">
        <f t="shared" si="205"/>
        <v>ANDERSON</v>
      </c>
      <c r="D552">
        <f>10</f>
        <v>10</v>
      </c>
      <c r="E552" t="str">
        <f>"02 - A - 102 - Jacklyn M James"</f>
        <v>02 - A - 102 - Jacklyn M James</v>
      </c>
      <c r="F552" t="str">
        <f>"AICE ENG LANG AS"</f>
        <v>AICE ENG LANG AS</v>
      </c>
      <c r="G552" t="str">
        <f>"17-1731"</f>
        <v>17-1731</v>
      </c>
      <c r="H552" t="str">
        <f>"A"</f>
        <v>A</v>
      </c>
    </row>
    <row r="553" spans="1:8" x14ac:dyDescent="0.2">
      <c r="A553" t="str">
        <f t="shared" si="203"/>
        <v>0615095593</v>
      </c>
      <c r="B553" t="str">
        <f t="shared" si="204"/>
        <v>JULIAN</v>
      </c>
      <c r="C553" t="str">
        <f t="shared" si="205"/>
        <v>ANDERSON</v>
      </c>
      <c r="D553">
        <f>10</f>
        <v>10</v>
      </c>
      <c r="E553" t="str">
        <f>"07 - B - 102 - Timothy J Lawrence"</f>
        <v>07 - B - 102 - Timothy J Lawrence</v>
      </c>
      <c r="F553" t="str">
        <f>"AICE PHYS ED 1 AS"</f>
        <v>AICE PHYS ED 1 AS</v>
      </c>
      <c r="G553" t="str">
        <f>"05-523"</f>
        <v>05-523</v>
      </c>
      <c r="H553" t="str">
        <f>"B"</f>
        <v>B</v>
      </c>
    </row>
    <row r="554" spans="1:8" x14ac:dyDescent="0.2">
      <c r="A554" t="str">
        <f t="shared" si="203"/>
        <v>0615095593</v>
      </c>
      <c r="B554" t="str">
        <f t="shared" si="204"/>
        <v>JULIAN</v>
      </c>
      <c r="C554" t="str">
        <f t="shared" si="205"/>
        <v>ANDERSON</v>
      </c>
      <c r="D554">
        <f>10</f>
        <v>10</v>
      </c>
      <c r="E554" t="str">
        <f>"05 - B - 104 - Lourivaldo  Da Silva"</f>
        <v>05 - B - 104 - Lourivaldo  Da Silva</v>
      </c>
      <c r="F554" t="str">
        <f>"PRE-CALCULUS HON"</f>
        <v>PRE-CALCULUS HON</v>
      </c>
      <c r="G554" t="str">
        <f>"20-2079"</f>
        <v>20-2079</v>
      </c>
      <c r="H554" t="str">
        <f>"B"</f>
        <v>B</v>
      </c>
    </row>
    <row r="555" spans="1:8" x14ac:dyDescent="0.2">
      <c r="A555" t="str">
        <f t="shared" si="203"/>
        <v>0615095593</v>
      </c>
      <c r="B555" t="str">
        <f t="shared" si="204"/>
        <v>JULIAN</v>
      </c>
      <c r="C555" t="str">
        <f t="shared" si="205"/>
        <v>ANDERSON</v>
      </c>
      <c r="D555">
        <f>10</f>
        <v>10</v>
      </c>
      <c r="E555" t="str">
        <f>"01 - A - 107 - Valerie J Ruwe"</f>
        <v>01 - A - 107 - Valerie J Ruwe</v>
      </c>
      <c r="F555" t="str">
        <f>"CHEMISTRY 1 HON"</f>
        <v>CHEMISTRY 1 HON</v>
      </c>
      <c r="G555" t="str">
        <f>"21-2134"</f>
        <v>21-2134</v>
      </c>
      <c r="H555" t="str">
        <f>"A"</f>
        <v>A</v>
      </c>
    </row>
    <row r="556" spans="1:8" x14ac:dyDescent="0.2">
      <c r="A556" t="str">
        <f t="shared" si="203"/>
        <v>0615095593</v>
      </c>
      <c r="B556" t="str">
        <f t="shared" si="204"/>
        <v>JULIAN</v>
      </c>
      <c r="C556" t="str">
        <f t="shared" si="205"/>
        <v>ANDERSON</v>
      </c>
      <c r="D556">
        <f>10</f>
        <v>10</v>
      </c>
      <c r="E556" t="str">
        <f>"08 - B - 201 - Lenecy  Nodarse"</f>
        <v>08 - B - 201 - Lenecy  Nodarse</v>
      </c>
      <c r="F556" t="str">
        <f>"AICE EURO HIST 1 AS"</f>
        <v>AICE EURO HIST 1 AS</v>
      </c>
      <c r="G556" t="str">
        <f>"17-1741"</f>
        <v>17-1741</v>
      </c>
      <c r="H556" t="str">
        <f>"B"</f>
        <v>B</v>
      </c>
    </row>
    <row r="557" spans="1:8" x14ac:dyDescent="0.2">
      <c r="A557" t="str">
        <f t="shared" ref="A557:A564" si="206">"0614105096"</f>
        <v>0614105096</v>
      </c>
      <c r="B557" t="str">
        <f t="shared" ref="B557:B564" si="207">"RICKY"</f>
        <v>RICKY</v>
      </c>
      <c r="C557" t="str">
        <f t="shared" si="205"/>
        <v>ANDERSON</v>
      </c>
      <c r="D557">
        <f>10</f>
        <v>10</v>
      </c>
      <c r="E557" t="str">
        <f>"04 - A - 104 - Nikiel  Nesbeth"</f>
        <v>04 - A - 104 - Nikiel  Nesbeth</v>
      </c>
      <c r="F557" t="str">
        <f>"ENG 2"</f>
        <v>ENG 2</v>
      </c>
      <c r="G557" t="str">
        <f>"17-1705"</f>
        <v>17-1705</v>
      </c>
      <c r="H557" t="str">
        <f>"A"</f>
        <v>A</v>
      </c>
    </row>
    <row r="558" spans="1:8" x14ac:dyDescent="0.2">
      <c r="A558" t="str">
        <f t="shared" si="206"/>
        <v>0614105096</v>
      </c>
      <c r="B558" t="str">
        <f t="shared" si="207"/>
        <v>RICKY</v>
      </c>
      <c r="C558" t="str">
        <f t="shared" si="205"/>
        <v>ANDERSON</v>
      </c>
      <c r="D558">
        <f>10</f>
        <v>10</v>
      </c>
      <c r="E558" t="str">
        <f>"06 - B - 001 - Ferrie J Arostique"</f>
        <v>06 - B - 001 - Ferrie J Arostique</v>
      </c>
      <c r="F558" t="str">
        <f>"NC STUDY HALL 1"</f>
        <v>NC STUDY HALL 1</v>
      </c>
      <c r="G558" t="str">
        <f>"21-2139"</f>
        <v>21-2139</v>
      </c>
      <c r="H558" t="str">
        <f>"B"</f>
        <v>B</v>
      </c>
    </row>
    <row r="559" spans="1:8" x14ac:dyDescent="0.2">
      <c r="A559" t="str">
        <f t="shared" si="206"/>
        <v>0614105096</v>
      </c>
      <c r="B559" t="str">
        <f t="shared" si="207"/>
        <v>RICKY</v>
      </c>
      <c r="C559" t="str">
        <f t="shared" si="205"/>
        <v>ANDERSON</v>
      </c>
      <c r="D559">
        <f>10</f>
        <v>10</v>
      </c>
      <c r="E559" t="str">
        <f>"03 - A - 204 - Lytrell T Dixon"</f>
        <v>03 - A - 204 - Lytrell T Dixon</v>
      </c>
      <c r="F559" t="str">
        <f>"BIOLOGY 1"</f>
        <v>BIOLOGY 1</v>
      </c>
      <c r="G559" t="str">
        <f>"08-808"</f>
        <v>08-808</v>
      </c>
      <c r="H559" t="str">
        <f>"A"</f>
        <v>A</v>
      </c>
    </row>
    <row r="560" spans="1:8" x14ac:dyDescent="0.2">
      <c r="A560" t="str">
        <f t="shared" si="206"/>
        <v>0614105096</v>
      </c>
      <c r="B560" t="str">
        <f t="shared" si="207"/>
        <v>RICKY</v>
      </c>
      <c r="C560" t="str">
        <f t="shared" si="205"/>
        <v>ANDERSON</v>
      </c>
      <c r="D560">
        <f>10</f>
        <v>10</v>
      </c>
      <c r="E560" t="str">
        <f>"02 - A - 102 - Taraneh C Abreu"</f>
        <v>02 - A - 102 - Taraneh C Abreu</v>
      </c>
      <c r="F560" t="str">
        <f>"INTENS READ 2"</f>
        <v>INTENS READ 2</v>
      </c>
      <c r="G560" t="str">
        <f>"17-1713"</f>
        <v>17-1713</v>
      </c>
      <c r="H560" t="str">
        <f>"A"</f>
        <v>A</v>
      </c>
    </row>
    <row r="561" spans="1:8" x14ac:dyDescent="0.2">
      <c r="A561" t="str">
        <f t="shared" si="206"/>
        <v>0614105096</v>
      </c>
      <c r="B561" t="str">
        <f t="shared" si="207"/>
        <v>RICKY</v>
      </c>
      <c r="C561" t="str">
        <f t="shared" si="205"/>
        <v>ANDERSON</v>
      </c>
      <c r="D561">
        <f>10</f>
        <v>10</v>
      </c>
      <c r="E561" t="str">
        <f>"07 - B - 002 - Jazmin S Fletcher"</f>
        <v>07 - B - 002 - Jazmin S Fletcher</v>
      </c>
      <c r="F561" t="str">
        <f>"THEATRE 1"</f>
        <v>THEATRE 1</v>
      </c>
      <c r="G561" t="str">
        <f>"09-909"</f>
        <v>09-909</v>
      </c>
      <c r="H561" t="str">
        <f>"B"</f>
        <v>B</v>
      </c>
    </row>
    <row r="562" spans="1:8" x14ac:dyDescent="0.2">
      <c r="A562" t="str">
        <f t="shared" si="206"/>
        <v>0614105096</v>
      </c>
      <c r="B562" t="str">
        <f t="shared" si="207"/>
        <v>RICKY</v>
      </c>
      <c r="C562" t="str">
        <f t="shared" si="205"/>
        <v>ANDERSON</v>
      </c>
      <c r="D562">
        <f>10</f>
        <v>10</v>
      </c>
      <c r="E562" t="str">
        <f>"05 - S1 - B - 102 - Richard E Dunbar Iii"</f>
        <v>05 - S1 - B - 102 - Richard E Dunbar Iii</v>
      </c>
      <c r="F562" t="str">
        <f>"TEAM SPORTS 1"</f>
        <v>TEAM SPORTS 1</v>
      </c>
      <c r="G562" t="str">
        <f>"04-254"</f>
        <v>04-254</v>
      </c>
      <c r="H562" t="str">
        <f>"B"</f>
        <v>B</v>
      </c>
    </row>
    <row r="563" spans="1:8" x14ac:dyDescent="0.2">
      <c r="A563" t="str">
        <f t="shared" si="206"/>
        <v>0614105096</v>
      </c>
      <c r="B563" t="str">
        <f t="shared" si="207"/>
        <v>RICKY</v>
      </c>
      <c r="C563" t="str">
        <f t="shared" si="205"/>
        <v>ANDERSON</v>
      </c>
      <c r="D563">
        <f>10</f>
        <v>10</v>
      </c>
      <c r="E563" t="str">
        <f>"01 - A - 102 - Fernando  Vega-Cid"</f>
        <v>01 - A - 102 - Fernando  Vega-Cid</v>
      </c>
      <c r="F563" t="str">
        <f>"GEOMETRY"</f>
        <v>GEOMETRY</v>
      </c>
      <c r="G563" t="str">
        <f>"21-2163"</f>
        <v>21-2163</v>
      </c>
      <c r="H563" t="str">
        <f>"A"</f>
        <v>A</v>
      </c>
    </row>
    <row r="564" spans="1:8" x14ac:dyDescent="0.2">
      <c r="A564" t="str">
        <f t="shared" si="206"/>
        <v>0614105096</v>
      </c>
      <c r="B564" t="str">
        <f t="shared" si="207"/>
        <v>RICKY</v>
      </c>
      <c r="C564" t="str">
        <f t="shared" si="205"/>
        <v>ANDERSON</v>
      </c>
      <c r="D564">
        <f>10</f>
        <v>10</v>
      </c>
      <c r="E564" t="str">
        <f>"08 - S1 - B - 102 - Kyle  Robbins"</f>
        <v>08 - S1 - B - 102 - Kyle  Robbins</v>
      </c>
      <c r="F564" t="str">
        <f>"PERS FIN &amp; MON MGT H"</f>
        <v>PERS FIN &amp; MON MGT H</v>
      </c>
      <c r="G564" t="str">
        <f>"17-1745"</f>
        <v>17-1745</v>
      </c>
      <c r="H564" t="str">
        <f>"B"</f>
        <v>B</v>
      </c>
    </row>
    <row r="565" spans="1:8" x14ac:dyDescent="0.2">
      <c r="A565" t="str">
        <f t="shared" ref="A565:A572" si="208">"0615150947"</f>
        <v>0615150947</v>
      </c>
      <c r="B565" t="str">
        <f t="shared" ref="B565:B572" si="209">"AIDEN"</f>
        <v>AIDEN</v>
      </c>
      <c r="C565" t="str">
        <f t="shared" ref="C565:C580" si="210">"ANDRADE"</f>
        <v>ANDRADE</v>
      </c>
      <c r="D565">
        <f>10</f>
        <v>10</v>
      </c>
      <c r="E565" t="str">
        <f>"04 - A - 104 - Nikiel  Nesbeth"</f>
        <v>04 - A - 104 - Nikiel  Nesbeth</v>
      </c>
      <c r="F565" t="str">
        <f>"ENG 2"</f>
        <v>ENG 2</v>
      </c>
      <c r="G565" t="str">
        <f>"17-1705"</f>
        <v>17-1705</v>
      </c>
      <c r="H565" t="str">
        <f>"A"</f>
        <v>A</v>
      </c>
    </row>
    <row r="566" spans="1:8" x14ac:dyDescent="0.2">
      <c r="A566" t="str">
        <f t="shared" si="208"/>
        <v>0615150947</v>
      </c>
      <c r="B566" t="str">
        <f t="shared" si="209"/>
        <v>AIDEN</v>
      </c>
      <c r="C566" t="str">
        <f t="shared" si="210"/>
        <v>ANDRADE</v>
      </c>
      <c r="D566">
        <f>10</f>
        <v>10</v>
      </c>
      <c r="E566" t="str">
        <f>"06 - B - 118 - Jeanne M Bermudez"</f>
        <v>06 - B - 118 - Jeanne M Bermudez</v>
      </c>
      <c r="F566" t="str">
        <f>"NC STUDY HALL 1"</f>
        <v>NC STUDY HALL 1</v>
      </c>
      <c r="G566" t="str">
        <f>"21-2141"</f>
        <v>21-2141</v>
      </c>
      <c r="H566" t="str">
        <f>"B"</f>
        <v>B</v>
      </c>
    </row>
    <row r="567" spans="1:8" x14ac:dyDescent="0.2">
      <c r="A567" t="str">
        <f t="shared" si="208"/>
        <v>0615150947</v>
      </c>
      <c r="B567" t="str">
        <f t="shared" si="209"/>
        <v>AIDEN</v>
      </c>
      <c r="C567" t="str">
        <f t="shared" si="210"/>
        <v>ANDRADE</v>
      </c>
      <c r="D567">
        <f>10</f>
        <v>10</v>
      </c>
      <c r="E567" t="str">
        <f>"03 - A - 206 - Josiah I Lacy"</f>
        <v>03 - A - 206 - Josiah I Lacy</v>
      </c>
      <c r="F567" t="str">
        <f>"BIOLOGY 1"</f>
        <v>BIOLOGY 1</v>
      </c>
      <c r="G567" t="str">
        <f>"08-801"</f>
        <v>08-801</v>
      </c>
      <c r="H567" t="str">
        <f>"A"</f>
        <v>A</v>
      </c>
    </row>
    <row r="568" spans="1:8" x14ac:dyDescent="0.2">
      <c r="A568" t="str">
        <f t="shared" si="208"/>
        <v>0615150947</v>
      </c>
      <c r="B568" t="str">
        <f t="shared" si="209"/>
        <v>AIDEN</v>
      </c>
      <c r="C568" t="str">
        <f t="shared" si="210"/>
        <v>ANDRADE</v>
      </c>
      <c r="D568">
        <f>10</f>
        <v>10</v>
      </c>
      <c r="E568" t="str">
        <f>"02 - A - 001 - Alejandro  Navarro"</f>
        <v>02 - A - 001 - Alejandro  Navarro</v>
      </c>
      <c r="F568" t="str">
        <f>"BAND 1"</f>
        <v>BAND 1</v>
      </c>
      <c r="G568" t="str">
        <f>"05-504"</f>
        <v>05-504</v>
      </c>
      <c r="H568" t="str">
        <f>"A"</f>
        <v>A</v>
      </c>
    </row>
    <row r="569" spans="1:8" x14ac:dyDescent="0.2">
      <c r="A569" t="str">
        <f t="shared" si="208"/>
        <v>0615150947</v>
      </c>
      <c r="B569" t="str">
        <f t="shared" si="209"/>
        <v>AIDEN</v>
      </c>
      <c r="C569" t="str">
        <f t="shared" si="210"/>
        <v>ANDRADE</v>
      </c>
      <c r="D569">
        <f>10</f>
        <v>10</v>
      </c>
      <c r="E569" t="str">
        <f>"07 - B - 001 - Maried P Ramos"</f>
        <v>07 - B - 001 - Maried P Ramos</v>
      </c>
      <c r="F569" t="str">
        <f>"GEOMETRY"</f>
        <v>GEOMETRY</v>
      </c>
      <c r="G569" t="str">
        <f>"21-2159"</f>
        <v>21-2159</v>
      </c>
      <c r="H569" t="str">
        <f>"B"</f>
        <v>B</v>
      </c>
    </row>
    <row r="570" spans="1:8" x14ac:dyDescent="0.2">
      <c r="A570" t="str">
        <f t="shared" si="208"/>
        <v>0615150947</v>
      </c>
      <c r="B570" t="str">
        <f t="shared" si="209"/>
        <v>AIDEN</v>
      </c>
      <c r="C570" t="str">
        <f t="shared" si="210"/>
        <v>ANDRADE</v>
      </c>
      <c r="D570">
        <f>10</f>
        <v>10</v>
      </c>
      <c r="E570" t="str">
        <f>"05 - S1 - B - 102 - Carol S Moore"</f>
        <v>05 - S1 - B - 102 - Carol S Moore</v>
      </c>
      <c r="F570" t="str">
        <f>"PERS FIN &amp; MON MGT H"</f>
        <v>PERS FIN &amp; MON MGT H</v>
      </c>
      <c r="G570" t="str">
        <f>"17-1733"</f>
        <v>17-1733</v>
      </c>
      <c r="H570" t="str">
        <f>"B"</f>
        <v>B</v>
      </c>
    </row>
    <row r="571" spans="1:8" x14ac:dyDescent="0.2">
      <c r="A571" t="str">
        <f t="shared" si="208"/>
        <v>0615150947</v>
      </c>
      <c r="B571" t="str">
        <f t="shared" si="209"/>
        <v>AIDEN</v>
      </c>
      <c r="C571" t="str">
        <f t="shared" si="210"/>
        <v>ANDRADE</v>
      </c>
      <c r="D571">
        <f>10</f>
        <v>10</v>
      </c>
      <c r="E571" t="str">
        <f>"01 - S1 - A - 101 - Richard E Dunbar Iii"</f>
        <v>01 - S1 - A - 101 - Richard E Dunbar Iii</v>
      </c>
      <c r="F571" t="str">
        <f>"WEIGHT TRAIN 1"</f>
        <v>WEIGHT TRAIN 1</v>
      </c>
      <c r="G571" t="str">
        <f>"05-501"</f>
        <v>05-501</v>
      </c>
      <c r="H571" t="str">
        <f>"A"</f>
        <v>A</v>
      </c>
    </row>
    <row r="572" spans="1:8" x14ac:dyDescent="0.2">
      <c r="A572" t="str">
        <f t="shared" si="208"/>
        <v>0615150947</v>
      </c>
      <c r="B572" t="str">
        <f t="shared" si="209"/>
        <v>AIDEN</v>
      </c>
      <c r="C572" t="str">
        <f t="shared" si="210"/>
        <v>ANDRADE</v>
      </c>
      <c r="D572">
        <f>10</f>
        <v>10</v>
      </c>
      <c r="E572" t="str">
        <f>"08 - B - 001 - Brian M Fitzgerald"</f>
        <v>08 - B - 001 - Brian M Fitzgerald</v>
      </c>
      <c r="F572" t="str">
        <f>"CERAM/POT 1"</f>
        <v>CERAM/POT 1</v>
      </c>
      <c r="G572" t="str">
        <f>"09-908"</f>
        <v>09-908</v>
      </c>
      <c r="H572" t="str">
        <f>"B"</f>
        <v>B</v>
      </c>
    </row>
    <row r="573" spans="1:8" x14ac:dyDescent="0.2">
      <c r="A573" t="str">
        <f t="shared" ref="A573:A580" si="211">"0617002464"</f>
        <v>0617002464</v>
      </c>
      <c r="B573" t="str">
        <f t="shared" ref="B573:B580" si="212">"MIA"</f>
        <v>MIA</v>
      </c>
      <c r="C573" t="str">
        <f t="shared" si="210"/>
        <v>ANDRADE</v>
      </c>
      <c r="D573" t="str">
        <f t="shared" ref="D573:D580" si="213">"09"</f>
        <v>09</v>
      </c>
      <c r="E573" t="str">
        <f>"04 - A - 101 - Jeanne M Bermudez"</f>
        <v>04 - A - 101 - Jeanne M Bermudez</v>
      </c>
      <c r="F573" t="str">
        <f>"ADVANCED IT HON"</f>
        <v>ADVANCED IT HON</v>
      </c>
      <c r="G573" t="str">
        <f>"21-2141"</f>
        <v>21-2141</v>
      </c>
      <c r="H573" t="str">
        <f>"A"</f>
        <v>A</v>
      </c>
    </row>
    <row r="574" spans="1:8" x14ac:dyDescent="0.2">
      <c r="A574" t="str">
        <f t="shared" si="211"/>
        <v>0617002464</v>
      </c>
      <c r="B574" t="str">
        <f t="shared" si="212"/>
        <v>MIA</v>
      </c>
      <c r="C574" t="str">
        <f t="shared" si="210"/>
        <v>ANDRADE</v>
      </c>
      <c r="D574" t="str">
        <f t="shared" si="213"/>
        <v>09</v>
      </c>
      <c r="E574" t="str">
        <f>"06 - S1 - B - 102 - Daniel S Katz"</f>
        <v>06 - S1 - B - 102 - Daniel S Katz</v>
      </c>
      <c r="F574" t="str">
        <f>"COURT PROCED"</f>
        <v>COURT PROCED</v>
      </c>
      <c r="G574" t="str">
        <f>"21-2156"</f>
        <v>21-2156</v>
      </c>
      <c r="H574" t="str">
        <f>"B"</f>
        <v>B</v>
      </c>
    </row>
    <row r="575" spans="1:8" x14ac:dyDescent="0.2">
      <c r="A575" t="str">
        <f t="shared" si="211"/>
        <v>0617002464</v>
      </c>
      <c r="B575" t="str">
        <f t="shared" si="212"/>
        <v>MIA</v>
      </c>
      <c r="C575" t="str">
        <f t="shared" si="210"/>
        <v>ANDRADE</v>
      </c>
      <c r="D575" t="str">
        <f t="shared" si="213"/>
        <v>09</v>
      </c>
      <c r="E575" t="str">
        <f>"03 - A - 101 - Brian M Fitzgerald"</f>
        <v>03 - A - 101 - Brian M Fitzgerald</v>
      </c>
      <c r="F575" t="str">
        <f>"SCULPT 1"</f>
        <v>SCULPT 1</v>
      </c>
      <c r="G575" t="str">
        <f>"09-908"</f>
        <v>09-908</v>
      </c>
      <c r="H575" t="str">
        <f>"A"</f>
        <v>A</v>
      </c>
    </row>
    <row r="576" spans="1:8" x14ac:dyDescent="0.2">
      <c r="A576" t="str">
        <f t="shared" si="211"/>
        <v>0617002464</v>
      </c>
      <c r="B576" t="str">
        <f t="shared" si="212"/>
        <v>MIA</v>
      </c>
      <c r="C576" t="str">
        <f t="shared" si="210"/>
        <v>ANDRADE</v>
      </c>
      <c r="D576" t="str">
        <f t="shared" si="213"/>
        <v>09</v>
      </c>
      <c r="E576" t="str">
        <f>"02 - A - 113 - Amy Beth  Broyles"</f>
        <v>02 - A - 113 - Amy Beth  Broyles</v>
      </c>
      <c r="F576" t="str">
        <f>"NC STUDY HALL 1"</f>
        <v>NC STUDY HALL 1</v>
      </c>
      <c r="G576" t="str">
        <f>"08-802"</f>
        <v>08-802</v>
      </c>
      <c r="H576" t="str">
        <f>"A"</f>
        <v>A</v>
      </c>
    </row>
    <row r="577" spans="1:8" x14ac:dyDescent="0.2">
      <c r="A577" t="str">
        <f t="shared" si="211"/>
        <v>0617002464</v>
      </c>
      <c r="B577" t="str">
        <f t="shared" si="212"/>
        <v>MIA</v>
      </c>
      <c r="C577" t="str">
        <f t="shared" si="210"/>
        <v>ANDRADE</v>
      </c>
      <c r="D577" t="str">
        <f t="shared" si="213"/>
        <v>09</v>
      </c>
      <c r="E577" t="str">
        <f>"07 - B - 003 - Brandy N Zdenek"</f>
        <v>07 - B - 003 - Brandy N Zdenek</v>
      </c>
      <c r="F577" t="str">
        <f>"AICE ENG GEN PAPER 1"</f>
        <v>AICE ENG GEN PAPER 1</v>
      </c>
      <c r="G577" t="str">
        <f>"17-1704"</f>
        <v>17-1704</v>
      </c>
      <c r="H577" t="str">
        <f>"B"</f>
        <v>B</v>
      </c>
    </row>
    <row r="578" spans="1:8" x14ac:dyDescent="0.2">
      <c r="A578" t="str">
        <f t="shared" si="211"/>
        <v>0617002464</v>
      </c>
      <c r="B578" t="str">
        <f t="shared" si="212"/>
        <v>MIA</v>
      </c>
      <c r="C578" t="str">
        <f t="shared" si="210"/>
        <v>ANDRADE</v>
      </c>
      <c r="D578" t="str">
        <f t="shared" si="213"/>
        <v>09</v>
      </c>
      <c r="E578" t="str">
        <f>"05 - B - 001 - Kelly N Panza"</f>
        <v>05 - B - 001 - Kelly N Panza</v>
      </c>
      <c r="F578" t="str">
        <f>"AICE GLBL PERSP 1 AS"</f>
        <v>AICE GLBL PERSP 1 AS</v>
      </c>
      <c r="G578" t="str">
        <f>"17-1753"</f>
        <v>17-1753</v>
      </c>
      <c r="H578" t="str">
        <f>"B"</f>
        <v>B</v>
      </c>
    </row>
    <row r="579" spans="1:8" x14ac:dyDescent="0.2">
      <c r="A579" t="str">
        <f t="shared" si="211"/>
        <v>0617002464</v>
      </c>
      <c r="B579" t="str">
        <f t="shared" si="212"/>
        <v>MIA</v>
      </c>
      <c r="C579" t="str">
        <f t="shared" si="210"/>
        <v>ANDRADE</v>
      </c>
      <c r="D579" t="str">
        <f t="shared" si="213"/>
        <v>09</v>
      </c>
      <c r="E579" t="str">
        <f>"01 - A - 101 - Byron G Montenegro"</f>
        <v>01 - A - 101 - Byron G Montenegro</v>
      </c>
      <c r="F579" t="str">
        <f>"AICE MARINE SCI 1 AS"</f>
        <v>AICE MARINE SCI 1 AS</v>
      </c>
      <c r="G579" t="str">
        <f>"21-2144"</f>
        <v>21-2144</v>
      </c>
      <c r="H579" t="str">
        <f>"A"</f>
        <v>A</v>
      </c>
    </row>
    <row r="580" spans="1:8" x14ac:dyDescent="0.2">
      <c r="A580" t="str">
        <f t="shared" si="211"/>
        <v>0617002464</v>
      </c>
      <c r="B580" t="str">
        <f t="shared" si="212"/>
        <v>MIA</v>
      </c>
      <c r="C580" t="str">
        <f t="shared" si="210"/>
        <v>ANDRADE</v>
      </c>
      <c r="D580" t="str">
        <f t="shared" si="213"/>
        <v>09</v>
      </c>
      <c r="E580" t="str">
        <f>"08 - B - 102 - Maried P Ramos"</f>
        <v>08 - B - 102 - Maried P Ramos</v>
      </c>
      <c r="F580" t="str">
        <f>"ALGEBRA 2 HON"</f>
        <v>ALGEBRA 2 HON</v>
      </c>
      <c r="G580" t="str">
        <f>"21-2159"</f>
        <v>21-2159</v>
      </c>
      <c r="H580" t="str">
        <f>"B"</f>
        <v>B</v>
      </c>
    </row>
    <row r="581" spans="1:8" x14ac:dyDescent="0.2">
      <c r="A581" t="str">
        <f t="shared" ref="A581:A588" si="214">"0614009929"</f>
        <v>0614009929</v>
      </c>
      <c r="B581" t="str">
        <f t="shared" ref="B581:B588" si="215">"KENDRICK"</f>
        <v>KENDRICK</v>
      </c>
      <c r="C581" t="str">
        <f t="shared" ref="C581:C588" si="216">"ANDRE"</f>
        <v>ANDRE</v>
      </c>
      <c r="D581">
        <f>12</f>
        <v>12</v>
      </c>
      <c r="E581" t="str">
        <f>"04 - A - 101 - Alejandro  Navarro"</f>
        <v>04 - A - 101 - Alejandro  Navarro</v>
      </c>
      <c r="F581" t="str">
        <f>"BAND 6 HON"</f>
        <v>BAND 6 HON</v>
      </c>
      <c r="G581" t="str">
        <f>"05-504"</f>
        <v>05-504</v>
      </c>
      <c r="H581" t="str">
        <f>"A"</f>
        <v>A</v>
      </c>
    </row>
    <row r="582" spans="1:8" x14ac:dyDescent="0.2">
      <c r="A582" t="str">
        <f t="shared" si="214"/>
        <v>0614009929</v>
      </c>
      <c r="B582" t="str">
        <f t="shared" si="215"/>
        <v>KENDRICK</v>
      </c>
      <c r="C582" t="str">
        <f t="shared" si="216"/>
        <v>ANDRE</v>
      </c>
      <c r="D582">
        <f>12</f>
        <v>12</v>
      </c>
      <c r="E582" t="str">
        <f>"06 - B - 114 - Lisa J London"</f>
        <v>06 - B - 114 - Lisa J London</v>
      </c>
      <c r="F582" t="str">
        <f>"NC STUDY HALL 1"</f>
        <v>NC STUDY HALL 1</v>
      </c>
      <c r="G582" t="str">
        <f>"17-1714"</f>
        <v>17-1714</v>
      </c>
      <c r="H582" t="str">
        <f>"B"</f>
        <v>B</v>
      </c>
    </row>
    <row r="583" spans="1:8" x14ac:dyDescent="0.2">
      <c r="A583" t="str">
        <f t="shared" si="214"/>
        <v>0614009929</v>
      </c>
      <c r="B583" t="str">
        <f t="shared" si="215"/>
        <v>KENDRICK</v>
      </c>
      <c r="C583" t="str">
        <f t="shared" si="216"/>
        <v>ANDRE</v>
      </c>
      <c r="D583">
        <f>12</f>
        <v>12</v>
      </c>
      <c r="E583" t="str">
        <f>"03 - A - 103 - Norayda D Suarez"</f>
        <v>03 - A - 103 - Norayda D Suarez</v>
      </c>
      <c r="F583" t="str">
        <f>"RESEARCH 1 LH"</f>
        <v>RESEARCH 1 LH</v>
      </c>
      <c r="G583">
        <f>2041</f>
        <v>2041</v>
      </c>
      <c r="H583" t="str">
        <f>"A"</f>
        <v>A</v>
      </c>
    </row>
    <row r="584" spans="1:8" x14ac:dyDescent="0.2">
      <c r="A584" t="str">
        <f t="shared" si="214"/>
        <v>0614009929</v>
      </c>
      <c r="B584" t="str">
        <f t="shared" si="215"/>
        <v>KENDRICK</v>
      </c>
      <c r="C584" t="str">
        <f t="shared" si="216"/>
        <v>ANDRE</v>
      </c>
      <c r="D584">
        <f>12</f>
        <v>12</v>
      </c>
      <c r="E584" t="str">
        <f>"02 - A - 204 - Jacqueline R Morphet"</f>
        <v>02 - A - 204 - Jacqueline R Morphet</v>
      </c>
      <c r="F584" t="str">
        <f>"PHYSICS 1 HON"</f>
        <v>PHYSICS 1 HON</v>
      </c>
      <c r="G584" t="str">
        <f>"21-2138"</f>
        <v>21-2138</v>
      </c>
      <c r="H584" t="str">
        <f>"A"</f>
        <v>A</v>
      </c>
    </row>
    <row r="585" spans="1:8" x14ac:dyDescent="0.2">
      <c r="A585" t="str">
        <f t="shared" si="214"/>
        <v>0614009929</v>
      </c>
      <c r="B585" t="str">
        <f t="shared" si="215"/>
        <v>KENDRICK</v>
      </c>
      <c r="C585" t="str">
        <f t="shared" si="216"/>
        <v>ANDRE</v>
      </c>
      <c r="D585">
        <f>12</f>
        <v>12</v>
      </c>
      <c r="E585" t="str">
        <f>"07 - S1 - B - 102 - Barbara L Segal"</f>
        <v>07 - S1 - B - 102 - Barbara L Segal</v>
      </c>
      <c r="F585" t="str">
        <f>"AP US GOVT/POL"</f>
        <v>AP US GOVT/POL</v>
      </c>
      <c r="G585" t="str">
        <f>"17-1742"</f>
        <v>17-1742</v>
      </c>
      <c r="H585" t="str">
        <f>"B"</f>
        <v>B</v>
      </c>
    </row>
    <row r="586" spans="1:8" x14ac:dyDescent="0.2">
      <c r="A586" t="str">
        <f t="shared" si="214"/>
        <v>0614009929</v>
      </c>
      <c r="B586" t="str">
        <f t="shared" si="215"/>
        <v>KENDRICK</v>
      </c>
      <c r="C586" t="str">
        <f t="shared" si="216"/>
        <v>ANDRE</v>
      </c>
      <c r="D586">
        <f>12</f>
        <v>12</v>
      </c>
      <c r="E586" t="str">
        <f>"05 - B - 101 - Pamela M Corzo"</f>
        <v>05 - B - 101 - Pamela M Corzo</v>
      </c>
      <c r="F586" t="str">
        <f>"AP CALCULUS AB"</f>
        <v>AP CALCULUS AB</v>
      </c>
      <c r="G586" t="str">
        <f>"21-2133"</f>
        <v>21-2133</v>
      </c>
      <c r="H586" t="str">
        <f>"B"</f>
        <v>B</v>
      </c>
    </row>
    <row r="587" spans="1:8" x14ac:dyDescent="0.2">
      <c r="A587" t="str">
        <f t="shared" si="214"/>
        <v>0614009929</v>
      </c>
      <c r="B587" t="str">
        <f t="shared" si="215"/>
        <v>KENDRICK</v>
      </c>
      <c r="C587" t="str">
        <f t="shared" si="216"/>
        <v>ANDRE</v>
      </c>
      <c r="D587">
        <f>12</f>
        <v>12</v>
      </c>
      <c r="E587" t="str">
        <f>"01 - A - 101 - Marielle A Witting"</f>
        <v>01 - A - 101 - Marielle A Witting</v>
      </c>
      <c r="F587" t="str">
        <f>"AP BIO"</f>
        <v>AP BIO</v>
      </c>
      <c r="G587" t="str">
        <f>"08-805"</f>
        <v>08-805</v>
      </c>
      <c r="H587" t="str">
        <f>"A"</f>
        <v>A</v>
      </c>
    </row>
    <row r="588" spans="1:8" x14ac:dyDescent="0.2">
      <c r="A588" t="str">
        <f t="shared" si="214"/>
        <v>0614009929</v>
      </c>
      <c r="B588" t="str">
        <f t="shared" si="215"/>
        <v>KENDRICK</v>
      </c>
      <c r="C588" t="str">
        <f t="shared" si="216"/>
        <v>ANDRE</v>
      </c>
      <c r="D588">
        <f>12</f>
        <v>12</v>
      </c>
      <c r="E588" t="str">
        <f>"08 - B - 203 - Courtney E Hambright"</f>
        <v>08 - B - 203 - Courtney E Hambright</v>
      </c>
      <c r="F588" t="str">
        <f>"AP ENG LIT COMPO"</f>
        <v>AP ENG LIT COMPO</v>
      </c>
      <c r="G588" t="str">
        <f>"17-1711"</f>
        <v>17-1711</v>
      </c>
      <c r="H588" t="str">
        <f>"B"</f>
        <v>B</v>
      </c>
    </row>
    <row r="589" spans="1:8" x14ac:dyDescent="0.2">
      <c r="A589" t="str">
        <f t="shared" ref="A589:A596" si="217">"0614135760"</f>
        <v>0614135760</v>
      </c>
      <c r="B589" t="str">
        <f t="shared" ref="B589:B596" si="218">"ELISE"</f>
        <v>ELISE</v>
      </c>
      <c r="C589" t="str">
        <f t="shared" ref="C589:C605" si="219">"ANDREWS"</f>
        <v>ANDREWS</v>
      </c>
      <c r="D589">
        <f>11</f>
        <v>11</v>
      </c>
      <c r="E589" t="str">
        <f>"04 - A - 101 - Stephen T Ripp"</f>
        <v>04 - A - 101 - Stephen T Ripp</v>
      </c>
      <c r="F589" t="str">
        <f>"AP U.S. HIST"</f>
        <v>AP U.S. HIST</v>
      </c>
      <c r="G589" t="str">
        <f>"17-1744"</f>
        <v>17-1744</v>
      </c>
      <c r="H589" t="str">
        <f>"A"</f>
        <v>A</v>
      </c>
    </row>
    <row r="590" spans="1:8" x14ac:dyDescent="0.2">
      <c r="A590" t="str">
        <f t="shared" si="217"/>
        <v>0614135760</v>
      </c>
      <c r="B590" t="str">
        <f t="shared" si="218"/>
        <v>ELISE</v>
      </c>
      <c r="C590" t="str">
        <f t="shared" si="219"/>
        <v>ANDREWS</v>
      </c>
      <c r="D590">
        <f>11</f>
        <v>11</v>
      </c>
      <c r="E590" t="str">
        <f>"06 - B - 206 - Jacqueline R Morphet"</f>
        <v>06 - B - 206 - Jacqueline R Morphet</v>
      </c>
      <c r="F590" t="str">
        <f>"PHYSICS 1 HON"</f>
        <v>PHYSICS 1 HON</v>
      </c>
      <c r="G590" t="str">
        <f>"21-2138"</f>
        <v>21-2138</v>
      </c>
      <c r="H590" t="str">
        <f>"B"</f>
        <v>B</v>
      </c>
    </row>
    <row r="591" spans="1:8" x14ac:dyDescent="0.2">
      <c r="A591" t="str">
        <f t="shared" si="217"/>
        <v>0614135760</v>
      </c>
      <c r="B591" t="str">
        <f t="shared" si="218"/>
        <v>ELISE</v>
      </c>
      <c r="C591" t="str">
        <f t="shared" si="219"/>
        <v>ANDREWS</v>
      </c>
      <c r="D591">
        <f>11</f>
        <v>11</v>
      </c>
      <c r="E591" t="str">
        <f>"03 - A - 102 - Tina M Jaramillo"</f>
        <v>03 - A - 102 - Tina M Jaramillo</v>
      </c>
      <c r="F591" t="str">
        <f>"AP ENG COMPO"</f>
        <v>AP ENG COMPO</v>
      </c>
      <c r="G591" t="str">
        <f>"17-1706"</f>
        <v>17-1706</v>
      </c>
      <c r="H591" t="str">
        <f>"A"</f>
        <v>A</v>
      </c>
    </row>
    <row r="592" spans="1:8" x14ac:dyDescent="0.2">
      <c r="A592" t="str">
        <f t="shared" si="217"/>
        <v>0614135760</v>
      </c>
      <c r="B592" t="str">
        <f t="shared" si="218"/>
        <v>ELISE</v>
      </c>
      <c r="C592" t="str">
        <f t="shared" si="219"/>
        <v>ANDREWS</v>
      </c>
      <c r="D592">
        <f>11</f>
        <v>11</v>
      </c>
      <c r="E592" t="str">
        <f>"02 - A - 101 - Timothy J Lawrence"</f>
        <v>02 - A - 101 - Timothy J Lawrence</v>
      </c>
      <c r="F592" t="str">
        <f>"NC STUDY HALL 1"</f>
        <v>NC STUDY HALL 1</v>
      </c>
      <c r="G592" t="str">
        <f>"05-522"</f>
        <v>05-522</v>
      </c>
      <c r="H592" t="str">
        <f>"A"</f>
        <v>A</v>
      </c>
    </row>
    <row r="593" spans="1:8" x14ac:dyDescent="0.2">
      <c r="A593" t="str">
        <f t="shared" si="217"/>
        <v>0614135760</v>
      </c>
      <c r="B593" t="str">
        <f t="shared" si="218"/>
        <v>ELISE</v>
      </c>
      <c r="C593" t="str">
        <f t="shared" si="219"/>
        <v>ANDREWS</v>
      </c>
      <c r="D593">
        <f>11</f>
        <v>11</v>
      </c>
      <c r="E593" t="str">
        <f>"07 - B - 102 - Pamela M Corzo"</f>
        <v>07 - B - 102 - Pamela M Corzo</v>
      </c>
      <c r="F593" t="str">
        <f>"AP CALCULUS AB"</f>
        <v>AP CALCULUS AB</v>
      </c>
      <c r="G593" t="str">
        <f>"21-2133"</f>
        <v>21-2133</v>
      </c>
      <c r="H593" t="str">
        <f>"B"</f>
        <v>B</v>
      </c>
    </row>
    <row r="594" spans="1:8" x14ac:dyDescent="0.2">
      <c r="A594" t="str">
        <f t="shared" si="217"/>
        <v>0614135760</v>
      </c>
      <c r="B594" t="str">
        <f t="shared" si="218"/>
        <v>ELISE</v>
      </c>
      <c r="C594" t="str">
        <f t="shared" si="219"/>
        <v>ANDREWS</v>
      </c>
      <c r="D594">
        <f>11</f>
        <v>11</v>
      </c>
      <c r="E594" t="str">
        <f>"05 - B - 203 - Chrystina M Marchionne"</f>
        <v>05 - B - 203 - Chrystina M Marchionne</v>
      </c>
      <c r="F594" t="str">
        <f>"AICE MEDIASTUDIES AS"</f>
        <v>AICE MEDIASTUDIES AS</v>
      </c>
      <c r="G594" t="str">
        <f>"05-520"</f>
        <v>05-520</v>
      </c>
      <c r="H594" t="str">
        <f>"B"</f>
        <v>B</v>
      </c>
    </row>
    <row r="595" spans="1:8" x14ac:dyDescent="0.2">
      <c r="A595" t="str">
        <f t="shared" si="217"/>
        <v>0614135760</v>
      </c>
      <c r="B595" t="str">
        <f t="shared" si="218"/>
        <v>ELISE</v>
      </c>
      <c r="C595" t="str">
        <f t="shared" si="219"/>
        <v>ANDREWS</v>
      </c>
      <c r="D595">
        <f>11</f>
        <v>11</v>
      </c>
      <c r="E595" t="str">
        <f>"01 - S1 - A - 101 - Bruce A Evans"</f>
        <v>01 - S1 - A - 101 - Bruce A Evans</v>
      </c>
      <c r="F595" t="str">
        <f>"ELECTROCARD TECH 3HN"</f>
        <v>ELECTROCARD TECH 3HN</v>
      </c>
      <c r="G595" t="str">
        <f>"21-2142"</f>
        <v>21-2142</v>
      </c>
      <c r="H595" t="str">
        <f>"A"</f>
        <v>A</v>
      </c>
    </row>
    <row r="596" spans="1:8" x14ac:dyDescent="0.2">
      <c r="A596" t="str">
        <f t="shared" si="217"/>
        <v>0614135760</v>
      </c>
      <c r="B596" t="str">
        <f t="shared" si="218"/>
        <v>ELISE</v>
      </c>
      <c r="C596" t="str">
        <f t="shared" si="219"/>
        <v>ANDREWS</v>
      </c>
      <c r="D596">
        <f>11</f>
        <v>11</v>
      </c>
      <c r="E596" t="str">
        <f>"08 - B - 103 - Marielle A Witting"</f>
        <v>08 - B - 103 - Marielle A Witting</v>
      </c>
      <c r="F596" t="str">
        <f>"AP BIO"</f>
        <v>AP BIO</v>
      </c>
      <c r="G596" t="str">
        <f>"08-805"</f>
        <v>08-805</v>
      </c>
      <c r="H596" t="str">
        <f>"B"</f>
        <v>B</v>
      </c>
    </row>
    <row r="597" spans="1:8" x14ac:dyDescent="0.2">
      <c r="A597" t="str">
        <f t="shared" ref="A597:A605" si="220">"0613058181"</f>
        <v>0613058181</v>
      </c>
      <c r="B597" t="str">
        <f t="shared" ref="B597:B605" si="221">"RODERICK"</f>
        <v>RODERICK</v>
      </c>
      <c r="C597" t="str">
        <f t="shared" si="219"/>
        <v>ANDREWS</v>
      </c>
      <c r="D597">
        <f>12</f>
        <v>12</v>
      </c>
      <c r="E597" t="str">
        <f>"04 - A - 104 - Robert H Rindner"</f>
        <v>04 - A - 104 - Robert H Rindner</v>
      </c>
      <c r="F597" t="str">
        <f>"MATH DATA&amp;FIN LIT H"</f>
        <v>MATH DATA&amp;FIN LIT H</v>
      </c>
      <c r="G597" t="str">
        <f>"21-2160"</f>
        <v>21-2160</v>
      </c>
      <c r="H597" t="str">
        <f>"A"</f>
        <v>A</v>
      </c>
    </row>
    <row r="598" spans="1:8" x14ac:dyDescent="0.2">
      <c r="A598" t="str">
        <f t="shared" si="220"/>
        <v>0613058181</v>
      </c>
      <c r="B598" t="str">
        <f t="shared" si="221"/>
        <v>RODERICK</v>
      </c>
      <c r="C598" t="str">
        <f t="shared" si="219"/>
        <v>ANDREWS</v>
      </c>
      <c r="D598">
        <f>12</f>
        <v>12</v>
      </c>
      <c r="E598" t="str">
        <f>"06 - B - 106 - Taraneh C Abreu"</f>
        <v>06 - B - 106 - Taraneh C Abreu</v>
      </c>
      <c r="F598" t="str">
        <f>"NC STUDY HALL 1"</f>
        <v>NC STUDY HALL 1</v>
      </c>
      <c r="G598" t="str">
        <f>"17-1713"</f>
        <v>17-1713</v>
      </c>
      <c r="H598" t="str">
        <f>"B"</f>
        <v>B</v>
      </c>
    </row>
    <row r="599" spans="1:8" x14ac:dyDescent="0.2">
      <c r="A599" t="str">
        <f t="shared" si="220"/>
        <v>0613058181</v>
      </c>
      <c r="B599" t="str">
        <f t="shared" si="221"/>
        <v>RODERICK</v>
      </c>
      <c r="C599" t="str">
        <f t="shared" si="219"/>
        <v>ANDREWS</v>
      </c>
      <c r="D599">
        <f>12</f>
        <v>12</v>
      </c>
      <c r="E599" t="str">
        <f>"06 - B - 116 - Karen A Toomer"</f>
        <v>06 - B - 116 - Karen A Toomer</v>
      </c>
      <c r="F599" t="str">
        <f>"LANG THERAPY"</f>
        <v>LANG THERAPY</v>
      </c>
      <c r="G599" t="str">
        <f>"21-2110"</f>
        <v>21-2110</v>
      </c>
      <c r="H599" t="str">
        <f>"B"</f>
        <v>B</v>
      </c>
    </row>
    <row r="600" spans="1:8" x14ac:dyDescent="0.2">
      <c r="A600" t="str">
        <f t="shared" si="220"/>
        <v>0613058181</v>
      </c>
      <c r="B600" t="str">
        <f t="shared" si="221"/>
        <v>RODERICK</v>
      </c>
      <c r="C600" t="str">
        <f t="shared" si="219"/>
        <v>ANDREWS</v>
      </c>
      <c r="D600">
        <f>12</f>
        <v>12</v>
      </c>
      <c r="E600" t="str">
        <f>"03 - S1 - A - 002 - Barbara L Segal"</f>
        <v>03 - S1 - A - 002 - Barbara L Segal</v>
      </c>
      <c r="F600" t="str">
        <f>"US GOVT"</f>
        <v>US GOVT</v>
      </c>
      <c r="G600" t="str">
        <f>"17-1742"</f>
        <v>17-1742</v>
      </c>
      <c r="H600" t="str">
        <f>"A"</f>
        <v>A</v>
      </c>
    </row>
    <row r="601" spans="1:8" x14ac:dyDescent="0.2">
      <c r="A601" t="str">
        <f t="shared" si="220"/>
        <v>0613058181</v>
      </c>
      <c r="B601" t="str">
        <f t="shared" si="221"/>
        <v>RODERICK</v>
      </c>
      <c r="C601" t="str">
        <f t="shared" si="219"/>
        <v>ANDREWS</v>
      </c>
      <c r="D601">
        <f>12</f>
        <v>12</v>
      </c>
      <c r="E601" t="str">
        <f>"02 - A - 201 - Jordana K Hass"</f>
        <v>02 - A - 201 - Jordana K Hass</v>
      </c>
      <c r="F601" t="str">
        <f>"CHEMISTRY 1"</f>
        <v>CHEMISTRY 1</v>
      </c>
      <c r="G601" t="str">
        <f>"08-807"</f>
        <v>08-807</v>
      </c>
      <c r="H601" t="str">
        <f>"A"</f>
        <v>A</v>
      </c>
    </row>
    <row r="602" spans="1:8" x14ac:dyDescent="0.2">
      <c r="A602" t="str">
        <f t="shared" si="220"/>
        <v>0613058181</v>
      </c>
      <c r="B602" t="str">
        <f t="shared" si="221"/>
        <v>RODERICK</v>
      </c>
      <c r="C602" t="str">
        <f t="shared" si="219"/>
        <v>ANDREWS</v>
      </c>
      <c r="D602">
        <f>12</f>
        <v>12</v>
      </c>
      <c r="E602" t="str">
        <f>"07 - B - 001 - Rachel M Montrose"</f>
        <v>07 - B - 001 - Rachel M Montrose</v>
      </c>
      <c r="F602" t="str">
        <f>"JOURN 2 (NP) LH"</f>
        <v>JOURN 2 (NP) LH</v>
      </c>
      <c r="G602" t="str">
        <f>"05-521"</f>
        <v>05-521</v>
      </c>
      <c r="H602" t="str">
        <f>"B"</f>
        <v>B</v>
      </c>
    </row>
    <row r="603" spans="1:8" x14ac:dyDescent="0.2">
      <c r="A603" t="str">
        <f t="shared" si="220"/>
        <v>0613058181</v>
      </c>
      <c r="B603" t="str">
        <f t="shared" si="221"/>
        <v>RODERICK</v>
      </c>
      <c r="C603" t="str">
        <f t="shared" si="219"/>
        <v>ANDREWS</v>
      </c>
      <c r="D603">
        <f>12</f>
        <v>12</v>
      </c>
      <c r="E603" t="str">
        <f>"05 - B - 102 - Robyn L Trainer"</f>
        <v>05 - B - 102 - Robyn L Trainer</v>
      </c>
      <c r="F603" t="str">
        <f>"ENG 4"</f>
        <v>ENG 4</v>
      </c>
      <c r="G603" t="str">
        <f>"17-1734"</f>
        <v>17-1734</v>
      </c>
      <c r="H603" t="str">
        <f>"B"</f>
        <v>B</v>
      </c>
    </row>
    <row r="604" spans="1:8" x14ac:dyDescent="0.2">
      <c r="A604" t="str">
        <f t="shared" si="220"/>
        <v>0613058181</v>
      </c>
      <c r="B604" t="str">
        <f t="shared" si="221"/>
        <v>RODERICK</v>
      </c>
      <c r="C604" t="str">
        <f t="shared" si="219"/>
        <v>ANDREWS</v>
      </c>
      <c r="D604">
        <f>12</f>
        <v>12</v>
      </c>
      <c r="E604" t="str">
        <f>"01 - A - 101 - Brian M Fitzgerald"</f>
        <v>01 - A - 101 - Brian M Fitzgerald</v>
      </c>
      <c r="F604" t="str">
        <f>"CERAM/POT 1"</f>
        <v>CERAM/POT 1</v>
      </c>
      <c r="G604" t="str">
        <f>"09-908"</f>
        <v>09-908</v>
      </c>
      <c r="H604" t="str">
        <f>"A"</f>
        <v>A</v>
      </c>
    </row>
    <row r="605" spans="1:8" x14ac:dyDescent="0.2">
      <c r="A605" t="str">
        <f t="shared" si="220"/>
        <v>0613058181</v>
      </c>
      <c r="B605" t="str">
        <f t="shared" si="221"/>
        <v>RODERICK</v>
      </c>
      <c r="C605" t="str">
        <f t="shared" si="219"/>
        <v>ANDREWS</v>
      </c>
      <c r="D605">
        <f>12</f>
        <v>12</v>
      </c>
      <c r="E605" t="str">
        <f>"08 - S1 - B - 104 - Leslie J Barton"</f>
        <v>08 - S1 - B - 104 - Leslie J Barton</v>
      </c>
      <c r="F605" t="str">
        <f>"TEAM SPORTS 1"</f>
        <v>TEAM SPORTS 1</v>
      </c>
      <c r="G605" t="str">
        <f>"04-254"</f>
        <v>04-254</v>
      </c>
      <c r="H605" t="str">
        <f>"B"</f>
        <v>B</v>
      </c>
    </row>
    <row r="606" spans="1:8" x14ac:dyDescent="0.2">
      <c r="A606" t="str">
        <f t="shared" ref="A606:A613" si="222">"0622072475"</f>
        <v>0622072475</v>
      </c>
      <c r="B606" t="str">
        <f t="shared" ref="B606:B613" si="223">"ANALEAH"</f>
        <v>ANALEAH</v>
      </c>
      <c r="C606" t="str">
        <f t="shared" ref="C606:C613" si="224">"ANGULO"</f>
        <v>ANGULO</v>
      </c>
      <c r="D606">
        <f>11</f>
        <v>11</v>
      </c>
      <c r="E606" t="str">
        <f>"04 - A - 201 - Christa T Parisi"</f>
        <v>04 - A - 201 - Christa T Parisi</v>
      </c>
      <c r="F606" t="str">
        <f>"DANCE TECHNQS 3 HON"</f>
        <v>DANCE TECHNQS 3 HON</v>
      </c>
      <c r="G606" t="str">
        <f>"05-503"</f>
        <v>05-503</v>
      </c>
      <c r="H606" t="str">
        <f>"A"</f>
        <v>A</v>
      </c>
    </row>
    <row r="607" spans="1:8" x14ac:dyDescent="0.2">
      <c r="A607" t="str">
        <f t="shared" si="222"/>
        <v>0622072475</v>
      </c>
      <c r="B607" t="str">
        <f t="shared" si="223"/>
        <v>ANALEAH</v>
      </c>
      <c r="C607" t="str">
        <f t="shared" si="224"/>
        <v>ANGULO</v>
      </c>
      <c r="D607">
        <f>11</f>
        <v>11</v>
      </c>
      <c r="E607" t="str">
        <f>"06 - B - 002 - Kyle  Robbins"</f>
        <v>06 - B - 002 - Kyle  Robbins</v>
      </c>
      <c r="F607" t="str">
        <f>"US HISTORY HON"</f>
        <v>US HISTORY HON</v>
      </c>
      <c r="G607" t="str">
        <f>"17-1745"</f>
        <v>17-1745</v>
      </c>
      <c r="H607" t="str">
        <f>"B"</f>
        <v>B</v>
      </c>
    </row>
    <row r="608" spans="1:8" x14ac:dyDescent="0.2">
      <c r="A608" t="str">
        <f t="shared" si="222"/>
        <v>0622072475</v>
      </c>
      <c r="B608" t="str">
        <f t="shared" si="223"/>
        <v>ANALEAH</v>
      </c>
      <c r="C608" t="str">
        <f t="shared" si="224"/>
        <v>ANGULO</v>
      </c>
      <c r="D608">
        <f>11</f>
        <v>11</v>
      </c>
      <c r="E608" t="str">
        <f>"03 - A - 102 - Thomas G Handwerg"</f>
        <v>03 - A - 102 - Thomas G Handwerg</v>
      </c>
      <c r="F608" t="str">
        <f>"MATH COLL ALGEBRA"</f>
        <v>MATH COLL ALGEBRA</v>
      </c>
      <c r="G608" t="str">
        <f>"21-2146"</f>
        <v>21-2146</v>
      </c>
      <c r="H608" t="str">
        <f>"A"</f>
        <v>A</v>
      </c>
    </row>
    <row r="609" spans="1:8" x14ac:dyDescent="0.2">
      <c r="A609" t="str">
        <f t="shared" si="222"/>
        <v>0622072475</v>
      </c>
      <c r="B609" t="str">
        <f t="shared" si="223"/>
        <v>ANALEAH</v>
      </c>
      <c r="C609" t="str">
        <f t="shared" si="224"/>
        <v>ANGULO</v>
      </c>
      <c r="D609">
        <f>11</f>
        <v>11</v>
      </c>
      <c r="E609" t="str">
        <f>"02 - A - 101 - Timothy J Lawrence"</f>
        <v>02 - A - 101 - Timothy J Lawrence</v>
      </c>
      <c r="F609" t="str">
        <f>"NC STUDY HALL 1"</f>
        <v>NC STUDY HALL 1</v>
      </c>
      <c r="G609" t="str">
        <f>"05-522"</f>
        <v>05-522</v>
      </c>
      <c r="H609" t="str">
        <f>"A"</f>
        <v>A</v>
      </c>
    </row>
    <row r="610" spans="1:8" x14ac:dyDescent="0.2">
      <c r="A610" t="str">
        <f t="shared" si="222"/>
        <v>0622072475</v>
      </c>
      <c r="B610" t="str">
        <f t="shared" si="223"/>
        <v>ANALEAH</v>
      </c>
      <c r="C610" t="str">
        <f t="shared" si="224"/>
        <v>ANGULO</v>
      </c>
      <c r="D610">
        <f>11</f>
        <v>11</v>
      </c>
      <c r="E610" t="str">
        <f>"07 - B - 201 - Alejandro  Navarro"</f>
        <v>07 - B - 201 - Alejandro  Navarro</v>
      </c>
      <c r="F610" t="str">
        <f>"EURHY 2"</f>
        <v>EURHY 2</v>
      </c>
      <c r="G610" t="str">
        <f>"05-504"</f>
        <v>05-504</v>
      </c>
      <c r="H610" t="str">
        <f>"B"</f>
        <v>B</v>
      </c>
    </row>
    <row r="611" spans="1:8" x14ac:dyDescent="0.2">
      <c r="A611" t="str">
        <f t="shared" si="222"/>
        <v>0622072475</v>
      </c>
      <c r="B611" t="str">
        <f t="shared" si="223"/>
        <v>ANALEAH</v>
      </c>
      <c r="C611" t="str">
        <f t="shared" si="224"/>
        <v>ANGULO</v>
      </c>
      <c r="D611">
        <f>11</f>
        <v>11</v>
      </c>
      <c r="E611" t="str">
        <f>"05 - B - 104 - Daniel S Tyson"</f>
        <v>05 - B - 104 - Daniel S Tyson</v>
      </c>
      <c r="F611" t="str">
        <f>"JROTC NAVAL SCI 1"</f>
        <v>JROTC NAVAL SCI 1</v>
      </c>
      <c r="G611" t="str">
        <f>"05-510"</f>
        <v>05-510</v>
      </c>
      <c r="H611" t="str">
        <f>"B"</f>
        <v>B</v>
      </c>
    </row>
    <row r="612" spans="1:8" x14ac:dyDescent="0.2">
      <c r="A612" t="str">
        <f t="shared" si="222"/>
        <v>0622072475</v>
      </c>
      <c r="B612" t="str">
        <f t="shared" si="223"/>
        <v>ANALEAH</v>
      </c>
      <c r="C612" t="str">
        <f t="shared" si="224"/>
        <v>ANGULO</v>
      </c>
      <c r="D612">
        <f>11</f>
        <v>11</v>
      </c>
      <c r="E612" t="str">
        <f>"01 - A - 101 - Heidi M Knopp"</f>
        <v>01 - A - 101 - Heidi M Knopp</v>
      </c>
      <c r="F612" t="str">
        <f>"ENG HON 3"</f>
        <v>ENG HON 3</v>
      </c>
      <c r="G612" t="str">
        <f>"17-1752"</f>
        <v>17-1752</v>
      </c>
      <c r="H612" t="str">
        <f>"A"</f>
        <v>A</v>
      </c>
    </row>
    <row r="613" spans="1:8" x14ac:dyDescent="0.2">
      <c r="A613" t="str">
        <f t="shared" si="222"/>
        <v>0622072475</v>
      </c>
      <c r="B613" t="str">
        <f t="shared" si="223"/>
        <v>ANALEAH</v>
      </c>
      <c r="C613" t="str">
        <f t="shared" si="224"/>
        <v>ANGULO</v>
      </c>
      <c r="D613">
        <f>11</f>
        <v>11</v>
      </c>
      <c r="E613" t="str">
        <f>"08 - B - 102 - Josiah I Lacy"</f>
        <v>08 - B - 102 - Josiah I Lacy</v>
      </c>
      <c r="F613" t="str">
        <f>"ANAT PHYSIO HON"</f>
        <v>ANAT PHYSIO HON</v>
      </c>
      <c r="G613" t="str">
        <f>"08-801"</f>
        <v>08-801</v>
      </c>
      <c r="H613" t="str">
        <f>"B"</f>
        <v>B</v>
      </c>
    </row>
    <row r="614" spans="1:8" x14ac:dyDescent="0.2">
      <c r="A614" t="str">
        <f t="shared" ref="A614:A621" si="225">"0623021508"</f>
        <v>0623021508</v>
      </c>
      <c r="B614" t="str">
        <f t="shared" ref="B614:B621" si="226">"CESAR"</f>
        <v>CESAR</v>
      </c>
      <c r="C614" t="str">
        <f t="shared" ref="C614:C621" si="227">"ANGULO ALVARADO"</f>
        <v>ANGULO ALVARADO</v>
      </c>
      <c r="D614">
        <f>10</f>
        <v>10</v>
      </c>
      <c r="E614" t="str">
        <f>"04 - A - 105 - Milca  Exantus"</f>
        <v>04 - A - 105 - Milca  Exantus</v>
      </c>
      <c r="F614" t="str">
        <f>"MATH COLLEGE LIB ART"</f>
        <v>MATH COLLEGE LIB ART</v>
      </c>
      <c r="G614" t="str">
        <f>"21-2145"</f>
        <v>21-2145</v>
      </c>
      <c r="H614" t="str">
        <f>"A"</f>
        <v>A</v>
      </c>
    </row>
    <row r="615" spans="1:8" x14ac:dyDescent="0.2">
      <c r="A615" t="str">
        <f t="shared" si="225"/>
        <v>0623021508</v>
      </c>
      <c r="B615" t="str">
        <f t="shared" si="226"/>
        <v>CESAR</v>
      </c>
      <c r="C615" t="str">
        <f t="shared" si="227"/>
        <v>ANGULO ALVARADO</v>
      </c>
      <c r="D615">
        <f>10</f>
        <v>10</v>
      </c>
      <c r="E615" t="str">
        <f>"06 - B - 103 - Vanessa J Liburd"</f>
        <v>06 - B - 103 - Vanessa J Liburd</v>
      </c>
      <c r="F615" t="str">
        <f>"NC STUDY HALL 1"</f>
        <v>NC STUDY HALL 1</v>
      </c>
      <c r="G615" t="str">
        <f>"05-519"</f>
        <v>05-519</v>
      </c>
      <c r="H615" t="str">
        <f>"B"</f>
        <v>B</v>
      </c>
    </row>
    <row r="616" spans="1:8" x14ac:dyDescent="0.2">
      <c r="A616" t="str">
        <f t="shared" si="225"/>
        <v>0623021508</v>
      </c>
      <c r="B616" t="str">
        <f t="shared" si="226"/>
        <v>CESAR</v>
      </c>
      <c r="C616" t="str">
        <f t="shared" si="227"/>
        <v>ANGULO ALVARADO</v>
      </c>
      <c r="D616">
        <f>10</f>
        <v>10</v>
      </c>
      <c r="E616" t="str">
        <f>"03 - A - 201 - Emmily A Sarmiento"</f>
        <v>03 - A - 201 - Emmily A Sarmiento</v>
      </c>
      <c r="F616" t="str">
        <f>"LEAD SKLS DEV LH"</f>
        <v>LEAD SKLS DEV LH</v>
      </c>
      <c r="G616" t="str">
        <f>"17-1743"</f>
        <v>17-1743</v>
      </c>
      <c r="H616" t="str">
        <f>"A"</f>
        <v>A</v>
      </c>
    </row>
    <row r="617" spans="1:8" x14ac:dyDescent="0.2">
      <c r="A617" t="str">
        <f t="shared" si="225"/>
        <v>0623021508</v>
      </c>
      <c r="B617" t="str">
        <f t="shared" si="226"/>
        <v>CESAR</v>
      </c>
      <c r="C617" t="str">
        <f t="shared" si="227"/>
        <v>ANGULO ALVARADO</v>
      </c>
      <c r="D617">
        <f>10</f>
        <v>10</v>
      </c>
      <c r="E617" t="str">
        <f>"02 - S1 - A - 102 - Richard E Dunbar Iii"</f>
        <v>02 - S1 - A - 102 - Richard E Dunbar Iii</v>
      </c>
      <c r="F617" t="str">
        <f>"WEIGHT TRAIN 1"</f>
        <v>WEIGHT TRAIN 1</v>
      </c>
      <c r="G617" t="str">
        <f>"05-501"</f>
        <v>05-501</v>
      </c>
      <c r="H617" t="str">
        <f>"A"</f>
        <v>A</v>
      </c>
    </row>
    <row r="618" spans="1:8" x14ac:dyDescent="0.2">
      <c r="A618" t="str">
        <f t="shared" si="225"/>
        <v>0623021508</v>
      </c>
      <c r="B618" t="str">
        <f t="shared" si="226"/>
        <v>CESAR</v>
      </c>
      <c r="C618" t="str">
        <f t="shared" si="227"/>
        <v>ANGULO ALVARADO</v>
      </c>
      <c r="D618">
        <f>10</f>
        <v>10</v>
      </c>
      <c r="E618" t="str">
        <f>"07 - B - 108 - Jacquelyn M Neeson"</f>
        <v>07 - B - 108 - Jacquelyn M Neeson</v>
      </c>
      <c r="F618" t="str">
        <f>"ENG 2"</f>
        <v>ENG 2</v>
      </c>
      <c r="G618" t="str">
        <f>"17-1715"</f>
        <v>17-1715</v>
      </c>
      <c r="H618" t="str">
        <f>"B"</f>
        <v>B</v>
      </c>
    </row>
    <row r="619" spans="1:8" x14ac:dyDescent="0.2">
      <c r="A619" t="str">
        <f t="shared" si="225"/>
        <v>0623021508</v>
      </c>
      <c r="B619" t="str">
        <f t="shared" si="226"/>
        <v>CESAR</v>
      </c>
      <c r="C619" t="str">
        <f t="shared" si="227"/>
        <v>ANGULO ALVARADO</v>
      </c>
      <c r="D619">
        <f>10</f>
        <v>10</v>
      </c>
      <c r="E619" t="str">
        <f>"05 - B - 105 - Marius D Orsolini"</f>
        <v>05 - B - 105 - Marius D Orsolini</v>
      </c>
      <c r="F619" t="str">
        <f>"CULINARY ARTS 1"</f>
        <v>CULINARY ARTS 1</v>
      </c>
      <c r="G619" t="str">
        <f>"21-2115"</f>
        <v>21-2115</v>
      </c>
      <c r="H619" t="str">
        <f>"B"</f>
        <v>B</v>
      </c>
    </row>
    <row r="620" spans="1:8" x14ac:dyDescent="0.2">
      <c r="A620" t="str">
        <f t="shared" si="225"/>
        <v>0623021508</v>
      </c>
      <c r="B620" t="str">
        <f t="shared" si="226"/>
        <v>CESAR</v>
      </c>
      <c r="C620" t="str">
        <f t="shared" si="227"/>
        <v>ANGULO ALVARADO</v>
      </c>
      <c r="D620">
        <f>10</f>
        <v>10</v>
      </c>
      <c r="E620" t="str">
        <f>"01 - S1 - A - 101 - Carol S Moore"</f>
        <v>01 - S1 - A - 101 - Carol S Moore</v>
      </c>
      <c r="F620" t="str">
        <f>"PERS FIN &amp; MON MGT H"</f>
        <v>PERS FIN &amp; MON MGT H</v>
      </c>
      <c r="G620" t="str">
        <f>"17-1733"</f>
        <v>17-1733</v>
      </c>
      <c r="H620" t="str">
        <f>"A"</f>
        <v>A</v>
      </c>
    </row>
    <row r="621" spans="1:8" x14ac:dyDescent="0.2">
      <c r="A621" t="str">
        <f t="shared" si="225"/>
        <v>0623021508</v>
      </c>
      <c r="B621" t="str">
        <f t="shared" si="226"/>
        <v>CESAR</v>
      </c>
      <c r="C621" t="str">
        <f t="shared" si="227"/>
        <v>ANGULO ALVARADO</v>
      </c>
      <c r="D621">
        <f>10</f>
        <v>10</v>
      </c>
      <c r="E621" t="str">
        <f>"08 - B - 108 - Paige Lauren  Brochu"</f>
        <v>08 - B - 108 - Paige Lauren  Brochu</v>
      </c>
      <c r="F621" t="str">
        <f>"BIOLOGY 1"</f>
        <v>BIOLOGY 1</v>
      </c>
      <c r="G621" t="str">
        <f>"21-2134"</f>
        <v>21-2134</v>
      </c>
      <c r="H621" t="str">
        <f>"B"</f>
        <v>B</v>
      </c>
    </row>
    <row r="622" spans="1:8" x14ac:dyDescent="0.2">
      <c r="A622" t="str">
        <f t="shared" ref="A622:A629" si="228">"0620059190"</f>
        <v>0620059190</v>
      </c>
      <c r="B622" t="str">
        <f t="shared" ref="B622:B629" si="229">"HALLYSSA"</f>
        <v>HALLYSSA</v>
      </c>
      <c r="C622" t="str">
        <f t="shared" ref="C622:C629" si="230">"ANTENUCCI"</f>
        <v>ANTENUCCI</v>
      </c>
      <c r="D622">
        <f>10</f>
        <v>10</v>
      </c>
      <c r="E622" t="str">
        <f>"04 - A - 203 - Cheryl L Beach"</f>
        <v>04 - A - 203 - Cheryl L Beach</v>
      </c>
      <c r="F622" t="str">
        <f>"AICE ENV MGMNT AS"</f>
        <v>AICE ENV MGMNT AS</v>
      </c>
      <c r="G622" t="str">
        <f>"08-811"</f>
        <v>08-811</v>
      </c>
      <c r="H622" t="str">
        <f>"A"</f>
        <v>A</v>
      </c>
    </row>
    <row r="623" spans="1:8" x14ac:dyDescent="0.2">
      <c r="A623" t="str">
        <f t="shared" si="228"/>
        <v>0620059190</v>
      </c>
      <c r="B623" t="str">
        <f t="shared" si="229"/>
        <v>HALLYSSA</v>
      </c>
      <c r="C623" t="str">
        <f t="shared" si="230"/>
        <v>ANTENUCCI</v>
      </c>
      <c r="D623">
        <f>10</f>
        <v>10</v>
      </c>
      <c r="E623" t="str">
        <f>"06 - B - 105 - Jeffrey S Gallagher"</f>
        <v>06 - B - 105 - Jeffrey S Gallagher</v>
      </c>
      <c r="F623" t="str">
        <f>"NC STUDY HALL 1"</f>
        <v>NC STUDY HALL 1</v>
      </c>
      <c r="G623" t="str">
        <f>"17-1724"</f>
        <v>17-1724</v>
      </c>
      <c r="H623" t="str">
        <f>"B"</f>
        <v>B</v>
      </c>
    </row>
    <row r="624" spans="1:8" x14ac:dyDescent="0.2">
      <c r="A624" t="str">
        <f t="shared" si="228"/>
        <v>0620059190</v>
      </c>
      <c r="B624" t="str">
        <f t="shared" si="229"/>
        <v>HALLYSSA</v>
      </c>
      <c r="C624" t="str">
        <f t="shared" si="230"/>
        <v>ANTENUCCI</v>
      </c>
      <c r="D624">
        <f>10</f>
        <v>10</v>
      </c>
      <c r="E624" t="str">
        <f>"03 - S1 - A - 102 - Angela S Adeshina-Morrison"</f>
        <v>03 - S1 - A - 102 - Angela S Adeshina-Morrison</v>
      </c>
      <c r="F624" t="str">
        <f>"PEER COUN 1"</f>
        <v>PEER COUN 1</v>
      </c>
      <c r="G624" t="str">
        <f>"05-518"</f>
        <v>05-518</v>
      </c>
      <c r="H624" t="str">
        <f>"A"</f>
        <v>A</v>
      </c>
    </row>
    <row r="625" spans="1:8" x14ac:dyDescent="0.2">
      <c r="A625" t="str">
        <f t="shared" si="228"/>
        <v>0620059190</v>
      </c>
      <c r="B625" t="str">
        <f t="shared" si="229"/>
        <v>HALLYSSA</v>
      </c>
      <c r="C625" t="str">
        <f t="shared" si="230"/>
        <v>ANTENUCCI</v>
      </c>
      <c r="D625">
        <f>10</f>
        <v>10</v>
      </c>
      <c r="E625" t="str">
        <f>"02 - A - 105 - Semra  Bahadir"</f>
        <v>02 - A - 105 - Semra  Bahadir</v>
      </c>
      <c r="F625" t="str">
        <f>"ALGEBRA 2"</f>
        <v>ALGEBRA 2</v>
      </c>
      <c r="G625" t="str">
        <f>"21-2107"</f>
        <v>21-2107</v>
      </c>
      <c r="H625" t="str">
        <f>"A"</f>
        <v>A</v>
      </c>
    </row>
    <row r="626" spans="1:8" x14ac:dyDescent="0.2">
      <c r="A626" t="str">
        <f t="shared" si="228"/>
        <v>0620059190</v>
      </c>
      <c r="B626" t="str">
        <f t="shared" si="229"/>
        <v>HALLYSSA</v>
      </c>
      <c r="C626" t="str">
        <f t="shared" si="230"/>
        <v>ANTENUCCI</v>
      </c>
      <c r="D626">
        <f>10</f>
        <v>10</v>
      </c>
      <c r="E626" t="str">
        <f>"07 - B - 107 - Marius D Orsolini"</f>
        <v>07 - B - 107 - Marius D Orsolini</v>
      </c>
      <c r="F626" t="str">
        <f>"CULINARY ARTS 1"</f>
        <v>CULINARY ARTS 1</v>
      </c>
      <c r="G626" t="str">
        <f>"21-2115"</f>
        <v>21-2115</v>
      </c>
      <c r="H626" t="str">
        <f>"B"</f>
        <v>B</v>
      </c>
    </row>
    <row r="627" spans="1:8" x14ac:dyDescent="0.2">
      <c r="A627" t="str">
        <f t="shared" si="228"/>
        <v>0620059190</v>
      </c>
      <c r="B627" t="str">
        <f t="shared" si="229"/>
        <v>HALLYSSA</v>
      </c>
      <c r="C627" t="str">
        <f t="shared" si="230"/>
        <v>ANTENUCCI</v>
      </c>
      <c r="D627">
        <f>10</f>
        <v>10</v>
      </c>
      <c r="E627" t="str">
        <f>"05 - B - 001 - Kelly N Panza"</f>
        <v>05 - B - 001 - Kelly N Panza</v>
      </c>
      <c r="F627" t="str">
        <f>"AICE GLBL PERSP 1 AS"</f>
        <v>AICE GLBL PERSP 1 AS</v>
      </c>
      <c r="G627" t="str">
        <f>"17-1753"</f>
        <v>17-1753</v>
      </c>
      <c r="H627" t="str">
        <f>"B"</f>
        <v>B</v>
      </c>
    </row>
    <row r="628" spans="1:8" x14ac:dyDescent="0.2">
      <c r="A628" t="str">
        <f t="shared" si="228"/>
        <v>0620059190</v>
      </c>
      <c r="B628" t="str">
        <f t="shared" si="229"/>
        <v>HALLYSSA</v>
      </c>
      <c r="C628" t="str">
        <f t="shared" si="230"/>
        <v>ANTENUCCI</v>
      </c>
      <c r="D628">
        <f>10</f>
        <v>10</v>
      </c>
      <c r="E628" t="str">
        <f>"01 - A - 101 - Courtney E Hambright"</f>
        <v>01 - A - 101 - Courtney E Hambright</v>
      </c>
      <c r="F628" t="str">
        <f>"AICE ENG LANG AS"</f>
        <v>AICE ENG LANG AS</v>
      </c>
      <c r="G628" t="str">
        <f>"17-1711"</f>
        <v>17-1711</v>
      </c>
      <c r="H628" t="str">
        <f>"A"</f>
        <v>A</v>
      </c>
    </row>
    <row r="629" spans="1:8" x14ac:dyDescent="0.2">
      <c r="A629" t="str">
        <f t="shared" si="228"/>
        <v>0620059190</v>
      </c>
      <c r="B629" t="str">
        <f t="shared" si="229"/>
        <v>HALLYSSA</v>
      </c>
      <c r="C629" t="str">
        <f t="shared" si="230"/>
        <v>ANTENUCCI</v>
      </c>
      <c r="D629">
        <f>10</f>
        <v>10</v>
      </c>
      <c r="E629" t="str">
        <f>"08 - B - 201 - Stacey A Blecker"</f>
        <v>08 - B - 201 - Stacey A Blecker</v>
      </c>
      <c r="F629" t="str">
        <f>"AICE SOCIOLOGY 1 AS"</f>
        <v>AICE SOCIOLOGY 1 AS</v>
      </c>
      <c r="G629" t="str">
        <f>"09-926"</f>
        <v>09-926</v>
      </c>
      <c r="H629" t="str">
        <f>"B"</f>
        <v>B</v>
      </c>
    </row>
    <row r="630" spans="1:8" x14ac:dyDescent="0.2">
      <c r="A630" t="str">
        <f t="shared" ref="A630:A638" si="231">"0613123004"</f>
        <v>0613123004</v>
      </c>
      <c r="B630" t="str">
        <f t="shared" ref="B630:B638" si="232">"JHORDY"</f>
        <v>JHORDY</v>
      </c>
      <c r="C630" t="str">
        <f t="shared" ref="C630:C638" si="233">"ANTON"</f>
        <v>ANTON</v>
      </c>
      <c r="D630">
        <f>12</f>
        <v>12</v>
      </c>
      <c r="E630" t="str">
        <f>"04 - S1 - A - 101 - Leslie J Barton"</f>
        <v>04 - S1 - A - 101 - Leslie J Barton</v>
      </c>
      <c r="F630" t="str">
        <f>"TEAM SPORTS 1"</f>
        <v>TEAM SPORTS 1</v>
      </c>
      <c r="G630" t="str">
        <f>"04-254"</f>
        <v>04-254</v>
      </c>
      <c r="H630" t="str">
        <f>"A"</f>
        <v>A</v>
      </c>
    </row>
    <row r="631" spans="1:8" x14ac:dyDescent="0.2">
      <c r="A631" t="str">
        <f t="shared" si="231"/>
        <v>0613123004</v>
      </c>
      <c r="B631" t="str">
        <f t="shared" si="232"/>
        <v>JHORDY</v>
      </c>
      <c r="C631" t="str">
        <f t="shared" si="233"/>
        <v>ANTON</v>
      </c>
      <c r="D631">
        <f>12</f>
        <v>12</v>
      </c>
      <c r="E631" t="str">
        <f>"06 - B - 111 - James H Mccann"</f>
        <v>06 - B - 111 - James H Mccann</v>
      </c>
      <c r="F631" t="str">
        <f>"NC STUDY HALL 1"</f>
        <v>NC STUDY HALL 1</v>
      </c>
      <c r="G631" t="str">
        <f>"17-1716"</f>
        <v>17-1716</v>
      </c>
      <c r="H631" t="str">
        <f>"B"</f>
        <v>B</v>
      </c>
    </row>
    <row r="632" spans="1:8" x14ac:dyDescent="0.2">
      <c r="A632" t="str">
        <f t="shared" si="231"/>
        <v>0613123004</v>
      </c>
      <c r="B632" t="str">
        <f t="shared" si="232"/>
        <v>JHORDY</v>
      </c>
      <c r="C632" t="str">
        <f t="shared" si="233"/>
        <v>ANTON</v>
      </c>
      <c r="D632">
        <f>12</f>
        <v>12</v>
      </c>
      <c r="E632" t="str">
        <f>"06 - B - 116 - Karen A Toomer"</f>
        <v>06 - B - 116 - Karen A Toomer</v>
      </c>
      <c r="F632" t="str">
        <f>"LANG THERAPY"</f>
        <v>LANG THERAPY</v>
      </c>
      <c r="G632" t="str">
        <f>"21-2110"</f>
        <v>21-2110</v>
      </c>
      <c r="H632" t="str">
        <f>"B"</f>
        <v>B</v>
      </c>
    </row>
    <row r="633" spans="1:8" x14ac:dyDescent="0.2">
      <c r="A633" t="str">
        <f t="shared" si="231"/>
        <v>0613123004</v>
      </c>
      <c r="B633" t="str">
        <f t="shared" si="232"/>
        <v>JHORDY</v>
      </c>
      <c r="C633" t="str">
        <f t="shared" si="233"/>
        <v>ANTON</v>
      </c>
      <c r="D633">
        <f>12</f>
        <v>12</v>
      </c>
      <c r="E633" t="str">
        <f>"03 - S1 - A - 102 - Angela S Adeshina-Morrison"</f>
        <v>03 - S1 - A - 102 - Angela S Adeshina-Morrison</v>
      </c>
      <c r="F633" t="str">
        <f>"PEER COUN 1"</f>
        <v>PEER COUN 1</v>
      </c>
      <c r="G633" t="str">
        <f>"05-518"</f>
        <v>05-518</v>
      </c>
      <c r="H633" t="str">
        <f>"A"</f>
        <v>A</v>
      </c>
    </row>
    <row r="634" spans="1:8" x14ac:dyDescent="0.2">
      <c r="A634" t="str">
        <f t="shared" si="231"/>
        <v>0613123004</v>
      </c>
      <c r="B634" t="str">
        <f t="shared" si="232"/>
        <v>JHORDY</v>
      </c>
      <c r="C634" t="str">
        <f t="shared" si="233"/>
        <v>ANTON</v>
      </c>
      <c r="D634">
        <f>12</f>
        <v>12</v>
      </c>
      <c r="E634" t="str">
        <f>"02 - A - 101 - Robert H Rindner"</f>
        <v>02 - A - 101 - Robert H Rindner</v>
      </c>
      <c r="F634" t="str">
        <f>"MATH DATA&amp;FIN LIT H"</f>
        <v>MATH DATA&amp;FIN LIT H</v>
      </c>
      <c r="G634" t="str">
        <f>"21-2160"</f>
        <v>21-2160</v>
      </c>
      <c r="H634" t="str">
        <f>"A"</f>
        <v>A</v>
      </c>
    </row>
    <row r="635" spans="1:8" x14ac:dyDescent="0.2">
      <c r="A635" t="str">
        <f t="shared" si="231"/>
        <v>0613123004</v>
      </c>
      <c r="B635" t="str">
        <f t="shared" si="232"/>
        <v>JHORDY</v>
      </c>
      <c r="C635" t="str">
        <f t="shared" si="233"/>
        <v>ANTON</v>
      </c>
      <c r="D635">
        <f>12</f>
        <v>12</v>
      </c>
      <c r="E635" t="str">
        <f>"07 - B - 104 - Robyn L Trainer"</f>
        <v>07 - B - 104 - Robyn L Trainer</v>
      </c>
      <c r="F635" t="str">
        <f>"ENG 4"</f>
        <v>ENG 4</v>
      </c>
      <c r="G635" t="str">
        <f>"17-1734"</f>
        <v>17-1734</v>
      </c>
      <c r="H635" t="str">
        <f>"B"</f>
        <v>B</v>
      </c>
    </row>
    <row r="636" spans="1:8" x14ac:dyDescent="0.2">
      <c r="A636" t="str">
        <f t="shared" si="231"/>
        <v>0613123004</v>
      </c>
      <c r="B636" t="str">
        <f t="shared" si="232"/>
        <v>JHORDY</v>
      </c>
      <c r="C636" t="str">
        <f t="shared" si="233"/>
        <v>ANTON</v>
      </c>
      <c r="D636">
        <f>12</f>
        <v>12</v>
      </c>
      <c r="E636" t="str">
        <f>"05 - S1 - B - 102 - Robert O Burger"</f>
        <v>05 - S1 - B - 102 - Robert O Burger</v>
      </c>
      <c r="F636" t="str">
        <f>"US GOVT"</f>
        <v>US GOVT</v>
      </c>
      <c r="G636" t="str">
        <f>"17-1755"</f>
        <v>17-1755</v>
      </c>
      <c r="H636" t="str">
        <f>"B"</f>
        <v>B</v>
      </c>
    </row>
    <row r="637" spans="1:8" x14ac:dyDescent="0.2">
      <c r="A637" t="str">
        <f t="shared" si="231"/>
        <v>0613123004</v>
      </c>
      <c r="B637" t="str">
        <f t="shared" si="232"/>
        <v>JHORDY</v>
      </c>
      <c r="C637" t="str">
        <f t="shared" si="233"/>
        <v>ANTON</v>
      </c>
      <c r="D637">
        <f>12</f>
        <v>12</v>
      </c>
      <c r="E637" t="str">
        <f>"01 - A - 101 - Cliffon  Saurel"</f>
        <v>01 - A - 101 - Cliffon  Saurel</v>
      </c>
      <c r="F637" t="str">
        <f>"PHYSICAL SCI"</f>
        <v>PHYSICAL SCI</v>
      </c>
      <c r="G637" t="str">
        <f>"05-522"</f>
        <v>05-522</v>
      </c>
      <c r="H637" t="str">
        <f>"A"</f>
        <v>A</v>
      </c>
    </row>
    <row r="638" spans="1:8" x14ac:dyDescent="0.2">
      <c r="A638" t="str">
        <f t="shared" si="231"/>
        <v>0613123004</v>
      </c>
      <c r="B638" t="str">
        <f t="shared" si="232"/>
        <v>JHORDY</v>
      </c>
      <c r="C638" t="str">
        <f t="shared" si="233"/>
        <v>ANTON</v>
      </c>
      <c r="D638">
        <f>12</f>
        <v>12</v>
      </c>
      <c r="E638" t="str">
        <f>"08 - B - 102 - Carleigh R Carmichael"</f>
        <v>08 - B - 102 - Carleigh R Carmichael</v>
      </c>
      <c r="F638" t="str">
        <f>"LRNG STRATEGIES 9-12"</f>
        <v>LRNG STRATEGIES 9-12</v>
      </c>
      <c r="G638" t="str">
        <f>"20-2072"</f>
        <v>20-2072</v>
      </c>
      <c r="H638" t="str">
        <f>"B"</f>
        <v>B</v>
      </c>
    </row>
    <row r="639" spans="1:8" x14ac:dyDescent="0.2">
      <c r="A639" t="str">
        <f t="shared" ref="A639:A646" si="234">"0614100454"</f>
        <v>0614100454</v>
      </c>
      <c r="B639" t="str">
        <f t="shared" ref="B639:B646" si="235">"CHRISTIAN"</f>
        <v>CHRISTIAN</v>
      </c>
      <c r="C639" t="str">
        <f t="shared" ref="C639:C646" si="236">"ANTONIO"</f>
        <v>ANTONIO</v>
      </c>
      <c r="D639">
        <f>11</f>
        <v>11</v>
      </c>
      <c r="E639" t="str">
        <f>"04 - A - 201 - Scott A Dethloff"</f>
        <v>04 - A - 201 - Scott A Dethloff</v>
      </c>
      <c r="F639" t="str">
        <f>"AICE THINK SKLS 1 AS"</f>
        <v>AICE THINK SKLS 1 AS</v>
      </c>
      <c r="G639" t="str">
        <f>"08-812"</f>
        <v>08-812</v>
      </c>
      <c r="H639" t="str">
        <f>"A"</f>
        <v>A</v>
      </c>
    </row>
    <row r="640" spans="1:8" x14ac:dyDescent="0.2">
      <c r="A640" t="str">
        <f t="shared" si="234"/>
        <v>0614100454</v>
      </c>
      <c r="B640" t="str">
        <f t="shared" si="235"/>
        <v>CHRISTIAN</v>
      </c>
      <c r="C640" t="str">
        <f t="shared" si="236"/>
        <v>ANTONIO</v>
      </c>
      <c r="D640">
        <f>11</f>
        <v>11</v>
      </c>
      <c r="E640" t="str">
        <f>"06 - B - 002 - Kyle  Robbins"</f>
        <v>06 - B - 002 - Kyle  Robbins</v>
      </c>
      <c r="F640" t="str">
        <f>"US HISTORY HON"</f>
        <v>US HISTORY HON</v>
      </c>
      <c r="G640" t="str">
        <f>"17-1745"</f>
        <v>17-1745</v>
      </c>
      <c r="H640" t="str">
        <f>"B"</f>
        <v>B</v>
      </c>
    </row>
    <row r="641" spans="1:8" x14ac:dyDescent="0.2">
      <c r="A641" t="str">
        <f t="shared" si="234"/>
        <v>0614100454</v>
      </c>
      <c r="B641" t="str">
        <f t="shared" si="235"/>
        <v>CHRISTIAN</v>
      </c>
      <c r="C641" t="str">
        <f t="shared" si="236"/>
        <v>ANTONIO</v>
      </c>
      <c r="D641">
        <f>11</f>
        <v>11</v>
      </c>
      <c r="E641" t="str">
        <f>"03 - A - 104 - Brook E Goren"</f>
        <v>03 - A - 104 - Brook E Goren</v>
      </c>
      <c r="F641" t="str">
        <f>"ALGEBRA 2 HON"</f>
        <v>ALGEBRA 2 HON</v>
      </c>
      <c r="G641" t="str">
        <f>"21-2158"</f>
        <v>21-2158</v>
      </c>
      <c r="H641" t="str">
        <f>"A"</f>
        <v>A</v>
      </c>
    </row>
    <row r="642" spans="1:8" x14ac:dyDescent="0.2">
      <c r="A642" t="str">
        <f t="shared" si="234"/>
        <v>0614100454</v>
      </c>
      <c r="B642" t="str">
        <f t="shared" si="235"/>
        <v>CHRISTIAN</v>
      </c>
      <c r="C642" t="str">
        <f t="shared" si="236"/>
        <v>ANTONIO</v>
      </c>
      <c r="D642">
        <f>11</f>
        <v>11</v>
      </c>
      <c r="E642" t="str">
        <f>"02 - A - 117 - Kyle  Robbins"</f>
        <v>02 - A - 117 - Kyle  Robbins</v>
      </c>
      <c r="F642" t="str">
        <f>"NC STUDY HALL 1"</f>
        <v>NC STUDY HALL 1</v>
      </c>
      <c r="G642" t="str">
        <f>"17-1745"</f>
        <v>17-1745</v>
      </c>
      <c r="H642" t="str">
        <f>"A"</f>
        <v>A</v>
      </c>
    </row>
    <row r="643" spans="1:8" x14ac:dyDescent="0.2">
      <c r="A643" t="str">
        <f t="shared" si="234"/>
        <v>0614100454</v>
      </c>
      <c r="B643" t="str">
        <f t="shared" si="235"/>
        <v>CHRISTIAN</v>
      </c>
      <c r="C643" t="str">
        <f t="shared" si="236"/>
        <v>ANTONIO</v>
      </c>
      <c r="D643">
        <f>11</f>
        <v>11</v>
      </c>
      <c r="E643" t="str">
        <f>"07 - B - 202 - Chrystina M Marchionne"</f>
        <v>07 - B - 202 - Chrystina M Marchionne</v>
      </c>
      <c r="F643" t="str">
        <f>"JOURN 1 (YB) LH"</f>
        <v>JOURN 1 (YB) LH</v>
      </c>
      <c r="G643" t="str">
        <f>"05-520"</f>
        <v>05-520</v>
      </c>
      <c r="H643" t="str">
        <f>"B"</f>
        <v>B</v>
      </c>
    </row>
    <row r="644" spans="1:8" x14ac:dyDescent="0.2">
      <c r="A644" t="str">
        <f t="shared" si="234"/>
        <v>0614100454</v>
      </c>
      <c r="B644" t="str">
        <f t="shared" si="235"/>
        <v>CHRISTIAN</v>
      </c>
      <c r="C644" t="str">
        <f t="shared" si="236"/>
        <v>ANTONIO</v>
      </c>
      <c r="D644">
        <f>11</f>
        <v>11</v>
      </c>
      <c r="E644" t="str">
        <f>"05 - B - 108 - Valerie J Ruwe"</f>
        <v>05 - B - 108 - Valerie J Ruwe</v>
      </c>
      <c r="F644" t="str">
        <f>"CHEMISTRY 1 HON"</f>
        <v>CHEMISTRY 1 HON</v>
      </c>
      <c r="G644" t="str">
        <f>"21-2138"</f>
        <v>21-2138</v>
      </c>
      <c r="H644" t="str">
        <f>"B"</f>
        <v>B</v>
      </c>
    </row>
    <row r="645" spans="1:8" x14ac:dyDescent="0.2">
      <c r="A645" t="str">
        <f t="shared" si="234"/>
        <v>0614100454</v>
      </c>
      <c r="B645" t="str">
        <f t="shared" si="235"/>
        <v>CHRISTIAN</v>
      </c>
      <c r="C645" t="str">
        <f t="shared" si="236"/>
        <v>ANTONIO</v>
      </c>
      <c r="D645">
        <f>11</f>
        <v>11</v>
      </c>
      <c r="E645" t="str">
        <f>"01 - A - 101 - Jacklyn M James"</f>
        <v>01 - A - 101 - Jacklyn M James</v>
      </c>
      <c r="F645" t="str">
        <f>"AICE ENG LANG AS"</f>
        <v>AICE ENG LANG AS</v>
      </c>
      <c r="G645" t="str">
        <f>"17-1731"</f>
        <v>17-1731</v>
      </c>
      <c r="H645" t="str">
        <f>"A"</f>
        <v>A</v>
      </c>
    </row>
    <row r="646" spans="1:8" x14ac:dyDescent="0.2">
      <c r="A646" t="str">
        <f t="shared" si="234"/>
        <v>0614100454</v>
      </c>
      <c r="B646" t="str">
        <f t="shared" si="235"/>
        <v>CHRISTIAN</v>
      </c>
      <c r="C646" t="str">
        <f t="shared" si="236"/>
        <v>ANTONIO</v>
      </c>
      <c r="D646">
        <f>11</f>
        <v>11</v>
      </c>
      <c r="E646" t="str">
        <f>"08 - B - 201 - Vanessa J Liburd"</f>
        <v>08 - B - 201 - Vanessa J Liburd</v>
      </c>
      <c r="F646" t="str">
        <f>"FRENCH 3 HON"</f>
        <v>FRENCH 3 HON</v>
      </c>
      <c r="G646" t="str">
        <f>"05-519"</f>
        <v>05-519</v>
      </c>
      <c r="H646" t="str">
        <f>"B"</f>
        <v>B</v>
      </c>
    </row>
    <row r="647" spans="1:8" x14ac:dyDescent="0.2">
      <c r="A647" t="str">
        <f t="shared" ref="A647:A654" si="237">"0617003043"</f>
        <v>0617003043</v>
      </c>
      <c r="B647" t="str">
        <f t="shared" ref="B647:B654" si="238">"ASHLEY"</f>
        <v>ASHLEY</v>
      </c>
      <c r="C647" t="str">
        <f t="shared" ref="C647:C654" si="239">"ARAGON RODRIGUEZ"</f>
        <v>ARAGON RODRIGUEZ</v>
      </c>
      <c r="D647" t="str">
        <f t="shared" ref="D647:D662" si="240">"09"</f>
        <v>09</v>
      </c>
      <c r="E647" t="str">
        <f>"04 - A - 005 - Emmily A Sarmiento"</f>
        <v>04 - A - 005 - Emmily A Sarmiento</v>
      </c>
      <c r="F647" t="str">
        <f>"AICE GLBL PERSP 1 AS"</f>
        <v>AICE GLBL PERSP 1 AS</v>
      </c>
      <c r="G647" t="str">
        <f>"17-1743"</f>
        <v>17-1743</v>
      </c>
      <c r="H647" t="str">
        <f>"A"</f>
        <v>A</v>
      </c>
    </row>
    <row r="648" spans="1:8" x14ac:dyDescent="0.2">
      <c r="A648" t="str">
        <f t="shared" si="237"/>
        <v>0617003043</v>
      </c>
      <c r="B648" t="str">
        <f t="shared" si="238"/>
        <v>ASHLEY</v>
      </c>
      <c r="C648" t="str">
        <f t="shared" si="239"/>
        <v>ARAGON RODRIGUEZ</v>
      </c>
      <c r="D648" t="str">
        <f t="shared" si="240"/>
        <v>09</v>
      </c>
      <c r="E648" t="str">
        <f>"06 - B - 101 - Fernando  Vega-Cid"</f>
        <v>06 - B - 101 - Fernando  Vega-Cid</v>
      </c>
      <c r="F648" t="str">
        <f>"PRE-AICE MATH 2 IG"</f>
        <v>PRE-AICE MATH 2 IG</v>
      </c>
      <c r="G648" t="str">
        <f>"21-2163"</f>
        <v>21-2163</v>
      </c>
      <c r="H648" t="str">
        <f>"B"</f>
        <v>B</v>
      </c>
    </row>
    <row r="649" spans="1:8" x14ac:dyDescent="0.2">
      <c r="A649" t="str">
        <f t="shared" si="237"/>
        <v>0617003043</v>
      </c>
      <c r="B649" t="str">
        <f t="shared" si="238"/>
        <v>ASHLEY</v>
      </c>
      <c r="C649" t="str">
        <f t="shared" si="239"/>
        <v>ARAGON RODRIGUEZ</v>
      </c>
      <c r="D649" t="str">
        <f t="shared" si="240"/>
        <v>09</v>
      </c>
      <c r="E649" t="str">
        <f>"03 - S1 - A - 101 - Daniel S Katz"</f>
        <v>03 - S1 - A - 101 - Daniel S Katz</v>
      </c>
      <c r="F649" t="str">
        <f>"COURT PROCED"</f>
        <v>COURT PROCED</v>
      </c>
      <c r="G649" t="str">
        <f>"21-2156"</f>
        <v>21-2156</v>
      </c>
      <c r="H649" t="str">
        <f>"A"</f>
        <v>A</v>
      </c>
    </row>
    <row r="650" spans="1:8" x14ac:dyDescent="0.2">
      <c r="A650" t="str">
        <f t="shared" si="237"/>
        <v>0617003043</v>
      </c>
      <c r="B650" t="str">
        <f t="shared" si="238"/>
        <v>ASHLEY</v>
      </c>
      <c r="C650" t="str">
        <f t="shared" si="239"/>
        <v>ARAGON RODRIGUEZ</v>
      </c>
      <c r="D650" t="str">
        <f t="shared" si="240"/>
        <v>09</v>
      </c>
      <c r="E650" t="str">
        <f>"02 - A - 102 - Samantha J Headley"</f>
        <v>02 - A - 102 - Samantha J Headley</v>
      </c>
      <c r="F650" t="str">
        <f>"NC STUDY HALL 1"</f>
        <v>NC STUDY HALL 1</v>
      </c>
      <c r="G650" t="str">
        <f>"21-2134"</f>
        <v>21-2134</v>
      </c>
      <c r="H650" t="str">
        <f>"A"</f>
        <v>A</v>
      </c>
    </row>
    <row r="651" spans="1:8" x14ac:dyDescent="0.2">
      <c r="A651" t="str">
        <f t="shared" si="237"/>
        <v>0617003043</v>
      </c>
      <c r="B651" t="str">
        <f t="shared" si="238"/>
        <v>ASHLEY</v>
      </c>
      <c r="C651" t="str">
        <f t="shared" si="239"/>
        <v>ARAGON RODRIGUEZ</v>
      </c>
      <c r="D651" t="str">
        <f t="shared" si="240"/>
        <v>09</v>
      </c>
      <c r="E651" t="str">
        <f>"07 - B - 105 - Paige Lauren  Brochu"</f>
        <v>07 - B - 105 - Paige Lauren  Brochu</v>
      </c>
      <c r="F651" t="str">
        <f>"PRE-AICE BIO IG"</f>
        <v>PRE-AICE BIO IG</v>
      </c>
      <c r="G651" t="str">
        <f>"21-2134"</f>
        <v>21-2134</v>
      </c>
      <c r="H651" t="str">
        <f>"B"</f>
        <v>B</v>
      </c>
    </row>
    <row r="652" spans="1:8" x14ac:dyDescent="0.2">
      <c r="A652" t="str">
        <f t="shared" si="237"/>
        <v>0617003043</v>
      </c>
      <c r="B652" t="str">
        <f t="shared" si="238"/>
        <v>ASHLEY</v>
      </c>
      <c r="C652" t="str">
        <f t="shared" si="239"/>
        <v>ARAGON RODRIGUEZ</v>
      </c>
      <c r="D652" t="str">
        <f t="shared" si="240"/>
        <v>09</v>
      </c>
      <c r="E652" t="str">
        <f>"05 - B - 103 - Byron G Montenegro"</f>
        <v>05 - B - 103 - Byron G Montenegro</v>
      </c>
      <c r="F652" t="str">
        <f>"AICE MARINE SCI 1 AS"</f>
        <v>AICE MARINE SCI 1 AS</v>
      </c>
      <c r="G652" t="str">
        <f>"21-2144"</f>
        <v>21-2144</v>
      </c>
      <c r="H652" t="str">
        <f>"B"</f>
        <v>B</v>
      </c>
    </row>
    <row r="653" spans="1:8" x14ac:dyDescent="0.2">
      <c r="A653" t="str">
        <f t="shared" si="237"/>
        <v>0617003043</v>
      </c>
      <c r="B653" t="str">
        <f t="shared" si="238"/>
        <v>ASHLEY</v>
      </c>
      <c r="C653" t="str">
        <f t="shared" si="239"/>
        <v>ARAGON RODRIGUEZ</v>
      </c>
      <c r="D653" t="str">
        <f t="shared" si="240"/>
        <v>09</v>
      </c>
      <c r="E653" t="str">
        <f>"01 - A - 101 - Arthur  Kulawik"</f>
        <v>01 - A - 101 - Arthur  Kulawik</v>
      </c>
      <c r="F653" t="str">
        <f>"DEBATE 1 LH"</f>
        <v>DEBATE 1 LH</v>
      </c>
      <c r="G653" t="str">
        <f>"05-506"</f>
        <v>05-506</v>
      </c>
      <c r="H653" t="str">
        <f>"A"</f>
        <v>A</v>
      </c>
    </row>
    <row r="654" spans="1:8" x14ac:dyDescent="0.2">
      <c r="A654" t="str">
        <f t="shared" si="237"/>
        <v>0617003043</v>
      </c>
      <c r="B654" t="str">
        <f t="shared" si="238"/>
        <v>ASHLEY</v>
      </c>
      <c r="C654" t="str">
        <f t="shared" si="239"/>
        <v>ARAGON RODRIGUEZ</v>
      </c>
      <c r="D654" t="str">
        <f t="shared" si="240"/>
        <v>09</v>
      </c>
      <c r="E654" t="str">
        <f>"08 - B - 004 - Cheryl Anne  Berman-Schechter"</f>
        <v>08 - B - 004 - Cheryl Anne  Berman-Schechter</v>
      </c>
      <c r="F654" t="str">
        <f>"AICE ENG GEN PAPER 1"</f>
        <v>AICE ENG GEN PAPER 1</v>
      </c>
      <c r="G654" t="str">
        <f>"17-1722"</f>
        <v>17-1722</v>
      </c>
      <c r="H654" t="str">
        <f>"B"</f>
        <v>B</v>
      </c>
    </row>
    <row r="655" spans="1:8" x14ac:dyDescent="0.2">
      <c r="A655" t="str">
        <f t="shared" ref="A655:A662" si="241">"0615042937"</f>
        <v>0615042937</v>
      </c>
      <c r="B655" t="str">
        <f t="shared" ref="B655:B662" si="242">"ROYER"</f>
        <v>ROYER</v>
      </c>
      <c r="C655" t="str">
        <f t="shared" ref="C655:C662" si="243">"ARDON"</f>
        <v>ARDON</v>
      </c>
      <c r="D655" t="str">
        <f t="shared" si="240"/>
        <v>09</v>
      </c>
      <c r="E655" t="str">
        <f>"04 - A - 105 - Carol S Moore"</f>
        <v>04 - A - 105 - Carol S Moore</v>
      </c>
      <c r="F655" t="str">
        <f>"PRE-AICE WRLD HST IG"</f>
        <v>PRE-AICE WRLD HST IG</v>
      </c>
      <c r="G655" t="str">
        <f>"17-1733"</f>
        <v>17-1733</v>
      </c>
      <c r="H655" t="str">
        <f>"A"</f>
        <v>A</v>
      </c>
    </row>
    <row r="656" spans="1:8" x14ac:dyDescent="0.2">
      <c r="A656" t="str">
        <f t="shared" si="241"/>
        <v>0615042937</v>
      </c>
      <c r="B656" t="str">
        <f t="shared" si="242"/>
        <v>ROYER</v>
      </c>
      <c r="C656" t="str">
        <f t="shared" si="243"/>
        <v>ARDON</v>
      </c>
      <c r="D656" t="str">
        <f t="shared" si="240"/>
        <v>09</v>
      </c>
      <c r="E656" t="str">
        <f>"06 - B - 105 - Dayna M Foster"</f>
        <v>06 - B - 105 - Dayna M Foster</v>
      </c>
      <c r="F656" t="str">
        <f>"ALGEBRA 1"</f>
        <v>ALGEBRA 1</v>
      </c>
      <c r="G656" t="str">
        <f>"21-2109"</f>
        <v>21-2109</v>
      </c>
      <c r="H656" t="str">
        <f>"B"</f>
        <v>B</v>
      </c>
    </row>
    <row r="657" spans="1:8" x14ac:dyDescent="0.2">
      <c r="A657" t="str">
        <f t="shared" si="241"/>
        <v>0615042937</v>
      </c>
      <c r="B657" t="str">
        <f t="shared" si="242"/>
        <v>ROYER</v>
      </c>
      <c r="C657" t="str">
        <f t="shared" si="243"/>
        <v>ARDON</v>
      </c>
      <c r="D657" t="str">
        <f t="shared" si="240"/>
        <v>09</v>
      </c>
      <c r="E657" t="str">
        <f>"03 - A - 101 - Dayna M Foster"</f>
        <v>03 - A - 101 - Dayna M Foster</v>
      </c>
      <c r="F657" t="str">
        <f>"FDN SKLS MATH 9-12"</f>
        <v>FDN SKLS MATH 9-12</v>
      </c>
      <c r="G657" t="str">
        <f>"21-2109"</f>
        <v>21-2109</v>
      </c>
      <c r="H657" t="str">
        <f>"A"</f>
        <v>A</v>
      </c>
    </row>
    <row r="658" spans="1:8" x14ac:dyDescent="0.2">
      <c r="A658" t="str">
        <f t="shared" si="241"/>
        <v>0615042937</v>
      </c>
      <c r="B658" t="str">
        <f t="shared" si="242"/>
        <v>ROYER</v>
      </c>
      <c r="C658" t="str">
        <f t="shared" si="243"/>
        <v>ARDON</v>
      </c>
      <c r="D658" t="str">
        <f t="shared" si="240"/>
        <v>09</v>
      </c>
      <c r="E658" t="str">
        <f>"02 - A - 111 - Cheryl L Beach"</f>
        <v>02 - A - 111 - Cheryl L Beach</v>
      </c>
      <c r="F658" t="str">
        <f>"NC STUDY HALL 1"</f>
        <v>NC STUDY HALL 1</v>
      </c>
      <c r="G658" t="str">
        <f>"08-811"</f>
        <v>08-811</v>
      </c>
      <c r="H658" t="str">
        <f>"A"</f>
        <v>A</v>
      </c>
    </row>
    <row r="659" spans="1:8" x14ac:dyDescent="0.2">
      <c r="A659" t="str">
        <f t="shared" si="241"/>
        <v>0615042937</v>
      </c>
      <c r="B659" t="str">
        <f t="shared" si="242"/>
        <v>ROYER</v>
      </c>
      <c r="C659" t="str">
        <f t="shared" si="243"/>
        <v>ARDON</v>
      </c>
      <c r="D659" t="str">
        <f t="shared" si="240"/>
        <v>09</v>
      </c>
      <c r="E659" t="str">
        <f>"07 - B - 002 - Jazmin S Fletcher"</f>
        <v>07 - B - 002 - Jazmin S Fletcher</v>
      </c>
      <c r="F659" t="str">
        <f>"THEATRE 1"</f>
        <v>THEATRE 1</v>
      </c>
      <c r="G659" t="str">
        <f>"09-909"</f>
        <v>09-909</v>
      </c>
      <c r="H659" t="str">
        <f>"B"</f>
        <v>B</v>
      </c>
    </row>
    <row r="660" spans="1:8" x14ac:dyDescent="0.2">
      <c r="A660" t="str">
        <f t="shared" si="241"/>
        <v>0615042937</v>
      </c>
      <c r="B660" t="str">
        <f t="shared" si="242"/>
        <v>ROYER</v>
      </c>
      <c r="C660" t="str">
        <f t="shared" si="243"/>
        <v>ARDON</v>
      </c>
      <c r="D660" t="str">
        <f t="shared" si="240"/>
        <v>09</v>
      </c>
      <c r="E660" t="str">
        <f>"05 - B - 103 - Josiah I Lacy"</f>
        <v>05 - B - 103 - Josiah I Lacy</v>
      </c>
      <c r="F660" t="str">
        <f>"PRE-AICE BIO IG"</f>
        <v>PRE-AICE BIO IG</v>
      </c>
      <c r="G660" t="str">
        <f>"08-801"</f>
        <v>08-801</v>
      </c>
      <c r="H660" t="str">
        <f>"B"</f>
        <v>B</v>
      </c>
    </row>
    <row r="661" spans="1:8" x14ac:dyDescent="0.2">
      <c r="A661" t="str">
        <f t="shared" si="241"/>
        <v>0615042937</v>
      </c>
      <c r="B661" t="str">
        <f t="shared" si="242"/>
        <v>ROYER</v>
      </c>
      <c r="C661" t="str">
        <f t="shared" si="243"/>
        <v>ARDON</v>
      </c>
      <c r="D661" t="str">
        <f t="shared" si="240"/>
        <v>09</v>
      </c>
      <c r="E661" t="str">
        <f>"01 - A - 101 - Elizabeth R Walker"</f>
        <v>01 - A - 101 - Elizabeth R Walker</v>
      </c>
      <c r="F661" t="str">
        <f>"AICE ENG GEN PAPER 1"</f>
        <v>AICE ENG GEN PAPER 1</v>
      </c>
      <c r="G661" t="str">
        <f>"17-1703"</f>
        <v>17-1703</v>
      </c>
      <c r="H661" t="str">
        <f>"A"</f>
        <v>A</v>
      </c>
    </row>
    <row r="662" spans="1:8" x14ac:dyDescent="0.2">
      <c r="A662" t="str">
        <f t="shared" si="241"/>
        <v>0615042937</v>
      </c>
      <c r="B662" t="str">
        <f t="shared" si="242"/>
        <v>ROYER</v>
      </c>
      <c r="C662" t="str">
        <f t="shared" si="243"/>
        <v>ARDON</v>
      </c>
      <c r="D662" t="str">
        <f t="shared" si="240"/>
        <v>09</v>
      </c>
      <c r="E662" t="str">
        <f>"08 - S1 - B - 104 - Leslie J Barton"</f>
        <v>08 - S1 - B - 104 - Leslie J Barton</v>
      </c>
      <c r="F662" t="str">
        <f>"TEAM SPORTS 1"</f>
        <v>TEAM SPORTS 1</v>
      </c>
      <c r="G662" t="str">
        <f>"04-254"</f>
        <v>04-254</v>
      </c>
      <c r="H662" t="str">
        <f>"B"</f>
        <v>B</v>
      </c>
    </row>
    <row r="663" spans="1:8" x14ac:dyDescent="0.2">
      <c r="A663" t="str">
        <f t="shared" ref="A663:A670" si="244">"0614080965"</f>
        <v>0614080965</v>
      </c>
      <c r="B663" t="str">
        <f t="shared" ref="B663:B670" si="245">"MELANIE"</f>
        <v>MELANIE</v>
      </c>
      <c r="C663" t="str">
        <f t="shared" ref="C663:C670" si="246">"ARDON MORALES"</f>
        <v>ARDON MORALES</v>
      </c>
      <c r="D663">
        <f>12</f>
        <v>12</v>
      </c>
      <c r="E663" t="str">
        <f>"04 - A - 201 - Dorothy D Moore"</f>
        <v>04 - A - 201 - Dorothy D Moore</v>
      </c>
      <c r="F663" t="str">
        <f>"HEALTH SCI 1/A&amp;P HON"</f>
        <v>HEALTH SCI 1/A&amp;P HON</v>
      </c>
      <c r="G663" t="str">
        <f>"08-803"</f>
        <v>08-803</v>
      </c>
      <c r="H663" t="str">
        <f>"A"</f>
        <v>A</v>
      </c>
    </row>
    <row r="664" spans="1:8" x14ac:dyDescent="0.2">
      <c r="A664" t="str">
        <f t="shared" si="244"/>
        <v>0614080965</v>
      </c>
      <c r="B664" t="str">
        <f t="shared" si="245"/>
        <v>MELANIE</v>
      </c>
      <c r="C664" t="str">
        <f t="shared" si="246"/>
        <v>ARDON MORALES</v>
      </c>
      <c r="D664">
        <f>12</f>
        <v>12</v>
      </c>
      <c r="E664" t="str">
        <f>"06 - B - 112 - Lisa  Quinn"</f>
        <v>06 - B - 112 - Lisa  Quinn</v>
      </c>
      <c r="F664" t="str">
        <f>"NC STUDY HALL 1"</f>
        <v>NC STUDY HALL 1</v>
      </c>
      <c r="G664" t="str">
        <f>"17-1725"</f>
        <v>17-1725</v>
      </c>
      <c r="H664" t="str">
        <f>"B"</f>
        <v>B</v>
      </c>
    </row>
    <row r="665" spans="1:8" x14ac:dyDescent="0.2">
      <c r="A665" t="str">
        <f t="shared" si="244"/>
        <v>0614080965</v>
      </c>
      <c r="B665" t="str">
        <f t="shared" si="245"/>
        <v>MELANIE</v>
      </c>
      <c r="C665" t="str">
        <f t="shared" si="246"/>
        <v>ARDON MORALES</v>
      </c>
      <c r="D665">
        <f>12</f>
        <v>12</v>
      </c>
      <c r="E665" t="str">
        <f>"03 - A - 101 - Dorothy D Moore"</f>
        <v>03 - A - 101 - Dorothy D Moore</v>
      </c>
      <c r="F665" t="str">
        <f>"FORC SCI 1 LH"</f>
        <v>FORC SCI 1 LH</v>
      </c>
      <c r="G665" t="str">
        <f>"08-803"</f>
        <v>08-803</v>
      </c>
      <c r="H665" t="str">
        <f>"A"</f>
        <v>A</v>
      </c>
    </row>
    <row r="666" spans="1:8" x14ac:dyDescent="0.2">
      <c r="A666" t="str">
        <f t="shared" si="244"/>
        <v>0614080965</v>
      </c>
      <c r="B666" t="str">
        <f t="shared" si="245"/>
        <v>MELANIE</v>
      </c>
      <c r="C666" t="str">
        <f t="shared" si="246"/>
        <v>ARDON MORALES</v>
      </c>
      <c r="D666">
        <f>12</f>
        <v>12</v>
      </c>
      <c r="E666" t="str">
        <f>"02 - A - 102 - Jeffrey S Gallagher"</f>
        <v>02 - A - 102 - Jeffrey S Gallagher</v>
      </c>
      <c r="F666" t="str">
        <f>"ENG HON 4"</f>
        <v>ENG HON 4</v>
      </c>
      <c r="G666" t="str">
        <f>"17-1724"</f>
        <v>17-1724</v>
      </c>
      <c r="H666" t="str">
        <f>"A"</f>
        <v>A</v>
      </c>
    </row>
    <row r="667" spans="1:8" x14ac:dyDescent="0.2">
      <c r="A667" t="str">
        <f t="shared" si="244"/>
        <v>0614080965</v>
      </c>
      <c r="B667" t="str">
        <f t="shared" si="245"/>
        <v>MELANIE</v>
      </c>
      <c r="C667" t="str">
        <f t="shared" si="246"/>
        <v>ARDON MORALES</v>
      </c>
      <c r="D667">
        <f>12</f>
        <v>12</v>
      </c>
      <c r="E667" t="str">
        <f>"07 - S1 - B - 107 - Kelly N Panza"</f>
        <v>07 - S1 - B - 107 - Kelly N Panza</v>
      </c>
      <c r="F667" t="str">
        <f>"US GOVT HON"</f>
        <v>US GOVT HON</v>
      </c>
      <c r="G667" t="str">
        <f>"17-1753"</f>
        <v>17-1753</v>
      </c>
      <c r="H667" t="str">
        <f>"B"</f>
        <v>B</v>
      </c>
    </row>
    <row r="668" spans="1:8" x14ac:dyDescent="0.2">
      <c r="A668" t="str">
        <f t="shared" si="244"/>
        <v>0614080965</v>
      </c>
      <c r="B668" t="str">
        <f t="shared" si="245"/>
        <v>MELANIE</v>
      </c>
      <c r="C668" t="str">
        <f t="shared" si="246"/>
        <v>ARDON MORALES</v>
      </c>
      <c r="D668">
        <f>12</f>
        <v>12</v>
      </c>
      <c r="E668" t="str">
        <f>"05 - B - 108 - James H Mccann"</f>
        <v>05 - B - 108 - James H Mccann</v>
      </c>
      <c r="F668" t="str">
        <f>"ALGEBRA 2"</f>
        <v>ALGEBRA 2</v>
      </c>
      <c r="G668" t="str">
        <f>"17-1716"</f>
        <v>17-1716</v>
      </c>
      <c r="H668" t="str">
        <f>"B"</f>
        <v>B</v>
      </c>
    </row>
    <row r="669" spans="1:8" x14ac:dyDescent="0.2">
      <c r="A669" t="str">
        <f t="shared" si="244"/>
        <v>0614080965</v>
      </c>
      <c r="B669" t="str">
        <f t="shared" si="245"/>
        <v>MELANIE</v>
      </c>
      <c r="C669" t="str">
        <f t="shared" si="246"/>
        <v>ARDON MORALES</v>
      </c>
      <c r="D669">
        <f>12</f>
        <v>12</v>
      </c>
      <c r="E669" t="str">
        <f>"01 - A - 101 - Kelly N Panza"</f>
        <v>01 - A - 101 - Kelly N Panza</v>
      </c>
      <c r="F669" t="str">
        <f>"AP HUMAN GEOG"</f>
        <v>AP HUMAN GEOG</v>
      </c>
      <c r="G669" t="str">
        <f>"17-1753"</f>
        <v>17-1753</v>
      </c>
      <c r="H669" t="str">
        <f>"A"</f>
        <v>A</v>
      </c>
    </row>
    <row r="670" spans="1:8" x14ac:dyDescent="0.2">
      <c r="A670" t="str">
        <f t="shared" si="244"/>
        <v>0614080965</v>
      </c>
      <c r="B670" t="str">
        <f t="shared" si="245"/>
        <v>MELANIE</v>
      </c>
      <c r="C670" t="str">
        <f t="shared" si="246"/>
        <v>ARDON MORALES</v>
      </c>
      <c r="D670">
        <f>12</f>
        <v>12</v>
      </c>
      <c r="E670" t="str">
        <f>"08 - B - 101 - Rosa Elaine  Collado-Duff"</f>
        <v>08 - B - 101 - Rosa Elaine  Collado-Duff</v>
      </c>
      <c r="F670" t="str">
        <f>"AP SPANISH LANG &amp; CU"</f>
        <v>AP SPANISH LANG &amp; CU</v>
      </c>
      <c r="G670" t="str">
        <f>"09-913"</f>
        <v>09-913</v>
      </c>
      <c r="H670" t="str">
        <f>"B"</f>
        <v>B</v>
      </c>
    </row>
    <row r="671" spans="1:8" x14ac:dyDescent="0.2">
      <c r="A671" t="str">
        <f t="shared" ref="A671:A678" si="247">"0615150389"</f>
        <v>0615150389</v>
      </c>
      <c r="B671" t="str">
        <f t="shared" ref="B671:B678" si="248">"Emanuel"</f>
        <v>Emanuel</v>
      </c>
      <c r="C671" t="str">
        <f t="shared" ref="C671:C678" si="249">"Ariseloye"</f>
        <v>Ariseloye</v>
      </c>
      <c r="D671">
        <f>10</f>
        <v>10</v>
      </c>
      <c r="E671" t="str">
        <f>"04 - A - 101 - Thomas G Handwerg"</f>
        <v>04 - A - 101 - Thomas G Handwerg</v>
      </c>
      <c r="F671" t="str">
        <f>"MATH COLL ALGEBRA"</f>
        <v>MATH COLL ALGEBRA</v>
      </c>
      <c r="G671" t="str">
        <f>"21-2146"</f>
        <v>21-2146</v>
      </c>
      <c r="H671" t="str">
        <f>"A"</f>
        <v>A</v>
      </c>
    </row>
    <row r="672" spans="1:8" x14ac:dyDescent="0.2">
      <c r="A672" t="str">
        <f t="shared" si="247"/>
        <v>0615150389</v>
      </c>
      <c r="B672" t="str">
        <f t="shared" si="248"/>
        <v>Emanuel</v>
      </c>
      <c r="C672" t="str">
        <f t="shared" si="249"/>
        <v>Ariseloye</v>
      </c>
      <c r="D672">
        <f>10</f>
        <v>10</v>
      </c>
      <c r="E672" t="str">
        <f>"06 - B - 107 - Dorothy D Moore"</f>
        <v>06 - B - 107 - Dorothy D Moore</v>
      </c>
      <c r="F672" t="str">
        <f>"NC STUDY HALL 1"</f>
        <v>NC STUDY HALL 1</v>
      </c>
      <c r="G672" t="str">
        <f>"08-803"</f>
        <v>08-803</v>
      </c>
      <c r="H672" t="str">
        <f>"B"</f>
        <v>B</v>
      </c>
    </row>
    <row r="673" spans="1:8" x14ac:dyDescent="0.2">
      <c r="A673" t="str">
        <f t="shared" si="247"/>
        <v>0615150389</v>
      </c>
      <c r="B673" t="str">
        <f t="shared" si="248"/>
        <v>Emanuel</v>
      </c>
      <c r="C673" t="str">
        <f t="shared" si="249"/>
        <v>Ariseloye</v>
      </c>
      <c r="D673">
        <f>10</f>
        <v>10</v>
      </c>
      <c r="E673" t="str">
        <f>"03 - A - 103 - Courtney E Hambright"</f>
        <v>03 - A - 103 - Courtney E Hambright</v>
      </c>
      <c r="F673" t="str">
        <f>"AICE ENG LANG AS"</f>
        <v>AICE ENG LANG AS</v>
      </c>
      <c r="G673" t="str">
        <f>"17-1711"</f>
        <v>17-1711</v>
      </c>
      <c r="H673" t="str">
        <f>"A"</f>
        <v>A</v>
      </c>
    </row>
    <row r="674" spans="1:8" x14ac:dyDescent="0.2">
      <c r="A674" t="str">
        <f t="shared" si="247"/>
        <v>0615150389</v>
      </c>
      <c r="B674" t="str">
        <f t="shared" si="248"/>
        <v>Emanuel</v>
      </c>
      <c r="C674" t="str">
        <f t="shared" si="249"/>
        <v>Ariseloye</v>
      </c>
      <c r="D674">
        <f>10</f>
        <v>10</v>
      </c>
      <c r="E674" t="str">
        <f>"02 - A - 103 - Lenecy  Nodarse"</f>
        <v>02 - A - 103 - Lenecy  Nodarse</v>
      </c>
      <c r="F674" t="str">
        <f>"AICE EURO HIST 1 AS"</f>
        <v>AICE EURO HIST 1 AS</v>
      </c>
      <c r="G674" t="str">
        <f>"17-1741"</f>
        <v>17-1741</v>
      </c>
      <c r="H674" t="str">
        <f>"A"</f>
        <v>A</v>
      </c>
    </row>
    <row r="675" spans="1:8" x14ac:dyDescent="0.2">
      <c r="A675" t="str">
        <f t="shared" si="247"/>
        <v>0615150389</v>
      </c>
      <c r="B675" t="str">
        <f t="shared" si="248"/>
        <v>Emanuel</v>
      </c>
      <c r="C675" t="str">
        <f t="shared" si="249"/>
        <v>Ariseloye</v>
      </c>
      <c r="D675">
        <f>10</f>
        <v>10</v>
      </c>
      <c r="E675" t="str">
        <f>"07 - B - 204 - Scott A Dethloff"</f>
        <v>07 - B - 204 - Scott A Dethloff</v>
      </c>
      <c r="F675" t="str">
        <f>"CHEMISTRY 1"</f>
        <v>CHEMISTRY 1</v>
      </c>
      <c r="G675" t="str">
        <f>"08-812"</f>
        <v>08-812</v>
      </c>
      <c r="H675" t="str">
        <f>"B"</f>
        <v>B</v>
      </c>
    </row>
    <row r="676" spans="1:8" x14ac:dyDescent="0.2">
      <c r="A676" t="str">
        <f t="shared" si="247"/>
        <v>0615150389</v>
      </c>
      <c r="B676" t="str">
        <f t="shared" si="248"/>
        <v>Emanuel</v>
      </c>
      <c r="C676" t="str">
        <f t="shared" si="249"/>
        <v>Ariseloye</v>
      </c>
      <c r="D676">
        <f>10</f>
        <v>10</v>
      </c>
      <c r="E676" t="str">
        <f>"05 - S1 - B - 102 - Carol S Moore"</f>
        <v>05 - S1 - B - 102 - Carol S Moore</v>
      </c>
      <c r="F676" t="str">
        <f>"PERS FIN &amp; MON MGT H"</f>
        <v>PERS FIN &amp; MON MGT H</v>
      </c>
      <c r="G676" t="str">
        <f>"17-1733"</f>
        <v>17-1733</v>
      </c>
      <c r="H676" t="str">
        <f>"B"</f>
        <v>B</v>
      </c>
    </row>
    <row r="677" spans="1:8" x14ac:dyDescent="0.2">
      <c r="A677" t="str">
        <f t="shared" si="247"/>
        <v>0615150389</v>
      </c>
      <c r="B677" t="str">
        <f t="shared" si="248"/>
        <v>Emanuel</v>
      </c>
      <c r="C677" t="str">
        <f t="shared" si="249"/>
        <v>Ariseloye</v>
      </c>
      <c r="D677">
        <f>10</f>
        <v>10</v>
      </c>
      <c r="E677" t="str">
        <f>"01 - A - 504 - Alejandro  Navarro"</f>
        <v>01 - A - 504 - Alejandro  Navarro</v>
      </c>
      <c r="F677" t="str">
        <f>"BAND 1"</f>
        <v>BAND 1</v>
      </c>
      <c r="G677" t="str">
        <f>"05-504"</f>
        <v>05-504</v>
      </c>
      <c r="H677" t="str">
        <f>"A"</f>
        <v>A</v>
      </c>
    </row>
    <row r="678" spans="1:8" x14ac:dyDescent="0.2">
      <c r="A678" t="str">
        <f t="shared" si="247"/>
        <v>0615150389</v>
      </c>
      <c r="B678" t="str">
        <f t="shared" si="248"/>
        <v>Emanuel</v>
      </c>
      <c r="C678" t="str">
        <f t="shared" si="249"/>
        <v>Ariseloye</v>
      </c>
      <c r="D678">
        <f>10</f>
        <v>10</v>
      </c>
      <c r="E678" t="str">
        <f>"08 - S1 - B - 104 - Leslie J Barton"</f>
        <v>08 - S1 - B - 104 - Leslie J Barton</v>
      </c>
      <c r="F678" t="str">
        <f>"TEAM SPORTS 1"</f>
        <v>TEAM SPORTS 1</v>
      </c>
      <c r="G678" t="str">
        <f>"04-254"</f>
        <v>04-254</v>
      </c>
      <c r="H678" t="str">
        <f>"B"</f>
        <v>B</v>
      </c>
    </row>
    <row r="679" spans="1:8" x14ac:dyDescent="0.2">
      <c r="A679" t="str">
        <f t="shared" ref="A679:A687" si="250">"0614008460"</f>
        <v>0614008460</v>
      </c>
      <c r="B679" t="str">
        <f t="shared" ref="B679:B687" si="251">"DAMAX"</f>
        <v>DAMAX</v>
      </c>
      <c r="C679" t="str">
        <f t="shared" ref="C679:C687" si="252">"ARISTILDE"</f>
        <v>ARISTILDE</v>
      </c>
      <c r="D679">
        <f>11</f>
        <v>11</v>
      </c>
      <c r="E679" t="str">
        <f>"04 - A - 102 - Jordana K Hass"</f>
        <v>04 - A - 102 - Jordana K Hass</v>
      </c>
      <c r="F679" t="str">
        <f>"CHEMISTRY 1"</f>
        <v>CHEMISTRY 1</v>
      </c>
      <c r="G679" t="str">
        <f>"08-807"</f>
        <v>08-807</v>
      </c>
      <c r="H679" t="str">
        <f>"A"</f>
        <v>A</v>
      </c>
    </row>
    <row r="680" spans="1:8" x14ac:dyDescent="0.2">
      <c r="A680" t="str">
        <f t="shared" si="250"/>
        <v>0614008460</v>
      </c>
      <c r="B680" t="str">
        <f t="shared" si="251"/>
        <v>DAMAX</v>
      </c>
      <c r="C680" t="str">
        <f t="shared" si="252"/>
        <v>ARISTILDE</v>
      </c>
      <c r="D680">
        <f>11</f>
        <v>11</v>
      </c>
      <c r="E680" t="str">
        <f>"06 - B - 103 - Helen A Flores"</f>
        <v>06 - B - 103 - Helen A Flores</v>
      </c>
      <c r="F680" t="str">
        <f>"ALGEBRA 2"</f>
        <v>ALGEBRA 2</v>
      </c>
      <c r="G680" t="str">
        <f>"21-2101"</f>
        <v>21-2101</v>
      </c>
      <c r="H680" t="str">
        <f>"B"</f>
        <v>B</v>
      </c>
    </row>
    <row r="681" spans="1:8" x14ac:dyDescent="0.2">
      <c r="A681" t="str">
        <f t="shared" si="250"/>
        <v>0614008460</v>
      </c>
      <c r="B681" t="str">
        <f t="shared" si="251"/>
        <v>DAMAX</v>
      </c>
      <c r="C681" t="str">
        <f t="shared" si="252"/>
        <v>ARISTILDE</v>
      </c>
      <c r="D681">
        <f>11</f>
        <v>11</v>
      </c>
      <c r="E681" t="str">
        <f>"03 - A - 102 - Lisa  Quinn"</f>
        <v>03 - A - 102 - Lisa  Quinn</v>
      </c>
      <c r="F681" t="str">
        <f>"ENG 3"</f>
        <v>ENG 3</v>
      </c>
      <c r="G681" t="str">
        <f>"17-1725"</f>
        <v>17-1725</v>
      </c>
      <c r="H681" t="str">
        <f>"A"</f>
        <v>A</v>
      </c>
    </row>
    <row r="682" spans="1:8" x14ac:dyDescent="0.2">
      <c r="A682" t="str">
        <f t="shared" si="250"/>
        <v>0614008460</v>
      </c>
      <c r="B682" t="str">
        <f t="shared" si="251"/>
        <v>DAMAX</v>
      </c>
      <c r="C682" t="str">
        <f t="shared" si="252"/>
        <v>ARISTILDE</v>
      </c>
      <c r="D682">
        <f>11</f>
        <v>11</v>
      </c>
      <c r="E682" t="str">
        <f>"02 - A - 101 - Timothy J Lawrence"</f>
        <v>02 - A - 101 - Timothy J Lawrence</v>
      </c>
      <c r="F682" t="str">
        <f>"NC STUDY HALL 1"</f>
        <v>NC STUDY HALL 1</v>
      </c>
      <c r="G682" t="str">
        <f>"05-522"</f>
        <v>05-522</v>
      </c>
      <c r="H682" t="str">
        <f>"A"</f>
        <v>A</v>
      </c>
    </row>
    <row r="683" spans="1:8" x14ac:dyDescent="0.2">
      <c r="A683" t="str">
        <f t="shared" si="250"/>
        <v>0614008460</v>
      </c>
      <c r="B683" t="str">
        <f t="shared" si="251"/>
        <v>DAMAX</v>
      </c>
      <c r="C683" t="str">
        <f t="shared" si="252"/>
        <v>ARISTILDE</v>
      </c>
      <c r="D683">
        <f>11</f>
        <v>11</v>
      </c>
      <c r="E683" t="str">
        <f>"02 - A - 112 - Karen A Toomer"</f>
        <v>02 - A - 112 - Karen A Toomer</v>
      </c>
      <c r="F683" t="str">
        <f>"LANG THERAPY"</f>
        <v>LANG THERAPY</v>
      </c>
      <c r="G683" t="str">
        <f>"21-2110"</f>
        <v>21-2110</v>
      </c>
      <c r="H683" t="str">
        <f>"A"</f>
        <v>A</v>
      </c>
    </row>
    <row r="684" spans="1:8" x14ac:dyDescent="0.2">
      <c r="A684" t="str">
        <f t="shared" si="250"/>
        <v>0614008460</v>
      </c>
      <c r="B684" t="str">
        <f t="shared" si="251"/>
        <v>DAMAX</v>
      </c>
      <c r="C684" t="str">
        <f t="shared" si="252"/>
        <v>ARISTILDE</v>
      </c>
      <c r="D684">
        <f>11</f>
        <v>11</v>
      </c>
      <c r="E684" t="str">
        <f>"07 - S1 - B - 107 - Richard E Dunbar Iii"</f>
        <v>07 - S1 - B - 107 - Richard E Dunbar Iii</v>
      </c>
      <c r="F684" t="str">
        <f>"WEIGHT TRAIN 1"</f>
        <v>WEIGHT TRAIN 1</v>
      </c>
      <c r="G684" t="str">
        <f>"05-501"</f>
        <v>05-501</v>
      </c>
      <c r="H684" t="str">
        <f>"B"</f>
        <v>B</v>
      </c>
    </row>
    <row r="685" spans="1:8" x14ac:dyDescent="0.2">
      <c r="A685" t="str">
        <f t="shared" si="250"/>
        <v>0614008460</v>
      </c>
      <c r="B685" t="str">
        <f t="shared" si="251"/>
        <v>DAMAX</v>
      </c>
      <c r="C685" t="str">
        <f t="shared" si="252"/>
        <v>ARISTILDE</v>
      </c>
      <c r="D685">
        <f>11</f>
        <v>11</v>
      </c>
      <c r="E685" t="str">
        <f>"05 - B - 103 - Vanessa J Liburd"</f>
        <v>05 - B - 103 - Vanessa J Liburd</v>
      </c>
      <c r="F685" t="str">
        <f>"PRE-AICE FRENCH 2 IG"</f>
        <v>PRE-AICE FRENCH 2 IG</v>
      </c>
      <c r="G685" t="str">
        <f>"05-519"</f>
        <v>05-519</v>
      </c>
      <c r="H685" t="str">
        <f>"B"</f>
        <v>B</v>
      </c>
    </row>
    <row r="686" spans="1:8" x14ac:dyDescent="0.2">
      <c r="A686" t="str">
        <f t="shared" si="250"/>
        <v>0614008460</v>
      </c>
      <c r="B686" t="str">
        <f t="shared" si="251"/>
        <v>DAMAX</v>
      </c>
      <c r="C686" t="str">
        <f t="shared" si="252"/>
        <v>ARISTILDE</v>
      </c>
      <c r="D686">
        <f>11</f>
        <v>11</v>
      </c>
      <c r="E686" t="str">
        <f>"01 - A - 101 - Kyle  Robbins"</f>
        <v>01 - A - 101 - Kyle  Robbins</v>
      </c>
      <c r="F686" t="str">
        <f>"US HISTORY"</f>
        <v>US HISTORY</v>
      </c>
      <c r="G686" t="str">
        <f>"17-1745"</f>
        <v>17-1745</v>
      </c>
      <c r="H686" t="str">
        <f>"A"</f>
        <v>A</v>
      </c>
    </row>
    <row r="687" spans="1:8" x14ac:dyDescent="0.2">
      <c r="A687" t="str">
        <f t="shared" si="250"/>
        <v>0614008460</v>
      </c>
      <c r="B687" t="str">
        <f t="shared" si="251"/>
        <v>DAMAX</v>
      </c>
      <c r="C687" t="str">
        <f t="shared" si="252"/>
        <v>ARISTILDE</v>
      </c>
      <c r="D687">
        <f>11</f>
        <v>11</v>
      </c>
      <c r="E687" t="str">
        <f>"08 - S1 - B - 102 - Nahum  Saint-Preux"</f>
        <v>08 - S1 - B - 102 - Nahum  Saint-Preux</v>
      </c>
      <c r="F687" t="str">
        <f>"CRIT THINK ST SKLS"</f>
        <v>CRIT THINK ST SKLS</v>
      </c>
      <c r="G687" t="str">
        <f>"17-1712"</f>
        <v>17-1712</v>
      </c>
      <c r="H687" t="str">
        <f>"B"</f>
        <v>B</v>
      </c>
    </row>
    <row r="688" spans="1:8" x14ac:dyDescent="0.2">
      <c r="A688" t="str">
        <f t="shared" ref="A688:A695" si="253">"0613107364"</f>
        <v>0613107364</v>
      </c>
      <c r="B688" t="str">
        <f t="shared" ref="B688:B695" si="254">"ISABELLA"</f>
        <v>ISABELLA</v>
      </c>
      <c r="C688" t="str">
        <f t="shared" ref="C688:C695" si="255">"ARNOLD"</f>
        <v>ARNOLD</v>
      </c>
      <c r="D688">
        <f>12</f>
        <v>12</v>
      </c>
      <c r="E688" t="str">
        <f>"04 - S1 - A - 106 - Kelly N Panza"</f>
        <v>04 - S1 - A - 106 - Kelly N Panza</v>
      </c>
      <c r="F688" t="str">
        <f>"US GOVT HON"</f>
        <v>US GOVT HON</v>
      </c>
      <c r="G688" t="str">
        <f>"17-1753"</f>
        <v>17-1753</v>
      </c>
      <c r="H688" t="str">
        <f>"A"</f>
        <v>A</v>
      </c>
    </row>
    <row r="689" spans="1:8" x14ac:dyDescent="0.2">
      <c r="A689" t="str">
        <f t="shared" si="253"/>
        <v>0613107364</v>
      </c>
      <c r="B689" t="str">
        <f t="shared" si="254"/>
        <v>ISABELLA</v>
      </c>
      <c r="C689" t="str">
        <f t="shared" si="255"/>
        <v>ARNOLD</v>
      </c>
      <c r="D689">
        <f>12</f>
        <v>12</v>
      </c>
      <c r="E689" t="str">
        <f>"06 - B - 103 - Stefanie S Scher"</f>
        <v>06 - B - 103 - Stefanie S Scher</v>
      </c>
      <c r="F689" t="str">
        <f>"NC STUDY HALL 1"</f>
        <v>NC STUDY HALL 1</v>
      </c>
      <c r="G689" t="str">
        <f>"17-1735"</f>
        <v>17-1735</v>
      </c>
      <c r="H689" t="str">
        <f>"B"</f>
        <v>B</v>
      </c>
    </row>
    <row r="690" spans="1:8" x14ac:dyDescent="0.2">
      <c r="A690" t="str">
        <f t="shared" si="253"/>
        <v>0613107364</v>
      </c>
      <c r="B690" t="str">
        <f t="shared" si="254"/>
        <v>ISABELLA</v>
      </c>
      <c r="C690" t="str">
        <f t="shared" si="255"/>
        <v>ARNOLD</v>
      </c>
      <c r="D690">
        <f>12</f>
        <v>12</v>
      </c>
      <c r="E690" t="str">
        <f>"03 - A - 204 - Norayda D Suarez"</f>
        <v>03 - A - 204 - Norayda D Suarez</v>
      </c>
      <c r="F690" t="str">
        <f>"ANAT PHYSIO HON"</f>
        <v>ANAT PHYSIO HON</v>
      </c>
      <c r="G690" t="str">
        <f>"21-2144"</f>
        <v>21-2144</v>
      </c>
      <c r="H690" t="str">
        <f>"A"</f>
        <v>A</v>
      </c>
    </row>
    <row r="691" spans="1:8" x14ac:dyDescent="0.2">
      <c r="A691" t="str">
        <f t="shared" si="253"/>
        <v>0613107364</v>
      </c>
      <c r="B691" t="str">
        <f t="shared" si="254"/>
        <v>ISABELLA</v>
      </c>
      <c r="C691" t="str">
        <f t="shared" si="255"/>
        <v>ARNOLD</v>
      </c>
      <c r="D691">
        <f>12</f>
        <v>12</v>
      </c>
      <c r="E691" t="str">
        <f>"02 - A - 104 - Joe  Kilpatrick Jr"</f>
        <v>02 - A - 104 - Joe  Kilpatrick Jr</v>
      </c>
      <c r="F691" t="str">
        <f>"PRE-AICE SPAN 2 IG"</f>
        <v>PRE-AICE SPAN 2 IG</v>
      </c>
      <c r="G691" t="str">
        <f>"09-912"</f>
        <v>09-912</v>
      </c>
      <c r="H691" t="str">
        <f>"A"</f>
        <v>A</v>
      </c>
    </row>
    <row r="692" spans="1:8" x14ac:dyDescent="0.2">
      <c r="A692" t="str">
        <f t="shared" si="253"/>
        <v>0613107364</v>
      </c>
      <c r="B692" t="str">
        <f t="shared" si="254"/>
        <v>ISABELLA</v>
      </c>
      <c r="C692" t="str">
        <f t="shared" si="255"/>
        <v>ARNOLD</v>
      </c>
      <c r="D692">
        <f>12</f>
        <v>12</v>
      </c>
      <c r="E692" t="str">
        <f>"07 - B - 101 - Bruce A Evans"</f>
        <v>07 - B - 101 - Bruce A Evans</v>
      </c>
      <c r="F692" t="str">
        <f>"FIREFIGHTING 1 LH"</f>
        <v>FIREFIGHTING 1 LH</v>
      </c>
      <c r="G692" t="str">
        <f>"21-2142"</f>
        <v>21-2142</v>
      </c>
      <c r="H692" t="str">
        <f>"B"</f>
        <v>B</v>
      </c>
    </row>
    <row r="693" spans="1:8" x14ac:dyDescent="0.2">
      <c r="A693" t="str">
        <f t="shared" si="253"/>
        <v>0613107364</v>
      </c>
      <c r="B693" t="str">
        <f t="shared" si="254"/>
        <v>ISABELLA</v>
      </c>
      <c r="C693" t="str">
        <f t="shared" si="255"/>
        <v>ARNOLD</v>
      </c>
      <c r="D693">
        <f>12</f>
        <v>12</v>
      </c>
      <c r="E693" t="str">
        <f>"05 - B - 105 - Norayda D Suarez"</f>
        <v>05 - B - 105 - Norayda D Suarez</v>
      </c>
      <c r="F693" t="str">
        <f>"RESEARCH 1 LH"</f>
        <v>RESEARCH 1 LH</v>
      </c>
      <c r="G693">
        <f>2041</f>
        <v>2041</v>
      </c>
      <c r="H693" t="str">
        <f>"B"</f>
        <v>B</v>
      </c>
    </row>
    <row r="694" spans="1:8" x14ac:dyDescent="0.2">
      <c r="A694" t="str">
        <f t="shared" si="253"/>
        <v>0613107364</v>
      </c>
      <c r="B694" t="str">
        <f t="shared" si="254"/>
        <v>ISABELLA</v>
      </c>
      <c r="C694" t="str">
        <f t="shared" si="255"/>
        <v>ARNOLD</v>
      </c>
      <c r="D694">
        <f>12</f>
        <v>12</v>
      </c>
      <c r="E694" t="str">
        <f>"01 - A - 101 - Thomas G Handwerg"</f>
        <v>01 - A - 101 - Thomas G Handwerg</v>
      </c>
      <c r="F694" t="str">
        <f>"PROB STAT W/APPS HON"</f>
        <v>PROB STAT W/APPS HON</v>
      </c>
      <c r="G694" t="str">
        <f>"21-2146"</f>
        <v>21-2146</v>
      </c>
      <c r="H694" t="str">
        <f>"A"</f>
        <v>A</v>
      </c>
    </row>
    <row r="695" spans="1:8" x14ac:dyDescent="0.2">
      <c r="A695" t="str">
        <f t="shared" si="253"/>
        <v>0613107364</v>
      </c>
      <c r="B695" t="str">
        <f t="shared" si="254"/>
        <v>ISABELLA</v>
      </c>
      <c r="C695" t="str">
        <f t="shared" si="255"/>
        <v>ARNOLD</v>
      </c>
      <c r="D695">
        <f>12</f>
        <v>12</v>
      </c>
      <c r="E695" t="str">
        <f>"08 - B - 203 - Courtney E Hambright"</f>
        <v>08 - B - 203 - Courtney E Hambright</v>
      </c>
      <c r="F695" t="str">
        <f>"AP ENG LIT COMPO"</f>
        <v>AP ENG LIT COMPO</v>
      </c>
      <c r="G695" t="str">
        <f>"17-1711"</f>
        <v>17-1711</v>
      </c>
      <c r="H695" t="str">
        <f>"B"</f>
        <v>B</v>
      </c>
    </row>
    <row r="696" spans="1:8" x14ac:dyDescent="0.2">
      <c r="A696" t="str">
        <f t="shared" ref="A696:A703" si="256">"0615128499"</f>
        <v>0615128499</v>
      </c>
      <c r="B696" t="str">
        <f t="shared" ref="B696:B703" si="257">"NAIYA"</f>
        <v>NAIYA</v>
      </c>
      <c r="C696" t="str">
        <f t="shared" ref="C696:C703" si="258">"ARREERATN"</f>
        <v>ARREERATN</v>
      </c>
      <c r="D696">
        <f>10</f>
        <v>10</v>
      </c>
      <c r="E696" t="str">
        <f>"04 - S1 - A - 103 - Rory T Sponsler"</f>
        <v>04 - S1 - A - 103 - Rory T Sponsler</v>
      </c>
      <c r="F696" t="str">
        <f>"WOMENS STUDIES LH"</f>
        <v>WOMENS STUDIES LH</v>
      </c>
      <c r="G696" t="str">
        <f>"17-1740"</f>
        <v>17-1740</v>
      </c>
      <c r="H696" t="str">
        <f>"A"</f>
        <v>A</v>
      </c>
    </row>
    <row r="697" spans="1:8" x14ac:dyDescent="0.2">
      <c r="A697" t="str">
        <f t="shared" si="256"/>
        <v>0615128499</v>
      </c>
      <c r="B697" t="str">
        <f t="shared" si="257"/>
        <v>NAIYA</v>
      </c>
      <c r="C697" t="str">
        <f t="shared" si="258"/>
        <v>ARREERATN</v>
      </c>
      <c r="D697">
        <f>10</f>
        <v>10</v>
      </c>
      <c r="E697" t="str">
        <f>"06 - B - 107 - Dorothy D Moore"</f>
        <v>06 - B - 107 - Dorothy D Moore</v>
      </c>
      <c r="F697" t="str">
        <f>"NC STUDY HALL 1"</f>
        <v>NC STUDY HALL 1</v>
      </c>
      <c r="G697" t="str">
        <f>"08-803"</f>
        <v>08-803</v>
      </c>
      <c r="H697" t="str">
        <f>"B"</f>
        <v>B</v>
      </c>
    </row>
    <row r="698" spans="1:8" x14ac:dyDescent="0.2">
      <c r="A698" t="str">
        <f t="shared" si="256"/>
        <v>0615128499</v>
      </c>
      <c r="B698" t="str">
        <f t="shared" si="257"/>
        <v>NAIYA</v>
      </c>
      <c r="C698" t="str">
        <f t="shared" si="258"/>
        <v>ARREERATN</v>
      </c>
      <c r="D698">
        <f>10</f>
        <v>10</v>
      </c>
      <c r="E698" t="str">
        <f>"03 - A - 103 - Pamela M Corzo"</f>
        <v>03 - A - 103 - Pamela M Corzo</v>
      </c>
      <c r="F698" t="str">
        <f>"ALGEBRA 2 HON"</f>
        <v>ALGEBRA 2 HON</v>
      </c>
      <c r="G698" t="str">
        <f>"21-2133"</f>
        <v>21-2133</v>
      </c>
      <c r="H698" t="str">
        <f>"A"</f>
        <v>A</v>
      </c>
    </row>
    <row r="699" spans="1:8" x14ac:dyDescent="0.2">
      <c r="A699" t="str">
        <f t="shared" si="256"/>
        <v>0615128499</v>
      </c>
      <c r="B699" t="str">
        <f t="shared" si="257"/>
        <v>NAIYA</v>
      </c>
      <c r="C699" t="str">
        <f t="shared" si="258"/>
        <v>ARREERATN</v>
      </c>
      <c r="D699">
        <f>10</f>
        <v>10</v>
      </c>
      <c r="E699" t="str">
        <f>"02 - A - 101 - Brian M Fitzgerald"</f>
        <v>02 - A - 101 - Brian M Fitzgerald</v>
      </c>
      <c r="F699" t="str">
        <f>"DRAW 1"</f>
        <v>DRAW 1</v>
      </c>
      <c r="G699" t="str">
        <f>"09-908"</f>
        <v>09-908</v>
      </c>
      <c r="H699" t="str">
        <f>"A"</f>
        <v>A</v>
      </c>
    </row>
    <row r="700" spans="1:8" x14ac:dyDescent="0.2">
      <c r="A700" t="str">
        <f t="shared" si="256"/>
        <v>0615128499</v>
      </c>
      <c r="B700" t="str">
        <f t="shared" si="257"/>
        <v>NAIYA</v>
      </c>
      <c r="C700" t="str">
        <f t="shared" si="258"/>
        <v>ARREERATN</v>
      </c>
      <c r="D700">
        <f>10</f>
        <v>10</v>
      </c>
      <c r="E700" t="str">
        <f>"07 - B - 204 - Scott A Dethloff"</f>
        <v>07 - B - 204 - Scott A Dethloff</v>
      </c>
      <c r="F700" t="str">
        <f>"CHEMISTRY 1"</f>
        <v>CHEMISTRY 1</v>
      </c>
      <c r="G700" t="str">
        <f>"08-812"</f>
        <v>08-812</v>
      </c>
      <c r="H700" t="str">
        <f>"B"</f>
        <v>B</v>
      </c>
    </row>
    <row r="701" spans="1:8" x14ac:dyDescent="0.2">
      <c r="A701" t="str">
        <f t="shared" si="256"/>
        <v>0615128499</v>
      </c>
      <c r="B701" t="str">
        <f t="shared" si="257"/>
        <v>NAIYA</v>
      </c>
      <c r="C701" t="str">
        <f t="shared" si="258"/>
        <v>ARREERATN</v>
      </c>
      <c r="D701">
        <f>10</f>
        <v>10</v>
      </c>
      <c r="E701" t="str">
        <f>"05 - B - 203 - Chrystina M Marchionne"</f>
        <v>05 - B - 203 - Chrystina M Marchionne</v>
      </c>
      <c r="F701" t="str">
        <f>"AICE MEDIASTUDIES AS"</f>
        <v>AICE MEDIASTUDIES AS</v>
      </c>
      <c r="G701" t="str">
        <f>"05-520"</f>
        <v>05-520</v>
      </c>
      <c r="H701" t="str">
        <f>"B"</f>
        <v>B</v>
      </c>
    </row>
    <row r="702" spans="1:8" x14ac:dyDescent="0.2">
      <c r="A702" t="str">
        <f t="shared" si="256"/>
        <v>0615128499</v>
      </c>
      <c r="B702" t="str">
        <f t="shared" si="257"/>
        <v>NAIYA</v>
      </c>
      <c r="C702" t="str">
        <f t="shared" si="258"/>
        <v>ARREERATN</v>
      </c>
      <c r="D702">
        <f>10</f>
        <v>10</v>
      </c>
      <c r="E702" t="str">
        <f>"01 - A - 101 - Courtney E Hambright"</f>
        <v>01 - A - 101 - Courtney E Hambright</v>
      </c>
      <c r="F702" t="str">
        <f>"AICE ENG LANG AS"</f>
        <v>AICE ENG LANG AS</v>
      </c>
      <c r="G702" t="str">
        <f>"17-1711"</f>
        <v>17-1711</v>
      </c>
      <c r="H702" t="str">
        <f>"A"</f>
        <v>A</v>
      </c>
    </row>
    <row r="703" spans="1:8" x14ac:dyDescent="0.2">
      <c r="A703" t="str">
        <f t="shared" si="256"/>
        <v>0615128499</v>
      </c>
      <c r="B703" t="str">
        <f t="shared" si="257"/>
        <v>NAIYA</v>
      </c>
      <c r="C703" t="str">
        <f t="shared" si="258"/>
        <v>ARREERATN</v>
      </c>
      <c r="D703">
        <f>10</f>
        <v>10</v>
      </c>
      <c r="E703" t="str">
        <f>"08 - B - 201 - Lenecy  Nodarse"</f>
        <v>08 - B - 201 - Lenecy  Nodarse</v>
      </c>
      <c r="F703" t="str">
        <f>"AICE EURO HIST 1 AS"</f>
        <v>AICE EURO HIST 1 AS</v>
      </c>
      <c r="G703" t="str">
        <f>"17-1741"</f>
        <v>17-1741</v>
      </c>
      <c r="H703" t="str">
        <f>"B"</f>
        <v>B</v>
      </c>
    </row>
    <row r="704" spans="1:8" x14ac:dyDescent="0.2">
      <c r="A704" t="str">
        <f t="shared" ref="A704:A711" si="259">"0625012281"</f>
        <v>0625012281</v>
      </c>
      <c r="B704" t="str">
        <f t="shared" ref="B704:B711" si="260">"Adrian"</f>
        <v>Adrian</v>
      </c>
      <c r="C704" t="str">
        <f t="shared" ref="C704:C711" si="261">"Arroyave"</f>
        <v>Arroyave</v>
      </c>
      <c r="D704">
        <f>11</f>
        <v>11</v>
      </c>
      <c r="E704" t="str">
        <f>"04 - A - 103 - Lisa  Quinn"</f>
        <v>04 - A - 103 - Lisa  Quinn</v>
      </c>
      <c r="F704" t="str">
        <f>"ENG 3"</f>
        <v>ENG 3</v>
      </c>
      <c r="G704" t="str">
        <f>"17-1725"</f>
        <v>17-1725</v>
      </c>
      <c r="H704" t="str">
        <f>"A"</f>
        <v>A</v>
      </c>
    </row>
    <row r="705" spans="1:8" x14ac:dyDescent="0.2">
      <c r="A705" t="str">
        <f t="shared" si="259"/>
        <v>0625012281</v>
      </c>
      <c r="B705" t="str">
        <f t="shared" si="260"/>
        <v>Adrian</v>
      </c>
      <c r="C705" t="str">
        <f t="shared" si="261"/>
        <v>Arroyave</v>
      </c>
      <c r="D705">
        <f>11</f>
        <v>11</v>
      </c>
      <c r="E705" t="str">
        <f>"06 - B - 202 - Samantha L Martinez"</f>
        <v>06 - B - 202 - Samantha L Martinez</v>
      </c>
      <c r="F705" t="str">
        <f>"GUITAR 1"</f>
        <v>GUITAR 1</v>
      </c>
      <c r="G705" t="str">
        <f>"05-505"</f>
        <v>05-505</v>
      </c>
      <c r="H705" t="str">
        <f>"B"</f>
        <v>B</v>
      </c>
    </row>
    <row r="706" spans="1:8" x14ac:dyDescent="0.2">
      <c r="A706" t="str">
        <f t="shared" si="259"/>
        <v>0625012281</v>
      </c>
      <c r="B706" t="str">
        <f t="shared" si="260"/>
        <v>Adrian</v>
      </c>
      <c r="C706" t="str">
        <f t="shared" si="261"/>
        <v>Arroyave</v>
      </c>
      <c r="D706">
        <f>11</f>
        <v>11</v>
      </c>
      <c r="E706" t="str">
        <f>"03 - A - 101 - Dorothy D Moore"</f>
        <v>03 - A - 101 - Dorothy D Moore</v>
      </c>
      <c r="F706" t="str">
        <f>"FORC SCI 1 LH"</f>
        <v>FORC SCI 1 LH</v>
      </c>
      <c r="G706" t="str">
        <f>"08-803"</f>
        <v>08-803</v>
      </c>
      <c r="H706" t="str">
        <f>"A"</f>
        <v>A</v>
      </c>
    </row>
    <row r="707" spans="1:8" x14ac:dyDescent="0.2">
      <c r="A707" t="str">
        <f t="shared" si="259"/>
        <v>0625012281</v>
      </c>
      <c r="B707" t="str">
        <f t="shared" si="260"/>
        <v>Adrian</v>
      </c>
      <c r="C707" t="str">
        <f t="shared" si="261"/>
        <v>Arroyave</v>
      </c>
      <c r="D707">
        <f>11</f>
        <v>11</v>
      </c>
      <c r="E707" t="str">
        <f>"02 - A - 103 - Kelly N Panza"</f>
        <v>02 - A - 103 - Kelly N Panza</v>
      </c>
      <c r="F707" t="str">
        <f>"NC STUDY HALL 1"</f>
        <v>NC STUDY HALL 1</v>
      </c>
      <c r="G707" t="str">
        <f>"17-1753"</f>
        <v>17-1753</v>
      </c>
      <c r="H707" t="str">
        <f>"A"</f>
        <v>A</v>
      </c>
    </row>
    <row r="708" spans="1:8" x14ac:dyDescent="0.2">
      <c r="A708" t="str">
        <f t="shared" si="259"/>
        <v>0625012281</v>
      </c>
      <c r="B708" t="str">
        <f t="shared" si="260"/>
        <v>Adrian</v>
      </c>
      <c r="C708" t="str">
        <f t="shared" si="261"/>
        <v>Arroyave</v>
      </c>
      <c r="D708">
        <f>11</f>
        <v>11</v>
      </c>
      <c r="E708" t="str">
        <f>"07 - B - 001 - Maried P Ramos"</f>
        <v>07 - B - 001 - Maried P Ramos</v>
      </c>
      <c r="F708" t="str">
        <f>"GEOMETRY"</f>
        <v>GEOMETRY</v>
      </c>
      <c r="G708" t="str">
        <f>"21-2159"</f>
        <v>21-2159</v>
      </c>
      <c r="H708" t="str">
        <f>"B"</f>
        <v>B</v>
      </c>
    </row>
    <row r="709" spans="1:8" x14ac:dyDescent="0.2">
      <c r="A709" t="str">
        <f t="shared" si="259"/>
        <v>0625012281</v>
      </c>
      <c r="B709" t="str">
        <f t="shared" si="260"/>
        <v>Adrian</v>
      </c>
      <c r="C709" t="str">
        <f t="shared" si="261"/>
        <v>Arroyave</v>
      </c>
      <c r="D709">
        <f>11</f>
        <v>11</v>
      </c>
      <c r="E709" t="str">
        <f>"05 - B - 107 - Elizabeth Ellen  Moran"</f>
        <v>05 - B - 107 - Elizabeth Ellen  Moran</v>
      </c>
      <c r="F709" t="str">
        <f>"US HISTORY"</f>
        <v>US HISTORY</v>
      </c>
      <c r="G709" t="str">
        <f>"17-1752"</f>
        <v>17-1752</v>
      </c>
      <c r="H709" t="str">
        <f>"B"</f>
        <v>B</v>
      </c>
    </row>
    <row r="710" spans="1:8" x14ac:dyDescent="0.2">
      <c r="A710" t="str">
        <f t="shared" si="259"/>
        <v>0625012281</v>
      </c>
      <c r="B710" t="str">
        <f t="shared" si="260"/>
        <v>Adrian</v>
      </c>
      <c r="C710" t="str">
        <f t="shared" si="261"/>
        <v>Arroyave</v>
      </c>
      <c r="D710">
        <f>11</f>
        <v>11</v>
      </c>
      <c r="E710" t="str">
        <f>"01 - A - 101 - Vanessa J Pena"</f>
        <v>01 - A - 101 - Vanessa J Pena</v>
      </c>
      <c r="F710" t="str">
        <f>"DEV LANG ARTS ESOL-R"</f>
        <v>DEV LANG ARTS ESOL-R</v>
      </c>
      <c r="G710" t="str">
        <f>"09-926"</f>
        <v>09-926</v>
      </c>
      <c r="H710" t="str">
        <f>"A"</f>
        <v>A</v>
      </c>
    </row>
    <row r="711" spans="1:8" x14ac:dyDescent="0.2">
      <c r="A711" t="str">
        <f t="shared" si="259"/>
        <v>0625012281</v>
      </c>
      <c r="B711" t="str">
        <f t="shared" si="260"/>
        <v>Adrian</v>
      </c>
      <c r="C711" t="str">
        <f t="shared" si="261"/>
        <v>Arroyave</v>
      </c>
      <c r="D711">
        <f>11</f>
        <v>11</v>
      </c>
      <c r="E711" t="str">
        <f>"08 - B - 101 - Marius D Orsolini"</f>
        <v>08 - B - 101 - Marius D Orsolini</v>
      </c>
      <c r="F711" t="str">
        <f>"CULINARY ARTS 2"</f>
        <v>CULINARY ARTS 2</v>
      </c>
      <c r="G711" t="str">
        <f>"21-2115"</f>
        <v>21-2115</v>
      </c>
      <c r="H711" t="str">
        <f>"B"</f>
        <v>B</v>
      </c>
    </row>
    <row r="712" spans="1:8" x14ac:dyDescent="0.2">
      <c r="A712" t="str">
        <f t="shared" ref="A712:A719" si="262">"0615106637"</f>
        <v>0615106637</v>
      </c>
      <c r="B712" t="str">
        <f t="shared" ref="B712:B719" si="263">"ELIZABETH"</f>
        <v>ELIZABETH</v>
      </c>
      <c r="C712" t="str">
        <f t="shared" ref="C712:C727" si="264">"ARTETA"</f>
        <v>ARTETA</v>
      </c>
      <c r="D712">
        <f>10</f>
        <v>10</v>
      </c>
      <c r="E712" t="str">
        <f>"04 - A - 005 - Emmily A Sarmiento"</f>
        <v>04 - A - 005 - Emmily A Sarmiento</v>
      </c>
      <c r="F712" t="str">
        <f>"AICE GLBL PERSP 1 AS"</f>
        <v>AICE GLBL PERSP 1 AS</v>
      </c>
      <c r="G712" t="str">
        <f>"17-1743"</f>
        <v>17-1743</v>
      </c>
      <c r="H712" t="str">
        <f>"A"</f>
        <v>A</v>
      </c>
    </row>
    <row r="713" spans="1:8" x14ac:dyDescent="0.2">
      <c r="A713" t="str">
        <f t="shared" si="262"/>
        <v>0615106637</v>
      </c>
      <c r="B713" t="str">
        <f t="shared" si="263"/>
        <v>ELIZABETH</v>
      </c>
      <c r="C713" t="str">
        <f t="shared" si="264"/>
        <v>ARTETA</v>
      </c>
      <c r="D713">
        <f>10</f>
        <v>10</v>
      </c>
      <c r="E713" t="str">
        <f>"06 - B - 114 - Richard E Dunbar Iii"</f>
        <v>06 - B - 114 - Richard E Dunbar Iii</v>
      </c>
      <c r="F713" t="str">
        <f>"NC STUDY HALL 1"</f>
        <v>NC STUDY HALL 1</v>
      </c>
      <c r="G713" t="str">
        <f>"17-1703"</f>
        <v>17-1703</v>
      </c>
      <c r="H713" t="str">
        <f>"B"</f>
        <v>B</v>
      </c>
    </row>
    <row r="714" spans="1:8" x14ac:dyDescent="0.2">
      <c r="A714" t="str">
        <f t="shared" si="262"/>
        <v>0615106637</v>
      </c>
      <c r="B714" t="str">
        <f t="shared" si="263"/>
        <v>ELIZABETH</v>
      </c>
      <c r="C714" t="str">
        <f t="shared" si="264"/>
        <v>ARTETA</v>
      </c>
      <c r="D714">
        <f>10</f>
        <v>10</v>
      </c>
      <c r="E714" t="str">
        <f>"03 - A - 102 - Semra  Bahadir"</f>
        <v>03 - A - 102 - Semra  Bahadir</v>
      </c>
      <c r="F714" t="str">
        <f>"ALGEBRA 2"</f>
        <v>ALGEBRA 2</v>
      </c>
      <c r="G714" t="str">
        <f>"21-2107"</f>
        <v>21-2107</v>
      </c>
      <c r="H714" t="str">
        <f>"A"</f>
        <v>A</v>
      </c>
    </row>
    <row r="715" spans="1:8" x14ac:dyDescent="0.2">
      <c r="A715" t="str">
        <f t="shared" si="262"/>
        <v>0615106637</v>
      </c>
      <c r="B715" t="str">
        <f t="shared" si="263"/>
        <v>ELIZABETH</v>
      </c>
      <c r="C715" t="str">
        <f t="shared" si="264"/>
        <v>ARTETA</v>
      </c>
      <c r="D715">
        <f>10</f>
        <v>10</v>
      </c>
      <c r="E715" t="str">
        <f>"02 - A - 104 - Joe  Kilpatrick Jr"</f>
        <v>02 - A - 104 - Joe  Kilpatrick Jr</v>
      </c>
      <c r="F715" t="str">
        <f>"PRE-AICE SPAN 2 IG"</f>
        <v>PRE-AICE SPAN 2 IG</v>
      </c>
      <c r="G715" t="str">
        <f>"09-912"</f>
        <v>09-912</v>
      </c>
      <c r="H715" t="str">
        <f>"A"</f>
        <v>A</v>
      </c>
    </row>
    <row r="716" spans="1:8" x14ac:dyDescent="0.2">
      <c r="A716" t="str">
        <f t="shared" si="262"/>
        <v>0615106637</v>
      </c>
      <c r="B716" t="str">
        <f t="shared" si="263"/>
        <v>ELIZABETH</v>
      </c>
      <c r="C716" t="str">
        <f t="shared" si="264"/>
        <v>ARTETA</v>
      </c>
      <c r="D716">
        <f>10</f>
        <v>10</v>
      </c>
      <c r="E716" t="str">
        <f>"07 - B - 107 - Jacklyn M James"</f>
        <v>07 - B - 107 - Jacklyn M James</v>
      </c>
      <c r="F716" t="str">
        <f>"AICE ENG LANG AS"</f>
        <v>AICE ENG LANG AS</v>
      </c>
      <c r="G716" t="str">
        <f>"17-1731"</f>
        <v>17-1731</v>
      </c>
      <c r="H716" t="str">
        <f>"B"</f>
        <v>B</v>
      </c>
    </row>
    <row r="717" spans="1:8" x14ac:dyDescent="0.2">
      <c r="A717" t="str">
        <f t="shared" si="262"/>
        <v>0615106637</v>
      </c>
      <c r="B717" t="str">
        <f t="shared" si="263"/>
        <v>ELIZABETH</v>
      </c>
      <c r="C717" t="str">
        <f t="shared" si="264"/>
        <v>ARTETA</v>
      </c>
      <c r="D717">
        <f>10</f>
        <v>10</v>
      </c>
      <c r="E717" t="str">
        <f>"05 - B - 204 - Cheryl L Beach"</f>
        <v>05 - B - 204 - Cheryl L Beach</v>
      </c>
      <c r="F717" t="str">
        <f>"AICE ENV MGMNT AS"</f>
        <v>AICE ENV MGMNT AS</v>
      </c>
      <c r="G717" t="str">
        <f>"08-811"</f>
        <v>08-811</v>
      </c>
      <c r="H717" t="str">
        <f>"B"</f>
        <v>B</v>
      </c>
    </row>
    <row r="718" spans="1:8" x14ac:dyDescent="0.2">
      <c r="A718" t="str">
        <f t="shared" si="262"/>
        <v>0615106637</v>
      </c>
      <c r="B718" t="str">
        <f t="shared" si="263"/>
        <v>ELIZABETH</v>
      </c>
      <c r="C718" t="str">
        <f t="shared" si="264"/>
        <v>ARTETA</v>
      </c>
      <c r="D718">
        <f>10</f>
        <v>10</v>
      </c>
      <c r="E718" t="str">
        <f>"01 - A - 101 - Eva T Rimmer"</f>
        <v>01 - A - 101 - Eva T Rimmer</v>
      </c>
      <c r="F718" t="str">
        <f>"CRIMINAL JUST OPS 2"</f>
        <v>CRIMINAL JUST OPS 2</v>
      </c>
      <c r="G718" t="str">
        <f>"05-523"</f>
        <v>05-523</v>
      </c>
      <c r="H718" t="str">
        <f>"A"</f>
        <v>A</v>
      </c>
    </row>
    <row r="719" spans="1:8" x14ac:dyDescent="0.2">
      <c r="A719" t="str">
        <f t="shared" si="262"/>
        <v>0615106637</v>
      </c>
      <c r="B719" t="str">
        <f t="shared" si="263"/>
        <v>ELIZABETH</v>
      </c>
      <c r="C719" t="str">
        <f t="shared" si="264"/>
        <v>ARTETA</v>
      </c>
      <c r="D719">
        <f>10</f>
        <v>10</v>
      </c>
      <c r="E719" t="str">
        <f>"08 - B - 206 - Daniel S Katz"</f>
        <v>08 - B - 206 - Daniel S Katz</v>
      </c>
      <c r="F719" t="str">
        <f>"AICE MEDIASTUDIES AS"</f>
        <v>AICE MEDIASTUDIES AS</v>
      </c>
      <c r="G719" t="str">
        <f>"05-521"</f>
        <v>05-521</v>
      </c>
      <c r="H719" t="str">
        <f>"B"</f>
        <v>B</v>
      </c>
    </row>
    <row r="720" spans="1:8" x14ac:dyDescent="0.2">
      <c r="A720" t="str">
        <f t="shared" ref="A720:A727" si="265">"0615106634"</f>
        <v>0615106634</v>
      </c>
      <c r="B720" t="str">
        <f t="shared" ref="B720:B727" si="266">"MARIA"</f>
        <v>MARIA</v>
      </c>
      <c r="C720" t="str">
        <f t="shared" si="264"/>
        <v>ARTETA</v>
      </c>
      <c r="D720">
        <f>10</f>
        <v>10</v>
      </c>
      <c r="E720" t="str">
        <f>"04 - A - 103 - Lourivaldo  Da Silva"</f>
        <v>04 - A - 103 - Lourivaldo  Da Silva</v>
      </c>
      <c r="F720" t="str">
        <f>"PRE-CALCULUS HON"</f>
        <v>PRE-CALCULUS HON</v>
      </c>
      <c r="G720" t="str">
        <f>"20-2079"</f>
        <v>20-2079</v>
      </c>
      <c r="H720" t="str">
        <f>"A"</f>
        <v>A</v>
      </c>
    </row>
    <row r="721" spans="1:8" x14ac:dyDescent="0.2">
      <c r="A721" t="str">
        <f t="shared" si="265"/>
        <v>0615106634</v>
      </c>
      <c r="B721" t="str">
        <f t="shared" si="266"/>
        <v>MARIA</v>
      </c>
      <c r="C721" t="str">
        <f t="shared" si="264"/>
        <v>ARTETA</v>
      </c>
      <c r="D721">
        <f>10</f>
        <v>10</v>
      </c>
      <c r="E721" t="str">
        <f>"06 - B - 117 - Daniel S Tyson"</f>
        <v>06 - B - 117 - Daniel S Tyson</v>
      </c>
      <c r="F721" t="str">
        <f>"NC STUDY HALL 1"</f>
        <v>NC STUDY HALL 1</v>
      </c>
      <c r="G721" t="str">
        <f>"05-510"</f>
        <v>05-510</v>
      </c>
      <c r="H721" t="str">
        <f>"B"</f>
        <v>B</v>
      </c>
    </row>
    <row r="722" spans="1:8" x14ac:dyDescent="0.2">
      <c r="A722" t="str">
        <f t="shared" si="265"/>
        <v>0615106634</v>
      </c>
      <c r="B722" t="str">
        <f t="shared" si="266"/>
        <v>MARIA</v>
      </c>
      <c r="C722" t="str">
        <f t="shared" si="264"/>
        <v>ARTETA</v>
      </c>
      <c r="D722">
        <f>10</f>
        <v>10</v>
      </c>
      <c r="E722" t="str">
        <f>"03 - A - 201 - Alejandro  Navarro"</f>
        <v>03 - A - 201 - Alejandro  Navarro</v>
      </c>
      <c r="F722" t="str">
        <f>"BAND 2"</f>
        <v>BAND 2</v>
      </c>
      <c r="G722" t="str">
        <f>"05-504"</f>
        <v>05-504</v>
      </c>
      <c r="H722" t="str">
        <f>"A"</f>
        <v>A</v>
      </c>
    </row>
    <row r="723" spans="1:8" x14ac:dyDescent="0.2">
      <c r="A723" t="str">
        <f t="shared" si="265"/>
        <v>0615106634</v>
      </c>
      <c r="B723" t="str">
        <f t="shared" si="266"/>
        <v>MARIA</v>
      </c>
      <c r="C723" t="str">
        <f t="shared" si="264"/>
        <v>ARTETA</v>
      </c>
      <c r="D723">
        <f>10</f>
        <v>10</v>
      </c>
      <c r="E723" t="str">
        <f>"02 - A - 205 - Emmily A Sarmiento"</f>
        <v>02 - A - 205 - Emmily A Sarmiento</v>
      </c>
      <c r="F723" t="str">
        <f>"AICE GLBL PERSP 1 AS"</f>
        <v>AICE GLBL PERSP 1 AS</v>
      </c>
      <c r="G723" t="str">
        <f>"17-1743"</f>
        <v>17-1743</v>
      </c>
      <c r="H723" t="str">
        <f>"A"</f>
        <v>A</v>
      </c>
    </row>
    <row r="724" spans="1:8" x14ac:dyDescent="0.2">
      <c r="A724" t="str">
        <f t="shared" si="265"/>
        <v>0615106634</v>
      </c>
      <c r="B724" t="str">
        <f t="shared" si="266"/>
        <v>MARIA</v>
      </c>
      <c r="C724" t="str">
        <f t="shared" si="264"/>
        <v>ARTETA</v>
      </c>
      <c r="D724">
        <f>10</f>
        <v>10</v>
      </c>
      <c r="E724" t="str">
        <f>"07 - B - 102 - Timothy J Lawrence"</f>
        <v>07 - B - 102 - Timothy J Lawrence</v>
      </c>
      <c r="F724" t="str">
        <f>"AICE PHYS ED 1 AS"</f>
        <v>AICE PHYS ED 1 AS</v>
      </c>
      <c r="G724" t="str">
        <f>"05-523"</f>
        <v>05-523</v>
      </c>
      <c r="H724" t="str">
        <f>"B"</f>
        <v>B</v>
      </c>
    </row>
    <row r="725" spans="1:8" x14ac:dyDescent="0.2">
      <c r="A725" t="str">
        <f t="shared" si="265"/>
        <v>0615106634</v>
      </c>
      <c r="B725" t="str">
        <f t="shared" si="266"/>
        <v>MARIA</v>
      </c>
      <c r="C725" t="str">
        <f t="shared" si="264"/>
        <v>ARTETA</v>
      </c>
      <c r="D725">
        <f>10</f>
        <v>10</v>
      </c>
      <c r="E725" t="str">
        <f>"05 - B - 103 - Eva T Rimmer"</f>
        <v>05 - B - 103 - Eva T Rimmer</v>
      </c>
      <c r="F725" t="str">
        <f>"CRIMINAL JUST OPS 1"</f>
        <v>CRIMINAL JUST OPS 1</v>
      </c>
      <c r="G725" t="str">
        <f>"05-523"</f>
        <v>05-523</v>
      </c>
      <c r="H725" t="str">
        <f>"B"</f>
        <v>B</v>
      </c>
    </row>
    <row r="726" spans="1:8" x14ac:dyDescent="0.2">
      <c r="A726" t="str">
        <f t="shared" si="265"/>
        <v>0615106634</v>
      </c>
      <c r="B726" t="str">
        <f t="shared" si="266"/>
        <v>MARIA</v>
      </c>
      <c r="C726" t="str">
        <f t="shared" si="264"/>
        <v>ARTETA</v>
      </c>
      <c r="D726">
        <f>10</f>
        <v>10</v>
      </c>
      <c r="E726" t="str">
        <f>"01 - A - 201 - Cheryl L Beach"</f>
        <v>01 - A - 201 - Cheryl L Beach</v>
      </c>
      <c r="F726" t="str">
        <f>"AICE ENV MGMNT AS"</f>
        <v>AICE ENV MGMNT AS</v>
      </c>
      <c r="G726" t="str">
        <f>"08-811"</f>
        <v>08-811</v>
      </c>
      <c r="H726" t="str">
        <f>"A"</f>
        <v>A</v>
      </c>
    </row>
    <row r="727" spans="1:8" x14ac:dyDescent="0.2">
      <c r="A727" t="str">
        <f t="shared" si="265"/>
        <v>0615106634</v>
      </c>
      <c r="B727" t="str">
        <f t="shared" si="266"/>
        <v>MARIA</v>
      </c>
      <c r="C727" t="str">
        <f t="shared" si="264"/>
        <v>ARTETA</v>
      </c>
      <c r="D727">
        <f>10</f>
        <v>10</v>
      </c>
      <c r="E727" t="str">
        <f>"08 - B - 001 - Jacklyn M James"</f>
        <v>08 - B - 001 - Jacklyn M James</v>
      </c>
      <c r="F727" t="str">
        <f>"AICE ENG LANG AS"</f>
        <v>AICE ENG LANG AS</v>
      </c>
      <c r="G727" t="str">
        <f>"17-1731"</f>
        <v>17-1731</v>
      </c>
      <c r="H727" t="str">
        <f>"B"</f>
        <v>B</v>
      </c>
    </row>
    <row r="728" spans="1:8" x14ac:dyDescent="0.2">
      <c r="A728" t="str">
        <f t="shared" ref="A728:A735" si="267">"0616150440"</f>
        <v>0616150440</v>
      </c>
      <c r="B728" t="str">
        <f t="shared" ref="B728:B735" si="268">"GIANELA"</f>
        <v>GIANELA</v>
      </c>
      <c r="C728" t="str">
        <f t="shared" ref="C728:C735" si="269">"ASTURIAS GUZMAN"</f>
        <v>ASTURIAS GUZMAN</v>
      </c>
      <c r="D728" t="str">
        <f t="shared" ref="D728:D735" si="270">"09"</f>
        <v>09</v>
      </c>
      <c r="E728" t="str">
        <f>"04 - A - 106 - Ferrie J Arostique"</f>
        <v>04 - A - 106 - Ferrie J Arostique</v>
      </c>
      <c r="F728" t="str">
        <f>"PRE-AICE MATH 2 IG"</f>
        <v>PRE-AICE MATH 2 IG</v>
      </c>
      <c r="G728" t="str">
        <f>"21-2139"</f>
        <v>21-2139</v>
      </c>
      <c r="H728" t="str">
        <f>"A"</f>
        <v>A</v>
      </c>
    </row>
    <row r="729" spans="1:8" x14ac:dyDescent="0.2">
      <c r="A729" t="str">
        <f t="shared" si="267"/>
        <v>0616150440</v>
      </c>
      <c r="B729" t="str">
        <f t="shared" si="268"/>
        <v>GIANELA</v>
      </c>
      <c r="C729" t="str">
        <f t="shared" si="269"/>
        <v>ASTURIAS GUZMAN</v>
      </c>
      <c r="D729" t="str">
        <f t="shared" si="270"/>
        <v>09</v>
      </c>
      <c r="E729" t="str">
        <f>"06 - B - 202 - Brian M Fitzgerald"</f>
        <v>06 - B - 202 - Brian M Fitzgerald</v>
      </c>
      <c r="F729" t="str">
        <f>"DRAW 1"</f>
        <v>DRAW 1</v>
      </c>
      <c r="G729" t="str">
        <f>"09-908"</f>
        <v>09-908</v>
      </c>
      <c r="H729" t="str">
        <f>"B"</f>
        <v>B</v>
      </c>
    </row>
    <row r="730" spans="1:8" x14ac:dyDescent="0.2">
      <c r="A730" t="str">
        <f t="shared" si="267"/>
        <v>0616150440</v>
      </c>
      <c r="B730" t="str">
        <f t="shared" si="268"/>
        <v>GIANELA</v>
      </c>
      <c r="C730" t="str">
        <f t="shared" si="269"/>
        <v>ASTURIAS GUZMAN</v>
      </c>
      <c r="D730" t="str">
        <f t="shared" si="270"/>
        <v>09</v>
      </c>
      <c r="E730" t="str">
        <f>"03 - A - 005 - Cerine S Stewart"</f>
        <v>03 - A - 005 - Cerine S Stewart</v>
      </c>
      <c r="F730" t="str">
        <f>"AICE ENG GEN PAPER 1"</f>
        <v>AICE ENG GEN PAPER 1</v>
      </c>
      <c r="G730" t="str">
        <f>"17-1720"</f>
        <v>17-1720</v>
      </c>
      <c r="H730" t="str">
        <f>"A"</f>
        <v>A</v>
      </c>
    </row>
    <row r="731" spans="1:8" x14ac:dyDescent="0.2">
      <c r="A731" t="str">
        <f t="shared" si="267"/>
        <v>0616150440</v>
      </c>
      <c r="B731" t="str">
        <f t="shared" si="268"/>
        <v>GIANELA</v>
      </c>
      <c r="C731" t="str">
        <f t="shared" si="269"/>
        <v>ASTURIAS GUZMAN</v>
      </c>
      <c r="D731" t="str">
        <f t="shared" si="270"/>
        <v>09</v>
      </c>
      <c r="E731" t="str">
        <f>"02 - A - 104 - Lytrell T Dixon"</f>
        <v>02 - A - 104 - Lytrell T Dixon</v>
      </c>
      <c r="F731" t="str">
        <f>"NC STUDY HALL 1"</f>
        <v>NC STUDY HALL 1</v>
      </c>
      <c r="G731" t="str">
        <f>"08-808"</f>
        <v>08-808</v>
      </c>
      <c r="H731" t="str">
        <f>"A"</f>
        <v>A</v>
      </c>
    </row>
    <row r="732" spans="1:8" x14ac:dyDescent="0.2">
      <c r="A732" t="str">
        <f t="shared" si="267"/>
        <v>0616150440</v>
      </c>
      <c r="B732" t="str">
        <f t="shared" si="268"/>
        <v>GIANELA</v>
      </c>
      <c r="C732" t="str">
        <f t="shared" si="269"/>
        <v>ASTURIAS GUZMAN</v>
      </c>
      <c r="D732" t="str">
        <f t="shared" si="270"/>
        <v>09</v>
      </c>
      <c r="E732" t="str">
        <f>"07 - B - 105 - Josiah I Lacy"</f>
        <v>07 - B - 105 - Josiah I Lacy</v>
      </c>
      <c r="F732" t="str">
        <f>"ANAT PHYSIO HON"</f>
        <v>ANAT PHYSIO HON</v>
      </c>
      <c r="G732" t="str">
        <f>"08-801"</f>
        <v>08-801</v>
      </c>
      <c r="H732" t="str">
        <f>"B"</f>
        <v>B</v>
      </c>
    </row>
    <row r="733" spans="1:8" x14ac:dyDescent="0.2">
      <c r="A733" t="str">
        <f t="shared" si="267"/>
        <v>0616150440</v>
      </c>
      <c r="B733" t="str">
        <f t="shared" si="268"/>
        <v>GIANELA</v>
      </c>
      <c r="C733" t="str">
        <f t="shared" si="269"/>
        <v>ASTURIAS GUZMAN</v>
      </c>
      <c r="D733" t="str">
        <f t="shared" si="270"/>
        <v>09</v>
      </c>
      <c r="E733" t="str">
        <f>"05 - B - 103 - Rory T Sponsler"</f>
        <v>05 - B - 103 - Rory T Sponsler</v>
      </c>
      <c r="F733" t="str">
        <f>"PRE-AICE WRLD HST IG"</f>
        <v>PRE-AICE WRLD HST IG</v>
      </c>
      <c r="G733" t="str">
        <f>"17-1740"</f>
        <v>17-1740</v>
      </c>
      <c r="H733" t="str">
        <f>"B"</f>
        <v>B</v>
      </c>
    </row>
    <row r="734" spans="1:8" x14ac:dyDescent="0.2">
      <c r="A734" t="str">
        <f t="shared" si="267"/>
        <v>0616150440</v>
      </c>
      <c r="B734" t="str">
        <f t="shared" si="268"/>
        <v>GIANELA</v>
      </c>
      <c r="C734" t="str">
        <f t="shared" si="269"/>
        <v>ASTURIAS GUZMAN</v>
      </c>
      <c r="D734" t="str">
        <f t="shared" si="270"/>
        <v>09</v>
      </c>
      <c r="E734" t="str">
        <f>"01 - A - 101 - Marius D Orsolini"</f>
        <v>01 - A - 101 - Marius D Orsolini</v>
      </c>
      <c r="F734" t="str">
        <f>"CULINARY ARTS 1"</f>
        <v>CULINARY ARTS 1</v>
      </c>
      <c r="G734" t="str">
        <f>"21-2115"</f>
        <v>21-2115</v>
      </c>
      <c r="H734" t="str">
        <f>"A"</f>
        <v>A</v>
      </c>
    </row>
    <row r="735" spans="1:8" x14ac:dyDescent="0.2">
      <c r="A735" t="str">
        <f t="shared" si="267"/>
        <v>0616150440</v>
      </c>
      <c r="B735" t="str">
        <f t="shared" si="268"/>
        <v>GIANELA</v>
      </c>
      <c r="C735" t="str">
        <f t="shared" si="269"/>
        <v>ASTURIAS GUZMAN</v>
      </c>
      <c r="D735" t="str">
        <f t="shared" si="270"/>
        <v>09</v>
      </c>
      <c r="E735" t="str">
        <f>"08 - B - 201 - Tina M Jaramillo"</f>
        <v>08 - B - 201 - Tina M Jaramillo</v>
      </c>
      <c r="F735" t="str">
        <f>"CREATIVE WRIT 3 HON"</f>
        <v>CREATIVE WRIT 3 HON</v>
      </c>
      <c r="G735" t="str">
        <f>"17-1706"</f>
        <v>17-1706</v>
      </c>
      <c r="H735" t="str">
        <f>"B"</f>
        <v>B</v>
      </c>
    </row>
    <row r="736" spans="1:8" x14ac:dyDescent="0.2">
      <c r="A736" t="str">
        <f t="shared" ref="A736:A743" si="271">"0614092008"</f>
        <v>0614092008</v>
      </c>
      <c r="B736" t="str">
        <f t="shared" ref="B736:B743" si="272">"NATHANIEL"</f>
        <v>NATHANIEL</v>
      </c>
      <c r="C736" t="str">
        <f t="shared" ref="C736:C743" si="273">"ATELUS"</f>
        <v>ATELUS</v>
      </c>
      <c r="D736">
        <f>11</f>
        <v>11</v>
      </c>
      <c r="E736" t="str">
        <f>"04 - S1 - A - 101 - Leslie J Barton"</f>
        <v>04 - S1 - A - 101 - Leslie J Barton</v>
      </c>
      <c r="F736" t="str">
        <f>"TEAM SPORTS 1"</f>
        <v>TEAM SPORTS 1</v>
      </c>
      <c r="G736" t="str">
        <f>"04-254"</f>
        <v>04-254</v>
      </c>
      <c r="H736" t="str">
        <f>"A"</f>
        <v>A</v>
      </c>
    </row>
    <row r="737" spans="1:8" x14ac:dyDescent="0.2">
      <c r="A737" t="str">
        <f t="shared" si="271"/>
        <v>0614092008</v>
      </c>
      <c r="B737" t="str">
        <f t="shared" si="272"/>
        <v>NATHANIEL</v>
      </c>
      <c r="C737" t="str">
        <f t="shared" si="273"/>
        <v>ATELUS</v>
      </c>
      <c r="D737">
        <f>11</f>
        <v>11</v>
      </c>
      <c r="E737" t="str">
        <f>"06 - B - 104 - Eva T Rimmer"</f>
        <v>06 - B - 104 - Eva T Rimmer</v>
      </c>
      <c r="F737" t="str">
        <f>"CRIMINAL JUST OPS 1"</f>
        <v>CRIMINAL JUST OPS 1</v>
      </c>
      <c r="G737" t="str">
        <f>"05-523"</f>
        <v>05-523</v>
      </c>
      <c r="H737" t="str">
        <f>"B"</f>
        <v>B</v>
      </c>
    </row>
    <row r="738" spans="1:8" x14ac:dyDescent="0.2">
      <c r="A738" t="str">
        <f t="shared" si="271"/>
        <v>0614092008</v>
      </c>
      <c r="B738" t="str">
        <f t="shared" si="272"/>
        <v>NATHANIEL</v>
      </c>
      <c r="C738" t="str">
        <f t="shared" si="273"/>
        <v>ATELUS</v>
      </c>
      <c r="D738">
        <f>11</f>
        <v>11</v>
      </c>
      <c r="E738" t="str">
        <f>"03 - A - 106 - Jerry S Jiampetti"</f>
        <v>03 - A - 106 - Jerry S Jiampetti</v>
      </c>
      <c r="F738" t="str">
        <f>"US HISTORY HON"</f>
        <v>US HISTORY HON</v>
      </c>
      <c r="G738" t="str">
        <f>"17-1751"</f>
        <v>17-1751</v>
      </c>
      <c r="H738" t="str">
        <f>"A"</f>
        <v>A</v>
      </c>
    </row>
    <row r="739" spans="1:8" x14ac:dyDescent="0.2">
      <c r="A739" t="str">
        <f t="shared" si="271"/>
        <v>0614092008</v>
      </c>
      <c r="B739" t="str">
        <f t="shared" si="272"/>
        <v>NATHANIEL</v>
      </c>
      <c r="C739" t="str">
        <f t="shared" si="273"/>
        <v>ATELUS</v>
      </c>
      <c r="D739">
        <f>11</f>
        <v>11</v>
      </c>
      <c r="E739" t="str">
        <f>"02 - A - 102 - Brook E Goren"</f>
        <v>02 - A - 102 - Brook E Goren</v>
      </c>
      <c r="F739" t="str">
        <f>"NC STUDY HALL 1"</f>
        <v>NC STUDY HALL 1</v>
      </c>
      <c r="G739" t="str">
        <f>"21-2158"</f>
        <v>21-2158</v>
      </c>
      <c r="H739" t="str">
        <f>"A"</f>
        <v>A</v>
      </c>
    </row>
    <row r="740" spans="1:8" x14ac:dyDescent="0.2">
      <c r="A740" t="str">
        <f t="shared" si="271"/>
        <v>0614092008</v>
      </c>
      <c r="B740" t="str">
        <f t="shared" si="272"/>
        <v>NATHANIEL</v>
      </c>
      <c r="C740" t="str">
        <f t="shared" si="273"/>
        <v>ATELUS</v>
      </c>
      <c r="D740">
        <f>11</f>
        <v>11</v>
      </c>
      <c r="E740" t="str">
        <f>"07 - B - 102 - Thomas G Handwerg"</f>
        <v>07 - B - 102 - Thomas G Handwerg</v>
      </c>
      <c r="F740" t="str">
        <f>"PROB STAT W/APPS HON"</f>
        <v>PROB STAT W/APPS HON</v>
      </c>
      <c r="G740" t="str">
        <f>"21-2146"</f>
        <v>21-2146</v>
      </c>
      <c r="H740" t="str">
        <f>"B"</f>
        <v>B</v>
      </c>
    </row>
    <row r="741" spans="1:8" x14ac:dyDescent="0.2">
      <c r="A741" t="str">
        <f t="shared" si="271"/>
        <v>0614092008</v>
      </c>
      <c r="B741" t="str">
        <f t="shared" si="272"/>
        <v>NATHANIEL</v>
      </c>
      <c r="C741" t="str">
        <f t="shared" si="273"/>
        <v>ATELUS</v>
      </c>
      <c r="D741">
        <f>11</f>
        <v>11</v>
      </c>
      <c r="E741" t="str">
        <f>"05 - B - 103 - Heidi M Knopp"</f>
        <v>05 - B - 103 - Heidi M Knopp</v>
      </c>
      <c r="F741" t="str">
        <f>"ENG HON 3"</f>
        <v>ENG HON 3</v>
      </c>
      <c r="G741" t="str">
        <f>"17-1723"</f>
        <v>17-1723</v>
      </c>
      <c r="H741" t="str">
        <f>"B"</f>
        <v>B</v>
      </c>
    </row>
    <row r="742" spans="1:8" x14ac:dyDescent="0.2">
      <c r="A742" t="str">
        <f t="shared" si="271"/>
        <v>0614092008</v>
      </c>
      <c r="B742" t="str">
        <f t="shared" si="272"/>
        <v>NATHANIEL</v>
      </c>
      <c r="C742" t="str">
        <f t="shared" si="273"/>
        <v>ATELUS</v>
      </c>
      <c r="D742">
        <f>11</f>
        <v>11</v>
      </c>
      <c r="E742" t="str">
        <f>"01 - S1 - A - 101 - Jordana K Hass"</f>
        <v>01 - S1 - A - 101 - Jordana K Hass</v>
      </c>
      <c r="F742" t="str">
        <f>"PRIN OF AERO SCI"</f>
        <v>PRIN OF AERO SCI</v>
      </c>
      <c r="G742" t="str">
        <f>"08-807"</f>
        <v>08-807</v>
      </c>
      <c r="H742" t="str">
        <f>"A"</f>
        <v>A</v>
      </c>
    </row>
    <row r="743" spans="1:8" x14ac:dyDescent="0.2">
      <c r="A743" t="str">
        <f t="shared" si="271"/>
        <v>0614092008</v>
      </c>
      <c r="B743" t="str">
        <f t="shared" si="272"/>
        <v>NATHANIEL</v>
      </c>
      <c r="C743" t="str">
        <f t="shared" si="273"/>
        <v>ATELUS</v>
      </c>
      <c r="D743">
        <f>11</f>
        <v>11</v>
      </c>
      <c r="E743" t="str">
        <f>"08 - B - 001 - Scott A Dethloff"</f>
        <v>08 - B - 001 - Scott A Dethloff</v>
      </c>
      <c r="F743" t="str">
        <f>"CHEMISTRY 1 HON"</f>
        <v>CHEMISTRY 1 HON</v>
      </c>
      <c r="G743" t="str">
        <f>"08-812"</f>
        <v>08-812</v>
      </c>
      <c r="H743" t="str">
        <f>"B"</f>
        <v>B</v>
      </c>
    </row>
    <row r="744" spans="1:8" x14ac:dyDescent="0.2">
      <c r="A744" t="str">
        <f t="shared" ref="A744:A751" si="274">"0614051870"</f>
        <v>0614051870</v>
      </c>
      <c r="B744" t="str">
        <f t="shared" ref="B744:B751" si="275">"AJONTE"</f>
        <v>AJONTE</v>
      </c>
      <c r="C744" t="str">
        <f t="shared" ref="C744:C751" si="276">"ATTERBURY"</f>
        <v>ATTERBURY</v>
      </c>
      <c r="D744">
        <f>10</f>
        <v>10</v>
      </c>
      <c r="E744" t="str">
        <f>"04 - A - 104 - Laselleda D Shaw"</f>
        <v>04 - A - 104 - Laselleda D Shaw</v>
      </c>
      <c r="F744" t="str">
        <f>"INTENS READ 2"</f>
        <v>INTENS READ 2</v>
      </c>
      <c r="G744" t="str">
        <f>"17-1723"</f>
        <v>17-1723</v>
      </c>
      <c r="H744" t="str">
        <f>"A"</f>
        <v>A</v>
      </c>
    </row>
    <row r="745" spans="1:8" x14ac:dyDescent="0.2">
      <c r="A745" t="str">
        <f t="shared" si="274"/>
        <v>0614051870</v>
      </c>
      <c r="B745" t="str">
        <f t="shared" si="275"/>
        <v>AJONTE</v>
      </c>
      <c r="C745" t="str">
        <f t="shared" si="276"/>
        <v>ATTERBURY</v>
      </c>
      <c r="D745">
        <f>10</f>
        <v>10</v>
      </c>
      <c r="E745" t="str">
        <f>"06 - B - 104 - Robert H Rindner"</f>
        <v>06 - B - 104 - Robert H Rindner</v>
      </c>
      <c r="F745" t="str">
        <f>"NC STUDY HALL 1"</f>
        <v>NC STUDY HALL 1</v>
      </c>
      <c r="G745" t="str">
        <f>"21-2160"</f>
        <v>21-2160</v>
      </c>
      <c r="H745" t="str">
        <f>"B"</f>
        <v>B</v>
      </c>
    </row>
    <row r="746" spans="1:8" x14ac:dyDescent="0.2">
      <c r="A746" t="str">
        <f t="shared" si="274"/>
        <v>0614051870</v>
      </c>
      <c r="B746" t="str">
        <f t="shared" si="275"/>
        <v>AJONTE</v>
      </c>
      <c r="C746" t="str">
        <f t="shared" si="276"/>
        <v>ATTERBURY</v>
      </c>
      <c r="D746">
        <f>10</f>
        <v>10</v>
      </c>
      <c r="E746" t="str">
        <f>"03 - A - 204 - Lytrell T Dixon"</f>
        <v>03 - A - 204 - Lytrell T Dixon</v>
      </c>
      <c r="F746" t="str">
        <f>"BIOLOGY 1"</f>
        <v>BIOLOGY 1</v>
      </c>
      <c r="G746" t="str">
        <f>"08-808"</f>
        <v>08-808</v>
      </c>
      <c r="H746" t="str">
        <f>"A"</f>
        <v>A</v>
      </c>
    </row>
    <row r="747" spans="1:8" x14ac:dyDescent="0.2">
      <c r="A747" t="str">
        <f t="shared" si="274"/>
        <v>0614051870</v>
      </c>
      <c r="B747" t="str">
        <f t="shared" si="275"/>
        <v>AJONTE</v>
      </c>
      <c r="C747" t="str">
        <f t="shared" si="276"/>
        <v>ATTERBURY</v>
      </c>
      <c r="D747">
        <f>10</f>
        <v>10</v>
      </c>
      <c r="E747" t="str">
        <f>"02 - A - 104 - Joe  Kilpatrick Jr"</f>
        <v>02 - A - 104 - Joe  Kilpatrick Jr</v>
      </c>
      <c r="F747" t="str">
        <f>"PRE-AICE SPAN 2 IG"</f>
        <v>PRE-AICE SPAN 2 IG</v>
      </c>
      <c r="G747" t="str">
        <f>"09-912"</f>
        <v>09-912</v>
      </c>
      <c r="H747" t="str">
        <f>"A"</f>
        <v>A</v>
      </c>
    </row>
    <row r="748" spans="1:8" x14ac:dyDescent="0.2">
      <c r="A748" t="str">
        <f t="shared" si="274"/>
        <v>0614051870</v>
      </c>
      <c r="B748" t="str">
        <f t="shared" si="275"/>
        <v>AJONTE</v>
      </c>
      <c r="C748" t="str">
        <f t="shared" si="276"/>
        <v>ATTERBURY</v>
      </c>
      <c r="D748">
        <f>10</f>
        <v>10</v>
      </c>
      <c r="E748" t="str">
        <f>"07 - B - 107 - Brook E Goren"</f>
        <v>07 - B - 107 - Brook E Goren</v>
      </c>
      <c r="F748" t="str">
        <f>"PRE-AICE MATH 2 IG"</f>
        <v>PRE-AICE MATH 2 IG</v>
      </c>
      <c r="G748" t="str">
        <f>"21-2158"</f>
        <v>21-2158</v>
      </c>
      <c r="H748" t="str">
        <f>"B"</f>
        <v>B</v>
      </c>
    </row>
    <row r="749" spans="1:8" x14ac:dyDescent="0.2">
      <c r="A749" t="str">
        <f t="shared" si="274"/>
        <v>0614051870</v>
      </c>
      <c r="B749" t="str">
        <f t="shared" si="275"/>
        <v>AJONTE</v>
      </c>
      <c r="C749" t="str">
        <f t="shared" si="276"/>
        <v>ATTERBURY</v>
      </c>
      <c r="D749">
        <f>10</f>
        <v>10</v>
      </c>
      <c r="E749" t="str">
        <f>"05 - B - 106 - Jacquelyn M Neeson"</f>
        <v>05 - B - 106 - Jacquelyn M Neeson</v>
      </c>
      <c r="F749" t="str">
        <f>"ENG 2"</f>
        <v>ENG 2</v>
      </c>
      <c r="G749" t="str">
        <f>"17-1715"</f>
        <v>17-1715</v>
      </c>
      <c r="H749" t="str">
        <f>"B"</f>
        <v>B</v>
      </c>
    </row>
    <row r="750" spans="1:8" x14ac:dyDescent="0.2">
      <c r="A750" t="str">
        <f t="shared" si="274"/>
        <v>0614051870</v>
      </c>
      <c r="B750" t="str">
        <f t="shared" si="275"/>
        <v>AJONTE</v>
      </c>
      <c r="C750" t="str">
        <f t="shared" si="276"/>
        <v>ATTERBURY</v>
      </c>
      <c r="D750">
        <f>10</f>
        <v>10</v>
      </c>
      <c r="E750" t="str">
        <f>"01 - S1 - A - 101 - Lissa C Frederique"</f>
        <v>01 - S1 - A - 101 - Lissa C Frederique</v>
      </c>
      <c r="F750" t="str">
        <f>"PERS FIN &amp; MON MGT H"</f>
        <v>PERS FIN &amp; MON MGT H</v>
      </c>
      <c r="G750" t="str">
        <f>"17-1754"</f>
        <v>17-1754</v>
      </c>
      <c r="H750" t="str">
        <f>"A"</f>
        <v>A</v>
      </c>
    </row>
    <row r="751" spans="1:8" x14ac:dyDescent="0.2">
      <c r="A751" t="str">
        <f t="shared" si="274"/>
        <v>0614051870</v>
      </c>
      <c r="B751" t="str">
        <f t="shared" si="275"/>
        <v>AJONTE</v>
      </c>
      <c r="C751" t="str">
        <f t="shared" si="276"/>
        <v>ATTERBURY</v>
      </c>
      <c r="D751">
        <f>10</f>
        <v>10</v>
      </c>
      <c r="E751" t="str">
        <f>"08 - B - 105 - Daniel S Tyson"</f>
        <v>08 - B - 105 - Daniel S Tyson</v>
      </c>
      <c r="F751" t="str">
        <f>"JROTC NAVAL SCI 2"</f>
        <v>JROTC NAVAL SCI 2</v>
      </c>
      <c r="G751" t="str">
        <f>"05-510"</f>
        <v>05-510</v>
      </c>
      <c r="H751" t="str">
        <f>"B"</f>
        <v>B</v>
      </c>
    </row>
    <row r="752" spans="1:8" x14ac:dyDescent="0.2">
      <c r="A752" t="str">
        <f t="shared" ref="A752:A760" si="277">"0613083617"</f>
        <v>0613083617</v>
      </c>
      <c r="B752" t="str">
        <f t="shared" ref="B752:B760" si="278">"EVANGELINE"</f>
        <v>EVANGELINE</v>
      </c>
      <c r="C752" t="str">
        <f t="shared" ref="C752:C760" si="279">"AUGUSTE"</f>
        <v>AUGUSTE</v>
      </c>
      <c r="D752">
        <f>10</f>
        <v>10</v>
      </c>
      <c r="E752" t="str">
        <f>"04 - A - 101 - Staci M Newton"</f>
        <v>04 - A - 101 - Staci M Newton</v>
      </c>
      <c r="F752" t="str">
        <f>"ACCESS HEALTH/SAFETY"</f>
        <v>ACCESS HEALTH/SAFETY</v>
      </c>
      <c r="G752" t="str">
        <f t="shared" ref="G752:G758" si="280">"21-2103"</f>
        <v>21-2103</v>
      </c>
      <c r="H752" t="str">
        <f>"A"</f>
        <v>A</v>
      </c>
    </row>
    <row r="753" spans="1:8" x14ac:dyDescent="0.2">
      <c r="A753" t="str">
        <f t="shared" si="277"/>
        <v>0613083617</v>
      </c>
      <c r="B753" t="str">
        <f t="shared" si="278"/>
        <v>EVANGELINE</v>
      </c>
      <c r="C753" t="str">
        <f t="shared" si="279"/>
        <v>AUGUSTE</v>
      </c>
      <c r="D753">
        <f>10</f>
        <v>10</v>
      </c>
      <c r="E753" t="str">
        <f>"06 - B - 101 - Staci M Newton"</f>
        <v>06 - B - 101 - Staci M Newton</v>
      </c>
      <c r="F753" t="str">
        <f>"NC STUDY HALL 1"</f>
        <v>NC STUDY HALL 1</v>
      </c>
      <c r="G753" t="str">
        <f t="shared" si="280"/>
        <v>21-2103</v>
      </c>
      <c r="H753" t="str">
        <f>"B"</f>
        <v>B</v>
      </c>
    </row>
    <row r="754" spans="1:8" x14ac:dyDescent="0.2">
      <c r="A754" t="str">
        <f t="shared" si="277"/>
        <v>0613083617</v>
      </c>
      <c r="B754" t="str">
        <f t="shared" si="278"/>
        <v>EVANGELINE</v>
      </c>
      <c r="C754" t="str">
        <f t="shared" si="279"/>
        <v>AUGUSTE</v>
      </c>
      <c r="D754">
        <f>10</f>
        <v>10</v>
      </c>
      <c r="E754" t="str">
        <f>"03 - A - 101 - Staci M Newton"</f>
        <v>03 - A - 101 - Staci M Newton</v>
      </c>
      <c r="F754" t="str">
        <f>"ACCESS E/S SCIENCE"</f>
        <v>ACCESS E/S SCIENCE</v>
      </c>
      <c r="G754" t="str">
        <f t="shared" si="280"/>
        <v>21-2103</v>
      </c>
      <c r="H754" t="str">
        <f>"A"</f>
        <v>A</v>
      </c>
    </row>
    <row r="755" spans="1:8" x14ac:dyDescent="0.2">
      <c r="A755" t="str">
        <f t="shared" si="277"/>
        <v>0613083617</v>
      </c>
      <c r="B755" t="str">
        <f t="shared" si="278"/>
        <v>EVANGELINE</v>
      </c>
      <c r="C755" t="str">
        <f t="shared" si="279"/>
        <v>AUGUSTE</v>
      </c>
      <c r="D755">
        <f>10</f>
        <v>10</v>
      </c>
      <c r="E755" t="str">
        <f>"02 - A - 101 - Staci M Newton"</f>
        <v>02 - A - 101 - Staci M Newton</v>
      </c>
      <c r="F755" t="str">
        <f>"ACCESS ALGEBRA 1B"</f>
        <v>ACCESS ALGEBRA 1B</v>
      </c>
      <c r="G755" t="str">
        <f t="shared" si="280"/>
        <v>21-2103</v>
      </c>
      <c r="H755" t="str">
        <f>"A"</f>
        <v>A</v>
      </c>
    </row>
    <row r="756" spans="1:8" x14ac:dyDescent="0.2">
      <c r="A756" t="str">
        <f t="shared" si="277"/>
        <v>0613083617</v>
      </c>
      <c r="B756" t="str">
        <f t="shared" si="278"/>
        <v>EVANGELINE</v>
      </c>
      <c r="C756" t="str">
        <f t="shared" si="279"/>
        <v>AUGUSTE</v>
      </c>
      <c r="D756">
        <f>10</f>
        <v>10</v>
      </c>
      <c r="E756" t="str">
        <f>"07 - B - 101 - Staci M Newton"</f>
        <v>07 - B - 101 - Staci M Newton</v>
      </c>
      <c r="F756" t="str">
        <f>"CAREER ED: 9-12"</f>
        <v>CAREER ED: 9-12</v>
      </c>
      <c r="G756" t="str">
        <f t="shared" si="280"/>
        <v>21-2103</v>
      </c>
      <c r="H756" t="str">
        <f>"B"</f>
        <v>B</v>
      </c>
    </row>
    <row r="757" spans="1:8" x14ac:dyDescent="0.2">
      <c r="A757" t="str">
        <f t="shared" si="277"/>
        <v>0613083617</v>
      </c>
      <c r="B757" t="str">
        <f t="shared" si="278"/>
        <v>EVANGELINE</v>
      </c>
      <c r="C757" t="str">
        <f t="shared" si="279"/>
        <v>AUGUSTE</v>
      </c>
      <c r="D757">
        <f>10</f>
        <v>10</v>
      </c>
      <c r="E757" t="str">
        <f>"05 - B - 101 - Staci M Newton"</f>
        <v>05 - B - 101 - Staci M Newton</v>
      </c>
      <c r="F757" t="str">
        <f>"ACCESS US HISTORY"</f>
        <v>ACCESS US HISTORY</v>
      </c>
      <c r="G757" t="str">
        <f t="shared" si="280"/>
        <v>21-2103</v>
      </c>
      <c r="H757" t="str">
        <f>"B"</f>
        <v>B</v>
      </c>
    </row>
    <row r="758" spans="1:8" x14ac:dyDescent="0.2">
      <c r="A758" t="str">
        <f t="shared" si="277"/>
        <v>0613083617</v>
      </c>
      <c r="B758" t="str">
        <f t="shared" si="278"/>
        <v>EVANGELINE</v>
      </c>
      <c r="C758" t="str">
        <f t="shared" si="279"/>
        <v>AUGUSTE</v>
      </c>
      <c r="D758">
        <f>10</f>
        <v>10</v>
      </c>
      <c r="E758" t="str">
        <f>"01 - A - 101 - Staci M Newton"</f>
        <v>01 - A - 101 - Staci M Newton</v>
      </c>
      <c r="F758" t="str">
        <f>"ACCESS ENGLISH 2"</f>
        <v>ACCESS ENGLISH 2</v>
      </c>
      <c r="G758" t="str">
        <f t="shared" si="280"/>
        <v>21-2103</v>
      </c>
      <c r="H758" t="str">
        <f>"A"</f>
        <v>A</v>
      </c>
    </row>
    <row r="759" spans="1:8" x14ac:dyDescent="0.2">
      <c r="A759" t="str">
        <f t="shared" si="277"/>
        <v>0613083617</v>
      </c>
      <c r="B759" t="str">
        <f t="shared" si="278"/>
        <v>EVANGELINE</v>
      </c>
      <c r="C759" t="str">
        <f t="shared" si="279"/>
        <v>AUGUSTE</v>
      </c>
      <c r="D759">
        <f>10</f>
        <v>10</v>
      </c>
      <c r="E759" t="str">
        <f>"01 - A - 101 - Eric  Lopapa"</f>
        <v>01 - A - 101 - Eric  Lopapa</v>
      </c>
      <c r="F759" t="str">
        <f>"LANG THERAPY"</f>
        <v>LANG THERAPY</v>
      </c>
      <c r="G759" t="str">
        <f>"21-2110"</f>
        <v>21-2110</v>
      </c>
      <c r="H759" t="str">
        <f>"A"</f>
        <v>A</v>
      </c>
    </row>
    <row r="760" spans="1:8" x14ac:dyDescent="0.2">
      <c r="A760" t="str">
        <f t="shared" si="277"/>
        <v>0613083617</v>
      </c>
      <c r="B760" t="str">
        <f t="shared" si="278"/>
        <v>EVANGELINE</v>
      </c>
      <c r="C760" t="str">
        <f t="shared" si="279"/>
        <v>AUGUSTE</v>
      </c>
      <c r="D760">
        <f>10</f>
        <v>10</v>
      </c>
      <c r="E760" t="str">
        <f>"08 - B - 101 - Justin D Willard"</f>
        <v>08 - B - 101 - Justin D Willard</v>
      </c>
      <c r="F760" t="str">
        <f>"U SKLS: SOC&amp;EMO 9-12"</f>
        <v>U SKLS: SOC&amp;EMO 9-12</v>
      </c>
      <c r="G760" t="str">
        <f>"21-2111"</f>
        <v>21-2111</v>
      </c>
      <c r="H760" t="str">
        <f>"B"</f>
        <v>B</v>
      </c>
    </row>
    <row r="761" spans="1:8" x14ac:dyDescent="0.2">
      <c r="A761" t="str">
        <f t="shared" ref="A761:A768" si="281">"0618074473"</f>
        <v>0618074473</v>
      </c>
      <c r="B761" t="str">
        <f t="shared" ref="B761:B768" si="282">"ABIGAIL"</f>
        <v>ABIGAIL</v>
      </c>
      <c r="C761" t="str">
        <f t="shared" ref="C761:C792" si="283">"AUGUSTIN"</f>
        <v>AUGUSTIN</v>
      </c>
      <c r="D761">
        <f>10</f>
        <v>10</v>
      </c>
      <c r="E761" t="str">
        <f>"04 - A - 104 - Courtney E Hambright"</f>
        <v>04 - A - 104 - Courtney E Hambright</v>
      </c>
      <c r="F761" t="str">
        <f>"AICE ENG LANG AS"</f>
        <v>AICE ENG LANG AS</v>
      </c>
      <c r="G761" t="str">
        <f>"17-1711"</f>
        <v>17-1711</v>
      </c>
      <c r="H761" t="str">
        <f>"A"</f>
        <v>A</v>
      </c>
    </row>
    <row r="762" spans="1:8" x14ac:dyDescent="0.2">
      <c r="A762" t="str">
        <f t="shared" si="281"/>
        <v>0618074473</v>
      </c>
      <c r="B762" t="str">
        <f t="shared" si="282"/>
        <v>ABIGAIL</v>
      </c>
      <c r="C762" t="str">
        <f t="shared" si="283"/>
        <v>AUGUSTIN</v>
      </c>
      <c r="D762">
        <f>10</f>
        <v>10</v>
      </c>
      <c r="E762" t="str">
        <f>"06 - B - 116 - Jordana K Hass"</f>
        <v>06 - B - 116 - Jordana K Hass</v>
      </c>
      <c r="F762" t="str">
        <f>"NC STUDY HALL 1"</f>
        <v>NC STUDY HALL 1</v>
      </c>
      <c r="G762" t="str">
        <f>"08-807"</f>
        <v>08-807</v>
      </c>
      <c r="H762" t="str">
        <f>"B"</f>
        <v>B</v>
      </c>
    </row>
    <row r="763" spans="1:8" x14ac:dyDescent="0.2">
      <c r="A763" t="str">
        <f t="shared" si="281"/>
        <v>0618074473</v>
      </c>
      <c r="B763" t="str">
        <f t="shared" si="282"/>
        <v>ABIGAIL</v>
      </c>
      <c r="C763" t="str">
        <f t="shared" si="283"/>
        <v>AUGUSTIN</v>
      </c>
      <c r="D763">
        <f>10</f>
        <v>10</v>
      </c>
      <c r="E763" t="str">
        <f>"03 - A - 104 - Brook E Goren"</f>
        <v>03 - A - 104 - Brook E Goren</v>
      </c>
      <c r="F763" t="str">
        <f>"ALGEBRA 2 HON"</f>
        <v>ALGEBRA 2 HON</v>
      </c>
      <c r="G763" t="str">
        <f>"21-2158"</f>
        <v>21-2158</v>
      </c>
      <c r="H763" t="str">
        <f>"A"</f>
        <v>A</v>
      </c>
    </row>
    <row r="764" spans="1:8" x14ac:dyDescent="0.2">
      <c r="A764" t="str">
        <f t="shared" si="281"/>
        <v>0618074473</v>
      </c>
      <c r="B764" t="str">
        <f t="shared" si="282"/>
        <v>ABIGAIL</v>
      </c>
      <c r="C764" t="str">
        <f t="shared" si="283"/>
        <v>AUGUSTIN</v>
      </c>
      <c r="D764">
        <f>10</f>
        <v>10</v>
      </c>
      <c r="E764" t="str">
        <f>"02 - A - 102 - Vanessa J Liburd"</f>
        <v>02 - A - 102 - Vanessa J Liburd</v>
      </c>
      <c r="F764" t="str">
        <f>"PRE-AICE FRENCH 2 IG"</f>
        <v>PRE-AICE FRENCH 2 IG</v>
      </c>
      <c r="G764" t="str">
        <f>"05-519"</f>
        <v>05-519</v>
      </c>
      <c r="H764" t="str">
        <f>"A"</f>
        <v>A</v>
      </c>
    </row>
    <row r="765" spans="1:8" x14ac:dyDescent="0.2">
      <c r="A765" t="str">
        <f t="shared" si="281"/>
        <v>0618074473</v>
      </c>
      <c r="B765" t="str">
        <f t="shared" si="282"/>
        <v>ABIGAIL</v>
      </c>
      <c r="C765" t="str">
        <f t="shared" si="283"/>
        <v>AUGUSTIN</v>
      </c>
      <c r="D765">
        <f>10</f>
        <v>10</v>
      </c>
      <c r="E765" t="str">
        <f>"07 - B - 107 - Adam Marcus  Drucker"</f>
        <v>07 - B - 107 - Adam Marcus  Drucker</v>
      </c>
      <c r="F765" t="str">
        <f>"HOPE-PE V"</f>
        <v>HOPE-PE V</v>
      </c>
      <c r="G765" t="str">
        <f>"04-254"</f>
        <v>04-254</v>
      </c>
      <c r="H765" t="str">
        <f>"B"</f>
        <v>B</v>
      </c>
    </row>
    <row r="766" spans="1:8" x14ac:dyDescent="0.2">
      <c r="A766" t="str">
        <f t="shared" si="281"/>
        <v>0618074473</v>
      </c>
      <c r="B766" t="str">
        <f t="shared" si="282"/>
        <v>ABIGAIL</v>
      </c>
      <c r="C766" t="str">
        <f t="shared" si="283"/>
        <v>AUGUSTIN</v>
      </c>
      <c r="D766">
        <f>10</f>
        <v>10</v>
      </c>
      <c r="E766" t="str">
        <f>"05 - B - 108 - Valerie J Ruwe"</f>
        <v>05 - B - 108 - Valerie J Ruwe</v>
      </c>
      <c r="F766" t="str">
        <f>"CHEMISTRY 1 HON"</f>
        <v>CHEMISTRY 1 HON</v>
      </c>
      <c r="G766" t="str">
        <f>"21-2138"</f>
        <v>21-2138</v>
      </c>
      <c r="H766" t="str">
        <f>"B"</f>
        <v>B</v>
      </c>
    </row>
    <row r="767" spans="1:8" x14ac:dyDescent="0.2">
      <c r="A767" t="str">
        <f t="shared" si="281"/>
        <v>0618074473</v>
      </c>
      <c r="B767" t="str">
        <f t="shared" si="282"/>
        <v>ABIGAIL</v>
      </c>
      <c r="C767" t="str">
        <f t="shared" si="283"/>
        <v>AUGUSTIN</v>
      </c>
      <c r="D767">
        <f>10</f>
        <v>10</v>
      </c>
      <c r="E767" t="str">
        <f>"01 - S1 - A - 101 - Lissa C Frederique"</f>
        <v>01 - S1 - A - 101 - Lissa C Frederique</v>
      </c>
      <c r="F767" t="str">
        <f>"PERS FIN &amp; MON MGT H"</f>
        <v>PERS FIN &amp; MON MGT H</v>
      </c>
      <c r="G767" t="str">
        <f>"17-1754"</f>
        <v>17-1754</v>
      </c>
      <c r="H767" t="str">
        <f>"A"</f>
        <v>A</v>
      </c>
    </row>
    <row r="768" spans="1:8" x14ac:dyDescent="0.2">
      <c r="A768" t="str">
        <f t="shared" si="281"/>
        <v>0618074473</v>
      </c>
      <c r="B768" t="str">
        <f t="shared" si="282"/>
        <v>ABIGAIL</v>
      </c>
      <c r="C768" t="str">
        <f t="shared" si="283"/>
        <v>AUGUSTIN</v>
      </c>
      <c r="D768">
        <f>10</f>
        <v>10</v>
      </c>
      <c r="E768" t="str">
        <f>"08 - B - 201 - Lenecy  Nodarse"</f>
        <v>08 - B - 201 - Lenecy  Nodarse</v>
      </c>
      <c r="F768" t="str">
        <f>"AICE EURO HIST 1 AS"</f>
        <v>AICE EURO HIST 1 AS</v>
      </c>
      <c r="G768" t="str">
        <f>"17-1741"</f>
        <v>17-1741</v>
      </c>
      <c r="H768" t="str">
        <f>"B"</f>
        <v>B</v>
      </c>
    </row>
    <row r="769" spans="1:8" x14ac:dyDescent="0.2">
      <c r="A769" t="str">
        <f t="shared" ref="A769:A776" si="284">"0616037847"</f>
        <v>0616037847</v>
      </c>
      <c r="B769" t="str">
        <f t="shared" ref="B769:B776" si="285">"CHRISTELL"</f>
        <v>CHRISTELL</v>
      </c>
      <c r="C769" t="str">
        <f t="shared" si="283"/>
        <v>AUGUSTIN</v>
      </c>
      <c r="D769">
        <f>10</f>
        <v>10</v>
      </c>
      <c r="E769" t="str">
        <f>"04 - A - 101 - Thomas G Handwerg"</f>
        <v>04 - A - 101 - Thomas G Handwerg</v>
      </c>
      <c r="F769" t="str">
        <f>"MATH COLL ALGEBRA"</f>
        <v>MATH COLL ALGEBRA</v>
      </c>
      <c r="G769" t="str">
        <f>"21-2146"</f>
        <v>21-2146</v>
      </c>
      <c r="H769" t="str">
        <f>"A"</f>
        <v>A</v>
      </c>
    </row>
    <row r="770" spans="1:8" x14ac:dyDescent="0.2">
      <c r="A770" t="str">
        <f t="shared" si="284"/>
        <v>0616037847</v>
      </c>
      <c r="B770" t="str">
        <f t="shared" si="285"/>
        <v>CHRISTELL</v>
      </c>
      <c r="C770" t="str">
        <f t="shared" si="283"/>
        <v>AUGUSTIN</v>
      </c>
      <c r="D770">
        <f>10</f>
        <v>10</v>
      </c>
      <c r="E770" t="str">
        <f>"06 - B - 103 - Thomas G Handwerg"</f>
        <v>06 - B - 103 - Thomas G Handwerg</v>
      </c>
      <c r="F770" t="str">
        <f>"NC STUDY HALL 1"</f>
        <v>NC STUDY HALL 1</v>
      </c>
      <c r="G770" t="str">
        <f>"21-2146"</f>
        <v>21-2146</v>
      </c>
      <c r="H770" t="str">
        <f>"B"</f>
        <v>B</v>
      </c>
    </row>
    <row r="771" spans="1:8" x14ac:dyDescent="0.2">
      <c r="A771" t="str">
        <f t="shared" si="284"/>
        <v>0616037847</v>
      </c>
      <c r="B771" t="str">
        <f t="shared" si="285"/>
        <v>CHRISTELL</v>
      </c>
      <c r="C771" t="str">
        <f t="shared" si="283"/>
        <v>AUGUSTIN</v>
      </c>
      <c r="D771">
        <f>10</f>
        <v>10</v>
      </c>
      <c r="E771" t="str">
        <f>"03 - A - 201 - Alejandro  Navarro"</f>
        <v>03 - A - 201 - Alejandro  Navarro</v>
      </c>
      <c r="F771" t="str">
        <f>"BAND 2"</f>
        <v>BAND 2</v>
      </c>
      <c r="G771" t="str">
        <f>"05-504"</f>
        <v>05-504</v>
      </c>
      <c r="H771" t="str">
        <f>"A"</f>
        <v>A</v>
      </c>
    </row>
    <row r="772" spans="1:8" x14ac:dyDescent="0.2">
      <c r="A772" t="str">
        <f t="shared" si="284"/>
        <v>0616037847</v>
      </c>
      <c r="B772" t="str">
        <f t="shared" si="285"/>
        <v>CHRISTELL</v>
      </c>
      <c r="C772" t="str">
        <f t="shared" si="283"/>
        <v>AUGUSTIN</v>
      </c>
      <c r="D772">
        <f>10</f>
        <v>10</v>
      </c>
      <c r="E772" t="str">
        <f>"02 - A - 102 - Marius D Orsolini"</f>
        <v>02 - A - 102 - Marius D Orsolini</v>
      </c>
      <c r="F772" t="str">
        <f>"CULINARY ARTS 1"</f>
        <v>CULINARY ARTS 1</v>
      </c>
      <c r="G772" t="str">
        <f>"21-2115"</f>
        <v>21-2115</v>
      </c>
      <c r="H772" t="str">
        <f>"A"</f>
        <v>A</v>
      </c>
    </row>
    <row r="773" spans="1:8" x14ac:dyDescent="0.2">
      <c r="A773" t="str">
        <f t="shared" si="284"/>
        <v>0616037847</v>
      </c>
      <c r="B773" t="str">
        <f t="shared" si="285"/>
        <v>CHRISTELL</v>
      </c>
      <c r="C773" t="str">
        <f t="shared" si="283"/>
        <v>AUGUSTIN</v>
      </c>
      <c r="D773">
        <f>10</f>
        <v>10</v>
      </c>
      <c r="E773" t="str">
        <f>"07 - B - 206 - Cheryl L Beach"</f>
        <v>07 - B - 206 - Cheryl L Beach</v>
      </c>
      <c r="F773" t="str">
        <f>"AICE ENV MGMNT AS"</f>
        <v>AICE ENV MGMNT AS</v>
      </c>
      <c r="G773" t="str">
        <f>"08-811"</f>
        <v>08-811</v>
      </c>
      <c r="H773" t="str">
        <f>"B"</f>
        <v>B</v>
      </c>
    </row>
    <row r="774" spans="1:8" x14ac:dyDescent="0.2">
      <c r="A774" t="str">
        <f t="shared" si="284"/>
        <v>0616037847</v>
      </c>
      <c r="B774" t="str">
        <f t="shared" si="285"/>
        <v>CHRISTELL</v>
      </c>
      <c r="C774" t="str">
        <f t="shared" si="283"/>
        <v>AUGUSTIN</v>
      </c>
      <c r="D774">
        <f>10</f>
        <v>10</v>
      </c>
      <c r="E774" t="str">
        <f>"05 - B - 201 - Lisa J London"</f>
        <v>05 - B - 201 - Lisa J London</v>
      </c>
      <c r="F774" t="str">
        <f>"COMPRE LAW HON"</f>
        <v>COMPRE LAW HON</v>
      </c>
      <c r="G774" t="str">
        <f>"17-1714"</f>
        <v>17-1714</v>
      </c>
      <c r="H774" t="str">
        <f>"B"</f>
        <v>B</v>
      </c>
    </row>
    <row r="775" spans="1:8" x14ac:dyDescent="0.2">
      <c r="A775" t="str">
        <f t="shared" si="284"/>
        <v>0616037847</v>
      </c>
      <c r="B775" t="str">
        <f t="shared" si="285"/>
        <v>CHRISTELL</v>
      </c>
      <c r="C775" t="str">
        <f t="shared" si="283"/>
        <v>AUGUSTIN</v>
      </c>
      <c r="D775">
        <f>10</f>
        <v>10</v>
      </c>
      <c r="E775" t="str">
        <f>"01 - A - 006 - Emmily A Sarmiento"</f>
        <v>01 - A - 006 - Emmily A Sarmiento</v>
      </c>
      <c r="F775" t="str">
        <f>"AICE GLBL PERSP 1 AS"</f>
        <v>AICE GLBL PERSP 1 AS</v>
      </c>
      <c r="G775" t="str">
        <f>"17-1743"</f>
        <v>17-1743</v>
      </c>
      <c r="H775" t="str">
        <f>"A"</f>
        <v>A</v>
      </c>
    </row>
    <row r="776" spans="1:8" x14ac:dyDescent="0.2">
      <c r="A776" t="str">
        <f t="shared" si="284"/>
        <v>0616037847</v>
      </c>
      <c r="B776" t="str">
        <f t="shared" si="285"/>
        <v>CHRISTELL</v>
      </c>
      <c r="C776" t="str">
        <f t="shared" si="283"/>
        <v>AUGUSTIN</v>
      </c>
      <c r="D776">
        <f>10</f>
        <v>10</v>
      </c>
      <c r="E776" t="str">
        <f>"08 - B - 102 - Jacquelyn M Neeson"</f>
        <v>08 - B - 102 - Jacquelyn M Neeson</v>
      </c>
      <c r="F776" t="str">
        <f>"AICE ENG GEN PAPER 1"</f>
        <v>AICE ENG GEN PAPER 1</v>
      </c>
      <c r="G776" t="str">
        <f>"17-1715"</f>
        <v>17-1715</v>
      </c>
      <c r="H776" t="str">
        <f>"B"</f>
        <v>B</v>
      </c>
    </row>
    <row r="777" spans="1:8" x14ac:dyDescent="0.2">
      <c r="A777" t="str">
        <f t="shared" ref="A777:A784" si="286">"0614132507"</f>
        <v>0614132507</v>
      </c>
      <c r="B777" t="str">
        <f t="shared" ref="B777:B784" si="287">"CORRINE"</f>
        <v>CORRINE</v>
      </c>
      <c r="C777" t="str">
        <f t="shared" si="283"/>
        <v>AUGUSTIN</v>
      </c>
      <c r="D777">
        <f>10</f>
        <v>10</v>
      </c>
      <c r="E777" t="str">
        <f>"04 - A - 102 - Jordana K Hass"</f>
        <v>04 - A - 102 - Jordana K Hass</v>
      </c>
      <c r="F777" t="str">
        <f>"CHEMISTRY 1"</f>
        <v>CHEMISTRY 1</v>
      </c>
      <c r="G777" t="str">
        <f>"08-807"</f>
        <v>08-807</v>
      </c>
      <c r="H777" t="str">
        <f>"A"</f>
        <v>A</v>
      </c>
    </row>
    <row r="778" spans="1:8" x14ac:dyDescent="0.2">
      <c r="A778" t="str">
        <f t="shared" si="286"/>
        <v>0614132507</v>
      </c>
      <c r="B778" t="str">
        <f t="shared" si="287"/>
        <v>CORRINE</v>
      </c>
      <c r="C778" t="str">
        <f t="shared" si="283"/>
        <v>AUGUSTIN</v>
      </c>
      <c r="D778">
        <f>10</f>
        <v>10</v>
      </c>
      <c r="E778" t="str">
        <f>"06 - B - 109 - Semra  Bahadir"</f>
        <v>06 - B - 109 - Semra  Bahadir</v>
      </c>
      <c r="F778" t="str">
        <f>"NC STUDY HALL 1"</f>
        <v>NC STUDY HALL 1</v>
      </c>
      <c r="G778" t="str">
        <f>"21-2107"</f>
        <v>21-2107</v>
      </c>
      <c r="H778" t="str">
        <f>"B"</f>
        <v>B</v>
      </c>
    </row>
    <row r="779" spans="1:8" x14ac:dyDescent="0.2">
      <c r="A779" t="str">
        <f t="shared" si="286"/>
        <v>0614132507</v>
      </c>
      <c r="B779" t="str">
        <f t="shared" si="287"/>
        <v>CORRINE</v>
      </c>
      <c r="C779" t="str">
        <f t="shared" si="283"/>
        <v>AUGUSTIN</v>
      </c>
      <c r="D779">
        <f>10</f>
        <v>10</v>
      </c>
      <c r="E779" t="str">
        <f>"03 - A - 101 - Jazmin S Fletcher"</f>
        <v>03 - A - 101 - Jazmin S Fletcher</v>
      </c>
      <c r="F779" t="str">
        <f>"TECH THEA DES&amp;PROD 1"</f>
        <v>TECH THEA DES&amp;PROD 1</v>
      </c>
      <c r="G779" t="str">
        <f>"09-909"</f>
        <v>09-909</v>
      </c>
      <c r="H779" t="str">
        <f>"A"</f>
        <v>A</v>
      </c>
    </row>
    <row r="780" spans="1:8" x14ac:dyDescent="0.2">
      <c r="A780" t="str">
        <f t="shared" si="286"/>
        <v>0614132507</v>
      </c>
      <c r="B780" t="str">
        <f t="shared" si="287"/>
        <v>CORRINE</v>
      </c>
      <c r="C780" t="str">
        <f t="shared" si="283"/>
        <v>AUGUSTIN</v>
      </c>
      <c r="D780">
        <f>10</f>
        <v>10</v>
      </c>
      <c r="E780" t="str">
        <f>"02 - A - 105 - Semra  Bahadir"</f>
        <v>02 - A - 105 - Semra  Bahadir</v>
      </c>
      <c r="F780" t="str">
        <f>"ALGEBRA 2"</f>
        <v>ALGEBRA 2</v>
      </c>
      <c r="G780" t="str">
        <f>"21-2107"</f>
        <v>21-2107</v>
      </c>
      <c r="H780" t="str">
        <f>"A"</f>
        <v>A</v>
      </c>
    </row>
    <row r="781" spans="1:8" x14ac:dyDescent="0.2">
      <c r="A781" t="str">
        <f t="shared" si="286"/>
        <v>0614132507</v>
      </c>
      <c r="B781" t="str">
        <f t="shared" si="287"/>
        <v>CORRINE</v>
      </c>
      <c r="C781" t="str">
        <f t="shared" si="283"/>
        <v>AUGUSTIN</v>
      </c>
      <c r="D781">
        <f>10</f>
        <v>10</v>
      </c>
      <c r="E781" t="str">
        <f>"07 - B - 204 - Elizabeth Ellen  Moran"</f>
        <v>07 - B - 204 - Elizabeth Ellen  Moran</v>
      </c>
      <c r="F781" t="str">
        <f>"AICE EURO HIST 1 AS"</f>
        <v>AICE EURO HIST 1 AS</v>
      </c>
      <c r="G781" t="str">
        <f>"17-1752"</f>
        <v>17-1752</v>
      </c>
      <c r="H781" t="str">
        <f>"B"</f>
        <v>B</v>
      </c>
    </row>
    <row r="782" spans="1:8" x14ac:dyDescent="0.2">
      <c r="A782" t="str">
        <f t="shared" si="286"/>
        <v>0614132507</v>
      </c>
      <c r="B782" t="str">
        <f t="shared" si="287"/>
        <v>CORRINE</v>
      </c>
      <c r="C782" t="str">
        <f t="shared" si="283"/>
        <v>AUGUSTIN</v>
      </c>
      <c r="D782">
        <f>10</f>
        <v>10</v>
      </c>
      <c r="E782" t="str">
        <f>"05 - B - 103 - Vanessa J Liburd"</f>
        <v>05 - B - 103 - Vanessa J Liburd</v>
      </c>
      <c r="F782" t="str">
        <f>"PRE-AICE FRENCH 2 IG"</f>
        <v>PRE-AICE FRENCH 2 IG</v>
      </c>
      <c r="G782" t="str">
        <f>"05-519"</f>
        <v>05-519</v>
      </c>
      <c r="H782" t="str">
        <f>"B"</f>
        <v>B</v>
      </c>
    </row>
    <row r="783" spans="1:8" x14ac:dyDescent="0.2">
      <c r="A783" t="str">
        <f t="shared" si="286"/>
        <v>0614132507</v>
      </c>
      <c r="B783" t="str">
        <f t="shared" si="287"/>
        <v>CORRINE</v>
      </c>
      <c r="C783" t="str">
        <f t="shared" si="283"/>
        <v>AUGUSTIN</v>
      </c>
      <c r="D783">
        <f>10</f>
        <v>10</v>
      </c>
      <c r="E783" t="str">
        <f>"01 - A - 101 - Courtney E Hambright"</f>
        <v>01 - A - 101 - Courtney E Hambright</v>
      </c>
      <c r="F783" t="str">
        <f>"AICE ENG LANG AS"</f>
        <v>AICE ENG LANG AS</v>
      </c>
      <c r="G783" t="str">
        <f>"17-1711"</f>
        <v>17-1711</v>
      </c>
      <c r="H783" t="str">
        <f>"A"</f>
        <v>A</v>
      </c>
    </row>
    <row r="784" spans="1:8" x14ac:dyDescent="0.2">
      <c r="A784" t="str">
        <f t="shared" si="286"/>
        <v>0614132507</v>
      </c>
      <c r="B784" t="str">
        <f t="shared" si="287"/>
        <v>CORRINE</v>
      </c>
      <c r="C784" t="str">
        <f t="shared" si="283"/>
        <v>AUGUSTIN</v>
      </c>
      <c r="D784">
        <f>10</f>
        <v>10</v>
      </c>
      <c r="E784" t="str">
        <f>"08 - S1 - B - 102 - Kyle  Robbins"</f>
        <v>08 - S1 - B - 102 - Kyle  Robbins</v>
      </c>
      <c r="F784" t="str">
        <f>"PERS FIN &amp; MON MGT H"</f>
        <v>PERS FIN &amp; MON MGT H</v>
      </c>
      <c r="G784" t="str">
        <f>"17-1745"</f>
        <v>17-1745</v>
      </c>
      <c r="H784" t="str">
        <f>"B"</f>
        <v>B</v>
      </c>
    </row>
    <row r="785" spans="1:8" x14ac:dyDescent="0.2">
      <c r="A785" t="str">
        <f t="shared" ref="A785:A792" si="288">"0615106385"</f>
        <v>0615106385</v>
      </c>
      <c r="B785" t="str">
        <f t="shared" ref="B785:B792" si="289">"JESSICA"</f>
        <v>JESSICA</v>
      </c>
      <c r="C785" t="str">
        <f t="shared" si="283"/>
        <v>AUGUSTIN</v>
      </c>
      <c r="D785">
        <f>11</f>
        <v>11</v>
      </c>
      <c r="E785" t="str">
        <f>"04 - A - 102 - Brandy N Zdenek"</f>
        <v>04 - A - 102 - Brandy N Zdenek</v>
      </c>
      <c r="F785" t="str">
        <f>"AICE ENG LANG 2 AL"</f>
        <v>AICE ENG LANG 2 AL</v>
      </c>
      <c r="G785" t="str">
        <f>"17-1704"</f>
        <v>17-1704</v>
      </c>
      <c r="H785" t="str">
        <f>"A"</f>
        <v>A</v>
      </c>
    </row>
    <row r="786" spans="1:8" x14ac:dyDescent="0.2">
      <c r="A786" t="str">
        <f t="shared" si="288"/>
        <v>0615106385</v>
      </c>
      <c r="B786" t="str">
        <f t="shared" si="289"/>
        <v>JESSICA</v>
      </c>
      <c r="C786" t="str">
        <f t="shared" si="283"/>
        <v>AUGUSTIN</v>
      </c>
      <c r="D786">
        <f>11</f>
        <v>11</v>
      </c>
      <c r="E786" t="str">
        <f>"06 - B - 204 - Chrystina M Marchionne"</f>
        <v>06 - B - 204 - Chrystina M Marchionne</v>
      </c>
      <c r="F786" t="str">
        <f>"AICE MEDIASTUDIES AS"</f>
        <v>AICE MEDIASTUDIES AS</v>
      </c>
      <c r="G786" t="str">
        <f>"05-520"</f>
        <v>05-520</v>
      </c>
      <c r="H786" t="str">
        <f>"B"</f>
        <v>B</v>
      </c>
    </row>
    <row r="787" spans="1:8" x14ac:dyDescent="0.2">
      <c r="A787" t="str">
        <f t="shared" si="288"/>
        <v>0615106385</v>
      </c>
      <c r="B787" t="str">
        <f t="shared" si="289"/>
        <v>JESSICA</v>
      </c>
      <c r="C787" t="str">
        <f t="shared" si="283"/>
        <v>AUGUSTIN</v>
      </c>
      <c r="D787">
        <f>11</f>
        <v>11</v>
      </c>
      <c r="E787" t="str">
        <f>"03 - A - 101 - Timothy J Lawrence"</f>
        <v>03 - A - 101 - Timothy J Lawrence</v>
      </c>
      <c r="F787" t="str">
        <f>"AICE PHYS ED 1 AS"</f>
        <v>AICE PHYS ED 1 AS</v>
      </c>
      <c r="G787" t="str">
        <f>"05-519"</f>
        <v>05-519</v>
      </c>
      <c r="H787" t="str">
        <f>"A"</f>
        <v>A</v>
      </c>
    </row>
    <row r="788" spans="1:8" x14ac:dyDescent="0.2">
      <c r="A788" t="str">
        <f t="shared" si="288"/>
        <v>0615106385</v>
      </c>
      <c r="B788" t="str">
        <f t="shared" si="289"/>
        <v>JESSICA</v>
      </c>
      <c r="C788" t="str">
        <f t="shared" si="283"/>
        <v>AUGUSTIN</v>
      </c>
      <c r="D788">
        <f>11</f>
        <v>11</v>
      </c>
      <c r="E788" t="str">
        <f>"02 - A - 117 - Kyle  Robbins"</f>
        <v>02 - A - 117 - Kyle  Robbins</v>
      </c>
      <c r="F788" t="str">
        <f>"NC STUDY HALL 1"</f>
        <v>NC STUDY HALL 1</v>
      </c>
      <c r="G788" t="str">
        <f>"17-1745"</f>
        <v>17-1745</v>
      </c>
      <c r="H788" t="str">
        <f>"A"</f>
        <v>A</v>
      </c>
    </row>
    <row r="789" spans="1:8" x14ac:dyDescent="0.2">
      <c r="A789" t="str">
        <f t="shared" si="288"/>
        <v>0615106385</v>
      </c>
      <c r="B789" t="str">
        <f t="shared" si="289"/>
        <v>JESSICA</v>
      </c>
      <c r="C789" t="str">
        <f t="shared" si="283"/>
        <v>AUGUSTIN</v>
      </c>
      <c r="D789">
        <f>11</f>
        <v>11</v>
      </c>
      <c r="E789" t="str">
        <f>"07 - B - 002 - Jordana K Hass"</f>
        <v>07 - B - 002 - Jordana K Hass</v>
      </c>
      <c r="F789" t="str">
        <f>"CHEMISTRY 1 HON"</f>
        <v>CHEMISTRY 1 HON</v>
      </c>
      <c r="G789" t="str">
        <f>"08-807"</f>
        <v>08-807</v>
      </c>
      <c r="H789" t="str">
        <f>"B"</f>
        <v>B</v>
      </c>
    </row>
    <row r="790" spans="1:8" x14ac:dyDescent="0.2">
      <c r="A790" t="str">
        <f t="shared" si="288"/>
        <v>0615106385</v>
      </c>
      <c r="B790" t="str">
        <f t="shared" si="289"/>
        <v>JESSICA</v>
      </c>
      <c r="C790" t="str">
        <f t="shared" si="283"/>
        <v>AUGUSTIN</v>
      </c>
      <c r="D790">
        <f>11</f>
        <v>11</v>
      </c>
      <c r="E790" t="str">
        <f>"05 - B - 104 - Lourivaldo  Da Silva"</f>
        <v>05 - B - 104 - Lourivaldo  Da Silva</v>
      </c>
      <c r="F790" t="str">
        <f>"PRE-CALCULUS HON"</f>
        <v>PRE-CALCULUS HON</v>
      </c>
      <c r="G790" t="str">
        <f>"20-2079"</f>
        <v>20-2079</v>
      </c>
      <c r="H790" t="str">
        <f>"B"</f>
        <v>B</v>
      </c>
    </row>
    <row r="791" spans="1:8" x14ac:dyDescent="0.2">
      <c r="A791" t="str">
        <f t="shared" si="288"/>
        <v>0615106385</v>
      </c>
      <c r="B791" t="str">
        <f t="shared" si="289"/>
        <v>JESSICA</v>
      </c>
      <c r="C791" t="str">
        <f t="shared" si="283"/>
        <v>AUGUSTIN</v>
      </c>
      <c r="D791">
        <f>11</f>
        <v>11</v>
      </c>
      <c r="E791" t="str">
        <f>"01 - A - 001 - Stephen T Ripp"</f>
        <v>01 - A - 001 - Stephen T Ripp</v>
      </c>
      <c r="F791" t="str">
        <f>"AP U.S. HIST"</f>
        <v>AP U.S. HIST</v>
      </c>
      <c r="G791" t="str">
        <f>"17-1744"</f>
        <v>17-1744</v>
      </c>
      <c r="H791" t="str">
        <f>"A"</f>
        <v>A</v>
      </c>
    </row>
    <row r="792" spans="1:8" x14ac:dyDescent="0.2">
      <c r="A792" t="str">
        <f t="shared" si="288"/>
        <v>0615106385</v>
      </c>
      <c r="B792" t="str">
        <f t="shared" si="289"/>
        <v>JESSICA</v>
      </c>
      <c r="C792" t="str">
        <f t="shared" si="283"/>
        <v>AUGUSTIN</v>
      </c>
      <c r="D792">
        <f>11</f>
        <v>11</v>
      </c>
      <c r="E792" t="str">
        <f>"08 - B - 101 - Eva T Rimmer"</f>
        <v>08 - B - 101 - Eva T Rimmer</v>
      </c>
      <c r="F792" t="str">
        <f>"CRIM JUST OPS 3 HON"</f>
        <v>CRIM JUST OPS 3 HON</v>
      </c>
      <c r="G792" t="str">
        <f>"05-523"</f>
        <v>05-523</v>
      </c>
      <c r="H792" t="str">
        <f>"B"</f>
        <v>B</v>
      </c>
    </row>
    <row r="793" spans="1:8" x14ac:dyDescent="0.2">
      <c r="A793" t="str">
        <f t="shared" ref="A793:A800" si="290">"0616140950"</f>
        <v>0616140950</v>
      </c>
      <c r="B793" t="str">
        <f t="shared" ref="B793:B800" si="291">"FARRAH"</f>
        <v>FARRAH</v>
      </c>
      <c r="C793" t="str">
        <f t="shared" ref="C793:C808" si="292">"AUSTIN"</f>
        <v>AUSTIN</v>
      </c>
      <c r="D793" t="str">
        <f t="shared" ref="D793:D800" si="293">"09"</f>
        <v>09</v>
      </c>
      <c r="E793" t="str">
        <f>"04 - A - 103 - Cerine S Stewart"</f>
        <v>04 - A - 103 - Cerine S Stewart</v>
      </c>
      <c r="F793" t="str">
        <f>"ENG 1"</f>
        <v>ENG 1</v>
      </c>
      <c r="G793" t="str">
        <f>"17-1720"</f>
        <v>17-1720</v>
      </c>
      <c r="H793" t="str">
        <f>"A"</f>
        <v>A</v>
      </c>
    </row>
    <row r="794" spans="1:8" x14ac:dyDescent="0.2">
      <c r="A794" t="str">
        <f t="shared" si="290"/>
        <v>0616140950</v>
      </c>
      <c r="B794" t="str">
        <f t="shared" si="291"/>
        <v>FARRAH</v>
      </c>
      <c r="C794" t="str">
        <f t="shared" si="292"/>
        <v>AUSTIN</v>
      </c>
      <c r="D794" t="str">
        <f t="shared" si="293"/>
        <v>09</v>
      </c>
      <c r="E794" t="str">
        <f>"06 - B - 104 - Laselleda D Shaw"</f>
        <v>06 - B - 104 - Laselleda D Shaw</v>
      </c>
      <c r="F794" t="str">
        <f>"INTENS READ 1"</f>
        <v>INTENS READ 1</v>
      </c>
      <c r="G794" t="str">
        <f>"17-1723"</f>
        <v>17-1723</v>
      </c>
      <c r="H794" t="str">
        <f>"B"</f>
        <v>B</v>
      </c>
    </row>
    <row r="795" spans="1:8" x14ac:dyDescent="0.2">
      <c r="A795" t="str">
        <f t="shared" si="290"/>
        <v>0616140950</v>
      </c>
      <c r="B795" t="str">
        <f t="shared" si="291"/>
        <v>FARRAH</v>
      </c>
      <c r="C795" t="str">
        <f t="shared" si="292"/>
        <v>AUSTIN</v>
      </c>
      <c r="D795" t="str">
        <f t="shared" si="293"/>
        <v>09</v>
      </c>
      <c r="E795" t="str">
        <f>"03 - A - 101 - Samantha L Martinez"</f>
        <v>03 - A - 101 - Samantha L Martinez</v>
      </c>
      <c r="F795" t="str">
        <f>"VOCAL ENS 1"</f>
        <v>VOCAL ENS 1</v>
      </c>
      <c r="G795" t="str">
        <f>"05-505"</f>
        <v>05-505</v>
      </c>
      <c r="H795" t="str">
        <f>"A"</f>
        <v>A</v>
      </c>
    </row>
    <row r="796" spans="1:8" x14ac:dyDescent="0.2">
      <c r="A796" t="str">
        <f t="shared" si="290"/>
        <v>0616140950</v>
      </c>
      <c r="B796" t="str">
        <f t="shared" si="291"/>
        <v>FARRAH</v>
      </c>
      <c r="C796" t="str">
        <f t="shared" si="292"/>
        <v>AUSTIN</v>
      </c>
      <c r="D796" t="str">
        <f t="shared" si="293"/>
        <v>09</v>
      </c>
      <c r="E796" t="str">
        <f>"02 - A - 103 - Angela S Adeshina-Morrison"</f>
        <v>02 - A - 103 - Angela S Adeshina-Morrison</v>
      </c>
      <c r="F796" t="str">
        <f>"NC STUDY HALL 1"</f>
        <v>NC STUDY HALL 1</v>
      </c>
      <c r="G796" t="str">
        <f>"05-518"</f>
        <v>05-518</v>
      </c>
      <c r="H796" t="str">
        <f>"A"</f>
        <v>A</v>
      </c>
    </row>
    <row r="797" spans="1:8" x14ac:dyDescent="0.2">
      <c r="A797" t="str">
        <f t="shared" si="290"/>
        <v>0616140950</v>
      </c>
      <c r="B797" t="str">
        <f t="shared" si="291"/>
        <v>FARRAH</v>
      </c>
      <c r="C797" t="str">
        <f t="shared" si="292"/>
        <v>AUSTIN</v>
      </c>
      <c r="D797" t="str">
        <f t="shared" si="293"/>
        <v>09</v>
      </c>
      <c r="E797" t="str">
        <f>"07 - B - 107 - Helen A Flores"</f>
        <v>07 - B - 107 - Helen A Flores</v>
      </c>
      <c r="F797" t="str">
        <f>"ALGEBRA 1"</f>
        <v>ALGEBRA 1</v>
      </c>
      <c r="G797" t="str">
        <f>"21-2101"</f>
        <v>21-2101</v>
      </c>
      <c r="H797" t="str">
        <f>"B"</f>
        <v>B</v>
      </c>
    </row>
    <row r="798" spans="1:8" x14ac:dyDescent="0.2">
      <c r="A798" t="str">
        <f t="shared" si="290"/>
        <v>0616140950</v>
      </c>
      <c r="B798" t="str">
        <f t="shared" si="291"/>
        <v>FARRAH</v>
      </c>
      <c r="C798" t="str">
        <f t="shared" si="292"/>
        <v>AUSTIN</v>
      </c>
      <c r="D798" t="str">
        <f t="shared" si="293"/>
        <v>09</v>
      </c>
      <c r="E798" t="str">
        <f>"05 - B - 202 - Amy Beth  Broyles"</f>
        <v>05 - B - 202 - Amy Beth  Broyles</v>
      </c>
      <c r="F798" t="str">
        <f>"ENV SCI"</f>
        <v>ENV SCI</v>
      </c>
      <c r="G798" t="str">
        <f>"08-802"</f>
        <v>08-802</v>
      </c>
      <c r="H798" t="str">
        <f>"B"</f>
        <v>B</v>
      </c>
    </row>
    <row r="799" spans="1:8" x14ac:dyDescent="0.2">
      <c r="A799" t="str">
        <f t="shared" si="290"/>
        <v>0616140950</v>
      </c>
      <c r="B799" t="str">
        <f t="shared" si="291"/>
        <v>FARRAH</v>
      </c>
      <c r="C799" t="str">
        <f t="shared" si="292"/>
        <v>AUSTIN</v>
      </c>
      <c r="D799" t="str">
        <f t="shared" si="293"/>
        <v>09</v>
      </c>
      <c r="E799" t="str">
        <f>"01 - A - 102 - Helen A Flores"</f>
        <v>01 - A - 102 - Helen A Flores</v>
      </c>
      <c r="F799" t="str">
        <f>"FDN SKLS MATH 9-12"</f>
        <v>FDN SKLS MATH 9-12</v>
      </c>
      <c r="G799" t="str">
        <f>"21-2101"</f>
        <v>21-2101</v>
      </c>
      <c r="H799" t="str">
        <f>"A"</f>
        <v>A</v>
      </c>
    </row>
    <row r="800" spans="1:8" x14ac:dyDescent="0.2">
      <c r="A800" t="str">
        <f t="shared" si="290"/>
        <v>0616140950</v>
      </c>
      <c r="B800" t="str">
        <f t="shared" si="291"/>
        <v>FARRAH</v>
      </c>
      <c r="C800" t="str">
        <f t="shared" si="292"/>
        <v>AUSTIN</v>
      </c>
      <c r="D800" t="str">
        <f t="shared" si="293"/>
        <v>09</v>
      </c>
      <c r="E800" t="str">
        <f>"08 - B - 101 - Elizabeth Ellen  Moran"</f>
        <v>08 - B - 101 - Elizabeth Ellen  Moran</v>
      </c>
      <c r="F800" t="str">
        <f>"WORLD HISTORY"</f>
        <v>WORLD HISTORY</v>
      </c>
      <c r="G800" t="str">
        <f>"17-1752"</f>
        <v>17-1752</v>
      </c>
      <c r="H800" t="str">
        <f>"B"</f>
        <v>B</v>
      </c>
    </row>
    <row r="801" spans="1:8" x14ac:dyDescent="0.2">
      <c r="A801" t="str">
        <f t="shared" ref="A801:A808" si="294">"0615148202"</f>
        <v>0615148202</v>
      </c>
      <c r="B801" t="str">
        <f t="shared" ref="B801:B808" si="295">"ROBERT"</f>
        <v>ROBERT</v>
      </c>
      <c r="C801" t="str">
        <f t="shared" si="292"/>
        <v>AUSTIN</v>
      </c>
      <c r="D801">
        <f>10</f>
        <v>10</v>
      </c>
      <c r="E801" t="str">
        <f>"04 - A - 104 - Nikiel  Nesbeth"</f>
        <v>04 - A - 104 - Nikiel  Nesbeth</v>
      </c>
      <c r="F801" t="str">
        <f>"ENG 2"</f>
        <v>ENG 2</v>
      </c>
      <c r="G801" t="str">
        <f>"17-1705"</f>
        <v>17-1705</v>
      </c>
      <c r="H801" t="str">
        <f>"A"</f>
        <v>A</v>
      </c>
    </row>
    <row r="802" spans="1:8" x14ac:dyDescent="0.2">
      <c r="A802" t="str">
        <f t="shared" si="294"/>
        <v>0615148202</v>
      </c>
      <c r="B802" t="str">
        <f t="shared" si="295"/>
        <v>ROBERT</v>
      </c>
      <c r="C802" t="str">
        <f t="shared" si="292"/>
        <v>AUSTIN</v>
      </c>
      <c r="D802">
        <f>10</f>
        <v>10</v>
      </c>
      <c r="E802" t="str">
        <f>"06 - B - 113 - Joe  Kilpatrick Jr"</f>
        <v>06 - B - 113 - Joe  Kilpatrick Jr</v>
      </c>
      <c r="F802" t="str">
        <f>"NC STUDY HALL 1"</f>
        <v>NC STUDY HALL 1</v>
      </c>
      <c r="G802" t="str">
        <f>"09-912"</f>
        <v>09-912</v>
      </c>
      <c r="H802" t="str">
        <f>"B"</f>
        <v>B</v>
      </c>
    </row>
    <row r="803" spans="1:8" x14ac:dyDescent="0.2">
      <c r="A803" t="str">
        <f t="shared" si="294"/>
        <v>0615148202</v>
      </c>
      <c r="B803" t="str">
        <f t="shared" si="295"/>
        <v>ROBERT</v>
      </c>
      <c r="C803" t="str">
        <f t="shared" si="292"/>
        <v>AUSTIN</v>
      </c>
      <c r="D803">
        <f>10</f>
        <v>10</v>
      </c>
      <c r="E803" t="str">
        <f>"03 - A - 103 - Marius D Orsolini"</f>
        <v>03 - A - 103 - Marius D Orsolini</v>
      </c>
      <c r="F803" t="str">
        <f>"CULINARY ARTS 1"</f>
        <v>CULINARY ARTS 1</v>
      </c>
      <c r="G803" t="str">
        <f>"21-2115"</f>
        <v>21-2115</v>
      </c>
      <c r="H803" t="str">
        <f>"A"</f>
        <v>A</v>
      </c>
    </row>
    <row r="804" spans="1:8" x14ac:dyDescent="0.2">
      <c r="A804" t="str">
        <f t="shared" si="294"/>
        <v>0615148202</v>
      </c>
      <c r="B804" t="str">
        <f t="shared" si="295"/>
        <v>ROBERT</v>
      </c>
      <c r="C804" t="str">
        <f t="shared" si="292"/>
        <v>AUSTIN</v>
      </c>
      <c r="D804">
        <f>10</f>
        <v>10</v>
      </c>
      <c r="E804" t="str">
        <f>"02 - A - 201 - Jordana K Hass"</f>
        <v>02 - A - 201 - Jordana K Hass</v>
      </c>
      <c r="F804" t="str">
        <f>"CHEMISTRY 1"</f>
        <v>CHEMISTRY 1</v>
      </c>
      <c r="G804" t="str">
        <f>"08-807"</f>
        <v>08-807</v>
      </c>
      <c r="H804" t="str">
        <f>"A"</f>
        <v>A</v>
      </c>
    </row>
    <row r="805" spans="1:8" x14ac:dyDescent="0.2">
      <c r="A805" t="str">
        <f t="shared" si="294"/>
        <v>0615148202</v>
      </c>
      <c r="B805" t="str">
        <f t="shared" si="295"/>
        <v>ROBERT</v>
      </c>
      <c r="C805" t="str">
        <f t="shared" si="292"/>
        <v>AUSTIN</v>
      </c>
      <c r="D805">
        <f>10</f>
        <v>10</v>
      </c>
      <c r="E805" t="str">
        <f>"07 - B - 107 - Adam Marcus  Drucker"</f>
        <v>07 - B - 107 - Adam Marcus  Drucker</v>
      </c>
      <c r="F805" t="str">
        <f>"HOPE-PE V"</f>
        <v>HOPE-PE V</v>
      </c>
      <c r="G805" t="str">
        <f>"04-254"</f>
        <v>04-254</v>
      </c>
      <c r="H805" t="str">
        <f>"B"</f>
        <v>B</v>
      </c>
    </row>
    <row r="806" spans="1:8" x14ac:dyDescent="0.2">
      <c r="A806" t="str">
        <f t="shared" si="294"/>
        <v>0615148202</v>
      </c>
      <c r="B806" t="str">
        <f t="shared" si="295"/>
        <v>ROBERT</v>
      </c>
      <c r="C806" t="str">
        <f t="shared" si="292"/>
        <v>AUSTIN</v>
      </c>
      <c r="D806">
        <f>10</f>
        <v>10</v>
      </c>
      <c r="E806" t="str">
        <f>"05 - B - 201 - Jazmin S Fletcher"</f>
        <v>05 - B - 201 - Jazmin S Fletcher</v>
      </c>
      <c r="F806" t="str">
        <f>"THEATRE 1"</f>
        <v>THEATRE 1</v>
      </c>
      <c r="G806" t="str">
        <f>"09-909"</f>
        <v>09-909</v>
      </c>
      <c r="H806" t="str">
        <f>"B"</f>
        <v>B</v>
      </c>
    </row>
    <row r="807" spans="1:8" x14ac:dyDescent="0.2">
      <c r="A807" t="str">
        <f t="shared" si="294"/>
        <v>0615148202</v>
      </c>
      <c r="B807" t="str">
        <f t="shared" si="295"/>
        <v>ROBERT</v>
      </c>
      <c r="C807" t="str">
        <f t="shared" si="292"/>
        <v>AUSTIN</v>
      </c>
      <c r="D807">
        <f>10</f>
        <v>10</v>
      </c>
      <c r="E807" t="str">
        <f>"01 - A - 104 - Milca  Exantus"</f>
        <v>01 - A - 104 - Milca  Exantus</v>
      </c>
      <c r="F807" t="str">
        <f>"MATH COLLEGE LIB ART"</f>
        <v>MATH COLLEGE LIB ART</v>
      </c>
      <c r="G807" t="str">
        <f>"21-2145"</f>
        <v>21-2145</v>
      </c>
      <c r="H807" t="str">
        <f>"A"</f>
        <v>A</v>
      </c>
    </row>
    <row r="808" spans="1:8" x14ac:dyDescent="0.2">
      <c r="A808" t="str">
        <f t="shared" si="294"/>
        <v>0615148202</v>
      </c>
      <c r="B808" t="str">
        <f t="shared" si="295"/>
        <v>ROBERT</v>
      </c>
      <c r="C808" t="str">
        <f t="shared" si="292"/>
        <v>AUSTIN</v>
      </c>
      <c r="D808">
        <f>10</f>
        <v>10</v>
      </c>
      <c r="E808" t="str">
        <f>"08 - S1 - B - 102 - Kyle  Robbins"</f>
        <v>08 - S1 - B - 102 - Kyle  Robbins</v>
      </c>
      <c r="F808" t="str">
        <f>"PERS FIN &amp; MON MGT H"</f>
        <v>PERS FIN &amp; MON MGT H</v>
      </c>
      <c r="G808" t="str">
        <f>"17-1745"</f>
        <v>17-1745</v>
      </c>
      <c r="H808" t="str">
        <f>"B"</f>
        <v>B</v>
      </c>
    </row>
    <row r="809" spans="1:8" x14ac:dyDescent="0.2">
      <c r="A809" t="str">
        <f t="shared" ref="A809:A816" si="296">"0624029988"</f>
        <v>0624029988</v>
      </c>
      <c r="B809" t="str">
        <f t="shared" ref="B809:B816" si="297">"ELLIE"</f>
        <v>ELLIE</v>
      </c>
      <c r="C809" t="str">
        <f t="shared" ref="C809:C816" si="298">"AVENDANO"</f>
        <v>AVENDANO</v>
      </c>
      <c r="D809">
        <f>10</f>
        <v>10</v>
      </c>
      <c r="E809" t="str">
        <f>"04 - A - 101 - Rosa Elaine  Collado-Duff"</f>
        <v>04 - A - 101 - Rosa Elaine  Collado-Duff</v>
      </c>
      <c r="F809" t="str">
        <f>"AICE SPAN LANG AS"</f>
        <v>AICE SPAN LANG AS</v>
      </c>
      <c r="G809" t="str">
        <f>"09-913"</f>
        <v>09-913</v>
      </c>
      <c r="H809" t="str">
        <f>"A"</f>
        <v>A</v>
      </c>
    </row>
    <row r="810" spans="1:8" x14ac:dyDescent="0.2">
      <c r="A810" t="str">
        <f t="shared" si="296"/>
        <v>0624029988</v>
      </c>
      <c r="B810" t="str">
        <f t="shared" si="297"/>
        <v>ELLIE</v>
      </c>
      <c r="C810" t="str">
        <f t="shared" si="298"/>
        <v>AVENDANO</v>
      </c>
      <c r="D810">
        <f>10</f>
        <v>10</v>
      </c>
      <c r="E810" t="str">
        <f>"06 - B - 119 - Nikiel  Nesbeth"</f>
        <v>06 - B - 119 - Nikiel  Nesbeth</v>
      </c>
      <c r="F810" t="str">
        <f>"NC STUDY HALL 1"</f>
        <v>NC STUDY HALL 1</v>
      </c>
      <c r="G810" t="str">
        <f>"17-1705"</f>
        <v>17-1705</v>
      </c>
      <c r="H810" t="str">
        <f>"B"</f>
        <v>B</v>
      </c>
    </row>
    <row r="811" spans="1:8" x14ac:dyDescent="0.2">
      <c r="A811" t="str">
        <f t="shared" si="296"/>
        <v>0624029988</v>
      </c>
      <c r="B811" t="str">
        <f t="shared" si="297"/>
        <v>ELLIE</v>
      </c>
      <c r="C811" t="str">
        <f t="shared" si="298"/>
        <v>AVENDANO</v>
      </c>
      <c r="D811">
        <f>10</f>
        <v>10</v>
      </c>
      <c r="E811" t="str">
        <f>"03 - A - 002 - Lenecy  Nodarse"</f>
        <v>03 - A - 002 - Lenecy  Nodarse</v>
      </c>
      <c r="F811" t="str">
        <f>"AICE EURO HIST 1 AS"</f>
        <v>AICE EURO HIST 1 AS</v>
      </c>
      <c r="G811" t="str">
        <f>"17-1741"</f>
        <v>17-1741</v>
      </c>
      <c r="H811" t="str">
        <f>"A"</f>
        <v>A</v>
      </c>
    </row>
    <row r="812" spans="1:8" x14ac:dyDescent="0.2">
      <c r="A812" t="str">
        <f t="shared" si="296"/>
        <v>0624029988</v>
      </c>
      <c r="B812" t="str">
        <f t="shared" si="297"/>
        <v>ELLIE</v>
      </c>
      <c r="C812" t="str">
        <f t="shared" si="298"/>
        <v>AVENDANO</v>
      </c>
      <c r="D812">
        <f>10</f>
        <v>10</v>
      </c>
      <c r="E812" t="str">
        <f>"02 - A - 201 - Jordana K Hass"</f>
        <v>02 - A - 201 - Jordana K Hass</v>
      </c>
      <c r="F812" t="str">
        <f>"CHEMISTRY 1"</f>
        <v>CHEMISTRY 1</v>
      </c>
      <c r="G812" t="str">
        <f>"08-807"</f>
        <v>08-807</v>
      </c>
      <c r="H812" t="str">
        <f>"A"</f>
        <v>A</v>
      </c>
    </row>
    <row r="813" spans="1:8" x14ac:dyDescent="0.2">
      <c r="A813" t="str">
        <f t="shared" si="296"/>
        <v>0624029988</v>
      </c>
      <c r="B813" t="str">
        <f t="shared" si="297"/>
        <v>ELLIE</v>
      </c>
      <c r="C813" t="str">
        <f t="shared" si="298"/>
        <v>AVENDANO</v>
      </c>
      <c r="D813">
        <f>10</f>
        <v>10</v>
      </c>
      <c r="E813" t="str">
        <f>"07 - B - 107 - Jacklyn M James"</f>
        <v>07 - B - 107 - Jacklyn M James</v>
      </c>
      <c r="F813" t="str">
        <f>"AICE ENG LANG AS"</f>
        <v>AICE ENG LANG AS</v>
      </c>
      <c r="G813" t="str">
        <f>"17-1731"</f>
        <v>17-1731</v>
      </c>
      <c r="H813" t="str">
        <f>"B"</f>
        <v>B</v>
      </c>
    </row>
    <row r="814" spans="1:8" x14ac:dyDescent="0.2">
      <c r="A814" t="str">
        <f t="shared" si="296"/>
        <v>0624029988</v>
      </c>
      <c r="B814" t="str">
        <f t="shared" si="297"/>
        <v>ELLIE</v>
      </c>
      <c r="C814" t="str">
        <f t="shared" si="298"/>
        <v>AVENDANO</v>
      </c>
      <c r="D814">
        <f>10</f>
        <v>10</v>
      </c>
      <c r="E814" t="str">
        <f>"05 - B - 001 - Stefanie S Scher"</f>
        <v>05 - B - 001 - Stefanie S Scher</v>
      </c>
      <c r="F814" t="str">
        <f>"AICE PSYCH 1 AS"</f>
        <v>AICE PSYCH 1 AS</v>
      </c>
      <c r="G814" t="str">
        <f>"17-1735"</f>
        <v>17-1735</v>
      </c>
      <c r="H814" t="str">
        <f>"B"</f>
        <v>B</v>
      </c>
    </row>
    <row r="815" spans="1:8" x14ac:dyDescent="0.2">
      <c r="A815" t="str">
        <f t="shared" si="296"/>
        <v>0624029988</v>
      </c>
      <c r="B815" t="str">
        <f t="shared" si="297"/>
        <v>ELLIE</v>
      </c>
      <c r="C815" t="str">
        <f t="shared" si="298"/>
        <v>AVENDANO</v>
      </c>
      <c r="D815">
        <f>10</f>
        <v>10</v>
      </c>
      <c r="E815" t="str">
        <f>"01 - A - 102 - Fernando  Vega-Cid"</f>
        <v>01 - A - 102 - Fernando  Vega-Cid</v>
      </c>
      <c r="F815" t="str">
        <f>"GEOMETRY"</f>
        <v>GEOMETRY</v>
      </c>
      <c r="G815" t="str">
        <f>"21-2163"</f>
        <v>21-2163</v>
      </c>
      <c r="H815" t="str">
        <f>"A"</f>
        <v>A</v>
      </c>
    </row>
    <row r="816" spans="1:8" x14ac:dyDescent="0.2">
      <c r="A816" t="str">
        <f t="shared" si="296"/>
        <v>0624029988</v>
      </c>
      <c r="B816" t="str">
        <f t="shared" si="297"/>
        <v>ELLIE</v>
      </c>
      <c r="C816" t="str">
        <f t="shared" si="298"/>
        <v>AVENDANO</v>
      </c>
      <c r="D816">
        <f>10</f>
        <v>10</v>
      </c>
      <c r="E816" t="str">
        <f>"08 - B - 001 - Samantha L Martinez"</f>
        <v>08 - B - 001 - Samantha L Martinez</v>
      </c>
      <c r="F816" t="str">
        <f>"VOCAL ENS 2"</f>
        <v>VOCAL ENS 2</v>
      </c>
      <c r="G816" t="str">
        <f>"05-505"</f>
        <v>05-505</v>
      </c>
      <c r="H816" t="str">
        <f>"B"</f>
        <v>B</v>
      </c>
    </row>
    <row r="817" spans="1:8" x14ac:dyDescent="0.2">
      <c r="A817" t="str">
        <f t="shared" ref="A817:A824" si="299">"0614145125"</f>
        <v>0614145125</v>
      </c>
      <c r="B817" t="str">
        <f t="shared" ref="B817:B824" si="300">"ESTEBAN"</f>
        <v>ESTEBAN</v>
      </c>
      <c r="C817" t="str">
        <f t="shared" ref="C817:C824" si="301">"AVILA"</f>
        <v>AVILA</v>
      </c>
      <c r="D817">
        <f>10</f>
        <v>10</v>
      </c>
      <c r="E817" t="str">
        <f>"04 - A - 203 - Cheryl L Beach"</f>
        <v>04 - A - 203 - Cheryl L Beach</v>
      </c>
      <c r="F817" t="str">
        <f>"AICE ENV MGMNT AS"</f>
        <v>AICE ENV MGMNT AS</v>
      </c>
      <c r="G817" t="str">
        <f>"08-811"</f>
        <v>08-811</v>
      </c>
      <c r="H817" t="str">
        <f>"A"</f>
        <v>A</v>
      </c>
    </row>
    <row r="818" spans="1:8" x14ac:dyDescent="0.2">
      <c r="A818" t="str">
        <f t="shared" si="299"/>
        <v>0614145125</v>
      </c>
      <c r="B818" t="str">
        <f t="shared" si="300"/>
        <v>ESTEBAN</v>
      </c>
      <c r="C818" t="str">
        <f t="shared" si="301"/>
        <v>AVILA</v>
      </c>
      <c r="D818">
        <f>10</f>
        <v>10</v>
      </c>
      <c r="E818" t="str">
        <f>"06 - B - 116 - Jordana K Hass"</f>
        <v>06 - B - 116 - Jordana K Hass</v>
      </c>
      <c r="F818" t="str">
        <f>"NC STUDY HALL 1"</f>
        <v>NC STUDY HALL 1</v>
      </c>
      <c r="G818" t="str">
        <f>"08-807"</f>
        <v>08-807</v>
      </c>
      <c r="H818" t="str">
        <f>"B"</f>
        <v>B</v>
      </c>
    </row>
    <row r="819" spans="1:8" x14ac:dyDescent="0.2">
      <c r="A819" t="str">
        <f t="shared" si="299"/>
        <v>0614145125</v>
      </c>
      <c r="B819" t="str">
        <f t="shared" si="300"/>
        <v>ESTEBAN</v>
      </c>
      <c r="C819" t="str">
        <f t="shared" si="301"/>
        <v>AVILA</v>
      </c>
      <c r="D819">
        <f>10</f>
        <v>10</v>
      </c>
      <c r="E819" t="str">
        <f>"03 - A - 102 - Thomas G Handwerg"</f>
        <v>03 - A - 102 - Thomas G Handwerg</v>
      </c>
      <c r="F819" t="str">
        <f>"MATH COLL ALGEBRA"</f>
        <v>MATH COLL ALGEBRA</v>
      </c>
      <c r="G819" t="str">
        <f>"21-2146"</f>
        <v>21-2146</v>
      </c>
      <c r="H819" t="str">
        <f>"A"</f>
        <v>A</v>
      </c>
    </row>
    <row r="820" spans="1:8" x14ac:dyDescent="0.2">
      <c r="A820" t="str">
        <f t="shared" si="299"/>
        <v>0614145125</v>
      </c>
      <c r="B820" t="str">
        <f t="shared" si="300"/>
        <v>ESTEBAN</v>
      </c>
      <c r="C820" t="str">
        <f t="shared" si="301"/>
        <v>AVILA</v>
      </c>
      <c r="D820">
        <f>10</f>
        <v>10</v>
      </c>
      <c r="E820" t="str">
        <f>"02 - A - 205 - Emmily A Sarmiento"</f>
        <v>02 - A - 205 - Emmily A Sarmiento</v>
      </c>
      <c r="F820" t="str">
        <f>"AICE GLBL PERSP 1 AS"</f>
        <v>AICE GLBL PERSP 1 AS</v>
      </c>
      <c r="G820" t="str">
        <f>"17-1743"</f>
        <v>17-1743</v>
      </c>
      <c r="H820" t="str">
        <f>"A"</f>
        <v>A</v>
      </c>
    </row>
    <row r="821" spans="1:8" x14ac:dyDescent="0.2">
      <c r="A821" t="str">
        <f t="shared" si="299"/>
        <v>0614145125</v>
      </c>
      <c r="B821" t="str">
        <f t="shared" si="300"/>
        <v>ESTEBAN</v>
      </c>
      <c r="C821" t="str">
        <f t="shared" si="301"/>
        <v>AVILA</v>
      </c>
      <c r="D821">
        <f>10</f>
        <v>10</v>
      </c>
      <c r="E821" t="str">
        <f>"07 - B - 103 - Vanessa J Liburd"</f>
        <v>07 - B - 103 - Vanessa J Liburd</v>
      </c>
      <c r="F821" t="str">
        <f>"PRE-AICE FRENCH 1 IG"</f>
        <v>PRE-AICE FRENCH 1 IG</v>
      </c>
      <c r="G821" t="str">
        <f>"05-519"</f>
        <v>05-519</v>
      </c>
      <c r="H821" t="str">
        <f>"B"</f>
        <v>B</v>
      </c>
    </row>
    <row r="822" spans="1:8" x14ac:dyDescent="0.2">
      <c r="A822" t="str">
        <f t="shared" si="299"/>
        <v>0614145125</v>
      </c>
      <c r="B822" t="str">
        <f t="shared" si="300"/>
        <v>ESTEBAN</v>
      </c>
      <c r="C822" t="str">
        <f t="shared" si="301"/>
        <v>AVILA</v>
      </c>
      <c r="D822">
        <f>10</f>
        <v>10</v>
      </c>
      <c r="E822" t="str">
        <f>"05 - S1 - B - 102 - Carol S Moore"</f>
        <v>05 - S1 - B - 102 - Carol S Moore</v>
      </c>
      <c r="F822" t="str">
        <f>"PERS FIN &amp; MON MGT H"</f>
        <v>PERS FIN &amp; MON MGT H</v>
      </c>
      <c r="G822" t="str">
        <f>"17-1733"</f>
        <v>17-1733</v>
      </c>
      <c r="H822" t="str">
        <f>"B"</f>
        <v>B</v>
      </c>
    </row>
    <row r="823" spans="1:8" x14ac:dyDescent="0.2">
      <c r="A823" t="str">
        <f t="shared" si="299"/>
        <v>0614145125</v>
      </c>
      <c r="B823" t="str">
        <f t="shared" si="300"/>
        <v>ESTEBAN</v>
      </c>
      <c r="C823" t="str">
        <f t="shared" si="301"/>
        <v>AVILA</v>
      </c>
      <c r="D823">
        <f>10</f>
        <v>10</v>
      </c>
      <c r="E823" t="str">
        <f>"01 - A - 101 - Daniel S Katz"</f>
        <v>01 - A - 101 - Daniel S Katz</v>
      </c>
      <c r="F823" t="str">
        <f>"EXEC INTERN 3 LH"</f>
        <v>EXEC INTERN 3 LH</v>
      </c>
      <c r="G823" t="str">
        <f>"21-2156"</f>
        <v>21-2156</v>
      </c>
      <c r="H823" t="str">
        <f>"A"</f>
        <v>A</v>
      </c>
    </row>
    <row r="824" spans="1:8" x14ac:dyDescent="0.2">
      <c r="A824" t="str">
        <f t="shared" si="299"/>
        <v>0614145125</v>
      </c>
      <c r="B824" t="str">
        <f t="shared" si="300"/>
        <v>ESTEBAN</v>
      </c>
      <c r="C824" t="str">
        <f t="shared" si="301"/>
        <v>AVILA</v>
      </c>
      <c r="D824">
        <f>10</f>
        <v>10</v>
      </c>
      <c r="E824" t="str">
        <f>"08 - B - 102 - Jacquelyn M Neeson"</f>
        <v>08 - B - 102 - Jacquelyn M Neeson</v>
      </c>
      <c r="F824" t="str">
        <f>"AICE ENG GEN PAPER 1"</f>
        <v>AICE ENG GEN PAPER 1</v>
      </c>
      <c r="G824" t="str">
        <f>"17-1715"</f>
        <v>17-1715</v>
      </c>
      <c r="H824" t="str">
        <f>"B"</f>
        <v>B</v>
      </c>
    </row>
    <row r="825" spans="1:8" x14ac:dyDescent="0.2">
      <c r="A825" t="str">
        <f t="shared" ref="A825:A832" si="302">"0614089774"</f>
        <v>0614089774</v>
      </c>
      <c r="B825" t="str">
        <f t="shared" ref="B825:B832" si="303">"AMIR"</f>
        <v>AMIR</v>
      </c>
      <c r="C825" t="str">
        <f t="shared" ref="C825:C832" si="304">"AYKUT"</f>
        <v>AYKUT</v>
      </c>
      <c r="D825">
        <f>11</f>
        <v>11</v>
      </c>
      <c r="E825" t="str">
        <f>"04 - A - 101 - Jeanne M Bermudez"</f>
        <v>04 - A - 101 - Jeanne M Bermudez</v>
      </c>
      <c r="F825" t="str">
        <f>"ADVANCED IT HON"</f>
        <v>ADVANCED IT HON</v>
      </c>
      <c r="G825" t="str">
        <f>"21-2141"</f>
        <v>21-2141</v>
      </c>
      <c r="H825" t="str">
        <f>"A"</f>
        <v>A</v>
      </c>
    </row>
    <row r="826" spans="1:8" x14ac:dyDescent="0.2">
      <c r="A826" t="str">
        <f t="shared" si="302"/>
        <v>0614089774</v>
      </c>
      <c r="B826" t="str">
        <f t="shared" si="303"/>
        <v>AMIR</v>
      </c>
      <c r="C826" t="str">
        <f t="shared" si="304"/>
        <v>AYKUT</v>
      </c>
      <c r="D826">
        <f>11</f>
        <v>11</v>
      </c>
      <c r="E826" t="str">
        <f>"06 - B - 105 - Arthur  Kulawik"</f>
        <v>06 - B - 105 - Arthur  Kulawik</v>
      </c>
      <c r="F826" t="str">
        <f>"ENG 3"</f>
        <v>ENG 3</v>
      </c>
      <c r="G826" t="str">
        <f>"05-506"</f>
        <v>05-506</v>
      </c>
      <c r="H826" t="str">
        <f>"B"</f>
        <v>B</v>
      </c>
    </row>
    <row r="827" spans="1:8" x14ac:dyDescent="0.2">
      <c r="A827" t="str">
        <f t="shared" si="302"/>
        <v>0614089774</v>
      </c>
      <c r="B827" t="str">
        <f t="shared" si="303"/>
        <v>AMIR</v>
      </c>
      <c r="C827" t="str">
        <f t="shared" si="304"/>
        <v>AYKUT</v>
      </c>
      <c r="D827">
        <f>11</f>
        <v>11</v>
      </c>
      <c r="E827" t="str">
        <f>"03 - A - 002 - Ferrie J Arostique"</f>
        <v>03 - A - 002 - Ferrie J Arostique</v>
      </c>
      <c r="F827" t="str">
        <f>"GEOMETRY"</f>
        <v>GEOMETRY</v>
      </c>
      <c r="G827" t="str">
        <f>"21-2139"</f>
        <v>21-2139</v>
      </c>
      <c r="H827" t="str">
        <f>"A"</f>
        <v>A</v>
      </c>
    </row>
    <row r="828" spans="1:8" x14ac:dyDescent="0.2">
      <c r="A828" t="str">
        <f t="shared" si="302"/>
        <v>0614089774</v>
      </c>
      <c r="B828" t="str">
        <f t="shared" si="303"/>
        <v>AMIR</v>
      </c>
      <c r="C828" t="str">
        <f t="shared" si="304"/>
        <v>AYKUT</v>
      </c>
      <c r="D828">
        <f>11</f>
        <v>11</v>
      </c>
      <c r="E828" t="str">
        <f>"02 - A - 107 - Elizabeth Ellen  Moran"</f>
        <v>02 - A - 107 - Elizabeth Ellen  Moran</v>
      </c>
      <c r="F828" t="str">
        <f>"NC STUDY HALL 1"</f>
        <v>NC STUDY HALL 1</v>
      </c>
      <c r="G828" t="str">
        <f>"17-1752"</f>
        <v>17-1752</v>
      </c>
      <c r="H828" t="str">
        <f>"A"</f>
        <v>A</v>
      </c>
    </row>
    <row r="829" spans="1:8" x14ac:dyDescent="0.2">
      <c r="A829" t="str">
        <f t="shared" si="302"/>
        <v>0614089774</v>
      </c>
      <c r="B829" t="str">
        <f t="shared" si="303"/>
        <v>AMIR</v>
      </c>
      <c r="C829" t="str">
        <f t="shared" si="304"/>
        <v>AYKUT</v>
      </c>
      <c r="D829">
        <f>11</f>
        <v>11</v>
      </c>
      <c r="E829" t="str">
        <f>"07 - S1 - B - 103 - Leslie J Barton"</f>
        <v>07 - S1 - B - 103 - Leslie J Barton</v>
      </c>
      <c r="F829" t="str">
        <f>"TEAM SPORTS 1"</f>
        <v>TEAM SPORTS 1</v>
      </c>
      <c r="G829" t="str">
        <f>"04-254"</f>
        <v>04-254</v>
      </c>
      <c r="H829" t="str">
        <f>"B"</f>
        <v>B</v>
      </c>
    </row>
    <row r="830" spans="1:8" x14ac:dyDescent="0.2">
      <c r="A830" t="str">
        <f t="shared" si="302"/>
        <v>0614089774</v>
      </c>
      <c r="B830" t="str">
        <f t="shared" si="303"/>
        <v>AMIR</v>
      </c>
      <c r="C830" t="str">
        <f t="shared" si="304"/>
        <v>AYKUT</v>
      </c>
      <c r="D830">
        <f>11</f>
        <v>11</v>
      </c>
      <c r="E830" t="str">
        <f>"05 - B - 107 - Elizabeth Ellen  Moran"</f>
        <v>05 - B - 107 - Elizabeth Ellen  Moran</v>
      </c>
      <c r="F830" t="str">
        <f>"US HISTORY"</f>
        <v>US HISTORY</v>
      </c>
      <c r="G830" t="str">
        <f>"17-1752"</f>
        <v>17-1752</v>
      </c>
      <c r="H830" t="str">
        <f>"B"</f>
        <v>B</v>
      </c>
    </row>
    <row r="831" spans="1:8" x14ac:dyDescent="0.2">
      <c r="A831" t="str">
        <f t="shared" si="302"/>
        <v>0614089774</v>
      </c>
      <c r="B831" t="str">
        <f t="shared" si="303"/>
        <v>AMIR</v>
      </c>
      <c r="C831" t="str">
        <f t="shared" si="304"/>
        <v>AYKUT</v>
      </c>
      <c r="D831">
        <f>11</f>
        <v>11</v>
      </c>
      <c r="E831" t="str">
        <f>"01 - A - 101 - Cliffon  Saurel"</f>
        <v>01 - A - 101 - Cliffon  Saurel</v>
      </c>
      <c r="F831" t="str">
        <f>"PHYSICAL SCI"</f>
        <v>PHYSICAL SCI</v>
      </c>
      <c r="G831" t="str">
        <f>"05-522"</f>
        <v>05-522</v>
      </c>
      <c r="H831" t="str">
        <f>"A"</f>
        <v>A</v>
      </c>
    </row>
    <row r="832" spans="1:8" x14ac:dyDescent="0.2">
      <c r="A832" t="str">
        <f t="shared" si="302"/>
        <v>0614089774</v>
      </c>
      <c r="B832" t="str">
        <f t="shared" si="303"/>
        <v>AMIR</v>
      </c>
      <c r="C832" t="str">
        <f t="shared" si="304"/>
        <v>AYKUT</v>
      </c>
      <c r="D832">
        <f>11</f>
        <v>11</v>
      </c>
      <c r="E832" t="str">
        <f>"08 - B - 001 - Brian M Fitzgerald"</f>
        <v>08 - B - 001 - Brian M Fitzgerald</v>
      </c>
      <c r="F832" t="str">
        <f>"CERAM/POT 1"</f>
        <v>CERAM/POT 1</v>
      </c>
      <c r="G832" t="str">
        <f>"09-908"</f>
        <v>09-908</v>
      </c>
      <c r="H832" t="str">
        <f>"B"</f>
        <v>B</v>
      </c>
    </row>
    <row r="833" spans="1:8" x14ac:dyDescent="0.2">
      <c r="A833" t="str">
        <f t="shared" ref="A833:A840" si="305">"0611127482"</f>
        <v>0611127482</v>
      </c>
      <c r="B833" t="str">
        <f t="shared" ref="B833:B840" si="306">"JAYDEN"</f>
        <v>JAYDEN</v>
      </c>
      <c r="C833" t="str">
        <f t="shared" ref="C833:C840" si="307">"AZAEL"</f>
        <v>AZAEL</v>
      </c>
      <c r="D833">
        <f>12</f>
        <v>12</v>
      </c>
      <c r="E833" t="str">
        <f>"04 - A - 104 - Robert H Rindner"</f>
        <v>04 - A - 104 - Robert H Rindner</v>
      </c>
      <c r="F833" t="str">
        <f>"MATH DATA&amp;FIN LIT H"</f>
        <v>MATH DATA&amp;FIN LIT H</v>
      </c>
      <c r="G833" t="str">
        <f>"21-2160"</f>
        <v>21-2160</v>
      </c>
      <c r="H833" t="str">
        <f>"A"</f>
        <v>A</v>
      </c>
    </row>
    <row r="834" spans="1:8" x14ac:dyDescent="0.2">
      <c r="A834" t="str">
        <f t="shared" si="305"/>
        <v>0611127482</v>
      </c>
      <c r="B834" t="str">
        <f t="shared" si="306"/>
        <v>JAYDEN</v>
      </c>
      <c r="C834" t="str">
        <f t="shared" si="307"/>
        <v>AZAEL</v>
      </c>
      <c r="D834">
        <f>12</f>
        <v>12</v>
      </c>
      <c r="E834" t="str">
        <f>"06 - B - 107 - Pamela M Corzo"</f>
        <v>06 - B - 107 - Pamela M Corzo</v>
      </c>
      <c r="F834" t="str">
        <f>"NC STUDY HALL 1"</f>
        <v>NC STUDY HALL 1</v>
      </c>
      <c r="G834" t="str">
        <f>"21-2133"</f>
        <v>21-2133</v>
      </c>
      <c r="H834" t="str">
        <f>"B"</f>
        <v>B</v>
      </c>
    </row>
    <row r="835" spans="1:8" x14ac:dyDescent="0.2">
      <c r="A835" t="str">
        <f t="shared" si="305"/>
        <v>0611127482</v>
      </c>
      <c r="B835" t="str">
        <f t="shared" si="306"/>
        <v>JAYDEN</v>
      </c>
      <c r="C835" t="str">
        <f t="shared" si="307"/>
        <v>AZAEL</v>
      </c>
      <c r="D835">
        <f>12</f>
        <v>12</v>
      </c>
      <c r="E835" t="str">
        <f>"03 - A - 101 - Jeffrey S Gallagher"</f>
        <v>03 - A - 101 - Jeffrey S Gallagher</v>
      </c>
      <c r="F835" t="str">
        <f>"ENG HON 4"</f>
        <v>ENG HON 4</v>
      </c>
      <c r="G835" t="str">
        <f>"17-1724"</f>
        <v>17-1724</v>
      </c>
      <c r="H835" t="str">
        <f>"A"</f>
        <v>A</v>
      </c>
    </row>
    <row r="836" spans="1:8" x14ac:dyDescent="0.2">
      <c r="A836" t="str">
        <f t="shared" si="305"/>
        <v>0611127482</v>
      </c>
      <c r="B836" t="str">
        <f t="shared" si="306"/>
        <v>JAYDEN</v>
      </c>
      <c r="C836" t="str">
        <f t="shared" si="307"/>
        <v>AZAEL</v>
      </c>
      <c r="D836">
        <f>12</f>
        <v>12</v>
      </c>
      <c r="E836" t="str">
        <f>"02 - S1 - A - 103 - Barbara L Segal"</f>
        <v>02 - S1 - A - 103 - Barbara L Segal</v>
      </c>
      <c r="F836" t="str">
        <f>"US GOVT HON"</f>
        <v>US GOVT HON</v>
      </c>
      <c r="G836" t="str">
        <f>"17-1742"</f>
        <v>17-1742</v>
      </c>
      <c r="H836" t="str">
        <f>"A"</f>
        <v>A</v>
      </c>
    </row>
    <row r="837" spans="1:8" x14ac:dyDescent="0.2">
      <c r="A837" t="str">
        <f t="shared" si="305"/>
        <v>0611127482</v>
      </c>
      <c r="B837" t="str">
        <f t="shared" si="306"/>
        <v>JAYDEN</v>
      </c>
      <c r="C837" t="str">
        <f t="shared" si="307"/>
        <v>AZAEL</v>
      </c>
      <c r="D837">
        <f>12</f>
        <v>12</v>
      </c>
      <c r="E837" t="str">
        <f>"07 - B - 101 - Samantha L Martinez"</f>
        <v>07 - B - 101 - Samantha L Martinez</v>
      </c>
      <c r="F837" t="str">
        <f>"KEYBD 1"</f>
        <v>KEYBD 1</v>
      </c>
      <c r="G837" t="str">
        <f>"05-505"</f>
        <v>05-505</v>
      </c>
      <c r="H837" t="str">
        <f>"B"</f>
        <v>B</v>
      </c>
    </row>
    <row r="838" spans="1:8" x14ac:dyDescent="0.2">
      <c r="A838" t="str">
        <f t="shared" si="305"/>
        <v>0611127482</v>
      </c>
      <c r="B838" t="str">
        <f t="shared" si="306"/>
        <v>JAYDEN</v>
      </c>
      <c r="C838" t="str">
        <f t="shared" si="307"/>
        <v>AZAEL</v>
      </c>
      <c r="D838">
        <f>12</f>
        <v>12</v>
      </c>
      <c r="E838" t="str">
        <f>"05 - B - 102 - Dorothy D Moore"</f>
        <v>05 - B - 102 - Dorothy D Moore</v>
      </c>
      <c r="F838" t="str">
        <f>"FORC SCI 1 LH"</f>
        <v>FORC SCI 1 LH</v>
      </c>
      <c r="G838" t="str">
        <f>"08-803"</f>
        <v>08-803</v>
      </c>
      <c r="H838" t="str">
        <f>"B"</f>
        <v>B</v>
      </c>
    </row>
    <row r="839" spans="1:8" x14ac:dyDescent="0.2">
      <c r="A839" t="str">
        <f t="shared" si="305"/>
        <v>0611127482</v>
      </c>
      <c r="B839" t="str">
        <f t="shared" si="306"/>
        <v>JAYDEN</v>
      </c>
      <c r="C839" t="str">
        <f t="shared" si="307"/>
        <v>AZAEL</v>
      </c>
      <c r="D839">
        <f>12</f>
        <v>12</v>
      </c>
      <c r="E839" t="str">
        <f>"01 - A - 201 - Jeanne M Bermudez"</f>
        <v>01 - A - 201 - Jeanne M Bermudez</v>
      </c>
      <c r="F839" t="str">
        <f>"PHYSICS 1 HON"</f>
        <v>PHYSICS 1 HON</v>
      </c>
      <c r="G839" t="str">
        <f>"21-2141"</f>
        <v>21-2141</v>
      </c>
      <c r="H839" t="str">
        <f>"A"</f>
        <v>A</v>
      </c>
    </row>
    <row r="840" spans="1:8" x14ac:dyDescent="0.2">
      <c r="A840" t="str">
        <f t="shared" si="305"/>
        <v>0611127482</v>
      </c>
      <c r="B840" t="str">
        <f t="shared" si="306"/>
        <v>JAYDEN</v>
      </c>
      <c r="C840" t="str">
        <f t="shared" si="307"/>
        <v>AZAEL</v>
      </c>
      <c r="D840">
        <f>12</f>
        <v>12</v>
      </c>
      <c r="E840" t="str">
        <f>"08 - S1 - B - 102 - Nahum  Saint-Preux"</f>
        <v>08 - S1 - B - 102 - Nahum  Saint-Preux</v>
      </c>
      <c r="F840" t="str">
        <f>"CRIT THINK ST SKLS"</f>
        <v>CRIT THINK ST SKLS</v>
      </c>
      <c r="G840" t="str">
        <f>"17-1712"</f>
        <v>17-1712</v>
      </c>
      <c r="H840" t="str">
        <f>"B"</f>
        <v>B</v>
      </c>
    </row>
    <row r="841" spans="1:8" x14ac:dyDescent="0.2">
      <c r="A841" t="str">
        <f t="shared" ref="A841:A848" si="308">"0615051014"</f>
        <v>0615051014</v>
      </c>
      <c r="B841" t="str">
        <f t="shared" ref="B841:B848" si="309">"GABRIEL"</f>
        <v>GABRIEL</v>
      </c>
      <c r="C841" t="str">
        <f t="shared" ref="C841:C848" si="310">"AZIF"</f>
        <v>AZIF</v>
      </c>
      <c r="D841">
        <f>11</f>
        <v>11</v>
      </c>
      <c r="E841" t="str">
        <f>"04 - A - 103 - Lisa  Quinn"</f>
        <v>04 - A - 103 - Lisa  Quinn</v>
      </c>
      <c r="F841" t="str">
        <f>"ENG 3"</f>
        <v>ENG 3</v>
      </c>
      <c r="G841" t="str">
        <f>"17-1725"</f>
        <v>17-1725</v>
      </c>
      <c r="H841" t="str">
        <f>"A"</f>
        <v>A</v>
      </c>
    </row>
    <row r="842" spans="1:8" x14ac:dyDescent="0.2">
      <c r="A842" t="str">
        <f t="shared" si="308"/>
        <v>0615051014</v>
      </c>
      <c r="B842" t="str">
        <f t="shared" si="309"/>
        <v>GABRIEL</v>
      </c>
      <c r="C842" t="str">
        <f t="shared" si="310"/>
        <v>AZIF</v>
      </c>
      <c r="D842">
        <f>11</f>
        <v>11</v>
      </c>
      <c r="E842" t="str">
        <f>"06 - B - 105 - Elizabeth Ellen  Moran"</f>
        <v>06 - B - 105 - Elizabeth Ellen  Moran</v>
      </c>
      <c r="F842" t="str">
        <f>"US HISTORY"</f>
        <v>US HISTORY</v>
      </c>
      <c r="G842" t="str">
        <f>"17-1752"</f>
        <v>17-1752</v>
      </c>
      <c r="H842" t="str">
        <f>"B"</f>
        <v>B</v>
      </c>
    </row>
    <row r="843" spans="1:8" x14ac:dyDescent="0.2">
      <c r="A843" t="str">
        <f t="shared" si="308"/>
        <v>0615051014</v>
      </c>
      <c r="B843" t="str">
        <f t="shared" si="309"/>
        <v>GABRIEL</v>
      </c>
      <c r="C843" t="str">
        <f t="shared" si="310"/>
        <v>AZIF</v>
      </c>
      <c r="D843">
        <f>11</f>
        <v>11</v>
      </c>
      <c r="E843" t="str">
        <f>"03 - A - 208 - Marielle A Witting"</f>
        <v>03 - A - 208 - Marielle A Witting</v>
      </c>
      <c r="F843" t="str">
        <f>"ANAT PHYSIO"</f>
        <v>ANAT PHYSIO</v>
      </c>
      <c r="G843" t="str">
        <f>"08-805"</f>
        <v>08-805</v>
      </c>
      <c r="H843" t="str">
        <f>"A"</f>
        <v>A</v>
      </c>
    </row>
    <row r="844" spans="1:8" x14ac:dyDescent="0.2">
      <c r="A844" t="str">
        <f t="shared" si="308"/>
        <v>0615051014</v>
      </c>
      <c r="B844" t="str">
        <f t="shared" si="309"/>
        <v>GABRIEL</v>
      </c>
      <c r="C844" t="str">
        <f t="shared" si="310"/>
        <v>AZIF</v>
      </c>
      <c r="D844">
        <f>11</f>
        <v>11</v>
      </c>
      <c r="E844" t="str">
        <f>"02 - A - 114 - Eva T Rimmer"</f>
        <v>02 - A - 114 - Eva T Rimmer</v>
      </c>
      <c r="F844" t="str">
        <f>"NC STUDY HALL 1"</f>
        <v>NC STUDY HALL 1</v>
      </c>
      <c r="G844" t="str">
        <f>"05-523"</f>
        <v>05-523</v>
      </c>
      <c r="H844" t="str">
        <f>"A"</f>
        <v>A</v>
      </c>
    </row>
    <row r="845" spans="1:8" x14ac:dyDescent="0.2">
      <c r="A845" t="str">
        <f t="shared" si="308"/>
        <v>0615051014</v>
      </c>
      <c r="B845" t="str">
        <f t="shared" si="309"/>
        <v>GABRIEL</v>
      </c>
      <c r="C845" t="str">
        <f t="shared" si="310"/>
        <v>AZIF</v>
      </c>
      <c r="D845">
        <f>11</f>
        <v>11</v>
      </c>
      <c r="E845" t="str">
        <f>"07 - S1 - B - 107 - Richard E Dunbar Iii"</f>
        <v>07 - S1 - B - 107 - Richard E Dunbar Iii</v>
      </c>
      <c r="F845" t="str">
        <f>"WEIGHT TRAIN 1"</f>
        <v>WEIGHT TRAIN 1</v>
      </c>
      <c r="G845" t="str">
        <f>"05-501"</f>
        <v>05-501</v>
      </c>
      <c r="H845" t="str">
        <f>"B"</f>
        <v>B</v>
      </c>
    </row>
    <row r="846" spans="1:8" x14ac:dyDescent="0.2">
      <c r="A846" t="str">
        <f t="shared" si="308"/>
        <v>0615051014</v>
      </c>
      <c r="B846" t="str">
        <f t="shared" si="309"/>
        <v>GABRIEL</v>
      </c>
      <c r="C846" t="str">
        <f t="shared" si="310"/>
        <v>AZIF</v>
      </c>
      <c r="D846">
        <f>11</f>
        <v>11</v>
      </c>
      <c r="E846" t="str">
        <f>"05 - B - 106 - Fernando  Vega-Cid"</f>
        <v>05 - B - 106 - Fernando  Vega-Cid</v>
      </c>
      <c r="F846" t="str">
        <f>"GEOMETRY"</f>
        <v>GEOMETRY</v>
      </c>
      <c r="G846" t="str">
        <f>"21-2163"</f>
        <v>21-2163</v>
      </c>
      <c r="H846" t="str">
        <f>"B"</f>
        <v>B</v>
      </c>
    </row>
    <row r="847" spans="1:8" x14ac:dyDescent="0.2">
      <c r="A847" t="str">
        <f t="shared" si="308"/>
        <v>0615051014</v>
      </c>
      <c r="B847" t="str">
        <f t="shared" si="309"/>
        <v>GABRIEL</v>
      </c>
      <c r="C847" t="str">
        <f t="shared" si="310"/>
        <v>AZIF</v>
      </c>
      <c r="D847">
        <f>11</f>
        <v>11</v>
      </c>
      <c r="E847" t="str">
        <f>"01 - A - 101 - Daniel S Tyson"</f>
        <v>01 - A - 101 - Daniel S Tyson</v>
      </c>
      <c r="F847" t="str">
        <f>"JROTC NAVAL SCI 2"</f>
        <v>JROTC NAVAL SCI 2</v>
      </c>
      <c r="G847" t="str">
        <f>"05-510"</f>
        <v>05-510</v>
      </c>
      <c r="H847" t="str">
        <f>"A"</f>
        <v>A</v>
      </c>
    </row>
    <row r="848" spans="1:8" x14ac:dyDescent="0.2">
      <c r="A848" t="str">
        <f t="shared" si="308"/>
        <v>0615051014</v>
      </c>
      <c r="B848" t="str">
        <f t="shared" si="309"/>
        <v>GABRIEL</v>
      </c>
      <c r="C848" t="str">
        <f t="shared" si="310"/>
        <v>AZIF</v>
      </c>
      <c r="D848">
        <f>11</f>
        <v>11</v>
      </c>
      <c r="E848" t="str">
        <f>"08 - S1 - B - 001 - Carol S Moore"</f>
        <v>08 - S1 - B - 001 - Carol S Moore</v>
      </c>
      <c r="F848" t="str">
        <f>"PER CAR SCH DEV 1 LH"</f>
        <v>PER CAR SCH DEV 1 LH</v>
      </c>
      <c r="G848" t="str">
        <f>"17-1733"</f>
        <v>17-1733</v>
      </c>
      <c r="H848" t="str">
        <f>"B"</f>
        <v>B</v>
      </c>
    </row>
    <row r="849" spans="1:8" x14ac:dyDescent="0.2">
      <c r="A849" t="str">
        <f t="shared" ref="A849:A856" si="311">"0619054388"</f>
        <v>0619054388</v>
      </c>
      <c r="B849" t="str">
        <f t="shared" ref="B849:B856" si="312">"RODRIGO"</f>
        <v>RODRIGO</v>
      </c>
      <c r="C849" t="str">
        <f t="shared" ref="C849:C856" si="313">"BAEZ REINOSO"</f>
        <v>BAEZ REINOSO</v>
      </c>
      <c r="D849">
        <f>12</f>
        <v>12</v>
      </c>
      <c r="E849" t="str">
        <f>"04 - A - 102 - Samantha J Headley"</f>
        <v>04 - A - 102 - Samantha J Headley</v>
      </c>
      <c r="F849" t="str">
        <f>"MARINE SCI 1 HON"</f>
        <v>MARINE SCI 1 HON</v>
      </c>
      <c r="G849" t="str">
        <f>"21-2134"</f>
        <v>21-2134</v>
      </c>
      <c r="H849" t="str">
        <f>"A"</f>
        <v>A</v>
      </c>
    </row>
    <row r="850" spans="1:8" x14ac:dyDescent="0.2">
      <c r="A850" t="str">
        <f t="shared" si="311"/>
        <v>0619054388</v>
      </c>
      <c r="B850" t="str">
        <f t="shared" si="312"/>
        <v>RODRIGO</v>
      </c>
      <c r="C850" t="str">
        <f t="shared" si="313"/>
        <v>BAEZ REINOSO</v>
      </c>
      <c r="D850">
        <f>12</f>
        <v>12</v>
      </c>
      <c r="E850" t="str">
        <f>"06 - B - 114 - Lisa J London"</f>
        <v>06 - B - 114 - Lisa J London</v>
      </c>
      <c r="F850" t="str">
        <f>"NC STUDY HALL 1"</f>
        <v>NC STUDY HALL 1</v>
      </c>
      <c r="G850" t="str">
        <f>"17-1714"</f>
        <v>17-1714</v>
      </c>
      <c r="H850" t="str">
        <f>"B"</f>
        <v>B</v>
      </c>
    </row>
    <row r="851" spans="1:8" x14ac:dyDescent="0.2">
      <c r="A851" t="str">
        <f t="shared" si="311"/>
        <v>0619054388</v>
      </c>
      <c r="B851" t="str">
        <f t="shared" si="312"/>
        <v>RODRIGO</v>
      </c>
      <c r="C851" t="str">
        <f t="shared" si="313"/>
        <v>BAEZ REINOSO</v>
      </c>
      <c r="D851">
        <f>12</f>
        <v>12</v>
      </c>
      <c r="E851" t="str">
        <f>"03 - A - 101 - Eva T Rimmer"</f>
        <v>03 - A - 101 - Eva T Rimmer</v>
      </c>
      <c r="F851" t="str">
        <f>"CRIMINAL JUST OPS 1"</f>
        <v>CRIMINAL JUST OPS 1</v>
      </c>
      <c r="G851" t="str">
        <f>"05-523"</f>
        <v>05-523</v>
      </c>
      <c r="H851" t="str">
        <f>"A"</f>
        <v>A</v>
      </c>
    </row>
    <row r="852" spans="1:8" x14ac:dyDescent="0.2">
      <c r="A852" t="str">
        <f t="shared" si="311"/>
        <v>0619054388</v>
      </c>
      <c r="B852" t="str">
        <f t="shared" si="312"/>
        <v>RODRIGO</v>
      </c>
      <c r="C852" t="str">
        <f t="shared" si="313"/>
        <v>BAEZ REINOSO</v>
      </c>
      <c r="D852">
        <f>12</f>
        <v>12</v>
      </c>
      <c r="E852" t="str">
        <f>"02 - S1 - A - 104 - Robert O Burger"</f>
        <v>02 - S1 - A - 104 - Robert O Burger</v>
      </c>
      <c r="F852" t="str">
        <f>"US GOVT"</f>
        <v>US GOVT</v>
      </c>
      <c r="G852" t="str">
        <f>"17-1755"</f>
        <v>17-1755</v>
      </c>
      <c r="H852" t="str">
        <f>"A"</f>
        <v>A</v>
      </c>
    </row>
    <row r="853" spans="1:8" x14ac:dyDescent="0.2">
      <c r="A853" t="str">
        <f t="shared" si="311"/>
        <v>0619054388</v>
      </c>
      <c r="B853" t="str">
        <f t="shared" si="312"/>
        <v>RODRIGO</v>
      </c>
      <c r="C853" t="str">
        <f t="shared" si="313"/>
        <v>BAEZ REINOSO</v>
      </c>
      <c r="D853">
        <f>12</f>
        <v>12</v>
      </c>
      <c r="E853" t="str">
        <f>"07 - B - 102 - Tina L Lovett"</f>
        <v>07 - B - 102 - Tina L Lovett</v>
      </c>
      <c r="F853" t="str">
        <f>"MATH DATA &amp; FIN LIT"</f>
        <v>MATH DATA &amp; FIN LIT</v>
      </c>
      <c r="G853" t="str">
        <f>"21-2153"</f>
        <v>21-2153</v>
      </c>
      <c r="H853" t="str">
        <f>"B"</f>
        <v>B</v>
      </c>
    </row>
    <row r="854" spans="1:8" x14ac:dyDescent="0.2">
      <c r="A854" t="str">
        <f t="shared" si="311"/>
        <v>0619054388</v>
      </c>
      <c r="B854" t="str">
        <f t="shared" si="312"/>
        <v>RODRIGO</v>
      </c>
      <c r="C854" t="str">
        <f t="shared" si="313"/>
        <v>BAEZ REINOSO</v>
      </c>
      <c r="D854">
        <f>12</f>
        <v>12</v>
      </c>
      <c r="E854" t="str">
        <f>"05 - B - 101 - Angela S Adeshina-Morrison"</f>
        <v>05 - B - 101 - Angela S Adeshina-Morrison</v>
      </c>
      <c r="F854" t="str">
        <f>"MKT APPLCTNS LH"</f>
        <v>MKT APPLCTNS LH</v>
      </c>
      <c r="G854" t="str">
        <f>"05-518"</f>
        <v>05-518</v>
      </c>
      <c r="H854" t="str">
        <f>"B"</f>
        <v>B</v>
      </c>
    </row>
    <row r="855" spans="1:8" x14ac:dyDescent="0.2">
      <c r="A855" t="str">
        <f t="shared" si="311"/>
        <v>0619054388</v>
      </c>
      <c r="B855" t="str">
        <f t="shared" si="312"/>
        <v>RODRIGO</v>
      </c>
      <c r="C855" t="str">
        <f t="shared" si="313"/>
        <v>BAEZ REINOSO</v>
      </c>
      <c r="D855">
        <f>12</f>
        <v>12</v>
      </c>
      <c r="E855" t="str">
        <f>"01 - A - 103 - Robyn L Trainer"</f>
        <v>01 - A - 103 - Robyn L Trainer</v>
      </c>
      <c r="F855" t="str">
        <f>"ENG 4"</f>
        <v>ENG 4</v>
      </c>
      <c r="G855" t="str">
        <f>"17-1734"</f>
        <v>17-1734</v>
      </c>
      <c r="H855" t="str">
        <f>"A"</f>
        <v>A</v>
      </c>
    </row>
    <row r="856" spans="1:8" x14ac:dyDescent="0.2">
      <c r="A856" t="str">
        <f t="shared" si="311"/>
        <v>0619054388</v>
      </c>
      <c r="B856" t="str">
        <f t="shared" si="312"/>
        <v>RODRIGO</v>
      </c>
      <c r="C856" t="str">
        <f t="shared" si="313"/>
        <v>BAEZ REINOSO</v>
      </c>
      <c r="D856">
        <f>12</f>
        <v>12</v>
      </c>
      <c r="E856" t="str">
        <f>"08 - S1 - B - 104 - Angela S Adeshina-Morrison"</f>
        <v>08 - S1 - B - 104 - Angela S Adeshina-Morrison</v>
      </c>
      <c r="F856" t="str">
        <f>"PEER COUN 1"</f>
        <v>PEER COUN 1</v>
      </c>
      <c r="G856" t="str">
        <f>"05-518"</f>
        <v>05-518</v>
      </c>
      <c r="H856" t="str">
        <f>"B"</f>
        <v>B</v>
      </c>
    </row>
    <row r="857" spans="1:8" x14ac:dyDescent="0.2">
      <c r="A857" t="str">
        <f t="shared" ref="A857:A864" si="314">"0621062922"</f>
        <v>0621062922</v>
      </c>
      <c r="B857" t="str">
        <f t="shared" ref="B857:B864" si="315">"PIERRE"</f>
        <v>PIERRE</v>
      </c>
      <c r="C857" t="str">
        <f t="shared" ref="C857:C864" si="316">"BAGUIDY"</f>
        <v>BAGUIDY</v>
      </c>
      <c r="D857" t="str">
        <f t="shared" ref="D857:D872" si="317">"09"</f>
        <v>09</v>
      </c>
      <c r="E857" t="str">
        <f>"04 - A - 103 - Cerine S Stewart"</f>
        <v>04 - A - 103 - Cerine S Stewart</v>
      </c>
      <c r="F857" t="str">
        <f>"ENG 1"</f>
        <v>ENG 1</v>
      </c>
      <c r="G857" t="str">
        <f>"17-1720"</f>
        <v>17-1720</v>
      </c>
      <c r="H857" t="str">
        <f>"A"</f>
        <v>A</v>
      </c>
    </row>
    <row r="858" spans="1:8" x14ac:dyDescent="0.2">
      <c r="A858" t="str">
        <f t="shared" si="314"/>
        <v>0621062922</v>
      </c>
      <c r="B858" t="str">
        <f t="shared" si="315"/>
        <v>PIERRE</v>
      </c>
      <c r="C858" t="str">
        <f t="shared" si="316"/>
        <v>BAGUIDY</v>
      </c>
      <c r="D858" t="str">
        <f t="shared" si="317"/>
        <v>09</v>
      </c>
      <c r="E858" t="str">
        <f>"06 - B - 106 - Adam Marcus  Drucker"</f>
        <v>06 - B - 106 - Adam Marcus  Drucker</v>
      </c>
      <c r="F858" t="str">
        <f>"HOPE-PE V"</f>
        <v>HOPE-PE V</v>
      </c>
      <c r="G858" t="str">
        <f>"04-254"</f>
        <v>04-254</v>
      </c>
      <c r="H858" t="str">
        <f>"B"</f>
        <v>B</v>
      </c>
    </row>
    <row r="859" spans="1:8" x14ac:dyDescent="0.2">
      <c r="A859" t="str">
        <f t="shared" si="314"/>
        <v>0621062922</v>
      </c>
      <c r="B859" t="str">
        <f t="shared" si="315"/>
        <v>PIERRE</v>
      </c>
      <c r="C859" t="str">
        <f t="shared" si="316"/>
        <v>BAGUIDY</v>
      </c>
      <c r="D859" t="str">
        <f t="shared" si="317"/>
        <v>09</v>
      </c>
      <c r="E859" t="str">
        <f>"03 - A - 105 - Elizabeth Ellen  Moran"</f>
        <v>03 - A - 105 - Elizabeth Ellen  Moran</v>
      </c>
      <c r="F859" t="str">
        <f>"WORLD HISTORY"</f>
        <v>WORLD HISTORY</v>
      </c>
      <c r="G859" t="str">
        <f>"17-1752"</f>
        <v>17-1752</v>
      </c>
      <c r="H859" t="str">
        <f>"A"</f>
        <v>A</v>
      </c>
    </row>
    <row r="860" spans="1:8" x14ac:dyDescent="0.2">
      <c r="A860" t="str">
        <f t="shared" si="314"/>
        <v>0621062922</v>
      </c>
      <c r="B860" t="str">
        <f t="shared" si="315"/>
        <v>PIERRE</v>
      </c>
      <c r="C860" t="str">
        <f t="shared" si="316"/>
        <v>BAGUIDY</v>
      </c>
      <c r="D860" t="str">
        <f t="shared" si="317"/>
        <v>09</v>
      </c>
      <c r="E860" t="str">
        <f>"02 - A - 107 - Cerine S Stewart"</f>
        <v>02 - A - 107 - Cerine S Stewart</v>
      </c>
      <c r="F860" t="str">
        <f>"NC STUDY HALL 1"</f>
        <v>NC STUDY HALL 1</v>
      </c>
      <c r="G860" t="str">
        <f>"17-1720"</f>
        <v>17-1720</v>
      </c>
      <c r="H860" t="str">
        <f>"A"</f>
        <v>A</v>
      </c>
    </row>
    <row r="861" spans="1:8" x14ac:dyDescent="0.2">
      <c r="A861" t="str">
        <f t="shared" si="314"/>
        <v>0621062922</v>
      </c>
      <c r="B861" t="str">
        <f t="shared" si="315"/>
        <v>PIERRE</v>
      </c>
      <c r="C861" t="str">
        <f t="shared" si="316"/>
        <v>BAGUIDY</v>
      </c>
      <c r="D861" t="str">
        <f t="shared" si="317"/>
        <v>09</v>
      </c>
      <c r="E861" t="str">
        <f>"07 - B - 107 - Helen A Flores"</f>
        <v>07 - B - 107 - Helen A Flores</v>
      </c>
      <c r="F861" t="str">
        <f>"ALGEBRA 1"</f>
        <v>ALGEBRA 1</v>
      </c>
      <c r="G861" t="str">
        <f>"21-2101"</f>
        <v>21-2101</v>
      </c>
      <c r="H861" t="str">
        <f>"B"</f>
        <v>B</v>
      </c>
    </row>
    <row r="862" spans="1:8" x14ac:dyDescent="0.2">
      <c r="A862" t="str">
        <f t="shared" si="314"/>
        <v>0621062922</v>
      </c>
      <c r="B862" t="str">
        <f t="shared" si="315"/>
        <v>PIERRE</v>
      </c>
      <c r="C862" t="str">
        <f t="shared" si="316"/>
        <v>BAGUIDY</v>
      </c>
      <c r="D862" t="str">
        <f t="shared" si="317"/>
        <v>09</v>
      </c>
      <c r="E862" t="str">
        <f>"05 - B - 101 - Linda  Celestin"</f>
        <v>05 - B - 101 - Linda  Celestin</v>
      </c>
      <c r="F862" t="str">
        <f>"LRNG STRATEGIES 9-12"</f>
        <v>LRNG STRATEGIES 9-12</v>
      </c>
      <c r="G862" t="str">
        <f>"21-2160"</f>
        <v>21-2160</v>
      </c>
      <c r="H862" t="str">
        <f>"B"</f>
        <v>B</v>
      </c>
    </row>
    <row r="863" spans="1:8" x14ac:dyDescent="0.2">
      <c r="A863" t="str">
        <f t="shared" si="314"/>
        <v>0621062922</v>
      </c>
      <c r="B863" t="str">
        <f t="shared" si="315"/>
        <v>PIERRE</v>
      </c>
      <c r="C863" t="str">
        <f t="shared" si="316"/>
        <v>BAGUIDY</v>
      </c>
      <c r="D863" t="str">
        <f t="shared" si="317"/>
        <v>09</v>
      </c>
      <c r="E863" t="str">
        <f>"01 - A - 102 - Helen A Flores"</f>
        <v>01 - A - 102 - Helen A Flores</v>
      </c>
      <c r="F863" t="str">
        <f>"FDN SKLS MATH 9-12"</f>
        <v>FDN SKLS MATH 9-12</v>
      </c>
      <c r="G863" t="str">
        <f>"21-2101"</f>
        <v>21-2101</v>
      </c>
      <c r="H863" t="str">
        <f>"A"</f>
        <v>A</v>
      </c>
    </row>
    <row r="864" spans="1:8" x14ac:dyDescent="0.2">
      <c r="A864" t="str">
        <f t="shared" si="314"/>
        <v>0621062922</v>
      </c>
      <c r="B864" t="str">
        <f t="shared" si="315"/>
        <v>PIERRE</v>
      </c>
      <c r="C864" t="str">
        <f t="shared" si="316"/>
        <v>BAGUIDY</v>
      </c>
      <c r="D864" t="str">
        <f t="shared" si="317"/>
        <v>09</v>
      </c>
      <c r="E864" t="str">
        <f>"08 - B - 105 - Samantha J Headley"</f>
        <v>08 - B - 105 - Samantha J Headley</v>
      </c>
      <c r="F864" t="str">
        <f>"ENV SCI"</f>
        <v>ENV SCI</v>
      </c>
      <c r="G864" t="str">
        <f>"08-802"</f>
        <v>08-802</v>
      </c>
      <c r="H864" t="str">
        <f>"B"</f>
        <v>B</v>
      </c>
    </row>
    <row r="865" spans="1:8" x14ac:dyDescent="0.2">
      <c r="A865" t="str">
        <f t="shared" ref="A865:A872" si="318">"0615133843"</f>
        <v>0615133843</v>
      </c>
      <c r="B865" t="str">
        <f t="shared" ref="B865:B872" si="319">"KARDELEN"</f>
        <v>KARDELEN</v>
      </c>
      <c r="C865" t="str">
        <f t="shared" ref="C865:C872" si="320">"BAHADIR"</f>
        <v>BAHADIR</v>
      </c>
      <c r="D865" t="str">
        <f t="shared" si="317"/>
        <v>09</v>
      </c>
      <c r="E865" t="str">
        <f>"04 - A - 104 - Brook E Goren"</f>
        <v>04 - A - 104 - Brook E Goren</v>
      </c>
      <c r="F865" t="str">
        <f>"ALGEBRA 2 HON"</f>
        <v>ALGEBRA 2 HON</v>
      </c>
      <c r="G865" t="str">
        <f>"21-2158"</f>
        <v>21-2158</v>
      </c>
      <c r="H865" t="str">
        <f>"A"</f>
        <v>A</v>
      </c>
    </row>
    <row r="866" spans="1:8" x14ac:dyDescent="0.2">
      <c r="A866" t="str">
        <f t="shared" si="318"/>
        <v>0615133843</v>
      </c>
      <c r="B866" t="str">
        <f t="shared" si="319"/>
        <v>KARDELEN</v>
      </c>
      <c r="C866" t="str">
        <f t="shared" si="320"/>
        <v>BAHADIR</v>
      </c>
      <c r="D866" t="str">
        <f t="shared" si="317"/>
        <v>09</v>
      </c>
      <c r="E866" t="str">
        <f>"06 - B - 106 - Marius D Orsolini"</f>
        <v>06 - B - 106 - Marius D Orsolini</v>
      </c>
      <c r="F866" t="str">
        <f>"CULINARY ARTS 1"</f>
        <v>CULINARY ARTS 1</v>
      </c>
      <c r="G866" t="str">
        <f>"21-2115"</f>
        <v>21-2115</v>
      </c>
      <c r="H866" t="str">
        <f>"B"</f>
        <v>B</v>
      </c>
    </row>
    <row r="867" spans="1:8" x14ac:dyDescent="0.2">
      <c r="A867" t="str">
        <f t="shared" si="318"/>
        <v>0615133843</v>
      </c>
      <c r="B867" t="str">
        <f t="shared" si="319"/>
        <v>KARDELEN</v>
      </c>
      <c r="C867" t="str">
        <f t="shared" si="320"/>
        <v>BAHADIR</v>
      </c>
      <c r="D867" t="str">
        <f t="shared" si="317"/>
        <v>09</v>
      </c>
      <c r="E867" t="str">
        <f>"03 - A - 101 - Eva T Rimmer"</f>
        <v>03 - A - 101 - Eva T Rimmer</v>
      </c>
      <c r="F867" t="str">
        <f>"CRIMINAL JUST OPS 1"</f>
        <v>CRIMINAL JUST OPS 1</v>
      </c>
      <c r="G867" t="str">
        <f>"05-523"</f>
        <v>05-523</v>
      </c>
      <c r="H867" t="str">
        <f>"A"</f>
        <v>A</v>
      </c>
    </row>
    <row r="868" spans="1:8" x14ac:dyDescent="0.2">
      <c r="A868" t="str">
        <f t="shared" si="318"/>
        <v>0615133843</v>
      </c>
      <c r="B868" t="str">
        <f t="shared" si="319"/>
        <v>KARDELEN</v>
      </c>
      <c r="C868" t="str">
        <f t="shared" si="320"/>
        <v>BAHADIR</v>
      </c>
      <c r="D868" t="str">
        <f t="shared" si="317"/>
        <v>09</v>
      </c>
      <c r="E868" t="str">
        <f>"02 - A - 103 - Arthur  Kulawik"</f>
        <v>02 - A - 103 - Arthur  Kulawik</v>
      </c>
      <c r="F868" t="str">
        <f>"NC STUDY HALL 1"</f>
        <v>NC STUDY HALL 1</v>
      </c>
      <c r="G868" t="str">
        <f>"05-506"</f>
        <v>05-506</v>
      </c>
      <c r="H868" t="str">
        <f>"A"</f>
        <v>A</v>
      </c>
    </row>
    <row r="869" spans="1:8" x14ac:dyDescent="0.2">
      <c r="A869" t="str">
        <f t="shared" si="318"/>
        <v>0615133843</v>
      </c>
      <c r="B869" t="str">
        <f t="shared" si="319"/>
        <v>KARDELEN</v>
      </c>
      <c r="C869" t="str">
        <f t="shared" si="320"/>
        <v>BAHADIR</v>
      </c>
      <c r="D869" t="str">
        <f t="shared" si="317"/>
        <v>09</v>
      </c>
      <c r="E869" t="str">
        <f>"07 - B - 003 - Brandy N Zdenek"</f>
        <v>07 - B - 003 - Brandy N Zdenek</v>
      </c>
      <c r="F869" t="str">
        <f>"AICE ENG GEN PAPER 1"</f>
        <v>AICE ENG GEN PAPER 1</v>
      </c>
      <c r="G869" t="str">
        <f>"17-1704"</f>
        <v>17-1704</v>
      </c>
      <c r="H869" t="str">
        <f>"B"</f>
        <v>B</v>
      </c>
    </row>
    <row r="870" spans="1:8" x14ac:dyDescent="0.2">
      <c r="A870" t="str">
        <f t="shared" si="318"/>
        <v>0615133843</v>
      </c>
      <c r="B870" t="str">
        <f t="shared" si="319"/>
        <v>KARDELEN</v>
      </c>
      <c r="C870" t="str">
        <f t="shared" si="320"/>
        <v>BAHADIR</v>
      </c>
      <c r="D870" t="str">
        <f t="shared" si="317"/>
        <v>09</v>
      </c>
      <c r="E870" t="str">
        <f>"05 - B - 201 - Lisa J London"</f>
        <v>05 - B - 201 - Lisa J London</v>
      </c>
      <c r="F870" t="str">
        <f>"COMPRE LAW HON"</f>
        <v>COMPRE LAW HON</v>
      </c>
      <c r="G870" t="str">
        <f>"17-1714"</f>
        <v>17-1714</v>
      </c>
      <c r="H870" t="str">
        <f>"B"</f>
        <v>B</v>
      </c>
    </row>
    <row r="871" spans="1:8" x14ac:dyDescent="0.2">
      <c r="A871" t="str">
        <f t="shared" si="318"/>
        <v>0615133843</v>
      </c>
      <c r="B871" t="str">
        <f t="shared" si="319"/>
        <v>KARDELEN</v>
      </c>
      <c r="C871" t="str">
        <f t="shared" si="320"/>
        <v>BAHADIR</v>
      </c>
      <c r="D871" t="str">
        <f t="shared" si="317"/>
        <v>09</v>
      </c>
      <c r="E871" t="str">
        <f>"01 - A - 101 - Rory T Sponsler"</f>
        <v>01 - A - 101 - Rory T Sponsler</v>
      </c>
      <c r="F871" t="str">
        <f>"PRE-AICE WRLD HST IG"</f>
        <v>PRE-AICE WRLD HST IG</v>
      </c>
      <c r="G871" t="str">
        <f>"17-1740"</f>
        <v>17-1740</v>
      </c>
      <c r="H871" t="str">
        <f>"A"</f>
        <v>A</v>
      </c>
    </row>
    <row r="872" spans="1:8" x14ac:dyDescent="0.2">
      <c r="A872" t="str">
        <f t="shared" si="318"/>
        <v>0615133843</v>
      </c>
      <c r="B872" t="str">
        <f t="shared" si="319"/>
        <v>KARDELEN</v>
      </c>
      <c r="C872" t="str">
        <f t="shared" si="320"/>
        <v>BAHADIR</v>
      </c>
      <c r="D872" t="str">
        <f t="shared" si="317"/>
        <v>09</v>
      </c>
      <c r="E872" t="str">
        <f>"08 - B - 102 - Josiah I Lacy"</f>
        <v>08 - B - 102 - Josiah I Lacy</v>
      </c>
      <c r="F872" t="str">
        <f>"ANAT PHYSIO HON"</f>
        <v>ANAT PHYSIO HON</v>
      </c>
      <c r="G872" t="str">
        <f>"08-801"</f>
        <v>08-801</v>
      </c>
      <c r="H872" t="str">
        <f>"B"</f>
        <v>B</v>
      </c>
    </row>
    <row r="873" spans="1:8" x14ac:dyDescent="0.2">
      <c r="A873" t="str">
        <f t="shared" ref="A873:A880" si="321">"0614100060"</f>
        <v>0614100060</v>
      </c>
      <c r="B873" t="str">
        <f t="shared" ref="B873:B880" si="322">"TAMARA"</f>
        <v>TAMARA</v>
      </c>
      <c r="C873" t="str">
        <f t="shared" ref="C873:C880" si="323">"BAIGORRIA"</f>
        <v>BAIGORRIA</v>
      </c>
      <c r="D873">
        <f>11</f>
        <v>11</v>
      </c>
      <c r="E873" t="str">
        <f>"04 - A - 101 - Jeanne M Bermudez"</f>
        <v>04 - A - 101 - Jeanne M Bermudez</v>
      </c>
      <c r="F873" t="str">
        <f>"ADVANCED IT HON"</f>
        <v>ADVANCED IT HON</v>
      </c>
      <c r="G873" t="str">
        <f>"21-2141"</f>
        <v>21-2141</v>
      </c>
      <c r="H873" t="str">
        <f>"A"</f>
        <v>A</v>
      </c>
    </row>
    <row r="874" spans="1:8" x14ac:dyDescent="0.2">
      <c r="A874" t="str">
        <f t="shared" si="321"/>
        <v>0614100060</v>
      </c>
      <c r="B874" t="str">
        <f t="shared" si="322"/>
        <v>TAMARA</v>
      </c>
      <c r="C874" t="str">
        <f t="shared" si="323"/>
        <v>BAIGORRIA</v>
      </c>
      <c r="D874">
        <f>11</f>
        <v>11</v>
      </c>
      <c r="E874" t="str">
        <f>"06 - B - 001 - Samantha J Headley"</f>
        <v>06 - B - 001 - Samantha J Headley</v>
      </c>
      <c r="F874" t="str">
        <f>"MARINE SCI 1 HON"</f>
        <v>MARINE SCI 1 HON</v>
      </c>
      <c r="G874" t="str">
        <f>"21-2134"</f>
        <v>21-2134</v>
      </c>
      <c r="H874" t="str">
        <f>"B"</f>
        <v>B</v>
      </c>
    </row>
    <row r="875" spans="1:8" x14ac:dyDescent="0.2">
      <c r="A875" t="str">
        <f t="shared" si="321"/>
        <v>0614100060</v>
      </c>
      <c r="B875" t="str">
        <f t="shared" si="322"/>
        <v>TAMARA</v>
      </c>
      <c r="C875" t="str">
        <f t="shared" si="323"/>
        <v>BAIGORRIA</v>
      </c>
      <c r="D875">
        <f>11</f>
        <v>11</v>
      </c>
      <c r="E875" t="str">
        <f>"03 - A - 101 - Lourivaldo  Da Silva"</f>
        <v>03 - A - 101 - Lourivaldo  Da Silva</v>
      </c>
      <c r="F875" t="str">
        <f>"AP STAT"</f>
        <v>AP STAT</v>
      </c>
      <c r="G875" t="str">
        <f>"20-2079"</f>
        <v>20-2079</v>
      </c>
      <c r="H875" t="str">
        <f>"A"</f>
        <v>A</v>
      </c>
    </row>
    <row r="876" spans="1:8" x14ac:dyDescent="0.2">
      <c r="A876" t="str">
        <f t="shared" si="321"/>
        <v>0614100060</v>
      </c>
      <c r="B876" t="str">
        <f t="shared" si="322"/>
        <v>TAMARA</v>
      </c>
      <c r="C876" t="str">
        <f t="shared" si="323"/>
        <v>BAIGORRIA</v>
      </c>
      <c r="D876">
        <f>11</f>
        <v>11</v>
      </c>
      <c r="E876" t="str">
        <f>"02 - A - 106 - Heidi M Knopp"</f>
        <v>02 - A - 106 - Heidi M Knopp</v>
      </c>
      <c r="F876" t="str">
        <f>"NC STUDY HALL 1"</f>
        <v>NC STUDY HALL 1</v>
      </c>
      <c r="G876" t="str">
        <f>"17-1735"</f>
        <v>17-1735</v>
      </c>
      <c r="H876" t="str">
        <f>"A"</f>
        <v>A</v>
      </c>
    </row>
    <row r="877" spans="1:8" x14ac:dyDescent="0.2">
      <c r="A877" t="str">
        <f t="shared" si="321"/>
        <v>0614100060</v>
      </c>
      <c r="B877" t="str">
        <f t="shared" si="322"/>
        <v>TAMARA</v>
      </c>
      <c r="C877" t="str">
        <f t="shared" si="323"/>
        <v>BAIGORRIA</v>
      </c>
      <c r="D877">
        <f>11</f>
        <v>11</v>
      </c>
      <c r="E877" t="str">
        <f>"07 - B - 107 - Adam Marcus  Drucker"</f>
        <v>07 - B - 107 - Adam Marcus  Drucker</v>
      </c>
      <c r="F877" t="str">
        <f>"HOPE-PE V"</f>
        <v>HOPE-PE V</v>
      </c>
      <c r="G877" t="str">
        <f>"04-254"</f>
        <v>04-254</v>
      </c>
      <c r="H877" t="str">
        <f>"B"</f>
        <v>B</v>
      </c>
    </row>
    <row r="878" spans="1:8" x14ac:dyDescent="0.2">
      <c r="A878" t="str">
        <f t="shared" si="321"/>
        <v>0614100060</v>
      </c>
      <c r="B878" t="str">
        <f t="shared" si="322"/>
        <v>TAMARA</v>
      </c>
      <c r="C878" t="str">
        <f t="shared" si="323"/>
        <v>BAIGORRIA</v>
      </c>
      <c r="D878">
        <f>11</f>
        <v>11</v>
      </c>
      <c r="E878" t="str">
        <f>"05 - B - 102 - Jerry S Jiampetti"</f>
        <v>05 - B - 102 - Jerry S Jiampetti</v>
      </c>
      <c r="F878" t="str">
        <f>"AICE U.S. HIST 1 AS"</f>
        <v>AICE U.S. HIST 1 AS</v>
      </c>
      <c r="G878" t="str">
        <f>"17-1751"</f>
        <v>17-1751</v>
      </c>
      <c r="H878" t="str">
        <f>"B"</f>
        <v>B</v>
      </c>
    </row>
    <row r="879" spans="1:8" x14ac:dyDescent="0.2">
      <c r="A879" t="str">
        <f t="shared" si="321"/>
        <v>0614100060</v>
      </c>
      <c r="B879" t="str">
        <f t="shared" si="322"/>
        <v>TAMARA</v>
      </c>
      <c r="C879" t="str">
        <f t="shared" si="323"/>
        <v>BAIGORRIA</v>
      </c>
      <c r="D879">
        <f>11</f>
        <v>11</v>
      </c>
      <c r="E879" t="str">
        <f>"01 - A - 101 - Brandy N Zdenek"</f>
        <v>01 - A - 101 - Brandy N Zdenek</v>
      </c>
      <c r="F879" t="str">
        <f>"AICE ENG LANG 2 AL"</f>
        <v>AICE ENG LANG 2 AL</v>
      </c>
      <c r="G879" t="str">
        <f>"17-1704"</f>
        <v>17-1704</v>
      </c>
      <c r="H879" t="str">
        <f>"A"</f>
        <v>A</v>
      </c>
    </row>
    <row r="880" spans="1:8" x14ac:dyDescent="0.2">
      <c r="A880" t="str">
        <f t="shared" si="321"/>
        <v>0614100060</v>
      </c>
      <c r="B880" t="str">
        <f t="shared" si="322"/>
        <v>TAMARA</v>
      </c>
      <c r="C880" t="str">
        <f t="shared" si="323"/>
        <v>BAIGORRIA</v>
      </c>
      <c r="D880">
        <f>11</f>
        <v>11</v>
      </c>
      <c r="E880" t="str">
        <f>"08 - B - 101 - Eva T Rimmer"</f>
        <v>08 - B - 101 - Eva T Rimmer</v>
      </c>
      <c r="F880" t="str">
        <f>"CRIM JUST OPS 3 HON"</f>
        <v>CRIM JUST OPS 3 HON</v>
      </c>
      <c r="G880" t="str">
        <f>"05-523"</f>
        <v>05-523</v>
      </c>
      <c r="H880" t="str">
        <f>"B"</f>
        <v>B</v>
      </c>
    </row>
    <row r="881" spans="1:8" x14ac:dyDescent="0.2">
      <c r="A881" t="str">
        <f t="shared" ref="A881:A888" si="324">"0614144022"</f>
        <v>0614144022</v>
      </c>
      <c r="B881" t="str">
        <f t="shared" ref="B881:B888" si="325">"JACKELINE"</f>
        <v>JACKELINE</v>
      </c>
      <c r="C881" t="str">
        <f t="shared" ref="C881:C888" si="326">"BAIL ALVARADO"</f>
        <v>BAIL ALVARADO</v>
      </c>
      <c r="D881">
        <f>11</f>
        <v>11</v>
      </c>
      <c r="E881" t="str">
        <f>"04 - S1 - A - 101 - Leslie J Barton"</f>
        <v>04 - S1 - A - 101 - Leslie J Barton</v>
      </c>
      <c r="F881" t="str">
        <f>"TEAM SPORTS 1"</f>
        <v>TEAM SPORTS 1</v>
      </c>
      <c r="G881" t="str">
        <f>"04-254"</f>
        <v>04-254</v>
      </c>
      <c r="H881" t="str">
        <f>"A"</f>
        <v>A</v>
      </c>
    </row>
    <row r="882" spans="1:8" x14ac:dyDescent="0.2">
      <c r="A882" t="str">
        <f t="shared" si="324"/>
        <v>0614144022</v>
      </c>
      <c r="B882" t="str">
        <f t="shared" si="325"/>
        <v>JACKELINE</v>
      </c>
      <c r="C882" t="str">
        <f t="shared" si="326"/>
        <v>BAIL ALVARADO</v>
      </c>
      <c r="D882">
        <f>11</f>
        <v>11</v>
      </c>
      <c r="E882" t="str">
        <f>"06 - B - 103 - Helen A Flores"</f>
        <v>06 - B - 103 - Helen A Flores</v>
      </c>
      <c r="F882" t="str">
        <f>"ALGEBRA 2"</f>
        <v>ALGEBRA 2</v>
      </c>
      <c r="G882" t="str">
        <f>"21-2101"</f>
        <v>21-2101</v>
      </c>
      <c r="H882" t="str">
        <f>"B"</f>
        <v>B</v>
      </c>
    </row>
    <row r="883" spans="1:8" x14ac:dyDescent="0.2">
      <c r="A883" t="str">
        <f t="shared" si="324"/>
        <v>0614144022</v>
      </c>
      <c r="B883" t="str">
        <f t="shared" si="325"/>
        <v>JACKELINE</v>
      </c>
      <c r="C883" t="str">
        <f t="shared" si="326"/>
        <v>BAIL ALVARADO</v>
      </c>
      <c r="D883">
        <f>11</f>
        <v>11</v>
      </c>
      <c r="E883" t="str">
        <f>"03 - A - 201 - Joe  Kilpatrick Jr"</f>
        <v>03 - A - 201 - Joe  Kilpatrick Jr</v>
      </c>
      <c r="F883" t="str">
        <f>"PRE-AICE SPAN 2 IG"</f>
        <v>PRE-AICE SPAN 2 IG</v>
      </c>
      <c r="G883" t="str">
        <f>"09-912"</f>
        <v>09-912</v>
      </c>
      <c r="H883" t="str">
        <f>"A"</f>
        <v>A</v>
      </c>
    </row>
    <row r="884" spans="1:8" x14ac:dyDescent="0.2">
      <c r="A884" t="str">
        <f t="shared" si="324"/>
        <v>0614144022</v>
      </c>
      <c r="B884" t="str">
        <f t="shared" si="325"/>
        <v>JACKELINE</v>
      </c>
      <c r="C884" t="str">
        <f t="shared" si="326"/>
        <v>BAIL ALVARADO</v>
      </c>
      <c r="D884">
        <f>11</f>
        <v>11</v>
      </c>
      <c r="E884" t="str">
        <f>"02 - A - 112 - Brandy N Zdenek"</f>
        <v>02 - A - 112 - Brandy N Zdenek</v>
      </c>
      <c r="F884" t="str">
        <f>"NC STUDY HALL 1"</f>
        <v>NC STUDY HALL 1</v>
      </c>
      <c r="G884" t="str">
        <f>"17-1704"</f>
        <v>17-1704</v>
      </c>
      <c r="H884" t="str">
        <f>"A"</f>
        <v>A</v>
      </c>
    </row>
    <row r="885" spans="1:8" x14ac:dyDescent="0.2">
      <c r="A885" t="str">
        <f t="shared" si="324"/>
        <v>0614144022</v>
      </c>
      <c r="B885" t="str">
        <f t="shared" si="325"/>
        <v>JACKELINE</v>
      </c>
      <c r="C885" t="str">
        <f t="shared" si="326"/>
        <v>BAIL ALVARADO</v>
      </c>
      <c r="D885">
        <f>11</f>
        <v>11</v>
      </c>
      <c r="E885" t="str">
        <f>"07 - B - 204 - Stefanie S Scher"</f>
        <v>07 - B - 204 - Stefanie S Scher</v>
      </c>
      <c r="F885" t="str">
        <f>"AP PSYCH"</f>
        <v>AP PSYCH</v>
      </c>
      <c r="G885" t="str">
        <f>"17-1735"</f>
        <v>17-1735</v>
      </c>
      <c r="H885" t="str">
        <f>"B"</f>
        <v>B</v>
      </c>
    </row>
    <row r="886" spans="1:8" x14ac:dyDescent="0.2">
      <c r="A886" t="str">
        <f t="shared" si="324"/>
        <v>0614144022</v>
      </c>
      <c r="B886" t="str">
        <f t="shared" si="325"/>
        <v>JACKELINE</v>
      </c>
      <c r="C886" t="str">
        <f t="shared" si="326"/>
        <v>BAIL ALVARADO</v>
      </c>
      <c r="D886">
        <f>11</f>
        <v>11</v>
      </c>
      <c r="E886" t="str">
        <f>"05 - B - 102 - Jacklyn M James"</f>
        <v>05 - B - 102 - Jacklyn M James</v>
      </c>
      <c r="F886" t="str">
        <f>"AICE ENG LANG AS"</f>
        <v>AICE ENG LANG AS</v>
      </c>
      <c r="G886" t="str">
        <f>"17-1731"</f>
        <v>17-1731</v>
      </c>
      <c r="H886" t="str">
        <f>"B"</f>
        <v>B</v>
      </c>
    </row>
    <row r="887" spans="1:8" x14ac:dyDescent="0.2">
      <c r="A887" t="str">
        <f t="shared" si="324"/>
        <v>0614144022</v>
      </c>
      <c r="B887" t="str">
        <f t="shared" si="325"/>
        <v>JACKELINE</v>
      </c>
      <c r="C887" t="str">
        <f t="shared" si="326"/>
        <v>BAIL ALVARADO</v>
      </c>
      <c r="D887">
        <f>11</f>
        <v>11</v>
      </c>
      <c r="E887" t="str">
        <f>"01 - A - 107 - Valerie J Ruwe"</f>
        <v>01 - A - 107 - Valerie J Ruwe</v>
      </c>
      <c r="F887" t="str">
        <f>"CHEMISTRY 1 HON"</f>
        <v>CHEMISTRY 1 HON</v>
      </c>
      <c r="G887" t="str">
        <f>"21-2134"</f>
        <v>21-2134</v>
      </c>
      <c r="H887" t="str">
        <f>"A"</f>
        <v>A</v>
      </c>
    </row>
    <row r="888" spans="1:8" x14ac:dyDescent="0.2">
      <c r="A888" t="str">
        <f t="shared" si="324"/>
        <v>0614144022</v>
      </c>
      <c r="B888" t="str">
        <f t="shared" si="325"/>
        <v>JACKELINE</v>
      </c>
      <c r="C888" t="str">
        <f t="shared" si="326"/>
        <v>BAIL ALVARADO</v>
      </c>
      <c r="D888">
        <f>11</f>
        <v>11</v>
      </c>
      <c r="E888" t="str">
        <f>"08 - B - 001 - Jerry S Jiampetti"</f>
        <v>08 - B - 001 - Jerry S Jiampetti</v>
      </c>
      <c r="F888" t="str">
        <f>"AICE U.S. HIST 1 AS"</f>
        <v>AICE U.S. HIST 1 AS</v>
      </c>
      <c r="G888" t="str">
        <f>"17-1751"</f>
        <v>17-1751</v>
      </c>
      <c r="H888" t="str">
        <f>"B"</f>
        <v>B</v>
      </c>
    </row>
    <row r="889" spans="1:8" x14ac:dyDescent="0.2">
      <c r="A889" t="str">
        <f t="shared" ref="A889:A896" si="327">"0614001827"</f>
        <v>0614001827</v>
      </c>
      <c r="B889" t="str">
        <f t="shared" ref="B889:B896" si="328">"DESHAWN"</f>
        <v>DESHAWN</v>
      </c>
      <c r="C889" t="str">
        <f t="shared" ref="C889:C920" si="329">"BAILEY"</f>
        <v>BAILEY</v>
      </c>
      <c r="D889">
        <f>12</f>
        <v>12</v>
      </c>
      <c r="E889" t="str">
        <f>"04 - S1 - A - 101 - Nahum  Saint-Preux"</f>
        <v>04 - S1 - A - 101 - Nahum  Saint-Preux</v>
      </c>
      <c r="F889" t="str">
        <f>"CRIT THINK ST SKLS"</f>
        <v>CRIT THINK ST SKLS</v>
      </c>
      <c r="G889" t="str">
        <f>"17-1712"</f>
        <v>17-1712</v>
      </c>
      <c r="H889" t="str">
        <f>"A"</f>
        <v>A</v>
      </c>
    </row>
    <row r="890" spans="1:8" x14ac:dyDescent="0.2">
      <c r="A890" t="str">
        <f t="shared" si="327"/>
        <v>0614001827</v>
      </c>
      <c r="B890" t="str">
        <f t="shared" si="328"/>
        <v>DESHAWN</v>
      </c>
      <c r="C890" t="str">
        <f t="shared" si="329"/>
        <v>BAILEY</v>
      </c>
      <c r="D890">
        <f>12</f>
        <v>12</v>
      </c>
      <c r="E890" t="str">
        <f>"06 - B - 112 - Lisa  Quinn"</f>
        <v>06 - B - 112 - Lisa  Quinn</v>
      </c>
      <c r="F890" t="str">
        <f>"NC STUDY HALL 1"</f>
        <v>NC STUDY HALL 1</v>
      </c>
      <c r="G890" t="str">
        <f>"17-1725"</f>
        <v>17-1725</v>
      </c>
      <c r="H890" t="str">
        <f>"B"</f>
        <v>B</v>
      </c>
    </row>
    <row r="891" spans="1:8" x14ac:dyDescent="0.2">
      <c r="A891" t="str">
        <f t="shared" si="327"/>
        <v>0614001827</v>
      </c>
      <c r="B891" t="str">
        <f t="shared" si="328"/>
        <v>DESHAWN</v>
      </c>
      <c r="C891" t="str">
        <f t="shared" si="329"/>
        <v>BAILEY</v>
      </c>
      <c r="D891">
        <f>12</f>
        <v>12</v>
      </c>
      <c r="E891" t="str">
        <f>"03 - A - 102 - Cliffon  Saurel"</f>
        <v>03 - A - 102 - Cliffon  Saurel</v>
      </c>
      <c r="F891" t="str">
        <f>"PHYSICAL SCI"</f>
        <v>PHYSICAL SCI</v>
      </c>
      <c r="G891" t="str">
        <f>"05-522"</f>
        <v>05-522</v>
      </c>
      <c r="H891" t="str">
        <f>"A"</f>
        <v>A</v>
      </c>
    </row>
    <row r="892" spans="1:8" x14ac:dyDescent="0.2">
      <c r="A892" t="str">
        <f t="shared" si="327"/>
        <v>0614001827</v>
      </c>
      <c r="B892" t="str">
        <f t="shared" si="328"/>
        <v>DESHAWN</v>
      </c>
      <c r="C892" t="str">
        <f t="shared" si="329"/>
        <v>BAILEY</v>
      </c>
      <c r="D892">
        <f>12</f>
        <v>12</v>
      </c>
      <c r="E892" t="str">
        <f>"02 - A - 101 - Robyn L Trainer"</f>
        <v>02 - A - 101 - Robyn L Trainer</v>
      </c>
      <c r="F892" t="str">
        <f>"ENG 4"</f>
        <v>ENG 4</v>
      </c>
      <c r="G892" t="str">
        <f>"17-1734"</f>
        <v>17-1734</v>
      </c>
      <c r="H892" t="str">
        <f>"A"</f>
        <v>A</v>
      </c>
    </row>
    <row r="893" spans="1:8" x14ac:dyDescent="0.2">
      <c r="A893" t="str">
        <f t="shared" si="327"/>
        <v>0614001827</v>
      </c>
      <c r="B893" t="str">
        <f t="shared" si="328"/>
        <v>DESHAWN</v>
      </c>
      <c r="C893" t="str">
        <f t="shared" si="329"/>
        <v>BAILEY</v>
      </c>
      <c r="D893">
        <f>12</f>
        <v>12</v>
      </c>
      <c r="E893" t="str">
        <f>"07 - S1 - B - 103 - Robert O Burger"</f>
        <v>07 - S1 - B - 103 - Robert O Burger</v>
      </c>
      <c r="F893" t="str">
        <f>"US GOVT"</f>
        <v>US GOVT</v>
      </c>
      <c r="G893" t="str">
        <f>"17-1755"</f>
        <v>17-1755</v>
      </c>
      <c r="H893" t="str">
        <f>"B"</f>
        <v>B</v>
      </c>
    </row>
    <row r="894" spans="1:8" x14ac:dyDescent="0.2">
      <c r="A894" t="str">
        <f t="shared" si="327"/>
        <v>0614001827</v>
      </c>
      <c r="B894" t="str">
        <f t="shared" si="328"/>
        <v>DESHAWN</v>
      </c>
      <c r="C894" t="str">
        <f t="shared" si="329"/>
        <v>BAILEY</v>
      </c>
      <c r="D894">
        <f>12</f>
        <v>12</v>
      </c>
      <c r="E894" t="str">
        <f>"05 - B - 205 - Rosa Elaine  Collado-Duff"</f>
        <v>05 - B - 205 - Rosa Elaine  Collado-Duff</v>
      </c>
      <c r="F894" t="str">
        <f>"PRE-AICE SPAN 2 IG"</f>
        <v>PRE-AICE SPAN 2 IG</v>
      </c>
      <c r="G894" t="str">
        <f>"09-913"</f>
        <v>09-913</v>
      </c>
      <c r="H894" t="str">
        <f>"B"</f>
        <v>B</v>
      </c>
    </row>
    <row r="895" spans="1:8" x14ac:dyDescent="0.2">
      <c r="A895" t="str">
        <f t="shared" si="327"/>
        <v>0614001827</v>
      </c>
      <c r="B895" t="str">
        <f t="shared" si="328"/>
        <v>DESHAWN</v>
      </c>
      <c r="C895" t="str">
        <f t="shared" si="329"/>
        <v>BAILEY</v>
      </c>
      <c r="D895">
        <f>12</f>
        <v>12</v>
      </c>
      <c r="E895" t="str">
        <f>"01 - A - 102 - Robert H Rindner"</f>
        <v>01 - A - 102 - Robert H Rindner</v>
      </c>
      <c r="F895" t="str">
        <f>"MATH DATA&amp;FIN LIT H"</f>
        <v>MATH DATA&amp;FIN LIT H</v>
      </c>
      <c r="G895" t="str">
        <f>"21-2160"</f>
        <v>21-2160</v>
      </c>
      <c r="H895" t="str">
        <f>"A"</f>
        <v>A</v>
      </c>
    </row>
    <row r="896" spans="1:8" x14ac:dyDescent="0.2">
      <c r="A896" t="str">
        <f t="shared" si="327"/>
        <v>0614001827</v>
      </c>
      <c r="B896" t="str">
        <f t="shared" si="328"/>
        <v>DESHAWN</v>
      </c>
      <c r="C896" t="str">
        <f t="shared" si="329"/>
        <v>BAILEY</v>
      </c>
      <c r="D896">
        <f>12</f>
        <v>12</v>
      </c>
      <c r="E896" t="str">
        <f>"08 - S1 - B - 101 - Amy Beth  Broyles"</f>
        <v>08 - S1 - B - 101 - Amy Beth  Broyles</v>
      </c>
      <c r="F896" t="str">
        <f>"PEER COUN 3"</f>
        <v>PEER COUN 3</v>
      </c>
      <c r="G896" t="str">
        <f>"17-1713"</f>
        <v>17-1713</v>
      </c>
      <c r="H896" t="str">
        <f>"B"</f>
        <v>B</v>
      </c>
    </row>
    <row r="897" spans="1:8" x14ac:dyDescent="0.2">
      <c r="A897" t="str">
        <f t="shared" ref="A897:A904" si="330">"0615048872"</f>
        <v>0615048872</v>
      </c>
      <c r="B897" t="str">
        <f t="shared" ref="B897:B904" si="331">"KAMELIA"</f>
        <v>KAMELIA</v>
      </c>
      <c r="C897" t="str">
        <f t="shared" si="329"/>
        <v>BAILEY</v>
      </c>
      <c r="D897">
        <f>10</f>
        <v>10</v>
      </c>
      <c r="E897" t="str">
        <f>"04 - A - 105 - Milca  Exantus"</f>
        <v>04 - A - 105 - Milca  Exantus</v>
      </c>
      <c r="F897" t="str">
        <f>"MATH COLLEGE LIB ART"</f>
        <v>MATH COLLEGE LIB ART</v>
      </c>
      <c r="G897" t="str">
        <f>"21-2145"</f>
        <v>21-2145</v>
      </c>
      <c r="H897" t="str">
        <f>"A"</f>
        <v>A</v>
      </c>
    </row>
    <row r="898" spans="1:8" x14ac:dyDescent="0.2">
      <c r="A898" t="str">
        <f t="shared" si="330"/>
        <v>0615048872</v>
      </c>
      <c r="B898" t="str">
        <f t="shared" si="331"/>
        <v>KAMELIA</v>
      </c>
      <c r="C898" t="str">
        <f t="shared" si="329"/>
        <v>BAILEY</v>
      </c>
      <c r="D898">
        <f>10</f>
        <v>10</v>
      </c>
      <c r="E898" t="str">
        <f>"06 - B - 113 - Joe  Kilpatrick Jr"</f>
        <v>06 - B - 113 - Joe  Kilpatrick Jr</v>
      </c>
      <c r="F898" t="str">
        <f>"NC STUDY HALL 1"</f>
        <v>NC STUDY HALL 1</v>
      </c>
      <c r="G898" t="str">
        <f>"09-912"</f>
        <v>09-912</v>
      </c>
      <c r="H898" t="str">
        <f>"B"</f>
        <v>B</v>
      </c>
    </row>
    <row r="899" spans="1:8" x14ac:dyDescent="0.2">
      <c r="A899" t="str">
        <f t="shared" si="330"/>
        <v>0615048872</v>
      </c>
      <c r="B899" t="str">
        <f t="shared" si="331"/>
        <v>KAMELIA</v>
      </c>
      <c r="C899" t="str">
        <f t="shared" si="329"/>
        <v>BAILEY</v>
      </c>
      <c r="D899">
        <f>10</f>
        <v>10</v>
      </c>
      <c r="E899" t="str">
        <f>"03 - A - 206 - Josiah I Lacy"</f>
        <v>03 - A - 206 - Josiah I Lacy</v>
      </c>
      <c r="F899" t="str">
        <f>"BIOLOGY 1"</f>
        <v>BIOLOGY 1</v>
      </c>
      <c r="G899" t="str">
        <f>"08-801"</f>
        <v>08-801</v>
      </c>
      <c r="H899" t="str">
        <f>"A"</f>
        <v>A</v>
      </c>
    </row>
    <row r="900" spans="1:8" x14ac:dyDescent="0.2">
      <c r="A900" t="str">
        <f t="shared" si="330"/>
        <v>0615048872</v>
      </c>
      <c r="B900" t="str">
        <f t="shared" si="331"/>
        <v>KAMELIA</v>
      </c>
      <c r="C900" t="str">
        <f t="shared" si="329"/>
        <v>BAILEY</v>
      </c>
      <c r="D900">
        <f>10</f>
        <v>10</v>
      </c>
      <c r="E900" t="str">
        <f>"02 - A - 102 - Taraneh C Abreu"</f>
        <v>02 - A - 102 - Taraneh C Abreu</v>
      </c>
      <c r="F900" t="str">
        <f>"INTENS READ 2"</f>
        <v>INTENS READ 2</v>
      </c>
      <c r="G900" t="str">
        <f>"17-1713"</f>
        <v>17-1713</v>
      </c>
      <c r="H900" t="str">
        <f>"A"</f>
        <v>A</v>
      </c>
    </row>
    <row r="901" spans="1:8" x14ac:dyDescent="0.2">
      <c r="A901" t="str">
        <f t="shared" si="330"/>
        <v>0615048872</v>
      </c>
      <c r="B901" t="str">
        <f t="shared" si="331"/>
        <v>KAMELIA</v>
      </c>
      <c r="C901" t="str">
        <f t="shared" si="329"/>
        <v>BAILEY</v>
      </c>
      <c r="D901">
        <f>10</f>
        <v>10</v>
      </c>
      <c r="E901" t="str">
        <f>"07 - B - 105 - Joe  Kilpatrick Jr"</f>
        <v>07 - B - 105 - Joe  Kilpatrick Jr</v>
      </c>
      <c r="F901" t="str">
        <f>"PRE-AICE SPAN 1 IG"</f>
        <v>PRE-AICE SPAN 1 IG</v>
      </c>
      <c r="G901" t="str">
        <f>"09-912"</f>
        <v>09-912</v>
      </c>
      <c r="H901" t="str">
        <f>"B"</f>
        <v>B</v>
      </c>
    </row>
    <row r="902" spans="1:8" x14ac:dyDescent="0.2">
      <c r="A902" t="str">
        <f t="shared" si="330"/>
        <v>0615048872</v>
      </c>
      <c r="B902" t="str">
        <f t="shared" si="331"/>
        <v>KAMELIA</v>
      </c>
      <c r="C902" t="str">
        <f t="shared" si="329"/>
        <v>BAILEY</v>
      </c>
      <c r="D902">
        <f>10</f>
        <v>10</v>
      </c>
      <c r="E902" t="str">
        <f>"05 - B - 107 - Nikiel  Nesbeth"</f>
        <v>05 - B - 107 - Nikiel  Nesbeth</v>
      </c>
      <c r="F902" t="str">
        <f>"ENG 2"</f>
        <v>ENG 2</v>
      </c>
      <c r="G902" t="str">
        <f>"17-1705"</f>
        <v>17-1705</v>
      </c>
      <c r="H902" t="str">
        <f>"B"</f>
        <v>B</v>
      </c>
    </row>
    <row r="903" spans="1:8" x14ac:dyDescent="0.2">
      <c r="A903" t="str">
        <f t="shared" si="330"/>
        <v>0615048872</v>
      </c>
      <c r="B903" t="str">
        <f t="shared" si="331"/>
        <v>KAMELIA</v>
      </c>
      <c r="C903" t="str">
        <f t="shared" si="329"/>
        <v>BAILEY</v>
      </c>
      <c r="D903">
        <f>10</f>
        <v>10</v>
      </c>
      <c r="E903" t="str">
        <f>"01 - S1 - A - 101 - Carol S Moore"</f>
        <v>01 - S1 - A - 101 - Carol S Moore</v>
      </c>
      <c r="F903" t="str">
        <f>"PERS FIN &amp; MON MGT H"</f>
        <v>PERS FIN &amp; MON MGT H</v>
      </c>
      <c r="G903" t="str">
        <f>"17-1733"</f>
        <v>17-1733</v>
      </c>
      <c r="H903" t="str">
        <f>"A"</f>
        <v>A</v>
      </c>
    </row>
    <row r="904" spans="1:8" x14ac:dyDescent="0.2">
      <c r="A904" t="str">
        <f t="shared" si="330"/>
        <v>0615048872</v>
      </c>
      <c r="B904" t="str">
        <f t="shared" si="331"/>
        <v>KAMELIA</v>
      </c>
      <c r="C904" t="str">
        <f t="shared" si="329"/>
        <v>BAILEY</v>
      </c>
      <c r="D904">
        <f>10</f>
        <v>10</v>
      </c>
      <c r="E904" t="str">
        <f>"08 - S1 - B - 104 - Leslie J Barton"</f>
        <v>08 - S1 - B - 104 - Leslie J Barton</v>
      </c>
      <c r="F904" t="str">
        <f>"TEAM SPORTS 1"</f>
        <v>TEAM SPORTS 1</v>
      </c>
      <c r="G904" t="str">
        <f>"04-254"</f>
        <v>04-254</v>
      </c>
      <c r="H904" t="str">
        <f>"B"</f>
        <v>B</v>
      </c>
    </row>
    <row r="905" spans="1:8" x14ac:dyDescent="0.2">
      <c r="A905" t="str">
        <f t="shared" ref="A905:A912" si="332">"0614039197"</f>
        <v>0614039197</v>
      </c>
      <c r="B905" t="str">
        <f t="shared" ref="B905:B912" si="333">"KERIANA"</f>
        <v>KERIANA</v>
      </c>
      <c r="C905" t="str">
        <f t="shared" si="329"/>
        <v>BAILEY</v>
      </c>
      <c r="D905">
        <f>12</f>
        <v>12</v>
      </c>
      <c r="E905" t="str">
        <f>"04 - A - 201 - Christa T Parisi"</f>
        <v>04 - A - 201 - Christa T Parisi</v>
      </c>
      <c r="F905" t="str">
        <f>"DANCE TECHNQS 3 HON"</f>
        <v>DANCE TECHNQS 3 HON</v>
      </c>
      <c r="G905" t="str">
        <f>"05-503"</f>
        <v>05-503</v>
      </c>
      <c r="H905" t="str">
        <f>"A"</f>
        <v>A</v>
      </c>
    </row>
    <row r="906" spans="1:8" x14ac:dyDescent="0.2">
      <c r="A906" t="str">
        <f t="shared" si="332"/>
        <v>0614039197</v>
      </c>
      <c r="B906" t="str">
        <f t="shared" si="333"/>
        <v>KERIANA</v>
      </c>
      <c r="C906" t="str">
        <f t="shared" si="329"/>
        <v>BAILEY</v>
      </c>
      <c r="D906">
        <f>12</f>
        <v>12</v>
      </c>
      <c r="E906" t="str">
        <f>"06 - B - 104 - Lissa C Frederique"</f>
        <v>06 - B - 104 - Lissa C Frederique</v>
      </c>
      <c r="F906" t="str">
        <f>"NC STUDY HALL 1"</f>
        <v>NC STUDY HALL 1</v>
      </c>
      <c r="G906" t="str">
        <f>"17-1754"</f>
        <v>17-1754</v>
      </c>
      <c r="H906" t="str">
        <f>"B"</f>
        <v>B</v>
      </c>
    </row>
    <row r="907" spans="1:8" x14ac:dyDescent="0.2">
      <c r="A907" t="str">
        <f t="shared" si="332"/>
        <v>0614039197</v>
      </c>
      <c r="B907" t="str">
        <f t="shared" si="333"/>
        <v>KERIANA</v>
      </c>
      <c r="C907" t="str">
        <f t="shared" si="329"/>
        <v>BAILEY</v>
      </c>
      <c r="D907">
        <f>12</f>
        <v>12</v>
      </c>
      <c r="E907" t="str">
        <f>"03 - S1 - A - 002 - Barbara L Segal"</f>
        <v>03 - S1 - A - 002 - Barbara L Segal</v>
      </c>
      <c r="F907" t="str">
        <f>"US GOVT"</f>
        <v>US GOVT</v>
      </c>
      <c r="G907" t="str">
        <f>"17-1742"</f>
        <v>17-1742</v>
      </c>
      <c r="H907" t="str">
        <f>"A"</f>
        <v>A</v>
      </c>
    </row>
    <row r="908" spans="1:8" x14ac:dyDescent="0.2">
      <c r="A908" t="str">
        <f t="shared" si="332"/>
        <v>0614039197</v>
      </c>
      <c r="B908" t="str">
        <f t="shared" si="333"/>
        <v>KERIANA</v>
      </c>
      <c r="C908" t="str">
        <f t="shared" si="329"/>
        <v>BAILEY</v>
      </c>
      <c r="D908">
        <f>12</f>
        <v>12</v>
      </c>
      <c r="E908" t="str">
        <f>"02 - A - 104 - Joe  Kilpatrick Jr"</f>
        <v>02 - A - 104 - Joe  Kilpatrick Jr</v>
      </c>
      <c r="F908" t="str">
        <f>"PRE-AICE SPAN 2 IG"</f>
        <v>PRE-AICE SPAN 2 IG</v>
      </c>
      <c r="G908" t="str">
        <f>"09-912"</f>
        <v>09-912</v>
      </c>
      <c r="H908" t="str">
        <f>"A"</f>
        <v>A</v>
      </c>
    </row>
    <row r="909" spans="1:8" x14ac:dyDescent="0.2">
      <c r="A909" t="str">
        <f t="shared" si="332"/>
        <v>0614039197</v>
      </c>
      <c r="B909" t="str">
        <f t="shared" si="333"/>
        <v>KERIANA</v>
      </c>
      <c r="C909" t="str">
        <f t="shared" si="329"/>
        <v>BAILEY</v>
      </c>
      <c r="D909">
        <f>12</f>
        <v>12</v>
      </c>
      <c r="E909" t="str">
        <f>"07 - B - 103 - Nahum  Saint-Preux"</f>
        <v>07 - B - 103 - Nahum  Saint-Preux</v>
      </c>
      <c r="F909" t="str">
        <f>"INTENS READ 4"</f>
        <v>INTENS READ 4</v>
      </c>
      <c r="G909" t="str">
        <f>"17-1712"</f>
        <v>17-1712</v>
      </c>
      <c r="H909" t="str">
        <f>"B"</f>
        <v>B</v>
      </c>
    </row>
    <row r="910" spans="1:8" x14ac:dyDescent="0.2">
      <c r="A910" t="str">
        <f t="shared" si="332"/>
        <v>0614039197</v>
      </c>
      <c r="B910" t="str">
        <f t="shared" si="333"/>
        <v>KERIANA</v>
      </c>
      <c r="C910" t="str">
        <f t="shared" si="329"/>
        <v>BAILEY</v>
      </c>
      <c r="D910">
        <f>12</f>
        <v>12</v>
      </c>
      <c r="E910" t="str">
        <f>"05 - B - 204 - Cliffon  Saurel"</f>
        <v>05 - B - 204 - Cliffon  Saurel</v>
      </c>
      <c r="F910" t="str">
        <f>"PHYSICAL SCI"</f>
        <v>PHYSICAL SCI</v>
      </c>
      <c r="G910" t="str">
        <f>"05-522"</f>
        <v>05-522</v>
      </c>
      <c r="H910" t="str">
        <f>"B"</f>
        <v>B</v>
      </c>
    </row>
    <row r="911" spans="1:8" x14ac:dyDescent="0.2">
      <c r="A911" t="str">
        <f t="shared" si="332"/>
        <v>0614039197</v>
      </c>
      <c r="B911" t="str">
        <f t="shared" si="333"/>
        <v>KERIANA</v>
      </c>
      <c r="C911" t="str">
        <f t="shared" si="329"/>
        <v>BAILEY</v>
      </c>
      <c r="D911">
        <f>12</f>
        <v>12</v>
      </c>
      <c r="E911" t="str">
        <f>"01 - A - 102 - Robert H Rindner"</f>
        <v>01 - A - 102 - Robert H Rindner</v>
      </c>
      <c r="F911" t="str">
        <f>"MATH DATA&amp;FIN LIT H"</f>
        <v>MATH DATA&amp;FIN LIT H</v>
      </c>
      <c r="G911" t="str">
        <f>"21-2160"</f>
        <v>21-2160</v>
      </c>
      <c r="H911" t="str">
        <f>"A"</f>
        <v>A</v>
      </c>
    </row>
    <row r="912" spans="1:8" x14ac:dyDescent="0.2">
      <c r="A912" t="str">
        <f t="shared" si="332"/>
        <v>0614039197</v>
      </c>
      <c r="B912" t="str">
        <f t="shared" si="333"/>
        <v>KERIANA</v>
      </c>
      <c r="C912" t="str">
        <f t="shared" si="329"/>
        <v>BAILEY</v>
      </c>
      <c r="D912">
        <f>12</f>
        <v>12</v>
      </c>
      <c r="E912" t="str">
        <f>"08 - B - 206 - Robyn L Trainer"</f>
        <v>08 - B - 206 - Robyn L Trainer</v>
      </c>
      <c r="F912" t="str">
        <f>"ENG 4: FL COLL PREP"</f>
        <v>ENG 4: FL COLL PREP</v>
      </c>
      <c r="G912" t="str">
        <f>"17-1734"</f>
        <v>17-1734</v>
      </c>
      <c r="H912" t="str">
        <f>"B"</f>
        <v>B</v>
      </c>
    </row>
    <row r="913" spans="1:8" x14ac:dyDescent="0.2">
      <c r="A913" t="str">
        <f t="shared" ref="A913:A920" si="334">"0616031396"</f>
        <v>0616031396</v>
      </c>
      <c r="B913" t="str">
        <f t="shared" ref="B913:B920" si="335">"MICHAEL"</f>
        <v>MICHAEL</v>
      </c>
      <c r="C913" t="str">
        <f t="shared" si="329"/>
        <v>BAILEY</v>
      </c>
      <c r="D913">
        <f>10</f>
        <v>10</v>
      </c>
      <c r="E913" t="str">
        <f>"04 - A - 102 - Eva T Rimmer"</f>
        <v>04 - A - 102 - Eva T Rimmer</v>
      </c>
      <c r="F913" t="str">
        <f>"CRIMINAL JUST OPS 1"</f>
        <v>CRIMINAL JUST OPS 1</v>
      </c>
      <c r="G913" t="str">
        <f>"05-523"</f>
        <v>05-523</v>
      </c>
      <c r="H913" t="str">
        <f>"A"</f>
        <v>A</v>
      </c>
    </row>
    <row r="914" spans="1:8" x14ac:dyDescent="0.2">
      <c r="A914" t="str">
        <f t="shared" si="334"/>
        <v>0616031396</v>
      </c>
      <c r="B914" t="str">
        <f t="shared" si="335"/>
        <v>MICHAEL</v>
      </c>
      <c r="C914" t="str">
        <f t="shared" si="329"/>
        <v>BAILEY</v>
      </c>
      <c r="D914">
        <f>10</f>
        <v>10</v>
      </c>
      <c r="E914" t="str">
        <f>"06 - B - 103 - Thomas G Handwerg"</f>
        <v>06 - B - 103 - Thomas G Handwerg</v>
      </c>
      <c r="F914" t="str">
        <f>"NC STUDY HALL 1"</f>
        <v>NC STUDY HALL 1</v>
      </c>
      <c r="G914" t="str">
        <f>"21-2146"</f>
        <v>21-2146</v>
      </c>
      <c r="H914" t="str">
        <f>"B"</f>
        <v>B</v>
      </c>
    </row>
    <row r="915" spans="1:8" x14ac:dyDescent="0.2">
      <c r="A915" t="str">
        <f t="shared" si="334"/>
        <v>0616031396</v>
      </c>
      <c r="B915" t="str">
        <f t="shared" si="335"/>
        <v>MICHAEL</v>
      </c>
      <c r="C915" t="str">
        <f t="shared" si="329"/>
        <v>BAILEY</v>
      </c>
      <c r="D915">
        <f>10</f>
        <v>10</v>
      </c>
      <c r="E915" t="str">
        <f>"03 - A - 103 - Pamela M Corzo"</f>
        <v>03 - A - 103 - Pamela M Corzo</v>
      </c>
      <c r="F915" t="str">
        <f>"ALGEBRA 2 HON"</f>
        <v>ALGEBRA 2 HON</v>
      </c>
      <c r="G915" t="str">
        <f>"21-2133"</f>
        <v>21-2133</v>
      </c>
      <c r="H915" t="str">
        <f>"A"</f>
        <v>A</v>
      </c>
    </row>
    <row r="916" spans="1:8" x14ac:dyDescent="0.2">
      <c r="A916" t="str">
        <f t="shared" si="334"/>
        <v>0616031396</v>
      </c>
      <c r="B916" t="str">
        <f t="shared" si="335"/>
        <v>MICHAEL</v>
      </c>
      <c r="C916" t="str">
        <f t="shared" si="329"/>
        <v>BAILEY</v>
      </c>
      <c r="D916">
        <f>10</f>
        <v>10</v>
      </c>
      <c r="E916" t="str">
        <f>"02 - A - 103 - Dorothy D Moore"</f>
        <v>02 - A - 103 - Dorothy D Moore</v>
      </c>
      <c r="F916" t="str">
        <f>"ANAT PHYSIO HON"</f>
        <v>ANAT PHYSIO HON</v>
      </c>
      <c r="G916" t="str">
        <f>"08-803"</f>
        <v>08-803</v>
      </c>
      <c r="H916" t="str">
        <f>"A"</f>
        <v>A</v>
      </c>
    </row>
    <row r="917" spans="1:8" x14ac:dyDescent="0.2">
      <c r="A917" t="str">
        <f t="shared" si="334"/>
        <v>0616031396</v>
      </c>
      <c r="B917" t="str">
        <f t="shared" si="335"/>
        <v>MICHAEL</v>
      </c>
      <c r="C917" t="str">
        <f t="shared" si="329"/>
        <v>BAILEY</v>
      </c>
      <c r="D917">
        <f>10</f>
        <v>10</v>
      </c>
      <c r="E917" t="str">
        <f>"07 - B - 102 - Nikiel  Nesbeth"</f>
        <v>07 - B - 102 - Nikiel  Nesbeth</v>
      </c>
      <c r="F917" t="str">
        <f>"PRE-AICE ENG LIT IG"</f>
        <v>PRE-AICE ENG LIT IG</v>
      </c>
      <c r="G917" t="str">
        <f>"17-1705"</f>
        <v>17-1705</v>
      </c>
      <c r="H917" t="str">
        <f>"B"</f>
        <v>B</v>
      </c>
    </row>
    <row r="918" spans="1:8" x14ac:dyDescent="0.2">
      <c r="A918" t="str">
        <f t="shared" si="334"/>
        <v>0616031396</v>
      </c>
      <c r="B918" t="str">
        <f t="shared" si="335"/>
        <v>MICHAEL</v>
      </c>
      <c r="C918" t="str">
        <f t="shared" si="329"/>
        <v>BAILEY</v>
      </c>
      <c r="D918">
        <f>10</f>
        <v>10</v>
      </c>
      <c r="E918" t="str">
        <f>"05 - B - 103 - Rory T Sponsler"</f>
        <v>05 - B - 103 - Rory T Sponsler</v>
      </c>
      <c r="F918" t="str">
        <f>"PRE-AICE WRLD HST IG"</f>
        <v>PRE-AICE WRLD HST IG</v>
      </c>
      <c r="G918" t="str">
        <f>"17-1740"</f>
        <v>17-1740</v>
      </c>
      <c r="H918" t="str">
        <f>"B"</f>
        <v>B</v>
      </c>
    </row>
    <row r="919" spans="1:8" x14ac:dyDescent="0.2">
      <c r="A919" t="str">
        <f t="shared" si="334"/>
        <v>0616031396</v>
      </c>
      <c r="B919" t="str">
        <f t="shared" si="335"/>
        <v>MICHAEL</v>
      </c>
      <c r="C919" t="str">
        <f t="shared" si="329"/>
        <v>BAILEY</v>
      </c>
      <c r="D919">
        <f>10</f>
        <v>10</v>
      </c>
      <c r="E919" t="str">
        <f>"01 - A - 504 - Alejandro  Navarro"</f>
        <v>01 - A - 504 - Alejandro  Navarro</v>
      </c>
      <c r="F919" t="str">
        <f>"BAND 1"</f>
        <v>BAND 1</v>
      </c>
      <c r="G919" t="str">
        <f>"05-504"</f>
        <v>05-504</v>
      </c>
      <c r="H919" t="str">
        <f>"A"</f>
        <v>A</v>
      </c>
    </row>
    <row r="920" spans="1:8" x14ac:dyDescent="0.2">
      <c r="A920" t="str">
        <f t="shared" si="334"/>
        <v>0616031396</v>
      </c>
      <c r="B920" t="str">
        <f t="shared" si="335"/>
        <v>MICHAEL</v>
      </c>
      <c r="C920" t="str">
        <f t="shared" si="329"/>
        <v>BAILEY</v>
      </c>
      <c r="D920">
        <f>10</f>
        <v>10</v>
      </c>
      <c r="E920" t="str">
        <f>"08 - S1 - B - 102 - Kyle  Robbins"</f>
        <v>08 - S1 - B - 102 - Kyle  Robbins</v>
      </c>
      <c r="F920" t="str">
        <f>"PERS FIN &amp; MON MGT H"</f>
        <v>PERS FIN &amp; MON MGT H</v>
      </c>
      <c r="G920" t="str">
        <f>"17-1745"</f>
        <v>17-1745</v>
      </c>
      <c r="H920" t="str">
        <f>"B"</f>
        <v>B</v>
      </c>
    </row>
    <row r="921" spans="1:8" x14ac:dyDescent="0.2">
      <c r="A921" t="str">
        <f t="shared" ref="A921:A928" si="336">"0614077003"</f>
        <v>0614077003</v>
      </c>
      <c r="B921" t="str">
        <f t="shared" ref="B921:B928" si="337">"CADEN"</f>
        <v>CADEN</v>
      </c>
      <c r="C921" t="str">
        <f t="shared" ref="C921:C936" si="338">"BAKER"</f>
        <v>BAKER</v>
      </c>
      <c r="D921">
        <f>10</f>
        <v>10</v>
      </c>
      <c r="E921" t="str">
        <f>"04 - A - 102 - Fernando  Vega-Cid"</f>
        <v>04 - A - 102 - Fernando  Vega-Cid</v>
      </c>
      <c r="F921" t="str">
        <f>"PRE-CALCULUS HON"</f>
        <v>PRE-CALCULUS HON</v>
      </c>
      <c r="G921" t="str">
        <f>"21-2163"</f>
        <v>21-2163</v>
      </c>
      <c r="H921" t="str">
        <f>"A"</f>
        <v>A</v>
      </c>
    </row>
    <row r="922" spans="1:8" x14ac:dyDescent="0.2">
      <c r="A922" t="str">
        <f t="shared" si="336"/>
        <v>0614077003</v>
      </c>
      <c r="B922" t="str">
        <f t="shared" si="337"/>
        <v>CADEN</v>
      </c>
      <c r="C922" t="str">
        <f t="shared" si="338"/>
        <v>BAKER</v>
      </c>
      <c r="D922">
        <f>10</f>
        <v>10</v>
      </c>
      <c r="E922" t="str">
        <f>"06 - B - 110 - Jerry S Jiampetti"</f>
        <v>06 - B - 110 - Jerry S Jiampetti</v>
      </c>
      <c r="F922" t="str">
        <f>"NC STUDY HALL 1"</f>
        <v>NC STUDY HALL 1</v>
      </c>
      <c r="G922" t="str">
        <f>"17-1751"</f>
        <v>17-1751</v>
      </c>
      <c r="H922" t="str">
        <f>"B"</f>
        <v>B</v>
      </c>
    </row>
    <row r="923" spans="1:8" x14ac:dyDescent="0.2">
      <c r="A923" t="str">
        <f t="shared" si="336"/>
        <v>0614077003</v>
      </c>
      <c r="B923" t="str">
        <f t="shared" si="337"/>
        <v>CADEN</v>
      </c>
      <c r="C923" t="str">
        <f t="shared" si="338"/>
        <v>BAKER</v>
      </c>
      <c r="D923">
        <f>10</f>
        <v>10</v>
      </c>
      <c r="E923" t="str">
        <f>"03 - S1 - A - 101 - Arthur  Kulawik"</f>
        <v>03 - S1 - A - 101 - Arthur  Kulawik</v>
      </c>
      <c r="F923" t="str">
        <f>"PERS FIN &amp; MON MGT H"</f>
        <v>PERS FIN &amp; MON MGT H</v>
      </c>
      <c r="G923" t="str">
        <f>"05-506"</f>
        <v>05-506</v>
      </c>
      <c r="H923" t="str">
        <f>"A"</f>
        <v>A</v>
      </c>
    </row>
    <row r="924" spans="1:8" x14ac:dyDescent="0.2">
      <c r="A924" t="str">
        <f t="shared" si="336"/>
        <v>0614077003</v>
      </c>
      <c r="B924" t="str">
        <f t="shared" si="337"/>
        <v>CADEN</v>
      </c>
      <c r="C924" t="str">
        <f t="shared" si="338"/>
        <v>BAKER</v>
      </c>
      <c r="D924">
        <f>10</f>
        <v>10</v>
      </c>
      <c r="E924" t="str">
        <f>"02 - A - 103 - Lenecy  Nodarse"</f>
        <v>02 - A - 103 - Lenecy  Nodarse</v>
      </c>
      <c r="F924" t="str">
        <f>"AICE EURO HIST 1 AS"</f>
        <v>AICE EURO HIST 1 AS</v>
      </c>
      <c r="G924" t="str">
        <f>"17-1741"</f>
        <v>17-1741</v>
      </c>
      <c r="H924" t="str">
        <f>"A"</f>
        <v>A</v>
      </c>
    </row>
    <row r="925" spans="1:8" x14ac:dyDescent="0.2">
      <c r="A925" t="str">
        <f t="shared" si="336"/>
        <v>0614077003</v>
      </c>
      <c r="B925" t="str">
        <f t="shared" si="337"/>
        <v>CADEN</v>
      </c>
      <c r="C925" t="str">
        <f t="shared" si="338"/>
        <v>BAKER</v>
      </c>
      <c r="D925">
        <f>10</f>
        <v>10</v>
      </c>
      <c r="E925" t="str">
        <f>"07 - B - 102 - Timothy J Lawrence"</f>
        <v>07 - B - 102 - Timothy J Lawrence</v>
      </c>
      <c r="F925" t="str">
        <f>"AICE PHYS ED 1 AS"</f>
        <v>AICE PHYS ED 1 AS</v>
      </c>
      <c r="G925" t="str">
        <f>"05-523"</f>
        <v>05-523</v>
      </c>
      <c r="H925" t="str">
        <f>"B"</f>
        <v>B</v>
      </c>
    </row>
    <row r="926" spans="1:8" x14ac:dyDescent="0.2">
      <c r="A926" t="str">
        <f t="shared" si="336"/>
        <v>0614077003</v>
      </c>
      <c r="B926" t="str">
        <f t="shared" si="337"/>
        <v>CADEN</v>
      </c>
      <c r="C926" t="str">
        <f t="shared" si="338"/>
        <v>BAKER</v>
      </c>
      <c r="D926">
        <f>10</f>
        <v>10</v>
      </c>
      <c r="E926" t="str">
        <f>"05 - B - 106 - Courtney E Hambright"</f>
        <v>05 - B - 106 - Courtney E Hambright</v>
      </c>
      <c r="F926" t="str">
        <f>"AICE ENG LANG AS"</f>
        <v>AICE ENG LANG AS</v>
      </c>
      <c r="G926" t="str">
        <f>"17-1711"</f>
        <v>17-1711</v>
      </c>
      <c r="H926" t="str">
        <f>"B"</f>
        <v>B</v>
      </c>
    </row>
    <row r="927" spans="1:8" x14ac:dyDescent="0.2">
      <c r="A927" t="str">
        <f t="shared" si="336"/>
        <v>0614077003</v>
      </c>
      <c r="B927" t="str">
        <f t="shared" si="337"/>
        <v>CADEN</v>
      </c>
      <c r="C927" t="str">
        <f t="shared" si="338"/>
        <v>BAKER</v>
      </c>
      <c r="D927">
        <f>10</f>
        <v>10</v>
      </c>
      <c r="E927" t="str">
        <f>"01 - A - 101 - Nikiel  Nesbeth"</f>
        <v>01 - A - 101 - Nikiel  Nesbeth</v>
      </c>
      <c r="F927" t="str">
        <f>"CONST LAW HON"</f>
        <v>CONST LAW HON</v>
      </c>
      <c r="G927" t="str">
        <f>"17-1705"</f>
        <v>17-1705</v>
      </c>
      <c r="H927" t="str">
        <f>"A"</f>
        <v>A</v>
      </c>
    </row>
    <row r="928" spans="1:8" x14ac:dyDescent="0.2">
      <c r="A928" t="str">
        <f t="shared" si="336"/>
        <v>0614077003</v>
      </c>
      <c r="B928" t="str">
        <f t="shared" si="337"/>
        <v>CADEN</v>
      </c>
      <c r="C928" t="str">
        <f t="shared" si="338"/>
        <v>BAKER</v>
      </c>
      <c r="D928">
        <f>10</f>
        <v>10</v>
      </c>
      <c r="E928" t="str">
        <f>"08 - B - 103 - Joe  Kilpatrick Jr"</f>
        <v>08 - B - 103 - Joe  Kilpatrick Jr</v>
      </c>
      <c r="F928" t="str">
        <f>"PRE-AICE SPAN 2 IG"</f>
        <v>PRE-AICE SPAN 2 IG</v>
      </c>
      <c r="G928" t="str">
        <f>"09-912"</f>
        <v>09-912</v>
      </c>
      <c r="H928" t="str">
        <f>"B"</f>
        <v>B</v>
      </c>
    </row>
    <row r="929" spans="1:8" x14ac:dyDescent="0.2">
      <c r="A929" t="str">
        <f t="shared" ref="A929:A936" si="339">"0618012585"</f>
        <v>0618012585</v>
      </c>
      <c r="B929" t="str">
        <f t="shared" ref="B929:B936" si="340">"KATIABEL"</f>
        <v>KATIABEL</v>
      </c>
      <c r="C929" t="str">
        <f t="shared" si="338"/>
        <v>BAKER</v>
      </c>
      <c r="D929">
        <f>11</f>
        <v>11</v>
      </c>
      <c r="E929" t="str">
        <f>"04 - A - 102 - Lisa J London"</f>
        <v>04 - A - 102 - Lisa J London</v>
      </c>
      <c r="F929" t="str">
        <f>"AP CAPSTONE SEMINAR"</f>
        <v>AP CAPSTONE SEMINAR</v>
      </c>
      <c r="G929" t="str">
        <f>"17-1714"</f>
        <v>17-1714</v>
      </c>
      <c r="H929" t="str">
        <f>"A"</f>
        <v>A</v>
      </c>
    </row>
    <row r="930" spans="1:8" x14ac:dyDescent="0.2">
      <c r="A930" t="str">
        <f t="shared" si="339"/>
        <v>0618012585</v>
      </c>
      <c r="B930" t="str">
        <f t="shared" si="340"/>
        <v>KATIABEL</v>
      </c>
      <c r="C930" t="str">
        <f t="shared" si="338"/>
        <v>BAKER</v>
      </c>
      <c r="D930">
        <f>11</f>
        <v>11</v>
      </c>
      <c r="E930" t="str">
        <f>"06 - B - 104 - Brandy N Zdenek"</f>
        <v>06 - B - 104 - Brandy N Zdenek</v>
      </c>
      <c r="F930" t="str">
        <f>"AICE ENG LANG 2 AL"</f>
        <v>AICE ENG LANG 2 AL</v>
      </c>
      <c r="G930" t="str">
        <f>"17-1704"</f>
        <v>17-1704</v>
      </c>
      <c r="H930" t="str">
        <f>"B"</f>
        <v>B</v>
      </c>
    </row>
    <row r="931" spans="1:8" x14ac:dyDescent="0.2">
      <c r="A931" t="str">
        <f t="shared" si="339"/>
        <v>0618012585</v>
      </c>
      <c r="B931" t="str">
        <f t="shared" si="340"/>
        <v>KATIABEL</v>
      </c>
      <c r="C931" t="str">
        <f t="shared" si="338"/>
        <v>BAKER</v>
      </c>
      <c r="D931">
        <f>11</f>
        <v>11</v>
      </c>
      <c r="E931" t="str">
        <f>"03 - A - 202 - Jeanne M Bermudez"</f>
        <v>03 - A - 202 - Jeanne M Bermudez</v>
      </c>
      <c r="F931" t="str">
        <f>"PHYSICS 1 HON"</f>
        <v>PHYSICS 1 HON</v>
      </c>
      <c r="G931" t="str">
        <f>"21-2141"</f>
        <v>21-2141</v>
      </c>
      <c r="H931" t="str">
        <f>"A"</f>
        <v>A</v>
      </c>
    </row>
    <row r="932" spans="1:8" x14ac:dyDescent="0.2">
      <c r="A932" t="str">
        <f t="shared" si="339"/>
        <v>0618012585</v>
      </c>
      <c r="B932" t="str">
        <f t="shared" si="340"/>
        <v>KATIABEL</v>
      </c>
      <c r="C932" t="str">
        <f t="shared" si="338"/>
        <v>BAKER</v>
      </c>
      <c r="D932">
        <f>11</f>
        <v>11</v>
      </c>
      <c r="E932" t="str">
        <f>"02 - A - 113 - Byron G Montenegro"</f>
        <v>02 - A - 113 - Byron G Montenegro</v>
      </c>
      <c r="F932" t="str">
        <f>"NC STUDY HALL 1"</f>
        <v>NC STUDY HALL 1</v>
      </c>
      <c r="G932" t="str">
        <f>"21-2144"</f>
        <v>21-2144</v>
      </c>
      <c r="H932" t="str">
        <f>"A"</f>
        <v>A</v>
      </c>
    </row>
    <row r="933" spans="1:8" x14ac:dyDescent="0.2">
      <c r="A933" t="str">
        <f t="shared" si="339"/>
        <v>0618012585</v>
      </c>
      <c r="B933" t="str">
        <f t="shared" si="340"/>
        <v>KATIABEL</v>
      </c>
      <c r="C933" t="str">
        <f t="shared" si="338"/>
        <v>BAKER</v>
      </c>
      <c r="D933">
        <f>11</f>
        <v>11</v>
      </c>
      <c r="E933" t="str">
        <f>"07 - B - 102 - Pamela M Corzo"</f>
        <v>07 - B - 102 - Pamela M Corzo</v>
      </c>
      <c r="F933" t="str">
        <f>"AP CALCULUS AB"</f>
        <v>AP CALCULUS AB</v>
      </c>
      <c r="G933" t="str">
        <f>"21-2133"</f>
        <v>21-2133</v>
      </c>
      <c r="H933" t="str">
        <f>"B"</f>
        <v>B</v>
      </c>
    </row>
    <row r="934" spans="1:8" x14ac:dyDescent="0.2">
      <c r="A934" t="str">
        <f t="shared" si="339"/>
        <v>0618012585</v>
      </c>
      <c r="B934" t="str">
        <f t="shared" si="340"/>
        <v>KATIABEL</v>
      </c>
      <c r="C934" t="str">
        <f t="shared" si="338"/>
        <v>BAKER</v>
      </c>
      <c r="D934">
        <f>11</f>
        <v>11</v>
      </c>
      <c r="E934" t="str">
        <f>"05 - B - 101 - Jordana K Hass"</f>
        <v>05 - B - 101 - Jordana K Hass</v>
      </c>
      <c r="F934" t="str">
        <f>"AP COMP SCI PRIN"</f>
        <v>AP COMP SCI PRIN</v>
      </c>
      <c r="G934" t="str">
        <f>"08-807"</f>
        <v>08-807</v>
      </c>
      <c r="H934" t="str">
        <f>"B"</f>
        <v>B</v>
      </c>
    </row>
    <row r="935" spans="1:8" x14ac:dyDescent="0.2">
      <c r="A935" t="str">
        <f t="shared" si="339"/>
        <v>0618012585</v>
      </c>
      <c r="B935" t="str">
        <f t="shared" si="340"/>
        <v>KATIABEL</v>
      </c>
      <c r="C935" t="str">
        <f t="shared" si="338"/>
        <v>BAKER</v>
      </c>
      <c r="D935">
        <f>11</f>
        <v>11</v>
      </c>
      <c r="E935" t="str">
        <f>"01 - A - 001 - Stephen T Ripp"</f>
        <v>01 - A - 001 - Stephen T Ripp</v>
      </c>
      <c r="F935" t="str">
        <f>"AP U.S. HIST"</f>
        <v>AP U.S. HIST</v>
      </c>
      <c r="G935" t="str">
        <f>"17-1744"</f>
        <v>17-1744</v>
      </c>
      <c r="H935" t="str">
        <f>"A"</f>
        <v>A</v>
      </c>
    </row>
    <row r="936" spans="1:8" x14ac:dyDescent="0.2">
      <c r="A936" t="str">
        <f t="shared" si="339"/>
        <v>0618012585</v>
      </c>
      <c r="B936" t="str">
        <f t="shared" si="340"/>
        <v>KATIABEL</v>
      </c>
      <c r="C936" t="str">
        <f t="shared" si="338"/>
        <v>BAKER</v>
      </c>
      <c r="D936">
        <f>11</f>
        <v>11</v>
      </c>
      <c r="E936" t="str">
        <f>"08 - B - 103 - Marielle A Witting"</f>
        <v>08 - B - 103 - Marielle A Witting</v>
      </c>
      <c r="F936" t="str">
        <f>"AP BIO"</f>
        <v>AP BIO</v>
      </c>
      <c r="G936" t="str">
        <f>"08-805"</f>
        <v>08-805</v>
      </c>
      <c r="H936" t="str">
        <f>"B"</f>
        <v>B</v>
      </c>
    </row>
    <row r="937" spans="1:8" x14ac:dyDescent="0.2">
      <c r="A937" t="str">
        <f t="shared" ref="A937:A944" si="341">"0616143598"</f>
        <v>0616143598</v>
      </c>
      <c r="B937" t="str">
        <f t="shared" ref="B937:B952" si="342">"JACOB"</f>
        <v>JACOB</v>
      </c>
      <c r="C937" t="str">
        <f t="shared" ref="C937:C944" si="343">"BALCAZAR"</f>
        <v>BALCAZAR</v>
      </c>
      <c r="D937" t="str">
        <f t="shared" ref="D937:D944" si="344">"09"</f>
        <v>09</v>
      </c>
      <c r="E937" t="str">
        <f>"04 - A - 102 - Byron G Montenegro"</f>
        <v>04 - A - 102 - Byron G Montenegro</v>
      </c>
      <c r="F937" t="str">
        <f>"AICE MARINE SCI 1 AS"</f>
        <v>AICE MARINE SCI 1 AS</v>
      </c>
      <c r="G937" t="str">
        <f>"21-2144"</f>
        <v>21-2144</v>
      </c>
      <c r="H937" t="str">
        <f>"A"</f>
        <v>A</v>
      </c>
    </row>
    <row r="938" spans="1:8" x14ac:dyDescent="0.2">
      <c r="A938" t="str">
        <f t="shared" si="341"/>
        <v>0616143598</v>
      </c>
      <c r="B938" t="str">
        <f t="shared" si="342"/>
        <v>JACOB</v>
      </c>
      <c r="C938" t="str">
        <f t="shared" si="343"/>
        <v>BALCAZAR</v>
      </c>
      <c r="D938" t="str">
        <f t="shared" si="344"/>
        <v>09</v>
      </c>
      <c r="E938" t="str">
        <f>"06 - B - 110 - Krystal Marie  Beruty"</f>
        <v>06 - B - 110 - Krystal Marie  Beruty</v>
      </c>
      <c r="F938" t="str">
        <f>"AICE GLBL PERSP 1 AS"</f>
        <v>AICE GLBL PERSP 1 AS</v>
      </c>
      <c r="G938" t="str">
        <f>"17-1721"</f>
        <v>17-1721</v>
      </c>
      <c r="H938" t="str">
        <f>"B"</f>
        <v>B</v>
      </c>
    </row>
    <row r="939" spans="1:8" x14ac:dyDescent="0.2">
      <c r="A939" t="str">
        <f t="shared" si="341"/>
        <v>0616143598</v>
      </c>
      <c r="B939" t="str">
        <f t="shared" si="342"/>
        <v>JACOB</v>
      </c>
      <c r="C939" t="str">
        <f t="shared" si="343"/>
        <v>BALCAZAR</v>
      </c>
      <c r="D939" t="str">
        <f t="shared" si="344"/>
        <v>09</v>
      </c>
      <c r="E939" t="str">
        <f>"03 - A - 001 - Maried P Ramos"</f>
        <v>03 - A - 001 - Maried P Ramos</v>
      </c>
      <c r="F939" t="str">
        <f>"PRE-AICE MATH 2 IG"</f>
        <v>PRE-AICE MATH 2 IG</v>
      </c>
      <c r="G939" t="str">
        <f>"21-2159"</f>
        <v>21-2159</v>
      </c>
      <c r="H939" t="str">
        <f>"A"</f>
        <v>A</v>
      </c>
    </row>
    <row r="940" spans="1:8" x14ac:dyDescent="0.2">
      <c r="A940" t="str">
        <f t="shared" si="341"/>
        <v>0616143598</v>
      </c>
      <c r="B940" t="str">
        <f t="shared" si="342"/>
        <v>JACOB</v>
      </c>
      <c r="C940" t="str">
        <f t="shared" si="343"/>
        <v>BALCAZAR</v>
      </c>
      <c r="D940" t="str">
        <f t="shared" si="344"/>
        <v>09</v>
      </c>
      <c r="E940" t="str">
        <f>"02 - A - 114 - Laselleda D Shaw"</f>
        <v>02 - A - 114 - Laselleda D Shaw</v>
      </c>
      <c r="F940" t="str">
        <f>"NC STUDY HALL 1"</f>
        <v>NC STUDY HALL 1</v>
      </c>
      <c r="G940" t="str">
        <f>"17-1723"</f>
        <v>17-1723</v>
      </c>
      <c r="H940" t="str">
        <f>"A"</f>
        <v>A</v>
      </c>
    </row>
    <row r="941" spans="1:8" x14ac:dyDescent="0.2">
      <c r="A941" t="str">
        <f t="shared" si="341"/>
        <v>0616143598</v>
      </c>
      <c r="B941" t="str">
        <f t="shared" si="342"/>
        <v>JACOB</v>
      </c>
      <c r="C941" t="str">
        <f t="shared" si="343"/>
        <v>BALCAZAR</v>
      </c>
      <c r="D941" t="str">
        <f t="shared" si="344"/>
        <v>09</v>
      </c>
      <c r="E941" t="str">
        <f>"07 - B - 201 - Angela S Adeshina-Morrison"</f>
        <v>07 - B - 201 - Angela S Adeshina-Morrison</v>
      </c>
      <c r="F941" t="str">
        <f>"BUSINESS OWNER HON"</f>
        <v>BUSINESS OWNER HON</v>
      </c>
      <c r="G941" t="str">
        <f>"05-518"</f>
        <v>05-518</v>
      </c>
      <c r="H941" t="str">
        <f>"B"</f>
        <v>B</v>
      </c>
    </row>
    <row r="942" spans="1:8" x14ac:dyDescent="0.2">
      <c r="A942" t="str">
        <f t="shared" si="341"/>
        <v>0616143598</v>
      </c>
      <c r="B942" t="str">
        <f t="shared" si="342"/>
        <v>JACOB</v>
      </c>
      <c r="C942" t="str">
        <f t="shared" si="343"/>
        <v>BALCAZAR</v>
      </c>
      <c r="D942" t="str">
        <f t="shared" si="344"/>
        <v>09</v>
      </c>
      <c r="E942" t="str">
        <f>"05 - B - 105 - Marius D Orsolini"</f>
        <v>05 - B - 105 - Marius D Orsolini</v>
      </c>
      <c r="F942" t="str">
        <f>"CULINARY ARTS 1"</f>
        <v>CULINARY ARTS 1</v>
      </c>
      <c r="G942" t="str">
        <f>"21-2115"</f>
        <v>21-2115</v>
      </c>
      <c r="H942" t="str">
        <f>"B"</f>
        <v>B</v>
      </c>
    </row>
    <row r="943" spans="1:8" x14ac:dyDescent="0.2">
      <c r="A943" t="str">
        <f t="shared" si="341"/>
        <v>0616143598</v>
      </c>
      <c r="B943" t="str">
        <f t="shared" si="342"/>
        <v>JACOB</v>
      </c>
      <c r="C943" t="str">
        <f t="shared" si="343"/>
        <v>BALCAZAR</v>
      </c>
      <c r="D943" t="str">
        <f t="shared" si="344"/>
        <v>09</v>
      </c>
      <c r="E943" t="str">
        <f>"01 - S1 - A - 101 - Leslie J Barton"</f>
        <v>01 - S1 - A - 101 - Leslie J Barton</v>
      </c>
      <c r="F943" t="str">
        <f>"FIRST AID SAFETY"</f>
        <v>FIRST AID SAFETY</v>
      </c>
      <c r="G943" t="str">
        <f>"05-521"</f>
        <v>05-521</v>
      </c>
      <c r="H943" t="str">
        <f>"A"</f>
        <v>A</v>
      </c>
    </row>
    <row r="944" spans="1:8" x14ac:dyDescent="0.2">
      <c r="A944" t="str">
        <f t="shared" si="341"/>
        <v>0616143598</v>
      </c>
      <c r="B944" t="str">
        <f t="shared" si="342"/>
        <v>JACOB</v>
      </c>
      <c r="C944" t="str">
        <f t="shared" si="343"/>
        <v>BALCAZAR</v>
      </c>
      <c r="D944" t="str">
        <f t="shared" si="344"/>
        <v>09</v>
      </c>
      <c r="E944" t="str">
        <f>"08 - B - 004 - Cheryl Anne  Berman-Schechter"</f>
        <v>08 - B - 004 - Cheryl Anne  Berman-Schechter</v>
      </c>
      <c r="F944" t="str">
        <f>"AICE ENG GEN PAPER 1"</f>
        <v>AICE ENG GEN PAPER 1</v>
      </c>
      <c r="G944" t="str">
        <f>"17-1722"</f>
        <v>17-1722</v>
      </c>
      <c r="H944" t="str">
        <f>"B"</f>
        <v>B</v>
      </c>
    </row>
    <row r="945" spans="1:8" x14ac:dyDescent="0.2">
      <c r="A945" t="str">
        <f t="shared" ref="A945:A952" si="345">"0614030839"</f>
        <v>0614030839</v>
      </c>
      <c r="B945" t="str">
        <f t="shared" si="342"/>
        <v>JACOB</v>
      </c>
      <c r="C945" t="str">
        <f t="shared" ref="C945:C952" si="346">"BALTIMORE"</f>
        <v>BALTIMORE</v>
      </c>
      <c r="D945">
        <f>12</f>
        <v>12</v>
      </c>
      <c r="E945" t="str">
        <f>"04 - A - 104 - Robert H Rindner"</f>
        <v>04 - A - 104 - Robert H Rindner</v>
      </c>
      <c r="F945" t="str">
        <f>"MATH DATA&amp;FIN LIT H"</f>
        <v>MATH DATA&amp;FIN LIT H</v>
      </c>
      <c r="G945" t="str">
        <f>"21-2160"</f>
        <v>21-2160</v>
      </c>
      <c r="H945" t="str">
        <f>"A"</f>
        <v>A</v>
      </c>
    </row>
    <row r="946" spans="1:8" x14ac:dyDescent="0.2">
      <c r="A946" t="str">
        <f t="shared" si="345"/>
        <v>0614030839</v>
      </c>
      <c r="B946" t="str">
        <f t="shared" si="342"/>
        <v>JACOB</v>
      </c>
      <c r="C946" t="str">
        <f t="shared" si="346"/>
        <v>BALTIMORE</v>
      </c>
      <c r="D946">
        <f>12</f>
        <v>12</v>
      </c>
      <c r="E946" t="str">
        <f>"06 - B - 102 - Andrea A Amison"</f>
        <v>06 - B - 102 - Andrea A Amison</v>
      </c>
      <c r="F946" t="str">
        <f>"NC STUDY HALL 1"</f>
        <v>NC STUDY HALL 1</v>
      </c>
      <c r="G946" t="str">
        <f>"09-922C"</f>
        <v>09-922C</v>
      </c>
      <c r="H946" t="str">
        <f>"B"</f>
        <v>B</v>
      </c>
    </row>
    <row r="947" spans="1:8" x14ac:dyDescent="0.2">
      <c r="A947" t="str">
        <f t="shared" si="345"/>
        <v>0614030839</v>
      </c>
      <c r="B947" t="str">
        <f t="shared" si="342"/>
        <v>JACOB</v>
      </c>
      <c r="C947" t="str">
        <f t="shared" si="346"/>
        <v>BALTIMORE</v>
      </c>
      <c r="D947">
        <f>12</f>
        <v>12</v>
      </c>
      <c r="E947" t="str">
        <f>"03 - A - 101 - Chrystina M Marchionne"</f>
        <v>03 - A - 101 - Chrystina M Marchionne</v>
      </c>
      <c r="F947" t="str">
        <f>"JOURN 2 (YB) LH"</f>
        <v>JOURN 2 (YB) LH</v>
      </c>
      <c r="G947" t="str">
        <f>"05-520"</f>
        <v>05-520</v>
      </c>
      <c r="H947" t="str">
        <f>"A"</f>
        <v>A</v>
      </c>
    </row>
    <row r="948" spans="1:8" x14ac:dyDescent="0.2">
      <c r="A948" t="str">
        <f t="shared" si="345"/>
        <v>0614030839</v>
      </c>
      <c r="B948" t="str">
        <f t="shared" si="342"/>
        <v>JACOB</v>
      </c>
      <c r="C948" t="str">
        <f t="shared" si="346"/>
        <v>BALTIMORE</v>
      </c>
      <c r="D948">
        <f>12</f>
        <v>12</v>
      </c>
      <c r="E948" t="str">
        <f>"02 - A - 101 - Robyn L Trainer"</f>
        <v>02 - A - 101 - Robyn L Trainer</v>
      </c>
      <c r="F948" t="str">
        <f>"ENG 4"</f>
        <v>ENG 4</v>
      </c>
      <c r="G948" t="str">
        <f>"17-1734"</f>
        <v>17-1734</v>
      </c>
      <c r="H948" t="str">
        <f>"A"</f>
        <v>A</v>
      </c>
    </row>
    <row r="949" spans="1:8" x14ac:dyDescent="0.2">
      <c r="A949" t="str">
        <f t="shared" si="345"/>
        <v>0614030839</v>
      </c>
      <c r="B949" t="str">
        <f t="shared" si="342"/>
        <v>JACOB</v>
      </c>
      <c r="C949" t="str">
        <f t="shared" si="346"/>
        <v>BALTIMORE</v>
      </c>
      <c r="D949">
        <f>12</f>
        <v>12</v>
      </c>
      <c r="E949" t="str">
        <f>"07 - S1 - B - 103 - Robert O Burger"</f>
        <v>07 - S1 - B - 103 - Robert O Burger</v>
      </c>
      <c r="F949" t="str">
        <f>"US GOVT"</f>
        <v>US GOVT</v>
      </c>
      <c r="G949" t="str">
        <f>"17-1755"</f>
        <v>17-1755</v>
      </c>
      <c r="H949" t="str">
        <f>"B"</f>
        <v>B</v>
      </c>
    </row>
    <row r="950" spans="1:8" x14ac:dyDescent="0.2">
      <c r="A950" t="str">
        <f t="shared" si="345"/>
        <v>0614030839</v>
      </c>
      <c r="B950" t="str">
        <f t="shared" si="342"/>
        <v>JACOB</v>
      </c>
      <c r="C950" t="str">
        <f t="shared" si="346"/>
        <v>BALTIMORE</v>
      </c>
      <c r="D950">
        <f>12</f>
        <v>12</v>
      </c>
      <c r="E950" t="str">
        <f>"05 - B - 204 - Cliffon  Saurel"</f>
        <v>05 - B - 204 - Cliffon  Saurel</v>
      </c>
      <c r="F950" t="str">
        <f>"PHYSICAL SCI"</f>
        <v>PHYSICAL SCI</v>
      </c>
      <c r="G950" t="str">
        <f>"05-522"</f>
        <v>05-522</v>
      </c>
      <c r="H950" t="str">
        <f>"B"</f>
        <v>B</v>
      </c>
    </row>
    <row r="951" spans="1:8" x14ac:dyDescent="0.2">
      <c r="A951" t="str">
        <f t="shared" si="345"/>
        <v>0614030839</v>
      </c>
      <c r="B951" t="str">
        <f t="shared" si="342"/>
        <v>JACOB</v>
      </c>
      <c r="C951" t="str">
        <f t="shared" si="346"/>
        <v>BALTIMORE</v>
      </c>
      <c r="D951">
        <f>12</f>
        <v>12</v>
      </c>
      <c r="E951" t="str">
        <f>"01 - S1 - A - 101 - Leslie J Barton"</f>
        <v>01 - S1 - A - 101 - Leslie J Barton</v>
      </c>
      <c r="F951" t="str">
        <f>"FIRST AID SAFETY"</f>
        <v>FIRST AID SAFETY</v>
      </c>
      <c r="G951" t="str">
        <f>"05-521"</f>
        <v>05-521</v>
      </c>
      <c r="H951" t="str">
        <f>"A"</f>
        <v>A</v>
      </c>
    </row>
    <row r="952" spans="1:8" x14ac:dyDescent="0.2">
      <c r="A952" t="str">
        <f t="shared" si="345"/>
        <v>0614030839</v>
      </c>
      <c r="B952" t="str">
        <f t="shared" si="342"/>
        <v>JACOB</v>
      </c>
      <c r="C952" t="str">
        <f t="shared" si="346"/>
        <v>BALTIMORE</v>
      </c>
      <c r="D952">
        <f>12</f>
        <v>12</v>
      </c>
      <c r="E952" t="str">
        <f>"08 - S1 - B - 101 - Amy Beth  Broyles"</f>
        <v>08 - S1 - B - 101 - Amy Beth  Broyles</v>
      </c>
      <c r="F952" t="str">
        <f>"PEER COUN 3"</f>
        <v>PEER COUN 3</v>
      </c>
      <c r="G952" t="str">
        <f>"17-1713"</f>
        <v>17-1713</v>
      </c>
      <c r="H952" t="str">
        <f>"B"</f>
        <v>B</v>
      </c>
    </row>
    <row r="953" spans="1:8" x14ac:dyDescent="0.2">
      <c r="A953" t="str">
        <f t="shared" ref="A953:A960" si="347">"0615143478"</f>
        <v>0615143478</v>
      </c>
      <c r="B953" t="str">
        <f t="shared" ref="B953:B960" si="348">"ELIO"</f>
        <v>ELIO</v>
      </c>
      <c r="C953" t="str">
        <f t="shared" ref="C953:C960" si="349">"BANDA FLORES"</f>
        <v>BANDA FLORES</v>
      </c>
      <c r="D953">
        <f>10</f>
        <v>10</v>
      </c>
      <c r="E953" t="str">
        <f>"04 - A - 102 - Fernando  Vega-Cid"</f>
        <v>04 - A - 102 - Fernando  Vega-Cid</v>
      </c>
      <c r="F953" t="str">
        <f>"PRE-CALCULUS HON"</f>
        <v>PRE-CALCULUS HON</v>
      </c>
      <c r="G953" t="str">
        <f>"21-2163"</f>
        <v>21-2163</v>
      </c>
      <c r="H953" t="str">
        <f>"A"</f>
        <v>A</v>
      </c>
    </row>
    <row r="954" spans="1:8" x14ac:dyDescent="0.2">
      <c r="A954" t="str">
        <f t="shared" si="347"/>
        <v>0615143478</v>
      </c>
      <c r="B954" t="str">
        <f t="shared" si="348"/>
        <v>ELIO</v>
      </c>
      <c r="C954" t="str">
        <f t="shared" si="349"/>
        <v>BANDA FLORES</v>
      </c>
      <c r="D954">
        <f>10</f>
        <v>10</v>
      </c>
      <c r="E954" t="str">
        <f>"06 - B - 103 - Thomas G Handwerg"</f>
        <v>06 - B - 103 - Thomas G Handwerg</v>
      </c>
      <c r="F954" t="str">
        <f>"NC STUDY HALL 1"</f>
        <v>NC STUDY HALL 1</v>
      </c>
      <c r="G954" t="str">
        <f>"21-2146"</f>
        <v>21-2146</v>
      </c>
      <c r="H954" t="str">
        <f>"B"</f>
        <v>B</v>
      </c>
    </row>
    <row r="955" spans="1:8" x14ac:dyDescent="0.2">
      <c r="A955" t="str">
        <f t="shared" si="347"/>
        <v>0615143478</v>
      </c>
      <c r="B955" t="str">
        <f t="shared" si="348"/>
        <v>ELIO</v>
      </c>
      <c r="C955" t="str">
        <f t="shared" si="349"/>
        <v>BANDA FLORES</v>
      </c>
      <c r="D955">
        <f>10</f>
        <v>10</v>
      </c>
      <c r="E955" t="str">
        <f>"03 - A - 102 - Rory T Sponsler"</f>
        <v>03 - A - 102 - Rory T Sponsler</v>
      </c>
      <c r="F955" t="str">
        <f>"PRE-AICE WRLD HST IG"</f>
        <v>PRE-AICE WRLD HST IG</v>
      </c>
      <c r="G955" t="str">
        <f>"17-1740"</f>
        <v>17-1740</v>
      </c>
      <c r="H955" t="str">
        <f>"A"</f>
        <v>A</v>
      </c>
    </row>
    <row r="956" spans="1:8" x14ac:dyDescent="0.2">
      <c r="A956" t="str">
        <f t="shared" si="347"/>
        <v>0615143478</v>
      </c>
      <c r="B956" t="str">
        <f t="shared" si="348"/>
        <v>ELIO</v>
      </c>
      <c r="C956" t="str">
        <f t="shared" si="349"/>
        <v>BANDA FLORES</v>
      </c>
      <c r="D956">
        <f>10</f>
        <v>10</v>
      </c>
      <c r="E956" t="str">
        <f>"02 - A - 102 - Vanessa J Liburd"</f>
        <v>02 - A - 102 - Vanessa J Liburd</v>
      </c>
      <c r="F956" t="str">
        <f>"PRE-AICE FRENCH 2 IG"</f>
        <v>PRE-AICE FRENCH 2 IG</v>
      </c>
      <c r="G956" t="str">
        <f>"05-519"</f>
        <v>05-519</v>
      </c>
      <c r="H956" t="str">
        <f>"A"</f>
        <v>A</v>
      </c>
    </row>
    <row r="957" spans="1:8" x14ac:dyDescent="0.2">
      <c r="A957" t="str">
        <f t="shared" si="347"/>
        <v>0615143478</v>
      </c>
      <c r="B957" t="str">
        <f t="shared" si="348"/>
        <v>ELIO</v>
      </c>
      <c r="C957" t="str">
        <f t="shared" si="349"/>
        <v>BANDA FLORES</v>
      </c>
      <c r="D957">
        <f>10</f>
        <v>10</v>
      </c>
      <c r="E957" t="str">
        <f>"07 - B - 206 - Cheryl L Beach"</f>
        <v>07 - B - 206 - Cheryl L Beach</v>
      </c>
      <c r="F957" t="str">
        <f>"AICE ENV MGMNT AS"</f>
        <v>AICE ENV MGMNT AS</v>
      </c>
      <c r="G957" t="str">
        <f>"08-811"</f>
        <v>08-811</v>
      </c>
      <c r="H957" t="str">
        <f>"B"</f>
        <v>B</v>
      </c>
    </row>
    <row r="958" spans="1:8" x14ac:dyDescent="0.2">
      <c r="A958" t="str">
        <f t="shared" si="347"/>
        <v>0615143478</v>
      </c>
      <c r="B958" t="str">
        <f t="shared" si="348"/>
        <v>ELIO</v>
      </c>
      <c r="C958" t="str">
        <f t="shared" si="349"/>
        <v>BANDA FLORES</v>
      </c>
      <c r="D958">
        <f>10</f>
        <v>10</v>
      </c>
      <c r="E958" t="str">
        <f>"05 - B - 003 - Krystal Marie  Beruty"</f>
        <v>05 - B - 003 - Krystal Marie  Beruty</v>
      </c>
      <c r="F958" t="str">
        <f>"AICE GLBL PERSP 1 AS"</f>
        <v>AICE GLBL PERSP 1 AS</v>
      </c>
      <c r="G958" t="str">
        <f>"17-1721"</f>
        <v>17-1721</v>
      </c>
      <c r="H958" t="str">
        <f>"B"</f>
        <v>B</v>
      </c>
    </row>
    <row r="959" spans="1:8" x14ac:dyDescent="0.2">
      <c r="A959" t="str">
        <f t="shared" si="347"/>
        <v>0615143478</v>
      </c>
      <c r="B959" t="str">
        <f t="shared" si="348"/>
        <v>ELIO</v>
      </c>
      <c r="C959" t="str">
        <f t="shared" si="349"/>
        <v>BANDA FLORES</v>
      </c>
      <c r="D959">
        <f>10</f>
        <v>10</v>
      </c>
      <c r="E959" t="str">
        <f>"01 - A - 101 - Jacquelyn M Neeson"</f>
        <v>01 - A - 101 - Jacquelyn M Neeson</v>
      </c>
      <c r="F959" t="str">
        <f>"AICE ENG GEN PAPER 1"</f>
        <v>AICE ENG GEN PAPER 1</v>
      </c>
      <c r="G959" t="str">
        <f>"17-1715"</f>
        <v>17-1715</v>
      </c>
      <c r="H959" t="str">
        <f>"A"</f>
        <v>A</v>
      </c>
    </row>
    <row r="960" spans="1:8" x14ac:dyDescent="0.2">
      <c r="A960" t="str">
        <f t="shared" si="347"/>
        <v>0615143478</v>
      </c>
      <c r="B960" t="str">
        <f t="shared" si="348"/>
        <v>ELIO</v>
      </c>
      <c r="C960" t="str">
        <f t="shared" si="349"/>
        <v>BANDA FLORES</v>
      </c>
      <c r="D960">
        <f>10</f>
        <v>10</v>
      </c>
      <c r="E960" t="str">
        <f>"08 - S1 - B - 104 - Leslie J Barton"</f>
        <v>08 - S1 - B - 104 - Leslie J Barton</v>
      </c>
      <c r="F960" t="str">
        <f>"TEAM SPORTS 1"</f>
        <v>TEAM SPORTS 1</v>
      </c>
      <c r="G960" t="str">
        <f>"04-254"</f>
        <v>04-254</v>
      </c>
      <c r="H960" t="str">
        <f>"B"</f>
        <v>B</v>
      </c>
    </row>
    <row r="961" spans="1:8" x14ac:dyDescent="0.2">
      <c r="A961" t="str">
        <f t="shared" ref="A961:A968" si="350">"0615044704"</f>
        <v>0615044704</v>
      </c>
      <c r="B961" t="str">
        <f t="shared" ref="B961:B968" si="351">"MUREECE"</f>
        <v>MUREECE</v>
      </c>
      <c r="C961" t="str">
        <f t="shared" ref="C961:C968" si="352">"BANDOO"</f>
        <v>BANDOO</v>
      </c>
      <c r="D961">
        <f>11</f>
        <v>11</v>
      </c>
      <c r="E961" t="str">
        <f>"04 - A - 103 - Cliffon  Saurel"</f>
        <v>04 - A - 103 - Cliffon  Saurel</v>
      </c>
      <c r="F961" t="str">
        <f>"PHYSICAL SCI"</f>
        <v>PHYSICAL SCI</v>
      </c>
      <c r="G961" t="str">
        <f>"05-522"</f>
        <v>05-522</v>
      </c>
      <c r="H961" t="str">
        <f>"A"</f>
        <v>A</v>
      </c>
    </row>
    <row r="962" spans="1:8" x14ac:dyDescent="0.2">
      <c r="A962" t="str">
        <f t="shared" si="350"/>
        <v>0615044704</v>
      </c>
      <c r="B962" t="str">
        <f t="shared" si="351"/>
        <v>MUREECE</v>
      </c>
      <c r="C962" t="str">
        <f t="shared" si="352"/>
        <v>BANDOO</v>
      </c>
      <c r="D962">
        <f>11</f>
        <v>11</v>
      </c>
      <c r="E962" t="str">
        <f>"06 - B - 105 - Elizabeth Ellen  Moran"</f>
        <v>06 - B - 105 - Elizabeth Ellen  Moran</v>
      </c>
      <c r="F962" t="str">
        <f>"US HISTORY"</f>
        <v>US HISTORY</v>
      </c>
      <c r="G962" t="str">
        <f>"17-1752"</f>
        <v>17-1752</v>
      </c>
      <c r="H962" t="str">
        <f>"B"</f>
        <v>B</v>
      </c>
    </row>
    <row r="963" spans="1:8" x14ac:dyDescent="0.2">
      <c r="A963" t="str">
        <f t="shared" si="350"/>
        <v>0615044704</v>
      </c>
      <c r="B963" t="str">
        <f t="shared" si="351"/>
        <v>MUREECE</v>
      </c>
      <c r="C963" t="str">
        <f t="shared" si="352"/>
        <v>BANDOO</v>
      </c>
      <c r="D963">
        <f>11</f>
        <v>11</v>
      </c>
      <c r="E963" t="str">
        <f>"03 - A - 102 - Lisa  Quinn"</f>
        <v>03 - A - 102 - Lisa  Quinn</v>
      </c>
      <c r="F963" t="str">
        <f>"ENG 3"</f>
        <v>ENG 3</v>
      </c>
      <c r="G963" t="str">
        <f>"17-1725"</f>
        <v>17-1725</v>
      </c>
      <c r="H963" t="str">
        <f>"A"</f>
        <v>A</v>
      </c>
    </row>
    <row r="964" spans="1:8" x14ac:dyDescent="0.2">
      <c r="A964" t="str">
        <f t="shared" si="350"/>
        <v>0615044704</v>
      </c>
      <c r="B964" t="str">
        <f t="shared" si="351"/>
        <v>MUREECE</v>
      </c>
      <c r="C964" t="str">
        <f t="shared" si="352"/>
        <v>BANDOO</v>
      </c>
      <c r="D964">
        <f>11</f>
        <v>11</v>
      </c>
      <c r="E964" t="str">
        <f>"02 - A - 104 - Dayna M Foster"</f>
        <v>02 - A - 104 - Dayna M Foster</v>
      </c>
      <c r="F964" t="str">
        <f>"NC STUDY HALL 1"</f>
        <v>NC STUDY HALL 1</v>
      </c>
      <c r="G964" t="str">
        <f>"21-2109"</f>
        <v>21-2109</v>
      </c>
      <c r="H964" t="str">
        <f>"A"</f>
        <v>A</v>
      </c>
    </row>
    <row r="965" spans="1:8" x14ac:dyDescent="0.2">
      <c r="A965" t="str">
        <f t="shared" si="350"/>
        <v>0615044704</v>
      </c>
      <c r="B965" t="str">
        <f t="shared" si="351"/>
        <v>MUREECE</v>
      </c>
      <c r="C965" t="str">
        <f t="shared" si="352"/>
        <v>BANDOO</v>
      </c>
      <c r="D965">
        <f>11</f>
        <v>11</v>
      </c>
      <c r="E965" t="str">
        <f>"07 - B - 105 - Joe  Kilpatrick Jr"</f>
        <v>07 - B - 105 - Joe  Kilpatrick Jr</v>
      </c>
      <c r="F965" t="str">
        <f>"PRE-AICE SPAN 1 IG"</f>
        <v>PRE-AICE SPAN 1 IG</v>
      </c>
      <c r="G965" t="str">
        <f>"09-912"</f>
        <v>09-912</v>
      </c>
      <c r="H965" t="str">
        <f>"B"</f>
        <v>B</v>
      </c>
    </row>
    <row r="966" spans="1:8" x14ac:dyDescent="0.2">
      <c r="A966" t="str">
        <f t="shared" si="350"/>
        <v>0615044704</v>
      </c>
      <c r="B966" t="str">
        <f t="shared" si="351"/>
        <v>MUREECE</v>
      </c>
      <c r="C966" t="str">
        <f t="shared" si="352"/>
        <v>BANDOO</v>
      </c>
      <c r="D966">
        <f>11</f>
        <v>11</v>
      </c>
      <c r="E966" t="str">
        <f>"05 - B - 101 - Alejandro  Navarro"</f>
        <v>05 - B - 101 - Alejandro  Navarro</v>
      </c>
      <c r="F966" t="str">
        <f>"JAZZ ENS 1"</f>
        <v>JAZZ ENS 1</v>
      </c>
      <c r="G966" t="str">
        <f>"05-504"</f>
        <v>05-504</v>
      </c>
      <c r="H966" t="str">
        <f>"B"</f>
        <v>B</v>
      </c>
    </row>
    <row r="967" spans="1:8" x14ac:dyDescent="0.2">
      <c r="A967" t="str">
        <f t="shared" si="350"/>
        <v>0615044704</v>
      </c>
      <c r="B967" t="str">
        <f t="shared" si="351"/>
        <v>MUREECE</v>
      </c>
      <c r="C967" t="str">
        <f t="shared" si="352"/>
        <v>BANDOO</v>
      </c>
      <c r="D967">
        <f>11</f>
        <v>11</v>
      </c>
      <c r="E967" t="str">
        <f>"01 - A - 101 - Ferrie J Arostique"</f>
        <v>01 - A - 101 - Ferrie J Arostique</v>
      </c>
      <c r="F967" t="str">
        <f>"GEOMETRY"</f>
        <v>GEOMETRY</v>
      </c>
      <c r="G967" t="str">
        <f>"21-2139"</f>
        <v>21-2139</v>
      </c>
      <c r="H967" t="str">
        <f>"A"</f>
        <v>A</v>
      </c>
    </row>
    <row r="968" spans="1:8" x14ac:dyDescent="0.2">
      <c r="A968" t="str">
        <f t="shared" si="350"/>
        <v>0615044704</v>
      </c>
      <c r="B968" t="str">
        <f t="shared" si="351"/>
        <v>MUREECE</v>
      </c>
      <c r="C968" t="str">
        <f t="shared" si="352"/>
        <v>BANDOO</v>
      </c>
      <c r="D968">
        <f>11</f>
        <v>11</v>
      </c>
      <c r="E968" t="str">
        <f>"08 - S1 - B - 101 - Amy Beth  Broyles"</f>
        <v>08 - S1 - B - 101 - Amy Beth  Broyles</v>
      </c>
      <c r="F968" t="str">
        <f>"PEER COUN 3"</f>
        <v>PEER COUN 3</v>
      </c>
      <c r="G968" t="str">
        <f>"17-1713"</f>
        <v>17-1713</v>
      </c>
      <c r="H968" t="str">
        <f>"B"</f>
        <v>B</v>
      </c>
    </row>
    <row r="969" spans="1:8" x14ac:dyDescent="0.2">
      <c r="A969" t="str">
        <f t="shared" ref="A969:A976" si="353">"0617071950"</f>
        <v>0617071950</v>
      </c>
      <c r="B969" t="str">
        <f t="shared" ref="B969:B976" si="354">"KALEE"</f>
        <v>KALEE</v>
      </c>
      <c r="C969" t="str">
        <f t="shared" ref="C969:C976" si="355">"BANKS"</f>
        <v>BANKS</v>
      </c>
      <c r="D969" t="str">
        <f t="shared" ref="D969:D984" si="356">"09"</f>
        <v>09</v>
      </c>
      <c r="E969" t="str">
        <f>"04 - A - 102 - Tina L Lovett"</f>
        <v>04 - A - 102 - Tina L Lovett</v>
      </c>
      <c r="F969" t="str">
        <f>"ALGEBRA 1"</f>
        <v>ALGEBRA 1</v>
      </c>
      <c r="G969" t="str">
        <f>"21-2153"</f>
        <v>21-2153</v>
      </c>
      <c r="H969" t="str">
        <f>"A"</f>
        <v>A</v>
      </c>
    </row>
    <row r="970" spans="1:8" x14ac:dyDescent="0.2">
      <c r="A970" t="str">
        <f t="shared" si="353"/>
        <v>0617071950</v>
      </c>
      <c r="B970" t="str">
        <f t="shared" si="354"/>
        <v>KALEE</v>
      </c>
      <c r="C970" t="str">
        <f t="shared" si="355"/>
        <v>BANKS</v>
      </c>
      <c r="D970" t="str">
        <f t="shared" si="356"/>
        <v>09</v>
      </c>
      <c r="E970" t="str">
        <f>"06 - B - 106 - Adam Marcus  Drucker"</f>
        <v>06 - B - 106 - Adam Marcus  Drucker</v>
      </c>
      <c r="F970" t="str">
        <f>"HOPE-PE V"</f>
        <v>HOPE-PE V</v>
      </c>
      <c r="G970" t="str">
        <f>"04-254"</f>
        <v>04-254</v>
      </c>
      <c r="H970" t="str">
        <f>"B"</f>
        <v>B</v>
      </c>
    </row>
    <row r="971" spans="1:8" x14ac:dyDescent="0.2">
      <c r="A971" t="str">
        <f t="shared" si="353"/>
        <v>0617071950</v>
      </c>
      <c r="B971" t="str">
        <f t="shared" si="354"/>
        <v>KALEE</v>
      </c>
      <c r="C971" t="str">
        <f t="shared" si="355"/>
        <v>BANKS</v>
      </c>
      <c r="D971" t="str">
        <f t="shared" si="356"/>
        <v>09</v>
      </c>
      <c r="E971" t="str">
        <f>"03 - A - 105 - Elizabeth Ellen  Moran"</f>
        <v>03 - A - 105 - Elizabeth Ellen  Moran</v>
      </c>
      <c r="F971" t="str">
        <f>"WORLD HISTORY"</f>
        <v>WORLD HISTORY</v>
      </c>
      <c r="G971" t="str">
        <f>"17-1752"</f>
        <v>17-1752</v>
      </c>
      <c r="H971" t="str">
        <f>"A"</f>
        <v>A</v>
      </c>
    </row>
    <row r="972" spans="1:8" x14ac:dyDescent="0.2">
      <c r="A972" t="str">
        <f t="shared" si="353"/>
        <v>0617071950</v>
      </c>
      <c r="B972" t="str">
        <f t="shared" si="354"/>
        <v>KALEE</v>
      </c>
      <c r="C972" t="str">
        <f t="shared" si="355"/>
        <v>BANKS</v>
      </c>
      <c r="D972" t="str">
        <f t="shared" si="356"/>
        <v>09</v>
      </c>
      <c r="E972" t="str">
        <f>"02 - A - 101 - Milca  Exantus"</f>
        <v>02 - A - 101 - Milca  Exantus</v>
      </c>
      <c r="F972" t="str">
        <f>"NC STUDY HALL 1"</f>
        <v>NC STUDY HALL 1</v>
      </c>
      <c r="G972" t="str">
        <f>"21-2145"</f>
        <v>21-2145</v>
      </c>
      <c r="H972" t="str">
        <f>"A"</f>
        <v>A</v>
      </c>
    </row>
    <row r="973" spans="1:8" x14ac:dyDescent="0.2">
      <c r="A973" t="str">
        <f t="shared" si="353"/>
        <v>0617071950</v>
      </c>
      <c r="B973" t="str">
        <f t="shared" si="354"/>
        <v>KALEE</v>
      </c>
      <c r="C973" t="str">
        <f t="shared" si="355"/>
        <v>BANKS</v>
      </c>
      <c r="D973" t="str">
        <f t="shared" si="356"/>
        <v>09</v>
      </c>
      <c r="E973" t="str">
        <f>"07 - B - 107 - Cerine S Stewart"</f>
        <v>07 - B - 107 - Cerine S Stewart</v>
      </c>
      <c r="F973" t="str">
        <f>"ENG 1"</f>
        <v>ENG 1</v>
      </c>
      <c r="G973" t="str">
        <f>"17-1720"</f>
        <v>17-1720</v>
      </c>
      <c r="H973" t="str">
        <f>"B"</f>
        <v>B</v>
      </c>
    </row>
    <row r="974" spans="1:8" x14ac:dyDescent="0.2">
      <c r="A974" t="str">
        <f t="shared" si="353"/>
        <v>0617071950</v>
      </c>
      <c r="B974" t="str">
        <f t="shared" si="354"/>
        <v>KALEE</v>
      </c>
      <c r="C974" t="str">
        <f t="shared" si="355"/>
        <v>BANKS</v>
      </c>
      <c r="D974" t="str">
        <f t="shared" si="356"/>
        <v>09</v>
      </c>
      <c r="E974" t="str">
        <f>"05 - B - 101 - Linda  Celestin"</f>
        <v>05 - B - 101 - Linda  Celestin</v>
      </c>
      <c r="F974" t="str">
        <f>"LRNG STRATEGIES 9-12"</f>
        <v>LRNG STRATEGIES 9-12</v>
      </c>
      <c r="G974" t="str">
        <f>"21-2160"</f>
        <v>21-2160</v>
      </c>
      <c r="H974" t="str">
        <f>"B"</f>
        <v>B</v>
      </c>
    </row>
    <row r="975" spans="1:8" x14ac:dyDescent="0.2">
      <c r="A975" t="str">
        <f t="shared" si="353"/>
        <v>0617071950</v>
      </c>
      <c r="B975" t="str">
        <f t="shared" si="354"/>
        <v>KALEE</v>
      </c>
      <c r="C975" t="str">
        <f t="shared" si="355"/>
        <v>BANKS</v>
      </c>
      <c r="D975" t="str">
        <f t="shared" si="356"/>
        <v>09</v>
      </c>
      <c r="E975" t="str">
        <f>"01 - A - 103 - Amy Beth  Broyles"</f>
        <v>01 - A - 103 - Amy Beth  Broyles</v>
      </c>
      <c r="F975" t="str">
        <f>"ENV SCI"</f>
        <v>ENV SCI</v>
      </c>
      <c r="G975" t="str">
        <f>"08-802"</f>
        <v>08-802</v>
      </c>
      <c r="H975" t="str">
        <f>"A"</f>
        <v>A</v>
      </c>
    </row>
    <row r="976" spans="1:8" x14ac:dyDescent="0.2">
      <c r="A976" t="str">
        <f t="shared" si="353"/>
        <v>0617071950</v>
      </c>
      <c r="B976" t="str">
        <f t="shared" si="354"/>
        <v>KALEE</v>
      </c>
      <c r="C976" t="str">
        <f t="shared" si="355"/>
        <v>BANKS</v>
      </c>
      <c r="D976" t="str">
        <f t="shared" si="356"/>
        <v>09</v>
      </c>
      <c r="E976" t="str">
        <f>"08 - B - 108 - Tina L Lovett"</f>
        <v>08 - B - 108 - Tina L Lovett</v>
      </c>
      <c r="F976" t="str">
        <f>"FDN SKLS MATH 9-12"</f>
        <v>FDN SKLS MATH 9-12</v>
      </c>
      <c r="G976" t="str">
        <f>"21-2153"</f>
        <v>21-2153</v>
      </c>
      <c r="H976" t="str">
        <f>"B"</f>
        <v>B</v>
      </c>
    </row>
    <row r="977" spans="1:8" x14ac:dyDescent="0.2">
      <c r="A977" t="str">
        <f t="shared" ref="A977:A984" si="357">"0615074066"</f>
        <v>0615074066</v>
      </c>
      <c r="B977" t="str">
        <f t="shared" ref="B977:B984" si="358">"ZAHARA"</f>
        <v>ZAHARA</v>
      </c>
      <c r="C977" t="str">
        <f t="shared" ref="C977:C984" si="359">"BANNIS"</f>
        <v>BANNIS</v>
      </c>
      <c r="D977" t="str">
        <f t="shared" si="356"/>
        <v>09</v>
      </c>
      <c r="E977" t="str">
        <f>"04 - A - 104 - Helen A Flores"</f>
        <v>04 - A - 104 - Helen A Flores</v>
      </c>
      <c r="F977" t="str">
        <f>"FDN SKLS MATH 9-12"</f>
        <v>FDN SKLS MATH 9-12</v>
      </c>
      <c r="G977" t="str">
        <f>"21-2101"</f>
        <v>21-2101</v>
      </c>
      <c r="H977" t="str">
        <f>"A"</f>
        <v>A</v>
      </c>
    </row>
    <row r="978" spans="1:8" x14ac:dyDescent="0.2">
      <c r="A978" t="str">
        <f t="shared" si="357"/>
        <v>0615074066</v>
      </c>
      <c r="B978" t="str">
        <f t="shared" si="358"/>
        <v>ZAHARA</v>
      </c>
      <c r="C978" t="str">
        <f t="shared" si="359"/>
        <v>BANNIS</v>
      </c>
      <c r="D978" t="str">
        <f t="shared" si="356"/>
        <v>09</v>
      </c>
      <c r="E978" t="str">
        <f>"06 - B - 104 - Laselleda D Shaw"</f>
        <v>06 - B - 104 - Laselleda D Shaw</v>
      </c>
      <c r="F978" t="str">
        <f>"INTENS READ 1"</f>
        <v>INTENS READ 1</v>
      </c>
      <c r="G978" t="str">
        <f>"17-1723"</f>
        <v>17-1723</v>
      </c>
      <c r="H978" t="str">
        <f>"B"</f>
        <v>B</v>
      </c>
    </row>
    <row r="979" spans="1:8" x14ac:dyDescent="0.2">
      <c r="A979" t="str">
        <f t="shared" si="357"/>
        <v>0615074066</v>
      </c>
      <c r="B979" t="str">
        <f t="shared" si="358"/>
        <v>ZAHARA</v>
      </c>
      <c r="C979" t="str">
        <f t="shared" si="359"/>
        <v>BANNIS</v>
      </c>
      <c r="D979" t="str">
        <f t="shared" si="356"/>
        <v>09</v>
      </c>
      <c r="E979" t="str">
        <f>"03 - S1 - A - 101 - Arthur  Kulawik"</f>
        <v>03 - S1 - A - 101 - Arthur  Kulawik</v>
      </c>
      <c r="F979" t="str">
        <f>"PERS FIN &amp; MON MGT H"</f>
        <v>PERS FIN &amp; MON MGT H</v>
      </c>
      <c r="G979" t="str">
        <f>"05-506"</f>
        <v>05-506</v>
      </c>
      <c r="H979" t="str">
        <f>"A"</f>
        <v>A</v>
      </c>
    </row>
    <row r="980" spans="1:8" x14ac:dyDescent="0.2">
      <c r="A980" t="str">
        <f t="shared" si="357"/>
        <v>0615074066</v>
      </c>
      <c r="B980" t="str">
        <f t="shared" si="358"/>
        <v>ZAHARA</v>
      </c>
      <c r="C980" t="str">
        <f t="shared" si="359"/>
        <v>BANNIS</v>
      </c>
      <c r="D980" t="str">
        <f t="shared" si="356"/>
        <v>09</v>
      </c>
      <c r="E980" t="str">
        <f>"02 - A - 110 - Maried P Ramos"</f>
        <v>02 - A - 110 - Maried P Ramos</v>
      </c>
      <c r="F980" t="str">
        <f>"NC STUDY HALL 1"</f>
        <v>NC STUDY HALL 1</v>
      </c>
      <c r="G980" t="str">
        <f>"21-2159"</f>
        <v>21-2159</v>
      </c>
      <c r="H980" t="str">
        <f>"A"</f>
        <v>A</v>
      </c>
    </row>
    <row r="981" spans="1:8" x14ac:dyDescent="0.2">
      <c r="A981" t="str">
        <f t="shared" si="357"/>
        <v>0615074066</v>
      </c>
      <c r="B981" t="str">
        <f t="shared" si="358"/>
        <v>ZAHARA</v>
      </c>
      <c r="C981" t="str">
        <f t="shared" si="359"/>
        <v>BANNIS</v>
      </c>
      <c r="D981" t="str">
        <f t="shared" si="356"/>
        <v>09</v>
      </c>
      <c r="E981" t="str">
        <f>"07 - B - 104 - Lissa C Frederique"</f>
        <v>07 - B - 104 - Lissa C Frederique</v>
      </c>
      <c r="F981" t="str">
        <f>"WORLD HISTORY"</f>
        <v>WORLD HISTORY</v>
      </c>
      <c r="G981" t="str">
        <f>"17-1754"</f>
        <v>17-1754</v>
      </c>
      <c r="H981" t="str">
        <f>"B"</f>
        <v>B</v>
      </c>
    </row>
    <row r="982" spans="1:8" x14ac:dyDescent="0.2">
      <c r="A982" t="str">
        <f t="shared" si="357"/>
        <v>0615074066</v>
      </c>
      <c r="B982" t="str">
        <f t="shared" si="358"/>
        <v>ZAHARA</v>
      </c>
      <c r="C982" t="str">
        <f t="shared" si="359"/>
        <v>BANNIS</v>
      </c>
      <c r="D982" t="str">
        <f t="shared" si="356"/>
        <v>09</v>
      </c>
      <c r="E982" t="str">
        <f>"05 - B - 104 - Cerine S Stewart"</f>
        <v>05 - B - 104 - Cerine S Stewart</v>
      </c>
      <c r="F982" t="str">
        <f>"ENG 1"</f>
        <v>ENG 1</v>
      </c>
      <c r="G982" t="str">
        <f>"17-1720"</f>
        <v>17-1720</v>
      </c>
      <c r="H982" t="str">
        <f>"B"</f>
        <v>B</v>
      </c>
    </row>
    <row r="983" spans="1:8" x14ac:dyDescent="0.2">
      <c r="A983" t="str">
        <f t="shared" si="357"/>
        <v>0615074066</v>
      </c>
      <c r="B983" t="str">
        <f t="shared" si="358"/>
        <v>ZAHARA</v>
      </c>
      <c r="C983" t="str">
        <f t="shared" si="359"/>
        <v>BANNIS</v>
      </c>
      <c r="D983" t="str">
        <f t="shared" si="356"/>
        <v>09</v>
      </c>
      <c r="E983" t="str">
        <f>"01 - A - 103 - Amy Beth  Broyles"</f>
        <v>01 - A - 103 - Amy Beth  Broyles</v>
      </c>
      <c r="F983" t="str">
        <f>"ENV SCI"</f>
        <v>ENV SCI</v>
      </c>
      <c r="G983" t="str">
        <f>"08-802"</f>
        <v>08-802</v>
      </c>
      <c r="H983" t="str">
        <f>"A"</f>
        <v>A</v>
      </c>
    </row>
    <row r="984" spans="1:8" x14ac:dyDescent="0.2">
      <c r="A984" t="str">
        <f t="shared" si="357"/>
        <v>0615074066</v>
      </c>
      <c r="B984" t="str">
        <f t="shared" si="358"/>
        <v>ZAHARA</v>
      </c>
      <c r="C984" t="str">
        <f t="shared" si="359"/>
        <v>BANNIS</v>
      </c>
      <c r="D984" t="str">
        <f t="shared" si="356"/>
        <v>09</v>
      </c>
      <c r="E984" t="str">
        <f>"08 - B - 106 - Helen A Flores"</f>
        <v>08 - B - 106 - Helen A Flores</v>
      </c>
      <c r="F984" t="str">
        <f>"ALGEBRA 1"</f>
        <v>ALGEBRA 1</v>
      </c>
      <c r="G984" t="str">
        <f>"21-2101"</f>
        <v>21-2101</v>
      </c>
      <c r="H984" t="str">
        <f>"B"</f>
        <v>B</v>
      </c>
    </row>
    <row r="985" spans="1:8" x14ac:dyDescent="0.2">
      <c r="A985" t="str">
        <f t="shared" ref="A985:A992" si="360">"0613102365"</f>
        <v>0613102365</v>
      </c>
      <c r="B985" t="str">
        <f t="shared" ref="B985:B992" si="361">"TRUDANE"</f>
        <v>TRUDANE</v>
      </c>
      <c r="C985" t="str">
        <f t="shared" ref="C985:C992" si="362">"BANTON"</f>
        <v>BANTON</v>
      </c>
      <c r="D985">
        <f>10</f>
        <v>10</v>
      </c>
      <c r="E985" t="str">
        <f>"04 - S1 - A - 101 - Leslie J Barton"</f>
        <v>04 - S1 - A - 101 - Leslie J Barton</v>
      </c>
      <c r="F985" t="str">
        <f>"TEAM SPORTS 1"</f>
        <v>TEAM SPORTS 1</v>
      </c>
      <c r="G985" t="str">
        <f>"04-254"</f>
        <v>04-254</v>
      </c>
      <c r="H985" t="str">
        <f>"A"</f>
        <v>A</v>
      </c>
    </row>
    <row r="986" spans="1:8" x14ac:dyDescent="0.2">
      <c r="A986" t="str">
        <f t="shared" si="360"/>
        <v>0613102365</v>
      </c>
      <c r="B986" t="str">
        <f t="shared" si="361"/>
        <v>TRUDANE</v>
      </c>
      <c r="C986" t="str">
        <f t="shared" si="362"/>
        <v>BANTON</v>
      </c>
      <c r="D986">
        <f>10</f>
        <v>10</v>
      </c>
      <c r="E986" t="str">
        <f>"06 - B - 115 - Scott A Dethloff"</f>
        <v>06 - B - 115 - Scott A Dethloff</v>
      </c>
      <c r="F986" t="str">
        <f>"NC STUDY HALL 1"</f>
        <v>NC STUDY HALL 1</v>
      </c>
      <c r="G986" t="str">
        <f>"08-812"</f>
        <v>08-812</v>
      </c>
      <c r="H986" t="str">
        <f>"B"</f>
        <v>B</v>
      </c>
    </row>
    <row r="987" spans="1:8" x14ac:dyDescent="0.2">
      <c r="A987" t="str">
        <f t="shared" si="360"/>
        <v>0613102365</v>
      </c>
      <c r="B987" t="str">
        <f t="shared" si="361"/>
        <v>TRUDANE</v>
      </c>
      <c r="C987" t="str">
        <f t="shared" si="362"/>
        <v>BANTON</v>
      </c>
      <c r="D987">
        <f>10</f>
        <v>10</v>
      </c>
      <c r="E987" t="str">
        <f>"03 - A - 002 - Brandy N Zdenek"</f>
        <v>03 - A - 002 - Brandy N Zdenek</v>
      </c>
      <c r="F987" t="str">
        <f>"AICE ENG LANG AS"</f>
        <v>AICE ENG LANG AS</v>
      </c>
      <c r="G987" t="str">
        <f>"17-1704"</f>
        <v>17-1704</v>
      </c>
      <c r="H987" t="str">
        <f>"A"</f>
        <v>A</v>
      </c>
    </row>
    <row r="988" spans="1:8" x14ac:dyDescent="0.2">
      <c r="A988" t="str">
        <f t="shared" si="360"/>
        <v>0613102365</v>
      </c>
      <c r="B988" t="str">
        <f t="shared" si="361"/>
        <v>TRUDANE</v>
      </c>
      <c r="C988" t="str">
        <f t="shared" si="362"/>
        <v>BANTON</v>
      </c>
      <c r="D988">
        <f>10</f>
        <v>10</v>
      </c>
      <c r="E988" t="str">
        <f>"02 - A - 103 - Lenecy  Nodarse"</f>
        <v>02 - A - 103 - Lenecy  Nodarse</v>
      </c>
      <c r="F988" t="str">
        <f>"AICE EURO HIST 1 AS"</f>
        <v>AICE EURO HIST 1 AS</v>
      </c>
      <c r="G988" t="str">
        <f>"17-1741"</f>
        <v>17-1741</v>
      </c>
      <c r="H988" t="str">
        <f>"A"</f>
        <v>A</v>
      </c>
    </row>
    <row r="989" spans="1:8" x14ac:dyDescent="0.2">
      <c r="A989" t="str">
        <f t="shared" si="360"/>
        <v>0613102365</v>
      </c>
      <c r="B989" t="str">
        <f t="shared" si="361"/>
        <v>TRUDANE</v>
      </c>
      <c r="C989" t="str">
        <f t="shared" si="362"/>
        <v>BANTON</v>
      </c>
      <c r="D989">
        <f>10</f>
        <v>10</v>
      </c>
      <c r="E989" t="str">
        <f>"07 - B - 201 - Angela S Adeshina-Morrison"</f>
        <v>07 - B - 201 - Angela S Adeshina-Morrison</v>
      </c>
      <c r="F989" t="str">
        <f>"BUSINESS OWNER HON"</f>
        <v>BUSINESS OWNER HON</v>
      </c>
      <c r="G989" t="str">
        <f>"05-518"</f>
        <v>05-518</v>
      </c>
      <c r="H989" t="str">
        <f>"B"</f>
        <v>B</v>
      </c>
    </row>
    <row r="990" spans="1:8" x14ac:dyDescent="0.2">
      <c r="A990" t="str">
        <f t="shared" si="360"/>
        <v>0613102365</v>
      </c>
      <c r="B990" t="str">
        <f t="shared" si="361"/>
        <v>TRUDANE</v>
      </c>
      <c r="C990" t="str">
        <f t="shared" si="362"/>
        <v>BANTON</v>
      </c>
      <c r="D990">
        <f>10</f>
        <v>10</v>
      </c>
      <c r="E990" t="str">
        <f>"05 - B - 108 - Valerie J Ruwe"</f>
        <v>05 - B - 108 - Valerie J Ruwe</v>
      </c>
      <c r="F990" t="str">
        <f>"CHEMISTRY 1 HON"</f>
        <v>CHEMISTRY 1 HON</v>
      </c>
      <c r="G990" t="str">
        <f>"21-2138"</f>
        <v>21-2138</v>
      </c>
      <c r="H990" t="str">
        <f>"B"</f>
        <v>B</v>
      </c>
    </row>
    <row r="991" spans="1:8" x14ac:dyDescent="0.2">
      <c r="A991" t="str">
        <f t="shared" si="360"/>
        <v>0613102365</v>
      </c>
      <c r="B991" t="str">
        <f t="shared" si="361"/>
        <v>TRUDANE</v>
      </c>
      <c r="C991" t="str">
        <f t="shared" si="362"/>
        <v>BANTON</v>
      </c>
      <c r="D991">
        <f>10</f>
        <v>10</v>
      </c>
      <c r="E991" t="str">
        <f>"01 - A - 101 - Lourivaldo  Da Silva"</f>
        <v>01 - A - 101 - Lourivaldo  Da Silva</v>
      </c>
      <c r="F991" t="str">
        <f>"ALGEBRA 2 HON"</f>
        <v>ALGEBRA 2 HON</v>
      </c>
      <c r="G991" t="str">
        <f>"20-2079"</f>
        <v>20-2079</v>
      </c>
      <c r="H991" t="str">
        <f>"A"</f>
        <v>A</v>
      </c>
    </row>
    <row r="992" spans="1:8" x14ac:dyDescent="0.2">
      <c r="A992" t="str">
        <f t="shared" si="360"/>
        <v>0613102365</v>
      </c>
      <c r="B992" t="str">
        <f t="shared" si="361"/>
        <v>TRUDANE</v>
      </c>
      <c r="C992" t="str">
        <f t="shared" si="362"/>
        <v>BANTON</v>
      </c>
      <c r="D992">
        <f>10</f>
        <v>10</v>
      </c>
      <c r="E992" t="str">
        <f>"08 - B - 001 - Chrystina M Marchionne"</f>
        <v>08 - B - 001 - Chrystina M Marchionne</v>
      </c>
      <c r="F992" t="str">
        <f>"JOURN 1 (YB) LH"</f>
        <v>JOURN 1 (YB) LH</v>
      </c>
      <c r="G992" t="str">
        <f>"05-520"</f>
        <v>05-520</v>
      </c>
      <c r="H992" t="str">
        <f>"B"</f>
        <v>B</v>
      </c>
    </row>
    <row r="993" spans="1:8" x14ac:dyDescent="0.2">
      <c r="A993" t="str">
        <f t="shared" ref="A993:A1001" si="363">"0616057779"</f>
        <v>0616057779</v>
      </c>
      <c r="B993" t="str">
        <f t="shared" ref="B993:B1001" si="364">"JUSTIN"</f>
        <v>JUSTIN</v>
      </c>
      <c r="C993" t="str">
        <f t="shared" ref="C993:C1001" si="365">"BAPTISTE"</f>
        <v>BAPTISTE</v>
      </c>
      <c r="D993" t="str">
        <f t="shared" ref="D993:D1001" si="366">"09"</f>
        <v>09</v>
      </c>
      <c r="E993" t="str">
        <f>"04 - S1 - A - 101 - Leslie J Barton"</f>
        <v>04 - S1 - A - 101 - Leslie J Barton</v>
      </c>
      <c r="F993" t="str">
        <f>"TEAM SPORTS 1"</f>
        <v>TEAM SPORTS 1</v>
      </c>
      <c r="G993" t="str">
        <f>"04-254"</f>
        <v>04-254</v>
      </c>
      <c r="H993" t="str">
        <f>"A"</f>
        <v>A</v>
      </c>
    </row>
    <row r="994" spans="1:8" x14ac:dyDescent="0.2">
      <c r="A994" t="str">
        <f t="shared" si="363"/>
        <v>0616057779</v>
      </c>
      <c r="B994" t="str">
        <f t="shared" si="364"/>
        <v>JUSTIN</v>
      </c>
      <c r="C994" t="str">
        <f t="shared" si="365"/>
        <v>BAPTISTE</v>
      </c>
      <c r="D994" t="str">
        <f t="shared" si="366"/>
        <v>09</v>
      </c>
      <c r="E994" t="str">
        <f>"06 - B - 105 - Tina L Lovett"</f>
        <v>06 - B - 105 - Tina L Lovett</v>
      </c>
      <c r="F994" t="str">
        <f>"FDN SKLS MATH 9-12"</f>
        <v>FDN SKLS MATH 9-12</v>
      </c>
      <c r="G994" t="str">
        <f>"21-2153"</f>
        <v>21-2153</v>
      </c>
      <c r="H994" t="str">
        <f>"B"</f>
        <v>B</v>
      </c>
    </row>
    <row r="995" spans="1:8" x14ac:dyDescent="0.2">
      <c r="A995" t="str">
        <f t="shared" si="363"/>
        <v>0616057779</v>
      </c>
      <c r="B995" t="str">
        <f t="shared" si="364"/>
        <v>JUSTIN</v>
      </c>
      <c r="C995" t="str">
        <f t="shared" si="365"/>
        <v>BAPTISTE</v>
      </c>
      <c r="D995" t="str">
        <f t="shared" si="366"/>
        <v>09</v>
      </c>
      <c r="E995" t="str">
        <f>"03 - A - 102 - Laselleda D Shaw"</f>
        <v>03 - A - 102 - Laselleda D Shaw</v>
      </c>
      <c r="F995" t="str">
        <f>"INTENS READ 1"</f>
        <v>INTENS READ 1</v>
      </c>
      <c r="G995" t="str">
        <f>"17-1723"</f>
        <v>17-1723</v>
      </c>
      <c r="H995" t="str">
        <f>"A"</f>
        <v>A</v>
      </c>
    </row>
    <row r="996" spans="1:8" x14ac:dyDescent="0.2">
      <c r="A996" t="str">
        <f t="shared" si="363"/>
        <v>0616057779</v>
      </c>
      <c r="B996" t="str">
        <f t="shared" si="364"/>
        <v>JUSTIN</v>
      </c>
      <c r="C996" t="str">
        <f t="shared" si="365"/>
        <v>BAPTISTE</v>
      </c>
      <c r="D996" t="str">
        <f t="shared" si="366"/>
        <v>09</v>
      </c>
      <c r="E996" t="str">
        <f>"02 - A - 101 - Milca  Exantus"</f>
        <v>02 - A - 101 - Milca  Exantus</v>
      </c>
      <c r="F996" t="str">
        <f>"NC STUDY HALL 1"</f>
        <v>NC STUDY HALL 1</v>
      </c>
      <c r="G996" t="str">
        <f>"21-2145"</f>
        <v>21-2145</v>
      </c>
      <c r="H996" t="str">
        <f>"A"</f>
        <v>A</v>
      </c>
    </row>
    <row r="997" spans="1:8" x14ac:dyDescent="0.2">
      <c r="A997" t="str">
        <f t="shared" si="363"/>
        <v>0616057779</v>
      </c>
      <c r="B997" t="str">
        <f t="shared" si="364"/>
        <v>JUSTIN</v>
      </c>
      <c r="C997" t="str">
        <f t="shared" si="365"/>
        <v>BAPTISTE</v>
      </c>
      <c r="D997" t="str">
        <f t="shared" si="366"/>
        <v>09</v>
      </c>
      <c r="E997" t="str">
        <f>"02 - A - 102 - Eric  Lopapa"</f>
        <v>02 - A - 102 - Eric  Lopapa</v>
      </c>
      <c r="F997" t="str">
        <f>"LANG THERAPY"</f>
        <v>LANG THERAPY</v>
      </c>
      <c r="G997" t="str">
        <f>"21-2110"</f>
        <v>21-2110</v>
      </c>
      <c r="H997" t="str">
        <f>"A"</f>
        <v>A</v>
      </c>
    </row>
    <row r="998" spans="1:8" x14ac:dyDescent="0.2">
      <c r="A998" t="str">
        <f t="shared" si="363"/>
        <v>0616057779</v>
      </c>
      <c r="B998" t="str">
        <f t="shared" si="364"/>
        <v>JUSTIN</v>
      </c>
      <c r="C998" t="str">
        <f t="shared" si="365"/>
        <v>BAPTISTE</v>
      </c>
      <c r="D998" t="str">
        <f t="shared" si="366"/>
        <v>09</v>
      </c>
      <c r="E998" t="str">
        <f>"07 - B - 003 - Samantha J Headley"</f>
        <v>07 - B - 003 - Samantha J Headley</v>
      </c>
      <c r="F998" t="str">
        <f>"ENV SCI"</f>
        <v>ENV SCI</v>
      </c>
      <c r="G998" t="str">
        <f>"08-802"</f>
        <v>08-802</v>
      </c>
      <c r="H998" t="str">
        <f>"B"</f>
        <v>B</v>
      </c>
    </row>
    <row r="999" spans="1:8" x14ac:dyDescent="0.2">
      <c r="A999" t="str">
        <f t="shared" si="363"/>
        <v>0616057779</v>
      </c>
      <c r="B999" t="str">
        <f t="shared" si="364"/>
        <v>JUSTIN</v>
      </c>
      <c r="C999" t="str">
        <f t="shared" si="365"/>
        <v>BAPTISTE</v>
      </c>
      <c r="D999" t="str">
        <f t="shared" si="366"/>
        <v>09</v>
      </c>
      <c r="E999" t="str">
        <f>"05 - B - 205 - Lenecy  Nodarse"</f>
        <v>05 - B - 205 - Lenecy  Nodarse</v>
      </c>
      <c r="F999" t="str">
        <f>"WORLD HISTORY"</f>
        <v>WORLD HISTORY</v>
      </c>
      <c r="G999" t="str">
        <f>"17-1741"</f>
        <v>17-1741</v>
      </c>
      <c r="H999" t="str">
        <f>"B"</f>
        <v>B</v>
      </c>
    </row>
    <row r="1000" spans="1:8" x14ac:dyDescent="0.2">
      <c r="A1000" t="str">
        <f t="shared" si="363"/>
        <v>0616057779</v>
      </c>
      <c r="B1000" t="str">
        <f t="shared" si="364"/>
        <v>JUSTIN</v>
      </c>
      <c r="C1000" t="str">
        <f t="shared" si="365"/>
        <v>BAPTISTE</v>
      </c>
      <c r="D1000" t="str">
        <f t="shared" si="366"/>
        <v>09</v>
      </c>
      <c r="E1000" t="str">
        <f>"01 - A - 101 - Tina L Lovett"</f>
        <v>01 - A - 101 - Tina L Lovett</v>
      </c>
      <c r="F1000" t="str">
        <f>"ALGEBRA 1"</f>
        <v>ALGEBRA 1</v>
      </c>
      <c r="G1000" t="str">
        <f>"21-2153"</f>
        <v>21-2153</v>
      </c>
      <c r="H1000" t="str">
        <f>"A"</f>
        <v>A</v>
      </c>
    </row>
    <row r="1001" spans="1:8" x14ac:dyDescent="0.2">
      <c r="A1001" t="str">
        <f t="shared" si="363"/>
        <v>0616057779</v>
      </c>
      <c r="B1001" t="str">
        <f t="shared" si="364"/>
        <v>JUSTIN</v>
      </c>
      <c r="C1001" t="str">
        <f t="shared" si="365"/>
        <v>BAPTISTE</v>
      </c>
      <c r="D1001" t="str">
        <f t="shared" si="366"/>
        <v>09</v>
      </c>
      <c r="E1001" t="str">
        <f>"08 - B - 108 - Cerine S Stewart"</f>
        <v>08 - B - 108 - Cerine S Stewart</v>
      </c>
      <c r="F1001" t="str">
        <f>"ENG 1"</f>
        <v>ENG 1</v>
      </c>
      <c r="G1001" t="str">
        <f>"17-1720"</f>
        <v>17-1720</v>
      </c>
      <c r="H1001" t="str">
        <f>"B"</f>
        <v>B</v>
      </c>
    </row>
    <row r="1002" spans="1:8" x14ac:dyDescent="0.2">
      <c r="A1002" t="str">
        <f t="shared" ref="A1002:A1009" si="367">"0624103242"</f>
        <v>0624103242</v>
      </c>
      <c r="B1002" t="str">
        <f t="shared" ref="B1002:B1009" si="368">"DANA"</f>
        <v>DANA</v>
      </c>
      <c r="C1002" t="str">
        <f t="shared" ref="C1002:C1009" si="369">"BARAHONA GOMEZ"</f>
        <v>BARAHONA GOMEZ</v>
      </c>
      <c r="D1002">
        <f>10</f>
        <v>10</v>
      </c>
      <c r="E1002" t="str">
        <f>"04 - A - 104 - Nikiel  Nesbeth"</f>
        <v>04 - A - 104 - Nikiel  Nesbeth</v>
      </c>
      <c r="F1002" t="str">
        <f>"ENG 2"</f>
        <v>ENG 2</v>
      </c>
      <c r="G1002" t="str">
        <f>"17-1705"</f>
        <v>17-1705</v>
      </c>
      <c r="H1002" t="str">
        <f>"A"</f>
        <v>A</v>
      </c>
    </row>
    <row r="1003" spans="1:8" x14ac:dyDescent="0.2">
      <c r="A1003" t="str">
        <f t="shared" si="367"/>
        <v>0624103242</v>
      </c>
      <c r="B1003" t="str">
        <f t="shared" si="368"/>
        <v>DANA</v>
      </c>
      <c r="C1003" t="str">
        <f t="shared" si="369"/>
        <v>BARAHONA GOMEZ</v>
      </c>
      <c r="D1003">
        <f>10</f>
        <v>10</v>
      </c>
      <c r="E1003" t="str">
        <f>"06 - B - 112 - Tina M Jaramillo"</f>
        <v>06 - B - 112 - Tina M Jaramillo</v>
      </c>
      <c r="F1003" t="str">
        <f>"NC STUDY HALL 1"</f>
        <v>NC STUDY HALL 1</v>
      </c>
      <c r="G1003" t="str">
        <f>"17-1706"</f>
        <v>17-1706</v>
      </c>
      <c r="H1003" t="str">
        <f>"B"</f>
        <v>B</v>
      </c>
    </row>
    <row r="1004" spans="1:8" x14ac:dyDescent="0.2">
      <c r="A1004" t="str">
        <f t="shared" si="367"/>
        <v>0624103242</v>
      </c>
      <c r="B1004" t="str">
        <f t="shared" si="368"/>
        <v>DANA</v>
      </c>
      <c r="C1004" t="str">
        <f t="shared" si="369"/>
        <v>BARAHONA GOMEZ</v>
      </c>
      <c r="D1004">
        <f>10</f>
        <v>10</v>
      </c>
      <c r="E1004" t="str">
        <f>"03 - A - 101 - Samantha L Martinez"</f>
        <v>03 - A - 101 - Samantha L Martinez</v>
      </c>
      <c r="F1004" t="str">
        <f>"VOCAL ENS 1"</f>
        <v>VOCAL ENS 1</v>
      </c>
      <c r="G1004" t="str">
        <f>"05-505"</f>
        <v>05-505</v>
      </c>
      <c r="H1004" t="str">
        <f>"A"</f>
        <v>A</v>
      </c>
    </row>
    <row r="1005" spans="1:8" x14ac:dyDescent="0.2">
      <c r="A1005" t="str">
        <f t="shared" si="367"/>
        <v>0624103242</v>
      </c>
      <c r="B1005" t="str">
        <f t="shared" si="368"/>
        <v>DANA</v>
      </c>
      <c r="C1005" t="str">
        <f t="shared" si="369"/>
        <v>BARAHONA GOMEZ</v>
      </c>
      <c r="D1005">
        <f>10</f>
        <v>10</v>
      </c>
      <c r="E1005" t="str">
        <f>"02 - A - 102 - Marius D Orsolini"</f>
        <v>02 - A - 102 - Marius D Orsolini</v>
      </c>
      <c r="F1005" t="str">
        <f>"CULINARY ARTS 1"</f>
        <v>CULINARY ARTS 1</v>
      </c>
      <c r="G1005" t="str">
        <f>"21-2115"</f>
        <v>21-2115</v>
      </c>
      <c r="H1005" t="str">
        <f>"A"</f>
        <v>A</v>
      </c>
    </row>
    <row r="1006" spans="1:8" x14ac:dyDescent="0.2">
      <c r="A1006" t="str">
        <f t="shared" si="367"/>
        <v>0624103242</v>
      </c>
      <c r="B1006" t="str">
        <f t="shared" si="368"/>
        <v>DANA</v>
      </c>
      <c r="C1006" t="str">
        <f t="shared" si="369"/>
        <v>BARAHONA GOMEZ</v>
      </c>
      <c r="D1006">
        <f>10</f>
        <v>10</v>
      </c>
      <c r="E1006" t="str">
        <f>"07 - S1 - B - 107 - Richard E Dunbar Iii"</f>
        <v>07 - S1 - B - 107 - Richard E Dunbar Iii</v>
      </c>
      <c r="F1006" t="str">
        <f>"WEIGHT TRAIN 1"</f>
        <v>WEIGHT TRAIN 1</v>
      </c>
      <c r="G1006" t="str">
        <f>"05-501"</f>
        <v>05-501</v>
      </c>
      <c r="H1006" t="str">
        <f>"B"</f>
        <v>B</v>
      </c>
    </row>
    <row r="1007" spans="1:8" x14ac:dyDescent="0.2">
      <c r="A1007" t="str">
        <f t="shared" si="367"/>
        <v>0624103242</v>
      </c>
      <c r="B1007" t="str">
        <f t="shared" si="368"/>
        <v>DANA</v>
      </c>
      <c r="C1007" t="str">
        <f t="shared" si="369"/>
        <v>BARAHONA GOMEZ</v>
      </c>
      <c r="D1007">
        <f>10</f>
        <v>10</v>
      </c>
      <c r="E1007" t="str">
        <f>"05 - B - 104 - Daniel S Tyson"</f>
        <v>05 - B - 104 - Daniel S Tyson</v>
      </c>
      <c r="F1007" t="str">
        <f>"JROTC NAVAL SCI 2"</f>
        <v>JROTC NAVAL SCI 2</v>
      </c>
      <c r="G1007" t="str">
        <f>"05-510"</f>
        <v>05-510</v>
      </c>
      <c r="H1007" t="str">
        <f>"B"</f>
        <v>B</v>
      </c>
    </row>
    <row r="1008" spans="1:8" x14ac:dyDescent="0.2">
      <c r="A1008" t="str">
        <f t="shared" si="367"/>
        <v>0624103242</v>
      </c>
      <c r="B1008" t="str">
        <f t="shared" si="368"/>
        <v>DANA</v>
      </c>
      <c r="C1008" t="str">
        <f t="shared" si="369"/>
        <v>BARAHONA GOMEZ</v>
      </c>
      <c r="D1008">
        <f>10</f>
        <v>10</v>
      </c>
      <c r="E1008" t="str">
        <f>"01 - A - 101 - Ferrie J Arostique"</f>
        <v>01 - A - 101 - Ferrie J Arostique</v>
      </c>
      <c r="F1008" t="str">
        <f>"GEOMETRY"</f>
        <v>GEOMETRY</v>
      </c>
      <c r="G1008" t="str">
        <f>"21-2139"</f>
        <v>21-2139</v>
      </c>
      <c r="H1008" t="str">
        <f>"A"</f>
        <v>A</v>
      </c>
    </row>
    <row r="1009" spans="1:8" x14ac:dyDescent="0.2">
      <c r="A1009" t="str">
        <f t="shared" si="367"/>
        <v>0624103242</v>
      </c>
      <c r="B1009" t="str">
        <f t="shared" si="368"/>
        <v>DANA</v>
      </c>
      <c r="C1009" t="str">
        <f t="shared" si="369"/>
        <v>BARAHONA GOMEZ</v>
      </c>
      <c r="D1009">
        <f>10</f>
        <v>10</v>
      </c>
      <c r="E1009" t="str">
        <f>"08 - B - 001 - Lytrell T Dixon"</f>
        <v>08 - B - 001 - Lytrell T Dixon</v>
      </c>
      <c r="F1009" t="str">
        <f>"BIOLOGY 1"</f>
        <v>BIOLOGY 1</v>
      </c>
      <c r="G1009" t="str">
        <f>"08-808"</f>
        <v>08-808</v>
      </c>
      <c r="H1009" t="str">
        <f>"B"</f>
        <v>B</v>
      </c>
    </row>
    <row r="1010" spans="1:8" x14ac:dyDescent="0.2">
      <c r="A1010" t="str">
        <f t="shared" ref="A1010:A1017" si="370">"0623039592"</f>
        <v>0623039592</v>
      </c>
      <c r="B1010" t="str">
        <f t="shared" ref="B1010:B1017" si="371">"ANGELA"</f>
        <v>ANGELA</v>
      </c>
      <c r="C1010" t="str">
        <f t="shared" ref="C1010:C1017" si="372">"BARBATO"</f>
        <v>BARBATO</v>
      </c>
      <c r="D1010" t="str">
        <f t="shared" ref="D1010:D1017" si="373">"09"</f>
        <v>09</v>
      </c>
      <c r="E1010" t="str">
        <f>"04 - A - 104 - Dayna M Foster"</f>
        <v>04 - A - 104 - Dayna M Foster</v>
      </c>
      <c r="F1010" t="str">
        <f>"ALGEBRA 2"</f>
        <v>ALGEBRA 2</v>
      </c>
      <c r="G1010" t="str">
        <f>"21-2109"</f>
        <v>21-2109</v>
      </c>
      <c r="H1010" t="str">
        <f>"A"</f>
        <v>A</v>
      </c>
    </row>
    <row r="1011" spans="1:8" x14ac:dyDescent="0.2">
      <c r="A1011" t="str">
        <f t="shared" si="370"/>
        <v>0623039592</v>
      </c>
      <c r="B1011" t="str">
        <f t="shared" si="371"/>
        <v>ANGELA</v>
      </c>
      <c r="C1011" t="str">
        <f t="shared" si="372"/>
        <v>BARBATO</v>
      </c>
      <c r="D1011" t="str">
        <f t="shared" si="373"/>
        <v>09</v>
      </c>
      <c r="E1011" t="str">
        <f>"06 - B - 202 - Alejandro  Navarro"</f>
        <v>06 - B - 202 - Alejandro  Navarro</v>
      </c>
      <c r="F1011" t="str">
        <f>"BAND 1"</f>
        <v>BAND 1</v>
      </c>
      <c r="G1011" t="str">
        <f>"05-504"</f>
        <v>05-504</v>
      </c>
      <c r="H1011" t="str">
        <f>"B"</f>
        <v>B</v>
      </c>
    </row>
    <row r="1012" spans="1:8" x14ac:dyDescent="0.2">
      <c r="A1012" t="str">
        <f t="shared" si="370"/>
        <v>0623039592</v>
      </c>
      <c r="B1012" t="str">
        <f t="shared" si="371"/>
        <v>ANGELA</v>
      </c>
      <c r="C1012" t="str">
        <f t="shared" si="372"/>
        <v>BARBATO</v>
      </c>
      <c r="D1012" t="str">
        <f t="shared" si="373"/>
        <v>09</v>
      </c>
      <c r="E1012" t="str">
        <f>"03 - A - 101 - Samantha L Martinez"</f>
        <v>03 - A - 101 - Samantha L Martinez</v>
      </c>
      <c r="F1012" t="str">
        <f>"VOCAL ENS 1"</f>
        <v>VOCAL ENS 1</v>
      </c>
      <c r="G1012" t="str">
        <f>"05-505"</f>
        <v>05-505</v>
      </c>
      <c r="H1012" t="str">
        <f>"A"</f>
        <v>A</v>
      </c>
    </row>
    <row r="1013" spans="1:8" x14ac:dyDescent="0.2">
      <c r="A1013" t="str">
        <f t="shared" si="370"/>
        <v>0623039592</v>
      </c>
      <c r="B1013" t="str">
        <f t="shared" si="371"/>
        <v>ANGELA</v>
      </c>
      <c r="C1013" t="str">
        <f t="shared" si="372"/>
        <v>BARBATO</v>
      </c>
      <c r="D1013" t="str">
        <f t="shared" si="373"/>
        <v>09</v>
      </c>
      <c r="E1013" t="str">
        <f>"02 - A - 106 - Helen A Flores"</f>
        <v>02 - A - 106 - Helen A Flores</v>
      </c>
      <c r="F1013" t="str">
        <f>"NC STUDY HALL 1"</f>
        <v>NC STUDY HALL 1</v>
      </c>
      <c r="G1013" t="str">
        <f>"21-2101"</f>
        <v>21-2101</v>
      </c>
      <c r="H1013" t="str">
        <f>"A"</f>
        <v>A</v>
      </c>
    </row>
    <row r="1014" spans="1:8" x14ac:dyDescent="0.2">
      <c r="A1014" t="str">
        <f t="shared" si="370"/>
        <v>0623039592</v>
      </c>
      <c r="B1014" t="str">
        <f t="shared" si="371"/>
        <v>ANGELA</v>
      </c>
      <c r="C1014" t="str">
        <f t="shared" si="372"/>
        <v>BARBATO</v>
      </c>
      <c r="D1014" t="str">
        <f t="shared" si="373"/>
        <v>09</v>
      </c>
      <c r="E1014" t="str">
        <f>"07 - B - 003 - Brandy N Zdenek"</f>
        <v>07 - B - 003 - Brandy N Zdenek</v>
      </c>
      <c r="F1014" t="str">
        <f>"AICE ENG GEN PAPER 1"</f>
        <v>AICE ENG GEN PAPER 1</v>
      </c>
      <c r="G1014" t="str">
        <f>"17-1704"</f>
        <v>17-1704</v>
      </c>
      <c r="H1014" t="str">
        <f>"B"</f>
        <v>B</v>
      </c>
    </row>
    <row r="1015" spans="1:8" x14ac:dyDescent="0.2">
      <c r="A1015" t="str">
        <f t="shared" si="370"/>
        <v>0623039592</v>
      </c>
      <c r="B1015" t="str">
        <f t="shared" si="371"/>
        <v>ANGELA</v>
      </c>
      <c r="C1015" t="str">
        <f t="shared" si="372"/>
        <v>BARBATO</v>
      </c>
      <c r="D1015" t="str">
        <f t="shared" si="373"/>
        <v>09</v>
      </c>
      <c r="E1015" t="str">
        <f>"05 - B - 103 - Rory T Sponsler"</f>
        <v>05 - B - 103 - Rory T Sponsler</v>
      </c>
      <c r="F1015" t="str">
        <f>"PRE-AICE WRLD HST IG"</f>
        <v>PRE-AICE WRLD HST IG</v>
      </c>
      <c r="G1015" t="str">
        <f>"17-1740"</f>
        <v>17-1740</v>
      </c>
      <c r="H1015" t="str">
        <f>"B"</f>
        <v>B</v>
      </c>
    </row>
    <row r="1016" spans="1:8" x14ac:dyDescent="0.2">
      <c r="A1016" t="str">
        <f t="shared" si="370"/>
        <v>0623039592</v>
      </c>
      <c r="B1016" t="str">
        <f t="shared" si="371"/>
        <v>ANGELA</v>
      </c>
      <c r="C1016" t="str">
        <f t="shared" si="372"/>
        <v>BARBATO</v>
      </c>
      <c r="D1016" t="str">
        <f t="shared" si="373"/>
        <v>09</v>
      </c>
      <c r="E1016" t="str">
        <f>"01 - A - 101 - Vanessa J Liburd"</f>
        <v>01 - A - 101 - Vanessa J Liburd</v>
      </c>
      <c r="F1016" t="str">
        <f>"PRE-AICE FRENCH 1 IG"</f>
        <v>PRE-AICE FRENCH 1 IG</v>
      </c>
      <c r="G1016" t="str">
        <f>"05-519"</f>
        <v>05-519</v>
      </c>
      <c r="H1016" t="str">
        <f>"A"</f>
        <v>A</v>
      </c>
    </row>
    <row r="1017" spans="1:8" x14ac:dyDescent="0.2">
      <c r="A1017" t="str">
        <f t="shared" si="370"/>
        <v>0623039592</v>
      </c>
      <c r="B1017" t="str">
        <f t="shared" si="371"/>
        <v>ANGELA</v>
      </c>
      <c r="C1017" t="str">
        <f t="shared" si="372"/>
        <v>BARBATO</v>
      </c>
      <c r="D1017" t="str">
        <f t="shared" si="373"/>
        <v>09</v>
      </c>
      <c r="E1017" t="str">
        <f>"08 - B - 102 - Josiah I Lacy"</f>
        <v>08 - B - 102 - Josiah I Lacy</v>
      </c>
      <c r="F1017" t="str">
        <f>"ANAT PHYSIO HON"</f>
        <v>ANAT PHYSIO HON</v>
      </c>
      <c r="G1017" t="str">
        <f>"08-801"</f>
        <v>08-801</v>
      </c>
      <c r="H1017" t="str">
        <f>"B"</f>
        <v>B</v>
      </c>
    </row>
    <row r="1018" spans="1:8" x14ac:dyDescent="0.2">
      <c r="A1018" t="str">
        <f t="shared" ref="A1018:A1025" si="374">"0618125530"</f>
        <v>0618125530</v>
      </c>
      <c r="B1018" t="str">
        <f t="shared" ref="B1018:B1025" si="375">"ASIYAH"</f>
        <v>ASIYAH</v>
      </c>
      <c r="C1018" t="str">
        <f t="shared" ref="C1018:C1025" si="376">"BARBIERI"</f>
        <v>BARBIERI</v>
      </c>
      <c r="D1018">
        <f>11</f>
        <v>11</v>
      </c>
      <c r="E1018" t="str">
        <f>"04 - A - 103 - Lisa  Quinn"</f>
        <v>04 - A - 103 - Lisa  Quinn</v>
      </c>
      <c r="F1018" t="str">
        <f>"ENG 3"</f>
        <v>ENG 3</v>
      </c>
      <c r="G1018" t="str">
        <f>"17-1725"</f>
        <v>17-1725</v>
      </c>
      <c r="H1018" t="str">
        <f>"A"</f>
        <v>A</v>
      </c>
    </row>
    <row r="1019" spans="1:8" x14ac:dyDescent="0.2">
      <c r="A1019" t="str">
        <f t="shared" si="374"/>
        <v>0618125530</v>
      </c>
      <c r="B1019" t="str">
        <f t="shared" si="375"/>
        <v>ASIYAH</v>
      </c>
      <c r="C1019" t="str">
        <f t="shared" si="376"/>
        <v>BARBIERI</v>
      </c>
      <c r="D1019">
        <f>11</f>
        <v>11</v>
      </c>
      <c r="E1019" t="str">
        <f>"06 - S1 - B - 102 - Daniel S Katz"</f>
        <v>06 - S1 - B - 102 - Daniel S Katz</v>
      </c>
      <c r="F1019" t="str">
        <f>"COURT PROCED"</f>
        <v>COURT PROCED</v>
      </c>
      <c r="G1019" t="str">
        <f>"21-2156"</f>
        <v>21-2156</v>
      </c>
      <c r="H1019" t="str">
        <f>"B"</f>
        <v>B</v>
      </c>
    </row>
    <row r="1020" spans="1:8" x14ac:dyDescent="0.2">
      <c r="A1020" t="str">
        <f t="shared" si="374"/>
        <v>0618125530</v>
      </c>
      <c r="B1020" t="str">
        <f t="shared" si="375"/>
        <v>ASIYAH</v>
      </c>
      <c r="C1020" t="str">
        <f t="shared" si="376"/>
        <v>BARBIERI</v>
      </c>
      <c r="D1020">
        <f>11</f>
        <v>11</v>
      </c>
      <c r="E1020" t="str">
        <f>"03 - A - 104 - Kyle  Robbins"</f>
        <v>03 - A - 104 - Kyle  Robbins</v>
      </c>
      <c r="F1020" t="str">
        <f>"US HISTORY"</f>
        <v>US HISTORY</v>
      </c>
      <c r="G1020" t="str">
        <f>"17-1745"</f>
        <v>17-1745</v>
      </c>
      <c r="H1020" t="str">
        <f>"A"</f>
        <v>A</v>
      </c>
    </row>
    <row r="1021" spans="1:8" x14ac:dyDescent="0.2">
      <c r="A1021" t="str">
        <f t="shared" si="374"/>
        <v>0618125530</v>
      </c>
      <c r="B1021" t="str">
        <f t="shared" si="375"/>
        <v>ASIYAH</v>
      </c>
      <c r="C1021" t="str">
        <f t="shared" si="376"/>
        <v>BARBIERI</v>
      </c>
      <c r="D1021">
        <f>11</f>
        <v>11</v>
      </c>
      <c r="E1021" t="str">
        <f>"02 - A - 114 - Eva T Rimmer"</f>
        <v>02 - A - 114 - Eva T Rimmer</v>
      </c>
      <c r="F1021" t="str">
        <f>"NC STUDY HALL 1"</f>
        <v>NC STUDY HALL 1</v>
      </c>
      <c r="G1021" t="str">
        <f>"05-523"</f>
        <v>05-523</v>
      </c>
      <c r="H1021" t="str">
        <f>"A"</f>
        <v>A</v>
      </c>
    </row>
    <row r="1022" spans="1:8" x14ac:dyDescent="0.2">
      <c r="A1022" t="str">
        <f t="shared" si="374"/>
        <v>0618125530</v>
      </c>
      <c r="B1022" t="str">
        <f t="shared" si="375"/>
        <v>ASIYAH</v>
      </c>
      <c r="C1022" t="str">
        <f t="shared" si="376"/>
        <v>BARBIERI</v>
      </c>
      <c r="D1022">
        <f>11</f>
        <v>11</v>
      </c>
      <c r="E1022" t="str">
        <f>"07 - S1 - B - 103 - Leslie J Barton"</f>
        <v>07 - S1 - B - 103 - Leslie J Barton</v>
      </c>
      <c r="F1022" t="str">
        <f>"TEAM SPORTS 1"</f>
        <v>TEAM SPORTS 1</v>
      </c>
      <c r="G1022" t="str">
        <f>"04-254"</f>
        <v>04-254</v>
      </c>
      <c r="H1022" t="str">
        <f>"B"</f>
        <v>B</v>
      </c>
    </row>
    <row r="1023" spans="1:8" x14ac:dyDescent="0.2">
      <c r="A1023" t="str">
        <f t="shared" si="374"/>
        <v>0618125530</v>
      </c>
      <c r="B1023" t="str">
        <f t="shared" si="375"/>
        <v>ASIYAH</v>
      </c>
      <c r="C1023" t="str">
        <f t="shared" si="376"/>
        <v>BARBIERI</v>
      </c>
      <c r="D1023">
        <f>11</f>
        <v>11</v>
      </c>
      <c r="E1023" t="str">
        <f>"05 - B - 204 - Cliffon  Saurel"</f>
        <v>05 - B - 204 - Cliffon  Saurel</v>
      </c>
      <c r="F1023" t="str">
        <f>"PHYSICAL SCI"</f>
        <v>PHYSICAL SCI</v>
      </c>
      <c r="G1023" t="str">
        <f>"05-522"</f>
        <v>05-522</v>
      </c>
      <c r="H1023" t="str">
        <f>"B"</f>
        <v>B</v>
      </c>
    </row>
    <row r="1024" spans="1:8" x14ac:dyDescent="0.2">
      <c r="A1024" t="str">
        <f t="shared" si="374"/>
        <v>0618125530</v>
      </c>
      <c r="B1024" t="str">
        <f t="shared" si="375"/>
        <v>ASIYAH</v>
      </c>
      <c r="C1024" t="str">
        <f t="shared" si="376"/>
        <v>BARBIERI</v>
      </c>
      <c r="D1024">
        <f>11</f>
        <v>11</v>
      </c>
      <c r="E1024" t="str">
        <f>"01 - A - 108 - Rosa Elaine  Collado-Duff"</f>
        <v>01 - A - 108 - Rosa Elaine  Collado-Duff</v>
      </c>
      <c r="F1024" t="str">
        <f>"PRE-AICE SPAN 2 IG"</f>
        <v>PRE-AICE SPAN 2 IG</v>
      </c>
      <c r="G1024" t="str">
        <f>"09-913"</f>
        <v>09-913</v>
      </c>
      <c r="H1024" t="str">
        <f>"A"</f>
        <v>A</v>
      </c>
    </row>
    <row r="1025" spans="1:8" x14ac:dyDescent="0.2">
      <c r="A1025" t="str">
        <f t="shared" si="374"/>
        <v>0618125530</v>
      </c>
      <c r="B1025" t="str">
        <f t="shared" si="375"/>
        <v>ASIYAH</v>
      </c>
      <c r="C1025" t="str">
        <f t="shared" si="376"/>
        <v>BARBIERI</v>
      </c>
      <c r="D1025">
        <f>11</f>
        <v>11</v>
      </c>
      <c r="E1025" t="str">
        <f>"08 - B - 105 - Semra  Bahadir"</f>
        <v>08 - B - 105 - Semra  Bahadir</v>
      </c>
      <c r="F1025" t="str">
        <f>"MATH COLL ALGEBRA"</f>
        <v>MATH COLL ALGEBRA</v>
      </c>
      <c r="G1025" t="str">
        <f>"21-2107"</f>
        <v>21-2107</v>
      </c>
      <c r="H1025" t="str">
        <f>"B"</f>
        <v>B</v>
      </c>
    </row>
    <row r="1026" spans="1:8" x14ac:dyDescent="0.2">
      <c r="A1026" t="str">
        <f t="shared" ref="A1026:A1033" si="377">"0614089789"</f>
        <v>0614089789</v>
      </c>
      <c r="B1026" t="str">
        <f t="shared" ref="B1026:B1033" si="378">"KRISTIAN"</f>
        <v>KRISTIAN</v>
      </c>
      <c r="C1026" t="str">
        <f t="shared" ref="C1026:C1033" si="379">"BARBOSA"</f>
        <v>BARBOSA</v>
      </c>
      <c r="D1026">
        <f>11</f>
        <v>11</v>
      </c>
      <c r="E1026" t="str">
        <f>"04 - A - 102 - Eva T Rimmer"</f>
        <v>04 - A - 102 - Eva T Rimmer</v>
      </c>
      <c r="F1026" t="str">
        <f>"CRIMINAL JUST OPS 1"</f>
        <v>CRIMINAL JUST OPS 1</v>
      </c>
      <c r="G1026" t="str">
        <f>"05-523"</f>
        <v>05-523</v>
      </c>
      <c r="H1026" t="str">
        <f>"A"</f>
        <v>A</v>
      </c>
    </row>
    <row r="1027" spans="1:8" x14ac:dyDescent="0.2">
      <c r="A1027" t="str">
        <f t="shared" si="377"/>
        <v>0614089789</v>
      </c>
      <c r="B1027" t="str">
        <f t="shared" si="378"/>
        <v>KRISTIAN</v>
      </c>
      <c r="C1027" t="str">
        <f t="shared" si="379"/>
        <v>BARBOSA</v>
      </c>
      <c r="D1027">
        <f>11</f>
        <v>11</v>
      </c>
      <c r="E1027" t="str">
        <f>"06 - B - 105 - Arthur  Kulawik"</f>
        <v>06 - B - 105 - Arthur  Kulawik</v>
      </c>
      <c r="F1027" t="str">
        <f>"ENG 3"</f>
        <v>ENG 3</v>
      </c>
      <c r="G1027" t="str">
        <f>"05-506"</f>
        <v>05-506</v>
      </c>
      <c r="H1027" t="str">
        <f>"B"</f>
        <v>B</v>
      </c>
    </row>
    <row r="1028" spans="1:8" x14ac:dyDescent="0.2">
      <c r="A1028" t="str">
        <f t="shared" si="377"/>
        <v>0614089789</v>
      </c>
      <c r="B1028" t="str">
        <f t="shared" si="378"/>
        <v>KRISTIAN</v>
      </c>
      <c r="C1028" t="str">
        <f t="shared" si="379"/>
        <v>BARBOSA</v>
      </c>
      <c r="D1028">
        <f>11</f>
        <v>11</v>
      </c>
      <c r="E1028" t="str">
        <f>"03 - A - 102 - Semra  Bahadir"</f>
        <v>03 - A - 102 - Semra  Bahadir</v>
      </c>
      <c r="F1028" t="str">
        <f>"ALGEBRA 2"</f>
        <v>ALGEBRA 2</v>
      </c>
      <c r="G1028" t="str">
        <f>"21-2107"</f>
        <v>21-2107</v>
      </c>
      <c r="H1028" t="str">
        <f>"A"</f>
        <v>A</v>
      </c>
    </row>
    <row r="1029" spans="1:8" x14ac:dyDescent="0.2">
      <c r="A1029" t="str">
        <f t="shared" si="377"/>
        <v>0614089789</v>
      </c>
      <c r="B1029" t="str">
        <f t="shared" si="378"/>
        <v>KRISTIAN</v>
      </c>
      <c r="C1029" t="str">
        <f t="shared" si="379"/>
        <v>BARBOSA</v>
      </c>
      <c r="D1029">
        <f>11</f>
        <v>11</v>
      </c>
      <c r="E1029" t="str">
        <f>"02 - A - 102 - Brook E Goren"</f>
        <v>02 - A - 102 - Brook E Goren</v>
      </c>
      <c r="F1029" t="str">
        <f>"NC STUDY HALL 1"</f>
        <v>NC STUDY HALL 1</v>
      </c>
      <c r="G1029" t="str">
        <f>"21-2158"</f>
        <v>21-2158</v>
      </c>
      <c r="H1029" t="str">
        <f>"A"</f>
        <v>A</v>
      </c>
    </row>
    <row r="1030" spans="1:8" x14ac:dyDescent="0.2">
      <c r="A1030" t="str">
        <f t="shared" si="377"/>
        <v>0614089789</v>
      </c>
      <c r="B1030" t="str">
        <f t="shared" si="378"/>
        <v>KRISTIAN</v>
      </c>
      <c r="C1030" t="str">
        <f t="shared" si="379"/>
        <v>BARBOSA</v>
      </c>
      <c r="D1030">
        <f>11</f>
        <v>11</v>
      </c>
      <c r="E1030" t="str">
        <f>"07 - B - 105 - Cliffon  Saurel"</f>
        <v>07 - B - 105 - Cliffon  Saurel</v>
      </c>
      <c r="F1030" t="str">
        <f>"PHYSICAL SCI"</f>
        <v>PHYSICAL SCI</v>
      </c>
      <c r="G1030" t="str">
        <f>"05-522"</f>
        <v>05-522</v>
      </c>
      <c r="H1030" t="str">
        <f>"B"</f>
        <v>B</v>
      </c>
    </row>
    <row r="1031" spans="1:8" x14ac:dyDescent="0.2">
      <c r="A1031" t="str">
        <f t="shared" si="377"/>
        <v>0614089789</v>
      </c>
      <c r="B1031" t="str">
        <f t="shared" si="378"/>
        <v>KRISTIAN</v>
      </c>
      <c r="C1031" t="str">
        <f t="shared" si="379"/>
        <v>BARBOSA</v>
      </c>
      <c r="D1031">
        <f>11</f>
        <v>11</v>
      </c>
      <c r="E1031" t="str">
        <f>"05 - B - 107 - Elizabeth Ellen  Moran"</f>
        <v>05 - B - 107 - Elizabeth Ellen  Moran</v>
      </c>
      <c r="F1031" t="str">
        <f>"US HISTORY"</f>
        <v>US HISTORY</v>
      </c>
      <c r="G1031" t="str">
        <f>"17-1752"</f>
        <v>17-1752</v>
      </c>
      <c r="H1031" t="str">
        <f>"B"</f>
        <v>B</v>
      </c>
    </row>
    <row r="1032" spans="1:8" x14ac:dyDescent="0.2">
      <c r="A1032" t="str">
        <f t="shared" si="377"/>
        <v>0614089789</v>
      </c>
      <c r="B1032" t="str">
        <f t="shared" si="378"/>
        <v>KRISTIAN</v>
      </c>
      <c r="C1032" t="str">
        <f t="shared" si="379"/>
        <v>BARBOSA</v>
      </c>
      <c r="D1032">
        <f>11</f>
        <v>11</v>
      </c>
      <c r="E1032" t="str">
        <f>"01 - S1 - A - 101 - Richard E Dunbar Iii"</f>
        <v>01 - S1 - A - 101 - Richard E Dunbar Iii</v>
      </c>
      <c r="F1032" t="str">
        <f>"WEIGHT TRAIN 3"</f>
        <v>WEIGHT TRAIN 3</v>
      </c>
      <c r="G1032" t="str">
        <f>"05-501"</f>
        <v>05-501</v>
      </c>
      <c r="H1032" t="str">
        <f>"A"</f>
        <v>A</v>
      </c>
    </row>
    <row r="1033" spans="1:8" x14ac:dyDescent="0.2">
      <c r="A1033" t="str">
        <f t="shared" si="377"/>
        <v>0614089789</v>
      </c>
      <c r="B1033" t="str">
        <f t="shared" si="378"/>
        <v>KRISTIAN</v>
      </c>
      <c r="C1033" t="str">
        <f t="shared" si="379"/>
        <v>BARBOSA</v>
      </c>
      <c r="D1033">
        <f>11</f>
        <v>11</v>
      </c>
      <c r="E1033" t="str">
        <f>"08 - S1 - B - 105 - James H Mccann"</f>
        <v>08 - S1 - B - 105 - James H Mccann</v>
      </c>
      <c r="F1033" t="str">
        <f>"PERS FIN &amp; MON MGT H"</f>
        <v>PERS FIN &amp; MON MGT H</v>
      </c>
      <c r="G1033" t="str">
        <f>"17-1716"</f>
        <v>17-1716</v>
      </c>
      <c r="H1033" t="str">
        <f>"B"</f>
        <v>B</v>
      </c>
    </row>
    <row r="1034" spans="1:8" x14ac:dyDescent="0.2">
      <c r="A1034" t="str">
        <f t="shared" ref="A1034:A1041" si="380">"0616023932"</f>
        <v>0616023932</v>
      </c>
      <c r="B1034" t="str">
        <f t="shared" ref="B1034:B1041" si="381">"ROBERT"</f>
        <v>ROBERT</v>
      </c>
      <c r="C1034" t="str">
        <f t="shared" ref="C1034:C1041" si="382">"BARGAR IV"</f>
        <v>BARGAR IV</v>
      </c>
      <c r="D1034">
        <f>10</f>
        <v>10</v>
      </c>
      <c r="E1034" t="str">
        <f>"04 - A - 103 - Daniel S Tyson"</f>
        <v>04 - A - 103 - Daniel S Tyson</v>
      </c>
      <c r="F1034" t="str">
        <f>"JROTC NAVAL SCI 1"</f>
        <v>JROTC NAVAL SCI 1</v>
      </c>
      <c r="G1034" t="str">
        <f>"05-510"</f>
        <v>05-510</v>
      </c>
      <c r="H1034" t="str">
        <f>"A"</f>
        <v>A</v>
      </c>
    </row>
    <row r="1035" spans="1:8" x14ac:dyDescent="0.2">
      <c r="A1035" t="str">
        <f t="shared" si="380"/>
        <v>0616023932</v>
      </c>
      <c r="B1035" t="str">
        <f t="shared" si="381"/>
        <v>ROBERT</v>
      </c>
      <c r="C1035" t="str">
        <f t="shared" si="382"/>
        <v>BARGAR IV</v>
      </c>
      <c r="D1035">
        <f>10</f>
        <v>10</v>
      </c>
      <c r="E1035" t="str">
        <f>"06 - B - 107 - Dorothy D Moore"</f>
        <v>06 - B - 107 - Dorothy D Moore</v>
      </c>
      <c r="F1035" t="str">
        <f>"NC STUDY HALL 1"</f>
        <v>NC STUDY HALL 1</v>
      </c>
      <c r="G1035" t="str">
        <f>"08-803"</f>
        <v>08-803</v>
      </c>
      <c r="H1035" t="str">
        <f>"B"</f>
        <v>B</v>
      </c>
    </row>
    <row r="1036" spans="1:8" x14ac:dyDescent="0.2">
      <c r="A1036" t="str">
        <f t="shared" si="380"/>
        <v>0616023932</v>
      </c>
      <c r="B1036" t="str">
        <f t="shared" si="381"/>
        <v>ROBERT</v>
      </c>
      <c r="C1036" t="str">
        <f t="shared" si="382"/>
        <v>BARGAR IV</v>
      </c>
      <c r="D1036">
        <f>10</f>
        <v>10</v>
      </c>
      <c r="E1036" t="str">
        <f>"03 - A - 101 - Eva T Rimmer"</f>
        <v>03 - A - 101 - Eva T Rimmer</v>
      </c>
      <c r="F1036" t="str">
        <f>"CRIMINAL JUST OPS 1"</f>
        <v>CRIMINAL JUST OPS 1</v>
      </c>
      <c r="G1036" t="str">
        <f>"05-523"</f>
        <v>05-523</v>
      </c>
      <c r="H1036" t="str">
        <f>"A"</f>
        <v>A</v>
      </c>
    </row>
    <row r="1037" spans="1:8" x14ac:dyDescent="0.2">
      <c r="A1037" t="str">
        <f t="shared" si="380"/>
        <v>0616023932</v>
      </c>
      <c r="B1037" t="str">
        <f t="shared" si="381"/>
        <v>ROBERT</v>
      </c>
      <c r="C1037" t="str">
        <f t="shared" si="382"/>
        <v>BARGAR IV</v>
      </c>
      <c r="D1037">
        <f>10</f>
        <v>10</v>
      </c>
      <c r="E1037" t="str">
        <f>"02 - A - 102 - Marius D Orsolini"</f>
        <v>02 - A - 102 - Marius D Orsolini</v>
      </c>
      <c r="F1037" t="str">
        <f>"CULINARY ARTS 1"</f>
        <v>CULINARY ARTS 1</v>
      </c>
      <c r="G1037" t="str">
        <f>"21-2115"</f>
        <v>21-2115</v>
      </c>
      <c r="H1037" t="str">
        <f>"A"</f>
        <v>A</v>
      </c>
    </row>
    <row r="1038" spans="1:8" x14ac:dyDescent="0.2">
      <c r="A1038" t="str">
        <f t="shared" si="380"/>
        <v>0616023932</v>
      </c>
      <c r="B1038" t="str">
        <f t="shared" si="381"/>
        <v>ROBERT</v>
      </c>
      <c r="C1038" t="str">
        <f t="shared" si="382"/>
        <v>BARGAR IV</v>
      </c>
      <c r="D1038">
        <f>10</f>
        <v>10</v>
      </c>
      <c r="E1038" t="str">
        <f>"07 - B - 105 - Josiah I Lacy"</f>
        <v>07 - B - 105 - Josiah I Lacy</v>
      </c>
      <c r="F1038" t="str">
        <f>"ANAT PHYSIO HON"</f>
        <v>ANAT PHYSIO HON</v>
      </c>
      <c r="G1038" t="str">
        <f>"08-801"</f>
        <v>08-801</v>
      </c>
      <c r="H1038" t="str">
        <f>"B"</f>
        <v>B</v>
      </c>
    </row>
    <row r="1039" spans="1:8" x14ac:dyDescent="0.2">
      <c r="A1039" t="str">
        <f t="shared" si="380"/>
        <v>0616023932</v>
      </c>
      <c r="B1039" t="str">
        <f t="shared" si="381"/>
        <v>ROBERT</v>
      </c>
      <c r="C1039" t="str">
        <f t="shared" si="382"/>
        <v>BARGAR IV</v>
      </c>
      <c r="D1039">
        <f>10</f>
        <v>10</v>
      </c>
      <c r="E1039" t="str">
        <f>"05 - B - 108 - James H Mccann"</f>
        <v>05 - B - 108 - James H Mccann</v>
      </c>
      <c r="F1039" t="str">
        <f>"ALGEBRA 2"</f>
        <v>ALGEBRA 2</v>
      </c>
      <c r="G1039" t="str">
        <f>"17-1716"</f>
        <v>17-1716</v>
      </c>
      <c r="H1039" t="str">
        <f>"B"</f>
        <v>B</v>
      </c>
    </row>
    <row r="1040" spans="1:8" x14ac:dyDescent="0.2">
      <c r="A1040" t="str">
        <f t="shared" si="380"/>
        <v>0616023932</v>
      </c>
      <c r="B1040" t="str">
        <f t="shared" si="381"/>
        <v>ROBERT</v>
      </c>
      <c r="C1040" t="str">
        <f t="shared" si="382"/>
        <v>BARGAR IV</v>
      </c>
      <c r="D1040">
        <f>10</f>
        <v>10</v>
      </c>
      <c r="E1040" t="str">
        <f>"01 - A - 101 - Rory T Sponsler"</f>
        <v>01 - A - 101 - Rory T Sponsler</v>
      </c>
      <c r="F1040" t="str">
        <f>"PRE-AICE WRLD HST IG"</f>
        <v>PRE-AICE WRLD HST IG</v>
      </c>
      <c r="G1040" t="str">
        <f>"17-1740"</f>
        <v>17-1740</v>
      </c>
      <c r="H1040" t="str">
        <f>"A"</f>
        <v>A</v>
      </c>
    </row>
    <row r="1041" spans="1:8" x14ac:dyDescent="0.2">
      <c r="A1041" t="str">
        <f t="shared" si="380"/>
        <v>0616023932</v>
      </c>
      <c r="B1041" t="str">
        <f t="shared" si="381"/>
        <v>ROBERT</v>
      </c>
      <c r="C1041" t="str">
        <f t="shared" si="382"/>
        <v>BARGAR IV</v>
      </c>
      <c r="D1041">
        <f>10</f>
        <v>10</v>
      </c>
      <c r="E1041" t="str">
        <f>"08 - B - 102 - Jacquelyn M Neeson"</f>
        <v>08 - B - 102 - Jacquelyn M Neeson</v>
      </c>
      <c r="F1041" t="str">
        <f>"AICE ENG GEN PAPER 1"</f>
        <v>AICE ENG GEN PAPER 1</v>
      </c>
      <c r="G1041" t="str">
        <f>"17-1715"</f>
        <v>17-1715</v>
      </c>
      <c r="H1041" t="str">
        <f>"B"</f>
        <v>B</v>
      </c>
    </row>
    <row r="1042" spans="1:8" x14ac:dyDescent="0.2">
      <c r="A1042" t="str">
        <f t="shared" ref="A1042:A1049" si="383">"0622069523"</f>
        <v>0622069523</v>
      </c>
      <c r="B1042" t="str">
        <f t="shared" ref="B1042:B1049" si="384">"TIMOTHY"</f>
        <v>TIMOTHY</v>
      </c>
      <c r="C1042" t="str">
        <f t="shared" ref="C1042:C1049" si="385">"BARMOTIN"</f>
        <v>BARMOTIN</v>
      </c>
      <c r="D1042">
        <f>12</f>
        <v>12</v>
      </c>
      <c r="E1042" t="str">
        <f>"04 - S1 - A - 101 - Kyle  Robbins"</f>
        <v>04 - S1 - A - 101 - Kyle  Robbins</v>
      </c>
      <c r="F1042" t="str">
        <f>"PERS FIN &amp; MON MGT H"</f>
        <v>PERS FIN &amp; MON MGT H</v>
      </c>
      <c r="G1042" t="str">
        <f>"17-1745"</f>
        <v>17-1745</v>
      </c>
      <c r="H1042" t="str">
        <f>"A"</f>
        <v>A</v>
      </c>
    </row>
    <row r="1043" spans="1:8" x14ac:dyDescent="0.2">
      <c r="A1043" t="str">
        <f t="shared" si="383"/>
        <v>0622069523</v>
      </c>
      <c r="B1043" t="str">
        <f t="shared" si="384"/>
        <v>TIMOTHY</v>
      </c>
      <c r="C1043" t="str">
        <f t="shared" si="385"/>
        <v>BARMOTIN</v>
      </c>
      <c r="D1043">
        <f>12</f>
        <v>12</v>
      </c>
      <c r="E1043" t="str">
        <f>"06 - B - 113 - Marielle A Witting"</f>
        <v>06 - B - 113 - Marielle A Witting</v>
      </c>
      <c r="F1043" t="str">
        <f>"NC STUDY HALL 1"</f>
        <v>NC STUDY HALL 1</v>
      </c>
      <c r="G1043" t="str">
        <f>"08-805"</f>
        <v>08-805</v>
      </c>
      <c r="H1043" t="str">
        <f>"B"</f>
        <v>B</v>
      </c>
    </row>
    <row r="1044" spans="1:8" x14ac:dyDescent="0.2">
      <c r="A1044" t="str">
        <f t="shared" si="383"/>
        <v>0622069523</v>
      </c>
      <c r="B1044" t="str">
        <f t="shared" si="384"/>
        <v>TIMOTHY</v>
      </c>
      <c r="C1044" t="str">
        <f t="shared" si="385"/>
        <v>BARMOTIN</v>
      </c>
      <c r="D1044">
        <f>12</f>
        <v>12</v>
      </c>
      <c r="E1044" t="str">
        <f>"03 - A - 101 - Lourivaldo  Da Silva"</f>
        <v>03 - A - 101 - Lourivaldo  Da Silva</v>
      </c>
      <c r="F1044" t="str">
        <f>"AP STAT"</f>
        <v>AP STAT</v>
      </c>
      <c r="G1044" t="str">
        <f>"20-2079"</f>
        <v>20-2079</v>
      </c>
      <c r="H1044" t="str">
        <f>"A"</f>
        <v>A</v>
      </c>
    </row>
    <row r="1045" spans="1:8" x14ac:dyDescent="0.2">
      <c r="A1045" t="str">
        <f t="shared" si="383"/>
        <v>0622069523</v>
      </c>
      <c r="B1045" t="str">
        <f t="shared" si="384"/>
        <v>TIMOTHY</v>
      </c>
      <c r="C1045" t="str">
        <f t="shared" si="385"/>
        <v>BARMOTIN</v>
      </c>
      <c r="D1045">
        <f>12</f>
        <v>12</v>
      </c>
      <c r="E1045" t="str">
        <f>"02 - A - 107 - Tina M Jaramillo"</f>
        <v>02 - A - 107 - Tina M Jaramillo</v>
      </c>
      <c r="F1045" t="str">
        <f>"AP ENG LIT COMPO"</f>
        <v>AP ENG LIT COMPO</v>
      </c>
      <c r="G1045" t="str">
        <f>"17-1706"</f>
        <v>17-1706</v>
      </c>
      <c r="H1045" t="str">
        <f>"A"</f>
        <v>A</v>
      </c>
    </row>
    <row r="1046" spans="1:8" x14ac:dyDescent="0.2">
      <c r="A1046" t="str">
        <f t="shared" si="383"/>
        <v>0622069523</v>
      </c>
      <c r="B1046" t="str">
        <f t="shared" si="384"/>
        <v>TIMOTHY</v>
      </c>
      <c r="C1046" t="str">
        <f t="shared" si="385"/>
        <v>BARMOTIN</v>
      </c>
      <c r="D1046">
        <f>12</f>
        <v>12</v>
      </c>
      <c r="E1046" t="str">
        <f>"07 - B - 102 - Pamela M Corzo"</f>
        <v>07 - B - 102 - Pamela M Corzo</v>
      </c>
      <c r="F1046" t="str">
        <f>"AP CALCULUS AB"</f>
        <v>AP CALCULUS AB</v>
      </c>
      <c r="G1046" t="str">
        <f>"21-2133"</f>
        <v>21-2133</v>
      </c>
      <c r="H1046" t="str">
        <f>"B"</f>
        <v>B</v>
      </c>
    </row>
    <row r="1047" spans="1:8" x14ac:dyDescent="0.2">
      <c r="A1047" t="str">
        <f t="shared" si="383"/>
        <v>0622069523</v>
      </c>
      <c r="B1047" t="str">
        <f t="shared" si="384"/>
        <v>TIMOTHY</v>
      </c>
      <c r="C1047" t="str">
        <f t="shared" si="385"/>
        <v>BARMOTIN</v>
      </c>
      <c r="D1047">
        <f>12</f>
        <v>12</v>
      </c>
      <c r="E1047" t="str">
        <f>"05 - B - 001 - Stefanie S Scher"</f>
        <v>05 - B - 001 - Stefanie S Scher</v>
      </c>
      <c r="F1047" t="str">
        <f>"AICE PSYCH 1 AS"</f>
        <v>AICE PSYCH 1 AS</v>
      </c>
      <c r="G1047" t="str">
        <f>"17-1735"</f>
        <v>17-1735</v>
      </c>
      <c r="H1047" t="str">
        <f>"B"</f>
        <v>B</v>
      </c>
    </row>
    <row r="1048" spans="1:8" x14ac:dyDescent="0.2">
      <c r="A1048" t="str">
        <f t="shared" si="383"/>
        <v>0622069523</v>
      </c>
      <c r="B1048" t="str">
        <f t="shared" si="384"/>
        <v>TIMOTHY</v>
      </c>
      <c r="C1048" t="str">
        <f t="shared" si="385"/>
        <v>BARMOTIN</v>
      </c>
      <c r="D1048">
        <f>12</f>
        <v>12</v>
      </c>
      <c r="E1048" t="str">
        <f>"01 - A - 101 - Kelly N Panza"</f>
        <v>01 - A - 101 - Kelly N Panza</v>
      </c>
      <c r="F1048" t="str">
        <f>"AP HUMAN GEOG"</f>
        <v>AP HUMAN GEOG</v>
      </c>
      <c r="G1048" t="str">
        <f>"17-1753"</f>
        <v>17-1753</v>
      </c>
      <c r="H1048" t="str">
        <f>"A"</f>
        <v>A</v>
      </c>
    </row>
    <row r="1049" spans="1:8" x14ac:dyDescent="0.2">
      <c r="A1049" t="str">
        <f t="shared" si="383"/>
        <v>0622069523</v>
      </c>
      <c r="B1049" t="str">
        <f t="shared" si="384"/>
        <v>TIMOTHY</v>
      </c>
      <c r="C1049" t="str">
        <f t="shared" si="385"/>
        <v>BARMOTIN</v>
      </c>
      <c r="D1049">
        <f>12</f>
        <v>12</v>
      </c>
      <c r="E1049" t="str">
        <f>"08 - B - 101 - Jordana K Hass"</f>
        <v>08 - B - 101 - Jordana K Hass</v>
      </c>
      <c r="F1049" t="str">
        <f>"AICE INFO TECH 1 AS"</f>
        <v>AICE INFO TECH 1 AS</v>
      </c>
      <c r="G1049" t="str">
        <f>"08-807"</f>
        <v>08-807</v>
      </c>
      <c r="H1049" t="str">
        <f>"B"</f>
        <v>B</v>
      </c>
    </row>
    <row r="1050" spans="1:8" x14ac:dyDescent="0.2">
      <c r="A1050" t="str">
        <f t="shared" ref="A1050:A1057" si="386">"0625007745"</f>
        <v>0625007745</v>
      </c>
      <c r="B1050" t="str">
        <f t="shared" ref="B1050:B1057" si="387">"Miguel"</f>
        <v>Miguel</v>
      </c>
      <c r="C1050" t="str">
        <f t="shared" ref="C1050:C1057" si="388">"Barnes"</f>
        <v>Barnes</v>
      </c>
      <c r="D1050">
        <f>10</f>
        <v>10</v>
      </c>
      <c r="E1050" t="str">
        <f>"04 - A - 104 - Adam Marcus  Drucker"</f>
        <v>04 - A - 104 - Adam Marcus  Drucker</v>
      </c>
      <c r="F1050" t="str">
        <f>"HOPE-PE V"</f>
        <v>HOPE-PE V</v>
      </c>
      <c r="G1050" t="str">
        <f>"04-254"</f>
        <v>04-254</v>
      </c>
      <c r="H1050" t="str">
        <f>"A"</f>
        <v>A</v>
      </c>
    </row>
    <row r="1051" spans="1:8" x14ac:dyDescent="0.2">
      <c r="A1051" t="str">
        <f t="shared" si="386"/>
        <v>0625007745</v>
      </c>
      <c r="B1051" t="str">
        <f t="shared" si="387"/>
        <v>Miguel</v>
      </c>
      <c r="C1051" t="str">
        <f t="shared" si="388"/>
        <v>Barnes</v>
      </c>
      <c r="D1051">
        <f>10</f>
        <v>10</v>
      </c>
      <c r="E1051" t="str">
        <f>"06 - B - 108 - Jacklyn M James"</f>
        <v>06 - B - 108 - Jacklyn M James</v>
      </c>
      <c r="F1051" t="str">
        <f>"NC STUDY HALL 1"</f>
        <v>NC STUDY HALL 1</v>
      </c>
      <c r="G1051" t="str">
        <f>"17-1731"</f>
        <v>17-1731</v>
      </c>
      <c r="H1051" t="str">
        <f>"B"</f>
        <v>B</v>
      </c>
    </row>
    <row r="1052" spans="1:8" x14ac:dyDescent="0.2">
      <c r="A1052" t="str">
        <f t="shared" si="386"/>
        <v>0625007745</v>
      </c>
      <c r="B1052" t="str">
        <f t="shared" si="387"/>
        <v>Miguel</v>
      </c>
      <c r="C1052" t="str">
        <f t="shared" si="388"/>
        <v>Barnes</v>
      </c>
      <c r="D1052">
        <f>10</f>
        <v>10</v>
      </c>
      <c r="E1052" t="str">
        <f>"03 - A - 206 - Josiah I Lacy"</f>
        <v>03 - A - 206 - Josiah I Lacy</v>
      </c>
      <c r="F1052" t="str">
        <f>"BIOLOGY 1"</f>
        <v>BIOLOGY 1</v>
      </c>
      <c r="G1052" t="str">
        <f>"08-801"</f>
        <v>08-801</v>
      </c>
      <c r="H1052" t="str">
        <f>"A"</f>
        <v>A</v>
      </c>
    </row>
    <row r="1053" spans="1:8" x14ac:dyDescent="0.2">
      <c r="A1053" t="str">
        <f t="shared" si="386"/>
        <v>0625007745</v>
      </c>
      <c r="B1053" t="str">
        <f t="shared" si="387"/>
        <v>Miguel</v>
      </c>
      <c r="C1053" t="str">
        <f t="shared" si="388"/>
        <v>Barnes</v>
      </c>
      <c r="D1053">
        <f>10</f>
        <v>10</v>
      </c>
      <c r="E1053" t="str">
        <f>"02 - A - 101 - Christa T Parisi"</f>
        <v>02 - A - 101 - Christa T Parisi</v>
      </c>
      <c r="F1053" t="str">
        <f>"LRNG STRATEGIES 9-12"</f>
        <v>LRNG STRATEGIES 9-12</v>
      </c>
      <c r="G1053" t="str">
        <f>"20-2072"</f>
        <v>20-2072</v>
      </c>
      <c r="H1053" t="str">
        <f>"A"</f>
        <v>A</v>
      </c>
    </row>
    <row r="1054" spans="1:8" x14ac:dyDescent="0.2">
      <c r="A1054" t="str">
        <f t="shared" si="386"/>
        <v>0625007745</v>
      </c>
      <c r="B1054" t="str">
        <f t="shared" si="387"/>
        <v>Miguel</v>
      </c>
      <c r="C1054" t="str">
        <f t="shared" si="388"/>
        <v>Barnes</v>
      </c>
      <c r="D1054">
        <f>10</f>
        <v>10</v>
      </c>
      <c r="E1054" t="str">
        <f>"07 - B - 108 - Jacquelyn M Neeson"</f>
        <v>07 - B - 108 - Jacquelyn M Neeson</v>
      </c>
      <c r="F1054" t="str">
        <f>"ENG 2"</f>
        <v>ENG 2</v>
      </c>
      <c r="G1054" t="str">
        <f>"17-1715"</f>
        <v>17-1715</v>
      </c>
      <c r="H1054" t="str">
        <f>"B"</f>
        <v>B</v>
      </c>
    </row>
    <row r="1055" spans="1:8" x14ac:dyDescent="0.2">
      <c r="A1055" t="str">
        <f t="shared" si="386"/>
        <v>0625007745</v>
      </c>
      <c r="B1055" t="str">
        <f t="shared" si="387"/>
        <v>Miguel</v>
      </c>
      <c r="C1055" t="str">
        <f t="shared" si="388"/>
        <v>Barnes</v>
      </c>
      <c r="D1055">
        <f>10</f>
        <v>10</v>
      </c>
      <c r="E1055" t="str">
        <f>"05 - B - 106 - Milca  Exantus"</f>
        <v>05 - B - 106 - Milca  Exantus</v>
      </c>
      <c r="F1055" t="str">
        <f>"MATH COLLEGE LIB ART"</f>
        <v>MATH COLLEGE LIB ART</v>
      </c>
      <c r="G1055" t="str">
        <f>"21-2145"</f>
        <v>21-2145</v>
      </c>
      <c r="H1055" t="str">
        <f>"B"</f>
        <v>B</v>
      </c>
    </row>
    <row r="1056" spans="1:8" x14ac:dyDescent="0.2">
      <c r="A1056" t="str">
        <f t="shared" si="386"/>
        <v>0625007745</v>
      </c>
      <c r="B1056" t="str">
        <f t="shared" si="387"/>
        <v>Miguel</v>
      </c>
      <c r="C1056" t="str">
        <f t="shared" si="388"/>
        <v>Barnes</v>
      </c>
      <c r="D1056">
        <f>10</f>
        <v>10</v>
      </c>
      <c r="E1056" t="str">
        <f>"01 - S1 - A - 101 - Carol S Moore"</f>
        <v>01 - S1 - A - 101 - Carol S Moore</v>
      </c>
      <c r="F1056" t="str">
        <f>"PERS FIN &amp; MON MGT H"</f>
        <v>PERS FIN &amp; MON MGT H</v>
      </c>
      <c r="G1056" t="str">
        <f>"17-1733"</f>
        <v>17-1733</v>
      </c>
      <c r="H1056" t="str">
        <f>"A"</f>
        <v>A</v>
      </c>
    </row>
    <row r="1057" spans="1:8" x14ac:dyDescent="0.2">
      <c r="A1057" t="str">
        <f t="shared" si="386"/>
        <v>0625007745</v>
      </c>
      <c r="B1057" t="str">
        <f t="shared" si="387"/>
        <v>Miguel</v>
      </c>
      <c r="C1057" t="str">
        <f t="shared" si="388"/>
        <v>Barnes</v>
      </c>
      <c r="D1057">
        <f>10</f>
        <v>10</v>
      </c>
      <c r="E1057" t="str">
        <f>"08 - B - 001 - Brian M Fitzgerald"</f>
        <v>08 - B - 001 - Brian M Fitzgerald</v>
      </c>
      <c r="F1057" t="str">
        <f>"CERAM/POT 1"</f>
        <v>CERAM/POT 1</v>
      </c>
      <c r="G1057" t="str">
        <f>"09-908"</f>
        <v>09-908</v>
      </c>
      <c r="H1057" t="str">
        <f>"B"</f>
        <v>B</v>
      </c>
    </row>
    <row r="1058" spans="1:8" x14ac:dyDescent="0.2">
      <c r="A1058" t="str">
        <f t="shared" ref="A1058:A1065" si="389">"0622081281"</f>
        <v>0622081281</v>
      </c>
      <c r="B1058" t="str">
        <f t="shared" ref="B1058:B1065" si="390">"SALOME"</f>
        <v>SALOME</v>
      </c>
      <c r="C1058" t="str">
        <f t="shared" ref="C1058:C1065" si="391">"BARON"</f>
        <v>BARON</v>
      </c>
      <c r="D1058">
        <f>11</f>
        <v>11</v>
      </c>
      <c r="E1058" t="str">
        <f>"04 - A - 101 - Rosa Elaine  Collado-Duff"</f>
        <v>04 - A - 101 - Rosa Elaine  Collado-Duff</v>
      </c>
      <c r="F1058" t="str">
        <f>"AICE SPAN LANG AS"</f>
        <v>AICE SPAN LANG AS</v>
      </c>
      <c r="G1058" t="str">
        <f>"09-913"</f>
        <v>09-913</v>
      </c>
      <c r="H1058" t="str">
        <f>"A"</f>
        <v>A</v>
      </c>
    </row>
    <row r="1059" spans="1:8" x14ac:dyDescent="0.2">
      <c r="A1059" t="str">
        <f t="shared" si="389"/>
        <v>0622081281</v>
      </c>
      <c r="B1059" t="str">
        <f t="shared" si="390"/>
        <v>SALOME</v>
      </c>
      <c r="C1059" t="str">
        <f t="shared" si="391"/>
        <v>BARON</v>
      </c>
      <c r="D1059">
        <f>11</f>
        <v>11</v>
      </c>
      <c r="E1059" t="str">
        <f>"06 - B - 105 - Elizabeth Ellen  Moran"</f>
        <v>06 - B - 105 - Elizabeth Ellen  Moran</v>
      </c>
      <c r="F1059" t="str">
        <f>"US HISTORY"</f>
        <v>US HISTORY</v>
      </c>
      <c r="G1059" t="str">
        <f>"17-1752"</f>
        <v>17-1752</v>
      </c>
      <c r="H1059" t="str">
        <f>"B"</f>
        <v>B</v>
      </c>
    </row>
    <row r="1060" spans="1:8" x14ac:dyDescent="0.2">
      <c r="A1060" t="str">
        <f t="shared" si="389"/>
        <v>0622081281</v>
      </c>
      <c r="B1060" t="str">
        <f t="shared" si="390"/>
        <v>SALOME</v>
      </c>
      <c r="C1060" t="str">
        <f t="shared" si="391"/>
        <v>BARON</v>
      </c>
      <c r="D1060">
        <f>11</f>
        <v>11</v>
      </c>
      <c r="E1060" t="str">
        <f>"03 - A - 102 - Tina M Jaramillo"</f>
        <v>03 - A - 102 - Tina M Jaramillo</v>
      </c>
      <c r="F1060" t="str">
        <f>"AP ENG COMPO"</f>
        <v>AP ENG COMPO</v>
      </c>
      <c r="G1060" t="str">
        <f>"17-1706"</f>
        <v>17-1706</v>
      </c>
      <c r="H1060" t="str">
        <f>"A"</f>
        <v>A</v>
      </c>
    </row>
    <row r="1061" spans="1:8" x14ac:dyDescent="0.2">
      <c r="A1061" t="str">
        <f t="shared" si="389"/>
        <v>0622081281</v>
      </c>
      <c r="B1061" t="str">
        <f t="shared" si="390"/>
        <v>SALOME</v>
      </c>
      <c r="C1061" t="str">
        <f t="shared" si="391"/>
        <v>BARON</v>
      </c>
      <c r="D1061">
        <f>11</f>
        <v>11</v>
      </c>
      <c r="E1061" t="str">
        <f>"02 - A - 102 - Brook E Goren"</f>
        <v>02 - A - 102 - Brook E Goren</v>
      </c>
      <c r="F1061" t="str">
        <f>"NC STUDY HALL 1"</f>
        <v>NC STUDY HALL 1</v>
      </c>
      <c r="G1061" t="str">
        <f>"21-2158"</f>
        <v>21-2158</v>
      </c>
      <c r="H1061" t="str">
        <f>"A"</f>
        <v>A</v>
      </c>
    </row>
    <row r="1062" spans="1:8" x14ac:dyDescent="0.2">
      <c r="A1062" t="str">
        <f t="shared" si="389"/>
        <v>0622081281</v>
      </c>
      <c r="B1062" t="str">
        <f t="shared" si="390"/>
        <v>SALOME</v>
      </c>
      <c r="C1062" t="str">
        <f t="shared" si="391"/>
        <v>BARON</v>
      </c>
      <c r="D1062">
        <f>11</f>
        <v>11</v>
      </c>
      <c r="E1062" t="str">
        <f>"07 - B - 101 - Fernando  Vega-Cid"</f>
        <v>07 - B - 101 - Fernando  Vega-Cid</v>
      </c>
      <c r="F1062" t="str">
        <f>"AP PRECALCULUS"</f>
        <v>AP PRECALCULUS</v>
      </c>
      <c r="G1062" t="str">
        <f>"21-2163"</f>
        <v>21-2163</v>
      </c>
      <c r="H1062" t="str">
        <f>"B"</f>
        <v>B</v>
      </c>
    </row>
    <row r="1063" spans="1:8" x14ac:dyDescent="0.2">
      <c r="A1063" t="str">
        <f t="shared" si="389"/>
        <v>0622081281</v>
      </c>
      <c r="B1063" t="str">
        <f t="shared" si="390"/>
        <v>SALOME</v>
      </c>
      <c r="C1063" t="str">
        <f t="shared" si="391"/>
        <v>BARON</v>
      </c>
      <c r="D1063">
        <f>11</f>
        <v>11</v>
      </c>
      <c r="E1063" t="str">
        <f>"05 - B - 001 - Stefanie S Scher"</f>
        <v>05 - B - 001 - Stefanie S Scher</v>
      </c>
      <c r="F1063" t="str">
        <f>"AICE PSYCH 1 AS"</f>
        <v>AICE PSYCH 1 AS</v>
      </c>
      <c r="G1063" t="str">
        <f>"17-1735"</f>
        <v>17-1735</v>
      </c>
      <c r="H1063" t="str">
        <f>"B"</f>
        <v>B</v>
      </c>
    </row>
    <row r="1064" spans="1:8" x14ac:dyDescent="0.2">
      <c r="A1064" t="str">
        <f t="shared" si="389"/>
        <v>0622081281</v>
      </c>
      <c r="B1064" t="str">
        <f t="shared" si="390"/>
        <v>SALOME</v>
      </c>
      <c r="C1064" t="str">
        <f t="shared" si="391"/>
        <v>BARON</v>
      </c>
      <c r="D1064">
        <f>11</f>
        <v>11</v>
      </c>
      <c r="E1064" t="str">
        <f>"01 - A - 101 - Lisa J London"</f>
        <v>01 - A - 101 - Lisa J London</v>
      </c>
      <c r="F1064" t="str">
        <f>"AP CAPSTONE SEMINAR"</f>
        <v>AP CAPSTONE SEMINAR</v>
      </c>
      <c r="G1064" t="str">
        <f>"17-1714"</f>
        <v>17-1714</v>
      </c>
      <c r="H1064" t="str">
        <f>"A"</f>
        <v>A</v>
      </c>
    </row>
    <row r="1065" spans="1:8" x14ac:dyDescent="0.2">
      <c r="A1065" t="str">
        <f t="shared" si="389"/>
        <v>0622081281</v>
      </c>
      <c r="B1065" t="str">
        <f t="shared" si="390"/>
        <v>SALOME</v>
      </c>
      <c r="C1065" t="str">
        <f t="shared" si="391"/>
        <v>BARON</v>
      </c>
      <c r="D1065">
        <f>11</f>
        <v>11</v>
      </c>
      <c r="E1065" t="str">
        <f>"08 - B - 101 - Jordana K Hass"</f>
        <v>08 - B - 101 - Jordana K Hass</v>
      </c>
      <c r="F1065" t="str">
        <f>"AICE INFO TECH 1 AS"</f>
        <v>AICE INFO TECH 1 AS</v>
      </c>
      <c r="G1065" t="str">
        <f>"08-807"</f>
        <v>08-807</v>
      </c>
      <c r="H1065" t="str">
        <f>"B"</f>
        <v>B</v>
      </c>
    </row>
    <row r="1066" spans="1:8" x14ac:dyDescent="0.2">
      <c r="A1066" t="str">
        <f t="shared" ref="A1066:A1073" si="392">"0614139420"</f>
        <v>0614139420</v>
      </c>
      <c r="B1066" t="str">
        <f t="shared" ref="B1066:B1073" si="393">"MILAN"</f>
        <v>MILAN</v>
      </c>
      <c r="C1066" t="str">
        <f t="shared" ref="C1066:C1073" si="394">"BARRAT"</f>
        <v>BARRAT</v>
      </c>
      <c r="D1066">
        <f>11</f>
        <v>11</v>
      </c>
      <c r="E1066" t="str">
        <f>"04 - A - 201 - Norayda D Suarez"</f>
        <v>04 - A - 201 - Norayda D Suarez</v>
      </c>
      <c r="F1066" t="str">
        <f>"ANAT PHYSIO HON"</f>
        <v>ANAT PHYSIO HON</v>
      </c>
      <c r="G1066" t="str">
        <f>"21-2142"</f>
        <v>21-2142</v>
      </c>
      <c r="H1066" t="str">
        <f>"A"</f>
        <v>A</v>
      </c>
    </row>
    <row r="1067" spans="1:8" x14ac:dyDescent="0.2">
      <c r="A1067" t="str">
        <f t="shared" si="392"/>
        <v>0614139420</v>
      </c>
      <c r="B1067" t="str">
        <f t="shared" si="393"/>
        <v>MILAN</v>
      </c>
      <c r="C1067" t="str">
        <f t="shared" si="394"/>
        <v>BARRAT</v>
      </c>
      <c r="D1067">
        <f>11</f>
        <v>11</v>
      </c>
      <c r="E1067" t="str">
        <f>"06 - S1 - B - 102 - Daniel S Katz"</f>
        <v>06 - S1 - B - 102 - Daniel S Katz</v>
      </c>
      <c r="F1067" t="str">
        <f>"COURT PROCED"</f>
        <v>COURT PROCED</v>
      </c>
      <c r="G1067" t="str">
        <f>"21-2156"</f>
        <v>21-2156</v>
      </c>
      <c r="H1067" t="str">
        <f>"B"</f>
        <v>B</v>
      </c>
    </row>
    <row r="1068" spans="1:8" x14ac:dyDescent="0.2">
      <c r="A1068" t="str">
        <f t="shared" si="392"/>
        <v>0614139420</v>
      </c>
      <c r="B1068" t="str">
        <f t="shared" si="393"/>
        <v>MILAN</v>
      </c>
      <c r="C1068" t="str">
        <f t="shared" si="394"/>
        <v>BARRAT</v>
      </c>
      <c r="D1068">
        <f>11</f>
        <v>11</v>
      </c>
      <c r="E1068" t="str">
        <f>"03 - A - 103 - Adam Marcus  Drucker"</f>
        <v>03 - A - 103 - Adam Marcus  Drucker</v>
      </c>
      <c r="F1068" t="str">
        <f>"HOPE-PE V"</f>
        <v>HOPE-PE V</v>
      </c>
      <c r="G1068" t="str">
        <f>"04-254"</f>
        <v>04-254</v>
      </c>
      <c r="H1068" t="str">
        <f>"A"</f>
        <v>A</v>
      </c>
    </row>
    <row r="1069" spans="1:8" x14ac:dyDescent="0.2">
      <c r="A1069" t="str">
        <f t="shared" si="392"/>
        <v>0614139420</v>
      </c>
      <c r="B1069" t="str">
        <f t="shared" si="393"/>
        <v>MILAN</v>
      </c>
      <c r="C1069" t="str">
        <f t="shared" si="394"/>
        <v>BARRAT</v>
      </c>
      <c r="D1069">
        <f>11</f>
        <v>11</v>
      </c>
      <c r="E1069" t="str">
        <f>"02 - A - 107 - Elizabeth Ellen  Moran"</f>
        <v>02 - A - 107 - Elizabeth Ellen  Moran</v>
      </c>
      <c r="F1069" t="str">
        <f>"NC STUDY HALL 1"</f>
        <v>NC STUDY HALL 1</v>
      </c>
      <c r="G1069" t="str">
        <f>"17-1752"</f>
        <v>17-1752</v>
      </c>
      <c r="H1069" t="str">
        <f>"A"</f>
        <v>A</v>
      </c>
    </row>
    <row r="1070" spans="1:8" x14ac:dyDescent="0.2">
      <c r="A1070" t="str">
        <f t="shared" si="392"/>
        <v>0614139420</v>
      </c>
      <c r="B1070" t="str">
        <f t="shared" si="393"/>
        <v>MILAN</v>
      </c>
      <c r="C1070" t="str">
        <f t="shared" si="394"/>
        <v>BARRAT</v>
      </c>
      <c r="D1070">
        <f>11</f>
        <v>11</v>
      </c>
      <c r="E1070" t="str">
        <f>"07 - B - 002 - Rachel M Montrose"</f>
        <v>07 - B - 002 - Rachel M Montrose</v>
      </c>
      <c r="F1070" t="str">
        <f>"JOURN 1 (NP) LH"</f>
        <v>JOURN 1 (NP) LH</v>
      </c>
      <c r="G1070" t="str">
        <f>"05-521"</f>
        <v>05-521</v>
      </c>
      <c r="H1070" t="str">
        <f>"B"</f>
        <v>B</v>
      </c>
    </row>
    <row r="1071" spans="1:8" x14ac:dyDescent="0.2">
      <c r="A1071" t="str">
        <f t="shared" si="392"/>
        <v>0614139420</v>
      </c>
      <c r="B1071" t="str">
        <f t="shared" si="393"/>
        <v>MILAN</v>
      </c>
      <c r="C1071" t="str">
        <f t="shared" si="394"/>
        <v>BARRAT</v>
      </c>
      <c r="D1071">
        <f>11</f>
        <v>11</v>
      </c>
      <c r="E1071" t="str">
        <f>"05 - B - 102 - Jerry S Jiampetti"</f>
        <v>05 - B - 102 - Jerry S Jiampetti</v>
      </c>
      <c r="F1071" t="str">
        <f>"AICE U.S. HIST 1 AS"</f>
        <v>AICE U.S. HIST 1 AS</v>
      </c>
      <c r="G1071" t="str">
        <f>"17-1751"</f>
        <v>17-1751</v>
      </c>
      <c r="H1071" t="str">
        <f>"B"</f>
        <v>B</v>
      </c>
    </row>
    <row r="1072" spans="1:8" x14ac:dyDescent="0.2">
      <c r="A1072" t="str">
        <f t="shared" si="392"/>
        <v>0614139420</v>
      </c>
      <c r="B1072" t="str">
        <f t="shared" si="393"/>
        <v>MILAN</v>
      </c>
      <c r="C1072" t="str">
        <f t="shared" si="394"/>
        <v>BARRAT</v>
      </c>
      <c r="D1072">
        <f>11</f>
        <v>11</v>
      </c>
      <c r="E1072" t="str">
        <f>"01 - A - 102 - Robert H Rindner"</f>
        <v>01 - A - 102 - Robert H Rindner</v>
      </c>
      <c r="F1072" t="str">
        <f>"MATH DATA&amp;FIN LIT H"</f>
        <v>MATH DATA&amp;FIN LIT H</v>
      </c>
      <c r="G1072" t="str">
        <f>"21-2160"</f>
        <v>21-2160</v>
      </c>
      <c r="H1072" t="str">
        <f>"A"</f>
        <v>A</v>
      </c>
    </row>
    <row r="1073" spans="1:8" x14ac:dyDescent="0.2">
      <c r="A1073" t="str">
        <f t="shared" si="392"/>
        <v>0614139420</v>
      </c>
      <c r="B1073" t="str">
        <f t="shared" si="393"/>
        <v>MILAN</v>
      </c>
      <c r="C1073" t="str">
        <f t="shared" si="394"/>
        <v>BARRAT</v>
      </c>
      <c r="D1073">
        <f>11</f>
        <v>11</v>
      </c>
      <c r="E1073" t="str">
        <f>"08 - B - 105 - Brandy N Zdenek"</f>
        <v>08 - B - 105 - Brandy N Zdenek</v>
      </c>
      <c r="F1073" t="str">
        <f>"AICE ENG LANG 2 AL"</f>
        <v>AICE ENG LANG 2 AL</v>
      </c>
      <c r="G1073" t="str">
        <f>"17-1704"</f>
        <v>17-1704</v>
      </c>
      <c r="H1073" t="str">
        <f>"B"</f>
        <v>B</v>
      </c>
    </row>
    <row r="1074" spans="1:8" x14ac:dyDescent="0.2">
      <c r="A1074" t="str">
        <f t="shared" ref="A1074:A1081" si="395">"0625037012"</f>
        <v>0625037012</v>
      </c>
      <c r="B1074" t="str">
        <f t="shared" ref="B1074:B1081" si="396">"Nicolas"</f>
        <v>Nicolas</v>
      </c>
      <c r="C1074" t="str">
        <f t="shared" ref="C1074:C1081" si="397">"Barreto Rincon"</f>
        <v>Barreto Rincon</v>
      </c>
      <c r="D1074">
        <f>11</f>
        <v>11</v>
      </c>
      <c r="E1074" t="str">
        <f>"04 - A - 205 - Jacqueline R Morphet"</f>
        <v>04 - A - 205 - Jacqueline R Morphet</v>
      </c>
      <c r="F1074" t="str">
        <f>"PHYSICS 1 HON"</f>
        <v>PHYSICS 1 HON</v>
      </c>
      <c r="G1074" t="str">
        <f>"21-2138"</f>
        <v>21-2138</v>
      </c>
      <c r="H1074" t="str">
        <f>"A"</f>
        <v>A</v>
      </c>
    </row>
    <row r="1075" spans="1:8" x14ac:dyDescent="0.2">
      <c r="A1075" t="str">
        <f t="shared" si="395"/>
        <v>0625037012</v>
      </c>
      <c r="B1075" t="str">
        <f t="shared" si="396"/>
        <v>Nicolas</v>
      </c>
      <c r="C1075" t="str">
        <f t="shared" si="397"/>
        <v>Barreto Rincon</v>
      </c>
      <c r="D1075">
        <f>11</f>
        <v>11</v>
      </c>
      <c r="E1075" t="str">
        <f>"06 - B - 002 - Kyle  Robbins"</f>
        <v>06 - B - 002 - Kyle  Robbins</v>
      </c>
      <c r="F1075" t="str">
        <f>"US HISTORY HON"</f>
        <v>US HISTORY HON</v>
      </c>
      <c r="G1075" t="str">
        <f>"17-1745"</f>
        <v>17-1745</v>
      </c>
      <c r="H1075" t="str">
        <f>"B"</f>
        <v>B</v>
      </c>
    </row>
    <row r="1076" spans="1:8" x14ac:dyDescent="0.2">
      <c r="A1076" t="str">
        <f t="shared" si="395"/>
        <v>0625037012</v>
      </c>
      <c r="B1076" t="str">
        <f t="shared" si="396"/>
        <v>Nicolas</v>
      </c>
      <c r="C1076" t="str">
        <f t="shared" si="397"/>
        <v>Barreto Rincon</v>
      </c>
      <c r="D1076">
        <f>11</f>
        <v>11</v>
      </c>
      <c r="E1076" t="str">
        <f>"03 - A - 104 - Fernando  Vega-Cid"</f>
        <v>03 - A - 104 - Fernando  Vega-Cid</v>
      </c>
      <c r="F1076" t="str">
        <f>"GEOMETRY"</f>
        <v>GEOMETRY</v>
      </c>
      <c r="G1076" t="str">
        <f>"21-2163"</f>
        <v>21-2163</v>
      </c>
      <c r="H1076" t="str">
        <f>"A"</f>
        <v>A</v>
      </c>
    </row>
    <row r="1077" spans="1:8" x14ac:dyDescent="0.2">
      <c r="A1077" t="str">
        <f t="shared" si="395"/>
        <v>0625037012</v>
      </c>
      <c r="B1077" t="str">
        <f t="shared" si="396"/>
        <v>Nicolas</v>
      </c>
      <c r="C1077" t="str">
        <f t="shared" si="397"/>
        <v>Barreto Rincon</v>
      </c>
      <c r="D1077">
        <f>11</f>
        <v>11</v>
      </c>
      <c r="E1077" t="str">
        <f>"02 - A - 114 - Eva T Rimmer"</f>
        <v>02 - A - 114 - Eva T Rimmer</v>
      </c>
      <c r="F1077" t="str">
        <f>"NC STUDY HALL 1"</f>
        <v>NC STUDY HALL 1</v>
      </c>
      <c r="G1077" t="str">
        <f>"05-523"</f>
        <v>05-523</v>
      </c>
      <c r="H1077" t="str">
        <f>"A"</f>
        <v>A</v>
      </c>
    </row>
    <row r="1078" spans="1:8" x14ac:dyDescent="0.2">
      <c r="A1078" t="str">
        <f t="shared" si="395"/>
        <v>0625037012</v>
      </c>
      <c r="B1078" t="str">
        <f t="shared" si="396"/>
        <v>Nicolas</v>
      </c>
      <c r="C1078" t="str">
        <f t="shared" si="397"/>
        <v>Barreto Rincon</v>
      </c>
      <c r="D1078">
        <f>11</f>
        <v>11</v>
      </c>
      <c r="E1078" t="str">
        <f>"07 - B - 002 - Jazmin S Fletcher"</f>
        <v>07 - B - 002 - Jazmin S Fletcher</v>
      </c>
      <c r="F1078" t="str">
        <f>"THEATRE 1"</f>
        <v>THEATRE 1</v>
      </c>
      <c r="G1078" t="str">
        <f>"09-909"</f>
        <v>09-909</v>
      </c>
      <c r="H1078" t="str">
        <f>"B"</f>
        <v>B</v>
      </c>
    </row>
    <row r="1079" spans="1:8" x14ac:dyDescent="0.2">
      <c r="A1079" t="str">
        <f t="shared" si="395"/>
        <v>0625037012</v>
      </c>
      <c r="B1079" t="str">
        <f t="shared" si="396"/>
        <v>Nicolas</v>
      </c>
      <c r="C1079" t="str">
        <f t="shared" si="397"/>
        <v>Barreto Rincon</v>
      </c>
      <c r="D1079">
        <f>11</f>
        <v>11</v>
      </c>
      <c r="E1079" t="str">
        <f>"05 - B - 103 - Heidi M Knopp"</f>
        <v>05 - B - 103 - Heidi M Knopp</v>
      </c>
      <c r="F1079" t="str">
        <f>"ENG HON 3"</f>
        <v>ENG HON 3</v>
      </c>
      <c r="G1079" t="str">
        <f>"17-1723"</f>
        <v>17-1723</v>
      </c>
      <c r="H1079" t="str">
        <f>"B"</f>
        <v>B</v>
      </c>
    </row>
    <row r="1080" spans="1:8" x14ac:dyDescent="0.2">
      <c r="A1080" t="str">
        <f t="shared" si="395"/>
        <v>0625037012</v>
      </c>
      <c r="B1080" t="str">
        <f t="shared" si="396"/>
        <v>Nicolas</v>
      </c>
      <c r="C1080" t="str">
        <f t="shared" si="397"/>
        <v>Barreto Rincon</v>
      </c>
      <c r="D1080">
        <f>11</f>
        <v>11</v>
      </c>
      <c r="E1080" t="str">
        <f>"01 - A - 101 - Vanessa J Liburd"</f>
        <v>01 - A - 101 - Vanessa J Liburd</v>
      </c>
      <c r="F1080" t="str">
        <f>"PRE-AICE FRENCH 1 IG"</f>
        <v>PRE-AICE FRENCH 1 IG</v>
      </c>
      <c r="G1080" t="str">
        <f>"05-519"</f>
        <v>05-519</v>
      </c>
      <c r="H1080" t="str">
        <f>"A"</f>
        <v>A</v>
      </c>
    </row>
    <row r="1081" spans="1:8" x14ac:dyDescent="0.2">
      <c r="A1081" t="str">
        <f t="shared" si="395"/>
        <v>0625037012</v>
      </c>
      <c r="B1081" t="str">
        <f t="shared" si="396"/>
        <v>Nicolas</v>
      </c>
      <c r="C1081" t="str">
        <f t="shared" si="397"/>
        <v>Barreto Rincon</v>
      </c>
      <c r="D1081">
        <f>11</f>
        <v>11</v>
      </c>
      <c r="E1081" t="str">
        <f>"08 - S1 - B - 102 - Nahum  Saint-Preux"</f>
        <v>08 - S1 - B - 102 - Nahum  Saint-Preux</v>
      </c>
      <c r="F1081" t="str">
        <f>"CRIT THINK ST SKLS"</f>
        <v>CRIT THINK ST SKLS</v>
      </c>
      <c r="G1081" t="str">
        <f>"17-1712"</f>
        <v>17-1712</v>
      </c>
      <c r="H1081" t="str">
        <f>"B"</f>
        <v>B</v>
      </c>
    </row>
    <row r="1082" spans="1:8" x14ac:dyDescent="0.2">
      <c r="A1082" t="str">
        <f t="shared" ref="A1082:A1089" si="398">"0611127546"</f>
        <v>0611127546</v>
      </c>
      <c r="B1082" t="str">
        <f t="shared" ref="B1082:B1089" si="399">"MIKAYLA"</f>
        <v>MIKAYLA</v>
      </c>
      <c r="C1082" t="str">
        <f t="shared" ref="C1082:C1097" si="400">"BARRETT"</f>
        <v>BARRETT</v>
      </c>
      <c r="D1082">
        <f>12</f>
        <v>12</v>
      </c>
      <c r="E1082" t="str">
        <f>"04 - A - 201 - Vanessa J Liburd"</f>
        <v>04 - A - 201 - Vanessa J Liburd</v>
      </c>
      <c r="F1082" t="str">
        <f>"FRENCH 4 HON"</f>
        <v>FRENCH 4 HON</v>
      </c>
      <c r="G1082" t="str">
        <f>"05-519"</f>
        <v>05-519</v>
      </c>
      <c r="H1082" t="str">
        <f>"A"</f>
        <v>A</v>
      </c>
    </row>
    <row r="1083" spans="1:8" x14ac:dyDescent="0.2">
      <c r="A1083" t="str">
        <f t="shared" si="398"/>
        <v>0611127546</v>
      </c>
      <c r="B1083" t="str">
        <f t="shared" si="399"/>
        <v>MIKAYLA</v>
      </c>
      <c r="C1083" t="str">
        <f t="shared" si="400"/>
        <v>BARRETT</v>
      </c>
      <c r="D1083">
        <f>12</f>
        <v>12</v>
      </c>
      <c r="E1083" t="str">
        <f>"06 - B - 114 - Lisa J London"</f>
        <v>06 - B - 114 - Lisa J London</v>
      </c>
      <c r="F1083" t="str">
        <f>"NC STUDY HALL 1"</f>
        <v>NC STUDY HALL 1</v>
      </c>
      <c r="G1083" t="str">
        <f>"17-1714"</f>
        <v>17-1714</v>
      </c>
      <c r="H1083" t="str">
        <f>"B"</f>
        <v>B</v>
      </c>
    </row>
    <row r="1084" spans="1:8" x14ac:dyDescent="0.2">
      <c r="A1084" t="str">
        <f t="shared" si="398"/>
        <v>0611127546</v>
      </c>
      <c r="B1084" t="str">
        <f t="shared" si="399"/>
        <v>MIKAYLA</v>
      </c>
      <c r="C1084" t="str">
        <f t="shared" si="400"/>
        <v>BARRETT</v>
      </c>
      <c r="D1084">
        <f>12</f>
        <v>12</v>
      </c>
      <c r="E1084" t="str">
        <f>"03 - A - 202 - Jeanne M Bermudez"</f>
        <v>03 - A - 202 - Jeanne M Bermudez</v>
      </c>
      <c r="F1084" t="str">
        <f>"PHYSICS 1 HON"</f>
        <v>PHYSICS 1 HON</v>
      </c>
      <c r="G1084" t="str">
        <f>"21-2141"</f>
        <v>21-2141</v>
      </c>
      <c r="H1084" t="str">
        <f>"A"</f>
        <v>A</v>
      </c>
    </row>
    <row r="1085" spans="1:8" x14ac:dyDescent="0.2">
      <c r="A1085" t="str">
        <f t="shared" si="398"/>
        <v>0611127546</v>
      </c>
      <c r="B1085" t="str">
        <f t="shared" si="399"/>
        <v>MIKAYLA</v>
      </c>
      <c r="C1085" t="str">
        <f t="shared" si="400"/>
        <v>BARRETT</v>
      </c>
      <c r="D1085">
        <f>12</f>
        <v>12</v>
      </c>
      <c r="E1085" t="str">
        <f>"02 - A - 101 - Robert H Rindner"</f>
        <v>02 - A - 101 - Robert H Rindner</v>
      </c>
      <c r="F1085" t="str">
        <f>"MATH DATA&amp;FIN LIT H"</f>
        <v>MATH DATA&amp;FIN LIT H</v>
      </c>
      <c r="G1085" t="str">
        <f>"21-2160"</f>
        <v>21-2160</v>
      </c>
      <c r="H1085" t="str">
        <f>"A"</f>
        <v>A</v>
      </c>
    </row>
    <row r="1086" spans="1:8" x14ac:dyDescent="0.2">
      <c r="A1086" t="str">
        <f t="shared" si="398"/>
        <v>0611127546</v>
      </c>
      <c r="B1086" t="str">
        <f t="shared" si="399"/>
        <v>MIKAYLA</v>
      </c>
      <c r="C1086" t="str">
        <f t="shared" si="400"/>
        <v>BARRETT</v>
      </c>
      <c r="D1086">
        <f>12</f>
        <v>12</v>
      </c>
      <c r="E1086" t="str">
        <f>"07 - B - 102 - Carleigh R Carmichael"</f>
        <v>07 - B - 102 - Carleigh R Carmichael</v>
      </c>
      <c r="F1086" t="str">
        <f>"LEAD SKLS DEV LH"</f>
        <v>LEAD SKLS DEV LH</v>
      </c>
      <c r="G1086" t="str">
        <f>"20-2072"</f>
        <v>20-2072</v>
      </c>
      <c r="H1086" t="str">
        <f>"B"</f>
        <v>B</v>
      </c>
    </row>
    <row r="1087" spans="1:8" x14ac:dyDescent="0.2">
      <c r="A1087" t="str">
        <f t="shared" si="398"/>
        <v>0611127546</v>
      </c>
      <c r="B1087" t="str">
        <f t="shared" si="399"/>
        <v>MIKAYLA</v>
      </c>
      <c r="C1087" t="str">
        <f t="shared" si="400"/>
        <v>BARRETT</v>
      </c>
      <c r="D1087">
        <f>12</f>
        <v>12</v>
      </c>
      <c r="E1087" t="str">
        <f>"05 - S1 - B - 102 - Barbara L Segal"</f>
        <v>05 - S1 - B - 102 - Barbara L Segal</v>
      </c>
      <c r="F1087" t="str">
        <f>"US GOVT HON"</f>
        <v>US GOVT HON</v>
      </c>
      <c r="G1087" t="str">
        <f>"17-1742"</f>
        <v>17-1742</v>
      </c>
      <c r="H1087" t="str">
        <f>"B"</f>
        <v>B</v>
      </c>
    </row>
    <row r="1088" spans="1:8" x14ac:dyDescent="0.2">
      <c r="A1088" t="str">
        <f t="shared" si="398"/>
        <v>0611127546</v>
      </c>
      <c r="B1088" t="str">
        <f t="shared" si="399"/>
        <v>MIKAYLA</v>
      </c>
      <c r="C1088" t="str">
        <f t="shared" si="400"/>
        <v>BARRETT</v>
      </c>
      <c r="D1088">
        <f>12</f>
        <v>12</v>
      </c>
      <c r="E1088" t="str">
        <f>"01 - A - 201 - Stefanie S Scher"</f>
        <v>01 - A - 201 - Stefanie S Scher</v>
      </c>
      <c r="F1088" t="str">
        <f>"AICE PSYCH 1 AS"</f>
        <v>AICE PSYCH 1 AS</v>
      </c>
      <c r="G1088" t="str">
        <f>"17-1735"</f>
        <v>17-1735</v>
      </c>
      <c r="H1088" t="str">
        <f>"A"</f>
        <v>A</v>
      </c>
    </row>
    <row r="1089" spans="1:8" x14ac:dyDescent="0.2">
      <c r="A1089" t="str">
        <f t="shared" si="398"/>
        <v>0611127546</v>
      </c>
      <c r="B1089" t="str">
        <f t="shared" si="399"/>
        <v>MIKAYLA</v>
      </c>
      <c r="C1089" t="str">
        <f t="shared" si="400"/>
        <v>BARRETT</v>
      </c>
      <c r="D1089">
        <f>12</f>
        <v>12</v>
      </c>
      <c r="E1089" t="str">
        <f>"08 - B - 105 - Brandy N Zdenek"</f>
        <v>08 - B - 105 - Brandy N Zdenek</v>
      </c>
      <c r="F1089" t="str">
        <f>"AICE ENG LANG 2 AL"</f>
        <v>AICE ENG LANG 2 AL</v>
      </c>
      <c r="G1089" t="str">
        <f>"17-1704"</f>
        <v>17-1704</v>
      </c>
      <c r="H1089" t="str">
        <f>"B"</f>
        <v>B</v>
      </c>
    </row>
    <row r="1090" spans="1:8" x14ac:dyDescent="0.2">
      <c r="A1090" t="str">
        <f t="shared" ref="A1090:A1097" si="401">"0621019359"</f>
        <v>0621019359</v>
      </c>
      <c r="B1090" t="str">
        <f t="shared" ref="B1090:B1097" si="402">"RYHANA"</f>
        <v>RYHANA</v>
      </c>
      <c r="C1090" t="str">
        <f t="shared" si="400"/>
        <v>BARRETT</v>
      </c>
      <c r="D1090" t="str">
        <f t="shared" ref="D1090:D1097" si="403">"09"</f>
        <v>09</v>
      </c>
      <c r="E1090" t="str">
        <f>"04 - A - 104 - Adam Marcus  Drucker"</f>
        <v>04 - A - 104 - Adam Marcus  Drucker</v>
      </c>
      <c r="F1090" t="str">
        <f>"HOPE-PE V"</f>
        <v>HOPE-PE V</v>
      </c>
      <c r="G1090" t="str">
        <f>"04-254"</f>
        <v>04-254</v>
      </c>
      <c r="H1090" t="str">
        <f>"A"</f>
        <v>A</v>
      </c>
    </row>
    <row r="1091" spans="1:8" x14ac:dyDescent="0.2">
      <c r="A1091" t="str">
        <f t="shared" si="401"/>
        <v>0621019359</v>
      </c>
      <c r="B1091" t="str">
        <f t="shared" si="402"/>
        <v>RYHANA</v>
      </c>
      <c r="C1091" t="str">
        <f t="shared" si="400"/>
        <v>BARRETT</v>
      </c>
      <c r="D1091" t="str">
        <f t="shared" si="403"/>
        <v>09</v>
      </c>
      <c r="E1091" t="str">
        <f>"06 - B - 104 - Lytrell T Dixon"</f>
        <v>06 - B - 104 - Lytrell T Dixon</v>
      </c>
      <c r="F1091" t="str">
        <f>"PRE-AICE BIO IG"</f>
        <v>PRE-AICE BIO IG</v>
      </c>
      <c r="G1091" t="str">
        <f>"08-808"</f>
        <v>08-808</v>
      </c>
      <c r="H1091" t="str">
        <f>"B"</f>
        <v>B</v>
      </c>
    </row>
    <row r="1092" spans="1:8" x14ac:dyDescent="0.2">
      <c r="A1092" t="str">
        <f t="shared" si="401"/>
        <v>0621019359</v>
      </c>
      <c r="B1092" t="str">
        <f t="shared" si="402"/>
        <v>RYHANA</v>
      </c>
      <c r="C1092" t="str">
        <f t="shared" si="400"/>
        <v>BARRETT</v>
      </c>
      <c r="D1092" t="str">
        <f t="shared" si="403"/>
        <v>09</v>
      </c>
      <c r="E1092" t="str">
        <f>"03 - A - 101 - Helen A Flores"</f>
        <v>03 - A - 101 - Helen A Flores</v>
      </c>
      <c r="F1092" t="str">
        <f>"PRE-AICE MATH 1 IG"</f>
        <v>PRE-AICE MATH 1 IG</v>
      </c>
      <c r="G1092" t="str">
        <f>"21-2101"</f>
        <v>21-2101</v>
      </c>
      <c r="H1092" t="str">
        <f>"A"</f>
        <v>A</v>
      </c>
    </row>
    <row r="1093" spans="1:8" x14ac:dyDescent="0.2">
      <c r="A1093" t="str">
        <f t="shared" si="401"/>
        <v>0621019359</v>
      </c>
      <c r="B1093" t="str">
        <f t="shared" si="402"/>
        <v>RYHANA</v>
      </c>
      <c r="C1093" t="str">
        <f t="shared" si="400"/>
        <v>BARRETT</v>
      </c>
      <c r="D1093" t="str">
        <f t="shared" si="403"/>
        <v>09</v>
      </c>
      <c r="E1093" t="str">
        <f>"02 - A - 106 - Helen A Flores"</f>
        <v>02 - A - 106 - Helen A Flores</v>
      </c>
      <c r="F1093" t="str">
        <f>"NC STUDY HALL 1"</f>
        <v>NC STUDY HALL 1</v>
      </c>
      <c r="G1093" t="str">
        <f>"21-2101"</f>
        <v>21-2101</v>
      </c>
      <c r="H1093" t="str">
        <f>"A"</f>
        <v>A</v>
      </c>
    </row>
    <row r="1094" spans="1:8" x14ac:dyDescent="0.2">
      <c r="A1094" t="str">
        <f t="shared" si="401"/>
        <v>0621019359</v>
      </c>
      <c r="B1094" t="str">
        <f t="shared" si="402"/>
        <v>RYHANA</v>
      </c>
      <c r="C1094" t="str">
        <f t="shared" si="400"/>
        <v>BARRETT</v>
      </c>
      <c r="D1094" t="str">
        <f t="shared" si="403"/>
        <v>09</v>
      </c>
      <c r="E1094" t="str">
        <f>"07 - B - 002 - Rachel M Montrose"</f>
        <v>07 - B - 002 - Rachel M Montrose</v>
      </c>
      <c r="F1094" t="str">
        <f>"JOURN 1 (NP) LH"</f>
        <v>JOURN 1 (NP) LH</v>
      </c>
      <c r="G1094" t="str">
        <f>"05-521"</f>
        <v>05-521</v>
      </c>
      <c r="H1094" t="str">
        <f>"B"</f>
        <v>B</v>
      </c>
    </row>
    <row r="1095" spans="1:8" x14ac:dyDescent="0.2">
      <c r="A1095" t="str">
        <f t="shared" si="401"/>
        <v>0621019359</v>
      </c>
      <c r="B1095" t="str">
        <f t="shared" si="402"/>
        <v>RYHANA</v>
      </c>
      <c r="C1095" t="str">
        <f t="shared" si="400"/>
        <v>BARRETT</v>
      </c>
      <c r="D1095" t="str">
        <f t="shared" si="403"/>
        <v>09</v>
      </c>
      <c r="E1095" t="str">
        <f>"05 - B - 001 - Kelly N Panza"</f>
        <v>05 - B - 001 - Kelly N Panza</v>
      </c>
      <c r="F1095" t="str">
        <f>"AICE GLBL PERSP 1 AS"</f>
        <v>AICE GLBL PERSP 1 AS</v>
      </c>
      <c r="G1095" t="str">
        <f>"17-1753"</f>
        <v>17-1753</v>
      </c>
      <c r="H1095" t="str">
        <f>"B"</f>
        <v>B</v>
      </c>
    </row>
    <row r="1096" spans="1:8" x14ac:dyDescent="0.2">
      <c r="A1096" t="str">
        <f t="shared" si="401"/>
        <v>0621019359</v>
      </c>
      <c r="B1096" t="str">
        <f t="shared" si="402"/>
        <v>RYHANA</v>
      </c>
      <c r="C1096" t="str">
        <f t="shared" si="400"/>
        <v>BARRETT</v>
      </c>
      <c r="D1096" t="str">
        <f t="shared" si="403"/>
        <v>09</v>
      </c>
      <c r="E1096" t="str">
        <f>"01 - A - 201 - Cheryl L Beach"</f>
        <v>01 - A - 201 - Cheryl L Beach</v>
      </c>
      <c r="F1096" t="str">
        <f>"AICE ENV MGMNT AS"</f>
        <v>AICE ENV MGMNT AS</v>
      </c>
      <c r="G1096" t="str">
        <f>"08-811"</f>
        <v>08-811</v>
      </c>
      <c r="H1096" t="str">
        <f>"A"</f>
        <v>A</v>
      </c>
    </row>
    <row r="1097" spans="1:8" x14ac:dyDescent="0.2">
      <c r="A1097" t="str">
        <f t="shared" si="401"/>
        <v>0621019359</v>
      </c>
      <c r="B1097" t="str">
        <f t="shared" si="402"/>
        <v>RYHANA</v>
      </c>
      <c r="C1097" t="str">
        <f t="shared" si="400"/>
        <v>BARRETT</v>
      </c>
      <c r="D1097" t="str">
        <f t="shared" si="403"/>
        <v>09</v>
      </c>
      <c r="E1097" t="str">
        <f>"08 - B - 004 - Cheryl Anne  Berman-Schechter"</f>
        <v>08 - B - 004 - Cheryl Anne  Berman-Schechter</v>
      </c>
      <c r="F1097" t="str">
        <f>"AICE ENG GEN PAPER 1"</f>
        <v>AICE ENG GEN PAPER 1</v>
      </c>
      <c r="G1097" t="str">
        <f>"17-1722"</f>
        <v>17-1722</v>
      </c>
      <c r="H1097" t="str">
        <f>"B"</f>
        <v>B</v>
      </c>
    </row>
    <row r="1098" spans="1:8" x14ac:dyDescent="0.2">
      <c r="A1098" t="str">
        <f t="shared" ref="A1098:A1105" si="404">"0616005127"</f>
        <v>0616005127</v>
      </c>
      <c r="B1098" t="str">
        <f t="shared" ref="B1098:B1105" si="405">"BRANDON"</f>
        <v>BRANDON</v>
      </c>
      <c r="C1098" t="str">
        <f t="shared" ref="C1098:C1113" si="406">"BARRIOS"</f>
        <v>BARRIOS</v>
      </c>
      <c r="D1098">
        <f>10</f>
        <v>10</v>
      </c>
      <c r="E1098" t="str">
        <f>"04 - S1 - A - 101 - Leslie J Barton"</f>
        <v>04 - S1 - A - 101 - Leslie J Barton</v>
      </c>
      <c r="F1098" t="str">
        <f>"TEAM SPORTS 1"</f>
        <v>TEAM SPORTS 1</v>
      </c>
      <c r="G1098" t="str">
        <f>"04-254"</f>
        <v>04-254</v>
      </c>
      <c r="H1098" t="str">
        <f>"A"</f>
        <v>A</v>
      </c>
    </row>
    <row r="1099" spans="1:8" x14ac:dyDescent="0.2">
      <c r="A1099" t="str">
        <f t="shared" si="404"/>
        <v>0616005127</v>
      </c>
      <c r="B1099" t="str">
        <f t="shared" si="405"/>
        <v>BRANDON</v>
      </c>
      <c r="C1099" t="str">
        <f t="shared" si="406"/>
        <v>BARRIOS</v>
      </c>
      <c r="D1099">
        <f>10</f>
        <v>10</v>
      </c>
      <c r="E1099" t="str">
        <f>"06 - B - 105 - Jeffrey S Gallagher"</f>
        <v>06 - B - 105 - Jeffrey S Gallagher</v>
      </c>
      <c r="F1099" t="str">
        <f>"NC STUDY HALL 1"</f>
        <v>NC STUDY HALL 1</v>
      </c>
      <c r="G1099" t="str">
        <f>"17-1724"</f>
        <v>17-1724</v>
      </c>
      <c r="H1099" t="str">
        <f>"B"</f>
        <v>B</v>
      </c>
    </row>
    <row r="1100" spans="1:8" x14ac:dyDescent="0.2">
      <c r="A1100" t="str">
        <f t="shared" si="404"/>
        <v>0616005127</v>
      </c>
      <c r="B1100" t="str">
        <f t="shared" si="405"/>
        <v>BRANDON</v>
      </c>
      <c r="C1100" t="str">
        <f t="shared" si="406"/>
        <v>BARRIOS</v>
      </c>
      <c r="D1100">
        <f>10</f>
        <v>10</v>
      </c>
      <c r="E1100" t="str">
        <f>"03 - A - 204 - Lytrell T Dixon"</f>
        <v>03 - A - 204 - Lytrell T Dixon</v>
      </c>
      <c r="F1100" t="str">
        <f>"BIOLOGY 1"</f>
        <v>BIOLOGY 1</v>
      </c>
      <c r="G1100" t="str">
        <f>"08-808"</f>
        <v>08-808</v>
      </c>
      <c r="H1100" t="str">
        <f>"A"</f>
        <v>A</v>
      </c>
    </row>
    <row r="1101" spans="1:8" x14ac:dyDescent="0.2">
      <c r="A1101" t="str">
        <f t="shared" si="404"/>
        <v>0616005127</v>
      </c>
      <c r="B1101" t="str">
        <f t="shared" si="405"/>
        <v>BRANDON</v>
      </c>
      <c r="C1101" t="str">
        <f t="shared" si="406"/>
        <v>BARRIOS</v>
      </c>
      <c r="D1101">
        <f>10</f>
        <v>10</v>
      </c>
      <c r="E1101" t="str">
        <f>"02 - A - 102 - Nikiel  Nesbeth"</f>
        <v>02 - A - 102 - Nikiel  Nesbeth</v>
      </c>
      <c r="F1101" t="str">
        <f>"ENG 2"</f>
        <v>ENG 2</v>
      </c>
      <c r="G1101" t="str">
        <f>"17-1705"</f>
        <v>17-1705</v>
      </c>
      <c r="H1101" t="str">
        <f>"A"</f>
        <v>A</v>
      </c>
    </row>
    <row r="1102" spans="1:8" x14ac:dyDescent="0.2">
      <c r="A1102" t="str">
        <f t="shared" si="404"/>
        <v>0616005127</v>
      </c>
      <c r="B1102" t="str">
        <f t="shared" si="405"/>
        <v>BRANDON</v>
      </c>
      <c r="C1102" t="str">
        <f t="shared" si="406"/>
        <v>BARRIOS</v>
      </c>
      <c r="D1102">
        <f>10</f>
        <v>10</v>
      </c>
      <c r="E1102" t="str">
        <f>"07 - B - 106 - Dayna M Foster"</f>
        <v>07 - B - 106 - Dayna M Foster</v>
      </c>
      <c r="F1102" t="str">
        <f>"FDN SKLS MATH 9-12"</f>
        <v>FDN SKLS MATH 9-12</v>
      </c>
      <c r="G1102" t="str">
        <f>"21-2109"</f>
        <v>21-2109</v>
      </c>
      <c r="H1102" t="str">
        <f>"B"</f>
        <v>B</v>
      </c>
    </row>
    <row r="1103" spans="1:8" x14ac:dyDescent="0.2">
      <c r="A1103" t="str">
        <f t="shared" si="404"/>
        <v>0616005127</v>
      </c>
      <c r="B1103" t="str">
        <f t="shared" si="405"/>
        <v>BRANDON</v>
      </c>
      <c r="C1103" t="str">
        <f t="shared" si="406"/>
        <v>BARRIOS</v>
      </c>
      <c r="D1103">
        <f>10</f>
        <v>10</v>
      </c>
      <c r="E1103" t="str">
        <f>"05 - S1 - B - 102 - Carol S Moore"</f>
        <v>05 - S1 - B - 102 - Carol S Moore</v>
      </c>
      <c r="F1103" t="str">
        <f>"PERS FIN &amp; MON MGT H"</f>
        <v>PERS FIN &amp; MON MGT H</v>
      </c>
      <c r="G1103" t="str">
        <f>"17-1733"</f>
        <v>17-1733</v>
      </c>
      <c r="H1103" t="str">
        <f>"B"</f>
        <v>B</v>
      </c>
    </row>
    <row r="1104" spans="1:8" x14ac:dyDescent="0.2">
      <c r="A1104" t="str">
        <f t="shared" si="404"/>
        <v>0616005127</v>
      </c>
      <c r="B1104" t="str">
        <f t="shared" si="405"/>
        <v>BRANDON</v>
      </c>
      <c r="C1104" t="str">
        <f t="shared" si="406"/>
        <v>BARRIOS</v>
      </c>
      <c r="D1104">
        <f>10</f>
        <v>10</v>
      </c>
      <c r="E1104" t="str">
        <f>"01 - A - 108 - Dayna M Foster"</f>
        <v>01 - A - 108 - Dayna M Foster</v>
      </c>
      <c r="F1104" t="str">
        <f>"ALGEBRA 1"</f>
        <v>ALGEBRA 1</v>
      </c>
      <c r="G1104" t="str">
        <f>"21-2109"</f>
        <v>21-2109</v>
      </c>
      <c r="H1104" t="str">
        <f>"A"</f>
        <v>A</v>
      </c>
    </row>
    <row r="1105" spans="1:8" x14ac:dyDescent="0.2">
      <c r="A1105" t="str">
        <f t="shared" si="404"/>
        <v>0616005127</v>
      </c>
      <c r="B1105" t="str">
        <f t="shared" si="405"/>
        <v>BRANDON</v>
      </c>
      <c r="C1105" t="str">
        <f t="shared" si="406"/>
        <v>BARRIOS</v>
      </c>
      <c r="D1105">
        <f>10</f>
        <v>10</v>
      </c>
      <c r="E1105" t="str">
        <f>"08 - S1 - B - 101 - Amy Beth  Broyles"</f>
        <v>08 - S1 - B - 101 - Amy Beth  Broyles</v>
      </c>
      <c r="F1105" t="str">
        <f>"PEER COUN 3"</f>
        <v>PEER COUN 3</v>
      </c>
      <c r="G1105" t="str">
        <f>"17-1713"</f>
        <v>17-1713</v>
      </c>
      <c r="H1105" t="str">
        <f>"B"</f>
        <v>B</v>
      </c>
    </row>
    <row r="1106" spans="1:8" x14ac:dyDescent="0.2">
      <c r="A1106" t="str">
        <f t="shared" ref="A1106:A1113" si="407">"0616019753"</f>
        <v>0616019753</v>
      </c>
      <c r="B1106" t="str">
        <f t="shared" ref="B1106:B1113" si="408">"SABASTIAN"</f>
        <v>SABASTIAN</v>
      </c>
      <c r="C1106" t="str">
        <f t="shared" si="406"/>
        <v>BARRIOS</v>
      </c>
      <c r="D1106">
        <f>10</f>
        <v>10</v>
      </c>
      <c r="E1106" t="str">
        <f>"04 - A - 201 - Norayda D Suarez"</f>
        <v>04 - A - 201 - Norayda D Suarez</v>
      </c>
      <c r="F1106" t="str">
        <f>"ANAT PHYSIO HON"</f>
        <v>ANAT PHYSIO HON</v>
      </c>
      <c r="G1106" t="str">
        <f>"21-2142"</f>
        <v>21-2142</v>
      </c>
      <c r="H1106" t="str">
        <f>"A"</f>
        <v>A</v>
      </c>
    </row>
    <row r="1107" spans="1:8" x14ac:dyDescent="0.2">
      <c r="A1107" t="str">
        <f t="shared" si="407"/>
        <v>0616019753</v>
      </c>
      <c r="B1107" t="str">
        <f t="shared" si="408"/>
        <v>SABASTIAN</v>
      </c>
      <c r="C1107" t="str">
        <f t="shared" si="406"/>
        <v>BARRIOS</v>
      </c>
      <c r="D1107">
        <f>10</f>
        <v>10</v>
      </c>
      <c r="E1107" t="str">
        <f>"06 - B - 112 - Tina M Jaramillo"</f>
        <v>06 - B - 112 - Tina M Jaramillo</v>
      </c>
      <c r="F1107" t="str">
        <f>"NC STUDY HALL 1"</f>
        <v>NC STUDY HALL 1</v>
      </c>
      <c r="G1107" t="str">
        <f>"17-1706"</f>
        <v>17-1706</v>
      </c>
      <c r="H1107" t="str">
        <f>"B"</f>
        <v>B</v>
      </c>
    </row>
    <row r="1108" spans="1:8" x14ac:dyDescent="0.2">
      <c r="A1108" t="str">
        <f t="shared" si="407"/>
        <v>0616019753</v>
      </c>
      <c r="B1108" t="str">
        <f t="shared" si="408"/>
        <v>SABASTIAN</v>
      </c>
      <c r="C1108" t="str">
        <f t="shared" si="406"/>
        <v>BARRIOS</v>
      </c>
      <c r="D1108">
        <f>10</f>
        <v>10</v>
      </c>
      <c r="E1108" t="str">
        <f>"03 - A - 103 - Courtney E Hambright"</f>
        <v>03 - A - 103 - Courtney E Hambright</v>
      </c>
      <c r="F1108" t="str">
        <f>"AICE ENG LANG AS"</f>
        <v>AICE ENG LANG AS</v>
      </c>
      <c r="G1108" t="str">
        <f>"17-1711"</f>
        <v>17-1711</v>
      </c>
      <c r="H1108" t="str">
        <f>"A"</f>
        <v>A</v>
      </c>
    </row>
    <row r="1109" spans="1:8" x14ac:dyDescent="0.2">
      <c r="A1109" t="str">
        <f t="shared" si="407"/>
        <v>0616019753</v>
      </c>
      <c r="B1109" t="str">
        <f t="shared" si="408"/>
        <v>SABASTIAN</v>
      </c>
      <c r="C1109" t="str">
        <f t="shared" si="406"/>
        <v>BARRIOS</v>
      </c>
      <c r="D1109">
        <f>10</f>
        <v>10</v>
      </c>
      <c r="E1109" t="str">
        <f>"02 - A - 102 - Vanessa J Liburd"</f>
        <v>02 - A - 102 - Vanessa J Liburd</v>
      </c>
      <c r="F1109" t="str">
        <f>"PRE-AICE FRENCH 2 IG"</f>
        <v>PRE-AICE FRENCH 2 IG</v>
      </c>
      <c r="G1109" t="str">
        <f>"05-519"</f>
        <v>05-519</v>
      </c>
      <c r="H1109" t="str">
        <f>"A"</f>
        <v>A</v>
      </c>
    </row>
    <row r="1110" spans="1:8" x14ac:dyDescent="0.2">
      <c r="A1110" t="str">
        <f t="shared" si="407"/>
        <v>0616019753</v>
      </c>
      <c r="B1110" t="str">
        <f t="shared" si="408"/>
        <v>SABASTIAN</v>
      </c>
      <c r="C1110" t="str">
        <f t="shared" si="406"/>
        <v>BARRIOS</v>
      </c>
      <c r="D1110">
        <f>10</f>
        <v>10</v>
      </c>
      <c r="E1110" t="str">
        <f>"07 - B - 102 - Lourivaldo  Da Silva"</f>
        <v>07 - B - 102 - Lourivaldo  Da Silva</v>
      </c>
      <c r="F1110" t="str">
        <f>"ALGEBRA 2 HON"</f>
        <v>ALGEBRA 2 HON</v>
      </c>
      <c r="G1110" t="str">
        <f>"20-2079"</f>
        <v>20-2079</v>
      </c>
      <c r="H1110" t="str">
        <f>"B"</f>
        <v>B</v>
      </c>
    </row>
    <row r="1111" spans="1:8" x14ac:dyDescent="0.2">
      <c r="A1111" t="str">
        <f t="shared" si="407"/>
        <v>0616019753</v>
      </c>
      <c r="B1111" t="str">
        <f t="shared" si="408"/>
        <v>SABASTIAN</v>
      </c>
      <c r="C1111" t="str">
        <f t="shared" si="406"/>
        <v>BARRIOS</v>
      </c>
      <c r="D1111">
        <f>10</f>
        <v>10</v>
      </c>
      <c r="E1111" t="str">
        <f>"05 - B - 104 - Daniel S Tyson"</f>
        <v>05 - B - 104 - Daniel S Tyson</v>
      </c>
      <c r="F1111" t="str">
        <f>"JROTC NAVAL SCI 1"</f>
        <v>JROTC NAVAL SCI 1</v>
      </c>
      <c r="G1111" t="str">
        <f>"05-510"</f>
        <v>05-510</v>
      </c>
      <c r="H1111" t="str">
        <f>"B"</f>
        <v>B</v>
      </c>
    </row>
    <row r="1112" spans="1:8" x14ac:dyDescent="0.2">
      <c r="A1112" t="str">
        <f t="shared" si="407"/>
        <v>0616019753</v>
      </c>
      <c r="B1112" t="str">
        <f t="shared" si="408"/>
        <v>SABASTIAN</v>
      </c>
      <c r="C1112" t="str">
        <f t="shared" si="406"/>
        <v>BARRIOS</v>
      </c>
      <c r="D1112">
        <f>10</f>
        <v>10</v>
      </c>
      <c r="E1112" t="str">
        <f>"01 - A - 001 - Lenecy  Nodarse"</f>
        <v>01 - A - 001 - Lenecy  Nodarse</v>
      </c>
      <c r="F1112" t="str">
        <f>"AICE EURO HIST 1 AS"</f>
        <v>AICE EURO HIST 1 AS</v>
      </c>
      <c r="G1112" t="str">
        <f>"17-1741"</f>
        <v>17-1741</v>
      </c>
      <c r="H1112" t="str">
        <f>"A"</f>
        <v>A</v>
      </c>
    </row>
    <row r="1113" spans="1:8" x14ac:dyDescent="0.2">
      <c r="A1113" t="str">
        <f t="shared" si="407"/>
        <v>0616019753</v>
      </c>
      <c r="B1113" t="str">
        <f t="shared" si="408"/>
        <v>SABASTIAN</v>
      </c>
      <c r="C1113" t="str">
        <f t="shared" si="406"/>
        <v>BARRIOS</v>
      </c>
      <c r="D1113">
        <f>10</f>
        <v>10</v>
      </c>
      <c r="E1113" t="str">
        <f>"08 - B - 202 - Krystal Marie  Beruty"</f>
        <v>08 - B - 202 - Krystal Marie  Beruty</v>
      </c>
      <c r="F1113" t="str">
        <f>"AICE PSYCH 1 AS"</f>
        <v>AICE PSYCH 1 AS</v>
      </c>
      <c r="G1113" t="str">
        <f>"17-1721"</f>
        <v>17-1721</v>
      </c>
      <c r="H1113" t="str">
        <f>"B"</f>
        <v>B</v>
      </c>
    </row>
    <row r="1114" spans="1:8" x14ac:dyDescent="0.2">
      <c r="A1114" t="str">
        <f t="shared" ref="A1114:A1121" si="409">"0618111157"</f>
        <v>0618111157</v>
      </c>
      <c r="B1114" t="str">
        <f t="shared" ref="B1114:B1121" si="410">"JOSEBIENKA"</f>
        <v>JOSEBIENKA</v>
      </c>
      <c r="C1114" t="str">
        <f t="shared" ref="C1114:C1129" si="411">"BARTHELEMY"</f>
        <v>BARTHELEMY</v>
      </c>
      <c r="D1114">
        <f>11</f>
        <v>11</v>
      </c>
      <c r="E1114" t="str">
        <f>"04 - A - 101 - Christa T Parisi"</f>
        <v>04 - A - 101 - Christa T Parisi</v>
      </c>
      <c r="F1114" t="str">
        <f>"DANCE TECHNQS 2"</f>
        <v>DANCE TECHNQS 2</v>
      </c>
      <c r="G1114" t="str">
        <f>"05-503"</f>
        <v>05-503</v>
      </c>
      <c r="H1114" t="str">
        <f>"A"</f>
        <v>A</v>
      </c>
    </row>
    <row r="1115" spans="1:8" x14ac:dyDescent="0.2">
      <c r="A1115" t="str">
        <f t="shared" si="409"/>
        <v>0618111157</v>
      </c>
      <c r="B1115" t="str">
        <f t="shared" si="410"/>
        <v>JOSEBIENKA</v>
      </c>
      <c r="C1115" t="str">
        <f t="shared" si="411"/>
        <v>BARTHELEMY</v>
      </c>
      <c r="D1115">
        <f>11</f>
        <v>11</v>
      </c>
      <c r="E1115" t="str">
        <f>"06 - B - 104 - Nahum  Saint-Preux"</f>
        <v>06 - B - 104 - Nahum  Saint-Preux</v>
      </c>
      <c r="F1115" t="str">
        <f>"INTENS READ 3"</f>
        <v>INTENS READ 3</v>
      </c>
      <c r="G1115" t="str">
        <f>"17-1712"</f>
        <v>17-1712</v>
      </c>
      <c r="H1115" t="str">
        <f>"B"</f>
        <v>B</v>
      </c>
    </row>
    <row r="1116" spans="1:8" x14ac:dyDescent="0.2">
      <c r="A1116" t="str">
        <f t="shared" si="409"/>
        <v>0618111157</v>
      </c>
      <c r="B1116" t="str">
        <f t="shared" si="410"/>
        <v>JOSEBIENKA</v>
      </c>
      <c r="C1116" t="str">
        <f t="shared" si="411"/>
        <v>BARTHELEMY</v>
      </c>
      <c r="D1116">
        <f>11</f>
        <v>11</v>
      </c>
      <c r="E1116" t="str">
        <f>"03 - A - 102 - Cliffon  Saurel"</f>
        <v>03 - A - 102 - Cliffon  Saurel</v>
      </c>
      <c r="F1116" t="str">
        <f>"PHYSICAL SCI"</f>
        <v>PHYSICAL SCI</v>
      </c>
      <c r="G1116" t="str">
        <f>"05-522"</f>
        <v>05-522</v>
      </c>
      <c r="H1116" t="str">
        <f>"A"</f>
        <v>A</v>
      </c>
    </row>
    <row r="1117" spans="1:8" x14ac:dyDescent="0.2">
      <c r="A1117" t="str">
        <f t="shared" si="409"/>
        <v>0618111157</v>
      </c>
      <c r="B1117" t="str">
        <f t="shared" si="410"/>
        <v>JOSEBIENKA</v>
      </c>
      <c r="C1117" t="str">
        <f t="shared" si="411"/>
        <v>BARTHELEMY</v>
      </c>
      <c r="D1117">
        <f>11</f>
        <v>11</v>
      </c>
      <c r="E1117" t="str">
        <f>"02 - A - 108 - Stephen T Ripp"</f>
        <v>02 - A - 108 - Stephen T Ripp</v>
      </c>
      <c r="F1117" t="str">
        <f>"NC STUDY HALL 1"</f>
        <v>NC STUDY HALL 1</v>
      </c>
      <c r="G1117" t="str">
        <f>"17-1744"</f>
        <v>17-1744</v>
      </c>
      <c r="H1117" t="str">
        <f>"A"</f>
        <v>A</v>
      </c>
    </row>
    <row r="1118" spans="1:8" x14ac:dyDescent="0.2">
      <c r="A1118" t="str">
        <f t="shared" si="409"/>
        <v>0618111157</v>
      </c>
      <c r="B1118" t="str">
        <f t="shared" si="410"/>
        <v>JOSEBIENKA</v>
      </c>
      <c r="C1118" t="str">
        <f t="shared" si="411"/>
        <v>BARTHELEMY</v>
      </c>
      <c r="D1118">
        <f>11</f>
        <v>11</v>
      </c>
      <c r="E1118" t="str">
        <f>"07 - B - 108 - Lauren N Logan"</f>
        <v>07 - B - 108 - Lauren N Logan</v>
      </c>
      <c r="F1118" t="str">
        <f>"US HISTORY"</f>
        <v>US HISTORY</v>
      </c>
      <c r="G1118" t="str">
        <f>"17-1745"</f>
        <v>17-1745</v>
      </c>
      <c r="H1118" t="str">
        <f>"B"</f>
        <v>B</v>
      </c>
    </row>
    <row r="1119" spans="1:8" x14ac:dyDescent="0.2">
      <c r="A1119" t="str">
        <f t="shared" si="409"/>
        <v>0618111157</v>
      </c>
      <c r="B1119" t="str">
        <f t="shared" si="410"/>
        <v>JOSEBIENKA</v>
      </c>
      <c r="C1119" t="str">
        <f t="shared" si="411"/>
        <v>BARTHELEMY</v>
      </c>
      <c r="D1119">
        <f>11</f>
        <v>11</v>
      </c>
      <c r="E1119" t="str">
        <f>"05 - B - 106 - Fernando  Vega-Cid"</f>
        <v>05 - B - 106 - Fernando  Vega-Cid</v>
      </c>
      <c r="F1119" t="str">
        <f>"GEOMETRY"</f>
        <v>GEOMETRY</v>
      </c>
      <c r="G1119" t="str">
        <f>"21-2163"</f>
        <v>21-2163</v>
      </c>
      <c r="H1119" t="str">
        <f>"B"</f>
        <v>B</v>
      </c>
    </row>
    <row r="1120" spans="1:8" x14ac:dyDescent="0.2">
      <c r="A1120" t="str">
        <f t="shared" si="409"/>
        <v>0618111157</v>
      </c>
      <c r="B1120" t="str">
        <f t="shared" si="410"/>
        <v>JOSEBIENKA</v>
      </c>
      <c r="C1120" t="str">
        <f t="shared" si="411"/>
        <v>BARTHELEMY</v>
      </c>
      <c r="D1120">
        <f>11</f>
        <v>11</v>
      </c>
      <c r="E1120" t="str">
        <f>"01 - A - 101 - Adam Marcus  Drucker"</f>
        <v>01 - A - 101 - Adam Marcus  Drucker</v>
      </c>
      <c r="F1120" t="str">
        <f>"HOPE-PE V"</f>
        <v>HOPE-PE V</v>
      </c>
      <c r="G1120" t="str">
        <f>"04-254"</f>
        <v>04-254</v>
      </c>
      <c r="H1120" t="str">
        <f>"A"</f>
        <v>A</v>
      </c>
    </row>
    <row r="1121" spans="1:8" x14ac:dyDescent="0.2">
      <c r="A1121" t="str">
        <f t="shared" si="409"/>
        <v>0618111157</v>
      </c>
      <c r="B1121" t="str">
        <f t="shared" si="410"/>
        <v>JOSEBIENKA</v>
      </c>
      <c r="C1121" t="str">
        <f t="shared" si="411"/>
        <v>BARTHELEMY</v>
      </c>
      <c r="D1121">
        <f>11</f>
        <v>11</v>
      </c>
      <c r="E1121" t="str">
        <f>"08 - B - 106 - Lisa  Quinn"</f>
        <v>08 - B - 106 - Lisa  Quinn</v>
      </c>
      <c r="F1121" t="str">
        <f>"ENG 3"</f>
        <v>ENG 3</v>
      </c>
      <c r="G1121" t="str">
        <f>"17-1725"</f>
        <v>17-1725</v>
      </c>
      <c r="H1121" t="str">
        <f>"B"</f>
        <v>B</v>
      </c>
    </row>
    <row r="1122" spans="1:8" x14ac:dyDescent="0.2">
      <c r="A1122" t="str">
        <f t="shared" ref="A1122:A1129" si="412">"0615019081"</f>
        <v>0615019081</v>
      </c>
      <c r="B1122" t="str">
        <f t="shared" ref="B1122:B1129" si="413">"KENYA"</f>
        <v>KENYA</v>
      </c>
      <c r="C1122" t="str">
        <f t="shared" si="411"/>
        <v>BARTHELEMY</v>
      </c>
      <c r="D1122">
        <f>11</f>
        <v>11</v>
      </c>
      <c r="E1122" t="str">
        <f>"04 - A - 101 - Brian M Fitzgerald"</f>
        <v>04 - A - 101 - Brian M Fitzgerald</v>
      </c>
      <c r="F1122" t="str">
        <f>"DRAW 2"</f>
        <v>DRAW 2</v>
      </c>
      <c r="G1122" t="str">
        <f>"09-908"</f>
        <v>09-908</v>
      </c>
      <c r="H1122" t="str">
        <f>"A"</f>
        <v>A</v>
      </c>
    </row>
    <row r="1123" spans="1:8" x14ac:dyDescent="0.2">
      <c r="A1123" t="str">
        <f t="shared" si="412"/>
        <v>0615019081</v>
      </c>
      <c r="B1123" t="str">
        <f t="shared" si="413"/>
        <v>KENYA</v>
      </c>
      <c r="C1123" t="str">
        <f t="shared" si="411"/>
        <v>BARTHELEMY</v>
      </c>
      <c r="D1123">
        <f>11</f>
        <v>11</v>
      </c>
      <c r="E1123" t="str">
        <f>"06 - B - 110 - Krystal Marie  Beruty"</f>
        <v>06 - B - 110 - Krystal Marie  Beruty</v>
      </c>
      <c r="F1123" t="str">
        <f>"AICE GLBL PERSP 1 AS"</f>
        <v>AICE GLBL PERSP 1 AS</v>
      </c>
      <c r="G1123" t="str">
        <f>"17-1721"</f>
        <v>17-1721</v>
      </c>
      <c r="H1123" t="str">
        <f>"B"</f>
        <v>B</v>
      </c>
    </row>
    <row r="1124" spans="1:8" x14ac:dyDescent="0.2">
      <c r="A1124" t="str">
        <f t="shared" si="412"/>
        <v>0615019081</v>
      </c>
      <c r="B1124" t="str">
        <f t="shared" si="413"/>
        <v>KENYA</v>
      </c>
      <c r="C1124" t="str">
        <f t="shared" si="411"/>
        <v>BARTHELEMY</v>
      </c>
      <c r="D1124">
        <f>11</f>
        <v>11</v>
      </c>
      <c r="E1124" t="str">
        <f>"03 - A - 102 - Semra  Bahadir"</f>
        <v>03 - A - 102 - Semra  Bahadir</v>
      </c>
      <c r="F1124" t="str">
        <f>"ALGEBRA 2"</f>
        <v>ALGEBRA 2</v>
      </c>
      <c r="G1124" t="str">
        <f>"21-2107"</f>
        <v>21-2107</v>
      </c>
      <c r="H1124" t="str">
        <f>"A"</f>
        <v>A</v>
      </c>
    </row>
    <row r="1125" spans="1:8" x14ac:dyDescent="0.2">
      <c r="A1125" t="str">
        <f t="shared" si="412"/>
        <v>0615019081</v>
      </c>
      <c r="B1125" t="str">
        <f t="shared" si="413"/>
        <v>KENYA</v>
      </c>
      <c r="C1125" t="str">
        <f t="shared" si="411"/>
        <v>BARTHELEMY</v>
      </c>
      <c r="D1125">
        <f>11</f>
        <v>11</v>
      </c>
      <c r="E1125" t="str">
        <f>"02 - A - 103 - Kelly N Panza"</f>
        <v>02 - A - 103 - Kelly N Panza</v>
      </c>
      <c r="F1125" t="str">
        <f>"NC STUDY HALL 1"</f>
        <v>NC STUDY HALL 1</v>
      </c>
      <c r="G1125" t="str">
        <f>"17-1753"</f>
        <v>17-1753</v>
      </c>
      <c r="H1125" t="str">
        <f>"A"</f>
        <v>A</v>
      </c>
    </row>
    <row r="1126" spans="1:8" x14ac:dyDescent="0.2">
      <c r="A1126" t="str">
        <f t="shared" si="412"/>
        <v>0615019081</v>
      </c>
      <c r="B1126" t="str">
        <f t="shared" si="413"/>
        <v>KENYA</v>
      </c>
      <c r="C1126" t="str">
        <f t="shared" si="411"/>
        <v>BARTHELEMY</v>
      </c>
      <c r="D1126">
        <f>11</f>
        <v>11</v>
      </c>
      <c r="E1126" t="str">
        <f>"07 - B - 105 - Byron G Montenegro"</f>
        <v>07 - B - 105 - Byron G Montenegro</v>
      </c>
      <c r="F1126" t="str">
        <f>"AICE MARINE SCI 1 AS"</f>
        <v>AICE MARINE SCI 1 AS</v>
      </c>
      <c r="G1126" t="str">
        <f>"21-2144"</f>
        <v>21-2144</v>
      </c>
      <c r="H1126" t="str">
        <f>"B"</f>
        <v>B</v>
      </c>
    </row>
    <row r="1127" spans="1:8" x14ac:dyDescent="0.2">
      <c r="A1127" t="str">
        <f t="shared" si="412"/>
        <v>0615019081</v>
      </c>
      <c r="B1127" t="str">
        <f t="shared" si="413"/>
        <v>KENYA</v>
      </c>
      <c r="C1127" t="str">
        <f t="shared" si="411"/>
        <v>BARTHELEMY</v>
      </c>
      <c r="D1127">
        <f>11</f>
        <v>11</v>
      </c>
      <c r="E1127" t="str">
        <f>"05 - B - 102 - Jacklyn M James"</f>
        <v>05 - B - 102 - Jacklyn M James</v>
      </c>
      <c r="F1127" t="str">
        <f>"AICE ENG LANG AS"</f>
        <v>AICE ENG LANG AS</v>
      </c>
      <c r="G1127" t="str">
        <f>"17-1731"</f>
        <v>17-1731</v>
      </c>
      <c r="H1127" t="str">
        <f>"B"</f>
        <v>B</v>
      </c>
    </row>
    <row r="1128" spans="1:8" x14ac:dyDescent="0.2">
      <c r="A1128" t="str">
        <f t="shared" si="412"/>
        <v>0615019081</v>
      </c>
      <c r="B1128" t="str">
        <f t="shared" si="413"/>
        <v>KENYA</v>
      </c>
      <c r="C1128" t="str">
        <f t="shared" si="411"/>
        <v>BARTHELEMY</v>
      </c>
      <c r="D1128">
        <f>11</f>
        <v>11</v>
      </c>
      <c r="E1128" t="str">
        <f>"01 - A - 001 - Brian M Fitzgerald"</f>
        <v>01 - A - 001 - Brian M Fitzgerald</v>
      </c>
      <c r="F1128" t="str">
        <f>"CERAM/POT 2"</f>
        <v>CERAM/POT 2</v>
      </c>
      <c r="G1128" t="str">
        <f>"09-908"</f>
        <v>09-908</v>
      </c>
      <c r="H1128" t="str">
        <f>"A"</f>
        <v>A</v>
      </c>
    </row>
    <row r="1129" spans="1:8" x14ac:dyDescent="0.2">
      <c r="A1129" t="str">
        <f t="shared" si="412"/>
        <v>0615019081</v>
      </c>
      <c r="B1129" t="str">
        <f t="shared" si="413"/>
        <v>KENYA</v>
      </c>
      <c r="C1129" t="str">
        <f t="shared" si="411"/>
        <v>BARTHELEMY</v>
      </c>
      <c r="D1129">
        <f>11</f>
        <v>11</v>
      </c>
      <c r="E1129" t="str">
        <f>"08 - B - 001 - Jerry S Jiampetti"</f>
        <v>08 - B - 001 - Jerry S Jiampetti</v>
      </c>
      <c r="F1129" t="str">
        <f>"AICE U.S. HIST 1 AS"</f>
        <v>AICE U.S. HIST 1 AS</v>
      </c>
      <c r="G1129" t="str">
        <f>"17-1751"</f>
        <v>17-1751</v>
      </c>
      <c r="H1129" t="str">
        <f>"B"</f>
        <v>B</v>
      </c>
    </row>
    <row r="1130" spans="1:8" x14ac:dyDescent="0.2">
      <c r="A1130" t="str">
        <f t="shared" ref="A1130:A1137" si="414">"0616125192"</f>
        <v>0616125192</v>
      </c>
      <c r="B1130" t="str">
        <f t="shared" ref="B1130:B1137" si="415">"ANNA"</f>
        <v>ANNA</v>
      </c>
      <c r="C1130" t="str">
        <f t="shared" ref="C1130:C1137" si="416">"BARTLETT"</f>
        <v>BARTLETT</v>
      </c>
      <c r="D1130" t="str">
        <f t="shared" ref="D1130:D1137" si="417">"09"</f>
        <v>09</v>
      </c>
      <c r="E1130" t="str">
        <f>"04 - A - 104 - Adam Marcus  Drucker"</f>
        <v>04 - A - 104 - Adam Marcus  Drucker</v>
      </c>
      <c r="F1130" t="str">
        <f>"HOPE-PE V"</f>
        <v>HOPE-PE V</v>
      </c>
      <c r="G1130" t="str">
        <f>"04-254"</f>
        <v>04-254</v>
      </c>
      <c r="H1130" t="str">
        <f>"A"</f>
        <v>A</v>
      </c>
    </row>
    <row r="1131" spans="1:8" x14ac:dyDescent="0.2">
      <c r="A1131" t="str">
        <f t="shared" si="414"/>
        <v>0616125192</v>
      </c>
      <c r="B1131" t="str">
        <f t="shared" si="415"/>
        <v>ANNA</v>
      </c>
      <c r="C1131" t="str">
        <f t="shared" si="416"/>
        <v>BARTLETT</v>
      </c>
      <c r="D1131" t="str">
        <f t="shared" si="417"/>
        <v>09</v>
      </c>
      <c r="E1131" t="str">
        <f>"06 - B - 001 - Samantha J Headley"</f>
        <v>06 - B - 001 - Samantha J Headley</v>
      </c>
      <c r="F1131" t="str">
        <f>"MARINE SCI 1 HON"</f>
        <v>MARINE SCI 1 HON</v>
      </c>
      <c r="G1131" t="str">
        <f>"21-2134"</f>
        <v>21-2134</v>
      </c>
      <c r="H1131" t="str">
        <f>"B"</f>
        <v>B</v>
      </c>
    </row>
    <row r="1132" spans="1:8" x14ac:dyDescent="0.2">
      <c r="A1132" t="str">
        <f t="shared" si="414"/>
        <v>0616125192</v>
      </c>
      <c r="B1132" t="str">
        <f t="shared" si="415"/>
        <v>ANNA</v>
      </c>
      <c r="C1132" t="str">
        <f t="shared" si="416"/>
        <v>BARTLETT</v>
      </c>
      <c r="D1132" t="str">
        <f t="shared" si="417"/>
        <v>09</v>
      </c>
      <c r="E1132" t="str">
        <f>"03 - A - 102 - Rory T Sponsler"</f>
        <v>03 - A - 102 - Rory T Sponsler</v>
      </c>
      <c r="F1132" t="str">
        <f>"PRE-AICE WRLD HST IG"</f>
        <v>PRE-AICE WRLD HST IG</v>
      </c>
      <c r="G1132" t="str">
        <f>"17-1740"</f>
        <v>17-1740</v>
      </c>
      <c r="H1132" t="str">
        <f>"A"</f>
        <v>A</v>
      </c>
    </row>
    <row r="1133" spans="1:8" x14ac:dyDescent="0.2">
      <c r="A1133" t="str">
        <f t="shared" si="414"/>
        <v>0616125192</v>
      </c>
      <c r="B1133" t="str">
        <f t="shared" si="415"/>
        <v>ANNA</v>
      </c>
      <c r="C1133" t="str">
        <f t="shared" si="416"/>
        <v>BARTLETT</v>
      </c>
      <c r="D1133" t="str">
        <f t="shared" si="417"/>
        <v>09</v>
      </c>
      <c r="E1133" t="str">
        <f>"02 - A - 116 - Tina L Lovett"</f>
        <v>02 - A - 116 - Tina L Lovett</v>
      </c>
      <c r="F1133" t="str">
        <f>"NC STUDY HALL 1"</f>
        <v>NC STUDY HALL 1</v>
      </c>
      <c r="G1133" t="str">
        <f>"21-2153"</f>
        <v>21-2153</v>
      </c>
      <c r="H1133" t="str">
        <f>"A"</f>
        <v>A</v>
      </c>
    </row>
    <row r="1134" spans="1:8" x14ac:dyDescent="0.2">
      <c r="A1134" t="str">
        <f t="shared" si="414"/>
        <v>0616125192</v>
      </c>
      <c r="B1134" t="str">
        <f t="shared" si="415"/>
        <v>ANNA</v>
      </c>
      <c r="C1134" t="str">
        <f t="shared" si="416"/>
        <v>BARTLETT</v>
      </c>
      <c r="D1134" t="str">
        <f t="shared" si="417"/>
        <v>09</v>
      </c>
      <c r="E1134" t="str">
        <f>"07 - B - 107 - Brook E Goren"</f>
        <v>07 - B - 107 - Brook E Goren</v>
      </c>
      <c r="F1134" t="str">
        <f>"PRE-AICE MATH 2 IG"</f>
        <v>PRE-AICE MATH 2 IG</v>
      </c>
      <c r="G1134" t="str">
        <f>"21-2158"</f>
        <v>21-2158</v>
      </c>
      <c r="H1134" t="str">
        <f>"B"</f>
        <v>B</v>
      </c>
    </row>
    <row r="1135" spans="1:8" x14ac:dyDescent="0.2">
      <c r="A1135" t="str">
        <f t="shared" si="414"/>
        <v>0616125192</v>
      </c>
      <c r="B1135" t="str">
        <f t="shared" si="415"/>
        <v>ANNA</v>
      </c>
      <c r="C1135" t="str">
        <f t="shared" si="416"/>
        <v>BARTLETT</v>
      </c>
      <c r="D1135" t="str">
        <f t="shared" si="417"/>
        <v>09</v>
      </c>
      <c r="E1135" t="str">
        <f>"05 - B - 103 - Eva T Rimmer"</f>
        <v>05 - B - 103 - Eva T Rimmer</v>
      </c>
      <c r="F1135" t="str">
        <f>"CRIMINAL JUST OPS 1"</f>
        <v>CRIMINAL JUST OPS 1</v>
      </c>
      <c r="G1135" t="str">
        <f>"05-523"</f>
        <v>05-523</v>
      </c>
      <c r="H1135" t="str">
        <f>"B"</f>
        <v>B</v>
      </c>
    </row>
    <row r="1136" spans="1:8" x14ac:dyDescent="0.2">
      <c r="A1136" t="str">
        <f t="shared" si="414"/>
        <v>0616125192</v>
      </c>
      <c r="B1136" t="str">
        <f t="shared" si="415"/>
        <v>ANNA</v>
      </c>
      <c r="C1136" t="str">
        <f t="shared" si="416"/>
        <v>BARTLETT</v>
      </c>
      <c r="D1136" t="str">
        <f t="shared" si="417"/>
        <v>09</v>
      </c>
      <c r="E1136" t="str">
        <f>"01 - A - 101 - Vanessa J Liburd"</f>
        <v>01 - A - 101 - Vanessa J Liburd</v>
      </c>
      <c r="F1136" t="str">
        <f>"PRE-AICE FRENCH 1 IG"</f>
        <v>PRE-AICE FRENCH 1 IG</v>
      </c>
      <c r="G1136" t="str">
        <f>"05-519"</f>
        <v>05-519</v>
      </c>
      <c r="H1136" t="str">
        <f>"A"</f>
        <v>A</v>
      </c>
    </row>
    <row r="1137" spans="1:8" x14ac:dyDescent="0.2">
      <c r="A1137" t="str">
        <f t="shared" si="414"/>
        <v>0616125192</v>
      </c>
      <c r="B1137" t="str">
        <f t="shared" si="415"/>
        <v>ANNA</v>
      </c>
      <c r="C1137" t="str">
        <f t="shared" si="416"/>
        <v>BARTLETT</v>
      </c>
      <c r="D1137" t="str">
        <f t="shared" si="417"/>
        <v>09</v>
      </c>
      <c r="E1137" t="str">
        <f>"08 - B - 004 - Cheryl Anne  Berman-Schechter"</f>
        <v>08 - B - 004 - Cheryl Anne  Berman-Schechter</v>
      </c>
      <c r="F1137" t="str">
        <f>"AICE ENG GEN PAPER 1"</f>
        <v>AICE ENG GEN PAPER 1</v>
      </c>
      <c r="G1137" t="str">
        <f>"17-1722"</f>
        <v>17-1722</v>
      </c>
      <c r="H1137" t="str">
        <f>"B"</f>
        <v>B</v>
      </c>
    </row>
    <row r="1138" spans="1:8" x14ac:dyDescent="0.2">
      <c r="A1138" t="str">
        <f t="shared" ref="A1138:A1146" si="418">"0607089858"</f>
        <v>0607089858</v>
      </c>
      <c r="B1138" t="str">
        <f t="shared" ref="B1138:B1146" si="419">"CHARLES"</f>
        <v>CHARLES</v>
      </c>
      <c r="C1138" t="str">
        <f t="shared" ref="C1138:C1146" si="420">"BARTLEY"</f>
        <v>BARTLEY</v>
      </c>
      <c r="D1138">
        <f>12</f>
        <v>12</v>
      </c>
      <c r="E1138" t="str">
        <f>"04 - A - 102 - Tiffany L Colon"</f>
        <v>04 - A - 102 - Tiffany L Colon</v>
      </c>
      <c r="F1138" t="str">
        <f>"U SKLS: SOC&amp;EMO 9-12"</f>
        <v>U SKLS: SOC&amp;EMO 9-12</v>
      </c>
      <c r="G1138">
        <f>2044</f>
        <v>2044</v>
      </c>
      <c r="H1138" t="str">
        <f>"A"</f>
        <v>A</v>
      </c>
    </row>
    <row r="1139" spans="1:8" x14ac:dyDescent="0.2">
      <c r="A1139" t="str">
        <f t="shared" si="418"/>
        <v>0607089858</v>
      </c>
      <c r="B1139" t="str">
        <f t="shared" si="419"/>
        <v>CHARLES</v>
      </c>
      <c r="C1139" t="str">
        <f t="shared" si="420"/>
        <v>BARTLEY</v>
      </c>
      <c r="D1139">
        <f>12</f>
        <v>12</v>
      </c>
      <c r="E1139" t="str">
        <f>"04 - A - 114 - Karen A Toomer"</f>
        <v>04 - A - 114 - Karen A Toomer</v>
      </c>
      <c r="F1139" t="str">
        <f>"LANG THERAPY"</f>
        <v>LANG THERAPY</v>
      </c>
      <c r="G1139" t="str">
        <f>"21-2110"</f>
        <v>21-2110</v>
      </c>
      <c r="H1139" t="str">
        <f>"A"</f>
        <v>A</v>
      </c>
    </row>
    <row r="1140" spans="1:8" x14ac:dyDescent="0.2">
      <c r="A1140" t="str">
        <f t="shared" si="418"/>
        <v>0607089858</v>
      </c>
      <c r="B1140" t="str">
        <f t="shared" si="419"/>
        <v>CHARLES</v>
      </c>
      <c r="C1140" t="str">
        <f t="shared" si="420"/>
        <v>BARTLEY</v>
      </c>
      <c r="D1140">
        <f>12</f>
        <v>12</v>
      </c>
      <c r="E1140" t="str">
        <f>"06 - B - 101 - Gail S Markowitz"</f>
        <v>06 - B - 101 - Gail S Markowitz</v>
      </c>
      <c r="F1140" t="str">
        <f>"CAR EXERIENCES: 9-12"</f>
        <v>CAR EXERIENCES: 9-12</v>
      </c>
      <c r="G1140">
        <f>1730</f>
        <v>1730</v>
      </c>
      <c r="H1140" t="str">
        <f>"B"</f>
        <v>B</v>
      </c>
    </row>
    <row r="1141" spans="1:8" x14ac:dyDescent="0.2">
      <c r="A1141" t="str">
        <f t="shared" si="418"/>
        <v>0607089858</v>
      </c>
      <c r="B1141" t="str">
        <f t="shared" si="419"/>
        <v>CHARLES</v>
      </c>
      <c r="C1141" t="str">
        <f t="shared" si="420"/>
        <v>BARTLEY</v>
      </c>
      <c r="D1141">
        <f>12</f>
        <v>12</v>
      </c>
      <c r="E1141" t="str">
        <f>"03 - A - 101 - Gail S Markowitz"</f>
        <v>03 - A - 101 - Gail S Markowitz</v>
      </c>
      <c r="F1141" t="str">
        <f>"SELF-DETERMINATION"</f>
        <v>SELF-DETERMINATION</v>
      </c>
      <c r="G1141">
        <f>1730</f>
        <v>1730</v>
      </c>
      <c r="H1141" t="str">
        <f>"A"</f>
        <v>A</v>
      </c>
    </row>
    <row r="1142" spans="1:8" x14ac:dyDescent="0.2">
      <c r="A1142" t="str">
        <f t="shared" si="418"/>
        <v>0607089858</v>
      </c>
      <c r="B1142" t="str">
        <f t="shared" si="419"/>
        <v>CHARLES</v>
      </c>
      <c r="C1142" t="str">
        <f t="shared" si="420"/>
        <v>BARTLEY</v>
      </c>
      <c r="D1142">
        <f>12</f>
        <v>12</v>
      </c>
      <c r="E1142" t="str">
        <f>"02 - A - 101 - Gail S Markowitz"</f>
        <v>02 - A - 101 - Gail S Markowitz</v>
      </c>
      <c r="F1142" t="str">
        <f>"CAREER ED: 9-12"</f>
        <v>CAREER ED: 9-12</v>
      </c>
      <c r="G1142">
        <f>1730</f>
        <v>1730</v>
      </c>
      <c r="H1142" t="str">
        <f>"A"</f>
        <v>A</v>
      </c>
    </row>
    <row r="1143" spans="1:8" x14ac:dyDescent="0.2">
      <c r="A1143" t="str">
        <f t="shared" si="418"/>
        <v>0607089858</v>
      </c>
      <c r="B1143" t="str">
        <f t="shared" si="419"/>
        <v>CHARLES</v>
      </c>
      <c r="C1143" t="str">
        <f t="shared" si="420"/>
        <v>BARTLEY</v>
      </c>
      <c r="D1143">
        <f>12</f>
        <v>12</v>
      </c>
      <c r="E1143" t="str">
        <f>"07 - B - 101 - Gail S Markowitz"</f>
        <v>07 - B - 101 - Gail S Markowitz</v>
      </c>
      <c r="F1143" t="str">
        <f>"CAR PLACEMENT: 9-12"</f>
        <v>CAR PLACEMENT: 9-12</v>
      </c>
      <c r="G1143">
        <f>1730</f>
        <v>1730</v>
      </c>
      <c r="H1143" t="str">
        <f>"B"</f>
        <v>B</v>
      </c>
    </row>
    <row r="1144" spans="1:8" x14ac:dyDescent="0.2">
      <c r="A1144" t="str">
        <f t="shared" si="418"/>
        <v>0607089858</v>
      </c>
      <c r="B1144" t="str">
        <f t="shared" si="419"/>
        <v>CHARLES</v>
      </c>
      <c r="C1144" t="str">
        <f t="shared" si="420"/>
        <v>BARTLEY</v>
      </c>
      <c r="D1144">
        <f>12</f>
        <v>12</v>
      </c>
      <c r="E1144" t="str">
        <f>"05 - B - 101 - Gail S Markowitz"</f>
        <v>05 - B - 101 - Gail S Markowitz</v>
      </c>
      <c r="F1144" t="str">
        <f>"U SKLS: 9-12"</f>
        <v>U SKLS: 9-12</v>
      </c>
      <c r="G1144">
        <f>1730</f>
        <v>1730</v>
      </c>
      <c r="H1144" t="str">
        <f>"B"</f>
        <v>B</v>
      </c>
    </row>
    <row r="1145" spans="1:8" x14ac:dyDescent="0.2">
      <c r="A1145" t="str">
        <f t="shared" si="418"/>
        <v>0607089858</v>
      </c>
      <c r="B1145" t="str">
        <f t="shared" si="419"/>
        <v>CHARLES</v>
      </c>
      <c r="C1145" t="str">
        <f t="shared" si="420"/>
        <v>BARTLEY</v>
      </c>
      <c r="D1145">
        <f>12</f>
        <v>12</v>
      </c>
      <c r="E1145" t="str">
        <f>"01 - A - 101 - Gail S Markowitz"</f>
        <v>01 - A - 101 - Gail S Markowitz</v>
      </c>
      <c r="F1145" t="str">
        <f>"PREP AD LIV"</f>
        <v>PREP AD LIV</v>
      </c>
      <c r="G1145">
        <f>1730</f>
        <v>1730</v>
      </c>
      <c r="H1145" t="str">
        <f>"A"</f>
        <v>A</v>
      </c>
    </row>
    <row r="1146" spans="1:8" x14ac:dyDescent="0.2">
      <c r="A1146" t="str">
        <f t="shared" si="418"/>
        <v>0607089858</v>
      </c>
      <c r="B1146" t="str">
        <f t="shared" si="419"/>
        <v>CHARLES</v>
      </c>
      <c r="C1146" t="str">
        <f t="shared" si="420"/>
        <v>BARTLEY</v>
      </c>
      <c r="D1146">
        <f>12</f>
        <v>12</v>
      </c>
      <c r="E1146" t="str">
        <f>"08 - B - 101 - Gail S Markowitz"</f>
        <v>08 - B - 101 - Gail S Markowitz</v>
      </c>
      <c r="F1146" t="str">
        <f>"U SKLS: SOC&amp;EMO 9-12"</f>
        <v>U SKLS: SOC&amp;EMO 9-12</v>
      </c>
      <c r="G1146">
        <f>1730</f>
        <v>1730</v>
      </c>
      <c r="H1146" t="str">
        <f>"B"</f>
        <v>B</v>
      </c>
    </row>
    <row r="1147" spans="1:8" x14ac:dyDescent="0.2">
      <c r="A1147" t="str">
        <f t="shared" ref="A1147:A1154" si="421">"0614103309"</f>
        <v>0614103309</v>
      </c>
      <c r="B1147" t="str">
        <f t="shared" ref="B1147:B1154" si="422">"HAILEY"</f>
        <v>HAILEY</v>
      </c>
      <c r="C1147" t="str">
        <f t="shared" ref="C1147:C1162" si="423">"BASKETT"</f>
        <v>BASKETT</v>
      </c>
      <c r="D1147">
        <f>11</f>
        <v>11</v>
      </c>
      <c r="E1147" t="str">
        <f>"04 - A - 102 - Lisa J London"</f>
        <v>04 - A - 102 - Lisa J London</v>
      </c>
      <c r="F1147" t="str">
        <f>"AP CAPSTONE SEMINAR"</f>
        <v>AP CAPSTONE SEMINAR</v>
      </c>
      <c r="G1147" t="str">
        <f>"17-1714"</f>
        <v>17-1714</v>
      </c>
      <c r="H1147" t="str">
        <f>"A"</f>
        <v>A</v>
      </c>
    </row>
    <row r="1148" spans="1:8" x14ac:dyDescent="0.2">
      <c r="A1148" t="str">
        <f t="shared" si="421"/>
        <v>0614103309</v>
      </c>
      <c r="B1148" t="str">
        <f t="shared" si="422"/>
        <v>HAILEY</v>
      </c>
      <c r="C1148" t="str">
        <f t="shared" si="423"/>
        <v>BASKETT</v>
      </c>
      <c r="D1148">
        <f>11</f>
        <v>11</v>
      </c>
      <c r="E1148" t="str">
        <f>"06 - B - 102 - Stephen T Ripp"</f>
        <v>06 - B - 102 - Stephen T Ripp</v>
      </c>
      <c r="F1148" t="str">
        <f>"AP U.S. HIST"</f>
        <v>AP U.S. HIST</v>
      </c>
      <c r="G1148" t="str">
        <f>"17-1744"</f>
        <v>17-1744</v>
      </c>
      <c r="H1148" t="str">
        <f>"B"</f>
        <v>B</v>
      </c>
    </row>
    <row r="1149" spans="1:8" x14ac:dyDescent="0.2">
      <c r="A1149" t="str">
        <f t="shared" si="421"/>
        <v>0614103309</v>
      </c>
      <c r="B1149" t="str">
        <f t="shared" si="422"/>
        <v>HAILEY</v>
      </c>
      <c r="C1149" t="str">
        <f t="shared" si="423"/>
        <v>BASKETT</v>
      </c>
      <c r="D1149">
        <f>11</f>
        <v>11</v>
      </c>
      <c r="E1149" t="str">
        <f>"03 - A - 102 - Tina M Jaramillo"</f>
        <v>03 - A - 102 - Tina M Jaramillo</v>
      </c>
      <c r="F1149" t="str">
        <f>"AP ENG COMPO"</f>
        <v>AP ENG COMPO</v>
      </c>
      <c r="G1149" t="str">
        <f>"17-1706"</f>
        <v>17-1706</v>
      </c>
      <c r="H1149" t="str">
        <f>"A"</f>
        <v>A</v>
      </c>
    </row>
    <row r="1150" spans="1:8" x14ac:dyDescent="0.2">
      <c r="A1150" t="str">
        <f t="shared" si="421"/>
        <v>0614103309</v>
      </c>
      <c r="B1150" t="str">
        <f t="shared" si="422"/>
        <v>HAILEY</v>
      </c>
      <c r="C1150" t="str">
        <f t="shared" si="423"/>
        <v>BASKETT</v>
      </c>
      <c r="D1150">
        <f>11</f>
        <v>11</v>
      </c>
      <c r="E1150" t="str">
        <f>"02 - A - 105 - Leslie J Barton"</f>
        <v>02 - A - 105 - Leslie J Barton</v>
      </c>
      <c r="F1150" t="str">
        <f>"NC STUDY HALL 1"</f>
        <v>NC STUDY HALL 1</v>
      </c>
      <c r="G1150" t="str">
        <f>"05-521"</f>
        <v>05-521</v>
      </c>
      <c r="H1150" t="str">
        <f>"A"</f>
        <v>A</v>
      </c>
    </row>
    <row r="1151" spans="1:8" x14ac:dyDescent="0.2">
      <c r="A1151" t="str">
        <f t="shared" si="421"/>
        <v>0614103309</v>
      </c>
      <c r="B1151" t="str">
        <f t="shared" si="422"/>
        <v>HAILEY</v>
      </c>
      <c r="C1151" t="str">
        <f t="shared" si="423"/>
        <v>BASKETT</v>
      </c>
      <c r="D1151">
        <f>11</f>
        <v>11</v>
      </c>
      <c r="E1151" t="str">
        <f>"07 - B - 101 - Fernando  Vega-Cid"</f>
        <v>07 - B - 101 - Fernando  Vega-Cid</v>
      </c>
      <c r="F1151" t="str">
        <f>"AP PRECALCULUS"</f>
        <v>AP PRECALCULUS</v>
      </c>
      <c r="G1151" t="str">
        <f>"21-2163"</f>
        <v>21-2163</v>
      </c>
      <c r="H1151" t="str">
        <f>"B"</f>
        <v>B</v>
      </c>
    </row>
    <row r="1152" spans="1:8" x14ac:dyDescent="0.2">
      <c r="A1152" t="str">
        <f t="shared" si="421"/>
        <v>0614103309</v>
      </c>
      <c r="B1152" t="str">
        <f t="shared" si="422"/>
        <v>HAILEY</v>
      </c>
      <c r="C1152" t="str">
        <f t="shared" si="423"/>
        <v>BASKETT</v>
      </c>
      <c r="D1152">
        <f>11</f>
        <v>11</v>
      </c>
      <c r="E1152" t="str">
        <f>"05 - B - 103 - Chrystina M Marchionne"</f>
        <v>05 - B - 103 - Chrystina M Marchionne</v>
      </c>
      <c r="F1152" t="str">
        <f>"AICE MEDIA STUDIES A"</f>
        <v>AICE MEDIA STUDIES A</v>
      </c>
      <c r="G1152" t="str">
        <f>"05-520"</f>
        <v>05-520</v>
      </c>
      <c r="H1152" t="str">
        <f>"B"</f>
        <v>B</v>
      </c>
    </row>
    <row r="1153" spans="1:8" x14ac:dyDescent="0.2">
      <c r="A1153" t="str">
        <f t="shared" si="421"/>
        <v>0614103309</v>
      </c>
      <c r="B1153" t="str">
        <f t="shared" si="422"/>
        <v>HAILEY</v>
      </c>
      <c r="C1153" t="str">
        <f t="shared" si="423"/>
        <v>BASKETT</v>
      </c>
      <c r="D1153">
        <f>11</f>
        <v>11</v>
      </c>
      <c r="E1153" t="str">
        <f>"01 - A - 101 - Marielle A Witting"</f>
        <v>01 - A - 101 - Marielle A Witting</v>
      </c>
      <c r="F1153" t="str">
        <f>"AP BIO"</f>
        <v>AP BIO</v>
      </c>
      <c r="G1153" t="str">
        <f>"08-805"</f>
        <v>08-805</v>
      </c>
      <c r="H1153" t="str">
        <f>"A"</f>
        <v>A</v>
      </c>
    </row>
    <row r="1154" spans="1:8" x14ac:dyDescent="0.2">
      <c r="A1154" t="str">
        <f t="shared" si="421"/>
        <v>0614103309</v>
      </c>
      <c r="B1154" t="str">
        <f t="shared" si="422"/>
        <v>HAILEY</v>
      </c>
      <c r="C1154" t="str">
        <f t="shared" si="423"/>
        <v>BASKETT</v>
      </c>
      <c r="D1154">
        <f>11</f>
        <v>11</v>
      </c>
      <c r="E1154" t="str">
        <f>"08 - B - 102 - Jacqueline R Morphet"</f>
        <v>08 - B - 102 - Jacqueline R Morphet</v>
      </c>
      <c r="F1154" t="str">
        <f>"AP PHYSICS 1"</f>
        <v>AP PHYSICS 1</v>
      </c>
      <c r="G1154" t="str">
        <f>"21-2138"</f>
        <v>21-2138</v>
      </c>
      <c r="H1154" t="str">
        <f>"B"</f>
        <v>B</v>
      </c>
    </row>
    <row r="1155" spans="1:8" x14ac:dyDescent="0.2">
      <c r="A1155" t="str">
        <f t="shared" ref="A1155:A1162" si="424">"0616102871"</f>
        <v>0616102871</v>
      </c>
      <c r="B1155" t="str">
        <f t="shared" ref="B1155:B1162" si="425">"JAKE"</f>
        <v>JAKE</v>
      </c>
      <c r="C1155" t="str">
        <f t="shared" si="423"/>
        <v>BASKETT</v>
      </c>
      <c r="D1155" t="str">
        <f t="shared" ref="D1155:D1162" si="426">"09"</f>
        <v>09</v>
      </c>
      <c r="E1155" t="str">
        <f>"04 - A - 004 - Krystal Marie  Beruty"</f>
        <v>04 - A - 004 - Krystal Marie  Beruty</v>
      </c>
      <c r="F1155" t="str">
        <f>"AICE GLBL PERSP 1 AS"</f>
        <v>AICE GLBL PERSP 1 AS</v>
      </c>
      <c r="G1155" t="str">
        <f>"17-1721"</f>
        <v>17-1721</v>
      </c>
      <c r="H1155" t="str">
        <f>"A"</f>
        <v>A</v>
      </c>
    </row>
    <row r="1156" spans="1:8" x14ac:dyDescent="0.2">
      <c r="A1156" t="str">
        <f t="shared" si="424"/>
        <v>0616102871</v>
      </c>
      <c r="B1156" t="str">
        <f t="shared" si="425"/>
        <v>JAKE</v>
      </c>
      <c r="C1156" t="str">
        <f t="shared" si="423"/>
        <v>BASKETT</v>
      </c>
      <c r="D1156" t="str">
        <f t="shared" si="426"/>
        <v>09</v>
      </c>
      <c r="E1156" t="str">
        <f>"06 - B - 105 - Cerine S Stewart"</f>
        <v>06 - B - 105 - Cerine S Stewart</v>
      </c>
      <c r="F1156" t="str">
        <f>"AICE ENG GEN PAPER 1"</f>
        <v>AICE ENG GEN PAPER 1</v>
      </c>
      <c r="G1156" t="str">
        <f>"17-1720"</f>
        <v>17-1720</v>
      </c>
      <c r="H1156" t="str">
        <f>"B"</f>
        <v>B</v>
      </c>
    </row>
    <row r="1157" spans="1:8" x14ac:dyDescent="0.2">
      <c r="A1157" t="str">
        <f t="shared" si="424"/>
        <v>0616102871</v>
      </c>
      <c r="B1157" t="str">
        <f t="shared" si="425"/>
        <v>JAKE</v>
      </c>
      <c r="C1157" t="str">
        <f t="shared" si="423"/>
        <v>BASKETT</v>
      </c>
      <c r="D1157" t="str">
        <f t="shared" si="426"/>
        <v>09</v>
      </c>
      <c r="E1157" t="str">
        <f>"03 - S1 - A - 102 - Angela S Adeshina-Morrison"</f>
        <v>03 - S1 - A - 102 - Angela S Adeshina-Morrison</v>
      </c>
      <c r="F1157" t="str">
        <f>"PEER COUN 1"</f>
        <v>PEER COUN 1</v>
      </c>
      <c r="G1157" t="str">
        <f>"05-518"</f>
        <v>05-518</v>
      </c>
      <c r="H1157" t="str">
        <f>"A"</f>
        <v>A</v>
      </c>
    </row>
    <row r="1158" spans="1:8" x14ac:dyDescent="0.2">
      <c r="A1158" t="str">
        <f t="shared" si="424"/>
        <v>0616102871</v>
      </c>
      <c r="B1158" t="str">
        <f t="shared" si="425"/>
        <v>JAKE</v>
      </c>
      <c r="C1158" t="str">
        <f t="shared" si="423"/>
        <v>BASKETT</v>
      </c>
      <c r="D1158" t="str">
        <f t="shared" si="426"/>
        <v>09</v>
      </c>
      <c r="E1158" t="str">
        <f>"02 - A - 115 - Lourivaldo  Da Silva"</f>
        <v>02 - A - 115 - Lourivaldo  Da Silva</v>
      </c>
      <c r="F1158" t="str">
        <f>"NC STUDY HALL 1"</f>
        <v>NC STUDY HALL 1</v>
      </c>
      <c r="G1158" t="str">
        <f>"20-2079"</f>
        <v>20-2079</v>
      </c>
      <c r="H1158" t="str">
        <f>"A"</f>
        <v>A</v>
      </c>
    </row>
    <row r="1159" spans="1:8" x14ac:dyDescent="0.2">
      <c r="A1159" t="str">
        <f t="shared" si="424"/>
        <v>0616102871</v>
      </c>
      <c r="B1159" t="str">
        <f t="shared" si="425"/>
        <v>JAKE</v>
      </c>
      <c r="C1159" t="str">
        <f t="shared" si="423"/>
        <v>BASKETT</v>
      </c>
      <c r="D1159" t="str">
        <f t="shared" si="426"/>
        <v>09</v>
      </c>
      <c r="E1159" t="str">
        <f>"07 - B - 105 - Byron G Montenegro"</f>
        <v>07 - B - 105 - Byron G Montenegro</v>
      </c>
      <c r="F1159" t="str">
        <f>"AICE MARINE SCI 1 AS"</f>
        <v>AICE MARINE SCI 1 AS</v>
      </c>
      <c r="G1159" t="str">
        <f>"21-2144"</f>
        <v>21-2144</v>
      </c>
      <c r="H1159" t="str">
        <f>"B"</f>
        <v>B</v>
      </c>
    </row>
    <row r="1160" spans="1:8" x14ac:dyDescent="0.2">
      <c r="A1160" t="str">
        <f t="shared" si="424"/>
        <v>0616102871</v>
      </c>
      <c r="B1160" t="str">
        <f t="shared" si="425"/>
        <v>JAKE</v>
      </c>
      <c r="C1160" t="str">
        <f t="shared" si="423"/>
        <v>BASKETT</v>
      </c>
      <c r="D1160" t="str">
        <f t="shared" si="426"/>
        <v>09</v>
      </c>
      <c r="E1160" t="str">
        <f>"05 - B - 105 - Adam Marcus  Drucker"</f>
        <v>05 - B - 105 - Adam Marcus  Drucker</v>
      </c>
      <c r="F1160" t="str">
        <f>"HOPE-PE V"</f>
        <v>HOPE-PE V</v>
      </c>
      <c r="G1160" t="str">
        <f>"04-254"</f>
        <v>04-254</v>
      </c>
      <c r="H1160" t="str">
        <f>"B"</f>
        <v>B</v>
      </c>
    </row>
    <row r="1161" spans="1:8" x14ac:dyDescent="0.2">
      <c r="A1161" t="str">
        <f t="shared" si="424"/>
        <v>0616102871</v>
      </c>
      <c r="B1161" t="str">
        <f t="shared" si="425"/>
        <v>JAKE</v>
      </c>
      <c r="C1161" t="str">
        <f t="shared" si="423"/>
        <v>BASKETT</v>
      </c>
      <c r="D1161" t="str">
        <f t="shared" si="426"/>
        <v>09</v>
      </c>
      <c r="E1161" t="str">
        <f>"01 - S1 - A - 101 - Leslie J Barton"</f>
        <v>01 - S1 - A - 101 - Leslie J Barton</v>
      </c>
      <c r="F1161" t="str">
        <f>"FIRST AID SAFETY"</f>
        <v>FIRST AID SAFETY</v>
      </c>
      <c r="G1161" t="str">
        <f>"05-521"</f>
        <v>05-521</v>
      </c>
      <c r="H1161" t="str">
        <f>"A"</f>
        <v>A</v>
      </c>
    </row>
    <row r="1162" spans="1:8" x14ac:dyDescent="0.2">
      <c r="A1162" t="str">
        <f t="shared" si="424"/>
        <v>0616102871</v>
      </c>
      <c r="B1162" t="str">
        <f t="shared" si="425"/>
        <v>JAKE</v>
      </c>
      <c r="C1162" t="str">
        <f t="shared" si="423"/>
        <v>BASKETT</v>
      </c>
      <c r="D1162" t="str">
        <f t="shared" si="426"/>
        <v>09</v>
      </c>
      <c r="E1162" t="str">
        <f>"08 - B - 105 - Ferrie J Arostique"</f>
        <v>08 - B - 105 - Ferrie J Arostique</v>
      </c>
      <c r="F1162" t="str">
        <f>"PRE-AICE MATH 2 IG"</f>
        <v>PRE-AICE MATH 2 IG</v>
      </c>
      <c r="G1162" t="str">
        <f>"21-2139"</f>
        <v>21-2139</v>
      </c>
      <c r="H1162" t="str">
        <f>"B"</f>
        <v>B</v>
      </c>
    </row>
    <row r="1163" spans="1:8" x14ac:dyDescent="0.2">
      <c r="A1163" t="str">
        <f t="shared" ref="A1163:A1170" si="427">"0624083682"</f>
        <v>0624083682</v>
      </c>
      <c r="B1163" t="str">
        <f t="shared" ref="B1163:B1170" si="428">"PHILLIP"</f>
        <v>PHILLIP</v>
      </c>
      <c r="C1163" t="str">
        <f t="shared" ref="C1163:C1170" si="429">"BATARELLI"</f>
        <v>BATARELLI</v>
      </c>
      <c r="D1163">
        <f>10</f>
        <v>10</v>
      </c>
      <c r="E1163" t="str">
        <f>"04 - A - 105 - Milca  Exantus"</f>
        <v>04 - A - 105 - Milca  Exantus</v>
      </c>
      <c r="F1163" t="str">
        <f>"MATH COLLEGE LIB ART"</f>
        <v>MATH COLLEGE LIB ART</v>
      </c>
      <c r="G1163" t="str">
        <f>"21-2145"</f>
        <v>21-2145</v>
      </c>
      <c r="H1163" t="str">
        <f>"A"</f>
        <v>A</v>
      </c>
    </row>
    <row r="1164" spans="1:8" x14ac:dyDescent="0.2">
      <c r="A1164" t="str">
        <f t="shared" si="427"/>
        <v>0624083682</v>
      </c>
      <c r="B1164" t="str">
        <f t="shared" si="428"/>
        <v>PHILLIP</v>
      </c>
      <c r="C1164" t="str">
        <f t="shared" si="429"/>
        <v>BATARELLI</v>
      </c>
      <c r="D1164">
        <f>10</f>
        <v>10</v>
      </c>
      <c r="E1164" t="str">
        <f>"06 - B - 003 - Emmily A Sarmiento"</f>
        <v>06 - B - 003 - Emmily A Sarmiento</v>
      </c>
      <c r="F1164" t="str">
        <f>"NC STUDY HALL 1"</f>
        <v>NC STUDY HALL 1</v>
      </c>
      <c r="G1164" t="str">
        <f>"17-1743"</f>
        <v>17-1743</v>
      </c>
      <c r="H1164" t="str">
        <f>"B"</f>
        <v>B</v>
      </c>
    </row>
    <row r="1165" spans="1:8" x14ac:dyDescent="0.2">
      <c r="A1165" t="str">
        <f t="shared" si="427"/>
        <v>0624083682</v>
      </c>
      <c r="B1165" t="str">
        <f t="shared" si="428"/>
        <v>PHILLIP</v>
      </c>
      <c r="C1165" t="str">
        <f t="shared" si="429"/>
        <v>BATARELLI</v>
      </c>
      <c r="D1165">
        <f>10</f>
        <v>10</v>
      </c>
      <c r="E1165" t="str">
        <f>"03 - A - 103 - Adam Marcus  Drucker"</f>
        <v>03 - A - 103 - Adam Marcus  Drucker</v>
      </c>
      <c r="F1165" t="str">
        <f>"HOPE-PE V"</f>
        <v>HOPE-PE V</v>
      </c>
      <c r="G1165" t="str">
        <f>"04-254"</f>
        <v>04-254</v>
      </c>
      <c r="H1165" t="str">
        <f>"A"</f>
        <v>A</v>
      </c>
    </row>
    <row r="1166" spans="1:8" x14ac:dyDescent="0.2">
      <c r="A1166" t="str">
        <f t="shared" si="427"/>
        <v>0624083682</v>
      </c>
      <c r="B1166" t="str">
        <f t="shared" si="428"/>
        <v>PHILLIP</v>
      </c>
      <c r="C1166" t="str">
        <f t="shared" si="429"/>
        <v>BATARELLI</v>
      </c>
      <c r="D1166">
        <f>10</f>
        <v>10</v>
      </c>
      <c r="E1166" t="str">
        <f>"02 - A - 101 - Brian M Fitzgerald"</f>
        <v>02 - A - 101 - Brian M Fitzgerald</v>
      </c>
      <c r="F1166" t="str">
        <f>"DRAW 1"</f>
        <v>DRAW 1</v>
      </c>
      <c r="G1166" t="str">
        <f>"09-908"</f>
        <v>09-908</v>
      </c>
      <c r="H1166" t="str">
        <f>"A"</f>
        <v>A</v>
      </c>
    </row>
    <row r="1167" spans="1:8" x14ac:dyDescent="0.2">
      <c r="A1167" t="str">
        <f t="shared" si="427"/>
        <v>0624083682</v>
      </c>
      <c r="B1167" t="str">
        <f t="shared" si="428"/>
        <v>PHILLIP</v>
      </c>
      <c r="C1167" t="str">
        <f t="shared" si="429"/>
        <v>BATARELLI</v>
      </c>
      <c r="D1167">
        <f>10</f>
        <v>10</v>
      </c>
      <c r="E1167" t="str">
        <f>"07 - S1 - B - 102 - Arthur  Kulawik"</f>
        <v>07 - S1 - B - 102 - Arthur  Kulawik</v>
      </c>
      <c r="F1167" t="str">
        <f>"PERS FIN &amp; MON MGT H"</f>
        <v>PERS FIN &amp; MON MGT H</v>
      </c>
      <c r="G1167" t="str">
        <f>"05-506"</f>
        <v>05-506</v>
      </c>
      <c r="H1167" t="str">
        <f>"B"</f>
        <v>B</v>
      </c>
    </row>
    <row r="1168" spans="1:8" x14ac:dyDescent="0.2">
      <c r="A1168" t="str">
        <f t="shared" si="427"/>
        <v>0624083682</v>
      </c>
      <c r="B1168" t="str">
        <f t="shared" si="428"/>
        <v>PHILLIP</v>
      </c>
      <c r="C1168" t="str">
        <f t="shared" si="429"/>
        <v>BATARELLI</v>
      </c>
      <c r="D1168">
        <f>10</f>
        <v>10</v>
      </c>
      <c r="E1168" t="str">
        <f>"05 - B - 107 - Nikiel  Nesbeth"</f>
        <v>05 - B - 107 - Nikiel  Nesbeth</v>
      </c>
      <c r="F1168" t="str">
        <f>"ENG 2"</f>
        <v>ENG 2</v>
      </c>
      <c r="G1168" t="str">
        <f>"17-1705"</f>
        <v>17-1705</v>
      </c>
      <c r="H1168" t="str">
        <f>"B"</f>
        <v>B</v>
      </c>
    </row>
    <row r="1169" spans="1:8" x14ac:dyDescent="0.2">
      <c r="A1169" t="str">
        <f t="shared" si="427"/>
        <v>0624083682</v>
      </c>
      <c r="B1169" t="str">
        <f t="shared" si="428"/>
        <v>PHILLIP</v>
      </c>
      <c r="C1169" t="str">
        <f t="shared" si="429"/>
        <v>BATARELLI</v>
      </c>
      <c r="D1169">
        <f>10</f>
        <v>10</v>
      </c>
      <c r="E1169" t="str">
        <f>"01 - A - 101 - Samantha L Martinez"</f>
        <v>01 - A - 101 - Samantha L Martinez</v>
      </c>
      <c r="F1169" t="str">
        <f>"MUSIC WORLD"</f>
        <v>MUSIC WORLD</v>
      </c>
      <c r="G1169" t="str">
        <f>"05-505"</f>
        <v>05-505</v>
      </c>
      <c r="H1169" t="str">
        <f>"A"</f>
        <v>A</v>
      </c>
    </row>
    <row r="1170" spans="1:8" x14ac:dyDescent="0.2">
      <c r="A1170" t="str">
        <f t="shared" si="427"/>
        <v>0624083682</v>
      </c>
      <c r="B1170" t="str">
        <f t="shared" si="428"/>
        <v>PHILLIP</v>
      </c>
      <c r="C1170" t="str">
        <f t="shared" si="429"/>
        <v>BATARELLI</v>
      </c>
      <c r="D1170">
        <f>10</f>
        <v>10</v>
      </c>
      <c r="E1170" t="str">
        <f>"08 - B - 108 - Paige Lauren  Brochu"</f>
        <v>08 - B - 108 - Paige Lauren  Brochu</v>
      </c>
      <c r="F1170" t="str">
        <f>"BIOLOGY 1"</f>
        <v>BIOLOGY 1</v>
      </c>
      <c r="G1170" t="str">
        <f>"21-2134"</f>
        <v>21-2134</v>
      </c>
      <c r="H1170" t="str">
        <f>"B"</f>
        <v>B</v>
      </c>
    </row>
    <row r="1171" spans="1:8" x14ac:dyDescent="0.2">
      <c r="A1171" t="str">
        <f t="shared" ref="A1171:A1178" si="430">"0615021124"</f>
        <v>0615021124</v>
      </c>
      <c r="B1171" t="str">
        <f t="shared" ref="B1171:B1178" si="431">"JOSEPH"</f>
        <v>JOSEPH</v>
      </c>
      <c r="C1171" t="str">
        <f t="shared" ref="C1171:C1178" si="432">"BATTISTE"</f>
        <v>BATTISTE</v>
      </c>
      <c r="D1171">
        <f>10</f>
        <v>10</v>
      </c>
      <c r="E1171" t="str">
        <f>"04 - A - 004 - Krystal Marie  Beruty"</f>
        <v>04 - A - 004 - Krystal Marie  Beruty</v>
      </c>
      <c r="F1171" t="str">
        <f>"AICE GLBL PERSP 1 AS"</f>
        <v>AICE GLBL PERSP 1 AS</v>
      </c>
      <c r="G1171" t="str">
        <f>"17-1721"</f>
        <v>17-1721</v>
      </c>
      <c r="H1171" t="str">
        <f>"A"</f>
        <v>A</v>
      </c>
    </row>
    <row r="1172" spans="1:8" x14ac:dyDescent="0.2">
      <c r="A1172" t="str">
        <f t="shared" si="430"/>
        <v>0615021124</v>
      </c>
      <c r="B1172" t="str">
        <f t="shared" si="431"/>
        <v>JOSEPH</v>
      </c>
      <c r="C1172" t="str">
        <f t="shared" si="432"/>
        <v>BATTISTE</v>
      </c>
      <c r="D1172">
        <f>10</f>
        <v>10</v>
      </c>
      <c r="E1172" t="str">
        <f>"06 - B - 117 - Daniel S Tyson"</f>
        <v>06 - B - 117 - Daniel S Tyson</v>
      </c>
      <c r="F1172" t="str">
        <f>"NC STUDY HALL 1"</f>
        <v>NC STUDY HALL 1</v>
      </c>
      <c r="G1172" t="str">
        <f>"05-510"</f>
        <v>05-510</v>
      </c>
      <c r="H1172" t="str">
        <f>"B"</f>
        <v>B</v>
      </c>
    </row>
    <row r="1173" spans="1:8" x14ac:dyDescent="0.2">
      <c r="A1173" t="str">
        <f t="shared" si="430"/>
        <v>0615021124</v>
      </c>
      <c r="B1173" t="str">
        <f t="shared" si="431"/>
        <v>JOSEPH</v>
      </c>
      <c r="C1173" t="str">
        <f t="shared" si="432"/>
        <v>BATTISTE</v>
      </c>
      <c r="D1173">
        <f>10</f>
        <v>10</v>
      </c>
      <c r="E1173" t="str">
        <f>"03 - A - 102 - Semra  Bahadir"</f>
        <v>03 - A - 102 - Semra  Bahadir</v>
      </c>
      <c r="F1173" t="str">
        <f>"ALGEBRA 2"</f>
        <v>ALGEBRA 2</v>
      </c>
      <c r="G1173" t="str">
        <f>"21-2107"</f>
        <v>21-2107</v>
      </c>
      <c r="H1173" t="str">
        <f>"A"</f>
        <v>A</v>
      </c>
    </row>
    <row r="1174" spans="1:8" x14ac:dyDescent="0.2">
      <c r="A1174" t="str">
        <f t="shared" si="430"/>
        <v>0615021124</v>
      </c>
      <c r="B1174" t="str">
        <f t="shared" si="431"/>
        <v>JOSEPH</v>
      </c>
      <c r="C1174" t="str">
        <f t="shared" si="432"/>
        <v>BATTISTE</v>
      </c>
      <c r="D1174">
        <f>10</f>
        <v>10</v>
      </c>
      <c r="E1174" t="str">
        <f>"02 - A - 201 - Jordana K Hass"</f>
        <v>02 - A - 201 - Jordana K Hass</v>
      </c>
      <c r="F1174" t="str">
        <f>"CHEMISTRY 1"</f>
        <v>CHEMISTRY 1</v>
      </c>
      <c r="G1174" t="str">
        <f>"08-807"</f>
        <v>08-807</v>
      </c>
      <c r="H1174" t="str">
        <f>"A"</f>
        <v>A</v>
      </c>
    </row>
    <row r="1175" spans="1:8" x14ac:dyDescent="0.2">
      <c r="A1175" t="str">
        <f t="shared" si="430"/>
        <v>0615021124</v>
      </c>
      <c r="B1175" t="str">
        <f t="shared" si="431"/>
        <v>JOSEPH</v>
      </c>
      <c r="C1175" t="str">
        <f t="shared" si="432"/>
        <v>BATTISTE</v>
      </c>
      <c r="D1175">
        <f>10</f>
        <v>10</v>
      </c>
      <c r="E1175" t="str">
        <f>"07 - S1 - B - 105 - Richard E Dunbar Iii"</f>
        <v>07 - S1 - B - 105 - Richard E Dunbar Iii</v>
      </c>
      <c r="F1175" t="str">
        <f>"WEIGHT TRAIN 3"</f>
        <v>WEIGHT TRAIN 3</v>
      </c>
      <c r="G1175" t="str">
        <f>"05-501"</f>
        <v>05-501</v>
      </c>
      <c r="H1175" t="str">
        <f>"B"</f>
        <v>B</v>
      </c>
    </row>
    <row r="1176" spans="1:8" x14ac:dyDescent="0.2">
      <c r="A1176" t="str">
        <f t="shared" si="430"/>
        <v>0615021124</v>
      </c>
      <c r="B1176" t="str">
        <f t="shared" si="431"/>
        <v>JOSEPH</v>
      </c>
      <c r="C1176" t="str">
        <f t="shared" si="432"/>
        <v>BATTISTE</v>
      </c>
      <c r="D1176">
        <f>10</f>
        <v>10</v>
      </c>
      <c r="E1176" t="str">
        <f>"05 - B - 204 - Cheryl L Beach"</f>
        <v>05 - B - 204 - Cheryl L Beach</v>
      </c>
      <c r="F1176" t="str">
        <f>"AICE ENV MGMNT AS"</f>
        <v>AICE ENV MGMNT AS</v>
      </c>
      <c r="G1176" t="str">
        <f>"08-811"</f>
        <v>08-811</v>
      </c>
      <c r="H1176" t="str">
        <f>"B"</f>
        <v>B</v>
      </c>
    </row>
    <row r="1177" spans="1:8" x14ac:dyDescent="0.2">
      <c r="A1177" t="str">
        <f t="shared" si="430"/>
        <v>0615021124</v>
      </c>
      <c r="B1177" t="str">
        <f t="shared" si="431"/>
        <v>JOSEPH</v>
      </c>
      <c r="C1177" t="str">
        <f t="shared" si="432"/>
        <v>BATTISTE</v>
      </c>
      <c r="D1177">
        <f>10</f>
        <v>10</v>
      </c>
      <c r="E1177" t="str">
        <f>"01 - A - 101 - Eva T Rimmer"</f>
        <v>01 - A - 101 - Eva T Rimmer</v>
      </c>
      <c r="F1177" t="str">
        <f>"CRIMINAL JUST OPS 2"</f>
        <v>CRIMINAL JUST OPS 2</v>
      </c>
      <c r="G1177" t="str">
        <f>"05-523"</f>
        <v>05-523</v>
      </c>
      <c r="H1177" t="str">
        <f>"A"</f>
        <v>A</v>
      </c>
    </row>
    <row r="1178" spans="1:8" x14ac:dyDescent="0.2">
      <c r="A1178" t="str">
        <f t="shared" si="430"/>
        <v>0615021124</v>
      </c>
      <c r="B1178" t="str">
        <f t="shared" si="431"/>
        <v>JOSEPH</v>
      </c>
      <c r="C1178" t="str">
        <f t="shared" si="432"/>
        <v>BATTISTE</v>
      </c>
      <c r="D1178">
        <f>10</f>
        <v>10</v>
      </c>
      <c r="E1178" t="str">
        <f>"08 - B - 001 - Jacklyn M James"</f>
        <v>08 - B - 001 - Jacklyn M James</v>
      </c>
      <c r="F1178" t="str">
        <f>"AICE ENG LANG AS"</f>
        <v>AICE ENG LANG AS</v>
      </c>
      <c r="G1178" t="str">
        <f>"17-1731"</f>
        <v>17-1731</v>
      </c>
      <c r="H1178" t="str">
        <f>"B"</f>
        <v>B</v>
      </c>
    </row>
    <row r="1179" spans="1:8" x14ac:dyDescent="0.2">
      <c r="A1179" t="str">
        <f t="shared" ref="A1179:A1186" si="433">"0625031073"</f>
        <v>0625031073</v>
      </c>
      <c r="B1179" t="str">
        <f t="shared" ref="B1179:B1186" si="434">"Claude-Henry"</f>
        <v>Claude-Henry</v>
      </c>
      <c r="C1179" t="str">
        <f t="shared" ref="C1179:C1186" si="435">"Bayard"</f>
        <v>Bayard</v>
      </c>
      <c r="D1179" t="str">
        <f t="shared" ref="D1179:D1186" si="436">"09"</f>
        <v>09</v>
      </c>
      <c r="E1179" t="str">
        <f>"04 - A - 108 - Maried P Ramos"</f>
        <v>04 - A - 108 - Maried P Ramos</v>
      </c>
      <c r="F1179" t="str">
        <f>"GEOMETRY"</f>
        <v>GEOMETRY</v>
      </c>
      <c r="G1179" t="str">
        <f>"21-2159"</f>
        <v>21-2159</v>
      </c>
      <c r="H1179" t="str">
        <f>"A"</f>
        <v>A</v>
      </c>
    </row>
    <row r="1180" spans="1:8" x14ac:dyDescent="0.2">
      <c r="A1180" t="str">
        <f t="shared" si="433"/>
        <v>0625031073</v>
      </c>
      <c r="B1180" t="str">
        <f t="shared" si="434"/>
        <v>Claude-Henry</v>
      </c>
      <c r="C1180" t="str">
        <f t="shared" si="435"/>
        <v>Bayard</v>
      </c>
      <c r="D1180" t="str">
        <f t="shared" si="436"/>
        <v>09</v>
      </c>
      <c r="E1180" t="str">
        <f>"06 - B - 104 - Rory T Sponsler"</f>
        <v>06 - B - 104 - Rory T Sponsler</v>
      </c>
      <c r="F1180" t="str">
        <f>"PRE-AICE WRLD HST IG"</f>
        <v>PRE-AICE WRLD HST IG</v>
      </c>
      <c r="G1180" t="str">
        <f>"17-1740"</f>
        <v>17-1740</v>
      </c>
      <c r="H1180" t="str">
        <f>"B"</f>
        <v>B</v>
      </c>
    </row>
    <row r="1181" spans="1:8" x14ac:dyDescent="0.2">
      <c r="A1181" t="str">
        <f t="shared" si="433"/>
        <v>0625031073</v>
      </c>
      <c r="B1181" t="str">
        <f t="shared" si="434"/>
        <v>Claude-Henry</v>
      </c>
      <c r="C1181" t="str">
        <f t="shared" si="435"/>
        <v>Bayard</v>
      </c>
      <c r="D1181" t="str">
        <f t="shared" si="436"/>
        <v>09</v>
      </c>
      <c r="E1181" t="str">
        <f>"03 - S1 - A - 101 - Daniel S Katz"</f>
        <v>03 - S1 - A - 101 - Daniel S Katz</v>
      </c>
      <c r="F1181" t="str">
        <f>"COURT PROCED"</f>
        <v>COURT PROCED</v>
      </c>
      <c r="G1181" t="str">
        <f>"21-2156"</f>
        <v>21-2156</v>
      </c>
      <c r="H1181" t="str">
        <f>"A"</f>
        <v>A</v>
      </c>
    </row>
    <row r="1182" spans="1:8" x14ac:dyDescent="0.2">
      <c r="A1182" t="str">
        <f t="shared" si="433"/>
        <v>0625031073</v>
      </c>
      <c r="B1182" t="str">
        <f t="shared" si="434"/>
        <v>Claude-Henry</v>
      </c>
      <c r="C1182" t="str">
        <f t="shared" si="435"/>
        <v>Bayard</v>
      </c>
      <c r="D1182" t="str">
        <f t="shared" si="436"/>
        <v>09</v>
      </c>
      <c r="E1182" t="str">
        <f>"02 - A - 113 - Amy Beth  Broyles"</f>
        <v>02 - A - 113 - Amy Beth  Broyles</v>
      </c>
      <c r="F1182" t="str">
        <f>"NC STUDY HALL 1"</f>
        <v>NC STUDY HALL 1</v>
      </c>
      <c r="G1182" t="str">
        <f>"08-802"</f>
        <v>08-802</v>
      </c>
      <c r="H1182" t="str">
        <f>"A"</f>
        <v>A</v>
      </c>
    </row>
    <row r="1183" spans="1:8" x14ac:dyDescent="0.2">
      <c r="A1183" t="str">
        <f t="shared" si="433"/>
        <v>0625031073</v>
      </c>
      <c r="B1183" t="str">
        <f t="shared" si="434"/>
        <v>Claude-Henry</v>
      </c>
      <c r="C1183" t="str">
        <f t="shared" si="435"/>
        <v>Bayard</v>
      </c>
      <c r="D1183" t="str">
        <f t="shared" si="436"/>
        <v>09</v>
      </c>
      <c r="E1183" t="str">
        <f>"07 - B - 105 - Paige Lauren  Brochu"</f>
        <v>07 - B - 105 - Paige Lauren  Brochu</v>
      </c>
      <c r="F1183" t="str">
        <f>"PRE-AICE BIO IG"</f>
        <v>PRE-AICE BIO IG</v>
      </c>
      <c r="G1183" t="str">
        <f>"21-2134"</f>
        <v>21-2134</v>
      </c>
      <c r="H1183" t="str">
        <f>"B"</f>
        <v>B</v>
      </c>
    </row>
    <row r="1184" spans="1:8" x14ac:dyDescent="0.2">
      <c r="A1184" t="str">
        <f t="shared" si="433"/>
        <v>0625031073</v>
      </c>
      <c r="B1184" t="str">
        <f t="shared" si="434"/>
        <v>Claude-Henry</v>
      </c>
      <c r="C1184" t="str">
        <f t="shared" si="435"/>
        <v>Bayard</v>
      </c>
      <c r="D1184" t="str">
        <f t="shared" si="436"/>
        <v>09</v>
      </c>
      <c r="E1184" t="str">
        <f>"05 - B - 105 - Marius D Orsolini"</f>
        <v>05 - B - 105 - Marius D Orsolini</v>
      </c>
      <c r="F1184" t="str">
        <f>"CULINARY ARTS 1"</f>
        <v>CULINARY ARTS 1</v>
      </c>
      <c r="G1184" t="str">
        <f>"21-2115"</f>
        <v>21-2115</v>
      </c>
      <c r="H1184" t="str">
        <f>"B"</f>
        <v>B</v>
      </c>
    </row>
    <row r="1185" spans="1:8" x14ac:dyDescent="0.2">
      <c r="A1185" t="str">
        <f t="shared" si="433"/>
        <v>0625031073</v>
      </c>
      <c r="B1185" t="str">
        <f t="shared" si="434"/>
        <v>Claude-Henry</v>
      </c>
      <c r="C1185" t="str">
        <f t="shared" si="435"/>
        <v>Bayard</v>
      </c>
      <c r="D1185" t="str">
        <f t="shared" si="436"/>
        <v>09</v>
      </c>
      <c r="E1185" t="str">
        <f>"01 - A - 101 - Cheryl Anne  Berman-Schechter"</f>
        <v>01 - A - 101 - Cheryl Anne  Berman-Schechter</v>
      </c>
      <c r="F1185" t="str">
        <f>"PRE-AICE ENG LANG IG"</f>
        <v>PRE-AICE ENG LANG IG</v>
      </c>
      <c r="G1185" t="str">
        <f>"17-1722"</f>
        <v>17-1722</v>
      </c>
      <c r="H1185" t="str">
        <f>"A"</f>
        <v>A</v>
      </c>
    </row>
    <row r="1186" spans="1:8" x14ac:dyDescent="0.2">
      <c r="A1186" t="str">
        <f t="shared" si="433"/>
        <v>0625031073</v>
      </c>
      <c r="B1186" t="str">
        <f t="shared" si="434"/>
        <v>Claude-Henry</v>
      </c>
      <c r="C1186" t="str">
        <f t="shared" si="435"/>
        <v>Bayard</v>
      </c>
      <c r="D1186" t="str">
        <f t="shared" si="436"/>
        <v>09</v>
      </c>
      <c r="E1186" t="str">
        <f>"08 - B - 101 - Alejandro  Navarro"</f>
        <v>08 - B - 101 - Alejandro  Navarro</v>
      </c>
      <c r="F1186" t="str">
        <f>"GUITAR 1"</f>
        <v>GUITAR 1</v>
      </c>
      <c r="G1186" t="str">
        <f>"05-504"</f>
        <v>05-504</v>
      </c>
      <c r="H1186" t="str">
        <f>"B"</f>
        <v>B</v>
      </c>
    </row>
    <row r="1187" spans="1:8" x14ac:dyDescent="0.2">
      <c r="A1187" t="str">
        <f t="shared" ref="A1187:A1194" si="437">"0616108222"</f>
        <v>0616108222</v>
      </c>
      <c r="B1187" t="str">
        <f t="shared" ref="B1187:B1194" si="438">"ONEIL"</f>
        <v>ONEIL</v>
      </c>
      <c r="C1187" t="str">
        <f t="shared" ref="C1187:C1194" si="439">"BAYOGAR"</f>
        <v>BAYOGAR</v>
      </c>
      <c r="D1187">
        <f>10</f>
        <v>10</v>
      </c>
      <c r="E1187" t="str">
        <f>"04 - A - 103 - Joe  Kilpatrick Jr"</f>
        <v>04 - A - 103 - Joe  Kilpatrick Jr</v>
      </c>
      <c r="F1187" t="str">
        <f>"PRE-AICE SPAN 1 IG"</f>
        <v>PRE-AICE SPAN 1 IG</v>
      </c>
      <c r="G1187" t="str">
        <f>"09-912"</f>
        <v>09-912</v>
      </c>
      <c r="H1187" t="str">
        <f>"A"</f>
        <v>A</v>
      </c>
    </row>
    <row r="1188" spans="1:8" x14ac:dyDescent="0.2">
      <c r="A1188" t="str">
        <f t="shared" si="437"/>
        <v>0616108222</v>
      </c>
      <c r="B1188" t="str">
        <f t="shared" si="438"/>
        <v>ONEIL</v>
      </c>
      <c r="C1188" t="str">
        <f t="shared" si="439"/>
        <v>BAYOGAR</v>
      </c>
      <c r="D1188">
        <f>10</f>
        <v>10</v>
      </c>
      <c r="E1188" t="str">
        <f>"06 - B - 104 - Robert H Rindner"</f>
        <v>06 - B - 104 - Robert H Rindner</v>
      </c>
      <c r="F1188" t="str">
        <f>"NC STUDY HALL 1"</f>
        <v>NC STUDY HALL 1</v>
      </c>
      <c r="G1188" t="str">
        <f>"21-2160"</f>
        <v>21-2160</v>
      </c>
      <c r="H1188" t="str">
        <f>"B"</f>
        <v>B</v>
      </c>
    </row>
    <row r="1189" spans="1:8" x14ac:dyDescent="0.2">
      <c r="A1189" t="str">
        <f t="shared" si="437"/>
        <v>0616108222</v>
      </c>
      <c r="B1189" t="str">
        <f t="shared" si="438"/>
        <v>ONEIL</v>
      </c>
      <c r="C1189" t="str">
        <f t="shared" si="439"/>
        <v>BAYOGAR</v>
      </c>
      <c r="D1189">
        <f>10</f>
        <v>10</v>
      </c>
      <c r="E1189" t="str">
        <f>"03 - A - 103 - Jacquelyn M Neeson"</f>
        <v>03 - A - 103 - Jacquelyn M Neeson</v>
      </c>
      <c r="F1189" t="str">
        <f>"ENG 2"</f>
        <v>ENG 2</v>
      </c>
      <c r="G1189" t="str">
        <f>"17-1715"</f>
        <v>17-1715</v>
      </c>
      <c r="H1189" t="str">
        <f>"A"</f>
        <v>A</v>
      </c>
    </row>
    <row r="1190" spans="1:8" x14ac:dyDescent="0.2">
      <c r="A1190" t="str">
        <f t="shared" si="437"/>
        <v>0616108222</v>
      </c>
      <c r="B1190" t="str">
        <f t="shared" si="438"/>
        <v>ONEIL</v>
      </c>
      <c r="C1190" t="str">
        <f t="shared" si="439"/>
        <v>BAYOGAR</v>
      </c>
      <c r="D1190">
        <f>10</f>
        <v>10</v>
      </c>
      <c r="E1190" t="str">
        <f>"02 - A - 202 - Daniel S Tyson"</f>
        <v>02 - A - 202 - Daniel S Tyson</v>
      </c>
      <c r="F1190" t="str">
        <f>"JROTC NAVAL SCI 2"</f>
        <v>JROTC NAVAL SCI 2</v>
      </c>
      <c r="G1190" t="str">
        <f>"05-510"</f>
        <v>05-510</v>
      </c>
      <c r="H1190" t="str">
        <f>"A"</f>
        <v>A</v>
      </c>
    </row>
    <row r="1191" spans="1:8" x14ac:dyDescent="0.2">
      <c r="A1191" t="str">
        <f t="shared" si="437"/>
        <v>0616108222</v>
      </c>
      <c r="B1191" t="str">
        <f t="shared" si="438"/>
        <v>ONEIL</v>
      </c>
      <c r="C1191" t="str">
        <f t="shared" si="439"/>
        <v>BAYOGAR</v>
      </c>
      <c r="D1191">
        <f>10</f>
        <v>10</v>
      </c>
      <c r="E1191" t="str">
        <f>"07 - S1 - B - 103 - Leslie J Barton"</f>
        <v>07 - S1 - B - 103 - Leslie J Barton</v>
      </c>
      <c r="F1191" t="str">
        <f>"TEAM SPORTS 1"</f>
        <v>TEAM SPORTS 1</v>
      </c>
      <c r="G1191" t="str">
        <f>"04-254"</f>
        <v>04-254</v>
      </c>
      <c r="H1191" t="str">
        <f>"B"</f>
        <v>B</v>
      </c>
    </row>
    <row r="1192" spans="1:8" x14ac:dyDescent="0.2">
      <c r="A1192" t="str">
        <f t="shared" si="437"/>
        <v>0616108222</v>
      </c>
      <c r="B1192" t="str">
        <f t="shared" si="438"/>
        <v>ONEIL</v>
      </c>
      <c r="C1192" t="str">
        <f t="shared" si="439"/>
        <v>BAYOGAR</v>
      </c>
      <c r="D1192">
        <f>10</f>
        <v>10</v>
      </c>
      <c r="E1192" t="str">
        <f>"05 - B - 205 - Lenecy  Nodarse"</f>
        <v>05 - B - 205 - Lenecy  Nodarse</v>
      </c>
      <c r="F1192" t="str">
        <f>"WORLD HISTORY"</f>
        <v>WORLD HISTORY</v>
      </c>
      <c r="G1192" t="str">
        <f>"17-1741"</f>
        <v>17-1741</v>
      </c>
      <c r="H1192" t="str">
        <f>"B"</f>
        <v>B</v>
      </c>
    </row>
    <row r="1193" spans="1:8" x14ac:dyDescent="0.2">
      <c r="A1193" t="str">
        <f t="shared" si="437"/>
        <v>0616108222</v>
      </c>
      <c r="B1193" t="str">
        <f t="shared" si="438"/>
        <v>ONEIL</v>
      </c>
      <c r="C1193" t="str">
        <f t="shared" si="439"/>
        <v>BAYOGAR</v>
      </c>
      <c r="D1193">
        <f>10</f>
        <v>10</v>
      </c>
      <c r="E1193" t="str">
        <f>"01 - A - 102 - Fernando  Vega-Cid"</f>
        <v>01 - A - 102 - Fernando  Vega-Cid</v>
      </c>
      <c r="F1193" t="str">
        <f>"GEOMETRY"</f>
        <v>GEOMETRY</v>
      </c>
      <c r="G1193" t="str">
        <f>"21-2163"</f>
        <v>21-2163</v>
      </c>
      <c r="H1193" t="str">
        <f>"A"</f>
        <v>A</v>
      </c>
    </row>
    <row r="1194" spans="1:8" x14ac:dyDescent="0.2">
      <c r="A1194" t="str">
        <f t="shared" si="437"/>
        <v>0616108222</v>
      </c>
      <c r="B1194" t="str">
        <f t="shared" si="438"/>
        <v>ONEIL</v>
      </c>
      <c r="C1194" t="str">
        <f t="shared" si="439"/>
        <v>BAYOGAR</v>
      </c>
      <c r="D1194">
        <f>10</f>
        <v>10</v>
      </c>
      <c r="E1194" t="str">
        <f>"08 - B - 001 - Lytrell T Dixon"</f>
        <v>08 - B - 001 - Lytrell T Dixon</v>
      </c>
      <c r="F1194" t="str">
        <f>"BIOLOGY 1"</f>
        <v>BIOLOGY 1</v>
      </c>
      <c r="G1194" t="str">
        <f>"08-808"</f>
        <v>08-808</v>
      </c>
      <c r="H1194" t="str">
        <f>"B"</f>
        <v>B</v>
      </c>
    </row>
    <row r="1195" spans="1:8" x14ac:dyDescent="0.2">
      <c r="A1195" t="str">
        <f t="shared" ref="A1195:A1202" si="440">"0620090033"</f>
        <v>0620090033</v>
      </c>
      <c r="B1195" t="str">
        <f t="shared" ref="B1195:B1202" si="441">"BENJIRO"</f>
        <v>BENJIRO</v>
      </c>
      <c r="C1195" t="str">
        <f t="shared" ref="C1195:C1202" si="442">"BAZELAIS"</f>
        <v>BAZELAIS</v>
      </c>
      <c r="D1195" t="str">
        <f t="shared" ref="D1195:D1202" si="443">"09"</f>
        <v>09</v>
      </c>
      <c r="E1195" t="str">
        <f>"04 - A - 102 - Eva T Rimmer"</f>
        <v>04 - A - 102 - Eva T Rimmer</v>
      </c>
      <c r="F1195" t="str">
        <f>"CRIMINAL JUST OPS 1"</f>
        <v>CRIMINAL JUST OPS 1</v>
      </c>
      <c r="G1195" t="str">
        <f>"05-523"</f>
        <v>05-523</v>
      </c>
      <c r="H1195" t="str">
        <f>"A"</f>
        <v>A</v>
      </c>
    </row>
    <row r="1196" spans="1:8" x14ac:dyDescent="0.2">
      <c r="A1196" t="str">
        <f t="shared" si="440"/>
        <v>0620090033</v>
      </c>
      <c r="B1196" t="str">
        <f t="shared" si="441"/>
        <v>BENJIRO</v>
      </c>
      <c r="C1196" t="str">
        <f t="shared" si="442"/>
        <v>BAZELAIS</v>
      </c>
      <c r="D1196" t="str">
        <f t="shared" si="443"/>
        <v>09</v>
      </c>
      <c r="E1196" t="str">
        <f>"06 - B - 101 - Fernando  Vega-Cid"</f>
        <v>06 - B - 101 - Fernando  Vega-Cid</v>
      </c>
      <c r="F1196" t="str">
        <f>"PRE-AICE MATH 2 IG"</f>
        <v>PRE-AICE MATH 2 IG</v>
      </c>
      <c r="G1196" t="str">
        <f>"21-2163"</f>
        <v>21-2163</v>
      </c>
      <c r="H1196" t="str">
        <f>"B"</f>
        <v>B</v>
      </c>
    </row>
    <row r="1197" spans="1:8" x14ac:dyDescent="0.2">
      <c r="A1197" t="str">
        <f t="shared" si="440"/>
        <v>0620090033</v>
      </c>
      <c r="B1197" t="str">
        <f t="shared" si="441"/>
        <v>BENJIRO</v>
      </c>
      <c r="C1197" t="str">
        <f t="shared" si="442"/>
        <v>BAZELAIS</v>
      </c>
      <c r="D1197" t="str">
        <f t="shared" si="443"/>
        <v>09</v>
      </c>
      <c r="E1197" t="str">
        <f>"03 - S1 - A - 102 - Leslie J Barton"</f>
        <v>03 - S1 - A - 102 - Leslie J Barton</v>
      </c>
      <c r="F1197" t="str">
        <f>"FIRST AID SAFETY"</f>
        <v>FIRST AID SAFETY</v>
      </c>
      <c r="G1197" t="str">
        <f>"05-521"</f>
        <v>05-521</v>
      </c>
      <c r="H1197" t="str">
        <f>"A"</f>
        <v>A</v>
      </c>
    </row>
    <row r="1198" spans="1:8" x14ac:dyDescent="0.2">
      <c r="A1198" t="str">
        <f t="shared" si="440"/>
        <v>0620090033</v>
      </c>
      <c r="B1198" t="str">
        <f t="shared" si="441"/>
        <v>BENJIRO</v>
      </c>
      <c r="C1198" t="str">
        <f t="shared" si="442"/>
        <v>BAZELAIS</v>
      </c>
      <c r="D1198" t="str">
        <f t="shared" si="443"/>
        <v>09</v>
      </c>
      <c r="E1198" t="str">
        <f>"02 - A - 116 - Tina L Lovett"</f>
        <v>02 - A - 116 - Tina L Lovett</v>
      </c>
      <c r="F1198" t="str">
        <f>"NC STUDY HALL 1"</f>
        <v>NC STUDY HALL 1</v>
      </c>
      <c r="G1198" t="str">
        <f>"21-2153"</f>
        <v>21-2153</v>
      </c>
      <c r="H1198" t="str">
        <f>"A"</f>
        <v>A</v>
      </c>
    </row>
    <row r="1199" spans="1:8" x14ac:dyDescent="0.2">
      <c r="A1199" t="str">
        <f t="shared" si="440"/>
        <v>0620090033</v>
      </c>
      <c r="B1199" t="str">
        <f t="shared" si="441"/>
        <v>BENJIRO</v>
      </c>
      <c r="C1199" t="str">
        <f t="shared" si="442"/>
        <v>BAZELAIS</v>
      </c>
      <c r="D1199" t="str">
        <f t="shared" si="443"/>
        <v>09</v>
      </c>
      <c r="E1199" t="str">
        <f>"07 - B - 003 - Brandy N Zdenek"</f>
        <v>07 - B - 003 - Brandy N Zdenek</v>
      </c>
      <c r="F1199" t="str">
        <f>"AICE ENG GEN PAPER 1"</f>
        <v>AICE ENG GEN PAPER 1</v>
      </c>
      <c r="G1199" t="str">
        <f>"17-1704"</f>
        <v>17-1704</v>
      </c>
      <c r="H1199" t="str">
        <f>"B"</f>
        <v>B</v>
      </c>
    </row>
    <row r="1200" spans="1:8" x14ac:dyDescent="0.2">
      <c r="A1200" t="str">
        <f t="shared" si="440"/>
        <v>0620090033</v>
      </c>
      <c r="B1200" t="str">
        <f t="shared" si="441"/>
        <v>BENJIRO</v>
      </c>
      <c r="C1200" t="str">
        <f t="shared" si="442"/>
        <v>BAZELAIS</v>
      </c>
      <c r="D1200" t="str">
        <f t="shared" si="443"/>
        <v>09</v>
      </c>
      <c r="E1200" t="str">
        <f>"05 - S1 - B - 102 - Richard E Dunbar Iii"</f>
        <v>05 - S1 - B - 102 - Richard E Dunbar Iii</v>
      </c>
      <c r="F1200" t="str">
        <f>"TEAM SPORTS 1"</f>
        <v>TEAM SPORTS 1</v>
      </c>
      <c r="G1200" t="str">
        <f>"04-254"</f>
        <v>04-254</v>
      </c>
      <c r="H1200" t="str">
        <f>"B"</f>
        <v>B</v>
      </c>
    </row>
    <row r="1201" spans="1:8" x14ac:dyDescent="0.2">
      <c r="A1201" t="str">
        <f t="shared" si="440"/>
        <v>0620090033</v>
      </c>
      <c r="B1201" t="str">
        <f t="shared" si="441"/>
        <v>BENJIRO</v>
      </c>
      <c r="C1201" t="str">
        <f t="shared" si="442"/>
        <v>BAZELAIS</v>
      </c>
      <c r="D1201" t="str">
        <f t="shared" si="443"/>
        <v>09</v>
      </c>
      <c r="E1201" t="str">
        <f>"01 - A - 101 - Josiah I Lacy"</f>
        <v>01 - A - 101 - Josiah I Lacy</v>
      </c>
      <c r="F1201" t="str">
        <f>"PRE-AICE BIO IG"</f>
        <v>PRE-AICE BIO IG</v>
      </c>
      <c r="G1201" t="str">
        <f>"08-801"</f>
        <v>08-801</v>
      </c>
      <c r="H1201" t="str">
        <f>"A"</f>
        <v>A</v>
      </c>
    </row>
    <row r="1202" spans="1:8" x14ac:dyDescent="0.2">
      <c r="A1202" t="str">
        <f t="shared" si="440"/>
        <v>0620090033</v>
      </c>
      <c r="B1202" t="str">
        <f t="shared" si="441"/>
        <v>BENJIRO</v>
      </c>
      <c r="C1202" t="str">
        <f t="shared" si="442"/>
        <v>BAZELAIS</v>
      </c>
      <c r="D1202" t="str">
        <f t="shared" si="443"/>
        <v>09</v>
      </c>
      <c r="E1202" t="str">
        <f>"08 - B - 109 - Rory T Sponsler"</f>
        <v>08 - B - 109 - Rory T Sponsler</v>
      </c>
      <c r="F1202" t="str">
        <f>"PRE-AICE WRLD HST IG"</f>
        <v>PRE-AICE WRLD HST IG</v>
      </c>
      <c r="G1202" t="str">
        <f>"17-1740"</f>
        <v>17-1740</v>
      </c>
      <c r="H1202" t="str">
        <f>"B"</f>
        <v>B</v>
      </c>
    </row>
    <row r="1203" spans="1:8" x14ac:dyDescent="0.2">
      <c r="A1203" t="str">
        <f t="shared" ref="A1203:A1210" si="444">"0614129590"</f>
        <v>0614129590</v>
      </c>
      <c r="B1203" t="str">
        <f t="shared" ref="B1203:B1210" si="445">"LARRY"</f>
        <v>LARRY</v>
      </c>
      <c r="C1203" t="str">
        <f t="shared" ref="C1203:C1210" si="446">"BAZILE"</f>
        <v>BAZILE</v>
      </c>
      <c r="D1203">
        <f>11</f>
        <v>11</v>
      </c>
      <c r="E1203" t="str">
        <f>"04 - A - 004 - Krystal Marie  Beruty"</f>
        <v>04 - A - 004 - Krystal Marie  Beruty</v>
      </c>
      <c r="F1203" t="str">
        <f>"AICE GLBL PERSP 1 AS"</f>
        <v>AICE GLBL PERSP 1 AS</v>
      </c>
      <c r="G1203" t="str">
        <f>"17-1721"</f>
        <v>17-1721</v>
      </c>
      <c r="H1203" t="str">
        <f>"A"</f>
        <v>A</v>
      </c>
    </row>
    <row r="1204" spans="1:8" x14ac:dyDescent="0.2">
      <c r="A1204" t="str">
        <f t="shared" si="444"/>
        <v>0614129590</v>
      </c>
      <c r="B1204" t="str">
        <f t="shared" si="445"/>
        <v>LARRY</v>
      </c>
      <c r="C1204" t="str">
        <f t="shared" si="446"/>
        <v>BAZILE</v>
      </c>
      <c r="D1204">
        <f>11</f>
        <v>11</v>
      </c>
      <c r="E1204" t="str">
        <f>"06 - B - 105 - Cheryl L Beach"</f>
        <v>06 - B - 105 - Cheryl L Beach</v>
      </c>
      <c r="F1204" t="str">
        <f>"AICE ENV MGMNT AS"</f>
        <v>AICE ENV MGMNT AS</v>
      </c>
      <c r="G1204" t="str">
        <f>"08-811"</f>
        <v>08-811</v>
      </c>
      <c r="H1204" t="str">
        <f>"B"</f>
        <v>B</v>
      </c>
    </row>
    <row r="1205" spans="1:8" x14ac:dyDescent="0.2">
      <c r="A1205" t="str">
        <f t="shared" si="444"/>
        <v>0614129590</v>
      </c>
      <c r="B1205" t="str">
        <f t="shared" si="445"/>
        <v>LARRY</v>
      </c>
      <c r="C1205" t="str">
        <f t="shared" si="446"/>
        <v>BAZILE</v>
      </c>
      <c r="D1205">
        <f>11</f>
        <v>11</v>
      </c>
      <c r="E1205" t="str">
        <f>"03 - A - 102 - Semra  Bahadir"</f>
        <v>03 - A - 102 - Semra  Bahadir</v>
      </c>
      <c r="F1205" t="str">
        <f>"ALGEBRA 2"</f>
        <v>ALGEBRA 2</v>
      </c>
      <c r="G1205" t="str">
        <f>"21-2107"</f>
        <v>21-2107</v>
      </c>
      <c r="H1205" t="str">
        <f>"A"</f>
        <v>A</v>
      </c>
    </row>
    <row r="1206" spans="1:8" x14ac:dyDescent="0.2">
      <c r="A1206" t="str">
        <f t="shared" si="444"/>
        <v>0614129590</v>
      </c>
      <c r="B1206" t="str">
        <f t="shared" si="445"/>
        <v>LARRY</v>
      </c>
      <c r="C1206" t="str">
        <f t="shared" si="446"/>
        <v>BAZILE</v>
      </c>
      <c r="D1206">
        <f>11</f>
        <v>11</v>
      </c>
      <c r="E1206" t="str">
        <f>"02 - A - 113 - Byron G Montenegro"</f>
        <v>02 - A - 113 - Byron G Montenegro</v>
      </c>
      <c r="F1206" t="str">
        <f>"NC STUDY HALL 1"</f>
        <v>NC STUDY HALL 1</v>
      </c>
      <c r="G1206" t="str">
        <f>"21-2144"</f>
        <v>21-2144</v>
      </c>
      <c r="H1206" t="str">
        <f>"A"</f>
        <v>A</v>
      </c>
    </row>
    <row r="1207" spans="1:8" x14ac:dyDescent="0.2">
      <c r="A1207" t="str">
        <f t="shared" si="444"/>
        <v>0614129590</v>
      </c>
      <c r="B1207" t="str">
        <f t="shared" si="445"/>
        <v>LARRY</v>
      </c>
      <c r="C1207" t="str">
        <f t="shared" si="446"/>
        <v>BAZILE</v>
      </c>
      <c r="D1207">
        <f>11</f>
        <v>11</v>
      </c>
      <c r="E1207" t="str">
        <f>"07 - B - 102 - Timothy J Lawrence"</f>
        <v>07 - B - 102 - Timothy J Lawrence</v>
      </c>
      <c r="F1207" t="str">
        <f>"AICE PHYS ED 1 AS"</f>
        <v>AICE PHYS ED 1 AS</v>
      </c>
      <c r="G1207" t="str">
        <f>"05-523"</f>
        <v>05-523</v>
      </c>
      <c r="H1207" t="str">
        <f>"B"</f>
        <v>B</v>
      </c>
    </row>
    <row r="1208" spans="1:8" x14ac:dyDescent="0.2">
      <c r="A1208" t="str">
        <f t="shared" si="444"/>
        <v>0614129590</v>
      </c>
      <c r="B1208" t="str">
        <f t="shared" si="445"/>
        <v>LARRY</v>
      </c>
      <c r="C1208" t="str">
        <f t="shared" si="446"/>
        <v>BAZILE</v>
      </c>
      <c r="D1208">
        <f>11</f>
        <v>11</v>
      </c>
      <c r="E1208" t="str">
        <f>"05 - B - 101 - Angela S Adeshina-Morrison"</f>
        <v>05 - B - 101 - Angela S Adeshina-Morrison</v>
      </c>
      <c r="F1208" t="str">
        <f>"MKT MANAGEMENT LH"</f>
        <v>MKT MANAGEMENT LH</v>
      </c>
      <c r="G1208" t="str">
        <f>"05-518"</f>
        <v>05-518</v>
      </c>
      <c r="H1208" t="str">
        <f>"B"</f>
        <v>B</v>
      </c>
    </row>
    <row r="1209" spans="1:8" x14ac:dyDescent="0.2">
      <c r="A1209" t="str">
        <f t="shared" si="444"/>
        <v>0614129590</v>
      </c>
      <c r="B1209" t="str">
        <f t="shared" si="445"/>
        <v>LARRY</v>
      </c>
      <c r="C1209" t="str">
        <f t="shared" si="446"/>
        <v>BAZILE</v>
      </c>
      <c r="D1209">
        <f>11</f>
        <v>11</v>
      </c>
      <c r="E1209" t="str">
        <f>"01 - A - 101 - Jacklyn M James"</f>
        <v>01 - A - 101 - Jacklyn M James</v>
      </c>
      <c r="F1209" t="str">
        <f>"AICE ENG LANG AS"</f>
        <v>AICE ENG LANG AS</v>
      </c>
      <c r="G1209" t="str">
        <f>"17-1731"</f>
        <v>17-1731</v>
      </c>
      <c r="H1209" t="str">
        <f>"A"</f>
        <v>A</v>
      </c>
    </row>
    <row r="1210" spans="1:8" x14ac:dyDescent="0.2">
      <c r="A1210" t="str">
        <f t="shared" si="444"/>
        <v>0614129590</v>
      </c>
      <c r="B1210" t="str">
        <f t="shared" si="445"/>
        <v>LARRY</v>
      </c>
      <c r="C1210" t="str">
        <f t="shared" si="446"/>
        <v>BAZILE</v>
      </c>
      <c r="D1210">
        <f>11</f>
        <v>11</v>
      </c>
      <c r="E1210" t="str">
        <f>"08 - B - 001 - Jerry S Jiampetti"</f>
        <v>08 - B - 001 - Jerry S Jiampetti</v>
      </c>
      <c r="F1210" t="str">
        <f>"AICE U.S. HIST 1 AS"</f>
        <v>AICE U.S. HIST 1 AS</v>
      </c>
      <c r="G1210" t="str">
        <f>"17-1751"</f>
        <v>17-1751</v>
      </c>
      <c r="H1210" t="str">
        <f>"B"</f>
        <v>B</v>
      </c>
    </row>
    <row r="1211" spans="1:8" x14ac:dyDescent="0.2">
      <c r="A1211" t="str">
        <f t="shared" ref="A1211:A1218" si="447">"0622090716"</f>
        <v>0622090716</v>
      </c>
      <c r="B1211" t="str">
        <f t="shared" ref="B1211:B1218" si="448">"DAKOTA"</f>
        <v>DAKOTA</v>
      </c>
      <c r="C1211" t="str">
        <f t="shared" ref="C1211:C1226" si="449">"BEACH"</f>
        <v>BEACH</v>
      </c>
      <c r="D1211">
        <f>12</f>
        <v>12</v>
      </c>
      <c r="E1211" t="str">
        <f>"04 - S1 - A - 104 - Richard E Dunbar Iii"</f>
        <v>04 - S1 - A - 104 - Richard E Dunbar Iii</v>
      </c>
      <c r="F1211" t="str">
        <f>"WEIGHT TRAIN 1"</f>
        <v>WEIGHT TRAIN 1</v>
      </c>
      <c r="G1211" t="str">
        <f>"05-501"</f>
        <v>05-501</v>
      </c>
      <c r="H1211" t="str">
        <f>"A"</f>
        <v>A</v>
      </c>
    </row>
    <row r="1212" spans="1:8" x14ac:dyDescent="0.2">
      <c r="A1212" t="str">
        <f t="shared" si="447"/>
        <v>0622090716</v>
      </c>
      <c r="B1212" t="str">
        <f t="shared" si="448"/>
        <v>DAKOTA</v>
      </c>
      <c r="C1212" t="str">
        <f t="shared" si="449"/>
        <v>BEACH</v>
      </c>
      <c r="D1212">
        <f>12</f>
        <v>12</v>
      </c>
      <c r="E1212" t="str">
        <f>"06 - B - 111 - James H Mccann"</f>
        <v>06 - B - 111 - James H Mccann</v>
      </c>
      <c r="F1212" t="str">
        <f>"NC STUDY HALL 1"</f>
        <v>NC STUDY HALL 1</v>
      </c>
      <c r="G1212" t="str">
        <f>"17-1716"</f>
        <v>17-1716</v>
      </c>
      <c r="H1212" t="str">
        <f>"B"</f>
        <v>B</v>
      </c>
    </row>
    <row r="1213" spans="1:8" x14ac:dyDescent="0.2">
      <c r="A1213" t="str">
        <f t="shared" si="447"/>
        <v>0622090716</v>
      </c>
      <c r="B1213" t="str">
        <f t="shared" si="448"/>
        <v>DAKOTA</v>
      </c>
      <c r="C1213" t="str">
        <f t="shared" si="449"/>
        <v>BEACH</v>
      </c>
      <c r="D1213">
        <f>12</f>
        <v>12</v>
      </c>
      <c r="E1213" t="str">
        <f>"03 - A - 101 - Dorothy D Moore"</f>
        <v>03 - A - 101 - Dorothy D Moore</v>
      </c>
      <c r="F1213" t="str">
        <f>"FORC SCI 1 LH"</f>
        <v>FORC SCI 1 LH</v>
      </c>
      <c r="G1213" t="str">
        <f>"08-803"</f>
        <v>08-803</v>
      </c>
      <c r="H1213" t="str">
        <f>"A"</f>
        <v>A</v>
      </c>
    </row>
    <row r="1214" spans="1:8" x14ac:dyDescent="0.2">
      <c r="A1214" t="str">
        <f t="shared" si="447"/>
        <v>0622090716</v>
      </c>
      <c r="B1214" t="str">
        <f t="shared" si="448"/>
        <v>DAKOTA</v>
      </c>
      <c r="C1214" t="str">
        <f t="shared" si="449"/>
        <v>BEACH</v>
      </c>
      <c r="D1214">
        <f>12</f>
        <v>12</v>
      </c>
      <c r="E1214" t="str">
        <f>"02 - S1 - A - 104 - Robert O Burger"</f>
        <v>02 - S1 - A - 104 - Robert O Burger</v>
      </c>
      <c r="F1214" t="str">
        <f>"US GOVT"</f>
        <v>US GOVT</v>
      </c>
      <c r="G1214" t="str">
        <f>"17-1755"</f>
        <v>17-1755</v>
      </c>
      <c r="H1214" t="str">
        <f>"A"</f>
        <v>A</v>
      </c>
    </row>
    <row r="1215" spans="1:8" x14ac:dyDescent="0.2">
      <c r="A1215" t="str">
        <f t="shared" si="447"/>
        <v>0622090716</v>
      </c>
      <c r="B1215" t="str">
        <f t="shared" si="448"/>
        <v>DAKOTA</v>
      </c>
      <c r="C1215" t="str">
        <f t="shared" si="449"/>
        <v>BEACH</v>
      </c>
      <c r="D1215">
        <f>12</f>
        <v>12</v>
      </c>
      <c r="E1215" t="str">
        <f>"07 - B - 202 - Chrystina M Marchionne"</f>
        <v>07 - B - 202 - Chrystina M Marchionne</v>
      </c>
      <c r="F1215" t="str">
        <f>"JOURN 1 (YB) LH"</f>
        <v>JOURN 1 (YB) LH</v>
      </c>
      <c r="G1215" t="str">
        <f>"05-520"</f>
        <v>05-520</v>
      </c>
      <c r="H1215" t="str">
        <f>"B"</f>
        <v>B</v>
      </c>
    </row>
    <row r="1216" spans="1:8" x14ac:dyDescent="0.2">
      <c r="A1216" t="str">
        <f t="shared" si="447"/>
        <v>0622090716</v>
      </c>
      <c r="B1216" t="str">
        <f t="shared" si="448"/>
        <v>DAKOTA</v>
      </c>
      <c r="C1216" t="str">
        <f t="shared" si="449"/>
        <v>BEACH</v>
      </c>
      <c r="D1216">
        <f>12</f>
        <v>12</v>
      </c>
      <c r="E1216" t="str">
        <f>"05 - B - 102 - Robyn L Trainer"</f>
        <v>05 - B - 102 - Robyn L Trainer</v>
      </c>
      <c r="F1216" t="str">
        <f>"ENG 4"</f>
        <v>ENG 4</v>
      </c>
      <c r="G1216" t="str">
        <f>"17-1734"</f>
        <v>17-1734</v>
      </c>
      <c r="H1216" t="str">
        <f>"B"</f>
        <v>B</v>
      </c>
    </row>
    <row r="1217" spans="1:8" x14ac:dyDescent="0.2">
      <c r="A1217" t="str">
        <f t="shared" si="447"/>
        <v>0622090716</v>
      </c>
      <c r="B1217" t="str">
        <f t="shared" si="448"/>
        <v>DAKOTA</v>
      </c>
      <c r="C1217" t="str">
        <f t="shared" si="449"/>
        <v>BEACH</v>
      </c>
      <c r="D1217">
        <f>12</f>
        <v>12</v>
      </c>
      <c r="E1217" t="str">
        <f>"01 - A - 102 - Robert H Rindner"</f>
        <v>01 - A - 102 - Robert H Rindner</v>
      </c>
      <c r="F1217" t="str">
        <f>"MATH DATA&amp;FIN LIT H"</f>
        <v>MATH DATA&amp;FIN LIT H</v>
      </c>
      <c r="G1217" t="str">
        <f>"21-2160"</f>
        <v>21-2160</v>
      </c>
      <c r="H1217" t="str">
        <f>"A"</f>
        <v>A</v>
      </c>
    </row>
    <row r="1218" spans="1:8" x14ac:dyDescent="0.2">
      <c r="A1218" t="str">
        <f t="shared" si="447"/>
        <v>0622090716</v>
      </c>
      <c r="B1218" t="str">
        <f t="shared" si="448"/>
        <v>DAKOTA</v>
      </c>
      <c r="C1218" t="str">
        <f t="shared" si="449"/>
        <v>BEACH</v>
      </c>
      <c r="D1218">
        <f>12</f>
        <v>12</v>
      </c>
      <c r="E1218" t="str">
        <f>"08 - S1 - B - 104 - Angela S Adeshina-Morrison"</f>
        <v>08 - S1 - B - 104 - Angela S Adeshina-Morrison</v>
      </c>
      <c r="F1218" t="str">
        <f>"PEER COUN 1"</f>
        <v>PEER COUN 1</v>
      </c>
      <c r="G1218" t="str">
        <f>"05-518"</f>
        <v>05-518</v>
      </c>
      <c r="H1218" t="str">
        <f>"B"</f>
        <v>B</v>
      </c>
    </row>
    <row r="1219" spans="1:8" x14ac:dyDescent="0.2">
      <c r="A1219" t="str">
        <f t="shared" ref="A1219:A1226" si="450">"0614061503"</f>
        <v>0614061503</v>
      </c>
      <c r="B1219" t="str">
        <f t="shared" ref="B1219:B1226" si="451">"PHOENIX"</f>
        <v>PHOENIX</v>
      </c>
      <c r="C1219" t="str">
        <f t="shared" si="449"/>
        <v>BEACH</v>
      </c>
      <c r="D1219" t="str">
        <f t="shared" ref="D1219:D1226" si="452">"09"</f>
        <v>09</v>
      </c>
      <c r="E1219" t="str">
        <f>"04 - A - 004 - Krystal Marie  Beruty"</f>
        <v>04 - A - 004 - Krystal Marie  Beruty</v>
      </c>
      <c r="F1219" t="str">
        <f>"AICE GLBL PERSP 1 AS"</f>
        <v>AICE GLBL PERSP 1 AS</v>
      </c>
      <c r="G1219" t="str">
        <f>"17-1721"</f>
        <v>17-1721</v>
      </c>
      <c r="H1219" t="str">
        <f>"A"</f>
        <v>A</v>
      </c>
    </row>
    <row r="1220" spans="1:8" x14ac:dyDescent="0.2">
      <c r="A1220" t="str">
        <f t="shared" si="450"/>
        <v>0614061503</v>
      </c>
      <c r="B1220" t="str">
        <f t="shared" si="451"/>
        <v>PHOENIX</v>
      </c>
      <c r="C1220" t="str">
        <f t="shared" si="449"/>
        <v>BEACH</v>
      </c>
      <c r="D1220" t="str">
        <f t="shared" si="452"/>
        <v>09</v>
      </c>
      <c r="E1220" t="str">
        <f>"06 - B - 105 - Cheryl L Beach"</f>
        <v>06 - B - 105 - Cheryl L Beach</v>
      </c>
      <c r="F1220" t="str">
        <f>"AICE ENV MGMNT AS"</f>
        <v>AICE ENV MGMNT AS</v>
      </c>
      <c r="G1220" t="str">
        <f>"08-811"</f>
        <v>08-811</v>
      </c>
      <c r="H1220" t="str">
        <f>"B"</f>
        <v>B</v>
      </c>
    </row>
    <row r="1221" spans="1:8" x14ac:dyDescent="0.2">
      <c r="A1221" t="str">
        <f t="shared" si="450"/>
        <v>0614061503</v>
      </c>
      <c r="B1221" t="str">
        <f t="shared" si="451"/>
        <v>PHOENIX</v>
      </c>
      <c r="C1221" t="str">
        <f t="shared" si="449"/>
        <v>BEACH</v>
      </c>
      <c r="D1221" t="str">
        <f t="shared" si="452"/>
        <v>09</v>
      </c>
      <c r="E1221" t="str">
        <f>"03 - S1 - A - 101 - Daniel S Katz"</f>
        <v>03 - S1 - A - 101 - Daniel S Katz</v>
      </c>
      <c r="F1221" t="str">
        <f>"COURT PROCED"</f>
        <v>COURT PROCED</v>
      </c>
      <c r="G1221" t="str">
        <f>"21-2156"</f>
        <v>21-2156</v>
      </c>
      <c r="H1221" t="str">
        <f>"A"</f>
        <v>A</v>
      </c>
    </row>
    <row r="1222" spans="1:8" x14ac:dyDescent="0.2">
      <c r="A1222" t="str">
        <f t="shared" si="450"/>
        <v>0614061503</v>
      </c>
      <c r="B1222" t="str">
        <f t="shared" si="451"/>
        <v>PHOENIX</v>
      </c>
      <c r="C1222" t="str">
        <f t="shared" si="449"/>
        <v>BEACH</v>
      </c>
      <c r="D1222" t="str">
        <f t="shared" si="452"/>
        <v>09</v>
      </c>
      <c r="E1222" t="str">
        <f>"02 - A - 112 - Cheryl Anne  Berman-Schechter"</f>
        <v>02 - A - 112 - Cheryl Anne  Berman-Schechter</v>
      </c>
      <c r="F1222" t="str">
        <f>"NC STUDY HALL 1"</f>
        <v>NC STUDY HALL 1</v>
      </c>
      <c r="G1222" t="str">
        <f>"17-1722"</f>
        <v>17-1722</v>
      </c>
      <c r="H1222" t="str">
        <f>"A"</f>
        <v>A</v>
      </c>
    </row>
    <row r="1223" spans="1:8" x14ac:dyDescent="0.2">
      <c r="A1223" t="str">
        <f t="shared" si="450"/>
        <v>0614061503</v>
      </c>
      <c r="B1223" t="str">
        <f t="shared" si="451"/>
        <v>PHOENIX</v>
      </c>
      <c r="C1223" t="str">
        <f t="shared" si="449"/>
        <v>BEACH</v>
      </c>
      <c r="D1223" t="str">
        <f t="shared" si="452"/>
        <v>09</v>
      </c>
      <c r="E1223" t="str">
        <f>"07 - B - 105 - Paige Lauren  Brochu"</f>
        <v>07 - B - 105 - Paige Lauren  Brochu</v>
      </c>
      <c r="F1223" t="str">
        <f>"PRE-AICE BIO IG"</f>
        <v>PRE-AICE BIO IG</v>
      </c>
      <c r="G1223" t="str">
        <f>"21-2134"</f>
        <v>21-2134</v>
      </c>
      <c r="H1223" t="str">
        <f>"B"</f>
        <v>B</v>
      </c>
    </row>
    <row r="1224" spans="1:8" x14ac:dyDescent="0.2">
      <c r="A1224" t="str">
        <f t="shared" si="450"/>
        <v>0614061503</v>
      </c>
      <c r="B1224" t="str">
        <f t="shared" si="451"/>
        <v>PHOENIX</v>
      </c>
      <c r="C1224" t="str">
        <f t="shared" si="449"/>
        <v>BEACH</v>
      </c>
      <c r="D1224" t="str">
        <f t="shared" si="452"/>
        <v>09</v>
      </c>
      <c r="E1224" t="str">
        <f>"05 - B - 104 - Maried P Ramos"</f>
        <v>05 - B - 104 - Maried P Ramos</v>
      </c>
      <c r="F1224" t="str">
        <f>"PRE-AICE MATH 2 IG"</f>
        <v>PRE-AICE MATH 2 IG</v>
      </c>
      <c r="G1224" t="str">
        <f>"21-2159"</f>
        <v>21-2159</v>
      </c>
      <c r="H1224" t="str">
        <f>"B"</f>
        <v>B</v>
      </c>
    </row>
    <row r="1225" spans="1:8" x14ac:dyDescent="0.2">
      <c r="A1225" t="str">
        <f t="shared" si="450"/>
        <v>0614061503</v>
      </c>
      <c r="B1225" t="str">
        <f t="shared" si="451"/>
        <v>PHOENIX</v>
      </c>
      <c r="C1225" t="str">
        <f t="shared" si="449"/>
        <v>BEACH</v>
      </c>
      <c r="D1225" t="str">
        <f t="shared" si="452"/>
        <v>09</v>
      </c>
      <c r="E1225" t="str">
        <f>"01 - A - 101 - Elizabeth R Walker"</f>
        <v>01 - A - 101 - Elizabeth R Walker</v>
      </c>
      <c r="F1225" t="str">
        <f>"AICE ENG GEN PAPER 1"</f>
        <v>AICE ENG GEN PAPER 1</v>
      </c>
      <c r="G1225" t="str">
        <f>"17-1703"</f>
        <v>17-1703</v>
      </c>
      <c r="H1225" t="str">
        <f>"A"</f>
        <v>A</v>
      </c>
    </row>
    <row r="1226" spans="1:8" x14ac:dyDescent="0.2">
      <c r="A1226" t="str">
        <f t="shared" si="450"/>
        <v>0614061503</v>
      </c>
      <c r="B1226" t="str">
        <f t="shared" si="451"/>
        <v>PHOENIX</v>
      </c>
      <c r="C1226" t="str">
        <f t="shared" si="449"/>
        <v>BEACH</v>
      </c>
      <c r="D1226" t="str">
        <f t="shared" si="452"/>
        <v>09</v>
      </c>
      <c r="E1226" t="str">
        <f>"08 - B - 108 - Adam Marcus  Drucker"</f>
        <v>08 - B - 108 - Adam Marcus  Drucker</v>
      </c>
      <c r="F1226" t="str">
        <f>"HOPE-PE V"</f>
        <v>HOPE-PE V</v>
      </c>
      <c r="G1226" t="str">
        <f>"04-254"</f>
        <v>04-254</v>
      </c>
      <c r="H1226" t="str">
        <f>"B"</f>
        <v>B</v>
      </c>
    </row>
    <row r="1227" spans="1:8" x14ac:dyDescent="0.2">
      <c r="A1227" t="str">
        <f t="shared" ref="A1227:A1234" si="453">"0614039914"</f>
        <v>0614039914</v>
      </c>
      <c r="B1227" t="str">
        <f t="shared" ref="B1227:B1234" si="454">"CHELSEA"</f>
        <v>CHELSEA</v>
      </c>
      <c r="C1227" t="str">
        <f t="shared" ref="C1227:C1243" si="455">"BEAUBIEN"</f>
        <v>BEAUBIEN</v>
      </c>
      <c r="D1227">
        <f>11</f>
        <v>11</v>
      </c>
      <c r="E1227" t="str">
        <f>"04 - A - 105 - Milca  Exantus"</f>
        <v>04 - A - 105 - Milca  Exantus</v>
      </c>
      <c r="F1227" t="str">
        <f>"MATH COLLEGE LIB ART"</f>
        <v>MATH COLLEGE LIB ART</v>
      </c>
      <c r="G1227" t="str">
        <f>"21-2145"</f>
        <v>21-2145</v>
      </c>
      <c r="H1227" t="str">
        <f>"A"</f>
        <v>A</v>
      </c>
    </row>
    <row r="1228" spans="1:8" x14ac:dyDescent="0.2">
      <c r="A1228" t="str">
        <f t="shared" si="453"/>
        <v>0614039914</v>
      </c>
      <c r="B1228" t="str">
        <f t="shared" si="454"/>
        <v>CHELSEA</v>
      </c>
      <c r="C1228" t="str">
        <f t="shared" si="455"/>
        <v>BEAUBIEN</v>
      </c>
      <c r="D1228">
        <f>11</f>
        <v>11</v>
      </c>
      <c r="E1228" t="str">
        <f>"06 - B - 104 - Nahum  Saint-Preux"</f>
        <v>06 - B - 104 - Nahum  Saint-Preux</v>
      </c>
      <c r="F1228" t="str">
        <f>"INTENS READ 3"</f>
        <v>INTENS READ 3</v>
      </c>
      <c r="G1228" t="str">
        <f>"17-1712"</f>
        <v>17-1712</v>
      </c>
      <c r="H1228" t="str">
        <f>"B"</f>
        <v>B</v>
      </c>
    </row>
    <row r="1229" spans="1:8" x14ac:dyDescent="0.2">
      <c r="A1229" t="str">
        <f t="shared" si="453"/>
        <v>0614039914</v>
      </c>
      <c r="B1229" t="str">
        <f t="shared" si="454"/>
        <v>CHELSEA</v>
      </c>
      <c r="C1229" t="str">
        <f t="shared" si="455"/>
        <v>BEAUBIEN</v>
      </c>
      <c r="D1229">
        <f>11</f>
        <v>11</v>
      </c>
      <c r="E1229" t="str">
        <f>"03 - A - 102 - Cliffon  Saurel"</f>
        <v>03 - A - 102 - Cliffon  Saurel</v>
      </c>
      <c r="F1229" t="str">
        <f>"PHYSICAL SCI"</f>
        <v>PHYSICAL SCI</v>
      </c>
      <c r="G1229" t="str">
        <f>"05-522"</f>
        <v>05-522</v>
      </c>
      <c r="H1229" t="str">
        <f>"A"</f>
        <v>A</v>
      </c>
    </row>
    <row r="1230" spans="1:8" x14ac:dyDescent="0.2">
      <c r="A1230" t="str">
        <f t="shared" si="453"/>
        <v>0614039914</v>
      </c>
      <c r="B1230" t="str">
        <f t="shared" si="454"/>
        <v>CHELSEA</v>
      </c>
      <c r="C1230" t="str">
        <f t="shared" si="455"/>
        <v>BEAUBIEN</v>
      </c>
      <c r="D1230">
        <f>11</f>
        <v>11</v>
      </c>
      <c r="E1230" t="str">
        <f>"02 - A - 108 - Stephen T Ripp"</f>
        <v>02 - A - 108 - Stephen T Ripp</v>
      </c>
      <c r="F1230" t="str">
        <f>"NC STUDY HALL 1"</f>
        <v>NC STUDY HALL 1</v>
      </c>
      <c r="G1230" t="str">
        <f>"17-1744"</f>
        <v>17-1744</v>
      </c>
      <c r="H1230" t="str">
        <f>"A"</f>
        <v>A</v>
      </c>
    </row>
    <row r="1231" spans="1:8" x14ac:dyDescent="0.2">
      <c r="A1231" t="str">
        <f t="shared" si="453"/>
        <v>0614039914</v>
      </c>
      <c r="B1231" t="str">
        <f t="shared" si="454"/>
        <v>CHELSEA</v>
      </c>
      <c r="C1231" t="str">
        <f t="shared" si="455"/>
        <v>BEAUBIEN</v>
      </c>
      <c r="D1231">
        <f>11</f>
        <v>11</v>
      </c>
      <c r="E1231" t="str">
        <f>"07 - B - 108 - Lauren N Logan"</f>
        <v>07 - B - 108 - Lauren N Logan</v>
      </c>
      <c r="F1231" t="str">
        <f>"US HISTORY"</f>
        <v>US HISTORY</v>
      </c>
      <c r="G1231" t="str">
        <f>"17-1745"</f>
        <v>17-1745</v>
      </c>
      <c r="H1231" t="str">
        <f>"B"</f>
        <v>B</v>
      </c>
    </row>
    <row r="1232" spans="1:8" x14ac:dyDescent="0.2">
      <c r="A1232" t="str">
        <f t="shared" si="453"/>
        <v>0614039914</v>
      </c>
      <c r="B1232" t="str">
        <f t="shared" si="454"/>
        <v>CHELSEA</v>
      </c>
      <c r="C1232" t="str">
        <f t="shared" si="455"/>
        <v>BEAUBIEN</v>
      </c>
      <c r="D1232">
        <f>11</f>
        <v>11</v>
      </c>
      <c r="E1232" t="str">
        <f>"05 - B - 205 - Rosa Elaine  Collado-Duff"</f>
        <v>05 - B - 205 - Rosa Elaine  Collado-Duff</v>
      </c>
      <c r="F1232" t="str">
        <f>"PRE-AICE SPAN 2 IG"</f>
        <v>PRE-AICE SPAN 2 IG</v>
      </c>
      <c r="G1232" t="str">
        <f>"09-913"</f>
        <v>09-913</v>
      </c>
      <c r="H1232" t="str">
        <f>"B"</f>
        <v>B</v>
      </c>
    </row>
    <row r="1233" spans="1:8" x14ac:dyDescent="0.2">
      <c r="A1233" t="str">
        <f t="shared" si="453"/>
        <v>0614039914</v>
      </c>
      <c r="B1233" t="str">
        <f t="shared" si="454"/>
        <v>CHELSEA</v>
      </c>
      <c r="C1233" t="str">
        <f t="shared" si="455"/>
        <v>BEAUBIEN</v>
      </c>
      <c r="D1233">
        <f>11</f>
        <v>11</v>
      </c>
      <c r="E1233" t="str">
        <f>"01 - S1 - A - 101 - Lissa C Frederique"</f>
        <v>01 - S1 - A - 101 - Lissa C Frederique</v>
      </c>
      <c r="F1233" t="str">
        <f>"PERS FIN &amp; MON MGT H"</f>
        <v>PERS FIN &amp; MON MGT H</v>
      </c>
      <c r="G1233" t="str">
        <f>"17-1754"</f>
        <v>17-1754</v>
      </c>
      <c r="H1233" t="str">
        <f>"A"</f>
        <v>A</v>
      </c>
    </row>
    <row r="1234" spans="1:8" x14ac:dyDescent="0.2">
      <c r="A1234" t="str">
        <f t="shared" si="453"/>
        <v>0614039914</v>
      </c>
      <c r="B1234" t="str">
        <f t="shared" si="454"/>
        <v>CHELSEA</v>
      </c>
      <c r="C1234" t="str">
        <f t="shared" si="455"/>
        <v>BEAUBIEN</v>
      </c>
      <c r="D1234">
        <f>11</f>
        <v>11</v>
      </c>
      <c r="E1234" t="str">
        <f>"08 - B - 106 - Lisa  Quinn"</f>
        <v>08 - B - 106 - Lisa  Quinn</v>
      </c>
      <c r="F1234" t="str">
        <f>"ENG 3"</f>
        <v>ENG 3</v>
      </c>
      <c r="G1234" t="str">
        <f>"17-1725"</f>
        <v>17-1725</v>
      </c>
      <c r="H1234" t="str">
        <f>"B"</f>
        <v>B</v>
      </c>
    </row>
    <row r="1235" spans="1:8" x14ac:dyDescent="0.2">
      <c r="A1235" t="str">
        <f t="shared" ref="A1235:A1243" si="456">"0613102467"</f>
        <v>0613102467</v>
      </c>
      <c r="B1235" t="str">
        <f t="shared" ref="B1235:B1243" si="457">"JOHN"</f>
        <v>JOHN</v>
      </c>
      <c r="C1235" t="str">
        <f t="shared" si="455"/>
        <v>BEAUBIEN</v>
      </c>
      <c r="D1235">
        <f>11</f>
        <v>11</v>
      </c>
      <c r="E1235" t="str">
        <f>"04 - S1 - A - 103 - James H Mccann"</f>
        <v>04 - S1 - A - 103 - James H Mccann</v>
      </c>
      <c r="F1235" t="str">
        <f>"PERS FIN &amp; MON MGT H"</f>
        <v>PERS FIN &amp; MON MGT H</v>
      </c>
      <c r="G1235" t="str">
        <f>"17-1716"</f>
        <v>17-1716</v>
      </c>
      <c r="H1235" t="str">
        <f>"A"</f>
        <v>A</v>
      </c>
    </row>
    <row r="1236" spans="1:8" x14ac:dyDescent="0.2">
      <c r="A1236" t="str">
        <f t="shared" si="456"/>
        <v>0613102467</v>
      </c>
      <c r="B1236" t="str">
        <f t="shared" si="457"/>
        <v>JOHN</v>
      </c>
      <c r="C1236" t="str">
        <f t="shared" si="455"/>
        <v>BEAUBIEN</v>
      </c>
      <c r="D1236">
        <f>11</f>
        <v>11</v>
      </c>
      <c r="E1236" t="str">
        <f>"06 - B - 108 - Milca  Exantus"</f>
        <v>06 - B - 108 - Milca  Exantus</v>
      </c>
      <c r="F1236" t="str">
        <f>"MATH COLLEGE LIB ART"</f>
        <v>MATH COLLEGE LIB ART</v>
      </c>
      <c r="G1236" t="str">
        <f>"21-2145"</f>
        <v>21-2145</v>
      </c>
      <c r="H1236" t="str">
        <f>"B"</f>
        <v>B</v>
      </c>
    </row>
    <row r="1237" spans="1:8" x14ac:dyDescent="0.2">
      <c r="A1237" t="str">
        <f t="shared" si="456"/>
        <v>0613102467</v>
      </c>
      <c r="B1237" t="str">
        <f t="shared" si="457"/>
        <v>JOHN</v>
      </c>
      <c r="C1237" t="str">
        <f t="shared" si="455"/>
        <v>BEAUBIEN</v>
      </c>
      <c r="D1237">
        <f>11</f>
        <v>11</v>
      </c>
      <c r="E1237" t="str">
        <f>"03 - A - 101 - Brian M Fitzgerald"</f>
        <v>03 - A - 101 - Brian M Fitzgerald</v>
      </c>
      <c r="F1237" t="str">
        <f>"SCULPT 1"</f>
        <v>SCULPT 1</v>
      </c>
      <c r="G1237" t="str">
        <f>"09-908"</f>
        <v>09-908</v>
      </c>
      <c r="H1237" t="str">
        <f>"A"</f>
        <v>A</v>
      </c>
    </row>
    <row r="1238" spans="1:8" x14ac:dyDescent="0.2">
      <c r="A1238" t="str">
        <f t="shared" si="456"/>
        <v>0613102467</v>
      </c>
      <c r="B1238" t="str">
        <f t="shared" si="457"/>
        <v>JOHN</v>
      </c>
      <c r="C1238" t="str">
        <f t="shared" si="455"/>
        <v>BEAUBIEN</v>
      </c>
      <c r="D1238">
        <f>11</f>
        <v>11</v>
      </c>
      <c r="E1238" t="str">
        <f>"02 - A - 107 - Elizabeth Ellen  Moran"</f>
        <v>02 - A - 107 - Elizabeth Ellen  Moran</v>
      </c>
      <c r="F1238" t="str">
        <f>"NC STUDY HALL 1"</f>
        <v>NC STUDY HALL 1</v>
      </c>
      <c r="G1238" t="str">
        <f>"17-1752"</f>
        <v>17-1752</v>
      </c>
      <c r="H1238" t="str">
        <f>"A"</f>
        <v>A</v>
      </c>
    </row>
    <row r="1239" spans="1:8" x14ac:dyDescent="0.2">
      <c r="A1239" t="str">
        <f t="shared" si="456"/>
        <v>0613102467</v>
      </c>
      <c r="B1239" t="str">
        <f t="shared" si="457"/>
        <v>JOHN</v>
      </c>
      <c r="C1239" t="str">
        <f t="shared" si="455"/>
        <v>BEAUBIEN</v>
      </c>
      <c r="D1239">
        <f>11</f>
        <v>11</v>
      </c>
      <c r="E1239" t="str">
        <f>"02 - A - 112 - Karen A Toomer"</f>
        <v>02 - A - 112 - Karen A Toomer</v>
      </c>
      <c r="F1239" t="str">
        <f>"LANG THERAPY"</f>
        <v>LANG THERAPY</v>
      </c>
      <c r="G1239" t="str">
        <f>"21-2110"</f>
        <v>21-2110</v>
      </c>
      <c r="H1239" t="str">
        <f>"A"</f>
        <v>A</v>
      </c>
    </row>
    <row r="1240" spans="1:8" x14ac:dyDescent="0.2">
      <c r="A1240" t="str">
        <f t="shared" si="456"/>
        <v>0613102467</v>
      </c>
      <c r="B1240" t="str">
        <f t="shared" si="457"/>
        <v>JOHN</v>
      </c>
      <c r="C1240" t="str">
        <f t="shared" si="455"/>
        <v>BEAUBIEN</v>
      </c>
      <c r="D1240">
        <f>11</f>
        <v>11</v>
      </c>
      <c r="E1240" t="str">
        <f>"07 - B - 002 - Jazmin S Fletcher"</f>
        <v>07 - B - 002 - Jazmin S Fletcher</v>
      </c>
      <c r="F1240" t="str">
        <f>"THEATRE 1"</f>
        <v>THEATRE 1</v>
      </c>
      <c r="G1240" t="str">
        <f>"09-909"</f>
        <v>09-909</v>
      </c>
      <c r="H1240" t="str">
        <f>"B"</f>
        <v>B</v>
      </c>
    </row>
    <row r="1241" spans="1:8" x14ac:dyDescent="0.2">
      <c r="A1241" t="str">
        <f t="shared" si="456"/>
        <v>0613102467</v>
      </c>
      <c r="B1241" t="str">
        <f t="shared" si="457"/>
        <v>JOHN</v>
      </c>
      <c r="C1241" t="str">
        <f t="shared" si="455"/>
        <v>BEAUBIEN</v>
      </c>
      <c r="D1241">
        <f>11</f>
        <v>11</v>
      </c>
      <c r="E1241" t="str">
        <f>"05 - B - 107 - Elizabeth Ellen  Moran"</f>
        <v>05 - B - 107 - Elizabeth Ellen  Moran</v>
      </c>
      <c r="F1241" t="str">
        <f>"US HISTORY"</f>
        <v>US HISTORY</v>
      </c>
      <c r="G1241" t="str">
        <f>"17-1752"</f>
        <v>17-1752</v>
      </c>
      <c r="H1241" t="str">
        <f>"B"</f>
        <v>B</v>
      </c>
    </row>
    <row r="1242" spans="1:8" x14ac:dyDescent="0.2">
      <c r="A1242" t="str">
        <f t="shared" si="456"/>
        <v>0613102467</v>
      </c>
      <c r="B1242" t="str">
        <f t="shared" si="457"/>
        <v>JOHN</v>
      </c>
      <c r="C1242" t="str">
        <f t="shared" si="455"/>
        <v>BEAUBIEN</v>
      </c>
      <c r="D1242">
        <f>11</f>
        <v>11</v>
      </c>
      <c r="E1242" t="str">
        <f>"01 - A - 101 - Cliffon  Saurel"</f>
        <v>01 - A - 101 - Cliffon  Saurel</v>
      </c>
      <c r="F1242" t="str">
        <f>"PHYSICAL SCI"</f>
        <v>PHYSICAL SCI</v>
      </c>
      <c r="G1242" t="str">
        <f>"05-522"</f>
        <v>05-522</v>
      </c>
      <c r="H1242" t="str">
        <f>"A"</f>
        <v>A</v>
      </c>
    </row>
    <row r="1243" spans="1:8" x14ac:dyDescent="0.2">
      <c r="A1243" t="str">
        <f t="shared" si="456"/>
        <v>0613102467</v>
      </c>
      <c r="B1243" t="str">
        <f t="shared" si="457"/>
        <v>JOHN</v>
      </c>
      <c r="C1243" t="str">
        <f t="shared" si="455"/>
        <v>BEAUBIEN</v>
      </c>
      <c r="D1243">
        <f>11</f>
        <v>11</v>
      </c>
      <c r="E1243" t="str">
        <f>"08 - B - 106 - Lisa  Quinn"</f>
        <v>08 - B - 106 - Lisa  Quinn</v>
      </c>
      <c r="F1243" t="str">
        <f>"ENG 3"</f>
        <v>ENG 3</v>
      </c>
      <c r="G1243" t="str">
        <f>"17-1725"</f>
        <v>17-1725</v>
      </c>
      <c r="H1243" t="str">
        <f>"B"</f>
        <v>B</v>
      </c>
    </row>
    <row r="1244" spans="1:8" x14ac:dyDescent="0.2">
      <c r="A1244" t="str">
        <f t="shared" ref="A1244:A1251" si="458">"0617073352"</f>
        <v>0617073352</v>
      </c>
      <c r="B1244" t="str">
        <f t="shared" ref="B1244:B1251" si="459">"EUDES"</f>
        <v>EUDES</v>
      </c>
      <c r="C1244" t="str">
        <f t="shared" ref="C1244:C1251" si="460">"BEAUBRUN"</f>
        <v>BEAUBRUN</v>
      </c>
      <c r="D1244">
        <f>12</f>
        <v>12</v>
      </c>
      <c r="E1244" t="str">
        <f>"04 - A - 101 - Brian M Fitzgerald"</f>
        <v>04 - A - 101 - Brian M Fitzgerald</v>
      </c>
      <c r="F1244" t="str">
        <f>"DRAW 2"</f>
        <v>DRAW 2</v>
      </c>
      <c r="G1244" t="str">
        <f>"09-908"</f>
        <v>09-908</v>
      </c>
      <c r="H1244" t="str">
        <f>"A"</f>
        <v>A</v>
      </c>
    </row>
    <row r="1245" spans="1:8" x14ac:dyDescent="0.2">
      <c r="A1245" t="str">
        <f t="shared" si="458"/>
        <v>0617073352</v>
      </c>
      <c r="B1245" t="str">
        <f t="shared" si="459"/>
        <v>EUDES</v>
      </c>
      <c r="C1245" t="str">
        <f t="shared" si="460"/>
        <v>BEAUBRUN</v>
      </c>
      <c r="D1245">
        <f>12</f>
        <v>12</v>
      </c>
      <c r="E1245" t="str">
        <f>"06 - B - 104 - Lissa C Frederique"</f>
        <v>06 - B - 104 - Lissa C Frederique</v>
      </c>
      <c r="F1245" t="str">
        <f>"NC STUDY HALL 1"</f>
        <v>NC STUDY HALL 1</v>
      </c>
      <c r="G1245" t="str">
        <f>"17-1754"</f>
        <v>17-1754</v>
      </c>
      <c r="H1245" t="str">
        <f>"B"</f>
        <v>B</v>
      </c>
    </row>
    <row r="1246" spans="1:8" x14ac:dyDescent="0.2">
      <c r="A1246" t="str">
        <f t="shared" si="458"/>
        <v>0617073352</v>
      </c>
      <c r="B1246" t="str">
        <f t="shared" si="459"/>
        <v>EUDES</v>
      </c>
      <c r="C1246" t="str">
        <f t="shared" si="460"/>
        <v>BEAUBRUN</v>
      </c>
      <c r="D1246">
        <f>12</f>
        <v>12</v>
      </c>
      <c r="E1246" t="str">
        <f>"03 - A - 101 - Scott A Dethloff"</f>
        <v>03 - A - 101 - Scott A Dethloff</v>
      </c>
      <c r="F1246" t="str">
        <f>"CHEMISTRY 1 HON"</f>
        <v>CHEMISTRY 1 HON</v>
      </c>
      <c r="G1246" t="str">
        <f>"08-812"</f>
        <v>08-812</v>
      </c>
      <c r="H1246" t="str">
        <f>"A"</f>
        <v>A</v>
      </c>
    </row>
    <row r="1247" spans="1:8" x14ac:dyDescent="0.2">
      <c r="A1247" t="str">
        <f t="shared" si="458"/>
        <v>0617073352</v>
      </c>
      <c r="B1247" t="str">
        <f t="shared" si="459"/>
        <v>EUDES</v>
      </c>
      <c r="C1247" t="str">
        <f t="shared" si="460"/>
        <v>BEAUBRUN</v>
      </c>
      <c r="D1247">
        <f>12</f>
        <v>12</v>
      </c>
      <c r="E1247" t="str">
        <f>"02 - S1 - A - 101 - Carol S Moore"</f>
        <v>02 - S1 - A - 101 - Carol S Moore</v>
      </c>
      <c r="F1247" t="str">
        <f>"PER CAR SCH DEV 1 LH"</f>
        <v>PER CAR SCH DEV 1 LH</v>
      </c>
      <c r="G1247" t="str">
        <f>"17-1733"</f>
        <v>17-1733</v>
      </c>
      <c r="H1247" t="str">
        <f>"A"</f>
        <v>A</v>
      </c>
    </row>
    <row r="1248" spans="1:8" x14ac:dyDescent="0.2">
      <c r="A1248" t="str">
        <f t="shared" si="458"/>
        <v>0617073352</v>
      </c>
      <c r="B1248" t="str">
        <f t="shared" si="459"/>
        <v>EUDES</v>
      </c>
      <c r="C1248" t="str">
        <f t="shared" si="460"/>
        <v>BEAUBRUN</v>
      </c>
      <c r="D1248">
        <f>12</f>
        <v>12</v>
      </c>
      <c r="E1248" t="str">
        <f>"07 - B - 106 - Norayda D Suarez"</f>
        <v>07 - B - 106 - Norayda D Suarez</v>
      </c>
      <c r="F1248" t="str">
        <f>"RESEARCH 1 LH"</f>
        <v>RESEARCH 1 LH</v>
      </c>
      <c r="G1248">
        <f>2041</f>
        <v>2041</v>
      </c>
      <c r="H1248" t="str">
        <f>"B"</f>
        <v>B</v>
      </c>
    </row>
    <row r="1249" spans="1:8" x14ac:dyDescent="0.2">
      <c r="A1249" t="str">
        <f t="shared" si="458"/>
        <v>0617073352</v>
      </c>
      <c r="B1249" t="str">
        <f t="shared" si="459"/>
        <v>EUDES</v>
      </c>
      <c r="C1249" t="str">
        <f t="shared" si="460"/>
        <v>BEAUBRUN</v>
      </c>
      <c r="D1249">
        <f>12</f>
        <v>12</v>
      </c>
      <c r="E1249" t="str">
        <f>"05 - B - 104 - Lourivaldo  Da Silva"</f>
        <v>05 - B - 104 - Lourivaldo  Da Silva</v>
      </c>
      <c r="F1249" t="str">
        <f>"PRE-CALCULUS HON"</f>
        <v>PRE-CALCULUS HON</v>
      </c>
      <c r="G1249" t="str">
        <f>"20-2079"</f>
        <v>20-2079</v>
      </c>
      <c r="H1249" t="str">
        <f>"B"</f>
        <v>B</v>
      </c>
    </row>
    <row r="1250" spans="1:8" x14ac:dyDescent="0.2">
      <c r="A1250" t="str">
        <f t="shared" si="458"/>
        <v>0617073352</v>
      </c>
      <c r="B1250" t="str">
        <f t="shared" si="459"/>
        <v>EUDES</v>
      </c>
      <c r="C1250" t="str">
        <f t="shared" si="460"/>
        <v>BEAUBRUN</v>
      </c>
      <c r="D1250">
        <f>12</f>
        <v>12</v>
      </c>
      <c r="E1250" t="str">
        <f>"01 - A - 204 - Tina M Jaramillo"</f>
        <v>01 - A - 204 - Tina M Jaramillo</v>
      </c>
      <c r="F1250" t="str">
        <f>"AP ENG LIT COMPO"</f>
        <v>AP ENG LIT COMPO</v>
      </c>
      <c r="G1250" t="str">
        <f>"17-1706"</f>
        <v>17-1706</v>
      </c>
      <c r="H1250" t="str">
        <f>"A"</f>
        <v>A</v>
      </c>
    </row>
    <row r="1251" spans="1:8" x14ac:dyDescent="0.2">
      <c r="A1251" t="str">
        <f t="shared" si="458"/>
        <v>0617073352</v>
      </c>
      <c r="B1251" t="str">
        <f t="shared" si="459"/>
        <v>EUDES</v>
      </c>
      <c r="C1251" t="str">
        <f t="shared" si="460"/>
        <v>BEAUBRUN</v>
      </c>
      <c r="D1251">
        <f>12</f>
        <v>12</v>
      </c>
      <c r="E1251" t="str">
        <f>"08 - S1 - B - 102 - Stephen T Ripp"</f>
        <v>08 - S1 - B - 102 - Stephen T Ripp</v>
      </c>
      <c r="F1251" t="str">
        <f>"AP US GOVT/POL"</f>
        <v>AP US GOVT/POL</v>
      </c>
      <c r="G1251" t="str">
        <f>"17-1744"</f>
        <v>17-1744</v>
      </c>
      <c r="H1251" t="str">
        <f>"B"</f>
        <v>B</v>
      </c>
    </row>
    <row r="1252" spans="1:8" x14ac:dyDescent="0.2">
      <c r="A1252" t="str">
        <f t="shared" ref="A1252:A1259" si="461">"0616123065"</f>
        <v>0616123065</v>
      </c>
      <c r="B1252" t="str">
        <f t="shared" ref="B1252:B1259" si="462">"GUERSEY"</f>
        <v>GUERSEY</v>
      </c>
      <c r="C1252" t="str">
        <f t="shared" ref="C1252:C1259" si="463">"BEAULIERE"</f>
        <v>BEAULIERE</v>
      </c>
      <c r="D1252" t="str">
        <f t="shared" ref="D1252:D1259" si="464">"09"</f>
        <v>09</v>
      </c>
      <c r="E1252" t="str">
        <f>"04 - A - 102 - Eva T Rimmer"</f>
        <v>04 - A - 102 - Eva T Rimmer</v>
      </c>
      <c r="F1252" t="str">
        <f>"CRIMINAL JUST OPS 1"</f>
        <v>CRIMINAL JUST OPS 1</v>
      </c>
      <c r="G1252" t="str">
        <f>"05-523"</f>
        <v>05-523</v>
      </c>
      <c r="H1252" t="str">
        <f>"A"</f>
        <v>A</v>
      </c>
    </row>
    <row r="1253" spans="1:8" x14ac:dyDescent="0.2">
      <c r="A1253" t="str">
        <f t="shared" si="461"/>
        <v>0616123065</v>
      </c>
      <c r="B1253" t="str">
        <f t="shared" si="462"/>
        <v>GUERSEY</v>
      </c>
      <c r="C1253" t="str">
        <f t="shared" si="463"/>
        <v>BEAULIERE</v>
      </c>
      <c r="D1253" t="str">
        <f t="shared" si="464"/>
        <v>09</v>
      </c>
      <c r="E1253" t="str">
        <f>"06 - B - 104 - Lytrell T Dixon"</f>
        <v>06 - B - 104 - Lytrell T Dixon</v>
      </c>
      <c r="F1253" t="str">
        <f>"PRE-AICE BIO IG"</f>
        <v>PRE-AICE BIO IG</v>
      </c>
      <c r="G1253" t="str">
        <f>"08-808"</f>
        <v>08-808</v>
      </c>
      <c r="H1253" t="str">
        <f>"B"</f>
        <v>B</v>
      </c>
    </row>
    <row r="1254" spans="1:8" x14ac:dyDescent="0.2">
      <c r="A1254" t="str">
        <f t="shared" si="461"/>
        <v>0616123065</v>
      </c>
      <c r="B1254" t="str">
        <f t="shared" si="462"/>
        <v>GUERSEY</v>
      </c>
      <c r="C1254" t="str">
        <f t="shared" si="463"/>
        <v>BEAULIERE</v>
      </c>
      <c r="D1254" t="str">
        <f t="shared" si="464"/>
        <v>09</v>
      </c>
      <c r="E1254" t="str">
        <f>"03 - A - 101 - Helen A Flores"</f>
        <v>03 - A - 101 - Helen A Flores</v>
      </c>
      <c r="F1254" t="str">
        <f>"PRE-AICE MATH 1 IG"</f>
        <v>PRE-AICE MATH 1 IG</v>
      </c>
      <c r="G1254" t="str">
        <f>"21-2101"</f>
        <v>21-2101</v>
      </c>
      <c r="H1254" t="str">
        <f>"A"</f>
        <v>A</v>
      </c>
    </row>
    <row r="1255" spans="1:8" x14ac:dyDescent="0.2">
      <c r="A1255" t="str">
        <f t="shared" si="461"/>
        <v>0616123065</v>
      </c>
      <c r="B1255" t="str">
        <f t="shared" si="462"/>
        <v>GUERSEY</v>
      </c>
      <c r="C1255" t="str">
        <f t="shared" si="463"/>
        <v>BEAULIERE</v>
      </c>
      <c r="D1255" t="str">
        <f t="shared" si="464"/>
        <v>09</v>
      </c>
      <c r="E1255" t="str">
        <f>"02 - A - 104 - Lytrell T Dixon"</f>
        <v>02 - A - 104 - Lytrell T Dixon</v>
      </c>
      <c r="F1255" t="str">
        <f>"NC STUDY HALL 1"</f>
        <v>NC STUDY HALL 1</v>
      </c>
      <c r="G1255" t="str">
        <f>"08-808"</f>
        <v>08-808</v>
      </c>
      <c r="H1255" t="str">
        <f>"A"</f>
        <v>A</v>
      </c>
    </row>
    <row r="1256" spans="1:8" x14ac:dyDescent="0.2">
      <c r="A1256" t="str">
        <f t="shared" si="461"/>
        <v>0616123065</v>
      </c>
      <c r="B1256" t="str">
        <f t="shared" si="462"/>
        <v>GUERSEY</v>
      </c>
      <c r="C1256" t="str">
        <f t="shared" si="463"/>
        <v>BEAULIERE</v>
      </c>
      <c r="D1256" t="str">
        <f t="shared" si="464"/>
        <v>09</v>
      </c>
      <c r="E1256" t="str">
        <f>"07 - B - 107 - Adam Marcus  Drucker"</f>
        <v>07 - B - 107 - Adam Marcus  Drucker</v>
      </c>
      <c r="F1256" t="str">
        <f>"HOPE-PE V"</f>
        <v>HOPE-PE V</v>
      </c>
      <c r="G1256" t="str">
        <f>"04-254"</f>
        <v>04-254</v>
      </c>
      <c r="H1256" t="str">
        <f>"B"</f>
        <v>B</v>
      </c>
    </row>
    <row r="1257" spans="1:8" x14ac:dyDescent="0.2">
      <c r="A1257" t="str">
        <f t="shared" si="461"/>
        <v>0616123065</v>
      </c>
      <c r="B1257" t="str">
        <f t="shared" si="462"/>
        <v>GUERSEY</v>
      </c>
      <c r="C1257" t="str">
        <f t="shared" si="463"/>
        <v>BEAULIERE</v>
      </c>
      <c r="D1257" t="str">
        <f t="shared" si="464"/>
        <v>09</v>
      </c>
      <c r="E1257" t="str">
        <f>"05 - B - 103 - Rory T Sponsler"</f>
        <v>05 - B - 103 - Rory T Sponsler</v>
      </c>
      <c r="F1257" t="str">
        <f>"PRE-AICE WRLD HST IG"</f>
        <v>PRE-AICE WRLD HST IG</v>
      </c>
      <c r="G1257" t="str">
        <f>"17-1740"</f>
        <v>17-1740</v>
      </c>
      <c r="H1257" t="str">
        <f>"B"</f>
        <v>B</v>
      </c>
    </row>
    <row r="1258" spans="1:8" x14ac:dyDescent="0.2">
      <c r="A1258" t="str">
        <f t="shared" si="461"/>
        <v>0616123065</v>
      </c>
      <c r="B1258" t="str">
        <f t="shared" si="462"/>
        <v>GUERSEY</v>
      </c>
      <c r="C1258" t="str">
        <f t="shared" si="463"/>
        <v>BEAULIERE</v>
      </c>
      <c r="D1258" t="str">
        <f t="shared" si="464"/>
        <v>09</v>
      </c>
      <c r="E1258" t="str">
        <f>"01 - A - 101 - Cheryl Anne  Berman-Schechter"</f>
        <v>01 - A - 101 - Cheryl Anne  Berman-Schechter</v>
      </c>
      <c r="F1258" t="str">
        <f>"PRE-AICE ENG LANG IG"</f>
        <v>PRE-AICE ENG LANG IG</v>
      </c>
      <c r="G1258" t="str">
        <f>"17-1722"</f>
        <v>17-1722</v>
      </c>
      <c r="H1258" t="str">
        <f>"A"</f>
        <v>A</v>
      </c>
    </row>
    <row r="1259" spans="1:8" x14ac:dyDescent="0.2">
      <c r="A1259" t="str">
        <f t="shared" si="461"/>
        <v>0616123065</v>
      </c>
      <c r="B1259" t="str">
        <f t="shared" si="462"/>
        <v>GUERSEY</v>
      </c>
      <c r="C1259" t="str">
        <f t="shared" si="463"/>
        <v>BEAULIERE</v>
      </c>
      <c r="D1259" t="str">
        <f t="shared" si="464"/>
        <v>09</v>
      </c>
      <c r="E1259" t="str">
        <f>"08 - B - 105 - Daniel S Tyson"</f>
        <v>08 - B - 105 - Daniel S Tyson</v>
      </c>
      <c r="F1259" t="str">
        <f>"JROTC NAVAL SCI 1"</f>
        <v>JROTC NAVAL SCI 1</v>
      </c>
      <c r="G1259" t="str">
        <f>"05-510"</f>
        <v>05-510</v>
      </c>
      <c r="H1259" t="str">
        <f>"B"</f>
        <v>B</v>
      </c>
    </row>
    <row r="1260" spans="1:8" x14ac:dyDescent="0.2">
      <c r="A1260" t="str">
        <f t="shared" ref="A1260:A1267" si="465">"0613122034"</f>
        <v>0613122034</v>
      </c>
      <c r="B1260" t="str">
        <f t="shared" ref="B1260:B1267" si="466">"CARLVANSKY"</f>
        <v>CARLVANSKY</v>
      </c>
      <c r="C1260" t="str">
        <f t="shared" ref="C1260:C1267" si="467">"BEAUTELUS"</f>
        <v>BEAUTELUS</v>
      </c>
      <c r="D1260">
        <f>12</f>
        <v>12</v>
      </c>
      <c r="E1260" t="str">
        <f>"04 - S1 - A - 105 - Robert O Burger"</f>
        <v>04 - S1 - A - 105 - Robert O Burger</v>
      </c>
      <c r="F1260" t="str">
        <f>"US GOVT"</f>
        <v>US GOVT</v>
      </c>
      <c r="G1260" t="str">
        <f>"17-1755"</f>
        <v>17-1755</v>
      </c>
      <c r="H1260" t="str">
        <f>"A"</f>
        <v>A</v>
      </c>
    </row>
    <row r="1261" spans="1:8" x14ac:dyDescent="0.2">
      <c r="A1261" t="str">
        <f t="shared" si="465"/>
        <v>0613122034</v>
      </c>
      <c r="B1261" t="str">
        <f t="shared" si="466"/>
        <v>CARLVANSKY</v>
      </c>
      <c r="C1261" t="str">
        <f t="shared" si="467"/>
        <v>BEAUTELUS</v>
      </c>
      <c r="D1261">
        <f>12</f>
        <v>12</v>
      </c>
      <c r="E1261" t="str">
        <f>"06 - B - 108 - Jacquelyn M Neeson"</f>
        <v>06 - B - 108 - Jacquelyn M Neeson</v>
      </c>
      <c r="F1261" t="str">
        <f>"NC STUDY HALL 1"</f>
        <v>NC STUDY HALL 1</v>
      </c>
      <c r="G1261" t="str">
        <f>"17-1715"</f>
        <v>17-1715</v>
      </c>
      <c r="H1261" t="str">
        <f>"B"</f>
        <v>B</v>
      </c>
    </row>
    <row r="1262" spans="1:8" x14ac:dyDescent="0.2">
      <c r="A1262" t="str">
        <f t="shared" si="465"/>
        <v>0613122034</v>
      </c>
      <c r="B1262" t="str">
        <f t="shared" si="466"/>
        <v>CARLVANSKY</v>
      </c>
      <c r="C1262" t="str">
        <f t="shared" si="467"/>
        <v>BEAUTELUS</v>
      </c>
      <c r="D1262">
        <f>12</f>
        <v>12</v>
      </c>
      <c r="E1262" t="str">
        <f>"03 - A - 103 - Adam Marcus  Drucker"</f>
        <v>03 - A - 103 - Adam Marcus  Drucker</v>
      </c>
      <c r="F1262" t="str">
        <f>"HOPE-PE V"</f>
        <v>HOPE-PE V</v>
      </c>
      <c r="G1262" t="str">
        <f>"04-254"</f>
        <v>04-254</v>
      </c>
      <c r="H1262" t="str">
        <f>"A"</f>
        <v>A</v>
      </c>
    </row>
    <row r="1263" spans="1:8" x14ac:dyDescent="0.2">
      <c r="A1263" t="str">
        <f t="shared" si="465"/>
        <v>0613122034</v>
      </c>
      <c r="B1263" t="str">
        <f t="shared" si="466"/>
        <v>CARLVANSKY</v>
      </c>
      <c r="C1263" t="str">
        <f t="shared" si="467"/>
        <v>BEAUTELUS</v>
      </c>
      <c r="D1263">
        <f>12</f>
        <v>12</v>
      </c>
      <c r="E1263" t="str">
        <f>"02 - A - 101 - Robyn L Trainer"</f>
        <v>02 - A - 101 - Robyn L Trainer</v>
      </c>
      <c r="F1263" t="str">
        <f>"ENG 4"</f>
        <v>ENG 4</v>
      </c>
      <c r="G1263" t="str">
        <f>"17-1734"</f>
        <v>17-1734</v>
      </c>
      <c r="H1263" t="str">
        <f>"A"</f>
        <v>A</v>
      </c>
    </row>
    <row r="1264" spans="1:8" x14ac:dyDescent="0.2">
      <c r="A1264" t="str">
        <f t="shared" si="465"/>
        <v>0613122034</v>
      </c>
      <c r="B1264" t="str">
        <f t="shared" si="466"/>
        <v>CARLVANSKY</v>
      </c>
      <c r="C1264" t="str">
        <f t="shared" si="467"/>
        <v>BEAUTELUS</v>
      </c>
      <c r="D1264">
        <f>12</f>
        <v>12</v>
      </c>
      <c r="E1264" t="str">
        <f>"07 - B - 101 - Bruce A Evans"</f>
        <v>07 - B - 101 - Bruce A Evans</v>
      </c>
      <c r="F1264" t="str">
        <f>"FIREFIGHTING 1 LH"</f>
        <v>FIREFIGHTING 1 LH</v>
      </c>
      <c r="G1264" t="str">
        <f>"21-2142"</f>
        <v>21-2142</v>
      </c>
      <c r="H1264" t="str">
        <f>"B"</f>
        <v>B</v>
      </c>
    </row>
    <row r="1265" spans="1:8" x14ac:dyDescent="0.2">
      <c r="A1265" t="str">
        <f t="shared" si="465"/>
        <v>0613122034</v>
      </c>
      <c r="B1265" t="str">
        <f t="shared" si="466"/>
        <v>CARLVANSKY</v>
      </c>
      <c r="C1265" t="str">
        <f t="shared" si="467"/>
        <v>BEAUTELUS</v>
      </c>
      <c r="D1265">
        <f>12</f>
        <v>12</v>
      </c>
      <c r="E1265" t="str">
        <f>"05 - B - 101 - Angela S Adeshina-Morrison"</f>
        <v>05 - B - 101 - Angela S Adeshina-Morrison</v>
      </c>
      <c r="F1265" t="str">
        <f>"MKT MANAGEMENT LH"</f>
        <v>MKT MANAGEMENT LH</v>
      </c>
      <c r="G1265" t="str">
        <f>"05-518"</f>
        <v>05-518</v>
      </c>
      <c r="H1265" t="str">
        <f>"B"</f>
        <v>B</v>
      </c>
    </row>
    <row r="1266" spans="1:8" x14ac:dyDescent="0.2">
      <c r="A1266" t="str">
        <f t="shared" si="465"/>
        <v>0613122034</v>
      </c>
      <c r="B1266" t="str">
        <f t="shared" si="466"/>
        <v>CARLVANSKY</v>
      </c>
      <c r="C1266" t="str">
        <f t="shared" si="467"/>
        <v>BEAUTELUS</v>
      </c>
      <c r="D1266">
        <f>12</f>
        <v>12</v>
      </c>
      <c r="E1266" t="str">
        <f>"01 - A - 102 - Robert H Rindner"</f>
        <v>01 - A - 102 - Robert H Rindner</v>
      </c>
      <c r="F1266" t="str">
        <f>"MATH DATA&amp;FIN LIT H"</f>
        <v>MATH DATA&amp;FIN LIT H</v>
      </c>
      <c r="G1266" t="str">
        <f>"21-2160"</f>
        <v>21-2160</v>
      </c>
      <c r="H1266" t="str">
        <f>"A"</f>
        <v>A</v>
      </c>
    </row>
    <row r="1267" spans="1:8" x14ac:dyDescent="0.2">
      <c r="A1267" t="str">
        <f t="shared" si="465"/>
        <v>0613122034</v>
      </c>
      <c r="B1267" t="str">
        <f t="shared" si="466"/>
        <v>CARLVANSKY</v>
      </c>
      <c r="C1267" t="str">
        <f t="shared" si="467"/>
        <v>BEAUTELUS</v>
      </c>
      <c r="D1267">
        <f>12</f>
        <v>12</v>
      </c>
      <c r="E1267" t="str">
        <f>"08 - B - 102 - Josiah I Lacy"</f>
        <v>08 - B - 102 - Josiah I Lacy</v>
      </c>
      <c r="F1267" t="str">
        <f>"ANAT PHYSIO HON"</f>
        <v>ANAT PHYSIO HON</v>
      </c>
      <c r="G1267" t="str">
        <f>"08-801"</f>
        <v>08-801</v>
      </c>
      <c r="H1267" t="str">
        <f>"B"</f>
        <v>B</v>
      </c>
    </row>
    <row r="1268" spans="1:8" x14ac:dyDescent="0.2">
      <c r="A1268" t="str">
        <f t="shared" ref="A1268:A1275" si="468">"0623098116"</f>
        <v>0623098116</v>
      </c>
      <c r="B1268" t="str">
        <f t="shared" ref="B1268:B1275" si="469">"OCEANA"</f>
        <v>OCEANA</v>
      </c>
      <c r="C1268" t="str">
        <f t="shared" ref="C1268:C1275" si="470">"BECHERT"</f>
        <v>BECHERT</v>
      </c>
      <c r="D1268">
        <f>11</f>
        <v>11</v>
      </c>
      <c r="E1268" t="str">
        <f>"04 - S1 - A - 101 - Nahum  Saint-Preux"</f>
        <v>04 - S1 - A - 101 - Nahum  Saint-Preux</v>
      </c>
      <c r="F1268" t="str">
        <f>"CRIT THINK ST SKLS"</f>
        <v>CRIT THINK ST SKLS</v>
      </c>
      <c r="G1268" t="str">
        <f>"17-1712"</f>
        <v>17-1712</v>
      </c>
      <c r="H1268" t="str">
        <f>"A"</f>
        <v>A</v>
      </c>
    </row>
    <row r="1269" spans="1:8" x14ac:dyDescent="0.2">
      <c r="A1269" t="str">
        <f t="shared" si="468"/>
        <v>0623098116</v>
      </c>
      <c r="B1269" t="str">
        <f t="shared" si="469"/>
        <v>OCEANA</v>
      </c>
      <c r="C1269" t="str">
        <f t="shared" si="470"/>
        <v>BECHERT</v>
      </c>
      <c r="D1269">
        <f>11</f>
        <v>11</v>
      </c>
      <c r="E1269" t="str">
        <f>"06 - B - 104 - Lissa C Frederique"</f>
        <v>06 - B - 104 - Lissa C Frederique</v>
      </c>
      <c r="F1269" t="str">
        <f>"NC STUDY HALL 1"</f>
        <v>NC STUDY HALL 1</v>
      </c>
      <c r="G1269" t="str">
        <f>"17-1754"</f>
        <v>17-1754</v>
      </c>
      <c r="H1269" t="str">
        <f>"B"</f>
        <v>B</v>
      </c>
    </row>
    <row r="1270" spans="1:8" x14ac:dyDescent="0.2">
      <c r="A1270" t="str">
        <f t="shared" si="468"/>
        <v>0623098116</v>
      </c>
      <c r="B1270" t="str">
        <f t="shared" si="469"/>
        <v>OCEANA</v>
      </c>
      <c r="C1270" t="str">
        <f t="shared" si="470"/>
        <v>BECHERT</v>
      </c>
      <c r="D1270">
        <f>11</f>
        <v>11</v>
      </c>
      <c r="E1270" t="str">
        <f>"03 - A - 101 - Tina L Lovett"</f>
        <v>03 - A - 101 - Tina L Lovett</v>
      </c>
      <c r="F1270" t="str">
        <f>"MATH DATA &amp; FIN LIT"</f>
        <v>MATH DATA &amp; FIN LIT</v>
      </c>
      <c r="G1270" t="str">
        <f>"21-2153"</f>
        <v>21-2153</v>
      </c>
      <c r="H1270" t="str">
        <f>"A"</f>
        <v>A</v>
      </c>
    </row>
    <row r="1271" spans="1:8" x14ac:dyDescent="0.2">
      <c r="A1271" t="str">
        <f t="shared" si="468"/>
        <v>0623098116</v>
      </c>
      <c r="B1271" t="str">
        <f t="shared" si="469"/>
        <v>OCEANA</v>
      </c>
      <c r="C1271" t="str">
        <f t="shared" si="470"/>
        <v>BECHERT</v>
      </c>
      <c r="D1271">
        <f>11</f>
        <v>11</v>
      </c>
      <c r="E1271" t="str">
        <f>"02 - S1 - A - 104 - Robert O Burger"</f>
        <v>02 - S1 - A - 104 - Robert O Burger</v>
      </c>
      <c r="F1271" t="str">
        <f>"US GOVT"</f>
        <v>US GOVT</v>
      </c>
      <c r="G1271" t="str">
        <f>"17-1755"</f>
        <v>17-1755</v>
      </c>
      <c r="H1271" t="str">
        <f>"A"</f>
        <v>A</v>
      </c>
    </row>
    <row r="1272" spans="1:8" x14ac:dyDescent="0.2">
      <c r="A1272" t="str">
        <f t="shared" si="468"/>
        <v>0623098116</v>
      </c>
      <c r="B1272" t="str">
        <f t="shared" si="469"/>
        <v>OCEANA</v>
      </c>
      <c r="C1272" t="str">
        <f t="shared" si="470"/>
        <v>BECHERT</v>
      </c>
      <c r="D1272">
        <f>11</f>
        <v>11</v>
      </c>
      <c r="E1272" t="str">
        <f>"07 - S1 - B - 103 - Leslie J Barton"</f>
        <v>07 - S1 - B - 103 - Leslie J Barton</v>
      </c>
      <c r="F1272" t="str">
        <f>"TEAM SPORTS 1"</f>
        <v>TEAM SPORTS 1</v>
      </c>
      <c r="G1272" t="str">
        <f>"04-254"</f>
        <v>04-254</v>
      </c>
      <c r="H1272" t="str">
        <f>"B"</f>
        <v>B</v>
      </c>
    </row>
    <row r="1273" spans="1:8" x14ac:dyDescent="0.2">
      <c r="A1273" t="str">
        <f t="shared" si="468"/>
        <v>0623098116</v>
      </c>
      <c r="B1273" t="str">
        <f t="shared" si="469"/>
        <v>OCEANA</v>
      </c>
      <c r="C1273" t="str">
        <f t="shared" si="470"/>
        <v>BECHERT</v>
      </c>
      <c r="D1273">
        <f>11</f>
        <v>11</v>
      </c>
      <c r="E1273" t="str">
        <f>"05 - B - 103 - Nahum  Saint-Preux"</f>
        <v>05 - B - 103 - Nahum  Saint-Preux</v>
      </c>
      <c r="F1273" t="str">
        <f>"INTENS READ 3"</f>
        <v>INTENS READ 3</v>
      </c>
      <c r="G1273" t="str">
        <f>"17-1712"</f>
        <v>17-1712</v>
      </c>
      <c r="H1273" t="str">
        <f>"B"</f>
        <v>B</v>
      </c>
    </row>
    <row r="1274" spans="1:8" x14ac:dyDescent="0.2">
      <c r="A1274" t="str">
        <f t="shared" si="468"/>
        <v>0623098116</v>
      </c>
      <c r="B1274" t="str">
        <f t="shared" si="469"/>
        <v>OCEANA</v>
      </c>
      <c r="C1274" t="str">
        <f t="shared" si="470"/>
        <v>BECHERT</v>
      </c>
      <c r="D1274">
        <f>11</f>
        <v>11</v>
      </c>
      <c r="E1274" t="str">
        <f>"01 - A - 101 - Cliffon  Saurel"</f>
        <v>01 - A - 101 - Cliffon  Saurel</v>
      </c>
      <c r="F1274" t="str">
        <f>"PHYSICAL SCI"</f>
        <v>PHYSICAL SCI</v>
      </c>
      <c r="G1274" t="str">
        <f>"05-522"</f>
        <v>05-522</v>
      </c>
      <c r="H1274" t="str">
        <f>"A"</f>
        <v>A</v>
      </c>
    </row>
    <row r="1275" spans="1:8" x14ac:dyDescent="0.2">
      <c r="A1275" t="str">
        <f t="shared" si="468"/>
        <v>0623098116</v>
      </c>
      <c r="B1275" t="str">
        <f t="shared" si="469"/>
        <v>OCEANA</v>
      </c>
      <c r="C1275" t="str">
        <f t="shared" si="470"/>
        <v>BECHERT</v>
      </c>
      <c r="D1275">
        <f>11</f>
        <v>11</v>
      </c>
      <c r="E1275" t="str">
        <f>"08 - B - 206 - Robyn L Trainer"</f>
        <v>08 - B - 206 - Robyn L Trainer</v>
      </c>
      <c r="F1275" t="str">
        <f>"ENG 4: FL COLL PREP"</f>
        <v>ENG 4: FL COLL PREP</v>
      </c>
      <c r="G1275" t="str">
        <f>"17-1734"</f>
        <v>17-1734</v>
      </c>
      <c r="H1275" t="str">
        <f>"B"</f>
        <v>B</v>
      </c>
    </row>
    <row r="1276" spans="1:8" x14ac:dyDescent="0.2">
      <c r="A1276" t="str">
        <f t="shared" ref="A1276:A1283" si="471">"0614089985"</f>
        <v>0614089985</v>
      </c>
      <c r="B1276" t="str">
        <f t="shared" ref="B1276:B1283" si="472">"ALEXANDER"</f>
        <v>ALEXANDER</v>
      </c>
      <c r="C1276" t="str">
        <f t="shared" ref="C1276:C1283" si="473">"BECKFORD"</f>
        <v>BECKFORD</v>
      </c>
      <c r="D1276">
        <f>11</f>
        <v>11</v>
      </c>
      <c r="E1276" t="str">
        <f>"04 - A - 102 - Samantha J Headley"</f>
        <v>04 - A - 102 - Samantha J Headley</v>
      </c>
      <c r="F1276" t="str">
        <f>"MARINE SCI 1 HON"</f>
        <v>MARINE SCI 1 HON</v>
      </c>
      <c r="G1276" t="str">
        <f>"21-2134"</f>
        <v>21-2134</v>
      </c>
      <c r="H1276" t="str">
        <f>"A"</f>
        <v>A</v>
      </c>
    </row>
    <row r="1277" spans="1:8" x14ac:dyDescent="0.2">
      <c r="A1277" t="str">
        <f t="shared" si="471"/>
        <v>0614089985</v>
      </c>
      <c r="B1277" t="str">
        <f t="shared" si="472"/>
        <v>ALEXANDER</v>
      </c>
      <c r="C1277" t="str">
        <f t="shared" si="473"/>
        <v>BECKFORD</v>
      </c>
      <c r="D1277">
        <f>11</f>
        <v>11</v>
      </c>
      <c r="E1277" t="str">
        <f>"06 - B - 104 - Nahum  Saint-Preux"</f>
        <v>06 - B - 104 - Nahum  Saint-Preux</v>
      </c>
      <c r="F1277" t="str">
        <f>"INTENS READ 3"</f>
        <v>INTENS READ 3</v>
      </c>
      <c r="G1277" t="str">
        <f>"17-1712"</f>
        <v>17-1712</v>
      </c>
      <c r="H1277" t="str">
        <f>"B"</f>
        <v>B</v>
      </c>
    </row>
    <row r="1278" spans="1:8" x14ac:dyDescent="0.2">
      <c r="A1278" t="str">
        <f t="shared" si="471"/>
        <v>0614089985</v>
      </c>
      <c r="B1278" t="str">
        <f t="shared" si="472"/>
        <v>ALEXANDER</v>
      </c>
      <c r="C1278" t="str">
        <f t="shared" si="473"/>
        <v>BECKFORD</v>
      </c>
      <c r="D1278">
        <f>11</f>
        <v>11</v>
      </c>
      <c r="E1278" t="str">
        <f>"03 - A - 103 - Pamela M Corzo"</f>
        <v>03 - A - 103 - Pamela M Corzo</v>
      </c>
      <c r="F1278" t="str">
        <f>"ALGEBRA 2 HON"</f>
        <v>ALGEBRA 2 HON</v>
      </c>
      <c r="G1278" t="str">
        <f>"21-2133"</f>
        <v>21-2133</v>
      </c>
      <c r="H1278" t="str">
        <f>"A"</f>
        <v>A</v>
      </c>
    </row>
    <row r="1279" spans="1:8" x14ac:dyDescent="0.2">
      <c r="A1279" t="str">
        <f t="shared" si="471"/>
        <v>0614089985</v>
      </c>
      <c r="B1279" t="str">
        <f t="shared" si="472"/>
        <v>ALEXANDER</v>
      </c>
      <c r="C1279" t="str">
        <f t="shared" si="473"/>
        <v>BECKFORD</v>
      </c>
      <c r="D1279">
        <f>11</f>
        <v>11</v>
      </c>
      <c r="E1279" t="str">
        <f>"02 - A - 107 - Elizabeth Ellen  Moran"</f>
        <v>02 - A - 107 - Elizabeth Ellen  Moran</v>
      </c>
      <c r="F1279" t="str">
        <f>"NC STUDY HALL 1"</f>
        <v>NC STUDY HALL 1</v>
      </c>
      <c r="G1279" t="str">
        <f>"17-1752"</f>
        <v>17-1752</v>
      </c>
      <c r="H1279" t="str">
        <f>"A"</f>
        <v>A</v>
      </c>
    </row>
    <row r="1280" spans="1:8" x14ac:dyDescent="0.2">
      <c r="A1280" t="str">
        <f t="shared" si="471"/>
        <v>0614089985</v>
      </c>
      <c r="B1280" t="str">
        <f t="shared" si="472"/>
        <v>ALEXANDER</v>
      </c>
      <c r="C1280" t="str">
        <f t="shared" si="473"/>
        <v>BECKFORD</v>
      </c>
      <c r="D1280">
        <f>11</f>
        <v>11</v>
      </c>
      <c r="E1280" t="str">
        <f>"07 - B - 101 - Jeanne M Bermudez"</f>
        <v>07 - B - 101 - Jeanne M Bermudez</v>
      </c>
      <c r="F1280" t="str">
        <f>"FOUND OF PROGRAM HON"</f>
        <v>FOUND OF PROGRAM HON</v>
      </c>
      <c r="G1280" t="str">
        <f>"21-2141"</f>
        <v>21-2141</v>
      </c>
      <c r="H1280" t="str">
        <f>"B"</f>
        <v>B</v>
      </c>
    </row>
    <row r="1281" spans="1:8" x14ac:dyDescent="0.2">
      <c r="A1281" t="str">
        <f t="shared" si="471"/>
        <v>0614089985</v>
      </c>
      <c r="B1281" t="str">
        <f t="shared" si="472"/>
        <v>ALEXANDER</v>
      </c>
      <c r="C1281" t="str">
        <f t="shared" si="473"/>
        <v>BECKFORD</v>
      </c>
      <c r="D1281">
        <f>11</f>
        <v>11</v>
      </c>
      <c r="E1281" t="str">
        <f>"05 - B - 001 - Kyle  Robbins"</f>
        <v>05 - B - 001 - Kyle  Robbins</v>
      </c>
      <c r="F1281" t="str">
        <f>"US HISTORY HON"</f>
        <v>US HISTORY HON</v>
      </c>
      <c r="G1281" t="str">
        <f>"17-1745"</f>
        <v>17-1745</v>
      </c>
      <c r="H1281" t="str">
        <f>"B"</f>
        <v>B</v>
      </c>
    </row>
    <row r="1282" spans="1:8" x14ac:dyDescent="0.2">
      <c r="A1282" t="str">
        <f t="shared" si="471"/>
        <v>0614089985</v>
      </c>
      <c r="B1282" t="str">
        <f t="shared" si="472"/>
        <v>ALEXANDER</v>
      </c>
      <c r="C1282" t="str">
        <f t="shared" si="473"/>
        <v>BECKFORD</v>
      </c>
      <c r="D1282">
        <f>11</f>
        <v>11</v>
      </c>
      <c r="E1282" t="str">
        <f>"01 - A - 101 - Heidi M Knopp"</f>
        <v>01 - A - 101 - Heidi M Knopp</v>
      </c>
      <c r="F1282" t="str">
        <f>"ENG HON 3"</f>
        <v>ENG HON 3</v>
      </c>
      <c r="G1282" t="str">
        <f>"17-1752"</f>
        <v>17-1752</v>
      </c>
      <c r="H1282" t="str">
        <f>"A"</f>
        <v>A</v>
      </c>
    </row>
    <row r="1283" spans="1:8" x14ac:dyDescent="0.2">
      <c r="A1283" t="str">
        <f t="shared" si="471"/>
        <v>0614089985</v>
      </c>
      <c r="B1283" t="str">
        <f t="shared" si="472"/>
        <v>ALEXANDER</v>
      </c>
      <c r="C1283" t="str">
        <f t="shared" si="473"/>
        <v>BECKFORD</v>
      </c>
      <c r="D1283">
        <f>11</f>
        <v>11</v>
      </c>
      <c r="E1283" t="str">
        <f>"08 - B - 108 - Adam Marcus  Drucker"</f>
        <v>08 - B - 108 - Adam Marcus  Drucker</v>
      </c>
      <c r="F1283" t="str">
        <f>"HOPE-PE V"</f>
        <v>HOPE-PE V</v>
      </c>
      <c r="G1283" t="str">
        <f>"04-254"</f>
        <v>04-254</v>
      </c>
      <c r="H1283" t="str">
        <f>"B"</f>
        <v>B</v>
      </c>
    </row>
    <row r="1284" spans="1:8" x14ac:dyDescent="0.2">
      <c r="A1284" t="str">
        <f t="shared" ref="A1284:A1291" si="474">"0623069658"</f>
        <v>0623069658</v>
      </c>
      <c r="B1284" t="str">
        <f t="shared" ref="B1284:B1291" si="475">"LANDON"</f>
        <v>LANDON</v>
      </c>
      <c r="C1284" t="str">
        <f t="shared" ref="C1284:C1291" si="476">"BEECROFT"</f>
        <v>BEECROFT</v>
      </c>
      <c r="D1284">
        <f>10</f>
        <v>10</v>
      </c>
      <c r="E1284" t="str">
        <f>"04 - A - 104 - Nikiel  Nesbeth"</f>
        <v>04 - A - 104 - Nikiel  Nesbeth</v>
      </c>
      <c r="F1284" t="str">
        <f>"ENG 2"</f>
        <v>ENG 2</v>
      </c>
      <c r="G1284" t="str">
        <f>"17-1705"</f>
        <v>17-1705</v>
      </c>
      <c r="H1284" t="str">
        <f>"A"</f>
        <v>A</v>
      </c>
    </row>
    <row r="1285" spans="1:8" x14ac:dyDescent="0.2">
      <c r="A1285" t="str">
        <f t="shared" si="474"/>
        <v>0623069658</v>
      </c>
      <c r="B1285" t="str">
        <f t="shared" si="475"/>
        <v>LANDON</v>
      </c>
      <c r="C1285" t="str">
        <f t="shared" si="476"/>
        <v>BEECROFT</v>
      </c>
      <c r="D1285">
        <f>10</f>
        <v>10</v>
      </c>
      <c r="E1285" t="str">
        <f>"06 - B - 003 - Emmily A Sarmiento"</f>
        <v>06 - B - 003 - Emmily A Sarmiento</v>
      </c>
      <c r="F1285" t="str">
        <f>"NC STUDY HALL 1"</f>
        <v>NC STUDY HALL 1</v>
      </c>
      <c r="G1285" t="str">
        <f>"17-1743"</f>
        <v>17-1743</v>
      </c>
      <c r="H1285" t="str">
        <f>"B"</f>
        <v>B</v>
      </c>
    </row>
    <row r="1286" spans="1:8" x14ac:dyDescent="0.2">
      <c r="A1286" t="str">
        <f t="shared" si="474"/>
        <v>0623069658</v>
      </c>
      <c r="B1286" t="str">
        <f t="shared" si="475"/>
        <v>LANDON</v>
      </c>
      <c r="C1286" t="str">
        <f t="shared" si="476"/>
        <v>BEECROFT</v>
      </c>
      <c r="D1286">
        <f>10</f>
        <v>10</v>
      </c>
      <c r="E1286" t="str">
        <f>"03 - A - 105 - Elizabeth Ellen  Moran"</f>
        <v>03 - A - 105 - Elizabeth Ellen  Moran</v>
      </c>
      <c r="F1286" t="str">
        <f>"WORLD HISTORY"</f>
        <v>WORLD HISTORY</v>
      </c>
      <c r="G1286" t="str">
        <f>"17-1752"</f>
        <v>17-1752</v>
      </c>
      <c r="H1286" t="str">
        <f>"A"</f>
        <v>A</v>
      </c>
    </row>
    <row r="1287" spans="1:8" x14ac:dyDescent="0.2">
      <c r="A1287" t="str">
        <f t="shared" si="474"/>
        <v>0623069658</v>
      </c>
      <c r="B1287" t="str">
        <f t="shared" si="475"/>
        <v>LANDON</v>
      </c>
      <c r="C1287" t="str">
        <f t="shared" si="476"/>
        <v>BEECROFT</v>
      </c>
      <c r="D1287">
        <f>10</f>
        <v>10</v>
      </c>
      <c r="E1287" t="str">
        <f>"02 - A - 101 - Brian M Fitzgerald"</f>
        <v>02 - A - 101 - Brian M Fitzgerald</v>
      </c>
      <c r="F1287" t="str">
        <f>"DRAW 1"</f>
        <v>DRAW 1</v>
      </c>
      <c r="G1287" t="str">
        <f>"09-908"</f>
        <v>09-908</v>
      </c>
      <c r="H1287" t="str">
        <f>"A"</f>
        <v>A</v>
      </c>
    </row>
    <row r="1288" spans="1:8" x14ac:dyDescent="0.2">
      <c r="A1288" t="str">
        <f t="shared" si="474"/>
        <v>0623069658</v>
      </c>
      <c r="B1288" t="str">
        <f t="shared" si="475"/>
        <v>LANDON</v>
      </c>
      <c r="C1288" t="str">
        <f t="shared" si="476"/>
        <v>BEECROFT</v>
      </c>
      <c r="D1288">
        <f>10</f>
        <v>10</v>
      </c>
      <c r="E1288" t="str">
        <f>"07 - B - 105 - Joe  Kilpatrick Jr"</f>
        <v>07 - B - 105 - Joe  Kilpatrick Jr</v>
      </c>
      <c r="F1288" t="str">
        <f>"PRE-AICE SPAN 1 IG"</f>
        <v>PRE-AICE SPAN 1 IG</v>
      </c>
      <c r="G1288" t="str">
        <f>"09-912"</f>
        <v>09-912</v>
      </c>
      <c r="H1288" t="str">
        <f>"B"</f>
        <v>B</v>
      </c>
    </row>
    <row r="1289" spans="1:8" x14ac:dyDescent="0.2">
      <c r="A1289" t="str">
        <f t="shared" si="474"/>
        <v>0623069658</v>
      </c>
      <c r="B1289" t="str">
        <f t="shared" si="475"/>
        <v>LANDON</v>
      </c>
      <c r="C1289" t="str">
        <f t="shared" si="476"/>
        <v>BEECROFT</v>
      </c>
      <c r="D1289">
        <f>10</f>
        <v>10</v>
      </c>
      <c r="E1289" t="str">
        <f>"05 - B - 105 - Taraneh C Abreu"</f>
        <v>05 - B - 105 - Taraneh C Abreu</v>
      </c>
      <c r="F1289" t="str">
        <f>"INTENS READ 2"</f>
        <v>INTENS READ 2</v>
      </c>
      <c r="G1289" t="str">
        <f>"17-1713"</f>
        <v>17-1713</v>
      </c>
      <c r="H1289" t="str">
        <f>"B"</f>
        <v>B</v>
      </c>
    </row>
    <row r="1290" spans="1:8" x14ac:dyDescent="0.2">
      <c r="A1290" t="str">
        <f t="shared" si="474"/>
        <v>0623069658</v>
      </c>
      <c r="B1290" t="str">
        <f t="shared" si="475"/>
        <v>LANDON</v>
      </c>
      <c r="C1290" t="str">
        <f t="shared" si="476"/>
        <v>BEECROFT</v>
      </c>
      <c r="D1290">
        <f>10</f>
        <v>10</v>
      </c>
      <c r="E1290" t="str">
        <f>"01 - A - 104 - Milca  Exantus"</f>
        <v>01 - A - 104 - Milca  Exantus</v>
      </c>
      <c r="F1290" t="str">
        <f>"MATH COLLEGE LIB ART"</f>
        <v>MATH COLLEGE LIB ART</v>
      </c>
      <c r="G1290" t="str">
        <f>"21-2145"</f>
        <v>21-2145</v>
      </c>
      <c r="H1290" t="str">
        <f>"A"</f>
        <v>A</v>
      </c>
    </row>
    <row r="1291" spans="1:8" x14ac:dyDescent="0.2">
      <c r="A1291" t="str">
        <f t="shared" si="474"/>
        <v>0623069658</v>
      </c>
      <c r="B1291" t="str">
        <f t="shared" si="475"/>
        <v>LANDON</v>
      </c>
      <c r="C1291" t="str">
        <f t="shared" si="476"/>
        <v>BEECROFT</v>
      </c>
      <c r="D1291">
        <f>10</f>
        <v>10</v>
      </c>
      <c r="E1291" t="str">
        <f>"08 - B - 108 - Paige Lauren  Brochu"</f>
        <v>08 - B - 108 - Paige Lauren  Brochu</v>
      </c>
      <c r="F1291" t="str">
        <f>"BIOLOGY 1"</f>
        <v>BIOLOGY 1</v>
      </c>
      <c r="G1291" t="str">
        <f>"21-2134"</f>
        <v>21-2134</v>
      </c>
      <c r="H1291" t="str">
        <f>"B"</f>
        <v>B</v>
      </c>
    </row>
    <row r="1292" spans="1:8" x14ac:dyDescent="0.2">
      <c r="A1292" t="str">
        <f t="shared" ref="A1292:A1299" si="477">"0617050688"</f>
        <v>0617050688</v>
      </c>
      <c r="B1292" t="str">
        <f t="shared" ref="B1292:B1299" si="478">"CARISSA"</f>
        <v>CARISSA</v>
      </c>
      <c r="C1292" t="str">
        <f t="shared" ref="C1292:C1307" si="479">"BELIZAIRE"</f>
        <v>BELIZAIRE</v>
      </c>
      <c r="D1292" t="str">
        <f t="shared" ref="D1292:D1299" si="480">"09"</f>
        <v>09</v>
      </c>
      <c r="E1292" t="str">
        <f>"04 - A - 106 - Lissa C Frederique"</f>
        <v>04 - A - 106 - Lissa C Frederique</v>
      </c>
      <c r="F1292" t="str">
        <f>"WORLD HISTORY"</f>
        <v>WORLD HISTORY</v>
      </c>
      <c r="G1292" t="str">
        <f>"17-1754"</f>
        <v>17-1754</v>
      </c>
      <c r="H1292" t="str">
        <f>"A"</f>
        <v>A</v>
      </c>
    </row>
    <row r="1293" spans="1:8" x14ac:dyDescent="0.2">
      <c r="A1293" t="str">
        <f t="shared" si="477"/>
        <v>0617050688</v>
      </c>
      <c r="B1293" t="str">
        <f t="shared" si="478"/>
        <v>CARISSA</v>
      </c>
      <c r="C1293" t="str">
        <f t="shared" si="479"/>
        <v>BELIZAIRE</v>
      </c>
      <c r="D1293" t="str">
        <f t="shared" si="480"/>
        <v>09</v>
      </c>
      <c r="E1293" t="str">
        <f>"06 - B - 202 - Alejandro  Navarro"</f>
        <v>06 - B - 202 - Alejandro  Navarro</v>
      </c>
      <c r="F1293" t="str">
        <f>"BAND 1"</f>
        <v>BAND 1</v>
      </c>
      <c r="G1293" t="str">
        <f>"05-504"</f>
        <v>05-504</v>
      </c>
      <c r="H1293" t="str">
        <f>"B"</f>
        <v>B</v>
      </c>
    </row>
    <row r="1294" spans="1:8" x14ac:dyDescent="0.2">
      <c r="A1294" t="str">
        <f t="shared" si="477"/>
        <v>0617050688</v>
      </c>
      <c r="B1294" t="str">
        <f t="shared" si="478"/>
        <v>CARISSA</v>
      </c>
      <c r="C1294" t="str">
        <f t="shared" si="479"/>
        <v>BELIZAIRE</v>
      </c>
      <c r="D1294" t="str">
        <f t="shared" si="480"/>
        <v>09</v>
      </c>
      <c r="E1294" t="str">
        <f>"03 - A - 101 - Milca  Exantus"</f>
        <v>03 - A - 101 - Milca  Exantus</v>
      </c>
      <c r="F1294" t="str">
        <f>"ALGEBRA 1-A"</f>
        <v>ALGEBRA 1-A</v>
      </c>
      <c r="G1294" t="str">
        <f>"21-2145"</f>
        <v>21-2145</v>
      </c>
      <c r="H1294" t="str">
        <f>"A"</f>
        <v>A</v>
      </c>
    </row>
    <row r="1295" spans="1:8" x14ac:dyDescent="0.2">
      <c r="A1295" t="str">
        <f t="shared" si="477"/>
        <v>0617050688</v>
      </c>
      <c r="B1295" t="str">
        <f t="shared" si="478"/>
        <v>CARISSA</v>
      </c>
      <c r="C1295" t="str">
        <f t="shared" si="479"/>
        <v>BELIZAIRE</v>
      </c>
      <c r="D1295" t="str">
        <f t="shared" si="480"/>
        <v>09</v>
      </c>
      <c r="E1295" t="str">
        <f>"02 - A - 103 - Arthur  Kulawik"</f>
        <v>02 - A - 103 - Arthur  Kulawik</v>
      </c>
      <c r="F1295" t="str">
        <f>"NC STUDY HALL 1"</f>
        <v>NC STUDY HALL 1</v>
      </c>
      <c r="G1295" t="str">
        <f>"05-506"</f>
        <v>05-506</v>
      </c>
      <c r="H1295" t="str">
        <f>"A"</f>
        <v>A</v>
      </c>
    </row>
    <row r="1296" spans="1:8" x14ac:dyDescent="0.2">
      <c r="A1296" t="str">
        <f t="shared" si="477"/>
        <v>0617050688</v>
      </c>
      <c r="B1296" t="str">
        <f t="shared" si="478"/>
        <v>CARISSA</v>
      </c>
      <c r="C1296" t="str">
        <f t="shared" si="479"/>
        <v>BELIZAIRE</v>
      </c>
      <c r="D1296" t="str">
        <f t="shared" si="480"/>
        <v>09</v>
      </c>
      <c r="E1296" t="str">
        <f>"07 - B - 107 - Cerine S Stewart"</f>
        <v>07 - B - 107 - Cerine S Stewart</v>
      </c>
      <c r="F1296" t="str">
        <f>"ENG 1"</f>
        <v>ENG 1</v>
      </c>
      <c r="G1296" t="str">
        <f>"17-1720"</f>
        <v>17-1720</v>
      </c>
      <c r="H1296" t="str">
        <f>"B"</f>
        <v>B</v>
      </c>
    </row>
    <row r="1297" spans="1:8" x14ac:dyDescent="0.2">
      <c r="A1297" t="str">
        <f t="shared" si="477"/>
        <v>0617050688</v>
      </c>
      <c r="B1297" t="str">
        <f t="shared" si="478"/>
        <v>CARISSA</v>
      </c>
      <c r="C1297" t="str">
        <f t="shared" si="479"/>
        <v>BELIZAIRE</v>
      </c>
      <c r="D1297" t="str">
        <f t="shared" si="480"/>
        <v>09</v>
      </c>
      <c r="E1297" t="str">
        <f>"05 - B - 202 - Amy Beth  Broyles"</f>
        <v>05 - B - 202 - Amy Beth  Broyles</v>
      </c>
      <c r="F1297" t="str">
        <f>"ENV SCI"</f>
        <v>ENV SCI</v>
      </c>
      <c r="G1297" t="str">
        <f>"08-802"</f>
        <v>08-802</v>
      </c>
      <c r="H1297" t="str">
        <f>"B"</f>
        <v>B</v>
      </c>
    </row>
    <row r="1298" spans="1:8" x14ac:dyDescent="0.2">
      <c r="A1298" t="str">
        <f t="shared" si="477"/>
        <v>0617050688</v>
      </c>
      <c r="B1298" t="str">
        <f t="shared" si="478"/>
        <v>CARISSA</v>
      </c>
      <c r="C1298" t="str">
        <f t="shared" si="479"/>
        <v>BELIZAIRE</v>
      </c>
      <c r="D1298" t="str">
        <f t="shared" si="480"/>
        <v>09</v>
      </c>
      <c r="E1298" t="str">
        <f>"01 - A - 101 - Adam Marcus  Drucker"</f>
        <v>01 - A - 101 - Adam Marcus  Drucker</v>
      </c>
      <c r="F1298" t="str">
        <f>"HOPE-PE V"</f>
        <v>HOPE-PE V</v>
      </c>
      <c r="G1298" t="str">
        <f>"04-254"</f>
        <v>04-254</v>
      </c>
      <c r="H1298" t="str">
        <f>"A"</f>
        <v>A</v>
      </c>
    </row>
    <row r="1299" spans="1:8" x14ac:dyDescent="0.2">
      <c r="A1299" t="str">
        <f t="shared" si="477"/>
        <v>0617050688</v>
      </c>
      <c r="B1299" t="str">
        <f t="shared" si="478"/>
        <v>CARISSA</v>
      </c>
      <c r="C1299" t="str">
        <f t="shared" si="479"/>
        <v>BELIZAIRE</v>
      </c>
      <c r="D1299" t="str">
        <f t="shared" si="480"/>
        <v>09</v>
      </c>
      <c r="E1299" t="str">
        <f>"08 - B - 106 - Laselleda D Shaw"</f>
        <v>08 - B - 106 - Laselleda D Shaw</v>
      </c>
      <c r="F1299" t="str">
        <f>"INTENS READ 1"</f>
        <v>INTENS READ 1</v>
      </c>
      <c r="G1299" t="str">
        <f>"17-1723"</f>
        <v>17-1723</v>
      </c>
      <c r="H1299" t="str">
        <f>"B"</f>
        <v>B</v>
      </c>
    </row>
    <row r="1300" spans="1:8" x14ac:dyDescent="0.2">
      <c r="A1300" t="str">
        <f t="shared" ref="A1300:A1307" si="481">"0613049431"</f>
        <v>0613049431</v>
      </c>
      <c r="B1300" t="str">
        <f t="shared" ref="B1300:B1307" si="482">"SHA'MIYAH"</f>
        <v>SHA'MIYAH</v>
      </c>
      <c r="C1300" t="str">
        <f t="shared" si="479"/>
        <v>BELIZAIRE</v>
      </c>
      <c r="D1300">
        <f>12</f>
        <v>12</v>
      </c>
      <c r="E1300" t="str">
        <f>"04 - S1 - A - 101 - Nahum  Saint-Preux"</f>
        <v>04 - S1 - A - 101 - Nahum  Saint-Preux</v>
      </c>
      <c r="F1300" t="str">
        <f>"CRIT THINK ST SKLS"</f>
        <v>CRIT THINK ST SKLS</v>
      </c>
      <c r="G1300" t="str">
        <f>"17-1712"</f>
        <v>17-1712</v>
      </c>
      <c r="H1300" t="str">
        <f>"A"</f>
        <v>A</v>
      </c>
    </row>
    <row r="1301" spans="1:8" x14ac:dyDescent="0.2">
      <c r="A1301" t="str">
        <f t="shared" si="481"/>
        <v>0613049431</v>
      </c>
      <c r="B1301" t="str">
        <f t="shared" si="482"/>
        <v>SHA'MIYAH</v>
      </c>
      <c r="C1301" t="str">
        <f t="shared" si="479"/>
        <v>BELIZAIRE</v>
      </c>
      <c r="D1301">
        <f>12</f>
        <v>12</v>
      </c>
      <c r="E1301" t="str">
        <f>"06 - B - 112 - Lisa  Quinn"</f>
        <v>06 - B - 112 - Lisa  Quinn</v>
      </c>
      <c r="F1301" t="str">
        <f>"NC STUDY HALL 1"</f>
        <v>NC STUDY HALL 1</v>
      </c>
      <c r="G1301" t="str">
        <f>"17-1725"</f>
        <v>17-1725</v>
      </c>
      <c r="H1301" t="str">
        <f>"B"</f>
        <v>B</v>
      </c>
    </row>
    <row r="1302" spans="1:8" x14ac:dyDescent="0.2">
      <c r="A1302" t="str">
        <f t="shared" si="481"/>
        <v>0613049431</v>
      </c>
      <c r="B1302" t="str">
        <f t="shared" si="482"/>
        <v>SHA'MIYAH</v>
      </c>
      <c r="C1302" t="str">
        <f t="shared" si="479"/>
        <v>BELIZAIRE</v>
      </c>
      <c r="D1302">
        <f>12</f>
        <v>12</v>
      </c>
      <c r="E1302" t="str">
        <f>"03 - A - 102 - Thomas G Handwerg"</f>
        <v>03 - A - 102 - Thomas G Handwerg</v>
      </c>
      <c r="F1302" t="str">
        <f>"MATH COLL ALGEBRA"</f>
        <v>MATH COLL ALGEBRA</v>
      </c>
      <c r="G1302" t="str">
        <f>"21-2146"</f>
        <v>21-2146</v>
      </c>
      <c r="H1302" t="str">
        <f>"A"</f>
        <v>A</v>
      </c>
    </row>
    <row r="1303" spans="1:8" x14ac:dyDescent="0.2">
      <c r="A1303" t="str">
        <f t="shared" si="481"/>
        <v>0613049431</v>
      </c>
      <c r="B1303" t="str">
        <f t="shared" si="482"/>
        <v>SHA'MIYAH</v>
      </c>
      <c r="C1303" t="str">
        <f t="shared" si="479"/>
        <v>BELIZAIRE</v>
      </c>
      <c r="D1303">
        <f>12</f>
        <v>12</v>
      </c>
      <c r="E1303" t="str">
        <f>"02 - S1 - A - 104 - Robert O Burger"</f>
        <v>02 - S1 - A - 104 - Robert O Burger</v>
      </c>
      <c r="F1303" t="str">
        <f>"US GOVT"</f>
        <v>US GOVT</v>
      </c>
      <c r="G1303" t="str">
        <f>"17-1755"</f>
        <v>17-1755</v>
      </c>
      <c r="H1303" t="str">
        <f>"A"</f>
        <v>A</v>
      </c>
    </row>
    <row r="1304" spans="1:8" x14ac:dyDescent="0.2">
      <c r="A1304" t="str">
        <f t="shared" si="481"/>
        <v>0613049431</v>
      </c>
      <c r="B1304" t="str">
        <f t="shared" si="482"/>
        <v>SHA'MIYAH</v>
      </c>
      <c r="C1304" t="str">
        <f t="shared" si="479"/>
        <v>BELIZAIRE</v>
      </c>
      <c r="D1304">
        <f>12</f>
        <v>12</v>
      </c>
      <c r="E1304" t="str">
        <f>"07 - B - 104 - Robyn L Trainer"</f>
        <v>07 - B - 104 - Robyn L Trainer</v>
      </c>
      <c r="F1304" t="str">
        <f>"ENG 4"</f>
        <v>ENG 4</v>
      </c>
      <c r="G1304" t="str">
        <f>"17-1734"</f>
        <v>17-1734</v>
      </c>
      <c r="H1304" t="str">
        <f>"B"</f>
        <v>B</v>
      </c>
    </row>
    <row r="1305" spans="1:8" x14ac:dyDescent="0.2">
      <c r="A1305" t="str">
        <f t="shared" si="481"/>
        <v>0613049431</v>
      </c>
      <c r="B1305" t="str">
        <f t="shared" si="482"/>
        <v>SHA'MIYAH</v>
      </c>
      <c r="C1305" t="str">
        <f t="shared" si="479"/>
        <v>BELIZAIRE</v>
      </c>
      <c r="D1305">
        <f>12</f>
        <v>12</v>
      </c>
      <c r="E1305" t="str">
        <f>"05 - B - 204 - Cliffon  Saurel"</f>
        <v>05 - B - 204 - Cliffon  Saurel</v>
      </c>
      <c r="F1305" t="str">
        <f>"PHYSICAL SCI"</f>
        <v>PHYSICAL SCI</v>
      </c>
      <c r="G1305" t="str">
        <f>"05-522"</f>
        <v>05-522</v>
      </c>
      <c r="H1305" t="str">
        <f>"B"</f>
        <v>B</v>
      </c>
    </row>
    <row r="1306" spans="1:8" x14ac:dyDescent="0.2">
      <c r="A1306" t="str">
        <f t="shared" si="481"/>
        <v>0613049431</v>
      </c>
      <c r="B1306" t="str">
        <f t="shared" si="482"/>
        <v>SHA'MIYAH</v>
      </c>
      <c r="C1306" t="str">
        <f t="shared" si="479"/>
        <v>BELIZAIRE</v>
      </c>
      <c r="D1306">
        <f>12</f>
        <v>12</v>
      </c>
      <c r="E1306" t="str">
        <f>"01 - S1 - A - 101 - Bruce A Evans"</f>
        <v>01 - S1 - A - 101 - Bruce A Evans</v>
      </c>
      <c r="F1306" t="str">
        <f>"ELECTROCARD TECH 3HN"</f>
        <v>ELECTROCARD TECH 3HN</v>
      </c>
      <c r="G1306" t="str">
        <f>"21-2142"</f>
        <v>21-2142</v>
      </c>
      <c r="H1306" t="str">
        <f>"A"</f>
        <v>A</v>
      </c>
    </row>
    <row r="1307" spans="1:8" x14ac:dyDescent="0.2">
      <c r="A1307" t="str">
        <f t="shared" si="481"/>
        <v>0613049431</v>
      </c>
      <c r="B1307" t="str">
        <f t="shared" si="482"/>
        <v>SHA'MIYAH</v>
      </c>
      <c r="C1307" t="str">
        <f t="shared" si="479"/>
        <v>BELIZAIRE</v>
      </c>
      <c r="D1307">
        <f>12</f>
        <v>12</v>
      </c>
      <c r="E1307" t="str">
        <f>"08 - B - 107 - Taraneh C Abreu"</f>
        <v>08 - B - 107 - Taraneh C Abreu</v>
      </c>
      <c r="F1307" t="str">
        <f>"RESEARCH 1 LH"</f>
        <v>RESEARCH 1 LH</v>
      </c>
      <c r="G1307">
        <f>2041</f>
        <v>2041</v>
      </c>
      <c r="H1307" t="str">
        <f>"B"</f>
        <v>B</v>
      </c>
    </row>
    <row r="1308" spans="1:8" x14ac:dyDescent="0.2">
      <c r="A1308" t="str">
        <f t="shared" ref="A1308:A1315" si="483">"0612079630"</f>
        <v>0612079630</v>
      </c>
      <c r="B1308" t="str">
        <f t="shared" ref="B1308:B1315" si="484">"ASANTI"</f>
        <v>ASANTI</v>
      </c>
      <c r="C1308" t="str">
        <f t="shared" ref="C1308:C1323" si="485">"BELL"</f>
        <v>BELL</v>
      </c>
      <c r="D1308" t="str">
        <f t="shared" ref="D1308:D1331" si="486">"09"</f>
        <v>09</v>
      </c>
      <c r="E1308" t="str">
        <f>"04 - S1 - A - 104 - Richard E Dunbar Iii"</f>
        <v>04 - S1 - A - 104 - Richard E Dunbar Iii</v>
      </c>
      <c r="F1308" t="str">
        <f>"WEIGHT TRAIN 1"</f>
        <v>WEIGHT TRAIN 1</v>
      </c>
      <c r="G1308" t="str">
        <f>"05-501"</f>
        <v>05-501</v>
      </c>
      <c r="H1308" t="str">
        <f>"A"</f>
        <v>A</v>
      </c>
    </row>
    <row r="1309" spans="1:8" x14ac:dyDescent="0.2">
      <c r="A1309" t="str">
        <f t="shared" si="483"/>
        <v>0612079630</v>
      </c>
      <c r="B1309" t="str">
        <f t="shared" si="484"/>
        <v>ASANTI</v>
      </c>
      <c r="C1309" t="str">
        <f t="shared" si="485"/>
        <v>BELL</v>
      </c>
      <c r="D1309" t="str">
        <f t="shared" si="486"/>
        <v>09</v>
      </c>
      <c r="E1309" t="str">
        <f>"06 - B - 104 - Laselleda D Shaw"</f>
        <v>06 - B - 104 - Laselleda D Shaw</v>
      </c>
      <c r="F1309" t="str">
        <f>"INTENS READ 1"</f>
        <v>INTENS READ 1</v>
      </c>
      <c r="G1309" t="str">
        <f>"17-1723"</f>
        <v>17-1723</v>
      </c>
      <c r="H1309" t="str">
        <f>"B"</f>
        <v>B</v>
      </c>
    </row>
    <row r="1310" spans="1:8" x14ac:dyDescent="0.2">
      <c r="A1310" t="str">
        <f t="shared" si="483"/>
        <v>0612079630</v>
      </c>
      <c r="B1310" t="str">
        <f t="shared" si="484"/>
        <v>ASANTI</v>
      </c>
      <c r="C1310" t="str">
        <f t="shared" si="485"/>
        <v>BELL</v>
      </c>
      <c r="D1310" t="str">
        <f t="shared" si="486"/>
        <v>09</v>
      </c>
      <c r="E1310" t="str">
        <f>"03 - A - 101 - Helen A Flores"</f>
        <v>03 - A - 101 - Helen A Flores</v>
      </c>
      <c r="F1310" t="str">
        <f>"PRE-AICE MATH 1 IG"</f>
        <v>PRE-AICE MATH 1 IG</v>
      </c>
      <c r="G1310" t="str">
        <f>"21-2101"</f>
        <v>21-2101</v>
      </c>
      <c r="H1310" t="str">
        <f>"A"</f>
        <v>A</v>
      </c>
    </row>
    <row r="1311" spans="1:8" x14ac:dyDescent="0.2">
      <c r="A1311" t="str">
        <f t="shared" si="483"/>
        <v>0612079630</v>
      </c>
      <c r="B1311" t="str">
        <f t="shared" si="484"/>
        <v>ASANTI</v>
      </c>
      <c r="C1311" t="str">
        <f t="shared" si="485"/>
        <v>BELL</v>
      </c>
      <c r="D1311" t="str">
        <f t="shared" si="486"/>
        <v>09</v>
      </c>
      <c r="E1311" t="str">
        <f>"02 - A - 109 - Krystal Marie  Beruty"</f>
        <v>02 - A - 109 - Krystal Marie  Beruty</v>
      </c>
      <c r="F1311" t="str">
        <f>"NC STUDY HALL 1"</f>
        <v>NC STUDY HALL 1</v>
      </c>
      <c r="G1311" t="str">
        <f>"17-1721"</f>
        <v>17-1721</v>
      </c>
      <c r="H1311" t="str">
        <f>"A"</f>
        <v>A</v>
      </c>
    </row>
    <row r="1312" spans="1:8" x14ac:dyDescent="0.2">
      <c r="A1312" t="str">
        <f t="shared" si="483"/>
        <v>0612079630</v>
      </c>
      <c r="B1312" t="str">
        <f t="shared" si="484"/>
        <v>ASANTI</v>
      </c>
      <c r="C1312" t="str">
        <f t="shared" si="485"/>
        <v>BELL</v>
      </c>
      <c r="D1312" t="str">
        <f t="shared" si="486"/>
        <v>09</v>
      </c>
      <c r="E1312" t="str">
        <f>"07 - B - 003 - Samantha J Headley"</f>
        <v>07 - B - 003 - Samantha J Headley</v>
      </c>
      <c r="F1312" t="str">
        <f>"ENV SCI"</f>
        <v>ENV SCI</v>
      </c>
      <c r="G1312" t="str">
        <f>"08-802"</f>
        <v>08-802</v>
      </c>
      <c r="H1312" t="str">
        <f>"B"</f>
        <v>B</v>
      </c>
    </row>
    <row r="1313" spans="1:8" x14ac:dyDescent="0.2">
      <c r="A1313" t="str">
        <f t="shared" si="483"/>
        <v>0612079630</v>
      </c>
      <c r="B1313" t="str">
        <f t="shared" si="484"/>
        <v>ASANTI</v>
      </c>
      <c r="C1313" t="str">
        <f t="shared" si="485"/>
        <v>BELL</v>
      </c>
      <c r="D1313" t="str">
        <f t="shared" si="486"/>
        <v>09</v>
      </c>
      <c r="E1313" t="str">
        <f>"05 - B - 205 - Lenecy  Nodarse"</f>
        <v>05 - B - 205 - Lenecy  Nodarse</v>
      </c>
      <c r="F1313" t="str">
        <f>"WORLD HISTORY"</f>
        <v>WORLD HISTORY</v>
      </c>
      <c r="G1313" t="str">
        <f>"17-1741"</f>
        <v>17-1741</v>
      </c>
      <c r="H1313" t="str">
        <f>"B"</f>
        <v>B</v>
      </c>
    </row>
    <row r="1314" spans="1:8" x14ac:dyDescent="0.2">
      <c r="A1314" t="str">
        <f t="shared" si="483"/>
        <v>0612079630</v>
      </c>
      <c r="B1314" t="str">
        <f t="shared" si="484"/>
        <v>ASANTI</v>
      </c>
      <c r="C1314" t="str">
        <f t="shared" si="485"/>
        <v>BELL</v>
      </c>
      <c r="D1314" t="str">
        <f t="shared" si="486"/>
        <v>09</v>
      </c>
      <c r="E1314" t="str">
        <f>"01 - A - 101 - Cerine S Stewart"</f>
        <v>01 - A - 101 - Cerine S Stewart</v>
      </c>
      <c r="F1314" t="str">
        <f>"ENG 1"</f>
        <v>ENG 1</v>
      </c>
      <c r="G1314" t="str">
        <f>"17-1720"</f>
        <v>17-1720</v>
      </c>
      <c r="H1314" t="str">
        <f>"A"</f>
        <v>A</v>
      </c>
    </row>
    <row r="1315" spans="1:8" x14ac:dyDescent="0.2">
      <c r="A1315" t="str">
        <f t="shared" si="483"/>
        <v>0612079630</v>
      </c>
      <c r="B1315" t="str">
        <f t="shared" si="484"/>
        <v>ASANTI</v>
      </c>
      <c r="C1315" t="str">
        <f t="shared" si="485"/>
        <v>BELL</v>
      </c>
      <c r="D1315" t="str">
        <f t="shared" si="486"/>
        <v>09</v>
      </c>
      <c r="E1315" t="str">
        <f>"08 - B - 001 - Chrystina M Marchionne"</f>
        <v>08 - B - 001 - Chrystina M Marchionne</v>
      </c>
      <c r="F1315" t="str">
        <f>"JOURN 1 (YB) LH"</f>
        <v>JOURN 1 (YB) LH</v>
      </c>
      <c r="G1315" t="str">
        <f>"05-520"</f>
        <v>05-520</v>
      </c>
      <c r="H1315" t="str">
        <f>"B"</f>
        <v>B</v>
      </c>
    </row>
    <row r="1316" spans="1:8" x14ac:dyDescent="0.2">
      <c r="A1316" t="str">
        <f t="shared" ref="A1316:A1323" si="487">"0616125672"</f>
        <v>0616125672</v>
      </c>
      <c r="B1316" t="str">
        <f t="shared" ref="B1316:B1323" si="488">"ZACHARY"</f>
        <v>ZACHARY</v>
      </c>
      <c r="C1316" t="str">
        <f t="shared" si="485"/>
        <v>BELL</v>
      </c>
      <c r="D1316" t="str">
        <f t="shared" si="486"/>
        <v>09</v>
      </c>
      <c r="E1316" t="str">
        <f>"04 - A - 103 - Joe  Kilpatrick Jr"</f>
        <v>04 - A - 103 - Joe  Kilpatrick Jr</v>
      </c>
      <c r="F1316" t="str">
        <f>"PRE-AICE SPAN 1 IG"</f>
        <v>PRE-AICE SPAN 1 IG</v>
      </c>
      <c r="G1316" t="str">
        <f>"09-912"</f>
        <v>09-912</v>
      </c>
      <c r="H1316" t="str">
        <f>"A"</f>
        <v>A</v>
      </c>
    </row>
    <row r="1317" spans="1:8" x14ac:dyDescent="0.2">
      <c r="A1317" t="str">
        <f t="shared" si="487"/>
        <v>0616125672</v>
      </c>
      <c r="B1317" t="str">
        <f t="shared" si="488"/>
        <v>ZACHARY</v>
      </c>
      <c r="C1317" t="str">
        <f t="shared" si="485"/>
        <v>BELL</v>
      </c>
      <c r="D1317" t="str">
        <f t="shared" si="486"/>
        <v>09</v>
      </c>
      <c r="E1317" t="str">
        <f>"06 - B - 102 - Angela S Adeshina-Morrison"</f>
        <v>06 - B - 102 - Angela S Adeshina-Morrison</v>
      </c>
      <c r="F1317" t="str">
        <f>"MARKETING ESSENTIALS"</f>
        <v>MARKETING ESSENTIALS</v>
      </c>
      <c r="G1317" t="str">
        <f>"05-518"</f>
        <v>05-518</v>
      </c>
      <c r="H1317" t="str">
        <f>"B"</f>
        <v>B</v>
      </c>
    </row>
    <row r="1318" spans="1:8" x14ac:dyDescent="0.2">
      <c r="A1318" t="str">
        <f t="shared" si="487"/>
        <v>0616125672</v>
      </c>
      <c r="B1318" t="str">
        <f t="shared" si="488"/>
        <v>ZACHARY</v>
      </c>
      <c r="C1318" t="str">
        <f t="shared" si="485"/>
        <v>BELL</v>
      </c>
      <c r="D1318" t="str">
        <f t="shared" si="486"/>
        <v>09</v>
      </c>
      <c r="E1318" t="str">
        <f>"03 - A - 001 - Maried P Ramos"</f>
        <v>03 - A - 001 - Maried P Ramos</v>
      </c>
      <c r="F1318" t="str">
        <f>"PRE-AICE MATH 2 IG"</f>
        <v>PRE-AICE MATH 2 IG</v>
      </c>
      <c r="G1318" t="str">
        <f>"21-2159"</f>
        <v>21-2159</v>
      </c>
      <c r="H1318" t="str">
        <f>"A"</f>
        <v>A</v>
      </c>
    </row>
    <row r="1319" spans="1:8" x14ac:dyDescent="0.2">
      <c r="A1319" t="str">
        <f t="shared" si="487"/>
        <v>0616125672</v>
      </c>
      <c r="B1319" t="str">
        <f t="shared" si="488"/>
        <v>ZACHARY</v>
      </c>
      <c r="C1319" t="str">
        <f t="shared" si="485"/>
        <v>BELL</v>
      </c>
      <c r="D1319" t="str">
        <f t="shared" si="486"/>
        <v>09</v>
      </c>
      <c r="E1319" t="str">
        <f>"02 - A - 107 - Cerine S Stewart"</f>
        <v>02 - A - 107 - Cerine S Stewart</v>
      </c>
      <c r="F1319" t="str">
        <f>"NC STUDY HALL 1"</f>
        <v>NC STUDY HALL 1</v>
      </c>
      <c r="G1319" t="str">
        <f>"17-1720"</f>
        <v>17-1720</v>
      </c>
      <c r="H1319" t="str">
        <f>"A"</f>
        <v>A</v>
      </c>
    </row>
    <row r="1320" spans="1:8" x14ac:dyDescent="0.2">
      <c r="A1320" t="str">
        <f t="shared" si="487"/>
        <v>0616125672</v>
      </c>
      <c r="B1320" t="str">
        <f t="shared" si="488"/>
        <v>ZACHARY</v>
      </c>
      <c r="C1320" t="str">
        <f t="shared" si="485"/>
        <v>BELL</v>
      </c>
      <c r="D1320" t="str">
        <f t="shared" si="486"/>
        <v>09</v>
      </c>
      <c r="E1320" t="str">
        <f>"07 - B - 001 - Cheryl Anne  Berman-Schechter"</f>
        <v>07 - B - 001 - Cheryl Anne  Berman-Schechter</v>
      </c>
      <c r="F1320" t="str">
        <f>"AICE ENG GEN PAPER 1"</f>
        <v>AICE ENG GEN PAPER 1</v>
      </c>
      <c r="G1320" t="str">
        <f>"17-1722"</f>
        <v>17-1722</v>
      </c>
      <c r="H1320" t="str">
        <f>"B"</f>
        <v>B</v>
      </c>
    </row>
    <row r="1321" spans="1:8" x14ac:dyDescent="0.2">
      <c r="A1321" t="str">
        <f t="shared" si="487"/>
        <v>0616125672</v>
      </c>
      <c r="B1321" t="str">
        <f t="shared" si="488"/>
        <v>ZACHARY</v>
      </c>
      <c r="C1321" t="str">
        <f t="shared" si="485"/>
        <v>BELL</v>
      </c>
      <c r="D1321" t="str">
        <f t="shared" si="486"/>
        <v>09</v>
      </c>
      <c r="E1321" t="str">
        <f>"05 - B - 103 - Byron G Montenegro"</f>
        <v>05 - B - 103 - Byron G Montenegro</v>
      </c>
      <c r="F1321" t="str">
        <f>"AICE MARINE SCI 1 AS"</f>
        <v>AICE MARINE SCI 1 AS</v>
      </c>
      <c r="G1321" t="str">
        <f>"21-2144"</f>
        <v>21-2144</v>
      </c>
      <c r="H1321" t="str">
        <f>"B"</f>
        <v>B</v>
      </c>
    </row>
    <row r="1322" spans="1:8" x14ac:dyDescent="0.2">
      <c r="A1322" t="str">
        <f t="shared" si="487"/>
        <v>0616125672</v>
      </c>
      <c r="B1322" t="str">
        <f t="shared" si="488"/>
        <v>ZACHARY</v>
      </c>
      <c r="C1322" t="str">
        <f t="shared" si="485"/>
        <v>BELL</v>
      </c>
      <c r="D1322" t="str">
        <f t="shared" si="486"/>
        <v>09</v>
      </c>
      <c r="E1322" t="str">
        <f>"01 - A - 006 - Emmily A Sarmiento"</f>
        <v>01 - A - 006 - Emmily A Sarmiento</v>
      </c>
      <c r="F1322" t="str">
        <f>"AICE GLBL PERSP 1 AS"</f>
        <v>AICE GLBL PERSP 1 AS</v>
      </c>
      <c r="G1322" t="str">
        <f>"17-1743"</f>
        <v>17-1743</v>
      </c>
      <c r="H1322" t="str">
        <f>"A"</f>
        <v>A</v>
      </c>
    </row>
    <row r="1323" spans="1:8" x14ac:dyDescent="0.2">
      <c r="A1323" t="str">
        <f t="shared" si="487"/>
        <v>0616125672</v>
      </c>
      <c r="B1323" t="str">
        <f t="shared" si="488"/>
        <v>ZACHARY</v>
      </c>
      <c r="C1323" t="str">
        <f t="shared" si="485"/>
        <v>BELL</v>
      </c>
      <c r="D1323" t="str">
        <f t="shared" si="486"/>
        <v>09</v>
      </c>
      <c r="E1323" t="str">
        <f>"08 - B - 103 - Jeanne M Bermudez"</f>
        <v>08 - B - 103 - Jeanne M Bermudez</v>
      </c>
      <c r="F1323" t="str">
        <f>"ADVANCED IT HON"</f>
        <v>ADVANCED IT HON</v>
      </c>
      <c r="G1323" t="str">
        <f>"21-2141"</f>
        <v>21-2141</v>
      </c>
      <c r="H1323" t="str">
        <f>"B"</f>
        <v>B</v>
      </c>
    </row>
    <row r="1324" spans="1:8" x14ac:dyDescent="0.2">
      <c r="A1324" t="str">
        <f t="shared" ref="A1324:A1331" si="489">"0615096490"</f>
        <v>0615096490</v>
      </c>
      <c r="B1324" t="str">
        <f t="shared" ref="B1324:B1331" si="490">"LENAYSIA"</f>
        <v>LENAYSIA</v>
      </c>
      <c r="C1324" t="str">
        <f t="shared" ref="C1324:C1331" si="491">"BELLAMY-MOORE"</f>
        <v>BELLAMY-MOORE</v>
      </c>
      <c r="D1324" t="str">
        <f t="shared" si="486"/>
        <v>09</v>
      </c>
      <c r="E1324" t="str">
        <f>"04 - A - 103 - Cerine S Stewart"</f>
        <v>04 - A - 103 - Cerine S Stewart</v>
      </c>
      <c r="F1324" t="str">
        <f>"ENG 1"</f>
        <v>ENG 1</v>
      </c>
      <c r="G1324" t="str">
        <f>"17-1720"</f>
        <v>17-1720</v>
      </c>
      <c r="H1324" t="str">
        <f>"A"</f>
        <v>A</v>
      </c>
    </row>
    <row r="1325" spans="1:8" x14ac:dyDescent="0.2">
      <c r="A1325" t="str">
        <f t="shared" si="489"/>
        <v>0615096490</v>
      </c>
      <c r="B1325" t="str">
        <f t="shared" si="490"/>
        <v>LENAYSIA</v>
      </c>
      <c r="C1325" t="str">
        <f t="shared" si="491"/>
        <v>BELLAMY-MOORE</v>
      </c>
      <c r="D1325" t="str">
        <f t="shared" si="486"/>
        <v>09</v>
      </c>
      <c r="E1325" t="str">
        <f>"06 - B - 002 - Amy Beth  Broyles"</f>
        <v>06 - B - 002 - Amy Beth  Broyles</v>
      </c>
      <c r="F1325" t="str">
        <f>"ENV SCI"</f>
        <v>ENV SCI</v>
      </c>
      <c r="G1325" t="str">
        <f>"08-802"</f>
        <v>08-802</v>
      </c>
      <c r="H1325" t="str">
        <f>"B"</f>
        <v>B</v>
      </c>
    </row>
    <row r="1326" spans="1:8" x14ac:dyDescent="0.2">
      <c r="A1326" t="str">
        <f t="shared" si="489"/>
        <v>0615096490</v>
      </c>
      <c r="B1326" t="str">
        <f t="shared" si="490"/>
        <v>LENAYSIA</v>
      </c>
      <c r="C1326" t="str">
        <f t="shared" si="491"/>
        <v>BELLAMY-MOORE</v>
      </c>
      <c r="D1326" t="str">
        <f t="shared" si="486"/>
        <v>09</v>
      </c>
      <c r="E1326" t="str">
        <f>"03 - A - 109 - Lissa C Frederique"</f>
        <v>03 - A - 109 - Lissa C Frederique</v>
      </c>
      <c r="F1326" t="str">
        <f>"WORLD HISTORY"</f>
        <v>WORLD HISTORY</v>
      </c>
      <c r="G1326" t="str">
        <f>"17-1754"</f>
        <v>17-1754</v>
      </c>
      <c r="H1326" t="str">
        <f>"A"</f>
        <v>A</v>
      </c>
    </row>
    <row r="1327" spans="1:8" x14ac:dyDescent="0.2">
      <c r="A1327" t="str">
        <f t="shared" si="489"/>
        <v>0615096490</v>
      </c>
      <c r="B1327" t="str">
        <f t="shared" si="490"/>
        <v>LENAYSIA</v>
      </c>
      <c r="C1327" t="str">
        <f t="shared" si="491"/>
        <v>BELLAMY-MOORE</v>
      </c>
      <c r="D1327" t="str">
        <f t="shared" si="486"/>
        <v>09</v>
      </c>
      <c r="E1327" t="str">
        <f>"02 - A - 101 - Milca  Exantus"</f>
        <v>02 - A - 101 - Milca  Exantus</v>
      </c>
      <c r="F1327" t="str">
        <f>"NC STUDY HALL 1"</f>
        <v>NC STUDY HALL 1</v>
      </c>
      <c r="G1327" t="str">
        <f>"21-2145"</f>
        <v>21-2145</v>
      </c>
      <c r="H1327" t="str">
        <f>"A"</f>
        <v>A</v>
      </c>
    </row>
    <row r="1328" spans="1:8" x14ac:dyDescent="0.2">
      <c r="A1328" t="str">
        <f t="shared" si="489"/>
        <v>0615096490</v>
      </c>
      <c r="B1328" t="str">
        <f t="shared" si="490"/>
        <v>LENAYSIA</v>
      </c>
      <c r="C1328" t="str">
        <f t="shared" si="491"/>
        <v>BELLAMY-MOORE</v>
      </c>
      <c r="D1328" t="str">
        <f t="shared" si="486"/>
        <v>09</v>
      </c>
      <c r="E1328" t="str">
        <f>"07 - B - 106 - Dayna M Foster"</f>
        <v>07 - B - 106 - Dayna M Foster</v>
      </c>
      <c r="F1328" t="str">
        <f>"FDN SKLS MATH 9-12"</f>
        <v>FDN SKLS MATH 9-12</v>
      </c>
      <c r="G1328" t="str">
        <f>"21-2109"</f>
        <v>21-2109</v>
      </c>
      <c r="H1328" t="str">
        <f>"B"</f>
        <v>B</v>
      </c>
    </row>
    <row r="1329" spans="1:8" x14ac:dyDescent="0.2">
      <c r="A1329" t="str">
        <f t="shared" si="489"/>
        <v>0615096490</v>
      </c>
      <c r="B1329" t="str">
        <f t="shared" si="490"/>
        <v>LENAYSIA</v>
      </c>
      <c r="C1329" t="str">
        <f t="shared" si="491"/>
        <v>BELLAMY-MOORE</v>
      </c>
      <c r="D1329" t="str">
        <f t="shared" si="486"/>
        <v>09</v>
      </c>
      <c r="E1329" t="str">
        <f>"05 - B - 101 - Linda  Celestin"</f>
        <v>05 - B - 101 - Linda  Celestin</v>
      </c>
      <c r="F1329" t="str">
        <f>"LRNG STRATEGIES 9-12"</f>
        <v>LRNG STRATEGIES 9-12</v>
      </c>
      <c r="G1329" t="str">
        <f>"21-2160"</f>
        <v>21-2160</v>
      </c>
      <c r="H1329" t="str">
        <f>"B"</f>
        <v>B</v>
      </c>
    </row>
    <row r="1330" spans="1:8" x14ac:dyDescent="0.2">
      <c r="A1330" t="str">
        <f t="shared" si="489"/>
        <v>0615096490</v>
      </c>
      <c r="B1330" t="str">
        <f t="shared" si="490"/>
        <v>LENAYSIA</v>
      </c>
      <c r="C1330" t="str">
        <f t="shared" si="491"/>
        <v>BELLAMY-MOORE</v>
      </c>
      <c r="D1330" t="str">
        <f t="shared" si="486"/>
        <v>09</v>
      </c>
      <c r="E1330" t="str">
        <f>"01 - A - 108 - Dayna M Foster"</f>
        <v>01 - A - 108 - Dayna M Foster</v>
      </c>
      <c r="F1330" t="str">
        <f>"ALGEBRA 1"</f>
        <v>ALGEBRA 1</v>
      </c>
      <c r="G1330" t="str">
        <f>"21-2109"</f>
        <v>21-2109</v>
      </c>
      <c r="H1330" t="str">
        <f>"A"</f>
        <v>A</v>
      </c>
    </row>
    <row r="1331" spans="1:8" x14ac:dyDescent="0.2">
      <c r="A1331" t="str">
        <f t="shared" si="489"/>
        <v>0615096490</v>
      </c>
      <c r="B1331" t="str">
        <f t="shared" si="490"/>
        <v>LENAYSIA</v>
      </c>
      <c r="C1331" t="str">
        <f t="shared" si="491"/>
        <v>BELLAMY-MOORE</v>
      </c>
      <c r="D1331" t="str">
        <f t="shared" si="486"/>
        <v>09</v>
      </c>
      <c r="E1331" t="str">
        <f>"08 - B - 101 - Jazmin S Fletcher"</f>
        <v>08 - B - 101 - Jazmin S Fletcher</v>
      </c>
      <c r="F1331" t="str">
        <f>"PRE-AICE DRAMA 1G"</f>
        <v>PRE-AICE DRAMA 1G</v>
      </c>
      <c r="G1331" t="str">
        <f>"09-909"</f>
        <v>09-909</v>
      </c>
      <c r="H1331" t="str">
        <f>"B"</f>
        <v>B</v>
      </c>
    </row>
    <row r="1332" spans="1:8" x14ac:dyDescent="0.2">
      <c r="A1332" t="str">
        <f t="shared" ref="A1332:A1339" si="492">"0615086451"</f>
        <v>0615086451</v>
      </c>
      <c r="B1332" t="str">
        <f t="shared" ref="B1332:B1339" si="493">"MAURICE"</f>
        <v>MAURICE</v>
      </c>
      <c r="C1332" t="str">
        <f t="shared" ref="C1332:C1339" si="494">"BELLE"</f>
        <v>BELLE</v>
      </c>
      <c r="D1332">
        <f>12</f>
        <v>12</v>
      </c>
      <c r="E1332" t="str">
        <f>"04 - A - 101 - Alejandro  Navarro"</f>
        <v>04 - A - 101 - Alejandro  Navarro</v>
      </c>
      <c r="F1332" t="str">
        <f>"BAND 5 HON"</f>
        <v>BAND 5 HON</v>
      </c>
      <c r="G1332" t="str">
        <f>"05-504"</f>
        <v>05-504</v>
      </c>
      <c r="H1332" t="str">
        <f>"A"</f>
        <v>A</v>
      </c>
    </row>
    <row r="1333" spans="1:8" x14ac:dyDescent="0.2">
      <c r="A1333" t="str">
        <f t="shared" si="492"/>
        <v>0615086451</v>
      </c>
      <c r="B1333" t="str">
        <f t="shared" si="493"/>
        <v>MAURICE</v>
      </c>
      <c r="C1333" t="str">
        <f t="shared" si="494"/>
        <v>BELLE</v>
      </c>
      <c r="D1333">
        <f>12</f>
        <v>12</v>
      </c>
      <c r="E1333" t="str">
        <f>"06 - B - 001 - Robert O Burger"</f>
        <v>06 - B - 001 - Robert O Burger</v>
      </c>
      <c r="F1333" t="str">
        <f>"NC STUDY HALL 1"</f>
        <v>NC STUDY HALL 1</v>
      </c>
      <c r="G1333" t="str">
        <f>"17-1755"</f>
        <v>17-1755</v>
      </c>
      <c r="H1333" t="str">
        <f>"B"</f>
        <v>B</v>
      </c>
    </row>
    <row r="1334" spans="1:8" x14ac:dyDescent="0.2">
      <c r="A1334" t="str">
        <f t="shared" si="492"/>
        <v>0615086451</v>
      </c>
      <c r="B1334" t="str">
        <f t="shared" si="493"/>
        <v>MAURICE</v>
      </c>
      <c r="C1334" t="str">
        <f t="shared" si="494"/>
        <v>BELLE</v>
      </c>
      <c r="D1334">
        <f>12</f>
        <v>12</v>
      </c>
      <c r="E1334" t="str">
        <f>"03 - A - 101 - Samantha L Martinez"</f>
        <v>03 - A - 101 - Samantha L Martinez</v>
      </c>
      <c r="F1334" t="str">
        <f>"VOCAL ENS 1"</f>
        <v>VOCAL ENS 1</v>
      </c>
      <c r="G1334" t="str">
        <f>"05-505"</f>
        <v>05-505</v>
      </c>
      <c r="H1334" t="str">
        <f>"A"</f>
        <v>A</v>
      </c>
    </row>
    <row r="1335" spans="1:8" x14ac:dyDescent="0.2">
      <c r="A1335" t="str">
        <f t="shared" si="492"/>
        <v>0615086451</v>
      </c>
      <c r="B1335" t="str">
        <f t="shared" si="493"/>
        <v>MAURICE</v>
      </c>
      <c r="C1335" t="str">
        <f t="shared" si="494"/>
        <v>BELLE</v>
      </c>
      <c r="D1335">
        <f>12</f>
        <v>12</v>
      </c>
      <c r="E1335" t="str">
        <f>"02 - A - 204 - Jacqueline R Morphet"</f>
        <v>02 - A - 204 - Jacqueline R Morphet</v>
      </c>
      <c r="F1335" t="str">
        <f>"PHYSICS 1 HON"</f>
        <v>PHYSICS 1 HON</v>
      </c>
      <c r="G1335" t="str">
        <f>"21-2138"</f>
        <v>21-2138</v>
      </c>
      <c r="H1335" t="str">
        <f>"A"</f>
        <v>A</v>
      </c>
    </row>
    <row r="1336" spans="1:8" x14ac:dyDescent="0.2">
      <c r="A1336" t="str">
        <f t="shared" si="492"/>
        <v>0615086451</v>
      </c>
      <c r="B1336" t="str">
        <f t="shared" si="493"/>
        <v>MAURICE</v>
      </c>
      <c r="C1336" t="str">
        <f t="shared" si="494"/>
        <v>BELLE</v>
      </c>
      <c r="D1336">
        <f>12</f>
        <v>12</v>
      </c>
      <c r="E1336" t="str">
        <f>"07 - B - 106 - Norayda D Suarez"</f>
        <v>07 - B - 106 - Norayda D Suarez</v>
      </c>
      <c r="F1336" t="str">
        <f>"RESEARCH 1 LH"</f>
        <v>RESEARCH 1 LH</v>
      </c>
      <c r="G1336">
        <f>2041</f>
        <v>2041</v>
      </c>
      <c r="H1336" t="str">
        <f>"B"</f>
        <v>B</v>
      </c>
    </row>
    <row r="1337" spans="1:8" x14ac:dyDescent="0.2">
      <c r="A1337" t="str">
        <f t="shared" si="492"/>
        <v>0615086451</v>
      </c>
      <c r="B1337" t="str">
        <f t="shared" si="493"/>
        <v>MAURICE</v>
      </c>
      <c r="C1337" t="str">
        <f t="shared" si="494"/>
        <v>BELLE</v>
      </c>
      <c r="D1337">
        <f>12</f>
        <v>12</v>
      </c>
      <c r="E1337" t="str">
        <f>"05 - S1 - B - 102 - Robert O Burger"</f>
        <v>05 - S1 - B - 102 - Robert O Burger</v>
      </c>
      <c r="F1337" t="str">
        <f>"US GOVT"</f>
        <v>US GOVT</v>
      </c>
      <c r="G1337" t="str">
        <f>"17-1755"</f>
        <v>17-1755</v>
      </c>
      <c r="H1337" t="str">
        <f>"B"</f>
        <v>B</v>
      </c>
    </row>
    <row r="1338" spans="1:8" x14ac:dyDescent="0.2">
      <c r="A1338" t="str">
        <f t="shared" si="492"/>
        <v>0615086451</v>
      </c>
      <c r="B1338" t="str">
        <f t="shared" si="493"/>
        <v>MAURICE</v>
      </c>
      <c r="C1338" t="str">
        <f t="shared" si="494"/>
        <v>BELLE</v>
      </c>
      <c r="D1338">
        <f>12</f>
        <v>12</v>
      </c>
      <c r="E1338" t="str">
        <f>"01 - A - 103 - Semra  Bahadir"</f>
        <v>01 - A - 103 - Semra  Bahadir</v>
      </c>
      <c r="F1338" t="str">
        <f>"MATH COLL ALGEBRA"</f>
        <v>MATH COLL ALGEBRA</v>
      </c>
      <c r="G1338" t="str">
        <f>"21-2107"</f>
        <v>21-2107</v>
      </c>
      <c r="H1338" t="str">
        <f>"A"</f>
        <v>A</v>
      </c>
    </row>
    <row r="1339" spans="1:8" x14ac:dyDescent="0.2">
      <c r="A1339" t="str">
        <f t="shared" si="492"/>
        <v>0615086451</v>
      </c>
      <c r="B1339" t="str">
        <f t="shared" si="493"/>
        <v>MAURICE</v>
      </c>
      <c r="C1339" t="str">
        <f t="shared" si="494"/>
        <v>BELLE</v>
      </c>
      <c r="D1339">
        <f>12</f>
        <v>12</v>
      </c>
      <c r="E1339" t="str">
        <f>"08 - B - 203 - Courtney E Hambright"</f>
        <v>08 - B - 203 - Courtney E Hambright</v>
      </c>
      <c r="F1339" t="str">
        <f>"AP ENG LIT COMPO"</f>
        <v>AP ENG LIT COMPO</v>
      </c>
      <c r="G1339" t="str">
        <f>"17-1711"</f>
        <v>17-1711</v>
      </c>
      <c r="H1339" t="str">
        <f>"B"</f>
        <v>B</v>
      </c>
    </row>
    <row r="1340" spans="1:8" x14ac:dyDescent="0.2">
      <c r="A1340" t="str">
        <f t="shared" ref="A1340:A1347" si="495">"0615110211"</f>
        <v>0615110211</v>
      </c>
      <c r="B1340" t="str">
        <f t="shared" ref="B1340:B1347" si="496">"JOSH"</f>
        <v>JOSH</v>
      </c>
      <c r="C1340" t="str">
        <f t="shared" ref="C1340:C1347" si="497">"BELLIS"</f>
        <v>BELLIS</v>
      </c>
      <c r="D1340">
        <f>10</f>
        <v>10</v>
      </c>
      <c r="E1340" t="str">
        <f>"04 - A - 104 - Nikiel  Nesbeth"</f>
        <v>04 - A - 104 - Nikiel  Nesbeth</v>
      </c>
      <c r="F1340" t="str">
        <f>"ENG 2"</f>
        <v>ENG 2</v>
      </c>
      <c r="G1340" t="str">
        <f>"17-1705"</f>
        <v>17-1705</v>
      </c>
      <c r="H1340" t="str">
        <f>"A"</f>
        <v>A</v>
      </c>
    </row>
    <row r="1341" spans="1:8" x14ac:dyDescent="0.2">
      <c r="A1341" t="str">
        <f t="shared" si="495"/>
        <v>0615110211</v>
      </c>
      <c r="B1341" t="str">
        <f t="shared" si="496"/>
        <v>JOSH</v>
      </c>
      <c r="C1341" t="str">
        <f t="shared" si="497"/>
        <v>BELLIS</v>
      </c>
      <c r="D1341">
        <f>10</f>
        <v>10</v>
      </c>
      <c r="E1341" t="str">
        <f>"06 - B - 105 - Jeffrey S Gallagher"</f>
        <v>06 - B - 105 - Jeffrey S Gallagher</v>
      </c>
      <c r="F1341" t="str">
        <f>"NC STUDY HALL 1"</f>
        <v>NC STUDY HALL 1</v>
      </c>
      <c r="G1341" t="str">
        <f>"17-1724"</f>
        <v>17-1724</v>
      </c>
      <c r="H1341" t="str">
        <f>"B"</f>
        <v>B</v>
      </c>
    </row>
    <row r="1342" spans="1:8" x14ac:dyDescent="0.2">
      <c r="A1342" t="str">
        <f t="shared" si="495"/>
        <v>0615110211</v>
      </c>
      <c r="B1342" t="str">
        <f t="shared" si="496"/>
        <v>JOSH</v>
      </c>
      <c r="C1342" t="str">
        <f t="shared" si="497"/>
        <v>BELLIS</v>
      </c>
      <c r="D1342">
        <f>10</f>
        <v>10</v>
      </c>
      <c r="E1342" t="str">
        <f>"03 - S1 - A - 103 - Richard E Dunbar Iii"</f>
        <v>03 - S1 - A - 103 - Richard E Dunbar Iii</v>
      </c>
      <c r="F1342" t="str">
        <f>"WEIGHT TRAIN 3"</f>
        <v>WEIGHT TRAIN 3</v>
      </c>
      <c r="G1342" t="str">
        <f>"05-501"</f>
        <v>05-501</v>
      </c>
      <c r="H1342" t="str">
        <f>"A"</f>
        <v>A</v>
      </c>
    </row>
    <row r="1343" spans="1:8" x14ac:dyDescent="0.2">
      <c r="A1343" t="str">
        <f t="shared" si="495"/>
        <v>0615110211</v>
      </c>
      <c r="B1343" t="str">
        <f t="shared" si="496"/>
        <v>JOSH</v>
      </c>
      <c r="C1343" t="str">
        <f t="shared" si="497"/>
        <v>BELLIS</v>
      </c>
      <c r="D1343">
        <f>10</f>
        <v>10</v>
      </c>
      <c r="E1343" t="str">
        <f>"02 - A - 201 - Jordana K Hass"</f>
        <v>02 - A - 201 - Jordana K Hass</v>
      </c>
      <c r="F1343" t="str">
        <f>"CHEMISTRY 1"</f>
        <v>CHEMISTRY 1</v>
      </c>
      <c r="G1343" t="str">
        <f>"08-807"</f>
        <v>08-807</v>
      </c>
      <c r="H1343" t="str">
        <f>"A"</f>
        <v>A</v>
      </c>
    </row>
    <row r="1344" spans="1:8" x14ac:dyDescent="0.2">
      <c r="A1344" t="str">
        <f t="shared" si="495"/>
        <v>0615110211</v>
      </c>
      <c r="B1344" t="str">
        <f t="shared" si="496"/>
        <v>JOSH</v>
      </c>
      <c r="C1344" t="str">
        <f t="shared" si="497"/>
        <v>BELLIS</v>
      </c>
      <c r="D1344">
        <f>10</f>
        <v>10</v>
      </c>
      <c r="E1344" t="str">
        <f>"07 - S1 - B - 102 - Arthur  Kulawik"</f>
        <v>07 - S1 - B - 102 - Arthur  Kulawik</v>
      </c>
      <c r="F1344" t="str">
        <f>"PERS FIN &amp; MON MGT H"</f>
        <v>PERS FIN &amp; MON MGT H</v>
      </c>
      <c r="G1344" t="str">
        <f>"05-506"</f>
        <v>05-506</v>
      </c>
      <c r="H1344" t="str">
        <f>"B"</f>
        <v>B</v>
      </c>
    </row>
    <row r="1345" spans="1:8" x14ac:dyDescent="0.2">
      <c r="A1345" t="str">
        <f t="shared" si="495"/>
        <v>0615110211</v>
      </c>
      <c r="B1345" t="str">
        <f t="shared" si="496"/>
        <v>JOSH</v>
      </c>
      <c r="C1345" t="str">
        <f t="shared" si="497"/>
        <v>BELLIS</v>
      </c>
      <c r="D1345">
        <f>10</f>
        <v>10</v>
      </c>
      <c r="E1345" t="str">
        <f>"05 - B - 103 - Brook E Goren"</f>
        <v>05 - B - 103 - Brook E Goren</v>
      </c>
      <c r="F1345" t="str">
        <f>"PRE-AICE MATH 2 IG"</f>
        <v>PRE-AICE MATH 2 IG</v>
      </c>
      <c r="G1345" t="str">
        <f>"21-2158"</f>
        <v>21-2158</v>
      </c>
      <c r="H1345" t="str">
        <f>"B"</f>
        <v>B</v>
      </c>
    </row>
    <row r="1346" spans="1:8" x14ac:dyDescent="0.2">
      <c r="A1346" t="str">
        <f t="shared" si="495"/>
        <v>0615110211</v>
      </c>
      <c r="B1346" t="str">
        <f t="shared" si="496"/>
        <v>JOSH</v>
      </c>
      <c r="C1346" t="str">
        <f t="shared" si="497"/>
        <v>BELLIS</v>
      </c>
      <c r="D1346">
        <f>10</f>
        <v>10</v>
      </c>
      <c r="E1346" t="str">
        <f>"01 - A - 108 - Rosa Elaine  Collado-Duff"</f>
        <v>01 - A - 108 - Rosa Elaine  Collado-Duff</v>
      </c>
      <c r="F1346" t="str">
        <f>"PRE-AICE SPAN 2 IG"</f>
        <v>PRE-AICE SPAN 2 IG</v>
      </c>
      <c r="G1346" t="str">
        <f>"09-913"</f>
        <v>09-913</v>
      </c>
      <c r="H1346" t="str">
        <f>"A"</f>
        <v>A</v>
      </c>
    </row>
    <row r="1347" spans="1:8" x14ac:dyDescent="0.2">
      <c r="A1347" t="str">
        <f t="shared" si="495"/>
        <v>0615110211</v>
      </c>
      <c r="B1347" t="str">
        <f t="shared" si="496"/>
        <v>JOSH</v>
      </c>
      <c r="C1347" t="str">
        <f t="shared" si="497"/>
        <v>BELLIS</v>
      </c>
      <c r="D1347">
        <f>10</f>
        <v>10</v>
      </c>
      <c r="E1347" t="str">
        <f>"08 - B - 001 - Brian M Fitzgerald"</f>
        <v>08 - B - 001 - Brian M Fitzgerald</v>
      </c>
      <c r="F1347" t="str">
        <f>"CERAM/POT 1"</f>
        <v>CERAM/POT 1</v>
      </c>
      <c r="G1347" t="str">
        <f>"09-908"</f>
        <v>09-908</v>
      </c>
      <c r="H1347" t="str">
        <f>"B"</f>
        <v>B</v>
      </c>
    </row>
    <row r="1348" spans="1:8" x14ac:dyDescent="0.2">
      <c r="A1348" t="str">
        <f t="shared" ref="A1348:A1355" si="498">"0612047422"</f>
        <v>0612047422</v>
      </c>
      <c r="B1348" t="str">
        <f t="shared" ref="B1348:B1355" si="499">"MIKE"</f>
        <v>MIKE</v>
      </c>
      <c r="C1348" t="str">
        <f t="shared" ref="C1348:C1355" si="500">"BELOIS"</f>
        <v>BELOIS</v>
      </c>
      <c r="D1348">
        <f>12</f>
        <v>12</v>
      </c>
      <c r="E1348" t="str">
        <f>"04 - A - 104 - Robert H Rindner"</f>
        <v>04 - A - 104 - Robert H Rindner</v>
      </c>
      <c r="F1348" t="str">
        <f>"MATH DATA&amp;FIN LIT H"</f>
        <v>MATH DATA&amp;FIN LIT H</v>
      </c>
      <c r="G1348" t="str">
        <f>"21-2160"</f>
        <v>21-2160</v>
      </c>
      <c r="H1348" t="str">
        <f>"A"</f>
        <v>A</v>
      </c>
    </row>
    <row r="1349" spans="1:8" x14ac:dyDescent="0.2">
      <c r="A1349" t="str">
        <f t="shared" si="498"/>
        <v>0612047422</v>
      </c>
      <c r="B1349" t="str">
        <f t="shared" si="499"/>
        <v>MIKE</v>
      </c>
      <c r="C1349" t="str">
        <f t="shared" si="500"/>
        <v>BELOIS</v>
      </c>
      <c r="D1349">
        <f>12</f>
        <v>12</v>
      </c>
      <c r="E1349" t="str">
        <f>"06 - B - 112 - Lisa  Quinn"</f>
        <v>06 - B - 112 - Lisa  Quinn</v>
      </c>
      <c r="F1349" t="str">
        <f>"NC STUDY HALL 1"</f>
        <v>NC STUDY HALL 1</v>
      </c>
      <c r="G1349" t="str">
        <f>"17-1725"</f>
        <v>17-1725</v>
      </c>
      <c r="H1349" t="str">
        <f>"B"</f>
        <v>B</v>
      </c>
    </row>
    <row r="1350" spans="1:8" x14ac:dyDescent="0.2">
      <c r="A1350" t="str">
        <f t="shared" si="498"/>
        <v>0612047422</v>
      </c>
      <c r="B1350" t="str">
        <f t="shared" si="499"/>
        <v>MIKE</v>
      </c>
      <c r="C1350" t="str">
        <f t="shared" si="500"/>
        <v>BELOIS</v>
      </c>
      <c r="D1350">
        <f>12</f>
        <v>12</v>
      </c>
      <c r="E1350" t="str">
        <f>"03 - A - 102 - Cliffon  Saurel"</f>
        <v>03 - A - 102 - Cliffon  Saurel</v>
      </c>
      <c r="F1350" t="str">
        <f>"PHYSICAL SCI"</f>
        <v>PHYSICAL SCI</v>
      </c>
      <c r="G1350" t="str">
        <f>"05-522"</f>
        <v>05-522</v>
      </c>
      <c r="H1350" t="str">
        <f>"A"</f>
        <v>A</v>
      </c>
    </row>
    <row r="1351" spans="1:8" x14ac:dyDescent="0.2">
      <c r="A1351" t="str">
        <f t="shared" si="498"/>
        <v>0612047422</v>
      </c>
      <c r="B1351" t="str">
        <f t="shared" si="499"/>
        <v>MIKE</v>
      </c>
      <c r="C1351" t="str">
        <f t="shared" si="500"/>
        <v>BELOIS</v>
      </c>
      <c r="D1351">
        <f>12</f>
        <v>12</v>
      </c>
      <c r="E1351" t="str">
        <f>"02 - A - 102 - Daniel S Tyson"</f>
        <v>02 - A - 102 - Daniel S Tyson</v>
      </c>
      <c r="F1351" t="str">
        <f>"JROTC NAVAL SCI 4"</f>
        <v>JROTC NAVAL SCI 4</v>
      </c>
      <c r="G1351" t="str">
        <f>"05-510"</f>
        <v>05-510</v>
      </c>
      <c r="H1351" t="str">
        <f>"A"</f>
        <v>A</v>
      </c>
    </row>
    <row r="1352" spans="1:8" x14ac:dyDescent="0.2">
      <c r="A1352" t="str">
        <f t="shared" si="498"/>
        <v>0612047422</v>
      </c>
      <c r="B1352" t="str">
        <f t="shared" si="499"/>
        <v>MIKE</v>
      </c>
      <c r="C1352" t="str">
        <f t="shared" si="500"/>
        <v>BELOIS</v>
      </c>
      <c r="D1352">
        <f>12</f>
        <v>12</v>
      </c>
      <c r="E1352" t="str">
        <f>"07 - B - 201 - Angela S Adeshina-Morrison"</f>
        <v>07 - B - 201 - Angela S Adeshina-Morrison</v>
      </c>
      <c r="F1352" t="str">
        <f>"BUSINESS OWNER HON"</f>
        <v>BUSINESS OWNER HON</v>
      </c>
      <c r="G1352" t="str">
        <f>"05-518"</f>
        <v>05-518</v>
      </c>
      <c r="H1352" t="str">
        <f>"B"</f>
        <v>B</v>
      </c>
    </row>
    <row r="1353" spans="1:8" x14ac:dyDescent="0.2">
      <c r="A1353" t="str">
        <f t="shared" si="498"/>
        <v>0612047422</v>
      </c>
      <c r="B1353" t="str">
        <f t="shared" si="499"/>
        <v>MIKE</v>
      </c>
      <c r="C1353" t="str">
        <f t="shared" si="500"/>
        <v>BELOIS</v>
      </c>
      <c r="D1353">
        <f>12</f>
        <v>12</v>
      </c>
      <c r="E1353" t="str">
        <f>"05 - S1 - B - 102 - Robert O Burger"</f>
        <v>05 - S1 - B - 102 - Robert O Burger</v>
      </c>
      <c r="F1353" t="str">
        <f>"US GOVT"</f>
        <v>US GOVT</v>
      </c>
      <c r="G1353" t="str">
        <f>"17-1755"</f>
        <v>17-1755</v>
      </c>
      <c r="H1353" t="str">
        <f>"B"</f>
        <v>B</v>
      </c>
    </row>
    <row r="1354" spans="1:8" x14ac:dyDescent="0.2">
      <c r="A1354" t="str">
        <f t="shared" si="498"/>
        <v>0612047422</v>
      </c>
      <c r="B1354" t="str">
        <f t="shared" si="499"/>
        <v>MIKE</v>
      </c>
      <c r="C1354" t="str">
        <f t="shared" si="500"/>
        <v>BELOIS</v>
      </c>
      <c r="D1354">
        <f>12</f>
        <v>12</v>
      </c>
      <c r="E1354" t="str">
        <f>"01 - A - 103 - Robyn L Trainer"</f>
        <v>01 - A - 103 - Robyn L Trainer</v>
      </c>
      <c r="F1354" t="str">
        <f>"ENG 4"</f>
        <v>ENG 4</v>
      </c>
      <c r="G1354" t="str">
        <f>"17-1734"</f>
        <v>17-1734</v>
      </c>
      <c r="H1354" t="str">
        <f>"A"</f>
        <v>A</v>
      </c>
    </row>
    <row r="1355" spans="1:8" x14ac:dyDescent="0.2">
      <c r="A1355" t="str">
        <f t="shared" si="498"/>
        <v>0612047422</v>
      </c>
      <c r="B1355" t="str">
        <f t="shared" si="499"/>
        <v>MIKE</v>
      </c>
      <c r="C1355" t="str">
        <f t="shared" si="500"/>
        <v>BELOIS</v>
      </c>
      <c r="D1355">
        <f>12</f>
        <v>12</v>
      </c>
      <c r="E1355" t="str">
        <f>"08 - S1 - B - 104 - Richard E Dunbar Iii"</f>
        <v>08 - S1 - B - 104 - Richard E Dunbar Iii</v>
      </c>
      <c r="F1355" t="str">
        <f>"WEIGHT TRAIN 3"</f>
        <v>WEIGHT TRAIN 3</v>
      </c>
      <c r="G1355" t="str">
        <f>"05-501"</f>
        <v>05-501</v>
      </c>
      <c r="H1355" t="str">
        <f>"B"</f>
        <v>B</v>
      </c>
    </row>
    <row r="1356" spans="1:8" x14ac:dyDescent="0.2">
      <c r="A1356" t="str">
        <f t="shared" ref="A1356:A1363" si="501">"0613015773"</f>
        <v>0613015773</v>
      </c>
      <c r="B1356" t="str">
        <f t="shared" ref="B1356:B1363" si="502">"CHRISTOPHER"</f>
        <v>CHRISTOPHER</v>
      </c>
      <c r="C1356" t="str">
        <f t="shared" ref="C1356:C1363" si="503">"BELONY"</f>
        <v>BELONY</v>
      </c>
      <c r="D1356">
        <f>11</f>
        <v>11</v>
      </c>
      <c r="E1356" t="str">
        <f>"04 - A - 101 - Brian M Fitzgerald"</f>
        <v>04 - A - 101 - Brian M Fitzgerald</v>
      </c>
      <c r="F1356" t="str">
        <f>"DRAW 2"</f>
        <v>DRAW 2</v>
      </c>
      <c r="G1356" t="str">
        <f>"09-908"</f>
        <v>09-908</v>
      </c>
      <c r="H1356" t="str">
        <f>"A"</f>
        <v>A</v>
      </c>
    </row>
    <row r="1357" spans="1:8" x14ac:dyDescent="0.2">
      <c r="A1357" t="str">
        <f t="shared" si="501"/>
        <v>0613015773</v>
      </c>
      <c r="B1357" t="str">
        <f t="shared" si="502"/>
        <v>CHRISTOPHER</v>
      </c>
      <c r="C1357" t="str">
        <f t="shared" si="503"/>
        <v>BELONY</v>
      </c>
      <c r="D1357">
        <f>11</f>
        <v>11</v>
      </c>
      <c r="E1357" t="str">
        <f>"06 - B - 105 - Elizabeth Ellen  Moran"</f>
        <v>06 - B - 105 - Elizabeth Ellen  Moran</v>
      </c>
      <c r="F1357" t="str">
        <f>"US HISTORY"</f>
        <v>US HISTORY</v>
      </c>
      <c r="G1357" t="str">
        <f>"17-1752"</f>
        <v>17-1752</v>
      </c>
      <c r="H1357" t="str">
        <f>"B"</f>
        <v>B</v>
      </c>
    </row>
    <row r="1358" spans="1:8" x14ac:dyDescent="0.2">
      <c r="A1358" t="str">
        <f t="shared" si="501"/>
        <v>0613015773</v>
      </c>
      <c r="B1358" t="str">
        <f t="shared" si="502"/>
        <v>CHRISTOPHER</v>
      </c>
      <c r="C1358" t="str">
        <f t="shared" si="503"/>
        <v>BELONY</v>
      </c>
      <c r="D1358">
        <f>11</f>
        <v>11</v>
      </c>
      <c r="E1358" t="str">
        <f>"03 - A - 208 - Marielle A Witting"</f>
        <v>03 - A - 208 - Marielle A Witting</v>
      </c>
      <c r="F1358" t="str">
        <f>"ANAT PHYSIO"</f>
        <v>ANAT PHYSIO</v>
      </c>
      <c r="G1358" t="str">
        <f>"08-805"</f>
        <v>08-805</v>
      </c>
      <c r="H1358" t="str">
        <f>"A"</f>
        <v>A</v>
      </c>
    </row>
    <row r="1359" spans="1:8" x14ac:dyDescent="0.2">
      <c r="A1359" t="str">
        <f t="shared" si="501"/>
        <v>0613015773</v>
      </c>
      <c r="B1359" t="str">
        <f t="shared" si="502"/>
        <v>CHRISTOPHER</v>
      </c>
      <c r="C1359" t="str">
        <f t="shared" si="503"/>
        <v>BELONY</v>
      </c>
      <c r="D1359">
        <f>11</f>
        <v>11</v>
      </c>
      <c r="E1359" t="str">
        <f>"02 - A - 105 - Leslie J Barton"</f>
        <v>02 - A - 105 - Leslie J Barton</v>
      </c>
      <c r="F1359" t="str">
        <f>"NC STUDY HALL 1"</f>
        <v>NC STUDY HALL 1</v>
      </c>
      <c r="G1359" t="str">
        <f>"05-521"</f>
        <v>05-521</v>
      </c>
      <c r="H1359" t="str">
        <f>"A"</f>
        <v>A</v>
      </c>
    </row>
    <row r="1360" spans="1:8" x14ac:dyDescent="0.2">
      <c r="A1360" t="str">
        <f t="shared" si="501"/>
        <v>0613015773</v>
      </c>
      <c r="B1360" t="str">
        <f t="shared" si="502"/>
        <v>CHRISTOPHER</v>
      </c>
      <c r="C1360" t="str">
        <f t="shared" si="503"/>
        <v>BELONY</v>
      </c>
      <c r="D1360">
        <f>11</f>
        <v>11</v>
      </c>
      <c r="E1360" t="str">
        <f>"07 - S1 - B - 107 - Richard E Dunbar Iii"</f>
        <v>07 - S1 - B - 107 - Richard E Dunbar Iii</v>
      </c>
      <c r="F1360" t="str">
        <f>"WEIGHT TRAIN 1"</f>
        <v>WEIGHT TRAIN 1</v>
      </c>
      <c r="G1360" t="str">
        <f>"05-501"</f>
        <v>05-501</v>
      </c>
      <c r="H1360" t="str">
        <f>"B"</f>
        <v>B</v>
      </c>
    </row>
    <row r="1361" spans="1:8" x14ac:dyDescent="0.2">
      <c r="A1361" t="str">
        <f t="shared" si="501"/>
        <v>0613015773</v>
      </c>
      <c r="B1361" t="str">
        <f t="shared" si="502"/>
        <v>CHRISTOPHER</v>
      </c>
      <c r="C1361" t="str">
        <f t="shared" si="503"/>
        <v>BELONY</v>
      </c>
      <c r="D1361">
        <f>11</f>
        <v>11</v>
      </c>
      <c r="E1361" t="str">
        <f>"05 - B - 104 - Daniel S Tyson"</f>
        <v>05 - B - 104 - Daniel S Tyson</v>
      </c>
      <c r="F1361" t="str">
        <f>"JROTC NAVAL SCI 1"</f>
        <v>JROTC NAVAL SCI 1</v>
      </c>
      <c r="G1361" t="str">
        <f>"05-510"</f>
        <v>05-510</v>
      </c>
      <c r="H1361" t="str">
        <f>"B"</f>
        <v>B</v>
      </c>
    </row>
    <row r="1362" spans="1:8" x14ac:dyDescent="0.2">
      <c r="A1362" t="str">
        <f t="shared" si="501"/>
        <v>0613015773</v>
      </c>
      <c r="B1362" t="str">
        <f t="shared" si="502"/>
        <v>CHRISTOPHER</v>
      </c>
      <c r="C1362" t="str">
        <f t="shared" si="503"/>
        <v>BELONY</v>
      </c>
      <c r="D1362">
        <f>11</f>
        <v>11</v>
      </c>
      <c r="E1362" t="str">
        <f>"01 - A - 103 - Semra  Bahadir"</f>
        <v>01 - A - 103 - Semra  Bahadir</v>
      </c>
      <c r="F1362" t="str">
        <f>"MATH COLL ALGEBRA"</f>
        <v>MATH COLL ALGEBRA</v>
      </c>
      <c r="G1362" t="str">
        <f>"21-2107"</f>
        <v>21-2107</v>
      </c>
      <c r="H1362" t="str">
        <f>"A"</f>
        <v>A</v>
      </c>
    </row>
    <row r="1363" spans="1:8" x14ac:dyDescent="0.2">
      <c r="A1363" t="str">
        <f t="shared" si="501"/>
        <v>0613015773</v>
      </c>
      <c r="B1363" t="str">
        <f t="shared" si="502"/>
        <v>CHRISTOPHER</v>
      </c>
      <c r="C1363" t="str">
        <f t="shared" si="503"/>
        <v>BELONY</v>
      </c>
      <c r="D1363">
        <f>11</f>
        <v>11</v>
      </c>
      <c r="E1363" t="str">
        <f>"08 - B - 106 - Lisa  Quinn"</f>
        <v>08 - B - 106 - Lisa  Quinn</v>
      </c>
      <c r="F1363" t="str">
        <f>"ENG 3"</f>
        <v>ENG 3</v>
      </c>
      <c r="G1363" t="str">
        <f>"17-1725"</f>
        <v>17-1725</v>
      </c>
      <c r="H1363" t="str">
        <f>"B"</f>
        <v>B</v>
      </c>
    </row>
    <row r="1364" spans="1:8" x14ac:dyDescent="0.2">
      <c r="A1364" t="str">
        <f t="shared" ref="A1364:A1371" si="504">"0616068738"</f>
        <v>0616068738</v>
      </c>
      <c r="B1364" t="str">
        <f t="shared" ref="B1364:B1371" si="505">"ESTHER"</f>
        <v>ESTHER</v>
      </c>
      <c r="C1364" t="str">
        <f t="shared" ref="C1364:C1371" si="506">"BELTON"</f>
        <v>BELTON</v>
      </c>
      <c r="D1364" t="str">
        <f t="shared" ref="D1364:D1371" si="507">"09"</f>
        <v>09</v>
      </c>
      <c r="E1364" t="str">
        <f>"04 - A - 103 - Lenecy  Nodarse"</f>
        <v>04 - A - 103 - Lenecy  Nodarse</v>
      </c>
      <c r="F1364" t="str">
        <f>"WORLD HISTORY"</f>
        <v>WORLD HISTORY</v>
      </c>
      <c r="G1364" t="str">
        <f>"17-1741"</f>
        <v>17-1741</v>
      </c>
      <c r="H1364" t="str">
        <f>"A"</f>
        <v>A</v>
      </c>
    </row>
    <row r="1365" spans="1:8" x14ac:dyDescent="0.2">
      <c r="A1365" t="str">
        <f t="shared" si="504"/>
        <v>0616068738</v>
      </c>
      <c r="B1365" t="str">
        <f t="shared" si="505"/>
        <v>ESTHER</v>
      </c>
      <c r="C1365" t="str">
        <f t="shared" si="506"/>
        <v>BELTON</v>
      </c>
      <c r="D1365" t="str">
        <f t="shared" si="507"/>
        <v>09</v>
      </c>
      <c r="E1365" t="str">
        <f>"06 - B - 101 - Fernando  Vega-Cid"</f>
        <v>06 - B - 101 - Fernando  Vega-Cid</v>
      </c>
      <c r="F1365" t="str">
        <f>"PRE-AICE MATH 2 IG"</f>
        <v>PRE-AICE MATH 2 IG</v>
      </c>
      <c r="G1365" t="str">
        <f>"21-2163"</f>
        <v>21-2163</v>
      </c>
      <c r="H1365" t="str">
        <f>"B"</f>
        <v>B</v>
      </c>
    </row>
    <row r="1366" spans="1:8" x14ac:dyDescent="0.2">
      <c r="A1366" t="str">
        <f t="shared" si="504"/>
        <v>0616068738</v>
      </c>
      <c r="B1366" t="str">
        <f t="shared" si="505"/>
        <v>ESTHER</v>
      </c>
      <c r="C1366" t="str">
        <f t="shared" si="506"/>
        <v>BELTON</v>
      </c>
      <c r="D1366" t="str">
        <f t="shared" si="507"/>
        <v>09</v>
      </c>
      <c r="E1366" t="str">
        <f>"03 - A - 102 - Laselleda D Shaw"</f>
        <v>03 - A - 102 - Laselleda D Shaw</v>
      </c>
      <c r="F1366" t="str">
        <f>"INTENS READ 1"</f>
        <v>INTENS READ 1</v>
      </c>
      <c r="G1366" t="str">
        <f>"17-1723"</f>
        <v>17-1723</v>
      </c>
      <c r="H1366" t="str">
        <f>"A"</f>
        <v>A</v>
      </c>
    </row>
    <row r="1367" spans="1:8" x14ac:dyDescent="0.2">
      <c r="A1367" t="str">
        <f t="shared" si="504"/>
        <v>0616068738</v>
      </c>
      <c r="B1367" t="str">
        <f t="shared" si="505"/>
        <v>ESTHER</v>
      </c>
      <c r="C1367" t="str">
        <f t="shared" si="506"/>
        <v>BELTON</v>
      </c>
      <c r="D1367" t="str">
        <f t="shared" si="507"/>
        <v>09</v>
      </c>
      <c r="E1367" t="str">
        <f>"02 - A - 101 - Josiah I Lacy"</f>
        <v>02 - A - 101 - Josiah I Lacy</v>
      </c>
      <c r="F1367" t="str">
        <f>"NC STUDY HALL 1"</f>
        <v>NC STUDY HALL 1</v>
      </c>
      <c r="G1367" t="str">
        <f>"08-801"</f>
        <v>08-801</v>
      </c>
      <c r="H1367" t="str">
        <f>"A"</f>
        <v>A</v>
      </c>
    </row>
    <row r="1368" spans="1:8" x14ac:dyDescent="0.2">
      <c r="A1368" t="str">
        <f t="shared" si="504"/>
        <v>0616068738</v>
      </c>
      <c r="B1368" t="str">
        <f t="shared" si="505"/>
        <v>ESTHER</v>
      </c>
      <c r="C1368" t="str">
        <f t="shared" si="506"/>
        <v>BELTON</v>
      </c>
      <c r="D1368" t="str">
        <f t="shared" si="507"/>
        <v>09</v>
      </c>
      <c r="E1368" t="str">
        <f>"07 - B - 103 - Vanessa J Liburd"</f>
        <v>07 - B - 103 - Vanessa J Liburd</v>
      </c>
      <c r="F1368" t="str">
        <f>"PRE-AICE FRENCH 1 IG"</f>
        <v>PRE-AICE FRENCH 1 IG</v>
      </c>
      <c r="G1368" t="str">
        <f>"05-519"</f>
        <v>05-519</v>
      </c>
      <c r="H1368" t="str">
        <f>"B"</f>
        <v>B</v>
      </c>
    </row>
    <row r="1369" spans="1:8" x14ac:dyDescent="0.2">
      <c r="A1369" t="str">
        <f t="shared" si="504"/>
        <v>0616068738</v>
      </c>
      <c r="B1369" t="str">
        <f t="shared" si="505"/>
        <v>ESTHER</v>
      </c>
      <c r="C1369" t="str">
        <f t="shared" si="506"/>
        <v>BELTON</v>
      </c>
      <c r="D1369" t="str">
        <f t="shared" si="507"/>
        <v>09</v>
      </c>
      <c r="E1369" t="str">
        <f>"05 - B - 201 - Lisa J London"</f>
        <v>05 - B - 201 - Lisa J London</v>
      </c>
      <c r="F1369" t="str">
        <f>"COMPRE LAW HON"</f>
        <v>COMPRE LAW HON</v>
      </c>
      <c r="G1369" t="str">
        <f>"17-1714"</f>
        <v>17-1714</v>
      </c>
      <c r="H1369" t="str">
        <f>"B"</f>
        <v>B</v>
      </c>
    </row>
    <row r="1370" spans="1:8" x14ac:dyDescent="0.2">
      <c r="A1370" t="str">
        <f t="shared" si="504"/>
        <v>0616068738</v>
      </c>
      <c r="B1370" t="str">
        <f t="shared" si="505"/>
        <v>ESTHER</v>
      </c>
      <c r="C1370" t="str">
        <f t="shared" si="506"/>
        <v>BELTON</v>
      </c>
      <c r="D1370" t="str">
        <f t="shared" si="507"/>
        <v>09</v>
      </c>
      <c r="E1370" t="str">
        <f>"01 - A - 101 - Cerine S Stewart"</f>
        <v>01 - A - 101 - Cerine S Stewart</v>
      </c>
      <c r="F1370" t="str">
        <f>"ENG 1"</f>
        <v>ENG 1</v>
      </c>
      <c r="G1370" t="str">
        <f>"17-1720"</f>
        <v>17-1720</v>
      </c>
      <c r="H1370" t="str">
        <f>"A"</f>
        <v>A</v>
      </c>
    </row>
    <row r="1371" spans="1:8" x14ac:dyDescent="0.2">
      <c r="A1371" t="str">
        <f t="shared" si="504"/>
        <v>0616068738</v>
      </c>
      <c r="B1371" t="str">
        <f t="shared" si="505"/>
        <v>ESTHER</v>
      </c>
      <c r="C1371" t="str">
        <f t="shared" si="506"/>
        <v>BELTON</v>
      </c>
      <c r="D1371" t="str">
        <f t="shared" si="507"/>
        <v>09</v>
      </c>
      <c r="E1371" t="str">
        <f>"08 - B - 105 - Samantha J Headley"</f>
        <v>08 - B - 105 - Samantha J Headley</v>
      </c>
      <c r="F1371" t="str">
        <f>"ENV SCI"</f>
        <v>ENV SCI</v>
      </c>
      <c r="G1371" t="str">
        <f>"08-802"</f>
        <v>08-802</v>
      </c>
      <c r="H1371" t="str">
        <f>"B"</f>
        <v>B</v>
      </c>
    </row>
    <row r="1372" spans="1:8" x14ac:dyDescent="0.2">
      <c r="A1372" t="str">
        <f t="shared" ref="A1372:A1379" si="508">"0620055710"</f>
        <v>0620055710</v>
      </c>
      <c r="B1372" t="str">
        <f t="shared" ref="B1372:B1379" si="509">"CARLOS"</f>
        <v>CARLOS</v>
      </c>
      <c r="C1372" t="str">
        <f t="shared" ref="C1372:C1379" si="510">"BELTRAN TORRES"</f>
        <v>BELTRAN TORRES</v>
      </c>
      <c r="D1372">
        <f>10</f>
        <v>10</v>
      </c>
      <c r="E1372" t="str">
        <f>"04 - A - 005 - Emmily A Sarmiento"</f>
        <v>04 - A - 005 - Emmily A Sarmiento</v>
      </c>
      <c r="F1372" t="str">
        <f>"AICE GLBL PERSP 1 AS"</f>
        <v>AICE GLBL PERSP 1 AS</v>
      </c>
      <c r="G1372" t="str">
        <f>"17-1743"</f>
        <v>17-1743</v>
      </c>
      <c r="H1372" t="str">
        <f>"A"</f>
        <v>A</v>
      </c>
    </row>
    <row r="1373" spans="1:8" x14ac:dyDescent="0.2">
      <c r="A1373" t="str">
        <f t="shared" si="508"/>
        <v>0620055710</v>
      </c>
      <c r="B1373" t="str">
        <f t="shared" si="509"/>
        <v>CARLOS</v>
      </c>
      <c r="C1373" t="str">
        <f t="shared" si="510"/>
        <v>BELTRAN TORRES</v>
      </c>
      <c r="D1373">
        <f>10</f>
        <v>10</v>
      </c>
      <c r="E1373" t="str">
        <f>"06 - B - 115 - Scott A Dethloff"</f>
        <v>06 - B - 115 - Scott A Dethloff</v>
      </c>
      <c r="F1373" t="str">
        <f>"NC STUDY HALL 1"</f>
        <v>NC STUDY HALL 1</v>
      </c>
      <c r="G1373" t="str">
        <f>"08-812"</f>
        <v>08-812</v>
      </c>
      <c r="H1373" t="str">
        <f>"B"</f>
        <v>B</v>
      </c>
    </row>
    <row r="1374" spans="1:8" x14ac:dyDescent="0.2">
      <c r="A1374" t="str">
        <f t="shared" si="508"/>
        <v>0620055710</v>
      </c>
      <c r="B1374" t="str">
        <f t="shared" si="509"/>
        <v>CARLOS</v>
      </c>
      <c r="C1374" t="str">
        <f t="shared" si="510"/>
        <v>BELTRAN TORRES</v>
      </c>
      <c r="D1374">
        <f>10</f>
        <v>10</v>
      </c>
      <c r="E1374" t="str">
        <f>"03 - A - 101 - Emmily A Sarmiento"</f>
        <v>03 - A - 101 - Emmily A Sarmiento</v>
      </c>
      <c r="F1374" t="str">
        <f>"LEADER STRATS HONORS"</f>
        <v>LEADER STRATS HONORS</v>
      </c>
      <c r="G1374" t="str">
        <f>"17-1743"</f>
        <v>17-1743</v>
      </c>
      <c r="H1374" t="str">
        <f>"A"</f>
        <v>A</v>
      </c>
    </row>
    <row r="1375" spans="1:8" x14ac:dyDescent="0.2">
      <c r="A1375" t="str">
        <f t="shared" si="508"/>
        <v>0620055710</v>
      </c>
      <c r="B1375" t="str">
        <f t="shared" si="509"/>
        <v>CARLOS</v>
      </c>
      <c r="C1375" t="str">
        <f t="shared" si="510"/>
        <v>BELTRAN TORRES</v>
      </c>
      <c r="D1375">
        <f>10</f>
        <v>10</v>
      </c>
      <c r="E1375" t="str">
        <f>"02 - A - 105 - Semra  Bahadir"</f>
        <v>02 - A - 105 - Semra  Bahadir</v>
      </c>
      <c r="F1375" t="str">
        <f>"ALGEBRA 2"</f>
        <v>ALGEBRA 2</v>
      </c>
      <c r="G1375" t="str">
        <f>"21-2107"</f>
        <v>21-2107</v>
      </c>
      <c r="H1375" t="str">
        <f>"A"</f>
        <v>A</v>
      </c>
    </row>
    <row r="1376" spans="1:8" x14ac:dyDescent="0.2">
      <c r="A1376" t="str">
        <f t="shared" si="508"/>
        <v>0620055710</v>
      </c>
      <c r="B1376" t="str">
        <f t="shared" si="509"/>
        <v>CARLOS</v>
      </c>
      <c r="C1376" t="str">
        <f t="shared" si="510"/>
        <v>BELTRAN TORRES</v>
      </c>
      <c r="D1376">
        <f>10</f>
        <v>10</v>
      </c>
      <c r="E1376" t="str">
        <f>"07 - B - 102 - Timothy J Lawrence"</f>
        <v>07 - B - 102 - Timothy J Lawrence</v>
      </c>
      <c r="F1376" t="str">
        <f>"AICE PHYS ED 1 AS"</f>
        <v>AICE PHYS ED 1 AS</v>
      </c>
      <c r="G1376" t="str">
        <f>"05-523"</f>
        <v>05-523</v>
      </c>
      <c r="H1376" t="str">
        <f>"B"</f>
        <v>B</v>
      </c>
    </row>
    <row r="1377" spans="1:8" x14ac:dyDescent="0.2">
      <c r="A1377" t="str">
        <f t="shared" si="508"/>
        <v>0620055710</v>
      </c>
      <c r="B1377" t="str">
        <f t="shared" si="509"/>
        <v>CARLOS</v>
      </c>
      <c r="C1377" t="str">
        <f t="shared" si="510"/>
        <v>BELTRAN TORRES</v>
      </c>
      <c r="D1377">
        <f>10</f>
        <v>10</v>
      </c>
      <c r="E1377" t="str">
        <f>"05 - B - 204 - Cheryl L Beach"</f>
        <v>05 - B - 204 - Cheryl L Beach</v>
      </c>
      <c r="F1377" t="str">
        <f>"AICE ENV MGMNT AS"</f>
        <v>AICE ENV MGMNT AS</v>
      </c>
      <c r="G1377" t="str">
        <f>"08-811"</f>
        <v>08-811</v>
      </c>
      <c r="H1377" t="str">
        <f>"B"</f>
        <v>B</v>
      </c>
    </row>
    <row r="1378" spans="1:8" x14ac:dyDescent="0.2">
      <c r="A1378" t="str">
        <f t="shared" si="508"/>
        <v>0620055710</v>
      </c>
      <c r="B1378" t="str">
        <f t="shared" si="509"/>
        <v>CARLOS</v>
      </c>
      <c r="C1378" t="str">
        <f t="shared" si="510"/>
        <v>BELTRAN TORRES</v>
      </c>
      <c r="D1378">
        <f>10</f>
        <v>10</v>
      </c>
      <c r="E1378" t="str">
        <f>"01 - S1 - A - 101 - Carol S Moore"</f>
        <v>01 - S1 - A - 101 - Carol S Moore</v>
      </c>
      <c r="F1378" t="str">
        <f>"PERS FIN &amp; MON MGT H"</f>
        <v>PERS FIN &amp; MON MGT H</v>
      </c>
      <c r="G1378" t="str">
        <f>"17-1733"</f>
        <v>17-1733</v>
      </c>
      <c r="H1378" t="str">
        <f>"A"</f>
        <v>A</v>
      </c>
    </row>
    <row r="1379" spans="1:8" x14ac:dyDescent="0.2">
      <c r="A1379" t="str">
        <f t="shared" si="508"/>
        <v>0620055710</v>
      </c>
      <c r="B1379" t="str">
        <f t="shared" si="509"/>
        <v>CARLOS</v>
      </c>
      <c r="C1379" t="str">
        <f t="shared" si="510"/>
        <v>BELTRAN TORRES</v>
      </c>
      <c r="D1379">
        <f>10</f>
        <v>10</v>
      </c>
      <c r="E1379" t="str">
        <f>"08 - B - 001 - Jacklyn M James"</f>
        <v>08 - B - 001 - Jacklyn M James</v>
      </c>
      <c r="F1379" t="str">
        <f>"AICE ENG LANG AS"</f>
        <v>AICE ENG LANG AS</v>
      </c>
      <c r="G1379" t="str">
        <f>"17-1731"</f>
        <v>17-1731</v>
      </c>
      <c r="H1379" t="str">
        <f>"B"</f>
        <v>B</v>
      </c>
    </row>
    <row r="1380" spans="1:8" x14ac:dyDescent="0.2">
      <c r="A1380" t="str">
        <f t="shared" ref="A1380:A1387" si="511">"0617031176"</f>
        <v>0617031176</v>
      </c>
      <c r="B1380" t="str">
        <f t="shared" ref="B1380:B1387" si="512">"LAUREN"</f>
        <v>LAUREN</v>
      </c>
      <c r="C1380" t="str">
        <f t="shared" ref="C1380:C1387" si="513">"BELVILUS"</f>
        <v>BELVILUS</v>
      </c>
      <c r="D1380">
        <f>11</f>
        <v>11</v>
      </c>
      <c r="E1380" t="str">
        <f>"04 - A - 102 - Brandy N Zdenek"</f>
        <v>04 - A - 102 - Brandy N Zdenek</v>
      </c>
      <c r="F1380" t="str">
        <f>"AICE ENG LANG 2 AL"</f>
        <v>AICE ENG LANG 2 AL</v>
      </c>
      <c r="G1380" t="str">
        <f>"17-1704"</f>
        <v>17-1704</v>
      </c>
      <c r="H1380" t="str">
        <f>"A"</f>
        <v>A</v>
      </c>
    </row>
    <row r="1381" spans="1:8" x14ac:dyDescent="0.2">
      <c r="A1381" t="str">
        <f t="shared" si="511"/>
        <v>0617031176</v>
      </c>
      <c r="B1381" t="str">
        <f t="shared" si="512"/>
        <v>LAUREN</v>
      </c>
      <c r="C1381" t="str">
        <f t="shared" si="513"/>
        <v>BELVILUS</v>
      </c>
      <c r="D1381">
        <f>11</f>
        <v>11</v>
      </c>
      <c r="E1381" t="str">
        <f>"06 - B - 206 - Jacqueline R Morphet"</f>
        <v>06 - B - 206 - Jacqueline R Morphet</v>
      </c>
      <c r="F1381" t="str">
        <f>"PHYSICS 1 HON"</f>
        <v>PHYSICS 1 HON</v>
      </c>
      <c r="G1381" t="str">
        <f>"21-2138"</f>
        <v>21-2138</v>
      </c>
      <c r="H1381" t="str">
        <f>"B"</f>
        <v>B</v>
      </c>
    </row>
    <row r="1382" spans="1:8" x14ac:dyDescent="0.2">
      <c r="A1382" t="str">
        <f t="shared" si="511"/>
        <v>0617031176</v>
      </c>
      <c r="B1382" t="str">
        <f t="shared" si="512"/>
        <v>LAUREN</v>
      </c>
      <c r="C1382" t="str">
        <f t="shared" si="513"/>
        <v>BELVILUS</v>
      </c>
      <c r="D1382">
        <f>11</f>
        <v>11</v>
      </c>
      <c r="E1382" t="str">
        <f>"03 - A - 102 - Thomas G Handwerg"</f>
        <v>03 - A - 102 - Thomas G Handwerg</v>
      </c>
      <c r="F1382" t="str">
        <f>"MATH COLL ALGEBRA"</f>
        <v>MATH COLL ALGEBRA</v>
      </c>
      <c r="G1382" t="str">
        <f>"21-2146"</f>
        <v>21-2146</v>
      </c>
      <c r="H1382" t="str">
        <f>"A"</f>
        <v>A</v>
      </c>
    </row>
    <row r="1383" spans="1:8" x14ac:dyDescent="0.2">
      <c r="A1383" t="str">
        <f t="shared" si="511"/>
        <v>0617031176</v>
      </c>
      <c r="B1383" t="str">
        <f t="shared" si="512"/>
        <v>LAUREN</v>
      </c>
      <c r="C1383" t="str">
        <f t="shared" si="513"/>
        <v>BELVILUS</v>
      </c>
      <c r="D1383">
        <f>11</f>
        <v>11</v>
      </c>
      <c r="E1383" t="str">
        <f>"02 - A - 106 - Heidi M Knopp"</f>
        <v>02 - A - 106 - Heidi M Knopp</v>
      </c>
      <c r="F1383" t="str">
        <f>"NC STUDY HALL 1"</f>
        <v>NC STUDY HALL 1</v>
      </c>
      <c r="G1383" t="str">
        <f>"17-1735"</f>
        <v>17-1735</v>
      </c>
      <c r="H1383" t="str">
        <f>"A"</f>
        <v>A</v>
      </c>
    </row>
    <row r="1384" spans="1:8" x14ac:dyDescent="0.2">
      <c r="A1384" t="str">
        <f t="shared" si="511"/>
        <v>0617031176</v>
      </c>
      <c r="B1384" t="str">
        <f t="shared" si="512"/>
        <v>LAUREN</v>
      </c>
      <c r="C1384" t="str">
        <f t="shared" si="513"/>
        <v>BELVILUS</v>
      </c>
      <c r="D1384">
        <f>11</f>
        <v>11</v>
      </c>
      <c r="E1384" t="str">
        <f>"07 - B - 104 - Jerry S Jiampetti"</f>
        <v>07 - B - 104 - Jerry S Jiampetti</v>
      </c>
      <c r="F1384" t="str">
        <f>"AICE U.S. HIST 1 AS"</f>
        <v>AICE U.S. HIST 1 AS</v>
      </c>
      <c r="G1384" t="str">
        <f>"17-1751"</f>
        <v>17-1751</v>
      </c>
      <c r="H1384" t="str">
        <f>"B"</f>
        <v>B</v>
      </c>
    </row>
    <row r="1385" spans="1:8" x14ac:dyDescent="0.2">
      <c r="A1385" t="str">
        <f t="shared" si="511"/>
        <v>0617031176</v>
      </c>
      <c r="B1385" t="str">
        <f t="shared" si="512"/>
        <v>LAUREN</v>
      </c>
      <c r="C1385" t="str">
        <f t="shared" si="513"/>
        <v>BELVILUS</v>
      </c>
      <c r="D1385">
        <f>11</f>
        <v>11</v>
      </c>
      <c r="E1385" t="str">
        <f>"05 - B - 102 - Daniel S Katz"</f>
        <v>05 - B - 102 - Daniel S Katz</v>
      </c>
      <c r="F1385" t="str">
        <f>"EXEC INTERN 4 LH"</f>
        <v>EXEC INTERN 4 LH</v>
      </c>
      <c r="G1385" t="str">
        <f>"21-2156"</f>
        <v>21-2156</v>
      </c>
      <c r="H1385" t="str">
        <f>"B"</f>
        <v>B</v>
      </c>
    </row>
    <row r="1386" spans="1:8" x14ac:dyDescent="0.2">
      <c r="A1386" t="str">
        <f t="shared" si="511"/>
        <v>0617031176</v>
      </c>
      <c r="B1386" t="str">
        <f t="shared" si="512"/>
        <v>LAUREN</v>
      </c>
      <c r="C1386" t="str">
        <f t="shared" si="513"/>
        <v>BELVILUS</v>
      </c>
      <c r="D1386">
        <f>11</f>
        <v>11</v>
      </c>
      <c r="E1386" t="str">
        <f>"01 - A - 101 - Lisa J London"</f>
        <v>01 - A - 101 - Lisa J London</v>
      </c>
      <c r="F1386" t="str">
        <f>"AP CAPSTONE SEMINAR"</f>
        <v>AP CAPSTONE SEMINAR</v>
      </c>
      <c r="G1386" t="str">
        <f>"17-1714"</f>
        <v>17-1714</v>
      </c>
      <c r="H1386" t="str">
        <f>"A"</f>
        <v>A</v>
      </c>
    </row>
    <row r="1387" spans="1:8" x14ac:dyDescent="0.2">
      <c r="A1387" t="str">
        <f t="shared" si="511"/>
        <v>0617031176</v>
      </c>
      <c r="B1387" t="str">
        <f t="shared" si="512"/>
        <v>LAUREN</v>
      </c>
      <c r="C1387" t="str">
        <f t="shared" si="513"/>
        <v>BELVILUS</v>
      </c>
      <c r="D1387">
        <f>11</f>
        <v>11</v>
      </c>
      <c r="E1387" t="str">
        <f>"08 - B - 206 - Daniel S Katz"</f>
        <v>08 - B - 206 - Daniel S Katz</v>
      </c>
      <c r="F1387" t="str">
        <f>"AICE MEDIASTUDIES AS"</f>
        <v>AICE MEDIASTUDIES AS</v>
      </c>
      <c r="G1387" t="str">
        <f>"05-521"</f>
        <v>05-521</v>
      </c>
      <c r="H1387" t="str">
        <f>"B"</f>
        <v>B</v>
      </c>
    </row>
    <row r="1388" spans="1:8" x14ac:dyDescent="0.2">
      <c r="A1388" t="str">
        <f t="shared" ref="A1388:A1395" si="514">"0614089303"</f>
        <v>0614089303</v>
      </c>
      <c r="B1388" t="str">
        <f t="shared" ref="B1388:B1395" si="515">"ANNA-MARIA"</f>
        <v>ANNA-MARIA</v>
      </c>
      <c r="C1388" t="str">
        <f t="shared" ref="C1388:C1403" si="516">"BENITEZ"</f>
        <v>BENITEZ</v>
      </c>
      <c r="D1388">
        <f>11</f>
        <v>11</v>
      </c>
      <c r="E1388" t="str">
        <f>"04 - A - 102 - Elizabeth Ellen  Moran"</f>
        <v>04 - A - 102 - Elizabeth Ellen  Moran</v>
      </c>
      <c r="F1388" t="str">
        <f>"US HISTORY"</f>
        <v>US HISTORY</v>
      </c>
      <c r="G1388" t="str">
        <f>"17-1752"</f>
        <v>17-1752</v>
      </c>
      <c r="H1388" t="str">
        <f>"A"</f>
        <v>A</v>
      </c>
    </row>
    <row r="1389" spans="1:8" x14ac:dyDescent="0.2">
      <c r="A1389" t="str">
        <f t="shared" si="514"/>
        <v>0614089303</v>
      </c>
      <c r="B1389" t="str">
        <f t="shared" si="515"/>
        <v>ANNA-MARIA</v>
      </c>
      <c r="C1389" t="str">
        <f t="shared" si="516"/>
        <v>BENITEZ</v>
      </c>
      <c r="D1389">
        <f>11</f>
        <v>11</v>
      </c>
      <c r="E1389" t="str">
        <f>"06 - B - 202 - Alejandro  Navarro"</f>
        <v>06 - B - 202 - Alejandro  Navarro</v>
      </c>
      <c r="F1389" t="str">
        <f>"BAND 1"</f>
        <v>BAND 1</v>
      </c>
      <c r="G1389" t="str">
        <f>"05-504"</f>
        <v>05-504</v>
      </c>
      <c r="H1389" t="str">
        <f>"B"</f>
        <v>B</v>
      </c>
    </row>
    <row r="1390" spans="1:8" x14ac:dyDescent="0.2">
      <c r="A1390" t="str">
        <f t="shared" si="514"/>
        <v>0614089303</v>
      </c>
      <c r="B1390" t="str">
        <f t="shared" si="515"/>
        <v>ANNA-MARIA</v>
      </c>
      <c r="C1390" t="str">
        <f t="shared" si="516"/>
        <v>BENITEZ</v>
      </c>
      <c r="D1390">
        <f>11</f>
        <v>11</v>
      </c>
      <c r="E1390" t="str">
        <f>"03 - A - 102 - Semra  Bahadir"</f>
        <v>03 - A - 102 - Semra  Bahadir</v>
      </c>
      <c r="F1390" t="str">
        <f>"ALGEBRA 2"</f>
        <v>ALGEBRA 2</v>
      </c>
      <c r="G1390" t="str">
        <f>"21-2107"</f>
        <v>21-2107</v>
      </c>
      <c r="H1390" t="str">
        <f>"A"</f>
        <v>A</v>
      </c>
    </row>
    <row r="1391" spans="1:8" x14ac:dyDescent="0.2">
      <c r="A1391" t="str">
        <f t="shared" si="514"/>
        <v>0614089303</v>
      </c>
      <c r="B1391" t="str">
        <f t="shared" si="515"/>
        <v>ANNA-MARIA</v>
      </c>
      <c r="C1391" t="str">
        <f t="shared" si="516"/>
        <v>BENITEZ</v>
      </c>
      <c r="D1391">
        <f>11</f>
        <v>11</v>
      </c>
      <c r="E1391" t="str">
        <f>"02 - A - 114 - Eva T Rimmer"</f>
        <v>02 - A - 114 - Eva T Rimmer</v>
      </c>
      <c r="F1391" t="str">
        <f>"NC STUDY HALL 1"</f>
        <v>NC STUDY HALL 1</v>
      </c>
      <c r="G1391" t="str">
        <f>"05-523"</f>
        <v>05-523</v>
      </c>
      <c r="H1391" t="str">
        <f>"A"</f>
        <v>A</v>
      </c>
    </row>
    <row r="1392" spans="1:8" x14ac:dyDescent="0.2">
      <c r="A1392" t="str">
        <f t="shared" si="514"/>
        <v>0614089303</v>
      </c>
      <c r="B1392" t="str">
        <f t="shared" si="515"/>
        <v>ANNA-MARIA</v>
      </c>
      <c r="C1392" t="str">
        <f t="shared" si="516"/>
        <v>BENITEZ</v>
      </c>
      <c r="D1392">
        <f>11</f>
        <v>11</v>
      </c>
      <c r="E1392" t="str">
        <f>"07 - B - 002 - Rachel M Montrose"</f>
        <v>07 - B - 002 - Rachel M Montrose</v>
      </c>
      <c r="F1392" t="str">
        <f>"JOURN 1 (NP) LH"</f>
        <v>JOURN 1 (NP) LH</v>
      </c>
      <c r="G1392" t="str">
        <f>"05-521"</f>
        <v>05-521</v>
      </c>
      <c r="H1392" t="str">
        <f>"B"</f>
        <v>B</v>
      </c>
    </row>
    <row r="1393" spans="1:8" x14ac:dyDescent="0.2">
      <c r="A1393" t="str">
        <f t="shared" si="514"/>
        <v>0614089303</v>
      </c>
      <c r="B1393" t="str">
        <f t="shared" si="515"/>
        <v>ANNA-MARIA</v>
      </c>
      <c r="C1393" t="str">
        <f t="shared" si="516"/>
        <v>BENITEZ</v>
      </c>
      <c r="D1393">
        <f>11</f>
        <v>11</v>
      </c>
      <c r="E1393" t="str">
        <f>"05 - B - 207 - Marielle A Witting"</f>
        <v>05 - B - 207 - Marielle A Witting</v>
      </c>
      <c r="F1393" t="str">
        <f>"ANAT PHYSIO"</f>
        <v>ANAT PHYSIO</v>
      </c>
      <c r="G1393" t="str">
        <f>"08-805"</f>
        <v>08-805</v>
      </c>
      <c r="H1393" t="str">
        <f>"B"</f>
        <v>B</v>
      </c>
    </row>
    <row r="1394" spans="1:8" x14ac:dyDescent="0.2">
      <c r="A1394" t="str">
        <f t="shared" si="514"/>
        <v>0614089303</v>
      </c>
      <c r="B1394" t="str">
        <f t="shared" si="515"/>
        <v>ANNA-MARIA</v>
      </c>
      <c r="C1394" t="str">
        <f t="shared" si="516"/>
        <v>BENITEZ</v>
      </c>
      <c r="D1394">
        <f>11</f>
        <v>11</v>
      </c>
      <c r="E1394" t="str">
        <f>"01 - A - 101 - Joe  Kilpatrick Jr"</f>
        <v>01 - A - 101 - Joe  Kilpatrick Jr</v>
      </c>
      <c r="F1394" t="str">
        <f>"PRE-AICE SPAN 1 IG"</f>
        <v>PRE-AICE SPAN 1 IG</v>
      </c>
      <c r="G1394" t="str">
        <f>"09-912"</f>
        <v>09-912</v>
      </c>
      <c r="H1394" t="str">
        <f>"A"</f>
        <v>A</v>
      </c>
    </row>
    <row r="1395" spans="1:8" x14ac:dyDescent="0.2">
      <c r="A1395" t="str">
        <f t="shared" si="514"/>
        <v>0614089303</v>
      </c>
      <c r="B1395" t="str">
        <f t="shared" si="515"/>
        <v>ANNA-MARIA</v>
      </c>
      <c r="C1395" t="str">
        <f t="shared" si="516"/>
        <v>BENITEZ</v>
      </c>
      <c r="D1395">
        <f>11</f>
        <v>11</v>
      </c>
      <c r="E1395" t="str">
        <f>"08 - B - 106 - Lisa  Quinn"</f>
        <v>08 - B - 106 - Lisa  Quinn</v>
      </c>
      <c r="F1395" t="str">
        <f>"ENG 3"</f>
        <v>ENG 3</v>
      </c>
      <c r="G1395" t="str">
        <f>"17-1725"</f>
        <v>17-1725</v>
      </c>
      <c r="H1395" t="str">
        <f>"B"</f>
        <v>B</v>
      </c>
    </row>
    <row r="1396" spans="1:8" x14ac:dyDescent="0.2">
      <c r="A1396" t="str">
        <f t="shared" ref="A1396:A1403" si="517">"0615146136"</f>
        <v>0615146136</v>
      </c>
      <c r="B1396" t="str">
        <f t="shared" ref="B1396:B1403" si="518">"JOAQUIN"</f>
        <v>JOAQUIN</v>
      </c>
      <c r="C1396" t="str">
        <f t="shared" si="516"/>
        <v>BENITEZ</v>
      </c>
      <c r="D1396">
        <f>10</f>
        <v>10</v>
      </c>
      <c r="E1396" t="str">
        <f>"04 - A - 104 - Adam Marcus  Drucker"</f>
        <v>04 - A - 104 - Adam Marcus  Drucker</v>
      </c>
      <c r="F1396" t="str">
        <f>"HOPE-PE V"</f>
        <v>HOPE-PE V</v>
      </c>
      <c r="G1396" t="str">
        <f>"04-254"</f>
        <v>04-254</v>
      </c>
      <c r="H1396" t="str">
        <f>"A"</f>
        <v>A</v>
      </c>
    </row>
    <row r="1397" spans="1:8" x14ac:dyDescent="0.2">
      <c r="A1397" t="str">
        <f t="shared" si="517"/>
        <v>0615146136</v>
      </c>
      <c r="B1397" t="str">
        <f t="shared" si="518"/>
        <v>JOAQUIN</v>
      </c>
      <c r="C1397" t="str">
        <f t="shared" si="516"/>
        <v>BENITEZ</v>
      </c>
      <c r="D1397">
        <f>10</f>
        <v>10</v>
      </c>
      <c r="E1397" t="str">
        <f>"06 - B - 104 - Robert H Rindner"</f>
        <v>06 - B - 104 - Robert H Rindner</v>
      </c>
      <c r="F1397" t="str">
        <f>"NC STUDY HALL 1"</f>
        <v>NC STUDY HALL 1</v>
      </c>
      <c r="G1397" t="str">
        <f>"21-2160"</f>
        <v>21-2160</v>
      </c>
      <c r="H1397" t="str">
        <f>"B"</f>
        <v>B</v>
      </c>
    </row>
    <row r="1398" spans="1:8" x14ac:dyDescent="0.2">
      <c r="A1398" t="str">
        <f t="shared" si="517"/>
        <v>0615146136</v>
      </c>
      <c r="B1398" t="str">
        <f t="shared" si="518"/>
        <v>JOAQUIN</v>
      </c>
      <c r="C1398" t="str">
        <f t="shared" si="516"/>
        <v>BENITEZ</v>
      </c>
      <c r="D1398">
        <f>10</f>
        <v>10</v>
      </c>
      <c r="E1398" t="str">
        <f>"03 - A - 102 - Semra  Bahadir"</f>
        <v>03 - A - 102 - Semra  Bahadir</v>
      </c>
      <c r="F1398" t="str">
        <f>"ALGEBRA 2"</f>
        <v>ALGEBRA 2</v>
      </c>
      <c r="G1398" t="str">
        <f>"21-2107"</f>
        <v>21-2107</v>
      </c>
      <c r="H1398" t="str">
        <f>"A"</f>
        <v>A</v>
      </c>
    </row>
    <row r="1399" spans="1:8" x14ac:dyDescent="0.2">
      <c r="A1399" t="str">
        <f t="shared" si="517"/>
        <v>0615146136</v>
      </c>
      <c r="B1399" t="str">
        <f t="shared" si="518"/>
        <v>JOAQUIN</v>
      </c>
      <c r="C1399" t="str">
        <f t="shared" si="516"/>
        <v>BENITEZ</v>
      </c>
      <c r="D1399">
        <f>10</f>
        <v>10</v>
      </c>
      <c r="E1399" t="str">
        <f>"02 - A - 201 - Jordana K Hass"</f>
        <v>02 - A - 201 - Jordana K Hass</v>
      </c>
      <c r="F1399" t="str">
        <f>"CHEMISTRY 1"</f>
        <v>CHEMISTRY 1</v>
      </c>
      <c r="G1399" t="str">
        <f>"08-807"</f>
        <v>08-807</v>
      </c>
      <c r="H1399" t="str">
        <f>"A"</f>
        <v>A</v>
      </c>
    </row>
    <row r="1400" spans="1:8" x14ac:dyDescent="0.2">
      <c r="A1400" t="str">
        <f t="shared" si="517"/>
        <v>0615146136</v>
      </c>
      <c r="B1400" t="str">
        <f t="shared" si="518"/>
        <v>JOAQUIN</v>
      </c>
      <c r="C1400" t="str">
        <f t="shared" si="516"/>
        <v>BENITEZ</v>
      </c>
      <c r="D1400">
        <f>10</f>
        <v>10</v>
      </c>
      <c r="E1400" t="str">
        <f>"07 - B - 204 - Elizabeth Ellen  Moran"</f>
        <v>07 - B - 204 - Elizabeth Ellen  Moran</v>
      </c>
      <c r="F1400" t="str">
        <f>"AICE EURO HIST 1 AS"</f>
        <v>AICE EURO HIST 1 AS</v>
      </c>
      <c r="G1400" t="str">
        <f>"17-1752"</f>
        <v>17-1752</v>
      </c>
      <c r="H1400" t="str">
        <f>"B"</f>
        <v>B</v>
      </c>
    </row>
    <row r="1401" spans="1:8" x14ac:dyDescent="0.2">
      <c r="A1401" t="str">
        <f t="shared" si="517"/>
        <v>0615146136</v>
      </c>
      <c r="B1401" t="str">
        <f t="shared" si="518"/>
        <v>JOAQUIN</v>
      </c>
      <c r="C1401" t="str">
        <f t="shared" si="516"/>
        <v>BENITEZ</v>
      </c>
      <c r="D1401">
        <f>10</f>
        <v>10</v>
      </c>
      <c r="E1401" t="str">
        <f>"05 - B - 203 - Chrystina M Marchionne"</f>
        <v>05 - B - 203 - Chrystina M Marchionne</v>
      </c>
      <c r="F1401" t="str">
        <f>"AICE MEDIASTUDIES AS"</f>
        <v>AICE MEDIASTUDIES AS</v>
      </c>
      <c r="G1401" t="str">
        <f>"05-520"</f>
        <v>05-520</v>
      </c>
      <c r="H1401" t="str">
        <f>"B"</f>
        <v>B</v>
      </c>
    </row>
    <row r="1402" spans="1:8" x14ac:dyDescent="0.2">
      <c r="A1402" t="str">
        <f t="shared" si="517"/>
        <v>0615146136</v>
      </c>
      <c r="B1402" t="str">
        <f t="shared" si="518"/>
        <v>JOAQUIN</v>
      </c>
      <c r="C1402" t="str">
        <f t="shared" si="516"/>
        <v>BENITEZ</v>
      </c>
      <c r="D1402">
        <f>10</f>
        <v>10</v>
      </c>
      <c r="E1402" t="str">
        <f>"01 - S1 - A - 101 - Carol S Moore"</f>
        <v>01 - S1 - A - 101 - Carol S Moore</v>
      </c>
      <c r="F1402" t="str">
        <f>"PERS FIN &amp; MON MGT H"</f>
        <v>PERS FIN &amp; MON MGT H</v>
      </c>
      <c r="G1402" t="str">
        <f>"17-1733"</f>
        <v>17-1733</v>
      </c>
      <c r="H1402" t="str">
        <f>"A"</f>
        <v>A</v>
      </c>
    </row>
    <row r="1403" spans="1:8" x14ac:dyDescent="0.2">
      <c r="A1403" t="str">
        <f t="shared" si="517"/>
        <v>0615146136</v>
      </c>
      <c r="B1403" t="str">
        <f t="shared" si="518"/>
        <v>JOAQUIN</v>
      </c>
      <c r="C1403" t="str">
        <f t="shared" si="516"/>
        <v>BENITEZ</v>
      </c>
      <c r="D1403">
        <f>10</f>
        <v>10</v>
      </c>
      <c r="E1403" t="str">
        <f>"08 - B - 001 - Jacklyn M James"</f>
        <v>08 - B - 001 - Jacklyn M James</v>
      </c>
      <c r="F1403" t="str">
        <f>"AICE ENG LANG AS"</f>
        <v>AICE ENG LANG AS</v>
      </c>
      <c r="G1403" t="str">
        <f>"17-1731"</f>
        <v>17-1731</v>
      </c>
      <c r="H1403" t="str">
        <f>"B"</f>
        <v>B</v>
      </c>
    </row>
    <row r="1404" spans="1:8" x14ac:dyDescent="0.2">
      <c r="A1404" t="str">
        <f t="shared" ref="A1404:A1411" si="519">"0622128277"</f>
        <v>0622128277</v>
      </c>
      <c r="B1404" t="str">
        <f t="shared" ref="B1404:B1411" si="520">"JEFFERSON"</f>
        <v>JEFFERSON</v>
      </c>
      <c r="C1404" t="str">
        <f t="shared" ref="C1404:C1411" si="521">"BENITEZ VILLATORO"</f>
        <v>BENITEZ VILLATORO</v>
      </c>
      <c r="D1404" t="str">
        <f t="shared" ref="D1404:D1419" si="522">"09"</f>
        <v>09</v>
      </c>
      <c r="E1404" t="str">
        <f>"04 - A - 102 - Tina L Lovett"</f>
        <v>04 - A - 102 - Tina L Lovett</v>
      </c>
      <c r="F1404" t="str">
        <f>"ALGEBRA 1"</f>
        <v>ALGEBRA 1</v>
      </c>
      <c r="G1404" t="str">
        <f>"21-2153"</f>
        <v>21-2153</v>
      </c>
      <c r="H1404" t="str">
        <f>"A"</f>
        <v>A</v>
      </c>
    </row>
    <row r="1405" spans="1:8" x14ac:dyDescent="0.2">
      <c r="A1405" t="str">
        <f t="shared" si="519"/>
        <v>0622128277</v>
      </c>
      <c r="B1405" t="str">
        <f t="shared" si="520"/>
        <v>JEFFERSON</v>
      </c>
      <c r="C1405" t="str">
        <f t="shared" si="521"/>
        <v>BENITEZ VILLATORO</v>
      </c>
      <c r="D1405" t="str">
        <f t="shared" si="522"/>
        <v>09</v>
      </c>
      <c r="E1405" t="str">
        <f>"06 - B - 104 - Laselleda D Shaw"</f>
        <v>06 - B - 104 - Laselleda D Shaw</v>
      </c>
      <c r="F1405" t="str">
        <f>"INTENS READ 1"</f>
        <v>INTENS READ 1</v>
      </c>
      <c r="G1405" t="str">
        <f>"17-1723"</f>
        <v>17-1723</v>
      </c>
      <c r="H1405" t="str">
        <f>"B"</f>
        <v>B</v>
      </c>
    </row>
    <row r="1406" spans="1:8" x14ac:dyDescent="0.2">
      <c r="A1406" t="str">
        <f t="shared" si="519"/>
        <v>0622128277</v>
      </c>
      <c r="B1406" t="str">
        <f t="shared" si="520"/>
        <v>JEFFERSON</v>
      </c>
      <c r="C1406" t="str">
        <f t="shared" si="521"/>
        <v>BENITEZ VILLATORO</v>
      </c>
      <c r="D1406" t="str">
        <f t="shared" si="522"/>
        <v>09</v>
      </c>
      <c r="E1406" t="str">
        <f>"03 - A - 105 - Elizabeth Ellen  Moran"</f>
        <v>03 - A - 105 - Elizabeth Ellen  Moran</v>
      </c>
      <c r="F1406" t="str">
        <f>"WORLD HISTORY"</f>
        <v>WORLD HISTORY</v>
      </c>
      <c r="G1406" t="str">
        <f>"17-1752"</f>
        <v>17-1752</v>
      </c>
      <c r="H1406" t="str">
        <f>"A"</f>
        <v>A</v>
      </c>
    </row>
    <row r="1407" spans="1:8" x14ac:dyDescent="0.2">
      <c r="A1407" t="str">
        <f t="shared" si="519"/>
        <v>0622128277</v>
      </c>
      <c r="B1407" t="str">
        <f t="shared" si="520"/>
        <v>JEFFERSON</v>
      </c>
      <c r="C1407" t="str">
        <f t="shared" si="521"/>
        <v>BENITEZ VILLATORO</v>
      </c>
      <c r="D1407" t="str">
        <f t="shared" si="522"/>
        <v>09</v>
      </c>
      <c r="E1407" t="str">
        <f>"02 - A - 102 - Fernando  Vega-Cid"</f>
        <v>02 - A - 102 - Fernando  Vega-Cid</v>
      </c>
      <c r="F1407" t="str">
        <f>"NC STUDY HALL 1"</f>
        <v>NC STUDY HALL 1</v>
      </c>
      <c r="G1407" t="str">
        <f>"21-2163"</f>
        <v>21-2163</v>
      </c>
      <c r="H1407" t="str">
        <f>"A"</f>
        <v>A</v>
      </c>
    </row>
    <row r="1408" spans="1:8" x14ac:dyDescent="0.2">
      <c r="A1408" t="str">
        <f t="shared" si="519"/>
        <v>0622128277</v>
      </c>
      <c r="B1408" t="str">
        <f t="shared" si="520"/>
        <v>JEFFERSON</v>
      </c>
      <c r="C1408" t="str">
        <f t="shared" si="521"/>
        <v>BENITEZ VILLATORO</v>
      </c>
      <c r="D1408" t="str">
        <f t="shared" si="522"/>
        <v>09</v>
      </c>
      <c r="E1408" t="str">
        <f>"07 - B - 107 - Cerine S Stewart"</f>
        <v>07 - B - 107 - Cerine S Stewart</v>
      </c>
      <c r="F1408" t="str">
        <f>"ENG 1"</f>
        <v>ENG 1</v>
      </c>
      <c r="G1408" t="str">
        <f>"17-1720"</f>
        <v>17-1720</v>
      </c>
      <c r="H1408" t="str">
        <f>"B"</f>
        <v>B</v>
      </c>
    </row>
    <row r="1409" spans="1:8" x14ac:dyDescent="0.2">
      <c r="A1409" t="str">
        <f t="shared" si="519"/>
        <v>0622128277</v>
      </c>
      <c r="B1409" t="str">
        <f t="shared" si="520"/>
        <v>JEFFERSON</v>
      </c>
      <c r="C1409" t="str">
        <f t="shared" si="521"/>
        <v>BENITEZ VILLATORO</v>
      </c>
      <c r="D1409" t="str">
        <f t="shared" si="522"/>
        <v>09</v>
      </c>
      <c r="E1409" t="str">
        <f>"05 - B - 202 - Amy Beth  Broyles"</f>
        <v>05 - B - 202 - Amy Beth  Broyles</v>
      </c>
      <c r="F1409" t="str">
        <f>"ENV SCI"</f>
        <v>ENV SCI</v>
      </c>
      <c r="G1409" t="str">
        <f>"08-802"</f>
        <v>08-802</v>
      </c>
      <c r="H1409" t="str">
        <f>"B"</f>
        <v>B</v>
      </c>
    </row>
    <row r="1410" spans="1:8" x14ac:dyDescent="0.2">
      <c r="A1410" t="str">
        <f t="shared" si="519"/>
        <v>0622128277</v>
      </c>
      <c r="B1410" t="str">
        <f t="shared" si="520"/>
        <v>JEFFERSON</v>
      </c>
      <c r="C1410" t="str">
        <f t="shared" si="521"/>
        <v>BENITEZ VILLATORO</v>
      </c>
      <c r="D1410" t="str">
        <f t="shared" si="522"/>
        <v>09</v>
      </c>
      <c r="E1410" t="str">
        <f>"01 - A - 101 - Samantha L Martinez"</f>
        <v>01 - A - 101 - Samantha L Martinez</v>
      </c>
      <c r="F1410" t="str">
        <f>"MUSIC WORLD"</f>
        <v>MUSIC WORLD</v>
      </c>
      <c r="G1410" t="str">
        <f>"05-505"</f>
        <v>05-505</v>
      </c>
      <c r="H1410" t="str">
        <f>"A"</f>
        <v>A</v>
      </c>
    </row>
    <row r="1411" spans="1:8" x14ac:dyDescent="0.2">
      <c r="A1411" t="str">
        <f t="shared" si="519"/>
        <v>0622128277</v>
      </c>
      <c r="B1411" t="str">
        <f t="shared" si="520"/>
        <v>JEFFERSON</v>
      </c>
      <c r="C1411" t="str">
        <f t="shared" si="521"/>
        <v>BENITEZ VILLATORO</v>
      </c>
      <c r="D1411" t="str">
        <f t="shared" si="522"/>
        <v>09</v>
      </c>
      <c r="E1411" t="str">
        <f>"08 - B - 108 - Tina L Lovett"</f>
        <v>08 - B - 108 - Tina L Lovett</v>
      </c>
      <c r="F1411" t="str">
        <f>"FDN SKLS MATH 9-12"</f>
        <v>FDN SKLS MATH 9-12</v>
      </c>
      <c r="G1411" t="str">
        <f>"21-2153"</f>
        <v>21-2153</v>
      </c>
      <c r="H1411" t="str">
        <f>"B"</f>
        <v>B</v>
      </c>
    </row>
    <row r="1412" spans="1:8" x14ac:dyDescent="0.2">
      <c r="A1412" t="str">
        <f t="shared" ref="A1412:A1419" si="523">"0620020732"</f>
        <v>0620020732</v>
      </c>
      <c r="B1412" t="str">
        <f t="shared" ref="B1412:B1419" si="524">"EDWARD"</f>
        <v>EDWARD</v>
      </c>
      <c r="C1412" t="str">
        <f t="shared" ref="C1412:C1427" si="525">"BENNETT"</f>
        <v>BENNETT</v>
      </c>
      <c r="D1412" t="str">
        <f t="shared" si="522"/>
        <v>09</v>
      </c>
      <c r="E1412" t="str">
        <f>"04 - A - 106 - Ferrie J Arostique"</f>
        <v>04 - A - 106 - Ferrie J Arostique</v>
      </c>
      <c r="F1412" t="str">
        <f>"PRE-AICE MATH 2 IG"</f>
        <v>PRE-AICE MATH 2 IG</v>
      </c>
      <c r="G1412" t="str">
        <f>"21-2139"</f>
        <v>21-2139</v>
      </c>
      <c r="H1412" t="str">
        <f>"A"</f>
        <v>A</v>
      </c>
    </row>
    <row r="1413" spans="1:8" x14ac:dyDescent="0.2">
      <c r="A1413" t="str">
        <f t="shared" si="523"/>
        <v>0620020732</v>
      </c>
      <c r="B1413" t="str">
        <f t="shared" si="524"/>
        <v>EDWARD</v>
      </c>
      <c r="C1413" t="str">
        <f t="shared" si="525"/>
        <v>BENNETT</v>
      </c>
      <c r="D1413" t="str">
        <f t="shared" si="522"/>
        <v>09</v>
      </c>
      <c r="E1413" t="str">
        <f>"06 - B - 106 - Marius D Orsolini"</f>
        <v>06 - B - 106 - Marius D Orsolini</v>
      </c>
      <c r="F1413" t="str">
        <f>"CULINARY ARTS 1"</f>
        <v>CULINARY ARTS 1</v>
      </c>
      <c r="G1413" t="str">
        <f>"21-2115"</f>
        <v>21-2115</v>
      </c>
      <c r="H1413" t="str">
        <f>"B"</f>
        <v>B</v>
      </c>
    </row>
    <row r="1414" spans="1:8" x14ac:dyDescent="0.2">
      <c r="A1414" t="str">
        <f t="shared" si="523"/>
        <v>0620020732</v>
      </c>
      <c r="B1414" t="str">
        <f t="shared" si="524"/>
        <v>EDWARD</v>
      </c>
      <c r="C1414" t="str">
        <f t="shared" si="525"/>
        <v>BENNETT</v>
      </c>
      <c r="D1414" t="str">
        <f t="shared" si="522"/>
        <v>09</v>
      </c>
      <c r="E1414" t="str">
        <f>"03 - A - 103 - Samantha J Headley"</f>
        <v>03 - A - 103 - Samantha J Headley</v>
      </c>
      <c r="F1414" t="str">
        <f>"MARINE SCI 1 HON"</f>
        <v>MARINE SCI 1 HON</v>
      </c>
      <c r="G1414" t="str">
        <f>"21-2134"</f>
        <v>21-2134</v>
      </c>
      <c r="H1414" t="str">
        <f>"A"</f>
        <v>A</v>
      </c>
    </row>
    <row r="1415" spans="1:8" x14ac:dyDescent="0.2">
      <c r="A1415" t="str">
        <f t="shared" si="523"/>
        <v>0620020732</v>
      </c>
      <c r="B1415" t="str">
        <f t="shared" si="524"/>
        <v>EDWARD</v>
      </c>
      <c r="C1415" t="str">
        <f t="shared" si="525"/>
        <v>BENNETT</v>
      </c>
      <c r="D1415" t="str">
        <f t="shared" si="522"/>
        <v>09</v>
      </c>
      <c r="E1415" t="str">
        <f>"02 - A - 109 - Krystal Marie  Beruty"</f>
        <v>02 - A - 109 - Krystal Marie  Beruty</v>
      </c>
      <c r="F1415" t="str">
        <f>"NC STUDY HALL 1"</f>
        <v>NC STUDY HALL 1</v>
      </c>
      <c r="G1415" t="str">
        <f>"17-1721"</f>
        <v>17-1721</v>
      </c>
      <c r="H1415" t="str">
        <f>"A"</f>
        <v>A</v>
      </c>
    </row>
    <row r="1416" spans="1:8" x14ac:dyDescent="0.2">
      <c r="A1416" t="str">
        <f t="shared" si="523"/>
        <v>0620020732</v>
      </c>
      <c r="B1416" t="str">
        <f t="shared" si="524"/>
        <v>EDWARD</v>
      </c>
      <c r="C1416" t="str">
        <f t="shared" si="525"/>
        <v>BENNETT</v>
      </c>
      <c r="D1416" t="str">
        <f t="shared" si="522"/>
        <v>09</v>
      </c>
      <c r="E1416" t="str">
        <f>"07 - B - 001 - Cheryl Anne  Berman-Schechter"</f>
        <v>07 - B - 001 - Cheryl Anne  Berman-Schechter</v>
      </c>
      <c r="F1416" t="str">
        <f>"AICE ENG GEN PAPER 1"</f>
        <v>AICE ENG GEN PAPER 1</v>
      </c>
      <c r="G1416" t="str">
        <f>"17-1722"</f>
        <v>17-1722</v>
      </c>
      <c r="H1416" t="str">
        <f>"B"</f>
        <v>B</v>
      </c>
    </row>
    <row r="1417" spans="1:8" x14ac:dyDescent="0.2">
      <c r="A1417" t="str">
        <f t="shared" si="523"/>
        <v>0620020732</v>
      </c>
      <c r="B1417" t="str">
        <f t="shared" si="524"/>
        <v>EDWARD</v>
      </c>
      <c r="C1417" t="str">
        <f t="shared" si="525"/>
        <v>BENNETT</v>
      </c>
      <c r="D1417" t="str">
        <f t="shared" si="522"/>
        <v>09</v>
      </c>
      <c r="E1417" t="str">
        <f>"05 - B - 104 - Joe  Kilpatrick Jr"</f>
        <v>05 - B - 104 - Joe  Kilpatrick Jr</v>
      </c>
      <c r="F1417" t="str">
        <f>"PRE-AICE SPAN 1 IG"</f>
        <v>PRE-AICE SPAN 1 IG</v>
      </c>
      <c r="G1417" t="str">
        <f>"09-912"</f>
        <v>09-912</v>
      </c>
      <c r="H1417" t="str">
        <f>"B"</f>
        <v>B</v>
      </c>
    </row>
    <row r="1418" spans="1:8" x14ac:dyDescent="0.2">
      <c r="A1418" t="str">
        <f t="shared" si="523"/>
        <v>0620020732</v>
      </c>
      <c r="B1418" t="str">
        <f t="shared" si="524"/>
        <v>EDWARD</v>
      </c>
      <c r="C1418" t="str">
        <f t="shared" si="525"/>
        <v>BENNETT</v>
      </c>
      <c r="D1418" t="str">
        <f t="shared" si="522"/>
        <v>09</v>
      </c>
      <c r="E1418" t="str">
        <f>"01 - A - 101 - Adam Marcus  Drucker"</f>
        <v>01 - A - 101 - Adam Marcus  Drucker</v>
      </c>
      <c r="F1418" t="str">
        <f>"HOPE-PE V"</f>
        <v>HOPE-PE V</v>
      </c>
      <c r="G1418" t="str">
        <f>"04-254"</f>
        <v>04-254</v>
      </c>
      <c r="H1418" t="str">
        <f>"A"</f>
        <v>A</v>
      </c>
    </row>
    <row r="1419" spans="1:8" x14ac:dyDescent="0.2">
      <c r="A1419" t="str">
        <f t="shared" si="523"/>
        <v>0620020732</v>
      </c>
      <c r="B1419" t="str">
        <f t="shared" si="524"/>
        <v>EDWARD</v>
      </c>
      <c r="C1419" t="str">
        <f t="shared" si="525"/>
        <v>BENNETT</v>
      </c>
      <c r="D1419" t="str">
        <f t="shared" si="522"/>
        <v>09</v>
      </c>
      <c r="E1419" t="str">
        <f>"08 - B - 109 - Rory T Sponsler"</f>
        <v>08 - B - 109 - Rory T Sponsler</v>
      </c>
      <c r="F1419" t="str">
        <f>"PRE-AICE WRLD HST IG"</f>
        <v>PRE-AICE WRLD HST IG</v>
      </c>
      <c r="G1419" t="str">
        <f>"17-1740"</f>
        <v>17-1740</v>
      </c>
      <c r="H1419" t="str">
        <f>"B"</f>
        <v>B</v>
      </c>
    </row>
    <row r="1420" spans="1:8" x14ac:dyDescent="0.2">
      <c r="A1420" t="str">
        <f t="shared" ref="A1420:A1427" si="526">"0615117036"</f>
        <v>0615117036</v>
      </c>
      <c r="B1420" t="str">
        <f t="shared" ref="B1420:B1427" si="527">"ZAREYHA"</f>
        <v>ZAREYHA</v>
      </c>
      <c r="C1420" t="str">
        <f t="shared" si="525"/>
        <v>BENNETT</v>
      </c>
      <c r="D1420">
        <f>11</f>
        <v>11</v>
      </c>
      <c r="E1420" t="str">
        <f>"04 - A - 103 - Joe  Kilpatrick Jr"</f>
        <v>04 - A - 103 - Joe  Kilpatrick Jr</v>
      </c>
      <c r="F1420" t="str">
        <f>"PRE-AICE SPAN 1 IG"</f>
        <v>PRE-AICE SPAN 1 IG</v>
      </c>
      <c r="G1420" t="str">
        <f>"09-912"</f>
        <v>09-912</v>
      </c>
      <c r="H1420" t="str">
        <f>"A"</f>
        <v>A</v>
      </c>
    </row>
    <row r="1421" spans="1:8" x14ac:dyDescent="0.2">
      <c r="A1421" t="str">
        <f t="shared" si="526"/>
        <v>0615117036</v>
      </c>
      <c r="B1421" t="str">
        <f t="shared" si="527"/>
        <v>ZAREYHA</v>
      </c>
      <c r="C1421" t="str">
        <f t="shared" si="525"/>
        <v>BENNETT</v>
      </c>
      <c r="D1421">
        <f>11</f>
        <v>11</v>
      </c>
      <c r="E1421" t="str">
        <f>"06 - B - 104 - Nahum  Saint-Preux"</f>
        <v>06 - B - 104 - Nahum  Saint-Preux</v>
      </c>
      <c r="F1421" t="str">
        <f>"INTENS READ 3"</f>
        <v>INTENS READ 3</v>
      </c>
      <c r="G1421" t="str">
        <f>"17-1712"</f>
        <v>17-1712</v>
      </c>
      <c r="H1421" t="str">
        <f>"B"</f>
        <v>B</v>
      </c>
    </row>
    <row r="1422" spans="1:8" x14ac:dyDescent="0.2">
      <c r="A1422" t="str">
        <f t="shared" si="526"/>
        <v>0615117036</v>
      </c>
      <c r="B1422" t="str">
        <f t="shared" si="527"/>
        <v>ZAREYHA</v>
      </c>
      <c r="C1422" t="str">
        <f t="shared" si="525"/>
        <v>BENNETT</v>
      </c>
      <c r="D1422">
        <f>11</f>
        <v>11</v>
      </c>
      <c r="E1422" t="str">
        <f>"03 - A - 104 - Kyle  Robbins"</f>
        <v>03 - A - 104 - Kyle  Robbins</v>
      </c>
      <c r="F1422" t="str">
        <f>"US HISTORY"</f>
        <v>US HISTORY</v>
      </c>
      <c r="G1422" t="str">
        <f>"17-1745"</f>
        <v>17-1745</v>
      </c>
      <c r="H1422" t="str">
        <f>"A"</f>
        <v>A</v>
      </c>
    </row>
    <row r="1423" spans="1:8" x14ac:dyDescent="0.2">
      <c r="A1423" t="str">
        <f t="shared" si="526"/>
        <v>0615117036</v>
      </c>
      <c r="B1423" t="str">
        <f t="shared" si="527"/>
        <v>ZAREYHA</v>
      </c>
      <c r="C1423" t="str">
        <f t="shared" si="525"/>
        <v>BENNETT</v>
      </c>
      <c r="D1423">
        <f>11</f>
        <v>11</v>
      </c>
      <c r="E1423" t="str">
        <f>"02 - A - 112 - Brandy N Zdenek"</f>
        <v>02 - A - 112 - Brandy N Zdenek</v>
      </c>
      <c r="F1423" t="str">
        <f>"NC STUDY HALL 1"</f>
        <v>NC STUDY HALL 1</v>
      </c>
      <c r="G1423" t="str">
        <f>"17-1704"</f>
        <v>17-1704</v>
      </c>
      <c r="H1423" t="str">
        <f>"A"</f>
        <v>A</v>
      </c>
    </row>
    <row r="1424" spans="1:8" x14ac:dyDescent="0.2">
      <c r="A1424" t="str">
        <f t="shared" si="526"/>
        <v>0615117036</v>
      </c>
      <c r="B1424" t="str">
        <f t="shared" si="527"/>
        <v>ZAREYHA</v>
      </c>
      <c r="C1424" t="str">
        <f t="shared" si="525"/>
        <v>BENNETT</v>
      </c>
      <c r="D1424">
        <f>11</f>
        <v>11</v>
      </c>
      <c r="E1424" t="str">
        <f>"07 - B - 104 - Marielle A Witting"</f>
        <v>07 - B - 104 - Marielle A Witting</v>
      </c>
      <c r="F1424" t="str">
        <f>"ANAT PHYSIO"</f>
        <v>ANAT PHYSIO</v>
      </c>
      <c r="G1424" t="str">
        <f>"08-805"</f>
        <v>08-805</v>
      </c>
      <c r="H1424" t="str">
        <f>"B"</f>
        <v>B</v>
      </c>
    </row>
    <row r="1425" spans="1:8" x14ac:dyDescent="0.2">
      <c r="A1425" t="str">
        <f t="shared" si="526"/>
        <v>0615117036</v>
      </c>
      <c r="B1425" t="str">
        <f t="shared" si="527"/>
        <v>ZAREYHA</v>
      </c>
      <c r="C1425" t="str">
        <f t="shared" si="525"/>
        <v>BENNETT</v>
      </c>
      <c r="D1425">
        <f>11</f>
        <v>11</v>
      </c>
      <c r="E1425" t="str">
        <f>"05 - B - 104 - Lisa  Quinn"</f>
        <v>05 - B - 104 - Lisa  Quinn</v>
      </c>
      <c r="F1425" t="str">
        <f>"ENG 3"</f>
        <v>ENG 3</v>
      </c>
      <c r="G1425" t="str">
        <f>"17-1725"</f>
        <v>17-1725</v>
      </c>
      <c r="H1425" t="str">
        <f>"B"</f>
        <v>B</v>
      </c>
    </row>
    <row r="1426" spans="1:8" x14ac:dyDescent="0.2">
      <c r="A1426" t="str">
        <f t="shared" si="526"/>
        <v>0615117036</v>
      </c>
      <c r="B1426" t="str">
        <f t="shared" si="527"/>
        <v>ZAREYHA</v>
      </c>
      <c r="C1426" t="str">
        <f t="shared" si="525"/>
        <v>BENNETT</v>
      </c>
      <c r="D1426">
        <f>11</f>
        <v>11</v>
      </c>
      <c r="E1426" t="str">
        <f>"01 - A - 101 - Ferrie J Arostique"</f>
        <v>01 - A - 101 - Ferrie J Arostique</v>
      </c>
      <c r="F1426" t="str">
        <f>"GEOMETRY"</f>
        <v>GEOMETRY</v>
      </c>
      <c r="G1426" t="str">
        <f>"21-2139"</f>
        <v>21-2139</v>
      </c>
      <c r="H1426" t="str">
        <f>"A"</f>
        <v>A</v>
      </c>
    </row>
    <row r="1427" spans="1:8" x14ac:dyDescent="0.2">
      <c r="A1427" t="str">
        <f t="shared" si="526"/>
        <v>0615117036</v>
      </c>
      <c r="B1427" t="str">
        <f t="shared" si="527"/>
        <v>ZAREYHA</v>
      </c>
      <c r="C1427" t="str">
        <f t="shared" si="525"/>
        <v>BENNETT</v>
      </c>
      <c r="D1427">
        <f>11</f>
        <v>11</v>
      </c>
      <c r="E1427" t="str">
        <f>"08 - B - 105 - Daniel S Tyson"</f>
        <v>08 - B - 105 - Daniel S Tyson</v>
      </c>
      <c r="F1427" t="str">
        <f>"JROTC NAVAL SCI 1"</f>
        <v>JROTC NAVAL SCI 1</v>
      </c>
      <c r="G1427" t="str">
        <f>"05-510"</f>
        <v>05-510</v>
      </c>
      <c r="H1427" t="str">
        <f>"B"</f>
        <v>B</v>
      </c>
    </row>
    <row r="1428" spans="1:8" x14ac:dyDescent="0.2">
      <c r="A1428" t="str">
        <f t="shared" ref="A1428:A1435" si="528">"0616024415"</f>
        <v>0616024415</v>
      </c>
      <c r="B1428" t="str">
        <f t="shared" ref="B1428:B1435" si="529">"CHAHED"</f>
        <v>CHAHED</v>
      </c>
      <c r="C1428" t="str">
        <f t="shared" ref="C1428:C1435" si="530">"BEN SASSI"</f>
        <v>BEN SASSI</v>
      </c>
      <c r="D1428">
        <f>10</f>
        <v>10</v>
      </c>
      <c r="E1428" t="str">
        <f>"04 - A - 105 - Jacklyn M James"</f>
        <v>04 - A - 105 - Jacklyn M James</v>
      </c>
      <c r="F1428" t="str">
        <f>"AICE ENG LANG AS"</f>
        <v>AICE ENG LANG AS</v>
      </c>
      <c r="G1428" t="str">
        <f>"17-1731"</f>
        <v>17-1731</v>
      </c>
      <c r="H1428" t="str">
        <f>"A"</f>
        <v>A</v>
      </c>
    </row>
    <row r="1429" spans="1:8" x14ac:dyDescent="0.2">
      <c r="A1429" t="str">
        <f t="shared" si="528"/>
        <v>0616024415</v>
      </c>
      <c r="B1429" t="str">
        <f t="shared" si="529"/>
        <v>CHAHED</v>
      </c>
      <c r="C1429" t="str">
        <f t="shared" si="530"/>
        <v>BEN SASSI</v>
      </c>
      <c r="D1429">
        <f>10</f>
        <v>10</v>
      </c>
      <c r="E1429" t="str">
        <f>"06 - B - 104 - Robert H Rindner"</f>
        <v>06 - B - 104 - Robert H Rindner</v>
      </c>
      <c r="F1429" t="str">
        <f>"NC STUDY HALL 1"</f>
        <v>NC STUDY HALL 1</v>
      </c>
      <c r="G1429" t="str">
        <f>"21-2160"</f>
        <v>21-2160</v>
      </c>
      <c r="H1429" t="str">
        <f>"B"</f>
        <v>B</v>
      </c>
    </row>
    <row r="1430" spans="1:8" x14ac:dyDescent="0.2">
      <c r="A1430" t="str">
        <f t="shared" si="528"/>
        <v>0616024415</v>
      </c>
      <c r="B1430" t="str">
        <f t="shared" si="529"/>
        <v>CHAHED</v>
      </c>
      <c r="C1430" t="str">
        <f t="shared" si="530"/>
        <v>BEN SASSI</v>
      </c>
      <c r="D1430">
        <f>10</f>
        <v>10</v>
      </c>
      <c r="E1430" t="str">
        <f>"03 - A - 101 - Brian M Fitzgerald"</f>
        <v>03 - A - 101 - Brian M Fitzgerald</v>
      </c>
      <c r="F1430" t="str">
        <f>"SCULPT 1"</f>
        <v>SCULPT 1</v>
      </c>
      <c r="G1430" t="str">
        <f>"09-908"</f>
        <v>09-908</v>
      </c>
      <c r="H1430" t="str">
        <f>"A"</f>
        <v>A</v>
      </c>
    </row>
    <row r="1431" spans="1:8" x14ac:dyDescent="0.2">
      <c r="A1431" t="str">
        <f t="shared" si="528"/>
        <v>0616024415</v>
      </c>
      <c r="B1431" t="str">
        <f t="shared" si="529"/>
        <v>CHAHED</v>
      </c>
      <c r="C1431" t="str">
        <f t="shared" si="530"/>
        <v>BEN SASSI</v>
      </c>
      <c r="D1431">
        <f>10</f>
        <v>10</v>
      </c>
      <c r="E1431" t="str">
        <f>"02 - A - 104 - Scott A Dethloff"</f>
        <v>02 - A - 104 - Scott A Dethloff</v>
      </c>
      <c r="F1431" t="str">
        <f>"CHEMISTRY 1 HON"</f>
        <v>CHEMISTRY 1 HON</v>
      </c>
      <c r="G1431" t="str">
        <f>"08-812"</f>
        <v>08-812</v>
      </c>
      <c r="H1431" t="str">
        <f>"A"</f>
        <v>A</v>
      </c>
    </row>
    <row r="1432" spans="1:8" x14ac:dyDescent="0.2">
      <c r="A1432" t="str">
        <f t="shared" si="528"/>
        <v>0616024415</v>
      </c>
      <c r="B1432" t="str">
        <f t="shared" si="529"/>
        <v>CHAHED</v>
      </c>
      <c r="C1432" t="str">
        <f t="shared" si="530"/>
        <v>BEN SASSI</v>
      </c>
      <c r="D1432">
        <f>10</f>
        <v>10</v>
      </c>
      <c r="E1432" t="str">
        <f>"07 - B - 207 - Krystal Marie  Beruty"</f>
        <v>07 - B - 207 - Krystal Marie  Beruty</v>
      </c>
      <c r="F1432" t="str">
        <f>"AICE GLBL PERSP 1 AS"</f>
        <v>AICE GLBL PERSP 1 AS</v>
      </c>
      <c r="G1432" t="str">
        <f>"17-1721"</f>
        <v>17-1721</v>
      </c>
      <c r="H1432" t="str">
        <f>"B"</f>
        <v>B</v>
      </c>
    </row>
    <row r="1433" spans="1:8" x14ac:dyDescent="0.2">
      <c r="A1433" t="str">
        <f t="shared" si="528"/>
        <v>0616024415</v>
      </c>
      <c r="B1433" t="str">
        <f t="shared" si="529"/>
        <v>CHAHED</v>
      </c>
      <c r="C1433" t="str">
        <f t="shared" si="530"/>
        <v>BEN SASSI</v>
      </c>
      <c r="D1433">
        <f>10</f>
        <v>10</v>
      </c>
      <c r="E1433" t="str">
        <f>"05 - B - 204 - Cheryl L Beach"</f>
        <v>05 - B - 204 - Cheryl L Beach</v>
      </c>
      <c r="F1433" t="str">
        <f>"AICE ENV MGMNT AS"</f>
        <v>AICE ENV MGMNT AS</v>
      </c>
      <c r="G1433" t="str">
        <f>"08-811"</f>
        <v>08-811</v>
      </c>
      <c r="H1433" t="str">
        <f>"B"</f>
        <v>B</v>
      </c>
    </row>
    <row r="1434" spans="1:8" x14ac:dyDescent="0.2">
      <c r="A1434" t="str">
        <f t="shared" si="528"/>
        <v>0616024415</v>
      </c>
      <c r="B1434" t="str">
        <f t="shared" si="529"/>
        <v>CHAHED</v>
      </c>
      <c r="C1434" t="str">
        <f t="shared" si="530"/>
        <v>BEN SASSI</v>
      </c>
      <c r="D1434">
        <f>10</f>
        <v>10</v>
      </c>
      <c r="E1434" t="str">
        <f>"01 - A - 101 - Lourivaldo  Da Silva"</f>
        <v>01 - A - 101 - Lourivaldo  Da Silva</v>
      </c>
      <c r="F1434" t="str">
        <f>"ALGEBRA 2 HON"</f>
        <v>ALGEBRA 2 HON</v>
      </c>
      <c r="G1434" t="str">
        <f>"20-2079"</f>
        <v>20-2079</v>
      </c>
      <c r="H1434" t="str">
        <f>"A"</f>
        <v>A</v>
      </c>
    </row>
    <row r="1435" spans="1:8" x14ac:dyDescent="0.2">
      <c r="A1435" t="str">
        <f t="shared" si="528"/>
        <v>0616024415</v>
      </c>
      <c r="B1435" t="str">
        <f t="shared" si="529"/>
        <v>CHAHED</v>
      </c>
      <c r="C1435" t="str">
        <f t="shared" si="530"/>
        <v>BEN SASSI</v>
      </c>
      <c r="D1435">
        <f>10</f>
        <v>10</v>
      </c>
      <c r="E1435" t="str">
        <f>"08 - B - 201 - Lenecy  Nodarse"</f>
        <v>08 - B - 201 - Lenecy  Nodarse</v>
      </c>
      <c r="F1435" t="str">
        <f>"AICE EURO HIST 1 AS"</f>
        <v>AICE EURO HIST 1 AS</v>
      </c>
      <c r="G1435" t="str">
        <f>"17-1741"</f>
        <v>17-1741</v>
      </c>
      <c r="H1435" t="str">
        <f>"B"</f>
        <v>B</v>
      </c>
    </row>
    <row r="1436" spans="1:8" x14ac:dyDescent="0.2">
      <c r="A1436" t="str">
        <f t="shared" ref="A1436:A1443" si="531">"0614088872"</f>
        <v>0614088872</v>
      </c>
      <c r="B1436" t="str">
        <f t="shared" ref="B1436:B1443" si="532">"JACK"</f>
        <v>JACK</v>
      </c>
      <c r="C1436" t="str">
        <f t="shared" ref="C1436:C1443" si="533">"BENSON"</f>
        <v>BENSON</v>
      </c>
      <c r="D1436">
        <f>11</f>
        <v>11</v>
      </c>
      <c r="E1436" t="str">
        <f>"04 - A - 102 - Lisa J London"</f>
        <v>04 - A - 102 - Lisa J London</v>
      </c>
      <c r="F1436" t="str">
        <f>"AP CAPSTONE SEMINAR"</f>
        <v>AP CAPSTONE SEMINAR</v>
      </c>
      <c r="G1436" t="str">
        <f>"17-1714"</f>
        <v>17-1714</v>
      </c>
      <c r="H1436" t="str">
        <f>"A"</f>
        <v>A</v>
      </c>
    </row>
    <row r="1437" spans="1:8" x14ac:dyDescent="0.2">
      <c r="A1437" t="str">
        <f t="shared" si="531"/>
        <v>0614088872</v>
      </c>
      <c r="B1437" t="str">
        <f t="shared" si="532"/>
        <v>JACK</v>
      </c>
      <c r="C1437" t="str">
        <f t="shared" si="533"/>
        <v>BENSON</v>
      </c>
      <c r="D1437">
        <f>11</f>
        <v>11</v>
      </c>
      <c r="E1437" t="str">
        <f>"06 - B - 104 - Chrystina M Marchionne"</f>
        <v>06 - B - 104 - Chrystina M Marchionne</v>
      </c>
      <c r="F1437" t="str">
        <f>"AICE MEDIA STUDIES A"</f>
        <v>AICE MEDIA STUDIES A</v>
      </c>
      <c r="G1437" t="str">
        <f>"05-520"</f>
        <v>05-520</v>
      </c>
      <c r="H1437" t="str">
        <f>"B"</f>
        <v>B</v>
      </c>
    </row>
    <row r="1438" spans="1:8" x14ac:dyDescent="0.2">
      <c r="A1438" t="str">
        <f t="shared" si="531"/>
        <v>0614088872</v>
      </c>
      <c r="B1438" t="str">
        <f t="shared" si="532"/>
        <v>JACK</v>
      </c>
      <c r="C1438" t="str">
        <f t="shared" si="533"/>
        <v>BENSON</v>
      </c>
      <c r="D1438">
        <f>11</f>
        <v>11</v>
      </c>
      <c r="E1438" t="str">
        <f>"03 - A - 202 - Jeanne M Bermudez"</f>
        <v>03 - A - 202 - Jeanne M Bermudez</v>
      </c>
      <c r="F1438" t="str">
        <f>"PHYSICS 1 HON"</f>
        <v>PHYSICS 1 HON</v>
      </c>
      <c r="G1438" t="str">
        <f>"21-2141"</f>
        <v>21-2141</v>
      </c>
      <c r="H1438" t="str">
        <f>"A"</f>
        <v>A</v>
      </c>
    </row>
    <row r="1439" spans="1:8" x14ac:dyDescent="0.2">
      <c r="A1439" t="str">
        <f t="shared" si="531"/>
        <v>0614088872</v>
      </c>
      <c r="B1439" t="str">
        <f t="shared" si="532"/>
        <v>JACK</v>
      </c>
      <c r="C1439" t="str">
        <f t="shared" si="533"/>
        <v>BENSON</v>
      </c>
      <c r="D1439">
        <f>11</f>
        <v>11</v>
      </c>
      <c r="E1439" t="str">
        <f>"02 - A - 101 - Timothy J Lawrence"</f>
        <v>02 - A - 101 - Timothy J Lawrence</v>
      </c>
      <c r="F1439" t="str">
        <f>"NC STUDY HALL 1"</f>
        <v>NC STUDY HALL 1</v>
      </c>
      <c r="G1439" t="str">
        <f>"05-522"</f>
        <v>05-522</v>
      </c>
      <c r="H1439" t="str">
        <f>"A"</f>
        <v>A</v>
      </c>
    </row>
    <row r="1440" spans="1:8" x14ac:dyDescent="0.2">
      <c r="A1440" t="str">
        <f t="shared" si="531"/>
        <v>0614088872</v>
      </c>
      <c r="B1440" t="str">
        <f t="shared" si="532"/>
        <v>JACK</v>
      </c>
      <c r="C1440" t="str">
        <f t="shared" si="533"/>
        <v>BENSON</v>
      </c>
      <c r="D1440">
        <f>11</f>
        <v>11</v>
      </c>
      <c r="E1440" t="str">
        <f>"07 - B - 104 - Jerry S Jiampetti"</f>
        <v>07 - B - 104 - Jerry S Jiampetti</v>
      </c>
      <c r="F1440" t="str">
        <f>"AICE U.S. HIST 1 AS"</f>
        <v>AICE U.S. HIST 1 AS</v>
      </c>
      <c r="G1440" t="str">
        <f>"17-1751"</f>
        <v>17-1751</v>
      </c>
      <c r="H1440" t="str">
        <f>"B"</f>
        <v>B</v>
      </c>
    </row>
    <row r="1441" spans="1:8" x14ac:dyDescent="0.2">
      <c r="A1441" t="str">
        <f t="shared" si="531"/>
        <v>0614088872</v>
      </c>
      <c r="B1441" t="str">
        <f t="shared" si="532"/>
        <v>JACK</v>
      </c>
      <c r="C1441" t="str">
        <f t="shared" si="533"/>
        <v>BENSON</v>
      </c>
      <c r="D1441">
        <f>11</f>
        <v>11</v>
      </c>
      <c r="E1441" t="str">
        <f>"05 - B - 104 - Lourivaldo  Da Silva"</f>
        <v>05 - B - 104 - Lourivaldo  Da Silva</v>
      </c>
      <c r="F1441" t="str">
        <f>"PRE-CALCULUS HON"</f>
        <v>PRE-CALCULUS HON</v>
      </c>
      <c r="G1441" t="str">
        <f>"20-2079"</f>
        <v>20-2079</v>
      </c>
      <c r="H1441" t="str">
        <f>"B"</f>
        <v>B</v>
      </c>
    </row>
    <row r="1442" spans="1:8" x14ac:dyDescent="0.2">
      <c r="A1442" t="str">
        <f t="shared" si="531"/>
        <v>0614088872</v>
      </c>
      <c r="B1442" t="str">
        <f t="shared" si="532"/>
        <v>JACK</v>
      </c>
      <c r="C1442" t="str">
        <f t="shared" si="533"/>
        <v>BENSON</v>
      </c>
      <c r="D1442">
        <f>11</f>
        <v>11</v>
      </c>
      <c r="E1442" t="str">
        <f>"01 - A - 101 - Kelly N Panza"</f>
        <v>01 - A - 101 - Kelly N Panza</v>
      </c>
      <c r="F1442" t="str">
        <f>"AP HUMAN GEOG"</f>
        <v>AP HUMAN GEOG</v>
      </c>
      <c r="G1442" t="str">
        <f>"17-1753"</f>
        <v>17-1753</v>
      </c>
      <c r="H1442" t="str">
        <f>"A"</f>
        <v>A</v>
      </c>
    </row>
    <row r="1443" spans="1:8" x14ac:dyDescent="0.2">
      <c r="A1443" t="str">
        <f t="shared" si="531"/>
        <v>0614088872</v>
      </c>
      <c r="B1443" t="str">
        <f t="shared" si="532"/>
        <v>JACK</v>
      </c>
      <c r="C1443" t="str">
        <f t="shared" si="533"/>
        <v>BENSON</v>
      </c>
      <c r="D1443">
        <f>11</f>
        <v>11</v>
      </c>
      <c r="E1443" t="str">
        <f>"08 - B - 105 - Brandy N Zdenek"</f>
        <v>08 - B - 105 - Brandy N Zdenek</v>
      </c>
      <c r="F1443" t="str">
        <f>"AICE ENG LANG 2 AL"</f>
        <v>AICE ENG LANG 2 AL</v>
      </c>
      <c r="G1443" t="str">
        <f>"17-1704"</f>
        <v>17-1704</v>
      </c>
      <c r="H1443" t="str">
        <f>"B"</f>
        <v>B</v>
      </c>
    </row>
    <row r="1444" spans="1:8" x14ac:dyDescent="0.2">
      <c r="A1444" t="str">
        <f t="shared" ref="A1444:A1451" si="534">"0617034950"</f>
        <v>0617034950</v>
      </c>
      <c r="B1444" t="str">
        <f t="shared" ref="B1444:B1451" si="535">"AARON"</f>
        <v>AARON</v>
      </c>
      <c r="C1444" t="str">
        <f t="shared" ref="C1444:C1451" si="536">"BENT"</f>
        <v>BENT</v>
      </c>
      <c r="D1444" t="str">
        <f t="shared" ref="D1444:D1451" si="537">"09"</f>
        <v>09</v>
      </c>
      <c r="E1444" t="str">
        <f>"04 - A - 102 - Elizabeth R Walker"</f>
        <v>04 - A - 102 - Elizabeth R Walker</v>
      </c>
      <c r="F1444" t="str">
        <f>"AICE ENG GEN PAPER 1"</f>
        <v>AICE ENG GEN PAPER 1</v>
      </c>
      <c r="G1444" t="str">
        <f>"17-1703"</f>
        <v>17-1703</v>
      </c>
      <c r="H1444" t="str">
        <f>"A"</f>
        <v>A</v>
      </c>
    </row>
    <row r="1445" spans="1:8" x14ac:dyDescent="0.2">
      <c r="A1445" t="str">
        <f t="shared" si="534"/>
        <v>0617034950</v>
      </c>
      <c r="B1445" t="str">
        <f t="shared" si="535"/>
        <v>AARON</v>
      </c>
      <c r="C1445" t="str">
        <f t="shared" si="536"/>
        <v>BENT</v>
      </c>
      <c r="D1445" t="str">
        <f t="shared" si="537"/>
        <v>09</v>
      </c>
      <c r="E1445" t="str">
        <f>"06 - B - 104 - Eva T Rimmer"</f>
        <v>06 - B - 104 - Eva T Rimmer</v>
      </c>
      <c r="F1445" t="str">
        <f>"CRIMINAL JUST OPS 1"</f>
        <v>CRIMINAL JUST OPS 1</v>
      </c>
      <c r="G1445" t="str">
        <f>"05-523"</f>
        <v>05-523</v>
      </c>
      <c r="H1445" t="str">
        <f>"B"</f>
        <v>B</v>
      </c>
    </row>
    <row r="1446" spans="1:8" x14ac:dyDescent="0.2">
      <c r="A1446" t="str">
        <f t="shared" si="534"/>
        <v>0617034950</v>
      </c>
      <c r="B1446" t="str">
        <f t="shared" si="535"/>
        <v>AARON</v>
      </c>
      <c r="C1446" t="str">
        <f t="shared" si="536"/>
        <v>BENT</v>
      </c>
      <c r="D1446" t="str">
        <f t="shared" si="537"/>
        <v>09</v>
      </c>
      <c r="E1446" t="str">
        <f>"03 - A - 102 - Rory T Sponsler"</f>
        <v>03 - A - 102 - Rory T Sponsler</v>
      </c>
      <c r="F1446" t="str">
        <f>"PRE-AICE WRLD HST IG"</f>
        <v>PRE-AICE WRLD HST IG</v>
      </c>
      <c r="G1446" t="str">
        <f>"17-1740"</f>
        <v>17-1740</v>
      </c>
      <c r="H1446" t="str">
        <f>"A"</f>
        <v>A</v>
      </c>
    </row>
    <row r="1447" spans="1:8" x14ac:dyDescent="0.2">
      <c r="A1447" t="str">
        <f t="shared" si="534"/>
        <v>0617034950</v>
      </c>
      <c r="B1447" t="str">
        <f t="shared" si="535"/>
        <v>AARON</v>
      </c>
      <c r="C1447" t="str">
        <f t="shared" si="536"/>
        <v>BENT</v>
      </c>
      <c r="D1447" t="str">
        <f t="shared" si="537"/>
        <v>09</v>
      </c>
      <c r="E1447" t="str">
        <f>"02 - A - 103 - Arthur  Kulawik"</f>
        <v>02 - A - 103 - Arthur  Kulawik</v>
      </c>
      <c r="F1447" t="str">
        <f>"NC STUDY HALL 1"</f>
        <v>NC STUDY HALL 1</v>
      </c>
      <c r="G1447" t="str">
        <f>"05-506"</f>
        <v>05-506</v>
      </c>
      <c r="H1447" t="str">
        <f>"A"</f>
        <v>A</v>
      </c>
    </row>
    <row r="1448" spans="1:8" x14ac:dyDescent="0.2">
      <c r="A1448" t="str">
        <f t="shared" si="534"/>
        <v>0617034950</v>
      </c>
      <c r="B1448" t="str">
        <f t="shared" si="535"/>
        <v>AARON</v>
      </c>
      <c r="C1448" t="str">
        <f t="shared" si="536"/>
        <v>BENT</v>
      </c>
      <c r="D1448" t="str">
        <f t="shared" si="537"/>
        <v>09</v>
      </c>
      <c r="E1448" t="str">
        <f>"07 - B - 105 - Josiah I Lacy"</f>
        <v>07 - B - 105 - Josiah I Lacy</v>
      </c>
      <c r="F1448" t="str">
        <f>"ANAT PHYSIO HON"</f>
        <v>ANAT PHYSIO HON</v>
      </c>
      <c r="G1448" t="str">
        <f>"08-801"</f>
        <v>08-801</v>
      </c>
      <c r="H1448" t="str">
        <f>"B"</f>
        <v>B</v>
      </c>
    </row>
    <row r="1449" spans="1:8" x14ac:dyDescent="0.2">
      <c r="A1449" t="str">
        <f t="shared" si="534"/>
        <v>0617034950</v>
      </c>
      <c r="B1449" t="str">
        <f t="shared" si="535"/>
        <v>AARON</v>
      </c>
      <c r="C1449" t="str">
        <f t="shared" si="536"/>
        <v>BENT</v>
      </c>
      <c r="D1449" t="str">
        <f t="shared" si="537"/>
        <v>09</v>
      </c>
      <c r="E1449" t="str">
        <f>"05 - B - 205 - Rosa Elaine  Collado-Duff"</f>
        <v>05 - B - 205 - Rosa Elaine  Collado-Duff</v>
      </c>
      <c r="F1449" t="str">
        <f>"PRE-AICE SPAN 2 IG"</f>
        <v>PRE-AICE SPAN 2 IG</v>
      </c>
      <c r="G1449" t="str">
        <f>"09-913"</f>
        <v>09-913</v>
      </c>
      <c r="H1449" t="str">
        <f>"B"</f>
        <v>B</v>
      </c>
    </row>
    <row r="1450" spans="1:8" x14ac:dyDescent="0.2">
      <c r="A1450" t="str">
        <f t="shared" si="534"/>
        <v>0617034950</v>
      </c>
      <c r="B1450" t="str">
        <f t="shared" si="535"/>
        <v>AARON</v>
      </c>
      <c r="C1450" t="str">
        <f t="shared" si="536"/>
        <v>BENT</v>
      </c>
      <c r="D1450" t="str">
        <f t="shared" si="537"/>
        <v>09</v>
      </c>
      <c r="E1450" t="str">
        <f>"01 - A - 101 - Maried P Ramos"</f>
        <v>01 - A - 101 - Maried P Ramos</v>
      </c>
      <c r="F1450" t="str">
        <f>"ALGEBRA 2 HON"</f>
        <v>ALGEBRA 2 HON</v>
      </c>
      <c r="G1450" t="str">
        <f>"21-2159"</f>
        <v>21-2159</v>
      </c>
      <c r="H1450" t="str">
        <f>"A"</f>
        <v>A</v>
      </c>
    </row>
    <row r="1451" spans="1:8" x14ac:dyDescent="0.2">
      <c r="A1451" t="str">
        <f t="shared" si="534"/>
        <v>0617034950</v>
      </c>
      <c r="B1451" t="str">
        <f t="shared" si="535"/>
        <v>AARON</v>
      </c>
      <c r="C1451" t="str">
        <f t="shared" si="536"/>
        <v>BENT</v>
      </c>
      <c r="D1451" t="str">
        <f t="shared" si="537"/>
        <v>09</v>
      </c>
      <c r="E1451" t="str">
        <f>"08 - S1 - B - 001 - Carol S Moore"</f>
        <v>08 - S1 - B - 001 - Carol S Moore</v>
      </c>
      <c r="F1451" t="str">
        <f>"PER CAR SCH DEV 1 LH"</f>
        <v>PER CAR SCH DEV 1 LH</v>
      </c>
      <c r="G1451" t="str">
        <f>"17-1733"</f>
        <v>17-1733</v>
      </c>
      <c r="H1451" t="str">
        <f>"B"</f>
        <v>B</v>
      </c>
    </row>
    <row r="1452" spans="1:8" x14ac:dyDescent="0.2">
      <c r="A1452" t="str">
        <f t="shared" ref="A1452:A1459" si="538">"0624061635"</f>
        <v>0624061635</v>
      </c>
      <c r="B1452" t="str">
        <f t="shared" ref="B1452:B1459" si="539">"ANNA"</f>
        <v>ANNA</v>
      </c>
      <c r="C1452" t="str">
        <f t="shared" ref="C1452:C1459" si="540">"BERNAL"</f>
        <v>BERNAL</v>
      </c>
      <c r="D1452">
        <f>11</f>
        <v>11</v>
      </c>
      <c r="E1452" t="str">
        <f>"04 - A - 103 - Lisa  Quinn"</f>
        <v>04 - A - 103 - Lisa  Quinn</v>
      </c>
      <c r="F1452" t="str">
        <f>"ENG 3"</f>
        <v>ENG 3</v>
      </c>
      <c r="G1452" t="str">
        <f>"17-1725"</f>
        <v>17-1725</v>
      </c>
      <c r="H1452" t="str">
        <f>"A"</f>
        <v>A</v>
      </c>
    </row>
    <row r="1453" spans="1:8" x14ac:dyDescent="0.2">
      <c r="A1453" t="str">
        <f t="shared" si="538"/>
        <v>0624061635</v>
      </c>
      <c r="B1453" t="str">
        <f t="shared" si="539"/>
        <v>ANNA</v>
      </c>
      <c r="C1453" t="str">
        <f t="shared" si="540"/>
        <v>BERNAL</v>
      </c>
      <c r="D1453">
        <f>11</f>
        <v>11</v>
      </c>
      <c r="E1453" t="str">
        <f>"06 - B - 108 - Milca  Exantus"</f>
        <v>06 - B - 108 - Milca  Exantus</v>
      </c>
      <c r="F1453" t="str">
        <f>"MATH COLLEGE LIB ART"</f>
        <v>MATH COLLEGE LIB ART</v>
      </c>
      <c r="G1453" t="str">
        <f>"21-2145"</f>
        <v>21-2145</v>
      </c>
      <c r="H1453" t="str">
        <f>"B"</f>
        <v>B</v>
      </c>
    </row>
    <row r="1454" spans="1:8" x14ac:dyDescent="0.2">
      <c r="A1454" t="str">
        <f t="shared" si="538"/>
        <v>0624061635</v>
      </c>
      <c r="B1454" t="str">
        <f t="shared" si="539"/>
        <v>ANNA</v>
      </c>
      <c r="C1454" t="str">
        <f t="shared" si="540"/>
        <v>BERNAL</v>
      </c>
      <c r="D1454">
        <f>11</f>
        <v>11</v>
      </c>
      <c r="E1454" t="str">
        <f>"03 - A - 103 - Jazmin S Fletcher"</f>
        <v>03 - A - 103 - Jazmin S Fletcher</v>
      </c>
      <c r="F1454" t="str">
        <f>"THEATRE 2"</f>
        <v>THEATRE 2</v>
      </c>
      <c r="G1454" t="str">
        <f>"09-909"</f>
        <v>09-909</v>
      </c>
      <c r="H1454" t="str">
        <f>"A"</f>
        <v>A</v>
      </c>
    </row>
    <row r="1455" spans="1:8" x14ac:dyDescent="0.2">
      <c r="A1455" t="str">
        <f t="shared" si="538"/>
        <v>0624061635</v>
      </c>
      <c r="B1455" t="str">
        <f t="shared" si="539"/>
        <v>ANNA</v>
      </c>
      <c r="C1455" t="str">
        <f t="shared" si="540"/>
        <v>BERNAL</v>
      </c>
      <c r="D1455">
        <f>11</f>
        <v>11</v>
      </c>
      <c r="E1455" t="str">
        <f>"02 - A - 001 - Courtney E Hambright"</f>
        <v>02 - A - 001 - Courtney E Hambright</v>
      </c>
      <c r="F1455" t="str">
        <f>"NC STUDY HALL 1"</f>
        <v>NC STUDY HALL 1</v>
      </c>
      <c r="G1455" t="str">
        <f>"17-1711"</f>
        <v>17-1711</v>
      </c>
      <c r="H1455" t="str">
        <f>"A"</f>
        <v>A</v>
      </c>
    </row>
    <row r="1456" spans="1:8" x14ac:dyDescent="0.2">
      <c r="A1456" t="str">
        <f t="shared" si="538"/>
        <v>0624061635</v>
      </c>
      <c r="B1456" t="str">
        <f t="shared" si="539"/>
        <v>ANNA</v>
      </c>
      <c r="C1456" t="str">
        <f t="shared" si="540"/>
        <v>BERNAL</v>
      </c>
      <c r="D1456">
        <f>11</f>
        <v>11</v>
      </c>
      <c r="E1456" t="str">
        <f>"07 - S1 - B - 103 - Leslie J Barton"</f>
        <v>07 - S1 - B - 103 - Leslie J Barton</v>
      </c>
      <c r="F1456" t="str">
        <f>"TEAM SPORTS 1"</f>
        <v>TEAM SPORTS 1</v>
      </c>
      <c r="G1456" t="str">
        <f>"04-254"</f>
        <v>04-254</v>
      </c>
      <c r="H1456" t="str">
        <f>"B"</f>
        <v>B</v>
      </c>
    </row>
    <row r="1457" spans="1:8" x14ac:dyDescent="0.2">
      <c r="A1457" t="str">
        <f t="shared" si="538"/>
        <v>0624061635</v>
      </c>
      <c r="B1457" t="str">
        <f t="shared" si="539"/>
        <v>ANNA</v>
      </c>
      <c r="C1457" t="str">
        <f t="shared" si="540"/>
        <v>BERNAL</v>
      </c>
      <c r="D1457">
        <f>11</f>
        <v>11</v>
      </c>
      <c r="E1457" t="str">
        <f>"05 - B - 204 - Cliffon  Saurel"</f>
        <v>05 - B - 204 - Cliffon  Saurel</v>
      </c>
      <c r="F1457" t="str">
        <f>"PHYSICAL SCI"</f>
        <v>PHYSICAL SCI</v>
      </c>
      <c r="G1457" t="str">
        <f>"05-522"</f>
        <v>05-522</v>
      </c>
      <c r="H1457" t="str">
        <f>"B"</f>
        <v>B</v>
      </c>
    </row>
    <row r="1458" spans="1:8" x14ac:dyDescent="0.2">
      <c r="A1458" t="str">
        <f t="shared" si="538"/>
        <v>0624061635</v>
      </c>
      <c r="B1458" t="str">
        <f t="shared" si="539"/>
        <v>ANNA</v>
      </c>
      <c r="C1458" t="str">
        <f t="shared" si="540"/>
        <v>BERNAL</v>
      </c>
      <c r="D1458">
        <f>11</f>
        <v>11</v>
      </c>
      <c r="E1458" t="str">
        <f>"01 - A - 101 - Kyle  Robbins"</f>
        <v>01 - A - 101 - Kyle  Robbins</v>
      </c>
      <c r="F1458" t="str">
        <f>"US HISTORY"</f>
        <v>US HISTORY</v>
      </c>
      <c r="G1458" t="str">
        <f>"17-1745"</f>
        <v>17-1745</v>
      </c>
      <c r="H1458" t="str">
        <f>"A"</f>
        <v>A</v>
      </c>
    </row>
    <row r="1459" spans="1:8" x14ac:dyDescent="0.2">
      <c r="A1459" t="str">
        <f t="shared" si="538"/>
        <v>0624061635</v>
      </c>
      <c r="B1459" t="str">
        <f t="shared" si="539"/>
        <v>ANNA</v>
      </c>
      <c r="C1459" t="str">
        <f t="shared" si="540"/>
        <v>BERNAL</v>
      </c>
      <c r="D1459">
        <f>11</f>
        <v>11</v>
      </c>
      <c r="E1459" t="str">
        <f>"08 - S1 - B - 105 - James H Mccann"</f>
        <v>08 - S1 - B - 105 - James H Mccann</v>
      </c>
      <c r="F1459" t="str">
        <f>"PERS FIN &amp; MON MGT H"</f>
        <v>PERS FIN &amp; MON MGT H</v>
      </c>
      <c r="G1459" t="str">
        <f>"17-1716"</f>
        <v>17-1716</v>
      </c>
      <c r="H1459" t="str">
        <f>"B"</f>
        <v>B</v>
      </c>
    </row>
    <row r="1460" spans="1:8" x14ac:dyDescent="0.2">
      <c r="A1460" t="str">
        <f t="shared" ref="A1460:A1467" si="541">"0625014733"</f>
        <v>0625014733</v>
      </c>
      <c r="B1460" t="str">
        <f t="shared" ref="B1460:B1467" si="542">"Bautista"</f>
        <v>Bautista</v>
      </c>
      <c r="C1460" t="str">
        <f t="shared" ref="C1460:C1475" si="543">"Bernardez Chorroarin"</f>
        <v>Bernardez Chorroarin</v>
      </c>
      <c r="D1460">
        <f>12</f>
        <v>12</v>
      </c>
      <c r="E1460" t="str">
        <f>"04 - S1 - A - 105 - Robert O Burger"</f>
        <v>04 - S1 - A - 105 - Robert O Burger</v>
      </c>
      <c r="F1460" t="str">
        <f>"US GOVT"</f>
        <v>US GOVT</v>
      </c>
      <c r="G1460" t="str">
        <f>"17-1755"</f>
        <v>17-1755</v>
      </c>
      <c r="H1460" t="str">
        <f>"A"</f>
        <v>A</v>
      </c>
    </row>
    <row r="1461" spans="1:8" x14ac:dyDescent="0.2">
      <c r="A1461" t="str">
        <f t="shared" si="541"/>
        <v>0625014733</v>
      </c>
      <c r="B1461" t="str">
        <f t="shared" si="542"/>
        <v>Bautista</v>
      </c>
      <c r="C1461" t="str">
        <f t="shared" si="543"/>
        <v>Bernardez Chorroarin</v>
      </c>
      <c r="D1461">
        <f>12</f>
        <v>12</v>
      </c>
      <c r="E1461" t="str">
        <f>"06 - B - 106 - Taraneh C Abreu"</f>
        <v>06 - B - 106 - Taraneh C Abreu</v>
      </c>
      <c r="F1461" t="str">
        <f>"NC STUDY HALL 1"</f>
        <v>NC STUDY HALL 1</v>
      </c>
      <c r="G1461" t="str">
        <f>"17-1713"</f>
        <v>17-1713</v>
      </c>
      <c r="H1461" t="str">
        <f>"B"</f>
        <v>B</v>
      </c>
    </row>
    <row r="1462" spans="1:8" x14ac:dyDescent="0.2">
      <c r="A1462" t="str">
        <f t="shared" si="541"/>
        <v>0625014733</v>
      </c>
      <c r="B1462" t="str">
        <f t="shared" si="542"/>
        <v>Bautista</v>
      </c>
      <c r="C1462" t="str">
        <f t="shared" si="543"/>
        <v>Bernardez Chorroarin</v>
      </c>
      <c r="D1462">
        <f>12</f>
        <v>12</v>
      </c>
      <c r="E1462" t="str">
        <f>"03 - S1 - A - 103 - Richard E Dunbar Iii"</f>
        <v>03 - S1 - A - 103 - Richard E Dunbar Iii</v>
      </c>
      <c r="F1462" t="str">
        <f>"WEIGHT TRAIN 3"</f>
        <v>WEIGHT TRAIN 3</v>
      </c>
      <c r="G1462" t="str">
        <f>"05-501"</f>
        <v>05-501</v>
      </c>
      <c r="H1462" t="str">
        <f>"A"</f>
        <v>A</v>
      </c>
    </row>
    <row r="1463" spans="1:8" x14ac:dyDescent="0.2">
      <c r="A1463" t="str">
        <f t="shared" si="541"/>
        <v>0625014733</v>
      </c>
      <c r="B1463" t="str">
        <f t="shared" si="542"/>
        <v>Bautista</v>
      </c>
      <c r="C1463" t="str">
        <f t="shared" si="543"/>
        <v>Bernardez Chorroarin</v>
      </c>
      <c r="D1463">
        <f>12</f>
        <v>12</v>
      </c>
      <c r="E1463" t="str">
        <f>"02 - A - 101 - Nahum  Saint-Preux"</f>
        <v>02 - A - 101 - Nahum  Saint-Preux</v>
      </c>
      <c r="F1463" t="str">
        <f>"INTENS READ 4"</f>
        <v>INTENS READ 4</v>
      </c>
      <c r="G1463" t="str">
        <f>"17-1712"</f>
        <v>17-1712</v>
      </c>
      <c r="H1463" t="str">
        <f>"A"</f>
        <v>A</v>
      </c>
    </row>
    <row r="1464" spans="1:8" x14ac:dyDescent="0.2">
      <c r="A1464" t="str">
        <f t="shared" si="541"/>
        <v>0625014733</v>
      </c>
      <c r="B1464" t="str">
        <f t="shared" si="542"/>
        <v>Bautista</v>
      </c>
      <c r="C1464" t="str">
        <f t="shared" si="543"/>
        <v>Bernardez Chorroarin</v>
      </c>
      <c r="D1464">
        <f>12</f>
        <v>12</v>
      </c>
      <c r="E1464" t="str">
        <f>"07 - B - 102 - Tina L Lovett"</f>
        <v>07 - B - 102 - Tina L Lovett</v>
      </c>
      <c r="F1464" t="str">
        <f>"MATH DATA &amp; FIN LIT"</f>
        <v>MATH DATA &amp; FIN LIT</v>
      </c>
      <c r="G1464" t="str">
        <f>"21-2153"</f>
        <v>21-2153</v>
      </c>
      <c r="H1464" t="str">
        <f>"B"</f>
        <v>B</v>
      </c>
    </row>
    <row r="1465" spans="1:8" x14ac:dyDescent="0.2">
      <c r="A1465" t="str">
        <f t="shared" si="541"/>
        <v>0625014733</v>
      </c>
      <c r="B1465" t="str">
        <f t="shared" si="542"/>
        <v>Bautista</v>
      </c>
      <c r="C1465" t="str">
        <f t="shared" si="543"/>
        <v>Bernardez Chorroarin</v>
      </c>
      <c r="D1465">
        <f>12</f>
        <v>12</v>
      </c>
      <c r="E1465" t="str">
        <f>"05 - B - 207 - Marielle A Witting"</f>
        <v>05 - B - 207 - Marielle A Witting</v>
      </c>
      <c r="F1465" t="str">
        <f>"ANAT PHYSIO"</f>
        <v>ANAT PHYSIO</v>
      </c>
      <c r="G1465" t="str">
        <f>"08-805"</f>
        <v>08-805</v>
      </c>
      <c r="H1465" t="str">
        <f>"B"</f>
        <v>B</v>
      </c>
    </row>
    <row r="1466" spans="1:8" x14ac:dyDescent="0.2">
      <c r="A1466" t="str">
        <f t="shared" si="541"/>
        <v>0625014733</v>
      </c>
      <c r="B1466" t="str">
        <f t="shared" si="542"/>
        <v>Bautista</v>
      </c>
      <c r="C1466" t="str">
        <f t="shared" si="543"/>
        <v>Bernardez Chorroarin</v>
      </c>
      <c r="D1466">
        <f>12</f>
        <v>12</v>
      </c>
      <c r="E1466" t="str">
        <f>"01 - A - 103 - Robyn L Trainer"</f>
        <v>01 - A - 103 - Robyn L Trainer</v>
      </c>
      <c r="F1466" t="str">
        <f>"ENG 4"</f>
        <v>ENG 4</v>
      </c>
      <c r="G1466" t="str">
        <f>"17-1734"</f>
        <v>17-1734</v>
      </c>
      <c r="H1466" t="str">
        <f>"A"</f>
        <v>A</v>
      </c>
    </row>
    <row r="1467" spans="1:8" x14ac:dyDescent="0.2">
      <c r="A1467" t="str">
        <f t="shared" si="541"/>
        <v>0625014733</v>
      </c>
      <c r="B1467" t="str">
        <f t="shared" si="542"/>
        <v>Bautista</v>
      </c>
      <c r="C1467" t="str">
        <f t="shared" si="543"/>
        <v>Bernardez Chorroarin</v>
      </c>
      <c r="D1467">
        <f>12</f>
        <v>12</v>
      </c>
      <c r="E1467" t="str">
        <f>"08 - S1 - B - 102 - Nahum  Saint-Preux"</f>
        <v>08 - S1 - B - 102 - Nahum  Saint-Preux</v>
      </c>
      <c r="F1467" t="str">
        <f>"CRIT THINK ST SKLS"</f>
        <v>CRIT THINK ST SKLS</v>
      </c>
      <c r="G1467" t="str">
        <f>"17-1712"</f>
        <v>17-1712</v>
      </c>
      <c r="H1467" t="str">
        <f>"B"</f>
        <v>B</v>
      </c>
    </row>
    <row r="1468" spans="1:8" x14ac:dyDescent="0.2">
      <c r="A1468" t="str">
        <f t="shared" ref="A1468:A1475" si="544">"0625014734"</f>
        <v>0625014734</v>
      </c>
      <c r="B1468" t="str">
        <f t="shared" ref="B1468:B1475" si="545">"Lucila"</f>
        <v>Lucila</v>
      </c>
      <c r="C1468" t="str">
        <f t="shared" si="543"/>
        <v>Bernardez Chorroarin</v>
      </c>
      <c r="D1468">
        <f>10</f>
        <v>10</v>
      </c>
      <c r="E1468" t="str">
        <f>"04 - A - 105 - Jacquelyn M Neeson"</f>
        <v>04 - A - 105 - Jacquelyn M Neeson</v>
      </c>
      <c r="F1468" t="str">
        <f>"ENG 2"</f>
        <v>ENG 2</v>
      </c>
      <c r="G1468" t="str">
        <f>"17-1715"</f>
        <v>17-1715</v>
      </c>
      <c r="H1468" t="str">
        <f>"A"</f>
        <v>A</v>
      </c>
    </row>
    <row r="1469" spans="1:8" x14ac:dyDescent="0.2">
      <c r="A1469" t="str">
        <f t="shared" si="544"/>
        <v>0625014734</v>
      </c>
      <c r="B1469" t="str">
        <f t="shared" si="545"/>
        <v>Lucila</v>
      </c>
      <c r="C1469" t="str">
        <f t="shared" si="543"/>
        <v>Bernardez Chorroarin</v>
      </c>
      <c r="D1469">
        <f>10</f>
        <v>10</v>
      </c>
      <c r="E1469" t="str">
        <f>"06 - B - 103 - Vanessa J Liburd"</f>
        <v>06 - B - 103 - Vanessa J Liburd</v>
      </c>
      <c r="F1469" t="str">
        <f>"NC STUDY HALL 1"</f>
        <v>NC STUDY HALL 1</v>
      </c>
      <c r="G1469" t="str">
        <f>"05-519"</f>
        <v>05-519</v>
      </c>
      <c r="H1469" t="str">
        <f>"B"</f>
        <v>B</v>
      </c>
    </row>
    <row r="1470" spans="1:8" x14ac:dyDescent="0.2">
      <c r="A1470" t="str">
        <f t="shared" si="544"/>
        <v>0625014734</v>
      </c>
      <c r="B1470" t="str">
        <f t="shared" si="545"/>
        <v>Lucila</v>
      </c>
      <c r="C1470" t="str">
        <f t="shared" si="543"/>
        <v>Bernardez Chorroarin</v>
      </c>
      <c r="D1470">
        <f>10</f>
        <v>10</v>
      </c>
      <c r="E1470" t="str">
        <f>"03 - A - 101 - Dorothy D Moore"</f>
        <v>03 - A - 101 - Dorothy D Moore</v>
      </c>
      <c r="F1470" t="str">
        <f>"FORC SCI 1 LH"</f>
        <v>FORC SCI 1 LH</v>
      </c>
      <c r="G1470" t="str">
        <f>"08-803"</f>
        <v>08-803</v>
      </c>
      <c r="H1470" t="str">
        <f>"A"</f>
        <v>A</v>
      </c>
    </row>
    <row r="1471" spans="1:8" x14ac:dyDescent="0.2">
      <c r="A1471" t="str">
        <f t="shared" si="544"/>
        <v>0625014734</v>
      </c>
      <c r="B1471" t="str">
        <f t="shared" si="545"/>
        <v>Lucila</v>
      </c>
      <c r="C1471" t="str">
        <f t="shared" si="543"/>
        <v>Bernardez Chorroarin</v>
      </c>
      <c r="D1471">
        <f>10</f>
        <v>10</v>
      </c>
      <c r="E1471" t="str">
        <f>"02 - A - 104 - Joe  Kilpatrick Jr"</f>
        <v>02 - A - 104 - Joe  Kilpatrick Jr</v>
      </c>
      <c r="F1471" t="str">
        <f>"PRE-AICE SPAN 2 IG"</f>
        <v>PRE-AICE SPAN 2 IG</v>
      </c>
      <c r="G1471" t="str">
        <f>"09-912"</f>
        <v>09-912</v>
      </c>
      <c r="H1471" t="str">
        <f>"A"</f>
        <v>A</v>
      </c>
    </row>
    <row r="1472" spans="1:8" x14ac:dyDescent="0.2">
      <c r="A1472" t="str">
        <f t="shared" si="544"/>
        <v>0625014734</v>
      </c>
      <c r="B1472" t="str">
        <f t="shared" si="545"/>
        <v>Lucila</v>
      </c>
      <c r="C1472" t="str">
        <f t="shared" si="543"/>
        <v>Bernardez Chorroarin</v>
      </c>
      <c r="D1472">
        <f>10</f>
        <v>10</v>
      </c>
      <c r="E1472" t="str">
        <f>"07 - S1 - B - 103 - Leslie J Barton"</f>
        <v>07 - S1 - B - 103 - Leslie J Barton</v>
      </c>
      <c r="F1472" t="str">
        <f>"TEAM SPORTS 1"</f>
        <v>TEAM SPORTS 1</v>
      </c>
      <c r="G1472" t="str">
        <f>"04-254"</f>
        <v>04-254</v>
      </c>
      <c r="H1472" t="str">
        <f>"B"</f>
        <v>B</v>
      </c>
    </row>
    <row r="1473" spans="1:8" x14ac:dyDescent="0.2">
      <c r="A1473" t="str">
        <f t="shared" si="544"/>
        <v>0625014734</v>
      </c>
      <c r="B1473" t="str">
        <f t="shared" si="545"/>
        <v>Lucila</v>
      </c>
      <c r="C1473" t="str">
        <f t="shared" si="543"/>
        <v>Bernardez Chorroarin</v>
      </c>
      <c r="D1473">
        <f>10</f>
        <v>10</v>
      </c>
      <c r="E1473" t="str">
        <f>"05 - S1 - B - 102 - Carol S Moore"</f>
        <v>05 - S1 - B - 102 - Carol S Moore</v>
      </c>
      <c r="F1473" t="str">
        <f>"PERS FIN &amp; MON MGT H"</f>
        <v>PERS FIN &amp; MON MGT H</v>
      </c>
      <c r="G1473" t="str">
        <f>"17-1733"</f>
        <v>17-1733</v>
      </c>
      <c r="H1473" t="str">
        <f>"B"</f>
        <v>B</v>
      </c>
    </row>
    <row r="1474" spans="1:8" x14ac:dyDescent="0.2">
      <c r="A1474" t="str">
        <f t="shared" si="544"/>
        <v>0625014734</v>
      </c>
      <c r="B1474" t="str">
        <f t="shared" si="545"/>
        <v>Lucila</v>
      </c>
      <c r="C1474" t="str">
        <f t="shared" si="543"/>
        <v>Bernardez Chorroarin</v>
      </c>
      <c r="D1474">
        <f>10</f>
        <v>10</v>
      </c>
      <c r="E1474" t="str">
        <f>"01 - A - 104 - Milca  Exantus"</f>
        <v>01 - A - 104 - Milca  Exantus</v>
      </c>
      <c r="F1474" t="str">
        <f>"MATH COLLEGE LIB ART"</f>
        <v>MATH COLLEGE LIB ART</v>
      </c>
      <c r="G1474" t="str">
        <f>"21-2145"</f>
        <v>21-2145</v>
      </c>
      <c r="H1474" t="str">
        <f>"A"</f>
        <v>A</v>
      </c>
    </row>
    <row r="1475" spans="1:8" x14ac:dyDescent="0.2">
      <c r="A1475" t="str">
        <f t="shared" si="544"/>
        <v>0625014734</v>
      </c>
      <c r="B1475" t="str">
        <f t="shared" si="545"/>
        <v>Lucila</v>
      </c>
      <c r="C1475" t="str">
        <f t="shared" si="543"/>
        <v>Bernardez Chorroarin</v>
      </c>
      <c r="D1475">
        <f>10</f>
        <v>10</v>
      </c>
      <c r="E1475" t="str">
        <f>"08 - B - 101 - Jazmin S Fletcher"</f>
        <v>08 - B - 101 - Jazmin S Fletcher</v>
      </c>
      <c r="F1475" t="str">
        <f>"PRE-AICE DRAMA 1G"</f>
        <v>PRE-AICE DRAMA 1G</v>
      </c>
      <c r="G1475" t="str">
        <f>"09-909"</f>
        <v>09-909</v>
      </c>
      <c r="H1475" t="str">
        <f>"B"</f>
        <v>B</v>
      </c>
    </row>
    <row r="1476" spans="1:8" x14ac:dyDescent="0.2">
      <c r="A1476" t="str">
        <f t="shared" ref="A1476:A1483" si="546">"0619012178"</f>
        <v>0619012178</v>
      </c>
      <c r="B1476" t="str">
        <f t="shared" ref="B1476:B1483" si="547">"PENELOPE"</f>
        <v>PENELOPE</v>
      </c>
      <c r="C1476" t="str">
        <f t="shared" ref="C1476:C1483" si="548">"BERNARDI"</f>
        <v>BERNARDI</v>
      </c>
      <c r="D1476">
        <f>11</f>
        <v>11</v>
      </c>
      <c r="E1476" t="str">
        <f>"04 - A - 102 - Lisa J London"</f>
        <v>04 - A - 102 - Lisa J London</v>
      </c>
      <c r="F1476" t="str">
        <f>"AP CAPSTONE SEMINAR"</f>
        <v>AP CAPSTONE SEMINAR</v>
      </c>
      <c r="G1476" t="str">
        <f>"17-1714"</f>
        <v>17-1714</v>
      </c>
      <c r="H1476" t="str">
        <f>"A"</f>
        <v>A</v>
      </c>
    </row>
    <row r="1477" spans="1:8" x14ac:dyDescent="0.2">
      <c r="A1477" t="str">
        <f t="shared" si="546"/>
        <v>0619012178</v>
      </c>
      <c r="B1477" t="str">
        <f t="shared" si="547"/>
        <v>PENELOPE</v>
      </c>
      <c r="C1477" t="str">
        <f t="shared" si="548"/>
        <v>BERNARDI</v>
      </c>
      <c r="D1477">
        <f>11</f>
        <v>11</v>
      </c>
      <c r="E1477" t="str">
        <f>"06 - B - 206 - Jacqueline R Morphet"</f>
        <v>06 - B - 206 - Jacqueline R Morphet</v>
      </c>
      <c r="F1477" t="str">
        <f>"PHYSICS 1 HON"</f>
        <v>PHYSICS 1 HON</v>
      </c>
      <c r="G1477" t="str">
        <f>"21-2138"</f>
        <v>21-2138</v>
      </c>
      <c r="H1477" t="str">
        <f>"B"</f>
        <v>B</v>
      </c>
    </row>
    <row r="1478" spans="1:8" x14ac:dyDescent="0.2">
      <c r="A1478" t="str">
        <f t="shared" si="546"/>
        <v>0619012178</v>
      </c>
      <c r="B1478" t="str">
        <f t="shared" si="547"/>
        <v>PENELOPE</v>
      </c>
      <c r="C1478" t="str">
        <f t="shared" si="548"/>
        <v>BERNARDI</v>
      </c>
      <c r="D1478">
        <f>11</f>
        <v>11</v>
      </c>
      <c r="E1478" t="str">
        <f>"03 - A - 102 - Nahum  Saint-Preux"</f>
        <v>03 - A - 102 - Nahum  Saint-Preux</v>
      </c>
      <c r="F1478" t="str">
        <f>"INTENS READ 3"</f>
        <v>INTENS READ 3</v>
      </c>
      <c r="G1478" t="str">
        <f>"17-1712"</f>
        <v>17-1712</v>
      </c>
      <c r="H1478" t="str">
        <f>"A"</f>
        <v>A</v>
      </c>
    </row>
    <row r="1479" spans="1:8" x14ac:dyDescent="0.2">
      <c r="A1479" t="str">
        <f t="shared" si="546"/>
        <v>0619012178</v>
      </c>
      <c r="B1479" t="str">
        <f t="shared" si="547"/>
        <v>PENELOPE</v>
      </c>
      <c r="C1479" t="str">
        <f t="shared" si="548"/>
        <v>BERNARDI</v>
      </c>
      <c r="D1479">
        <f>11</f>
        <v>11</v>
      </c>
      <c r="E1479" t="str">
        <f>"02 - A - 102 - Fernando  Vega-Cid"</f>
        <v>02 - A - 102 - Fernando  Vega-Cid</v>
      </c>
      <c r="F1479" t="str">
        <f>"NC STUDY HALL 1"</f>
        <v>NC STUDY HALL 1</v>
      </c>
      <c r="G1479" t="str">
        <f>"21-2163"</f>
        <v>21-2163</v>
      </c>
      <c r="H1479" t="str">
        <f>"A"</f>
        <v>A</v>
      </c>
    </row>
    <row r="1480" spans="1:8" x14ac:dyDescent="0.2">
      <c r="A1480" t="str">
        <f t="shared" si="546"/>
        <v>0619012178</v>
      </c>
      <c r="B1480" t="str">
        <f t="shared" si="547"/>
        <v>PENELOPE</v>
      </c>
      <c r="C1480" t="str">
        <f t="shared" si="548"/>
        <v>BERNARDI</v>
      </c>
      <c r="D1480">
        <f>11</f>
        <v>11</v>
      </c>
      <c r="E1480" t="str">
        <f>"07 - B - 101 - Fernando  Vega-Cid"</f>
        <v>07 - B - 101 - Fernando  Vega-Cid</v>
      </c>
      <c r="F1480" t="str">
        <f>"AP PRECALCULUS"</f>
        <v>AP PRECALCULUS</v>
      </c>
      <c r="G1480" t="str">
        <f>"21-2163"</f>
        <v>21-2163</v>
      </c>
      <c r="H1480" t="str">
        <f>"B"</f>
        <v>B</v>
      </c>
    </row>
    <row r="1481" spans="1:8" x14ac:dyDescent="0.2">
      <c r="A1481" t="str">
        <f t="shared" si="546"/>
        <v>0619012178</v>
      </c>
      <c r="B1481" t="str">
        <f t="shared" si="547"/>
        <v>PENELOPE</v>
      </c>
      <c r="C1481" t="str">
        <f t="shared" si="548"/>
        <v>BERNARDI</v>
      </c>
      <c r="D1481">
        <f>11</f>
        <v>11</v>
      </c>
      <c r="E1481" t="str">
        <f>"05 - B - 001 - Kyle  Robbins"</f>
        <v>05 - B - 001 - Kyle  Robbins</v>
      </c>
      <c r="F1481" t="str">
        <f>"US HISTORY HON"</f>
        <v>US HISTORY HON</v>
      </c>
      <c r="G1481" t="str">
        <f>"17-1745"</f>
        <v>17-1745</v>
      </c>
      <c r="H1481" t="str">
        <f>"B"</f>
        <v>B</v>
      </c>
    </row>
    <row r="1482" spans="1:8" x14ac:dyDescent="0.2">
      <c r="A1482" t="str">
        <f t="shared" si="546"/>
        <v>0619012178</v>
      </c>
      <c r="B1482" t="str">
        <f t="shared" si="547"/>
        <v>PENELOPE</v>
      </c>
      <c r="C1482" t="str">
        <f t="shared" si="548"/>
        <v>BERNARDI</v>
      </c>
      <c r="D1482">
        <f>11</f>
        <v>11</v>
      </c>
      <c r="E1482" t="str">
        <f>"01 - A - 101 - Heidi M Knopp"</f>
        <v>01 - A - 101 - Heidi M Knopp</v>
      </c>
      <c r="F1482" t="str">
        <f>"ENG HON 3"</f>
        <v>ENG HON 3</v>
      </c>
      <c r="G1482" t="str">
        <f>"17-1752"</f>
        <v>17-1752</v>
      </c>
      <c r="H1482" t="str">
        <f>"A"</f>
        <v>A</v>
      </c>
    </row>
    <row r="1483" spans="1:8" x14ac:dyDescent="0.2">
      <c r="A1483" t="str">
        <f t="shared" si="546"/>
        <v>0619012178</v>
      </c>
      <c r="B1483" t="str">
        <f t="shared" si="547"/>
        <v>PENELOPE</v>
      </c>
      <c r="C1483" t="str">
        <f t="shared" si="548"/>
        <v>BERNARDI</v>
      </c>
      <c r="D1483">
        <f>11</f>
        <v>11</v>
      </c>
      <c r="E1483" t="str">
        <f>"08 - B - 101 - Rosa Elaine  Collado-Duff"</f>
        <v>08 - B - 101 - Rosa Elaine  Collado-Duff</v>
      </c>
      <c r="F1483" t="str">
        <f>"AP SPANISH LANG &amp; CU"</f>
        <v>AP SPANISH LANG &amp; CU</v>
      </c>
      <c r="G1483" t="str">
        <f>"09-913"</f>
        <v>09-913</v>
      </c>
      <c r="H1483" t="str">
        <f>"B"</f>
        <v>B</v>
      </c>
    </row>
    <row r="1484" spans="1:8" x14ac:dyDescent="0.2">
      <c r="A1484" t="str">
        <f t="shared" ref="A1484:A1491" si="549">"0619146506"</f>
        <v>0619146506</v>
      </c>
      <c r="B1484" t="str">
        <f t="shared" ref="B1484:B1491" si="550">"MARIANA"</f>
        <v>MARIANA</v>
      </c>
      <c r="C1484" t="str">
        <f t="shared" ref="C1484:C1491" si="551">"BERNUY NUNEZ"</f>
        <v>BERNUY NUNEZ</v>
      </c>
      <c r="D1484">
        <f>10</f>
        <v>10</v>
      </c>
      <c r="E1484" t="str">
        <f>"04 - A - 201 - Vanessa J Liburd"</f>
        <v>04 - A - 201 - Vanessa J Liburd</v>
      </c>
      <c r="F1484" t="str">
        <f>"FRENCH 4 HON"</f>
        <v>FRENCH 4 HON</v>
      </c>
      <c r="G1484" t="str">
        <f>"05-519"</f>
        <v>05-519</v>
      </c>
      <c r="H1484" t="str">
        <f>"A"</f>
        <v>A</v>
      </c>
    </row>
    <row r="1485" spans="1:8" x14ac:dyDescent="0.2">
      <c r="A1485" t="str">
        <f t="shared" si="549"/>
        <v>0619146506</v>
      </c>
      <c r="B1485" t="str">
        <f t="shared" si="550"/>
        <v>MARIANA</v>
      </c>
      <c r="C1485" t="str">
        <f t="shared" si="551"/>
        <v>BERNUY NUNEZ</v>
      </c>
      <c r="D1485">
        <f>10</f>
        <v>10</v>
      </c>
      <c r="E1485" t="str">
        <f>"06 - B - 116 - Jordana K Hass"</f>
        <v>06 - B - 116 - Jordana K Hass</v>
      </c>
      <c r="F1485" t="str">
        <f>"NC STUDY HALL 1"</f>
        <v>NC STUDY HALL 1</v>
      </c>
      <c r="G1485" t="str">
        <f>"08-807"</f>
        <v>08-807</v>
      </c>
      <c r="H1485" t="str">
        <f>"B"</f>
        <v>B</v>
      </c>
    </row>
    <row r="1486" spans="1:8" x14ac:dyDescent="0.2">
      <c r="A1486" t="str">
        <f t="shared" si="549"/>
        <v>0619146506</v>
      </c>
      <c r="B1486" t="str">
        <f t="shared" si="550"/>
        <v>MARIANA</v>
      </c>
      <c r="C1486" t="str">
        <f t="shared" si="551"/>
        <v>BERNUY NUNEZ</v>
      </c>
      <c r="D1486">
        <f>10</f>
        <v>10</v>
      </c>
      <c r="E1486" t="str">
        <f>"03 - S1 - A - 101 - Daniel S Katz"</f>
        <v>03 - S1 - A - 101 - Daniel S Katz</v>
      </c>
      <c r="F1486" t="str">
        <f>"COURT PROCED"</f>
        <v>COURT PROCED</v>
      </c>
      <c r="G1486" t="str">
        <f>"21-2156"</f>
        <v>21-2156</v>
      </c>
      <c r="H1486" t="str">
        <f>"A"</f>
        <v>A</v>
      </c>
    </row>
    <row r="1487" spans="1:8" x14ac:dyDescent="0.2">
      <c r="A1487" t="str">
        <f t="shared" si="549"/>
        <v>0619146506</v>
      </c>
      <c r="B1487" t="str">
        <f t="shared" si="550"/>
        <v>MARIANA</v>
      </c>
      <c r="C1487" t="str">
        <f t="shared" si="551"/>
        <v>BERNUY NUNEZ</v>
      </c>
      <c r="D1487">
        <f>10</f>
        <v>10</v>
      </c>
      <c r="E1487" t="str">
        <f>"02 - A - 205 - Emmily A Sarmiento"</f>
        <v>02 - A - 205 - Emmily A Sarmiento</v>
      </c>
      <c r="F1487" t="str">
        <f>"AICE GLBL PERSP 1 AS"</f>
        <v>AICE GLBL PERSP 1 AS</v>
      </c>
      <c r="G1487" t="str">
        <f>"17-1743"</f>
        <v>17-1743</v>
      </c>
      <c r="H1487" t="str">
        <f>"A"</f>
        <v>A</v>
      </c>
    </row>
    <row r="1488" spans="1:8" x14ac:dyDescent="0.2">
      <c r="A1488" t="str">
        <f t="shared" si="549"/>
        <v>0619146506</v>
      </c>
      <c r="B1488" t="str">
        <f t="shared" si="550"/>
        <v>MARIANA</v>
      </c>
      <c r="C1488" t="str">
        <f t="shared" si="551"/>
        <v>BERNUY NUNEZ</v>
      </c>
      <c r="D1488">
        <f>10</f>
        <v>10</v>
      </c>
      <c r="E1488" t="str">
        <f>"07 - S1 - B - 102 - Arthur  Kulawik"</f>
        <v>07 - S1 - B - 102 - Arthur  Kulawik</v>
      </c>
      <c r="F1488" t="str">
        <f>"PERS FIN &amp; MON MGT H"</f>
        <v>PERS FIN &amp; MON MGT H</v>
      </c>
      <c r="G1488" t="str">
        <f>"05-506"</f>
        <v>05-506</v>
      </c>
      <c r="H1488" t="str">
        <f>"B"</f>
        <v>B</v>
      </c>
    </row>
    <row r="1489" spans="1:8" x14ac:dyDescent="0.2">
      <c r="A1489" t="str">
        <f t="shared" si="549"/>
        <v>0619146506</v>
      </c>
      <c r="B1489" t="str">
        <f t="shared" si="550"/>
        <v>MARIANA</v>
      </c>
      <c r="C1489" t="str">
        <f t="shared" si="551"/>
        <v>BERNUY NUNEZ</v>
      </c>
      <c r="D1489">
        <f>10</f>
        <v>10</v>
      </c>
      <c r="E1489" t="str">
        <f>"05 - B - 104 - Lourivaldo  Da Silva"</f>
        <v>05 - B - 104 - Lourivaldo  Da Silva</v>
      </c>
      <c r="F1489" t="str">
        <f>"PRE-CALCULUS HON"</f>
        <v>PRE-CALCULUS HON</v>
      </c>
      <c r="G1489" t="str">
        <f>"20-2079"</f>
        <v>20-2079</v>
      </c>
      <c r="H1489" t="str">
        <f>"B"</f>
        <v>B</v>
      </c>
    </row>
    <row r="1490" spans="1:8" x14ac:dyDescent="0.2">
      <c r="A1490" t="str">
        <f t="shared" si="549"/>
        <v>0619146506</v>
      </c>
      <c r="B1490" t="str">
        <f t="shared" si="550"/>
        <v>MARIANA</v>
      </c>
      <c r="C1490" t="str">
        <f t="shared" si="551"/>
        <v>BERNUY NUNEZ</v>
      </c>
      <c r="D1490">
        <f>10</f>
        <v>10</v>
      </c>
      <c r="E1490" t="str">
        <f>"01 - A - 201 - Cheryl L Beach"</f>
        <v>01 - A - 201 - Cheryl L Beach</v>
      </c>
      <c r="F1490" t="str">
        <f>"AICE ENV MGMNT AS"</f>
        <v>AICE ENV MGMNT AS</v>
      </c>
      <c r="G1490" t="str">
        <f>"08-811"</f>
        <v>08-811</v>
      </c>
      <c r="H1490" t="str">
        <f>"A"</f>
        <v>A</v>
      </c>
    </row>
    <row r="1491" spans="1:8" x14ac:dyDescent="0.2">
      <c r="A1491" t="str">
        <f t="shared" si="549"/>
        <v>0619146506</v>
      </c>
      <c r="B1491" t="str">
        <f t="shared" si="550"/>
        <v>MARIANA</v>
      </c>
      <c r="C1491" t="str">
        <f t="shared" si="551"/>
        <v>BERNUY NUNEZ</v>
      </c>
      <c r="D1491">
        <f>10</f>
        <v>10</v>
      </c>
      <c r="E1491" t="str">
        <f>"08 - B - 102 - Jacquelyn M Neeson"</f>
        <v>08 - B - 102 - Jacquelyn M Neeson</v>
      </c>
      <c r="F1491" t="str">
        <f>"AICE ENG GEN PAPER 1"</f>
        <v>AICE ENG GEN PAPER 1</v>
      </c>
      <c r="G1491" t="str">
        <f>"17-1715"</f>
        <v>17-1715</v>
      </c>
      <c r="H1491" t="str">
        <f>"B"</f>
        <v>B</v>
      </c>
    </row>
    <row r="1492" spans="1:8" x14ac:dyDescent="0.2">
      <c r="A1492" t="str">
        <f t="shared" ref="A1492:A1501" si="552">"0614137457"</f>
        <v>0614137457</v>
      </c>
      <c r="B1492" t="str">
        <f t="shared" ref="B1492:B1501" si="553">"WADMI"</f>
        <v>WADMI</v>
      </c>
      <c r="C1492" t="str">
        <f t="shared" ref="C1492:C1501" si="554">"BERQUIN"</f>
        <v>BERQUIN</v>
      </c>
      <c r="D1492">
        <f>11</f>
        <v>11</v>
      </c>
      <c r="E1492" t="str">
        <f>"04 - A - 102 - Samantha J Headley"</f>
        <v>04 - A - 102 - Samantha J Headley</v>
      </c>
      <c r="F1492" t="str">
        <f>"MARINE SCI 1 HON"</f>
        <v>MARINE SCI 1 HON</v>
      </c>
      <c r="G1492" t="str">
        <f>"21-2134"</f>
        <v>21-2134</v>
      </c>
      <c r="H1492" t="str">
        <f>"A"</f>
        <v>A</v>
      </c>
    </row>
    <row r="1493" spans="1:8" x14ac:dyDescent="0.2">
      <c r="A1493" t="str">
        <f t="shared" si="552"/>
        <v>0614137457</v>
      </c>
      <c r="B1493" t="str">
        <f t="shared" si="553"/>
        <v>WADMI</v>
      </c>
      <c r="C1493" t="str">
        <f t="shared" si="554"/>
        <v>BERQUIN</v>
      </c>
      <c r="D1493">
        <f>11</f>
        <v>11</v>
      </c>
      <c r="E1493" t="str">
        <f>"06 - B - 104 - Eva T Rimmer"</f>
        <v>06 - B - 104 - Eva T Rimmer</v>
      </c>
      <c r="F1493" t="str">
        <f>"CRIMINAL JUST OPS 1"</f>
        <v>CRIMINAL JUST OPS 1</v>
      </c>
      <c r="G1493" t="str">
        <f>"05-523"</f>
        <v>05-523</v>
      </c>
      <c r="H1493" t="str">
        <f>"B"</f>
        <v>B</v>
      </c>
    </row>
    <row r="1494" spans="1:8" x14ac:dyDescent="0.2">
      <c r="A1494" t="str">
        <f t="shared" si="552"/>
        <v>0614137457</v>
      </c>
      <c r="B1494" t="str">
        <f t="shared" si="553"/>
        <v>WADMI</v>
      </c>
      <c r="C1494" t="str">
        <f t="shared" si="554"/>
        <v>BERQUIN</v>
      </c>
      <c r="D1494">
        <f>11</f>
        <v>11</v>
      </c>
      <c r="E1494" t="str">
        <f>"03 - A - 109 - Lissa C Frederique"</f>
        <v>03 - A - 109 - Lissa C Frederique</v>
      </c>
      <c r="F1494" t="str">
        <f>"WORLD HISTORY"</f>
        <v>WORLD HISTORY</v>
      </c>
      <c r="G1494" t="str">
        <f>"17-1754"</f>
        <v>17-1754</v>
      </c>
      <c r="H1494" t="str">
        <f>"A"</f>
        <v>A</v>
      </c>
    </row>
    <row r="1495" spans="1:8" x14ac:dyDescent="0.2">
      <c r="A1495" t="str">
        <f t="shared" si="552"/>
        <v>0614137457</v>
      </c>
      <c r="B1495" t="str">
        <f t="shared" si="553"/>
        <v>WADMI</v>
      </c>
      <c r="C1495" t="str">
        <f t="shared" si="554"/>
        <v>BERQUIN</v>
      </c>
      <c r="D1495">
        <f>11</f>
        <v>11</v>
      </c>
      <c r="E1495" t="str">
        <f>"02 - A - 105 - Leslie J Barton"</f>
        <v>02 - A - 105 - Leslie J Barton</v>
      </c>
      <c r="F1495" t="str">
        <f>"NC STUDY HALL 1"</f>
        <v>NC STUDY HALL 1</v>
      </c>
      <c r="G1495" t="str">
        <f>"05-521"</f>
        <v>05-521</v>
      </c>
      <c r="H1495" t="str">
        <f>"A"</f>
        <v>A</v>
      </c>
    </row>
    <row r="1496" spans="1:8" x14ac:dyDescent="0.2">
      <c r="A1496" t="str">
        <f t="shared" si="552"/>
        <v>0614137457</v>
      </c>
      <c r="B1496" t="str">
        <f t="shared" si="553"/>
        <v>WADMI</v>
      </c>
      <c r="C1496" t="str">
        <f t="shared" si="554"/>
        <v>BERQUIN</v>
      </c>
      <c r="D1496">
        <f>11</f>
        <v>11</v>
      </c>
      <c r="E1496" t="str">
        <f>"02 - A - 112 - Karen A Toomer"</f>
        <v>02 - A - 112 - Karen A Toomer</v>
      </c>
      <c r="F1496" t="str">
        <f>"LANG THERAPY"</f>
        <v>LANG THERAPY</v>
      </c>
      <c r="G1496" t="str">
        <f>"21-2110"</f>
        <v>21-2110</v>
      </c>
      <c r="H1496" t="str">
        <f>"A"</f>
        <v>A</v>
      </c>
    </row>
    <row r="1497" spans="1:8" x14ac:dyDescent="0.2">
      <c r="A1497" t="str">
        <f t="shared" si="552"/>
        <v>0614137457</v>
      </c>
      <c r="B1497" t="str">
        <f t="shared" si="553"/>
        <v>WADMI</v>
      </c>
      <c r="C1497" t="str">
        <f t="shared" si="554"/>
        <v>BERQUIN</v>
      </c>
      <c r="D1497">
        <f>11</f>
        <v>11</v>
      </c>
      <c r="E1497" t="str">
        <f>"02 - A - 112 - Karen A Toomer"</f>
        <v>02 - A - 112 - Karen A Toomer</v>
      </c>
      <c r="F1497" t="str">
        <f>"SPEECH THRPY"</f>
        <v>SPEECH THRPY</v>
      </c>
      <c r="G1497" t="str">
        <f>"21-2110"</f>
        <v>21-2110</v>
      </c>
      <c r="H1497" t="str">
        <f>"A"</f>
        <v>A</v>
      </c>
    </row>
    <row r="1498" spans="1:8" x14ac:dyDescent="0.2">
      <c r="A1498" t="str">
        <f t="shared" si="552"/>
        <v>0614137457</v>
      </c>
      <c r="B1498" t="str">
        <f t="shared" si="553"/>
        <v>WADMI</v>
      </c>
      <c r="C1498" t="str">
        <f t="shared" si="554"/>
        <v>BERQUIN</v>
      </c>
      <c r="D1498">
        <f>11</f>
        <v>11</v>
      </c>
      <c r="E1498" t="str">
        <f>"07 - S1 - B - 105 - Richard E Dunbar Iii"</f>
        <v>07 - S1 - B - 105 - Richard E Dunbar Iii</v>
      </c>
      <c r="F1498" t="str">
        <f>"WEIGHT TRAIN 3"</f>
        <v>WEIGHT TRAIN 3</v>
      </c>
      <c r="G1498" t="str">
        <f>"05-501"</f>
        <v>05-501</v>
      </c>
      <c r="H1498" t="str">
        <f>"B"</f>
        <v>B</v>
      </c>
    </row>
    <row r="1499" spans="1:8" x14ac:dyDescent="0.2">
      <c r="A1499" t="str">
        <f t="shared" si="552"/>
        <v>0614137457</v>
      </c>
      <c r="B1499" t="str">
        <f t="shared" si="553"/>
        <v>WADMI</v>
      </c>
      <c r="C1499" t="str">
        <f t="shared" si="554"/>
        <v>BERQUIN</v>
      </c>
      <c r="D1499">
        <f>11</f>
        <v>11</v>
      </c>
      <c r="E1499" t="str">
        <f>"05 - B - 104 - Semra  Bahadir"</f>
        <v>05 - B - 104 - Semra  Bahadir</v>
      </c>
      <c r="F1499" t="str">
        <f>"MATH COLL ALGEBRA"</f>
        <v>MATH COLL ALGEBRA</v>
      </c>
      <c r="G1499" t="str">
        <f>"21-2107"</f>
        <v>21-2107</v>
      </c>
      <c r="H1499" t="str">
        <f>"B"</f>
        <v>B</v>
      </c>
    </row>
    <row r="1500" spans="1:8" x14ac:dyDescent="0.2">
      <c r="A1500" t="str">
        <f t="shared" si="552"/>
        <v>0614137457</v>
      </c>
      <c r="B1500" t="str">
        <f t="shared" si="553"/>
        <v>WADMI</v>
      </c>
      <c r="C1500" t="str">
        <f t="shared" si="554"/>
        <v>BERQUIN</v>
      </c>
      <c r="D1500">
        <f>11</f>
        <v>11</v>
      </c>
      <c r="E1500" t="str">
        <f>"01 - A - 104 - Jerry S Jiampetti"</f>
        <v>01 - A - 104 - Jerry S Jiampetti</v>
      </c>
      <c r="F1500" t="str">
        <f>"US HISTORY HON"</f>
        <v>US HISTORY HON</v>
      </c>
      <c r="G1500" t="str">
        <f>"17-1751"</f>
        <v>17-1751</v>
      </c>
      <c r="H1500" t="str">
        <f>"A"</f>
        <v>A</v>
      </c>
    </row>
    <row r="1501" spans="1:8" x14ac:dyDescent="0.2">
      <c r="A1501" t="str">
        <f t="shared" si="552"/>
        <v>0614137457</v>
      </c>
      <c r="B1501" t="str">
        <f t="shared" si="553"/>
        <v>WADMI</v>
      </c>
      <c r="C1501" t="str">
        <f t="shared" si="554"/>
        <v>BERQUIN</v>
      </c>
      <c r="D1501">
        <f>11</f>
        <v>11</v>
      </c>
      <c r="E1501" t="str">
        <f>"08 - B - 105 - Brandy N Zdenek"</f>
        <v>08 - B - 105 - Brandy N Zdenek</v>
      </c>
      <c r="F1501" t="str">
        <f>"AICE ENG LANG 2 AL"</f>
        <v>AICE ENG LANG 2 AL</v>
      </c>
      <c r="G1501" t="str">
        <f>"17-1704"</f>
        <v>17-1704</v>
      </c>
      <c r="H1501" t="str">
        <f>"B"</f>
        <v>B</v>
      </c>
    </row>
    <row r="1502" spans="1:8" x14ac:dyDescent="0.2">
      <c r="A1502" t="str">
        <f t="shared" ref="A1502:A1509" si="555">"0615046183"</f>
        <v>0615046183</v>
      </c>
      <c r="B1502" t="str">
        <f t="shared" ref="B1502:B1509" si="556">"FABRIZIO"</f>
        <v>FABRIZIO</v>
      </c>
      <c r="C1502" t="str">
        <f t="shared" ref="C1502:C1509" si="557">"BERTOLINO"</f>
        <v>BERTOLINO</v>
      </c>
      <c r="D1502" t="str">
        <f t="shared" ref="D1502:D1509" si="558">"09"</f>
        <v>09</v>
      </c>
      <c r="E1502" t="str">
        <f>"04 - A - 102 - Josiah I Lacy"</f>
        <v>04 - A - 102 - Josiah I Lacy</v>
      </c>
      <c r="F1502" t="str">
        <f>"PRE-AICE BIO IG"</f>
        <v>PRE-AICE BIO IG</v>
      </c>
      <c r="G1502" t="str">
        <f>"08-801"</f>
        <v>08-801</v>
      </c>
      <c r="H1502" t="str">
        <f>"A"</f>
        <v>A</v>
      </c>
    </row>
    <row r="1503" spans="1:8" x14ac:dyDescent="0.2">
      <c r="A1503" t="str">
        <f t="shared" si="555"/>
        <v>0615046183</v>
      </c>
      <c r="B1503" t="str">
        <f t="shared" si="556"/>
        <v>FABRIZIO</v>
      </c>
      <c r="C1503" t="str">
        <f t="shared" si="557"/>
        <v>BERTOLINO</v>
      </c>
      <c r="D1503" t="str">
        <f t="shared" si="558"/>
        <v>09</v>
      </c>
      <c r="E1503" t="str">
        <f>"06 - B - 101 - Fernando  Vega-Cid"</f>
        <v>06 - B - 101 - Fernando  Vega-Cid</v>
      </c>
      <c r="F1503" t="str">
        <f>"PRE-AICE MATH 2 IG"</f>
        <v>PRE-AICE MATH 2 IG</v>
      </c>
      <c r="G1503" t="str">
        <f>"21-2163"</f>
        <v>21-2163</v>
      </c>
      <c r="H1503" t="str">
        <f>"B"</f>
        <v>B</v>
      </c>
    </row>
    <row r="1504" spans="1:8" x14ac:dyDescent="0.2">
      <c r="A1504" t="str">
        <f t="shared" si="555"/>
        <v>0615046183</v>
      </c>
      <c r="B1504" t="str">
        <f t="shared" si="556"/>
        <v>FABRIZIO</v>
      </c>
      <c r="C1504" t="str">
        <f t="shared" si="557"/>
        <v>BERTOLINO</v>
      </c>
      <c r="D1504" t="str">
        <f t="shared" si="558"/>
        <v>09</v>
      </c>
      <c r="E1504" t="str">
        <f>"03 - A - 201 - Joe  Kilpatrick Jr"</f>
        <v>03 - A - 201 - Joe  Kilpatrick Jr</v>
      </c>
      <c r="F1504" t="str">
        <f>"PRE-AICE SPAN 2 IG"</f>
        <v>PRE-AICE SPAN 2 IG</v>
      </c>
      <c r="G1504" t="str">
        <f>"09-912"</f>
        <v>09-912</v>
      </c>
      <c r="H1504" t="str">
        <f>"A"</f>
        <v>A</v>
      </c>
    </row>
    <row r="1505" spans="1:8" x14ac:dyDescent="0.2">
      <c r="A1505" t="str">
        <f t="shared" si="555"/>
        <v>0615046183</v>
      </c>
      <c r="B1505" t="str">
        <f t="shared" si="556"/>
        <v>FABRIZIO</v>
      </c>
      <c r="C1505" t="str">
        <f t="shared" si="557"/>
        <v>BERTOLINO</v>
      </c>
      <c r="D1505" t="str">
        <f t="shared" si="558"/>
        <v>09</v>
      </c>
      <c r="E1505" t="str">
        <f>"02 - A - 108 - Rory T Sponsler"</f>
        <v>02 - A - 108 - Rory T Sponsler</v>
      </c>
      <c r="F1505" t="str">
        <f>"NC STUDY HALL 1"</f>
        <v>NC STUDY HALL 1</v>
      </c>
      <c r="G1505" t="str">
        <f>"17-1740"</f>
        <v>17-1740</v>
      </c>
      <c r="H1505" t="str">
        <f>"A"</f>
        <v>A</v>
      </c>
    </row>
    <row r="1506" spans="1:8" x14ac:dyDescent="0.2">
      <c r="A1506" t="str">
        <f t="shared" si="555"/>
        <v>0615046183</v>
      </c>
      <c r="B1506" t="str">
        <f t="shared" si="556"/>
        <v>FABRIZIO</v>
      </c>
      <c r="C1506" t="str">
        <f t="shared" si="557"/>
        <v>BERTOLINO</v>
      </c>
      <c r="D1506" t="str">
        <f t="shared" si="558"/>
        <v>09</v>
      </c>
      <c r="E1506" t="str">
        <f>"07 - B - 001 - Carol S Moore"</f>
        <v>07 - B - 001 - Carol S Moore</v>
      </c>
      <c r="F1506" t="str">
        <f>"PRE-AICE WRLD HST IG"</f>
        <v>PRE-AICE WRLD HST IG</v>
      </c>
      <c r="G1506" t="str">
        <f>"17-1733"</f>
        <v>17-1733</v>
      </c>
      <c r="H1506" t="str">
        <f>"B"</f>
        <v>B</v>
      </c>
    </row>
    <row r="1507" spans="1:8" x14ac:dyDescent="0.2">
      <c r="A1507" t="str">
        <f t="shared" si="555"/>
        <v>0615046183</v>
      </c>
      <c r="B1507" t="str">
        <f t="shared" si="556"/>
        <v>FABRIZIO</v>
      </c>
      <c r="C1507" t="str">
        <f t="shared" si="557"/>
        <v>BERTOLINO</v>
      </c>
      <c r="D1507" t="str">
        <f t="shared" si="558"/>
        <v>09</v>
      </c>
      <c r="E1507" t="str">
        <f>"05 - B - 102 - Jeanne M Bermudez"</f>
        <v>05 - B - 102 - Jeanne M Bermudez</v>
      </c>
      <c r="F1507" t="str">
        <f>"ADVANCED IT HON"</f>
        <v>ADVANCED IT HON</v>
      </c>
      <c r="G1507" t="str">
        <f>"21-2141"</f>
        <v>21-2141</v>
      </c>
      <c r="H1507" t="str">
        <f>"B"</f>
        <v>B</v>
      </c>
    </row>
    <row r="1508" spans="1:8" x14ac:dyDescent="0.2">
      <c r="A1508" t="str">
        <f t="shared" si="555"/>
        <v>0615046183</v>
      </c>
      <c r="B1508" t="str">
        <f t="shared" si="556"/>
        <v>FABRIZIO</v>
      </c>
      <c r="C1508" t="str">
        <f t="shared" si="557"/>
        <v>BERTOLINO</v>
      </c>
      <c r="D1508" t="str">
        <f t="shared" si="558"/>
        <v>09</v>
      </c>
      <c r="E1508" t="str">
        <f>"01 - A - 101 - Elizabeth R Walker"</f>
        <v>01 - A - 101 - Elizabeth R Walker</v>
      </c>
      <c r="F1508" t="str">
        <f>"AICE ENG GEN PAPER 1"</f>
        <v>AICE ENG GEN PAPER 1</v>
      </c>
      <c r="G1508" t="str">
        <f>"17-1703"</f>
        <v>17-1703</v>
      </c>
      <c r="H1508" t="str">
        <f>"A"</f>
        <v>A</v>
      </c>
    </row>
    <row r="1509" spans="1:8" x14ac:dyDescent="0.2">
      <c r="A1509" t="str">
        <f t="shared" si="555"/>
        <v>0615046183</v>
      </c>
      <c r="B1509" t="str">
        <f t="shared" si="556"/>
        <v>FABRIZIO</v>
      </c>
      <c r="C1509" t="str">
        <f t="shared" si="557"/>
        <v>BERTOLINO</v>
      </c>
      <c r="D1509" t="str">
        <f t="shared" si="558"/>
        <v>09</v>
      </c>
      <c r="E1509" t="str">
        <f>"08 - B - 108 - Adam Marcus  Drucker"</f>
        <v>08 - B - 108 - Adam Marcus  Drucker</v>
      </c>
      <c r="F1509" t="str">
        <f>"HOPE-PE V"</f>
        <v>HOPE-PE V</v>
      </c>
      <c r="G1509" t="str">
        <f>"04-254"</f>
        <v>04-254</v>
      </c>
      <c r="H1509" t="str">
        <f>"B"</f>
        <v>B</v>
      </c>
    </row>
    <row r="1510" spans="1:8" x14ac:dyDescent="0.2">
      <c r="A1510" t="str">
        <f t="shared" ref="A1510:A1517" si="559">"0613041305"</f>
        <v>0613041305</v>
      </c>
      <c r="B1510" t="str">
        <f t="shared" ref="B1510:B1517" si="560">"FABIENNE"</f>
        <v>FABIENNE</v>
      </c>
      <c r="C1510" t="str">
        <f t="shared" ref="C1510:C1517" si="561">"BESSARD"</f>
        <v>BESSARD</v>
      </c>
      <c r="D1510">
        <f>11</f>
        <v>11</v>
      </c>
      <c r="E1510" t="str">
        <f>"04 - A - 102 - Elizabeth Ellen  Moran"</f>
        <v>04 - A - 102 - Elizabeth Ellen  Moran</v>
      </c>
      <c r="F1510" t="str">
        <f>"US HISTORY"</f>
        <v>US HISTORY</v>
      </c>
      <c r="G1510" t="str">
        <f>"17-1752"</f>
        <v>17-1752</v>
      </c>
      <c r="H1510" t="str">
        <f>"A"</f>
        <v>A</v>
      </c>
    </row>
    <row r="1511" spans="1:8" x14ac:dyDescent="0.2">
      <c r="A1511" t="str">
        <f t="shared" si="559"/>
        <v>0613041305</v>
      </c>
      <c r="B1511" t="str">
        <f t="shared" si="560"/>
        <v>FABIENNE</v>
      </c>
      <c r="C1511" t="str">
        <f t="shared" si="561"/>
        <v>BESSARD</v>
      </c>
      <c r="D1511">
        <f>11</f>
        <v>11</v>
      </c>
      <c r="E1511" t="str">
        <f>"06 - B - 202 - Brian M Fitzgerald"</f>
        <v>06 - B - 202 - Brian M Fitzgerald</v>
      </c>
      <c r="F1511" t="str">
        <f>"DRAW 1"</f>
        <v>DRAW 1</v>
      </c>
      <c r="G1511" t="str">
        <f>"09-908"</f>
        <v>09-908</v>
      </c>
      <c r="H1511" t="str">
        <f>"B"</f>
        <v>B</v>
      </c>
    </row>
    <row r="1512" spans="1:8" x14ac:dyDescent="0.2">
      <c r="A1512" t="str">
        <f t="shared" si="559"/>
        <v>0613041305</v>
      </c>
      <c r="B1512" t="str">
        <f t="shared" si="560"/>
        <v>FABIENNE</v>
      </c>
      <c r="C1512" t="str">
        <f t="shared" si="561"/>
        <v>BESSARD</v>
      </c>
      <c r="D1512">
        <f>11</f>
        <v>11</v>
      </c>
      <c r="E1512" t="str">
        <f>"03 - A - 208 - Marielle A Witting"</f>
        <v>03 - A - 208 - Marielle A Witting</v>
      </c>
      <c r="F1512" t="str">
        <f>"ANAT PHYSIO"</f>
        <v>ANAT PHYSIO</v>
      </c>
      <c r="G1512" t="str">
        <f>"08-805"</f>
        <v>08-805</v>
      </c>
      <c r="H1512" t="str">
        <f>"A"</f>
        <v>A</v>
      </c>
    </row>
    <row r="1513" spans="1:8" x14ac:dyDescent="0.2">
      <c r="A1513" t="str">
        <f t="shared" si="559"/>
        <v>0613041305</v>
      </c>
      <c r="B1513" t="str">
        <f t="shared" si="560"/>
        <v>FABIENNE</v>
      </c>
      <c r="C1513" t="str">
        <f t="shared" si="561"/>
        <v>BESSARD</v>
      </c>
      <c r="D1513">
        <f>11</f>
        <v>11</v>
      </c>
      <c r="E1513" t="str">
        <f>"02 - A - 103 - Kelly N Panza"</f>
        <v>02 - A - 103 - Kelly N Panza</v>
      </c>
      <c r="F1513" t="str">
        <f>"NC STUDY HALL 1"</f>
        <v>NC STUDY HALL 1</v>
      </c>
      <c r="G1513" t="str">
        <f>"17-1753"</f>
        <v>17-1753</v>
      </c>
      <c r="H1513" t="str">
        <f>"A"</f>
        <v>A</v>
      </c>
    </row>
    <row r="1514" spans="1:8" x14ac:dyDescent="0.2">
      <c r="A1514" t="str">
        <f t="shared" si="559"/>
        <v>0613041305</v>
      </c>
      <c r="B1514" t="str">
        <f t="shared" si="560"/>
        <v>FABIENNE</v>
      </c>
      <c r="C1514" t="str">
        <f t="shared" si="561"/>
        <v>BESSARD</v>
      </c>
      <c r="D1514">
        <f>11</f>
        <v>11</v>
      </c>
      <c r="E1514" t="str">
        <f>"07 - B - 106 - James H Mccann"</f>
        <v>07 - B - 106 - James H Mccann</v>
      </c>
      <c r="F1514" t="str">
        <f>"ALGEBRA 2"</f>
        <v>ALGEBRA 2</v>
      </c>
      <c r="G1514" t="str">
        <f>"17-1716"</f>
        <v>17-1716</v>
      </c>
      <c r="H1514" t="str">
        <f>"B"</f>
        <v>B</v>
      </c>
    </row>
    <row r="1515" spans="1:8" x14ac:dyDescent="0.2">
      <c r="A1515" t="str">
        <f t="shared" si="559"/>
        <v>0613041305</v>
      </c>
      <c r="B1515" t="str">
        <f t="shared" si="560"/>
        <v>FABIENNE</v>
      </c>
      <c r="C1515" t="str">
        <f t="shared" si="561"/>
        <v>BESSARD</v>
      </c>
      <c r="D1515">
        <f>11</f>
        <v>11</v>
      </c>
      <c r="E1515" t="str">
        <f>"05 - B - 101 - Brian M Fitzgerald"</f>
        <v>05 - B - 101 - Brian M Fitzgerald</v>
      </c>
      <c r="F1515" t="str">
        <f>"PAINT 1"</f>
        <v>PAINT 1</v>
      </c>
      <c r="G1515" t="str">
        <f>"09-908"</f>
        <v>09-908</v>
      </c>
      <c r="H1515" t="str">
        <f>"B"</f>
        <v>B</v>
      </c>
    </row>
    <row r="1516" spans="1:8" x14ac:dyDescent="0.2">
      <c r="A1516" t="str">
        <f t="shared" si="559"/>
        <v>0613041305</v>
      </c>
      <c r="B1516" t="str">
        <f t="shared" si="560"/>
        <v>FABIENNE</v>
      </c>
      <c r="C1516" t="str">
        <f t="shared" si="561"/>
        <v>BESSARD</v>
      </c>
      <c r="D1516">
        <f>11</f>
        <v>11</v>
      </c>
      <c r="E1516" t="str">
        <f>"01 - A - 101 - Lisa  Quinn"</f>
        <v>01 - A - 101 - Lisa  Quinn</v>
      </c>
      <c r="F1516" t="str">
        <f>"ENG 3"</f>
        <v>ENG 3</v>
      </c>
      <c r="G1516" t="str">
        <f>"17-1725"</f>
        <v>17-1725</v>
      </c>
      <c r="H1516" t="str">
        <f>"A"</f>
        <v>A</v>
      </c>
    </row>
    <row r="1517" spans="1:8" x14ac:dyDescent="0.2">
      <c r="A1517" t="str">
        <f t="shared" si="559"/>
        <v>0613041305</v>
      </c>
      <c r="B1517" t="str">
        <f t="shared" si="560"/>
        <v>FABIENNE</v>
      </c>
      <c r="C1517" t="str">
        <f t="shared" si="561"/>
        <v>BESSARD</v>
      </c>
      <c r="D1517">
        <f>11</f>
        <v>11</v>
      </c>
      <c r="E1517" t="str">
        <f>"08 - B - 101 - Eva T Rimmer"</f>
        <v>08 - B - 101 - Eva T Rimmer</v>
      </c>
      <c r="F1517" t="str">
        <f>"CRIM JUST OPS 3 HON"</f>
        <v>CRIM JUST OPS 3 HON</v>
      </c>
      <c r="G1517" t="str">
        <f>"05-523"</f>
        <v>05-523</v>
      </c>
      <c r="H1517" t="str">
        <f>"B"</f>
        <v>B</v>
      </c>
    </row>
    <row r="1518" spans="1:8" x14ac:dyDescent="0.2">
      <c r="A1518" t="str">
        <f t="shared" ref="A1518:A1525" si="562">"0624070386"</f>
        <v>0624070386</v>
      </c>
      <c r="B1518" t="str">
        <f t="shared" ref="B1518:B1525" si="563">"BRANDEN"</f>
        <v>BRANDEN</v>
      </c>
      <c r="C1518" t="str">
        <f t="shared" ref="C1518:C1525" si="564">"BETSY"</f>
        <v>BETSY</v>
      </c>
      <c r="D1518" t="str">
        <f t="shared" ref="D1518:D1525" si="565">"09"</f>
        <v>09</v>
      </c>
      <c r="E1518" t="str">
        <f>"04 - A - 104 - Adam Marcus  Drucker"</f>
        <v>04 - A - 104 - Adam Marcus  Drucker</v>
      </c>
      <c r="F1518" t="str">
        <f>"HOPE-PE V"</f>
        <v>HOPE-PE V</v>
      </c>
      <c r="G1518" t="str">
        <f>"04-254"</f>
        <v>04-254</v>
      </c>
      <c r="H1518" t="str">
        <f>"A"</f>
        <v>A</v>
      </c>
    </row>
    <row r="1519" spans="1:8" x14ac:dyDescent="0.2">
      <c r="A1519" t="str">
        <f t="shared" si="562"/>
        <v>0624070386</v>
      </c>
      <c r="B1519" t="str">
        <f t="shared" si="563"/>
        <v>BRANDEN</v>
      </c>
      <c r="C1519" t="str">
        <f t="shared" si="564"/>
        <v>BETSY</v>
      </c>
      <c r="D1519" t="str">
        <f t="shared" si="565"/>
        <v>09</v>
      </c>
      <c r="E1519" t="str">
        <f>"06 - B - 105 - Tina L Lovett"</f>
        <v>06 - B - 105 - Tina L Lovett</v>
      </c>
      <c r="F1519" t="str">
        <f>"FDN SKLS MATH 9-12"</f>
        <v>FDN SKLS MATH 9-12</v>
      </c>
      <c r="G1519" t="str">
        <f>"21-2153"</f>
        <v>21-2153</v>
      </c>
      <c r="H1519" t="str">
        <f>"B"</f>
        <v>B</v>
      </c>
    </row>
    <row r="1520" spans="1:8" x14ac:dyDescent="0.2">
      <c r="A1520" t="str">
        <f t="shared" si="562"/>
        <v>0624070386</v>
      </c>
      <c r="B1520" t="str">
        <f t="shared" si="563"/>
        <v>BRANDEN</v>
      </c>
      <c r="C1520" t="str">
        <f t="shared" si="564"/>
        <v>BETSY</v>
      </c>
      <c r="D1520" t="str">
        <f t="shared" si="565"/>
        <v>09</v>
      </c>
      <c r="E1520" t="str">
        <f>"03 - A - 105 - Cheryl Anne  Berman-Schechter"</f>
        <v>03 - A - 105 - Cheryl Anne  Berman-Schechter</v>
      </c>
      <c r="F1520" t="str">
        <f>"ENG 1"</f>
        <v>ENG 1</v>
      </c>
      <c r="G1520" t="str">
        <f>"17-1722"</f>
        <v>17-1722</v>
      </c>
      <c r="H1520" t="str">
        <f>"A"</f>
        <v>A</v>
      </c>
    </row>
    <row r="1521" spans="1:8" x14ac:dyDescent="0.2">
      <c r="A1521" t="str">
        <f t="shared" si="562"/>
        <v>0624070386</v>
      </c>
      <c r="B1521" t="str">
        <f t="shared" si="563"/>
        <v>BRANDEN</v>
      </c>
      <c r="C1521" t="str">
        <f t="shared" si="564"/>
        <v>BETSY</v>
      </c>
      <c r="D1521" t="str">
        <f t="shared" si="565"/>
        <v>09</v>
      </c>
      <c r="E1521" t="str">
        <f>"02 - A - 103 - Angela S Adeshina-Morrison"</f>
        <v>02 - A - 103 - Angela S Adeshina-Morrison</v>
      </c>
      <c r="F1521" t="str">
        <f>"NC STUDY HALL 1"</f>
        <v>NC STUDY HALL 1</v>
      </c>
      <c r="G1521" t="str">
        <f>"05-518"</f>
        <v>05-518</v>
      </c>
      <c r="H1521" t="str">
        <f>"A"</f>
        <v>A</v>
      </c>
    </row>
    <row r="1522" spans="1:8" x14ac:dyDescent="0.2">
      <c r="A1522" t="str">
        <f t="shared" si="562"/>
        <v>0624070386</v>
      </c>
      <c r="B1522" t="str">
        <f t="shared" si="563"/>
        <v>BRANDEN</v>
      </c>
      <c r="C1522" t="str">
        <f t="shared" si="564"/>
        <v>BETSY</v>
      </c>
      <c r="D1522" t="str">
        <f t="shared" si="565"/>
        <v>09</v>
      </c>
      <c r="E1522" t="str">
        <f>"07 - B - 003 - Samantha J Headley"</f>
        <v>07 - B - 003 - Samantha J Headley</v>
      </c>
      <c r="F1522" t="str">
        <f>"ENV SCI"</f>
        <v>ENV SCI</v>
      </c>
      <c r="G1522" t="str">
        <f>"08-802"</f>
        <v>08-802</v>
      </c>
      <c r="H1522" t="str">
        <f>"B"</f>
        <v>B</v>
      </c>
    </row>
    <row r="1523" spans="1:8" x14ac:dyDescent="0.2">
      <c r="A1523" t="str">
        <f t="shared" si="562"/>
        <v>0624070386</v>
      </c>
      <c r="B1523" t="str">
        <f t="shared" si="563"/>
        <v>BRANDEN</v>
      </c>
      <c r="C1523" t="str">
        <f t="shared" si="564"/>
        <v>BETSY</v>
      </c>
      <c r="D1523" t="str">
        <f t="shared" si="565"/>
        <v>09</v>
      </c>
      <c r="E1523" t="str">
        <f>"05 - B - 001 - Laselleda D Shaw"</f>
        <v>05 - B - 001 - Laselleda D Shaw</v>
      </c>
      <c r="F1523" t="str">
        <f>"INTENS READ 1"</f>
        <v>INTENS READ 1</v>
      </c>
      <c r="G1523" t="str">
        <f>"17-1723"</f>
        <v>17-1723</v>
      </c>
      <c r="H1523" t="str">
        <f>"B"</f>
        <v>B</v>
      </c>
    </row>
    <row r="1524" spans="1:8" x14ac:dyDescent="0.2">
      <c r="A1524" t="str">
        <f t="shared" si="562"/>
        <v>0624070386</v>
      </c>
      <c r="B1524" t="str">
        <f t="shared" si="563"/>
        <v>BRANDEN</v>
      </c>
      <c r="C1524" t="str">
        <f t="shared" si="564"/>
        <v>BETSY</v>
      </c>
      <c r="D1524" t="str">
        <f t="shared" si="565"/>
        <v>09</v>
      </c>
      <c r="E1524" t="str">
        <f>"01 - A - 101 - Tina L Lovett"</f>
        <v>01 - A - 101 - Tina L Lovett</v>
      </c>
      <c r="F1524" t="str">
        <f>"ALGEBRA 1"</f>
        <v>ALGEBRA 1</v>
      </c>
      <c r="G1524" t="str">
        <f>"21-2153"</f>
        <v>21-2153</v>
      </c>
      <c r="H1524" t="str">
        <f>"A"</f>
        <v>A</v>
      </c>
    </row>
    <row r="1525" spans="1:8" x14ac:dyDescent="0.2">
      <c r="A1525" t="str">
        <f t="shared" si="562"/>
        <v>0624070386</v>
      </c>
      <c r="B1525" t="str">
        <f t="shared" si="563"/>
        <v>BRANDEN</v>
      </c>
      <c r="C1525" t="str">
        <f t="shared" si="564"/>
        <v>BETSY</v>
      </c>
      <c r="D1525" t="str">
        <f t="shared" si="565"/>
        <v>09</v>
      </c>
      <c r="E1525" t="str">
        <f>"08 - B - 101 - Elizabeth Ellen  Moran"</f>
        <v>08 - B - 101 - Elizabeth Ellen  Moran</v>
      </c>
      <c r="F1525" t="str">
        <f>"WORLD HISTORY"</f>
        <v>WORLD HISTORY</v>
      </c>
      <c r="G1525" t="str">
        <f>"17-1752"</f>
        <v>17-1752</v>
      </c>
      <c r="H1525" t="str">
        <f>"B"</f>
        <v>B</v>
      </c>
    </row>
    <row r="1526" spans="1:8" x14ac:dyDescent="0.2">
      <c r="A1526" t="str">
        <f t="shared" ref="A1526:A1533" si="566">"0615055341"</f>
        <v>0615055341</v>
      </c>
      <c r="B1526" t="str">
        <f t="shared" ref="B1526:B1533" si="567">"IRIEANNA"</f>
        <v>IRIEANNA</v>
      </c>
      <c r="C1526" t="str">
        <f t="shared" ref="C1526:C1533" si="568">"BIDDLE"</f>
        <v>BIDDLE</v>
      </c>
      <c r="D1526">
        <f>11</f>
        <v>11</v>
      </c>
      <c r="E1526" t="str">
        <f>"04 - A - 102 - Elizabeth Ellen  Moran"</f>
        <v>04 - A - 102 - Elizabeth Ellen  Moran</v>
      </c>
      <c r="F1526" t="str">
        <f>"US HISTORY"</f>
        <v>US HISTORY</v>
      </c>
      <c r="G1526" t="str">
        <f>"17-1752"</f>
        <v>17-1752</v>
      </c>
      <c r="H1526" t="str">
        <f>"A"</f>
        <v>A</v>
      </c>
    </row>
    <row r="1527" spans="1:8" x14ac:dyDescent="0.2">
      <c r="A1527" t="str">
        <f t="shared" si="566"/>
        <v>0615055341</v>
      </c>
      <c r="B1527" t="str">
        <f t="shared" si="567"/>
        <v>IRIEANNA</v>
      </c>
      <c r="C1527" t="str">
        <f t="shared" si="568"/>
        <v>BIDDLE</v>
      </c>
      <c r="D1527">
        <f>11</f>
        <v>11</v>
      </c>
      <c r="E1527" t="str">
        <f>"06 - B - 106 - Adam Marcus  Drucker"</f>
        <v>06 - B - 106 - Adam Marcus  Drucker</v>
      </c>
      <c r="F1527" t="str">
        <f>"HOPE-PE V"</f>
        <v>HOPE-PE V</v>
      </c>
      <c r="G1527" t="str">
        <f>"04-254"</f>
        <v>04-254</v>
      </c>
      <c r="H1527" t="str">
        <f>"B"</f>
        <v>B</v>
      </c>
    </row>
    <row r="1528" spans="1:8" x14ac:dyDescent="0.2">
      <c r="A1528" t="str">
        <f t="shared" si="566"/>
        <v>0615055341</v>
      </c>
      <c r="B1528" t="str">
        <f t="shared" si="567"/>
        <v>IRIEANNA</v>
      </c>
      <c r="C1528" t="str">
        <f t="shared" si="568"/>
        <v>BIDDLE</v>
      </c>
      <c r="D1528">
        <f>11</f>
        <v>11</v>
      </c>
      <c r="E1528" t="str">
        <f>"03 - A - 201 - Joe  Kilpatrick Jr"</f>
        <v>03 - A - 201 - Joe  Kilpatrick Jr</v>
      </c>
      <c r="F1528" t="str">
        <f>"PRE-AICE SPAN 2 IG"</f>
        <v>PRE-AICE SPAN 2 IG</v>
      </c>
      <c r="G1528" t="str">
        <f>"09-912"</f>
        <v>09-912</v>
      </c>
      <c r="H1528" t="str">
        <f>"A"</f>
        <v>A</v>
      </c>
    </row>
    <row r="1529" spans="1:8" x14ac:dyDescent="0.2">
      <c r="A1529" t="str">
        <f t="shared" si="566"/>
        <v>0615055341</v>
      </c>
      <c r="B1529" t="str">
        <f t="shared" si="567"/>
        <v>IRIEANNA</v>
      </c>
      <c r="C1529" t="str">
        <f t="shared" si="568"/>
        <v>BIDDLE</v>
      </c>
      <c r="D1529">
        <f>11</f>
        <v>11</v>
      </c>
      <c r="E1529" t="str">
        <f>"02 - A - 103 - Kelly N Panza"</f>
        <v>02 - A - 103 - Kelly N Panza</v>
      </c>
      <c r="F1529" t="str">
        <f>"NC STUDY HALL 1"</f>
        <v>NC STUDY HALL 1</v>
      </c>
      <c r="G1529" t="str">
        <f>"17-1753"</f>
        <v>17-1753</v>
      </c>
      <c r="H1529" t="str">
        <f>"A"</f>
        <v>A</v>
      </c>
    </row>
    <row r="1530" spans="1:8" x14ac:dyDescent="0.2">
      <c r="A1530" t="str">
        <f t="shared" si="566"/>
        <v>0615055341</v>
      </c>
      <c r="B1530" t="str">
        <f t="shared" si="567"/>
        <v>IRIEANNA</v>
      </c>
      <c r="C1530" t="str">
        <f t="shared" si="568"/>
        <v>BIDDLE</v>
      </c>
      <c r="D1530">
        <f>11</f>
        <v>11</v>
      </c>
      <c r="E1530" t="str">
        <f>"07 - B - 105 - Cliffon  Saurel"</f>
        <v>07 - B - 105 - Cliffon  Saurel</v>
      </c>
      <c r="F1530" t="str">
        <f>"PHYSICAL SCI"</f>
        <v>PHYSICAL SCI</v>
      </c>
      <c r="G1530" t="str">
        <f>"05-522"</f>
        <v>05-522</v>
      </c>
      <c r="H1530" t="str">
        <f>"B"</f>
        <v>B</v>
      </c>
    </row>
    <row r="1531" spans="1:8" x14ac:dyDescent="0.2">
      <c r="A1531" t="str">
        <f t="shared" si="566"/>
        <v>0615055341</v>
      </c>
      <c r="B1531" t="str">
        <f t="shared" si="567"/>
        <v>IRIEANNA</v>
      </c>
      <c r="C1531" t="str">
        <f t="shared" si="568"/>
        <v>BIDDLE</v>
      </c>
      <c r="D1531">
        <f>11</f>
        <v>11</v>
      </c>
      <c r="E1531" t="str">
        <f>"05 - B - 104 - Lisa  Quinn"</f>
        <v>05 - B - 104 - Lisa  Quinn</v>
      </c>
      <c r="F1531" t="str">
        <f>"ENG 3"</f>
        <v>ENG 3</v>
      </c>
      <c r="G1531" t="str">
        <f>"17-1725"</f>
        <v>17-1725</v>
      </c>
      <c r="H1531" t="str">
        <f>"B"</f>
        <v>B</v>
      </c>
    </row>
    <row r="1532" spans="1:8" x14ac:dyDescent="0.2">
      <c r="A1532" t="str">
        <f t="shared" si="566"/>
        <v>0615055341</v>
      </c>
      <c r="B1532" t="str">
        <f t="shared" si="567"/>
        <v>IRIEANNA</v>
      </c>
      <c r="C1532" t="str">
        <f t="shared" si="568"/>
        <v>BIDDLE</v>
      </c>
      <c r="D1532">
        <f>11</f>
        <v>11</v>
      </c>
      <c r="E1532" t="str">
        <f>"01 - A - 102 - Fernando  Vega-Cid"</f>
        <v>01 - A - 102 - Fernando  Vega-Cid</v>
      </c>
      <c r="F1532" t="str">
        <f>"GEOMETRY"</f>
        <v>GEOMETRY</v>
      </c>
      <c r="G1532" t="str">
        <f>"21-2163"</f>
        <v>21-2163</v>
      </c>
      <c r="H1532" t="str">
        <f>"A"</f>
        <v>A</v>
      </c>
    </row>
    <row r="1533" spans="1:8" x14ac:dyDescent="0.2">
      <c r="A1533" t="str">
        <f t="shared" si="566"/>
        <v>0615055341</v>
      </c>
      <c r="B1533" t="str">
        <f t="shared" si="567"/>
        <v>IRIEANNA</v>
      </c>
      <c r="C1533" t="str">
        <f t="shared" si="568"/>
        <v>BIDDLE</v>
      </c>
      <c r="D1533">
        <f>11</f>
        <v>11</v>
      </c>
      <c r="E1533" t="str">
        <f>"08 - B - 101 - Marius D Orsolini"</f>
        <v>08 - B - 101 - Marius D Orsolini</v>
      </c>
      <c r="F1533" t="str">
        <f>"CULINARY ARTS 2"</f>
        <v>CULINARY ARTS 2</v>
      </c>
      <c r="G1533" t="str">
        <f>"21-2115"</f>
        <v>21-2115</v>
      </c>
      <c r="H1533" t="str">
        <f>"B"</f>
        <v>B</v>
      </c>
    </row>
    <row r="1534" spans="1:8" x14ac:dyDescent="0.2">
      <c r="A1534" t="str">
        <f t="shared" ref="A1534:A1541" si="569">"0614013397"</f>
        <v>0614013397</v>
      </c>
      <c r="B1534" t="str">
        <f t="shared" ref="B1534:B1541" si="570">"JA'ZARA"</f>
        <v>JA'ZARA</v>
      </c>
      <c r="C1534" t="str">
        <f t="shared" ref="C1534:C1549" si="571">"BISHOP"</f>
        <v>BISHOP</v>
      </c>
      <c r="D1534" t="str">
        <f t="shared" ref="D1534:D1541" si="572">"09"</f>
        <v>09</v>
      </c>
      <c r="E1534" t="str">
        <f>"04 - A - 101 - Chrystina M Marchionne"</f>
        <v>04 - A - 101 - Chrystina M Marchionne</v>
      </c>
      <c r="F1534" t="str">
        <f>"THEA CIN &amp; FILM LH"</f>
        <v>THEA CIN &amp; FILM LH</v>
      </c>
      <c r="G1534" t="str">
        <f>"05-520"</f>
        <v>05-520</v>
      </c>
      <c r="H1534" t="str">
        <f>"A"</f>
        <v>A</v>
      </c>
    </row>
    <row r="1535" spans="1:8" x14ac:dyDescent="0.2">
      <c r="A1535" t="str">
        <f t="shared" si="569"/>
        <v>0614013397</v>
      </c>
      <c r="B1535" t="str">
        <f t="shared" si="570"/>
        <v>JA'ZARA</v>
      </c>
      <c r="C1535" t="str">
        <f t="shared" si="571"/>
        <v>BISHOP</v>
      </c>
      <c r="D1535" t="str">
        <f t="shared" si="572"/>
        <v>09</v>
      </c>
      <c r="E1535" t="str">
        <f>"06 - B - 105 - Cheryl L Beach"</f>
        <v>06 - B - 105 - Cheryl L Beach</v>
      </c>
      <c r="F1535" t="str">
        <f>"AICE ENV MGMNT AS"</f>
        <v>AICE ENV MGMNT AS</v>
      </c>
      <c r="G1535" t="str">
        <f>"08-811"</f>
        <v>08-811</v>
      </c>
      <c r="H1535" t="str">
        <f>"B"</f>
        <v>B</v>
      </c>
    </row>
    <row r="1536" spans="1:8" x14ac:dyDescent="0.2">
      <c r="A1536" t="str">
        <f t="shared" si="569"/>
        <v>0614013397</v>
      </c>
      <c r="B1536" t="str">
        <f t="shared" si="570"/>
        <v>JA'ZARA</v>
      </c>
      <c r="C1536" t="str">
        <f t="shared" si="571"/>
        <v>BISHOP</v>
      </c>
      <c r="D1536" t="str">
        <f t="shared" si="572"/>
        <v>09</v>
      </c>
      <c r="E1536" t="str">
        <f>"03 - A - 005 - Cerine S Stewart"</f>
        <v>03 - A - 005 - Cerine S Stewart</v>
      </c>
      <c r="F1536" t="str">
        <f>"AICE ENG GEN PAPER 1"</f>
        <v>AICE ENG GEN PAPER 1</v>
      </c>
      <c r="G1536" t="str">
        <f>"17-1720"</f>
        <v>17-1720</v>
      </c>
      <c r="H1536" t="str">
        <f>"A"</f>
        <v>A</v>
      </c>
    </row>
    <row r="1537" spans="1:8" x14ac:dyDescent="0.2">
      <c r="A1537" t="str">
        <f t="shared" si="569"/>
        <v>0614013397</v>
      </c>
      <c r="B1537" t="str">
        <f t="shared" si="570"/>
        <v>JA'ZARA</v>
      </c>
      <c r="C1537" t="str">
        <f t="shared" si="571"/>
        <v>BISHOP</v>
      </c>
      <c r="D1537" t="str">
        <f t="shared" si="572"/>
        <v>09</v>
      </c>
      <c r="E1537" t="str">
        <f>"02 - A - 110 - Maried P Ramos"</f>
        <v>02 - A - 110 - Maried P Ramos</v>
      </c>
      <c r="F1537" t="str">
        <f>"NC STUDY HALL 1"</f>
        <v>NC STUDY HALL 1</v>
      </c>
      <c r="G1537" t="str">
        <f>"21-2159"</f>
        <v>21-2159</v>
      </c>
      <c r="H1537" t="str">
        <f>"A"</f>
        <v>A</v>
      </c>
    </row>
    <row r="1538" spans="1:8" x14ac:dyDescent="0.2">
      <c r="A1538" t="str">
        <f t="shared" si="569"/>
        <v>0614013397</v>
      </c>
      <c r="B1538" t="str">
        <f t="shared" si="570"/>
        <v>JA'ZARA</v>
      </c>
      <c r="C1538" t="str">
        <f t="shared" si="571"/>
        <v>BISHOP</v>
      </c>
      <c r="D1538" t="str">
        <f t="shared" si="572"/>
        <v>09</v>
      </c>
      <c r="E1538" t="str">
        <f>"07 - B - 105 - Paige Lauren  Brochu"</f>
        <v>07 - B - 105 - Paige Lauren  Brochu</v>
      </c>
      <c r="F1538" t="str">
        <f>"PRE-AICE BIO IG"</f>
        <v>PRE-AICE BIO IG</v>
      </c>
      <c r="G1538" t="str">
        <f>"21-2134"</f>
        <v>21-2134</v>
      </c>
      <c r="H1538" t="str">
        <f>"B"</f>
        <v>B</v>
      </c>
    </row>
    <row r="1539" spans="1:8" x14ac:dyDescent="0.2">
      <c r="A1539" t="str">
        <f t="shared" si="569"/>
        <v>0614013397</v>
      </c>
      <c r="B1539" t="str">
        <f t="shared" si="570"/>
        <v>JA'ZARA</v>
      </c>
      <c r="C1539" t="str">
        <f t="shared" si="571"/>
        <v>BISHOP</v>
      </c>
      <c r="D1539" t="str">
        <f t="shared" si="572"/>
        <v>09</v>
      </c>
      <c r="E1539" t="str">
        <f>"05 - B - 104 - Maried P Ramos"</f>
        <v>05 - B - 104 - Maried P Ramos</v>
      </c>
      <c r="F1539" t="str">
        <f>"PRE-AICE MATH 2 IG"</f>
        <v>PRE-AICE MATH 2 IG</v>
      </c>
      <c r="G1539" t="str">
        <f>"21-2159"</f>
        <v>21-2159</v>
      </c>
      <c r="H1539" t="str">
        <f>"B"</f>
        <v>B</v>
      </c>
    </row>
    <row r="1540" spans="1:8" x14ac:dyDescent="0.2">
      <c r="A1540" t="str">
        <f t="shared" si="569"/>
        <v>0614013397</v>
      </c>
      <c r="B1540" t="str">
        <f t="shared" si="570"/>
        <v>JA'ZARA</v>
      </c>
      <c r="C1540" t="str">
        <f t="shared" si="571"/>
        <v>BISHOP</v>
      </c>
      <c r="D1540" t="str">
        <f t="shared" si="572"/>
        <v>09</v>
      </c>
      <c r="E1540" t="str">
        <f>"01 - A - 101 - Nikiel  Nesbeth"</f>
        <v>01 - A - 101 - Nikiel  Nesbeth</v>
      </c>
      <c r="F1540" t="str">
        <f>"CONST LAW HON"</f>
        <v>CONST LAW HON</v>
      </c>
      <c r="G1540" t="str">
        <f>"17-1705"</f>
        <v>17-1705</v>
      </c>
      <c r="H1540" t="str">
        <f>"A"</f>
        <v>A</v>
      </c>
    </row>
    <row r="1541" spans="1:8" x14ac:dyDescent="0.2">
      <c r="A1541" t="str">
        <f t="shared" si="569"/>
        <v>0614013397</v>
      </c>
      <c r="B1541" t="str">
        <f t="shared" si="570"/>
        <v>JA'ZARA</v>
      </c>
      <c r="C1541" t="str">
        <f t="shared" si="571"/>
        <v>BISHOP</v>
      </c>
      <c r="D1541" t="str">
        <f t="shared" si="572"/>
        <v>09</v>
      </c>
      <c r="E1541" t="str">
        <f>"08 - B - 109 - Emmily A Sarmiento"</f>
        <v>08 - B - 109 - Emmily A Sarmiento</v>
      </c>
      <c r="F1541" t="str">
        <f>"AICE GLBL PERSP 1 AS"</f>
        <v>AICE GLBL PERSP 1 AS</v>
      </c>
      <c r="G1541" t="str">
        <f>"17-1743"</f>
        <v>17-1743</v>
      </c>
      <c r="H1541" t="str">
        <f>"B"</f>
        <v>B</v>
      </c>
    </row>
    <row r="1542" spans="1:8" x14ac:dyDescent="0.2">
      <c r="A1542" t="str">
        <f t="shared" ref="A1542:A1549" si="573">"0613083833"</f>
        <v>0613083833</v>
      </c>
      <c r="B1542" t="str">
        <f t="shared" ref="B1542:B1549" si="574">"OLIVIA"</f>
        <v>OLIVIA</v>
      </c>
      <c r="C1542" t="str">
        <f t="shared" si="571"/>
        <v>BISHOP</v>
      </c>
      <c r="D1542">
        <f>12</f>
        <v>12</v>
      </c>
      <c r="E1542" t="str">
        <f>"04 - A - 101 - Stefanie S Scher"</f>
        <v>04 - A - 101 - Stefanie S Scher</v>
      </c>
      <c r="F1542" t="str">
        <f>"AP PSYCH"</f>
        <v>AP PSYCH</v>
      </c>
      <c r="G1542" t="str">
        <f>"17-1735"</f>
        <v>17-1735</v>
      </c>
      <c r="H1542" t="str">
        <f>"A"</f>
        <v>A</v>
      </c>
    </row>
    <row r="1543" spans="1:8" x14ac:dyDescent="0.2">
      <c r="A1543" t="str">
        <f t="shared" si="573"/>
        <v>0613083833</v>
      </c>
      <c r="B1543" t="str">
        <f t="shared" si="574"/>
        <v>OLIVIA</v>
      </c>
      <c r="C1543" t="str">
        <f t="shared" si="571"/>
        <v>BISHOP</v>
      </c>
      <c r="D1543">
        <f>12</f>
        <v>12</v>
      </c>
      <c r="E1543" t="str">
        <f>"06 - B - 101 - Cliffon  Saurel"</f>
        <v>06 - B - 101 - Cliffon  Saurel</v>
      </c>
      <c r="F1543" t="str">
        <f>"NC STUDY HALL 1"</f>
        <v>NC STUDY HALL 1</v>
      </c>
      <c r="G1543" t="str">
        <f>"05-522"</f>
        <v>05-522</v>
      </c>
      <c r="H1543" t="str">
        <f>"B"</f>
        <v>B</v>
      </c>
    </row>
    <row r="1544" spans="1:8" x14ac:dyDescent="0.2">
      <c r="A1544" t="str">
        <f t="shared" si="573"/>
        <v>0613083833</v>
      </c>
      <c r="B1544" t="str">
        <f t="shared" si="574"/>
        <v>OLIVIA</v>
      </c>
      <c r="C1544" t="str">
        <f t="shared" si="571"/>
        <v>BISHOP</v>
      </c>
      <c r="D1544">
        <f>12</f>
        <v>12</v>
      </c>
      <c r="E1544" t="str">
        <f>"03 - A - 101 - Carleigh R Carmichael"</f>
        <v>03 - A - 101 - Carleigh R Carmichael</v>
      </c>
      <c r="F1544" t="str">
        <f>"LEAD SKLS DEV LH"</f>
        <v>LEAD SKLS DEV LH</v>
      </c>
      <c r="G1544" t="str">
        <f>"20-2072"</f>
        <v>20-2072</v>
      </c>
      <c r="H1544" t="str">
        <f>"A"</f>
        <v>A</v>
      </c>
    </row>
    <row r="1545" spans="1:8" x14ac:dyDescent="0.2">
      <c r="A1545" t="str">
        <f t="shared" si="573"/>
        <v>0613083833</v>
      </c>
      <c r="B1545" t="str">
        <f t="shared" si="574"/>
        <v>OLIVIA</v>
      </c>
      <c r="C1545" t="str">
        <f t="shared" si="571"/>
        <v>BISHOP</v>
      </c>
      <c r="D1545">
        <f>12</f>
        <v>12</v>
      </c>
      <c r="E1545" t="str">
        <f>"02 - A - 204 - Jacqueline R Morphet"</f>
        <v>02 - A - 204 - Jacqueline R Morphet</v>
      </c>
      <c r="F1545" t="str">
        <f>"PHYSICS 1 HON"</f>
        <v>PHYSICS 1 HON</v>
      </c>
      <c r="G1545" t="str">
        <f>"21-2138"</f>
        <v>21-2138</v>
      </c>
      <c r="H1545" t="str">
        <f>"A"</f>
        <v>A</v>
      </c>
    </row>
    <row r="1546" spans="1:8" x14ac:dyDescent="0.2">
      <c r="A1546" t="str">
        <f t="shared" si="573"/>
        <v>0613083833</v>
      </c>
      <c r="B1546" t="str">
        <f t="shared" si="574"/>
        <v>OLIVIA</v>
      </c>
      <c r="C1546" t="str">
        <f t="shared" si="571"/>
        <v>BISHOP</v>
      </c>
      <c r="D1546">
        <f>12</f>
        <v>12</v>
      </c>
      <c r="E1546" t="str">
        <f>"07 - B - 102 - Courtney E Hambright"</f>
        <v>07 - B - 102 - Courtney E Hambright</v>
      </c>
      <c r="F1546" t="str">
        <f>"AP ENG LIT COMPO"</f>
        <v>AP ENG LIT COMPO</v>
      </c>
      <c r="G1546" t="str">
        <f>"17-1711"</f>
        <v>17-1711</v>
      </c>
      <c r="H1546" t="str">
        <f>"B"</f>
        <v>B</v>
      </c>
    </row>
    <row r="1547" spans="1:8" x14ac:dyDescent="0.2">
      <c r="A1547" t="str">
        <f t="shared" si="573"/>
        <v>0613083833</v>
      </c>
      <c r="B1547" t="str">
        <f t="shared" si="574"/>
        <v>OLIVIA</v>
      </c>
      <c r="C1547" t="str">
        <f t="shared" si="571"/>
        <v>BISHOP</v>
      </c>
      <c r="D1547">
        <f>12</f>
        <v>12</v>
      </c>
      <c r="E1547" t="str">
        <f>"05 - S1 - B - 102 - Barbara L Segal"</f>
        <v>05 - S1 - B - 102 - Barbara L Segal</v>
      </c>
      <c r="F1547" t="str">
        <f>"US GOVT HON"</f>
        <v>US GOVT HON</v>
      </c>
      <c r="G1547" t="str">
        <f>"17-1742"</f>
        <v>17-1742</v>
      </c>
      <c r="H1547" t="str">
        <f>"B"</f>
        <v>B</v>
      </c>
    </row>
    <row r="1548" spans="1:8" x14ac:dyDescent="0.2">
      <c r="A1548" t="str">
        <f t="shared" si="573"/>
        <v>0613083833</v>
      </c>
      <c r="B1548" t="str">
        <f t="shared" si="574"/>
        <v>OLIVIA</v>
      </c>
      <c r="C1548" t="str">
        <f t="shared" si="571"/>
        <v>BISHOP</v>
      </c>
      <c r="D1548">
        <f>12</f>
        <v>12</v>
      </c>
      <c r="E1548" t="str">
        <f>"01 - A - 101 - Kelly N Panza"</f>
        <v>01 - A - 101 - Kelly N Panza</v>
      </c>
      <c r="F1548" t="str">
        <f>"AP HUMAN GEOG"</f>
        <v>AP HUMAN GEOG</v>
      </c>
      <c r="G1548" t="str">
        <f>"17-1753"</f>
        <v>17-1753</v>
      </c>
      <c r="H1548" t="str">
        <f>"A"</f>
        <v>A</v>
      </c>
    </row>
    <row r="1549" spans="1:8" x14ac:dyDescent="0.2">
      <c r="A1549" t="str">
        <f t="shared" si="573"/>
        <v>0613083833</v>
      </c>
      <c r="B1549" t="str">
        <f t="shared" si="574"/>
        <v>OLIVIA</v>
      </c>
      <c r="C1549" t="str">
        <f t="shared" si="571"/>
        <v>BISHOP</v>
      </c>
      <c r="D1549">
        <f>12</f>
        <v>12</v>
      </c>
      <c r="E1549" t="str">
        <f>"08 - B - 107 - Taraneh C Abreu"</f>
        <v>08 - B - 107 - Taraneh C Abreu</v>
      </c>
      <c r="F1549" t="str">
        <f>"RESEARCH 1 LH"</f>
        <v>RESEARCH 1 LH</v>
      </c>
      <c r="G1549">
        <f>2041</f>
        <v>2041</v>
      </c>
      <c r="H1549" t="str">
        <f>"B"</f>
        <v>B</v>
      </c>
    </row>
    <row r="1550" spans="1:8" x14ac:dyDescent="0.2">
      <c r="A1550" t="str">
        <f t="shared" ref="A1550:A1557" si="575">"0613136582"</f>
        <v>0613136582</v>
      </c>
      <c r="B1550" t="str">
        <f t="shared" ref="B1550:B1557" si="576">"WHITNEY"</f>
        <v>WHITNEY</v>
      </c>
      <c r="C1550" t="str">
        <f t="shared" ref="C1550:C1557" si="577">"BITTAR"</f>
        <v>BITTAR</v>
      </c>
      <c r="D1550">
        <f>12</f>
        <v>12</v>
      </c>
      <c r="E1550" t="str">
        <f>"04 - A - 201 - Alejandro  Navarro"</f>
        <v>04 - A - 201 - Alejandro  Navarro</v>
      </c>
      <c r="F1550" t="str">
        <f>"BAND 4"</f>
        <v>BAND 4</v>
      </c>
      <c r="G1550" t="str">
        <f>"05-504"</f>
        <v>05-504</v>
      </c>
      <c r="H1550" t="str">
        <f>"A"</f>
        <v>A</v>
      </c>
    </row>
    <row r="1551" spans="1:8" x14ac:dyDescent="0.2">
      <c r="A1551" t="str">
        <f t="shared" si="575"/>
        <v>0613136582</v>
      </c>
      <c r="B1551" t="str">
        <f t="shared" si="576"/>
        <v>WHITNEY</v>
      </c>
      <c r="C1551" t="str">
        <f t="shared" si="577"/>
        <v>BITTAR</v>
      </c>
      <c r="D1551">
        <f>12</f>
        <v>12</v>
      </c>
      <c r="E1551" t="str">
        <f>"06 - B - 103 - Stefanie S Scher"</f>
        <v>06 - B - 103 - Stefanie S Scher</v>
      </c>
      <c r="F1551" t="str">
        <f>"NC STUDY HALL 1"</f>
        <v>NC STUDY HALL 1</v>
      </c>
      <c r="G1551" t="str">
        <f>"17-1735"</f>
        <v>17-1735</v>
      </c>
      <c r="H1551" t="str">
        <f>"B"</f>
        <v>B</v>
      </c>
    </row>
    <row r="1552" spans="1:8" x14ac:dyDescent="0.2">
      <c r="A1552" t="str">
        <f t="shared" si="575"/>
        <v>0613136582</v>
      </c>
      <c r="B1552" t="str">
        <f t="shared" si="576"/>
        <v>WHITNEY</v>
      </c>
      <c r="C1552" t="str">
        <f t="shared" si="577"/>
        <v>BITTAR</v>
      </c>
      <c r="D1552">
        <f>12</f>
        <v>12</v>
      </c>
      <c r="E1552" t="str">
        <f>"03 - A - 101 - Carleigh R Carmichael"</f>
        <v>03 - A - 101 - Carleigh R Carmichael</v>
      </c>
      <c r="F1552" t="str">
        <f>"LEAD SKLS DEV LH"</f>
        <v>LEAD SKLS DEV LH</v>
      </c>
      <c r="G1552" t="str">
        <f>"20-2072"</f>
        <v>20-2072</v>
      </c>
      <c r="H1552" t="str">
        <f>"A"</f>
        <v>A</v>
      </c>
    </row>
    <row r="1553" spans="1:8" x14ac:dyDescent="0.2">
      <c r="A1553" t="str">
        <f t="shared" si="575"/>
        <v>0613136582</v>
      </c>
      <c r="B1553" t="str">
        <f t="shared" si="576"/>
        <v>WHITNEY</v>
      </c>
      <c r="C1553" t="str">
        <f t="shared" si="577"/>
        <v>BITTAR</v>
      </c>
      <c r="D1553">
        <f>12</f>
        <v>12</v>
      </c>
      <c r="E1553" t="str">
        <f>"02 - A - 201 - Jeanne M Bermudez"</f>
        <v>02 - A - 201 - Jeanne M Bermudez</v>
      </c>
      <c r="F1553" t="str">
        <f>"AP ENV SCI"</f>
        <v>AP ENV SCI</v>
      </c>
      <c r="G1553" t="str">
        <f>"21-2141"</f>
        <v>21-2141</v>
      </c>
      <c r="H1553" t="str">
        <f>"A"</f>
        <v>A</v>
      </c>
    </row>
    <row r="1554" spans="1:8" x14ac:dyDescent="0.2">
      <c r="A1554" t="str">
        <f t="shared" si="575"/>
        <v>0613136582</v>
      </c>
      <c r="B1554" t="str">
        <f t="shared" si="576"/>
        <v>WHITNEY</v>
      </c>
      <c r="C1554" t="str">
        <f t="shared" si="577"/>
        <v>BITTAR</v>
      </c>
      <c r="D1554">
        <f>12</f>
        <v>12</v>
      </c>
      <c r="E1554" t="str">
        <f>"07 - S1 - B - 102 - Barbara L Segal"</f>
        <v>07 - S1 - B - 102 - Barbara L Segal</v>
      </c>
      <c r="F1554" t="str">
        <f>"AP US GOVT/POL"</f>
        <v>AP US GOVT/POL</v>
      </c>
      <c r="G1554" t="str">
        <f>"17-1742"</f>
        <v>17-1742</v>
      </c>
      <c r="H1554" t="str">
        <f>"B"</f>
        <v>B</v>
      </c>
    </row>
    <row r="1555" spans="1:8" x14ac:dyDescent="0.2">
      <c r="A1555" t="str">
        <f t="shared" si="575"/>
        <v>0613136582</v>
      </c>
      <c r="B1555" t="str">
        <f t="shared" si="576"/>
        <v>WHITNEY</v>
      </c>
      <c r="C1555" t="str">
        <f t="shared" si="577"/>
        <v>BITTAR</v>
      </c>
      <c r="D1555">
        <f>12</f>
        <v>12</v>
      </c>
      <c r="E1555" t="str">
        <f>"05 - B - 101 - Alejandro  Navarro"</f>
        <v>05 - B - 101 - Alejandro  Navarro</v>
      </c>
      <c r="F1555" t="str">
        <f>"JAZZ ENS 2"</f>
        <v>JAZZ ENS 2</v>
      </c>
      <c r="G1555" t="str">
        <f>"05-504"</f>
        <v>05-504</v>
      </c>
      <c r="H1555" t="str">
        <f>"B"</f>
        <v>B</v>
      </c>
    </row>
    <row r="1556" spans="1:8" x14ac:dyDescent="0.2">
      <c r="A1556" t="str">
        <f t="shared" si="575"/>
        <v>0613136582</v>
      </c>
      <c r="B1556" t="str">
        <f t="shared" si="576"/>
        <v>WHITNEY</v>
      </c>
      <c r="C1556" t="str">
        <f t="shared" si="577"/>
        <v>BITTAR</v>
      </c>
      <c r="D1556">
        <f>12</f>
        <v>12</v>
      </c>
      <c r="E1556" t="str">
        <f>"01 - A - 204 - Tina M Jaramillo"</f>
        <v>01 - A - 204 - Tina M Jaramillo</v>
      </c>
      <c r="F1556" t="str">
        <f>"AP ENG LIT COMPO"</f>
        <v>AP ENG LIT COMPO</v>
      </c>
      <c r="G1556" t="str">
        <f>"17-1706"</f>
        <v>17-1706</v>
      </c>
      <c r="H1556" t="str">
        <f>"A"</f>
        <v>A</v>
      </c>
    </row>
    <row r="1557" spans="1:8" x14ac:dyDescent="0.2">
      <c r="A1557" t="str">
        <f t="shared" si="575"/>
        <v>0613136582</v>
      </c>
      <c r="B1557" t="str">
        <f t="shared" si="576"/>
        <v>WHITNEY</v>
      </c>
      <c r="C1557" t="str">
        <f t="shared" si="577"/>
        <v>BITTAR</v>
      </c>
      <c r="D1557">
        <f>12</f>
        <v>12</v>
      </c>
      <c r="E1557" t="str">
        <f>"08 - B - 102 - Pamela M Corzo"</f>
        <v>08 - B - 102 - Pamela M Corzo</v>
      </c>
      <c r="F1557" t="str">
        <f>"AP STAT"</f>
        <v>AP STAT</v>
      </c>
      <c r="G1557" t="str">
        <f>"21-2133"</f>
        <v>21-2133</v>
      </c>
      <c r="H1557" t="str">
        <f>"B"</f>
        <v>B</v>
      </c>
    </row>
    <row r="1558" spans="1:8" x14ac:dyDescent="0.2">
      <c r="A1558" t="str">
        <f t="shared" ref="A1558:A1565" si="578">"0614090493"</f>
        <v>0614090493</v>
      </c>
      <c r="B1558" t="str">
        <f t="shared" ref="B1558:B1565" si="579">"AZALIA"</f>
        <v>AZALIA</v>
      </c>
      <c r="C1558" t="str">
        <f t="shared" ref="C1558:C1573" si="580">"BLACK"</f>
        <v>BLACK</v>
      </c>
      <c r="D1558" t="str">
        <f t="shared" ref="D1558:D1565" si="581">"09"</f>
        <v>09</v>
      </c>
      <c r="E1558" t="str">
        <f>"04 - A - 004 - Krystal Marie  Beruty"</f>
        <v>04 - A - 004 - Krystal Marie  Beruty</v>
      </c>
      <c r="F1558" t="str">
        <f>"AICE GLBL PERSP 1 AS"</f>
        <v>AICE GLBL PERSP 1 AS</v>
      </c>
      <c r="G1558" t="str">
        <f>"17-1721"</f>
        <v>17-1721</v>
      </c>
      <c r="H1558" t="str">
        <f>"A"</f>
        <v>A</v>
      </c>
    </row>
    <row r="1559" spans="1:8" x14ac:dyDescent="0.2">
      <c r="A1559" t="str">
        <f t="shared" si="578"/>
        <v>0614090493</v>
      </c>
      <c r="B1559" t="str">
        <f t="shared" si="579"/>
        <v>AZALIA</v>
      </c>
      <c r="C1559" t="str">
        <f t="shared" si="580"/>
        <v>BLACK</v>
      </c>
      <c r="D1559" t="str">
        <f t="shared" si="581"/>
        <v>09</v>
      </c>
      <c r="E1559" t="str">
        <f>"06 - B - 104 - Lytrell T Dixon"</f>
        <v>06 - B - 104 - Lytrell T Dixon</v>
      </c>
      <c r="F1559" t="str">
        <f>"PRE-AICE BIO IG"</f>
        <v>PRE-AICE BIO IG</v>
      </c>
      <c r="G1559" t="str">
        <f>"08-808"</f>
        <v>08-808</v>
      </c>
      <c r="H1559" t="str">
        <f>"B"</f>
        <v>B</v>
      </c>
    </row>
    <row r="1560" spans="1:8" x14ac:dyDescent="0.2">
      <c r="A1560" t="str">
        <f t="shared" si="578"/>
        <v>0614090493</v>
      </c>
      <c r="B1560" t="str">
        <f t="shared" si="579"/>
        <v>AZALIA</v>
      </c>
      <c r="C1560" t="str">
        <f t="shared" si="580"/>
        <v>BLACK</v>
      </c>
      <c r="D1560" t="str">
        <f t="shared" si="581"/>
        <v>09</v>
      </c>
      <c r="E1560" t="str">
        <f>"03 - S1 - A - 101 - Daniel S Katz"</f>
        <v>03 - S1 - A - 101 - Daniel S Katz</v>
      </c>
      <c r="F1560" t="str">
        <f>"COURT PROCED"</f>
        <v>COURT PROCED</v>
      </c>
      <c r="G1560" t="str">
        <f>"21-2156"</f>
        <v>21-2156</v>
      </c>
      <c r="H1560" t="str">
        <f>"A"</f>
        <v>A</v>
      </c>
    </row>
    <row r="1561" spans="1:8" x14ac:dyDescent="0.2">
      <c r="A1561" t="str">
        <f t="shared" si="578"/>
        <v>0614090493</v>
      </c>
      <c r="B1561" t="str">
        <f t="shared" si="579"/>
        <v>AZALIA</v>
      </c>
      <c r="C1561" t="str">
        <f t="shared" si="580"/>
        <v>BLACK</v>
      </c>
      <c r="D1561" t="str">
        <f t="shared" si="581"/>
        <v>09</v>
      </c>
      <c r="E1561" t="str">
        <f>"02 - A - 114 - Laselleda D Shaw"</f>
        <v>02 - A - 114 - Laselleda D Shaw</v>
      </c>
      <c r="F1561" t="str">
        <f>"NC STUDY HALL 1"</f>
        <v>NC STUDY HALL 1</v>
      </c>
      <c r="G1561" t="str">
        <f>"17-1723"</f>
        <v>17-1723</v>
      </c>
      <c r="H1561" t="str">
        <f>"A"</f>
        <v>A</v>
      </c>
    </row>
    <row r="1562" spans="1:8" x14ac:dyDescent="0.2">
      <c r="A1562" t="str">
        <f t="shared" si="578"/>
        <v>0614090493</v>
      </c>
      <c r="B1562" t="str">
        <f t="shared" si="579"/>
        <v>AZALIA</v>
      </c>
      <c r="C1562" t="str">
        <f t="shared" si="580"/>
        <v>BLACK</v>
      </c>
      <c r="D1562" t="str">
        <f t="shared" si="581"/>
        <v>09</v>
      </c>
      <c r="E1562" t="str">
        <f>"07 - B - 106 - Dayna M Foster"</f>
        <v>07 - B - 106 - Dayna M Foster</v>
      </c>
      <c r="F1562" t="str">
        <f>"FDN SKLS MATH 9-12"</f>
        <v>FDN SKLS MATH 9-12</v>
      </c>
      <c r="G1562" t="str">
        <f>"21-2109"</f>
        <v>21-2109</v>
      </c>
      <c r="H1562" t="str">
        <f>"B"</f>
        <v>B</v>
      </c>
    </row>
    <row r="1563" spans="1:8" x14ac:dyDescent="0.2">
      <c r="A1563" t="str">
        <f t="shared" si="578"/>
        <v>0614090493</v>
      </c>
      <c r="B1563" t="str">
        <f t="shared" si="579"/>
        <v>AZALIA</v>
      </c>
      <c r="C1563" t="str">
        <f t="shared" si="580"/>
        <v>BLACK</v>
      </c>
      <c r="D1563" t="str">
        <f t="shared" si="581"/>
        <v>09</v>
      </c>
      <c r="E1563" t="str">
        <f>"05 - B - 103 - Byron G Montenegro"</f>
        <v>05 - B - 103 - Byron G Montenegro</v>
      </c>
      <c r="F1563" t="str">
        <f>"AICE MARINE SCI 1 AS"</f>
        <v>AICE MARINE SCI 1 AS</v>
      </c>
      <c r="G1563" t="str">
        <f>"21-2144"</f>
        <v>21-2144</v>
      </c>
      <c r="H1563" t="str">
        <f>"B"</f>
        <v>B</v>
      </c>
    </row>
    <row r="1564" spans="1:8" x14ac:dyDescent="0.2">
      <c r="A1564" t="str">
        <f t="shared" si="578"/>
        <v>0614090493</v>
      </c>
      <c r="B1564" t="str">
        <f t="shared" si="579"/>
        <v>AZALIA</v>
      </c>
      <c r="C1564" t="str">
        <f t="shared" si="580"/>
        <v>BLACK</v>
      </c>
      <c r="D1564" t="str">
        <f t="shared" si="581"/>
        <v>09</v>
      </c>
      <c r="E1564" t="str">
        <f>"01 - A - 108 - Dayna M Foster"</f>
        <v>01 - A - 108 - Dayna M Foster</v>
      </c>
      <c r="F1564" t="str">
        <f>"ALGEBRA 1"</f>
        <v>ALGEBRA 1</v>
      </c>
      <c r="G1564" t="str">
        <f>"21-2109"</f>
        <v>21-2109</v>
      </c>
      <c r="H1564" t="str">
        <f>"A"</f>
        <v>A</v>
      </c>
    </row>
    <row r="1565" spans="1:8" x14ac:dyDescent="0.2">
      <c r="A1565" t="str">
        <f t="shared" si="578"/>
        <v>0614090493</v>
      </c>
      <c r="B1565" t="str">
        <f t="shared" si="579"/>
        <v>AZALIA</v>
      </c>
      <c r="C1565" t="str">
        <f t="shared" si="580"/>
        <v>BLACK</v>
      </c>
      <c r="D1565" t="str">
        <f t="shared" si="581"/>
        <v>09</v>
      </c>
      <c r="E1565" t="str">
        <f>"08 - B - 201 - Elizabeth R Walker"</f>
        <v>08 - B - 201 - Elizabeth R Walker</v>
      </c>
      <c r="F1565" t="str">
        <f>"AICE ENG GEN PAPER 1"</f>
        <v>AICE ENG GEN PAPER 1</v>
      </c>
      <c r="G1565" t="str">
        <f>"17-1703"</f>
        <v>17-1703</v>
      </c>
      <c r="H1565" t="str">
        <f>"B"</f>
        <v>B</v>
      </c>
    </row>
    <row r="1566" spans="1:8" x14ac:dyDescent="0.2">
      <c r="A1566" t="str">
        <f t="shared" ref="A1566:A1573" si="582">"0616019843"</f>
        <v>0616019843</v>
      </c>
      <c r="B1566" t="str">
        <f t="shared" ref="B1566:B1573" si="583">"ERIC"</f>
        <v>ERIC</v>
      </c>
      <c r="C1566" t="str">
        <f t="shared" si="580"/>
        <v>BLACK</v>
      </c>
      <c r="D1566">
        <f>10</f>
        <v>10</v>
      </c>
      <c r="E1566" t="str">
        <f>"04 - A - 102 - Byron G Montenegro"</f>
        <v>04 - A - 102 - Byron G Montenegro</v>
      </c>
      <c r="F1566" t="str">
        <f>"AICE MARINE SCI 1 AS"</f>
        <v>AICE MARINE SCI 1 AS</v>
      </c>
      <c r="G1566" t="str">
        <f>"21-2144"</f>
        <v>21-2144</v>
      </c>
      <c r="H1566" t="str">
        <f>"A"</f>
        <v>A</v>
      </c>
    </row>
    <row r="1567" spans="1:8" x14ac:dyDescent="0.2">
      <c r="A1567" t="str">
        <f t="shared" si="582"/>
        <v>0616019843</v>
      </c>
      <c r="B1567" t="str">
        <f t="shared" si="583"/>
        <v>ERIC</v>
      </c>
      <c r="C1567" t="str">
        <f t="shared" si="580"/>
        <v>BLACK</v>
      </c>
      <c r="D1567">
        <f>10</f>
        <v>10</v>
      </c>
      <c r="E1567" t="str">
        <f>"06 - B - 113 - Joe  Kilpatrick Jr"</f>
        <v>06 - B - 113 - Joe  Kilpatrick Jr</v>
      </c>
      <c r="F1567" t="str">
        <f>"NC STUDY HALL 1"</f>
        <v>NC STUDY HALL 1</v>
      </c>
      <c r="G1567" t="str">
        <f>"09-912"</f>
        <v>09-912</v>
      </c>
      <c r="H1567" t="str">
        <f>"B"</f>
        <v>B</v>
      </c>
    </row>
    <row r="1568" spans="1:8" x14ac:dyDescent="0.2">
      <c r="A1568" t="str">
        <f t="shared" si="582"/>
        <v>0616019843</v>
      </c>
      <c r="B1568" t="str">
        <f t="shared" si="583"/>
        <v>ERIC</v>
      </c>
      <c r="C1568" t="str">
        <f t="shared" si="580"/>
        <v>BLACK</v>
      </c>
      <c r="D1568">
        <f>10</f>
        <v>10</v>
      </c>
      <c r="E1568" t="str">
        <f>"03 - S1 - A - 101 - Arthur  Kulawik"</f>
        <v>03 - S1 - A - 101 - Arthur  Kulawik</v>
      </c>
      <c r="F1568" t="str">
        <f>"PERS FIN &amp; MON MGT H"</f>
        <v>PERS FIN &amp; MON MGT H</v>
      </c>
      <c r="G1568" t="str">
        <f>"05-506"</f>
        <v>05-506</v>
      </c>
      <c r="H1568" t="str">
        <f>"A"</f>
        <v>A</v>
      </c>
    </row>
    <row r="1569" spans="1:8" x14ac:dyDescent="0.2">
      <c r="A1569" t="str">
        <f t="shared" si="582"/>
        <v>0616019843</v>
      </c>
      <c r="B1569" t="str">
        <f t="shared" si="583"/>
        <v>ERIC</v>
      </c>
      <c r="C1569" t="str">
        <f t="shared" si="580"/>
        <v>BLACK</v>
      </c>
      <c r="D1569">
        <f>10</f>
        <v>10</v>
      </c>
      <c r="E1569" t="str">
        <f>"02 - A - 102 - Jacklyn M James"</f>
        <v>02 - A - 102 - Jacklyn M James</v>
      </c>
      <c r="F1569" t="str">
        <f>"AICE ENG LANG AS"</f>
        <v>AICE ENG LANG AS</v>
      </c>
      <c r="G1569" t="str">
        <f>"17-1731"</f>
        <v>17-1731</v>
      </c>
      <c r="H1569" t="str">
        <f>"A"</f>
        <v>A</v>
      </c>
    </row>
    <row r="1570" spans="1:8" x14ac:dyDescent="0.2">
      <c r="A1570" t="str">
        <f t="shared" si="582"/>
        <v>0616019843</v>
      </c>
      <c r="B1570" t="str">
        <f t="shared" si="583"/>
        <v>ERIC</v>
      </c>
      <c r="C1570" t="str">
        <f t="shared" si="580"/>
        <v>BLACK</v>
      </c>
      <c r="D1570">
        <f>10</f>
        <v>10</v>
      </c>
      <c r="E1570" t="str">
        <f>"07 - B - 107 - Adam Marcus  Drucker"</f>
        <v>07 - B - 107 - Adam Marcus  Drucker</v>
      </c>
      <c r="F1570" t="str">
        <f>"HOPE-PE V"</f>
        <v>HOPE-PE V</v>
      </c>
      <c r="G1570" t="str">
        <f>"04-254"</f>
        <v>04-254</v>
      </c>
      <c r="H1570" t="str">
        <f>"B"</f>
        <v>B</v>
      </c>
    </row>
    <row r="1571" spans="1:8" x14ac:dyDescent="0.2">
      <c r="A1571" t="str">
        <f t="shared" si="582"/>
        <v>0616019843</v>
      </c>
      <c r="B1571" t="str">
        <f t="shared" si="583"/>
        <v>ERIC</v>
      </c>
      <c r="C1571" t="str">
        <f t="shared" si="580"/>
        <v>BLACK</v>
      </c>
      <c r="D1571">
        <f>10</f>
        <v>10</v>
      </c>
      <c r="E1571" t="str">
        <f>"05 - B - 104 - Joe  Kilpatrick Jr"</f>
        <v>05 - B - 104 - Joe  Kilpatrick Jr</v>
      </c>
      <c r="F1571" t="str">
        <f>"PRE-AICE SPAN 1 IG"</f>
        <v>PRE-AICE SPAN 1 IG</v>
      </c>
      <c r="G1571" t="str">
        <f>"09-912"</f>
        <v>09-912</v>
      </c>
      <c r="H1571" t="str">
        <f>"B"</f>
        <v>B</v>
      </c>
    </row>
    <row r="1572" spans="1:8" x14ac:dyDescent="0.2">
      <c r="A1572" t="str">
        <f t="shared" si="582"/>
        <v>0616019843</v>
      </c>
      <c r="B1572" t="str">
        <f t="shared" si="583"/>
        <v>ERIC</v>
      </c>
      <c r="C1572" t="str">
        <f t="shared" si="580"/>
        <v>BLACK</v>
      </c>
      <c r="D1572">
        <f>10</f>
        <v>10</v>
      </c>
      <c r="E1572" t="str">
        <f>"01 - A - 006 - Emmily A Sarmiento"</f>
        <v>01 - A - 006 - Emmily A Sarmiento</v>
      </c>
      <c r="F1572" t="str">
        <f>"AICE GLBL PERSP 1 AS"</f>
        <v>AICE GLBL PERSP 1 AS</v>
      </c>
      <c r="G1572" t="str">
        <f>"17-1743"</f>
        <v>17-1743</v>
      </c>
      <c r="H1572" t="str">
        <f>"A"</f>
        <v>A</v>
      </c>
    </row>
    <row r="1573" spans="1:8" x14ac:dyDescent="0.2">
      <c r="A1573" t="str">
        <f t="shared" si="582"/>
        <v>0616019843</v>
      </c>
      <c r="B1573" t="str">
        <f t="shared" si="583"/>
        <v>ERIC</v>
      </c>
      <c r="C1573" t="str">
        <f t="shared" si="580"/>
        <v>BLACK</v>
      </c>
      <c r="D1573">
        <f>10</f>
        <v>10</v>
      </c>
      <c r="E1573" t="str">
        <f>"08 - B - 107 - Dayna M Foster"</f>
        <v>08 - B - 107 - Dayna M Foster</v>
      </c>
      <c r="F1573" t="str">
        <f>"ALGEBRA 2"</f>
        <v>ALGEBRA 2</v>
      </c>
      <c r="G1573" t="str">
        <f>"21-2109"</f>
        <v>21-2109</v>
      </c>
      <c r="H1573" t="str">
        <f>"B"</f>
        <v>B</v>
      </c>
    </row>
    <row r="1574" spans="1:8" x14ac:dyDescent="0.2">
      <c r="A1574" t="str">
        <f t="shared" ref="A1574:A1582" si="584">"0613102952"</f>
        <v>0613102952</v>
      </c>
      <c r="B1574" t="str">
        <f t="shared" ref="B1574:B1582" si="585">"PRINCETON"</f>
        <v>PRINCETON</v>
      </c>
      <c r="C1574" t="str">
        <f t="shared" ref="C1574:C1582" si="586">"BLACKMON"</f>
        <v>BLACKMON</v>
      </c>
      <c r="D1574">
        <f>10</f>
        <v>10</v>
      </c>
      <c r="E1574" t="str">
        <f>"04 - A - 205 - Lytrell T Dixon"</f>
        <v>04 - A - 205 - Lytrell T Dixon</v>
      </c>
      <c r="F1574" t="str">
        <f>"BIOLOGY 1"</f>
        <v>BIOLOGY 1</v>
      </c>
      <c r="G1574" t="str">
        <f>"08-808"</f>
        <v>08-808</v>
      </c>
      <c r="H1574" t="str">
        <f>"A"</f>
        <v>A</v>
      </c>
    </row>
    <row r="1575" spans="1:8" x14ac:dyDescent="0.2">
      <c r="A1575" t="str">
        <f t="shared" si="584"/>
        <v>0613102952</v>
      </c>
      <c r="B1575" t="str">
        <f t="shared" si="585"/>
        <v>PRINCETON</v>
      </c>
      <c r="C1575" t="str">
        <f t="shared" si="586"/>
        <v>BLACKMON</v>
      </c>
      <c r="D1575">
        <f>10</f>
        <v>10</v>
      </c>
      <c r="E1575" t="str">
        <f>"06 - B - 003 - Emmily A Sarmiento"</f>
        <v>06 - B - 003 - Emmily A Sarmiento</v>
      </c>
      <c r="F1575" t="str">
        <f>"NC STUDY HALL 1"</f>
        <v>NC STUDY HALL 1</v>
      </c>
      <c r="G1575" t="str">
        <f>"17-1743"</f>
        <v>17-1743</v>
      </c>
      <c r="H1575" t="str">
        <f>"B"</f>
        <v>B</v>
      </c>
    </row>
    <row r="1576" spans="1:8" x14ac:dyDescent="0.2">
      <c r="A1576" t="str">
        <f t="shared" si="584"/>
        <v>0613102952</v>
      </c>
      <c r="B1576" t="str">
        <f t="shared" si="585"/>
        <v>PRINCETON</v>
      </c>
      <c r="C1576" t="str">
        <f t="shared" si="586"/>
        <v>BLACKMON</v>
      </c>
      <c r="D1576">
        <f>10</f>
        <v>10</v>
      </c>
      <c r="E1576" t="str">
        <f>"06 - B - 106 - Eric  Lopapa"</f>
        <v>06 - B - 106 - Eric  Lopapa</v>
      </c>
      <c r="F1576" t="str">
        <f>"LANG THERAPY"</f>
        <v>LANG THERAPY</v>
      </c>
      <c r="G1576" t="str">
        <f>"21-2110"</f>
        <v>21-2110</v>
      </c>
      <c r="H1576" t="str">
        <f>"B"</f>
        <v>B</v>
      </c>
    </row>
    <row r="1577" spans="1:8" x14ac:dyDescent="0.2">
      <c r="A1577" t="str">
        <f t="shared" si="584"/>
        <v>0613102952</v>
      </c>
      <c r="B1577" t="str">
        <f t="shared" si="585"/>
        <v>PRINCETON</v>
      </c>
      <c r="C1577" t="str">
        <f t="shared" si="586"/>
        <v>BLACKMON</v>
      </c>
      <c r="D1577">
        <f>10</f>
        <v>10</v>
      </c>
      <c r="E1577" t="str">
        <f>"03 - A - 002 - Ferrie J Arostique"</f>
        <v>03 - A - 002 - Ferrie J Arostique</v>
      </c>
      <c r="F1577" t="str">
        <f>"GEOMETRY"</f>
        <v>GEOMETRY</v>
      </c>
      <c r="G1577" t="str">
        <f>"21-2139"</f>
        <v>21-2139</v>
      </c>
      <c r="H1577" t="str">
        <f>"A"</f>
        <v>A</v>
      </c>
    </row>
    <row r="1578" spans="1:8" x14ac:dyDescent="0.2">
      <c r="A1578" t="str">
        <f t="shared" si="584"/>
        <v>0613102952</v>
      </c>
      <c r="B1578" t="str">
        <f t="shared" si="585"/>
        <v>PRINCETON</v>
      </c>
      <c r="C1578" t="str">
        <f t="shared" si="586"/>
        <v>BLACKMON</v>
      </c>
      <c r="D1578">
        <f>10</f>
        <v>10</v>
      </c>
      <c r="E1578" t="str">
        <f>"02 - A - 102 - Taraneh C Abreu"</f>
        <v>02 - A - 102 - Taraneh C Abreu</v>
      </c>
      <c r="F1578" t="str">
        <f>"INTENS READ 2"</f>
        <v>INTENS READ 2</v>
      </c>
      <c r="G1578" t="str">
        <f>"17-1713"</f>
        <v>17-1713</v>
      </c>
      <c r="H1578" t="str">
        <f>"A"</f>
        <v>A</v>
      </c>
    </row>
    <row r="1579" spans="1:8" x14ac:dyDescent="0.2">
      <c r="A1579" t="str">
        <f t="shared" si="584"/>
        <v>0613102952</v>
      </c>
      <c r="B1579" t="str">
        <f t="shared" si="585"/>
        <v>PRINCETON</v>
      </c>
      <c r="C1579" t="str">
        <f t="shared" si="586"/>
        <v>BLACKMON</v>
      </c>
      <c r="D1579">
        <f>10</f>
        <v>10</v>
      </c>
      <c r="E1579" t="str">
        <f>"07 - B - 002 - Jazmin S Fletcher"</f>
        <v>07 - B - 002 - Jazmin S Fletcher</v>
      </c>
      <c r="F1579" t="str">
        <f>"THEATRE 1"</f>
        <v>THEATRE 1</v>
      </c>
      <c r="G1579" t="str">
        <f>"09-909"</f>
        <v>09-909</v>
      </c>
      <c r="H1579" t="str">
        <f>"B"</f>
        <v>B</v>
      </c>
    </row>
    <row r="1580" spans="1:8" x14ac:dyDescent="0.2">
      <c r="A1580" t="str">
        <f t="shared" si="584"/>
        <v>0613102952</v>
      </c>
      <c r="B1580" t="str">
        <f t="shared" si="585"/>
        <v>PRINCETON</v>
      </c>
      <c r="C1580" t="str">
        <f t="shared" si="586"/>
        <v>BLACKMON</v>
      </c>
      <c r="D1580">
        <f>10</f>
        <v>10</v>
      </c>
      <c r="E1580" t="str">
        <f>"05 - B - 107 - Nikiel  Nesbeth"</f>
        <v>05 - B - 107 - Nikiel  Nesbeth</v>
      </c>
      <c r="F1580" t="str">
        <f>"ENG 2"</f>
        <v>ENG 2</v>
      </c>
      <c r="G1580" t="str">
        <f>"17-1705"</f>
        <v>17-1705</v>
      </c>
      <c r="H1580" t="str">
        <f>"B"</f>
        <v>B</v>
      </c>
    </row>
    <row r="1581" spans="1:8" x14ac:dyDescent="0.2">
      <c r="A1581" t="str">
        <f t="shared" si="584"/>
        <v>0613102952</v>
      </c>
      <c r="B1581" t="str">
        <f t="shared" si="585"/>
        <v>PRINCETON</v>
      </c>
      <c r="C1581" t="str">
        <f t="shared" si="586"/>
        <v>BLACKMON</v>
      </c>
      <c r="D1581">
        <f>10</f>
        <v>10</v>
      </c>
      <c r="E1581" t="str">
        <f>"01 - A - 101 - Joe  Kilpatrick Jr"</f>
        <v>01 - A - 101 - Joe  Kilpatrick Jr</v>
      </c>
      <c r="F1581" t="str">
        <f>"PRE-AICE SPAN 1 IG"</f>
        <v>PRE-AICE SPAN 1 IG</v>
      </c>
      <c r="G1581" t="str">
        <f>"09-912"</f>
        <v>09-912</v>
      </c>
      <c r="H1581" t="str">
        <f>"A"</f>
        <v>A</v>
      </c>
    </row>
    <row r="1582" spans="1:8" x14ac:dyDescent="0.2">
      <c r="A1582" t="str">
        <f t="shared" si="584"/>
        <v>0613102952</v>
      </c>
      <c r="B1582" t="str">
        <f t="shared" si="585"/>
        <v>PRINCETON</v>
      </c>
      <c r="C1582" t="str">
        <f t="shared" si="586"/>
        <v>BLACKMON</v>
      </c>
      <c r="D1582">
        <f>10</f>
        <v>10</v>
      </c>
      <c r="E1582" t="str">
        <f>"08 - S1 - B - 001 - Carol S Moore"</f>
        <v>08 - S1 - B - 001 - Carol S Moore</v>
      </c>
      <c r="F1582" t="str">
        <f>"PER CAR SCH DEV 1 LH"</f>
        <v>PER CAR SCH DEV 1 LH</v>
      </c>
      <c r="G1582" t="str">
        <f>"17-1733"</f>
        <v>17-1733</v>
      </c>
      <c r="H1582" t="str">
        <f>"B"</f>
        <v>B</v>
      </c>
    </row>
    <row r="1583" spans="1:8" x14ac:dyDescent="0.2">
      <c r="A1583" t="str">
        <f t="shared" ref="A1583:A1590" si="587">"0613093091"</f>
        <v>0613093091</v>
      </c>
      <c r="B1583" t="str">
        <f t="shared" ref="B1583:B1590" si="588">"DEJAH"</f>
        <v>DEJAH</v>
      </c>
      <c r="C1583" t="str">
        <f t="shared" ref="C1583:C1590" si="589">"BLACKWELL"</f>
        <v>BLACKWELL</v>
      </c>
      <c r="D1583">
        <f>11</f>
        <v>11</v>
      </c>
      <c r="E1583" t="str">
        <f>"04 - A - 103 - Cliffon  Saurel"</f>
        <v>04 - A - 103 - Cliffon  Saurel</v>
      </c>
      <c r="F1583" t="str">
        <f>"PHYSICAL SCI"</f>
        <v>PHYSICAL SCI</v>
      </c>
      <c r="G1583" t="str">
        <f>"05-522"</f>
        <v>05-522</v>
      </c>
      <c r="H1583" t="str">
        <f>"A"</f>
        <v>A</v>
      </c>
    </row>
    <row r="1584" spans="1:8" x14ac:dyDescent="0.2">
      <c r="A1584" t="str">
        <f t="shared" si="587"/>
        <v>0613093091</v>
      </c>
      <c r="B1584" t="str">
        <f t="shared" si="588"/>
        <v>DEJAH</v>
      </c>
      <c r="C1584" t="str">
        <f t="shared" si="589"/>
        <v>BLACKWELL</v>
      </c>
      <c r="D1584">
        <f>11</f>
        <v>11</v>
      </c>
      <c r="E1584" t="str">
        <f>"06 - B - 108 - Milca  Exantus"</f>
        <v>06 - B - 108 - Milca  Exantus</v>
      </c>
      <c r="F1584" t="str">
        <f>"MATH COLLEGE LIB ART"</f>
        <v>MATH COLLEGE LIB ART</v>
      </c>
      <c r="G1584" t="str">
        <f>"21-2145"</f>
        <v>21-2145</v>
      </c>
      <c r="H1584" t="str">
        <f>"B"</f>
        <v>B</v>
      </c>
    </row>
    <row r="1585" spans="1:8" x14ac:dyDescent="0.2">
      <c r="A1585" t="str">
        <f t="shared" si="587"/>
        <v>0613093091</v>
      </c>
      <c r="B1585" t="str">
        <f t="shared" si="588"/>
        <v>DEJAH</v>
      </c>
      <c r="C1585" t="str">
        <f t="shared" si="589"/>
        <v>BLACKWELL</v>
      </c>
      <c r="D1585">
        <f>11</f>
        <v>11</v>
      </c>
      <c r="E1585" t="str">
        <f>"03 - A - 106 - Jerry S Jiampetti"</f>
        <v>03 - A - 106 - Jerry S Jiampetti</v>
      </c>
      <c r="F1585" t="str">
        <f>"US HISTORY HON"</f>
        <v>US HISTORY HON</v>
      </c>
      <c r="G1585" t="str">
        <f>"17-1751"</f>
        <v>17-1751</v>
      </c>
      <c r="H1585" t="str">
        <f>"A"</f>
        <v>A</v>
      </c>
    </row>
    <row r="1586" spans="1:8" x14ac:dyDescent="0.2">
      <c r="A1586" t="str">
        <f t="shared" si="587"/>
        <v>0613093091</v>
      </c>
      <c r="B1586" t="str">
        <f t="shared" si="588"/>
        <v>DEJAH</v>
      </c>
      <c r="C1586" t="str">
        <f t="shared" si="589"/>
        <v>BLACKWELL</v>
      </c>
      <c r="D1586">
        <f>11</f>
        <v>11</v>
      </c>
      <c r="E1586" t="str">
        <f>"02 - A - 108 - Stephen T Ripp"</f>
        <v>02 - A - 108 - Stephen T Ripp</v>
      </c>
      <c r="F1586" t="str">
        <f>"NC STUDY HALL 1"</f>
        <v>NC STUDY HALL 1</v>
      </c>
      <c r="G1586" t="str">
        <f>"17-1744"</f>
        <v>17-1744</v>
      </c>
      <c r="H1586" t="str">
        <f>"A"</f>
        <v>A</v>
      </c>
    </row>
    <row r="1587" spans="1:8" x14ac:dyDescent="0.2">
      <c r="A1587" t="str">
        <f t="shared" si="587"/>
        <v>0613093091</v>
      </c>
      <c r="B1587" t="str">
        <f t="shared" si="588"/>
        <v>DEJAH</v>
      </c>
      <c r="C1587" t="str">
        <f t="shared" si="589"/>
        <v>BLACKWELL</v>
      </c>
      <c r="D1587">
        <f>11</f>
        <v>11</v>
      </c>
      <c r="E1587" t="str">
        <f>"07 - B - 101 - Alejandro  Navarro"</f>
        <v>07 - B - 101 - Alejandro  Navarro</v>
      </c>
      <c r="F1587" t="str">
        <f>"EURHY 1"</f>
        <v>EURHY 1</v>
      </c>
      <c r="G1587" t="str">
        <f>"05-504"</f>
        <v>05-504</v>
      </c>
      <c r="H1587" t="str">
        <f>"B"</f>
        <v>B</v>
      </c>
    </row>
    <row r="1588" spans="1:8" x14ac:dyDescent="0.2">
      <c r="A1588" t="str">
        <f t="shared" si="587"/>
        <v>0613093091</v>
      </c>
      <c r="B1588" t="str">
        <f t="shared" si="588"/>
        <v>DEJAH</v>
      </c>
      <c r="C1588" t="str">
        <f t="shared" si="589"/>
        <v>BLACKWELL</v>
      </c>
      <c r="D1588">
        <f>11</f>
        <v>11</v>
      </c>
      <c r="E1588" t="str">
        <f>"05 - B - 103 - Heidi M Knopp"</f>
        <v>05 - B - 103 - Heidi M Knopp</v>
      </c>
      <c r="F1588" t="str">
        <f>"ENG HON 3"</f>
        <v>ENG HON 3</v>
      </c>
      <c r="G1588" t="str">
        <f>"17-1723"</f>
        <v>17-1723</v>
      </c>
      <c r="H1588" t="str">
        <f>"B"</f>
        <v>B</v>
      </c>
    </row>
    <row r="1589" spans="1:8" x14ac:dyDescent="0.2">
      <c r="A1589" t="str">
        <f t="shared" si="587"/>
        <v>0613093091</v>
      </c>
      <c r="B1589" t="str">
        <f t="shared" si="588"/>
        <v>DEJAH</v>
      </c>
      <c r="C1589" t="str">
        <f t="shared" si="589"/>
        <v>BLACKWELL</v>
      </c>
      <c r="D1589">
        <f>11</f>
        <v>11</v>
      </c>
      <c r="E1589" t="str">
        <f>"01 - A - 101 - Adam Marcus  Drucker"</f>
        <v>01 - A - 101 - Adam Marcus  Drucker</v>
      </c>
      <c r="F1589" t="str">
        <f>"HOPE-PE V"</f>
        <v>HOPE-PE V</v>
      </c>
      <c r="G1589" t="str">
        <f>"04-254"</f>
        <v>04-254</v>
      </c>
      <c r="H1589" t="str">
        <f>"A"</f>
        <v>A</v>
      </c>
    </row>
    <row r="1590" spans="1:8" x14ac:dyDescent="0.2">
      <c r="A1590" t="str">
        <f t="shared" si="587"/>
        <v>0613093091</v>
      </c>
      <c r="B1590" t="str">
        <f t="shared" si="588"/>
        <v>DEJAH</v>
      </c>
      <c r="C1590" t="str">
        <f t="shared" si="589"/>
        <v>BLACKWELL</v>
      </c>
      <c r="D1590">
        <f>11</f>
        <v>11</v>
      </c>
      <c r="E1590" t="str">
        <f>"08 - B - 101 - Eva T Rimmer"</f>
        <v>08 - B - 101 - Eva T Rimmer</v>
      </c>
      <c r="F1590" t="str">
        <f>"CRIM JUST OPS 3 HON"</f>
        <v>CRIM JUST OPS 3 HON</v>
      </c>
      <c r="G1590" t="str">
        <f>"05-523"</f>
        <v>05-523</v>
      </c>
      <c r="H1590" t="str">
        <f>"B"</f>
        <v>B</v>
      </c>
    </row>
    <row r="1591" spans="1:8" x14ac:dyDescent="0.2">
      <c r="A1591" t="str">
        <f t="shared" ref="A1591:A1598" si="590">"0615111558"</f>
        <v>0615111558</v>
      </c>
      <c r="B1591" t="str">
        <f t="shared" ref="B1591:B1598" si="591">"BRENIN"</f>
        <v>BRENIN</v>
      </c>
      <c r="C1591" t="str">
        <f t="shared" ref="C1591:C1598" si="592">"BLANAR"</f>
        <v>BLANAR</v>
      </c>
      <c r="D1591">
        <f>10</f>
        <v>10</v>
      </c>
      <c r="E1591" t="str">
        <f>"04 - A - 104 - Courtney E Hambright"</f>
        <v>04 - A - 104 - Courtney E Hambright</v>
      </c>
      <c r="F1591" t="str">
        <f>"AICE ENG LANG AS"</f>
        <v>AICE ENG LANG AS</v>
      </c>
      <c r="G1591" t="str">
        <f>"17-1711"</f>
        <v>17-1711</v>
      </c>
      <c r="H1591" t="str">
        <f>"A"</f>
        <v>A</v>
      </c>
    </row>
    <row r="1592" spans="1:8" x14ac:dyDescent="0.2">
      <c r="A1592" t="str">
        <f t="shared" si="590"/>
        <v>0615111558</v>
      </c>
      <c r="B1592" t="str">
        <f t="shared" si="591"/>
        <v>BRENIN</v>
      </c>
      <c r="C1592" t="str">
        <f t="shared" si="592"/>
        <v>BLANAR</v>
      </c>
      <c r="D1592">
        <f>10</f>
        <v>10</v>
      </c>
      <c r="E1592" t="str">
        <f>"06 - B - 113 - Joe  Kilpatrick Jr"</f>
        <v>06 - B - 113 - Joe  Kilpatrick Jr</v>
      </c>
      <c r="F1592" t="str">
        <f>"NC STUDY HALL 1"</f>
        <v>NC STUDY HALL 1</v>
      </c>
      <c r="G1592" t="str">
        <f>"09-912"</f>
        <v>09-912</v>
      </c>
      <c r="H1592" t="str">
        <f>"B"</f>
        <v>B</v>
      </c>
    </row>
    <row r="1593" spans="1:8" x14ac:dyDescent="0.2">
      <c r="A1593" t="str">
        <f t="shared" si="590"/>
        <v>0615111558</v>
      </c>
      <c r="B1593" t="str">
        <f t="shared" si="591"/>
        <v>BRENIN</v>
      </c>
      <c r="C1593" t="str">
        <f t="shared" si="592"/>
        <v>BLANAR</v>
      </c>
      <c r="D1593">
        <f>10</f>
        <v>10</v>
      </c>
      <c r="E1593" t="str">
        <f>"03 - A - 002 - Lenecy  Nodarse"</f>
        <v>03 - A - 002 - Lenecy  Nodarse</v>
      </c>
      <c r="F1593" t="str">
        <f>"AICE EURO HIST 1 AS"</f>
        <v>AICE EURO HIST 1 AS</v>
      </c>
      <c r="G1593" t="str">
        <f>"17-1741"</f>
        <v>17-1741</v>
      </c>
      <c r="H1593" t="str">
        <f>"A"</f>
        <v>A</v>
      </c>
    </row>
    <row r="1594" spans="1:8" x14ac:dyDescent="0.2">
      <c r="A1594" t="str">
        <f t="shared" si="590"/>
        <v>0615111558</v>
      </c>
      <c r="B1594" t="str">
        <f t="shared" si="591"/>
        <v>BRENIN</v>
      </c>
      <c r="C1594" t="str">
        <f t="shared" si="592"/>
        <v>BLANAR</v>
      </c>
      <c r="D1594">
        <f>10</f>
        <v>10</v>
      </c>
      <c r="E1594" t="str">
        <f>"02 - A - 102 - Vanessa J Liburd"</f>
        <v>02 - A - 102 - Vanessa J Liburd</v>
      </c>
      <c r="F1594" t="str">
        <f>"PRE-AICE FRENCH 2 IG"</f>
        <v>PRE-AICE FRENCH 2 IG</v>
      </c>
      <c r="G1594" t="str">
        <f>"05-519"</f>
        <v>05-519</v>
      </c>
      <c r="H1594" t="str">
        <f>"A"</f>
        <v>A</v>
      </c>
    </row>
    <row r="1595" spans="1:8" x14ac:dyDescent="0.2">
      <c r="A1595" t="str">
        <f t="shared" si="590"/>
        <v>0615111558</v>
      </c>
      <c r="B1595" t="str">
        <f t="shared" si="591"/>
        <v>BRENIN</v>
      </c>
      <c r="C1595" t="str">
        <f t="shared" si="592"/>
        <v>BLANAR</v>
      </c>
      <c r="D1595">
        <f>10</f>
        <v>10</v>
      </c>
      <c r="E1595" t="str">
        <f>"07 - B - 101 - Fernando  Vega-Cid"</f>
        <v>07 - B - 101 - Fernando  Vega-Cid</v>
      </c>
      <c r="F1595" t="str">
        <f>"AP PRECALCULUS"</f>
        <v>AP PRECALCULUS</v>
      </c>
      <c r="G1595" t="str">
        <f>"21-2163"</f>
        <v>21-2163</v>
      </c>
      <c r="H1595" t="str">
        <f>"B"</f>
        <v>B</v>
      </c>
    </row>
    <row r="1596" spans="1:8" x14ac:dyDescent="0.2">
      <c r="A1596" t="str">
        <f t="shared" si="590"/>
        <v>0615111558</v>
      </c>
      <c r="B1596" t="str">
        <f t="shared" si="591"/>
        <v>BRENIN</v>
      </c>
      <c r="C1596" t="str">
        <f t="shared" si="592"/>
        <v>BLANAR</v>
      </c>
      <c r="D1596">
        <f>10</f>
        <v>10</v>
      </c>
      <c r="E1596" t="str">
        <f>"05 - B - 202 - Daniel S Katz"</f>
        <v>05 - B - 202 - Daniel S Katz</v>
      </c>
      <c r="F1596" t="str">
        <f>"EXEC INTERN 3 LH"</f>
        <v>EXEC INTERN 3 LH</v>
      </c>
      <c r="G1596" t="str">
        <f>"21-2156"</f>
        <v>21-2156</v>
      </c>
      <c r="H1596" t="str">
        <f>"B"</f>
        <v>B</v>
      </c>
    </row>
    <row r="1597" spans="1:8" x14ac:dyDescent="0.2">
      <c r="A1597" t="str">
        <f t="shared" si="590"/>
        <v>0615111558</v>
      </c>
      <c r="B1597" t="str">
        <f t="shared" si="591"/>
        <v>BRENIN</v>
      </c>
      <c r="C1597" t="str">
        <f t="shared" si="592"/>
        <v>BLANAR</v>
      </c>
      <c r="D1597">
        <f>10</f>
        <v>10</v>
      </c>
      <c r="E1597" t="str">
        <f>"01 - A - 107 - Valerie J Ruwe"</f>
        <v>01 - A - 107 - Valerie J Ruwe</v>
      </c>
      <c r="F1597" t="str">
        <f>"CHEMISTRY 1 HON"</f>
        <v>CHEMISTRY 1 HON</v>
      </c>
      <c r="G1597" t="str">
        <f>"21-2134"</f>
        <v>21-2134</v>
      </c>
      <c r="H1597" t="str">
        <f>"A"</f>
        <v>A</v>
      </c>
    </row>
    <row r="1598" spans="1:8" x14ac:dyDescent="0.2">
      <c r="A1598" t="str">
        <f t="shared" si="590"/>
        <v>0615111558</v>
      </c>
      <c r="B1598" t="str">
        <f t="shared" si="591"/>
        <v>BRENIN</v>
      </c>
      <c r="C1598" t="str">
        <f t="shared" si="592"/>
        <v>BLANAR</v>
      </c>
      <c r="D1598">
        <f>10</f>
        <v>10</v>
      </c>
      <c r="E1598" t="str">
        <f>"08 - B - 201 - Stacey A Blecker"</f>
        <v>08 - B - 201 - Stacey A Blecker</v>
      </c>
      <c r="F1598" t="str">
        <f>"AICE SOCIOLOGY 1 AS"</f>
        <v>AICE SOCIOLOGY 1 AS</v>
      </c>
      <c r="G1598" t="str">
        <f>"09-926"</f>
        <v>09-926</v>
      </c>
      <c r="H1598" t="str">
        <f>"B"</f>
        <v>B</v>
      </c>
    </row>
    <row r="1599" spans="1:8" x14ac:dyDescent="0.2">
      <c r="A1599" t="str">
        <f t="shared" ref="A1599:A1606" si="593">"0615116442"</f>
        <v>0615116442</v>
      </c>
      <c r="B1599" t="str">
        <f t="shared" ref="B1599:B1606" si="594">"NADINE"</f>
        <v>NADINE</v>
      </c>
      <c r="C1599" t="str">
        <f t="shared" ref="C1599:C1606" si="595">"BLANC"</f>
        <v>BLANC</v>
      </c>
      <c r="D1599">
        <f>10</f>
        <v>10</v>
      </c>
      <c r="E1599" t="str">
        <f>"04 - A - 102 - Fernando  Vega-Cid"</f>
        <v>04 - A - 102 - Fernando  Vega-Cid</v>
      </c>
      <c r="F1599" t="str">
        <f>"PRE-CALCULUS HON"</f>
        <v>PRE-CALCULUS HON</v>
      </c>
      <c r="G1599" t="str">
        <f>"21-2163"</f>
        <v>21-2163</v>
      </c>
      <c r="H1599" t="str">
        <f>"A"</f>
        <v>A</v>
      </c>
    </row>
    <row r="1600" spans="1:8" x14ac:dyDescent="0.2">
      <c r="A1600" t="str">
        <f t="shared" si="593"/>
        <v>0615116442</v>
      </c>
      <c r="B1600" t="str">
        <f t="shared" si="594"/>
        <v>NADINE</v>
      </c>
      <c r="C1600" t="str">
        <f t="shared" si="595"/>
        <v>BLANC</v>
      </c>
      <c r="D1600">
        <f>10</f>
        <v>10</v>
      </c>
      <c r="E1600" t="str">
        <f>"06 - B - 118 - Jeanne M Bermudez"</f>
        <v>06 - B - 118 - Jeanne M Bermudez</v>
      </c>
      <c r="F1600" t="str">
        <f>"NC STUDY HALL 1"</f>
        <v>NC STUDY HALL 1</v>
      </c>
      <c r="G1600" t="str">
        <f>"21-2141"</f>
        <v>21-2141</v>
      </c>
      <c r="H1600" t="str">
        <f>"B"</f>
        <v>B</v>
      </c>
    </row>
    <row r="1601" spans="1:8" x14ac:dyDescent="0.2">
      <c r="A1601" t="str">
        <f t="shared" si="593"/>
        <v>0615116442</v>
      </c>
      <c r="B1601" t="str">
        <f t="shared" si="594"/>
        <v>NADINE</v>
      </c>
      <c r="C1601" t="str">
        <f t="shared" si="595"/>
        <v>BLANC</v>
      </c>
      <c r="D1601">
        <f>10</f>
        <v>10</v>
      </c>
      <c r="E1601" t="str">
        <f>"03 - A - 101 - Samantha L Martinez"</f>
        <v>03 - A - 101 - Samantha L Martinez</v>
      </c>
      <c r="F1601" t="str">
        <f>"VOCAL ENS 1"</f>
        <v>VOCAL ENS 1</v>
      </c>
      <c r="G1601" t="str">
        <f>"05-505"</f>
        <v>05-505</v>
      </c>
      <c r="H1601" t="str">
        <f>"A"</f>
        <v>A</v>
      </c>
    </row>
    <row r="1602" spans="1:8" x14ac:dyDescent="0.2">
      <c r="A1602" t="str">
        <f t="shared" si="593"/>
        <v>0615116442</v>
      </c>
      <c r="B1602" t="str">
        <f t="shared" si="594"/>
        <v>NADINE</v>
      </c>
      <c r="C1602" t="str">
        <f t="shared" si="595"/>
        <v>BLANC</v>
      </c>
      <c r="D1602">
        <f>10</f>
        <v>10</v>
      </c>
      <c r="E1602" t="str">
        <f>"02 - A - 102 - Vanessa J Liburd"</f>
        <v>02 - A - 102 - Vanessa J Liburd</v>
      </c>
      <c r="F1602" t="str">
        <f>"PRE-AICE FRENCH 2 IG"</f>
        <v>PRE-AICE FRENCH 2 IG</v>
      </c>
      <c r="G1602" t="str">
        <f>"05-519"</f>
        <v>05-519</v>
      </c>
      <c r="H1602" t="str">
        <f>"A"</f>
        <v>A</v>
      </c>
    </row>
    <row r="1603" spans="1:8" x14ac:dyDescent="0.2">
      <c r="A1603" t="str">
        <f t="shared" si="593"/>
        <v>0615116442</v>
      </c>
      <c r="B1603" t="str">
        <f t="shared" si="594"/>
        <v>NADINE</v>
      </c>
      <c r="C1603" t="str">
        <f t="shared" si="595"/>
        <v>BLANC</v>
      </c>
      <c r="D1603">
        <f>10</f>
        <v>10</v>
      </c>
      <c r="E1603" t="str">
        <f>"07 - B - 107 - Jacklyn M James"</f>
        <v>07 - B - 107 - Jacklyn M James</v>
      </c>
      <c r="F1603" t="str">
        <f>"AICE ENG LANG AS"</f>
        <v>AICE ENG LANG AS</v>
      </c>
      <c r="G1603" t="str">
        <f>"17-1731"</f>
        <v>17-1731</v>
      </c>
      <c r="H1603" t="str">
        <f>"B"</f>
        <v>B</v>
      </c>
    </row>
    <row r="1604" spans="1:8" x14ac:dyDescent="0.2">
      <c r="A1604" t="str">
        <f t="shared" si="593"/>
        <v>0615116442</v>
      </c>
      <c r="B1604" t="str">
        <f t="shared" si="594"/>
        <v>NADINE</v>
      </c>
      <c r="C1604" t="str">
        <f t="shared" si="595"/>
        <v>BLANC</v>
      </c>
      <c r="D1604">
        <f>10</f>
        <v>10</v>
      </c>
      <c r="E1604" t="str">
        <f>"05 - B - 108 - Valerie J Ruwe"</f>
        <v>05 - B - 108 - Valerie J Ruwe</v>
      </c>
      <c r="F1604" t="str">
        <f>"CHEMISTRY 1 HON"</f>
        <v>CHEMISTRY 1 HON</v>
      </c>
      <c r="G1604" t="str">
        <f>"21-2138"</f>
        <v>21-2138</v>
      </c>
      <c r="H1604" t="str">
        <f>"B"</f>
        <v>B</v>
      </c>
    </row>
    <row r="1605" spans="1:8" x14ac:dyDescent="0.2">
      <c r="A1605" t="str">
        <f t="shared" si="593"/>
        <v>0615116442</v>
      </c>
      <c r="B1605" t="str">
        <f t="shared" si="594"/>
        <v>NADINE</v>
      </c>
      <c r="C1605" t="str">
        <f t="shared" si="595"/>
        <v>BLANC</v>
      </c>
      <c r="D1605">
        <f>10</f>
        <v>10</v>
      </c>
      <c r="E1605" t="str">
        <f>"01 - A - 101 - Marius D Orsolini"</f>
        <v>01 - A - 101 - Marius D Orsolini</v>
      </c>
      <c r="F1605" t="str">
        <f>"CULINARY ARTS 1"</f>
        <v>CULINARY ARTS 1</v>
      </c>
      <c r="G1605" t="str">
        <f>"21-2115"</f>
        <v>21-2115</v>
      </c>
      <c r="H1605" t="str">
        <f>"A"</f>
        <v>A</v>
      </c>
    </row>
    <row r="1606" spans="1:8" x14ac:dyDescent="0.2">
      <c r="A1606" t="str">
        <f t="shared" si="593"/>
        <v>0615116442</v>
      </c>
      <c r="B1606" t="str">
        <f t="shared" si="594"/>
        <v>NADINE</v>
      </c>
      <c r="C1606" t="str">
        <f t="shared" si="595"/>
        <v>BLANC</v>
      </c>
      <c r="D1606">
        <f>10</f>
        <v>10</v>
      </c>
      <c r="E1606" t="str">
        <f>"08 - B - 201 - Lenecy  Nodarse"</f>
        <v>08 - B - 201 - Lenecy  Nodarse</v>
      </c>
      <c r="F1606" t="str">
        <f>"AICE EURO HIST 1 AS"</f>
        <v>AICE EURO HIST 1 AS</v>
      </c>
      <c r="G1606" t="str">
        <f>"17-1741"</f>
        <v>17-1741</v>
      </c>
      <c r="H1606" t="str">
        <f>"B"</f>
        <v>B</v>
      </c>
    </row>
    <row r="1607" spans="1:8" x14ac:dyDescent="0.2">
      <c r="A1607" t="str">
        <f t="shared" ref="A1607:A1614" si="596">"0618073228"</f>
        <v>0618073228</v>
      </c>
      <c r="B1607" t="str">
        <f t="shared" ref="B1607:B1614" si="597">"JENNIFER"</f>
        <v>JENNIFER</v>
      </c>
      <c r="C1607" t="str">
        <f t="shared" ref="C1607:C1614" si="598">"BLANCO"</f>
        <v>BLANCO</v>
      </c>
      <c r="D1607">
        <f>11</f>
        <v>11</v>
      </c>
      <c r="E1607" t="str">
        <f>"04 - A - 101 - Jeanne M Bermudez"</f>
        <v>04 - A - 101 - Jeanne M Bermudez</v>
      </c>
      <c r="F1607" t="str">
        <f>"ADVANCED IT HON"</f>
        <v>ADVANCED IT HON</v>
      </c>
      <c r="G1607" t="str">
        <f>"21-2141"</f>
        <v>21-2141</v>
      </c>
      <c r="H1607" t="str">
        <f>"A"</f>
        <v>A</v>
      </c>
    </row>
    <row r="1608" spans="1:8" x14ac:dyDescent="0.2">
      <c r="A1608" t="str">
        <f t="shared" si="596"/>
        <v>0618073228</v>
      </c>
      <c r="B1608" t="str">
        <f t="shared" si="597"/>
        <v>JENNIFER</v>
      </c>
      <c r="C1608" t="str">
        <f t="shared" si="598"/>
        <v>BLANCO</v>
      </c>
      <c r="D1608">
        <f>11</f>
        <v>11</v>
      </c>
      <c r="E1608" t="str">
        <f>"06 - B - 103 - Helen A Flores"</f>
        <v>06 - B - 103 - Helen A Flores</v>
      </c>
      <c r="F1608" t="str">
        <f>"ALGEBRA 2"</f>
        <v>ALGEBRA 2</v>
      </c>
      <c r="G1608" t="str">
        <f>"21-2101"</f>
        <v>21-2101</v>
      </c>
      <c r="H1608" t="str">
        <f>"B"</f>
        <v>B</v>
      </c>
    </row>
    <row r="1609" spans="1:8" x14ac:dyDescent="0.2">
      <c r="A1609" t="str">
        <f t="shared" si="596"/>
        <v>0618073228</v>
      </c>
      <c r="B1609" t="str">
        <f t="shared" si="597"/>
        <v>JENNIFER</v>
      </c>
      <c r="C1609" t="str">
        <f t="shared" si="598"/>
        <v>BLANCO</v>
      </c>
      <c r="D1609">
        <f>11</f>
        <v>11</v>
      </c>
      <c r="E1609" t="str">
        <f>"03 - A - 102 - Lisa  Quinn"</f>
        <v>03 - A - 102 - Lisa  Quinn</v>
      </c>
      <c r="F1609" t="str">
        <f>"ENG 3"</f>
        <v>ENG 3</v>
      </c>
      <c r="G1609" t="str">
        <f>"17-1725"</f>
        <v>17-1725</v>
      </c>
      <c r="H1609" t="str">
        <f>"A"</f>
        <v>A</v>
      </c>
    </row>
    <row r="1610" spans="1:8" x14ac:dyDescent="0.2">
      <c r="A1610" t="str">
        <f t="shared" si="596"/>
        <v>0618073228</v>
      </c>
      <c r="B1610" t="str">
        <f t="shared" si="597"/>
        <v>JENNIFER</v>
      </c>
      <c r="C1610" t="str">
        <f t="shared" si="598"/>
        <v>BLANCO</v>
      </c>
      <c r="D1610">
        <f>11</f>
        <v>11</v>
      </c>
      <c r="E1610" t="str">
        <f>"02 - A - 117 - Kyle  Robbins"</f>
        <v>02 - A - 117 - Kyle  Robbins</v>
      </c>
      <c r="F1610" t="str">
        <f>"NC STUDY HALL 1"</f>
        <v>NC STUDY HALL 1</v>
      </c>
      <c r="G1610" t="str">
        <f>"17-1745"</f>
        <v>17-1745</v>
      </c>
      <c r="H1610" t="str">
        <f>"A"</f>
        <v>A</v>
      </c>
    </row>
    <row r="1611" spans="1:8" x14ac:dyDescent="0.2">
      <c r="A1611" t="str">
        <f t="shared" si="596"/>
        <v>0618073228</v>
      </c>
      <c r="B1611" t="str">
        <f t="shared" si="597"/>
        <v>JENNIFER</v>
      </c>
      <c r="C1611" t="str">
        <f t="shared" si="598"/>
        <v>BLANCO</v>
      </c>
      <c r="D1611">
        <f>11</f>
        <v>11</v>
      </c>
      <c r="E1611" t="str">
        <f>"07 - B - 102 - Chrystina M Marchionne"</f>
        <v>07 - B - 102 - Chrystina M Marchionne</v>
      </c>
      <c r="F1611" t="str">
        <f>"JOURN 2 (YB) LH"</f>
        <v>JOURN 2 (YB) LH</v>
      </c>
      <c r="G1611" t="str">
        <f>"05-520"</f>
        <v>05-520</v>
      </c>
      <c r="H1611" t="str">
        <f>"B"</f>
        <v>B</v>
      </c>
    </row>
    <row r="1612" spans="1:8" x14ac:dyDescent="0.2">
      <c r="A1612" t="str">
        <f t="shared" si="596"/>
        <v>0618073228</v>
      </c>
      <c r="B1612" t="str">
        <f t="shared" si="597"/>
        <v>JENNIFER</v>
      </c>
      <c r="C1612" t="str">
        <f t="shared" si="598"/>
        <v>BLANCO</v>
      </c>
      <c r="D1612">
        <f>11</f>
        <v>11</v>
      </c>
      <c r="E1612" t="str">
        <f>"05 - B - 207 - Marielle A Witting"</f>
        <v>05 - B - 207 - Marielle A Witting</v>
      </c>
      <c r="F1612" t="str">
        <f>"ANAT PHYSIO"</f>
        <v>ANAT PHYSIO</v>
      </c>
      <c r="G1612" t="str">
        <f>"08-805"</f>
        <v>08-805</v>
      </c>
      <c r="H1612" t="str">
        <f>"B"</f>
        <v>B</v>
      </c>
    </row>
    <row r="1613" spans="1:8" x14ac:dyDescent="0.2">
      <c r="A1613" t="str">
        <f t="shared" si="596"/>
        <v>0618073228</v>
      </c>
      <c r="B1613" t="str">
        <f t="shared" si="597"/>
        <v>JENNIFER</v>
      </c>
      <c r="C1613" t="str">
        <f t="shared" si="598"/>
        <v>BLANCO</v>
      </c>
      <c r="D1613">
        <f>11</f>
        <v>11</v>
      </c>
      <c r="E1613" t="str">
        <f>"01 - A - 101 - Kyle  Robbins"</f>
        <v>01 - A - 101 - Kyle  Robbins</v>
      </c>
      <c r="F1613" t="str">
        <f>"US HISTORY"</f>
        <v>US HISTORY</v>
      </c>
      <c r="G1613" t="str">
        <f>"17-1745"</f>
        <v>17-1745</v>
      </c>
      <c r="H1613" t="str">
        <f>"A"</f>
        <v>A</v>
      </c>
    </row>
    <row r="1614" spans="1:8" x14ac:dyDescent="0.2">
      <c r="A1614" t="str">
        <f t="shared" si="596"/>
        <v>0618073228</v>
      </c>
      <c r="B1614" t="str">
        <f t="shared" si="597"/>
        <v>JENNIFER</v>
      </c>
      <c r="C1614" t="str">
        <f t="shared" si="598"/>
        <v>BLANCO</v>
      </c>
      <c r="D1614">
        <f>11</f>
        <v>11</v>
      </c>
      <c r="E1614" t="str">
        <f>"08 - S1 - B - 105 - James H Mccann"</f>
        <v>08 - S1 - B - 105 - James H Mccann</v>
      </c>
      <c r="F1614" t="str">
        <f>"PERS FIN &amp; MON MGT H"</f>
        <v>PERS FIN &amp; MON MGT H</v>
      </c>
      <c r="G1614" t="str">
        <f>"17-1716"</f>
        <v>17-1716</v>
      </c>
      <c r="H1614" t="str">
        <f>"B"</f>
        <v>B</v>
      </c>
    </row>
    <row r="1615" spans="1:8" x14ac:dyDescent="0.2">
      <c r="A1615" t="str">
        <f t="shared" ref="A1615:A1622" si="599">"0613086082"</f>
        <v>0613086082</v>
      </c>
      <c r="B1615" t="str">
        <f t="shared" ref="B1615:B1622" si="600">"GABRIEL"</f>
        <v>GABRIEL</v>
      </c>
      <c r="C1615" t="str">
        <f t="shared" ref="C1615:C1622" si="601">"BLANDON"</f>
        <v>BLANDON</v>
      </c>
      <c r="D1615">
        <f>12</f>
        <v>12</v>
      </c>
      <c r="E1615" t="str">
        <f>"04 - A - 102 - Samantha L Martinez"</f>
        <v>04 - A - 102 - Samantha L Martinez</v>
      </c>
      <c r="F1615" t="str">
        <f>"KEYBD 1"</f>
        <v>KEYBD 1</v>
      </c>
      <c r="G1615" t="str">
        <f>"05-505"</f>
        <v>05-505</v>
      </c>
      <c r="H1615" t="str">
        <f>"A"</f>
        <v>A</v>
      </c>
    </row>
    <row r="1616" spans="1:8" x14ac:dyDescent="0.2">
      <c r="A1616" t="str">
        <f t="shared" si="599"/>
        <v>0613086082</v>
      </c>
      <c r="B1616" t="str">
        <f t="shared" si="600"/>
        <v>GABRIEL</v>
      </c>
      <c r="C1616" t="str">
        <f t="shared" si="601"/>
        <v>BLANDON</v>
      </c>
      <c r="D1616">
        <f>12</f>
        <v>12</v>
      </c>
      <c r="E1616" t="str">
        <f>"06 - B - 001 - Robert O Burger"</f>
        <v>06 - B - 001 - Robert O Burger</v>
      </c>
      <c r="F1616" t="str">
        <f>"NC STUDY HALL 1"</f>
        <v>NC STUDY HALL 1</v>
      </c>
      <c r="G1616" t="str">
        <f>"17-1755"</f>
        <v>17-1755</v>
      </c>
      <c r="H1616" t="str">
        <f>"B"</f>
        <v>B</v>
      </c>
    </row>
    <row r="1617" spans="1:8" x14ac:dyDescent="0.2">
      <c r="A1617" t="str">
        <f t="shared" si="599"/>
        <v>0613086082</v>
      </c>
      <c r="B1617" t="str">
        <f t="shared" si="600"/>
        <v>GABRIEL</v>
      </c>
      <c r="C1617" t="str">
        <f t="shared" si="601"/>
        <v>BLANDON</v>
      </c>
      <c r="D1617">
        <f>12</f>
        <v>12</v>
      </c>
      <c r="E1617" t="str">
        <f>"03 - A - 101 - Chrystina M Marchionne"</f>
        <v>03 - A - 101 - Chrystina M Marchionne</v>
      </c>
      <c r="F1617" t="str">
        <f>"JOURN 2 (YB) LH"</f>
        <v>JOURN 2 (YB) LH</v>
      </c>
      <c r="G1617" t="str">
        <f>"05-520"</f>
        <v>05-520</v>
      </c>
      <c r="H1617" t="str">
        <f>"A"</f>
        <v>A</v>
      </c>
    </row>
    <row r="1618" spans="1:8" x14ac:dyDescent="0.2">
      <c r="A1618" t="str">
        <f t="shared" si="599"/>
        <v>0613086082</v>
      </c>
      <c r="B1618" t="str">
        <f t="shared" si="600"/>
        <v>GABRIEL</v>
      </c>
      <c r="C1618" t="str">
        <f t="shared" si="601"/>
        <v>BLANDON</v>
      </c>
      <c r="D1618">
        <f>12</f>
        <v>12</v>
      </c>
      <c r="E1618" t="str">
        <f>"02 - A - 107 - Tina M Jaramillo"</f>
        <v>02 - A - 107 - Tina M Jaramillo</v>
      </c>
      <c r="F1618" t="str">
        <f>"AP ENG LIT COMPO"</f>
        <v>AP ENG LIT COMPO</v>
      </c>
      <c r="G1618" t="str">
        <f>"17-1706"</f>
        <v>17-1706</v>
      </c>
      <c r="H1618" t="str">
        <f>"A"</f>
        <v>A</v>
      </c>
    </row>
    <row r="1619" spans="1:8" x14ac:dyDescent="0.2">
      <c r="A1619" t="str">
        <f t="shared" si="599"/>
        <v>0613086082</v>
      </c>
      <c r="B1619" t="str">
        <f t="shared" si="600"/>
        <v>GABRIEL</v>
      </c>
      <c r="C1619" t="str">
        <f t="shared" si="601"/>
        <v>BLANDON</v>
      </c>
      <c r="D1619">
        <f>12</f>
        <v>12</v>
      </c>
      <c r="E1619" t="str">
        <f>"07 - B - 201 - Angela S Adeshina-Morrison"</f>
        <v>07 - B - 201 - Angela S Adeshina-Morrison</v>
      </c>
      <c r="F1619" t="str">
        <f>"BUSINESS OWNER HON"</f>
        <v>BUSINESS OWNER HON</v>
      </c>
      <c r="G1619" t="str">
        <f>"05-518"</f>
        <v>05-518</v>
      </c>
      <c r="H1619" t="str">
        <f>"B"</f>
        <v>B</v>
      </c>
    </row>
    <row r="1620" spans="1:8" x14ac:dyDescent="0.2">
      <c r="A1620" t="str">
        <f t="shared" si="599"/>
        <v>0613086082</v>
      </c>
      <c r="B1620" t="str">
        <f t="shared" si="600"/>
        <v>GABRIEL</v>
      </c>
      <c r="C1620" t="str">
        <f t="shared" si="601"/>
        <v>BLANDON</v>
      </c>
      <c r="D1620">
        <f>12</f>
        <v>12</v>
      </c>
      <c r="E1620" t="str">
        <f>"05 - B - 101 - Pamela M Corzo"</f>
        <v>05 - B - 101 - Pamela M Corzo</v>
      </c>
      <c r="F1620" t="str">
        <f>"AP CALCULUS AB"</f>
        <v>AP CALCULUS AB</v>
      </c>
      <c r="G1620" t="str">
        <f>"21-2133"</f>
        <v>21-2133</v>
      </c>
      <c r="H1620" t="str">
        <f>"B"</f>
        <v>B</v>
      </c>
    </row>
    <row r="1621" spans="1:8" x14ac:dyDescent="0.2">
      <c r="A1621" t="str">
        <f t="shared" si="599"/>
        <v>0613086082</v>
      </c>
      <c r="B1621" t="str">
        <f t="shared" si="600"/>
        <v>GABRIEL</v>
      </c>
      <c r="C1621" t="str">
        <f t="shared" si="601"/>
        <v>BLANDON</v>
      </c>
      <c r="D1621">
        <f>12</f>
        <v>12</v>
      </c>
      <c r="E1621" t="str">
        <f>"01 - A - 101 - Kelly N Panza"</f>
        <v>01 - A - 101 - Kelly N Panza</v>
      </c>
      <c r="F1621" t="str">
        <f>"AP HUMAN GEOG"</f>
        <v>AP HUMAN GEOG</v>
      </c>
      <c r="G1621" t="str">
        <f>"17-1753"</f>
        <v>17-1753</v>
      </c>
      <c r="H1621" t="str">
        <f>"A"</f>
        <v>A</v>
      </c>
    </row>
    <row r="1622" spans="1:8" x14ac:dyDescent="0.2">
      <c r="A1622" t="str">
        <f t="shared" si="599"/>
        <v>0613086082</v>
      </c>
      <c r="B1622" t="str">
        <f t="shared" si="600"/>
        <v>GABRIEL</v>
      </c>
      <c r="C1622" t="str">
        <f t="shared" si="601"/>
        <v>BLANDON</v>
      </c>
      <c r="D1622">
        <f>12</f>
        <v>12</v>
      </c>
      <c r="E1622" t="str">
        <f>"08 - B - 107 - Taraneh C Abreu"</f>
        <v>08 - B - 107 - Taraneh C Abreu</v>
      </c>
      <c r="F1622" t="str">
        <f>"RESEARCH 1 LH"</f>
        <v>RESEARCH 1 LH</v>
      </c>
      <c r="G1622">
        <f>2041</f>
        <v>2041</v>
      </c>
      <c r="H1622" t="str">
        <f>"B"</f>
        <v>B</v>
      </c>
    </row>
    <row r="1623" spans="1:8" x14ac:dyDescent="0.2">
      <c r="A1623" t="str">
        <f t="shared" ref="A1623:A1630" si="602">"0615095146"</f>
        <v>0615095146</v>
      </c>
      <c r="B1623" t="str">
        <f t="shared" ref="B1623:B1630" si="603">"DANIEL"</f>
        <v>DANIEL</v>
      </c>
      <c r="C1623" t="str">
        <f t="shared" ref="C1623:C1630" si="604">"BLENMAN"</f>
        <v>BLENMAN</v>
      </c>
      <c r="D1623" t="str">
        <f t="shared" ref="D1623:D1630" si="605">"09"</f>
        <v>09</v>
      </c>
      <c r="E1623" t="str">
        <f>"04 - A - 104 - Helen A Flores"</f>
        <v>04 - A - 104 - Helen A Flores</v>
      </c>
      <c r="F1623" t="str">
        <f>"FDN SKLS MATH 9-12"</f>
        <v>FDN SKLS MATH 9-12</v>
      </c>
      <c r="G1623" t="str">
        <f>"21-2101"</f>
        <v>21-2101</v>
      </c>
      <c r="H1623" t="str">
        <f>"A"</f>
        <v>A</v>
      </c>
    </row>
    <row r="1624" spans="1:8" x14ac:dyDescent="0.2">
      <c r="A1624" t="str">
        <f t="shared" si="602"/>
        <v>0615095146</v>
      </c>
      <c r="B1624" t="str">
        <f t="shared" si="603"/>
        <v>DANIEL</v>
      </c>
      <c r="C1624" t="str">
        <f t="shared" si="604"/>
        <v>BLENMAN</v>
      </c>
      <c r="D1624" t="str">
        <f t="shared" si="605"/>
        <v>09</v>
      </c>
      <c r="E1624" t="str">
        <f>"06 - B - 106 - Marius D Orsolini"</f>
        <v>06 - B - 106 - Marius D Orsolini</v>
      </c>
      <c r="F1624" t="str">
        <f>"CULINARY ARTS 1"</f>
        <v>CULINARY ARTS 1</v>
      </c>
      <c r="G1624" t="str">
        <f>"21-2115"</f>
        <v>21-2115</v>
      </c>
      <c r="H1624" t="str">
        <f>"B"</f>
        <v>B</v>
      </c>
    </row>
    <row r="1625" spans="1:8" x14ac:dyDescent="0.2">
      <c r="A1625" t="str">
        <f t="shared" si="602"/>
        <v>0615095146</v>
      </c>
      <c r="B1625" t="str">
        <f t="shared" si="603"/>
        <v>DANIEL</v>
      </c>
      <c r="C1625" t="str">
        <f t="shared" si="604"/>
        <v>BLENMAN</v>
      </c>
      <c r="D1625" t="str">
        <f t="shared" si="605"/>
        <v>09</v>
      </c>
      <c r="E1625" t="str">
        <f>"03 - A - 102 - Laselleda D Shaw"</f>
        <v>03 - A - 102 - Laselleda D Shaw</v>
      </c>
      <c r="F1625" t="str">
        <f>"INTENS READ 1"</f>
        <v>INTENS READ 1</v>
      </c>
      <c r="G1625" t="str">
        <f>"17-1723"</f>
        <v>17-1723</v>
      </c>
      <c r="H1625" t="str">
        <f>"A"</f>
        <v>A</v>
      </c>
    </row>
    <row r="1626" spans="1:8" x14ac:dyDescent="0.2">
      <c r="A1626" t="str">
        <f t="shared" si="602"/>
        <v>0615095146</v>
      </c>
      <c r="B1626" t="str">
        <f t="shared" si="603"/>
        <v>DANIEL</v>
      </c>
      <c r="C1626" t="str">
        <f t="shared" si="604"/>
        <v>BLENMAN</v>
      </c>
      <c r="D1626" t="str">
        <f t="shared" si="605"/>
        <v>09</v>
      </c>
      <c r="E1626" t="str">
        <f>"02 - A - 001 - Jazmin S Fletcher"</f>
        <v>02 - A - 001 - Jazmin S Fletcher</v>
      </c>
      <c r="F1626" t="str">
        <f>"NC STUDY HALL 1"</f>
        <v>NC STUDY HALL 1</v>
      </c>
      <c r="G1626" t="str">
        <f>"09-909"</f>
        <v>09-909</v>
      </c>
      <c r="H1626" t="str">
        <f>"A"</f>
        <v>A</v>
      </c>
    </row>
    <row r="1627" spans="1:8" x14ac:dyDescent="0.2">
      <c r="A1627" t="str">
        <f t="shared" si="602"/>
        <v>0615095146</v>
      </c>
      <c r="B1627" t="str">
        <f t="shared" si="603"/>
        <v>DANIEL</v>
      </c>
      <c r="C1627" t="str">
        <f t="shared" si="604"/>
        <v>BLENMAN</v>
      </c>
      <c r="D1627" t="str">
        <f t="shared" si="605"/>
        <v>09</v>
      </c>
      <c r="E1627" t="str">
        <f>"07 - B - 003 - Samantha J Headley"</f>
        <v>07 - B - 003 - Samantha J Headley</v>
      </c>
      <c r="F1627" t="str">
        <f>"ENV SCI"</f>
        <v>ENV SCI</v>
      </c>
      <c r="G1627" t="str">
        <f>"08-802"</f>
        <v>08-802</v>
      </c>
      <c r="H1627" t="str">
        <f>"B"</f>
        <v>B</v>
      </c>
    </row>
    <row r="1628" spans="1:8" x14ac:dyDescent="0.2">
      <c r="A1628" t="str">
        <f t="shared" si="602"/>
        <v>0615095146</v>
      </c>
      <c r="B1628" t="str">
        <f t="shared" si="603"/>
        <v>DANIEL</v>
      </c>
      <c r="C1628" t="str">
        <f t="shared" si="604"/>
        <v>BLENMAN</v>
      </c>
      <c r="D1628" t="str">
        <f t="shared" si="605"/>
        <v>09</v>
      </c>
      <c r="E1628" t="str">
        <f>"05 - B - 104 - Cerine S Stewart"</f>
        <v>05 - B - 104 - Cerine S Stewart</v>
      </c>
      <c r="F1628" t="str">
        <f>"ENG 1"</f>
        <v>ENG 1</v>
      </c>
      <c r="G1628" t="str">
        <f>"17-1720"</f>
        <v>17-1720</v>
      </c>
      <c r="H1628" t="str">
        <f>"B"</f>
        <v>B</v>
      </c>
    </row>
    <row r="1629" spans="1:8" x14ac:dyDescent="0.2">
      <c r="A1629" t="str">
        <f t="shared" si="602"/>
        <v>0615095146</v>
      </c>
      <c r="B1629" t="str">
        <f t="shared" si="603"/>
        <v>DANIEL</v>
      </c>
      <c r="C1629" t="str">
        <f t="shared" si="604"/>
        <v>BLENMAN</v>
      </c>
      <c r="D1629" t="str">
        <f t="shared" si="605"/>
        <v>09</v>
      </c>
      <c r="E1629" t="str">
        <f>"01 - A - 107 - Jazmin S Fletcher"</f>
        <v>01 - A - 107 - Jazmin S Fletcher</v>
      </c>
      <c r="F1629" t="str">
        <f>"WORLD HISTORY"</f>
        <v>WORLD HISTORY</v>
      </c>
      <c r="G1629" t="str">
        <f>"09-909"</f>
        <v>09-909</v>
      </c>
      <c r="H1629" t="str">
        <f>"A"</f>
        <v>A</v>
      </c>
    </row>
    <row r="1630" spans="1:8" x14ac:dyDescent="0.2">
      <c r="A1630" t="str">
        <f t="shared" si="602"/>
        <v>0615095146</v>
      </c>
      <c r="B1630" t="str">
        <f t="shared" si="603"/>
        <v>DANIEL</v>
      </c>
      <c r="C1630" t="str">
        <f t="shared" si="604"/>
        <v>BLENMAN</v>
      </c>
      <c r="D1630" t="str">
        <f t="shared" si="605"/>
        <v>09</v>
      </c>
      <c r="E1630" t="str">
        <f>"08 - B - 106 - Helen A Flores"</f>
        <v>08 - B - 106 - Helen A Flores</v>
      </c>
      <c r="F1630" t="str">
        <f>"ALGEBRA 1"</f>
        <v>ALGEBRA 1</v>
      </c>
      <c r="G1630" t="str">
        <f>"21-2101"</f>
        <v>21-2101</v>
      </c>
      <c r="H1630" t="str">
        <f>"B"</f>
        <v>B</v>
      </c>
    </row>
    <row r="1631" spans="1:8" x14ac:dyDescent="0.2">
      <c r="A1631" t="str">
        <f t="shared" ref="A1631:A1639" si="606">"0614110572"</f>
        <v>0614110572</v>
      </c>
      <c r="B1631" t="str">
        <f t="shared" ref="B1631:B1639" si="607">"AMARION"</f>
        <v>AMARION</v>
      </c>
      <c r="C1631" t="str">
        <f t="shared" ref="C1631:C1647" si="608">"BLOCKTON"</f>
        <v>BLOCKTON</v>
      </c>
      <c r="D1631">
        <f>11</f>
        <v>11</v>
      </c>
      <c r="E1631" t="str">
        <f>"04 - A - 102 - Samantha L Martinez"</f>
        <v>04 - A - 102 - Samantha L Martinez</v>
      </c>
      <c r="F1631" t="str">
        <f>"KEYBD 1"</f>
        <v>KEYBD 1</v>
      </c>
      <c r="G1631" t="str">
        <f>"05-505"</f>
        <v>05-505</v>
      </c>
      <c r="H1631" t="str">
        <f>"A"</f>
        <v>A</v>
      </c>
    </row>
    <row r="1632" spans="1:8" x14ac:dyDescent="0.2">
      <c r="A1632" t="str">
        <f t="shared" si="606"/>
        <v>0614110572</v>
      </c>
      <c r="B1632" t="str">
        <f t="shared" si="607"/>
        <v>AMARION</v>
      </c>
      <c r="C1632" t="str">
        <f t="shared" si="608"/>
        <v>BLOCKTON</v>
      </c>
      <c r="D1632">
        <f>11</f>
        <v>11</v>
      </c>
      <c r="E1632" t="str">
        <f>"06 - B - 105 - Arthur  Kulawik"</f>
        <v>06 - B - 105 - Arthur  Kulawik</v>
      </c>
      <c r="F1632" t="str">
        <f>"ENG 3"</f>
        <v>ENG 3</v>
      </c>
      <c r="G1632" t="str">
        <f>"05-506"</f>
        <v>05-506</v>
      </c>
      <c r="H1632" t="str">
        <f>"B"</f>
        <v>B</v>
      </c>
    </row>
    <row r="1633" spans="1:8" x14ac:dyDescent="0.2">
      <c r="A1633" t="str">
        <f t="shared" si="606"/>
        <v>0614110572</v>
      </c>
      <c r="B1633" t="str">
        <f t="shared" si="607"/>
        <v>AMARION</v>
      </c>
      <c r="C1633" t="str">
        <f t="shared" si="608"/>
        <v>BLOCKTON</v>
      </c>
      <c r="D1633">
        <f>11</f>
        <v>11</v>
      </c>
      <c r="E1633" t="str">
        <f>"03 - A - 104 - Kyle  Robbins"</f>
        <v>03 - A - 104 - Kyle  Robbins</v>
      </c>
      <c r="F1633" t="str">
        <f>"US HISTORY"</f>
        <v>US HISTORY</v>
      </c>
      <c r="G1633" t="str">
        <f>"17-1745"</f>
        <v>17-1745</v>
      </c>
      <c r="H1633" t="str">
        <f>"A"</f>
        <v>A</v>
      </c>
    </row>
    <row r="1634" spans="1:8" x14ac:dyDescent="0.2">
      <c r="A1634" t="str">
        <f t="shared" si="606"/>
        <v>0614110572</v>
      </c>
      <c r="B1634" t="str">
        <f t="shared" si="607"/>
        <v>AMARION</v>
      </c>
      <c r="C1634" t="str">
        <f t="shared" si="608"/>
        <v>BLOCKTON</v>
      </c>
      <c r="D1634">
        <f>11</f>
        <v>11</v>
      </c>
      <c r="E1634" t="str">
        <f>"02 - A - 103 - Kelly N Panza"</f>
        <v>02 - A - 103 - Kelly N Panza</v>
      </c>
      <c r="F1634" t="str">
        <f>"NC STUDY HALL 1"</f>
        <v>NC STUDY HALL 1</v>
      </c>
      <c r="G1634" t="str">
        <f>"17-1753"</f>
        <v>17-1753</v>
      </c>
      <c r="H1634" t="str">
        <f>"A"</f>
        <v>A</v>
      </c>
    </row>
    <row r="1635" spans="1:8" x14ac:dyDescent="0.2">
      <c r="A1635" t="str">
        <f t="shared" si="606"/>
        <v>0614110572</v>
      </c>
      <c r="B1635" t="str">
        <f t="shared" si="607"/>
        <v>AMARION</v>
      </c>
      <c r="C1635" t="str">
        <f t="shared" si="608"/>
        <v>BLOCKTON</v>
      </c>
      <c r="D1635">
        <f>11</f>
        <v>11</v>
      </c>
      <c r="E1635" t="str">
        <f>"02 - A - 112 - Karen A Toomer"</f>
        <v>02 - A - 112 - Karen A Toomer</v>
      </c>
      <c r="F1635" t="str">
        <f>"SPEECH THRPY"</f>
        <v>SPEECH THRPY</v>
      </c>
      <c r="G1635" t="str">
        <f>"21-2110"</f>
        <v>21-2110</v>
      </c>
      <c r="H1635" t="str">
        <f>"A"</f>
        <v>A</v>
      </c>
    </row>
    <row r="1636" spans="1:8" x14ac:dyDescent="0.2">
      <c r="A1636" t="str">
        <f t="shared" si="606"/>
        <v>0614110572</v>
      </c>
      <c r="B1636" t="str">
        <f t="shared" si="607"/>
        <v>AMARION</v>
      </c>
      <c r="C1636" t="str">
        <f t="shared" si="608"/>
        <v>BLOCKTON</v>
      </c>
      <c r="D1636">
        <f>11</f>
        <v>11</v>
      </c>
      <c r="E1636" t="str">
        <f>"07 - B - 002 - Jazmin S Fletcher"</f>
        <v>07 - B - 002 - Jazmin S Fletcher</v>
      </c>
      <c r="F1636" t="str">
        <f>"THEATRE 1"</f>
        <v>THEATRE 1</v>
      </c>
      <c r="G1636" t="str">
        <f>"09-909"</f>
        <v>09-909</v>
      </c>
      <c r="H1636" t="str">
        <f>"B"</f>
        <v>B</v>
      </c>
    </row>
    <row r="1637" spans="1:8" x14ac:dyDescent="0.2">
      <c r="A1637" t="str">
        <f t="shared" si="606"/>
        <v>0614110572</v>
      </c>
      <c r="B1637" t="str">
        <f t="shared" si="607"/>
        <v>AMARION</v>
      </c>
      <c r="C1637" t="str">
        <f t="shared" si="608"/>
        <v>BLOCKTON</v>
      </c>
      <c r="D1637">
        <f>11</f>
        <v>11</v>
      </c>
      <c r="E1637" t="str">
        <f>"05 - B - 204 - Cliffon  Saurel"</f>
        <v>05 - B - 204 - Cliffon  Saurel</v>
      </c>
      <c r="F1637" t="str">
        <f>"PHYSICAL SCI"</f>
        <v>PHYSICAL SCI</v>
      </c>
      <c r="G1637" t="str">
        <f>"05-522"</f>
        <v>05-522</v>
      </c>
      <c r="H1637" t="str">
        <f>"B"</f>
        <v>B</v>
      </c>
    </row>
    <row r="1638" spans="1:8" x14ac:dyDescent="0.2">
      <c r="A1638" t="str">
        <f t="shared" si="606"/>
        <v>0614110572</v>
      </c>
      <c r="B1638" t="str">
        <f t="shared" si="607"/>
        <v>AMARION</v>
      </c>
      <c r="C1638" t="str">
        <f t="shared" si="608"/>
        <v>BLOCKTON</v>
      </c>
      <c r="D1638">
        <f>11</f>
        <v>11</v>
      </c>
      <c r="E1638" t="str">
        <f>"01 - A - 102 - Fernando  Vega-Cid"</f>
        <v>01 - A - 102 - Fernando  Vega-Cid</v>
      </c>
      <c r="F1638" t="str">
        <f>"GEOMETRY"</f>
        <v>GEOMETRY</v>
      </c>
      <c r="G1638" t="str">
        <f>"21-2163"</f>
        <v>21-2163</v>
      </c>
      <c r="H1638" t="str">
        <f>"A"</f>
        <v>A</v>
      </c>
    </row>
    <row r="1639" spans="1:8" x14ac:dyDescent="0.2">
      <c r="A1639" t="str">
        <f t="shared" si="606"/>
        <v>0614110572</v>
      </c>
      <c r="B1639" t="str">
        <f t="shared" si="607"/>
        <v>AMARION</v>
      </c>
      <c r="C1639" t="str">
        <f t="shared" si="608"/>
        <v>BLOCKTON</v>
      </c>
      <c r="D1639">
        <f>11</f>
        <v>11</v>
      </c>
      <c r="E1639" t="str">
        <f>"08 - S1 - B - 001 - Carol S Moore"</f>
        <v>08 - S1 - B - 001 - Carol S Moore</v>
      </c>
      <c r="F1639" t="str">
        <f>"PER CAR SCH DEV 1 LH"</f>
        <v>PER CAR SCH DEV 1 LH</v>
      </c>
      <c r="G1639" t="str">
        <f>"17-1733"</f>
        <v>17-1733</v>
      </c>
      <c r="H1639" t="str">
        <f>"B"</f>
        <v>B</v>
      </c>
    </row>
    <row r="1640" spans="1:8" x14ac:dyDescent="0.2">
      <c r="A1640" t="str">
        <f t="shared" ref="A1640:A1647" si="609">"0614110580"</f>
        <v>0614110580</v>
      </c>
      <c r="B1640" t="str">
        <f t="shared" ref="B1640:B1647" si="610">"ARMANI"</f>
        <v>ARMANI</v>
      </c>
      <c r="C1640" t="str">
        <f t="shared" si="608"/>
        <v>BLOCKTON</v>
      </c>
      <c r="D1640">
        <f>11</f>
        <v>11</v>
      </c>
      <c r="E1640" t="str">
        <f>"04 - S1 - A - 103 - Rory T Sponsler"</f>
        <v>04 - S1 - A - 103 - Rory T Sponsler</v>
      </c>
      <c r="F1640" t="str">
        <f>"WOMENS STUDIES LH"</f>
        <v>WOMENS STUDIES LH</v>
      </c>
      <c r="G1640" t="str">
        <f>"17-1740"</f>
        <v>17-1740</v>
      </c>
      <c r="H1640" t="str">
        <f>"A"</f>
        <v>A</v>
      </c>
    </row>
    <row r="1641" spans="1:8" x14ac:dyDescent="0.2">
      <c r="A1641" t="str">
        <f t="shared" si="609"/>
        <v>0614110580</v>
      </c>
      <c r="B1641" t="str">
        <f t="shared" si="610"/>
        <v>ARMANI</v>
      </c>
      <c r="C1641" t="str">
        <f t="shared" si="608"/>
        <v>BLOCKTON</v>
      </c>
      <c r="D1641">
        <f>11</f>
        <v>11</v>
      </c>
      <c r="E1641" t="str">
        <f>"06 - B - 102 - Angela S Adeshina-Morrison"</f>
        <v>06 - B - 102 - Angela S Adeshina-Morrison</v>
      </c>
      <c r="F1641" t="str">
        <f>"MARKETING ESSENTIALS"</f>
        <v>MARKETING ESSENTIALS</v>
      </c>
      <c r="G1641" t="str">
        <f>"05-518"</f>
        <v>05-518</v>
      </c>
      <c r="H1641" t="str">
        <f>"B"</f>
        <v>B</v>
      </c>
    </row>
    <row r="1642" spans="1:8" x14ac:dyDescent="0.2">
      <c r="A1642" t="str">
        <f t="shared" si="609"/>
        <v>0614110580</v>
      </c>
      <c r="B1642" t="str">
        <f t="shared" si="610"/>
        <v>ARMANI</v>
      </c>
      <c r="C1642" t="str">
        <f t="shared" si="608"/>
        <v>BLOCKTON</v>
      </c>
      <c r="D1642">
        <f>11</f>
        <v>11</v>
      </c>
      <c r="E1642" t="str">
        <f>"03 - A - 102 - Semra  Bahadir"</f>
        <v>03 - A - 102 - Semra  Bahadir</v>
      </c>
      <c r="F1642" t="str">
        <f>"ALGEBRA 2"</f>
        <v>ALGEBRA 2</v>
      </c>
      <c r="G1642" t="str">
        <f>"21-2107"</f>
        <v>21-2107</v>
      </c>
      <c r="H1642" t="str">
        <f>"A"</f>
        <v>A</v>
      </c>
    </row>
    <row r="1643" spans="1:8" x14ac:dyDescent="0.2">
      <c r="A1643" t="str">
        <f t="shared" si="609"/>
        <v>0614110580</v>
      </c>
      <c r="B1643" t="str">
        <f t="shared" si="610"/>
        <v>ARMANI</v>
      </c>
      <c r="C1643" t="str">
        <f t="shared" si="608"/>
        <v>BLOCKTON</v>
      </c>
      <c r="D1643">
        <f>11</f>
        <v>11</v>
      </c>
      <c r="E1643" t="str">
        <f>"02 - A - 001 - Courtney E Hambright"</f>
        <v>02 - A - 001 - Courtney E Hambright</v>
      </c>
      <c r="F1643" t="str">
        <f>"NC STUDY HALL 1"</f>
        <v>NC STUDY HALL 1</v>
      </c>
      <c r="G1643" t="str">
        <f>"17-1711"</f>
        <v>17-1711</v>
      </c>
      <c r="H1643" t="str">
        <f>"A"</f>
        <v>A</v>
      </c>
    </row>
    <row r="1644" spans="1:8" x14ac:dyDescent="0.2">
      <c r="A1644" t="str">
        <f t="shared" si="609"/>
        <v>0614110580</v>
      </c>
      <c r="B1644" t="str">
        <f t="shared" si="610"/>
        <v>ARMANI</v>
      </c>
      <c r="C1644" t="str">
        <f t="shared" si="608"/>
        <v>BLOCKTON</v>
      </c>
      <c r="D1644">
        <f>11</f>
        <v>11</v>
      </c>
      <c r="E1644" t="str">
        <f>"07 - B - 204 - Scott A Dethloff"</f>
        <v>07 - B - 204 - Scott A Dethloff</v>
      </c>
      <c r="F1644" t="str">
        <f>"CHEMISTRY 1"</f>
        <v>CHEMISTRY 1</v>
      </c>
      <c r="G1644" t="str">
        <f>"08-812"</f>
        <v>08-812</v>
      </c>
      <c r="H1644" t="str">
        <f>"B"</f>
        <v>B</v>
      </c>
    </row>
    <row r="1645" spans="1:8" x14ac:dyDescent="0.2">
      <c r="A1645" t="str">
        <f t="shared" si="609"/>
        <v>0614110580</v>
      </c>
      <c r="B1645" t="str">
        <f t="shared" si="610"/>
        <v>ARMANI</v>
      </c>
      <c r="C1645" t="str">
        <f t="shared" si="608"/>
        <v>BLOCKTON</v>
      </c>
      <c r="D1645">
        <f>11</f>
        <v>11</v>
      </c>
      <c r="E1645" t="str">
        <f>"05 - B - 107 - Elizabeth Ellen  Moran"</f>
        <v>05 - B - 107 - Elizabeth Ellen  Moran</v>
      </c>
      <c r="F1645" t="str">
        <f>"US HISTORY"</f>
        <v>US HISTORY</v>
      </c>
      <c r="G1645" t="str">
        <f>"17-1752"</f>
        <v>17-1752</v>
      </c>
      <c r="H1645" t="str">
        <f>"B"</f>
        <v>B</v>
      </c>
    </row>
    <row r="1646" spans="1:8" x14ac:dyDescent="0.2">
      <c r="A1646" t="str">
        <f t="shared" si="609"/>
        <v>0614110580</v>
      </c>
      <c r="B1646" t="str">
        <f t="shared" si="610"/>
        <v>ARMANI</v>
      </c>
      <c r="C1646" t="str">
        <f t="shared" si="608"/>
        <v>BLOCKTON</v>
      </c>
      <c r="D1646">
        <f>11</f>
        <v>11</v>
      </c>
      <c r="E1646" t="str">
        <f>"01 - A - 101 - Lisa  Quinn"</f>
        <v>01 - A - 101 - Lisa  Quinn</v>
      </c>
      <c r="F1646" t="str">
        <f>"ENG 3"</f>
        <v>ENG 3</v>
      </c>
      <c r="G1646" t="str">
        <f>"17-1725"</f>
        <v>17-1725</v>
      </c>
      <c r="H1646" t="str">
        <f>"A"</f>
        <v>A</v>
      </c>
    </row>
    <row r="1647" spans="1:8" x14ac:dyDescent="0.2">
      <c r="A1647" t="str">
        <f t="shared" si="609"/>
        <v>0614110580</v>
      </c>
      <c r="B1647" t="str">
        <f t="shared" si="610"/>
        <v>ARMANI</v>
      </c>
      <c r="C1647" t="str">
        <f t="shared" si="608"/>
        <v>BLOCKTON</v>
      </c>
      <c r="D1647">
        <f>11</f>
        <v>11</v>
      </c>
      <c r="E1647" t="str">
        <f>"08 - S1 - B - 105 - Richard E Dunbar Iii"</f>
        <v>08 - S1 - B - 105 - Richard E Dunbar Iii</v>
      </c>
      <c r="F1647" t="str">
        <f>"WEIGHT TRAIN 1"</f>
        <v>WEIGHT TRAIN 1</v>
      </c>
      <c r="G1647" t="str">
        <f>"05-501"</f>
        <v>05-501</v>
      </c>
      <c r="H1647" t="str">
        <f>"B"</f>
        <v>B</v>
      </c>
    </row>
    <row r="1648" spans="1:8" x14ac:dyDescent="0.2">
      <c r="A1648" t="str">
        <f t="shared" ref="A1648:A1656" si="611">"0613093841"</f>
        <v>0613093841</v>
      </c>
      <c r="B1648" t="str">
        <f t="shared" ref="B1648:B1656" si="612">"LANEY"</f>
        <v>LANEY</v>
      </c>
      <c r="C1648" t="str">
        <f t="shared" ref="C1648:C1656" si="613">"BLYSTONE"</f>
        <v>BLYSTONE</v>
      </c>
      <c r="D1648">
        <f>12</f>
        <v>12</v>
      </c>
      <c r="E1648" t="str">
        <f>"19 - S1 - MTWHF - BCC - Instructor BC"</f>
        <v>19 - S1 - MTWHF - BCC - Instructor BC</v>
      </c>
      <c r="F1648" t="str">
        <f>"WORLD RELIGIONS"</f>
        <v>WORLD RELIGIONS</v>
      </c>
      <c r="G1648" t="str">
        <f>"60-DE"</f>
        <v>60-DE</v>
      </c>
      <c r="H1648" t="str">
        <f>"-"</f>
        <v>-</v>
      </c>
    </row>
    <row r="1649" spans="1:8" x14ac:dyDescent="0.2">
      <c r="A1649" t="str">
        <f t="shared" si="611"/>
        <v>0613093841</v>
      </c>
      <c r="B1649" t="str">
        <f t="shared" si="612"/>
        <v>LANEY</v>
      </c>
      <c r="C1649" t="str">
        <f t="shared" si="613"/>
        <v>BLYSTONE</v>
      </c>
      <c r="D1649">
        <f>12</f>
        <v>12</v>
      </c>
      <c r="E1649" t="str">
        <f>"04 - A - 106 - Tina M Jaramillo"</f>
        <v>04 - A - 106 - Tina M Jaramillo</v>
      </c>
      <c r="F1649" t="str">
        <f>"AP ENG LIT COMPO"</f>
        <v>AP ENG LIT COMPO</v>
      </c>
      <c r="G1649" t="str">
        <f>"17-1706"</f>
        <v>17-1706</v>
      </c>
      <c r="H1649" t="str">
        <f>"A"</f>
        <v>A</v>
      </c>
    </row>
    <row r="1650" spans="1:8" x14ac:dyDescent="0.2">
      <c r="A1650" t="str">
        <f t="shared" si="611"/>
        <v>0613093841</v>
      </c>
      <c r="B1650" t="str">
        <f t="shared" si="612"/>
        <v>LANEY</v>
      </c>
      <c r="C1650" t="str">
        <f t="shared" si="613"/>
        <v>BLYSTONE</v>
      </c>
      <c r="D1650">
        <f>12</f>
        <v>12</v>
      </c>
      <c r="E1650" t="str">
        <f>"06 - B - 110 - Barbara L Segal"</f>
        <v>06 - B - 110 - Barbara L Segal</v>
      </c>
      <c r="F1650" t="str">
        <f>"NC STUDY HALL 1"</f>
        <v>NC STUDY HALL 1</v>
      </c>
      <c r="G1650" t="str">
        <f>"17-1742"</f>
        <v>17-1742</v>
      </c>
      <c r="H1650" t="str">
        <f>"B"</f>
        <v>B</v>
      </c>
    </row>
    <row r="1651" spans="1:8" x14ac:dyDescent="0.2">
      <c r="A1651" t="str">
        <f t="shared" si="611"/>
        <v>0613093841</v>
      </c>
      <c r="B1651" t="str">
        <f t="shared" si="612"/>
        <v>LANEY</v>
      </c>
      <c r="C1651" t="str">
        <f t="shared" si="613"/>
        <v>BLYSTONE</v>
      </c>
      <c r="D1651">
        <f>12</f>
        <v>12</v>
      </c>
      <c r="E1651" t="str">
        <f>"03 - A - 101 - Lisa J London"</f>
        <v>03 - A - 101 - Lisa J London</v>
      </c>
      <c r="F1651" t="str">
        <f>"AP CAPSTONE RESEARCH"</f>
        <v>AP CAPSTONE RESEARCH</v>
      </c>
      <c r="G1651" t="str">
        <f>"17-1714"</f>
        <v>17-1714</v>
      </c>
      <c r="H1651" t="str">
        <f>"A"</f>
        <v>A</v>
      </c>
    </row>
    <row r="1652" spans="1:8" x14ac:dyDescent="0.2">
      <c r="A1652" t="str">
        <f t="shared" si="611"/>
        <v>0613093841</v>
      </c>
      <c r="B1652" t="str">
        <f t="shared" si="612"/>
        <v>LANEY</v>
      </c>
      <c r="C1652" t="str">
        <f t="shared" si="613"/>
        <v>BLYSTONE</v>
      </c>
      <c r="D1652">
        <f>12</f>
        <v>12</v>
      </c>
      <c r="E1652" t="str">
        <f>"02 - A - 102 - Marielle A Witting"</f>
        <v>02 - A - 102 - Marielle A Witting</v>
      </c>
      <c r="F1652" t="str">
        <f>"AP BIO"</f>
        <v>AP BIO</v>
      </c>
      <c r="G1652" t="str">
        <f>"08-805"</f>
        <v>08-805</v>
      </c>
      <c r="H1652" t="str">
        <f>"A"</f>
        <v>A</v>
      </c>
    </row>
    <row r="1653" spans="1:8" x14ac:dyDescent="0.2">
      <c r="A1653" t="str">
        <f t="shared" si="611"/>
        <v>0613093841</v>
      </c>
      <c r="B1653" t="str">
        <f t="shared" si="612"/>
        <v>LANEY</v>
      </c>
      <c r="C1653" t="str">
        <f t="shared" si="613"/>
        <v>BLYSTONE</v>
      </c>
      <c r="D1653">
        <f>12</f>
        <v>12</v>
      </c>
      <c r="E1653" t="str">
        <f>"07 - S1 - B - 101 - Daniel S Katz"</f>
        <v>07 - S1 - B - 101 - Daniel S Katz</v>
      </c>
      <c r="F1653" t="str">
        <f>"CRIMINAL LAW"</f>
        <v>CRIMINAL LAW</v>
      </c>
      <c r="G1653" t="str">
        <f>"21-2156"</f>
        <v>21-2156</v>
      </c>
      <c r="H1653" t="str">
        <f>"B"</f>
        <v>B</v>
      </c>
    </row>
    <row r="1654" spans="1:8" x14ac:dyDescent="0.2">
      <c r="A1654" t="str">
        <f t="shared" si="611"/>
        <v>0613093841</v>
      </c>
      <c r="B1654" t="str">
        <f t="shared" si="612"/>
        <v>LANEY</v>
      </c>
      <c r="C1654" t="str">
        <f t="shared" si="613"/>
        <v>BLYSTONE</v>
      </c>
      <c r="D1654">
        <f>12</f>
        <v>12</v>
      </c>
      <c r="E1654" t="str">
        <f>"05 - B - 101 - Jordana K Hass"</f>
        <v>05 - B - 101 - Jordana K Hass</v>
      </c>
      <c r="F1654" t="str">
        <f>"AP COMP SCI PRIN"</f>
        <v>AP COMP SCI PRIN</v>
      </c>
      <c r="G1654" t="str">
        <f>"08-807"</f>
        <v>08-807</v>
      </c>
      <c r="H1654" t="str">
        <f>"B"</f>
        <v>B</v>
      </c>
    </row>
    <row r="1655" spans="1:8" x14ac:dyDescent="0.2">
      <c r="A1655" t="str">
        <f t="shared" si="611"/>
        <v>0613093841</v>
      </c>
      <c r="B1655" t="str">
        <f t="shared" si="612"/>
        <v>LANEY</v>
      </c>
      <c r="C1655" t="str">
        <f t="shared" si="613"/>
        <v>BLYSTONE</v>
      </c>
      <c r="D1655">
        <f>12</f>
        <v>12</v>
      </c>
      <c r="E1655" t="str">
        <f>"01 - A - 201 - Pamela M Corzo"</f>
        <v>01 - A - 201 - Pamela M Corzo</v>
      </c>
      <c r="F1655" t="str">
        <f>"AP CALCULUS BC"</f>
        <v>AP CALCULUS BC</v>
      </c>
      <c r="G1655" t="str">
        <f>"21-2133"</f>
        <v>21-2133</v>
      </c>
      <c r="H1655" t="str">
        <f>"A"</f>
        <v>A</v>
      </c>
    </row>
    <row r="1656" spans="1:8" x14ac:dyDescent="0.2">
      <c r="A1656" t="str">
        <f t="shared" si="611"/>
        <v>0613093841</v>
      </c>
      <c r="B1656" t="str">
        <f t="shared" si="612"/>
        <v>LANEY</v>
      </c>
      <c r="C1656" t="str">
        <f t="shared" si="613"/>
        <v>BLYSTONE</v>
      </c>
      <c r="D1656">
        <f>12</f>
        <v>12</v>
      </c>
      <c r="E1656" t="str">
        <f>"08 - S1 - B - 102 - Stephen T Ripp"</f>
        <v>08 - S1 - B - 102 - Stephen T Ripp</v>
      </c>
      <c r="F1656" t="str">
        <f>"AP US GOVT/POL"</f>
        <v>AP US GOVT/POL</v>
      </c>
      <c r="G1656" t="str">
        <f>"17-1744"</f>
        <v>17-1744</v>
      </c>
      <c r="H1656" t="str">
        <f>"B"</f>
        <v>B</v>
      </c>
    </row>
    <row r="1657" spans="1:8" x14ac:dyDescent="0.2">
      <c r="A1657" t="str">
        <f t="shared" ref="A1657:A1664" si="614">"0613119430"</f>
        <v>0613119430</v>
      </c>
      <c r="B1657" t="str">
        <f t="shared" ref="B1657:B1664" si="615">"GINGER"</f>
        <v>GINGER</v>
      </c>
      <c r="C1657" t="str">
        <f t="shared" ref="C1657:C1664" si="616">"BOARDMAN"</f>
        <v>BOARDMAN</v>
      </c>
      <c r="D1657">
        <f>12</f>
        <v>12</v>
      </c>
      <c r="E1657" t="str">
        <f>"04 - A - 205 - Jacqueline R Morphet"</f>
        <v>04 - A - 205 - Jacqueline R Morphet</v>
      </c>
      <c r="F1657" t="str">
        <f>"PHYSICS 1 HON"</f>
        <v>PHYSICS 1 HON</v>
      </c>
      <c r="G1657" t="str">
        <f>"21-2138"</f>
        <v>21-2138</v>
      </c>
      <c r="H1657" t="str">
        <f>"A"</f>
        <v>A</v>
      </c>
    </row>
    <row r="1658" spans="1:8" x14ac:dyDescent="0.2">
      <c r="A1658" t="str">
        <f t="shared" si="614"/>
        <v>0613119430</v>
      </c>
      <c r="B1658" t="str">
        <f t="shared" si="615"/>
        <v>GINGER</v>
      </c>
      <c r="C1658" t="str">
        <f t="shared" si="616"/>
        <v>BOARDMAN</v>
      </c>
      <c r="D1658">
        <f>12</f>
        <v>12</v>
      </c>
      <c r="E1658" t="str">
        <f>"06 - B - 111 - James H Mccann"</f>
        <v>06 - B - 111 - James H Mccann</v>
      </c>
      <c r="F1658" t="str">
        <f>"NC STUDY HALL 1"</f>
        <v>NC STUDY HALL 1</v>
      </c>
      <c r="G1658" t="str">
        <f>"17-1716"</f>
        <v>17-1716</v>
      </c>
      <c r="H1658" t="str">
        <f>"B"</f>
        <v>B</v>
      </c>
    </row>
    <row r="1659" spans="1:8" x14ac:dyDescent="0.2">
      <c r="A1659" t="str">
        <f t="shared" si="614"/>
        <v>0613119430</v>
      </c>
      <c r="B1659" t="str">
        <f t="shared" si="615"/>
        <v>GINGER</v>
      </c>
      <c r="C1659" t="str">
        <f t="shared" si="616"/>
        <v>BOARDMAN</v>
      </c>
      <c r="D1659">
        <f>12</f>
        <v>12</v>
      </c>
      <c r="E1659" t="str">
        <f>"03 - A - 101 - Jeffrey S Gallagher"</f>
        <v>03 - A - 101 - Jeffrey S Gallagher</v>
      </c>
      <c r="F1659" t="str">
        <f>"ENG HON 4"</f>
        <v>ENG HON 4</v>
      </c>
      <c r="G1659" t="str">
        <f>"17-1724"</f>
        <v>17-1724</v>
      </c>
      <c r="H1659" t="str">
        <f>"A"</f>
        <v>A</v>
      </c>
    </row>
    <row r="1660" spans="1:8" x14ac:dyDescent="0.2">
      <c r="A1660" t="str">
        <f t="shared" si="614"/>
        <v>0613119430</v>
      </c>
      <c r="B1660" t="str">
        <f t="shared" si="615"/>
        <v>GINGER</v>
      </c>
      <c r="C1660" t="str">
        <f t="shared" si="616"/>
        <v>BOARDMAN</v>
      </c>
      <c r="D1660">
        <f>12</f>
        <v>12</v>
      </c>
      <c r="E1660" t="str">
        <f>"02 - A - 102 - Daniel S Tyson"</f>
        <v>02 - A - 102 - Daniel S Tyson</v>
      </c>
      <c r="F1660" t="str">
        <f>"JROTC NAVAL SCI 1"</f>
        <v>JROTC NAVAL SCI 1</v>
      </c>
      <c r="G1660" t="str">
        <f>"05-510"</f>
        <v>05-510</v>
      </c>
      <c r="H1660" t="str">
        <f>"A"</f>
        <v>A</v>
      </c>
    </row>
    <row r="1661" spans="1:8" x14ac:dyDescent="0.2">
      <c r="A1661" t="str">
        <f t="shared" si="614"/>
        <v>0613119430</v>
      </c>
      <c r="B1661" t="str">
        <f t="shared" si="615"/>
        <v>GINGER</v>
      </c>
      <c r="C1661" t="str">
        <f t="shared" si="616"/>
        <v>BOARDMAN</v>
      </c>
      <c r="D1661">
        <f>12</f>
        <v>12</v>
      </c>
      <c r="E1661" t="str">
        <f>"07 - B - 101 - Bruce A Evans"</f>
        <v>07 - B - 101 - Bruce A Evans</v>
      </c>
      <c r="F1661" t="str">
        <f>"FIREFIGHTING 1 LH"</f>
        <v>FIREFIGHTING 1 LH</v>
      </c>
      <c r="G1661" t="str">
        <f>"21-2142"</f>
        <v>21-2142</v>
      </c>
      <c r="H1661" t="str">
        <f>"B"</f>
        <v>B</v>
      </c>
    </row>
    <row r="1662" spans="1:8" x14ac:dyDescent="0.2">
      <c r="A1662" t="str">
        <f t="shared" si="614"/>
        <v>0613119430</v>
      </c>
      <c r="B1662" t="str">
        <f t="shared" si="615"/>
        <v>GINGER</v>
      </c>
      <c r="C1662" t="str">
        <f t="shared" si="616"/>
        <v>BOARDMAN</v>
      </c>
      <c r="D1662">
        <f>12</f>
        <v>12</v>
      </c>
      <c r="E1662" t="str">
        <f>"05 - B - 105 - Norayda D Suarez"</f>
        <v>05 - B - 105 - Norayda D Suarez</v>
      </c>
      <c r="F1662" t="str">
        <f>"RESEARCH 1 LH"</f>
        <v>RESEARCH 1 LH</v>
      </c>
      <c r="G1662">
        <f>2041</f>
        <v>2041</v>
      </c>
      <c r="H1662" t="str">
        <f>"B"</f>
        <v>B</v>
      </c>
    </row>
    <row r="1663" spans="1:8" x14ac:dyDescent="0.2">
      <c r="A1663" t="str">
        <f t="shared" si="614"/>
        <v>0613119430</v>
      </c>
      <c r="B1663" t="str">
        <f t="shared" si="615"/>
        <v>GINGER</v>
      </c>
      <c r="C1663" t="str">
        <f t="shared" si="616"/>
        <v>BOARDMAN</v>
      </c>
      <c r="D1663">
        <f>12</f>
        <v>12</v>
      </c>
      <c r="E1663" t="str">
        <f>"01 - A - 102 - Robert H Rindner"</f>
        <v>01 - A - 102 - Robert H Rindner</v>
      </c>
      <c r="F1663" t="str">
        <f>"MATH DATA&amp;FIN LIT H"</f>
        <v>MATH DATA&amp;FIN LIT H</v>
      </c>
      <c r="G1663" t="str">
        <f>"21-2160"</f>
        <v>21-2160</v>
      </c>
      <c r="H1663" t="str">
        <f>"A"</f>
        <v>A</v>
      </c>
    </row>
    <row r="1664" spans="1:8" x14ac:dyDescent="0.2">
      <c r="A1664" t="str">
        <f t="shared" si="614"/>
        <v>0613119430</v>
      </c>
      <c r="B1664" t="str">
        <f t="shared" si="615"/>
        <v>GINGER</v>
      </c>
      <c r="C1664" t="str">
        <f t="shared" si="616"/>
        <v>BOARDMAN</v>
      </c>
      <c r="D1664">
        <f>12</f>
        <v>12</v>
      </c>
      <c r="E1664" t="str">
        <f>"08 - S1 - B - 105 - Kelly N Panza"</f>
        <v>08 - S1 - B - 105 - Kelly N Panza</v>
      </c>
      <c r="F1664" t="str">
        <f>"US GOVT HON"</f>
        <v>US GOVT HON</v>
      </c>
      <c r="G1664" t="str">
        <f>"17-1753"</f>
        <v>17-1753</v>
      </c>
      <c r="H1664" t="str">
        <f>"B"</f>
        <v>B</v>
      </c>
    </row>
    <row r="1665" spans="1:8" x14ac:dyDescent="0.2">
      <c r="A1665" t="str">
        <f t="shared" ref="A1665:A1672" si="617">"0617065278"</f>
        <v>0617065278</v>
      </c>
      <c r="B1665" t="str">
        <f t="shared" ref="B1665:B1672" si="618">"MAKAYLA"</f>
        <v>MAKAYLA</v>
      </c>
      <c r="C1665" t="str">
        <f t="shared" ref="C1665:C1672" si="619">"BOBISH"</f>
        <v>BOBISH</v>
      </c>
      <c r="D1665" t="str">
        <f t="shared" ref="D1665:D1672" si="620">"09"</f>
        <v>09</v>
      </c>
      <c r="E1665" t="str">
        <f>"04 - A - 106 - Lissa C Frederique"</f>
        <v>04 - A - 106 - Lissa C Frederique</v>
      </c>
      <c r="F1665" t="str">
        <f>"WORLD HISTORY"</f>
        <v>WORLD HISTORY</v>
      </c>
      <c r="G1665" t="str">
        <f>"17-1754"</f>
        <v>17-1754</v>
      </c>
      <c r="H1665" t="str">
        <f>"A"</f>
        <v>A</v>
      </c>
    </row>
    <row r="1666" spans="1:8" x14ac:dyDescent="0.2">
      <c r="A1666" t="str">
        <f t="shared" si="617"/>
        <v>0617065278</v>
      </c>
      <c r="B1666" t="str">
        <f t="shared" si="618"/>
        <v>MAKAYLA</v>
      </c>
      <c r="C1666" t="str">
        <f t="shared" si="619"/>
        <v>BOBISH</v>
      </c>
      <c r="D1666" t="str">
        <f t="shared" si="620"/>
        <v>09</v>
      </c>
      <c r="E1666" t="str">
        <f>"06 - S1 - B - 104 - Leslie J Barton"</f>
        <v>06 - S1 - B - 104 - Leslie J Barton</v>
      </c>
      <c r="F1666" t="str">
        <f>"FIRST AID SAFETY"</f>
        <v>FIRST AID SAFETY</v>
      </c>
      <c r="G1666" t="str">
        <f>"05-521"</f>
        <v>05-521</v>
      </c>
      <c r="H1666" t="str">
        <f>"B"</f>
        <v>B</v>
      </c>
    </row>
    <row r="1667" spans="1:8" x14ac:dyDescent="0.2">
      <c r="A1667" t="str">
        <f t="shared" si="617"/>
        <v>0617065278</v>
      </c>
      <c r="B1667" t="str">
        <f t="shared" si="618"/>
        <v>MAKAYLA</v>
      </c>
      <c r="C1667" t="str">
        <f t="shared" si="619"/>
        <v>BOBISH</v>
      </c>
      <c r="D1667" t="str">
        <f t="shared" si="620"/>
        <v>09</v>
      </c>
      <c r="E1667" t="str">
        <f>"03 - A - 102 - Laselleda D Shaw"</f>
        <v>03 - A - 102 - Laselleda D Shaw</v>
      </c>
      <c r="F1667" t="str">
        <f>"INTENS READ 1"</f>
        <v>INTENS READ 1</v>
      </c>
      <c r="G1667" t="str">
        <f>"17-1723"</f>
        <v>17-1723</v>
      </c>
      <c r="H1667" t="str">
        <f>"A"</f>
        <v>A</v>
      </c>
    </row>
    <row r="1668" spans="1:8" x14ac:dyDescent="0.2">
      <c r="A1668" t="str">
        <f t="shared" si="617"/>
        <v>0617065278</v>
      </c>
      <c r="B1668" t="str">
        <f t="shared" si="618"/>
        <v>MAKAYLA</v>
      </c>
      <c r="C1668" t="str">
        <f t="shared" si="619"/>
        <v>BOBISH</v>
      </c>
      <c r="D1668" t="str">
        <f t="shared" si="620"/>
        <v>09</v>
      </c>
      <c r="E1668" t="str">
        <f>"02 - A - 103 - Arthur  Kulawik"</f>
        <v>02 - A - 103 - Arthur  Kulawik</v>
      </c>
      <c r="F1668" t="str">
        <f>"NC STUDY HALL 1"</f>
        <v>NC STUDY HALL 1</v>
      </c>
      <c r="G1668" t="str">
        <f>"05-506"</f>
        <v>05-506</v>
      </c>
      <c r="H1668" t="str">
        <f>"A"</f>
        <v>A</v>
      </c>
    </row>
    <row r="1669" spans="1:8" x14ac:dyDescent="0.2">
      <c r="A1669" t="str">
        <f t="shared" si="617"/>
        <v>0617065278</v>
      </c>
      <c r="B1669" t="str">
        <f t="shared" si="618"/>
        <v>MAKAYLA</v>
      </c>
      <c r="C1669" t="str">
        <f t="shared" si="619"/>
        <v>BOBISH</v>
      </c>
      <c r="D1669" t="str">
        <f t="shared" si="620"/>
        <v>09</v>
      </c>
      <c r="E1669" t="str">
        <f>"07 - B - 107 - Adam Marcus  Drucker"</f>
        <v>07 - B - 107 - Adam Marcus  Drucker</v>
      </c>
      <c r="F1669" t="str">
        <f>"HOPE-PE V"</f>
        <v>HOPE-PE V</v>
      </c>
      <c r="G1669" t="str">
        <f>"04-254"</f>
        <v>04-254</v>
      </c>
      <c r="H1669" t="str">
        <f>"B"</f>
        <v>B</v>
      </c>
    </row>
    <row r="1670" spans="1:8" x14ac:dyDescent="0.2">
      <c r="A1670" t="str">
        <f t="shared" si="617"/>
        <v>0617065278</v>
      </c>
      <c r="B1670" t="str">
        <f t="shared" si="618"/>
        <v>MAKAYLA</v>
      </c>
      <c r="C1670" t="str">
        <f t="shared" si="619"/>
        <v>BOBISH</v>
      </c>
      <c r="D1670" t="str">
        <f t="shared" si="620"/>
        <v>09</v>
      </c>
      <c r="E1670" t="str">
        <f>"05 - B - 102 - Tina L Lovett"</f>
        <v>05 - B - 102 - Tina L Lovett</v>
      </c>
      <c r="F1670" t="str">
        <f>"PRE-AICE MATH 1 IG"</f>
        <v>PRE-AICE MATH 1 IG</v>
      </c>
      <c r="G1670" t="str">
        <f>"21-2153"</f>
        <v>21-2153</v>
      </c>
      <c r="H1670" t="str">
        <f>"B"</f>
        <v>B</v>
      </c>
    </row>
    <row r="1671" spans="1:8" x14ac:dyDescent="0.2">
      <c r="A1671" t="str">
        <f t="shared" si="617"/>
        <v>0617065278</v>
      </c>
      <c r="B1671" t="str">
        <f t="shared" si="618"/>
        <v>MAKAYLA</v>
      </c>
      <c r="C1671" t="str">
        <f t="shared" si="619"/>
        <v>BOBISH</v>
      </c>
      <c r="D1671" t="str">
        <f t="shared" si="620"/>
        <v>09</v>
      </c>
      <c r="E1671" t="str">
        <f>"01 - A - 103 - Amy Beth  Broyles"</f>
        <v>01 - A - 103 - Amy Beth  Broyles</v>
      </c>
      <c r="F1671" t="str">
        <f>"ENV SCI"</f>
        <v>ENV SCI</v>
      </c>
      <c r="G1671" t="str">
        <f>"08-802"</f>
        <v>08-802</v>
      </c>
      <c r="H1671" t="str">
        <f>"A"</f>
        <v>A</v>
      </c>
    </row>
    <row r="1672" spans="1:8" x14ac:dyDescent="0.2">
      <c r="A1672" t="str">
        <f t="shared" si="617"/>
        <v>0617065278</v>
      </c>
      <c r="B1672" t="str">
        <f t="shared" si="618"/>
        <v>MAKAYLA</v>
      </c>
      <c r="C1672" t="str">
        <f t="shared" si="619"/>
        <v>BOBISH</v>
      </c>
      <c r="D1672" t="str">
        <f t="shared" si="620"/>
        <v>09</v>
      </c>
      <c r="E1672" t="str">
        <f>"08 - B - 108 - Cerine S Stewart"</f>
        <v>08 - B - 108 - Cerine S Stewart</v>
      </c>
      <c r="F1672" t="str">
        <f>"ENG 1"</f>
        <v>ENG 1</v>
      </c>
      <c r="G1672" t="str">
        <f>"17-1720"</f>
        <v>17-1720</v>
      </c>
      <c r="H1672" t="str">
        <f>"B"</f>
        <v>B</v>
      </c>
    </row>
    <row r="1673" spans="1:8" x14ac:dyDescent="0.2">
      <c r="A1673" t="str">
        <f>"0613120903"</f>
        <v>0613120903</v>
      </c>
      <c r="B1673" t="str">
        <f>"BLAKE"</f>
        <v>BLAKE</v>
      </c>
      <c r="C1673" t="str">
        <f>"BODAH"</f>
        <v>BODAH</v>
      </c>
      <c r="D1673">
        <f>12</f>
        <v>12</v>
      </c>
      <c r="E1673" t="str">
        <f>"19 - S1 - MTWHF - BCC - Instructor BC"</f>
        <v>19 - S1 - MTWHF - BCC - Instructor BC</v>
      </c>
      <c r="F1673" t="str">
        <f>"COLLEGE ALGEBRA"</f>
        <v>COLLEGE ALGEBRA</v>
      </c>
      <c r="G1673" t="str">
        <f>"60-DE"</f>
        <v>60-DE</v>
      </c>
      <c r="H1673" t="str">
        <f>"-"</f>
        <v>-</v>
      </c>
    </row>
    <row r="1674" spans="1:8" x14ac:dyDescent="0.2">
      <c r="A1674" t="str">
        <f>"0613120903"</f>
        <v>0613120903</v>
      </c>
      <c r="B1674" t="str">
        <f>"BLAKE"</f>
        <v>BLAKE</v>
      </c>
      <c r="C1674" t="str">
        <f>"BODAH"</f>
        <v>BODAH</v>
      </c>
      <c r="D1674">
        <f>12</f>
        <v>12</v>
      </c>
      <c r="E1674" t="str">
        <f>"19 - S1 - MTWHF - BCC - Instructor BC"</f>
        <v>19 - S1 - MTWHF - BCC - Instructor BC</v>
      </c>
      <c r="F1674" t="str">
        <f>"HUMAN NUTRITION"</f>
        <v>HUMAN NUTRITION</v>
      </c>
      <c r="G1674" t="str">
        <f>"60-DE"</f>
        <v>60-DE</v>
      </c>
      <c r="H1674" t="str">
        <f>"-"</f>
        <v>-</v>
      </c>
    </row>
    <row r="1675" spans="1:8" x14ac:dyDescent="0.2">
      <c r="A1675" t="str">
        <f>"0613120903"</f>
        <v>0613120903</v>
      </c>
      <c r="B1675" t="str">
        <f>"BLAKE"</f>
        <v>BLAKE</v>
      </c>
      <c r="C1675" t="str">
        <f>"BODAH"</f>
        <v>BODAH</v>
      </c>
      <c r="D1675">
        <f>12</f>
        <v>12</v>
      </c>
      <c r="E1675" t="str">
        <f>"19 - S1 - MTWHF - BCC - Instructor BC"</f>
        <v>19 - S1 - MTWHF - BCC - Instructor BC</v>
      </c>
      <c r="F1675" t="str">
        <f>"INTRO TO LITERATURE"</f>
        <v>INTRO TO LITERATURE</v>
      </c>
      <c r="G1675" t="str">
        <f>"60-DE"</f>
        <v>60-DE</v>
      </c>
      <c r="H1675" t="str">
        <f>"-"</f>
        <v>-</v>
      </c>
    </row>
    <row r="1676" spans="1:8" x14ac:dyDescent="0.2">
      <c r="A1676" t="str">
        <f>"0613120903"</f>
        <v>0613120903</v>
      </c>
      <c r="B1676" t="str">
        <f>"BLAKE"</f>
        <v>BLAKE</v>
      </c>
      <c r="C1676" t="str">
        <f>"BODAH"</f>
        <v>BODAH</v>
      </c>
      <c r="D1676">
        <f>12</f>
        <v>12</v>
      </c>
      <c r="E1676" t="str">
        <f>"19 - S1 - MTWHF - BCC - Instructor BC"</f>
        <v>19 - S1 - MTWHF - BCC - Instructor BC</v>
      </c>
      <c r="F1676" t="str">
        <f>"MEDICAL TERMINOLOGY"</f>
        <v>MEDICAL TERMINOLOGY</v>
      </c>
      <c r="G1676" t="str">
        <f>"60-DE"</f>
        <v>60-DE</v>
      </c>
      <c r="H1676" t="str">
        <f>"-"</f>
        <v>-</v>
      </c>
    </row>
    <row r="1677" spans="1:8" x14ac:dyDescent="0.2">
      <c r="A1677" t="str">
        <f t="shared" ref="A1677:A1684" si="621">"0615094140"</f>
        <v>0615094140</v>
      </c>
      <c r="B1677" t="str">
        <f t="shared" ref="B1677:B1684" si="622">"LAURA"</f>
        <v>LAURA</v>
      </c>
      <c r="C1677" t="str">
        <f t="shared" ref="C1677:C1684" si="623">"BOISROND"</f>
        <v>BOISROND</v>
      </c>
      <c r="D1677">
        <f>12</f>
        <v>12</v>
      </c>
      <c r="E1677" t="str">
        <f>"04 - A - 101 - Stefanie S Scher"</f>
        <v>04 - A - 101 - Stefanie S Scher</v>
      </c>
      <c r="F1677" t="str">
        <f>"AP PSYCH"</f>
        <v>AP PSYCH</v>
      </c>
      <c r="G1677" t="str">
        <f>"17-1735"</f>
        <v>17-1735</v>
      </c>
      <c r="H1677" t="str">
        <f>"A"</f>
        <v>A</v>
      </c>
    </row>
    <row r="1678" spans="1:8" x14ac:dyDescent="0.2">
      <c r="A1678" t="str">
        <f t="shared" si="621"/>
        <v>0615094140</v>
      </c>
      <c r="B1678" t="str">
        <f t="shared" si="622"/>
        <v>LAURA</v>
      </c>
      <c r="C1678" t="str">
        <f t="shared" si="623"/>
        <v>BOISROND</v>
      </c>
      <c r="D1678">
        <f>12</f>
        <v>12</v>
      </c>
      <c r="E1678" t="str">
        <f>"06 - B - 003 - Emmily A Sarmiento"</f>
        <v>06 - B - 003 - Emmily A Sarmiento</v>
      </c>
      <c r="F1678" t="str">
        <f>"NC STUDY HALL 1"</f>
        <v>NC STUDY HALL 1</v>
      </c>
      <c r="G1678" t="str">
        <f>"17-1743"</f>
        <v>17-1743</v>
      </c>
      <c r="H1678" t="str">
        <f>"B"</f>
        <v>B</v>
      </c>
    </row>
    <row r="1679" spans="1:8" x14ac:dyDescent="0.2">
      <c r="A1679" t="str">
        <f t="shared" si="621"/>
        <v>0615094140</v>
      </c>
      <c r="B1679" t="str">
        <f t="shared" si="622"/>
        <v>LAURA</v>
      </c>
      <c r="C1679" t="str">
        <f t="shared" si="623"/>
        <v>BOISROND</v>
      </c>
      <c r="D1679">
        <f>12</f>
        <v>12</v>
      </c>
      <c r="E1679" t="str">
        <f>"03 - A - 101 - Rosa Elaine  Collado-Duff"</f>
        <v>03 - A - 101 - Rosa Elaine  Collado-Duff</v>
      </c>
      <c r="F1679" t="str">
        <f>"SPANISH 3 HON"</f>
        <v>SPANISH 3 HON</v>
      </c>
      <c r="G1679" t="str">
        <f>"09-913"</f>
        <v>09-913</v>
      </c>
      <c r="H1679" t="str">
        <f>"A"</f>
        <v>A</v>
      </c>
    </row>
    <row r="1680" spans="1:8" x14ac:dyDescent="0.2">
      <c r="A1680" t="str">
        <f t="shared" si="621"/>
        <v>0615094140</v>
      </c>
      <c r="B1680" t="str">
        <f t="shared" si="622"/>
        <v>LAURA</v>
      </c>
      <c r="C1680" t="str">
        <f t="shared" si="623"/>
        <v>BOISROND</v>
      </c>
      <c r="D1680">
        <f>12</f>
        <v>12</v>
      </c>
      <c r="E1680" t="str">
        <f>"02 - A - 204 - Jacqueline R Morphet"</f>
        <v>02 - A - 204 - Jacqueline R Morphet</v>
      </c>
      <c r="F1680" t="str">
        <f>"PHYSICS 1 HON"</f>
        <v>PHYSICS 1 HON</v>
      </c>
      <c r="G1680" t="str">
        <f>"21-2138"</f>
        <v>21-2138</v>
      </c>
      <c r="H1680" t="str">
        <f>"A"</f>
        <v>A</v>
      </c>
    </row>
    <row r="1681" spans="1:8" x14ac:dyDescent="0.2">
      <c r="A1681" t="str">
        <f t="shared" si="621"/>
        <v>0615094140</v>
      </c>
      <c r="B1681" t="str">
        <f t="shared" si="622"/>
        <v>LAURA</v>
      </c>
      <c r="C1681" t="str">
        <f t="shared" si="623"/>
        <v>BOISROND</v>
      </c>
      <c r="D1681">
        <f>12</f>
        <v>12</v>
      </c>
      <c r="E1681" t="str">
        <f>"07 - S1 - B - 102 - Barbara L Segal"</f>
        <v>07 - S1 - B - 102 - Barbara L Segal</v>
      </c>
      <c r="F1681" t="str">
        <f>"AP US GOVT/POL"</f>
        <v>AP US GOVT/POL</v>
      </c>
      <c r="G1681" t="str">
        <f>"17-1742"</f>
        <v>17-1742</v>
      </c>
      <c r="H1681" t="str">
        <f>"B"</f>
        <v>B</v>
      </c>
    </row>
    <row r="1682" spans="1:8" x14ac:dyDescent="0.2">
      <c r="A1682" t="str">
        <f t="shared" si="621"/>
        <v>0615094140</v>
      </c>
      <c r="B1682" t="str">
        <f t="shared" si="622"/>
        <v>LAURA</v>
      </c>
      <c r="C1682" t="str">
        <f t="shared" si="623"/>
        <v>BOISROND</v>
      </c>
      <c r="D1682">
        <f>12</f>
        <v>12</v>
      </c>
      <c r="E1682" t="str">
        <f>"05 - B - 104 - Jeffrey S Gallagher"</f>
        <v>05 - B - 104 - Jeffrey S Gallagher</v>
      </c>
      <c r="F1682" t="str">
        <f>"ENG HON 4"</f>
        <v>ENG HON 4</v>
      </c>
      <c r="G1682" t="str">
        <f>"17-1724"</f>
        <v>17-1724</v>
      </c>
      <c r="H1682" t="str">
        <f>"B"</f>
        <v>B</v>
      </c>
    </row>
    <row r="1683" spans="1:8" x14ac:dyDescent="0.2">
      <c r="A1683" t="str">
        <f t="shared" si="621"/>
        <v>0615094140</v>
      </c>
      <c r="B1683" t="str">
        <f t="shared" si="622"/>
        <v>LAURA</v>
      </c>
      <c r="C1683" t="str">
        <f t="shared" si="623"/>
        <v>BOISROND</v>
      </c>
      <c r="D1683">
        <f>12</f>
        <v>12</v>
      </c>
      <c r="E1683" t="str">
        <f>"01 - A - 103 - Semra  Bahadir"</f>
        <v>01 - A - 103 - Semra  Bahadir</v>
      </c>
      <c r="F1683" t="str">
        <f>"MATH COLL ALGEBRA"</f>
        <v>MATH COLL ALGEBRA</v>
      </c>
      <c r="G1683" t="str">
        <f>"21-2107"</f>
        <v>21-2107</v>
      </c>
      <c r="H1683" t="str">
        <f>"A"</f>
        <v>A</v>
      </c>
    </row>
    <row r="1684" spans="1:8" x14ac:dyDescent="0.2">
      <c r="A1684" t="str">
        <f t="shared" si="621"/>
        <v>0615094140</v>
      </c>
      <c r="B1684" t="str">
        <f t="shared" si="622"/>
        <v>LAURA</v>
      </c>
      <c r="C1684" t="str">
        <f t="shared" si="623"/>
        <v>BOISROND</v>
      </c>
      <c r="D1684">
        <f>12</f>
        <v>12</v>
      </c>
      <c r="E1684" t="str">
        <f>"08 - B - 101 - Samantha L Martinez"</f>
        <v>08 - B - 101 - Samantha L Martinez</v>
      </c>
      <c r="F1684" t="str">
        <f>"VOCAL ENS 3"</f>
        <v>VOCAL ENS 3</v>
      </c>
      <c r="G1684" t="str">
        <f>"05-505"</f>
        <v>05-505</v>
      </c>
      <c r="H1684" t="str">
        <f>"B"</f>
        <v>B</v>
      </c>
    </row>
    <row r="1685" spans="1:8" x14ac:dyDescent="0.2">
      <c r="A1685" t="str">
        <f t="shared" ref="A1685:A1692" si="624">"0623106828"</f>
        <v>0623106828</v>
      </c>
      <c r="B1685" t="str">
        <f t="shared" ref="B1685:B1692" si="625">"CHARLES"</f>
        <v>CHARLES</v>
      </c>
      <c r="C1685" t="str">
        <f t="shared" ref="C1685:C1692" si="626">"BOLING-LEWIS"</f>
        <v>BOLING-LEWIS</v>
      </c>
      <c r="D1685">
        <f>11</f>
        <v>11</v>
      </c>
      <c r="E1685" t="str">
        <f>"04 - A - 102 - Lisa J London"</f>
        <v>04 - A - 102 - Lisa J London</v>
      </c>
      <c r="F1685" t="str">
        <f>"AP CAPSTONE SEMINAR"</f>
        <v>AP CAPSTONE SEMINAR</v>
      </c>
      <c r="G1685" t="str">
        <f>"17-1714"</f>
        <v>17-1714</v>
      </c>
      <c r="H1685" t="str">
        <f>"A"</f>
        <v>A</v>
      </c>
    </row>
    <row r="1686" spans="1:8" x14ac:dyDescent="0.2">
      <c r="A1686" t="str">
        <f t="shared" si="624"/>
        <v>0623106828</v>
      </c>
      <c r="B1686" t="str">
        <f t="shared" si="625"/>
        <v>CHARLES</v>
      </c>
      <c r="C1686" t="str">
        <f t="shared" si="626"/>
        <v>BOLING-LEWIS</v>
      </c>
      <c r="D1686">
        <f>11</f>
        <v>11</v>
      </c>
      <c r="E1686" t="str">
        <f>"06 - B - 204 - Chrystina M Marchionne"</f>
        <v>06 - B - 204 - Chrystina M Marchionne</v>
      </c>
      <c r="F1686" t="str">
        <f>"AICE MEDIASTUDIES AS"</f>
        <v>AICE MEDIASTUDIES AS</v>
      </c>
      <c r="G1686" t="str">
        <f>"05-520"</f>
        <v>05-520</v>
      </c>
      <c r="H1686" t="str">
        <f>"B"</f>
        <v>B</v>
      </c>
    </row>
    <row r="1687" spans="1:8" x14ac:dyDescent="0.2">
      <c r="A1687" t="str">
        <f t="shared" si="624"/>
        <v>0623106828</v>
      </c>
      <c r="B1687" t="str">
        <f t="shared" si="625"/>
        <v>CHARLES</v>
      </c>
      <c r="C1687" t="str">
        <f t="shared" si="626"/>
        <v>BOLING-LEWIS</v>
      </c>
      <c r="D1687">
        <f>11</f>
        <v>11</v>
      </c>
      <c r="E1687" t="str">
        <f>"03 - A - 106 - Krystal Marie  Beruty"</f>
        <v>03 - A - 106 - Krystal Marie  Beruty</v>
      </c>
      <c r="F1687" t="str">
        <f>"AICE PSYCH 1 AS"</f>
        <v>AICE PSYCH 1 AS</v>
      </c>
      <c r="G1687" t="str">
        <f>"17-1721"</f>
        <v>17-1721</v>
      </c>
      <c r="H1687" t="str">
        <f>"A"</f>
        <v>A</v>
      </c>
    </row>
    <row r="1688" spans="1:8" x14ac:dyDescent="0.2">
      <c r="A1688" t="str">
        <f t="shared" si="624"/>
        <v>0623106828</v>
      </c>
      <c r="B1688" t="str">
        <f t="shared" si="625"/>
        <v>CHARLES</v>
      </c>
      <c r="C1688" t="str">
        <f t="shared" si="626"/>
        <v>BOLING-LEWIS</v>
      </c>
      <c r="D1688">
        <f>11</f>
        <v>11</v>
      </c>
      <c r="E1688" t="str">
        <f>"02 - A - 102 - Brook E Goren"</f>
        <v>02 - A - 102 - Brook E Goren</v>
      </c>
      <c r="F1688" t="str">
        <f>"NC STUDY HALL 1"</f>
        <v>NC STUDY HALL 1</v>
      </c>
      <c r="G1688" t="str">
        <f>"21-2158"</f>
        <v>21-2158</v>
      </c>
      <c r="H1688" t="str">
        <f>"A"</f>
        <v>A</v>
      </c>
    </row>
    <row r="1689" spans="1:8" x14ac:dyDescent="0.2">
      <c r="A1689" t="str">
        <f t="shared" si="624"/>
        <v>0623106828</v>
      </c>
      <c r="B1689" t="str">
        <f t="shared" si="625"/>
        <v>CHARLES</v>
      </c>
      <c r="C1689" t="str">
        <f t="shared" si="626"/>
        <v>BOLING-LEWIS</v>
      </c>
      <c r="D1689">
        <f>11</f>
        <v>11</v>
      </c>
      <c r="E1689" t="str">
        <f>"07 - B - 101 - Fernando  Vega-Cid"</f>
        <v>07 - B - 101 - Fernando  Vega-Cid</v>
      </c>
      <c r="F1689" t="str">
        <f>"AP PRECALCULUS"</f>
        <v>AP PRECALCULUS</v>
      </c>
      <c r="G1689" t="str">
        <f>"21-2163"</f>
        <v>21-2163</v>
      </c>
      <c r="H1689" t="str">
        <f>"B"</f>
        <v>B</v>
      </c>
    </row>
    <row r="1690" spans="1:8" x14ac:dyDescent="0.2">
      <c r="A1690" t="str">
        <f t="shared" si="624"/>
        <v>0623106828</v>
      </c>
      <c r="B1690" t="str">
        <f t="shared" si="625"/>
        <v>CHARLES</v>
      </c>
      <c r="C1690" t="str">
        <f t="shared" si="626"/>
        <v>BOLING-LEWIS</v>
      </c>
      <c r="D1690">
        <f>11</f>
        <v>11</v>
      </c>
      <c r="E1690" t="str">
        <f>"05 - B - 102 - Jerry S Jiampetti"</f>
        <v>05 - B - 102 - Jerry S Jiampetti</v>
      </c>
      <c r="F1690" t="str">
        <f>"AICE U.S. HIST 1 AS"</f>
        <v>AICE U.S. HIST 1 AS</v>
      </c>
      <c r="G1690" t="str">
        <f>"17-1751"</f>
        <v>17-1751</v>
      </c>
      <c r="H1690" t="str">
        <f>"B"</f>
        <v>B</v>
      </c>
    </row>
    <row r="1691" spans="1:8" x14ac:dyDescent="0.2">
      <c r="A1691" t="str">
        <f t="shared" si="624"/>
        <v>0623106828</v>
      </c>
      <c r="B1691" t="str">
        <f t="shared" si="625"/>
        <v>CHARLES</v>
      </c>
      <c r="C1691" t="str">
        <f t="shared" si="626"/>
        <v>BOLING-LEWIS</v>
      </c>
      <c r="D1691">
        <f>11</f>
        <v>11</v>
      </c>
      <c r="E1691" t="str">
        <f>"01 - A - 101 - Jacklyn M James"</f>
        <v>01 - A - 101 - Jacklyn M James</v>
      </c>
      <c r="F1691" t="str">
        <f>"AICE ENG LANG AS"</f>
        <v>AICE ENG LANG AS</v>
      </c>
      <c r="G1691" t="str">
        <f>"17-1731"</f>
        <v>17-1731</v>
      </c>
      <c r="H1691" t="str">
        <f>"A"</f>
        <v>A</v>
      </c>
    </row>
    <row r="1692" spans="1:8" x14ac:dyDescent="0.2">
      <c r="A1692" t="str">
        <f t="shared" si="624"/>
        <v>0623106828</v>
      </c>
      <c r="B1692" t="str">
        <f t="shared" si="625"/>
        <v>CHARLES</v>
      </c>
      <c r="C1692" t="str">
        <f t="shared" si="626"/>
        <v>BOLING-LEWIS</v>
      </c>
      <c r="D1692">
        <f>11</f>
        <v>11</v>
      </c>
      <c r="E1692" t="str">
        <f>"08 - B - 103 - Marielle A Witting"</f>
        <v>08 - B - 103 - Marielle A Witting</v>
      </c>
      <c r="F1692" t="str">
        <f>"AP BIO"</f>
        <v>AP BIO</v>
      </c>
      <c r="G1692" t="str">
        <f>"08-805"</f>
        <v>08-805</v>
      </c>
      <c r="H1692" t="str">
        <f>"B"</f>
        <v>B</v>
      </c>
    </row>
    <row r="1693" spans="1:8" x14ac:dyDescent="0.2">
      <c r="A1693" t="str">
        <f t="shared" ref="A1693:A1700" si="627">"0614050511"</f>
        <v>0614050511</v>
      </c>
      <c r="B1693" t="str">
        <f t="shared" ref="B1693:B1700" si="628">"ANTONIO"</f>
        <v>ANTONIO</v>
      </c>
      <c r="C1693" t="str">
        <f t="shared" ref="C1693:C1700" si="629">"BONAMI"</f>
        <v>BONAMI</v>
      </c>
      <c r="D1693">
        <f>12</f>
        <v>12</v>
      </c>
      <c r="E1693" t="str">
        <f>"04 - A - 104 - Adam Marcus  Drucker"</f>
        <v>04 - A - 104 - Adam Marcus  Drucker</v>
      </c>
      <c r="F1693" t="str">
        <f>"HOPE-PE V"</f>
        <v>HOPE-PE V</v>
      </c>
      <c r="G1693" t="str">
        <f>"04-254"</f>
        <v>04-254</v>
      </c>
      <c r="H1693" t="str">
        <f>"A"</f>
        <v>A</v>
      </c>
    </row>
    <row r="1694" spans="1:8" x14ac:dyDescent="0.2">
      <c r="A1694" t="str">
        <f t="shared" si="627"/>
        <v>0614050511</v>
      </c>
      <c r="B1694" t="str">
        <f t="shared" si="628"/>
        <v>ANTONIO</v>
      </c>
      <c r="C1694" t="str">
        <f t="shared" si="629"/>
        <v>BONAMI</v>
      </c>
      <c r="D1694">
        <f>12</f>
        <v>12</v>
      </c>
      <c r="E1694" t="str">
        <f>"06 - B - 113 - Marielle A Witting"</f>
        <v>06 - B - 113 - Marielle A Witting</v>
      </c>
      <c r="F1694" t="str">
        <f>"NC STUDY HALL 1"</f>
        <v>NC STUDY HALL 1</v>
      </c>
      <c r="G1694" t="str">
        <f>"08-805"</f>
        <v>08-805</v>
      </c>
      <c r="H1694" t="str">
        <f>"B"</f>
        <v>B</v>
      </c>
    </row>
    <row r="1695" spans="1:8" x14ac:dyDescent="0.2">
      <c r="A1695" t="str">
        <f t="shared" si="627"/>
        <v>0614050511</v>
      </c>
      <c r="B1695" t="str">
        <f t="shared" si="628"/>
        <v>ANTONIO</v>
      </c>
      <c r="C1695" t="str">
        <f t="shared" si="629"/>
        <v>BONAMI</v>
      </c>
      <c r="D1695">
        <f>12</f>
        <v>12</v>
      </c>
      <c r="E1695" t="str">
        <f>"03 - S1 - A - 102 - Leslie J Barton"</f>
        <v>03 - S1 - A - 102 - Leslie J Barton</v>
      </c>
      <c r="F1695" t="str">
        <f>"FIRST AID SAFETY"</f>
        <v>FIRST AID SAFETY</v>
      </c>
      <c r="G1695" t="str">
        <f>"05-521"</f>
        <v>05-521</v>
      </c>
      <c r="H1695" t="str">
        <f>"A"</f>
        <v>A</v>
      </c>
    </row>
    <row r="1696" spans="1:8" x14ac:dyDescent="0.2">
      <c r="A1696" t="str">
        <f t="shared" si="627"/>
        <v>0614050511</v>
      </c>
      <c r="B1696" t="str">
        <f t="shared" si="628"/>
        <v>ANTONIO</v>
      </c>
      <c r="C1696" t="str">
        <f t="shared" si="629"/>
        <v>BONAMI</v>
      </c>
      <c r="D1696">
        <f>12</f>
        <v>12</v>
      </c>
      <c r="E1696" t="str">
        <f>"02 - S1 - A - 101 - James H Mccann"</f>
        <v>02 - S1 - A - 101 - James H Mccann</v>
      </c>
      <c r="F1696" t="str">
        <f>"PERS FIN &amp; MON MGT H"</f>
        <v>PERS FIN &amp; MON MGT H</v>
      </c>
      <c r="G1696" t="str">
        <f>"17-1716"</f>
        <v>17-1716</v>
      </c>
      <c r="H1696" t="str">
        <f>"A"</f>
        <v>A</v>
      </c>
    </row>
    <row r="1697" spans="1:8" x14ac:dyDescent="0.2">
      <c r="A1697" t="str">
        <f t="shared" si="627"/>
        <v>0614050511</v>
      </c>
      <c r="B1697" t="str">
        <f t="shared" si="628"/>
        <v>ANTONIO</v>
      </c>
      <c r="C1697" t="str">
        <f t="shared" si="629"/>
        <v>BONAMI</v>
      </c>
      <c r="D1697">
        <f>12</f>
        <v>12</v>
      </c>
      <c r="E1697" t="str">
        <f>"07 - S1 - B - 103 - Robert O Burger"</f>
        <v>07 - S1 - B - 103 - Robert O Burger</v>
      </c>
      <c r="F1697" t="str">
        <f>"US GOVT"</f>
        <v>US GOVT</v>
      </c>
      <c r="G1697" t="str">
        <f>"17-1755"</f>
        <v>17-1755</v>
      </c>
      <c r="H1697" t="str">
        <f>"B"</f>
        <v>B</v>
      </c>
    </row>
    <row r="1698" spans="1:8" x14ac:dyDescent="0.2">
      <c r="A1698" t="str">
        <f t="shared" si="627"/>
        <v>0614050511</v>
      </c>
      <c r="B1698" t="str">
        <f t="shared" si="628"/>
        <v>ANTONIO</v>
      </c>
      <c r="C1698" t="str">
        <f t="shared" si="629"/>
        <v>BONAMI</v>
      </c>
      <c r="D1698">
        <f>12</f>
        <v>12</v>
      </c>
      <c r="E1698" t="str">
        <f>"05 - B - 101 - Angela S Adeshina-Morrison"</f>
        <v>05 - B - 101 - Angela S Adeshina-Morrison</v>
      </c>
      <c r="F1698" t="str">
        <f>"MKT APPLCTNS LH"</f>
        <v>MKT APPLCTNS LH</v>
      </c>
      <c r="G1698" t="str">
        <f>"05-518"</f>
        <v>05-518</v>
      </c>
      <c r="H1698" t="str">
        <f>"B"</f>
        <v>B</v>
      </c>
    </row>
    <row r="1699" spans="1:8" x14ac:dyDescent="0.2">
      <c r="A1699" t="str">
        <f t="shared" si="627"/>
        <v>0614050511</v>
      </c>
      <c r="B1699" t="str">
        <f t="shared" si="628"/>
        <v>ANTONIO</v>
      </c>
      <c r="C1699" t="str">
        <f t="shared" si="629"/>
        <v>BONAMI</v>
      </c>
      <c r="D1699">
        <f>12</f>
        <v>12</v>
      </c>
      <c r="E1699" t="str">
        <f>"01 - A - 102 - Robert H Rindner"</f>
        <v>01 - A - 102 - Robert H Rindner</v>
      </c>
      <c r="F1699" t="str">
        <f>"MATH DATA&amp;FIN LIT H"</f>
        <v>MATH DATA&amp;FIN LIT H</v>
      </c>
      <c r="G1699" t="str">
        <f>"21-2160"</f>
        <v>21-2160</v>
      </c>
      <c r="H1699" t="str">
        <f>"A"</f>
        <v>A</v>
      </c>
    </row>
    <row r="1700" spans="1:8" x14ac:dyDescent="0.2">
      <c r="A1700" t="str">
        <f t="shared" si="627"/>
        <v>0614050511</v>
      </c>
      <c r="B1700" t="str">
        <f t="shared" si="628"/>
        <v>ANTONIO</v>
      </c>
      <c r="C1700" t="str">
        <f t="shared" si="629"/>
        <v>BONAMI</v>
      </c>
      <c r="D1700">
        <f>12</f>
        <v>12</v>
      </c>
      <c r="E1700" t="str">
        <f>"08 - B - 105 - Jeffrey S Gallagher"</f>
        <v>08 - B - 105 - Jeffrey S Gallagher</v>
      </c>
      <c r="F1700" t="str">
        <f>"ENG HON 4"</f>
        <v>ENG HON 4</v>
      </c>
      <c r="G1700" t="str">
        <f>"17-1724"</f>
        <v>17-1724</v>
      </c>
      <c r="H1700" t="str">
        <f>"B"</f>
        <v>B</v>
      </c>
    </row>
    <row r="1701" spans="1:8" x14ac:dyDescent="0.2">
      <c r="A1701" t="str">
        <f t="shared" ref="A1701:A1708" si="630">"0614076590"</f>
        <v>0614076590</v>
      </c>
      <c r="B1701" t="str">
        <f t="shared" ref="B1701:B1708" si="631">"BREON"</f>
        <v>BREON</v>
      </c>
      <c r="C1701" t="str">
        <f t="shared" ref="C1701:C1708" si="632">"BOND"</f>
        <v>BOND</v>
      </c>
      <c r="D1701" t="str">
        <f t="shared" ref="D1701:D1724" si="633">"09"</f>
        <v>09</v>
      </c>
      <c r="E1701" t="str">
        <f>"04 - A - 103 - Daniel S Tyson"</f>
        <v>04 - A - 103 - Daniel S Tyson</v>
      </c>
      <c r="F1701" t="str">
        <f>"JROTC NAVAL SCI 1"</f>
        <v>JROTC NAVAL SCI 1</v>
      </c>
      <c r="G1701" t="str">
        <f>"05-510"</f>
        <v>05-510</v>
      </c>
      <c r="H1701" t="str">
        <f>"A"</f>
        <v>A</v>
      </c>
    </row>
    <row r="1702" spans="1:8" x14ac:dyDescent="0.2">
      <c r="A1702" t="str">
        <f t="shared" si="630"/>
        <v>0614076590</v>
      </c>
      <c r="B1702" t="str">
        <f t="shared" si="631"/>
        <v>BREON</v>
      </c>
      <c r="C1702" t="str">
        <f t="shared" si="632"/>
        <v>BOND</v>
      </c>
      <c r="D1702" t="str">
        <f t="shared" si="633"/>
        <v>09</v>
      </c>
      <c r="E1702" t="str">
        <f>"06 - B - 202 - Alejandro  Navarro"</f>
        <v>06 - B - 202 - Alejandro  Navarro</v>
      </c>
      <c r="F1702" t="str">
        <f>"BAND 1"</f>
        <v>BAND 1</v>
      </c>
      <c r="G1702" t="str">
        <f>"05-504"</f>
        <v>05-504</v>
      </c>
      <c r="H1702" t="str">
        <f>"B"</f>
        <v>B</v>
      </c>
    </row>
    <row r="1703" spans="1:8" x14ac:dyDescent="0.2">
      <c r="A1703" t="str">
        <f t="shared" si="630"/>
        <v>0614076590</v>
      </c>
      <c r="B1703" t="str">
        <f t="shared" si="631"/>
        <v>BREON</v>
      </c>
      <c r="C1703" t="str">
        <f t="shared" si="632"/>
        <v>BOND</v>
      </c>
      <c r="D1703" t="str">
        <f t="shared" si="633"/>
        <v>09</v>
      </c>
      <c r="E1703" t="str">
        <f>"03 - A - 102 - Rory T Sponsler"</f>
        <v>03 - A - 102 - Rory T Sponsler</v>
      </c>
      <c r="F1703" t="str">
        <f>"PRE-AICE WRLD HST IG"</f>
        <v>PRE-AICE WRLD HST IG</v>
      </c>
      <c r="G1703" t="str">
        <f>"17-1740"</f>
        <v>17-1740</v>
      </c>
      <c r="H1703" t="str">
        <f>"A"</f>
        <v>A</v>
      </c>
    </row>
    <row r="1704" spans="1:8" x14ac:dyDescent="0.2">
      <c r="A1704" t="str">
        <f t="shared" si="630"/>
        <v>0614076590</v>
      </c>
      <c r="B1704" t="str">
        <f t="shared" si="631"/>
        <v>BREON</v>
      </c>
      <c r="C1704" t="str">
        <f t="shared" si="632"/>
        <v>BOND</v>
      </c>
      <c r="D1704" t="str">
        <f t="shared" si="633"/>
        <v>09</v>
      </c>
      <c r="E1704" t="str">
        <f>"02 - A - 112 - Cheryl Anne  Berman-Schechter"</f>
        <v>02 - A - 112 - Cheryl Anne  Berman-Schechter</v>
      </c>
      <c r="F1704" t="str">
        <f>"NC STUDY HALL 1"</f>
        <v>NC STUDY HALL 1</v>
      </c>
      <c r="G1704" t="str">
        <f>"17-1722"</f>
        <v>17-1722</v>
      </c>
      <c r="H1704" t="str">
        <f>"A"</f>
        <v>A</v>
      </c>
    </row>
    <row r="1705" spans="1:8" x14ac:dyDescent="0.2">
      <c r="A1705" t="str">
        <f t="shared" si="630"/>
        <v>0614076590</v>
      </c>
      <c r="B1705" t="str">
        <f t="shared" si="631"/>
        <v>BREON</v>
      </c>
      <c r="C1705" t="str">
        <f t="shared" si="632"/>
        <v>BOND</v>
      </c>
      <c r="D1705" t="str">
        <f t="shared" si="633"/>
        <v>09</v>
      </c>
      <c r="E1705" t="str">
        <f>"07 - B - 105 - Josiah I Lacy"</f>
        <v>07 - B - 105 - Josiah I Lacy</v>
      </c>
      <c r="F1705" t="str">
        <f>"ANAT PHYSIO HON"</f>
        <v>ANAT PHYSIO HON</v>
      </c>
      <c r="G1705" t="str">
        <f>"08-801"</f>
        <v>08-801</v>
      </c>
      <c r="H1705" t="str">
        <f>"B"</f>
        <v>B</v>
      </c>
    </row>
    <row r="1706" spans="1:8" x14ac:dyDescent="0.2">
      <c r="A1706" t="str">
        <f t="shared" si="630"/>
        <v>0614076590</v>
      </c>
      <c r="B1706" t="str">
        <f t="shared" si="631"/>
        <v>BREON</v>
      </c>
      <c r="C1706" t="str">
        <f t="shared" si="632"/>
        <v>BOND</v>
      </c>
      <c r="D1706" t="str">
        <f t="shared" si="633"/>
        <v>09</v>
      </c>
      <c r="E1706" t="str">
        <f>"05 - S1 - B - 102 - Richard E Dunbar Iii"</f>
        <v>05 - S1 - B - 102 - Richard E Dunbar Iii</v>
      </c>
      <c r="F1706" t="str">
        <f>"TEAM SPORTS 1"</f>
        <v>TEAM SPORTS 1</v>
      </c>
      <c r="G1706" t="str">
        <f>"04-254"</f>
        <v>04-254</v>
      </c>
      <c r="H1706" t="str">
        <f>"B"</f>
        <v>B</v>
      </c>
    </row>
    <row r="1707" spans="1:8" x14ac:dyDescent="0.2">
      <c r="A1707" t="str">
        <f t="shared" si="630"/>
        <v>0614076590</v>
      </c>
      <c r="B1707" t="str">
        <f t="shared" si="631"/>
        <v>BREON</v>
      </c>
      <c r="C1707" t="str">
        <f t="shared" si="632"/>
        <v>BOND</v>
      </c>
      <c r="D1707" t="str">
        <f t="shared" si="633"/>
        <v>09</v>
      </c>
      <c r="E1707" t="str">
        <f>"01 - A - 101 - Elizabeth R Walker"</f>
        <v>01 - A - 101 - Elizabeth R Walker</v>
      </c>
      <c r="F1707" t="str">
        <f>"AICE ENG GEN PAPER 1"</f>
        <v>AICE ENG GEN PAPER 1</v>
      </c>
      <c r="G1707" t="str">
        <f>"17-1703"</f>
        <v>17-1703</v>
      </c>
      <c r="H1707" t="str">
        <f>"A"</f>
        <v>A</v>
      </c>
    </row>
    <row r="1708" spans="1:8" x14ac:dyDescent="0.2">
      <c r="A1708" t="str">
        <f t="shared" si="630"/>
        <v>0614076590</v>
      </c>
      <c r="B1708" t="str">
        <f t="shared" si="631"/>
        <v>BREON</v>
      </c>
      <c r="C1708" t="str">
        <f t="shared" si="632"/>
        <v>BOND</v>
      </c>
      <c r="D1708" t="str">
        <f t="shared" si="633"/>
        <v>09</v>
      </c>
      <c r="E1708" t="str">
        <f>"08 - B - 102 - Maried P Ramos"</f>
        <v>08 - B - 102 - Maried P Ramos</v>
      </c>
      <c r="F1708" t="str">
        <f>"ALGEBRA 2 HON"</f>
        <v>ALGEBRA 2 HON</v>
      </c>
      <c r="G1708" t="str">
        <f>"21-2159"</f>
        <v>21-2159</v>
      </c>
      <c r="H1708" t="str">
        <f>"B"</f>
        <v>B</v>
      </c>
    </row>
    <row r="1709" spans="1:8" x14ac:dyDescent="0.2">
      <c r="A1709" t="str">
        <f t="shared" ref="A1709:A1716" si="634">"0616138388"</f>
        <v>0616138388</v>
      </c>
      <c r="B1709" t="str">
        <f t="shared" ref="B1709:B1716" si="635">"GIANCARLO"</f>
        <v>GIANCARLO</v>
      </c>
      <c r="C1709" t="str">
        <f t="shared" ref="C1709:C1716" si="636">"BONILLA"</f>
        <v>BONILLA</v>
      </c>
      <c r="D1709" t="str">
        <f t="shared" si="633"/>
        <v>09</v>
      </c>
      <c r="E1709" t="str">
        <f>"04 - A - 104 - Marius D Orsolini"</f>
        <v>04 - A - 104 - Marius D Orsolini</v>
      </c>
      <c r="F1709" t="str">
        <f>"CULINARY ARTS 1"</f>
        <v>CULINARY ARTS 1</v>
      </c>
      <c r="G1709" t="str">
        <f>"21-2115"</f>
        <v>21-2115</v>
      </c>
      <c r="H1709" t="str">
        <f>"A"</f>
        <v>A</v>
      </c>
    </row>
    <row r="1710" spans="1:8" x14ac:dyDescent="0.2">
      <c r="A1710" t="str">
        <f t="shared" si="634"/>
        <v>0616138388</v>
      </c>
      <c r="B1710" t="str">
        <f t="shared" si="635"/>
        <v>GIANCARLO</v>
      </c>
      <c r="C1710" t="str">
        <f t="shared" si="636"/>
        <v>BONILLA</v>
      </c>
      <c r="D1710" t="str">
        <f t="shared" si="633"/>
        <v>09</v>
      </c>
      <c r="E1710" t="str">
        <f>"06 - B - 101 - Fernando  Vega-Cid"</f>
        <v>06 - B - 101 - Fernando  Vega-Cid</v>
      </c>
      <c r="F1710" t="str">
        <f>"PRE-AICE MATH 2 IG"</f>
        <v>PRE-AICE MATH 2 IG</v>
      </c>
      <c r="G1710" t="str">
        <f>"21-2163"</f>
        <v>21-2163</v>
      </c>
      <c r="H1710" t="str">
        <f>"B"</f>
        <v>B</v>
      </c>
    </row>
    <row r="1711" spans="1:8" x14ac:dyDescent="0.2">
      <c r="A1711" t="str">
        <f t="shared" si="634"/>
        <v>0616138388</v>
      </c>
      <c r="B1711" t="str">
        <f t="shared" si="635"/>
        <v>GIANCARLO</v>
      </c>
      <c r="C1711" t="str">
        <f t="shared" si="636"/>
        <v>BONILLA</v>
      </c>
      <c r="D1711" t="str">
        <f t="shared" si="633"/>
        <v>09</v>
      </c>
      <c r="E1711" t="str">
        <f>"03 - A - 102 - Laselleda D Shaw"</f>
        <v>03 - A - 102 - Laselleda D Shaw</v>
      </c>
      <c r="F1711" t="str">
        <f>"INTENS READ 1"</f>
        <v>INTENS READ 1</v>
      </c>
      <c r="G1711" t="str">
        <f>"17-1723"</f>
        <v>17-1723</v>
      </c>
      <c r="H1711" t="str">
        <f>"A"</f>
        <v>A</v>
      </c>
    </row>
    <row r="1712" spans="1:8" x14ac:dyDescent="0.2">
      <c r="A1712" t="str">
        <f t="shared" si="634"/>
        <v>0616138388</v>
      </c>
      <c r="B1712" t="str">
        <f t="shared" si="635"/>
        <v>GIANCARLO</v>
      </c>
      <c r="C1712" t="str">
        <f t="shared" si="636"/>
        <v>BONILLA</v>
      </c>
      <c r="D1712" t="str">
        <f t="shared" si="633"/>
        <v>09</v>
      </c>
      <c r="E1712" t="str">
        <f>"02 - A - 106 - Helen A Flores"</f>
        <v>02 - A - 106 - Helen A Flores</v>
      </c>
      <c r="F1712" t="str">
        <f>"NC STUDY HALL 1"</f>
        <v>NC STUDY HALL 1</v>
      </c>
      <c r="G1712" t="str">
        <f>"21-2101"</f>
        <v>21-2101</v>
      </c>
      <c r="H1712" t="str">
        <f>"A"</f>
        <v>A</v>
      </c>
    </row>
    <row r="1713" spans="1:8" x14ac:dyDescent="0.2">
      <c r="A1713" t="str">
        <f t="shared" si="634"/>
        <v>0616138388</v>
      </c>
      <c r="B1713" t="str">
        <f t="shared" si="635"/>
        <v>GIANCARLO</v>
      </c>
      <c r="C1713" t="str">
        <f t="shared" si="636"/>
        <v>BONILLA</v>
      </c>
      <c r="D1713" t="str">
        <f t="shared" si="633"/>
        <v>09</v>
      </c>
      <c r="E1713" t="str">
        <f>"07 - B - 104 - Lissa C Frederique"</f>
        <v>07 - B - 104 - Lissa C Frederique</v>
      </c>
      <c r="F1713" t="str">
        <f>"WORLD HISTORY"</f>
        <v>WORLD HISTORY</v>
      </c>
      <c r="G1713" t="str">
        <f>"17-1754"</f>
        <v>17-1754</v>
      </c>
      <c r="H1713" t="str">
        <f>"B"</f>
        <v>B</v>
      </c>
    </row>
    <row r="1714" spans="1:8" x14ac:dyDescent="0.2">
      <c r="A1714" t="str">
        <f t="shared" si="634"/>
        <v>0616138388</v>
      </c>
      <c r="B1714" t="str">
        <f t="shared" si="635"/>
        <v>GIANCARLO</v>
      </c>
      <c r="C1714" t="str">
        <f t="shared" si="636"/>
        <v>BONILLA</v>
      </c>
      <c r="D1714" t="str">
        <f t="shared" si="633"/>
        <v>09</v>
      </c>
      <c r="E1714" t="str">
        <f>"05 - B - 104 - Cerine S Stewart"</f>
        <v>05 - B - 104 - Cerine S Stewart</v>
      </c>
      <c r="F1714" t="str">
        <f>"ENG 1"</f>
        <v>ENG 1</v>
      </c>
      <c r="G1714" t="str">
        <f>"17-1720"</f>
        <v>17-1720</v>
      </c>
      <c r="H1714" t="str">
        <f>"B"</f>
        <v>B</v>
      </c>
    </row>
    <row r="1715" spans="1:8" x14ac:dyDescent="0.2">
      <c r="A1715" t="str">
        <f t="shared" si="634"/>
        <v>0616138388</v>
      </c>
      <c r="B1715" t="str">
        <f t="shared" si="635"/>
        <v>GIANCARLO</v>
      </c>
      <c r="C1715" t="str">
        <f t="shared" si="636"/>
        <v>BONILLA</v>
      </c>
      <c r="D1715" t="str">
        <f t="shared" si="633"/>
        <v>09</v>
      </c>
      <c r="E1715" t="str">
        <f>"01 - A - 103 - Amy Beth  Broyles"</f>
        <v>01 - A - 103 - Amy Beth  Broyles</v>
      </c>
      <c r="F1715" t="str">
        <f>"ENV SCI"</f>
        <v>ENV SCI</v>
      </c>
      <c r="G1715" t="str">
        <f>"08-802"</f>
        <v>08-802</v>
      </c>
      <c r="H1715" t="str">
        <f>"A"</f>
        <v>A</v>
      </c>
    </row>
    <row r="1716" spans="1:8" x14ac:dyDescent="0.2">
      <c r="A1716" t="str">
        <f t="shared" si="634"/>
        <v>0616138388</v>
      </c>
      <c r="B1716" t="str">
        <f t="shared" si="635"/>
        <v>GIANCARLO</v>
      </c>
      <c r="C1716" t="str">
        <f t="shared" si="636"/>
        <v>BONILLA</v>
      </c>
      <c r="D1716" t="str">
        <f t="shared" si="633"/>
        <v>09</v>
      </c>
      <c r="E1716" t="str">
        <f>"08 - B - 108 - Adam Marcus  Drucker"</f>
        <v>08 - B - 108 - Adam Marcus  Drucker</v>
      </c>
      <c r="F1716" t="str">
        <f>"HOPE-PE V"</f>
        <v>HOPE-PE V</v>
      </c>
      <c r="G1716" t="str">
        <f>"04-254"</f>
        <v>04-254</v>
      </c>
      <c r="H1716" t="str">
        <f>"B"</f>
        <v>B</v>
      </c>
    </row>
    <row r="1717" spans="1:8" x14ac:dyDescent="0.2">
      <c r="A1717" t="str">
        <f t="shared" ref="A1717:A1724" si="637">"0617009565"</f>
        <v>0617009565</v>
      </c>
      <c r="B1717" t="str">
        <f t="shared" ref="B1717:B1724" si="638">"LUANA"</f>
        <v>LUANA</v>
      </c>
      <c r="C1717" t="str">
        <f t="shared" ref="C1717:C1724" si="639">"BONILLA GADEA"</f>
        <v>BONILLA GADEA</v>
      </c>
      <c r="D1717" t="str">
        <f t="shared" si="633"/>
        <v>09</v>
      </c>
      <c r="E1717" t="str">
        <f>"04 - A - 102 - Eva T Rimmer"</f>
        <v>04 - A - 102 - Eva T Rimmer</v>
      </c>
      <c r="F1717" t="str">
        <f>"CRIMINAL JUST OPS 1"</f>
        <v>CRIMINAL JUST OPS 1</v>
      </c>
      <c r="G1717" t="str">
        <f>"05-523"</f>
        <v>05-523</v>
      </c>
      <c r="H1717" t="str">
        <f>"A"</f>
        <v>A</v>
      </c>
    </row>
    <row r="1718" spans="1:8" x14ac:dyDescent="0.2">
      <c r="A1718" t="str">
        <f t="shared" si="637"/>
        <v>0617009565</v>
      </c>
      <c r="B1718" t="str">
        <f t="shared" si="638"/>
        <v>LUANA</v>
      </c>
      <c r="C1718" t="str">
        <f t="shared" si="639"/>
        <v>BONILLA GADEA</v>
      </c>
      <c r="D1718" t="str">
        <f t="shared" si="633"/>
        <v>09</v>
      </c>
      <c r="E1718" t="str">
        <f>"06 - B - 104 - Lytrell T Dixon"</f>
        <v>06 - B - 104 - Lytrell T Dixon</v>
      </c>
      <c r="F1718" t="str">
        <f>"PRE-AICE BIO IG"</f>
        <v>PRE-AICE BIO IG</v>
      </c>
      <c r="G1718" t="str">
        <f>"08-808"</f>
        <v>08-808</v>
      </c>
      <c r="H1718" t="str">
        <f>"B"</f>
        <v>B</v>
      </c>
    </row>
    <row r="1719" spans="1:8" x14ac:dyDescent="0.2">
      <c r="A1719" t="str">
        <f t="shared" si="637"/>
        <v>0617009565</v>
      </c>
      <c r="B1719" t="str">
        <f t="shared" si="638"/>
        <v>LUANA</v>
      </c>
      <c r="C1719" t="str">
        <f t="shared" si="639"/>
        <v>BONILLA GADEA</v>
      </c>
      <c r="D1719" t="str">
        <f t="shared" si="633"/>
        <v>09</v>
      </c>
      <c r="E1719" t="str">
        <f>"03 - A - 101 - Rosa Elaine  Collado-Duff"</f>
        <v>03 - A - 101 - Rosa Elaine  Collado-Duff</v>
      </c>
      <c r="F1719" t="str">
        <f>"SPANISH 3 HON"</f>
        <v>SPANISH 3 HON</v>
      </c>
      <c r="G1719" t="str">
        <f>"09-913"</f>
        <v>09-913</v>
      </c>
      <c r="H1719" t="str">
        <f>"A"</f>
        <v>A</v>
      </c>
    </row>
    <row r="1720" spans="1:8" x14ac:dyDescent="0.2">
      <c r="A1720" t="str">
        <f t="shared" si="637"/>
        <v>0617009565</v>
      </c>
      <c r="B1720" t="str">
        <f t="shared" si="638"/>
        <v>LUANA</v>
      </c>
      <c r="C1720" t="str">
        <f t="shared" si="639"/>
        <v>BONILLA GADEA</v>
      </c>
      <c r="D1720" t="str">
        <f t="shared" si="633"/>
        <v>09</v>
      </c>
      <c r="E1720" t="str">
        <f>"02 - A - 116 - Tina L Lovett"</f>
        <v>02 - A - 116 - Tina L Lovett</v>
      </c>
      <c r="F1720" t="str">
        <f>"NC STUDY HALL 1"</f>
        <v>NC STUDY HALL 1</v>
      </c>
      <c r="G1720" t="str">
        <f>"21-2153"</f>
        <v>21-2153</v>
      </c>
      <c r="H1720" t="str">
        <f>"A"</f>
        <v>A</v>
      </c>
    </row>
    <row r="1721" spans="1:8" x14ac:dyDescent="0.2">
      <c r="A1721" t="str">
        <f t="shared" si="637"/>
        <v>0617009565</v>
      </c>
      <c r="B1721" t="str">
        <f t="shared" si="638"/>
        <v>LUANA</v>
      </c>
      <c r="C1721" t="str">
        <f t="shared" si="639"/>
        <v>BONILLA GADEA</v>
      </c>
      <c r="D1721" t="str">
        <f t="shared" si="633"/>
        <v>09</v>
      </c>
      <c r="E1721" t="str">
        <f>"07 - B - 001 - Carol S Moore"</f>
        <v>07 - B - 001 - Carol S Moore</v>
      </c>
      <c r="F1721" t="str">
        <f>"PRE-AICE WRLD HST IG"</f>
        <v>PRE-AICE WRLD HST IG</v>
      </c>
      <c r="G1721" t="str">
        <f>"17-1733"</f>
        <v>17-1733</v>
      </c>
      <c r="H1721" t="str">
        <f>"B"</f>
        <v>B</v>
      </c>
    </row>
    <row r="1722" spans="1:8" x14ac:dyDescent="0.2">
      <c r="A1722" t="str">
        <f t="shared" si="637"/>
        <v>0617009565</v>
      </c>
      <c r="B1722" t="str">
        <f t="shared" si="638"/>
        <v>LUANA</v>
      </c>
      <c r="C1722" t="str">
        <f t="shared" si="639"/>
        <v>BONILLA GADEA</v>
      </c>
      <c r="D1722" t="str">
        <f t="shared" si="633"/>
        <v>09</v>
      </c>
      <c r="E1722" t="str">
        <f>"05 - B - 105 - Marius D Orsolini"</f>
        <v>05 - B - 105 - Marius D Orsolini</v>
      </c>
      <c r="F1722" t="str">
        <f>"CULINARY ARTS 1"</f>
        <v>CULINARY ARTS 1</v>
      </c>
      <c r="G1722" t="str">
        <f>"21-2115"</f>
        <v>21-2115</v>
      </c>
      <c r="H1722" t="str">
        <f>"B"</f>
        <v>B</v>
      </c>
    </row>
    <row r="1723" spans="1:8" x14ac:dyDescent="0.2">
      <c r="A1723" t="str">
        <f t="shared" si="637"/>
        <v>0617009565</v>
      </c>
      <c r="B1723" t="str">
        <f t="shared" si="638"/>
        <v>LUANA</v>
      </c>
      <c r="C1723" t="str">
        <f t="shared" si="639"/>
        <v>BONILLA GADEA</v>
      </c>
      <c r="D1723" t="str">
        <f t="shared" si="633"/>
        <v>09</v>
      </c>
      <c r="E1723" t="str">
        <f>"01 - A - 102 - Brook E Goren"</f>
        <v>01 - A - 102 - Brook E Goren</v>
      </c>
      <c r="F1723" t="str">
        <f>"PRE-AICE MATH 2 IG"</f>
        <v>PRE-AICE MATH 2 IG</v>
      </c>
      <c r="G1723" t="str">
        <f>"21-2158"</f>
        <v>21-2158</v>
      </c>
      <c r="H1723" t="str">
        <f>"A"</f>
        <v>A</v>
      </c>
    </row>
    <row r="1724" spans="1:8" x14ac:dyDescent="0.2">
      <c r="A1724" t="str">
        <f t="shared" si="637"/>
        <v>0617009565</v>
      </c>
      <c r="B1724" t="str">
        <f t="shared" si="638"/>
        <v>LUANA</v>
      </c>
      <c r="C1724" t="str">
        <f t="shared" si="639"/>
        <v>BONILLA GADEA</v>
      </c>
      <c r="D1724" t="str">
        <f t="shared" si="633"/>
        <v>09</v>
      </c>
      <c r="E1724" t="str">
        <f>"08 - B - 201 - Elizabeth R Walker"</f>
        <v>08 - B - 201 - Elizabeth R Walker</v>
      </c>
      <c r="F1724" t="str">
        <f>"AICE ENG GEN PAPER 1"</f>
        <v>AICE ENG GEN PAPER 1</v>
      </c>
      <c r="G1724" t="str">
        <f>"17-1703"</f>
        <v>17-1703</v>
      </c>
      <c r="H1724" t="str">
        <f>"B"</f>
        <v>B</v>
      </c>
    </row>
    <row r="1725" spans="1:8" x14ac:dyDescent="0.2">
      <c r="A1725" t="str">
        <f t="shared" ref="A1725:A1732" si="640">"0614095966"</f>
        <v>0614095966</v>
      </c>
      <c r="B1725" t="str">
        <f t="shared" ref="B1725:B1732" si="641">"EVAN"</f>
        <v>EVAN</v>
      </c>
      <c r="C1725" t="str">
        <f t="shared" ref="C1725:C1740" si="642">"BORGIA"</f>
        <v>BORGIA</v>
      </c>
      <c r="D1725">
        <f>11</f>
        <v>11</v>
      </c>
      <c r="E1725" t="str">
        <f>"04 - A - 102 - Brandy N Zdenek"</f>
        <v>04 - A - 102 - Brandy N Zdenek</v>
      </c>
      <c r="F1725" t="str">
        <f>"AICE ENG LANG 2 AL"</f>
        <v>AICE ENG LANG 2 AL</v>
      </c>
      <c r="G1725" t="str">
        <f>"17-1704"</f>
        <v>17-1704</v>
      </c>
      <c r="H1725" t="str">
        <f>"A"</f>
        <v>A</v>
      </c>
    </row>
    <row r="1726" spans="1:8" x14ac:dyDescent="0.2">
      <c r="A1726" t="str">
        <f t="shared" si="640"/>
        <v>0614095966</v>
      </c>
      <c r="B1726" t="str">
        <f t="shared" si="641"/>
        <v>EVAN</v>
      </c>
      <c r="C1726" t="str">
        <f t="shared" si="642"/>
        <v>BORGIA</v>
      </c>
      <c r="D1726">
        <f>11</f>
        <v>11</v>
      </c>
      <c r="E1726" t="str">
        <f>"06 - B - 104 - Eva T Rimmer"</f>
        <v>06 - B - 104 - Eva T Rimmer</v>
      </c>
      <c r="F1726" t="str">
        <f>"CRIMINAL JUST OPS 1"</f>
        <v>CRIMINAL JUST OPS 1</v>
      </c>
      <c r="G1726" t="str">
        <f>"05-523"</f>
        <v>05-523</v>
      </c>
      <c r="H1726" t="str">
        <f>"B"</f>
        <v>B</v>
      </c>
    </row>
    <row r="1727" spans="1:8" x14ac:dyDescent="0.2">
      <c r="A1727" t="str">
        <f t="shared" si="640"/>
        <v>0614095966</v>
      </c>
      <c r="B1727" t="str">
        <f t="shared" si="641"/>
        <v>EVAN</v>
      </c>
      <c r="C1727" t="str">
        <f t="shared" si="642"/>
        <v>BORGIA</v>
      </c>
      <c r="D1727">
        <f>11</f>
        <v>11</v>
      </c>
      <c r="E1727" t="str">
        <f>"03 - A - 106 - Jerry S Jiampetti"</f>
        <v>03 - A - 106 - Jerry S Jiampetti</v>
      </c>
      <c r="F1727" t="str">
        <f>"US HISTORY HON"</f>
        <v>US HISTORY HON</v>
      </c>
      <c r="G1727" t="str">
        <f>"17-1751"</f>
        <v>17-1751</v>
      </c>
      <c r="H1727" t="str">
        <f>"A"</f>
        <v>A</v>
      </c>
    </row>
    <row r="1728" spans="1:8" x14ac:dyDescent="0.2">
      <c r="A1728" t="str">
        <f t="shared" si="640"/>
        <v>0614095966</v>
      </c>
      <c r="B1728" t="str">
        <f t="shared" si="641"/>
        <v>EVAN</v>
      </c>
      <c r="C1728" t="str">
        <f t="shared" si="642"/>
        <v>BORGIA</v>
      </c>
      <c r="D1728">
        <f>11</f>
        <v>11</v>
      </c>
      <c r="E1728" t="str">
        <f>"02 - A - 101 - Timothy J Lawrence"</f>
        <v>02 - A - 101 - Timothy J Lawrence</v>
      </c>
      <c r="F1728" t="str">
        <f>"NC STUDY HALL 1"</f>
        <v>NC STUDY HALL 1</v>
      </c>
      <c r="G1728" t="str">
        <f>"05-522"</f>
        <v>05-522</v>
      </c>
      <c r="H1728" t="str">
        <f>"A"</f>
        <v>A</v>
      </c>
    </row>
    <row r="1729" spans="1:8" x14ac:dyDescent="0.2">
      <c r="A1729" t="str">
        <f t="shared" si="640"/>
        <v>0614095966</v>
      </c>
      <c r="B1729" t="str">
        <f t="shared" si="641"/>
        <v>EVAN</v>
      </c>
      <c r="C1729" t="str">
        <f t="shared" si="642"/>
        <v>BORGIA</v>
      </c>
      <c r="D1729">
        <f>11</f>
        <v>11</v>
      </c>
      <c r="E1729" t="str">
        <f>"07 - B - 204 - Stefanie S Scher"</f>
        <v>07 - B - 204 - Stefanie S Scher</v>
      </c>
      <c r="F1729" t="str">
        <f>"AP PSYCH"</f>
        <v>AP PSYCH</v>
      </c>
      <c r="G1729" t="str">
        <f>"17-1735"</f>
        <v>17-1735</v>
      </c>
      <c r="H1729" t="str">
        <f>"B"</f>
        <v>B</v>
      </c>
    </row>
    <row r="1730" spans="1:8" x14ac:dyDescent="0.2">
      <c r="A1730" t="str">
        <f t="shared" si="640"/>
        <v>0614095966</v>
      </c>
      <c r="B1730" t="str">
        <f t="shared" si="641"/>
        <v>EVAN</v>
      </c>
      <c r="C1730" t="str">
        <f t="shared" si="642"/>
        <v>BORGIA</v>
      </c>
      <c r="D1730">
        <f>11</f>
        <v>11</v>
      </c>
      <c r="E1730" t="str">
        <f>"05 - B - 103 - Chrystina M Marchionne"</f>
        <v>05 - B - 103 - Chrystina M Marchionne</v>
      </c>
      <c r="F1730" t="str">
        <f>"AICE MEDIA STUDIES A"</f>
        <v>AICE MEDIA STUDIES A</v>
      </c>
      <c r="G1730" t="str">
        <f>"05-520"</f>
        <v>05-520</v>
      </c>
      <c r="H1730" t="str">
        <f>"B"</f>
        <v>B</v>
      </c>
    </row>
    <row r="1731" spans="1:8" x14ac:dyDescent="0.2">
      <c r="A1731" t="str">
        <f t="shared" si="640"/>
        <v>0614095966</v>
      </c>
      <c r="B1731" t="str">
        <f t="shared" si="641"/>
        <v>EVAN</v>
      </c>
      <c r="C1731" t="str">
        <f t="shared" si="642"/>
        <v>BORGIA</v>
      </c>
      <c r="D1731">
        <f>11</f>
        <v>11</v>
      </c>
      <c r="E1731" t="str">
        <f>"01 - A - 101 - Lisa J London"</f>
        <v>01 - A - 101 - Lisa J London</v>
      </c>
      <c r="F1731" t="str">
        <f>"AP CAPSTONE SEMINAR"</f>
        <v>AP CAPSTONE SEMINAR</v>
      </c>
      <c r="G1731" t="str">
        <f>"17-1714"</f>
        <v>17-1714</v>
      </c>
      <c r="H1731" t="str">
        <f>"A"</f>
        <v>A</v>
      </c>
    </row>
    <row r="1732" spans="1:8" x14ac:dyDescent="0.2">
      <c r="A1732" t="str">
        <f t="shared" si="640"/>
        <v>0614095966</v>
      </c>
      <c r="B1732" t="str">
        <f t="shared" si="641"/>
        <v>EVAN</v>
      </c>
      <c r="C1732" t="str">
        <f t="shared" si="642"/>
        <v>BORGIA</v>
      </c>
      <c r="D1732">
        <f>11</f>
        <v>11</v>
      </c>
      <c r="E1732" t="str">
        <f>"08 - B - 102 - Pamela M Corzo"</f>
        <v>08 - B - 102 - Pamela M Corzo</v>
      </c>
      <c r="F1732" t="str">
        <f>"AP STAT"</f>
        <v>AP STAT</v>
      </c>
      <c r="G1732" t="str">
        <f>"21-2133"</f>
        <v>21-2133</v>
      </c>
      <c r="H1732" t="str">
        <f>"B"</f>
        <v>B</v>
      </c>
    </row>
    <row r="1733" spans="1:8" x14ac:dyDescent="0.2">
      <c r="A1733" t="str">
        <f t="shared" ref="A1733:A1740" si="643">"0613094721"</f>
        <v>0613094721</v>
      </c>
      <c r="B1733" t="str">
        <f t="shared" ref="B1733:B1740" si="644">"LANDON"</f>
        <v>LANDON</v>
      </c>
      <c r="C1733" t="str">
        <f t="shared" si="642"/>
        <v>BORGIA</v>
      </c>
      <c r="D1733">
        <f>12</f>
        <v>12</v>
      </c>
      <c r="E1733" t="str">
        <f>"04 - A - 106 - Tina M Jaramillo"</f>
        <v>04 - A - 106 - Tina M Jaramillo</v>
      </c>
      <c r="F1733" t="str">
        <f>"AP ENG LIT COMPO"</f>
        <v>AP ENG LIT COMPO</v>
      </c>
      <c r="G1733" t="str">
        <f>"17-1706"</f>
        <v>17-1706</v>
      </c>
      <c r="H1733" t="str">
        <f>"A"</f>
        <v>A</v>
      </c>
    </row>
    <row r="1734" spans="1:8" x14ac:dyDescent="0.2">
      <c r="A1734" t="str">
        <f t="shared" si="643"/>
        <v>0613094721</v>
      </c>
      <c r="B1734" t="str">
        <f t="shared" si="644"/>
        <v>LANDON</v>
      </c>
      <c r="C1734" t="str">
        <f t="shared" si="642"/>
        <v>BORGIA</v>
      </c>
      <c r="D1734">
        <f>12</f>
        <v>12</v>
      </c>
      <c r="E1734" t="str">
        <f>"06 - B - 106 - Taraneh C Abreu"</f>
        <v>06 - B - 106 - Taraneh C Abreu</v>
      </c>
      <c r="F1734" t="str">
        <f>"NC STUDY HALL 1"</f>
        <v>NC STUDY HALL 1</v>
      </c>
      <c r="G1734" t="str">
        <f>"17-1713"</f>
        <v>17-1713</v>
      </c>
      <c r="H1734" t="str">
        <f>"B"</f>
        <v>B</v>
      </c>
    </row>
    <row r="1735" spans="1:8" x14ac:dyDescent="0.2">
      <c r="A1735" t="str">
        <f t="shared" si="643"/>
        <v>0613094721</v>
      </c>
      <c r="B1735" t="str">
        <f t="shared" si="644"/>
        <v>LANDON</v>
      </c>
      <c r="C1735" t="str">
        <f t="shared" si="642"/>
        <v>BORGIA</v>
      </c>
      <c r="D1735">
        <f>12</f>
        <v>12</v>
      </c>
      <c r="E1735" t="str">
        <f>"03 - A - 101 - Lisa J London"</f>
        <v>03 - A - 101 - Lisa J London</v>
      </c>
      <c r="F1735" t="str">
        <f>"AP CAPSTONE RESEARCH"</f>
        <v>AP CAPSTONE RESEARCH</v>
      </c>
      <c r="G1735" t="str">
        <f>"17-1714"</f>
        <v>17-1714</v>
      </c>
      <c r="H1735" t="str">
        <f>"A"</f>
        <v>A</v>
      </c>
    </row>
    <row r="1736" spans="1:8" x14ac:dyDescent="0.2">
      <c r="A1736" t="str">
        <f t="shared" si="643"/>
        <v>0613094721</v>
      </c>
      <c r="B1736" t="str">
        <f t="shared" si="644"/>
        <v>LANDON</v>
      </c>
      <c r="C1736" t="str">
        <f t="shared" si="642"/>
        <v>BORGIA</v>
      </c>
      <c r="D1736">
        <f>12</f>
        <v>12</v>
      </c>
      <c r="E1736" t="str">
        <f>"02 - A - 102 - Marielle A Witting"</f>
        <v>02 - A - 102 - Marielle A Witting</v>
      </c>
      <c r="F1736" t="str">
        <f>"AP BIO"</f>
        <v>AP BIO</v>
      </c>
      <c r="G1736" t="str">
        <f>"08-805"</f>
        <v>08-805</v>
      </c>
      <c r="H1736" t="str">
        <f>"A"</f>
        <v>A</v>
      </c>
    </row>
    <row r="1737" spans="1:8" x14ac:dyDescent="0.2">
      <c r="A1737" t="str">
        <f t="shared" si="643"/>
        <v>0613094721</v>
      </c>
      <c r="B1737" t="str">
        <f t="shared" si="644"/>
        <v>LANDON</v>
      </c>
      <c r="C1737" t="str">
        <f t="shared" si="642"/>
        <v>BORGIA</v>
      </c>
      <c r="D1737">
        <f>12</f>
        <v>12</v>
      </c>
      <c r="E1737" t="str">
        <f>"07 - B - 202 - Chrystina M Marchionne"</f>
        <v>07 - B - 202 - Chrystina M Marchionne</v>
      </c>
      <c r="F1737" t="str">
        <f>"JOURN 1 (YB) LH"</f>
        <v>JOURN 1 (YB) LH</v>
      </c>
      <c r="G1737" t="str">
        <f>"05-520"</f>
        <v>05-520</v>
      </c>
      <c r="H1737" t="str">
        <f>"B"</f>
        <v>B</v>
      </c>
    </row>
    <row r="1738" spans="1:8" x14ac:dyDescent="0.2">
      <c r="A1738" t="str">
        <f t="shared" si="643"/>
        <v>0613094721</v>
      </c>
      <c r="B1738" t="str">
        <f t="shared" si="644"/>
        <v>LANDON</v>
      </c>
      <c r="C1738" t="str">
        <f t="shared" si="642"/>
        <v>BORGIA</v>
      </c>
      <c r="D1738">
        <f>12</f>
        <v>12</v>
      </c>
      <c r="E1738" t="str">
        <f>"05 - S1 - B - 103 - Stephen T Ripp"</f>
        <v>05 - S1 - B - 103 - Stephen T Ripp</v>
      </c>
      <c r="F1738" t="str">
        <f>"AP US GOVT/POL"</f>
        <v>AP US GOVT/POL</v>
      </c>
      <c r="G1738" t="str">
        <f>"17-1744"</f>
        <v>17-1744</v>
      </c>
      <c r="H1738" t="str">
        <f>"B"</f>
        <v>B</v>
      </c>
    </row>
    <row r="1739" spans="1:8" x14ac:dyDescent="0.2">
      <c r="A1739" t="str">
        <f t="shared" si="643"/>
        <v>0613094721</v>
      </c>
      <c r="B1739" t="str">
        <f t="shared" si="644"/>
        <v>LANDON</v>
      </c>
      <c r="C1739" t="str">
        <f t="shared" si="642"/>
        <v>BORGIA</v>
      </c>
      <c r="D1739">
        <f>12</f>
        <v>12</v>
      </c>
      <c r="E1739" t="str">
        <f>"01 - A - 101 - Eva T Rimmer"</f>
        <v>01 - A - 101 - Eva T Rimmer</v>
      </c>
      <c r="F1739" t="str">
        <f>"CRIMINAL JUST OPS 2"</f>
        <v>CRIMINAL JUST OPS 2</v>
      </c>
      <c r="G1739" t="str">
        <f>"05-523"</f>
        <v>05-523</v>
      </c>
      <c r="H1739" t="str">
        <f>"A"</f>
        <v>A</v>
      </c>
    </row>
    <row r="1740" spans="1:8" x14ac:dyDescent="0.2">
      <c r="A1740" t="str">
        <f t="shared" si="643"/>
        <v>0613094721</v>
      </c>
      <c r="B1740" t="str">
        <f t="shared" si="644"/>
        <v>LANDON</v>
      </c>
      <c r="C1740" t="str">
        <f t="shared" si="642"/>
        <v>BORGIA</v>
      </c>
      <c r="D1740">
        <f>12</f>
        <v>12</v>
      </c>
      <c r="E1740" t="str">
        <f>"08 - B - 102 - Pamela M Corzo"</f>
        <v>08 - B - 102 - Pamela M Corzo</v>
      </c>
      <c r="F1740" t="str">
        <f>"AP STAT"</f>
        <v>AP STAT</v>
      </c>
      <c r="G1740" t="str">
        <f>"21-2133"</f>
        <v>21-2133</v>
      </c>
      <c r="H1740" t="str">
        <f>"B"</f>
        <v>B</v>
      </c>
    </row>
    <row r="1741" spans="1:8" x14ac:dyDescent="0.2">
      <c r="A1741" t="str">
        <f t="shared" ref="A1741:A1748" si="645">"0615069791"</f>
        <v>0615069791</v>
      </c>
      <c r="B1741" t="str">
        <f t="shared" ref="B1741:B1748" si="646">"TAYLOR"</f>
        <v>TAYLOR</v>
      </c>
      <c r="C1741" t="str">
        <f t="shared" ref="C1741:C1748" si="647">"BORNELUS"</f>
        <v>BORNELUS</v>
      </c>
      <c r="D1741" t="str">
        <f t="shared" ref="D1741:D1748" si="648">"09"</f>
        <v>09</v>
      </c>
      <c r="E1741" t="str">
        <f>"04 - A - 104 - Adam Marcus  Drucker"</f>
        <v>04 - A - 104 - Adam Marcus  Drucker</v>
      </c>
      <c r="F1741" t="str">
        <f>"HOPE-PE V"</f>
        <v>HOPE-PE V</v>
      </c>
      <c r="G1741" t="str">
        <f>"04-254"</f>
        <v>04-254</v>
      </c>
      <c r="H1741" t="str">
        <f>"A"</f>
        <v>A</v>
      </c>
    </row>
    <row r="1742" spans="1:8" x14ac:dyDescent="0.2">
      <c r="A1742" t="str">
        <f t="shared" si="645"/>
        <v>0615069791</v>
      </c>
      <c r="B1742" t="str">
        <f t="shared" si="646"/>
        <v>TAYLOR</v>
      </c>
      <c r="C1742" t="str">
        <f t="shared" si="647"/>
        <v>BORNELUS</v>
      </c>
      <c r="D1742" t="str">
        <f t="shared" si="648"/>
        <v>09</v>
      </c>
      <c r="E1742" t="str">
        <f>"06 - B - 104 - Rory T Sponsler"</f>
        <v>06 - B - 104 - Rory T Sponsler</v>
      </c>
      <c r="F1742" t="str">
        <f>"PRE-AICE WRLD HST IG"</f>
        <v>PRE-AICE WRLD HST IG</v>
      </c>
      <c r="G1742" t="str">
        <f>"17-1740"</f>
        <v>17-1740</v>
      </c>
      <c r="H1742" t="str">
        <f>"B"</f>
        <v>B</v>
      </c>
    </row>
    <row r="1743" spans="1:8" x14ac:dyDescent="0.2">
      <c r="A1743" t="str">
        <f t="shared" si="645"/>
        <v>0615069791</v>
      </c>
      <c r="B1743" t="str">
        <f t="shared" si="646"/>
        <v>TAYLOR</v>
      </c>
      <c r="C1743" t="str">
        <f t="shared" si="647"/>
        <v>BORNELUS</v>
      </c>
      <c r="D1743" t="str">
        <f t="shared" si="648"/>
        <v>09</v>
      </c>
      <c r="E1743" t="str">
        <f>"03 - A - 203 - Elizabeth R Walker"</f>
        <v>03 - A - 203 - Elizabeth R Walker</v>
      </c>
      <c r="F1743" t="str">
        <f>"AICE ENG GEN PAPER 1"</f>
        <v>AICE ENG GEN PAPER 1</v>
      </c>
      <c r="G1743" t="str">
        <f>"17-1703"</f>
        <v>17-1703</v>
      </c>
      <c r="H1743" t="str">
        <f>"A"</f>
        <v>A</v>
      </c>
    </row>
    <row r="1744" spans="1:8" x14ac:dyDescent="0.2">
      <c r="A1744" t="str">
        <f t="shared" si="645"/>
        <v>0615069791</v>
      </c>
      <c r="B1744" t="str">
        <f t="shared" si="646"/>
        <v>TAYLOR</v>
      </c>
      <c r="C1744" t="str">
        <f t="shared" si="647"/>
        <v>BORNELUS</v>
      </c>
      <c r="D1744" t="str">
        <f t="shared" si="648"/>
        <v>09</v>
      </c>
      <c r="E1744" t="str">
        <f>"02 - A - 101 - Josiah I Lacy"</f>
        <v>02 - A - 101 - Josiah I Lacy</v>
      </c>
      <c r="F1744" t="str">
        <f>"NC STUDY HALL 1"</f>
        <v>NC STUDY HALL 1</v>
      </c>
      <c r="G1744" t="str">
        <f>"08-801"</f>
        <v>08-801</v>
      </c>
      <c r="H1744" t="str">
        <f>"A"</f>
        <v>A</v>
      </c>
    </row>
    <row r="1745" spans="1:8" x14ac:dyDescent="0.2">
      <c r="A1745" t="str">
        <f t="shared" si="645"/>
        <v>0615069791</v>
      </c>
      <c r="B1745" t="str">
        <f t="shared" si="646"/>
        <v>TAYLOR</v>
      </c>
      <c r="C1745" t="str">
        <f t="shared" si="647"/>
        <v>BORNELUS</v>
      </c>
      <c r="D1745" t="str">
        <f t="shared" si="648"/>
        <v>09</v>
      </c>
      <c r="E1745" t="str">
        <f>"07 - B - 106 - Dayna M Foster"</f>
        <v>07 - B - 106 - Dayna M Foster</v>
      </c>
      <c r="F1745" t="str">
        <f>"FDN SKLS MATH 9-12"</f>
        <v>FDN SKLS MATH 9-12</v>
      </c>
      <c r="G1745" t="str">
        <f>"21-2109"</f>
        <v>21-2109</v>
      </c>
      <c r="H1745" t="str">
        <f>"B"</f>
        <v>B</v>
      </c>
    </row>
    <row r="1746" spans="1:8" x14ac:dyDescent="0.2">
      <c r="A1746" t="str">
        <f t="shared" si="645"/>
        <v>0615069791</v>
      </c>
      <c r="B1746" t="str">
        <f t="shared" si="646"/>
        <v>TAYLOR</v>
      </c>
      <c r="C1746" t="str">
        <f t="shared" si="647"/>
        <v>BORNELUS</v>
      </c>
      <c r="D1746" t="str">
        <f t="shared" si="648"/>
        <v>09</v>
      </c>
      <c r="E1746" t="str">
        <f>"05 - B - 103 - Josiah I Lacy"</f>
        <v>05 - B - 103 - Josiah I Lacy</v>
      </c>
      <c r="F1746" t="str">
        <f>"PRE-AICE BIO IG"</f>
        <v>PRE-AICE BIO IG</v>
      </c>
      <c r="G1746" t="str">
        <f>"08-801"</f>
        <v>08-801</v>
      </c>
      <c r="H1746" t="str">
        <f>"B"</f>
        <v>B</v>
      </c>
    </row>
    <row r="1747" spans="1:8" x14ac:dyDescent="0.2">
      <c r="A1747" t="str">
        <f t="shared" si="645"/>
        <v>0615069791</v>
      </c>
      <c r="B1747" t="str">
        <f t="shared" si="646"/>
        <v>TAYLOR</v>
      </c>
      <c r="C1747" t="str">
        <f t="shared" si="647"/>
        <v>BORNELUS</v>
      </c>
      <c r="D1747" t="str">
        <f t="shared" si="648"/>
        <v>09</v>
      </c>
      <c r="E1747" t="str">
        <f>"01 - A - 108 - Dayna M Foster"</f>
        <v>01 - A - 108 - Dayna M Foster</v>
      </c>
      <c r="F1747" t="str">
        <f>"ALGEBRA 1"</f>
        <v>ALGEBRA 1</v>
      </c>
      <c r="G1747" t="str">
        <f>"21-2109"</f>
        <v>21-2109</v>
      </c>
      <c r="H1747" t="str">
        <f>"A"</f>
        <v>A</v>
      </c>
    </row>
    <row r="1748" spans="1:8" x14ac:dyDescent="0.2">
      <c r="A1748" t="str">
        <f t="shared" si="645"/>
        <v>0615069791</v>
      </c>
      <c r="B1748" t="str">
        <f t="shared" si="646"/>
        <v>TAYLOR</v>
      </c>
      <c r="C1748" t="str">
        <f t="shared" si="647"/>
        <v>BORNELUS</v>
      </c>
      <c r="D1748" t="str">
        <f t="shared" si="648"/>
        <v>09</v>
      </c>
      <c r="E1748" t="str">
        <f>"08 - S1 - B - 001 - Carol S Moore"</f>
        <v>08 - S1 - B - 001 - Carol S Moore</v>
      </c>
      <c r="F1748" t="str">
        <f>"PER CAR SCH DEV 1 LH"</f>
        <v>PER CAR SCH DEV 1 LH</v>
      </c>
      <c r="G1748" t="str">
        <f>"17-1733"</f>
        <v>17-1733</v>
      </c>
      <c r="H1748" t="str">
        <f>"B"</f>
        <v>B</v>
      </c>
    </row>
    <row r="1749" spans="1:8" x14ac:dyDescent="0.2">
      <c r="A1749" t="str">
        <f t="shared" ref="A1749:A1756" si="649">"0615108551"</f>
        <v>0615108551</v>
      </c>
      <c r="B1749" t="str">
        <f t="shared" ref="B1749:B1756" si="650">"ELIJAH"</f>
        <v>ELIJAH</v>
      </c>
      <c r="C1749" t="str">
        <f t="shared" ref="C1749:C1756" si="651">"BOSTIC"</f>
        <v>BOSTIC</v>
      </c>
      <c r="D1749">
        <f>12</f>
        <v>12</v>
      </c>
      <c r="E1749" t="str">
        <f>"04 - S1 - A - 105 - Robert O Burger"</f>
        <v>04 - S1 - A - 105 - Robert O Burger</v>
      </c>
      <c r="F1749" t="str">
        <f>"US GOVT"</f>
        <v>US GOVT</v>
      </c>
      <c r="G1749" t="str">
        <f>"17-1755"</f>
        <v>17-1755</v>
      </c>
      <c r="H1749" t="str">
        <f>"A"</f>
        <v>A</v>
      </c>
    </row>
    <row r="1750" spans="1:8" x14ac:dyDescent="0.2">
      <c r="A1750" t="str">
        <f t="shared" si="649"/>
        <v>0615108551</v>
      </c>
      <c r="B1750" t="str">
        <f t="shared" si="650"/>
        <v>ELIJAH</v>
      </c>
      <c r="C1750" t="str">
        <f t="shared" si="651"/>
        <v>BOSTIC</v>
      </c>
      <c r="D1750">
        <f>12</f>
        <v>12</v>
      </c>
      <c r="E1750" t="str">
        <f>"06 - B - 112 - Lisa  Quinn"</f>
        <v>06 - B - 112 - Lisa  Quinn</v>
      </c>
      <c r="F1750" t="str">
        <f>"NC STUDY HALL 1"</f>
        <v>NC STUDY HALL 1</v>
      </c>
      <c r="G1750" t="str">
        <f>"17-1725"</f>
        <v>17-1725</v>
      </c>
      <c r="H1750" t="str">
        <f>"B"</f>
        <v>B</v>
      </c>
    </row>
    <row r="1751" spans="1:8" x14ac:dyDescent="0.2">
      <c r="A1751" t="str">
        <f t="shared" si="649"/>
        <v>0615108551</v>
      </c>
      <c r="B1751" t="str">
        <f t="shared" si="650"/>
        <v>ELIJAH</v>
      </c>
      <c r="C1751" t="str">
        <f t="shared" si="651"/>
        <v>BOSTIC</v>
      </c>
      <c r="D1751">
        <f>12</f>
        <v>12</v>
      </c>
      <c r="E1751" t="str">
        <f>"03 - A - 101 - Samantha L Martinez"</f>
        <v>03 - A - 101 - Samantha L Martinez</v>
      </c>
      <c r="F1751" t="str">
        <f>"VOCAL ENS 1"</f>
        <v>VOCAL ENS 1</v>
      </c>
      <c r="G1751" t="str">
        <f>"05-505"</f>
        <v>05-505</v>
      </c>
      <c r="H1751" t="str">
        <f>"A"</f>
        <v>A</v>
      </c>
    </row>
    <row r="1752" spans="1:8" x14ac:dyDescent="0.2">
      <c r="A1752" t="str">
        <f t="shared" si="649"/>
        <v>0615108551</v>
      </c>
      <c r="B1752" t="str">
        <f t="shared" si="650"/>
        <v>ELIJAH</v>
      </c>
      <c r="C1752" t="str">
        <f t="shared" si="651"/>
        <v>BOSTIC</v>
      </c>
      <c r="D1752">
        <f>12</f>
        <v>12</v>
      </c>
      <c r="E1752" t="str">
        <f>"02 - A - 102 - Daniel S Tyson"</f>
        <v>02 - A - 102 - Daniel S Tyson</v>
      </c>
      <c r="F1752" t="str">
        <f>"JROTC NAVAL SCI 4"</f>
        <v>JROTC NAVAL SCI 4</v>
      </c>
      <c r="G1752" t="str">
        <f>"05-510"</f>
        <v>05-510</v>
      </c>
      <c r="H1752" t="str">
        <f>"A"</f>
        <v>A</v>
      </c>
    </row>
    <row r="1753" spans="1:8" x14ac:dyDescent="0.2">
      <c r="A1753" t="str">
        <f t="shared" si="649"/>
        <v>0615108551</v>
      </c>
      <c r="B1753" t="str">
        <f t="shared" si="650"/>
        <v>ELIJAH</v>
      </c>
      <c r="C1753" t="str">
        <f t="shared" si="651"/>
        <v>BOSTIC</v>
      </c>
      <c r="D1753">
        <f>12</f>
        <v>12</v>
      </c>
      <c r="E1753" t="str">
        <f>"07 - B - 104 - Robyn L Trainer"</f>
        <v>07 - B - 104 - Robyn L Trainer</v>
      </c>
      <c r="F1753" t="str">
        <f>"ENG 4"</f>
        <v>ENG 4</v>
      </c>
      <c r="G1753" t="str">
        <f>"17-1734"</f>
        <v>17-1734</v>
      </c>
      <c r="H1753" t="str">
        <f>"B"</f>
        <v>B</v>
      </c>
    </row>
    <row r="1754" spans="1:8" x14ac:dyDescent="0.2">
      <c r="A1754" t="str">
        <f t="shared" si="649"/>
        <v>0615108551</v>
      </c>
      <c r="B1754" t="str">
        <f t="shared" si="650"/>
        <v>ELIJAH</v>
      </c>
      <c r="C1754" t="str">
        <f t="shared" si="651"/>
        <v>BOSTIC</v>
      </c>
      <c r="D1754">
        <f>12</f>
        <v>12</v>
      </c>
      <c r="E1754" t="str">
        <f>"05 - B - 204 - Cliffon  Saurel"</f>
        <v>05 - B - 204 - Cliffon  Saurel</v>
      </c>
      <c r="F1754" t="str">
        <f>"PHYSICAL SCI"</f>
        <v>PHYSICAL SCI</v>
      </c>
      <c r="G1754" t="str">
        <f>"05-522"</f>
        <v>05-522</v>
      </c>
      <c r="H1754" t="str">
        <f>"B"</f>
        <v>B</v>
      </c>
    </row>
    <row r="1755" spans="1:8" x14ac:dyDescent="0.2">
      <c r="A1755" t="str">
        <f t="shared" si="649"/>
        <v>0615108551</v>
      </c>
      <c r="B1755" t="str">
        <f t="shared" si="650"/>
        <v>ELIJAH</v>
      </c>
      <c r="C1755" t="str">
        <f t="shared" si="651"/>
        <v>BOSTIC</v>
      </c>
      <c r="D1755">
        <f>12</f>
        <v>12</v>
      </c>
      <c r="E1755" t="str">
        <f>"01 - A - 102 - Robert H Rindner"</f>
        <v>01 - A - 102 - Robert H Rindner</v>
      </c>
      <c r="F1755" t="str">
        <f>"MATH DATA&amp;FIN LIT H"</f>
        <v>MATH DATA&amp;FIN LIT H</v>
      </c>
      <c r="G1755" t="str">
        <f>"21-2160"</f>
        <v>21-2160</v>
      </c>
      <c r="H1755" t="str">
        <f>"A"</f>
        <v>A</v>
      </c>
    </row>
    <row r="1756" spans="1:8" x14ac:dyDescent="0.2">
      <c r="A1756" t="str">
        <f t="shared" si="649"/>
        <v>0615108551</v>
      </c>
      <c r="B1756" t="str">
        <f t="shared" si="650"/>
        <v>ELIJAH</v>
      </c>
      <c r="C1756" t="str">
        <f t="shared" si="651"/>
        <v>BOSTIC</v>
      </c>
      <c r="D1756">
        <f>12</f>
        <v>12</v>
      </c>
      <c r="E1756" t="str">
        <f>"08 - S1 - B - 104 - Richard E Dunbar Iii"</f>
        <v>08 - S1 - B - 104 - Richard E Dunbar Iii</v>
      </c>
      <c r="F1756" t="str">
        <f>"WEIGHT TRAIN 3"</f>
        <v>WEIGHT TRAIN 3</v>
      </c>
      <c r="G1756" t="str">
        <f>"05-501"</f>
        <v>05-501</v>
      </c>
      <c r="H1756" t="str">
        <f>"B"</f>
        <v>B</v>
      </c>
    </row>
    <row r="1757" spans="1:8" x14ac:dyDescent="0.2">
      <c r="A1757" t="str">
        <f t="shared" ref="A1757:A1764" si="652">"0623079861"</f>
        <v>0623079861</v>
      </c>
      <c r="B1757" t="str">
        <f t="shared" ref="B1757:B1764" si="653">"MI'KELL"</f>
        <v>MI'KELL</v>
      </c>
      <c r="C1757" t="str">
        <f t="shared" ref="C1757:C1764" si="654">"BOSTICK"</f>
        <v>BOSTICK</v>
      </c>
      <c r="D1757">
        <f>12</f>
        <v>12</v>
      </c>
      <c r="E1757" t="str">
        <f>"04 - A - 104 - Robert H Rindner"</f>
        <v>04 - A - 104 - Robert H Rindner</v>
      </c>
      <c r="F1757" t="str">
        <f>"MATH DATA&amp;FIN LIT H"</f>
        <v>MATH DATA&amp;FIN LIT H</v>
      </c>
      <c r="G1757" t="str">
        <f>"21-2160"</f>
        <v>21-2160</v>
      </c>
      <c r="H1757" t="str">
        <f>"A"</f>
        <v>A</v>
      </c>
    </row>
    <row r="1758" spans="1:8" x14ac:dyDescent="0.2">
      <c r="A1758" t="str">
        <f t="shared" si="652"/>
        <v>0623079861</v>
      </c>
      <c r="B1758" t="str">
        <f t="shared" si="653"/>
        <v>MI'KELL</v>
      </c>
      <c r="C1758" t="str">
        <f t="shared" si="654"/>
        <v>BOSTICK</v>
      </c>
      <c r="D1758">
        <f>12</f>
        <v>12</v>
      </c>
      <c r="E1758" t="str">
        <f>"06 - B - 108 - Jacquelyn M Neeson"</f>
        <v>06 - B - 108 - Jacquelyn M Neeson</v>
      </c>
      <c r="F1758" t="str">
        <f>"NC STUDY HALL 1"</f>
        <v>NC STUDY HALL 1</v>
      </c>
      <c r="G1758" t="str">
        <f>"17-1715"</f>
        <v>17-1715</v>
      </c>
      <c r="H1758" t="str">
        <f>"B"</f>
        <v>B</v>
      </c>
    </row>
    <row r="1759" spans="1:8" x14ac:dyDescent="0.2">
      <c r="A1759" t="str">
        <f t="shared" si="652"/>
        <v>0623079861</v>
      </c>
      <c r="B1759" t="str">
        <f t="shared" si="653"/>
        <v>MI'KELL</v>
      </c>
      <c r="C1759" t="str">
        <f t="shared" si="654"/>
        <v>BOSTICK</v>
      </c>
      <c r="D1759">
        <f>12</f>
        <v>12</v>
      </c>
      <c r="E1759" t="str">
        <f>"03 - A - 201 - Alejandro  Navarro"</f>
        <v>03 - A - 201 - Alejandro  Navarro</v>
      </c>
      <c r="F1759" t="str">
        <f>"BAND 2"</f>
        <v>BAND 2</v>
      </c>
      <c r="G1759" t="str">
        <f>"05-504"</f>
        <v>05-504</v>
      </c>
      <c r="H1759" t="str">
        <f>"A"</f>
        <v>A</v>
      </c>
    </row>
    <row r="1760" spans="1:8" x14ac:dyDescent="0.2">
      <c r="A1760" t="str">
        <f t="shared" si="652"/>
        <v>0623079861</v>
      </c>
      <c r="B1760" t="str">
        <f t="shared" si="653"/>
        <v>MI'KELL</v>
      </c>
      <c r="C1760" t="str">
        <f t="shared" si="654"/>
        <v>BOSTICK</v>
      </c>
      <c r="D1760">
        <f>12</f>
        <v>12</v>
      </c>
      <c r="E1760" t="str">
        <f>"02 - A - 102 - Daniel S Tyson"</f>
        <v>02 - A - 102 - Daniel S Tyson</v>
      </c>
      <c r="F1760" t="str">
        <f>"JROTC NAVAL SCI 4"</f>
        <v>JROTC NAVAL SCI 4</v>
      </c>
      <c r="G1760" t="str">
        <f>"05-510"</f>
        <v>05-510</v>
      </c>
      <c r="H1760" t="str">
        <f>"A"</f>
        <v>A</v>
      </c>
    </row>
    <row r="1761" spans="1:8" x14ac:dyDescent="0.2">
      <c r="A1761" t="str">
        <f t="shared" si="652"/>
        <v>0623079861</v>
      </c>
      <c r="B1761" t="str">
        <f t="shared" si="653"/>
        <v>MI'KELL</v>
      </c>
      <c r="C1761" t="str">
        <f t="shared" si="654"/>
        <v>BOSTICK</v>
      </c>
      <c r="D1761">
        <f>12</f>
        <v>12</v>
      </c>
      <c r="E1761" t="str">
        <f>"07 - B - 104 - Robyn L Trainer"</f>
        <v>07 - B - 104 - Robyn L Trainer</v>
      </c>
      <c r="F1761" t="str">
        <f>"ENG 4"</f>
        <v>ENG 4</v>
      </c>
      <c r="G1761" t="str">
        <f>"17-1734"</f>
        <v>17-1734</v>
      </c>
      <c r="H1761" t="str">
        <f>"B"</f>
        <v>B</v>
      </c>
    </row>
    <row r="1762" spans="1:8" x14ac:dyDescent="0.2">
      <c r="A1762" t="str">
        <f t="shared" si="652"/>
        <v>0623079861</v>
      </c>
      <c r="B1762" t="str">
        <f t="shared" si="653"/>
        <v>MI'KELL</v>
      </c>
      <c r="C1762" t="str">
        <f t="shared" si="654"/>
        <v>BOSTICK</v>
      </c>
      <c r="D1762">
        <f>12</f>
        <v>12</v>
      </c>
      <c r="E1762" t="str">
        <f>"05 - B - 204 - Cliffon  Saurel"</f>
        <v>05 - B - 204 - Cliffon  Saurel</v>
      </c>
      <c r="F1762" t="str">
        <f>"PHYSICAL SCI"</f>
        <v>PHYSICAL SCI</v>
      </c>
      <c r="G1762" t="str">
        <f>"05-522"</f>
        <v>05-522</v>
      </c>
      <c r="H1762" t="str">
        <f>"B"</f>
        <v>B</v>
      </c>
    </row>
    <row r="1763" spans="1:8" x14ac:dyDescent="0.2">
      <c r="A1763" t="str">
        <f t="shared" si="652"/>
        <v>0623079861</v>
      </c>
      <c r="B1763" t="str">
        <f t="shared" si="653"/>
        <v>MI'KELL</v>
      </c>
      <c r="C1763" t="str">
        <f t="shared" si="654"/>
        <v>BOSTICK</v>
      </c>
      <c r="D1763">
        <f>12</f>
        <v>12</v>
      </c>
      <c r="E1763" t="str">
        <f>"01 - S1 - A - 101 - Robert O Burger"</f>
        <v>01 - S1 - A - 101 - Robert O Burger</v>
      </c>
      <c r="F1763" t="str">
        <f>"US GOVT"</f>
        <v>US GOVT</v>
      </c>
      <c r="G1763" t="str">
        <f>"17-1755"</f>
        <v>17-1755</v>
      </c>
      <c r="H1763" t="str">
        <f>"A"</f>
        <v>A</v>
      </c>
    </row>
    <row r="1764" spans="1:8" x14ac:dyDescent="0.2">
      <c r="A1764" t="str">
        <f t="shared" si="652"/>
        <v>0623079861</v>
      </c>
      <c r="B1764" t="str">
        <f t="shared" si="653"/>
        <v>MI'KELL</v>
      </c>
      <c r="C1764" t="str">
        <f t="shared" si="654"/>
        <v>BOSTICK</v>
      </c>
      <c r="D1764">
        <f>12</f>
        <v>12</v>
      </c>
      <c r="E1764" t="str">
        <f>"08 - S1 - B - 105 - Richard E Dunbar Iii"</f>
        <v>08 - S1 - B - 105 - Richard E Dunbar Iii</v>
      </c>
      <c r="F1764" t="str">
        <f>"WEIGHT TRAIN 1"</f>
        <v>WEIGHT TRAIN 1</v>
      </c>
      <c r="G1764" t="str">
        <f>"05-501"</f>
        <v>05-501</v>
      </c>
      <c r="H1764" t="str">
        <f>"B"</f>
        <v>B</v>
      </c>
    </row>
    <row r="1765" spans="1:8" x14ac:dyDescent="0.2">
      <c r="A1765" t="str">
        <f t="shared" ref="A1765:A1772" si="655">"0614075048"</f>
        <v>0614075048</v>
      </c>
      <c r="B1765" t="str">
        <f t="shared" ref="B1765:B1772" si="656">"JAIBRIANAH"</f>
        <v>JAIBRIANAH</v>
      </c>
      <c r="C1765" t="str">
        <f t="shared" ref="C1765:C1780" si="657">"BOSTON"</f>
        <v>BOSTON</v>
      </c>
      <c r="D1765">
        <f>12</f>
        <v>12</v>
      </c>
      <c r="E1765" t="str">
        <f>"04 - A - 103 - Cliffon  Saurel"</f>
        <v>04 - A - 103 - Cliffon  Saurel</v>
      </c>
      <c r="F1765" t="str">
        <f>"PHYSICAL SCI"</f>
        <v>PHYSICAL SCI</v>
      </c>
      <c r="G1765" t="str">
        <f>"05-522"</f>
        <v>05-522</v>
      </c>
      <c r="H1765" t="str">
        <f>"A"</f>
        <v>A</v>
      </c>
    </row>
    <row r="1766" spans="1:8" x14ac:dyDescent="0.2">
      <c r="A1766" t="str">
        <f t="shared" si="655"/>
        <v>0614075048</v>
      </c>
      <c r="B1766" t="str">
        <f t="shared" si="656"/>
        <v>JAIBRIANAH</v>
      </c>
      <c r="C1766" t="str">
        <f t="shared" si="657"/>
        <v>BOSTON</v>
      </c>
      <c r="D1766">
        <f>12</f>
        <v>12</v>
      </c>
      <c r="E1766" t="str">
        <f>"06 - B - 112 - Lisa  Quinn"</f>
        <v>06 - B - 112 - Lisa  Quinn</v>
      </c>
      <c r="F1766" t="str">
        <f>"NC STUDY HALL 1"</f>
        <v>NC STUDY HALL 1</v>
      </c>
      <c r="G1766" t="str">
        <f>"17-1725"</f>
        <v>17-1725</v>
      </c>
      <c r="H1766" t="str">
        <f>"B"</f>
        <v>B</v>
      </c>
    </row>
    <row r="1767" spans="1:8" x14ac:dyDescent="0.2">
      <c r="A1767" t="str">
        <f t="shared" si="655"/>
        <v>0614075048</v>
      </c>
      <c r="B1767" t="str">
        <f t="shared" si="656"/>
        <v>JAIBRIANAH</v>
      </c>
      <c r="C1767" t="str">
        <f t="shared" si="657"/>
        <v>BOSTON</v>
      </c>
      <c r="D1767">
        <f>12</f>
        <v>12</v>
      </c>
      <c r="E1767" t="str">
        <f>"03 - A - 101 - Jeffrey S Gallagher"</f>
        <v>03 - A - 101 - Jeffrey S Gallagher</v>
      </c>
      <c r="F1767" t="str">
        <f>"ENG HON 4"</f>
        <v>ENG HON 4</v>
      </c>
      <c r="G1767" t="str">
        <f>"17-1724"</f>
        <v>17-1724</v>
      </c>
      <c r="H1767" t="str">
        <f>"A"</f>
        <v>A</v>
      </c>
    </row>
    <row r="1768" spans="1:8" x14ac:dyDescent="0.2">
      <c r="A1768" t="str">
        <f t="shared" si="655"/>
        <v>0614075048</v>
      </c>
      <c r="B1768" t="str">
        <f t="shared" si="656"/>
        <v>JAIBRIANAH</v>
      </c>
      <c r="C1768" t="str">
        <f t="shared" si="657"/>
        <v>BOSTON</v>
      </c>
      <c r="D1768">
        <f>12</f>
        <v>12</v>
      </c>
      <c r="E1768" t="str">
        <f>"02 - A - 101 - Robert H Rindner"</f>
        <v>02 - A - 101 - Robert H Rindner</v>
      </c>
      <c r="F1768" t="str">
        <f>"MATH DATA&amp;FIN LIT H"</f>
        <v>MATH DATA&amp;FIN LIT H</v>
      </c>
      <c r="G1768" t="str">
        <f>"21-2160"</f>
        <v>21-2160</v>
      </c>
      <c r="H1768" t="str">
        <f>"A"</f>
        <v>A</v>
      </c>
    </row>
    <row r="1769" spans="1:8" x14ac:dyDescent="0.2">
      <c r="A1769" t="str">
        <f t="shared" si="655"/>
        <v>0614075048</v>
      </c>
      <c r="B1769" t="str">
        <f t="shared" si="656"/>
        <v>JAIBRIANAH</v>
      </c>
      <c r="C1769" t="str">
        <f t="shared" si="657"/>
        <v>BOSTON</v>
      </c>
      <c r="D1769">
        <f>12</f>
        <v>12</v>
      </c>
      <c r="E1769" t="str">
        <f>"07 - S1 - B - 107 - Kelly N Panza"</f>
        <v>07 - S1 - B - 107 - Kelly N Panza</v>
      </c>
      <c r="F1769" t="str">
        <f>"US GOVT HON"</f>
        <v>US GOVT HON</v>
      </c>
      <c r="G1769" t="str">
        <f>"17-1753"</f>
        <v>17-1753</v>
      </c>
      <c r="H1769" t="str">
        <f>"B"</f>
        <v>B</v>
      </c>
    </row>
    <row r="1770" spans="1:8" x14ac:dyDescent="0.2">
      <c r="A1770" t="str">
        <f t="shared" si="655"/>
        <v>0614075048</v>
      </c>
      <c r="B1770" t="str">
        <f t="shared" si="656"/>
        <v>JAIBRIANAH</v>
      </c>
      <c r="C1770" t="str">
        <f t="shared" si="657"/>
        <v>BOSTON</v>
      </c>
      <c r="D1770">
        <f>12</f>
        <v>12</v>
      </c>
      <c r="E1770" t="str">
        <f>"05 - B - 102 - Dorothy D Moore"</f>
        <v>05 - B - 102 - Dorothy D Moore</v>
      </c>
      <c r="F1770" t="str">
        <f>"FORC SCI 1 LH"</f>
        <v>FORC SCI 1 LH</v>
      </c>
      <c r="G1770" t="str">
        <f>"08-803"</f>
        <v>08-803</v>
      </c>
      <c r="H1770" t="str">
        <f>"B"</f>
        <v>B</v>
      </c>
    </row>
    <row r="1771" spans="1:8" x14ac:dyDescent="0.2">
      <c r="A1771" t="str">
        <f t="shared" si="655"/>
        <v>0614075048</v>
      </c>
      <c r="B1771" t="str">
        <f t="shared" si="656"/>
        <v>JAIBRIANAH</v>
      </c>
      <c r="C1771" t="str">
        <f t="shared" si="657"/>
        <v>BOSTON</v>
      </c>
      <c r="D1771">
        <f>12</f>
        <v>12</v>
      </c>
      <c r="E1771" t="str">
        <f>"01 - A - 101 - Samantha L Martinez"</f>
        <v>01 - A - 101 - Samantha L Martinez</v>
      </c>
      <c r="F1771" t="str">
        <f>"MUSIC WORLD"</f>
        <v>MUSIC WORLD</v>
      </c>
      <c r="G1771" t="str">
        <f>"05-505"</f>
        <v>05-505</v>
      </c>
      <c r="H1771" t="str">
        <f>"A"</f>
        <v>A</v>
      </c>
    </row>
    <row r="1772" spans="1:8" x14ac:dyDescent="0.2">
      <c r="A1772" t="str">
        <f t="shared" si="655"/>
        <v>0614075048</v>
      </c>
      <c r="B1772" t="str">
        <f t="shared" si="656"/>
        <v>JAIBRIANAH</v>
      </c>
      <c r="C1772" t="str">
        <f t="shared" si="657"/>
        <v>BOSTON</v>
      </c>
      <c r="D1772">
        <f>12</f>
        <v>12</v>
      </c>
      <c r="E1772" t="str">
        <f>"08 - B - 001 - Chrystina M Marchionne"</f>
        <v>08 - B - 001 - Chrystina M Marchionne</v>
      </c>
      <c r="F1772" t="str">
        <f>"JOURN 1 (YB) LH"</f>
        <v>JOURN 1 (YB) LH</v>
      </c>
      <c r="G1772" t="str">
        <f>"05-520"</f>
        <v>05-520</v>
      </c>
      <c r="H1772" t="str">
        <f>"B"</f>
        <v>B</v>
      </c>
    </row>
    <row r="1773" spans="1:8" x14ac:dyDescent="0.2">
      <c r="A1773" t="str">
        <f t="shared" ref="A1773:A1780" si="658">"0617090051"</f>
        <v>0617090051</v>
      </c>
      <c r="B1773" t="str">
        <f t="shared" ref="B1773:B1780" si="659">"ZO'RYAH"</f>
        <v>ZO'RYAH</v>
      </c>
      <c r="C1773" t="str">
        <f t="shared" si="657"/>
        <v>BOSTON</v>
      </c>
      <c r="D1773" t="str">
        <f t="shared" ref="D1773:D1780" si="660">"09"</f>
        <v>09</v>
      </c>
      <c r="E1773" t="str">
        <f>"04 - S1 - A - 101 - Leslie J Barton"</f>
        <v>04 - S1 - A - 101 - Leslie J Barton</v>
      </c>
      <c r="F1773" t="str">
        <f>"TEAM SPORTS 1"</f>
        <v>TEAM SPORTS 1</v>
      </c>
      <c r="G1773" t="str">
        <f>"04-254"</f>
        <v>04-254</v>
      </c>
      <c r="H1773" t="str">
        <f>"A"</f>
        <v>A</v>
      </c>
    </row>
    <row r="1774" spans="1:8" x14ac:dyDescent="0.2">
      <c r="A1774" t="str">
        <f t="shared" si="658"/>
        <v>0617090051</v>
      </c>
      <c r="B1774" t="str">
        <f t="shared" si="659"/>
        <v>ZO'RYAH</v>
      </c>
      <c r="C1774" t="str">
        <f t="shared" si="657"/>
        <v>BOSTON</v>
      </c>
      <c r="D1774" t="str">
        <f t="shared" si="660"/>
        <v>09</v>
      </c>
      <c r="E1774" t="str">
        <f>"06 - B - 002 - Amy Beth  Broyles"</f>
        <v>06 - B - 002 - Amy Beth  Broyles</v>
      </c>
      <c r="F1774" t="str">
        <f>"ENV SCI"</f>
        <v>ENV SCI</v>
      </c>
      <c r="G1774" t="str">
        <f>"08-802"</f>
        <v>08-802</v>
      </c>
      <c r="H1774" t="str">
        <f>"B"</f>
        <v>B</v>
      </c>
    </row>
    <row r="1775" spans="1:8" x14ac:dyDescent="0.2">
      <c r="A1775" t="str">
        <f t="shared" si="658"/>
        <v>0617090051</v>
      </c>
      <c r="B1775" t="str">
        <f t="shared" si="659"/>
        <v>ZO'RYAH</v>
      </c>
      <c r="C1775" t="str">
        <f t="shared" si="657"/>
        <v>BOSTON</v>
      </c>
      <c r="D1775" t="str">
        <f t="shared" si="660"/>
        <v>09</v>
      </c>
      <c r="E1775" t="str">
        <f>"03 - A - 101 - Milca  Exantus"</f>
        <v>03 - A - 101 - Milca  Exantus</v>
      </c>
      <c r="F1775" t="str">
        <f>"ALGEBRA 1-A"</f>
        <v>ALGEBRA 1-A</v>
      </c>
      <c r="G1775" t="str">
        <f>"21-2145"</f>
        <v>21-2145</v>
      </c>
      <c r="H1775" t="str">
        <f>"A"</f>
        <v>A</v>
      </c>
    </row>
    <row r="1776" spans="1:8" x14ac:dyDescent="0.2">
      <c r="A1776" t="str">
        <f t="shared" si="658"/>
        <v>0617090051</v>
      </c>
      <c r="B1776" t="str">
        <f t="shared" si="659"/>
        <v>ZO'RYAH</v>
      </c>
      <c r="C1776" t="str">
        <f t="shared" si="657"/>
        <v>BOSTON</v>
      </c>
      <c r="D1776" t="str">
        <f t="shared" si="660"/>
        <v>09</v>
      </c>
      <c r="E1776" t="str">
        <f>"02 - A - 115 - Lourivaldo  Da Silva"</f>
        <v>02 - A - 115 - Lourivaldo  Da Silva</v>
      </c>
      <c r="F1776" t="str">
        <f>"NC STUDY HALL 1"</f>
        <v>NC STUDY HALL 1</v>
      </c>
      <c r="G1776" t="str">
        <f>"20-2079"</f>
        <v>20-2079</v>
      </c>
      <c r="H1776" t="str">
        <f>"A"</f>
        <v>A</v>
      </c>
    </row>
    <row r="1777" spans="1:8" x14ac:dyDescent="0.2">
      <c r="A1777" t="str">
        <f t="shared" si="658"/>
        <v>0617090051</v>
      </c>
      <c r="B1777" t="str">
        <f t="shared" si="659"/>
        <v>ZO'RYAH</v>
      </c>
      <c r="C1777" t="str">
        <f t="shared" si="657"/>
        <v>BOSTON</v>
      </c>
      <c r="D1777" t="str">
        <f t="shared" si="660"/>
        <v>09</v>
      </c>
      <c r="E1777" t="str">
        <f>"07 - B - 002 - Jazmin S Fletcher"</f>
        <v>07 - B - 002 - Jazmin S Fletcher</v>
      </c>
      <c r="F1777" t="str">
        <f>"THEATRE 1"</f>
        <v>THEATRE 1</v>
      </c>
      <c r="G1777" t="str">
        <f>"09-909"</f>
        <v>09-909</v>
      </c>
      <c r="H1777" t="str">
        <f>"B"</f>
        <v>B</v>
      </c>
    </row>
    <row r="1778" spans="1:8" x14ac:dyDescent="0.2">
      <c r="A1778" t="str">
        <f t="shared" si="658"/>
        <v>0617090051</v>
      </c>
      <c r="B1778" t="str">
        <f t="shared" si="659"/>
        <v>ZO'RYAH</v>
      </c>
      <c r="C1778" t="str">
        <f t="shared" si="657"/>
        <v>BOSTON</v>
      </c>
      <c r="D1778" t="str">
        <f t="shared" si="660"/>
        <v>09</v>
      </c>
      <c r="E1778" t="str">
        <f>"05 - B - 001 - Laselleda D Shaw"</f>
        <v>05 - B - 001 - Laselleda D Shaw</v>
      </c>
      <c r="F1778" t="str">
        <f>"INTENS READ 1"</f>
        <v>INTENS READ 1</v>
      </c>
      <c r="G1778" t="str">
        <f>"17-1723"</f>
        <v>17-1723</v>
      </c>
      <c r="H1778" t="str">
        <f>"B"</f>
        <v>B</v>
      </c>
    </row>
    <row r="1779" spans="1:8" x14ac:dyDescent="0.2">
      <c r="A1779" t="str">
        <f t="shared" si="658"/>
        <v>0617090051</v>
      </c>
      <c r="B1779" t="str">
        <f t="shared" si="659"/>
        <v>ZO'RYAH</v>
      </c>
      <c r="C1779" t="str">
        <f t="shared" si="657"/>
        <v>BOSTON</v>
      </c>
      <c r="D1779" t="str">
        <f t="shared" si="660"/>
        <v>09</v>
      </c>
      <c r="E1779" t="str">
        <f>"01 - A - 107 - Jazmin S Fletcher"</f>
        <v>01 - A - 107 - Jazmin S Fletcher</v>
      </c>
      <c r="F1779" t="str">
        <f>"WORLD HISTORY"</f>
        <v>WORLD HISTORY</v>
      </c>
      <c r="G1779" t="str">
        <f>"09-909"</f>
        <v>09-909</v>
      </c>
      <c r="H1779" t="str">
        <f>"A"</f>
        <v>A</v>
      </c>
    </row>
    <row r="1780" spans="1:8" x14ac:dyDescent="0.2">
      <c r="A1780" t="str">
        <f t="shared" si="658"/>
        <v>0617090051</v>
      </c>
      <c r="B1780" t="str">
        <f t="shared" si="659"/>
        <v>ZO'RYAH</v>
      </c>
      <c r="C1780" t="str">
        <f t="shared" si="657"/>
        <v>BOSTON</v>
      </c>
      <c r="D1780" t="str">
        <f t="shared" si="660"/>
        <v>09</v>
      </c>
      <c r="E1780" t="str">
        <f>"08 - B - 108 - Cerine S Stewart"</f>
        <v>08 - B - 108 - Cerine S Stewart</v>
      </c>
      <c r="F1780" t="str">
        <f>"ENG 1"</f>
        <v>ENG 1</v>
      </c>
      <c r="G1780" t="str">
        <f>"17-1720"</f>
        <v>17-1720</v>
      </c>
      <c r="H1780" t="str">
        <f>"B"</f>
        <v>B</v>
      </c>
    </row>
    <row r="1781" spans="1:8" x14ac:dyDescent="0.2">
      <c r="A1781" t="str">
        <f t="shared" ref="A1781:A1788" si="661">"0613100289"</f>
        <v>0613100289</v>
      </c>
      <c r="B1781" t="str">
        <f t="shared" ref="B1781:B1788" si="662">"EMERSON"</f>
        <v>EMERSON</v>
      </c>
      <c r="C1781" t="str">
        <f t="shared" ref="C1781:C1788" si="663">"BOTKNECHT"</f>
        <v>BOTKNECHT</v>
      </c>
      <c r="D1781">
        <f>12</f>
        <v>12</v>
      </c>
      <c r="E1781" t="str">
        <f>"04 - A - 101 - Stefanie S Scher"</f>
        <v>04 - A - 101 - Stefanie S Scher</v>
      </c>
      <c r="F1781" t="str">
        <f>"AP PSYCH"</f>
        <v>AP PSYCH</v>
      </c>
      <c r="G1781" t="str">
        <f>"17-1735"</f>
        <v>17-1735</v>
      </c>
      <c r="H1781" t="str">
        <f>"A"</f>
        <v>A</v>
      </c>
    </row>
    <row r="1782" spans="1:8" x14ac:dyDescent="0.2">
      <c r="A1782" t="str">
        <f t="shared" si="661"/>
        <v>0613100289</v>
      </c>
      <c r="B1782" t="str">
        <f t="shared" si="662"/>
        <v>EMERSON</v>
      </c>
      <c r="C1782" t="str">
        <f t="shared" si="663"/>
        <v>BOTKNECHT</v>
      </c>
      <c r="D1782">
        <f>12</f>
        <v>12</v>
      </c>
      <c r="E1782" t="str">
        <f>"06 - B - 112 - Lisa  Quinn"</f>
        <v>06 - B - 112 - Lisa  Quinn</v>
      </c>
      <c r="F1782" t="str">
        <f>"NC STUDY HALL 1"</f>
        <v>NC STUDY HALL 1</v>
      </c>
      <c r="G1782" t="str">
        <f>"17-1725"</f>
        <v>17-1725</v>
      </c>
      <c r="H1782" t="str">
        <f>"B"</f>
        <v>B</v>
      </c>
    </row>
    <row r="1783" spans="1:8" x14ac:dyDescent="0.2">
      <c r="A1783" t="str">
        <f t="shared" si="661"/>
        <v>0613100289</v>
      </c>
      <c r="B1783" t="str">
        <f t="shared" si="662"/>
        <v>EMERSON</v>
      </c>
      <c r="C1783" t="str">
        <f t="shared" si="663"/>
        <v>BOTKNECHT</v>
      </c>
      <c r="D1783">
        <f>12</f>
        <v>12</v>
      </c>
      <c r="E1783" t="str">
        <f>"03 - A - 101 - Carleigh R Carmichael"</f>
        <v>03 - A - 101 - Carleigh R Carmichael</v>
      </c>
      <c r="F1783" t="str">
        <f>"LEAD SKLS DEV LH"</f>
        <v>LEAD SKLS DEV LH</v>
      </c>
      <c r="G1783" t="str">
        <f>"20-2072"</f>
        <v>20-2072</v>
      </c>
      <c r="H1783" t="str">
        <f>"A"</f>
        <v>A</v>
      </c>
    </row>
    <row r="1784" spans="1:8" x14ac:dyDescent="0.2">
      <c r="A1784" t="str">
        <f t="shared" si="661"/>
        <v>0613100289</v>
      </c>
      <c r="B1784" t="str">
        <f t="shared" si="662"/>
        <v>EMERSON</v>
      </c>
      <c r="C1784" t="str">
        <f t="shared" si="663"/>
        <v>BOTKNECHT</v>
      </c>
      <c r="D1784">
        <f>12</f>
        <v>12</v>
      </c>
      <c r="E1784" t="str">
        <f>"02 - A - 102 - Marielle A Witting"</f>
        <v>02 - A - 102 - Marielle A Witting</v>
      </c>
      <c r="F1784" t="str">
        <f>"AP BIO"</f>
        <v>AP BIO</v>
      </c>
      <c r="G1784" t="str">
        <f>"08-805"</f>
        <v>08-805</v>
      </c>
      <c r="H1784" t="str">
        <f>"A"</f>
        <v>A</v>
      </c>
    </row>
    <row r="1785" spans="1:8" x14ac:dyDescent="0.2">
      <c r="A1785" t="str">
        <f t="shared" si="661"/>
        <v>0613100289</v>
      </c>
      <c r="B1785" t="str">
        <f t="shared" si="662"/>
        <v>EMERSON</v>
      </c>
      <c r="C1785" t="str">
        <f t="shared" si="663"/>
        <v>BOTKNECHT</v>
      </c>
      <c r="D1785">
        <f>12</f>
        <v>12</v>
      </c>
      <c r="E1785" t="str">
        <f>"07 - B - 102 - Courtney E Hambright"</f>
        <v>07 - B - 102 - Courtney E Hambright</v>
      </c>
      <c r="F1785" t="str">
        <f>"AP ENG LIT COMPO"</f>
        <v>AP ENG LIT COMPO</v>
      </c>
      <c r="G1785" t="str">
        <f>"17-1711"</f>
        <v>17-1711</v>
      </c>
      <c r="H1785" t="str">
        <f>"B"</f>
        <v>B</v>
      </c>
    </row>
    <row r="1786" spans="1:8" x14ac:dyDescent="0.2">
      <c r="A1786" t="str">
        <f t="shared" si="661"/>
        <v>0613100289</v>
      </c>
      <c r="B1786" t="str">
        <f t="shared" si="662"/>
        <v>EMERSON</v>
      </c>
      <c r="C1786" t="str">
        <f t="shared" si="663"/>
        <v>BOTKNECHT</v>
      </c>
      <c r="D1786">
        <f>12</f>
        <v>12</v>
      </c>
      <c r="E1786" t="str">
        <f>"05 - S1 - B - 103 - Stephen T Ripp"</f>
        <v>05 - S1 - B - 103 - Stephen T Ripp</v>
      </c>
      <c r="F1786" t="str">
        <f>"AP US GOVT/POL"</f>
        <v>AP US GOVT/POL</v>
      </c>
      <c r="G1786" t="str">
        <f>"17-1744"</f>
        <v>17-1744</v>
      </c>
      <c r="H1786" t="str">
        <f>"B"</f>
        <v>B</v>
      </c>
    </row>
    <row r="1787" spans="1:8" x14ac:dyDescent="0.2">
      <c r="A1787" t="str">
        <f t="shared" si="661"/>
        <v>0613100289</v>
      </c>
      <c r="B1787" t="str">
        <f t="shared" si="662"/>
        <v>EMERSON</v>
      </c>
      <c r="C1787" t="str">
        <f t="shared" si="663"/>
        <v>BOTKNECHT</v>
      </c>
      <c r="D1787">
        <f>12</f>
        <v>12</v>
      </c>
      <c r="E1787" t="str">
        <f>"01 - A - 201 - Pamela M Corzo"</f>
        <v>01 - A - 201 - Pamela M Corzo</v>
      </c>
      <c r="F1787" t="str">
        <f>"AP CALCULUS BC"</f>
        <v>AP CALCULUS BC</v>
      </c>
      <c r="G1787" t="str">
        <f>"21-2133"</f>
        <v>21-2133</v>
      </c>
      <c r="H1787" t="str">
        <f>"A"</f>
        <v>A</v>
      </c>
    </row>
    <row r="1788" spans="1:8" x14ac:dyDescent="0.2">
      <c r="A1788" t="str">
        <f t="shared" si="661"/>
        <v>0613100289</v>
      </c>
      <c r="B1788" t="str">
        <f t="shared" si="662"/>
        <v>EMERSON</v>
      </c>
      <c r="C1788" t="str">
        <f t="shared" si="663"/>
        <v>BOTKNECHT</v>
      </c>
      <c r="D1788">
        <f>12</f>
        <v>12</v>
      </c>
      <c r="E1788" t="str">
        <f>"08 - B - 102 - Lisa J London"</f>
        <v>08 - B - 102 - Lisa J London</v>
      </c>
      <c r="F1788" t="str">
        <f>"AP CAPSTONE RESEARCH"</f>
        <v>AP CAPSTONE RESEARCH</v>
      </c>
      <c r="G1788" t="str">
        <f>"17-1714"</f>
        <v>17-1714</v>
      </c>
      <c r="H1788" t="str">
        <f>"B"</f>
        <v>B</v>
      </c>
    </row>
    <row r="1789" spans="1:8" x14ac:dyDescent="0.2">
      <c r="A1789" t="str">
        <f t="shared" ref="A1789:A1796" si="664">"0614099343"</f>
        <v>0614099343</v>
      </c>
      <c r="B1789" t="str">
        <f t="shared" ref="B1789:B1796" si="665">"SAMMY"</f>
        <v>SAMMY</v>
      </c>
      <c r="C1789" t="str">
        <f t="shared" ref="C1789:C1796" si="666">"BOUKHIMA"</f>
        <v>BOUKHIMA</v>
      </c>
      <c r="D1789">
        <f>11</f>
        <v>11</v>
      </c>
      <c r="E1789" t="str">
        <f>"04 - A - 201 - Brian M Fitzgerald"</f>
        <v>04 - A - 201 - Brian M Fitzgerald</v>
      </c>
      <c r="F1789" t="str">
        <f>"PAINT 2"</f>
        <v>PAINT 2</v>
      </c>
      <c r="G1789" t="str">
        <f>"09-908"</f>
        <v>09-908</v>
      </c>
      <c r="H1789" t="str">
        <f>"A"</f>
        <v>A</v>
      </c>
    </row>
    <row r="1790" spans="1:8" x14ac:dyDescent="0.2">
      <c r="A1790" t="str">
        <f t="shared" si="664"/>
        <v>0614099343</v>
      </c>
      <c r="B1790" t="str">
        <f t="shared" si="665"/>
        <v>SAMMY</v>
      </c>
      <c r="C1790" t="str">
        <f t="shared" si="666"/>
        <v>BOUKHIMA</v>
      </c>
      <c r="D1790">
        <f>11</f>
        <v>11</v>
      </c>
      <c r="E1790" t="str">
        <f>"06 - B - 202 - Samantha L Martinez"</f>
        <v>06 - B - 202 - Samantha L Martinez</v>
      </c>
      <c r="F1790" t="str">
        <f>"GUITAR 1"</f>
        <v>GUITAR 1</v>
      </c>
      <c r="G1790" t="str">
        <f>"05-505"</f>
        <v>05-505</v>
      </c>
      <c r="H1790" t="str">
        <f>"B"</f>
        <v>B</v>
      </c>
    </row>
    <row r="1791" spans="1:8" x14ac:dyDescent="0.2">
      <c r="A1791" t="str">
        <f t="shared" si="664"/>
        <v>0614099343</v>
      </c>
      <c r="B1791" t="str">
        <f t="shared" si="665"/>
        <v>SAMMY</v>
      </c>
      <c r="C1791" t="str">
        <f t="shared" si="666"/>
        <v>BOUKHIMA</v>
      </c>
      <c r="D1791">
        <f>11</f>
        <v>11</v>
      </c>
      <c r="E1791" t="str">
        <f>"03 - A - 102 - Rory T Sponsler"</f>
        <v>03 - A - 102 - Rory T Sponsler</v>
      </c>
      <c r="F1791" t="str">
        <f>"PRE-AICE WRLD HST IG"</f>
        <v>PRE-AICE WRLD HST IG</v>
      </c>
      <c r="G1791" t="str">
        <f>"17-1740"</f>
        <v>17-1740</v>
      </c>
      <c r="H1791" t="str">
        <f>"A"</f>
        <v>A</v>
      </c>
    </row>
    <row r="1792" spans="1:8" x14ac:dyDescent="0.2">
      <c r="A1792" t="str">
        <f t="shared" si="664"/>
        <v>0614099343</v>
      </c>
      <c r="B1792" t="str">
        <f t="shared" si="665"/>
        <v>SAMMY</v>
      </c>
      <c r="C1792" t="str">
        <f t="shared" si="666"/>
        <v>BOUKHIMA</v>
      </c>
      <c r="D1792">
        <f>11</f>
        <v>11</v>
      </c>
      <c r="E1792" t="str">
        <f>"02 - A - 117 - Kyle  Robbins"</f>
        <v>02 - A - 117 - Kyle  Robbins</v>
      </c>
      <c r="F1792" t="str">
        <f>"NC STUDY HALL 1"</f>
        <v>NC STUDY HALL 1</v>
      </c>
      <c r="G1792" t="str">
        <f>"17-1745"</f>
        <v>17-1745</v>
      </c>
      <c r="H1792" t="str">
        <f>"A"</f>
        <v>A</v>
      </c>
    </row>
    <row r="1793" spans="1:8" x14ac:dyDescent="0.2">
      <c r="A1793" t="str">
        <f t="shared" si="664"/>
        <v>0614099343</v>
      </c>
      <c r="B1793" t="str">
        <f t="shared" si="665"/>
        <v>SAMMY</v>
      </c>
      <c r="C1793" t="str">
        <f t="shared" si="666"/>
        <v>BOUKHIMA</v>
      </c>
      <c r="D1793">
        <f>11</f>
        <v>11</v>
      </c>
      <c r="E1793" t="str">
        <f>"07 - B - 110 - Ferrie J Arostique"</f>
        <v>07 - B - 110 - Ferrie J Arostique</v>
      </c>
      <c r="F1793" t="str">
        <f>"GEOMETRY"</f>
        <v>GEOMETRY</v>
      </c>
      <c r="G1793" t="str">
        <f>"21-2139"</f>
        <v>21-2139</v>
      </c>
      <c r="H1793" t="str">
        <f>"B"</f>
        <v>B</v>
      </c>
    </row>
    <row r="1794" spans="1:8" x14ac:dyDescent="0.2">
      <c r="A1794" t="str">
        <f t="shared" si="664"/>
        <v>0614099343</v>
      </c>
      <c r="B1794" t="str">
        <f t="shared" si="665"/>
        <v>SAMMY</v>
      </c>
      <c r="C1794" t="str">
        <f t="shared" si="666"/>
        <v>BOUKHIMA</v>
      </c>
      <c r="D1794">
        <f>11</f>
        <v>11</v>
      </c>
      <c r="E1794" t="str">
        <f>"05 - B - 104 - Lisa  Quinn"</f>
        <v>05 - B - 104 - Lisa  Quinn</v>
      </c>
      <c r="F1794" t="str">
        <f>"ENG 3"</f>
        <v>ENG 3</v>
      </c>
      <c r="G1794" t="str">
        <f>"17-1725"</f>
        <v>17-1725</v>
      </c>
      <c r="H1794" t="str">
        <f>"B"</f>
        <v>B</v>
      </c>
    </row>
    <row r="1795" spans="1:8" x14ac:dyDescent="0.2">
      <c r="A1795" t="str">
        <f t="shared" si="664"/>
        <v>0614099343</v>
      </c>
      <c r="B1795" t="str">
        <f t="shared" si="665"/>
        <v>SAMMY</v>
      </c>
      <c r="C1795" t="str">
        <f t="shared" si="666"/>
        <v>BOUKHIMA</v>
      </c>
      <c r="D1795">
        <f>11</f>
        <v>11</v>
      </c>
      <c r="E1795" t="str">
        <f>"01 - A - 001 - Stephen T Ripp"</f>
        <v>01 - A - 001 - Stephen T Ripp</v>
      </c>
      <c r="F1795" t="str">
        <f>"AP U.S. HIST"</f>
        <v>AP U.S. HIST</v>
      </c>
      <c r="G1795" t="str">
        <f>"17-1744"</f>
        <v>17-1744</v>
      </c>
      <c r="H1795" t="str">
        <f>"A"</f>
        <v>A</v>
      </c>
    </row>
    <row r="1796" spans="1:8" x14ac:dyDescent="0.2">
      <c r="A1796" t="str">
        <f t="shared" si="664"/>
        <v>0614099343</v>
      </c>
      <c r="B1796" t="str">
        <f t="shared" si="665"/>
        <v>SAMMY</v>
      </c>
      <c r="C1796" t="str">
        <f t="shared" si="666"/>
        <v>BOUKHIMA</v>
      </c>
      <c r="D1796">
        <f>11</f>
        <v>11</v>
      </c>
      <c r="E1796" t="str">
        <f>"08 - B - 001 - Scott A Dethloff"</f>
        <v>08 - B - 001 - Scott A Dethloff</v>
      </c>
      <c r="F1796" t="str">
        <f>"CHEMISTRY 1 HON"</f>
        <v>CHEMISTRY 1 HON</v>
      </c>
      <c r="G1796" t="str">
        <f>"08-812"</f>
        <v>08-812</v>
      </c>
      <c r="H1796" t="str">
        <f>"B"</f>
        <v>B</v>
      </c>
    </row>
    <row r="1797" spans="1:8" x14ac:dyDescent="0.2">
      <c r="A1797" t="str">
        <f t="shared" ref="A1797:A1804" si="667">"0617043383"</f>
        <v>0617043383</v>
      </c>
      <c r="B1797" t="str">
        <f t="shared" ref="B1797:B1804" si="668">"SKYLER"</f>
        <v>SKYLER</v>
      </c>
      <c r="C1797" t="str">
        <f t="shared" ref="C1797:C1812" si="669">"BOURSIQUOT"</f>
        <v>BOURSIQUOT</v>
      </c>
      <c r="D1797" t="str">
        <f t="shared" ref="D1797:D1812" si="670">"09"</f>
        <v>09</v>
      </c>
      <c r="E1797" t="str">
        <f>"04 - A - 103 - Daniel S Tyson"</f>
        <v>04 - A - 103 - Daniel S Tyson</v>
      </c>
      <c r="F1797" t="str">
        <f>"JROTC NAVAL SCI 1"</f>
        <v>JROTC NAVAL SCI 1</v>
      </c>
      <c r="G1797" t="str">
        <f>"05-510"</f>
        <v>05-510</v>
      </c>
      <c r="H1797" t="str">
        <f>"A"</f>
        <v>A</v>
      </c>
    </row>
    <row r="1798" spans="1:8" x14ac:dyDescent="0.2">
      <c r="A1798" t="str">
        <f t="shared" si="667"/>
        <v>0617043383</v>
      </c>
      <c r="B1798" t="str">
        <f t="shared" si="668"/>
        <v>SKYLER</v>
      </c>
      <c r="C1798" t="str">
        <f t="shared" si="669"/>
        <v>BOURSIQUOT</v>
      </c>
      <c r="D1798" t="str">
        <f t="shared" si="670"/>
        <v>09</v>
      </c>
      <c r="E1798" t="str">
        <f>"06 - B - 104 - Byron G Montenegro"</f>
        <v>06 - B - 104 - Byron G Montenegro</v>
      </c>
      <c r="F1798" t="str">
        <f>"AICE MARINE SCI 1 AS"</f>
        <v>AICE MARINE SCI 1 AS</v>
      </c>
      <c r="G1798" t="str">
        <f>"21-2144"</f>
        <v>21-2144</v>
      </c>
      <c r="H1798" t="str">
        <f>"B"</f>
        <v>B</v>
      </c>
    </row>
    <row r="1799" spans="1:8" x14ac:dyDescent="0.2">
      <c r="A1799" t="str">
        <f t="shared" si="667"/>
        <v>0617043383</v>
      </c>
      <c r="B1799" t="str">
        <f t="shared" si="668"/>
        <v>SKYLER</v>
      </c>
      <c r="C1799" t="str">
        <f t="shared" si="669"/>
        <v>BOURSIQUOT</v>
      </c>
      <c r="D1799" t="str">
        <f t="shared" si="670"/>
        <v>09</v>
      </c>
      <c r="E1799" t="str">
        <f>"03 - A - 201 - Christa T Parisi"</f>
        <v>03 - A - 201 - Christa T Parisi</v>
      </c>
      <c r="F1799" t="str">
        <f>"DANCE TECHNQS 1"</f>
        <v>DANCE TECHNQS 1</v>
      </c>
      <c r="G1799" t="str">
        <f>"05-503"</f>
        <v>05-503</v>
      </c>
      <c r="H1799" t="str">
        <f>"A"</f>
        <v>A</v>
      </c>
    </row>
    <row r="1800" spans="1:8" x14ac:dyDescent="0.2">
      <c r="A1800" t="str">
        <f t="shared" si="667"/>
        <v>0617043383</v>
      </c>
      <c r="B1800" t="str">
        <f t="shared" si="668"/>
        <v>SKYLER</v>
      </c>
      <c r="C1800" t="str">
        <f t="shared" si="669"/>
        <v>BOURSIQUOT</v>
      </c>
      <c r="D1800" t="str">
        <f t="shared" si="670"/>
        <v>09</v>
      </c>
      <c r="E1800" t="str">
        <f>"02 - A - 113 - Amy Beth  Broyles"</f>
        <v>02 - A - 113 - Amy Beth  Broyles</v>
      </c>
      <c r="F1800" t="str">
        <f>"NC STUDY HALL 1"</f>
        <v>NC STUDY HALL 1</v>
      </c>
      <c r="G1800" t="str">
        <f>"08-802"</f>
        <v>08-802</v>
      </c>
      <c r="H1800" t="str">
        <f>"A"</f>
        <v>A</v>
      </c>
    </row>
    <row r="1801" spans="1:8" x14ac:dyDescent="0.2">
      <c r="A1801" t="str">
        <f t="shared" si="667"/>
        <v>0617043383</v>
      </c>
      <c r="B1801" t="str">
        <f t="shared" si="668"/>
        <v>SKYLER</v>
      </c>
      <c r="C1801" t="str">
        <f t="shared" si="669"/>
        <v>BOURSIQUOT</v>
      </c>
      <c r="D1801" t="str">
        <f t="shared" si="670"/>
        <v>09</v>
      </c>
      <c r="E1801" t="str">
        <f>"07 - B - 101 - Alejandro  Navarro"</f>
        <v>07 - B - 101 - Alejandro  Navarro</v>
      </c>
      <c r="F1801" t="str">
        <f>"EURHY 1"</f>
        <v>EURHY 1</v>
      </c>
      <c r="G1801" t="str">
        <f>"05-504"</f>
        <v>05-504</v>
      </c>
      <c r="H1801" t="str">
        <f>"B"</f>
        <v>B</v>
      </c>
    </row>
    <row r="1802" spans="1:8" x14ac:dyDescent="0.2">
      <c r="A1802" t="str">
        <f t="shared" si="667"/>
        <v>0617043383</v>
      </c>
      <c r="B1802" t="str">
        <f t="shared" si="668"/>
        <v>SKYLER</v>
      </c>
      <c r="C1802" t="str">
        <f t="shared" si="669"/>
        <v>BOURSIQUOT</v>
      </c>
      <c r="D1802" t="str">
        <f t="shared" si="670"/>
        <v>09</v>
      </c>
      <c r="E1802" t="str">
        <f>"05 - B - 002 - Cheryl Anne  Berman-Schechter"</f>
        <v>05 - B - 002 - Cheryl Anne  Berman-Schechter</v>
      </c>
      <c r="F1802" t="str">
        <f>"AICE ENG GEN PAPER 1"</f>
        <v>AICE ENG GEN PAPER 1</v>
      </c>
      <c r="G1802" t="str">
        <f>"17-1722"</f>
        <v>17-1722</v>
      </c>
      <c r="H1802" t="str">
        <f>"B"</f>
        <v>B</v>
      </c>
    </row>
    <row r="1803" spans="1:8" x14ac:dyDescent="0.2">
      <c r="A1803" t="str">
        <f t="shared" si="667"/>
        <v>0617043383</v>
      </c>
      <c r="B1803" t="str">
        <f t="shared" si="668"/>
        <v>SKYLER</v>
      </c>
      <c r="C1803" t="str">
        <f t="shared" si="669"/>
        <v>BOURSIQUOT</v>
      </c>
      <c r="D1803" t="str">
        <f t="shared" si="670"/>
        <v>09</v>
      </c>
      <c r="E1803" t="str">
        <f>"01 - A - 006 - Emmily A Sarmiento"</f>
        <v>01 - A - 006 - Emmily A Sarmiento</v>
      </c>
      <c r="F1803" t="str">
        <f>"AICE GLBL PERSP 1 AS"</f>
        <v>AICE GLBL PERSP 1 AS</v>
      </c>
      <c r="G1803" t="str">
        <f>"17-1743"</f>
        <v>17-1743</v>
      </c>
      <c r="H1803" t="str">
        <f>"A"</f>
        <v>A</v>
      </c>
    </row>
    <row r="1804" spans="1:8" x14ac:dyDescent="0.2">
      <c r="A1804" t="str">
        <f t="shared" si="667"/>
        <v>0617043383</v>
      </c>
      <c r="B1804" t="str">
        <f t="shared" si="668"/>
        <v>SKYLER</v>
      </c>
      <c r="C1804" t="str">
        <f t="shared" si="669"/>
        <v>BOURSIQUOT</v>
      </c>
      <c r="D1804" t="str">
        <f t="shared" si="670"/>
        <v>09</v>
      </c>
      <c r="E1804" t="str">
        <f>"08 - B - 105 - Ferrie J Arostique"</f>
        <v>08 - B - 105 - Ferrie J Arostique</v>
      </c>
      <c r="F1804" t="str">
        <f>"PRE-AICE MATH 2 IG"</f>
        <v>PRE-AICE MATH 2 IG</v>
      </c>
      <c r="G1804" t="str">
        <f>"21-2139"</f>
        <v>21-2139</v>
      </c>
      <c r="H1804" t="str">
        <f>"B"</f>
        <v>B</v>
      </c>
    </row>
    <row r="1805" spans="1:8" x14ac:dyDescent="0.2">
      <c r="A1805" t="str">
        <f t="shared" ref="A1805:A1812" si="671">"0617043398"</f>
        <v>0617043398</v>
      </c>
      <c r="B1805" t="str">
        <f t="shared" ref="B1805:B1812" si="672">"STANLEY"</f>
        <v>STANLEY</v>
      </c>
      <c r="C1805" t="str">
        <f t="shared" si="669"/>
        <v>BOURSIQUOT</v>
      </c>
      <c r="D1805" t="str">
        <f t="shared" si="670"/>
        <v>09</v>
      </c>
      <c r="E1805" t="str">
        <f>"04 - A - 103 - Cerine S Stewart"</f>
        <v>04 - A - 103 - Cerine S Stewart</v>
      </c>
      <c r="F1805" t="str">
        <f>"ENG 1"</f>
        <v>ENG 1</v>
      </c>
      <c r="G1805" t="str">
        <f>"17-1720"</f>
        <v>17-1720</v>
      </c>
      <c r="H1805" t="str">
        <f>"A"</f>
        <v>A</v>
      </c>
    </row>
    <row r="1806" spans="1:8" x14ac:dyDescent="0.2">
      <c r="A1806" t="str">
        <f t="shared" si="671"/>
        <v>0617043398</v>
      </c>
      <c r="B1806" t="str">
        <f t="shared" si="672"/>
        <v>STANLEY</v>
      </c>
      <c r="C1806" t="str">
        <f t="shared" si="669"/>
        <v>BOURSIQUOT</v>
      </c>
      <c r="D1806" t="str">
        <f t="shared" si="670"/>
        <v>09</v>
      </c>
      <c r="E1806" t="str">
        <f>"06 - B - 105 - Tina L Lovett"</f>
        <v>06 - B - 105 - Tina L Lovett</v>
      </c>
      <c r="F1806" t="str">
        <f>"FDN SKLS MATH 9-12"</f>
        <v>FDN SKLS MATH 9-12</v>
      </c>
      <c r="G1806" t="str">
        <f>"21-2153"</f>
        <v>21-2153</v>
      </c>
      <c r="H1806" t="str">
        <f>"B"</f>
        <v>B</v>
      </c>
    </row>
    <row r="1807" spans="1:8" x14ac:dyDescent="0.2">
      <c r="A1807" t="str">
        <f t="shared" si="671"/>
        <v>0617043398</v>
      </c>
      <c r="B1807" t="str">
        <f t="shared" si="672"/>
        <v>STANLEY</v>
      </c>
      <c r="C1807" t="str">
        <f t="shared" si="669"/>
        <v>BOURSIQUOT</v>
      </c>
      <c r="D1807" t="str">
        <f t="shared" si="670"/>
        <v>09</v>
      </c>
      <c r="E1807" t="str">
        <f>"03 - S1 - A - 103 - Richard E Dunbar Iii"</f>
        <v>03 - S1 - A - 103 - Richard E Dunbar Iii</v>
      </c>
      <c r="F1807" t="str">
        <f>"WEIGHT TRAIN 1"</f>
        <v>WEIGHT TRAIN 1</v>
      </c>
      <c r="G1807" t="str">
        <f>"05-501"</f>
        <v>05-501</v>
      </c>
      <c r="H1807" t="str">
        <f>"A"</f>
        <v>A</v>
      </c>
    </row>
    <row r="1808" spans="1:8" x14ac:dyDescent="0.2">
      <c r="A1808" t="str">
        <f t="shared" si="671"/>
        <v>0617043398</v>
      </c>
      <c r="B1808" t="str">
        <f t="shared" si="672"/>
        <v>STANLEY</v>
      </c>
      <c r="C1808" t="str">
        <f t="shared" si="669"/>
        <v>BOURSIQUOT</v>
      </c>
      <c r="D1808" t="str">
        <f t="shared" si="670"/>
        <v>09</v>
      </c>
      <c r="E1808" t="str">
        <f>"02 - A - 113 - Amy Beth  Broyles"</f>
        <v>02 - A - 113 - Amy Beth  Broyles</v>
      </c>
      <c r="F1808" t="str">
        <f>"NC STUDY HALL 1"</f>
        <v>NC STUDY HALL 1</v>
      </c>
      <c r="G1808" t="str">
        <f>"08-802"</f>
        <v>08-802</v>
      </c>
      <c r="H1808" t="str">
        <f>"A"</f>
        <v>A</v>
      </c>
    </row>
    <row r="1809" spans="1:8" x14ac:dyDescent="0.2">
      <c r="A1809" t="str">
        <f t="shared" si="671"/>
        <v>0617043398</v>
      </c>
      <c r="B1809" t="str">
        <f t="shared" si="672"/>
        <v>STANLEY</v>
      </c>
      <c r="C1809" t="str">
        <f t="shared" si="669"/>
        <v>BOURSIQUOT</v>
      </c>
      <c r="D1809" t="str">
        <f t="shared" si="670"/>
        <v>09</v>
      </c>
      <c r="E1809" t="str">
        <f>"07 - B - 003 - Samantha J Headley"</f>
        <v>07 - B - 003 - Samantha J Headley</v>
      </c>
      <c r="F1809" t="str">
        <f>"ENV SCI"</f>
        <v>ENV SCI</v>
      </c>
      <c r="G1809" t="str">
        <f>"08-802"</f>
        <v>08-802</v>
      </c>
      <c r="H1809" t="str">
        <f>"B"</f>
        <v>B</v>
      </c>
    </row>
    <row r="1810" spans="1:8" x14ac:dyDescent="0.2">
      <c r="A1810" t="str">
        <f t="shared" si="671"/>
        <v>0617043398</v>
      </c>
      <c r="B1810" t="str">
        <f t="shared" si="672"/>
        <v>STANLEY</v>
      </c>
      <c r="C1810" t="str">
        <f t="shared" si="669"/>
        <v>BOURSIQUOT</v>
      </c>
      <c r="D1810" t="str">
        <f t="shared" si="670"/>
        <v>09</v>
      </c>
      <c r="E1810" t="str">
        <f>"05 - B - 101 - Linda  Celestin"</f>
        <v>05 - B - 101 - Linda  Celestin</v>
      </c>
      <c r="F1810" t="str">
        <f>"LRNG STRATEGIES 9-12"</f>
        <v>LRNG STRATEGIES 9-12</v>
      </c>
      <c r="G1810" t="str">
        <f>"21-2160"</f>
        <v>21-2160</v>
      </c>
      <c r="H1810" t="str">
        <f>"B"</f>
        <v>B</v>
      </c>
    </row>
    <row r="1811" spans="1:8" x14ac:dyDescent="0.2">
      <c r="A1811" t="str">
        <f t="shared" si="671"/>
        <v>0617043398</v>
      </c>
      <c r="B1811" t="str">
        <f t="shared" si="672"/>
        <v>STANLEY</v>
      </c>
      <c r="C1811" t="str">
        <f t="shared" si="669"/>
        <v>BOURSIQUOT</v>
      </c>
      <c r="D1811" t="str">
        <f t="shared" si="670"/>
        <v>09</v>
      </c>
      <c r="E1811" t="str">
        <f>"01 - A - 101 - Tina L Lovett"</f>
        <v>01 - A - 101 - Tina L Lovett</v>
      </c>
      <c r="F1811" t="str">
        <f>"ALGEBRA 1"</f>
        <v>ALGEBRA 1</v>
      </c>
      <c r="G1811" t="str">
        <f>"21-2153"</f>
        <v>21-2153</v>
      </c>
      <c r="H1811" t="str">
        <f>"A"</f>
        <v>A</v>
      </c>
    </row>
    <row r="1812" spans="1:8" x14ac:dyDescent="0.2">
      <c r="A1812" t="str">
        <f t="shared" si="671"/>
        <v>0617043398</v>
      </c>
      <c r="B1812" t="str">
        <f t="shared" si="672"/>
        <v>STANLEY</v>
      </c>
      <c r="C1812" t="str">
        <f t="shared" si="669"/>
        <v>BOURSIQUOT</v>
      </c>
      <c r="D1812" t="str">
        <f t="shared" si="670"/>
        <v>09</v>
      </c>
      <c r="E1812" t="str">
        <f>"08 - B - 106 - Laselleda D Shaw"</f>
        <v>08 - B - 106 - Laselleda D Shaw</v>
      </c>
      <c r="F1812" t="str">
        <f>"INTENS READ 1"</f>
        <v>INTENS READ 1</v>
      </c>
      <c r="G1812" t="str">
        <f>"17-1723"</f>
        <v>17-1723</v>
      </c>
      <c r="H1812" t="str">
        <f>"B"</f>
        <v>B</v>
      </c>
    </row>
    <row r="1813" spans="1:8" x14ac:dyDescent="0.2">
      <c r="A1813" t="str">
        <f t="shared" ref="A1813:A1820" si="673">"0616076356"</f>
        <v>0616076356</v>
      </c>
      <c r="B1813" t="str">
        <f t="shared" ref="B1813:B1820" si="674">"JANELLIE"</f>
        <v>JANELLIE</v>
      </c>
      <c r="C1813" t="str">
        <f t="shared" ref="C1813:C1820" si="675">"BOWES"</f>
        <v>BOWES</v>
      </c>
      <c r="D1813">
        <f>10</f>
        <v>10</v>
      </c>
      <c r="E1813" t="str">
        <f>"04 - A - 105 - Jacklyn M James"</f>
        <v>04 - A - 105 - Jacklyn M James</v>
      </c>
      <c r="F1813" t="str">
        <f>"AICE ENG LANG AS"</f>
        <v>AICE ENG LANG AS</v>
      </c>
      <c r="G1813" t="str">
        <f>"17-1731"</f>
        <v>17-1731</v>
      </c>
      <c r="H1813" t="str">
        <f>"A"</f>
        <v>A</v>
      </c>
    </row>
    <row r="1814" spans="1:8" x14ac:dyDescent="0.2">
      <c r="A1814" t="str">
        <f t="shared" si="673"/>
        <v>0616076356</v>
      </c>
      <c r="B1814" t="str">
        <f t="shared" si="674"/>
        <v>JANELLIE</v>
      </c>
      <c r="C1814" t="str">
        <f t="shared" si="675"/>
        <v>BOWES</v>
      </c>
      <c r="D1814">
        <f>10</f>
        <v>10</v>
      </c>
      <c r="E1814" t="str">
        <f>"06 - B - 109 - Semra  Bahadir"</f>
        <v>06 - B - 109 - Semra  Bahadir</v>
      </c>
      <c r="F1814" t="str">
        <f>"NC STUDY HALL 1"</f>
        <v>NC STUDY HALL 1</v>
      </c>
      <c r="G1814" t="str">
        <f>"21-2107"</f>
        <v>21-2107</v>
      </c>
      <c r="H1814" t="str">
        <f>"B"</f>
        <v>B</v>
      </c>
    </row>
    <row r="1815" spans="1:8" x14ac:dyDescent="0.2">
      <c r="A1815" t="str">
        <f t="shared" si="673"/>
        <v>0616076356</v>
      </c>
      <c r="B1815" t="str">
        <f t="shared" si="674"/>
        <v>JANELLIE</v>
      </c>
      <c r="C1815" t="str">
        <f t="shared" si="675"/>
        <v>BOWES</v>
      </c>
      <c r="D1815">
        <f>10</f>
        <v>10</v>
      </c>
      <c r="E1815" t="str">
        <f>"03 - A - 101 - Jazmin S Fletcher"</f>
        <v>03 - A - 101 - Jazmin S Fletcher</v>
      </c>
      <c r="F1815" t="str">
        <f>"TECH THEA DES&amp;PROD 1"</f>
        <v>TECH THEA DES&amp;PROD 1</v>
      </c>
      <c r="G1815" t="str">
        <f>"09-909"</f>
        <v>09-909</v>
      </c>
      <c r="H1815" t="str">
        <f>"A"</f>
        <v>A</v>
      </c>
    </row>
    <row r="1816" spans="1:8" x14ac:dyDescent="0.2">
      <c r="A1816" t="str">
        <f t="shared" si="673"/>
        <v>0616076356</v>
      </c>
      <c r="B1816" t="str">
        <f t="shared" si="674"/>
        <v>JANELLIE</v>
      </c>
      <c r="C1816" t="str">
        <f t="shared" si="675"/>
        <v>BOWES</v>
      </c>
      <c r="D1816">
        <f>10</f>
        <v>10</v>
      </c>
      <c r="E1816" t="str">
        <f>"02 - A - 103 - Lenecy  Nodarse"</f>
        <v>02 - A - 103 - Lenecy  Nodarse</v>
      </c>
      <c r="F1816" t="str">
        <f>"AICE EURO HIST 1 AS"</f>
        <v>AICE EURO HIST 1 AS</v>
      </c>
      <c r="G1816" t="str">
        <f>"17-1741"</f>
        <v>17-1741</v>
      </c>
      <c r="H1816" t="str">
        <f>"A"</f>
        <v>A</v>
      </c>
    </row>
    <row r="1817" spans="1:8" x14ac:dyDescent="0.2">
      <c r="A1817" t="str">
        <f t="shared" si="673"/>
        <v>0616076356</v>
      </c>
      <c r="B1817" t="str">
        <f t="shared" si="674"/>
        <v>JANELLIE</v>
      </c>
      <c r="C1817" t="str">
        <f t="shared" si="675"/>
        <v>BOWES</v>
      </c>
      <c r="D1817">
        <f>10</f>
        <v>10</v>
      </c>
      <c r="E1817" t="str">
        <f>"07 - B - 206 - Cheryl L Beach"</f>
        <v>07 - B - 206 - Cheryl L Beach</v>
      </c>
      <c r="F1817" t="str">
        <f>"AICE ENV MGMNT AS"</f>
        <v>AICE ENV MGMNT AS</v>
      </c>
      <c r="G1817" t="str">
        <f>"08-811"</f>
        <v>08-811</v>
      </c>
      <c r="H1817" t="str">
        <f>"B"</f>
        <v>B</v>
      </c>
    </row>
    <row r="1818" spans="1:8" x14ac:dyDescent="0.2">
      <c r="A1818" t="str">
        <f t="shared" si="673"/>
        <v>0616076356</v>
      </c>
      <c r="B1818" t="str">
        <f t="shared" si="674"/>
        <v>JANELLIE</v>
      </c>
      <c r="C1818" t="str">
        <f t="shared" si="675"/>
        <v>BOWES</v>
      </c>
      <c r="D1818">
        <f>10</f>
        <v>10</v>
      </c>
      <c r="E1818" t="str">
        <f>"05 - B - 106 - Milca  Exantus"</f>
        <v>05 - B - 106 - Milca  Exantus</v>
      </c>
      <c r="F1818" t="str">
        <f>"MATH COLLEGE LIB ART"</f>
        <v>MATH COLLEGE LIB ART</v>
      </c>
      <c r="G1818" t="str">
        <f>"21-2145"</f>
        <v>21-2145</v>
      </c>
      <c r="H1818" t="str">
        <f>"B"</f>
        <v>B</v>
      </c>
    </row>
    <row r="1819" spans="1:8" x14ac:dyDescent="0.2">
      <c r="A1819" t="str">
        <f t="shared" si="673"/>
        <v>0616076356</v>
      </c>
      <c r="B1819" t="str">
        <f t="shared" si="674"/>
        <v>JANELLIE</v>
      </c>
      <c r="C1819" t="str">
        <f t="shared" si="675"/>
        <v>BOWES</v>
      </c>
      <c r="D1819">
        <f>10</f>
        <v>10</v>
      </c>
      <c r="E1819" t="str">
        <f>"01 - S1 - A - 101 - Lissa C Frederique"</f>
        <v>01 - S1 - A - 101 - Lissa C Frederique</v>
      </c>
      <c r="F1819" t="str">
        <f>"PERS FIN &amp; MON MGT H"</f>
        <v>PERS FIN &amp; MON MGT H</v>
      </c>
      <c r="G1819" t="str">
        <f>"17-1754"</f>
        <v>17-1754</v>
      </c>
      <c r="H1819" t="str">
        <f>"A"</f>
        <v>A</v>
      </c>
    </row>
    <row r="1820" spans="1:8" x14ac:dyDescent="0.2">
      <c r="A1820" t="str">
        <f t="shared" si="673"/>
        <v>0616076356</v>
      </c>
      <c r="B1820" t="str">
        <f t="shared" si="674"/>
        <v>JANELLIE</v>
      </c>
      <c r="C1820" t="str">
        <f t="shared" si="675"/>
        <v>BOWES</v>
      </c>
      <c r="D1820">
        <f>10</f>
        <v>10</v>
      </c>
      <c r="E1820" t="str">
        <f>"08 - B - 109 - Emmily A Sarmiento"</f>
        <v>08 - B - 109 - Emmily A Sarmiento</v>
      </c>
      <c r="F1820" t="str">
        <f>"AICE GLBL PERSP 1 AS"</f>
        <v>AICE GLBL PERSP 1 AS</v>
      </c>
      <c r="G1820" t="str">
        <f>"17-1743"</f>
        <v>17-1743</v>
      </c>
      <c r="H1820" t="str">
        <f>"B"</f>
        <v>B</v>
      </c>
    </row>
    <row r="1821" spans="1:8" x14ac:dyDescent="0.2">
      <c r="A1821" t="str">
        <f t="shared" ref="A1821:A1828" si="676">"0614035833"</f>
        <v>0614035833</v>
      </c>
      <c r="B1821" t="str">
        <f t="shared" ref="B1821:B1828" si="677">"PAUL"</f>
        <v>PAUL</v>
      </c>
      <c r="C1821" t="str">
        <f t="shared" ref="C1821:C1836" si="678">"BOYD"</f>
        <v>BOYD</v>
      </c>
      <c r="D1821">
        <f>12</f>
        <v>12</v>
      </c>
      <c r="E1821" t="str">
        <f>"04 - A - 101 - Brian M Fitzgerald"</f>
        <v>04 - A - 101 - Brian M Fitzgerald</v>
      </c>
      <c r="F1821" t="str">
        <f>"DRAW 2"</f>
        <v>DRAW 2</v>
      </c>
      <c r="G1821" t="str">
        <f>"09-908"</f>
        <v>09-908</v>
      </c>
      <c r="H1821" t="str">
        <f>"A"</f>
        <v>A</v>
      </c>
    </row>
    <row r="1822" spans="1:8" x14ac:dyDescent="0.2">
      <c r="A1822" t="str">
        <f t="shared" si="676"/>
        <v>0614035833</v>
      </c>
      <c r="B1822" t="str">
        <f t="shared" si="677"/>
        <v>PAUL</v>
      </c>
      <c r="C1822" t="str">
        <f t="shared" si="678"/>
        <v>BOYD</v>
      </c>
      <c r="D1822">
        <f>12</f>
        <v>12</v>
      </c>
      <c r="E1822" t="str">
        <f>"06 - B - 114 - Lisa J London"</f>
        <v>06 - B - 114 - Lisa J London</v>
      </c>
      <c r="F1822" t="str">
        <f>"NC STUDY HALL 1"</f>
        <v>NC STUDY HALL 1</v>
      </c>
      <c r="G1822" t="str">
        <f>"17-1714"</f>
        <v>17-1714</v>
      </c>
      <c r="H1822" t="str">
        <f>"B"</f>
        <v>B</v>
      </c>
    </row>
    <row r="1823" spans="1:8" x14ac:dyDescent="0.2">
      <c r="A1823" t="str">
        <f t="shared" si="676"/>
        <v>0614035833</v>
      </c>
      <c r="B1823" t="str">
        <f t="shared" si="677"/>
        <v>PAUL</v>
      </c>
      <c r="C1823" t="str">
        <f t="shared" si="678"/>
        <v>BOYD</v>
      </c>
      <c r="D1823">
        <f>12</f>
        <v>12</v>
      </c>
      <c r="E1823" t="str">
        <f>"03 - S1 - A - 103 - Richard E Dunbar Iii"</f>
        <v>03 - S1 - A - 103 - Richard E Dunbar Iii</v>
      </c>
      <c r="F1823" t="str">
        <f>"WEIGHT TRAIN 3"</f>
        <v>WEIGHT TRAIN 3</v>
      </c>
      <c r="G1823" t="str">
        <f>"05-501"</f>
        <v>05-501</v>
      </c>
      <c r="H1823" t="str">
        <f>"A"</f>
        <v>A</v>
      </c>
    </row>
    <row r="1824" spans="1:8" x14ac:dyDescent="0.2">
      <c r="A1824" t="str">
        <f t="shared" si="676"/>
        <v>0614035833</v>
      </c>
      <c r="B1824" t="str">
        <f t="shared" si="677"/>
        <v>PAUL</v>
      </c>
      <c r="C1824" t="str">
        <f t="shared" si="678"/>
        <v>BOYD</v>
      </c>
      <c r="D1824">
        <f>12</f>
        <v>12</v>
      </c>
      <c r="E1824" t="str">
        <f>"02 - A - 101 - Nahum  Saint-Preux"</f>
        <v>02 - A - 101 - Nahum  Saint-Preux</v>
      </c>
      <c r="F1824" t="str">
        <f>"INTENS READ 4"</f>
        <v>INTENS READ 4</v>
      </c>
      <c r="G1824" t="str">
        <f>"17-1712"</f>
        <v>17-1712</v>
      </c>
      <c r="H1824" t="str">
        <f>"A"</f>
        <v>A</v>
      </c>
    </row>
    <row r="1825" spans="1:8" x14ac:dyDescent="0.2">
      <c r="A1825" t="str">
        <f t="shared" si="676"/>
        <v>0614035833</v>
      </c>
      <c r="B1825" t="str">
        <f t="shared" si="677"/>
        <v>PAUL</v>
      </c>
      <c r="C1825" t="str">
        <f t="shared" si="678"/>
        <v>BOYD</v>
      </c>
      <c r="D1825">
        <f>12</f>
        <v>12</v>
      </c>
      <c r="E1825" t="str">
        <f>"07 - S1 - B - 103 - Robert O Burger"</f>
        <v>07 - S1 - B - 103 - Robert O Burger</v>
      </c>
      <c r="F1825" t="str">
        <f>"US GOVT"</f>
        <v>US GOVT</v>
      </c>
      <c r="G1825" t="str">
        <f>"17-1755"</f>
        <v>17-1755</v>
      </c>
      <c r="H1825" t="str">
        <f>"B"</f>
        <v>B</v>
      </c>
    </row>
    <row r="1826" spans="1:8" x14ac:dyDescent="0.2">
      <c r="A1826" t="str">
        <f t="shared" si="676"/>
        <v>0614035833</v>
      </c>
      <c r="B1826" t="str">
        <f t="shared" si="677"/>
        <v>PAUL</v>
      </c>
      <c r="C1826" t="str">
        <f t="shared" si="678"/>
        <v>BOYD</v>
      </c>
      <c r="D1826">
        <f>12</f>
        <v>12</v>
      </c>
      <c r="E1826" t="str">
        <f>"05 - B - 104 - Daniel S Tyson"</f>
        <v>05 - B - 104 - Daniel S Tyson</v>
      </c>
      <c r="F1826" t="str">
        <f>"JROTC NAVAL SCI 4"</f>
        <v>JROTC NAVAL SCI 4</v>
      </c>
      <c r="G1826" t="str">
        <f>"05-510"</f>
        <v>05-510</v>
      </c>
      <c r="H1826" t="str">
        <f>"B"</f>
        <v>B</v>
      </c>
    </row>
    <row r="1827" spans="1:8" x14ac:dyDescent="0.2">
      <c r="A1827" t="str">
        <f t="shared" si="676"/>
        <v>0614035833</v>
      </c>
      <c r="B1827" t="str">
        <f t="shared" si="677"/>
        <v>PAUL</v>
      </c>
      <c r="C1827" t="str">
        <f t="shared" si="678"/>
        <v>BOYD</v>
      </c>
      <c r="D1827">
        <f>12</f>
        <v>12</v>
      </c>
      <c r="E1827" t="str">
        <f>"01 - A - 102 - Robert H Rindner"</f>
        <v>01 - A - 102 - Robert H Rindner</v>
      </c>
      <c r="F1827" t="str">
        <f>"MATH DATA&amp;FIN LIT H"</f>
        <v>MATH DATA&amp;FIN LIT H</v>
      </c>
      <c r="G1827" t="str">
        <f>"21-2160"</f>
        <v>21-2160</v>
      </c>
      <c r="H1827" t="str">
        <f>"A"</f>
        <v>A</v>
      </c>
    </row>
    <row r="1828" spans="1:8" x14ac:dyDescent="0.2">
      <c r="A1828" t="str">
        <f t="shared" si="676"/>
        <v>0614035833</v>
      </c>
      <c r="B1828" t="str">
        <f t="shared" si="677"/>
        <v>PAUL</v>
      </c>
      <c r="C1828" t="str">
        <f t="shared" si="678"/>
        <v>BOYD</v>
      </c>
      <c r="D1828">
        <f>12</f>
        <v>12</v>
      </c>
      <c r="E1828" t="str">
        <f>"08 - B - 206 - Robyn L Trainer"</f>
        <v>08 - B - 206 - Robyn L Trainer</v>
      </c>
      <c r="F1828" t="str">
        <f>"ENG 4: FL COLL PREP"</f>
        <v>ENG 4: FL COLL PREP</v>
      </c>
      <c r="G1828" t="str">
        <f>"17-1734"</f>
        <v>17-1734</v>
      </c>
      <c r="H1828" t="str">
        <f>"B"</f>
        <v>B</v>
      </c>
    </row>
    <row r="1829" spans="1:8" x14ac:dyDescent="0.2">
      <c r="A1829" t="str">
        <f t="shared" ref="A1829:A1836" si="679">"0615084148"</f>
        <v>0615084148</v>
      </c>
      <c r="B1829" t="str">
        <f t="shared" ref="B1829:B1836" si="680">"PROMISE"</f>
        <v>PROMISE</v>
      </c>
      <c r="C1829" t="str">
        <f t="shared" si="678"/>
        <v>BOYD</v>
      </c>
      <c r="D1829">
        <f>10</f>
        <v>10</v>
      </c>
      <c r="E1829" t="str">
        <f>"04 - A - 104 - Laselleda D Shaw"</f>
        <v>04 - A - 104 - Laselleda D Shaw</v>
      </c>
      <c r="F1829" t="str">
        <f>"INTENS READ 2"</f>
        <v>INTENS READ 2</v>
      </c>
      <c r="G1829" t="str">
        <f>"17-1723"</f>
        <v>17-1723</v>
      </c>
      <c r="H1829" t="str">
        <f>"A"</f>
        <v>A</v>
      </c>
    </row>
    <row r="1830" spans="1:8" x14ac:dyDescent="0.2">
      <c r="A1830" t="str">
        <f t="shared" si="679"/>
        <v>0615084148</v>
      </c>
      <c r="B1830" t="str">
        <f t="shared" si="680"/>
        <v>PROMISE</v>
      </c>
      <c r="C1830" t="str">
        <f t="shared" si="678"/>
        <v>BOYD</v>
      </c>
      <c r="D1830">
        <f>10</f>
        <v>10</v>
      </c>
      <c r="E1830" t="str">
        <f>"06 - B - 108 - Jacklyn M James"</f>
        <v>06 - B - 108 - Jacklyn M James</v>
      </c>
      <c r="F1830" t="str">
        <f>"NC STUDY HALL 1"</f>
        <v>NC STUDY HALL 1</v>
      </c>
      <c r="G1830" t="str">
        <f>"17-1731"</f>
        <v>17-1731</v>
      </c>
      <c r="H1830" t="str">
        <f>"B"</f>
        <v>B</v>
      </c>
    </row>
    <row r="1831" spans="1:8" x14ac:dyDescent="0.2">
      <c r="A1831" t="str">
        <f t="shared" si="679"/>
        <v>0615084148</v>
      </c>
      <c r="B1831" t="str">
        <f t="shared" si="680"/>
        <v>PROMISE</v>
      </c>
      <c r="C1831" t="str">
        <f t="shared" si="678"/>
        <v>BOYD</v>
      </c>
      <c r="D1831">
        <f>10</f>
        <v>10</v>
      </c>
      <c r="E1831" t="str">
        <f>"03 - A - 103 - Jacquelyn M Neeson"</f>
        <v>03 - A - 103 - Jacquelyn M Neeson</v>
      </c>
      <c r="F1831" t="str">
        <f>"ENG 2"</f>
        <v>ENG 2</v>
      </c>
      <c r="G1831" t="str">
        <f>"17-1715"</f>
        <v>17-1715</v>
      </c>
      <c r="H1831" t="str">
        <f>"A"</f>
        <v>A</v>
      </c>
    </row>
    <row r="1832" spans="1:8" x14ac:dyDescent="0.2">
      <c r="A1832" t="str">
        <f t="shared" si="679"/>
        <v>0615084148</v>
      </c>
      <c r="B1832" t="str">
        <f t="shared" si="680"/>
        <v>PROMISE</v>
      </c>
      <c r="C1832" t="str">
        <f t="shared" si="678"/>
        <v>BOYD</v>
      </c>
      <c r="D1832">
        <f>10</f>
        <v>10</v>
      </c>
      <c r="E1832" t="str">
        <f>"02 - A - 102 - Adam Marcus  Drucker"</f>
        <v>02 - A - 102 - Adam Marcus  Drucker</v>
      </c>
      <c r="F1832" t="str">
        <f>"HOPE-PE V"</f>
        <v>HOPE-PE V</v>
      </c>
      <c r="G1832" t="str">
        <f>"04-254"</f>
        <v>04-254</v>
      </c>
      <c r="H1832" t="str">
        <f>"A"</f>
        <v>A</v>
      </c>
    </row>
    <row r="1833" spans="1:8" x14ac:dyDescent="0.2">
      <c r="A1833" t="str">
        <f t="shared" si="679"/>
        <v>0615084148</v>
      </c>
      <c r="B1833" t="str">
        <f t="shared" si="680"/>
        <v>PROMISE</v>
      </c>
      <c r="C1833" t="str">
        <f t="shared" si="678"/>
        <v>BOYD</v>
      </c>
      <c r="D1833">
        <f>10</f>
        <v>10</v>
      </c>
      <c r="E1833" t="str">
        <f>"07 - B - 104 - Marielle A Witting"</f>
        <v>07 - B - 104 - Marielle A Witting</v>
      </c>
      <c r="F1833" t="str">
        <f>"ANAT PHYSIO"</f>
        <v>ANAT PHYSIO</v>
      </c>
      <c r="G1833" t="str">
        <f>"08-805"</f>
        <v>08-805</v>
      </c>
      <c r="H1833" t="str">
        <f>"B"</f>
        <v>B</v>
      </c>
    </row>
    <row r="1834" spans="1:8" x14ac:dyDescent="0.2">
      <c r="A1834" t="str">
        <f t="shared" si="679"/>
        <v>0615084148</v>
      </c>
      <c r="B1834" t="str">
        <f t="shared" si="680"/>
        <v>PROMISE</v>
      </c>
      <c r="C1834" t="str">
        <f t="shared" si="678"/>
        <v>BOYD</v>
      </c>
      <c r="D1834">
        <f>10</f>
        <v>10</v>
      </c>
      <c r="E1834" t="str">
        <f>"05 - B - 104 - Daniel S Tyson"</f>
        <v>05 - B - 104 - Daniel S Tyson</v>
      </c>
      <c r="F1834" t="str">
        <f>"JROTC NAVAL SCI 2"</f>
        <v>JROTC NAVAL SCI 2</v>
      </c>
      <c r="G1834" t="str">
        <f>"05-510"</f>
        <v>05-510</v>
      </c>
      <c r="H1834" t="str">
        <f>"B"</f>
        <v>B</v>
      </c>
    </row>
    <row r="1835" spans="1:8" x14ac:dyDescent="0.2">
      <c r="A1835" t="str">
        <f t="shared" si="679"/>
        <v>0615084148</v>
      </c>
      <c r="B1835" t="str">
        <f t="shared" si="680"/>
        <v>PROMISE</v>
      </c>
      <c r="C1835" t="str">
        <f t="shared" si="678"/>
        <v>BOYD</v>
      </c>
      <c r="D1835">
        <f>10</f>
        <v>10</v>
      </c>
      <c r="E1835" t="str">
        <f>"01 - A - 102 - Fernando  Vega-Cid"</f>
        <v>01 - A - 102 - Fernando  Vega-Cid</v>
      </c>
      <c r="F1835" t="str">
        <f>"GEOMETRY"</f>
        <v>GEOMETRY</v>
      </c>
      <c r="G1835" t="str">
        <f>"21-2163"</f>
        <v>21-2163</v>
      </c>
      <c r="H1835" t="str">
        <f>"A"</f>
        <v>A</v>
      </c>
    </row>
    <row r="1836" spans="1:8" x14ac:dyDescent="0.2">
      <c r="A1836" t="str">
        <f t="shared" si="679"/>
        <v>0615084148</v>
      </c>
      <c r="B1836" t="str">
        <f t="shared" si="680"/>
        <v>PROMISE</v>
      </c>
      <c r="C1836" t="str">
        <f t="shared" si="678"/>
        <v>BOYD</v>
      </c>
      <c r="D1836">
        <f>10</f>
        <v>10</v>
      </c>
      <c r="E1836" t="str">
        <f>"08 - S1 - B - 102 - Kyle  Robbins"</f>
        <v>08 - S1 - B - 102 - Kyle  Robbins</v>
      </c>
      <c r="F1836" t="str">
        <f>"PERS FIN &amp; MON MGT H"</f>
        <v>PERS FIN &amp; MON MGT H</v>
      </c>
      <c r="G1836" t="str">
        <f>"17-1745"</f>
        <v>17-1745</v>
      </c>
      <c r="H1836" t="str">
        <f>"B"</f>
        <v>B</v>
      </c>
    </row>
    <row r="1837" spans="1:8" x14ac:dyDescent="0.2">
      <c r="A1837" t="str">
        <f t="shared" ref="A1837:A1844" si="681">"0613074972"</f>
        <v>0613074972</v>
      </c>
      <c r="B1837" t="str">
        <f t="shared" ref="B1837:B1844" si="682">"BNARIA"</f>
        <v>BNARIA</v>
      </c>
      <c r="C1837" t="str">
        <f t="shared" ref="C1837:C1844" si="683">"BRADLEY"</f>
        <v>BRADLEY</v>
      </c>
      <c r="D1837">
        <f>11</f>
        <v>11</v>
      </c>
      <c r="E1837" t="str">
        <f>"04 - A - 102 - Fernando  Vega-Cid"</f>
        <v>04 - A - 102 - Fernando  Vega-Cid</v>
      </c>
      <c r="F1837" t="str">
        <f>"PRE-CALCULUS HON"</f>
        <v>PRE-CALCULUS HON</v>
      </c>
      <c r="G1837" t="str">
        <f>"21-2163"</f>
        <v>21-2163</v>
      </c>
      <c r="H1837" t="str">
        <f>"A"</f>
        <v>A</v>
      </c>
    </row>
    <row r="1838" spans="1:8" x14ac:dyDescent="0.2">
      <c r="A1838" t="str">
        <f t="shared" si="681"/>
        <v>0613074972</v>
      </c>
      <c r="B1838" t="str">
        <f t="shared" si="682"/>
        <v>BNARIA</v>
      </c>
      <c r="C1838" t="str">
        <f t="shared" si="683"/>
        <v>BRADLEY</v>
      </c>
      <c r="D1838">
        <f>11</f>
        <v>11</v>
      </c>
      <c r="E1838" t="str">
        <f>"06 - S1 - B - 104 - Leslie J Barton"</f>
        <v>06 - S1 - B - 104 - Leslie J Barton</v>
      </c>
      <c r="F1838" t="str">
        <f>"FIRST AID SAFETY"</f>
        <v>FIRST AID SAFETY</v>
      </c>
      <c r="G1838" t="str">
        <f>"05-521"</f>
        <v>05-521</v>
      </c>
      <c r="H1838" t="str">
        <f>"B"</f>
        <v>B</v>
      </c>
    </row>
    <row r="1839" spans="1:8" x14ac:dyDescent="0.2">
      <c r="A1839" t="str">
        <f t="shared" si="681"/>
        <v>0613074972</v>
      </c>
      <c r="B1839" t="str">
        <f t="shared" si="682"/>
        <v>BNARIA</v>
      </c>
      <c r="C1839" t="str">
        <f t="shared" si="683"/>
        <v>BRADLEY</v>
      </c>
      <c r="D1839">
        <f>11</f>
        <v>11</v>
      </c>
      <c r="E1839" t="str">
        <f>"03 - A - 101 - Dorothy D Moore"</f>
        <v>03 - A - 101 - Dorothy D Moore</v>
      </c>
      <c r="F1839" t="str">
        <f>"FORC SCI 1 LH"</f>
        <v>FORC SCI 1 LH</v>
      </c>
      <c r="G1839" t="str">
        <f>"08-803"</f>
        <v>08-803</v>
      </c>
      <c r="H1839" t="str">
        <f>"A"</f>
        <v>A</v>
      </c>
    </row>
    <row r="1840" spans="1:8" x14ac:dyDescent="0.2">
      <c r="A1840" t="str">
        <f t="shared" si="681"/>
        <v>0613074972</v>
      </c>
      <c r="B1840" t="str">
        <f t="shared" si="682"/>
        <v>BNARIA</v>
      </c>
      <c r="C1840" t="str">
        <f t="shared" si="683"/>
        <v>BRADLEY</v>
      </c>
      <c r="D1840">
        <f>11</f>
        <v>11</v>
      </c>
      <c r="E1840" t="str">
        <f>"02 - A - 105 - Leslie J Barton"</f>
        <v>02 - A - 105 - Leslie J Barton</v>
      </c>
      <c r="F1840" t="str">
        <f>"NC STUDY HALL 1"</f>
        <v>NC STUDY HALL 1</v>
      </c>
      <c r="G1840" t="str">
        <f>"05-521"</f>
        <v>05-521</v>
      </c>
      <c r="H1840" t="str">
        <f>"A"</f>
        <v>A</v>
      </c>
    </row>
    <row r="1841" spans="1:8" x14ac:dyDescent="0.2">
      <c r="A1841" t="str">
        <f t="shared" si="681"/>
        <v>0613074972</v>
      </c>
      <c r="B1841" t="str">
        <f t="shared" si="682"/>
        <v>BNARIA</v>
      </c>
      <c r="C1841" t="str">
        <f t="shared" si="683"/>
        <v>BRADLEY</v>
      </c>
      <c r="D1841">
        <f>11</f>
        <v>11</v>
      </c>
      <c r="E1841" t="str">
        <f>"07 - B - 202 - Chrystina M Marchionne"</f>
        <v>07 - B - 202 - Chrystina M Marchionne</v>
      </c>
      <c r="F1841" t="str">
        <f>"JOURN 1 (YB) LH"</f>
        <v>JOURN 1 (YB) LH</v>
      </c>
      <c r="G1841" t="str">
        <f>"05-520"</f>
        <v>05-520</v>
      </c>
      <c r="H1841" t="str">
        <f>"B"</f>
        <v>B</v>
      </c>
    </row>
    <row r="1842" spans="1:8" x14ac:dyDescent="0.2">
      <c r="A1842" t="str">
        <f t="shared" si="681"/>
        <v>0613074972</v>
      </c>
      <c r="B1842" t="str">
        <f t="shared" si="682"/>
        <v>BNARIA</v>
      </c>
      <c r="C1842" t="str">
        <f t="shared" si="683"/>
        <v>BRADLEY</v>
      </c>
      <c r="D1842">
        <f>11</f>
        <v>11</v>
      </c>
      <c r="E1842" t="str">
        <f>"05 - B - 102 - Robyn L Trainer"</f>
        <v>05 - B - 102 - Robyn L Trainer</v>
      </c>
      <c r="F1842" t="str">
        <f>"ENG 4"</f>
        <v>ENG 4</v>
      </c>
      <c r="G1842" t="str">
        <f>"17-1734"</f>
        <v>17-1734</v>
      </c>
      <c r="H1842" t="str">
        <f>"B"</f>
        <v>B</v>
      </c>
    </row>
    <row r="1843" spans="1:8" x14ac:dyDescent="0.2">
      <c r="A1843" t="str">
        <f t="shared" si="681"/>
        <v>0613074972</v>
      </c>
      <c r="B1843" t="str">
        <f t="shared" si="682"/>
        <v>BNARIA</v>
      </c>
      <c r="C1843" t="str">
        <f t="shared" si="683"/>
        <v>BRADLEY</v>
      </c>
      <c r="D1843">
        <f>11</f>
        <v>11</v>
      </c>
      <c r="E1843" t="str">
        <f>"01 - S1 - A - 101 - Robert O Burger"</f>
        <v>01 - S1 - A - 101 - Robert O Burger</v>
      </c>
      <c r="F1843" t="str">
        <f>"US GOVT"</f>
        <v>US GOVT</v>
      </c>
      <c r="G1843" t="str">
        <f>"17-1755"</f>
        <v>17-1755</v>
      </c>
      <c r="H1843" t="str">
        <f>"A"</f>
        <v>A</v>
      </c>
    </row>
    <row r="1844" spans="1:8" x14ac:dyDescent="0.2">
      <c r="A1844" t="str">
        <f t="shared" si="681"/>
        <v>0613074972</v>
      </c>
      <c r="B1844" t="str">
        <f t="shared" si="682"/>
        <v>BNARIA</v>
      </c>
      <c r="C1844" t="str">
        <f t="shared" si="683"/>
        <v>BRADLEY</v>
      </c>
      <c r="D1844">
        <f>11</f>
        <v>11</v>
      </c>
      <c r="E1844" t="str">
        <f>"08 - S1 - B - 102 - Nahum  Saint-Preux"</f>
        <v>08 - S1 - B - 102 - Nahum  Saint-Preux</v>
      </c>
      <c r="F1844" t="str">
        <f>"CRIT THINK ST SKLS"</f>
        <v>CRIT THINK ST SKLS</v>
      </c>
      <c r="G1844" t="str">
        <f>"17-1712"</f>
        <v>17-1712</v>
      </c>
      <c r="H1844" t="str">
        <f>"B"</f>
        <v>B</v>
      </c>
    </row>
    <row r="1845" spans="1:8" x14ac:dyDescent="0.2">
      <c r="A1845" t="str">
        <f t="shared" ref="A1845:A1852" si="684">"0616013413"</f>
        <v>0616013413</v>
      </c>
      <c r="B1845" t="str">
        <f t="shared" ref="B1845:B1852" si="685">"ADRIANNA"</f>
        <v>ADRIANNA</v>
      </c>
      <c r="C1845" t="str">
        <f t="shared" ref="C1845:C1852" si="686">"BRADSHAW"</f>
        <v>BRADSHAW</v>
      </c>
      <c r="D1845" t="str">
        <f t="shared" ref="D1845:D1852" si="687">"09"</f>
        <v>09</v>
      </c>
      <c r="E1845" t="str">
        <f>"04 - A - 005 - Emmily A Sarmiento"</f>
        <v>04 - A - 005 - Emmily A Sarmiento</v>
      </c>
      <c r="F1845" t="str">
        <f>"AICE GLBL PERSP 1 AS"</f>
        <v>AICE GLBL PERSP 1 AS</v>
      </c>
      <c r="G1845" t="str">
        <f>"17-1743"</f>
        <v>17-1743</v>
      </c>
      <c r="H1845" t="str">
        <f>"A"</f>
        <v>A</v>
      </c>
    </row>
    <row r="1846" spans="1:8" x14ac:dyDescent="0.2">
      <c r="A1846" t="str">
        <f t="shared" si="684"/>
        <v>0616013413</v>
      </c>
      <c r="B1846" t="str">
        <f t="shared" si="685"/>
        <v>ADRIANNA</v>
      </c>
      <c r="C1846" t="str">
        <f t="shared" si="686"/>
        <v>BRADSHAW</v>
      </c>
      <c r="D1846" t="str">
        <f t="shared" si="687"/>
        <v>09</v>
      </c>
      <c r="E1846" t="str">
        <f>"06 - B - 104 - Byron G Montenegro"</f>
        <v>06 - B - 104 - Byron G Montenegro</v>
      </c>
      <c r="F1846" t="str">
        <f>"AICE MARINE SCI 1 AS"</f>
        <v>AICE MARINE SCI 1 AS</v>
      </c>
      <c r="G1846" t="str">
        <f>"21-2144"</f>
        <v>21-2144</v>
      </c>
      <c r="H1846" t="str">
        <f>"B"</f>
        <v>B</v>
      </c>
    </row>
    <row r="1847" spans="1:8" x14ac:dyDescent="0.2">
      <c r="A1847" t="str">
        <f t="shared" si="684"/>
        <v>0616013413</v>
      </c>
      <c r="B1847" t="str">
        <f t="shared" si="685"/>
        <v>ADRIANNA</v>
      </c>
      <c r="C1847" t="str">
        <f t="shared" si="686"/>
        <v>BRADSHAW</v>
      </c>
      <c r="D1847" t="str">
        <f t="shared" si="687"/>
        <v>09</v>
      </c>
      <c r="E1847" t="str">
        <f>"03 - A - 103 - Adam Marcus  Drucker"</f>
        <v>03 - A - 103 - Adam Marcus  Drucker</v>
      </c>
      <c r="F1847" t="str">
        <f>"HOPE-PE V"</f>
        <v>HOPE-PE V</v>
      </c>
      <c r="G1847" t="str">
        <f>"04-254"</f>
        <v>04-254</v>
      </c>
      <c r="H1847" t="str">
        <f>"A"</f>
        <v>A</v>
      </c>
    </row>
    <row r="1848" spans="1:8" x14ac:dyDescent="0.2">
      <c r="A1848" t="str">
        <f t="shared" si="684"/>
        <v>0616013413</v>
      </c>
      <c r="B1848" t="str">
        <f t="shared" si="685"/>
        <v>ADRIANNA</v>
      </c>
      <c r="C1848" t="str">
        <f t="shared" si="686"/>
        <v>BRADSHAW</v>
      </c>
      <c r="D1848" t="str">
        <f t="shared" si="687"/>
        <v>09</v>
      </c>
      <c r="E1848" t="str">
        <f>"02 - A - 113 - Amy Beth  Broyles"</f>
        <v>02 - A - 113 - Amy Beth  Broyles</v>
      </c>
      <c r="F1848" t="str">
        <f>"NC STUDY HALL 1"</f>
        <v>NC STUDY HALL 1</v>
      </c>
      <c r="G1848" t="str">
        <f>"08-802"</f>
        <v>08-802</v>
      </c>
      <c r="H1848" t="str">
        <f>"A"</f>
        <v>A</v>
      </c>
    </row>
    <row r="1849" spans="1:8" x14ac:dyDescent="0.2">
      <c r="A1849" t="str">
        <f t="shared" si="684"/>
        <v>0616013413</v>
      </c>
      <c r="B1849" t="str">
        <f t="shared" si="685"/>
        <v>ADRIANNA</v>
      </c>
      <c r="C1849" t="str">
        <f t="shared" si="686"/>
        <v>BRADSHAW</v>
      </c>
      <c r="D1849" t="str">
        <f t="shared" si="687"/>
        <v>09</v>
      </c>
      <c r="E1849" t="str">
        <f>"07 - B - 201 - Angela S Adeshina-Morrison"</f>
        <v>07 - B - 201 - Angela S Adeshina-Morrison</v>
      </c>
      <c r="F1849" t="str">
        <f>"BUSINESS OWNER HON"</f>
        <v>BUSINESS OWNER HON</v>
      </c>
      <c r="G1849" t="str">
        <f>"05-518"</f>
        <v>05-518</v>
      </c>
      <c r="H1849" t="str">
        <f>"B"</f>
        <v>B</v>
      </c>
    </row>
    <row r="1850" spans="1:8" x14ac:dyDescent="0.2">
      <c r="A1850" t="str">
        <f t="shared" si="684"/>
        <v>0616013413</v>
      </c>
      <c r="B1850" t="str">
        <f t="shared" si="685"/>
        <v>ADRIANNA</v>
      </c>
      <c r="C1850" t="str">
        <f t="shared" si="686"/>
        <v>BRADSHAW</v>
      </c>
      <c r="D1850" t="str">
        <f t="shared" si="687"/>
        <v>09</v>
      </c>
      <c r="E1850" t="str">
        <f>"05 - B - 103 - Eva T Rimmer"</f>
        <v>05 - B - 103 - Eva T Rimmer</v>
      </c>
      <c r="F1850" t="str">
        <f>"CRIMINAL JUST OPS 1"</f>
        <v>CRIMINAL JUST OPS 1</v>
      </c>
      <c r="G1850" t="str">
        <f>"05-523"</f>
        <v>05-523</v>
      </c>
      <c r="H1850" t="str">
        <f>"B"</f>
        <v>B</v>
      </c>
    </row>
    <row r="1851" spans="1:8" x14ac:dyDescent="0.2">
      <c r="A1851" t="str">
        <f t="shared" si="684"/>
        <v>0616013413</v>
      </c>
      <c r="B1851" t="str">
        <f t="shared" si="685"/>
        <v>ADRIANNA</v>
      </c>
      <c r="C1851" t="str">
        <f t="shared" si="686"/>
        <v>BRADSHAW</v>
      </c>
      <c r="D1851" t="str">
        <f t="shared" si="687"/>
        <v>09</v>
      </c>
      <c r="E1851" t="str">
        <f>"01 - A - 101 - Elizabeth R Walker"</f>
        <v>01 - A - 101 - Elizabeth R Walker</v>
      </c>
      <c r="F1851" t="str">
        <f>"AICE ENG GEN PAPER 1"</f>
        <v>AICE ENG GEN PAPER 1</v>
      </c>
      <c r="G1851" t="str">
        <f>"17-1703"</f>
        <v>17-1703</v>
      </c>
      <c r="H1851" t="str">
        <f>"A"</f>
        <v>A</v>
      </c>
    </row>
    <row r="1852" spans="1:8" x14ac:dyDescent="0.2">
      <c r="A1852" t="str">
        <f t="shared" si="684"/>
        <v>0616013413</v>
      </c>
      <c r="B1852" t="str">
        <f t="shared" si="685"/>
        <v>ADRIANNA</v>
      </c>
      <c r="C1852" t="str">
        <f t="shared" si="686"/>
        <v>BRADSHAW</v>
      </c>
      <c r="D1852" t="str">
        <f t="shared" si="687"/>
        <v>09</v>
      </c>
      <c r="E1852" t="str">
        <f>"08 - B - 102 - Maried P Ramos"</f>
        <v>08 - B - 102 - Maried P Ramos</v>
      </c>
      <c r="F1852" t="str">
        <f>"ALGEBRA 2 HON"</f>
        <v>ALGEBRA 2 HON</v>
      </c>
      <c r="G1852" t="str">
        <f>"21-2159"</f>
        <v>21-2159</v>
      </c>
      <c r="H1852" t="str">
        <f>"B"</f>
        <v>B</v>
      </c>
    </row>
    <row r="1853" spans="1:8" x14ac:dyDescent="0.2">
      <c r="A1853" t="str">
        <f t="shared" ref="A1853:A1860" si="688">"0615050867"</f>
        <v>0615050867</v>
      </c>
      <c r="B1853" t="str">
        <f t="shared" ref="B1853:B1860" si="689">"AIDAN"</f>
        <v>AIDAN</v>
      </c>
      <c r="C1853" t="str">
        <f t="shared" ref="C1853:C1868" si="690">"BRADY"</f>
        <v>BRADY</v>
      </c>
      <c r="D1853">
        <f>11</f>
        <v>11</v>
      </c>
      <c r="E1853" t="str">
        <f>"04 - A - 102 - Elizabeth Ellen  Moran"</f>
        <v>04 - A - 102 - Elizabeth Ellen  Moran</v>
      </c>
      <c r="F1853" t="str">
        <f>"US HISTORY"</f>
        <v>US HISTORY</v>
      </c>
      <c r="G1853" t="str">
        <f>"17-1752"</f>
        <v>17-1752</v>
      </c>
      <c r="H1853" t="str">
        <f>"A"</f>
        <v>A</v>
      </c>
    </row>
    <row r="1854" spans="1:8" x14ac:dyDescent="0.2">
      <c r="A1854" t="str">
        <f t="shared" si="688"/>
        <v>0615050867</v>
      </c>
      <c r="B1854" t="str">
        <f t="shared" si="689"/>
        <v>AIDAN</v>
      </c>
      <c r="C1854" t="str">
        <f t="shared" si="690"/>
        <v>BRADY</v>
      </c>
      <c r="D1854">
        <f>11</f>
        <v>11</v>
      </c>
      <c r="E1854" t="str">
        <f>"06 - B - 104 - Nahum  Saint-Preux"</f>
        <v>06 - B - 104 - Nahum  Saint-Preux</v>
      </c>
      <c r="F1854" t="str">
        <f>"INTENS READ 3"</f>
        <v>INTENS READ 3</v>
      </c>
      <c r="G1854" t="str">
        <f>"17-1712"</f>
        <v>17-1712</v>
      </c>
      <c r="H1854" t="str">
        <f>"B"</f>
        <v>B</v>
      </c>
    </row>
    <row r="1855" spans="1:8" x14ac:dyDescent="0.2">
      <c r="A1855" t="str">
        <f t="shared" si="688"/>
        <v>0615050867</v>
      </c>
      <c r="B1855" t="str">
        <f t="shared" si="689"/>
        <v>AIDAN</v>
      </c>
      <c r="C1855" t="str">
        <f t="shared" si="690"/>
        <v>BRADY</v>
      </c>
      <c r="D1855">
        <f>11</f>
        <v>11</v>
      </c>
      <c r="E1855" t="str">
        <f>"03 - S1 - A - 103 - Richard E Dunbar Iii"</f>
        <v>03 - S1 - A - 103 - Richard E Dunbar Iii</v>
      </c>
      <c r="F1855" t="str">
        <f>"WEIGHT TRAIN 1"</f>
        <v>WEIGHT TRAIN 1</v>
      </c>
      <c r="G1855" t="str">
        <f>"05-501"</f>
        <v>05-501</v>
      </c>
      <c r="H1855" t="str">
        <f>"A"</f>
        <v>A</v>
      </c>
    </row>
    <row r="1856" spans="1:8" x14ac:dyDescent="0.2">
      <c r="A1856" t="str">
        <f t="shared" si="688"/>
        <v>0615050867</v>
      </c>
      <c r="B1856" t="str">
        <f t="shared" si="689"/>
        <v>AIDAN</v>
      </c>
      <c r="C1856" t="str">
        <f t="shared" si="690"/>
        <v>BRADY</v>
      </c>
      <c r="D1856">
        <f>11</f>
        <v>11</v>
      </c>
      <c r="E1856" t="str">
        <f>"02 - A - 106 - Heidi M Knopp"</f>
        <v>02 - A - 106 - Heidi M Knopp</v>
      </c>
      <c r="F1856" t="str">
        <f>"NC STUDY HALL 1"</f>
        <v>NC STUDY HALL 1</v>
      </c>
      <c r="G1856" t="str">
        <f>"17-1735"</f>
        <v>17-1735</v>
      </c>
      <c r="H1856" t="str">
        <f>"A"</f>
        <v>A</v>
      </c>
    </row>
    <row r="1857" spans="1:8" x14ac:dyDescent="0.2">
      <c r="A1857" t="str">
        <f t="shared" si="688"/>
        <v>0615050867</v>
      </c>
      <c r="B1857" t="str">
        <f t="shared" si="689"/>
        <v>AIDAN</v>
      </c>
      <c r="C1857" t="str">
        <f t="shared" si="690"/>
        <v>BRADY</v>
      </c>
      <c r="D1857">
        <f>11</f>
        <v>11</v>
      </c>
      <c r="E1857" t="str">
        <f>"07 - B - 106 - James H Mccann"</f>
        <v>07 - B - 106 - James H Mccann</v>
      </c>
      <c r="F1857" t="str">
        <f>"ALGEBRA 2"</f>
        <v>ALGEBRA 2</v>
      </c>
      <c r="G1857" t="str">
        <f>"17-1716"</f>
        <v>17-1716</v>
      </c>
      <c r="H1857" t="str">
        <f>"B"</f>
        <v>B</v>
      </c>
    </row>
    <row r="1858" spans="1:8" x14ac:dyDescent="0.2">
      <c r="A1858" t="str">
        <f t="shared" si="688"/>
        <v>0615050867</v>
      </c>
      <c r="B1858" t="str">
        <f t="shared" si="689"/>
        <v>AIDAN</v>
      </c>
      <c r="C1858" t="str">
        <f t="shared" si="690"/>
        <v>BRADY</v>
      </c>
      <c r="D1858">
        <f>11</f>
        <v>11</v>
      </c>
      <c r="E1858" t="str">
        <f>"05 - S1 - B - 102 - Lissa C Frederique"</f>
        <v>05 - S1 - B - 102 - Lissa C Frederique</v>
      </c>
      <c r="F1858" t="str">
        <f>"PERS FIN &amp; MON MGT H"</f>
        <v>PERS FIN &amp; MON MGT H</v>
      </c>
      <c r="G1858" t="str">
        <f>"17-1754"</f>
        <v>17-1754</v>
      </c>
      <c r="H1858" t="str">
        <f>"B"</f>
        <v>B</v>
      </c>
    </row>
    <row r="1859" spans="1:8" x14ac:dyDescent="0.2">
      <c r="A1859" t="str">
        <f t="shared" si="688"/>
        <v>0615050867</v>
      </c>
      <c r="B1859" t="str">
        <f t="shared" si="689"/>
        <v>AIDAN</v>
      </c>
      <c r="C1859" t="str">
        <f t="shared" si="690"/>
        <v>BRADY</v>
      </c>
      <c r="D1859">
        <f>11</f>
        <v>11</v>
      </c>
      <c r="E1859" t="str">
        <f>"01 - A - 101 - Cliffon  Saurel"</f>
        <v>01 - A - 101 - Cliffon  Saurel</v>
      </c>
      <c r="F1859" t="str">
        <f>"PHYSICAL SCI"</f>
        <v>PHYSICAL SCI</v>
      </c>
      <c r="G1859" t="str">
        <f>"05-522"</f>
        <v>05-522</v>
      </c>
      <c r="H1859" t="str">
        <f>"A"</f>
        <v>A</v>
      </c>
    </row>
    <row r="1860" spans="1:8" x14ac:dyDescent="0.2">
      <c r="A1860" t="str">
        <f t="shared" si="688"/>
        <v>0615050867</v>
      </c>
      <c r="B1860" t="str">
        <f t="shared" si="689"/>
        <v>AIDAN</v>
      </c>
      <c r="C1860" t="str">
        <f t="shared" si="690"/>
        <v>BRADY</v>
      </c>
      <c r="D1860">
        <f>11</f>
        <v>11</v>
      </c>
      <c r="E1860" t="str">
        <f>"08 - B - 106 - Lisa  Quinn"</f>
        <v>08 - B - 106 - Lisa  Quinn</v>
      </c>
      <c r="F1860" t="str">
        <f>"ENG 3"</f>
        <v>ENG 3</v>
      </c>
      <c r="G1860" t="str">
        <f>"17-1725"</f>
        <v>17-1725</v>
      </c>
      <c r="H1860" t="str">
        <f>"B"</f>
        <v>B</v>
      </c>
    </row>
    <row r="1861" spans="1:8" x14ac:dyDescent="0.2">
      <c r="A1861" t="str">
        <f t="shared" ref="A1861:A1868" si="691">"0617070708"</f>
        <v>0617070708</v>
      </c>
      <c r="B1861" t="str">
        <f t="shared" ref="B1861:B1868" si="692">"KENNEDY"</f>
        <v>KENNEDY</v>
      </c>
      <c r="C1861" t="str">
        <f t="shared" si="690"/>
        <v>BRADY</v>
      </c>
      <c r="D1861" t="str">
        <f t="shared" ref="D1861:D1884" si="693">"09"</f>
        <v>09</v>
      </c>
      <c r="E1861" t="str">
        <f>"04 - A - 102 - Elizabeth R Walker"</f>
        <v>04 - A - 102 - Elizabeth R Walker</v>
      </c>
      <c r="F1861" t="str">
        <f>"AICE ENG GEN PAPER 1"</f>
        <v>AICE ENG GEN PAPER 1</v>
      </c>
      <c r="G1861" t="str">
        <f>"17-1703"</f>
        <v>17-1703</v>
      </c>
      <c r="H1861" t="str">
        <f>"A"</f>
        <v>A</v>
      </c>
    </row>
    <row r="1862" spans="1:8" x14ac:dyDescent="0.2">
      <c r="A1862" t="str">
        <f t="shared" si="691"/>
        <v>0617070708</v>
      </c>
      <c r="B1862" t="str">
        <f t="shared" si="692"/>
        <v>KENNEDY</v>
      </c>
      <c r="C1862" t="str">
        <f t="shared" si="690"/>
        <v>BRADY</v>
      </c>
      <c r="D1862" t="str">
        <f t="shared" si="693"/>
        <v>09</v>
      </c>
      <c r="E1862" t="str">
        <f>"06 - B - 106 - Marius D Orsolini"</f>
        <v>06 - B - 106 - Marius D Orsolini</v>
      </c>
      <c r="F1862" t="str">
        <f>"CULINARY ARTS 1"</f>
        <v>CULINARY ARTS 1</v>
      </c>
      <c r="G1862" t="str">
        <f>"21-2115"</f>
        <v>21-2115</v>
      </c>
      <c r="H1862" t="str">
        <f>"B"</f>
        <v>B</v>
      </c>
    </row>
    <row r="1863" spans="1:8" x14ac:dyDescent="0.2">
      <c r="A1863" t="str">
        <f t="shared" si="691"/>
        <v>0617070708</v>
      </c>
      <c r="B1863" t="str">
        <f t="shared" si="692"/>
        <v>KENNEDY</v>
      </c>
      <c r="C1863" t="str">
        <f t="shared" si="690"/>
        <v>BRADY</v>
      </c>
      <c r="D1863" t="str">
        <f t="shared" si="693"/>
        <v>09</v>
      </c>
      <c r="E1863" t="str">
        <f>"03 - A - 101 - Brian M Fitzgerald"</f>
        <v>03 - A - 101 - Brian M Fitzgerald</v>
      </c>
      <c r="F1863" t="str">
        <f>"SCULPT 1"</f>
        <v>SCULPT 1</v>
      </c>
      <c r="G1863" t="str">
        <f>"09-908"</f>
        <v>09-908</v>
      </c>
      <c r="H1863" t="str">
        <f>"A"</f>
        <v>A</v>
      </c>
    </row>
    <row r="1864" spans="1:8" x14ac:dyDescent="0.2">
      <c r="A1864" t="str">
        <f t="shared" si="691"/>
        <v>0617070708</v>
      </c>
      <c r="B1864" t="str">
        <f t="shared" si="692"/>
        <v>KENNEDY</v>
      </c>
      <c r="C1864" t="str">
        <f t="shared" si="690"/>
        <v>BRADY</v>
      </c>
      <c r="D1864" t="str">
        <f t="shared" si="693"/>
        <v>09</v>
      </c>
      <c r="E1864" t="str">
        <f>"02 - A - 105 - Elizabeth R Walker"</f>
        <v>02 - A - 105 - Elizabeth R Walker</v>
      </c>
      <c r="F1864" t="str">
        <f>"NC STUDY HALL 1"</f>
        <v>NC STUDY HALL 1</v>
      </c>
      <c r="G1864" t="str">
        <f>"17-1703"</f>
        <v>17-1703</v>
      </c>
      <c r="H1864" t="str">
        <f>"A"</f>
        <v>A</v>
      </c>
    </row>
    <row r="1865" spans="1:8" x14ac:dyDescent="0.2">
      <c r="A1865" t="str">
        <f t="shared" si="691"/>
        <v>0617070708</v>
      </c>
      <c r="B1865" t="str">
        <f t="shared" si="692"/>
        <v>KENNEDY</v>
      </c>
      <c r="C1865" t="str">
        <f t="shared" si="690"/>
        <v>BRADY</v>
      </c>
      <c r="D1865" t="str">
        <f t="shared" si="693"/>
        <v>09</v>
      </c>
      <c r="E1865" t="str">
        <f>"07 - B - 105 - Byron G Montenegro"</f>
        <v>07 - B - 105 - Byron G Montenegro</v>
      </c>
      <c r="F1865" t="str">
        <f>"AICE MARINE SCI 1 AS"</f>
        <v>AICE MARINE SCI 1 AS</v>
      </c>
      <c r="G1865" t="str">
        <f>"21-2144"</f>
        <v>21-2144</v>
      </c>
      <c r="H1865" t="str">
        <f>"B"</f>
        <v>B</v>
      </c>
    </row>
    <row r="1866" spans="1:8" x14ac:dyDescent="0.2">
      <c r="A1866" t="str">
        <f t="shared" si="691"/>
        <v>0617070708</v>
      </c>
      <c r="B1866" t="str">
        <f t="shared" si="692"/>
        <v>KENNEDY</v>
      </c>
      <c r="C1866" t="str">
        <f t="shared" si="690"/>
        <v>BRADY</v>
      </c>
      <c r="D1866" t="str">
        <f t="shared" si="693"/>
        <v>09</v>
      </c>
      <c r="E1866" t="str">
        <f>"05 - B - 101 - Brian M Fitzgerald"</f>
        <v>05 - B - 101 - Brian M Fitzgerald</v>
      </c>
      <c r="F1866" t="str">
        <f>"PAINT 1"</f>
        <v>PAINT 1</v>
      </c>
      <c r="G1866" t="str">
        <f>"09-908"</f>
        <v>09-908</v>
      </c>
      <c r="H1866" t="str">
        <f>"B"</f>
        <v>B</v>
      </c>
    </row>
    <row r="1867" spans="1:8" x14ac:dyDescent="0.2">
      <c r="A1867" t="str">
        <f t="shared" si="691"/>
        <v>0617070708</v>
      </c>
      <c r="B1867" t="str">
        <f t="shared" si="692"/>
        <v>KENNEDY</v>
      </c>
      <c r="C1867" t="str">
        <f t="shared" si="690"/>
        <v>BRADY</v>
      </c>
      <c r="D1867" t="str">
        <f t="shared" si="693"/>
        <v>09</v>
      </c>
      <c r="E1867" t="str">
        <f>"01 - A - 006 - Emmily A Sarmiento"</f>
        <v>01 - A - 006 - Emmily A Sarmiento</v>
      </c>
      <c r="F1867" t="str">
        <f>"AICE GLBL PERSP 1 AS"</f>
        <v>AICE GLBL PERSP 1 AS</v>
      </c>
      <c r="G1867" t="str">
        <f>"17-1743"</f>
        <v>17-1743</v>
      </c>
      <c r="H1867" t="str">
        <f>"A"</f>
        <v>A</v>
      </c>
    </row>
    <row r="1868" spans="1:8" x14ac:dyDescent="0.2">
      <c r="A1868" t="str">
        <f t="shared" si="691"/>
        <v>0617070708</v>
      </c>
      <c r="B1868" t="str">
        <f t="shared" si="692"/>
        <v>KENNEDY</v>
      </c>
      <c r="C1868" t="str">
        <f t="shared" si="690"/>
        <v>BRADY</v>
      </c>
      <c r="D1868" t="str">
        <f t="shared" si="693"/>
        <v>09</v>
      </c>
      <c r="E1868" t="str">
        <f>"08 - B - 102 - Maried P Ramos"</f>
        <v>08 - B - 102 - Maried P Ramos</v>
      </c>
      <c r="F1868" t="str">
        <f>"ALGEBRA 2 HON"</f>
        <v>ALGEBRA 2 HON</v>
      </c>
      <c r="G1868" t="str">
        <f>"21-2159"</f>
        <v>21-2159</v>
      </c>
      <c r="H1868" t="str">
        <f>"B"</f>
        <v>B</v>
      </c>
    </row>
    <row r="1869" spans="1:8" x14ac:dyDescent="0.2">
      <c r="A1869" t="str">
        <f t="shared" ref="A1869:A1876" si="694">"0616159940"</f>
        <v>0616159940</v>
      </c>
      <c r="B1869" t="str">
        <f t="shared" ref="B1869:B1876" si="695">"FAITH"</f>
        <v>FAITH</v>
      </c>
      <c r="C1869" t="str">
        <f t="shared" ref="C1869:C1876" si="696">"BRERETON"</f>
        <v>BRERETON</v>
      </c>
      <c r="D1869" t="str">
        <f t="shared" si="693"/>
        <v>09</v>
      </c>
      <c r="E1869" t="str">
        <f>"04 - A - 102 - Eva T Rimmer"</f>
        <v>04 - A - 102 - Eva T Rimmer</v>
      </c>
      <c r="F1869" t="str">
        <f>"CRIMINAL JUST OPS 1"</f>
        <v>CRIMINAL JUST OPS 1</v>
      </c>
      <c r="G1869" t="str">
        <f>"05-523"</f>
        <v>05-523</v>
      </c>
      <c r="H1869" t="str">
        <f>"A"</f>
        <v>A</v>
      </c>
    </row>
    <row r="1870" spans="1:8" x14ac:dyDescent="0.2">
      <c r="A1870" t="str">
        <f t="shared" si="694"/>
        <v>0616159940</v>
      </c>
      <c r="B1870" t="str">
        <f t="shared" si="695"/>
        <v>FAITH</v>
      </c>
      <c r="C1870" t="str">
        <f t="shared" si="696"/>
        <v>BRERETON</v>
      </c>
      <c r="D1870" t="str">
        <f t="shared" si="693"/>
        <v>09</v>
      </c>
      <c r="E1870" t="str">
        <f>"06 - B - 106 - Adam Marcus  Drucker"</f>
        <v>06 - B - 106 - Adam Marcus  Drucker</v>
      </c>
      <c r="F1870" t="str">
        <f>"HOPE-PE V"</f>
        <v>HOPE-PE V</v>
      </c>
      <c r="G1870" t="str">
        <f>"04-254"</f>
        <v>04-254</v>
      </c>
      <c r="H1870" t="str">
        <f>"B"</f>
        <v>B</v>
      </c>
    </row>
    <row r="1871" spans="1:8" x14ac:dyDescent="0.2">
      <c r="A1871" t="str">
        <f t="shared" si="694"/>
        <v>0616159940</v>
      </c>
      <c r="B1871" t="str">
        <f t="shared" si="695"/>
        <v>FAITH</v>
      </c>
      <c r="C1871" t="str">
        <f t="shared" si="696"/>
        <v>BRERETON</v>
      </c>
      <c r="D1871" t="str">
        <f t="shared" si="693"/>
        <v>09</v>
      </c>
      <c r="E1871" t="str">
        <f>"03 - A - 201 - Chrystina M Marchionne"</f>
        <v>03 - A - 201 - Chrystina M Marchionne</v>
      </c>
      <c r="F1871" t="str">
        <f>"JOURN 1 (YB) LH"</f>
        <v>JOURN 1 (YB) LH</v>
      </c>
      <c r="G1871" t="str">
        <f>"05-520"</f>
        <v>05-520</v>
      </c>
      <c r="H1871" t="str">
        <f>"A"</f>
        <v>A</v>
      </c>
    </row>
    <row r="1872" spans="1:8" x14ac:dyDescent="0.2">
      <c r="A1872" t="str">
        <f t="shared" si="694"/>
        <v>0616159940</v>
      </c>
      <c r="B1872" t="str">
        <f t="shared" si="695"/>
        <v>FAITH</v>
      </c>
      <c r="C1872" t="str">
        <f t="shared" si="696"/>
        <v>BRERETON</v>
      </c>
      <c r="D1872" t="str">
        <f t="shared" si="693"/>
        <v>09</v>
      </c>
      <c r="E1872" t="str">
        <f>"02 - A - 108 - Rory T Sponsler"</f>
        <v>02 - A - 108 - Rory T Sponsler</v>
      </c>
      <c r="F1872" t="str">
        <f>"NC STUDY HALL 1"</f>
        <v>NC STUDY HALL 1</v>
      </c>
      <c r="G1872" t="str">
        <f>"17-1740"</f>
        <v>17-1740</v>
      </c>
      <c r="H1872" t="str">
        <f>"A"</f>
        <v>A</v>
      </c>
    </row>
    <row r="1873" spans="1:8" x14ac:dyDescent="0.2">
      <c r="A1873" t="str">
        <f t="shared" si="694"/>
        <v>0616159940</v>
      </c>
      <c r="B1873" t="str">
        <f t="shared" si="695"/>
        <v>FAITH</v>
      </c>
      <c r="C1873" t="str">
        <f t="shared" si="696"/>
        <v>BRERETON</v>
      </c>
      <c r="D1873" t="str">
        <f t="shared" si="693"/>
        <v>09</v>
      </c>
      <c r="E1873" t="str">
        <f>"07 - B - 001 - Cheryl Anne  Berman-Schechter"</f>
        <v>07 - B - 001 - Cheryl Anne  Berman-Schechter</v>
      </c>
      <c r="F1873" t="str">
        <f>"AICE ENG GEN PAPER 1"</f>
        <v>AICE ENG GEN PAPER 1</v>
      </c>
      <c r="G1873" t="str">
        <f>"17-1722"</f>
        <v>17-1722</v>
      </c>
      <c r="H1873" t="str">
        <f>"B"</f>
        <v>B</v>
      </c>
    </row>
    <row r="1874" spans="1:8" x14ac:dyDescent="0.2">
      <c r="A1874" t="str">
        <f t="shared" si="694"/>
        <v>0616159940</v>
      </c>
      <c r="B1874" t="str">
        <f t="shared" si="695"/>
        <v>FAITH</v>
      </c>
      <c r="C1874" t="str">
        <f t="shared" si="696"/>
        <v>BRERETON</v>
      </c>
      <c r="D1874" t="str">
        <f t="shared" si="693"/>
        <v>09</v>
      </c>
      <c r="E1874" t="str">
        <f>"05 - B - 102 - Tina L Lovett"</f>
        <v>05 - B - 102 - Tina L Lovett</v>
      </c>
      <c r="F1874" t="str">
        <f>"PRE-AICE MATH 1 IG"</f>
        <v>PRE-AICE MATH 1 IG</v>
      </c>
      <c r="G1874" t="str">
        <f>"21-2153"</f>
        <v>21-2153</v>
      </c>
      <c r="H1874" t="str">
        <f>"B"</f>
        <v>B</v>
      </c>
    </row>
    <row r="1875" spans="1:8" x14ac:dyDescent="0.2">
      <c r="A1875" t="str">
        <f t="shared" si="694"/>
        <v>0616159940</v>
      </c>
      <c r="B1875" t="str">
        <f t="shared" si="695"/>
        <v>FAITH</v>
      </c>
      <c r="C1875" t="str">
        <f t="shared" si="696"/>
        <v>BRERETON</v>
      </c>
      <c r="D1875" t="str">
        <f t="shared" si="693"/>
        <v>09</v>
      </c>
      <c r="E1875" t="str">
        <f>"01 - A - 101 - Josiah I Lacy"</f>
        <v>01 - A - 101 - Josiah I Lacy</v>
      </c>
      <c r="F1875" t="str">
        <f>"PRE-AICE BIO IG"</f>
        <v>PRE-AICE BIO IG</v>
      </c>
      <c r="G1875" t="str">
        <f>"08-801"</f>
        <v>08-801</v>
      </c>
      <c r="H1875" t="str">
        <f>"A"</f>
        <v>A</v>
      </c>
    </row>
    <row r="1876" spans="1:8" x14ac:dyDescent="0.2">
      <c r="A1876" t="str">
        <f t="shared" si="694"/>
        <v>0616159940</v>
      </c>
      <c r="B1876" t="str">
        <f t="shared" si="695"/>
        <v>FAITH</v>
      </c>
      <c r="C1876" t="str">
        <f t="shared" si="696"/>
        <v>BRERETON</v>
      </c>
      <c r="D1876" t="str">
        <f t="shared" si="693"/>
        <v>09</v>
      </c>
      <c r="E1876" t="str">
        <f>"08 - B - 109 - Rory T Sponsler"</f>
        <v>08 - B - 109 - Rory T Sponsler</v>
      </c>
      <c r="F1876" t="str">
        <f>"PRE-AICE WRLD HST IG"</f>
        <v>PRE-AICE WRLD HST IG</v>
      </c>
      <c r="G1876" t="str">
        <f>"17-1740"</f>
        <v>17-1740</v>
      </c>
      <c r="H1876" t="str">
        <f>"B"</f>
        <v>B</v>
      </c>
    </row>
    <row r="1877" spans="1:8" x14ac:dyDescent="0.2">
      <c r="A1877" t="str">
        <f t="shared" ref="A1877:A1884" si="697">"0623094924"</f>
        <v>0623094924</v>
      </c>
      <c r="B1877" t="str">
        <f t="shared" ref="B1877:B1884" si="698">"SHAKIRA"</f>
        <v>SHAKIRA</v>
      </c>
      <c r="C1877" t="str">
        <f t="shared" ref="C1877:C1884" si="699">"BRISSETTE"</f>
        <v>BRISSETTE</v>
      </c>
      <c r="D1877" t="str">
        <f t="shared" si="693"/>
        <v>09</v>
      </c>
      <c r="E1877" t="str">
        <f>"04 - A - 201 - Dorothy D Moore"</f>
        <v>04 - A - 201 - Dorothy D Moore</v>
      </c>
      <c r="F1877" t="str">
        <f>"HEALTH SCI 1/A&amp;P HON"</f>
        <v>HEALTH SCI 1/A&amp;P HON</v>
      </c>
      <c r="G1877" t="str">
        <f>"08-803"</f>
        <v>08-803</v>
      </c>
      <c r="H1877" t="str">
        <f>"A"</f>
        <v>A</v>
      </c>
    </row>
    <row r="1878" spans="1:8" x14ac:dyDescent="0.2">
      <c r="A1878" t="str">
        <f t="shared" si="697"/>
        <v>0623094924</v>
      </c>
      <c r="B1878" t="str">
        <f t="shared" si="698"/>
        <v>SHAKIRA</v>
      </c>
      <c r="C1878" t="str">
        <f t="shared" si="699"/>
        <v>BRISSETTE</v>
      </c>
      <c r="D1878" t="str">
        <f t="shared" si="693"/>
        <v>09</v>
      </c>
      <c r="E1878" t="str">
        <f>"06 - B - 002 - Amy Beth  Broyles"</f>
        <v>06 - B - 002 - Amy Beth  Broyles</v>
      </c>
      <c r="F1878" t="str">
        <f>"ENV SCI"</f>
        <v>ENV SCI</v>
      </c>
      <c r="G1878" t="str">
        <f>"08-802"</f>
        <v>08-802</v>
      </c>
      <c r="H1878" t="str">
        <f>"B"</f>
        <v>B</v>
      </c>
    </row>
    <row r="1879" spans="1:8" x14ac:dyDescent="0.2">
      <c r="A1879" t="str">
        <f t="shared" si="697"/>
        <v>0623094924</v>
      </c>
      <c r="B1879" t="str">
        <f t="shared" si="698"/>
        <v>SHAKIRA</v>
      </c>
      <c r="C1879" t="str">
        <f t="shared" si="699"/>
        <v>BRISSETTE</v>
      </c>
      <c r="D1879" t="str">
        <f t="shared" si="693"/>
        <v>09</v>
      </c>
      <c r="E1879" t="str">
        <f>"03 - A - 101 - Milca  Exantus"</f>
        <v>03 - A - 101 - Milca  Exantus</v>
      </c>
      <c r="F1879" t="str">
        <f>"ALGEBRA 1-A"</f>
        <v>ALGEBRA 1-A</v>
      </c>
      <c r="G1879" t="str">
        <f>"21-2145"</f>
        <v>21-2145</v>
      </c>
      <c r="H1879" t="str">
        <f>"A"</f>
        <v>A</v>
      </c>
    </row>
    <row r="1880" spans="1:8" x14ac:dyDescent="0.2">
      <c r="A1880" t="str">
        <f t="shared" si="697"/>
        <v>0623094924</v>
      </c>
      <c r="B1880" t="str">
        <f t="shared" si="698"/>
        <v>SHAKIRA</v>
      </c>
      <c r="C1880" t="str">
        <f t="shared" si="699"/>
        <v>BRISSETTE</v>
      </c>
      <c r="D1880" t="str">
        <f t="shared" si="693"/>
        <v>09</v>
      </c>
      <c r="E1880" t="str">
        <f>"02 - A - 102 - Samantha J Headley"</f>
        <v>02 - A - 102 - Samantha J Headley</v>
      </c>
      <c r="F1880" t="str">
        <f>"NC STUDY HALL 1"</f>
        <v>NC STUDY HALL 1</v>
      </c>
      <c r="G1880" t="str">
        <f>"21-2134"</f>
        <v>21-2134</v>
      </c>
      <c r="H1880" t="str">
        <f>"A"</f>
        <v>A</v>
      </c>
    </row>
    <row r="1881" spans="1:8" x14ac:dyDescent="0.2">
      <c r="A1881" t="str">
        <f t="shared" si="697"/>
        <v>0623094924</v>
      </c>
      <c r="B1881" t="str">
        <f t="shared" si="698"/>
        <v>SHAKIRA</v>
      </c>
      <c r="C1881" t="str">
        <f t="shared" si="699"/>
        <v>BRISSETTE</v>
      </c>
      <c r="D1881" t="str">
        <f t="shared" si="693"/>
        <v>09</v>
      </c>
      <c r="E1881" t="str">
        <f>"07 - B - 105 - Laselleda D Shaw"</f>
        <v>07 - B - 105 - Laselleda D Shaw</v>
      </c>
      <c r="F1881" t="str">
        <f>"INTENS READ 1"</f>
        <v>INTENS READ 1</v>
      </c>
      <c r="G1881" t="str">
        <f>"17-1723"</f>
        <v>17-1723</v>
      </c>
      <c r="H1881" t="str">
        <f>"B"</f>
        <v>B</v>
      </c>
    </row>
    <row r="1882" spans="1:8" x14ac:dyDescent="0.2">
      <c r="A1882" t="str">
        <f t="shared" si="697"/>
        <v>0623094924</v>
      </c>
      <c r="B1882" t="str">
        <f t="shared" si="698"/>
        <v>SHAKIRA</v>
      </c>
      <c r="C1882" t="str">
        <f t="shared" si="699"/>
        <v>BRISSETTE</v>
      </c>
      <c r="D1882" t="str">
        <f t="shared" si="693"/>
        <v>09</v>
      </c>
      <c r="E1882" t="str">
        <f>"05 - B - 205 - Lenecy  Nodarse"</f>
        <v>05 - B - 205 - Lenecy  Nodarse</v>
      </c>
      <c r="F1882" t="str">
        <f>"WORLD HISTORY"</f>
        <v>WORLD HISTORY</v>
      </c>
      <c r="G1882" t="str">
        <f>"17-1741"</f>
        <v>17-1741</v>
      </c>
      <c r="H1882" t="str">
        <f>"B"</f>
        <v>B</v>
      </c>
    </row>
    <row r="1883" spans="1:8" x14ac:dyDescent="0.2">
      <c r="A1883" t="str">
        <f t="shared" si="697"/>
        <v>0623094924</v>
      </c>
      <c r="B1883" t="str">
        <f t="shared" si="698"/>
        <v>SHAKIRA</v>
      </c>
      <c r="C1883" t="str">
        <f t="shared" si="699"/>
        <v>BRISSETTE</v>
      </c>
      <c r="D1883" t="str">
        <f t="shared" si="693"/>
        <v>09</v>
      </c>
      <c r="E1883" t="str">
        <f>"01 - A - 101 - Cerine S Stewart"</f>
        <v>01 - A - 101 - Cerine S Stewart</v>
      </c>
      <c r="F1883" t="str">
        <f>"ENG 1"</f>
        <v>ENG 1</v>
      </c>
      <c r="G1883" t="str">
        <f>"17-1720"</f>
        <v>17-1720</v>
      </c>
      <c r="H1883" t="str">
        <f>"A"</f>
        <v>A</v>
      </c>
    </row>
    <row r="1884" spans="1:8" x14ac:dyDescent="0.2">
      <c r="A1884" t="str">
        <f t="shared" si="697"/>
        <v>0623094924</v>
      </c>
      <c r="B1884" t="str">
        <f t="shared" si="698"/>
        <v>SHAKIRA</v>
      </c>
      <c r="C1884" t="str">
        <f t="shared" si="699"/>
        <v>BRISSETTE</v>
      </c>
      <c r="D1884" t="str">
        <f t="shared" si="693"/>
        <v>09</v>
      </c>
      <c r="E1884" t="str">
        <f>"08 - B - 101 - Jazmin S Fletcher"</f>
        <v>08 - B - 101 - Jazmin S Fletcher</v>
      </c>
      <c r="F1884" t="str">
        <f>"PRE-AICE DRAMA 1G"</f>
        <v>PRE-AICE DRAMA 1G</v>
      </c>
      <c r="G1884" t="str">
        <f>"09-909"</f>
        <v>09-909</v>
      </c>
      <c r="H1884" t="str">
        <f>"B"</f>
        <v>B</v>
      </c>
    </row>
    <row r="1885" spans="1:8" x14ac:dyDescent="0.2">
      <c r="A1885" t="str">
        <f t="shared" ref="A1885:A1892" si="700">"0622110809"</f>
        <v>0622110809</v>
      </c>
      <c r="B1885" t="str">
        <f t="shared" ref="B1885:B1892" si="701">"DIEGO"</f>
        <v>DIEGO</v>
      </c>
      <c r="C1885" t="str">
        <f t="shared" ref="C1885:C1892" si="702">"BRITO DURAN"</f>
        <v>BRITO DURAN</v>
      </c>
      <c r="D1885">
        <f>11</f>
        <v>11</v>
      </c>
      <c r="E1885" t="str">
        <f>"04 - A - 102 - Samantha L Martinez"</f>
        <v>04 - A - 102 - Samantha L Martinez</v>
      </c>
      <c r="F1885" t="str">
        <f>"KEYBD 1"</f>
        <v>KEYBD 1</v>
      </c>
      <c r="G1885" t="str">
        <f>"05-505"</f>
        <v>05-505</v>
      </c>
      <c r="H1885" t="str">
        <f>"A"</f>
        <v>A</v>
      </c>
    </row>
    <row r="1886" spans="1:8" x14ac:dyDescent="0.2">
      <c r="A1886" t="str">
        <f t="shared" si="700"/>
        <v>0622110809</v>
      </c>
      <c r="B1886" t="str">
        <f t="shared" si="701"/>
        <v>DIEGO</v>
      </c>
      <c r="C1886" t="str">
        <f t="shared" si="702"/>
        <v>BRITO DURAN</v>
      </c>
      <c r="D1886">
        <f>11</f>
        <v>11</v>
      </c>
      <c r="E1886" t="str">
        <f>"06 - B - 111 - James H Mccann"</f>
        <v>06 - B - 111 - James H Mccann</v>
      </c>
      <c r="F1886" t="str">
        <f>"NC STUDY HALL 1"</f>
        <v>NC STUDY HALL 1</v>
      </c>
      <c r="G1886" t="str">
        <f>"17-1716"</f>
        <v>17-1716</v>
      </c>
      <c r="H1886" t="str">
        <f>"B"</f>
        <v>B</v>
      </c>
    </row>
    <row r="1887" spans="1:8" x14ac:dyDescent="0.2">
      <c r="A1887" t="str">
        <f t="shared" si="700"/>
        <v>0622110809</v>
      </c>
      <c r="B1887" t="str">
        <f t="shared" si="701"/>
        <v>DIEGO</v>
      </c>
      <c r="C1887" t="str">
        <f t="shared" si="702"/>
        <v>BRITO DURAN</v>
      </c>
      <c r="D1887">
        <f>11</f>
        <v>11</v>
      </c>
      <c r="E1887" t="str">
        <f>"03 - A - 101 - Emmily A Sarmiento"</f>
        <v>03 - A - 101 - Emmily A Sarmiento</v>
      </c>
      <c r="F1887" t="str">
        <f>"LEADER STRATS HONORS"</f>
        <v>LEADER STRATS HONORS</v>
      </c>
      <c r="G1887" t="str">
        <f>"17-1743"</f>
        <v>17-1743</v>
      </c>
      <c r="H1887" t="str">
        <f>"A"</f>
        <v>A</v>
      </c>
    </row>
    <row r="1888" spans="1:8" x14ac:dyDescent="0.2">
      <c r="A1888" t="str">
        <f t="shared" si="700"/>
        <v>0622110809</v>
      </c>
      <c r="B1888" t="str">
        <f t="shared" si="701"/>
        <v>DIEGO</v>
      </c>
      <c r="C1888" t="str">
        <f t="shared" si="702"/>
        <v>BRITO DURAN</v>
      </c>
      <c r="D1888">
        <f>11</f>
        <v>11</v>
      </c>
      <c r="E1888" t="str">
        <f>"02 - A - 201 - Jordana K Hass"</f>
        <v>02 - A - 201 - Jordana K Hass</v>
      </c>
      <c r="F1888" t="str">
        <f>"CHEMISTRY 1"</f>
        <v>CHEMISTRY 1</v>
      </c>
      <c r="G1888" t="str">
        <f>"08-807"</f>
        <v>08-807</v>
      </c>
      <c r="H1888" t="str">
        <f>"A"</f>
        <v>A</v>
      </c>
    </row>
    <row r="1889" spans="1:8" x14ac:dyDescent="0.2">
      <c r="A1889" t="str">
        <f t="shared" si="700"/>
        <v>0622110809</v>
      </c>
      <c r="B1889" t="str">
        <f t="shared" si="701"/>
        <v>DIEGO</v>
      </c>
      <c r="C1889" t="str">
        <f t="shared" si="702"/>
        <v>BRITO DURAN</v>
      </c>
      <c r="D1889">
        <f>11</f>
        <v>11</v>
      </c>
      <c r="E1889" t="str">
        <f>"07 - S1 - B - 103 - Robert O Burger"</f>
        <v>07 - S1 - B - 103 - Robert O Burger</v>
      </c>
      <c r="F1889" t="str">
        <f>"US GOVT"</f>
        <v>US GOVT</v>
      </c>
      <c r="G1889" t="str">
        <f>"17-1755"</f>
        <v>17-1755</v>
      </c>
      <c r="H1889" t="str">
        <f>"B"</f>
        <v>B</v>
      </c>
    </row>
    <row r="1890" spans="1:8" x14ac:dyDescent="0.2">
      <c r="A1890" t="str">
        <f t="shared" si="700"/>
        <v>0622110809</v>
      </c>
      <c r="B1890" t="str">
        <f t="shared" si="701"/>
        <v>DIEGO</v>
      </c>
      <c r="C1890" t="str">
        <f t="shared" si="702"/>
        <v>BRITO DURAN</v>
      </c>
      <c r="D1890">
        <f>11</f>
        <v>11</v>
      </c>
      <c r="E1890" t="str">
        <f>"05 - B - 104 - Joe  Kilpatrick Jr"</f>
        <v>05 - B - 104 - Joe  Kilpatrick Jr</v>
      </c>
      <c r="F1890" t="str">
        <f>"PRE-AICE SPAN 1 IG"</f>
        <v>PRE-AICE SPAN 1 IG</v>
      </c>
      <c r="G1890" t="str">
        <f>"09-912"</f>
        <v>09-912</v>
      </c>
      <c r="H1890" t="str">
        <f>"B"</f>
        <v>B</v>
      </c>
    </row>
    <row r="1891" spans="1:8" x14ac:dyDescent="0.2">
      <c r="A1891" t="str">
        <f t="shared" si="700"/>
        <v>0622110809</v>
      </c>
      <c r="B1891" t="str">
        <f t="shared" si="701"/>
        <v>DIEGO</v>
      </c>
      <c r="C1891" t="str">
        <f t="shared" si="702"/>
        <v>BRITO DURAN</v>
      </c>
      <c r="D1891">
        <f>11</f>
        <v>11</v>
      </c>
      <c r="E1891" t="str">
        <f>"01 - A - 103 - Robyn L Trainer"</f>
        <v>01 - A - 103 - Robyn L Trainer</v>
      </c>
      <c r="F1891" t="str">
        <f>"ENG 4"</f>
        <v>ENG 4</v>
      </c>
      <c r="G1891" t="str">
        <f>"17-1734"</f>
        <v>17-1734</v>
      </c>
      <c r="H1891" t="str">
        <f>"A"</f>
        <v>A</v>
      </c>
    </row>
    <row r="1892" spans="1:8" x14ac:dyDescent="0.2">
      <c r="A1892" t="str">
        <f t="shared" si="700"/>
        <v>0622110809</v>
      </c>
      <c r="B1892" t="str">
        <f t="shared" si="701"/>
        <v>DIEGO</v>
      </c>
      <c r="C1892" t="str">
        <f t="shared" si="702"/>
        <v>BRITO DURAN</v>
      </c>
      <c r="D1892">
        <f>11</f>
        <v>11</v>
      </c>
      <c r="E1892" t="str">
        <f>"08 - B - 105 - Semra  Bahadir"</f>
        <v>08 - B - 105 - Semra  Bahadir</v>
      </c>
      <c r="F1892" t="str">
        <f>"MATH COLL ALGEBRA"</f>
        <v>MATH COLL ALGEBRA</v>
      </c>
      <c r="G1892" t="str">
        <f>"21-2107"</f>
        <v>21-2107</v>
      </c>
      <c r="H1892" t="str">
        <f>"B"</f>
        <v>B</v>
      </c>
    </row>
    <row r="1893" spans="1:8" x14ac:dyDescent="0.2">
      <c r="A1893" t="str">
        <f t="shared" ref="A1893:A1900" si="703">"0620032151"</f>
        <v>0620032151</v>
      </c>
      <c r="B1893" t="str">
        <f t="shared" ref="B1893:B1900" si="704">"BRAYLON"</f>
        <v>BRAYLON</v>
      </c>
      <c r="C1893" t="str">
        <f t="shared" ref="C1893:C1900" si="705">"BRITTON"</f>
        <v>BRITTON</v>
      </c>
      <c r="D1893">
        <f>10</f>
        <v>10</v>
      </c>
      <c r="E1893" t="str">
        <f>"04 - A - 004 - Krystal Marie  Beruty"</f>
        <v>04 - A - 004 - Krystal Marie  Beruty</v>
      </c>
      <c r="F1893" t="str">
        <f>"AICE GLBL PERSP 1 AS"</f>
        <v>AICE GLBL PERSP 1 AS</v>
      </c>
      <c r="G1893" t="str">
        <f>"17-1721"</f>
        <v>17-1721</v>
      </c>
      <c r="H1893" t="str">
        <f>"A"</f>
        <v>A</v>
      </c>
    </row>
    <row r="1894" spans="1:8" x14ac:dyDescent="0.2">
      <c r="A1894" t="str">
        <f t="shared" si="703"/>
        <v>0620032151</v>
      </c>
      <c r="B1894" t="str">
        <f t="shared" si="704"/>
        <v>BRAYLON</v>
      </c>
      <c r="C1894" t="str">
        <f t="shared" si="705"/>
        <v>BRITTON</v>
      </c>
      <c r="D1894">
        <f>10</f>
        <v>10</v>
      </c>
      <c r="E1894" t="str">
        <f>"06 - B - 115 - Scott A Dethloff"</f>
        <v>06 - B - 115 - Scott A Dethloff</v>
      </c>
      <c r="F1894" t="str">
        <f>"NC STUDY HALL 1"</f>
        <v>NC STUDY HALL 1</v>
      </c>
      <c r="G1894" t="str">
        <f>"08-812"</f>
        <v>08-812</v>
      </c>
      <c r="H1894" t="str">
        <f>"B"</f>
        <v>B</v>
      </c>
    </row>
    <row r="1895" spans="1:8" x14ac:dyDescent="0.2">
      <c r="A1895" t="str">
        <f t="shared" si="703"/>
        <v>0620032151</v>
      </c>
      <c r="B1895" t="str">
        <f t="shared" si="704"/>
        <v>BRAYLON</v>
      </c>
      <c r="C1895" t="str">
        <f t="shared" si="705"/>
        <v>BRITTON</v>
      </c>
      <c r="D1895">
        <f>10</f>
        <v>10</v>
      </c>
      <c r="E1895" t="str">
        <f>"03 - A - 103 - Pamela M Corzo"</f>
        <v>03 - A - 103 - Pamela M Corzo</v>
      </c>
      <c r="F1895" t="str">
        <f>"ALGEBRA 2 HON"</f>
        <v>ALGEBRA 2 HON</v>
      </c>
      <c r="G1895" t="str">
        <f>"21-2133"</f>
        <v>21-2133</v>
      </c>
      <c r="H1895" t="str">
        <f>"A"</f>
        <v>A</v>
      </c>
    </row>
    <row r="1896" spans="1:8" x14ac:dyDescent="0.2">
      <c r="A1896" t="str">
        <f t="shared" si="703"/>
        <v>0620032151</v>
      </c>
      <c r="B1896" t="str">
        <f t="shared" si="704"/>
        <v>BRAYLON</v>
      </c>
      <c r="C1896" t="str">
        <f t="shared" si="705"/>
        <v>BRITTON</v>
      </c>
      <c r="D1896">
        <f>10</f>
        <v>10</v>
      </c>
      <c r="E1896" t="str">
        <f>"02 - A - 001 - Alejandro  Navarro"</f>
        <v>02 - A - 001 - Alejandro  Navarro</v>
      </c>
      <c r="F1896" t="str">
        <f>"BAND 1"</f>
        <v>BAND 1</v>
      </c>
      <c r="G1896" t="str">
        <f>"05-504"</f>
        <v>05-504</v>
      </c>
      <c r="H1896" t="str">
        <f>"A"</f>
        <v>A</v>
      </c>
    </row>
    <row r="1897" spans="1:8" x14ac:dyDescent="0.2">
      <c r="A1897" t="str">
        <f t="shared" si="703"/>
        <v>0620032151</v>
      </c>
      <c r="B1897" t="str">
        <f t="shared" si="704"/>
        <v>BRAYLON</v>
      </c>
      <c r="C1897" t="str">
        <f t="shared" si="705"/>
        <v>BRITTON</v>
      </c>
      <c r="D1897">
        <f>10</f>
        <v>10</v>
      </c>
      <c r="E1897" t="str">
        <f>"07 - S1 - B - 107 - Richard E Dunbar Iii"</f>
        <v>07 - S1 - B - 107 - Richard E Dunbar Iii</v>
      </c>
      <c r="F1897" t="str">
        <f>"WEIGHT TRAIN 1"</f>
        <v>WEIGHT TRAIN 1</v>
      </c>
      <c r="G1897" t="str">
        <f>"05-501"</f>
        <v>05-501</v>
      </c>
      <c r="H1897" t="str">
        <f>"B"</f>
        <v>B</v>
      </c>
    </row>
    <row r="1898" spans="1:8" x14ac:dyDescent="0.2">
      <c r="A1898" t="str">
        <f t="shared" si="703"/>
        <v>0620032151</v>
      </c>
      <c r="B1898" t="str">
        <f t="shared" si="704"/>
        <v>BRAYLON</v>
      </c>
      <c r="C1898" t="str">
        <f t="shared" si="705"/>
        <v>BRITTON</v>
      </c>
      <c r="D1898">
        <f>10</f>
        <v>10</v>
      </c>
      <c r="E1898" t="str">
        <f>"05 - B - 204 - Cheryl L Beach"</f>
        <v>05 - B - 204 - Cheryl L Beach</v>
      </c>
      <c r="F1898" t="str">
        <f>"AICE ENV MGMNT AS"</f>
        <v>AICE ENV MGMNT AS</v>
      </c>
      <c r="G1898" t="str">
        <f>"08-811"</f>
        <v>08-811</v>
      </c>
      <c r="H1898" t="str">
        <f>"B"</f>
        <v>B</v>
      </c>
    </row>
    <row r="1899" spans="1:8" x14ac:dyDescent="0.2">
      <c r="A1899" t="str">
        <f t="shared" si="703"/>
        <v>0620032151</v>
      </c>
      <c r="B1899" t="str">
        <f t="shared" si="704"/>
        <v>BRAYLON</v>
      </c>
      <c r="C1899" t="str">
        <f t="shared" si="705"/>
        <v>BRITTON</v>
      </c>
      <c r="D1899">
        <f>10</f>
        <v>10</v>
      </c>
      <c r="E1899" t="str">
        <f>"01 - A - 101 - Jacquelyn M Neeson"</f>
        <v>01 - A - 101 - Jacquelyn M Neeson</v>
      </c>
      <c r="F1899" t="str">
        <f>"AICE ENG GEN PAPER 1"</f>
        <v>AICE ENG GEN PAPER 1</v>
      </c>
      <c r="G1899" t="str">
        <f>"17-1715"</f>
        <v>17-1715</v>
      </c>
      <c r="H1899" t="str">
        <f>"A"</f>
        <v>A</v>
      </c>
    </row>
    <row r="1900" spans="1:8" x14ac:dyDescent="0.2">
      <c r="A1900" t="str">
        <f t="shared" si="703"/>
        <v>0620032151</v>
      </c>
      <c r="B1900" t="str">
        <f t="shared" si="704"/>
        <v>BRAYLON</v>
      </c>
      <c r="C1900" t="str">
        <f t="shared" si="705"/>
        <v>BRITTON</v>
      </c>
      <c r="D1900">
        <f>10</f>
        <v>10</v>
      </c>
      <c r="E1900" t="str">
        <f>"08 - S1 - B - 001 - Carol S Moore"</f>
        <v>08 - S1 - B - 001 - Carol S Moore</v>
      </c>
      <c r="F1900" t="str">
        <f>"PER CAR SCH DEV 1 LH"</f>
        <v>PER CAR SCH DEV 1 LH</v>
      </c>
      <c r="G1900" t="str">
        <f>"17-1733"</f>
        <v>17-1733</v>
      </c>
      <c r="H1900" t="str">
        <f>"B"</f>
        <v>B</v>
      </c>
    </row>
    <row r="1901" spans="1:8" x14ac:dyDescent="0.2">
      <c r="A1901" t="str">
        <f t="shared" ref="A1901:A1908" si="706">"0625025485"</f>
        <v>0625025485</v>
      </c>
      <c r="B1901" t="str">
        <f t="shared" ref="B1901:B1908" si="707">"Fredrick"</f>
        <v>Fredrick</v>
      </c>
      <c r="C1901" t="str">
        <f t="shared" ref="C1901:C1908" si="708">"Brockington"</f>
        <v>Brockington</v>
      </c>
      <c r="D1901">
        <f>10</f>
        <v>10</v>
      </c>
      <c r="E1901" t="str">
        <f>"04 - A - 205 - Lytrell T Dixon"</f>
        <v>04 - A - 205 - Lytrell T Dixon</v>
      </c>
      <c r="F1901" t="str">
        <f>"BIOLOGY 1"</f>
        <v>BIOLOGY 1</v>
      </c>
      <c r="G1901" t="str">
        <f>"08-808"</f>
        <v>08-808</v>
      </c>
      <c r="H1901" t="str">
        <f>"A"</f>
        <v>A</v>
      </c>
    </row>
    <row r="1902" spans="1:8" x14ac:dyDescent="0.2">
      <c r="A1902" t="str">
        <f t="shared" si="706"/>
        <v>0625025485</v>
      </c>
      <c r="B1902" t="str">
        <f t="shared" si="707"/>
        <v>Fredrick</v>
      </c>
      <c r="C1902" t="str">
        <f t="shared" si="708"/>
        <v>Brockington</v>
      </c>
      <c r="D1902">
        <f>10</f>
        <v>10</v>
      </c>
      <c r="E1902" t="str">
        <f>"06 - B - 001 - Ferrie J Arostique"</f>
        <v>06 - B - 001 - Ferrie J Arostique</v>
      </c>
      <c r="F1902" t="str">
        <f>"NC STUDY HALL 1"</f>
        <v>NC STUDY HALL 1</v>
      </c>
      <c r="G1902" t="str">
        <f>"21-2139"</f>
        <v>21-2139</v>
      </c>
      <c r="H1902" t="str">
        <f>"B"</f>
        <v>B</v>
      </c>
    </row>
    <row r="1903" spans="1:8" x14ac:dyDescent="0.2">
      <c r="A1903" t="str">
        <f t="shared" si="706"/>
        <v>0625025485</v>
      </c>
      <c r="B1903" t="str">
        <f t="shared" si="707"/>
        <v>Fredrick</v>
      </c>
      <c r="C1903" t="str">
        <f t="shared" si="708"/>
        <v>Brockington</v>
      </c>
      <c r="D1903">
        <f>10</f>
        <v>10</v>
      </c>
      <c r="E1903" t="str">
        <f>"03 - A - 002 - Ferrie J Arostique"</f>
        <v>03 - A - 002 - Ferrie J Arostique</v>
      </c>
      <c r="F1903" t="str">
        <f>"GEOMETRY"</f>
        <v>GEOMETRY</v>
      </c>
      <c r="G1903" t="str">
        <f>"21-2139"</f>
        <v>21-2139</v>
      </c>
      <c r="H1903" t="str">
        <f>"A"</f>
        <v>A</v>
      </c>
    </row>
    <row r="1904" spans="1:8" x14ac:dyDescent="0.2">
      <c r="A1904" t="str">
        <f t="shared" si="706"/>
        <v>0625025485</v>
      </c>
      <c r="B1904" t="str">
        <f t="shared" si="707"/>
        <v>Fredrick</v>
      </c>
      <c r="C1904" t="str">
        <f t="shared" si="708"/>
        <v>Brockington</v>
      </c>
      <c r="D1904">
        <f>10</f>
        <v>10</v>
      </c>
      <c r="E1904" t="str">
        <f>"02 - A - 102 - Taraneh C Abreu"</f>
        <v>02 - A - 102 - Taraneh C Abreu</v>
      </c>
      <c r="F1904" t="str">
        <f>"INTENS READ 2"</f>
        <v>INTENS READ 2</v>
      </c>
      <c r="G1904" t="str">
        <f>"17-1713"</f>
        <v>17-1713</v>
      </c>
      <c r="H1904" t="str">
        <f>"A"</f>
        <v>A</v>
      </c>
    </row>
    <row r="1905" spans="1:8" x14ac:dyDescent="0.2">
      <c r="A1905" t="str">
        <f t="shared" si="706"/>
        <v>0625025485</v>
      </c>
      <c r="B1905" t="str">
        <f t="shared" si="707"/>
        <v>Fredrick</v>
      </c>
      <c r="C1905" t="str">
        <f t="shared" si="708"/>
        <v>Brockington</v>
      </c>
      <c r="D1905">
        <f>10</f>
        <v>10</v>
      </c>
      <c r="E1905" t="str">
        <f>"07 - S1 - B - 103 - Leslie J Barton"</f>
        <v>07 - S1 - B - 103 - Leslie J Barton</v>
      </c>
      <c r="F1905" t="str">
        <f>"TEAM SPORTS 1"</f>
        <v>TEAM SPORTS 1</v>
      </c>
      <c r="G1905" t="str">
        <f>"04-254"</f>
        <v>04-254</v>
      </c>
      <c r="H1905" t="str">
        <f>"B"</f>
        <v>B</v>
      </c>
    </row>
    <row r="1906" spans="1:8" x14ac:dyDescent="0.2">
      <c r="A1906" t="str">
        <f t="shared" si="706"/>
        <v>0625025485</v>
      </c>
      <c r="B1906" t="str">
        <f t="shared" si="707"/>
        <v>Fredrick</v>
      </c>
      <c r="C1906" t="str">
        <f t="shared" si="708"/>
        <v>Brockington</v>
      </c>
      <c r="D1906">
        <f>10</f>
        <v>10</v>
      </c>
      <c r="E1906" t="str">
        <f>"05 - B - 205 - Lenecy  Nodarse"</f>
        <v>05 - B - 205 - Lenecy  Nodarse</v>
      </c>
      <c r="F1906" t="str">
        <f>"WORLD HISTORY"</f>
        <v>WORLD HISTORY</v>
      </c>
      <c r="G1906" t="str">
        <f>"17-1741"</f>
        <v>17-1741</v>
      </c>
      <c r="H1906" t="str">
        <f>"B"</f>
        <v>B</v>
      </c>
    </row>
    <row r="1907" spans="1:8" x14ac:dyDescent="0.2">
      <c r="A1907" t="str">
        <f t="shared" si="706"/>
        <v>0625025485</v>
      </c>
      <c r="B1907" t="str">
        <f t="shared" si="707"/>
        <v>Fredrick</v>
      </c>
      <c r="C1907" t="str">
        <f t="shared" si="708"/>
        <v>Brockington</v>
      </c>
      <c r="D1907">
        <f>10</f>
        <v>10</v>
      </c>
      <c r="E1907" t="str">
        <f>"01 - S1 - A - 101 - Leslie J Barton"</f>
        <v>01 - S1 - A - 101 - Leslie J Barton</v>
      </c>
      <c r="F1907" t="str">
        <f>"FIRST AID SAFETY"</f>
        <v>FIRST AID SAFETY</v>
      </c>
      <c r="G1907" t="str">
        <f>"05-521"</f>
        <v>05-521</v>
      </c>
      <c r="H1907" t="str">
        <f>"A"</f>
        <v>A</v>
      </c>
    </row>
    <row r="1908" spans="1:8" x14ac:dyDescent="0.2">
      <c r="A1908" t="str">
        <f t="shared" si="706"/>
        <v>0625025485</v>
      </c>
      <c r="B1908" t="str">
        <f t="shared" si="707"/>
        <v>Fredrick</v>
      </c>
      <c r="C1908" t="str">
        <f t="shared" si="708"/>
        <v>Brockington</v>
      </c>
      <c r="D1908">
        <f>10</f>
        <v>10</v>
      </c>
      <c r="E1908" t="str">
        <f>"08 - B - 109 - Nikiel  Nesbeth"</f>
        <v>08 - B - 109 - Nikiel  Nesbeth</v>
      </c>
      <c r="F1908" t="str">
        <f>"ENG 2"</f>
        <v>ENG 2</v>
      </c>
      <c r="G1908" t="str">
        <f>"17-1705"</f>
        <v>17-1705</v>
      </c>
      <c r="H1908" t="str">
        <f>"B"</f>
        <v>B</v>
      </c>
    </row>
    <row r="1909" spans="1:8" x14ac:dyDescent="0.2">
      <c r="A1909" t="str">
        <f t="shared" ref="A1909:A1916" si="709">"0615115656"</f>
        <v>0615115656</v>
      </c>
      <c r="B1909" t="str">
        <f t="shared" ref="B1909:B1916" si="710">"CHARLOTTE"</f>
        <v>CHARLOTTE</v>
      </c>
      <c r="C1909" t="str">
        <f t="shared" ref="C1909:C1916" si="711">"BRONFELD"</f>
        <v>BRONFELD</v>
      </c>
      <c r="D1909">
        <f>10</f>
        <v>10</v>
      </c>
      <c r="E1909" t="str">
        <f>"04 - A - 104 - Courtney E Hambright"</f>
        <v>04 - A - 104 - Courtney E Hambright</v>
      </c>
      <c r="F1909" t="str">
        <f>"AICE ENG LANG AS"</f>
        <v>AICE ENG LANG AS</v>
      </c>
      <c r="G1909" t="str">
        <f>"17-1711"</f>
        <v>17-1711</v>
      </c>
      <c r="H1909" t="str">
        <f>"A"</f>
        <v>A</v>
      </c>
    </row>
    <row r="1910" spans="1:8" x14ac:dyDescent="0.2">
      <c r="A1910" t="str">
        <f t="shared" si="709"/>
        <v>0615115656</v>
      </c>
      <c r="B1910" t="str">
        <f t="shared" si="710"/>
        <v>CHARLOTTE</v>
      </c>
      <c r="C1910" t="str">
        <f t="shared" si="711"/>
        <v>BRONFELD</v>
      </c>
      <c r="D1910">
        <f>10</f>
        <v>10</v>
      </c>
      <c r="E1910" t="str">
        <f>"06 - B - 114 - Richard E Dunbar Iii"</f>
        <v>06 - B - 114 - Richard E Dunbar Iii</v>
      </c>
      <c r="F1910" t="str">
        <f>"NC STUDY HALL 1"</f>
        <v>NC STUDY HALL 1</v>
      </c>
      <c r="G1910" t="str">
        <f>"17-1703"</f>
        <v>17-1703</v>
      </c>
      <c r="H1910" t="str">
        <f>"B"</f>
        <v>B</v>
      </c>
    </row>
    <row r="1911" spans="1:8" x14ac:dyDescent="0.2">
      <c r="A1911" t="str">
        <f t="shared" si="709"/>
        <v>0615115656</v>
      </c>
      <c r="B1911" t="str">
        <f t="shared" si="710"/>
        <v>CHARLOTTE</v>
      </c>
      <c r="C1911" t="str">
        <f t="shared" si="711"/>
        <v>BRONFELD</v>
      </c>
      <c r="D1911">
        <f>10</f>
        <v>10</v>
      </c>
      <c r="E1911" t="str">
        <f>"03 - A - 002 - Lenecy  Nodarse"</f>
        <v>03 - A - 002 - Lenecy  Nodarse</v>
      </c>
      <c r="F1911" t="str">
        <f>"AICE EURO HIST 1 AS"</f>
        <v>AICE EURO HIST 1 AS</v>
      </c>
      <c r="G1911" t="str">
        <f>"17-1741"</f>
        <v>17-1741</v>
      </c>
      <c r="H1911" t="str">
        <f>"A"</f>
        <v>A</v>
      </c>
    </row>
    <row r="1912" spans="1:8" x14ac:dyDescent="0.2">
      <c r="A1912" t="str">
        <f t="shared" si="709"/>
        <v>0615115656</v>
      </c>
      <c r="B1912" t="str">
        <f t="shared" si="710"/>
        <v>CHARLOTTE</v>
      </c>
      <c r="C1912" t="str">
        <f t="shared" si="711"/>
        <v>BRONFELD</v>
      </c>
      <c r="D1912">
        <f>10</f>
        <v>10</v>
      </c>
      <c r="E1912" t="str">
        <f>"02 - A - 104 - Joe  Kilpatrick Jr"</f>
        <v>02 - A - 104 - Joe  Kilpatrick Jr</v>
      </c>
      <c r="F1912" t="str">
        <f>"PRE-AICE SPAN 2 IG"</f>
        <v>PRE-AICE SPAN 2 IG</v>
      </c>
      <c r="G1912" t="str">
        <f>"09-912"</f>
        <v>09-912</v>
      </c>
      <c r="H1912" t="str">
        <f>"A"</f>
        <v>A</v>
      </c>
    </row>
    <row r="1913" spans="1:8" x14ac:dyDescent="0.2">
      <c r="A1913" t="str">
        <f t="shared" si="709"/>
        <v>0615115656</v>
      </c>
      <c r="B1913" t="str">
        <f t="shared" si="710"/>
        <v>CHARLOTTE</v>
      </c>
      <c r="C1913" t="str">
        <f t="shared" si="711"/>
        <v>BRONFELD</v>
      </c>
      <c r="D1913">
        <f>10</f>
        <v>10</v>
      </c>
      <c r="E1913" t="str">
        <f>"07 - B - 002 - Jordana K Hass"</f>
        <v>07 - B - 002 - Jordana K Hass</v>
      </c>
      <c r="F1913" t="str">
        <f>"CHEMISTRY 1 HON"</f>
        <v>CHEMISTRY 1 HON</v>
      </c>
      <c r="G1913" t="str">
        <f>"08-807"</f>
        <v>08-807</v>
      </c>
      <c r="H1913" t="str">
        <f>"B"</f>
        <v>B</v>
      </c>
    </row>
    <row r="1914" spans="1:8" x14ac:dyDescent="0.2">
      <c r="A1914" t="str">
        <f t="shared" si="709"/>
        <v>0615115656</v>
      </c>
      <c r="B1914" t="str">
        <f t="shared" si="710"/>
        <v>CHARLOTTE</v>
      </c>
      <c r="C1914" t="str">
        <f t="shared" si="711"/>
        <v>BRONFELD</v>
      </c>
      <c r="D1914">
        <f>10</f>
        <v>10</v>
      </c>
      <c r="E1914" t="str">
        <f>"05 - B - 203 - Chrystina M Marchionne"</f>
        <v>05 - B - 203 - Chrystina M Marchionne</v>
      </c>
      <c r="F1914" t="str">
        <f>"AICE MEDIASTUDIES AS"</f>
        <v>AICE MEDIASTUDIES AS</v>
      </c>
      <c r="G1914" t="str">
        <f>"05-520"</f>
        <v>05-520</v>
      </c>
      <c r="H1914" t="str">
        <f>"B"</f>
        <v>B</v>
      </c>
    </row>
    <row r="1915" spans="1:8" x14ac:dyDescent="0.2">
      <c r="A1915" t="str">
        <f t="shared" si="709"/>
        <v>0615115656</v>
      </c>
      <c r="B1915" t="str">
        <f t="shared" si="710"/>
        <v>CHARLOTTE</v>
      </c>
      <c r="C1915" t="str">
        <f t="shared" si="711"/>
        <v>BRONFELD</v>
      </c>
      <c r="D1915">
        <f>10</f>
        <v>10</v>
      </c>
      <c r="E1915" t="str">
        <f>"01 - A - 101 - Lourivaldo  Da Silva"</f>
        <v>01 - A - 101 - Lourivaldo  Da Silva</v>
      </c>
      <c r="F1915" t="str">
        <f>"ALGEBRA 2 HON"</f>
        <v>ALGEBRA 2 HON</v>
      </c>
      <c r="G1915" t="str">
        <f>"20-2079"</f>
        <v>20-2079</v>
      </c>
      <c r="H1915" t="str">
        <f>"A"</f>
        <v>A</v>
      </c>
    </row>
    <row r="1916" spans="1:8" x14ac:dyDescent="0.2">
      <c r="A1916" t="str">
        <f t="shared" si="709"/>
        <v>0615115656</v>
      </c>
      <c r="B1916" t="str">
        <f t="shared" si="710"/>
        <v>CHARLOTTE</v>
      </c>
      <c r="C1916" t="str">
        <f t="shared" si="711"/>
        <v>BRONFELD</v>
      </c>
      <c r="D1916">
        <f>10</f>
        <v>10</v>
      </c>
      <c r="E1916" t="str">
        <f>"08 - B - 202 - Krystal Marie  Beruty"</f>
        <v>08 - B - 202 - Krystal Marie  Beruty</v>
      </c>
      <c r="F1916" t="str">
        <f>"AICE PSYCH 1 AS"</f>
        <v>AICE PSYCH 1 AS</v>
      </c>
      <c r="G1916" t="str">
        <f>"17-1721"</f>
        <v>17-1721</v>
      </c>
      <c r="H1916" t="str">
        <f>"B"</f>
        <v>B</v>
      </c>
    </row>
    <row r="1917" spans="1:8" x14ac:dyDescent="0.2">
      <c r="A1917" t="str">
        <f t="shared" ref="A1917:A1924" si="712">"0617035097"</f>
        <v>0617035097</v>
      </c>
      <c r="B1917" t="str">
        <f t="shared" ref="B1917:B1924" si="713">"COBY"</f>
        <v>COBY</v>
      </c>
      <c r="C1917" t="str">
        <f t="shared" ref="C1917:C1948" si="714">"BROOKS"</f>
        <v>BROOKS</v>
      </c>
      <c r="D1917">
        <f>12</f>
        <v>12</v>
      </c>
      <c r="E1917" t="str">
        <f>"04 - A - 205 - Robyn L Trainer"</f>
        <v>04 - A - 205 - Robyn L Trainer</v>
      </c>
      <c r="F1917" t="str">
        <f>"ENG 4: FL COLL PREP"</f>
        <v>ENG 4: FL COLL PREP</v>
      </c>
      <c r="G1917" t="str">
        <f>"17-1734"</f>
        <v>17-1734</v>
      </c>
      <c r="H1917" t="str">
        <f>"A"</f>
        <v>A</v>
      </c>
    </row>
    <row r="1918" spans="1:8" x14ac:dyDescent="0.2">
      <c r="A1918" t="str">
        <f t="shared" si="712"/>
        <v>0617035097</v>
      </c>
      <c r="B1918" t="str">
        <f t="shared" si="713"/>
        <v>COBY</v>
      </c>
      <c r="C1918" t="str">
        <f t="shared" si="714"/>
        <v>BROOKS</v>
      </c>
      <c r="D1918">
        <f>12</f>
        <v>12</v>
      </c>
      <c r="E1918" t="str">
        <f>"06 - B - 101 - Cliffon  Saurel"</f>
        <v>06 - B - 101 - Cliffon  Saurel</v>
      </c>
      <c r="F1918" t="str">
        <f>"NC STUDY HALL 1"</f>
        <v>NC STUDY HALL 1</v>
      </c>
      <c r="G1918" t="str">
        <f>"05-522"</f>
        <v>05-522</v>
      </c>
      <c r="H1918" t="str">
        <f>"B"</f>
        <v>B</v>
      </c>
    </row>
    <row r="1919" spans="1:8" x14ac:dyDescent="0.2">
      <c r="A1919" t="str">
        <f t="shared" si="712"/>
        <v>0617035097</v>
      </c>
      <c r="B1919" t="str">
        <f t="shared" si="713"/>
        <v>COBY</v>
      </c>
      <c r="C1919" t="str">
        <f t="shared" si="714"/>
        <v>BROOKS</v>
      </c>
      <c r="D1919">
        <f>12</f>
        <v>12</v>
      </c>
      <c r="E1919" t="str">
        <f>"03 - A - 101 - Tina L Lovett"</f>
        <v>03 - A - 101 - Tina L Lovett</v>
      </c>
      <c r="F1919" t="str">
        <f>"MATH DATA &amp; FIN LIT"</f>
        <v>MATH DATA &amp; FIN LIT</v>
      </c>
      <c r="G1919" t="str">
        <f>"21-2153"</f>
        <v>21-2153</v>
      </c>
      <c r="H1919" t="str">
        <f>"A"</f>
        <v>A</v>
      </c>
    </row>
    <row r="1920" spans="1:8" x14ac:dyDescent="0.2">
      <c r="A1920" t="str">
        <f t="shared" si="712"/>
        <v>0617035097</v>
      </c>
      <c r="B1920" t="str">
        <f t="shared" si="713"/>
        <v>COBY</v>
      </c>
      <c r="C1920" t="str">
        <f t="shared" si="714"/>
        <v>BROOKS</v>
      </c>
      <c r="D1920">
        <f>12</f>
        <v>12</v>
      </c>
      <c r="E1920" t="str">
        <f>"02 - A - 101 - Nahum  Saint-Preux"</f>
        <v>02 - A - 101 - Nahum  Saint-Preux</v>
      </c>
      <c r="F1920" t="str">
        <f>"INTENS READ 4"</f>
        <v>INTENS READ 4</v>
      </c>
      <c r="G1920" t="str">
        <f>"17-1712"</f>
        <v>17-1712</v>
      </c>
      <c r="H1920" t="str">
        <f>"A"</f>
        <v>A</v>
      </c>
    </row>
    <row r="1921" spans="1:8" x14ac:dyDescent="0.2">
      <c r="A1921" t="str">
        <f t="shared" si="712"/>
        <v>0617035097</v>
      </c>
      <c r="B1921" t="str">
        <f t="shared" si="713"/>
        <v>COBY</v>
      </c>
      <c r="C1921" t="str">
        <f t="shared" si="714"/>
        <v>BROOKS</v>
      </c>
      <c r="D1921">
        <f>12</f>
        <v>12</v>
      </c>
      <c r="E1921" t="str">
        <f>"07 - B - 002 - Rachel M Montrose"</f>
        <v>07 - B - 002 - Rachel M Montrose</v>
      </c>
      <c r="F1921" t="str">
        <f>"JOURN 1 (NP) LH"</f>
        <v>JOURN 1 (NP) LH</v>
      </c>
      <c r="G1921" t="str">
        <f>"05-521"</f>
        <v>05-521</v>
      </c>
      <c r="H1921" t="str">
        <f>"B"</f>
        <v>B</v>
      </c>
    </row>
    <row r="1922" spans="1:8" x14ac:dyDescent="0.2">
      <c r="A1922" t="str">
        <f t="shared" si="712"/>
        <v>0617035097</v>
      </c>
      <c r="B1922" t="str">
        <f t="shared" si="713"/>
        <v>COBY</v>
      </c>
      <c r="C1922" t="str">
        <f t="shared" si="714"/>
        <v>BROOKS</v>
      </c>
      <c r="D1922">
        <f>12</f>
        <v>12</v>
      </c>
      <c r="E1922" t="str">
        <f>"05 - B - 204 - Cliffon  Saurel"</f>
        <v>05 - B - 204 - Cliffon  Saurel</v>
      </c>
      <c r="F1922" t="str">
        <f>"PHYSICAL SCI"</f>
        <v>PHYSICAL SCI</v>
      </c>
      <c r="G1922" t="str">
        <f>"05-522"</f>
        <v>05-522</v>
      </c>
      <c r="H1922" t="str">
        <f>"B"</f>
        <v>B</v>
      </c>
    </row>
    <row r="1923" spans="1:8" x14ac:dyDescent="0.2">
      <c r="A1923" t="str">
        <f t="shared" si="712"/>
        <v>0617035097</v>
      </c>
      <c r="B1923" t="str">
        <f t="shared" si="713"/>
        <v>COBY</v>
      </c>
      <c r="C1923" t="str">
        <f t="shared" si="714"/>
        <v>BROOKS</v>
      </c>
      <c r="D1923">
        <f>12</f>
        <v>12</v>
      </c>
      <c r="E1923" t="str">
        <f>"01 - S1 - A - 101 - Robert O Burger"</f>
        <v>01 - S1 - A - 101 - Robert O Burger</v>
      </c>
      <c r="F1923" t="str">
        <f>"US GOVT"</f>
        <v>US GOVT</v>
      </c>
      <c r="G1923" t="str">
        <f>"17-1755"</f>
        <v>17-1755</v>
      </c>
      <c r="H1923" t="str">
        <f>"A"</f>
        <v>A</v>
      </c>
    </row>
    <row r="1924" spans="1:8" x14ac:dyDescent="0.2">
      <c r="A1924" t="str">
        <f t="shared" si="712"/>
        <v>0617035097</v>
      </c>
      <c r="B1924" t="str">
        <f t="shared" si="713"/>
        <v>COBY</v>
      </c>
      <c r="C1924" t="str">
        <f t="shared" si="714"/>
        <v>BROOKS</v>
      </c>
      <c r="D1924">
        <f>12</f>
        <v>12</v>
      </c>
      <c r="E1924" t="str">
        <f>"08 - S1 - B - 104 - Angela S Adeshina-Morrison"</f>
        <v>08 - S1 - B - 104 - Angela S Adeshina-Morrison</v>
      </c>
      <c r="F1924" t="str">
        <f>"PEER COUN 1"</f>
        <v>PEER COUN 1</v>
      </c>
      <c r="G1924" t="str">
        <f>"05-518"</f>
        <v>05-518</v>
      </c>
      <c r="H1924" t="str">
        <f>"B"</f>
        <v>B</v>
      </c>
    </row>
    <row r="1925" spans="1:8" x14ac:dyDescent="0.2">
      <c r="A1925" t="str">
        <f t="shared" ref="A1925:A1932" si="715">"0614004665"</f>
        <v>0614004665</v>
      </c>
      <c r="B1925" t="str">
        <f t="shared" ref="B1925:B1932" si="716">"DEMARCUS"</f>
        <v>DEMARCUS</v>
      </c>
      <c r="C1925" t="str">
        <f t="shared" si="714"/>
        <v>BROOKS</v>
      </c>
      <c r="D1925" t="str">
        <f t="shared" ref="D1925:D1956" si="717">"09"</f>
        <v>09</v>
      </c>
      <c r="E1925" t="str">
        <f>"04 - A - 107 - Amy Beth  Broyles"</f>
        <v>04 - A - 107 - Amy Beth  Broyles</v>
      </c>
      <c r="F1925" t="str">
        <f>"ENV SCI"</f>
        <v>ENV SCI</v>
      </c>
      <c r="G1925" t="str">
        <f>"08-802"</f>
        <v>08-802</v>
      </c>
      <c r="H1925" t="str">
        <f>"A"</f>
        <v>A</v>
      </c>
    </row>
    <row r="1926" spans="1:8" x14ac:dyDescent="0.2">
      <c r="A1926" t="str">
        <f t="shared" si="715"/>
        <v>0614004665</v>
      </c>
      <c r="B1926" t="str">
        <f t="shared" si="716"/>
        <v>DEMARCUS</v>
      </c>
      <c r="C1926" t="str">
        <f t="shared" si="714"/>
        <v>BROOKS</v>
      </c>
      <c r="D1926" t="str">
        <f t="shared" si="717"/>
        <v>09</v>
      </c>
      <c r="E1926" t="str">
        <f>"06 - B - 106 - Adam Marcus  Drucker"</f>
        <v>06 - B - 106 - Adam Marcus  Drucker</v>
      </c>
      <c r="F1926" t="str">
        <f>"HOPE-PE V"</f>
        <v>HOPE-PE V</v>
      </c>
      <c r="G1926" t="str">
        <f>"04-254"</f>
        <v>04-254</v>
      </c>
      <c r="H1926" t="str">
        <f>"B"</f>
        <v>B</v>
      </c>
    </row>
    <row r="1927" spans="1:8" x14ac:dyDescent="0.2">
      <c r="A1927" t="str">
        <f t="shared" si="715"/>
        <v>0614004665</v>
      </c>
      <c r="B1927" t="str">
        <f t="shared" si="716"/>
        <v>DEMARCUS</v>
      </c>
      <c r="C1927" t="str">
        <f t="shared" si="714"/>
        <v>BROOKS</v>
      </c>
      <c r="D1927" t="str">
        <f t="shared" si="717"/>
        <v>09</v>
      </c>
      <c r="E1927" t="str">
        <f>"03 - A - 109 - Lissa C Frederique"</f>
        <v>03 - A - 109 - Lissa C Frederique</v>
      </c>
      <c r="F1927" t="str">
        <f>"WORLD HISTORY"</f>
        <v>WORLD HISTORY</v>
      </c>
      <c r="G1927" t="str">
        <f>"17-1754"</f>
        <v>17-1754</v>
      </c>
      <c r="H1927" t="str">
        <f>"A"</f>
        <v>A</v>
      </c>
    </row>
    <row r="1928" spans="1:8" x14ac:dyDescent="0.2">
      <c r="A1928" t="str">
        <f t="shared" si="715"/>
        <v>0614004665</v>
      </c>
      <c r="B1928" t="str">
        <f t="shared" si="716"/>
        <v>DEMARCUS</v>
      </c>
      <c r="C1928" t="str">
        <f t="shared" si="714"/>
        <v>BROOKS</v>
      </c>
      <c r="D1928" t="str">
        <f t="shared" si="717"/>
        <v>09</v>
      </c>
      <c r="E1928" t="str">
        <f>"02 - A - 104 - Jazmin S Fletcher"</f>
        <v>02 - A - 104 - Jazmin S Fletcher</v>
      </c>
      <c r="F1928" t="str">
        <f>"NC STUDY HALL 1"</f>
        <v>NC STUDY HALL 1</v>
      </c>
      <c r="G1928" t="str">
        <f>"09-909"</f>
        <v>09-909</v>
      </c>
      <c r="H1928" t="str">
        <f>"A"</f>
        <v>A</v>
      </c>
    </row>
    <row r="1929" spans="1:8" x14ac:dyDescent="0.2">
      <c r="A1929" t="str">
        <f t="shared" si="715"/>
        <v>0614004665</v>
      </c>
      <c r="B1929" t="str">
        <f t="shared" si="716"/>
        <v>DEMARCUS</v>
      </c>
      <c r="C1929" t="str">
        <f t="shared" si="714"/>
        <v>BROOKS</v>
      </c>
      <c r="D1929" t="str">
        <f t="shared" si="717"/>
        <v>09</v>
      </c>
      <c r="E1929" t="str">
        <f>"07 - B - 107 - Helen A Flores"</f>
        <v>07 - B - 107 - Helen A Flores</v>
      </c>
      <c r="F1929" t="str">
        <f>"ALGEBRA 1"</f>
        <v>ALGEBRA 1</v>
      </c>
      <c r="G1929" t="str">
        <f>"21-2101"</f>
        <v>21-2101</v>
      </c>
      <c r="H1929" t="str">
        <f>"B"</f>
        <v>B</v>
      </c>
    </row>
    <row r="1930" spans="1:8" x14ac:dyDescent="0.2">
      <c r="A1930" t="str">
        <f t="shared" si="715"/>
        <v>0614004665</v>
      </c>
      <c r="B1930" t="str">
        <f t="shared" si="716"/>
        <v>DEMARCUS</v>
      </c>
      <c r="C1930" t="str">
        <f t="shared" si="714"/>
        <v>BROOKS</v>
      </c>
      <c r="D1930" t="str">
        <f t="shared" si="717"/>
        <v>09</v>
      </c>
      <c r="E1930" t="str">
        <f>"05 - B - 104 - Cerine S Stewart"</f>
        <v>05 - B - 104 - Cerine S Stewart</v>
      </c>
      <c r="F1930" t="str">
        <f>"ENG 1"</f>
        <v>ENG 1</v>
      </c>
      <c r="G1930" t="str">
        <f>"17-1720"</f>
        <v>17-1720</v>
      </c>
      <c r="H1930" t="str">
        <f>"B"</f>
        <v>B</v>
      </c>
    </row>
    <row r="1931" spans="1:8" x14ac:dyDescent="0.2">
      <c r="A1931" t="str">
        <f t="shared" si="715"/>
        <v>0614004665</v>
      </c>
      <c r="B1931" t="str">
        <f t="shared" si="716"/>
        <v>DEMARCUS</v>
      </c>
      <c r="C1931" t="str">
        <f t="shared" si="714"/>
        <v>BROOKS</v>
      </c>
      <c r="D1931" t="str">
        <f t="shared" si="717"/>
        <v>09</v>
      </c>
      <c r="E1931" t="str">
        <f>"01 - A - 102 - Helen A Flores"</f>
        <v>01 - A - 102 - Helen A Flores</v>
      </c>
      <c r="F1931" t="str">
        <f>"FDN SKLS MATH 9-12"</f>
        <v>FDN SKLS MATH 9-12</v>
      </c>
      <c r="G1931" t="str">
        <f>"21-2101"</f>
        <v>21-2101</v>
      </c>
      <c r="H1931" t="str">
        <f>"A"</f>
        <v>A</v>
      </c>
    </row>
    <row r="1932" spans="1:8" x14ac:dyDescent="0.2">
      <c r="A1932" t="str">
        <f t="shared" si="715"/>
        <v>0614004665</v>
      </c>
      <c r="B1932" t="str">
        <f t="shared" si="716"/>
        <v>DEMARCUS</v>
      </c>
      <c r="C1932" t="str">
        <f t="shared" si="714"/>
        <v>BROOKS</v>
      </c>
      <c r="D1932" t="str">
        <f t="shared" si="717"/>
        <v>09</v>
      </c>
      <c r="E1932" t="str">
        <f>"08 - B - 106 - Laselleda D Shaw"</f>
        <v>08 - B - 106 - Laselleda D Shaw</v>
      </c>
      <c r="F1932" t="str">
        <f>"INTENS READ 1"</f>
        <v>INTENS READ 1</v>
      </c>
      <c r="G1932" t="str">
        <f>"17-1723"</f>
        <v>17-1723</v>
      </c>
      <c r="H1932" t="str">
        <f>"B"</f>
        <v>B</v>
      </c>
    </row>
    <row r="1933" spans="1:8" x14ac:dyDescent="0.2">
      <c r="A1933" t="str">
        <f t="shared" ref="A1933:A1940" si="718">"0617073015"</f>
        <v>0617073015</v>
      </c>
      <c r="B1933" t="str">
        <f t="shared" ref="B1933:B1940" si="719">"TEAIRA"</f>
        <v>TEAIRA</v>
      </c>
      <c r="C1933" t="str">
        <f t="shared" si="714"/>
        <v>BROOKS</v>
      </c>
      <c r="D1933" t="str">
        <f t="shared" si="717"/>
        <v>09</v>
      </c>
      <c r="E1933" t="str">
        <f>"04 - A - 107 - Amy Beth  Broyles"</f>
        <v>04 - A - 107 - Amy Beth  Broyles</v>
      </c>
      <c r="F1933" t="str">
        <f>"ENV SCI"</f>
        <v>ENV SCI</v>
      </c>
      <c r="G1933" t="str">
        <f>"08-802"</f>
        <v>08-802</v>
      </c>
      <c r="H1933" t="str">
        <f>"A"</f>
        <v>A</v>
      </c>
    </row>
    <row r="1934" spans="1:8" x14ac:dyDescent="0.2">
      <c r="A1934" t="str">
        <f t="shared" si="718"/>
        <v>0617073015</v>
      </c>
      <c r="B1934" t="str">
        <f t="shared" si="719"/>
        <v>TEAIRA</v>
      </c>
      <c r="C1934" t="str">
        <f t="shared" si="714"/>
        <v>BROOKS</v>
      </c>
      <c r="D1934" t="str">
        <f t="shared" si="717"/>
        <v>09</v>
      </c>
      <c r="E1934" t="str">
        <f>"06 - B - 202 - Alejandro  Navarro"</f>
        <v>06 - B - 202 - Alejandro  Navarro</v>
      </c>
      <c r="F1934" t="str">
        <f>"BAND 1"</f>
        <v>BAND 1</v>
      </c>
      <c r="G1934" t="str">
        <f>"05-504"</f>
        <v>05-504</v>
      </c>
      <c r="H1934" t="str">
        <f>"B"</f>
        <v>B</v>
      </c>
    </row>
    <row r="1935" spans="1:8" x14ac:dyDescent="0.2">
      <c r="A1935" t="str">
        <f t="shared" si="718"/>
        <v>0617073015</v>
      </c>
      <c r="B1935" t="str">
        <f t="shared" si="719"/>
        <v>TEAIRA</v>
      </c>
      <c r="C1935" t="str">
        <f t="shared" si="714"/>
        <v>BROOKS</v>
      </c>
      <c r="D1935" t="str">
        <f t="shared" si="717"/>
        <v>09</v>
      </c>
      <c r="E1935" t="str">
        <f>"03 - A - 101 - Milca  Exantus"</f>
        <v>03 - A - 101 - Milca  Exantus</v>
      </c>
      <c r="F1935" t="str">
        <f>"ALGEBRA 1-A"</f>
        <v>ALGEBRA 1-A</v>
      </c>
      <c r="G1935" t="str">
        <f>"21-2145"</f>
        <v>21-2145</v>
      </c>
      <c r="H1935" t="str">
        <f>"A"</f>
        <v>A</v>
      </c>
    </row>
    <row r="1936" spans="1:8" x14ac:dyDescent="0.2">
      <c r="A1936" t="str">
        <f t="shared" si="718"/>
        <v>0617073015</v>
      </c>
      <c r="B1936" t="str">
        <f t="shared" si="719"/>
        <v>TEAIRA</v>
      </c>
      <c r="C1936" t="str">
        <f t="shared" si="714"/>
        <v>BROOKS</v>
      </c>
      <c r="D1936" t="str">
        <f t="shared" si="717"/>
        <v>09</v>
      </c>
      <c r="E1936" t="str">
        <f>"02 - A - 106 - Helen A Flores"</f>
        <v>02 - A - 106 - Helen A Flores</v>
      </c>
      <c r="F1936" t="str">
        <f>"NC STUDY HALL 1"</f>
        <v>NC STUDY HALL 1</v>
      </c>
      <c r="G1936" t="str">
        <f>"21-2101"</f>
        <v>21-2101</v>
      </c>
      <c r="H1936" t="str">
        <f>"A"</f>
        <v>A</v>
      </c>
    </row>
    <row r="1937" spans="1:8" x14ac:dyDescent="0.2">
      <c r="A1937" t="str">
        <f t="shared" si="718"/>
        <v>0617073015</v>
      </c>
      <c r="B1937" t="str">
        <f t="shared" si="719"/>
        <v>TEAIRA</v>
      </c>
      <c r="C1937" t="str">
        <f t="shared" si="714"/>
        <v>BROOKS</v>
      </c>
      <c r="D1937" t="str">
        <f t="shared" si="717"/>
        <v>09</v>
      </c>
      <c r="E1937" t="str">
        <f>"07 - B - 107 - Cerine S Stewart"</f>
        <v>07 - B - 107 - Cerine S Stewart</v>
      </c>
      <c r="F1937" t="str">
        <f>"ENG 1"</f>
        <v>ENG 1</v>
      </c>
      <c r="G1937" t="str">
        <f>"17-1720"</f>
        <v>17-1720</v>
      </c>
      <c r="H1937" t="str">
        <f>"B"</f>
        <v>B</v>
      </c>
    </row>
    <row r="1938" spans="1:8" x14ac:dyDescent="0.2">
      <c r="A1938" t="str">
        <f t="shared" si="718"/>
        <v>0617073015</v>
      </c>
      <c r="B1938" t="str">
        <f t="shared" si="719"/>
        <v>TEAIRA</v>
      </c>
      <c r="C1938" t="str">
        <f t="shared" si="714"/>
        <v>BROOKS</v>
      </c>
      <c r="D1938" t="str">
        <f t="shared" si="717"/>
        <v>09</v>
      </c>
      <c r="E1938" t="str">
        <f>"05 - B - 205 - Lenecy  Nodarse"</f>
        <v>05 - B - 205 - Lenecy  Nodarse</v>
      </c>
      <c r="F1938" t="str">
        <f>"WORLD HISTORY"</f>
        <v>WORLD HISTORY</v>
      </c>
      <c r="G1938" t="str">
        <f>"17-1741"</f>
        <v>17-1741</v>
      </c>
      <c r="H1938" t="str">
        <f>"B"</f>
        <v>B</v>
      </c>
    </row>
    <row r="1939" spans="1:8" x14ac:dyDescent="0.2">
      <c r="A1939" t="str">
        <f t="shared" si="718"/>
        <v>0617073015</v>
      </c>
      <c r="B1939" t="str">
        <f t="shared" si="719"/>
        <v>TEAIRA</v>
      </c>
      <c r="C1939" t="str">
        <f t="shared" si="714"/>
        <v>BROOKS</v>
      </c>
      <c r="D1939" t="str">
        <f t="shared" si="717"/>
        <v>09</v>
      </c>
      <c r="E1939" t="str">
        <f>"01 - A - 101 - Adam Marcus  Drucker"</f>
        <v>01 - A - 101 - Adam Marcus  Drucker</v>
      </c>
      <c r="F1939" t="str">
        <f>"HOPE-PE V"</f>
        <v>HOPE-PE V</v>
      </c>
      <c r="G1939" t="str">
        <f>"04-254"</f>
        <v>04-254</v>
      </c>
      <c r="H1939" t="str">
        <f>"A"</f>
        <v>A</v>
      </c>
    </row>
    <row r="1940" spans="1:8" x14ac:dyDescent="0.2">
      <c r="A1940" t="str">
        <f t="shared" si="718"/>
        <v>0617073015</v>
      </c>
      <c r="B1940" t="str">
        <f t="shared" si="719"/>
        <v>TEAIRA</v>
      </c>
      <c r="C1940" t="str">
        <f t="shared" si="714"/>
        <v>BROOKS</v>
      </c>
      <c r="D1940" t="str">
        <f t="shared" si="717"/>
        <v>09</v>
      </c>
      <c r="E1940" t="str">
        <f>"08 - B - 106 - Laselleda D Shaw"</f>
        <v>08 - B - 106 - Laselleda D Shaw</v>
      </c>
      <c r="F1940" t="str">
        <f>"INTENS READ 1"</f>
        <v>INTENS READ 1</v>
      </c>
      <c r="G1940" t="str">
        <f>"17-1723"</f>
        <v>17-1723</v>
      </c>
      <c r="H1940" t="str">
        <f>"B"</f>
        <v>B</v>
      </c>
    </row>
    <row r="1941" spans="1:8" x14ac:dyDescent="0.2">
      <c r="A1941" t="str">
        <f t="shared" ref="A1941:A1948" si="720">"0617073165"</f>
        <v>0617073165</v>
      </c>
      <c r="B1941" t="str">
        <f t="shared" ref="B1941:B1948" si="721">"TERIYA"</f>
        <v>TERIYA</v>
      </c>
      <c r="C1941" t="str">
        <f t="shared" si="714"/>
        <v>BROOKS</v>
      </c>
      <c r="D1941" t="str">
        <f t="shared" si="717"/>
        <v>09</v>
      </c>
      <c r="E1941" t="str">
        <f>"04 - A - 103 - Cerine S Stewart"</f>
        <v>04 - A - 103 - Cerine S Stewart</v>
      </c>
      <c r="F1941" t="str">
        <f>"ENG 1"</f>
        <v>ENG 1</v>
      </c>
      <c r="G1941" t="str">
        <f>"17-1720"</f>
        <v>17-1720</v>
      </c>
      <c r="H1941" t="str">
        <f>"A"</f>
        <v>A</v>
      </c>
    </row>
    <row r="1942" spans="1:8" x14ac:dyDescent="0.2">
      <c r="A1942" t="str">
        <f t="shared" si="720"/>
        <v>0617073165</v>
      </c>
      <c r="B1942" t="str">
        <f t="shared" si="721"/>
        <v>TERIYA</v>
      </c>
      <c r="C1942" t="str">
        <f t="shared" si="714"/>
        <v>BROOKS</v>
      </c>
      <c r="D1942" t="str">
        <f t="shared" si="717"/>
        <v>09</v>
      </c>
      <c r="E1942" t="str">
        <f>"06 - B - 105 - Dayna M Foster"</f>
        <v>06 - B - 105 - Dayna M Foster</v>
      </c>
      <c r="F1942" t="str">
        <f>"ALGEBRA 1"</f>
        <v>ALGEBRA 1</v>
      </c>
      <c r="G1942" t="str">
        <f>"21-2109"</f>
        <v>21-2109</v>
      </c>
      <c r="H1942" t="str">
        <f>"B"</f>
        <v>B</v>
      </c>
    </row>
    <row r="1943" spans="1:8" x14ac:dyDescent="0.2">
      <c r="A1943" t="str">
        <f t="shared" si="720"/>
        <v>0617073165</v>
      </c>
      <c r="B1943" t="str">
        <f t="shared" si="721"/>
        <v>TERIYA</v>
      </c>
      <c r="C1943" t="str">
        <f t="shared" si="714"/>
        <v>BROOKS</v>
      </c>
      <c r="D1943" t="str">
        <f t="shared" si="717"/>
        <v>09</v>
      </c>
      <c r="E1943" t="str">
        <f>"03 - A - 101 - Dayna M Foster"</f>
        <v>03 - A - 101 - Dayna M Foster</v>
      </c>
      <c r="F1943" t="str">
        <f>"FDN SKLS MATH 9-12"</f>
        <v>FDN SKLS MATH 9-12</v>
      </c>
      <c r="G1943" t="str">
        <f>"21-2109"</f>
        <v>21-2109</v>
      </c>
      <c r="H1943" t="str">
        <f>"A"</f>
        <v>A</v>
      </c>
    </row>
    <row r="1944" spans="1:8" x14ac:dyDescent="0.2">
      <c r="A1944" t="str">
        <f t="shared" si="720"/>
        <v>0617073165</v>
      </c>
      <c r="B1944" t="str">
        <f t="shared" si="721"/>
        <v>TERIYA</v>
      </c>
      <c r="C1944" t="str">
        <f t="shared" si="714"/>
        <v>BROOKS</v>
      </c>
      <c r="D1944" t="str">
        <f t="shared" si="717"/>
        <v>09</v>
      </c>
      <c r="E1944" t="str">
        <f>"02 - A - 101 - Milca  Exantus"</f>
        <v>02 - A - 101 - Milca  Exantus</v>
      </c>
      <c r="F1944" t="str">
        <f>"NC STUDY HALL 1"</f>
        <v>NC STUDY HALL 1</v>
      </c>
      <c r="G1944" t="str">
        <f>"21-2145"</f>
        <v>21-2145</v>
      </c>
      <c r="H1944" t="str">
        <f>"A"</f>
        <v>A</v>
      </c>
    </row>
    <row r="1945" spans="1:8" x14ac:dyDescent="0.2">
      <c r="A1945" t="str">
        <f t="shared" si="720"/>
        <v>0617073165</v>
      </c>
      <c r="B1945" t="str">
        <f t="shared" si="721"/>
        <v>TERIYA</v>
      </c>
      <c r="C1945" t="str">
        <f t="shared" si="714"/>
        <v>BROOKS</v>
      </c>
      <c r="D1945" t="str">
        <f t="shared" si="717"/>
        <v>09</v>
      </c>
      <c r="E1945" t="str">
        <f>"07 - B - 105 - Laselleda D Shaw"</f>
        <v>07 - B - 105 - Laselleda D Shaw</v>
      </c>
      <c r="F1945" t="str">
        <f>"INTENS READ 1"</f>
        <v>INTENS READ 1</v>
      </c>
      <c r="G1945" t="str">
        <f>"17-1723"</f>
        <v>17-1723</v>
      </c>
      <c r="H1945" t="str">
        <f>"B"</f>
        <v>B</v>
      </c>
    </row>
    <row r="1946" spans="1:8" x14ac:dyDescent="0.2">
      <c r="A1946" t="str">
        <f t="shared" si="720"/>
        <v>0617073165</v>
      </c>
      <c r="B1946" t="str">
        <f t="shared" si="721"/>
        <v>TERIYA</v>
      </c>
      <c r="C1946" t="str">
        <f t="shared" si="714"/>
        <v>BROOKS</v>
      </c>
      <c r="D1946" t="str">
        <f t="shared" si="717"/>
        <v>09</v>
      </c>
      <c r="E1946" t="str">
        <f>"05 - B - 205 - Lenecy  Nodarse"</f>
        <v>05 - B - 205 - Lenecy  Nodarse</v>
      </c>
      <c r="F1946" t="str">
        <f>"WORLD HISTORY"</f>
        <v>WORLD HISTORY</v>
      </c>
      <c r="G1946" t="str">
        <f>"17-1741"</f>
        <v>17-1741</v>
      </c>
      <c r="H1946" t="str">
        <f>"B"</f>
        <v>B</v>
      </c>
    </row>
    <row r="1947" spans="1:8" x14ac:dyDescent="0.2">
      <c r="A1947" t="str">
        <f t="shared" si="720"/>
        <v>0617073165</v>
      </c>
      <c r="B1947" t="str">
        <f t="shared" si="721"/>
        <v>TERIYA</v>
      </c>
      <c r="C1947" t="str">
        <f t="shared" si="714"/>
        <v>BROOKS</v>
      </c>
      <c r="D1947" t="str">
        <f t="shared" si="717"/>
        <v>09</v>
      </c>
      <c r="E1947" t="str">
        <f>"01 - A - 103 - Amy Beth  Broyles"</f>
        <v>01 - A - 103 - Amy Beth  Broyles</v>
      </c>
      <c r="F1947" t="str">
        <f>"ENV SCI"</f>
        <v>ENV SCI</v>
      </c>
      <c r="G1947" t="str">
        <f>"08-802"</f>
        <v>08-802</v>
      </c>
      <c r="H1947" t="str">
        <f>"A"</f>
        <v>A</v>
      </c>
    </row>
    <row r="1948" spans="1:8" x14ac:dyDescent="0.2">
      <c r="A1948" t="str">
        <f t="shared" si="720"/>
        <v>0617073165</v>
      </c>
      <c r="B1948" t="str">
        <f t="shared" si="721"/>
        <v>TERIYA</v>
      </c>
      <c r="C1948" t="str">
        <f t="shared" si="714"/>
        <v>BROOKS</v>
      </c>
      <c r="D1948" t="str">
        <f t="shared" si="717"/>
        <v>09</v>
      </c>
      <c r="E1948" t="str">
        <f>"08 - B - 101 - Jazmin S Fletcher"</f>
        <v>08 - B - 101 - Jazmin S Fletcher</v>
      </c>
      <c r="F1948" t="str">
        <f>"PRE-AICE DRAMA 1G"</f>
        <v>PRE-AICE DRAMA 1G</v>
      </c>
      <c r="G1948" t="str">
        <f>"09-909"</f>
        <v>09-909</v>
      </c>
      <c r="H1948" t="str">
        <f>"B"</f>
        <v>B</v>
      </c>
    </row>
    <row r="1949" spans="1:8" x14ac:dyDescent="0.2">
      <c r="A1949" t="str">
        <f t="shared" ref="A1949:A1956" si="722">"0617061465"</f>
        <v>0617061465</v>
      </c>
      <c r="B1949" t="str">
        <f t="shared" ref="B1949:B1956" si="723">"De'Nijah"</f>
        <v>De'Nijah</v>
      </c>
      <c r="C1949" t="str">
        <f t="shared" ref="C1949:C1956" si="724">"Brown"</f>
        <v>Brown</v>
      </c>
      <c r="D1949" t="str">
        <f t="shared" si="717"/>
        <v>09</v>
      </c>
      <c r="E1949" t="str">
        <f>"04 - S1 - A - 101 - Kyle  Robbins"</f>
        <v>04 - S1 - A - 101 - Kyle  Robbins</v>
      </c>
      <c r="F1949" t="str">
        <f>"PERS FIN &amp; MON MGT H"</f>
        <v>PERS FIN &amp; MON MGT H</v>
      </c>
      <c r="G1949" t="str">
        <f>"17-1745"</f>
        <v>17-1745</v>
      </c>
      <c r="H1949" t="str">
        <f>"A"</f>
        <v>A</v>
      </c>
    </row>
    <row r="1950" spans="1:8" x14ac:dyDescent="0.2">
      <c r="A1950" t="str">
        <f t="shared" si="722"/>
        <v>0617061465</v>
      </c>
      <c r="B1950" t="str">
        <f t="shared" si="723"/>
        <v>De'Nijah</v>
      </c>
      <c r="C1950" t="str">
        <f t="shared" si="724"/>
        <v>Brown</v>
      </c>
      <c r="D1950" t="str">
        <f t="shared" si="717"/>
        <v>09</v>
      </c>
      <c r="E1950" t="str">
        <f>"06 - B - 105 - Cerine S Stewart"</f>
        <v>06 - B - 105 - Cerine S Stewart</v>
      </c>
      <c r="F1950" t="str">
        <f>"AICE ENG GEN PAPER 1"</f>
        <v>AICE ENG GEN PAPER 1</v>
      </c>
      <c r="G1950" t="str">
        <f>"17-1720"</f>
        <v>17-1720</v>
      </c>
      <c r="H1950" t="str">
        <f>"B"</f>
        <v>B</v>
      </c>
    </row>
    <row r="1951" spans="1:8" x14ac:dyDescent="0.2">
      <c r="A1951" t="str">
        <f t="shared" si="722"/>
        <v>0617061465</v>
      </c>
      <c r="B1951" t="str">
        <f t="shared" si="723"/>
        <v>De'Nijah</v>
      </c>
      <c r="C1951" t="str">
        <f t="shared" si="724"/>
        <v>Brown</v>
      </c>
      <c r="D1951" t="str">
        <f t="shared" si="717"/>
        <v>09</v>
      </c>
      <c r="E1951" t="str">
        <f>"03 - A - 001 - Maried P Ramos"</f>
        <v>03 - A - 001 - Maried P Ramos</v>
      </c>
      <c r="F1951" t="str">
        <f>"PRE-AICE MATH 2 IG"</f>
        <v>PRE-AICE MATH 2 IG</v>
      </c>
      <c r="G1951" t="str">
        <f>"21-2159"</f>
        <v>21-2159</v>
      </c>
      <c r="H1951" t="str">
        <f>"A"</f>
        <v>A</v>
      </c>
    </row>
    <row r="1952" spans="1:8" x14ac:dyDescent="0.2">
      <c r="A1952" t="str">
        <f t="shared" si="722"/>
        <v>0617061465</v>
      </c>
      <c r="B1952" t="str">
        <f t="shared" si="723"/>
        <v>De'Nijah</v>
      </c>
      <c r="C1952" t="str">
        <f t="shared" si="724"/>
        <v>Brown</v>
      </c>
      <c r="D1952" t="str">
        <f t="shared" si="717"/>
        <v>09</v>
      </c>
      <c r="E1952" t="str">
        <f>"02 - A - 112 - Cheryl Anne  Berman-Schechter"</f>
        <v>02 - A - 112 - Cheryl Anne  Berman-Schechter</v>
      </c>
      <c r="F1952" t="str">
        <f>"NC STUDY HALL 1"</f>
        <v>NC STUDY HALL 1</v>
      </c>
      <c r="G1952" t="str">
        <f>"17-1722"</f>
        <v>17-1722</v>
      </c>
      <c r="H1952" t="str">
        <f>"A"</f>
        <v>A</v>
      </c>
    </row>
    <row r="1953" spans="1:8" x14ac:dyDescent="0.2">
      <c r="A1953" t="str">
        <f t="shared" si="722"/>
        <v>0617061465</v>
      </c>
      <c r="B1953" t="str">
        <f t="shared" si="723"/>
        <v>De'Nijah</v>
      </c>
      <c r="C1953" t="str">
        <f t="shared" si="724"/>
        <v>Brown</v>
      </c>
      <c r="D1953" t="str">
        <f t="shared" si="717"/>
        <v>09</v>
      </c>
      <c r="E1953" t="str">
        <f>"07 - B - 103 - Vanessa J Liburd"</f>
        <v>07 - B - 103 - Vanessa J Liburd</v>
      </c>
      <c r="F1953" t="str">
        <f>"PRE-AICE FRENCH 1 IG"</f>
        <v>PRE-AICE FRENCH 1 IG</v>
      </c>
      <c r="G1953" t="str">
        <f>"05-519"</f>
        <v>05-519</v>
      </c>
      <c r="H1953" t="str">
        <f>"B"</f>
        <v>B</v>
      </c>
    </row>
    <row r="1954" spans="1:8" x14ac:dyDescent="0.2">
      <c r="A1954" t="str">
        <f t="shared" si="722"/>
        <v>0617061465</v>
      </c>
      <c r="B1954" t="str">
        <f t="shared" si="723"/>
        <v>De'Nijah</v>
      </c>
      <c r="C1954" t="str">
        <f t="shared" si="724"/>
        <v>Brown</v>
      </c>
      <c r="D1954" t="str">
        <f t="shared" si="717"/>
        <v>09</v>
      </c>
      <c r="E1954" t="str">
        <f>"05 - B - 103 - Rory T Sponsler"</f>
        <v>05 - B - 103 - Rory T Sponsler</v>
      </c>
      <c r="F1954" t="str">
        <f>"PRE-AICE WRLD HST IG"</f>
        <v>PRE-AICE WRLD HST IG</v>
      </c>
      <c r="G1954" t="str">
        <f>"17-1740"</f>
        <v>17-1740</v>
      </c>
      <c r="H1954" t="str">
        <f>"B"</f>
        <v>B</v>
      </c>
    </row>
    <row r="1955" spans="1:8" x14ac:dyDescent="0.2">
      <c r="A1955" t="str">
        <f t="shared" si="722"/>
        <v>0617061465</v>
      </c>
      <c r="B1955" t="str">
        <f t="shared" si="723"/>
        <v>De'Nijah</v>
      </c>
      <c r="C1955" t="str">
        <f t="shared" si="724"/>
        <v>Brown</v>
      </c>
      <c r="D1955" t="str">
        <f t="shared" si="717"/>
        <v>09</v>
      </c>
      <c r="E1955" t="str">
        <f>"01 - A - 001 - Dorothy D Moore"</f>
        <v>01 - A - 001 - Dorothy D Moore</v>
      </c>
      <c r="F1955" t="str">
        <f>"ANAT PHYSIO HON"</f>
        <v>ANAT PHYSIO HON</v>
      </c>
      <c r="G1955" t="str">
        <f>"08-803"</f>
        <v>08-803</v>
      </c>
      <c r="H1955" t="str">
        <f>"A"</f>
        <v>A</v>
      </c>
    </row>
    <row r="1956" spans="1:8" x14ac:dyDescent="0.2">
      <c r="A1956" t="str">
        <f t="shared" si="722"/>
        <v>0617061465</v>
      </c>
      <c r="B1956" t="str">
        <f t="shared" si="723"/>
        <v>De'Nijah</v>
      </c>
      <c r="C1956" t="str">
        <f t="shared" si="724"/>
        <v>Brown</v>
      </c>
      <c r="D1956" t="str">
        <f t="shared" si="717"/>
        <v>09</v>
      </c>
      <c r="E1956" t="str">
        <f>"08 - B - 108 - Adam Marcus  Drucker"</f>
        <v>08 - B - 108 - Adam Marcus  Drucker</v>
      </c>
      <c r="F1956" t="str">
        <f>"HOPE-PE V"</f>
        <v>HOPE-PE V</v>
      </c>
      <c r="G1956" t="str">
        <f>"04-254"</f>
        <v>04-254</v>
      </c>
      <c r="H1956" t="str">
        <f>"B"</f>
        <v>B</v>
      </c>
    </row>
    <row r="1957" spans="1:8" x14ac:dyDescent="0.2">
      <c r="A1957" t="str">
        <f t="shared" ref="A1957:A1964" si="725">"0614143804"</f>
        <v>0614143804</v>
      </c>
      <c r="B1957" t="str">
        <f t="shared" ref="B1957:B1964" si="726">"ABIGAIL"</f>
        <v>ABIGAIL</v>
      </c>
      <c r="C1957" t="str">
        <f t="shared" ref="C1957:C1988" si="727">"BROWN"</f>
        <v>BROWN</v>
      </c>
      <c r="D1957">
        <f>11</f>
        <v>11</v>
      </c>
      <c r="E1957" t="str">
        <f>"04 - A - 101 - Pamela M Corzo"</f>
        <v>04 - A - 101 - Pamela M Corzo</v>
      </c>
      <c r="F1957" t="str">
        <f>"CALCULUS HON"</f>
        <v>CALCULUS HON</v>
      </c>
      <c r="G1957" t="str">
        <f>"21-2133"</f>
        <v>21-2133</v>
      </c>
      <c r="H1957" t="str">
        <f>"A"</f>
        <v>A</v>
      </c>
    </row>
    <row r="1958" spans="1:8" x14ac:dyDescent="0.2">
      <c r="A1958" t="str">
        <f t="shared" si="725"/>
        <v>0614143804</v>
      </c>
      <c r="B1958" t="str">
        <f t="shared" si="726"/>
        <v>ABIGAIL</v>
      </c>
      <c r="C1958" t="str">
        <f t="shared" si="727"/>
        <v>BROWN</v>
      </c>
      <c r="D1958">
        <f>11</f>
        <v>11</v>
      </c>
      <c r="E1958" t="str">
        <f>"06 - B - 102 - Stephen T Ripp"</f>
        <v>06 - B - 102 - Stephen T Ripp</v>
      </c>
      <c r="F1958" t="str">
        <f>"AP U.S. HIST"</f>
        <v>AP U.S. HIST</v>
      </c>
      <c r="G1958" t="str">
        <f>"17-1744"</f>
        <v>17-1744</v>
      </c>
      <c r="H1958" t="str">
        <f>"B"</f>
        <v>B</v>
      </c>
    </row>
    <row r="1959" spans="1:8" x14ac:dyDescent="0.2">
      <c r="A1959" t="str">
        <f t="shared" si="725"/>
        <v>0614143804</v>
      </c>
      <c r="B1959" t="str">
        <f t="shared" si="726"/>
        <v>ABIGAIL</v>
      </c>
      <c r="C1959" t="str">
        <f t="shared" si="727"/>
        <v>BROWN</v>
      </c>
      <c r="D1959">
        <f>11</f>
        <v>11</v>
      </c>
      <c r="E1959" t="str">
        <f>"03 - A - 102 - Tina M Jaramillo"</f>
        <v>03 - A - 102 - Tina M Jaramillo</v>
      </c>
      <c r="F1959" t="str">
        <f>"AP ENG COMPO"</f>
        <v>AP ENG COMPO</v>
      </c>
      <c r="G1959" t="str">
        <f>"17-1706"</f>
        <v>17-1706</v>
      </c>
      <c r="H1959" t="str">
        <f>"A"</f>
        <v>A</v>
      </c>
    </row>
    <row r="1960" spans="1:8" x14ac:dyDescent="0.2">
      <c r="A1960" t="str">
        <f t="shared" si="725"/>
        <v>0614143804</v>
      </c>
      <c r="B1960" t="str">
        <f t="shared" si="726"/>
        <v>ABIGAIL</v>
      </c>
      <c r="C1960" t="str">
        <f t="shared" si="727"/>
        <v>BROWN</v>
      </c>
      <c r="D1960">
        <f>11</f>
        <v>11</v>
      </c>
      <c r="E1960" t="str">
        <f>"02 - A - 101 - Timothy J Lawrence"</f>
        <v>02 - A - 101 - Timothy J Lawrence</v>
      </c>
      <c r="F1960" t="str">
        <f>"NC STUDY HALL 1"</f>
        <v>NC STUDY HALL 1</v>
      </c>
      <c r="G1960" t="str">
        <f>"05-522"</f>
        <v>05-522</v>
      </c>
      <c r="H1960" t="str">
        <f>"A"</f>
        <v>A</v>
      </c>
    </row>
    <row r="1961" spans="1:8" x14ac:dyDescent="0.2">
      <c r="A1961" t="str">
        <f t="shared" si="725"/>
        <v>0614143804</v>
      </c>
      <c r="B1961" t="str">
        <f t="shared" si="726"/>
        <v>ABIGAIL</v>
      </c>
      <c r="C1961" t="str">
        <f t="shared" si="727"/>
        <v>BROWN</v>
      </c>
      <c r="D1961">
        <f>11</f>
        <v>11</v>
      </c>
      <c r="E1961" t="str">
        <f>"07 - B - 101 - Alejandro  Navarro"</f>
        <v>07 - B - 101 - Alejandro  Navarro</v>
      </c>
      <c r="F1961" t="str">
        <f>"EURHY 1"</f>
        <v>EURHY 1</v>
      </c>
      <c r="G1961" t="str">
        <f>"05-504"</f>
        <v>05-504</v>
      </c>
      <c r="H1961" t="str">
        <f>"B"</f>
        <v>B</v>
      </c>
    </row>
    <row r="1962" spans="1:8" x14ac:dyDescent="0.2">
      <c r="A1962" t="str">
        <f t="shared" si="725"/>
        <v>0614143804</v>
      </c>
      <c r="B1962" t="str">
        <f t="shared" si="726"/>
        <v>ABIGAIL</v>
      </c>
      <c r="C1962" t="str">
        <f t="shared" si="727"/>
        <v>BROWN</v>
      </c>
      <c r="D1962">
        <f>11</f>
        <v>11</v>
      </c>
      <c r="E1962" t="str">
        <f>"05 - B - 202 - Daniel S Katz"</f>
        <v>05 - B - 202 - Daniel S Katz</v>
      </c>
      <c r="F1962" t="str">
        <f>"EXEC INTERN 3 LH"</f>
        <v>EXEC INTERN 3 LH</v>
      </c>
      <c r="G1962" t="str">
        <f>"21-2156"</f>
        <v>21-2156</v>
      </c>
      <c r="H1962" t="str">
        <f>"B"</f>
        <v>B</v>
      </c>
    </row>
    <row r="1963" spans="1:8" x14ac:dyDescent="0.2">
      <c r="A1963" t="str">
        <f t="shared" si="725"/>
        <v>0614143804</v>
      </c>
      <c r="B1963" t="str">
        <f t="shared" si="726"/>
        <v>ABIGAIL</v>
      </c>
      <c r="C1963" t="str">
        <f t="shared" si="727"/>
        <v>BROWN</v>
      </c>
      <c r="D1963">
        <f>11</f>
        <v>11</v>
      </c>
      <c r="E1963" t="str">
        <f>"01 - A - 101 - Lisa J London"</f>
        <v>01 - A - 101 - Lisa J London</v>
      </c>
      <c r="F1963" t="str">
        <f>"AP CAPSTONE SEMINAR"</f>
        <v>AP CAPSTONE SEMINAR</v>
      </c>
      <c r="G1963" t="str">
        <f>"17-1714"</f>
        <v>17-1714</v>
      </c>
      <c r="H1963" t="str">
        <f>"A"</f>
        <v>A</v>
      </c>
    </row>
    <row r="1964" spans="1:8" x14ac:dyDescent="0.2">
      <c r="A1964" t="str">
        <f t="shared" si="725"/>
        <v>0614143804</v>
      </c>
      <c r="B1964" t="str">
        <f t="shared" si="726"/>
        <v>ABIGAIL</v>
      </c>
      <c r="C1964" t="str">
        <f t="shared" si="727"/>
        <v>BROWN</v>
      </c>
      <c r="D1964">
        <f>11</f>
        <v>11</v>
      </c>
      <c r="E1964" t="str">
        <f>"08 - B - 102 - Jacqueline R Morphet"</f>
        <v>08 - B - 102 - Jacqueline R Morphet</v>
      </c>
      <c r="F1964" t="str">
        <f>"AP PHYSICS 1"</f>
        <v>AP PHYSICS 1</v>
      </c>
      <c r="G1964" t="str">
        <f>"21-2138"</f>
        <v>21-2138</v>
      </c>
      <c r="H1964" t="str">
        <f>"B"</f>
        <v>B</v>
      </c>
    </row>
    <row r="1965" spans="1:8" x14ac:dyDescent="0.2">
      <c r="A1965" t="str">
        <f t="shared" ref="A1965:A1972" si="728">"0616034990"</f>
        <v>0616034990</v>
      </c>
      <c r="B1965" t="str">
        <f t="shared" ref="B1965:B1972" si="729">"AIDEN"</f>
        <v>AIDEN</v>
      </c>
      <c r="C1965" t="str">
        <f t="shared" si="727"/>
        <v>BROWN</v>
      </c>
      <c r="D1965">
        <f>10</f>
        <v>10</v>
      </c>
      <c r="E1965" t="str">
        <f>"04 - A - 103 - Lourivaldo  Da Silva"</f>
        <v>04 - A - 103 - Lourivaldo  Da Silva</v>
      </c>
      <c r="F1965" t="str">
        <f>"PRE-CALCULUS HON"</f>
        <v>PRE-CALCULUS HON</v>
      </c>
      <c r="G1965" t="str">
        <f>"20-2079"</f>
        <v>20-2079</v>
      </c>
      <c r="H1965" t="str">
        <f>"A"</f>
        <v>A</v>
      </c>
    </row>
    <row r="1966" spans="1:8" x14ac:dyDescent="0.2">
      <c r="A1966" t="str">
        <f t="shared" si="728"/>
        <v>0616034990</v>
      </c>
      <c r="B1966" t="str">
        <f t="shared" si="729"/>
        <v>AIDEN</v>
      </c>
      <c r="C1966" t="str">
        <f t="shared" si="727"/>
        <v>BROWN</v>
      </c>
      <c r="D1966">
        <f>10</f>
        <v>10</v>
      </c>
      <c r="E1966" t="str">
        <f>"06 - B - 103 - Thomas G Handwerg"</f>
        <v>06 - B - 103 - Thomas G Handwerg</v>
      </c>
      <c r="F1966" t="str">
        <f>"NC STUDY HALL 1"</f>
        <v>NC STUDY HALL 1</v>
      </c>
      <c r="G1966" t="str">
        <f>"21-2146"</f>
        <v>21-2146</v>
      </c>
      <c r="H1966" t="str">
        <f>"B"</f>
        <v>B</v>
      </c>
    </row>
    <row r="1967" spans="1:8" x14ac:dyDescent="0.2">
      <c r="A1967" t="str">
        <f t="shared" si="728"/>
        <v>0616034990</v>
      </c>
      <c r="B1967" t="str">
        <f t="shared" si="729"/>
        <v>AIDEN</v>
      </c>
      <c r="C1967" t="str">
        <f t="shared" si="727"/>
        <v>BROWN</v>
      </c>
      <c r="D1967">
        <f>10</f>
        <v>10</v>
      </c>
      <c r="E1967" t="str">
        <f>"03 - S1 - A - 101 - Daniel S Katz"</f>
        <v>03 - S1 - A - 101 - Daniel S Katz</v>
      </c>
      <c r="F1967" t="str">
        <f>"COURT PROCED"</f>
        <v>COURT PROCED</v>
      </c>
      <c r="G1967" t="str">
        <f>"21-2156"</f>
        <v>21-2156</v>
      </c>
      <c r="H1967" t="str">
        <f>"A"</f>
        <v>A</v>
      </c>
    </row>
    <row r="1968" spans="1:8" x14ac:dyDescent="0.2">
      <c r="A1968" t="str">
        <f t="shared" si="728"/>
        <v>0616034990</v>
      </c>
      <c r="B1968" t="str">
        <f t="shared" si="729"/>
        <v>AIDEN</v>
      </c>
      <c r="C1968" t="str">
        <f t="shared" si="727"/>
        <v>BROWN</v>
      </c>
      <c r="D1968">
        <f>10</f>
        <v>10</v>
      </c>
      <c r="E1968" t="str">
        <f>"02 - A - 102 - Jacklyn M James"</f>
        <v>02 - A - 102 - Jacklyn M James</v>
      </c>
      <c r="F1968" t="str">
        <f>"AICE ENG LANG AS"</f>
        <v>AICE ENG LANG AS</v>
      </c>
      <c r="G1968" t="str">
        <f>"17-1731"</f>
        <v>17-1731</v>
      </c>
      <c r="H1968" t="str">
        <f>"A"</f>
        <v>A</v>
      </c>
    </row>
    <row r="1969" spans="1:8" x14ac:dyDescent="0.2">
      <c r="A1969" t="str">
        <f t="shared" si="728"/>
        <v>0616034990</v>
      </c>
      <c r="B1969" t="str">
        <f t="shared" si="729"/>
        <v>AIDEN</v>
      </c>
      <c r="C1969" t="str">
        <f t="shared" si="727"/>
        <v>BROWN</v>
      </c>
      <c r="D1969">
        <f>10</f>
        <v>10</v>
      </c>
      <c r="E1969" t="str">
        <f>"07 - B - 204 - Elizabeth Ellen  Moran"</f>
        <v>07 - B - 204 - Elizabeth Ellen  Moran</v>
      </c>
      <c r="F1969" t="str">
        <f>"AICE EURO HIST 1 AS"</f>
        <v>AICE EURO HIST 1 AS</v>
      </c>
      <c r="G1969" t="str">
        <f>"17-1752"</f>
        <v>17-1752</v>
      </c>
      <c r="H1969" t="str">
        <f>"B"</f>
        <v>B</v>
      </c>
    </row>
    <row r="1970" spans="1:8" x14ac:dyDescent="0.2">
      <c r="A1970" t="str">
        <f t="shared" si="728"/>
        <v>0616034990</v>
      </c>
      <c r="B1970" t="str">
        <f t="shared" si="729"/>
        <v>AIDEN</v>
      </c>
      <c r="C1970" t="str">
        <f t="shared" si="727"/>
        <v>BROWN</v>
      </c>
      <c r="D1970">
        <f>10</f>
        <v>10</v>
      </c>
      <c r="E1970" t="str">
        <f>"05 - B - 103 - Eva T Rimmer"</f>
        <v>05 - B - 103 - Eva T Rimmer</v>
      </c>
      <c r="F1970" t="str">
        <f>"CRIMINAL JUST OPS 1"</f>
        <v>CRIMINAL JUST OPS 1</v>
      </c>
      <c r="G1970" t="str">
        <f>"05-523"</f>
        <v>05-523</v>
      </c>
      <c r="H1970" t="str">
        <f>"B"</f>
        <v>B</v>
      </c>
    </row>
    <row r="1971" spans="1:8" x14ac:dyDescent="0.2">
      <c r="A1971" t="str">
        <f t="shared" si="728"/>
        <v>0616034990</v>
      </c>
      <c r="B1971" t="str">
        <f t="shared" si="729"/>
        <v>AIDEN</v>
      </c>
      <c r="C1971" t="str">
        <f t="shared" si="727"/>
        <v>BROWN</v>
      </c>
      <c r="D1971">
        <f>10</f>
        <v>10</v>
      </c>
      <c r="E1971" t="str">
        <f>"01 - A - 103 - Scott A Dethloff"</f>
        <v>01 - A - 103 - Scott A Dethloff</v>
      </c>
      <c r="F1971" t="str">
        <f>"AICE THINK SKLS 1 AS"</f>
        <v>AICE THINK SKLS 1 AS</v>
      </c>
      <c r="G1971" t="str">
        <f>"08-812"</f>
        <v>08-812</v>
      </c>
      <c r="H1971" t="str">
        <f>"A"</f>
        <v>A</v>
      </c>
    </row>
    <row r="1972" spans="1:8" x14ac:dyDescent="0.2">
      <c r="A1972" t="str">
        <f t="shared" si="728"/>
        <v>0616034990</v>
      </c>
      <c r="B1972" t="str">
        <f t="shared" si="729"/>
        <v>AIDEN</v>
      </c>
      <c r="C1972" t="str">
        <f t="shared" si="727"/>
        <v>BROWN</v>
      </c>
      <c r="D1972">
        <f>10</f>
        <v>10</v>
      </c>
      <c r="E1972" t="str">
        <f>"08 - B - 202 - Krystal Marie  Beruty"</f>
        <v>08 - B - 202 - Krystal Marie  Beruty</v>
      </c>
      <c r="F1972" t="str">
        <f>"AICE PSYCH 1 AS"</f>
        <v>AICE PSYCH 1 AS</v>
      </c>
      <c r="G1972" t="str">
        <f>"17-1721"</f>
        <v>17-1721</v>
      </c>
      <c r="H1972" t="str">
        <f>"B"</f>
        <v>B</v>
      </c>
    </row>
    <row r="1973" spans="1:8" x14ac:dyDescent="0.2">
      <c r="A1973" t="str">
        <f t="shared" ref="A1973:A1980" si="730">"0614071240"</f>
        <v>0614071240</v>
      </c>
      <c r="B1973" t="str">
        <f t="shared" ref="B1973:B1980" si="731">"ANDREA"</f>
        <v>ANDREA</v>
      </c>
      <c r="C1973" t="str">
        <f t="shared" si="727"/>
        <v>BROWN</v>
      </c>
      <c r="D1973">
        <f>11</f>
        <v>11</v>
      </c>
      <c r="E1973" t="str">
        <f>"04 - A - 102 - Jeffrey S Gallagher"</f>
        <v>04 - A - 102 - Jeffrey S Gallagher</v>
      </c>
      <c r="F1973" t="str">
        <f>"ENG HON 3"</f>
        <v>ENG HON 3</v>
      </c>
      <c r="G1973" t="str">
        <f>"17-1724"</f>
        <v>17-1724</v>
      </c>
      <c r="H1973" t="str">
        <f>"A"</f>
        <v>A</v>
      </c>
    </row>
    <row r="1974" spans="1:8" x14ac:dyDescent="0.2">
      <c r="A1974" t="str">
        <f t="shared" si="730"/>
        <v>0614071240</v>
      </c>
      <c r="B1974" t="str">
        <f t="shared" si="731"/>
        <v>ANDREA</v>
      </c>
      <c r="C1974" t="str">
        <f t="shared" si="727"/>
        <v>BROWN</v>
      </c>
      <c r="D1974">
        <f>11</f>
        <v>11</v>
      </c>
      <c r="E1974" t="str">
        <f>"06 - B - 101 - Bruce A Evans"</f>
        <v>06 - B - 101 - Bruce A Evans</v>
      </c>
      <c r="F1974" t="str">
        <f>"EMERG MED RESP 3 HON"</f>
        <v>EMERG MED RESP 3 HON</v>
      </c>
      <c r="G1974" t="str">
        <f>"21-2142"</f>
        <v>21-2142</v>
      </c>
      <c r="H1974" t="str">
        <f>"B"</f>
        <v>B</v>
      </c>
    </row>
    <row r="1975" spans="1:8" x14ac:dyDescent="0.2">
      <c r="A1975" t="str">
        <f t="shared" si="730"/>
        <v>0614071240</v>
      </c>
      <c r="B1975" t="str">
        <f t="shared" si="731"/>
        <v>ANDREA</v>
      </c>
      <c r="C1975" t="str">
        <f t="shared" si="727"/>
        <v>BROWN</v>
      </c>
      <c r="D1975">
        <f>11</f>
        <v>11</v>
      </c>
      <c r="E1975" t="str">
        <f>"03 - A - 202 - Bruce A Evans"</f>
        <v>03 - A - 202 - Bruce A Evans</v>
      </c>
      <c r="F1975" t="str">
        <f>"HEALTH SCI FOUND HON"</f>
        <v>HEALTH SCI FOUND HON</v>
      </c>
      <c r="G1975" t="str">
        <f>"21-2142"</f>
        <v>21-2142</v>
      </c>
      <c r="H1975" t="str">
        <f>"A"</f>
        <v>A</v>
      </c>
    </row>
    <row r="1976" spans="1:8" x14ac:dyDescent="0.2">
      <c r="A1976" t="str">
        <f t="shared" si="730"/>
        <v>0614071240</v>
      </c>
      <c r="B1976" t="str">
        <f t="shared" si="731"/>
        <v>ANDREA</v>
      </c>
      <c r="C1976" t="str">
        <f t="shared" si="727"/>
        <v>BROWN</v>
      </c>
      <c r="D1976">
        <f>11</f>
        <v>11</v>
      </c>
      <c r="E1976" t="str">
        <f>"02 - A - 113 - Byron G Montenegro"</f>
        <v>02 - A - 113 - Byron G Montenegro</v>
      </c>
      <c r="F1976" t="str">
        <f>"NC STUDY HALL 1"</f>
        <v>NC STUDY HALL 1</v>
      </c>
      <c r="G1976" t="str">
        <f>"21-2144"</f>
        <v>21-2144</v>
      </c>
      <c r="H1976" t="str">
        <f>"A"</f>
        <v>A</v>
      </c>
    </row>
    <row r="1977" spans="1:8" x14ac:dyDescent="0.2">
      <c r="A1977" t="str">
        <f t="shared" si="730"/>
        <v>0614071240</v>
      </c>
      <c r="B1977" t="str">
        <f t="shared" si="731"/>
        <v>ANDREA</v>
      </c>
      <c r="C1977" t="str">
        <f t="shared" si="727"/>
        <v>BROWN</v>
      </c>
      <c r="D1977">
        <f>11</f>
        <v>11</v>
      </c>
      <c r="E1977" t="str">
        <f>"07 - B - 102 - Carleigh R Carmichael"</f>
        <v>07 - B - 102 - Carleigh R Carmichael</v>
      </c>
      <c r="F1977" t="str">
        <f>"LEAD SKLS DEV LH"</f>
        <v>LEAD SKLS DEV LH</v>
      </c>
      <c r="G1977" t="str">
        <f>"20-2072"</f>
        <v>20-2072</v>
      </c>
      <c r="H1977" t="str">
        <f>"B"</f>
        <v>B</v>
      </c>
    </row>
    <row r="1978" spans="1:8" x14ac:dyDescent="0.2">
      <c r="A1978" t="str">
        <f t="shared" si="730"/>
        <v>0614071240</v>
      </c>
      <c r="B1978" t="str">
        <f t="shared" si="731"/>
        <v>ANDREA</v>
      </c>
      <c r="C1978" t="str">
        <f t="shared" si="727"/>
        <v>BROWN</v>
      </c>
      <c r="D1978">
        <f>11</f>
        <v>11</v>
      </c>
      <c r="E1978" t="str">
        <f>"05 - B - 001 - Kyle  Robbins"</f>
        <v>05 - B - 001 - Kyle  Robbins</v>
      </c>
      <c r="F1978" t="str">
        <f>"US HISTORY HON"</f>
        <v>US HISTORY HON</v>
      </c>
      <c r="G1978" t="str">
        <f>"17-1745"</f>
        <v>17-1745</v>
      </c>
      <c r="H1978" t="str">
        <f>"B"</f>
        <v>B</v>
      </c>
    </row>
    <row r="1979" spans="1:8" x14ac:dyDescent="0.2">
      <c r="A1979" t="str">
        <f t="shared" si="730"/>
        <v>0614071240</v>
      </c>
      <c r="B1979" t="str">
        <f t="shared" si="731"/>
        <v>ANDREA</v>
      </c>
      <c r="C1979" t="str">
        <f t="shared" si="727"/>
        <v>BROWN</v>
      </c>
      <c r="D1979">
        <f>11</f>
        <v>11</v>
      </c>
      <c r="E1979" t="str">
        <f>"01 - A - 102 - Fernando  Vega-Cid"</f>
        <v>01 - A - 102 - Fernando  Vega-Cid</v>
      </c>
      <c r="F1979" t="str">
        <f>"GEOMETRY"</f>
        <v>GEOMETRY</v>
      </c>
      <c r="G1979" t="str">
        <f>"21-2163"</f>
        <v>21-2163</v>
      </c>
      <c r="H1979" t="str">
        <f>"A"</f>
        <v>A</v>
      </c>
    </row>
    <row r="1980" spans="1:8" x14ac:dyDescent="0.2">
      <c r="A1980" t="str">
        <f t="shared" si="730"/>
        <v>0614071240</v>
      </c>
      <c r="B1980" t="str">
        <f t="shared" si="731"/>
        <v>ANDREA</v>
      </c>
      <c r="C1980" t="str">
        <f t="shared" si="727"/>
        <v>BROWN</v>
      </c>
      <c r="D1980">
        <f>11</f>
        <v>11</v>
      </c>
      <c r="E1980" t="str">
        <f>"08 - B - 101 - Eva T Rimmer"</f>
        <v>08 - B - 101 - Eva T Rimmer</v>
      </c>
      <c r="F1980" t="str">
        <f>"CRIM JUST OPS 3 HON"</f>
        <v>CRIM JUST OPS 3 HON</v>
      </c>
      <c r="G1980" t="str">
        <f>"05-523"</f>
        <v>05-523</v>
      </c>
      <c r="H1980" t="str">
        <f>"B"</f>
        <v>B</v>
      </c>
    </row>
    <row r="1981" spans="1:8" x14ac:dyDescent="0.2">
      <c r="A1981" t="str">
        <f t="shared" ref="A1981:A1988" si="732">"0617033750"</f>
        <v>0617033750</v>
      </c>
      <c r="B1981" t="str">
        <f t="shared" ref="B1981:B1988" si="733">"CA'MONIE"</f>
        <v>CA'MONIE</v>
      </c>
      <c r="C1981" t="str">
        <f t="shared" si="727"/>
        <v>BROWN</v>
      </c>
      <c r="D1981" t="str">
        <f t="shared" ref="D1981:D1988" si="734">"09"</f>
        <v>09</v>
      </c>
      <c r="E1981" t="str">
        <f>"04 - A - 104 - Adam Marcus  Drucker"</f>
        <v>04 - A - 104 - Adam Marcus  Drucker</v>
      </c>
      <c r="F1981" t="str">
        <f>"HOPE-PE V"</f>
        <v>HOPE-PE V</v>
      </c>
      <c r="G1981" t="str">
        <f>"04-254"</f>
        <v>04-254</v>
      </c>
      <c r="H1981" t="str">
        <f>"A"</f>
        <v>A</v>
      </c>
    </row>
    <row r="1982" spans="1:8" x14ac:dyDescent="0.2">
      <c r="A1982" t="str">
        <f t="shared" si="732"/>
        <v>0617033750</v>
      </c>
      <c r="B1982" t="str">
        <f t="shared" si="733"/>
        <v>CA'MONIE</v>
      </c>
      <c r="C1982" t="str">
        <f t="shared" si="727"/>
        <v>BROWN</v>
      </c>
      <c r="D1982" t="str">
        <f t="shared" si="734"/>
        <v>09</v>
      </c>
      <c r="E1982" t="str">
        <f>"06 - S1 - B - 104 - Leslie J Barton"</f>
        <v>06 - S1 - B - 104 - Leslie J Barton</v>
      </c>
      <c r="F1982" t="str">
        <f>"FIRST AID SAFETY"</f>
        <v>FIRST AID SAFETY</v>
      </c>
      <c r="G1982" t="str">
        <f>"05-521"</f>
        <v>05-521</v>
      </c>
      <c r="H1982" t="str">
        <f>"B"</f>
        <v>B</v>
      </c>
    </row>
    <row r="1983" spans="1:8" x14ac:dyDescent="0.2">
      <c r="A1983" t="str">
        <f t="shared" si="732"/>
        <v>0617033750</v>
      </c>
      <c r="B1983" t="str">
        <f t="shared" si="733"/>
        <v>CA'MONIE</v>
      </c>
      <c r="C1983" t="str">
        <f t="shared" si="727"/>
        <v>BROWN</v>
      </c>
      <c r="D1983" t="str">
        <f t="shared" si="734"/>
        <v>09</v>
      </c>
      <c r="E1983" t="str">
        <f>"03 - A - 101 - Milca  Exantus"</f>
        <v>03 - A - 101 - Milca  Exantus</v>
      </c>
      <c r="F1983" t="str">
        <f>"ALGEBRA 1-A"</f>
        <v>ALGEBRA 1-A</v>
      </c>
      <c r="G1983" t="str">
        <f>"21-2145"</f>
        <v>21-2145</v>
      </c>
      <c r="H1983" t="str">
        <f>"A"</f>
        <v>A</v>
      </c>
    </row>
    <row r="1984" spans="1:8" x14ac:dyDescent="0.2">
      <c r="A1984" t="str">
        <f t="shared" si="732"/>
        <v>0617033750</v>
      </c>
      <c r="B1984" t="str">
        <f t="shared" si="733"/>
        <v>CA'MONIE</v>
      </c>
      <c r="C1984" t="str">
        <f t="shared" si="727"/>
        <v>BROWN</v>
      </c>
      <c r="D1984" t="str">
        <f t="shared" si="734"/>
        <v>09</v>
      </c>
      <c r="E1984" t="str">
        <f>"02 - A - 109 - Krystal Marie  Beruty"</f>
        <v>02 - A - 109 - Krystal Marie  Beruty</v>
      </c>
      <c r="F1984" t="str">
        <f>"NC STUDY HALL 1"</f>
        <v>NC STUDY HALL 1</v>
      </c>
      <c r="G1984" t="str">
        <f>"17-1721"</f>
        <v>17-1721</v>
      </c>
      <c r="H1984" t="str">
        <f>"A"</f>
        <v>A</v>
      </c>
    </row>
    <row r="1985" spans="1:8" x14ac:dyDescent="0.2">
      <c r="A1985" t="str">
        <f t="shared" si="732"/>
        <v>0617033750</v>
      </c>
      <c r="B1985" t="str">
        <f t="shared" si="733"/>
        <v>CA'MONIE</v>
      </c>
      <c r="C1985" t="str">
        <f t="shared" si="727"/>
        <v>BROWN</v>
      </c>
      <c r="D1985" t="str">
        <f t="shared" si="734"/>
        <v>09</v>
      </c>
      <c r="E1985" t="str">
        <f>"07 - B - 107 - Cerine S Stewart"</f>
        <v>07 - B - 107 - Cerine S Stewart</v>
      </c>
      <c r="F1985" t="str">
        <f>"ENG 1"</f>
        <v>ENG 1</v>
      </c>
      <c r="G1985" t="str">
        <f>"17-1720"</f>
        <v>17-1720</v>
      </c>
      <c r="H1985" t="str">
        <f>"B"</f>
        <v>B</v>
      </c>
    </row>
    <row r="1986" spans="1:8" x14ac:dyDescent="0.2">
      <c r="A1986" t="str">
        <f t="shared" si="732"/>
        <v>0617033750</v>
      </c>
      <c r="B1986" t="str">
        <f t="shared" si="733"/>
        <v>CA'MONIE</v>
      </c>
      <c r="C1986" t="str">
        <f t="shared" si="727"/>
        <v>BROWN</v>
      </c>
      <c r="D1986" t="str">
        <f t="shared" si="734"/>
        <v>09</v>
      </c>
      <c r="E1986" t="str">
        <f>"05 - B - 205 - Lenecy  Nodarse"</f>
        <v>05 - B - 205 - Lenecy  Nodarse</v>
      </c>
      <c r="F1986" t="str">
        <f>"WORLD HISTORY"</f>
        <v>WORLD HISTORY</v>
      </c>
      <c r="G1986" t="str">
        <f>"17-1741"</f>
        <v>17-1741</v>
      </c>
      <c r="H1986" t="str">
        <f>"B"</f>
        <v>B</v>
      </c>
    </row>
    <row r="1987" spans="1:8" x14ac:dyDescent="0.2">
      <c r="A1987" t="str">
        <f t="shared" si="732"/>
        <v>0617033750</v>
      </c>
      <c r="B1987" t="str">
        <f t="shared" si="733"/>
        <v>CA'MONIE</v>
      </c>
      <c r="C1987" t="str">
        <f t="shared" si="727"/>
        <v>BROWN</v>
      </c>
      <c r="D1987" t="str">
        <f t="shared" si="734"/>
        <v>09</v>
      </c>
      <c r="E1987" t="str">
        <f>"01 - A - 103 - Amy Beth  Broyles"</f>
        <v>01 - A - 103 - Amy Beth  Broyles</v>
      </c>
      <c r="F1987" t="str">
        <f>"ENV SCI"</f>
        <v>ENV SCI</v>
      </c>
      <c r="G1987" t="str">
        <f>"08-802"</f>
        <v>08-802</v>
      </c>
      <c r="H1987" t="str">
        <f>"A"</f>
        <v>A</v>
      </c>
    </row>
    <row r="1988" spans="1:8" x14ac:dyDescent="0.2">
      <c r="A1988" t="str">
        <f t="shared" si="732"/>
        <v>0617033750</v>
      </c>
      <c r="B1988" t="str">
        <f t="shared" si="733"/>
        <v>CA'MONIE</v>
      </c>
      <c r="C1988" t="str">
        <f t="shared" si="727"/>
        <v>BROWN</v>
      </c>
      <c r="D1988" t="str">
        <f t="shared" si="734"/>
        <v>09</v>
      </c>
      <c r="E1988" t="str">
        <f>"08 - B - 106 - Laselleda D Shaw"</f>
        <v>08 - B - 106 - Laselleda D Shaw</v>
      </c>
      <c r="F1988" t="str">
        <f>"INTENS READ 1"</f>
        <v>INTENS READ 1</v>
      </c>
      <c r="G1988" t="str">
        <f>"17-1723"</f>
        <v>17-1723</v>
      </c>
      <c r="H1988" t="str">
        <f>"B"</f>
        <v>B</v>
      </c>
    </row>
    <row r="1989" spans="1:8" x14ac:dyDescent="0.2">
      <c r="A1989" t="str">
        <f t="shared" ref="A1989:A1996" si="735">"0615006660"</f>
        <v>0615006660</v>
      </c>
      <c r="B1989" t="str">
        <f t="shared" ref="B1989:B1996" si="736">"CECIL"</f>
        <v>CECIL</v>
      </c>
      <c r="C1989" t="str">
        <f t="shared" ref="C1989:C2020" si="737">"BROWN"</f>
        <v>BROWN</v>
      </c>
      <c r="D1989">
        <f>11</f>
        <v>11</v>
      </c>
      <c r="E1989" t="str">
        <f>"04 - A - 103 - Lisa  Quinn"</f>
        <v>04 - A - 103 - Lisa  Quinn</v>
      </c>
      <c r="F1989" t="str">
        <f>"ENG 3"</f>
        <v>ENG 3</v>
      </c>
      <c r="G1989" t="str">
        <f>"17-1725"</f>
        <v>17-1725</v>
      </c>
      <c r="H1989" t="str">
        <f>"A"</f>
        <v>A</v>
      </c>
    </row>
    <row r="1990" spans="1:8" x14ac:dyDescent="0.2">
      <c r="A1990" t="str">
        <f t="shared" si="735"/>
        <v>0615006660</v>
      </c>
      <c r="B1990" t="str">
        <f t="shared" si="736"/>
        <v>CECIL</v>
      </c>
      <c r="C1990" t="str">
        <f t="shared" si="737"/>
        <v>BROWN</v>
      </c>
      <c r="D1990">
        <f>11</f>
        <v>11</v>
      </c>
      <c r="E1990" t="str">
        <f>"06 - B - 106 - Adam Marcus  Drucker"</f>
        <v>06 - B - 106 - Adam Marcus  Drucker</v>
      </c>
      <c r="F1990" t="str">
        <f>"HOPE-PE V"</f>
        <v>HOPE-PE V</v>
      </c>
      <c r="G1990" t="str">
        <f>"04-254"</f>
        <v>04-254</v>
      </c>
      <c r="H1990" t="str">
        <f>"B"</f>
        <v>B</v>
      </c>
    </row>
    <row r="1991" spans="1:8" x14ac:dyDescent="0.2">
      <c r="A1991" t="str">
        <f t="shared" si="735"/>
        <v>0615006660</v>
      </c>
      <c r="B1991" t="str">
        <f t="shared" si="736"/>
        <v>CECIL</v>
      </c>
      <c r="C1991" t="str">
        <f t="shared" si="737"/>
        <v>BROWN</v>
      </c>
      <c r="D1991">
        <f>11</f>
        <v>11</v>
      </c>
      <c r="E1991" t="str">
        <f>"03 - A - 102 - Cliffon  Saurel"</f>
        <v>03 - A - 102 - Cliffon  Saurel</v>
      </c>
      <c r="F1991" t="str">
        <f>"PHYSICAL SCI"</f>
        <v>PHYSICAL SCI</v>
      </c>
      <c r="G1991" t="str">
        <f>"05-522"</f>
        <v>05-522</v>
      </c>
      <c r="H1991" t="str">
        <f>"A"</f>
        <v>A</v>
      </c>
    </row>
    <row r="1992" spans="1:8" x14ac:dyDescent="0.2">
      <c r="A1992" t="str">
        <f t="shared" si="735"/>
        <v>0615006660</v>
      </c>
      <c r="B1992" t="str">
        <f t="shared" si="736"/>
        <v>CECIL</v>
      </c>
      <c r="C1992" t="str">
        <f t="shared" si="737"/>
        <v>BROWN</v>
      </c>
      <c r="D1992">
        <f>11</f>
        <v>11</v>
      </c>
      <c r="E1992" t="str">
        <f>"02 - A - 108 - Stephen T Ripp"</f>
        <v>02 - A - 108 - Stephen T Ripp</v>
      </c>
      <c r="F1992" t="str">
        <f>"NC STUDY HALL 1"</f>
        <v>NC STUDY HALL 1</v>
      </c>
      <c r="G1992" t="str">
        <f>"17-1744"</f>
        <v>17-1744</v>
      </c>
      <c r="H1992" t="str">
        <f>"A"</f>
        <v>A</v>
      </c>
    </row>
    <row r="1993" spans="1:8" x14ac:dyDescent="0.2">
      <c r="A1993" t="str">
        <f t="shared" si="735"/>
        <v>0615006660</v>
      </c>
      <c r="B1993" t="str">
        <f t="shared" si="736"/>
        <v>CECIL</v>
      </c>
      <c r="C1993" t="str">
        <f t="shared" si="737"/>
        <v>BROWN</v>
      </c>
      <c r="D1993">
        <f>11</f>
        <v>11</v>
      </c>
      <c r="E1993" t="str">
        <f>"07 - B - 110 - Ferrie J Arostique"</f>
        <v>07 - B - 110 - Ferrie J Arostique</v>
      </c>
      <c r="F1993" t="str">
        <f>"GEOMETRY"</f>
        <v>GEOMETRY</v>
      </c>
      <c r="G1993" t="str">
        <f>"21-2139"</f>
        <v>21-2139</v>
      </c>
      <c r="H1993" t="str">
        <f>"B"</f>
        <v>B</v>
      </c>
    </row>
    <row r="1994" spans="1:8" x14ac:dyDescent="0.2">
      <c r="A1994" t="str">
        <f t="shared" si="735"/>
        <v>0615006660</v>
      </c>
      <c r="B1994" t="str">
        <f t="shared" si="736"/>
        <v>CECIL</v>
      </c>
      <c r="C1994" t="str">
        <f t="shared" si="737"/>
        <v>BROWN</v>
      </c>
      <c r="D1994">
        <f>11</f>
        <v>11</v>
      </c>
      <c r="E1994" t="str">
        <f>"05 - B - 205 - Rosa Elaine  Collado-Duff"</f>
        <v>05 - B - 205 - Rosa Elaine  Collado-Duff</v>
      </c>
      <c r="F1994" t="str">
        <f>"PRE-AICE SPAN 2 IG"</f>
        <v>PRE-AICE SPAN 2 IG</v>
      </c>
      <c r="G1994" t="str">
        <f>"09-913"</f>
        <v>09-913</v>
      </c>
      <c r="H1994" t="str">
        <f>"B"</f>
        <v>B</v>
      </c>
    </row>
    <row r="1995" spans="1:8" x14ac:dyDescent="0.2">
      <c r="A1995" t="str">
        <f t="shared" si="735"/>
        <v>0615006660</v>
      </c>
      <c r="B1995" t="str">
        <f t="shared" si="736"/>
        <v>CECIL</v>
      </c>
      <c r="C1995" t="str">
        <f t="shared" si="737"/>
        <v>BROWN</v>
      </c>
      <c r="D1995">
        <f>11</f>
        <v>11</v>
      </c>
      <c r="E1995" t="str">
        <f>"01 - A - 101 - Nahum  Saint-Preux"</f>
        <v>01 - A - 101 - Nahum  Saint-Preux</v>
      </c>
      <c r="F1995" t="str">
        <f>"INTENS READ 3"</f>
        <v>INTENS READ 3</v>
      </c>
      <c r="G1995" t="str">
        <f>"17-1712"</f>
        <v>17-1712</v>
      </c>
      <c r="H1995" t="str">
        <f>"A"</f>
        <v>A</v>
      </c>
    </row>
    <row r="1996" spans="1:8" x14ac:dyDescent="0.2">
      <c r="A1996" t="str">
        <f t="shared" si="735"/>
        <v>0615006660</v>
      </c>
      <c r="B1996" t="str">
        <f t="shared" si="736"/>
        <v>CECIL</v>
      </c>
      <c r="C1996" t="str">
        <f t="shared" si="737"/>
        <v>BROWN</v>
      </c>
      <c r="D1996">
        <f>11</f>
        <v>11</v>
      </c>
      <c r="E1996" t="str">
        <f>"08 - B - 109 - Lauren N Logan"</f>
        <v>08 - B - 109 - Lauren N Logan</v>
      </c>
      <c r="F1996" t="str">
        <f>"US HISTORY"</f>
        <v>US HISTORY</v>
      </c>
      <c r="G1996" t="str">
        <f>"17-1754"</f>
        <v>17-1754</v>
      </c>
      <c r="H1996" t="str">
        <f>"B"</f>
        <v>B</v>
      </c>
    </row>
    <row r="1997" spans="1:8" x14ac:dyDescent="0.2">
      <c r="A1997" t="str">
        <f t="shared" ref="A1997:A2004" si="738">"0616024508"</f>
        <v>0616024508</v>
      </c>
      <c r="B1997" t="str">
        <f t="shared" ref="B1997:B2004" si="739">"DEANDRE"</f>
        <v>DEANDRE</v>
      </c>
      <c r="C1997" t="str">
        <f t="shared" si="737"/>
        <v>BROWN</v>
      </c>
      <c r="D1997">
        <f>10</f>
        <v>10</v>
      </c>
      <c r="E1997" t="str">
        <f>"04 - A - 105 - Jacklyn M James"</f>
        <v>04 - A - 105 - Jacklyn M James</v>
      </c>
      <c r="F1997" t="str">
        <f>"AICE ENG LANG AS"</f>
        <v>AICE ENG LANG AS</v>
      </c>
      <c r="G1997" t="str">
        <f>"17-1731"</f>
        <v>17-1731</v>
      </c>
      <c r="H1997" t="str">
        <f>"A"</f>
        <v>A</v>
      </c>
    </row>
    <row r="1998" spans="1:8" x14ac:dyDescent="0.2">
      <c r="A1998" t="str">
        <f t="shared" si="738"/>
        <v>0616024508</v>
      </c>
      <c r="B1998" t="str">
        <f t="shared" si="739"/>
        <v>DEANDRE</v>
      </c>
      <c r="C1998" t="str">
        <f t="shared" si="737"/>
        <v>BROWN</v>
      </c>
      <c r="D1998">
        <f>10</f>
        <v>10</v>
      </c>
      <c r="E1998" t="str">
        <f>"06 - B - 107 - Dorothy D Moore"</f>
        <v>06 - B - 107 - Dorothy D Moore</v>
      </c>
      <c r="F1998" t="str">
        <f>"NC STUDY HALL 1"</f>
        <v>NC STUDY HALL 1</v>
      </c>
      <c r="G1998" t="str">
        <f>"08-803"</f>
        <v>08-803</v>
      </c>
      <c r="H1998" t="str">
        <f>"B"</f>
        <v>B</v>
      </c>
    </row>
    <row r="1999" spans="1:8" x14ac:dyDescent="0.2">
      <c r="A1999" t="str">
        <f t="shared" si="738"/>
        <v>0616024508</v>
      </c>
      <c r="B1999" t="str">
        <f t="shared" si="739"/>
        <v>DEANDRE</v>
      </c>
      <c r="C1999" t="str">
        <f t="shared" si="737"/>
        <v>BROWN</v>
      </c>
      <c r="D1999">
        <f>10</f>
        <v>10</v>
      </c>
      <c r="E1999" t="str">
        <f>"03 - A - 106 - Krystal Marie  Beruty"</f>
        <v>03 - A - 106 - Krystal Marie  Beruty</v>
      </c>
      <c r="F1999" t="str">
        <f>"AICE PSYCH 1 AS"</f>
        <v>AICE PSYCH 1 AS</v>
      </c>
      <c r="G1999" t="str">
        <f>"17-1721"</f>
        <v>17-1721</v>
      </c>
      <c r="H1999" t="str">
        <f>"A"</f>
        <v>A</v>
      </c>
    </row>
    <row r="2000" spans="1:8" x14ac:dyDescent="0.2">
      <c r="A2000" t="str">
        <f t="shared" si="738"/>
        <v>0616024508</v>
      </c>
      <c r="B2000" t="str">
        <f t="shared" si="739"/>
        <v>DEANDRE</v>
      </c>
      <c r="C2000" t="str">
        <f t="shared" si="737"/>
        <v>BROWN</v>
      </c>
      <c r="D2000">
        <f>10</f>
        <v>10</v>
      </c>
      <c r="E2000" t="str">
        <f>"02 - A - 102 - Vanessa J Liburd"</f>
        <v>02 - A - 102 - Vanessa J Liburd</v>
      </c>
      <c r="F2000" t="str">
        <f>"PRE-AICE FRENCH 2 IG"</f>
        <v>PRE-AICE FRENCH 2 IG</v>
      </c>
      <c r="G2000" t="str">
        <f>"05-519"</f>
        <v>05-519</v>
      </c>
      <c r="H2000" t="str">
        <f>"A"</f>
        <v>A</v>
      </c>
    </row>
    <row r="2001" spans="1:8" x14ac:dyDescent="0.2">
      <c r="A2001" t="str">
        <f t="shared" si="738"/>
        <v>0616024508</v>
      </c>
      <c r="B2001" t="str">
        <f t="shared" si="739"/>
        <v>DEANDRE</v>
      </c>
      <c r="C2001" t="str">
        <f t="shared" si="737"/>
        <v>BROWN</v>
      </c>
      <c r="D2001">
        <f>10</f>
        <v>10</v>
      </c>
      <c r="E2001" t="str">
        <f>"07 - B - 204 - Elizabeth Ellen  Moran"</f>
        <v>07 - B - 204 - Elizabeth Ellen  Moran</v>
      </c>
      <c r="F2001" t="str">
        <f>"AICE EURO HIST 1 AS"</f>
        <v>AICE EURO HIST 1 AS</v>
      </c>
      <c r="G2001" t="str">
        <f>"17-1752"</f>
        <v>17-1752</v>
      </c>
      <c r="H2001" t="str">
        <f>"B"</f>
        <v>B</v>
      </c>
    </row>
    <row r="2002" spans="1:8" x14ac:dyDescent="0.2">
      <c r="A2002" t="str">
        <f t="shared" si="738"/>
        <v>0616024508</v>
      </c>
      <c r="B2002" t="str">
        <f t="shared" si="739"/>
        <v>DEANDRE</v>
      </c>
      <c r="C2002" t="str">
        <f t="shared" si="737"/>
        <v>BROWN</v>
      </c>
      <c r="D2002">
        <f>10</f>
        <v>10</v>
      </c>
      <c r="E2002" t="str">
        <f>"05 - B - 108 - Valerie J Ruwe"</f>
        <v>05 - B - 108 - Valerie J Ruwe</v>
      </c>
      <c r="F2002" t="str">
        <f>"CHEMISTRY 1 HON"</f>
        <v>CHEMISTRY 1 HON</v>
      </c>
      <c r="G2002" t="str">
        <f>"21-2138"</f>
        <v>21-2138</v>
      </c>
      <c r="H2002" t="str">
        <f>"B"</f>
        <v>B</v>
      </c>
    </row>
    <row r="2003" spans="1:8" x14ac:dyDescent="0.2">
      <c r="A2003" t="str">
        <f t="shared" si="738"/>
        <v>0616024508</v>
      </c>
      <c r="B2003" t="str">
        <f t="shared" si="739"/>
        <v>DEANDRE</v>
      </c>
      <c r="C2003" t="str">
        <f t="shared" si="737"/>
        <v>BROWN</v>
      </c>
      <c r="D2003">
        <f>10</f>
        <v>10</v>
      </c>
      <c r="E2003" t="str">
        <f>"01 - A - 102 - Brook E Goren"</f>
        <v>01 - A - 102 - Brook E Goren</v>
      </c>
      <c r="F2003" t="str">
        <f>"PRE-AICE MATH 2 IG"</f>
        <v>PRE-AICE MATH 2 IG</v>
      </c>
      <c r="G2003" t="str">
        <f>"21-2158"</f>
        <v>21-2158</v>
      </c>
      <c r="H2003" t="str">
        <f>"A"</f>
        <v>A</v>
      </c>
    </row>
    <row r="2004" spans="1:8" x14ac:dyDescent="0.2">
      <c r="A2004" t="str">
        <f t="shared" si="738"/>
        <v>0616024508</v>
      </c>
      <c r="B2004" t="str">
        <f t="shared" si="739"/>
        <v>DEANDRE</v>
      </c>
      <c r="C2004" t="str">
        <f t="shared" si="737"/>
        <v>BROWN</v>
      </c>
      <c r="D2004">
        <f>10</f>
        <v>10</v>
      </c>
      <c r="E2004" t="str">
        <f>"08 - B - 001 - Chrystina M Marchionne"</f>
        <v>08 - B - 001 - Chrystina M Marchionne</v>
      </c>
      <c r="F2004" t="str">
        <f>"JOURN 1 (YB) LH"</f>
        <v>JOURN 1 (YB) LH</v>
      </c>
      <c r="G2004" t="str">
        <f>"05-520"</f>
        <v>05-520</v>
      </c>
      <c r="H2004" t="str">
        <f>"B"</f>
        <v>B</v>
      </c>
    </row>
    <row r="2005" spans="1:8" x14ac:dyDescent="0.2">
      <c r="A2005" t="str">
        <f t="shared" ref="A2005:A2012" si="740">"0613091873"</f>
        <v>0613091873</v>
      </c>
      <c r="B2005" t="str">
        <f t="shared" ref="B2005:B2012" si="741">"DESTINY"</f>
        <v>DESTINY</v>
      </c>
      <c r="C2005" t="str">
        <f t="shared" si="737"/>
        <v>BROWN</v>
      </c>
      <c r="D2005">
        <f>12</f>
        <v>12</v>
      </c>
      <c r="E2005" t="str">
        <f>"04 - A - 205 - Jacqueline R Morphet"</f>
        <v>04 - A - 205 - Jacqueline R Morphet</v>
      </c>
      <c r="F2005" t="str">
        <f>"PHYSICS 1 HON"</f>
        <v>PHYSICS 1 HON</v>
      </c>
      <c r="G2005" t="str">
        <f>"21-2138"</f>
        <v>21-2138</v>
      </c>
      <c r="H2005" t="str">
        <f>"A"</f>
        <v>A</v>
      </c>
    </row>
    <row r="2006" spans="1:8" x14ac:dyDescent="0.2">
      <c r="A2006" t="str">
        <f t="shared" si="740"/>
        <v>0613091873</v>
      </c>
      <c r="B2006" t="str">
        <f t="shared" si="741"/>
        <v>DESTINY</v>
      </c>
      <c r="C2006" t="str">
        <f t="shared" si="737"/>
        <v>BROWN</v>
      </c>
      <c r="D2006">
        <f>12</f>
        <v>12</v>
      </c>
      <c r="E2006" t="str">
        <f>"06 - B - 101 - Lenecy  Nodarse"</f>
        <v>06 - B - 101 - Lenecy  Nodarse</v>
      </c>
      <c r="F2006" t="str">
        <f>"NC STUDY HALL 1"</f>
        <v>NC STUDY HALL 1</v>
      </c>
      <c r="G2006" t="str">
        <f>"17-1741"</f>
        <v>17-1741</v>
      </c>
      <c r="H2006" t="str">
        <f>"B"</f>
        <v>B</v>
      </c>
    </row>
    <row r="2007" spans="1:8" x14ac:dyDescent="0.2">
      <c r="A2007" t="str">
        <f t="shared" si="740"/>
        <v>0613091873</v>
      </c>
      <c r="B2007" t="str">
        <f t="shared" si="741"/>
        <v>DESTINY</v>
      </c>
      <c r="C2007" t="str">
        <f t="shared" si="737"/>
        <v>BROWN</v>
      </c>
      <c r="D2007">
        <f>12</f>
        <v>12</v>
      </c>
      <c r="E2007" t="str">
        <f>"03 - A - 101 - Lisa J London"</f>
        <v>03 - A - 101 - Lisa J London</v>
      </c>
      <c r="F2007" t="str">
        <f>"AP CAPSTONE RESEARCH"</f>
        <v>AP CAPSTONE RESEARCH</v>
      </c>
      <c r="G2007" t="str">
        <f>"17-1714"</f>
        <v>17-1714</v>
      </c>
      <c r="H2007" t="str">
        <f>"A"</f>
        <v>A</v>
      </c>
    </row>
    <row r="2008" spans="1:8" x14ac:dyDescent="0.2">
      <c r="A2008" t="str">
        <f t="shared" si="740"/>
        <v>0613091873</v>
      </c>
      <c r="B2008" t="str">
        <f t="shared" si="741"/>
        <v>DESTINY</v>
      </c>
      <c r="C2008" t="str">
        <f t="shared" si="737"/>
        <v>BROWN</v>
      </c>
      <c r="D2008">
        <f>12</f>
        <v>12</v>
      </c>
      <c r="E2008" t="str">
        <f>"02 - A - 107 - Tina M Jaramillo"</f>
        <v>02 - A - 107 - Tina M Jaramillo</v>
      </c>
      <c r="F2008" t="str">
        <f>"AP ENG LIT COMPO"</f>
        <v>AP ENG LIT COMPO</v>
      </c>
      <c r="G2008" t="str">
        <f>"17-1706"</f>
        <v>17-1706</v>
      </c>
      <c r="H2008" t="str">
        <f>"A"</f>
        <v>A</v>
      </c>
    </row>
    <row r="2009" spans="1:8" x14ac:dyDescent="0.2">
      <c r="A2009" t="str">
        <f t="shared" si="740"/>
        <v>0613091873</v>
      </c>
      <c r="B2009" t="str">
        <f t="shared" si="741"/>
        <v>DESTINY</v>
      </c>
      <c r="C2009" t="str">
        <f t="shared" si="737"/>
        <v>BROWN</v>
      </c>
      <c r="D2009">
        <f>12</f>
        <v>12</v>
      </c>
      <c r="E2009" t="str">
        <f>"07 - S1 - B - 102 - Barbara L Segal"</f>
        <v>07 - S1 - B - 102 - Barbara L Segal</v>
      </c>
      <c r="F2009" t="str">
        <f>"AP US GOVT/POL"</f>
        <v>AP US GOVT/POL</v>
      </c>
      <c r="G2009" t="str">
        <f>"17-1742"</f>
        <v>17-1742</v>
      </c>
      <c r="H2009" t="str">
        <f>"B"</f>
        <v>B</v>
      </c>
    </row>
    <row r="2010" spans="1:8" x14ac:dyDescent="0.2">
      <c r="A2010" t="str">
        <f t="shared" si="740"/>
        <v>0613091873</v>
      </c>
      <c r="B2010" t="str">
        <f t="shared" si="741"/>
        <v>DESTINY</v>
      </c>
      <c r="C2010" t="str">
        <f t="shared" si="737"/>
        <v>BROWN</v>
      </c>
      <c r="D2010">
        <f>12</f>
        <v>12</v>
      </c>
      <c r="E2010" t="str">
        <f>"05 - B - 101 - Angela S Adeshina-Morrison"</f>
        <v>05 - B - 101 - Angela S Adeshina-Morrison</v>
      </c>
      <c r="F2010" t="str">
        <f>"MKT MANAGEMENT LH"</f>
        <v>MKT MANAGEMENT LH</v>
      </c>
      <c r="G2010" t="str">
        <f>"05-518"</f>
        <v>05-518</v>
      </c>
      <c r="H2010" t="str">
        <f>"B"</f>
        <v>B</v>
      </c>
    </row>
    <row r="2011" spans="1:8" x14ac:dyDescent="0.2">
      <c r="A2011" t="str">
        <f t="shared" si="740"/>
        <v>0613091873</v>
      </c>
      <c r="B2011" t="str">
        <f t="shared" si="741"/>
        <v>DESTINY</v>
      </c>
      <c r="C2011" t="str">
        <f t="shared" si="737"/>
        <v>BROWN</v>
      </c>
      <c r="D2011">
        <f>12</f>
        <v>12</v>
      </c>
      <c r="E2011" t="str">
        <f>"01 - A - 101 - Kelly N Panza"</f>
        <v>01 - A - 101 - Kelly N Panza</v>
      </c>
      <c r="F2011" t="str">
        <f>"AP HUMAN GEOG"</f>
        <v>AP HUMAN GEOG</v>
      </c>
      <c r="G2011" t="str">
        <f>"17-1753"</f>
        <v>17-1753</v>
      </c>
      <c r="H2011" t="str">
        <f>"A"</f>
        <v>A</v>
      </c>
    </row>
    <row r="2012" spans="1:8" x14ac:dyDescent="0.2">
      <c r="A2012" t="str">
        <f t="shared" si="740"/>
        <v>0613091873</v>
      </c>
      <c r="B2012" t="str">
        <f t="shared" si="741"/>
        <v>DESTINY</v>
      </c>
      <c r="C2012" t="str">
        <f t="shared" si="737"/>
        <v>BROWN</v>
      </c>
      <c r="D2012">
        <f>12</f>
        <v>12</v>
      </c>
      <c r="E2012" t="str">
        <f>"08 - B - 001 - Chrystina M Marchionne"</f>
        <v>08 - B - 001 - Chrystina M Marchionne</v>
      </c>
      <c r="F2012" t="str">
        <f>"JOURN 1 (YB) LH"</f>
        <v>JOURN 1 (YB) LH</v>
      </c>
      <c r="G2012" t="str">
        <f>"05-520"</f>
        <v>05-520</v>
      </c>
      <c r="H2012" t="str">
        <f>"B"</f>
        <v>B</v>
      </c>
    </row>
    <row r="2013" spans="1:8" x14ac:dyDescent="0.2">
      <c r="A2013" t="str">
        <f t="shared" ref="A2013:A2020" si="742">"0617097592"</f>
        <v>0617097592</v>
      </c>
      <c r="B2013" t="str">
        <f t="shared" ref="B2013:B2020" si="743">"ELLIANA"</f>
        <v>ELLIANA</v>
      </c>
      <c r="C2013" t="str">
        <f t="shared" si="737"/>
        <v>BROWN</v>
      </c>
      <c r="D2013">
        <f>11</f>
        <v>11</v>
      </c>
      <c r="E2013" t="str">
        <f>"04 - A - 102 - Jeffrey S Gallagher"</f>
        <v>04 - A - 102 - Jeffrey S Gallagher</v>
      </c>
      <c r="F2013" t="str">
        <f>"ENG HON 3"</f>
        <v>ENG HON 3</v>
      </c>
      <c r="G2013" t="str">
        <f>"17-1724"</f>
        <v>17-1724</v>
      </c>
      <c r="H2013" t="str">
        <f>"A"</f>
        <v>A</v>
      </c>
    </row>
    <row r="2014" spans="1:8" x14ac:dyDescent="0.2">
      <c r="A2014" t="str">
        <f t="shared" si="742"/>
        <v>0617097592</v>
      </c>
      <c r="B2014" t="str">
        <f t="shared" si="743"/>
        <v>ELLIANA</v>
      </c>
      <c r="C2014" t="str">
        <f t="shared" si="737"/>
        <v>BROWN</v>
      </c>
      <c r="D2014">
        <f>11</f>
        <v>11</v>
      </c>
      <c r="E2014" t="str">
        <f>"06 - B - 002 - Kyle  Robbins"</f>
        <v>06 - B - 002 - Kyle  Robbins</v>
      </c>
      <c r="F2014" t="str">
        <f>"US HISTORY HON"</f>
        <v>US HISTORY HON</v>
      </c>
      <c r="G2014" t="str">
        <f>"17-1745"</f>
        <v>17-1745</v>
      </c>
      <c r="H2014" t="str">
        <f>"B"</f>
        <v>B</v>
      </c>
    </row>
    <row r="2015" spans="1:8" x14ac:dyDescent="0.2">
      <c r="A2015" t="str">
        <f t="shared" si="742"/>
        <v>0617097592</v>
      </c>
      <c r="B2015" t="str">
        <f t="shared" si="743"/>
        <v>ELLIANA</v>
      </c>
      <c r="C2015" t="str">
        <f t="shared" si="737"/>
        <v>BROWN</v>
      </c>
      <c r="D2015">
        <f>11</f>
        <v>11</v>
      </c>
      <c r="E2015" t="str">
        <f>"03 - A - 201 - Chrystina M Marchionne"</f>
        <v>03 - A - 201 - Chrystina M Marchionne</v>
      </c>
      <c r="F2015" t="str">
        <f>"JOURN 1 (YB) LH"</f>
        <v>JOURN 1 (YB) LH</v>
      </c>
      <c r="G2015" t="str">
        <f>"05-520"</f>
        <v>05-520</v>
      </c>
      <c r="H2015" t="str">
        <f>"A"</f>
        <v>A</v>
      </c>
    </row>
    <row r="2016" spans="1:8" x14ac:dyDescent="0.2">
      <c r="A2016" t="str">
        <f t="shared" si="742"/>
        <v>0617097592</v>
      </c>
      <c r="B2016" t="str">
        <f t="shared" si="743"/>
        <v>ELLIANA</v>
      </c>
      <c r="C2016" t="str">
        <f t="shared" si="737"/>
        <v>BROWN</v>
      </c>
      <c r="D2016">
        <f>11</f>
        <v>11</v>
      </c>
      <c r="E2016" t="str">
        <f>"02 - A - 101 - Milca  Exantus"</f>
        <v>02 - A - 101 - Milca  Exantus</v>
      </c>
      <c r="F2016" t="str">
        <f>"NC STUDY HALL 1"</f>
        <v>NC STUDY HALL 1</v>
      </c>
      <c r="G2016" t="str">
        <f>"21-2145"</f>
        <v>21-2145</v>
      </c>
      <c r="H2016" t="str">
        <f>"A"</f>
        <v>A</v>
      </c>
    </row>
    <row r="2017" spans="1:8" x14ac:dyDescent="0.2">
      <c r="A2017" t="str">
        <f t="shared" si="742"/>
        <v>0617097592</v>
      </c>
      <c r="B2017" t="str">
        <f t="shared" si="743"/>
        <v>ELLIANA</v>
      </c>
      <c r="C2017" t="str">
        <f t="shared" si="737"/>
        <v>BROWN</v>
      </c>
      <c r="D2017">
        <f>11</f>
        <v>11</v>
      </c>
      <c r="E2017" t="str">
        <f>"07 - B - 105 - Robert H Rindner"</f>
        <v>07 - B - 105 - Robert H Rindner</v>
      </c>
      <c r="F2017" t="str">
        <f>"MATH DATA&amp;FIN LIT H"</f>
        <v>MATH DATA&amp;FIN LIT H</v>
      </c>
      <c r="G2017" t="str">
        <f>"21-2160"</f>
        <v>21-2160</v>
      </c>
      <c r="H2017" t="str">
        <f>"B"</f>
        <v>B</v>
      </c>
    </row>
    <row r="2018" spans="1:8" x14ac:dyDescent="0.2">
      <c r="A2018" t="str">
        <f t="shared" si="742"/>
        <v>0617097592</v>
      </c>
      <c r="B2018" t="str">
        <f t="shared" si="743"/>
        <v>ELLIANA</v>
      </c>
      <c r="C2018" t="str">
        <f t="shared" si="737"/>
        <v>BROWN</v>
      </c>
      <c r="D2018">
        <f>11</f>
        <v>11</v>
      </c>
      <c r="E2018" t="str">
        <f>"05 - B - 108 - Valerie J Ruwe"</f>
        <v>05 - B - 108 - Valerie J Ruwe</v>
      </c>
      <c r="F2018" t="str">
        <f>"CHEMISTRY 1 HON"</f>
        <v>CHEMISTRY 1 HON</v>
      </c>
      <c r="G2018" t="str">
        <f>"21-2138"</f>
        <v>21-2138</v>
      </c>
      <c r="H2018" t="str">
        <f>"B"</f>
        <v>B</v>
      </c>
    </row>
    <row r="2019" spans="1:8" x14ac:dyDescent="0.2">
      <c r="A2019" t="str">
        <f t="shared" si="742"/>
        <v>0617097592</v>
      </c>
      <c r="B2019" t="str">
        <f t="shared" si="743"/>
        <v>ELLIANA</v>
      </c>
      <c r="C2019" t="str">
        <f t="shared" si="737"/>
        <v>BROWN</v>
      </c>
      <c r="D2019">
        <f>11</f>
        <v>11</v>
      </c>
      <c r="E2019" t="str">
        <f>"01 - A - 101 - Nikiel  Nesbeth"</f>
        <v>01 - A - 101 - Nikiel  Nesbeth</v>
      </c>
      <c r="F2019" t="str">
        <f>"CONST LAW HON"</f>
        <v>CONST LAW HON</v>
      </c>
      <c r="G2019" t="str">
        <f>"17-1705"</f>
        <v>17-1705</v>
      </c>
      <c r="H2019" t="str">
        <f>"A"</f>
        <v>A</v>
      </c>
    </row>
    <row r="2020" spans="1:8" x14ac:dyDescent="0.2">
      <c r="A2020" t="str">
        <f t="shared" si="742"/>
        <v>0617097592</v>
      </c>
      <c r="B2020" t="str">
        <f t="shared" si="743"/>
        <v>ELLIANA</v>
      </c>
      <c r="C2020" t="str">
        <f t="shared" si="737"/>
        <v>BROWN</v>
      </c>
      <c r="D2020">
        <f>11</f>
        <v>11</v>
      </c>
      <c r="E2020" t="str">
        <f>"08 - B - 101 - Marius D Orsolini"</f>
        <v>08 - B - 101 - Marius D Orsolini</v>
      </c>
      <c r="F2020" t="str">
        <f>"CULINARY ARTS 2"</f>
        <v>CULINARY ARTS 2</v>
      </c>
      <c r="G2020" t="str">
        <f>"21-2115"</f>
        <v>21-2115</v>
      </c>
      <c r="H2020" t="str">
        <f>"B"</f>
        <v>B</v>
      </c>
    </row>
    <row r="2021" spans="1:8" x14ac:dyDescent="0.2">
      <c r="A2021" t="str">
        <f t="shared" ref="A2021:A2028" si="744">"0615023110"</f>
        <v>0615023110</v>
      </c>
      <c r="B2021" t="str">
        <f t="shared" ref="B2021:B2028" si="745">"JADA"</f>
        <v>JADA</v>
      </c>
      <c r="C2021" t="str">
        <f t="shared" ref="C2021:C2052" si="746">"BROWN"</f>
        <v>BROWN</v>
      </c>
      <c r="D2021">
        <f>10</f>
        <v>10</v>
      </c>
      <c r="E2021" t="str">
        <f>"04 - A - 103 - Joe  Kilpatrick Jr"</f>
        <v>04 - A - 103 - Joe  Kilpatrick Jr</v>
      </c>
      <c r="F2021" t="str">
        <f>"PRE-AICE SPAN 1 IG"</f>
        <v>PRE-AICE SPAN 1 IG</v>
      </c>
      <c r="G2021" t="str">
        <f>"09-912"</f>
        <v>09-912</v>
      </c>
      <c r="H2021" t="str">
        <f>"A"</f>
        <v>A</v>
      </c>
    </row>
    <row r="2022" spans="1:8" x14ac:dyDescent="0.2">
      <c r="A2022" t="str">
        <f t="shared" si="744"/>
        <v>0615023110</v>
      </c>
      <c r="B2022" t="str">
        <f t="shared" si="745"/>
        <v>JADA</v>
      </c>
      <c r="C2022" t="str">
        <f t="shared" si="746"/>
        <v>BROWN</v>
      </c>
      <c r="D2022">
        <f>10</f>
        <v>10</v>
      </c>
      <c r="E2022" t="str">
        <f>"06 - B - 001 - Ferrie J Arostique"</f>
        <v>06 - B - 001 - Ferrie J Arostique</v>
      </c>
      <c r="F2022" t="str">
        <f>"NC STUDY HALL 1"</f>
        <v>NC STUDY HALL 1</v>
      </c>
      <c r="G2022" t="str">
        <f>"21-2139"</f>
        <v>21-2139</v>
      </c>
      <c r="H2022" t="str">
        <f>"B"</f>
        <v>B</v>
      </c>
    </row>
    <row r="2023" spans="1:8" x14ac:dyDescent="0.2">
      <c r="A2023" t="str">
        <f t="shared" si="744"/>
        <v>0615023110</v>
      </c>
      <c r="B2023" t="str">
        <f t="shared" si="745"/>
        <v>JADA</v>
      </c>
      <c r="C2023" t="str">
        <f t="shared" si="746"/>
        <v>BROWN</v>
      </c>
      <c r="D2023">
        <f>10</f>
        <v>10</v>
      </c>
      <c r="E2023" t="str">
        <f>"03 - A - 104 - Fernando  Vega-Cid"</f>
        <v>03 - A - 104 - Fernando  Vega-Cid</v>
      </c>
      <c r="F2023" t="str">
        <f>"GEOMETRY"</f>
        <v>GEOMETRY</v>
      </c>
      <c r="G2023" t="str">
        <f>"21-2163"</f>
        <v>21-2163</v>
      </c>
      <c r="H2023" t="str">
        <f>"A"</f>
        <v>A</v>
      </c>
    </row>
    <row r="2024" spans="1:8" x14ac:dyDescent="0.2">
      <c r="A2024" t="str">
        <f t="shared" si="744"/>
        <v>0615023110</v>
      </c>
      <c r="B2024" t="str">
        <f t="shared" si="745"/>
        <v>JADA</v>
      </c>
      <c r="C2024" t="str">
        <f t="shared" si="746"/>
        <v>BROWN</v>
      </c>
      <c r="D2024">
        <f>10</f>
        <v>10</v>
      </c>
      <c r="E2024" t="str">
        <f>"02 - A - 102 - Taraneh C Abreu"</f>
        <v>02 - A - 102 - Taraneh C Abreu</v>
      </c>
      <c r="F2024" t="str">
        <f>"INTENS READ 2"</f>
        <v>INTENS READ 2</v>
      </c>
      <c r="G2024" t="str">
        <f>"17-1713"</f>
        <v>17-1713</v>
      </c>
      <c r="H2024" t="str">
        <f>"A"</f>
        <v>A</v>
      </c>
    </row>
    <row r="2025" spans="1:8" x14ac:dyDescent="0.2">
      <c r="A2025" t="str">
        <f t="shared" si="744"/>
        <v>0615023110</v>
      </c>
      <c r="B2025" t="str">
        <f t="shared" si="745"/>
        <v>JADA</v>
      </c>
      <c r="C2025" t="str">
        <f t="shared" si="746"/>
        <v>BROWN</v>
      </c>
      <c r="D2025">
        <f>10</f>
        <v>10</v>
      </c>
      <c r="E2025" t="str">
        <f>"07 - B - 107 - Marius D Orsolini"</f>
        <v>07 - B - 107 - Marius D Orsolini</v>
      </c>
      <c r="F2025" t="str">
        <f>"CULINARY ARTS 1"</f>
        <v>CULINARY ARTS 1</v>
      </c>
      <c r="G2025" t="str">
        <f>"21-2115"</f>
        <v>21-2115</v>
      </c>
      <c r="H2025" t="str">
        <f>"B"</f>
        <v>B</v>
      </c>
    </row>
    <row r="2026" spans="1:8" x14ac:dyDescent="0.2">
      <c r="A2026" t="str">
        <f t="shared" si="744"/>
        <v>0615023110</v>
      </c>
      <c r="B2026" t="str">
        <f t="shared" si="745"/>
        <v>JADA</v>
      </c>
      <c r="C2026" t="str">
        <f t="shared" si="746"/>
        <v>BROWN</v>
      </c>
      <c r="D2026">
        <f>10</f>
        <v>10</v>
      </c>
      <c r="E2026" t="str">
        <f>"05 - B - 107 - Nikiel  Nesbeth"</f>
        <v>05 - B - 107 - Nikiel  Nesbeth</v>
      </c>
      <c r="F2026" t="str">
        <f>"ENG 2"</f>
        <v>ENG 2</v>
      </c>
      <c r="G2026" t="str">
        <f>"17-1705"</f>
        <v>17-1705</v>
      </c>
      <c r="H2026" t="str">
        <f>"B"</f>
        <v>B</v>
      </c>
    </row>
    <row r="2027" spans="1:8" x14ac:dyDescent="0.2">
      <c r="A2027" t="str">
        <f t="shared" si="744"/>
        <v>0615023110</v>
      </c>
      <c r="B2027" t="str">
        <f t="shared" si="745"/>
        <v>JADA</v>
      </c>
      <c r="C2027" t="str">
        <f t="shared" si="746"/>
        <v>BROWN</v>
      </c>
      <c r="D2027">
        <f>10</f>
        <v>10</v>
      </c>
      <c r="E2027" t="str">
        <f>"01 - S1 - A - 101 - Carol S Moore"</f>
        <v>01 - S1 - A - 101 - Carol S Moore</v>
      </c>
      <c r="F2027" t="str">
        <f>"PERS FIN &amp; MON MGT H"</f>
        <v>PERS FIN &amp; MON MGT H</v>
      </c>
      <c r="G2027" t="str">
        <f>"17-1733"</f>
        <v>17-1733</v>
      </c>
      <c r="H2027" t="str">
        <f>"A"</f>
        <v>A</v>
      </c>
    </row>
    <row r="2028" spans="1:8" x14ac:dyDescent="0.2">
      <c r="A2028" t="str">
        <f t="shared" si="744"/>
        <v>0615023110</v>
      </c>
      <c r="B2028" t="str">
        <f t="shared" si="745"/>
        <v>JADA</v>
      </c>
      <c r="C2028" t="str">
        <f t="shared" si="746"/>
        <v>BROWN</v>
      </c>
      <c r="D2028">
        <f>10</f>
        <v>10</v>
      </c>
      <c r="E2028" t="str">
        <f>"08 - B - 108 - Paige Lauren  Brochu"</f>
        <v>08 - B - 108 - Paige Lauren  Brochu</v>
      </c>
      <c r="F2028" t="str">
        <f>"BIOLOGY 1"</f>
        <v>BIOLOGY 1</v>
      </c>
      <c r="G2028" t="str">
        <f>"21-2134"</f>
        <v>21-2134</v>
      </c>
      <c r="H2028" t="str">
        <f>"B"</f>
        <v>B</v>
      </c>
    </row>
    <row r="2029" spans="1:8" x14ac:dyDescent="0.2">
      <c r="A2029" t="str">
        <f t="shared" ref="A2029:A2036" si="747">"0616136672"</f>
        <v>0616136672</v>
      </c>
      <c r="B2029" t="str">
        <f t="shared" ref="B2029:B2036" si="748">"JAYLA"</f>
        <v>JAYLA</v>
      </c>
      <c r="C2029" t="str">
        <f t="shared" si="746"/>
        <v>BROWN</v>
      </c>
      <c r="D2029">
        <f>11</f>
        <v>11</v>
      </c>
      <c r="E2029" t="str">
        <f>"04 - A - 201 - Arthur  Kulawik"</f>
        <v>04 - A - 201 - Arthur  Kulawik</v>
      </c>
      <c r="F2029" t="str">
        <f>"DEBATE 4 HON"</f>
        <v>DEBATE 4 HON</v>
      </c>
      <c r="G2029" t="str">
        <f>"05-506"</f>
        <v>05-506</v>
      </c>
      <c r="H2029" t="str">
        <f>"A"</f>
        <v>A</v>
      </c>
    </row>
    <row r="2030" spans="1:8" x14ac:dyDescent="0.2">
      <c r="A2030" t="str">
        <f t="shared" si="747"/>
        <v>0616136672</v>
      </c>
      <c r="B2030" t="str">
        <f t="shared" si="748"/>
        <v>JAYLA</v>
      </c>
      <c r="C2030" t="str">
        <f t="shared" si="746"/>
        <v>BROWN</v>
      </c>
      <c r="D2030">
        <f>11</f>
        <v>11</v>
      </c>
      <c r="E2030" t="str">
        <f>"06 - B - 002 - Kyle  Robbins"</f>
        <v>06 - B - 002 - Kyle  Robbins</v>
      </c>
      <c r="F2030" t="str">
        <f>"US HISTORY HON"</f>
        <v>US HISTORY HON</v>
      </c>
      <c r="G2030" t="str">
        <f>"17-1745"</f>
        <v>17-1745</v>
      </c>
      <c r="H2030" t="str">
        <f>"B"</f>
        <v>B</v>
      </c>
    </row>
    <row r="2031" spans="1:8" x14ac:dyDescent="0.2">
      <c r="A2031" t="str">
        <f t="shared" si="747"/>
        <v>0616136672</v>
      </c>
      <c r="B2031" t="str">
        <f t="shared" si="748"/>
        <v>JAYLA</v>
      </c>
      <c r="C2031" t="str">
        <f t="shared" si="746"/>
        <v>BROWN</v>
      </c>
      <c r="D2031">
        <f>11</f>
        <v>11</v>
      </c>
      <c r="E2031" t="str">
        <f>"03 - A - 201 - Christa T Parisi"</f>
        <v>03 - A - 201 - Christa T Parisi</v>
      </c>
      <c r="F2031" t="str">
        <f>"DANCE TECHNQS 1"</f>
        <v>DANCE TECHNQS 1</v>
      </c>
      <c r="G2031" t="str">
        <f>"05-503"</f>
        <v>05-503</v>
      </c>
      <c r="H2031" t="str">
        <f>"A"</f>
        <v>A</v>
      </c>
    </row>
    <row r="2032" spans="1:8" x14ac:dyDescent="0.2">
      <c r="A2032" t="str">
        <f t="shared" si="747"/>
        <v>0616136672</v>
      </c>
      <c r="B2032" t="str">
        <f t="shared" si="748"/>
        <v>JAYLA</v>
      </c>
      <c r="C2032" t="str">
        <f t="shared" si="746"/>
        <v>BROWN</v>
      </c>
      <c r="D2032">
        <f>11</f>
        <v>11</v>
      </c>
      <c r="E2032" t="str">
        <f>"02 - A - 101 - Timothy J Lawrence"</f>
        <v>02 - A - 101 - Timothy J Lawrence</v>
      </c>
      <c r="F2032" t="str">
        <f>"NC STUDY HALL 1"</f>
        <v>NC STUDY HALL 1</v>
      </c>
      <c r="G2032" t="str">
        <f>"05-522"</f>
        <v>05-522</v>
      </c>
      <c r="H2032" t="str">
        <f>"A"</f>
        <v>A</v>
      </c>
    </row>
    <row r="2033" spans="1:8" x14ac:dyDescent="0.2">
      <c r="A2033" t="str">
        <f t="shared" si="747"/>
        <v>0616136672</v>
      </c>
      <c r="B2033" t="str">
        <f t="shared" si="748"/>
        <v>JAYLA</v>
      </c>
      <c r="C2033" t="str">
        <f t="shared" si="746"/>
        <v>BROWN</v>
      </c>
      <c r="D2033">
        <f>11</f>
        <v>11</v>
      </c>
      <c r="E2033" t="str">
        <f>"07 - B - 002 - Rachel M Montrose"</f>
        <v>07 - B - 002 - Rachel M Montrose</v>
      </c>
      <c r="F2033" t="str">
        <f>"JOURN 1 (NP) LH"</f>
        <v>JOURN 1 (NP) LH</v>
      </c>
      <c r="G2033" t="str">
        <f>"05-521"</f>
        <v>05-521</v>
      </c>
      <c r="H2033" t="str">
        <f>"B"</f>
        <v>B</v>
      </c>
    </row>
    <row r="2034" spans="1:8" x14ac:dyDescent="0.2">
      <c r="A2034" t="str">
        <f t="shared" si="747"/>
        <v>0616136672</v>
      </c>
      <c r="B2034" t="str">
        <f t="shared" si="748"/>
        <v>JAYLA</v>
      </c>
      <c r="C2034" t="str">
        <f t="shared" si="746"/>
        <v>BROWN</v>
      </c>
      <c r="D2034">
        <f>11</f>
        <v>11</v>
      </c>
      <c r="E2034" t="str">
        <f>"05 - B - 109 - Ferrie J Arostique"</f>
        <v>05 - B - 109 - Ferrie J Arostique</v>
      </c>
      <c r="F2034" t="str">
        <f>"GEOMETRY"</f>
        <v>GEOMETRY</v>
      </c>
      <c r="G2034" t="str">
        <f>"21-2139"</f>
        <v>21-2139</v>
      </c>
      <c r="H2034" t="str">
        <f>"B"</f>
        <v>B</v>
      </c>
    </row>
    <row r="2035" spans="1:8" x14ac:dyDescent="0.2">
      <c r="A2035" t="str">
        <f t="shared" si="747"/>
        <v>0616136672</v>
      </c>
      <c r="B2035" t="str">
        <f t="shared" si="748"/>
        <v>JAYLA</v>
      </c>
      <c r="C2035" t="str">
        <f t="shared" si="746"/>
        <v>BROWN</v>
      </c>
      <c r="D2035">
        <f>11</f>
        <v>11</v>
      </c>
      <c r="E2035" t="str">
        <f>"01 - A - 101 - Heidi M Knopp"</f>
        <v>01 - A - 101 - Heidi M Knopp</v>
      </c>
      <c r="F2035" t="str">
        <f>"ENG HON 3"</f>
        <v>ENG HON 3</v>
      </c>
      <c r="G2035" t="str">
        <f>"17-1752"</f>
        <v>17-1752</v>
      </c>
      <c r="H2035" t="str">
        <f>"A"</f>
        <v>A</v>
      </c>
    </row>
    <row r="2036" spans="1:8" x14ac:dyDescent="0.2">
      <c r="A2036" t="str">
        <f t="shared" si="747"/>
        <v>0616136672</v>
      </c>
      <c r="B2036" t="str">
        <f t="shared" si="748"/>
        <v>JAYLA</v>
      </c>
      <c r="C2036" t="str">
        <f t="shared" si="746"/>
        <v>BROWN</v>
      </c>
      <c r="D2036">
        <f>11</f>
        <v>11</v>
      </c>
      <c r="E2036" t="str">
        <f>"08 - B - 202 - Dorothy D Moore"</f>
        <v>08 - B - 202 - Dorothy D Moore</v>
      </c>
      <c r="F2036" t="str">
        <f>"HEALTH SCI 1/A&amp;P HON"</f>
        <v>HEALTH SCI 1/A&amp;P HON</v>
      </c>
      <c r="G2036" t="str">
        <f>"08-803"</f>
        <v>08-803</v>
      </c>
      <c r="H2036" t="str">
        <f>"B"</f>
        <v>B</v>
      </c>
    </row>
    <row r="2037" spans="1:8" x14ac:dyDescent="0.2">
      <c r="A2037" t="str">
        <f t="shared" ref="A2037:A2044" si="749">"0615081024"</f>
        <v>0615081024</v>
      </c>
      <c r="B2037" t="str">
        <f t="shared" ref="B2037:B2044" si="750">"JAYLEN"</f>
        <v>JAYLEN</v>
      </c>
      <c r="C2037" t="str">
        <f t="shared" si="746"/>
        <v>BROWN</v>
      </c>
      <c r="D2037" t="str">
        <f t="shared" ref="D2037:D2044" si="751">"09"</f>
        <v>09</v>
      </c>
      <c r="E2037" t="str">
        <f>"04 - A - 104 - Helen A Flores"</f>
        <v>04 - A - 104 - Helen A Flores</v>
      </c>
      <c r="F2037" t="str">
        <f>"FDN SKLS MATH 9-12"</f>
        <v>FDN SKLS MATH 9-12</v>
      </c>
      <c r="G2037" t="str">
        <f>"21-2101"</f>
        <v>21-2101</v>
      </c>
      <c r="H2037" t="str">
        <f>"A"</f>
        <v>A</v>
      </c>
    </row>
    <row r="2038" spans="1:8" x14ac:dyDescent="0.2">
      <c r="A2038" t="str">
        <f t="shared" si="749"/>
        <v>0615081024</v>
      </c>
      <c r="B2038" t="str">
        <f t="shared" si="750"/>
        <v>JAYLEN</v>
      </c>
      <c r="C2038" t="str">
        <f t="shared" si="746"/>
        <v>BROWN</v>
      </c>
      <c r="D2038" t="str">
        <f t="shared" si="751"/>
        <v>09</v>
      </c>
      <c r="E2038" t="str">
        <f>"06 - B - 202 - Alejandro  Navarro"</f>
        <v>06 - B - 202 - Alejandro  Navarro</v>
      </c>
      <c r="F2038" t="str">
        <f>"BAND 1"</f>
        <v>BAND 1</v>
      </c>
      <c r="G2038" t="str">
        <f>"05-504"</f>
        <v>05-504</v>
      </c>
      <c r="H2038" t="str">
        <f>"B"</f>
        <v>B</v>
      </c>
    </row>
    <row r="2039" spans="1:8" x14ac:dyDescent="0.2">
      <c r="A2039" t="str">
        <f t="shared" si="749"/>
        <v>0615081024</v>
      </c>
      <c r="B2039" t="str">
        <f t="shared" si="750"/>
        <v>JAYLEN</v>
      </c>
      <c r="C2039" t="str">
        <f t="shared" si="746"/>
        <v>BROWN</v>
      </c>
      <c r="D2039" t="str">
        <f t="shared" si="751"/>
        <v>09</v>
      </c>
      <c r="E2039" t="str">
        <f>"03 - A - 102 - Laselleda D Shaw"</f>
        <v>03 - A - 102 - Laselleda D Shaw</v>
      </c>
      <c r="F2039" t="str">
        <f>"INTENS READ 1"</f>
        <v>INTENS READ 1</v>
      </c>
      <c r="G2039" t="str">
        <f>"17-1723"</f>
        <v>17-1723</v>
      </c>
      <c r="H2039" t="str">
        <f>"A"</f>
        <v>A</v>
      </c>
    </row>
    <row r="2040" spans="1:8" x14ac:dyDescent="0.2">
      <c r="A2040" t="str">
        <f t="shared" si="749"/>
        <v>0615081024</v>
      </c>
      <c r="B2040" t="str">
        <f t="shared" si="750"/>
        <v>JAYLEN</v>
      </c>
      <c r="C2040" t="str">
        <f t="shared" si="746"/>
        <v>BROWN</v>
      </c>
      <c r="D2040" t="str">
        <f t="shared" si="751"/>
        <v>09</v>
      </c>
      <c r="E2040" t="str">
        <f>"02 - A - 104 - Jazmin S Fletcher"</f>
        <v>02 - A - 104 - Jazmin S Fletcher</v>
      </c>
      <c r="F2040" t="str">
        <f>"NC STUDY HALL 1"</f>
        <v>NC STUDY HALL 1</v>
      </c>
      <c r="G2040" t="str">
        <f>"09-909"</f>
        <v>09-909</v>
      </c>
      <c r="H2040" t="str">
        <f>"A"</f>
        <v>A</v>
      </c>
    </row>
    <row r="2041" spans="1:8" x14ac:dyDescent="0.2">
      <c r="A2041" t="str">
        <f t="shared" si="749"/>
        <v>0615081024</v>
      </c>
      <c r="B2041" t="str">
        <f t="shared" si="750"/>
        <v>JAYLEN</v>
      </c>
      <c r="C2041" t="str">
        <f t="shared" si="746"/>
        <v>BROWN</v>
      </c>
      <c r="D2041" t="str">
        <f t="shared" si="751"/>
        <v>09</v>
      </c>
      <c r="E2041" t="str">
        <f>"07 - B - 104 - Lissa C Frederique"</f>
        <v>07 - B - 104 - Lissa C Frederique</v>
      </c>
      <c r="F2041" t="str">
        <f>"WORLD HISTORY"</f>
        <v>WORLD HISTORY</v>
      </c>
      <c r="G2041" t="str">
        <f>"17-1754"</f>
        <v>17-1754</v>
      </c>
      <c r="H2041" t="str">
        <f>"B"</f>
        <v>B</v>
      </c>
    </row>
    <row r="2042" spans="1:8" x14ac:dyDescent="0.2">
      <c r="A2042" t="str">
        <f t="shared" si="749"/>
        <v>0615081024</v>
      </c>
      <c r="B2042" t="str">
        <f t="shared" si="750"/>
        <v>JAYLEN</v>
      </c>
      <c r="C2042" t="str">
        <f t="shared" si="746"/>
        <v>BROWN</v>
      </c>
      <c r="D2042" t="str">
        <f t="shared" si="751"/>
        <v>09</v>
      </c>
      <c r="E2042" t="str">
        <f>"05 - B - 104 - Cerine S Stewart"</f>
        <v>05 - B - 104 - Cerine S Stewart</v>
      </c>
      <c r="F2042" t="str">
        <f>"ENG 1"</f>
        <v>ENG 1</v>
      </c>
      <c r="G2042" t="str">
        <f>"17-1720"</f>
        <v>17-1720</v>
      </c>
      <c r="H2042" t="str">
        <f>"B"</f>
        <v>B</v>
      </c>
    </row>
    <row r="2043" spans="1:8" x14ac:dyDescent="0.2">
      <c r="A2043" t="str">
        <f t="shared" si="749"/>
        <v>0615081024</v>
      </c>
      <c r="B2043" t="str">
        <f t="shared" si="750"/>
        <v>JAYLEN</v>
      </c>
      <c r="C2043" t="str">
        <f t="shared" si="746"/>
        <v>BROWN</v>
      </c>
      <c r="D2043" t="str">
        <f t="shared" si="751"/>
        <v>09</v>
      </c>
      <c r="E2043" t="str">
        <f>"01 - A - 103 - Amy Beth  Broyles"</f>
        <v>01 - A - 103 - Amy Beth  Broyles</v>
      </c>
      <c r="F2043" t="str">
        <f>"ENV SCI"</f>
        <v>ENV SCI</v>
      </c>
      <c r="G2043" t="str">
        <f>"08-802"</f>
        <v>08-802</v>
      </c>
      <c r="H2043" t="str">
        <f>"A"</f>
        <v>A</v>
      </c>
    </row>
    <row r="2044" spans="1:8" x14ac:dyDescent="0.2">
      <c r="A2044" t="str">
        <f t="shared" si="749"/>
        <v>0615081024</v>
      </c>
      <c r="B2044" t="str">
        <f t="shared" si="750"/>
        <v>JAYLEN</v>
      </c>
      <c r="C2044" t="str">
        <f t="shared" si="746"/>
        <v>BROWN</v>
      </c>
      <c r="D2044" t="str">
        <f t="shared" si="751"/>
        <v>09</v>
      </c>
      <c r="E2044" t="str">
        <f>"08 - B - 106 - Helen A Flores"</f>
        <v>08 - B - 106 - Helen A Flores</v>
      </c>
      <c r="F2044" t="str">
        <f>"ALGEBRA 1"</f>
        <v>ALGEBRA 1</v>
      </c>
      <c r="G2044" t="str">
        <f>"21-2101"</f>
        <v>21-2101</v>
      </c>
      <c r="H2044" t="str">
        <f>"B"</f>
        <v>B</v>
      </c>
    </row>
    <row r="2045" spans="1:8" x14ac:dyDescent="0.2">
      <c r="A2045" t="str">
        <f t="shared" ref="A2045:A2052" si="752">"0613076145"</f>
        <v>0613076145</v>
      </c>
      <c r="B2045" t="str">
        <f t="shared" ref="B2045:B2052" si="753">"JEREMIAH"</f>
        <v>JEREMIAH</v>
      </c>
      <c r="C2045" t="str">
        <f t="shared" si="746"/>
        <v>BROWN</v>
      </c>
      <c r="D2045">
        <f>10</f>
        <v>10</v>
      </c>
      <c r="E2045" t="str">
        <f>"04 - A - 103 - Daniel S Tyson"</f>
        <v>04 - A - 103 - Daniel S Tyson</v>
      </c>
      <c r="F2045" t="str">
        <f>"JROTC NAVAL SCI 1"</f>
        <v>JROTC NAVAL SCI 1</v>
      </c>
      <c r="G2045" t="str">
        <f>"05-510"</f>
        <v>05-510</v>
      </c>
      <c r="H2045" t="str">
        <f>"A"</f>
        <v>A</v>
      </c>
    </row>
    <row r="2046" spans="1:8" x14ac:dyDescent="0.2">
      <c r="A2046" t="str">
        <f t="shared" si="752"/>
        <v>0613076145</v>
      </c>
      <c r="B2046" t="str">
        <f t="shared" si="753"/>
        <v>JEREMIAH</v>
      </c>
      <c r="C2046" t="str">
        <f t="shared" si="746"/>
        <v>BROWN</v>
      </c>
      <c r="D2046">
        <f>10</f>
        <v>10</v>
      </c>
      <c r="E2046" t="str">
        <f>"06 - B - 119 - Nikiel  Nesbeth"</f>
        <v>06 - B - 119 - Nikiel  Nesbeth</v>
      </c>
      <c r="F2046" t="str">
        <f>"NC STUDY HALL 1"</f>
        <v>NC STUDY HALL 1</v>
      </c>
      <c r="G2046" t="str">
        <f>"17-1705"</f>
        <v>17-1705</v>
      </c>
      <c r="H2046" t="str">
        <f>"B"</f>
        <v>B</v>
      </c>
    </row>
    <row r="2047" spans="1:8" x14ac:dyDescent="0.2">
      <c r="A2047" t="str">
        <f t="shared" si="752"/>
        <v>0613076145</v>
      </c>
      <c r="B2047" t="str">
        <f t="shared" si="753"/>
        <v>JEREMIAH</v>
      </c>
      <c r="C2047" t="str">
        <f t="shared" si="746"/>
        <v>BROWN</v>
      </c>
      <c r="D2047">
        <f>10</f>
        <v>10</v>
      </c>
      <c r="E2047" t="str">
        <f>"03 - A - 002 - Lenecy  Nodarse"</f>
        <v>03 - A - 002 - Lenecy  Nodarse</v>
      </c>
      <c r="F2047" t="str">
        <f>"AICE EURO HIST 1 AS"</f>
        <v>AICE EURO HIST 1 AS</v>
      </c>
      <c r="G2047" t="str">
        <f>"17-1741"</f>
        <v>17-1741</v>
      </c>
      <c r="H2047" t="str">
        <f>"A"</f>
        <v>A</v>
      </c>
    </row>
    <row r="2048" spans="1:8" x14ac:dyDescent="0.2">
      <c r="A2048" t="str">
        <f t="shared" si="752"/>
        <v>0613076145</v>
      </c>
      <c r="B2048" t="str">
        <f t="shared" si="753"/>
        <v>JEREMIAH</v>
      </c>
      <c r="C2048" t="str">
        <f t="shared" si="746"/>
        <v>BROWN</v>
      </c>
      <c r="D2048">
        <f>10</f>
        <v>10</v>
      </c>
      <c r="E2048" t="str">
        <f>"02 - A - 102 - Jacklyn M James"</f>
        <v>02 - A - 102 - Jacklyn M James</v>
      </c>
      <c r="F2048" t="str">
        <f>"AICE ENG LANG AS"</f>
        <v>AICE ENG LANG AS</v>
      </c>
      <c r="G2048" t="str">
        <f>"17-1731"</f>
        <v>17-1731</v>
      </c>
      <c r="H2048" t="str">
        <f>"A"</f>
        <v>A</v>
      </c>
    </row>
    <row r="2049" spans="1:8" x14ac:dyDescent="0.2">
      <c r="A2049" t="str">
        <f t="shared" si="752"/>
        <v>0613076145</v>
      </c>
      <c r="B2049" t="str">
        <f t="shared" si="753"/>
        <v>JEREMIAH</v>
      </c>
      <c r="C2049" t="str">
        <f t="shared" si="746"/>
        <v>BROWN</v>
      </c>
      <c r="D2049">
        <f>10</f>
        <v>10</v>
      </c>
      <c r="E2049" t="str">
        <f>"07 - B - 105 - Paige Lauren  Brochu"</f>
        <v>07 - B - 105 - Paige Lauren  Brochu</v>
      </c>
      <c r="F2049" t="str">
        <f>"PRE-AICE BIO IG"</f>
        <v>PRE-AICE BIO IG</v>
      </c>
      <c r="G2049" t="str">
        <f>"21-2134"</f>
        <v>21-2134</v>
      </c>
      <c r="H2049" t="str">
        <f>"B"</f>
        <v>B</v>
      </c>
    </row>
    <row r="2050" spans="1:8" x14ac:dyDescent="0.2">
      <c r="A2050" t="str">
        <f t="shared" si="752"/>
        <v>0613076145</v>
      </c>
      <c r="B2050" t="str">
        <f t="shared" si="753"/>
        <v>JEREMIAH</v>
      </c>
      <c r="C2050" t="str">
        <f t="shared" si="746"/>
        <v>BROWN</v>
      </c>
      <c r="D2050">
        <f>10</f>
        <v>10</v>
      </c>
      <c r="E2050" t="str">
        <f>"05 - B - 101 - Angela S Adeshina-Morrison"</f>
        <v>05 - B - 101 - Angela S Adeshina-Morrison</v>
      </c>
      <c r="F2050" t="str">
        <f>"MKT APPLCTNS LH"</f>
        <v>MKT APPLCTNS LH</v>
      </c>
      <c r="G2050" t="str">
        <f>"05-518"</f>
        <v>05-518</v>
      </c>
      <c r="H2050" t="str">
        <f>"B"</f>
        <v>B</v>
      </c>
    </row>
    <row r="2051" spans="1:8" x14ac:dyDescent="0.2">
      <c r="A2051" t="str">
        <f t="shared" si="752"/>
        <v>0613076145</v>
      </c>
      <c r="B2051" t="str">
        <f t="shared" si="753"/>
        <v>JEREMIAH</v>
      </c>
      <c r="C2051" t="str">
        <f t="shared" si="746"/>
        <v>BROWN</v>
      </c>
      <c r="D2051">
        <f>10</f>
        <v>10</v>
      </c>
      <c r="E2051" t="str">
        <f>"01 - A - 101 - Maried P Ramos"</f>
        <v>01 - A - 101 - Maried P Ramos</v>
      </c>
      <c r="F2051" t="str">
        <f>"ALGEBRA 2 HON"</f>
        <v>ALGEBRA 2 HON</v>
      </c>
      <c r="G2051" t="str">
        <f>"21-2159"</f>
        <v>21-2159</v>
      </c>
      <c r="H2051" t="str">
        <f>"A"</f>
        <v>A</v>
      </c>
    </row>
    <row r="2052" spans="1:8" x14ac:dyDescent="0.2">
      <c r="A2052" t="str">
        <f t="shared" si="752"/>
        <v>0613076145</v>
      </c>
      <c r="B2052" t="str">
        <f t="shared" si="753"/>
        <v>JEREMIAH</v>
      </c>
      <c r="C2052" t="str">
        <f t="shared" si="746"/>
        <v>BROWN</v>
      </c>
      <c r="D2052">
        <f>10</f>
        <v>10</v>
      </c>
      <c r="E2052" t="str">
        <f>"08 - B - 101 - Jordana K Hass"</f>
        <v>08 - B - 101 - Jordana K Hass</v>
      </c>
      <c r="F2052" t="str">
        <f>"AICE INFO TECH 1 AS"</f>
        <v>AICE INFO TECH 1 AS</v>
      </c>
      <c r="G2052" t="str">
        <f>"08-807"</f>
        <v>08-807</v>
      </c>
      <c r="H2052" t="str">
        <f>"B"</f>
        <v>B</v>
      </c>
    </row>
    <row r="2053" spans="1:8" x14ac:dyDescent="0.2">
      <c r="A2053" t="str">
        <f t="shared" ref="A2053:A2060" si="754">"0615072326"</f>
        <v>0615072326</v>
      </c>
      <c r="B2053" t="str">
        <f t="shared" ref="B2053:B2060" si="755">"KHALEEL"</f>
        <v>KHALEEL</v>
      </c>
      <c r="C2053" t="str">
        <f t="shared" ref="C2053:C2084" si="756">"BROWN"</f>
        <v>BROWN</v>
      </c>
      <c r="D2053">
        <f>11</f>
        <v>11</v>
      </c>
      <c r="E2053" t="str">
        <f>"04 - A - 102 - Brandy N Zdenek"</f>
        <v>04 - A - 102 - Brandy N Zdenek</v>
      </c>
      <c r="F2053" t="str">
        <f>"AICE ENG LANG 2 AL"</f>
        <v>AICE ENG LANG 2 AL</v>
      </c>
      <c r="G2053" t="str">
        <f>"17-1704"</f>
        <v>17-1704</v>
      </c>
      <c r="H2053" t="str">
        <f>"A"</f>
        <v>A</v>
      </c>
    </row>
    <row r="2054" spans="1:8" x14ac:dyDescent="0.2">
      <c r="A2054" t="str">
        <f t="shared" si="754"/>
        <v>0615072326</v>
      </c>
      <c r="B2054" t="str">
        <f t="shared" si="755"/>
        <v>KHALEEL</v>
      </c>
      <c r="C2054" t="str">
        <f t="shared" si="756"/>
        <v>BROWN</v>
      </c>
      <c r="D2054">
        <f>11</f>
        <v>11</v>
      </c>
      <c r="E2054" t="str">
        <f>"06 - B - 105 - Cheryl L Beach"</f>
        <v>06 - B - 105 - Cheryl L Beach</v>
      </c>
      <c r="F2054" t="str">
        <f>"AICE ENV MGMNT AS"</f>
        <v>AICE ENV MGMNT AS</v>
      </c>
      <c r="G2054" t="str">
        <f>"08-811"</f>
        <v>08-811</v>
      </c>
      <c r="H2054" t="str">
        <f>"B"</f>
        <v>B</v>
      </c>
    </row>
    <row r="2055" spans="1:8" x14ac:dyDescent="0.2">
      <c r="A2055" t="str">
        <f t="shared" si="754"/>
        <v>0615072326</v>
      </c>
      <c r="B2055" t="str">
        <f t="shared" si="755"/>
        <v>KHALEEL</v>
      </c>
      <c r="C2055" t="str">
        <f t="shared" si="756"/>
        <v>BROWN</v>
      </c>
      <c r="D2055">
        <f>11</f>
        <v>11</v>
      </c>
      <c r="E2055" t="str">
        <f>"03 - A - 201 - Alejandro  Navarro"</f>
        <v>03 - A - 201 - Alejandro  Navarro</v>
      </c>
      <c r="F2055" t="str">
        <f>"BAND 2"</f>
        <v>BAND 2</v>
      </c>
      <c r="G2055" t="str">
        <f>"05-504"</f>
        <v>05-504</v>
      </c>
      <c r="H2055" t="str">
        <f>"A"</f>
        <v>A</v>
      </c>
    </row>
    <row r="2056" spans="1:8" x14ac:dyDescent="0.2">
      <c r="A2056" t="str">
        <f t="shared" si="754"/>
        <v>0615072326</v>
      </c>
      <c r="B2056" t="str">
        <f t="shared" si="755"/>
        <v>KHALEEL</v>
      </c>
      <c r="C2056" t="str">
        <f t="shared" si="756"/>
        <v>BROWN</v>
      </c>
      <c r="D2056">
        <f>11</f>
        <v>11</v>
      </c>
      <c r="E2056" t="str">
        <f>"02 - A - 105 - Leslie J Barton"</f>
        <v>02 - A - 105 - Leslie J Barton</v>
      </c>
      <c r="F2056" t="str">
        <f>"NC STUDY HALL 1"</f>
        <v>NC STUDY HALL 1</v>
      </c>
      <c r="G2056" t="str">
        <f>"05-521"</f>
        <v>05-521</v>
      </c>
      <c r="H2056" t="str">
        <f>"A"</f>
        <v>A</v>
      </c>
    </row>
    <row r="2057" spans="1:8" x14ac:dyDescent="0.2">
      <c r="A2057" t="str">
        <f t="shared" si="754"/>
        <v>0615072326</v>
      </c>
      <c r="B2057" t="str">
        <f t="shared" si="755"/>
        <v>KHALEEL</v>
      </c>
      <c r="C2057" t="str">
        <f t="shared" si="756"/>
        <v>BROWN</v>
      </c>
      <c r="D2057">
        <f>11</f>
        <v>11</v>
      </c>
      <c r="E2057" t="str">
        <f>"07 - B - 104 - Jerry S Jiampetti"</f>
        <v>07 - B - 104 - Jerry S Jiampetti</v>
      </c>
      <c r="F2057" t="str">
        <f>"AICE U.S. HIST 1 AS"</f>
        <v>AICE U.S. HIST 1 AS</v>
      </c>
      <c r="G2057" t="str">
        <f>"17-1751"</f>
        <v>17-1751</v>
      </c>
      <c r="H2057" t="str">
        <f>"B"</f>
        <v>B</v>
      </c>
    </row>
    <row r="2058" spans="1:8" x14ac:dyDescent="0.2">
      <c r="A2058" t="str">
        <f t="shared" si="754"/>
        <v>0615072326</v>
      </c>
      <c r="B2058" t="str">
        <f t="shared" si="755"/>
        <v>KHALEEL</v>
      </c>
      <c r="C2058" t="str">
        <f t="shared" si="756"/>
        <v>BROWN</v>
      </c>
      <c r="D2058">
        <f>11</f>
        <v>11</v>
      </c>
      <c r="E2058" t="str">
        <f>"05 - B - 106 - Thomas G Handwerg"</f>
        <v>05 - B - 106 - Thomas G Handwerg</v>
      </c>
      <c r="F2058" t="str">
        <f>"MATH COLL ALGEBRA"</f>
        <v>MATH COLL ALGEBRA</v>
      </c>
      <c r="G2058" t="str">
        <f>"21-2146"</f>
        <v>21-2146</v>
      </c>
      <c r="H2058" t="str">
        <f>"B"</f>
        <v>B</v>
      </c>
    </row>
    <row r="2059" spans="1:8" x14ac:dyDescent="0.2">
      <c r="A2059" t="str">
        <f t="shared" si="754"/>
        <v>0615072326</v>
      </c>
      <c r="B2059" t="str">
        <f t="shared" si="755"/>
        <v>KHALEEL</v>
      </c>
      <c r="C2059" t="str">
        <f t="shared" si="756"/>
        <v>BROWN</v>
      </c>
      <c r="D2059">
        <f>11</f>
        <v>11</v>
      </c>
      <c r="E2059" t="str">
        <f>"01 - A - 101 - Chrystina M Marchionne"</f>
        <v>01 - A - 101 - Chrystina M Marchionne</v>
      </c>
      <c r="F2059" t="str">
        <f>"AICE MEDIA STUDIES A"</f>
        <v>AICE MEDIA STUDIES A</v>
      </c>
      <c r="G2059" t="str">
        <f>"05-520"</f>
        <v>05-520</v>
      </c>
      <c r="H2059" t="str">
        <f>"A"</f>
        <v>A</v>
      </c>
    </row>
    <row r="2060" spans="1:8" x14ac:dyDescent="0.2">
      <c r="A2060" t="str">
        <f t="shared" si="754"/>
        <v>0615072326</v>
      </c>
      <c r="B2060" t="str">
        <f t="shared" si="755"/>
        <v>KHALEEL</v>
      </c>
      <c r="C2060" t="str">
        <f t="shared" si="756"/>
        <v>BROWN</v>
      </c>
      <c r="D2060">
        <f>11</f>
        <v>11</v>
      </c>
      <c r="E2060" t="str">
        <f>"08 - S1 - B - 105 - Richard E Dunbar Iii"</f>
        <v>08 - S1 - B - 105 - Richard E Dunbar Iii</v>
      </c>
      <c r="F2060" t="str">
        <f>"WEIGHT TRAIN 1"</f>
        <v>WEIGHT TRAIN 1</v>
      </c>
      <c r="G2060" t="str">
        <f>"05-501"</f>
        <v>05-501</v>
      </c>
      <c r="H2060" t="str">
        <f>"B"</f>
        <v>B</v>
      </c>
    </row>
    <row r="2061" spans="1:8" x14ac:dyDescent="0.2">
      <c r="A2061" t="str">
        <f t="shared" ref="A2061:A2068" si="757">"0617034167"</f>
        <v>0617034167</v>
      </c>
      <c r="B2061" t="str">
        <f t="shared" ref="B2061:B2068" si="758">"MASON"</f>
        <v>MASON</v>
      </c>
      <c r="C2061" t="str">
        <f t="shared" si="756"/>
        <v>BROWN</v>
      </c>
      <c r="D2061" t="str">
        <f t="shared" ref="D2061:D2084" si="759">"09"</f>
        <v>09</v>
      </c>
      <c r="E2061" t="str">
        <f>"04 - A - 102 - Elizabeth R Walker"</f>
        <v>04 - A - 102 - Elizabeth R Walker</v>
      </c>
      <c r="F2061" t="str">
        <f>"AICE ENG GEN PAPER 1"</f>
        <v>AICE ENG GEN PAPER 1</v>
      </c>
      <c r="G2061" t="str">
        <f>"17-1703"</f>
        <v>17-1703</v>
      </c>
      <c r="H2061" t="str">
        <f>"A"</f>
        <v>A</v>
      </c>
    </row>
    <row r="2062" spans="1:8" x14ac:dyDescent="0.2">
      <c r="A2062" t="str">
        <f t="shared" si="757"/>
        <v>0617034167</v>
      </c>
      <c r="B2062" t="str">
        <f t="shared" si="758"/>
        <v>MASON</v>
      </c>
      <c r="C2062" t="str">
        <f t="shared" si="756"/>
        <v>BROWN</v>
      </c>
      <c r="D2062" t="str">
        <f t="shared" si="759"/>
        <v>09</v>
      </c>
      <c r="E2062" t="str">
        <f>"06 - B - 110 - Krystal Marie  Beruty"</f>
        <v>06 - B - 110 - Krystal Marie  Beruty</v>
      </c>
      <c r="F2062" t="str">
        <f>"AICE GLBL PERSP 1 AS"</f>
        <v>AICE GLBL PERSP 1 AS</v>
      </c>
      <c r="G2062" t="str">
        <f>"17-1721"</f>
        <v>17-1721</v>
      </c>
      <c r="H2062" t="str">
        <f>"B"</f>
        <v>B</v>
      </c>
    </row>
    <row r="2063" spans="1:8" x14ac:dyDescent="0.2">
      <c r="A2063" t="str">
        <f t="shared" si="757"/>
        <v>0617034167</v>
      </c>
      <c r="B2063" t="str">
        <f t="shared" si="758"/>
        <v>MASON</v>
      </c>
      <c r="C2063" t="str">
        <f t="shared" si="756"/>
        <v>BROWN</v>
      </c>
      <c r="D2063" t="str">
        <f t="shared" si="759"/>
        <v>09</v>
      </c>
      <c r="E2063" t="str">
        <f>"03 - S1 - A - 102 - Angela S Adeshina-Morrison"</f>
        <v>03 - S1 - A - 102 - Angela S Adeshina-Morrison</v>
      </c>
      <c r="F2063" t="str">
        <f>"PEER COUN 1"</f>
        <v>PEER COUN 1</v>
      </c>
      <c r="G2063" t="str">
        <f>"05-518"</f>
        <v>05-518</v>
      </c>
      <c r="H2063" t="str">
        <f>"A"</f>
        <v>A</v>
      </c>
    </row>
    <row r="2064" spans="1:8" x14ac:dyDescent="0.2">
      <c r="A2064" t="str">
        <f t="shared" si="757"/>
        <v>0617034167</v>
      </c>
      <c r="B2064" t="str">
        <f t="shared" si="758"/>
        <v>MASON</v>
      </c>
      <c r="C2064" t="str">
        <f t="shared" si="756"/>
        <v>BROWN</v>
      </c>
      <c r="D2064" t="str">
        <f t="shared" si="759"/>
        <v>09</v>
      </c>
      <c r="E2064" t="str">
        <f>"02 - A - 108 - Rory T Sponsler"</f>
        <v>02 - A - 108 - Rory T Sponsler</v>
      </c>
      <c r="F2064" t="str">
        <f>"NC STUDY HALL 1"</f>
        <v>NC STUDY HALL 1</v>
      </c>
      <c r="G2064" t="str">
        <f>"17-1740"</f>
        <v>17-1740</v>
      </c>
      <c r="H2064" t="str">
        <f>"A"</f>
        <v>A</v>
      </c>
    </row>
    <row r="2065" spans="1:8" x14ac:dyDescent="0.2">
      <c r="A2065" t="str">
        <f t="shared" si="757"/>
        <v>0617034167</v>
      </c>
      <c r="B2065" t="str">
        <f t="shared" si="758"/>
        <v>MASON</v>
      </c>
      <c r="C2065" t="str">
        <f t="shared" si="756"/>
        <v>BROWN</v>
      </c>
      <c r="D2065" t="str">
        <f t="shared" si="759"/>
        <v>09</v>
      </c>
      <c r="E2065" t="str">
        <f>"07 - B - 105 - Byron G Montenegro"</f>
        <v>07 - B - 105 - Byron G Montenegro</v>
      </c>
      <c r="F2065" t="str">
        <f>"AICE MARINE SCI 1 AS"</f>
        <v>AICE MARINE SCI 1 AS</v>
      </c>
      <c r="G2065" t="str">
        <f>"21-2144"</f>
        <v>21-2144</v>
      </c>
      <c r="H2065" t="str">
        <f>"B"</f>
        <v>B</v>
      </c>
    </row>
    <row r="2066" spans="1:8" x14ac:dyDescent="0.2">
      <c r="A2066" t="str">
        <f t="shared" si="757"/>
        <v>0617034167</v>
      </c>
      <c r="B2066" t="str">
        <f t="shared" si="758"/>
        <v>MASON</v>
      </c>
      <c r="C2066" t="str">
        <f t="shared" si="756"/>
        <v>BROWN</v>
      </c>
      <c r="D2066" t="str">
        <f t="shared" si="759"/>
        <v>09</v>
      </c>
      <c r="E2066" t="str">
        <f>"05 - B - 102 - Tina L Lovett"</f>
        <v>05 - B - 102 - Tina L Lovett</v>
      </c>
      <c r="F2066" t="str">
        <f>"PRE-AICE MATH 1 IG"</f>
        <v>PRE-AICE MATH 1 IG</v>
      </c>
      <c r="G2066" t="str">
        <f>"21-2153"</f>
        <v>21-2153</v>
      </c>
      <c r="H2066" t="str">
        <f>"B"</f>
        <v>B</v>
      </c>
    </row>
    <row r="2067" spans="1:8" x14ac:dyDescent="0.2">
      <c r="A2067" t="str">
        <f t="shared" si="757"/>
        <v>0617034167</v>
      </c>
      <c r="B2067" t="str">
        <f t="shared" si="758"/>
        <v>MASON</v>
      </c>
      <c r="C2067" t="str">
        <f t="shared" si="756"/>
        <v>BROWN</v>
      </c>
      <c r="D2067" t="str">
        <f t="shared" si="759"/>
        <v>09</v>
      </c>
      <c r="E2067" t="str">
        <f>"01 - A - 101 - Nikiel  Nesbeth"</f>
        <v>01 - A - 101 - Nikiel  Nesbeth</v>
      </c>
      <c r="F2067" t="str">
        <f>"CONST LAW HON"</f>
        <v>CONST LAW HON</v>
      </c>
      <c r="G2067" t="str">
        <f>"17-1705"</f>
        <v>17-1705</v>
      </c>
      <c r="H2067" t="str">
        <f>"A"</f>
        <v>A</v>
      </c>
    </row>
    <row r="2068" spans="1:8" x14ac:dyDescent="0.2">
      <c r="A2068" t="str">
        <f t="shared" si="757"/>
        <v>0617034167</v>
      </c>
      <c r="B2068" t="str">
        <f t="shared" si="758"/>
        <v>MASON</v>
      </c>
      <c r="C2068" t="str">
        <f t="shared" si="756"/>
        <v>BROWN</v>
      </c>
      <c r="D2068" t="str">
        <f t="shared" si="759"/>
        <v>09</v>
      </c>
      <c r="E2068" t="str">
        <f>"08 - B - 201 - Tina M Jaramillo"</f>
        <v>08 - B - 201 - Tina M Jaramillo</v>
      </c>
      <c r="F2068" t="str">
        <f>"CREATIVE WRIT 3 HON"</f>
        <v>CREATIVE WRIT 3 HON</v>
      </c>
      <c r="G2068" t="str">
        <f>"17-1706"</f>
        <v>17-1706</v>
      </c>
      <c r="H2068" t="str">
        <f>"B"</f>
        <v>B</v>
      </c>
    </row>
    <row r="2069" spans="1:8" x14ac:dyDescent="0.2">
      <c r="A2069" t="str">
        <f t="shared" ref="A2069:A2076" si="760">"0617040131"</f>
        <v>0617040131</v>
      </c>
      <c r="B2069" t="str">
        <f t="shared" ref="B2069:B2076" si="761">"SHAWNICE"</f>
        <v>SHAWNICE</v>
      </c>
      <c r="C2069" t="str">
        <f t="shared" si="756"/>
        <v>BROWN</v>
      </c>
      <c r="D2069" t="str">
        <f t="shared" si="759"/>
        <v>09</v>
      </c>
      <c r="E2069" t="str">
        <f>"04 - A - 102 - Elizabeth R Walker"</f>
        <v>04 - A - 102 - Elizabeth R Walker</v>
      </c>
      <c r="F2069" t="str">
        <f>"AICE ENG GEN PAPER 1"</f>
        <v>AICE ENG GEN PAPER 1</v>
      </c>
      <c r="G2069" t="str">
        <f>"17-1703"</f>
        <v>17-1703</v>
      </c>
      <c r="H2069" t="str">
        <f>"A"</f>
        <v>A</v>
      </c>
    </row>
    <row r="2070" spans="1:8" x14ac:dyDescent="0.2">
      <c r="A2070" t="str">
        <f t="shared" si="760"/>
        <v>0617040131</v>
      </c>
      <c r="B2070" t="str">
        <f t="shared" si="761"/>
        <v>SHAWNICE</v>
      </c>
      <c r="C2070" t="str">
        <f t="shared" si="756"/>
        <v>BROWN</v>
      </c>
      <c r="D2070" t="str">
        <f t="shared" si="759"/>
        <v>09</v>
      </c>
      <c r="E2070" t="str">
        <f>"06 - B - 101 - Fernando  Vega-Cid"</f>
        <v>06 - B - 101 - Fernando  Vega-Cid</v>
      </c>
      <c r="F2070" t="str">
        <f>"PRE-AICE MATH 2 IG"</f>
        <v>PRE-AICE MATH 2 IG</v>
      </c>
      <c r="G2070" t="str">
        <f>"21-2163"</f>
        <v>21-2163</v>
      </c>
      <c r="H2070" t="str">
        <f>"B"</f>
        <v>B</v>
      </c>
    </row>
    <row r="2071" spans="1:8" x14ac:dyDescent="0.2">
      <c r="A2071" t="str">
        <f t="shared" si="760"/>
        <v>0617040131</v>
      </c>
      <c r="B2071" t="str">
        <f t="shared" si="761"/>
        <v>SHAWNICE</v>
      </c>
      <c r="C2071" t="str">
        <f t="shared" si="756"/>
        <v>BROWN</v>
      </c>
      <c r="D2071" t="str">
        <f t="shared" si="759"/>
        <v>09</v>
      </c>
      <c r="E2071" t="str">
        <f>"03 - A - 202 - Cheryl L Beach"</f>
        <v>03 - A - 202 - Cheryl L Beach</v>
      </c>
      <c r="F2071" t="str">
        <f>"AICE ENV MGMNT AS"</f>
        <v>AICE ENV MGMNT AS</v>
      </c>
      <c r="G2071" t="str">
        <f>"08-811"</f>
        <v>08-811</v>
      </c>
      <c r="H2071" t="str">
        <f>"A"</f>
        <v>A</v>
      </c>
    </row>
    <row r="2072" spans="1:8" x14ac:dyDescent="0.2">
      <c r="A2072" t="str">
        <f t="shared" si="760"/>
        <v>0617040131</v>
      </c>
      <c r="B2072" t="str">
        <f t="shared" si="761"/>
        <v>SHAWNICE</v>
      </c>
      <c r="C2072" t="str">
        <f t="shared" si="756"/>
        <v>BROWN</v>
      </c>
      <c r="D2072" t="str">
        <f t="shared" si="759"/>
        <v>09</v>
      </c>
      <c r="E2072" t="str">
        <f>"02 - A - 105 - Elizabeth R Walker"</f>
        <v>02 - A - 105 - Elizabeth R Walker</v>
      </c>
      <c r="F2072" t="str">
        <f>"NC STUDY HALL 1"</f>
        <v>NC STUDY HALL 1</v>
      </c>
      <c r="G2072" t="str">
        <f>"17-1703"</f>
        <v>17-1703</v>
      </c>
      <c r="H2072" t="str">
        <f>"A"</f>
        <v>A</v>
      </c>
    </row>
    <row r="2073" spans="1:8" x14ac:dyDescent="0.2">
      <c r="A2073" t="str">
        <f t="shared" si="760"/>
        <v>0617040131</v>
      </c>
      <c r="B2073" t="str">
        <f t="shared" si="761"/>
        <v>SHAWNICE</v>
      </c>
      <c r="C2073" t="str">
        <f t="shared" si="756"/>
        <v>BROWN</v>
      </c>
      <c r="D2073" t="str">
        <f t="shared" si="759"/>
        <v>09</v>
      </c>
      <c r="E2073" t="str">
        <f>"07 - B - 002 - Rachel M Montrose"</f>
        <v>07 - B - 002 - Rachel M Montrose</v>
      </c>
      <c r="F2073" t="str">
        <f>"JOURN 1 (NP) LH"</f>
        <v>JOURN 1 (NP) LH</v>
      </c>
      <c r="G2073" t="str">
        <f>"05-521"</f>
        <v>05-521</v>
      </c>
      <c r="H2073" t="str">
        <f>"B"</f>
        <v>B</v>
      </c>
    </row>
    <row r="2074" spans="1:8" x14ac:dyDescent="0.2">
      <c r="A2074" t="str">
        <f t="shared" si="760"/>
        <v>0617040131</v>
      </c>
      <c r="B2074" t="str">
        <f t="shared" si="761"/>
        <v>SHAWNICE</v>
      </c>
      <c r="C2074" t="str">
        <f t="shared" si="756"/>
        <v>BROWN</v>
      </c>
      <c r="D2074" t="str">
        <f t="shared" si="759"/>
        <v>09</v>
      </c>
      <c r="E2074" t="str">
        <f>"05 - B - 205 - Rosa Elaine  Collado-Duff"</f>
        <v>05 - B - 205 - Rosa Elaine  Collado-Duff</v>
      </c>
      <c r="F2074" t="str">
        <f>"PRE-AICE SPAN 2 IG"</f>
        <v>PRE-AICE SPAN 2 IG</v>
      </c>
      <c r="G2074" t="str">
        <f>"09-913"</f>
        <v>09-913</v>
      </c>
      <c r="H2074" t="str">
        <f>"B"</f>
        <v>B</v>
      </c>
    </row>
    <row r="2075" spans="1:8" x14ac:dyDescent="0.2">
      <c r="A2075" t="str">
        <f t="shared" si="760"/>
        <v>0617040131</v>
      </c>
      <c r="B2075" t="str">
        <f t="shared" si="761"/>
        <v>SHAWNICE</v>
      </c>
      <c r="C2075" t="str">
        <f t="shared" si="756"/>
        <v>BROWN</v>
      </c>
      <c r="D2075" t="str">
        <f t="shared" si="759"/>
        <v>09</v>
      </c>
      <c r="E2075" t="str">
        <f>"01 - S1 - A - 101 - Leslie J Barton"</f>
        <v>01 - S1 - A - 101 - Leslie J Barton</v>
      </c>
      <c r="F2075" t="str">
        <f>"FIRST AID SAFETY"</f>
        <v>FIRST AID SAFETY</v>
      </c>
      <c r="G2075" t="str">
        <f>"05-521"</f>
        <v>05-521</v>
      </c>
      <c r="H2075" t="str">
        <f>"A"</f>
        <v>A</v>
      </c>
    </row>
    <row r="2076" spans="1:8" x14ac:dyDescent="0.2">
      <c r="A2076" t="str">
        <f t="shared" si="760"/>
        <v>0617040131</v>
      </c>
      <c r="B2076" t="str">
        <f t="shared" si="761"/>
        <v>SHAWNICE</v>
      </c>
      <c r="C2076" t="str">
        <f t="shared" si="756"/>
        <v>BROWN</v>
      </c>
      <c r="D2076" t="str">
        <f t="shared" si="759"/>
        <v>09</v>
      </c>
      <c r="E2076" t="str">
        <f>"08 - B - 109 - Emmily A Sarmiento"</f>
        <v>08 - B - 109 - Emmily A Sarmiento</v>
      </c>
      <c r="F2076" t="str">
        <f>"AICE GLBL PERSP 1 AS"</f>
        <v>AICE GLBL PERSP 1 AS</v>
      </c>
      <c r="G2076" t="str">
        <f>"17-1743"</f>
        <v>17-1743</v>
      </c>
      <c r="H2076" t="str">
        <f>"B"</f>
        <v>B</v>
      </c>
    </row>
    <row r="2077" spans="1:8" x14ac:dyDescent="0.2">
      <c r="A2077" t="str">
        <f t="shared" ref="A2077:A2084" si="762">"0617065875"</f>
        <v>0617065875</v>
      </c>
      <c r="B2077" t="str">
        <f t="shared" ref="B2077:B2084" si="763">"TAVON"</f>
        <v>TAVON</v>
      </c>
      <c r="C2077" t="str">
        <f t="shared" si="756"/>
        <v>BROWN</v>
      </c>
      <c r="D2077" t="str">
        <f t="shared" si="759"/>
        <v>09</v>
      </c>
      <c r="E2077" t="str">
        <f>"04 - A - 102 - Elizabeth R Walker"</f>
        <v>04 - A - 102 - Elizabeth R Walker</v>
      </c>
      <c r="F2077" t="str">
        <f>"AICE ENG GEN PAPER 1"</f>
        <v>AICE ENG GEN PAPER 1</v>
      </c>
      <c r="G2077" t="str">
        <f>"17-1703"</f>
        <v>17-1703</v>
      </c>
      <c r="H2077" t="str">
        <f>"A"</f>
        <v>A</v>
      </c>
    </row>
    <row r="2078" spans="1:8" x14ac:dyDescent="0.2">
      <c r="A2078" t="str">
        <f t="shared" si="762"/>
        <v>0617065875</v>
      </c>
      <c r="B2078" t="str">
        <f t="shared" si="763"/>
        <v>TAVON</v>
      </c>
      <c r="C2078" t="str">
        <f t="shared" si="756"/>
        <v>BROWN</v>
      </c>
      <c r="D2078" t="str">
        <f t="shared" si="759"/>
        <v>09</v>
      </c>
      <c r="E2078" t="str">
        <f>"06 - S1 - B - 102 - Daniel S Katz"</f>
        <v>06 - S1 - B - 102 - Daniel S Katz</v>
      </c>
      <c r="F2078" t="str">
        <f>"COURT PROCED"</f>
        <v>COURT PROCED</v>
      </c>
      <c r="G2078" t="str">
        <f>"21-2156"</f>
        <v>21-2156</v>
      </c>
      <c r="H2078" t="str">
        <f>"B"</f>
        <v>B</v>
      </c>
    </row>
    <row r="2079" spans="1:8" x14ac:dyDescent="0.2">
      <c r="A2079" t="str">
        <f t="shared" si="762"/>
        <v>0617065875</v>
      </c>
      <c r="B2079" t="str">
        <f t="shared" si="763"/>
        <v>TAVON</v>
      </c>
      <c r="C2079" t="str">
        <f t="shared" si="756"/>
        <v>BROWN</v>
      </c>
      <c r="D2079" t="str">
        <f t="shared" si="759"/>
        <v>09</v>
      </c>
      <c r="E2079" t="str">
        <f>"03 - A - 103 - Kelly N Panza"</f>
        <v>03 - A - 103 - Kelly N Panza</v>
      </c>
      <c r="F2079" t="str">
        <f>"AICE GLBL PERSP 1 AS"</f>
        <v>AICE GLBL PERSP 1 AS</v>
      </c>
      <c r="G2079" t="str">
        <f>"17-1753"</f>
        <v>17-1753</v>
      </c>
      <c r="H2079" t="str">
        <f>"A"</f>
        <v>A</v>
      </c>
    </row>
    <row r="2080" spans="1:8" x14ac:dyDescent="0.2">
      <c r="A2080" t="str">
        <f t="shared" si="762"/>
        <v>0617065875</v>
      </c>
      <c r="B2080" t="str">
        <f t="shared" si="763"/>
        <v>TAVON</v>
      </c>
      <c r="C2080" t="str">
        <f t="shared" si="756"/>
        <v>BROWN</v>
      </c>
      <c r="D2080" t="str">
        <f t="shared" si="759"/>
        <v>09</v>
      </c>
      <c r="E2080" t="str">
        <f>"02 - A - 109 - Krystal Marie  Beruty"</f>
        <v>02 - A - 109 - Krystal Marie  Beruty</v>
      </c>
      <c r="F2080" t="str">
        <f>"NC STUDY HALL 1"</f>
        <v>NC STUDY HALL 1</v>
      </c>
      <c r="G2080" t="str">
        <f>"17-1721"</f>
        <v>17-1721</v>
      </c>
      <c r="H2080" t="str">
        <f>"A"</f>
        <v>A</v>
      </c>
    </row>
    <row r="2081" spans="1:8" x14ac:dyDescent="0.2">
      <c r="A2081" t="str">
        <f t="shared" si="762"/>
        <v>0617065875</v>
      </c>
      <c r="B2081" t="str">
        <f t="shared" si="763"/>
        <v>TAVON</v>
      </c>
      <c r="C2081" t="str">
        <f t="shared" si="756"/>
        <v>BROWN</v>
      </c>
      <c r="D2081" t="str">
        <f t="shared" si="759"/>
        <v>09</v>
      </c>
      <c r="E2081" t="str">
        <f>"07 - B - 001 - Maried P Ramos"</f>
        <v>07 - B - 001 - Maried P Ramos</v>
      </c>
      <c r="F2081" t="str">
        <f>"GEOMETRY"</f>
        <v>GEOMETRY</v>
      </c>
      <c r="G2081" t="str">
        <f>"21-2159"</f>
        <v>21-2159</v>
      </c>
      <c r="H2081" t="str">
        <f>"B"</f>
        <v>B</v>
      </c>
    </row>
    <row r="2082" spans="1:8" x14ac:dyDescent="0.2">
      <c r="A2082" t="str">
        <f t="shared" si="762"/>
        <v>0617065875</v>
      </c>
      <c r="B2082" t="str">
        <f t="shared" si="763"/>
        <v>TAVON</v>
      </c>
      <c r="C2082" t="str">
        <f t="shared" si="756"/>
        <v>BROWN</v>
      </c>
      <c r="D2082" t="str">
        <f t="shared" si="759"/>
        <v>09</v>
      </c>
      <c r="E2082" t="str">
        <f>"05 - B - 104 - Joe  Kilpatrick Jr"</f>
        <v>05 - B - 104 - Joe  Kilpatrick Jr</v>
      </c>
      <c r="F2082" t="str">
        <f>"PRE-AICE SPAN 1 IG"</f>
        <v>PRE-AICE SPAN 1 IG</v>
      </c>
      <c r="G2082" t="str">
        <f>"09-912"</f>
        <v>09-912</v>
      </c>
      <c r="H2082" t="str">
        <f>"B"</f>
        <v>B</v>
      </c>
    </row>
    <row r="2083" spans="1:8" x14ac:dyDescent="0.2">
      <c r="A2083" t="str">
        <f t="shared" si="762"/>
        <v>0617065875</v>
      </c>
      <c r="B2083" t="str">
        <f t="shared" si="763"/>
        <v>TAVON</v>
      </c>
      <c r="C2083" t="str">
        <f t="shared" si="756"/>
        <v>BROWN</v>
      </c>
      <c r="D2083" t="str">
        <f t="shared" si="759"/>
        <v>09</v>
      </c>
      <c r="E2083" t="str">
        <f>"01 - A - 101 - Byron G Montenegro"</f>
        <v>01 - A - 101 - Byron G Montenegro</v>
      </c>
      <c r="F2083" t="str">
        <f>"AICE MARINE SCI 1 AS"</f>
        <v>AICE MARINE SCI 1 AS</v>
      </c>
      <c r="G2083" t="str">
        <f>"21-2144"</f>
        <v>21-2144</v>
      </c>
      <c r="H2083" t="str">
        <f>"A"</f>
        <v>A</v>
      </c>
    </row>
    <row r="2084" spans="1:8" x14ac:dyDescent="0.2">
      <c r="A2084" t="str">
        <f t="shared" si="762"/>
        <v>0617065875</v>
      </c>
      <c r="B2084" t="str">
        <f t="shared" si="763"/>
        <v>TAVON</v>
      </c>
      <c r="C2084" t="str">
        <f t="shared" si="756"/>
        <v>BROWN</v>
      </c>
      <c r="D2084" t="str">
        <f t="shared" si="759"/>
        <v>09</v>
      </c>
      <c r="E2084" t="str">
        <f>"08 - B - 108 - Adam Marcus  Drucker"</f>
        <v>08 - B - 108 - Adam Marcus  Drucker</v>
      </c>
      <c r="F2084" t="str">
        <f>"HOPE-PE V"</f>
        <v>HOPE-PE V</v>
      </c>
      <c r="G2084" t="str">
        <f>"04-254"</f>
        <v>04-254</v>
      </c>
      <c r="H2084" t="str">
        <f>"B"</f>
        <v>B</v>
      </c>
    </row>
    <row r="2085" spans="1:8" x14ac:dyDescent="0.2">
      <c r="A2085" t="str">
        <f t="shared" ref="A2085:A2092" si="764">"0614029450"</f>
        <v>0614029450</v>
      </c>
      <c r="B2085" t="str">
        <f t="shared" ref="B2085:B2092" si="765">"VIVIANA"</f>
        <v>VIVIANA</v>
      </c>
      <c r="C2085" t="str">
        <f t="shared" ref="C2085:C2092" si="766">"BROWN"</f>
        <v>BROWN</v>
      </c>
      <c r="D2085">
        <f>12</f>
        <v>12</v>
      </c>
      <c r="E2085" t="str">
        <f>"04 - A - 102 - Daniel S Katz"</f>
        <v>04 - A - 102 - Daniel S Katz</v>
      </c>
      <c r="F2085" t="str">
        <f>"AICE DRAMA 1 AS LEV"</f>
        <v>AICE DRAMA 1 AS LEV</v>
      </c>
      <c r="G2085" t="str">
        <f>"05-521"</f>
        <v>05-521</v>
      </c>
      <c r="H2085" t="str">
        <f>"A"</f>
        <v>A</v>
      </c>
    </row>
    <row r="2086" spans="1:8" x14ac:dyDescent="0.2">
      <c r="A2086" t="str">
        <f t="shared" si="764"/>
        <v>0614029450</v>
      </c>
      <c r="B2086" t="str">
        <f t="shared" si="765"/>
        <v>VIVIANA</v>
      </c>
      <c r="C2086" t="str">
        <f t="shared" si="766"/>
        <v>BROWN</v>
      </c>
      <c r="D2086">
        <f>12</f>
        <v>12</v>
      </c>
      <c r="E2086" t="str">
        <f>"06 - B - 108 - Jacquelyn M Neeson"</f>
        <v>06 - B - 108 - Jacquelyn M Neeson</v>
      </c>
      <c r="F2086" t="str">
        <f>"NC STUDY HALL 1"</f>
        <v>NC STUDY HALL 1</v>
      </c>
      <c r="G2086" t="str">
        <f>"17-1715"</f>
        <v>17-1715</v>
      </c>
      <c r="H2086" t="str">
        <f>"B"</f>
        <v>B</v>
      </c>
    </row>
    <row r="2087" spans="1:8" x14ac:dyDescent="0.2">
      <c r="A2087" t="str">
        <f t="shared" si="764"/>
        <v>0614029450</v>
      </c>
      <c r="B2087" t="str">
        <f t="shared" si="765"/>
        <v>VIVIANA</v>
      </c>
      <c r="C2087" t="str">
        <f t="shared" si="766"/>
        <v>BROWN</v>
      </c>
      <c r="D2087">
        <f>12</f>
        <v>12</v>
      </c>
      <c r="E2087" t="str">
        <f>"03 - A - 101 - Rosa Elaine  Collado-Duff"</f>
        <v>03 - A - 101 - Rosa Elaine  Collado-Duff</v>
      </c>
      <c r="F2087" t="str">
        <f>"SPANISH 3 HON"</f>
        <v>SPANISH 3 HON</v>
      </c>
      <c r="G2087" t="str">
        <f>"09-913"</f>
        <v>09-913</v>
      </c>
      <c r="H2087" t="str">
        <f>"A"</f>
        <v>A</v>
      </c>
    </row>
    <row r="2088" spans="1:8" x14ac:dyDescent="0.2">
      <c r="A2088" t="str">
        <f t="shared" si="764"/>
        <v>0614029450</v>
      </c>
      <c r="B2088" t="str">
        <f t="shared" si="765"/>
        <v>VIVIANA</v>
      </c>
      <c r="C2088" t="str">
        <f t="shared" si="766"/>
        <v>BROWN</v>
      </c>
      <c r="D2088">
        <f>12</f>
        <v>12</v>
      </c>
      <c r="E2088" t="str">
        <f>"02 - A - 102 - Chrystina M Marchionne"</f>
        <v>02 - A - 102 - Chrystina M Marchionne</v>
      </c>
      <c r="F2088" t="str">
        <f>"AICE MEDIA STUDIES A"</f>
        <v>AICE MEDIA STUDIES A</v>
      </c>
      <c r="G2088" t="str">
        <f>"05-520"</f>
        <v>05-520</v>
      </c>
      <c r="H2088" t="str">
        <f>"A"</f>
        <v>A</v>
      </c>
    </row>
    <row r="2089" spans="1:8" x14ac:dyDescent="0.2">
      <c r="A2089" t="str">
        <f t="shared" si="764"/>
        <v>0614029450</v>
      </c>
      <c r="B2089" t="str">
        <f t="shared" si="765"/>
        <v>VIVIANA</v>
      </c>
      <c r="C2089" t="str">
        <f t="shared" si="766"/>
        <v>BROWN</v>
      </c>
      <c r="D2089">
        <f>12</f>
        <v>12</v>
      </c>
      <c r="E2089" t="str">
        <f>"07 - B - 102 - Tina L Lovett"</f>
        <v>07 - B - 102 - Tina L Lovett</v>
      </c>
      <c r="F2089" t="str">
        <f>"MATH DATA &amp; FIN LIT"</f>
        <v>MATH DATA &amp; FIN LIT</v>
      </c>
      <c r="G2089" t="str">
        <f>"21-2153"</f>
        <v>21-2153</v>
      </c>
      <c r="H2089" t="str">
        <f>"B"</f>
        <v>B</v>
      </c>
    </row>
    <row r="2090" spans="1:8" x14ac:dyDescent="0.2">
      <c r="A2090" t="str">
        <f t="shared" si="764"/>
        <v>0614029450</v>
      </c>
      <c r="B2090" t="str">
        <f t="shared" si="765"/>
        <v>VIVIANA</v>
      </c>
      <c r="C2090" t="str">
        <f t="shared" si="766"/>
        <v>BROWN</v>
      </c>
      <c r="D2090">
        <f>12</f>
        <v>12</v>
      </c>
      <c r="E2090" t="str">
        <f>"05 - B - 106 - Courtney E Hambright"</f>
        <v>05 - B - 106 - Courtney E Hambright</v>
      </c>
      <c r="F2090" t="str">
        <f>"AICE ENG LANG AS"</f>
        <v>AICE ENG LANG AS</v>
      </c>
      <c r="G2090" t="str">
        <f>"17-1711"</f>
        <v>17-1711</v>
      </c>
      <c r="H2090" t="str">
        <f>"B"</f>
        <v>B</v>
      </c>
    </row>
    <row r="2091" spans="1:8" x14ac:dyDescent="0.2">
      <c r="A2091" t="str">
        <f t="shared" si="764"/>
        <v>0614029450</v>
      </c>
      <c r="B2091" t="str">
        <f t="shared" si="765"/>
        <v>VIVIANA</v>
      </c>
      <c r="C2091" t="str">
        <f t="shared" si="766"/>
        <v>BROWN</v>
      </c>
      <c r="D2091">
        <f>12</f>
        <v>12</v>
      </c>
      <c r="E2091" t="str">
        <f>"01 - A - 201 - Stefanie S Scher"</f>
        <v>01 - A - 201 - Stefanie S Scher</v>
      </c>
      <c r="F2091" t="str">
        <f>"AICE PSYCH 1 AS"</f>
        <v>AICE PSYCH 1 AS</v>
      </c>
      <c r="G2091" t="str">
        <f>"17-1735"</f>
        <v>17-1735</v>
      </c>
      <c r="H2091" t="str">
        <f>"A"</f>
        <v>A</v>
      </c>
    </row>
    <row r="2092" spans="1:8" x14ac:dyDescent="0.2">
      <c r="A2092" t="str">
        <f t="shared" si="764"/>
        <v>0614029450</v>
      </c>
      <c r="B2092" t="str">
        <f t="shared" si="765"/>
        <v>VIVIANA</v>
      </c>
      <c r="C2092" t="str">
        <f t="shared" si="766"/>
        <v>BROWN</v>
      </c>
      <c r="D2092">
        <f>12</f>
        <v>12</v>
      </c>
      <c r="E2092" t="str">
        <f>"08 - S1 - B - 102 - Stephen T Ripp"</f>
        <v>08 - S1 - B - 102 - Stephen T Ripp</v>
      </c>
      <c r="F2092" t="str">
        <f>"AP US GOVT/POL"</f>
        <v>AP US GOVT/POL</v>
      </c>
      <c r="G2092" t="str">
        <f>"17-1744"</f>
        <v>17-1744</v>
      </c>
      <c r="H2092" t="str">
        <f>"B"</f>
        <v>B</v>
      </c>
    </row>
    <row r="2093" spans="1:8" x14ac:dyDescent="0.2">
      <c r="A2093" t="str">
        <f t="shared" ref="A2093:A2100" si="767">"0616084532"</f>
        <v>0616084532</v>
      </c>
      <c r="B2093" t="str">
        <f t="shared" ref="B2093:B2100" si="768">"JACOB"</f>
        <v>JACOB</v>
      </c>
      <c r="C2093" t="str">
        <f t="shared" ref="C2093:C2100" si="769">"BROWN-JAMES"</f>
        <v>BROWN-JAMES</v>
      </c>
      <c r="D2093">
        <f>10</f>
        <v>10</v>
      </c>
      <c r="E2093" t="str">
        <f>"04 - A - 104 - Nikiel  Nesbeth"</f>
        <v>04 - A - 104 - Nikiel  Nesbeth</v>
      </c>
      <c r="F2093" t="str">
        <f>"ENG 2"</f>
        <v>ENG 2</v>
      </c>
      <c r="G2093" t="str">
        <f>"17-1705"</f>
        <v>17-1705</v>
      </c>
      <c r="H2093" t="str">
        <f>"A"</f>
        <v>A</v>
      </c>
    </row>
    <row r="2094" spans="1:8" x14ac:dyDescent="0.2">
      <c r="A2094" t="str">
        <f t="shared" si="767"/>
        <v>0616084532</v>
      </c>
      <c r="B2094" t="str">
        <f t="shared" si="768"/>
        <v>JACOB</v>
      </c>
      <c r="C2094" t="str">
        <f t="shared" si="769"/>
        <v>BROWN-JAMES</v>
      </c>
      <c r="D2094">
        <f>10</f>
        <v>10</v>
      </c>
      <c r="E2094" t="str">
        <f>"06 - B - 105 - Jeffrey S Gallagher"</f>
        <v>06 - B - 105 - Jeffrey S Gallagher</v>
      </c>
      <c r="F2094" t="str">
        <f>"NC STUDY HALL 1"</f>
        <v>NC STUDY HALL 1</v>
      </c>
      <c r="G2094" t="str">
        <f>"17-1724"</f>
        <v>17-1724</v>
      </c>
      <c r="H2094" t="str">
        <f>"B"</f>
        <v>B</v>
      </c>
    </row>
    <row r="2095" spans="1:8" x14ac:dyDescent="0.2">
      <c r="A2095" t="str">
        <f t="shared" si="767"/>
        <v>0616084532</v>
      </c>
      <c r="B2095" t="str">
        <f t="shared" si="768"/>
        <v>JACOB</v>
      </c>
      <c r="C2095" t="str">
        <f t="shared" si="769"/>
        <v>BROWN-JAMES</v>
      </c>
      <c r="D2095">
        <f>10</f>
        <v>10</v>
      </c>
      <c r="E2095" t="str">
        <f>"03 - A - 204 - Lytrell T Dixon"</f>
        <v>03 - A - 204 - Lytrell T Dixon</v>
      </c>
      <c r="F2095" t="str">
        <f>"BIOLOGY 1"</f>
        <v>BIOLOGY 1</v>
      </c>
      <c r="G2095" t="str">
        <f>"08-808"</f>
        <v>08-808</v>
      </c>
      <c r="H2095" t="str">
        <f>"A"</f>
        <v>A</v>
      </c>
    </row>
    <row r="2096" spans="1:8" x14ac:dyDescent="0.2">
      <c r="A2096" t="str">
        <f t="shared" si="767"/>
        <v>0616084532</v>
      </c>
      <c r="B2096" t="str">
        <f t="shared" si="768"/>
        <v>JACOB</v>
      </c>
      <c r="C2096" t="str">
        <f t="shared" si="769"/>
        <v>BROWN-JAMES</v>
      </c>
      <c r="D2096">
        <f>10</f>
        <v>10</v>
      </c>
      <c r="E2096" t="str">
        <f>"02 - A - 101 - Brian M Fitzgerald"</f>
        <v>02 - A - 101 - Brian M Fitzgerald</v>
      </c>
      <c r="F2096" t="str">
        <f>"DRAW 1"</f>
        <v>DRAW 1</v>
      </c>
      <c r="G2096" t="str">
        <f>"09-908"</f>
        <v>09-908</v>
      </c>
      <c r="H2096" t="str">
        <f>"A"</f>
        <v>A</v>
      </c>
    </row>
    <row r="2097" spans="1:8" x14ac:dyDescent="0.2">
      <c r="A2097" t="str">
        <f t="shared" si="767"/>
        <v>0616084532</v>
      </c>
      <c r="B2097" t="str">
        <f t="shared" si="768"/>
        <v>JACOB</v>
      </c>
      <c r="C2097" t="str">
        <f t="shared" si="769"/>
        <v>BROWN-JAMES</v>
      </c>
      <c r="D2097">
        <f>10</f>
        <v>10</v>
      </c>
      <c r="E2097" t="str">
        <f>"07 - B - 106 - Taraneh C Abreu"</f>
        <v>07 - B - 106 - Taraneh C Abreu</v>
      </c>
      <c r="F2097" t="str">
        <f>"INTENS READ 2"</f>
        <v>INTENS READ 2</v>
      </c>
      <c r="G2097" t="str">
        <f>"17-1713"</f>
        <v>17-1713</v>
      </c>
      <c r="H2097" t="str">
        <f>"B"</f>
        <v>B</v>
      </c>
    </row>
    <row r="2098" spans="1:8" x14ac:dyDescent="0.2">
      <c r="A2098" t="str">
        <f t="shared" si="767"/>
        <v>0616084532</v>
      </c>
      <c r="B2098" t="str">
        <f t="shared" si="768"/>
        <v>JACOB</v>
      </c>
      <c r="C2098" t="str">
        <f t="shared" si="769"/>
        <v>BROWN-JAMES</v>
      </c>
      <c r="D2098">
        <f>10</f>
        <v>10</v>
      </c>
      <c r="E2098" t="str">
        <f>"05 - B - 205 - Lenecy  Nodarse"</f>
        <v>05 - B - 205 - Lenecy  Nodarse</v>
      </c>
      <c r="F2098" t="str">
        <f>"WORLD HISTORY"</f>
        <v>WORLD HISTORY</v>
      </c>
      <c r="G2098" t="str">
        <f>"17-1741"</f>
        <v>17-1741</v>
      </c>
      <c r="H2098" t="str">
        <f>"B"</f>
        <v>B</v>
      </c>
    </row>
    <row r="2099" spans="1:8" x14ac:dyDescent="0.2">
      <c r="A2099" t="str">
        <f t="shared" si="767"/>
        <v>0616084532</v>
      </c>
      <c r="B2099" t="str">
        <f t="shared" si="768"/>
        <v>JACOB</v>
      </c>
      <c r="C2099" t="str">
        <f t="shared" si="769"/>
        <v>BROWN-JAMES</v>
      </c>
      <c r="D2099">
        <f>10</f>
        <v>10</v>
      </c>
      <c r="E2099" t="str">
        <f>"01 - A - 104 - Milca  Exantus"</f>
        <v>01 - A - 104 - Milca  Exantus</v>
      </c>
      <c r="F2099" t="str">
        <f>"MATH COLLEGE LIB ART"</f>
        <v>MATH COLLEGE LIB ART</v>
      </c>
      <c r="G2099" t="str">
        <f>"21-2145"</f>
        <v>21-2145</v>
      </c>
      <c r="H2099" t="str">
        <f>"A"</f>
        <v>A</v>
      </c>
    </row>
    <row r="2100" spans="1:8" x14ac:dyDescent="0.2">
      <c r="A2100" t="str">
        <f t="shared" si="767"/>
        <v>0616084532</v>
      </c>
      <c r="B2100" t="str">
        <f t="shared" si="768"/>
        <v>JACOB</v>
      </c>
      <c r="C2100" t="str">
        <f t="shared" si="769"/>
        <v>BROWN-JAMES</v>
      </c>
      <c r="D2100">
        <f>10</f>
        <v>10</v>
      </c>
      <c r="E2100" t="str">
        <f>"08 - B - 103 - Jeanne M Bermudez"</f>
        <v>08 - B - 103 - Jeanne M Bermudez</v>
      </c>
      <c r="F2100" t="str">
        <f>"ADVANCED IT HON"</f>
        <v>ADVANCED IT HON</v>
      </c>
      <c r="G2100" t="str">
        <f>"21-2141"</f>
        <v>21-2141</v>
      </c>
      <c r="H2100" t="str">
        <f>"B"</f>
        <v>B</v>
      </c>
    </row>
    <row r="2101" spans="1:8" x14ac:dyDescent="0.2">
      <c r="A2101" t="str">
        <f t="shared" ref="A2101:A2108" si="770">"0617018229"</f>
        <v>0617018229</v>
      </c>
      <c r="B2101" t="str">
        <f t="shared" ref="B2101:B2108" si="771">"ADORAH"</f>
        <v>ADORAH</v>
      </c>
      <c r="C2101" t="str">
        <f t="shared" ref="C2101:C2108" si="772">"BRUNO"</f>
        <v>BRUNO</v>
      </c>
      <c r="D2101">
        <f>11</f>
        <v>11</v>
      </c>
      <c r="E2101" t="str">
        <f>"04 - A - 102 - Lisa J London"</f>
        <v>04 - A - 102 - Lisa J London</v>
      </c>
      <c r="F2101" t="str">
        <f>"AP CAPSTONE SEMINAR"</f>
        <v>AP CAPSTONE SEMINAR</v>
      </c>
      <c r="G2101" t="str">
        <f>"17-1714"</f>
        <v>17-1714</v>
      </c>
      <c r="H2101" t="str">
        <f>"A"</f>
        <v>A</v>
      </c>
    </row>
    <row r="2102" spans="1:8" x14ac:dyDescent="0.2">
      <c r="A2102" t="str">
        <f t="shared" si="770"/>
        <v>0617018229</v>
      </c>
      <c r="B2102" t="str">
        <f t="shared" si="771"/>
        <v>ADORAH</v>
      </c>
      <c r="C2102" t="str">
        <f t="shared" si="772"/>
        <v>BRUNO</v>
      </c>
      <c r="D2102">
        <f>11</f>
        <v>11</v>
      </c>
      <c r="E2102" t="str">
        <f>"06 - B - 103 - Helen A Flores"</f>
        <v>06 - B - 103 - Helen A Flores</v>
      </c>
      <c r="F2102" t="str">
        <f>"ALGEBRA 2"</f>
        <v>ALGEBRA 2</v>
      </c>
      <c r="G2102" t="str">
        <f>"21-2101"</f>
        <v>21-2101</v>
      </c>
      <c r="H2102" t="str">
        <f>"B"</f>
        <v>B</v>
      </c>
    </row>
    <row r="2103" spans="1:8" x14ac:dyDescent="0.2">
      <c r="A2103" t="str">
        <f t="shared" si="770"/>
        <v>0617018229</v>
      </c>
      <c r="B2103" t="str">
        <f t="shared" si="771"/>
        <v>ADORAH</v>
      </c>
      <c r="C2103" t="str">
        <f t="shared" si="772"/>
        <v>BRUNO</v>
      </c>
      <c r="D2103">
        <f>11</f>
        <v>11</v>
      </c>
      <c r="E2103" t="str">
        <f>"03 - A - 101 - Timothy J Lawrence"</f>
        <v>03 - A - 101 - Timothy J Lawrence</v>
      </c>
      <c r="F2103" t="str">
        <f>"AICE PHYS ED 1 AS"</f>
        <v>AICE PHYS ED 1 AS</v>
      </c>
      <c r="G2103" t="str">
        <f>"05-519"</f>
        <v>05-519</v>
      </c>
      <c r="H2103" t="str">
        <f>"A"</f>
        <v>A</v>
      </c>
    </row>
    <row r="2104" spans="1:8" x14ac:dyDescent="0.2">
      <c r="A2104" t="str">
        <f t="shared" si="770"/>
        <v>0617018229</v>
      </c>
      <c r="B2104" t="str">
        <f t="shared" si="771"/>
        <v>ADORAH</v>
      </c>
      <c r="C2104" t="str">
        <f t="shared" si="772"/>
        <v>BRUNO</v>
      </c>
      <c r="D2104">
        <f>11</f>
        <v>11</v>
      </c>
      <c r="E2104" t="str">
        <f>"02 - A - 103 - Kelly N Panza"</f>
        <v>02 - A - 103 - Kelly N Panza</v>
      </c>
      <c r="F2104" t="str">
        <f>"NC STUDY HALL 1"</f>
        <v>NC STUDY HALL 1</v>
      </c>
      <c r="G2104" t="str">
        <f>"17-1753"</f>
        <v>17-1753</v>
      </c>
      <c r="H2104" t="str">
        <f>"A"</f>
        <v>A</v>
      </c>
    </row>
    <row r="2105" spans="1:8" x14ac:dyDescent="0.2">
      <c r="A2105" t="str">
        <f t="shared" si="770"/>
        <v>0617018229</v>
      </c>
      <c r="B2105" t="str">
        <f t="shared" si="771"/>
        <v>ADORAH</v>
      </c>
      <c r="C2105" t="str">
        <f t="shared" si="772"/>
        <v>BRUNO</v>
      </c>
      <c r="D2105">
        <f>11</f>
        <v>11</v>
      </c>
      <c r="E2105" t="str">
        <f>"07 - B - 204 - Scott A Dethloff"</f>
        <v>07 - B - 204 - Scott A Dethloff</v>
      </c>
      <c r="F2105" t="str">
        <f>"CHEMISTRY 1"</f>
        <v>CHEMISTRY 1</v>
      </c>
      <c r="G2105" t="str">
        <f>"08-812"</f>
        <v>08-812</v>
      </c>
      <c r="H2105" t="str">
        <f>"B"</f>
        <v>B</v>
      </c>
    </row>
    <row r="2106" spans="1:8" x14ac:dyDescent="0.2">
      <c r="A2106" t="str">
        <f t="shared" si="770"/>
        <v>0617018229</v>
      </c>
      <c r="B2106" t="str">
        <f t="shared" si="771"/>
        <v>ADORAH</v>
      </c>
      <c r="C2106" t="str">
        <f t="shared" si="772"/>
        <v>BRUNO</v>
      </c>
      <c r="D2106">
        <f>11</f>
        <v>11</v>
      </c>
      <c r="E2106" t="str">
        <f>"05 - B - 201 - Lisa J London"</f>
        <v>05 - B - 201 - Lisa J London</v>
      </c>
      <c r="F2106" t="str">
        <f>"COMPRE LAW HON"</f>
        <v>COMPRE LAW HON</v>
      </c>
      <c r="G2106" t="str">
        <f>"17-1714"</f>
        <v>17-1714</v>
      </c>
      <c r="H2106" t="str">
        <f>"B"</f>
        <v>B</v>
      </c>
    </row>
    <row r="2107" spans="1:8" x14ac:dyDescent="0.2">
      <c r="A2107" t="str">
        <f t="shared" si="770"/>
        <v>0617018229</v>
      </c>
      <c r="B2107" t="str">
        <f t="shared" si="771"/>
        <v>ADORAH</v>
      </c>
      <c r="C2107" t="str">
        <f t="shared" si="772"/>
        <v>BRUNO</v>
      </c>
      <c r="D2107">
        <f>11</f>
        <v>11</v>
      </c>
      <c r="E2107" t="str">
        <f>"01 - A - 101 - Brandy N Zdenek"</f>
        <v>01 - A - 101 - Brandy N Zdenek</v>
      </c>
      <c r="F2107" t="str">
        <f>"AICE ENG LANG 2 AL"</f>
        <v>AICE ENG LANG 2 AL</v>
      </c>
      <c r="G2107" t="str">
        <f>"17-1704"</f>
        <v>17-1704</v>
      </c>
      <c r="H2107" t="str">
        <f>"A"</f>
        <v>A</v>
      </c>
    </row>
    <row r="2108" spans="1:8" x14ac:dyDescent="0.2">
      <c r="A2108" t="str">
        <f t="shared" si="770"/>
        <v>0617018229</v>
      </c>
      <c r="B2108" t="str">
        <f t="shared" si="771"/>
        <v>ADORAH</v>
      </c>
      <c r="C2108" t="str">
        <f t="shared" si="772"/>
        <v>BRUNO</v>
      </c>
      <c r="D2108">
        <f>11</f>
        <v>11</v>
      </c>
      <c r="E2108" t="str">
        <f>"08 - B - 001 - Jerry S Jiampetti"</f>
        <v>08 - B - 001 - Jerry S Jiampetti</v>
      </c>
      <c r="F2108" t="str">
        <f>"AICE U.S. HIST 1 AS"</f>
        <v>AICE U.S. HIST 1 AS</v>
      </c>
      <c r="G2108" t="str">
        <f>"17-1751"</f>
        <v>17-1751</v>
      </c>
      <c r="H2108" t="str">
        <f>"B"</f>
        <v>B</v>
      </c>
    </row>
    <row r="2109" spans="1:8" x14ac:dyDescent="0.2">
      <c r="A2109" t="str">
        <f t="shared" ref="A2109:A2116" si="773">"0615016287"</f>
        <v>0615016287</v>
      </c>
      <c r="B2109" t="str">
        <f t="shared" ref="B2109:B2116" si="774">"AH'LAYNE"</f>
        <v>AH'LAYNE</v>
      </c>
      <c r="C2109" t="str">
        <f t="shared" ref="C2109:C2124" si="775">"BRYAN"</f>
        <v>BRYAN</v>
      </c>
      <c r="D2109">
        <f>11</f>
        <v>11</v>
      </c>
      <c r="E2109" t="str">
        <f>"04 - A - 102 - Jordana K Hass"</f>
        <v>04 - A - 102 - Jordana K Hass</v>
      </c>
      <c r="F2109" t="str">
        <f>"CHEMISTRY 1"</f>
        <v>CHEMISTRY 1</v>
      </c>
      <c r="G2109" t="str">
        <f>"08-807"</f>
        <v>08-807</v>
      </c>
      <c r="H2109" t="str">
        <f>"A"</f>
        <v>A</v>
      </c>
    </row>
    <row r="2110" spans="1:8" x14ac:dyDescent="0.2">
      <c r="A2110" t="str">
        <f t="shared" si="773"/>
        <v>0615016287</v>
      </c>
      <c r="B2110" t="str">
        <f t="shared" si="774"/>
        <v>AH'LAYNE</v>
      </c>
      <c r="C2110" t="str">
        <f t="shared" si="775"/>
        <v>BRYAN</v>
      </c>
      <c r="D2110">
        <f>11</f>
        <v>11</v>
      </c>
      <c r="E2110" t="str">
        <f>"06 - B - 204 - Chrystina M Marchionne"</f>
        <v>06 - B - 204 - Chrystina M Marchionne</v>
      </c>
      <c r="F2110" t="str">
        <f>"AICE MEDIASTUDIES AS"</f>
        <v>AICE MEDIASTUDIES AS</v>
      </c>
      <c r="G2110" t="str">
        <f>"05-520"</f>
        <v>05-520</v>
      </c>
      <c r="H2110" t="str">
        <f>"B"</f>
        <v>B</v>
      </c>
    </row>
    <row r="2111" spans="1:8" x14ac:dyDescent="0.2">
      <c r="A2111" t="str">
        <f t="shared" si="773"/>
        <v>0615016287</v>
      </c>
      <c r="B2111" t="str">
        <f t="shared" si="774"/>
        <v>AH'LAYNE</v>
      </c>
      <c r="C2111" t="str">
        <f t="shared" si="775"/>
        <v>BRYAN</v>
      </c>
      <c r="D2111">
        <f>11</f>
        <v>11</v>
      </c>
      <c r="E2111" t="str">
        <f>"03 - A - 106 - Jerry S Jiampetti"</f>
        <v>03 - A - 106 - Jerry S Jiampetti</v>
      </c>
      <c r="F2111" t="str">
        <f>"US HISTORY HON"</f>
        <v>US HISTORY HON</v>
      </c>
      <c r="G2111" t="str">
        <f>"17-1751"</f>
        <v>17-1751</v>
      </c>
      <c r="H2111" t="str">
        <f>"A"</f>
        <v>A</v>
      </c>
    </row>
    <row r="2112" spans="1:8" x14ac:dyDescent="0.2">
      <c r="A2112" t="str">
        <f t="shared" si="773"/>
        <v>0615016287</v>
      </c>
      <c r="B2112" t="str">
        <f t="shared" si="774"/>
        <v>AH'LAYNE</v>
      </c>
      <c r="C2112" t="str">
        <f t="shared" si="775"/>
        <v>BRYAN</v>
      </c>
      <c r="D2112">
        <f>11</f>
        <v>11</v>
      </c>
      <c r="E2112" t="str">
        <f>"02 - A - 103 - Angela S Adeshina-Morrison"</f>
        <v>02 - A - 103 - Angela S Adeshina-Morrison</v>
      </c>
      <c r="F2112" t="str">
        <f>"NC STUDY HALL 1"</f>
        <v>NC STUDY HALL 1</v>
      </c>
      <c r="G2112" t="str">
        <f>"05-518"</f>
        <v>05-518</v>
      </c>
      <c r="H2112" t="str">
        <f>"A"</f>
        <v>A</v>
      </c>
    </row>
    <row r="2113" spans="1:8" x14ac:dyDescent="0.2">
      <c r="A2113" t="str">
        <f t="shared" si="773"/>
        <v>0615016287</v>
      </c>
      <c r="B2113" t="str">
        <f t="shared" si="774"/>
        <v>AH'LAYNE</v>
      </c>
      <c r="C2113" t="str">
        <f t="shared" si="775"/>
        <v>BRYAN</v>
      </c>
      <c r="D2113">
        <f>11</f>
        <v>11</v>
      </c>
      <c r="E2113" t="str">
        <f>"07 - B - 204 - Stefanie S Scher"</f>
        <v>07 - B - 204 - Stefanie S Scher</v>
      </c>
      <c r="F2113" t="str">
        <f>"AP PSYCH"</f>
        <v>AP PSYCH</v>
      </c>
      <c r="G2113" t="str">
        <f>"17-1735"</f>
        <v>17-1735</v>
      </c>
      <c r="H2113" t="str">
        <f>"B"</f>
        <v>B</v>
      </c>
    </row>
    <row r="2114" spans="1:8" x14ac:dyDescent="0.2">
      <c r="A2114" t="str">
        <f t="shared" si="773"/>
        <v>0615016287</v>
      </c>
      <c r="B2114" t="str">
        <f t="shared" si="774"/>
        <v>AH'LAYNE</v>
      </c>
      <c r="C2114" t="str">
        <f t="shared" si="775"/>
        <v>BRYAN</v>
      </c>
      <c r="D2114">
        <f>11</f>
        <v>11</v>
      </c>
      <c r="E2114" t="str">
        <f>"05 - B - 102 - Jacklyn M James"</f>
        <v>05 - B - 102 - Jacklyn M James</v>
      </c>
      <c r="F2114" t="str">
        <f>"AICE ENG LANG AS"</f>
        <v>AICE ENG LANG AS</v>
      </c>
      <c r="G2114" t="str">
        <f>"17-1731"</f>
        <v>17-1731</v>
      </c>
      <c r="H2114" t="str">
        <f>"B"</f>
        <v>B</v>
      </c>
    </row>
    <row r="2115" spans="1:8" x14ac:dyDescent="0.2">
      <c r="A2115" t="str">
        <f t="shared" si="773"/>
        <v>0615016287</v>
      </c>
      <c r="B2115" t="str">
        <f t="shared" si="774"/>
        <v>AH'LAYNE</v>
      </c>
      <c r="C2115" t="str">
        <f t="shared" si="775"/>
        <v>BRYAN</v>
      </c>
      <c r="D2115">
        <f>11</f>
        <v>11</v>
      </c>
      <c r="E2115" t="str">
        <f>"01 - A - 101 - Lisa J London"</f>
        <v>01 - A - 101 - Lisa J London</v>
      </c>
      <c r="F2115" t="str">
        <f>"AP CAPSTONE SEMINAR"</f>
        <v>AP CAPSTONE SEMINAR</v>
      </c>
      <c r="G2115" t="str">
        <f>"17-1714"</f>
        <v>17-1714</v>
      </c>
      <c r="H2115" t="str">
        <f>"A"</f>
        <v>A</v>
      </c>
    </row>
    <row r="2116" spans="1:8" x14ac:dyDescent="0.2">
      <c r="A2116" t="str">
        <f t="shared" si="773"/>
        <v>0615016287</v>
      </c>
      <c r="B2116" t="str">
        <f t="shared" si="774"/>
        <v>AH'LAYNE</v>
      </c>
      <c r="C2116" t="str">
        <f t="shared" si="775"/>
        <v>BRYAN</v>
      </c>
      <c r="D2116">
        <f>11</f>
        <v>11</v>
      </c>
      <c r="E2116" t="str">
        <f>"08 - B - 102 - Pamela M Corzo"</f>
        <v>08 - B - 102 - Pamela M Corzo</v>
      </c>
      <c r="F2116" t="str">
        <f>"AP STAT"</f>
        <v>AP STAT</v>
      </c>
      <c r="G2116" t="str">
        <f>"21-2133"</f>
        <v>21-2133</v>
      </c>
      <c r="H2116" t="str">
        <f>"B"</f>
        <v>B</v>
      </c>
    </row>
    <row r="2117" spans="1:8" x14ac:dyDescent="0.2">
      <c r="A2117" t="str">
        <f t="shared" ref="A2117:A2124" si="776">"0618117322"</f>
        <v>0618117322</v>
      </c>
      <c r="B2117" t="str">
        <f t="shared" ref="B2117:B2124" si="777">"LEANA"</f>
        <v>LEANA</v>
      </c>
      <c r="C2117" t="str">
        <f t="shared" si="775"/>
        <v>BRYAN</v>
      </c>
      <c r="D2117">
        <f>10</f>
        <v>10</v>
      </c>
      <c r="E2117" t="str">
        <f>"04 - A - 102 - Byron G Montenegro"</f>
        <v>04 - A - 102 - Byron G Montenegro</v>
      </c>
      <c r="F2117" t="str">
        <f>"AICE MARINE SCI 1 AS"</f>
        <v>AICE MARINE SCI 1 AS</v>
      </c>
      <c r="G2117" t="str">
        <f>"21-2144"</f>
        <v>21-2144</v>
      </c>
      <c r="H2117" t="str">
        <f>"A"</f>
        <v>A</v>
      </c>
    </row>
    <row r="2118" spans="1:8" x14ac:dyDescent="0.2">
      <c r="A2118" t="str">
        <f t="shared" si="776"/>
        <v>0618117322</v>
      </c>
      <c r="B2118" t="str">
        <f t="shared" si="777"/>
        <v>LEANA</v>
      </c>
      <c r="C2118" t="str">
        <f t="shared" si="775"/>
        <v>BRYAN</v>
      </c>
      <c r="D2118">
        <f>10</f>
        <v>10</v>
      </c>
      <c r="E2118" t="str">
        <f>"06 - B - 115 - Scott A Dethloff"</f>
        <v>06 - B - 115 - Scott A Dethloff</v>
      </c>
      <c r="F2118" t="str">
        <f>"NC STUDY HALL 1"</f>
        <v>NC STUDY HALL 1</v>
      </c>
      <c r="G2118" t="str">
        <f>"08-812"</f>
        <v>08-812</v>
      </c>
      <c r="H2118" t="str">
        <f>"B"</f>
        <v>B</v>
      </c>
    </row>
    <row r="2119" spans="1:8" x14ac:dyDescent="0.2">
      <c r="A2119" t="str">
        <f t="shared" si="776"/>
        <v>0618117322</v>
      </c>
      <c r="B2119" t="str">
        <f t="shared" si="777"/>
        <v>LEANA</v>
      </c>
      <c r="C2119" t="str">
        <f t="shared" si="775"/>
        <v>BRYAN</v>
      </c>
      <c r="D2119">
        <f>10</f>
        <v>10</v>
      </c>
      <c r="E2119" t="str">
        <f>"03 - A - 002 - Lenecy  Nodarse"</f>
        <v>03 - A - 002 - Lenecy  Nodarse</v>
      </c>
      <c r="F2119" t="str">
        <f>"AICE EURO HIST 1 AS"</f>
        <v>AICE EURO HIST 1 AS</v>
      </c>
      <c r="G2119" t="str">
        <f>"17-1741"</f>
        <v>17-1741</v>
      </c>
      <c r="H2119" t="str">
        <f>"A"</f>
        <v>A</v>
      </c>
    </row>
    <row r="2120" spans="1:8" x14ac:dyDescent="0.2">
      <c r="A2120" t="str">
        <f t="shared" si="776"/>
        <v>0618117322</v>
      </c>
      <c r="B2120" t="str">
        <f t="shared" si="777"/>
        <v>LEANA</v>
      </c>
      <c r="C2120" t="str">
        <f t="shared" si="775"/>
        <v>BRYAN</v>
      </c>
      <c r="D2120">
        <f>10</f>
        <v>10</v>
      </c>
      <c r="E2120" t="str">
        <f>"02 - A - 102 - Jacklyn M James"</f>
        <v>02 - A - 102 - Jacklyn M James</v>
      </c>
      <c r="F2120" t="str">
        <f>"AICE ENG LANG AS"</f>
        <v>AICE ENG LANG AS</v>
      </c>
      <c r="G2120" t="str">
        <f>"17-1731"</f>
        <v>17-1731</v>
      </c>
      <c r="H2120" t="str">
        <f>"A"</f>
        <v>A</v>
      </c>
    </row>
    <row r="2121" spans="1:8" x14ac:dyDescent="0.2">
      <c r="A2121" t="str">
        <f t="shared" si="776"/>
        <v>0618117322</v>
      </c>
      <c r="B2121" t="str">
        <f t="shared" si="777"/>
        <v>LEANA</v>
      </c>
      <c r="C2121" t="str">
        <f t="shared" si="775"/>
        <v>BRYAN</v>
      </c>
      <c r="D2121">
        <f>10</f>
        <v>10</v>
      </c>
      <c r="E2121" t="str">
        <f>"07 - B - 101 - Alejandro  Navarro"</f>
        <v>07 - B - 101 - Alejandro  Navarro</v>
      </c>
      <c r="F2121" t="str">
        <f>"EURHY 1"</f>
        <v>EURHY 1</v>
      </c>
      <c r="G2121" t="str">
        <f>"05-504"</f>
        <v>05-504</v>
      </c>
      <c r="H2121" t="str">
        <f>"B"</f>
        <v>B</v>
      </c>
    </row>
    <row r="2122" spans="1:8" x14ac:dyDescent="0.2">
      <c r="A2122" t="str">
        <f t="shared" si="776"/>
        <v>0618117322</v>
      </c>
      <c r="B2122" t="str">
        <f t="shared" si="777"/>
        <v>LEANA</v>
      </c>
      <c r="C2122" t="str">
        <f t="shared" si="775"/>
        <v>BRYAN</v>
      </c>
      <c r="D2122">
        <f>10</f>
        <v>10</v>
      </c>
      <c r="E2122" t="str">
        <f>"05 - B - 103 - Eva T Rimmer"</f>
        <v>05 - B - 103 - Eva T Rimmer</v>
      </c>
      <c r="F2122" t="str">
        <f>"CRIMINAL JUST OPS 1"</f>
        <v>CRIMINAL JUST OPS 1</v>
      </c>
      <c r="G2122" t="str">
        <f>"05-523"</f>
        <v>05-523</v>
      </c>
      <c r="H2122" t="str">
        <f>"B"</f>
        <v>B</v>
      </c>
    </row>
    <row r="2123" spans="1:8" x14ac:dyDescent="0.2">
      <c r="A2123" t="str">
        <f t="shared" si="776"/>
        <v>0618117322</v>
      </c>
      <c r="B2123" t="str">
        <f t="shared" si="777"/>
        <v>LEANA</v>
      </c>
      <c r="C2123" t="str">
        <f t="shared" si="775"/>
        <v>BRYAN</v>
      </c>
      <c r="D2123">
        <f>10</f>
        <v>10</v>
      </c>
      <c r="E2123" t="str">
        <f>"01 - A - 101 - James H Mccann"</f>
        <v>01 - A - 101 - James H Mccann</v>
      </c>
      <c r="F2123" t="str">
        <f>"ALGEBRA 2"</f>
        <v>ALGEBRA 2</v>
      </c>
      <c r="G2123" t="str">
        <f>"17-1716"</f>
        <v>17-1716</v>
      </c>
      <c r="H2123" t="str">
        <f>"A"</f>
        <v>A</v>
      </c>
    </row>
    <row r="2124" spans="1:8" x14ac:dyDescent="0.2">
      <c r="A2124" t="str">
        <f t="shared" si="776"/>
        <v>0618117322</v>
      </c>
      <c r="B2124" t="str">
        <f t="shared" si="777"/>
        <v>LEANA</v>
      </c>
      <c r="C2124" t="str">
        <f t="shared" si="775"/>
        <v>BRYAN</v>
      </c>
      <c r="D2124">
        <f>10</f>
        <v>10</v>
      </c>
      <c r="E2124" t="str">
        <f>"08 - S1 - B - 102 - Kyle  Robbins"</f>
        <v>08 - S1 - B - 102 - Kyle  Robbins</v>
      </c>
      <c r="F2124" t="str">
        <f>"PERS FIN &amp; MON MGT H"</f>
        <v>PERS FIN &amp; MON MGT H</v>
      </c>
      <c r="G2124" t="str">
        <f>"17-1745"</f>
        <v>17-1745</v>
      </c>
      <c r="H2124" t="str">
        <f>"B"</f>
        <v>B</v>
      </c>
    </row>
    <row r="2125" spans="1:8" x14ac:dyDescent="0.2">
      <c r="A2125" t="str">
        <f t="shared" ref="A2125:A2132" si="778">"0616000240"</f>
        <v>0616000240</v>
      </c>
      <c r="B2125" t="str">
        <f t="shared" ref="B2125:B2132" si="779">"ALORIA"</f>
        <v>ALORIA</v>
      </c>
      <c r="C2125" t="str">
        <f t="shared" ref="C2125:C2132" si="780">"BRYANT"</f>
        <v>BRYANT</v>
      </c>
      <c r="D2125">
        <f>10</f>
        <v>10</v>
      </c>
      <c r="E2125" t="str">
        <f>"04 - A - 101 - Chrystina M Marchionne"</f>
        <v>04 - A - 101 - Chrystina M Marchionne</v>
      </c>
      <c r="F2125" t="str">
        <f>"THEA CIN &amp; FILM LH"</f>
        <v>THEA CIN &amp; FILM LH</v>
      </c>
      <c r="G2125" t="str">
        <f>"05-520"</f>
        <v>05-520</v>
      </c>
      <c r="H2125" t="str">
        <f>"A"</f>
        <v>A</v>
      </c>
    </row>
    <row r="2126" spans="1:8" x14ac:dyDescent="0.2">
      <c r="A2126" t="str">
        <f t="shared" si="778"/>
        <v>0616000240</v>
      </c>
      <c r="B2126" t="str">
        <f t="shared" si="779"/>
        <v>ALORIA</v>
      </c>
      <c r="C2126" t="str">
        <f t="shared" si="780"/>
        <v>BRYANT</v>
      </c>
      <c r="D2126">
        <f>10</f>
        <v>10</v>
      </c>
      <c r="E2126" t="str">
        <f>"06 - B - 117 - Daniel S Tyson"</f>
        <v>06 - B - 117 - Daniel S Tyson</v>
      </c>
      <c r="F2126" t="str">
        <f>"NC STUDY HALL 1"</f>
        <v>NC STUDY HALL 1</v>
      </c>
      <c r="G2126" t="str">
        <f>"05-510"</f>
        <v>05-510</v>
      </c>
      <c r="H2126" t="str">
        <f>"B"</f>
        <v>B</v>
      </c>
    </row>
    <row r="2127" spans="1:8" x14ac:dyDescent="0.2">
      <c r="A2127" t="str">
        <f t="shared" si="778"/>
        <v>0616000240</v>
      </c>
      <c r="B2127" t="str">
        <f t="shared" si="779"/>
        <v>ALORIA</v>
      </c>
      <c r="C2127" t="str">
        <f t="shared" si="780"/>
        <v>BRYANT</v>
      </c>
      <c r="D2127">
        <f>10</f>
        <v>10</v>
      </c>
      <c r="E2127" t="str">
        <f>"03 - A - 104 - Brook E Goren"</f>
        <v>03 - A - 104 - Brook E Goren</v>
      </c>
      <c r="F2127" t="str">
        <f>"ALGEBRA 2 HON"</f>
        <v>ALGEBRA 2 HON</v>
      </c>
      <c r="G2127" t="str">
        <f>"21-2158"</f>
        <v>21-2158</v>
      </c>
      <c r="H2127" t="str">
        <f>"A"</f>
        <v>A</v>
      </c>
    </row>
    <row r="2128" spans="1:8" x14ac:dyDescent="0.2">
      <c r="A2128" t="str">
        <f t="shared" si="778"/>
        <v>0616000240</v>
      </c>
      <c r="B2128" t="str">
        <f t="shared" si="779"/>
        <v>ALORIA</v>
      </c>
      <c r="C2128" t="str">
        <f t="shared" si="780"/>
        <v>BRYANT</v>
      </c>
      <c r="D2128">
        <f>10</f>
        <v>10</v>
      </c>
      <c r="E2128" t="str">
        <f>"02 - A - 104 - Scott A Dethloff"</f>
        <v>02 - A - 104 - Scott A Dethloff</v>
      </c>
      <c r="F2128" t="str">
        <f>"CHEMISTRY 1 HON"</f>
        <v>CHEMISTRY 1 HON</v>
      </c>
      <c r="G2128" t="str">
        <f>"08-812"</f>
        <v>08-812</v>
      </c>
      <c r="H2128" t="str">
        <f>"A"</f>
        <v>A</v>
      </c>
    </row>
    <row r="2129" spans="1:8" x14ac:dyDescent="0.2">
      <c r="A2129" t="str">
        <f t="shared" si="778"/>
        <v>0616000240</v>
      </c>
      <c r="B2129" t="str">
        <f t="shared" si="779"/>
        <v>ALORIA</v>
      </c>
      <c r="C2129" t="str">
        <f t="shared" si="780"/>
        <v>BRYANT</v>
      </c>
      <c r="D2129">
        <f>10</f>
        <v>10</v>
      </c>
      <c r="E2129" t="str">
        <f>"07 - B - 107 - Jacklyn M James"</f>
        <v>07 - B - 107 - Jacklyn M James</v>
      </c>
      <c r="F2129" t="str">
        <f>"AICE ENG LANG AS"</f>
        <v>AICE ENG LANG AS</v>
      </c>
      <c r="G2129" t="str">
        <f>"17-1731"</f>
        <v>17-1731</v>
      </c>
      <c r="H2129" t="str">
        <f>"B"</f>
        <v>B</v>
      </c>
    </row>
    <row r="2130" spans="1:8" x14ac:dyDescent="0.2">
      <c r="A2130" t="str">
        <f t="shared" si="778"/>
        <v>0616000240</v>
      </c>
      <c r="B2130" t="str">
        <f t="shared" si="779"/>
        <v>ALORIA</v>
      </c>
      <c r="C2130" t="str">
        <f t="shared" si="780"/>
        <v>BRYANT</v>
      </c>
      <c r="D2130">
        <f>10</f>
        <v>10</v>
      </c>
      <c r="E2130" t="str">
        <f>"05 - B - 202 - Daniel S Katz"</f>
        <v>05 - B - 202 - Daniel S Katz</v>
      </c>
      <c r="F2130" t="str">
        <f>"EXEC INTERN 3 LH"</f>
        <v>EXEC INTERN 3 LH</v>
      </c>
      <c r="G2130" t="str">
        <f>"21-2156"</f>
        <v>21-2156</v>
      </c>
      <c r="H2130" t="str">
        <f>"B"</f>
        <v>B</v>
      </c>
    </row>
    <row r="2131" spans="1:8" x14ac:dyDescent="0.2">
      <c r="A2131" t="str">
        <f t="shared" si="778"/>
        <v>0616000240</v>
      </c>
      <c r="B2131" t="str">
        <f t="shared" si="779"/>
        <v>ALORIA</v>
      </c>
      <c r="C2131" t="str">
        <f t="shared" si="780"/>
        <v>BRYANT</v>
      </c>
      <c r="D2131">
        <f>10</f>
        <v>10</v>
      </c>
      <c r="E2131" t="str">
        <f>"01 - A - 001 - Lenecy  Nodarse"</f>
        <v>01 - A - 001 - Lenecy  Nodarse</v>
      </c>
      <c r="F2131" t="str">
        <f>"AICE EURO HIST 1 AS"</f>
        <v>AICE EURO HIST 1 AS</v>
      </c>
      <c r="G2131" t="str">
        <f>"17-1741"</f>
        <v>17-1741</v>
      </c>
      <c r="H2131" t="str">
        <f>"A"</f>
        <v>A</v>
      </c>
    </row>
    <row r="2132" spans="1:8" x14ac:dyDescent="0.2">
      <c r="A2132" t="str">
        <f t="shared" si="778"/>
        <v>0616000240</v>
      </c>
      <c r="B2132" t="str">
        <f t="shared" si="779"/>
        <v>ALORIA</v>
      </c>
      <c r="C2132" t="str">
        <f t="shared" si="780"/>
        <v>BRYANT</v>
      </c>
      <c r="D2132">
        <f>10</f>
        <v>10</v>
      </c>
      <c r="E2132" t="str">
        <f>"08 - B - 206 - Daniel S Katz"</f>
        <v>08 - B - 206 - Daniel S Katz</v>
      </c>
      <c r="F2132" t="str">
        <f>"AICE MEDIASTUDIES AS"</f>
        <v>AICE MEDIASTUDIES AS</v>
      </c>
      <c r="G2132" t="str">
        <f>"05-521"</f>
        <v>05-521</v>
      </c>
      <c r="H2132" t="str">
        <f>"B"</f>
        <v>B</v>
      </c>
    </row>
    <row r="2133" spans="1:8" x14ac:dyDescent="0.2">
      <c r="A2133" t="str">
        <f t="shared" ref="A2133:A2140" si="781">"0615029089"</f>
        <v>0615029089</v>
      </c>
      <c r="B2133" t="str">
        <f t="shared" ref="B2133:B2140" si="782">"JAILAH"</f>
        <v>JAILAH</v>
      </c>
      <c r="C2133" t="str">
        <f t="shared" ref="C2133:C2140" si="783">"BRYANT LEE"</f>
        <v>BRYANT LEE</v>
      </c>
      <c r="D2133">
        <f>11</f>
        <v>11</v>
      </c>
      <c r="E2133" t="str">
        <f>"04 - A - 201 - Scott A Dethloff"</f>
        <v>04 - A - 201 - Scott A Dethloff</v>
      </c>
      <c r="F2133" t="str">
        <f>"AICE THINK SKLS 1 AS"</f>
        <v>AICE THINK SKLS 1 AS</v>
      </c>
      <c r="G2133" t="str">
        <f>"08-812"</f>
        <v>08-812</v>
      </c>
      <c r="H2133" t="str">
        <f>"A"</f>
        <v>A</v>
      </c>
    </row>
    <row r="2134" spans="1:8" x14ac:dyDescent="0.2">
      <c r="A2134" t="str">
        <f t="shared" si="781"/>
        <v>0615029089</v>
      </c>
      <c r="B2134" t="str">
        <f t="shared" si="782"/>
        <v>JAILAH</v>
      </c>
      <c r="C2134" t="str">
        <f t="shared" si="783"/>
        <v>BRYANT LEE</v>
      </c>
      <c r="D2134">
        <f>11</f>
        <v>11</v>
      </c>
      <c r="E2134" t="str">
        <f>"06 - B - 103 - Helen A Flores"</f>
        <v>06 - B - 103 - Helen A Flores</v>
      </c>
      <c r="F2134" t="str">
        <f>"ALGEBRA 2"</f>
        <v>ALGEBRA 2</v>
      </c>
      <c r="G2134" t="str">
        <f>"21-2101"</f>
        <v>21-2101</v>
      </c>
      <c r="H2134" t="str">
        <f>"B"</f>
        <v>B</v>
      </c>
    </row>
    <row r="2135" spans="1:8" x14ac:dyDescent="0.2">
      <c r="A2135" t="str">
        <f t="shared" si="781"/>
        <v>0615029089</v>
      </c>
      <c r="B2135" t="str">
        <f t="shared" si="782"/>
        <v>JAILAH</v>
      </c>
      <c r="C2135" t="str">
        <f t="shared" si="783"/>
        <v>BRYANT LEE</v>
      </c>
      <c r="D2135">
        <f>11</f>
        <v>11</v>
      </c>
      <c r="E2135" t="str">
        <f>"03 - A - 103 - Jordana K Hass"</f>
        <v>03 - A - 103 - Jordana K Hass</v>
      </c>
      <c r="F2135" t="str">
        <f>"CHEMISTRY 1"</f>
        <v>CHEMISTRY 1</v>
      </c>
      <c r="G2135" t="str">
        <f>"08-807"</f>
        <v>08-807</v>
      </c>
      <c r="H2135" t="str">
        <f>"A"</f>
        <v>A</v>
      </c>
    </row>
    <row r="2136" spans="1:8" x14ac:dyDescent="0.2">
      <c r="A2136" t="str">
        <f t="shared" si="781"/>
        <v>0615029089</v>
      </c>
      <c r="B2136" t="str">
        <f t="shared" si="782"/>
        <v>JAILAH</v>
      </c>
      <c r="C2136" t="str">
        <f t="shared" si="783"/>
        <v>BRYANT LEE</v>
      </c>
      <c r="D2136">
        <f>11</f>
        <v>11</v>
      </c>
      <c r="E2136" t="str">
        <f>"02 - A - 101 - Timothy J Lawrence"</f>
        <v>02 - A - 101 - Timothy J Lawrence</v>
      </c>
      <c r="F2136" t="str">
        <f>"NC STUDY HALL 1"</f>
        <v>NC STUDY HALL 1</v>
      </c>
      <c r="G2136" t="str">
        <f>"05-522"</f>
        <v>05-522</v>
      </c>
      <c r="H2136" t="str">
        <f>"A"</f>
        <v>A</v>
      </c>
    </row>
    <row r="2137" spans="1:8" x14ac:dyDescent="0.2">
      <c r="A2137" t="str">
        <f t="shared" si="781"/>
        <v>0615029089</v>
      </c>
      <c r="B2137" t="str">
        <f t="shared" si="782"/>
        <v>JAILAH</v>
      </c>
      <c r="C2137" t="str">
        <f t="shared" si="783"/>
        <v>BRYANT LEE</v>
      </c>
      <c r="D2137">
        <f>11</f>
        <v>11</v>
      </c>
      <c r="E2137" t="str">
        <f>"07 - B - 102 - Chrystina M Marchionne"</f>
        <v>07 - B - 102 - Chrystina M Marchionne</v>
      </c>
      <c r="F2137" t="str">
        <f>"JOURN 2 (YB) LH"</f>
        <v>JOURN 2 (YB) LH</v>
      </c>
      <c r="G2137" t="str">
        <f>"05-520"</f>
        <v>05-520</v>
      </c>
      <c r="H2137" t="str">
        <f>"B"</f>
        <v>B</v>
      </c>
    </row>
    <row r="2138" spans="1:8" x14ac:dyDescent="0.2">
      <c r="A2138" t="str">
        <f t="shared" si="781"/>
        <v>0615029089</v>
      </c>
      <c r="B2138" t="str">
        <f t="shared" si="782"/>
        <v>JAILAH</v>
      </c>
      <c r="C2138" t="str">
        <f t="shared" si="783"/>
        <v>BRYANT LEE</v>
      </c>
      <c r="D2138">
        <f>11</f>
        <v>11</v>
      </c>
      <c r="E2138" t="str">
        <f>"05 - B - 101 - Brian M Fitzgerald"</f>
        <v>05 - B - 101 - Brian M Fitzgerald</v>
      </c>
      <c r="F2138" t="str">
        <f>"PAINT 1"</f>
        <v>PAINT 1</v>
      </c>
      <c r="G2138" t="str">
        <f>"09-908"</f>
        <v>09-908</v>
      </c>
      <c r="H2138" t="str">
        <f>"B"</f>
        <v>B</v>
      </c>
    </row>
    <row r="2139" spans="1:8" x14ac:dyDescent="0.2">
      <c r="A2139" t="str">
        <f t="shared" si="781"/>
        <v>0615029089</v>
      </c>
      <c r="B2139" t="str">
        <f t="shared" si="782"/>
        <v>JAILAH</v>
      </c>
      <c r="C2139" t="str">
        <f t="shared" si="783"/>
        <v>BRYANT LEE</v>
      </c>
      <c r="D2139">
        <f>11</f>
        <v>11</v>
      </c>
      <c r="E2139" t="str">
        <f>"01 - A - 101 - Jacklyn M James"</f>
        <v>01 - A - 101 - Jacklyn M James</v>
      </c>
      <c r="F2139" t="str">
        <f>"AICE ENG LANG AS"</f>
        <v>AICE ENG LANG AS</v>
      </c>
      <c r="G2139" t="str">
        <f>"17-1731"</f>
        <v>17-1731</v>
      </c>
      <c r="H2139" t="str">
        <f>"A"</f>
        <v>A</v>
      </c>
    </row>
    <row r="2140" spans="1:8" x14ac:dyDescent="0.2">
      <c r="A2140" t="str">
        <f t="shared" si="781"/>
        <v>0615029089</v>
      </c>
      <c r="B2140" t="str">
        <f t="shared" si="782"/>
        <v>JAILAH</v>
      </c>
      <c r="C2140" t="str">
        <f t="shared" si="783"/>
        <v>BRYANT LEE</v>
      </c>
      <c r="D2140">
        <f>11</f>
        <v>11</v>
      </c>
      <c r="E2140" t="str">
        <f>"08 - B - 001 - Jerry S Jiampetti"</f>
        <v>08 - B - 001 - Jerry S Jiampetti</v>
      </c>
      <c r="F2140" t="str">
        <f>"AICE U.S. HIST 1 AS"</f>
        <v>AICE U.S. HIST 1 AS</v>
      </c>
      <c r="G2140" t="str">
        <f>"17-1751"</f>
        <v>17-1751</v>
      </c>
      <c r="H2140" t="str">
        <f>"B"</f>
        <v>B</v>
      </c>
    </row>
    <row r="2141" spans="1:8" x14ac:dyDescent="0.2">
      <c r="A2141" t="str">
        <f t="shared" ref="A2141:A2148" si="784">"0615004931"</f>
        <v>0615004931</v>
      </c>
      <c r="B2141" t="str">
        <f t="shared" ref="B2141:B2148" si="785">"MATTHEW"</f>
        <v>MATTHEW</v>
      </c>
      <c r="C2141" t="str">
        <f t="shared" ref="C2141:C2148" si="786">"BUCHANAN"</f>
        <v>BUCHANAN</v>
      </c>
      <c r="D2141">
        <f>11</f>
        <v>11</v>
      </c>
      <c r="E2141" t="str">
        <f>"04 - A - 201 - Dorothy D Moore"</f>
        <v>04 - A - 201 - Dorothy D Moore</v>
      </c>
      <c r="F2141" t="str">
        <f>"HEALTH SCI 1/A&amp;P HON"</f>
        <v>HEALTH SCI 1/A&amp;P HON</v>
      </c>
      <c r="G2141" t="str">
        <f>"08-803"</f>
        <v>08-803</v>
      </c>
      <c r="H2141" t="str">
        <f>"A"</f>
        <v>A</v>
      </c>
    </row>
    <row r="2142" spans="1:8" x14ac:dyDescent="0.2">
      <c r="A2142" t="str">
        <f t="shared" si="784"/>
        <v>0615004931</v>
      </c>
      <c r="B2142" t="str">
        <f t="shared" si="785"/>
        <v>MATTHEW</v>
      </c>
      <c r="C2142" t="str">
        <f t="shared" si="786"/>
        <v>BUCHANAN</v>
      </c>
      <c r="D2142">
        <f>11</f>
        <v>11</v>
      </c>
      <c r="E2142" t="str">
        <f>"06 - B - 206 - Jacqueline R Morphet"</f>
        <v>06 - B - 206 - Jacqueline R Morphet</v>
      </c>
      <c r="F2142" t="str">
        <f>"PHYSICS 1 HON"</f>
        <v>PHYSICS 1 HON</v>
      </c>
      <c r="G2142" t="str">
        <f>"21-2138"</f>
        <v>21-2138</v>
      </c>
      <c r="H2142" t="str">
        <f>"B"</f>
        <v>B</v>
      </c>
    </row>
    <row r="2143" spans="1:8" x14ac:dyDescent="0.2">
      <c r="A2143" t="str">
        <f t="shared" si="784"/>
        <v>0615004931</v>
      </c>
      <c r="B2143" t="str">
        <f t="shared" si="785"/>
        <v>MATTHEW</v>
      </c>
      <c r="C2143" t="str">
        <f t="shared" si="786"/>
        <v>BUCHANAN</v>
      </c>
      <c r="D2143">
        <f>11</f>
        <v>11</v>
      </c>
      <c r="E2143" t="str">
        <f>"03 - A - 106 - Jerry S Jiampetti"</f>
        <v>03 - A - 106 - Jerry S Jiampetti</v>
      </c>
      <c r="F2143" t="str">
        <f>"US HISTORY HON"</f>
        <v>US HISTORY HON</v>
      </c>
      <c r="G2143" t="str">
        <f>"17-1751"</f>
        <v>17-1751</v>
      </c>
      <c r="H2143" t="str">
        <f>"A"</f>
        <v>A</v>
      </c>
    </row>
    <row r="2144" spans="1:8" x14ac:dyDescent="0.2">
      <c r="A2144" t="str">
        <f t="shared" si="784"/>
        <v>0615004931</v>
      </c>
      <c r="B2144" t="str">
        <f t="shared" si="785"/>
        <v>MATTHEW</v>
      </c>
      <c r="C2144" t="str">
        <f t="shared" si="786"/>
        <v>BUCHANAN</v>
      </c>
      <c r="D2144">
        <f>11</f>
        <v>11</v>
      </c>
      <c r="E2144" t="str">
        <f>"02 - A - 117 - Kyle  Robbins"</f>
        <v>02 - A - 117 - Kyle  Robbins</v>
      </c>
      <c r="F2144" t="str">
        <f>"NC STUDY HALL 1"</f>
        <v>NC STUDY HALL 1</v>
      </c>
      <c r="G2144" t="str">
        <f>"17-1745"</f>
        <v>17-1745</v>
      </c>
      <c r="H2144" t="str">
        <f>"A"</f>
        <v>A</v>
      </c>
    </row>
    <row r="2145" spans="1:8" x14ac:dyDescent="0.2">
      <c r="A2145" t="str">
        <f t="shared" si="784"/>
        <v>0615004931</v>
      </c>
      <c r="B2145" t="str">
        <f t="shared" si="785"/>
        <v>MATTHEW</v>
      </c>
      <c r="C2145" t="str">
        <f t="shared" si="786"/>
        <v>BUCHANAN</v>
      </c>
      <c r="D2145">
        <f>11</f>
        <v>11</v>
      </c>
      <c r="E2145" t="str">
        <f>"07 - B - 102 - Timothy J Lawrence"</f>
        <v>07 - B - 102 - Timothy J Lawrence</v>
      </c>
      <c r="F2145" t="str">
        <f>"AICE PHYS ED 1 AS"</f>
        <v>AICE PHYS ED 1 AS</v>
      </c>
      <c r="G2145" t="str">
        <f>"05-523"</f>
        <v>05-523</v>
      </c>
      <c r="H2145" t="str">
        <f>"B"</f>
        <v>B</v>
      </c>
    </row>
    <row r="2146" spans="1:8" x14ac:dyDescent="0.2">
      <c r="A2146" t="str">
        <f t="shared" si="784"/>
        <v>0615004931</v>
      </c>
      <c r="B2146" t="str">
        <f t="shared" si="785"/>
        <v>MATTHEW</v>
      </c>
      <c r="C2146" t="str">
        <f t="shared" si="786"/>
        <v>BUCHANAN</v>
      </c>
      <c r="D2146">
        <f>11</f>
        <v>11</v>
      </c>
      <c r="E2146" t="str">
        <f>"05 - B - 104 - Semra  Bahadir"</f>
        <v>05 - B - 104 - Semra  Bahadir</v>
      </c>
      <c r="F2146" t="str">
        <f>"MATH COLL ALGEBRA"</f>
        <v>MATH COLL ALGEBRA</v>
      </c>
      <c r="G2146" t="str">
        <f>"21-2107"</f>
        <v>21-2107</v>
      </c>
      <c r="H2146" t="str">
        <f>"B"</f>
        <v>B</v>
      </c>
    </row>
    <row r="2147" spans="1:8" x14ac:dyDescent="0.2">
      <c r="A2147" t="str">
        <f t="shared" si="784"/>
        <v>0615004931</v>
      </c>
      <c r="B2147" t="str">
        <f t="shared" si="785"/>
        <v>MATTHEW</v>
      </c>
      <c r="C2147" t="str">
        <f t="shared" si="786"/>
        <v>BUCHANAN</v>
      </c>
      <c r="D2147">
        <f>11</f>
        <v>11</v>
      </c>
      <c r="E2147" t="str">
        <f>"01 - A - 101 - Heidi M Knopp"</f>
        <v>01 - A - 101 - Heidi M Knopp</v>
      </c>
      <c r="F2147" t="str">
        <f>"ENG HON 3"</f>
        <v>ENG HON 3</v>
      </c>
      <c r="G2147" t="str">
        <f>"17-1752"</f>
        <v>17-1752</v>
      </c>
      <c r="H2147" t="str">
        <f>"A"</f>
        <v>A</v>
      </c>
    </row>
    <row r="2148" spans="1:8" x14ac:dyDescent="0.2">
      <c r="A2148" t="str">
        <f t="shared" si="784"/>
        <v>0615004931</v>
      </c>
      <c r="B2148" t="str">
        <f t="shared" si="785"/>
        <v>MATTHEW</v>
      </c>
      <c r="C2148" t="str">
        <f t="shared" si="786"/>
        <v>BUCHANAN</v>
      </c>
      <c r="D2148">
        <f>11</f>
        <v>11</v>
      </c>
      <c r="E2148" t="str">
        <f>"08 - S1 - B - 104 - Richard E Dunbar Iii"</f>
        <v>08 - S1 - B - 104 - Richard E Dunbar Iii</v>
      </c>
      <c r="F2148" t="str">
        <f>"WEIGHT TRAIN 3"</f>
        <v>WEIGHT TRAIN 3</v>
      </c>
      <c r="G2148" t="str">
        <f>"05-501"</f>
        <v>05-501</v>
      </c>
      <c r="H2148" t="str">
        <f>"B"</f>
        <v>B</v>
      </c>
    </row>
    <row r="2149" spans="1:8" x14ac:dyDescent="0.2">
      <c r="A2149" t="str">
        <f t="shared" ref="A2149:A2156" si="787">"0611073859"</f>
        <v>0611073859</v>
      </c>
      <c r="B2149" t="str">
        <f t="shared" ref="B2149:B2156" si="788">"KARIME"</f>
        <v>KARIME</v>
      </c>
      <c r="C2149" t="str">
        <f t="shared" ref="C2149:C2156" si="789">"BUENO"</f>
        <v>BUENO</v>
      </c>
      <c r="D2149">
        <f>11</f>
        <v>11</v>
      </c>
      <c r="E2149" t="str">
        <f>"04 - A - 205 - Jacqueline R Morphet"</f>
        <v>04 - A - 205 - Jacqueline R Morphet</v>
      </c>
      <c r="F2149" t="str">
        <f>"PHYSICS 1 HON"</f>
        <v>PHYSICS 1 HON</v>
      </c>
      <c r="G2149" t="str">
        <f>"21-2138"</f>
        <v>21-2138</v>
      </c>
      <c r="H2149" t="str">
        <f>"A"</f>
        <v>A</v>
      </c>
    </row>
    <row r="2150" spans="1:8" x14ac:dyDescent="0.2">
      <c r="A2150" t="str">
        <f t="shared" si="787"/>
        <v>0611073859</v>
      </c>
      <c r="B2150" t="str">
        <f t="shared" si="788"/>
        <v>KARIME</v>
      </c>
      <c r="C2150" t="str">
        <f t="shared" si="789"/>
        <v>BUENO</v>
      </c>
      <c r="D2150">
        <f>11</f>
        <v>11</v>
      </c>
      <c r="E2150" t="str">
        <f>"06 - B - 104 - Eva T Rimmer"</f>
        <v>06 - B - 104 - Eva T Rimmer</v>
      </c>
      <c r="F2150" t="str">
        <f>"CRIMINAL JUST OPS 1"</f>
        <v>CRIMINAL JUST OPS 1</v>
      </c>
      <c r="G2150" t="str">
        <f>"05-523"</f>
        <v>05-523</v>
      </c>
      <c r="H2150" t="str">
        <f>"B"</f>
        <v>B</v>
      </c>
    </row>
    <row r="2151" spans="1:8" x14ac:dyDescent="0.2">
      <c r="A2151" t="str">
        <f t="shared" si="787"/>
        <v>0611073859</v>
      </c>
      <c r="B2151" t="str">
        <f t="shared" si="788"/>
        <v>KARIME</v>
      </c>
      <c r="C2151" t="str">
        <f t="shared" si="789"/>
        <v>BUENO</v>
      </c>
      <c r="D2151">
        <f>11</f>
        <v>11</v>
      </c>
      <c r="E2151" t="str">
        <f>"03 - A - 109 - Lissa C Frederique"</f>
        <v>03 - A - 109 - Lissa C Frederique</v>
      </c>
      <c r="F2151" t="str">
        <f>"WORLD HISTORY"</f>
        <v>WORLD HISTORY</v>
      </c>
      <c r="G2151" t="str">
        <f>"17-1754"</f>
        <v>17-1754</v>
      </c>
      <c r="H2151" t="str">
        <f>"A"</f>
        <v>A</v>
      </c>
    </row>
    <row r="2152" spans="1:8" x14ac:dyDescent="0.2">
      <c r="A2152" t="str">
        <f t="shared" si="787"/>
        <v>0611073859</v>
      </c>
      <c r="B2152" t="str">
        <f t="shared" si="788"/>
        <v>KARIME</v>
      </c>
      <c r="C2152" t="str">
        <f t="shared" si="789"/>
        <v>BUENO</v>
      </c>
      <c r="D2152">
        <f>11</f>
        <v>11</v>
      </c>
      <c r="E2152" t="str">
        <f>"02 - A - 107 - Elizabeth Ellen  Moran"</f>
        <v>02 - A - 107 - Elizabeth Ellen  Moran</v>
      </c>
      <c r="F2152" t="str">
        <f>"NC STUDY HALL 1"</f>
        <v>NC STUDY HALL 1</v>
      </c>
      <c r="G2152" t="str">
        <f>"17-1752"</f>
        <v>17-1752</v>
      </c>
      <c r="H2152" t="str">
        <f>"A"</f>
        <v>A</v>
      </c>
    </row>
    <row r="2153" spans="1:8" x14ac:dyDescent="0.2">
      <c r="A2153" t="str">
        <f t="shared" si="787"/>
        <v>0611073859</v>
      </c>
      <c r="B2153" t="str">
        <f t="shared" si="788"/>
        <v>KARIME</v>
      </c>
      <c r="C2153" t="str">
        <f t="shared" si="789"/>
        <v>BUENO</v>
      </c>
      <c r="D2153">
        <f>11</f>
        <v>11</v>
      </c>
      <c r="E2153" t="str">
        <f>"07 - B - 107 - Semra  Bahadir"</f>
        <v>07 - B - 107 - Semra  Bahadir</v>
      </c>
      <c r="F2153" t="str">
        <f>"MATH COLL ALGEBRA"</f>
        <v>MATH COLL ALGEBRA</v>
      </c>
      <c r="G2153" t="str">
        <f>"21-2107"</f>
        <v>21-2107</v>
      </c>
      <c r="H2153" t="str">
        <f>"B"</f>
        <v>B</v>
      </c>
    </row>
    <row r="2154" spans="1:8" x14ac:dyDescent="0.2">
      <c r="A2154" t="str">
        <f t="shared" si="787"/>
        <v>0611073859</v>
      </c>
      <c r="B2154" t="str">
        <f t="shared" si="788"/>
        <v>KARIME</v>
      </c>
      <c r="C2154" t="str">
        <f t="shared" si="789"/>
        <v>BUENO</v>
      </c>
      <c r="D2154">
        <f>11</f>
        <v>11</v>
      </c>
      <c r="E2154" t="str">
        <f>"05 - B - 104 - Daniel S Tyson"</f>
        <v>05 - B - 104 - Daniel S Tyson</v>
      </c>
      <c r="F2154" t="str">
        <f>"JROTC NAVAL SCI 1"</f>
        <v>JROTC NAVAL SCI 1</v>
      </c>
      <c r="G2154" t="str">
        <f>"05-510"</f>
        <v>05-510</v>
      </c>
      <c r="H2154" t="str">
        <f>"B"</f>
        <v>B</v>
      </c>
    </row>
    <row r="2155" spans="1:8" x14ac:dyDescent="0.2">
      <c r="A2155" t="str">
        <f t="shared" si="787"/>
        <v>0611073859</v>
      </c>
      <c r="B2155" t="str">
        <f t="shared" si="788"/>
        <v>KARIME</v>
      </c>
      <c r="C2155" t="str">
        <f t="shared" si="789"/>
        <v>BUENO</v>
      </c>
      <c r="D2155">
        <f>11</f>
        <v>11</v>
      </c>
      <c r="E2155" t="str">
        <f>"01 - A - 104 - Jerry S Jiampetti"</f>
        <v>01 - A - 104 - Jerry S Jiampetti</v>
      </c>
      <c r="F2155" t="str">
        <f>"US HISTORY HON"</f>
        <v>US HISTORY HON</v>
      </c>
      <c r="G2155" t="str">
        <f>"17-1751"</f>
        <v>17-1751</v>
      </c>
      <c r="H2155" t="str">
        <f>"A"</f>
        <v>A</v>
      </c>
    </row>
    <row r="2156" spans="1:8" x14ac:dyDescent="0.2">
      <c r="A2156" t="str">
        <f t="shared" si="787"/>
        <v>0611073859</v>
      </c>
      <c r="B2156" t="str">
        <f t="shared" si="788"/>
        <v>KARIME</v>
      </c>
      <c r="C2156" t="str">
        <f t="shared" si="789"/>
        <v>BUENO</v>
      </c>
      <c r="D2156">
        <f>11</f>
        <v>11</v>
      </c>
      <c r="E2156" t="str">
        <f>"08 - B - 105 - Brandy N Zdenek"</f>
        <v>08 - B - 105 - Brandy N Zdenek</v>
      </c>
      <c r="F2156" t="str">
        <f>"AICE ENG LANG 2 AL"</f>
        <v>AICE ENG LANG 2 AL</v>
      </c>
      <c r="G2156" t="str">
        <f>"17-1704"</f>
        <v>17-1704</v>
      </c>
      <c r="H2156" t="str">
        <f>"B"</f>
        <v>B</v>
      </c>
    </row>
    <row r="2157" spans="1:8" x14ac:dyDescent="0.2">
      <c r="A2157" t="str">
        <f t="shared" ref="A2157:A2164" si="790">"0615113103"</f>
        <v>0615113103</v>
      </c>
      <c r="B2157" t="str">
        <f t="shared" ref="B2157:B2164" si="791">"CAILINH"</f>
        <v>CAILINH</v>
      </c>
      <c r="C2157" t="str">
        <f t="shared" ref="C2157:C2172" si="792">"BUI"</f>
        <v>BUI</v>
      </c>
      <c r="D2157">
        <f>10</f>
        <v>10</v>
      </c>
      <c r="E2157" t="str">
        <f>"04 - A - 102 - Daniel S Katz"</f>
        <v>04 - A - 102 - Daniel S Katz</v>
      </c>
      <c r="F2157" t="str">
        <f>"AICE DRAMA 1 AS LEV"</f>
        <v>AICE DRAMA 1 AS LEV</v>
      </c>
      <c r="G2157" t="str">
        <f>"05-521"</f>
        <v>05-521</v>
      </c>
      <c r="H2157" t="str">
        <f>"A"</f>
        <v>A</v>
      </c>
    </row>
    <row r="2158" spans="1:8" x14ac:dyDescent="0.2">
      <c r="A2158" t="str">
        <f t="shared" si="790"/>
        <v>0615113103</v>
      </c>
      <c r="B2158" t="str">
        <f t="shared" si="791"/>
        <v>CAILINH</v>
      </c>
      <c r="C2158" t="str">
        <f t="shared" si="792"/>
        <v>BUI</v>
      </c>
      <c r="D2158">
        <f>10</f>
        <v>10</v>
      </c>
      <c r="E2158" t="str">
        <f>"06 - B - 003 - Emmily A Sarmiento"</f>
        <v>06 - B - 003 - Emmily A Sarmiento</v>
      </c>
      <c r="F2158" t="str">
        <f>"NC STUDY HALL 1"</f>
        <v>NC STUDY HALL 1</v>
      </c>
      <c r="G2158" t="str">
        <f>"17-1743"</f>
        <v>17-1743</v>
      </c>
      <c r="H2158" t="str">
        <f>"B"</f>
        <v>B</v>
      </c>
    </row>
    <row r="2159" spans="1:8" x14ac:dyDescent="0.2">
      <c r="A2159" t="str">
        <f t="shared" si="790"/>
        <v>0615113103</v>
      </c>
      <c r="B2159" t="str">
        <f t="shared" si="791"/>
        <v>CAILINH</v>
      </c>
      <c r="C2159" t="str">
        <f t="shared" si="792"/>
        <v>BUI</v>
      </c>
      <c r="D2159">
        <f>10</f>
        <v>10</v>
      </c>
      <c r="E2159" t="str">
        <f>"03 - A - 002 - Lenecy  Nodarse"</f>
        <v>03 - A - 002 - Lenecy  Nodarse</v>
      </c>
      <c r="F2159" t="str">
        <f>"AICE EURO HIST 1 AS"</f>
        <v>AICE EURO HIST 1 AS</v>
      </c>
      <c r="G2159" t="str">
        <f>"17-1741"</f>
        <v>17-1741</v>
      </c>
      <c r="H2159" t="str">
        <f>"A"</f>
        <v>A</v>
      </c>
    </row>
    <row r="2160" spans="1:8" x14ac:dyDescent="0.2">
      <c r="A2160" t="str">
        <f t="shared" si="790"/>
        <v>0615113103</v>
      </c>
      <c r="B2160" t="str">
        <f t="shared" si="791"/>
        <v>CAILINH</v>
      </c>
      <c r="C2160" t="str">
        <f t="shared" si="792"/>
        <v>BUI</v>
      </c>
      <c r="D2160">
        <f>10</f>
        <v>10</v>
      </c>
      <c r="E2160" t="str">
        <f>"02 - A - 104 - Joe  Kilpatrick Jr"</f>
        <v>02 - A - 104 - Joe  Kilpatrick Jr</v>
      </c>
      <c r="F2160" t="str">
        <f>"PRE-AICE SPAN 2 IG"</f>
        <v>PRE-AICE SPAN 2 IG</v>
      </c>
      <c r="G2160" t="str">
        <f>"09-912"</f>
        <v>09-912</v>
      </c>
      <c r="H2160" t="str">
        <f>"A"</f>
        <v>A</v>
      </c>
    </row>
    <row r="2161" spans="1:8" x14ac:dyDescent="0.2">
      <c r="A2161" t="str">
        <f t="shared" si="790"/>
        <v>0615113103</v>
      </c>
      <c r="B2161" t="str">
        <f t="shared" si="791"/>
        <v>CAILINH</v>
      </c>
      <c r="C2161" t="str">
        <f t="shared" si="792"/>
        <v>BUI</v>
      </c>
      <c r="D2161">
        <f>10</f>
        <v>10</v>
      </c>
      <c r="E2161" t="str">
        <f>"07 - B - 101 - Fernando  Vega-Cid"</f>
        <v>07 - B - 101 - Fernando  Vega-Cid</v>
      </c>
      <c r="F2161" t="str">
        <f>"AP PRECALCULUS"</f>
        <v>AP PRECALCULUS</v>
      </c>
      <c r="G2161" t="str">
        <f>"21-2163"</f>
        <v>21-2163</v>
      </c>
      <c r="H2161" t="str">
        <f>"B"</f>
        <v>B</v>
      </c>
    </row>
    <row r="2162" spans="1:8" x14ac:dyDescent="0.2">
      <c r="A2162" t="str">
        <f t="shared" si="790"/>
        <v>0615113103</v>
      </c>
      <c r="B2162" t="str">
        <f t="shared" si="791"/>
        <v>CAILINH</v>
      </c>
      <c r="C2162" t="str">
        <f t="shared" si="792"/>
        <v>BUI</v>
      </c>
      <c r="D2162">
        <f>10</f>
        <v>10</v>
      </c>
      <c r="E2162" t="str">
        <f>"05 - B - 001 - Stefanie S Scher"</f>
        <v>05 - B - 001 - Stefanie S Scher</v>
      </c>
      <c r="F2162" t="str">
        <f>"AICE PSYCH 1 AS"</f>
        <v>AICE PSYCH 1 AS</v>
      </c>
      <c r="G2162" t="str">
        <f>"17-1735"</f>
        <v>17-1735</v>
      </c>
      <c r="H2162" t="str">
        <f>"B"</f>
        <v>B</v>
      </c>
    </row>
    <row r="2163" spans="1:8" x14ac:dyDescent="0.2">
      <c r="A2163" t="str">
        <f t="shared" si="790"/>
        <v>0615113103</v>
      </c>
      <c r="B2163" t="str">
        <f t="shared" si="791"/>
        <v>CAILINH</v>
      </c>
      <c r="C2163" t="str">
        <f t="shared" si="792"/>
        <v>BUI</v>
      </c>
      <c r="D2163">
        <f>10</f>
        <v>10</v>
      </c>
      <c r="E2163" t="str">
        <f>"01 - A - 101 - Courtney E Hambright"</f>
        <v>01 - A - 101 - Courtney E Hambright</v>
      </c>
      <c r="F2163" t="str">
        <f>"AICE ENG LANG AS"</f>
        <v>AICE ENG LANG AS</v>
      </c>
      <c r="G2163" t="str">
        <f>"17-1711"</f>
        <v>17-1711</v>
      </c>
      <c r="H2163" t="str">
        <f>"A"</f>
        <v>A</v>
      </c>
    </row>
    <row r="2164" spans="1:8" x14ac:dyDescent="0.2">
      <c r="A2164" t="str">
        <f t="shared" si="790"/>
        <v>0615113103</v>
      </c>
      <c r="B2164" t="str">
        <f t="shared" si="791"/>
        <v>CAILINH</v>
      </c>
      <c r="C2164" t="str">
        <f t="shared" si="792"/>
        <v>BUI</v>
      </c>
      <c r="D2164">
        <f>10</f>
        <v>10</v>
      </c>
      <c r="E2164" t="str">
        <f>"08 - B - 001 - Scott A Dethloff"</f>
        <v>08 - B - 001 - Scott A Dethloff</v>
      </c>
      <c r="F2164" t="str">
        <f>"CHEMISTRY 1 HON"</f>
        <v>CHEMISTRY 1 HON</v>
      </c>
      <c r="G2164" t="str">
        <f>"08-812"</f>
        <v>08-812</v>
      </c>
      <c r="H2164" t="str">
        <f>"B"</f>
        <v>B</v>
      </c>
    </row>
    <row r="2165" spans="1:8" x14ac:dyDescent="0.2">
      <c r="A2165" t="str">
        <f t="shared" ref="A2165:A2172" si="793">"0614107684"</f>
        <v>0614107684</v>
      </c>
      <c r="B2165" t="str">
        <f t="shared" ref="B2165:B2172" si="794">"KAI"</f>
        <v>KAI</v>
      </c>
      <c r="C2165" t="str">
        <f t="shared" si="792"/>
        <v>BUI</v>
      </c>
      <c r="D2165">
        <f>11</f>
        <v>11</v>
      </c>
      <c r="E2165" t="str">
        <f>"04 - A - 102 - Daniel S Katz"</f>
        <v>04 - A - 102 - Daniel S Katz</v>
      </c>
      <c r="F2165" t="str">
        <f>"AICE DRAMA 1 AS LEV"</f>
        <v>AICE DRAMA 1 AS LEV</v>
      </c>
      <c r="G2165" t="str">
        <f>"05-521"</f>
        <v>05-521</v>
      </c>
      <c r="H2165" t="str">
        <f>"A"</f>
        <v>A</v>
      </c>
    </row>
    <row r="2166" spans="1:8" x14ac:dyDescent="0.2">
      <c r="A2166" t="str">
        <f t="shared" si="793"/>
        <v>0614107684</v>
      </c>
      <c r="B2166" t="str">
        <f t="shared" si="794"/>
        <v>KAI</v>
      </c>
      <c r="C2166" t="str">
        <f t="shared" si="792"/>
        <v>BUI</v>
      </c>
      <c r="D2166">
        <f>11</f>
        <v>11</v>
      </c>
      <c r="E2166" t="str">
        <f>"06 - B - 206 - Jacqueline R Morphet"</f>
        <v>06 - B - 206 - Jacqueline R Morphet</v>
      </c>
      <c r="F2166" t="str">
        <f>"PHYSICS 1 HON"</f>
        <v>PHYSICS 1 HON</v>
      </c>
      <c r="G2166" t="str">
        <f>"21-2138"</f>
        <v>21-2138</v>
      </c>
      <c r="H2166" t="str">
        <f>"B"</f>
        <v>B</v>
      </c>
    </row>
    <row r="2167" spans="1:8" x14ac:dyDescent="0.2">
      <c r="A2167" t="str">
        <f t="shared" si="793"/>
        <v>0614107684</v>
      </c>
      <c r="B2167" t="str">
        <f t="shared" si="794"/>
        <v>KAI</v>
      </c>
      <c r="C2167" t="str">
        <f t="shared" si="792"/>
        <v>BUI</v>
      </c>
      <c r="D2167">
        <f>11</f>
        <v>11</v>
      </c>
      <c r="E2167" t="str">
        <f>"03 - A - 102 - Semra  Bahadir"</f>
        <v>03 - A - 102 - Semra  Bahadir</v>
      </c>
      <c r="F2167" t="str">
        <f>"ALGEBRA 2"</f>
        <v>ALGEBRA 2</v>
      </c>
      <c r="G2167" t="str">
        <f>"21-2107"</f>
        <v>21-2107</v>
      </c>
      <c r="H2167" t="str">
        <f>"A"</f>
        <v>A</v>
      </c>
    </row>
    <row r="2168" spans="1:8" x14ac:dyDescent="0.2">
      <c r="A2168" t="str">
        <f t="shared" si="793"/>
        <v>0614107684</v>
      </c>
      <c r="B2168" t="str">
        <f t="shared" si="794"/>
        <v>KAI</v>
      </c>
      <c r="C2168" t="str">
        <f t="shared" si="792"/>
        <v>BUI</v>
      </c>
      <c r="D2168">
        <f>11</f>
        <v>11</v>
      </c>
      <c r="E2168" t="str">
        <f>"02 - A - 105 - Leslie J Barton"</f>
        <v>02 - A - 105 - Leslie J Barton</v>
      </c>
      <c r="F2168" t="str">
        <f>"NC STUDY HALL 1"</f>
        <v>NC STUDY HALL 1</v>
      </c>
      <c r="G2168" t="str">
        <f>"05-521"</f>
        <v>05-521</v>
      </c>
      <c r="H2168" t="str">
        <f>"A"</f>
        <v>A</v>
      </c>
    </row>
    <row r="2169" spans="1:8" x14ac:dyDescent="0.2">
      <c r="A2169" t="str">
        <f t="shared" si="793"/>
        <v>0614107684</v>
      </c>
      <c r="B2169" t="str">
        <f t="shared" si="794"/>
        <v>KAI</v>
      </c>
      <c r="C2169" t="str">
        <f t="shared" si="792"/>
        <v>BUI</v>
      </c>
      <c r="D2169">
        <f>11</f>
        <v>11</v>
      </c>
      <c r="E2169" t="str">
        <f>"07 - B - 104 - Jerry S Jiampetti"</f>
        <v>07 - B - 104 - Jerry S Jiampetti</v>
      </c>
      <c r="F2169" t="str">
        <f>"AICE U.S. HIST 1 AS"</f>
        <v>AICE U.S. HIST 1 AS</v>
      </c>
      <c r="G2169" t="str">
        <f>"17-1751"</f>
        <v>17-1751</v>
      </c>
      <c r="H2169" t="str">
        <f>"B"</f>
        <v>B</v>
      </c>
    </row>
    <row r="2170" spans="1:8" x14ac:dyDescent="0.2">
      <c r="A2170" t="str">
        <f t="shared" si="793"/>
        <v>0614107684</v>
      </c>
      <c r="B2170" t="str">
        <f t="shared" si="794"/>
        <v>KAI</v>
      </c>
      <c r="C2170" t="str">
        <f t="shared" si="792"/>
        <v>BUI</v>
      </c>
      <c r="D2170">
        <f>11</f>
        <v>11</v>
      </c>
      <c r="E2170" t="str">
        <f>"05 - B - 103 - Brandy N Zdenek"</f>
        <v>05 - B - 103 - Brandy N Zdenek</v>
      </c>
      <c r="F2170" t="str">
        <f>"AICE ENG LANG 2 AL"</f>
        <v>AICE ENG LANG 2 AL</v>
      </c>
      <c r="G2170" t="str">
        <f>"17-1704"</f>
        <v>17-1704</v>
      </c>
      <c r="H2170" t="str">
        <f>"B"</f>
        <v>B</v>
      </c>
    </row>
    <row r="2171" spans="1:8" x14ac:dyDescent="0.2">
      <c r="A2171" t="str">
        <f t="shared" si="793"/>
        <v>0614107684</v>
      </c>
      <c r="B2171" t="str">
        <f t="shared" si="794"/>
        <v>KAI</v>
      </c>
      <c r="C2171" t="str">
        <f t="shared" si="792"/>
        <v>BUI</v>
      </c>
      <c r="D2171">
        <f>11</f>
        <v>11</v>
      </c>
      <c r="E2171" t="str">
        <f>"01 - A - 201 - Chrystina M Marchionne"</f>
        <v>01 - A - 201 - Chrystina M Marchionne</v>
      </c>
      <c r="F2171" t="str">
        <f>"AICE MEDIASTUDIES AS"</f>
        <v>AICE MEDIASTUDIES AS</v>
      </c>
      <c r="G2171" t="str">
        <f>"05-520"</f>
        <v>05-520</v>
      </c>
      <c r="H2171" t="str">
        <f>"A"</f>
        <v>A</v>
      </c>
    </row>
    <row r="2172" spans="1:8" x14ac:dyDescent="0.2">
      <c r="A2172" t="str">
        <f t="shared" si="793"/>
        <v>0614107684</v>
      </c>
      <c r="B2172" t="str">
        <f t="shared" si="794"/>
        <v>KAI</v>
      </c>
      <c r="C2172" t="str">
        <f t="shared" si="792"/>
        <v>BUI</v>
      </c>
      <c r="D2172">
        <f>11</f>
        <v>11</v>
      </c>
      <c r="E2172" t="str">
        <f>"08 - B - 101 - Samantha L Martinez"</f>
        <v>08 - B - 101 - Samantha L Martinez</v>
      </c>
      <c r="F2172" t="str">
        <f>"VOCAL ENS 3"</f>
        <v>VOCAL ENS 3</v>
      </c>
      <c r="G2172" t="str">
        <f>"05-505"</f>
        <v>05-505</v>
      </c>
      <c r="H2172" t="str">
        <f>"B"</f>
        <v>B</v>
      </c>
    </row>
    <row r="2173" spans="1:8" x14ac:dyDescent="0.2">
      <c r="A2173" t="str">
        <f t="shared" ref="A2173:A2180" si="795">"0614091948"</f>
        <v>0614091948</v>
      </c>
      <c r="B2173" t="str">
        <f t="shared" ref="B2173:B2180" si="796">"AYDEN"</f>
        <v>AYDEN</v>
      </c>
      <c r="C2173" t="str">
        <f t="shared" ref="C2173:C2180" si="797">"BUITRAGO"</f>
        <v>BUITRAGO</v>
      </c>
      <c r="D2173">
        <f>11</f>
        <v>11</v>
      </c>
      <c r="E2173" t="str">
        <f>"04 - A - 106 - Marielle A Witting"</f>
        <v>04 - A - 106 - Marielle A Witting</v>
      </c>
      <c r="F2173" t="str">
        <f>"ANAT PHYSIO"</f>
        <v>ANAT PHYSIO</v>
      </c>
      <c r="G2173" t="str">
        <f>"08-805"</f>
        <v>08-805</v>
      </c>
      <c r="H2173" t="str">
        <f>"A"</f>
        <v>A</v>
      </c>
    </row>
    <row r="2174" spans="1:8" x14ac:dyDescent="0.2">
      <c r="A2174" t="str">
        <f t="shared" si="795"/>
        <v>0614091948</v>
      </c>
      <c r="B2174" t="str">
        <f t="shared" si="796"/>
        <v>AYDEN</v>
      </c>
      <c r="C2174" t="str">
        <f t="shared" si="797"/>
        <v>BUITRAGO</v>
      </c>
      <c r="D2174">
        <f>11</f>
        <v>11</v>
      </c>
      <c r="E2174" t="str">
        <f>"06 - B - 108 - Milca  Exantus"</f>
        <v>06 - B - 108 - Milca  Exantus</v>
      </c>
      <c r="F2174" t="str">
        <f>"MATH COLLEGE LIB ART"</f>
        <v>MATH COLLEGE LIB ART</v>
      </c>
      <c r="G2174" t="str">
        <f>"21-2145"</f>
        <v>21-2145</v>
      </c>
      <c r="H2174" t="str">
        <f>"B"</f>
        <v>B</v>
      </c>
    </row>
    <row r="2175" spans="1:8" x14ac:dyDescent="0.2">
      <c r="A2175" t="str">
        <f t="shared" si="795"/>
        <v>0614091948</v>
      </c>
      <c r="B2175" t="str">
        <f t="shared" si="796"/>
        <v>AYDEN</v>
      </c>
      <c r="C2175" t="str">
        <f t="shared" si="797"/>
        <v>BUITRAGO</v>
      </c>
      <c r="D2175">
        <f>11</f>
        <v>11</v>
      </c>
      <c r="E2175" t="str">
        <f>"03 - A - 101 - Dorothy D Moore"</f>
        <v>03 - A - 101 - Dorothy D Moore</v>
      </c>
      <c r="F2175" t="str">
        <f>"FORC SCI 1 LH"</f>
        <v>FORC SCI 1 LH</v>
      </c>
      <c r="G2175" t="str">
        <f>"08-803"</f>
        <v>08-803</v>
      </c>
      <c r="H2175" t="str">
        <f>"A"</f>
        <v>A</v>
      </c>
    </row>
    <row r="2176" spans="1:8" x14ac:dyDescent="0.2">
      <c r="A2176" t="str">
        <f t="shared" si="795"/>
        <v>0614091948</v>
      </c>
      <c r="B2176" t="str">
        <f t="shared" si="796"/>
        <v>AYDEN</v>
      </c>
      <c r="C2176" t="str">
        <f t="shared" si="797"/>
        <v>BUITRAGO</v>
      </c>
      <c r="D2176">
        <f>11</f>
        <v>11</v>
      </c>
      <c r="E2176" t="str">
        <f>"02 - A - 106 - Heidi M Knopp"</f>
        <v>02 - A - 106 - Heidi M Knopp</v>
      </c>
      <c r="F2176" t="str">
        <f>"NC STUDY HALL 1"</f>
        <v>NC STUDY HALL 1</v>
      </c>
      <c r="G2176" t="str">
        <f>"17-1735"</f>
        <v>17-1735</v>
      </c>
      <c r="H2176" t="str">
        <f>"A"</f>
        <v>A</v>
      </c>
    </row>
    <row r="2177" spans="1:8" x14ac:dyDescent="0.2">
      <c r="A2177" t="str">
        <f t="shared" si="795"/>
        <v>0614091948</v>
      </c>
      <c r="B2177" t="str">
        <f t="shared" si="796"/>
        <v>AYDEN</v>
      </c>
      <c r="C2177" t="str">
        <f t="shared" si="797"/>
        <v>BUITRAGO</v>
      </c>
      <c r="D2177">
        <f>11</f>
        <v>11</v>
      </c>
      <c r="E2177" t="str">
        <f>"07 - B - 104 - Jerry S Jiampetti"</f>
        <v>07 - B - 104 - Jerry S Jiampetti</v>
      </c>
      <c r="F2177" t="str">
        <f>"AICE U.S. HIST 1 AS"</f>
        <v>AICE U.S. HIST 1 AS</v>
      </c>
      <c r="G2177" t="str">
        <f>"17-1751"</f>
        <v>17-1751</v>
      </c>
      <c r="H2177" t="str">
        <f>"B"</f>
        <v>B</v>
      </c>
    </row>
    <row r="2178" spans="1:8" x14ac:dyDescent="0.2">
      <c r="A2178" t="str">
        <f t="shared" si="795"/>
        <v>0614091948</v>
      </c>
      <c r="B2178" t="str">
        <f t="shared" si="796"/>
        <v>AYDEN</v>
      </c>
      <c r="C2178" t="str">
        <f t="shared" si="797"/>
        <v>BUITRAGO</v>
      </c>
      <c r="D2178">
        <f>11</f>
        <v>11</v>
      </c>
      <c r="E2178" t="str">
        <f>"05 - B - 101 - Angela S Adeshina-Morrison"</f>
        <v>05 - B - 101 - Angela S Adeshina-Morrison</v>
      </c>
      <c r="F2178" t="str">
        <f>"MKT MANAGEMENT LH"</f>
        <v>MKT MANAGEMENT LH</v>
      </c>
      <c r="G2178" t="str">
        <f>"05-518"</f>
        <v>05-518</v>
      </c>
      <c r="H2178" t="str">
        <f>"B"</f>
        <v>B</v>
      </c>
    </row>
    <row r="2179" spans="1:8" x14ac:dyDescent="0.2">
      <c r="A2179" t="str">
        <f t="shared" si="795"/>
        <v>0614091948</v>
      </c>
      <c r="B2179" t="str">
        <f t="shared" si="796"/>
        <v>AYDEN</v>
      </c>
      <c r="C2179" t="str">
        <f t="shared" si="797"/>
        <v>BUITRAGO</v>
      </c>
      <c r="D2179">
        <f>11</f>
        <v>11</v>
      </c>
      <c r="E2179" t="str">
        <f>"01 - A - 101 - Jacklyn M James"</f>
        <v>01 - A - 101 - Jacklyn M James</v>
      </c>
      <c r="F2179" t="str">
        <f>"AICE ENG LANG AS"</f>
        <v>AICE ENG LANG AS</v>
      </c>
      <c r="G2179" t="str">
        <f>"17-1731"</f>
        <v>17-1731</v>
      </c>
      <c r="H2179" t="str">
        <f>"A"</f>
        <v>A</v>
      </c>
    </row>
    <row r="2180" spans="1:8" x14ac:dyDescent="0.2">
      <c r="A2180" t="str">
        <f t="shared" si="795"/>
        <v>0614091948</v>
      </c>
      <c r="B2180" t="str">
        <f t="shared" si="796"/>
        <v>AYDEN</v>
      </c>
      <c r="C2180" t="str">
        <f t="shared" si="797"/>
        <v>BUITRAGO</v>
      </c>
      <c r="D2180">
        <f>11</f>
        <v>11</v>
      </c>
      <c r="E2180" t="str">
        <f>"08 - B - 101 - Marius D Orsolini"</f>
        <v>08 - B - 101 - Marius D Orsolini</v>
      </c>
      <c r="F2180" t="str">
        <f>"CULINARY ARTS 2"</f>
        <v>CULINARY ARTS 2</v>
      </c>
      <c r="G2180" t="str">
        <f>"21-2115"</f>
        <v>21-2115</v>
      </c>
      <c r="H2180" t="str">
        <f>"B"</f>
        <v>B</v>
      </c>
    </row>
    <row r="2181" spans="1:8" x14ac:dyDescent="0.2">
      <c r="A2181" t="str">
        <f t="shared" ref="A2181:A2188" si="798">"0617147096"</f>
        <v>0617147096</v>
      </c>
      <c r="B2181" t="str">
        <f t="shared" ref="B2181:B2188" si="799">"BENJAMIN"</f>
        <v>BENJAMIN</v>
      </c>
      <c r="C2181" t="str">
        <f t="shared" ref="C2181:C2188" si="800">"BULHACK"</f>
        <v>BULHACK</v>
      </c>
      <c r="D2181">
        <f>10</f>
        <v>10</v>
      </c>
      <c r="E2181" t="str">
        <f>"04 - A - 104 - Helen A Flores"</f>
        <v>04 - A - 104 - Helen A Flores</v>
      </c>
      <c r="F2181" t="str">
        <f>"FDN SKLS MATH 9-12"</f>
        <v>FDN SKLS MATH 9-12</v>
      </c>
      <c r="G2181" t="str">
        <f>"21-2101"</f>
        <v>21-2101</v>
      </c>
      <c r="H2181" t="str">
        <f>"A"</f>
        <v>A</v>
      </c>
    </row>
    <row r="2182" spans="1:8" x14ac:dyDescent="0.2">
      <c r="A2182" t="str">
        <f t="shared" si="798"/>
        <v>0617147096</v>
      </c>
      <c r="B2182" t="str">
        <f t="shared" si="799"/>
        <v>BENJAMIN</v>
      </c>
      <c r="C2182" t="str">
        <f t="shared" si="800"/>
        <v>BULHACK</v>
      </c>
      <c r="D2182">
        <f>10</f>
        <v>10</v>
      </c>
      <c r="E2182" t="str">
        <f>"06 - B - 103 - Thomas G Handwerg"</f>
        <v>06 - B - 103 - Thomas G Handwerg</v>
      </c>
      <c r="F2182" t="str">
        <f>"NC STUDY HALL 1"</f>
        <v>NC STUDY HALL 1</v>
      </c>
      <c r="G2182" t="str">
        <f>"21-2146"</f>
        <v>21-2146</v>
      </c>
      <c r="H2182" t="str">
        <f>"B"</f>
        <v>B</v>
      </c>
    </row>
    <row r="2183" spans="1:8" x14ac:dyDescent="0.2">
      <c r="A2183" t="str">
        <f t="shared" si="798"/>
        <v>0617147096</v>
      </c>
      <c r="B2183" t="str">
        <f t="shared" si="799"/>
        <v>BENJAMIN</v>
      </c>
      <c r="C2183" t="str">
        <f t="shared" si="800"/>
        <v>BULHACK</v>
      </c>
      <c r="D2183">
        <f>10</f>
        <v>10</v>
      </c>
      <c r="E2183" t="str">
        <f>"03 - A - 002 - Lenecy  Nodarse"</f>
        <v>03 - A - 002 - Lenecy  Nodarse</v>
      </c>
      <c r="F2183" t="str">
        <f>"AICE EURO HIST 1 AS"</f>
        <v>AICE EURO HIST 1 AS</v>
      </c>
      <c r="G2183" t="str">
        <f>"17-1741"</f>
        <v>17-1741</v>
      </c>
      <c r="H2183" t="str">
        <f>"A"</f>
        <v>A</v>
      </c>
    </row>
    <row r="2184" spans="1:8" x14ac:dyDescent="0.2">
      <c r="A2184" t="str">
        <f t="shared" si="798"/>
        <v>0617147096</v>
      </c>
      <c r="B2184" t="str">
        <f t="shared" si="799"/>
        <v>BENJAMIN</v>
      </c>
      <c r="C2184" t="str">
        <f t="shared" si="800"/>
        <v>BULHACK</v>
      </c>
      <c r="D2184">
        <f>10</f>
        <v>10</v>
      </c>
      <c r="E2184" t="str">
        <f>"02 - S1 - A - 102 - Richard E Dunbar Iii"</f>
        <v>02 - S1 - A - 102 - Richard E Dunbar Iii</v>
      </c>
      <c r="F2184" t="str">
        <f>"WEIGHT TRAIN 1"</f>
        <v>WEIGHT TRAIN 1</v>
      </c>
      <c r="G2184" t="str">
        <f>"05-501"</f>
        <v>05-501</v>
      </c>
      <c r="H2184" t="str">
        <f>"A"</f>
        <v>A</v>
      </c>
    </row>
    <row r="2185" spans="1:8" x14ac:dyDescent="0.2">
      <c r="A2185" t="str">
        <f t="shared" si="798"/>
        <v>0617147096</v>
      </c>
      <c r="B2185" t="str">
        <f t="shared" si="799"/>
        <v>BENJAMIN</v>
      </c>
      <c r="C2185" t="str">
        <f t="shared" si="800"/>
        <v>BULHACK</v>
      </c>
      <c r="D2185">
        <f>10</f>
        <v>10</v>
      </c>
      <c r="E2185" t="str">
        <f>"07 - B - 207 - Krystal Marie  Beruty"</f>
        <v>07 - B - 207 - Krystal Marie  Beruty</v>
      </c>
      <c r="F2185" t="str">
        <f>"AICE GLBL PERSP 1 AS"</f>
        <v>AICE GLBL PERSP 1 AS</v>
      </c>
      <c r="G2185" t="str">
        <f>"17-1721"</f>
        <v>17-1721</v>
      </c>
      <c r="H2185" t="str">
        <f>"B"</f>
        <v>B</v>
      </c>
    </row>
    <row r="2186" spans="1:8" x14ac:dyDescent="0.2">
      <c r="A2186" t="str">
        <f t="shared" si="798"/>
        <v>0617147096</v>
      </c>
      <c r="B2186" t="str">
        <f t="shared" si="799"/>
        <v>BENJAMIN</v>
      </c>
      <c r="C2186" t="str">
        <f t="shared" si="800"/>
        <v>BULHACK</v>
      </c>
      <c r="D2186">
        <f>10</f>
        <v>10</v>
      </c>
      <c r="E2186" t="str">
        <f>"05 - B - 207 - Marielle A Witting"</f>
        <v>05 - B - 207 - Marielle A Witting</v>
      </c>
      <c r="F2186" t="str">
        <f>"ANAT PHYSIO"</f>
        <v>ANAT PHYSIO</v>
      </c>
      <c r="G2186" t="str">
        <f>"08-805"</f>
        <v>08-805</v>
      </c>
      <c r="H2186" t="str">
        <f>"B"</f>
        <v>B</v>
      </c>
    </row>
    <row r="2187" spans="1:8" x14ac:dyDescent="0.2">
      <c r="A2187" t="str">
        <f t="shared" si="798"/>
        <v>0617147096</v>
      </c>
      <c r="B2187" t="str">
        <f t="shared" si="799"/>
        <v>BENJAMIN</v>
      </c>
      <c r="C2187" t="str">
        <f t="shared" si="800"/>
        <v>BULHACK</v>
      </c>
      <c r="D2187">
        <f>10</f>
        <v>10</v>
      </c>
      <c r="E2187" t="str">
        <f>"01 - A - 101 - Jacquelyn M Neeson"</f>
        <v>01 - A - 101 - Jacquelyn M Neeson</v>
      </c>
      <c r="F2187" t="str">
        <f>"AICE ENG GEN PAPER 1"</f>
        <v>AICE ENG GEN PAPER 1</v>
      </c>
      <c r="G2187" t="str">
        <f>"17-1715"</f>
        <v>17-1715</v>
      </c>
      <c r="H2187" t="str">
        <f>"A"</f>
        <v>A</v>
      </c>
    </row>
    <row r="2188" spans="1:8" x14ac:dyDescent="0.2">
      <c r="A2188" t="str">
        <f t="shared" si="798"/>
        <v>0617147096</v>
      </c>
      <c r="B2188" t="str">
        <f t="shared" si="799"/>
        <v>BENJAMIN</v>
      </c>
      <c r="C2188" t="str">
        <f t="shared" si="800"/>
        <v>BULHACK</v>
      </c>
      <c r="D2188">
        <f>10</f>
        <v>10</v>
      </c>
      <c r="E2188" t="str">
        <f>"08 - B - 106 - Helen A Flores"</f>
        <v>08 - B - 106 - Helen A Flores</v>
      </c>
      <c r="F2188" t="str">
        <f>"ALGEBRA 1"</f>
        <v>ALGEBRA 1</v>
      </c>
      <c r="G2188" t="str">
        <f>"21-2101"</f>
        <v>21-2101</v>
      </c>
      <c r="H2188" t="str">
        <f>"B"</f>
        <v>B</v>
      </c>
    </row>
    <row r="2189" spans="1:8" x14ac:dyDescent="0.2">
      <c r="A2189" t="str">
        <f t="shared" ref="A2189:A2196" si="801">"0617061678"</f>
        <v>0617061678</v>
      </c>
      <c r="B2189" t="str">
        <f t="shared" ref="B2189:B2196" si="802">"NICKOLAUS"</f>
        <v>NICKOLAUS</v>
      </c>
      <c r="C2189" t="str">
        <f t="shared" ref="C2189:C2196" si="803">"BUNNELL-LISTER"</f>
        <v>BUNNELL-LISTER</v>
      </c>
      <c r="D2189">
        <f>11</f>
        <v>11</v>
      </c>
      <c r="E2189" t="str">
        <f>"04 - A - 103 - Lisa  Quinn"</f>
        <v>04 - A - 103 - Lisa  Quinn</v>
      </c>
      <c r="F2189" t="str">
        <f>"ENG 3"</f>
        <v>ENG 3</v>
      </c>
      <c r="G2189" t="str">
        <f>"17-1725"</f>
        <v>17-1725</v>
      </c>
      <c r="H2189" t="str">
        <f>"A"</f>
        <v>A</v>
      </c>
    </row>
    <row r="2190" spans="1:8" x14ac:dyDescent="0.2">
      <c r="A2190" t="str">
        <f t="shared" si="801"/>
        <v>0617061678</v>
      </c>
      <c r="B2190" t="str">
        <f t="shared" si="802"/>
        <v>NICKOLAUS</v>
      </c>
      <c r="C2190" t="str">
        <f t="shared" si="803"/>
        <v>BUNNELL-LISTER</v>
      </c>
      <c r="D2190">
        <f>11</f>
        <v>11</v>
      </c>
      <c r="E2190" t="str">
        <f>"06 - B - 105 - Elizabeth Ellen  Moran"</f>
        <v>06 - B - 105 - Elizabeth Ellen  Moran</v>
      </c>
      <c r="F2190" t="str">
        <f>"US HISTORY"</f>
        <v>US HISTORY</v>
      </c>
      <c r="G2190" t="str">
        <f>"17-1752"</f>
        <v>17-1752</v>
      </c>
      <c r="H2190" t="str">
        <f>"B"</f>
        <v>B</v>
      </c>
    </row>
    <row r="2191" spans="1:8" x14ac:dyDescent="0.2">
      <c r="A2191" t="str">
        <f t="shared" si="801"/>
        <v>0617061678</v>
      </c>
      <c r="B2191" t="str">
        <f t="shared" si="802"/>
        <v>NICKOLAUS</v>
      </c>
      <c r="C2191" t="str">
        <f t="shared" si="803"/>
        <v>BUNNELL-LISTER</v>
      </c>
      <c r="D2191">
        <f>11</f>
        <v>11</v>
      </c>
      <c r="E2191" t="str">
        <f>"03 - A - 102 - Nahum  Saint-Preux"</f>
        <v>03 - A - 102 - Nahum  Saint-Preux</v>
      </c>
      <c r="F2191" t="str">
        <f>"INTENS READ 3"</f>
        <v>INTENS READ 3</v>
      </c>
      <c r="G2191" t="str">
        <f>"17-1712"</f>
        <v>17-1712</v>
      </c>
      <c r="H2191" t="str">
        <f>"A"</f>
        <v>A</v>
      </c>
    </row>
    <row r="2192" spans="1:8" x14ac:dyDescent="0.2">
      <c r="A2192" t="str">
        <f t="shared" si="801"/>
        <v>0617061678</v>
      </c>
      <c r="B2192" t="str">
        <f t="shared" si="802"/>
        <v>NICKOLAUS</v>
      </c>
      <c r="C2192" t="str">
        <f t="shared" si="803"/>
        <v>BUNNELL-LISTER</v>
      </c>
      <c r="D2192">
        <f>11</f>
        <v>11</v>
      </c>
      <c r="E2192" t="str">
        <f>"02 - A - 114 - Eva T Rimmer"</f>
        <v>02 - A - 114 - Eva T Rimmer</v>
      </c>
      <c r="F2192" t="str">
        <f>"NC STUDY HALL 1"</f>
        <v>NC STUDY HALL 1</v>
      </c>
      <c r="G2192" t="str">
        <f>"05-523"</f>
        <v>05-523</v>
      </c>
      <c r="H2192" t="str">
        <f>"A"</f>
        <v>A</v>
      </c>
    </row>
    <row r="2193" spans="1:8" x14ac:dyDescent="0.2">
      <c r="A2193" t="str">
        <f t="shared" si="801"/>
        <v>0617061678</v>
      </c>
      <c r="B2193" t="str">
        <f t="shared" si="802"/>
        <v>NICKOLAUS</v>
      </c>
      <c r="C2193" t="str">
        <f t="shared" si="803"/>
        <v>BUNNELL-LISTER</v>
      </c>
      <c r="D2193">
        <f>11</f>
        <v>11</v>
      </c>
      <c r="E2193" t="str">
        <f>"07 - B - 107 - Rosa Elaine  Collado-Duff"</f>
        <v>07 - B - 107 - Rosa Elaine  Collado-Duff</v>
      </c>
      <c r="F2193" t="str">
        <f>"PRE-AICE SPAN 2 IG"</f>
        <v>PRE-AICE SPAN 2 IG</v>
      </c>
      <c r="G2193" t="str">
        <f>"09-913"</f>
        <v>09-913</v>
      </c>
      <c r="H2193" t="str">
        <f>"B"</f>
        <v>B</v>
      </c>
    </row>
    <row r="2194" spans="1:8" x14ac:dyDescent="0.2">
      <c r="A2194" t="str">
        <f t="shared" si="801"/>
        <v>0617061678</v>
      </c>
      <c r="B2194" t="str">
        <f t="shared" si="802"/>
        <v>NICKOLAUS</v>
      </c>
      <c r="C2194" t="str">
        <f t="shared" si="803"/>
        <v>BUNNELL-LISTER</v>
      </c>
      <c r="D2194">
        <f>11</f>
        <v>11</v>
      </c>
      <c r="E2194" t="str">
        <f>"05 - B - 204 - Cliffon  Saurel"</f>
        <v>05 - B - 204 - Cliffon  Saurel</v>
      </c>
      <c r="F2194" t="str">
        <f>"PHYSICAL SCI"</f>
        <v>PHYSICAL SCI</v>
      </c>
      <c r="G2194" t="str">
        <f>"05-522"</f>
        <v>05-522</v>
      </c>
      <c r="H2194" t="str">
        <f>"B"</f>
        <v>B</v>
      </c>
    </row>
    <row r="2195" spans="1:8" x14ac:dyDescent="0.2">
      <c r="A2195" t="str">
        <f t="shared" si="801"/>
        <v>0617061678</v>
      </c>
      <c r="B2195" t="str">
        <f t="shared" si="802"/>
        <v>NICKOLAUS</v>
      </c>
      <c r="C2195" t="str">
        <f t="shared" si="803"/>
        <v>BUNNELL-LISTER</v>
      </c>
      <c r="D2195">
        <f>11</f>
        <v>11</v>
      </c>
      <c r="E2195" t="str">
        <f>"01 - A - 102 - Fernando  Vega-Cid"</f>
        <v>01 - A - 102 - Fernando  Vega-Cid</v>
      </c>
      <c r="F2195" t="str">
        <f>"GEOMETRY"</f>
        <v>GEOMETRY</v>
      </c>
      <c r="G2195" t="str">
        <f>"21-2163"</f>
        <v>21-2163</v>
      </c>
      <c r="H2195" t="str">
        <f>"A"</f>
        <v>A</v>
      </c>
    </row>
    <row r="2196" spans="1:8" x14ac:dyDescent="0.2">
      <c r="A2196" t="str">
        <f t="shared" si="801"/>
        <v>0617061678</v>
      </c>
      <c r="B2196" t="str">
        <f t="shared" si="802"/>
        <v>NICKOLAUS</v>
      </c>
      <c r="C2196" t="str">
        <f t="shared" si="803"/>
        <v>BUNNELL-LISTER</v>
      </c>
      <c r="D2196">
        <f>11</f>
        <v>11</v>
      </c>
      <c r="E2196" t="str">
        <f>"08 - B - 001 - Brian M Fitzgerald"</f>
        <v>08 - B - 001 - Brian M Fitzgerald</v>
      </c>
      <c r="F2196" t="str">
        <f>"CERAM/POT 1"</f>
        <v>CERAM/POT 1</v>
      </c>
      <c r="G2196" t="str">
        <f>"09-908"</f>
        <v>09-908</v>
      </c>
      <c r="H2196" t="str">
        <f>"B"</f>
        <v>B</v>
      </c>
    </row>
    <row r="2197" spans="1:8" x14ac:dyDescent="0.2">
      <c r="A2197" t="str">
        <f t="shared" ref="A2197:A2204" si="804">"0614062646"</f>
        <v>0614062646</v>
      </c>
      <c r="B2197" t="str">
        <f t="shared" ref="B2197:B2204" si="805">"JERMONI"</f>
        <v>JERMONI</v>
      </c>
      <c r="C2197" t="str">
        <f t="shared" ref="C2197:C2204" si="806">"BURGERWEST"</f>
        <v>BURGERWEST</v>
      </c>
      <c r="D2197">
        <f>10</f>
        <v>10</v>
      </c>
      <c r="E2197" t="str">
        <f>"04 - A - 102 - Byron G Montenegro"</f>
        <v>04 - A - 102 - Byron G Montenegro</v>
      </c>
      <c r="F2197" t="str">
        <f>"AICE MARINE SCI 1 AS"</f>
        <v>AICE MARINE SCI 1 AS</v>
      </c>
      <c r="G2197" t="str">
        <f>"21-2144"</f>
        <v>21-2144</v>
      </c>
      <c r="H2197" t="str">
        <f>"A"</f>
        <v>A</v>
      </c>
    </row>
    <row r="2198" spans="1:8" x14ac:dyDescent="0.2">
      <c r="A2198" t="str">
        <f t="shared" si="804"/>
        <v>0614062646</v>
      </c>
      <c r="B2198" t="str">
        <f t="shared" si="805"/>
        <v>JERMONI</v>
      </c>
      <c r="C2198" t="str">
        <f t="shared" si="806"/>
        <v>BURGERWEST</v>
      </c>
      <c r="D2198">
        <f>10</f>
        <v>10</v>
      </c>
      <c r="E2198" t="str">
        <f>"06 - B - 118 - Jeanne M Bermudez"</f>
        <v>06 - B - 118 - Jeanne M Bermudez</v>
      </c>
      <c r="F2198" t="str">
        <f>"NC STUDY HALL 1"</f>
        <v>NC STUDY HALL 1</v>
      </c>
      <c r="G2198" t="str">
        <f>"21-2141"</f>
        <v>21-2141</v>
      </c>
      <c r="H2198" t="str">
        <f>"B"</f>
        <v>B</v>
      </c>
    </row>
    <row r="2199" spans="1:8" x14ac:dyDescent="0.2">
      <c r="A2199" t="str">
        <f t="shared" si="804"/>
        <v>0614062646</v>
      </c>
      <c r="B2199" t="str">
        <f t="shared" si="805"/>
        <v>JERMONI</v>
      </c>
      <c r="C2199" t="str">
        <f t="shared" si="806"/>
        <v>BURGERWEST</v>
      </c>
      <c r="D2199">
        <f>10</f>
        <v>10</v>
      </c>
      <c r="E2199" t="str">
        <f>"03 - A - 104 - Brook E Goren"</f>
        <v>03 - A - 104 - Brook E Goren</v>
      </c>
      <c r="F2199" t="str">
        <f>"ALGEBRA 2 HON"</f>
        <v>ALGEBRA 2 HON</v>
      </c>
      <c r="G2199" t="str">
        <f>"21-2158"</f>
        <v>21-2158</v>
      </c>
      <c r="H2199" t="str">
        <f>"A"</f>
        <v>A</v>
      </c>
    </row>
    <row r="2200" spans="1:8" x14ac:dyDescent="0.2">
      <c r="A2200" t="str">
        <f t="shared" si="804"/>
        <v>0614062646</v>
      </c>
      <c r="B2200" t="str">
        <f t="shared" si="805"/>
        <v>JERMONI</v>
      </c>
      <c r="C2200" t="str">
        <f t="shared" si="806"/>
        <v>BURGERWEST</v>
      </c>
      <c r="D2200">
        <f>10</f>
        <v>10</v>
      </c>
      <c r="E2200" t="str">
        <f>"02 - A - 102 - Daniel S Tyson"</f>
        <v>02 - A - 102 - Daniel S Tyson</v>
      </c>
      <c r="F2200" t="str">
        <f>"JROTC NAVAL SCI 1"</f>
        <v>JROTC NAVAL SCI 1</v>
      </c>
      <c r="G2200" t="str">
        <f>"05-510"</f>
        <v>05-510</v>
      </c>
      <c r="H2200" t="str">
        <f>"A"</f>
        <v>A</v>
      </c>
    </row>
    <row r="2201" spans="1:8" x14ac:dyDescent="0.2">
      <c r="A2201" t="str">
        <f t="shared" si="804"/>
        <v>0614062646</v>
      </c>
      <c r="B2201" t="str">
        <f t="shared" si="805"/>
        <v>JERMONI</v>
      </c>
      <c r="C2201" t="str">
        <f t="shared" si="806"/>
        <v>BURGERWEST</v>
      </c>
      <c r="D2201">
        <f>10</f>
        <v>10</v>
      </c>
      <c r="E2201" t="str">
        <f>"07 - B - 105 - Paige Lauren  Brochu"</f>
        <v>07 - B - 105 - Paige Lauren  Brochu</v>
      </c>
      <c r="F2201" t="str">
        <f>"PRE-AICE BIO IG"</f>
        <v>PRE-AICE BIO IG</v>
      </c>
      <c r="G2201" t="str">
        <f>"21-2134"</f>
        <v>21-2134</v>
      </c>
      <c r="H2201" t="str">
        <f>"B"</f>
        <v>B</v>
      </c>
    </row>
    <row r="2202" spans="1:8" x14ac:dyDescent="0.2">
      <c r="A2202" t="str">
        <f t="shared" si="804"/>
        <v>0614062646</v>
      </c>
      <c r="B2202" t="str">
        <f t="shared" si="805"/>
        <v>JERMONI</v>
      </c>
      <c r="C2202" t="str">
        <f t="shared" si="806"/>
        <v>BURGERWEST</v>
      </c>
      <c r="D2202">
        <f>10</f>
        <v>10</v>
      </c>
      <c r="E2202" t="str">
        <f>"05 - B - 003 - Krystal Marie  Beruty"</f>
        <v>05 - B - 003 - Krystal Marie  Beruty</v>
      </c>
      <c r="F2202" t="str">
        <f>"AICE GLBL PERSP 1 AS"</f>
        <v>AICE GLBL PERSP 1 AS</v>
      </c>
      <c r="G2202" t="str">
        <f>"17-1721"</f>
        <v>17-1721</v>
      </c>
      <c r="H2202" t="str">
        <f>"B"</f>
        <v>B</v>
      </c>
    </row>
    <row r="2203" spans="1:8" x14ac:dyDescent="0.2">
      <c r="A2203" t="str">
        <f t="shared" si="804"/>
        <v>0614062646</v>
      </c>
      <c r="B2203" t="str">
        <f t="shared" si="805"/>
        <v>JERMONI</v>
      </c>
      <c r="C2203" t="str">
        <f t="shared" si="806"/>
        <v>BURGERWEST</v>
      </c>
      <c r="D2203">
        <f>10</f>
        <v>10</v>
      </c>
      <c r="E2203" t="str">
        <f>"01 - S1 - A - 101 - Carol S Moore"</f>
        <v>01 - S1 - A - 101 - Carol S Moore</v>
      </c>
      <c r="F2203" t="str">
        <f>"PERS FIN &amp; MON MGT H"</f>
        <v>PERS FIN &amp; MON MGT H</v>
      </c>
      <c r="G2203" t="str">
        <f>"17-1733"</f>
        <v>17-1733</v>
      </c>
      <c r="H2203" t="str">
        <f>"A"</f>
        <v>A</v>
      </c>
    </row>
    <row r="2204" spans="1:8" x14ac:dyDescent="0.2">
      <c r="A2204" t="str">
        <f t="shared" si="804"/>
        <v>0614062646</v>
      </c>
      <c r="B2204" t="str">
        <f t="shared" si="805"/>
        <v>JERMONI</v>
      </c>
      <c r="C2204" t="str">
        <f t="shared" si="806"/>
        <v>BURGERWEST</v>
      </c>
      <c r="D2204">
        <f>10</f>
        <v>10</v>
      </c>
      <c r="E2204" t="str">
        <f>"08 - B - 001 - Jacklyn M James"</f>
        <v>08 - B - 001 - Jacklyn M James</v>
      </c>
      <c r="F2204" t="str">
        <f>"AICE ENG LANG AS"</f>
        <v>AICE ENG LANG AS</v>
      </c>
      <c r="G2204" t="str">
        <f>"17-1731"</f>
        <v>17-1731</v>
      </c>
      <c r="H2204" t="str">
        <f>"B"</f>
        <v>B</v>
      </c>
    </row>
    <row r="2205" spans="1:8" x14ac:dyDescent="0.2">
      <c r="A2205" t="str">
        <f t="shared" ref="A2205:A2212" si="807">"0618073801"</f>
        <v>0618073801</v>
      </c>
      <c r="B2205" t="str">
        <f t="shared" ref="B2205:B2212" si="808">"ANIAH"</f>
        <v>ANIAH</v>
      </c>
      <c r="C2205" t="str">
        <f t="shared" ref="C2205:C2212" si="809">"BURGESS"</f>
        <v>BURGESS</v>
      </c>
      <c r="D2205">
        <f>10</f>
        <v>10</v>
      </c>
      <c r="E2205" t="str">
        <f>"04 - A - 102 - Tina L Lovett"</f>
        <v>04 - A - 102 - Tina L Lovett</v>
      </c>
      <c r="F2205" t="str">
        <f>"ALGEBRA 1"</f>
        <v>ALGEBRA 1</v>
      </c>
      <c r="G2205" t="str">
        <f>"21-2153"</f>
        <v>21-2153</v>
      </c>
      <c r="H2205" t="str">
        <f>"A"</f>
        <v>A</v>
      </c>
    </row>
    <row r="2206" spans="1:8" x14ac:dyDescent="0.2">
      <c r="A2206" t="str">
        <f t="shared" si="807"/>
        <v>0618073801</v>
      </c>
      <c r="B2206" t="str">
        <f t="shared" si="808"/>
        <v>ANIAH</v>
      </c>
      <c r="C2206" t="str">
        <f t="shared" si="809"/>
        <v>BURGESS</v>
      </c>
      <c r="D2206">
        <f>10</f>
        <v>10</v>
      </c>
      <c r="E2206" t="str">
        <f>"06 - B - 114 - Richard E Dunbar Iii"</f>
        <v>06 - B - 114 - Richard E Dunbar Iii</v>
      </c>
      <c r="F2206" t="str">
        <f>"NC STUDY HALL 1"</f>
        <v>NC STUDY HALL 1</v>
      </c>
      <c r="G2206" t="str">
        <f>"17-1703"</f>
        <v>17-1703</v>
      </c>
      <c r="H2206" t="str">
        <f>"B"</f>
        <v>B</v>
      </c>
    </row>
    <row r="2207" spans="1:8" x14ac:dyDescent="0.2">
      <c r="A2207" t="str">
        <f t="shared" si="807"/>
        <v>0618073801</v>
      </c>
      <c r="B2207" t="str">
        <f t="shared" si="808"/>
        <v>ANIAH</v>
      </c>
      <c r="C2207" t="str">
        <f t="shared" si="809"/>
        <v>BURGESS</v>
      </c>
      <c r="D2207">
        <f>10</f>
        <v>10</v>
      </c>
      <c r="E2207" t="str">
        <f>"03 - A - 204 - Lytrell T Dixon"</f>
        <v>03 - A - 204 - Lytrell T Dixon</v>
      </c>
      <c r="F2207" t="str">
        <f>"BIOLOGY 1"</f>
        <v>BIOLOGY 1</v>
      </c>
      <c r="G2207" t="str">
        <f>"08-808"</f>
        <v>08-808</v>
      </c>
      <c r="H2207" t="str">
        <f>"A"</f>
        <v>A</v>
      </c>
    </row>
    <row r="2208" spans="1:8" x14ac:dyDescent="0.2">
      <c r="A2208" t="str">
        <f t="shared" si="807"/>
        <v>0618073801</v>
      </c>
      <c r="B2208" t="str">
        <f t="shared" si="808"/>
        <v>ANIAH</v>
      </c>
      <c r="C2208" t="str">
        <f t="shared" si="809"/>
        <v>BURGESS</v>
      </c>
      <c r="D2208">
        <f>10</f>
        <v>10</v>
      </c>
      <c r="E2208" t="str">
        <f>"02 - A - 102 - Nikiel  Nesbeth"</f>
        <v>02 - A - 102 - Nikiel  Nesbeth</v>
      </c>
      <c r="F2208" t="str">
        <f>"ENG 2"</f>
        <v>ENG 2</v>
      </c>
      <c r="G2208" t="str">
        <f>"17-1705"</f>
        <v>17-1705</v>
      </c>
      <c r="H2208" t="str">
        <f>"A"</f>
        <v>A</v>
      </c>
    </row>
    <row r="2209" spans="1:8" x14ac:dyDescent="0.2">
      <c r="A2209" t="str">
        <f t="shared" si="807"/>
        <v>0618073801</v>
      </c>
      <c r="B2209" t="str">
        <f t="shared" si="808"/>
        <v>ANIAH</v>
      </c>
      <c r="C2209" t="str">
        <f t="shared" si="809"/>
        <v>BURGESS</v>
      </c>
      <c r="D2209">
        <f>10</f>
        <v>10</v>
      </c>
      <c r="E2209" t="str">
        <f>"07 - S1 - B - 103 - Leslie J Barton"</f>
        <v>07 - S1 - B - 103 - Leslie J Barton</v>
      </c>
      <c r="F2209" t="str">
        <f>"TEAM SPORTS 1"</f>
        <v>TEAM SPORTS 1</v>
      </c>
      <c r="G2209" t="str">
        <f>"04-254"</f>
        <v>04-254</v>
      </c>
      <c r="H2209" t="str">
        <f>"B"</f>
        <v>B</v>
      </c>
    </row>
    <row r="2210" spans="1:8" x14ac:dyDescent="0.2">
      <c r="A2210" t="str">
        <f t="shared" si="807"/>
        <v>0618073801</v>
      </c>
      <c r="B2210" t="str">
        <f t="shared" si="808"/>
        <v>ANIAH</v>
      </c>
      <c r="C2210" t="str">
        <f t="shared" si="809"/>
        <v>BURGESS</v>
      </c>
      <c r="D2210">
        <f>10</f>
        <v>10</v>
      </c>
      <c r="E2210" t="str">
        <f>"05 - B - 201 - Jazmin S Fletcher"</f>
        <v>05 - B - 201 - Jazmin S Fletcher</v>
      </c>
      <c r="F2210" t="str">
        <f>"THEATRE 1"</f>
        <v>THEATRE 1</v>
      </c>
      <c r="G2210" t="str">
        <f>"09-909"</f>
        <v>09-909</v>
      </c>
      <c r="H2210" t="str">
        <f>"B"</f>
        <v>B</v>
      </c>
    </row>
    <row r="2211" spans="1:8" x14ac:dyDescent="0.2">
      <c r="A2211" t="str">
        <f t="shared" si="807"/>
        <v>0618073801</v>
      </c>
      <c r="B2211" t="str">
        <f t="shared" si="808"/>
        <v>ANIAH</v>
      </c>
      <c r="C2211" t="str">
        <f t="shared" si="809"/>
        <v>BURGESS</v>
      </c>
      <c r="D2211">
        <f>10</f>
        <v>10</v>
      </c>
      <c r="E2211" t="str">
        <f>"01 - A - 101 - Taraneh C Abreu"</f>
        <v>01 - A - 101 - Taraneh C Abreu</v>
      </c>
      <c r="F2211" t="str">
        <f>"INTENS READ 2"</f>
        <v>INTENS READ 2</v>
      </c>
      <c r="G2211" t="str">
        <f>"17-1713"</f>
        <v>17-1713</v>
      </c>
      <c r="H2211" t="str">
        <f>"A"</f>
        <v>A</v>
      </c>
    </row>
    <row r="2212" spans="1:8" x14ac:dyDescent="0.2">
      <c r="A2212" t="str">
        <f t="shared" si="807"/>
        <v>0618073801</v>
      </c>
      <c r="B2212" t="str">
        <f t="shared" si="808"/>
        <v>ANIAH</v>
      </c>
      <c r="C2212" t="str">
        <f t="shared" si="809"/>
        <v>BURGESS</v>
      </c>
      <c r="D2212">
        <f>10</f>
        <v>10</v>
      </c>
      <c r="E2212" t="str">
        <f>"08 - B - 108 - Tina L Lovett"</f>
        <v>08 - B - 108 - Tina L Lovett</v>
      </c>
      <c r="F2212" t="str">
        <f>"FDN SKLS MATH 9-12"</f>
        <v>FDN SKLS MATH 9-12</v>
      </c>
      <c r="G2212" t="str">
        <f>"21-2153"</f>
        <v>21-2153</v>
      </c>
      <c r="H2212" t="str">
        <f>"B"</f>
        <v>B</v>
      </c>
    </row>
    <row r="2213" spans="1:8" x14ac:dyDescent="0.2">
      <c r="A2213" t="str">
        <f t="shared" ref="A2213:A2220" si="810">"0617026129"</f>
        <v>0617026129</v>
      </c>
      <c r="B2213" t="str">
        <f t="shared" ref="B2213:B2220" si="811">"JAYDA"</f>
        <v>JAYDA</v>
      </c>
      <c r="C2213" t="str">
        <f t="shared" ref="C2213:C2228" si="812">"BURGOS"</f>
        <v>BURGOS</v>
      </c>
      <c r="D2213" t="str">
        <f t="shared" ref="D2213:D2220" si="813">"09"</f>
        <v>09</v>
      </c>
      <c r="E2213" t="str">
        <f>"04 - A - 105 - Carol S Moore"</f>
        <v>04 - A - 105 - Carol S Moore</v>
      </c>
      <c r="F2213" t="str">
        <f>"PRE-AICE WRLD HST IG"</f>
        <v>PRE-AICE WRLD HST IG</v>
      </c>
      <c r="G2213" t="str">
        <f>"17-1733"</f>
        <v>17-1733</v>
      </c>
      <c r="H2213" t="str">
        <f>"A"</f>
        <v>A</v>
      </c>
    </row>
    <row r="2214" spans="1:8" x14ac:dyDescent="0.2">
      <c r="A2214" t="str">
        <f t="shared" si="810"/>
        <v>0617026129</v>
      </c>
      <c r="B2214" t="str">
        <f t="shared" si="811"/>
        <v>JAYDA</v>
      </c>
      <c r="C2214" t="str">
        <f t="shared" si="812"/>
        <v>BURGOS</v>
      </c>
      <c r="D2214" t="str">
        <f t="shared" si="813"/>
        <v>09</v>
      </c>
      <c r="E2214" t="str">
        <f>"06 - B - 101 - Fernando  Vega-Cid"</f>
        <v>06 - B - 101 - Fernando  Vega-Cid</v>
      </c>
      <c r="F2214" t="str">
        <f>"PRE-AICE MATH 2 IG"</f>
        <v>PRE-AICE MATH 2 IG</v>
      </c>
      <c r="G2214" t="str">
        <f>"21-2163"</f>
        <v>21-2163</v>
      </c>
      <c r="H2214" t="str">
        <f>"B"</f>
        <v>B</v>
      </c>
    </row>
    <row r="2215" spans="1:8" x14ac:dyDescent="0.2">
      <c r="A2215" t="str">
        <f t="shared" si="810"/>
        <v>0617026129</v>
      </c>
      <c r="B2215" t="str">
        <f t="shared" si="811"/>
        <v>JAYDA</v>
      </c>
      <c r="C2215" t="str">
        <f t="shared" si="812"/>
        <v>BURGOS</v>
      </c>
      <c r="D2215" t="str">
        <f t="shared" si="813"/>
        <v>09</v>
      </c>
      <c r="E2215" t="str">
        <f>"03 - A - 201 - Christa T Parisi"</f>
        <v>03 - A - 201 - Christa T Parisi</v>
      </c>
      <c r="F2215" t="str">
        <f>"DANCE TECHNQS 1"</f>
        <v>DANCE TECHNQS 1</v>
      </c>
      <c r="G2215" t="str">
        <f>"05-503"</f>
        <v>05-503</v>
      </c>
      <c r="H2215" t="str">
        <f>"A"</f>
        <v>A</v>
      </c>
    </row>
    <row r="2216" spans="1:8" x14ac:dyDescent="0.2">
      <c r="A2216" t="str">
        <f t="shared" si="810"/>
        <v>0617026129</v>
      </c>
      <c r="B2216" t="str">
        <f t="shared" si="811"/>
        <v>JAYDA</v>
      </c>
      <c r="C2216" t="str">
        <f t="shared" si="812"/>
        <v>BURGOS</v>
      </c>
      <c r="D2216" t="str">
        <f t="shared" si="813"/>
        <v>09</v>
      </c>
      <c r="E2216" t="str">
        <f>"02 - A - 105 - Elizabeth R Walker"</f>
        <v>02 - A - 105 - Elizabeth R Walker</v>
      </c>
      <c r="F2216" t="str">
        <f>"NC STUDY HALL 1"</f>
        <v>NC STUDY HALL 1</v>
      </c>
      <c r="G2216" t="str">
        <f>"17-1703"</f>
        <v>17-1703</v>
      </c>
      <c r="H2216" t="str">
        <f>"A"</f>
        <v>A</v>
      </c>
    </row>
    <row r="2217" spans="1:8" x14ac:dyDescent="0.2">
      <c r="A2217" t="str">
        <f t="shared" si="810"/>
        <v>0617026129</v>
      </c>
      <c r="B2217" t="str">
        <f t="shared" si="811"/>
        <v>JAYDA</v>
      </c>
      <c r="C2217" t="str">
        <f t="shared" si="812"/>
        <v>BURGOS</v>
      </c>
      <c r="D2217" t="str">
        <f t="shared" si="813"/>
        <v>09</v>
      </c>
      <c r="E2217" t="str">
        <f>"07 - B - 003 - Brandy N Zdenek"</f>
        <v>07 - B - 003 - Brandy N Zdenek</v>
      </c>
      <c r="F2217" t="str">
        <f>"AICE ENG GEN PAPER 1"</f>
        <v>AICE ENG GEN PAPER 1</v>
      </c>
      <c r="G2217" t="str">
        <f>"17-1704"</f>
        <v>17-1704</v>
      </c>
      <c r="H2217" t="str">
        <f>"B"</f>
        <v>B</v>
      </c>
    </row>
    <row r="2218" spans="1:8" x14ac:dyDescent="0.2">
      <c r="A2218" t="str">
        <f t="shared" si="810"/>
        <v>0617026129</v>
      </c>
      <c r="B2218" t="str">
        <f t="shared" si="811"/>
        <v>JAYDA</v>
      </c>
      <c r="C2218" t="str">
        <f t="shared" si="812"/>
        <v>BURGOS</v>
      </c>
      <c r="D2218" t="str">
        <f t="shared" si="813"/>
        <v>09</v>
      </c>
      <c r="E2218" t="str">
        <f>"05 - S1 - B - 103 - Leslie J Barton"</f>
        <v>05 - S1 - B - 103 - Leslie J Barton</v>
      </c>
      <c r="F2218" t="str">
        <f>"FIRST AID SAFETY"</f>
        <v>FIRST AID SAFETY</v>
      </c>
      <c r="G2218" t="str">
        <f>"05-521"</f>
        <v>05-521</v>
      </c>
      <c r="H2218" t="str">
        <f>"B"</f>
        <v>B</v>
      </c>
    </row>
    <row r="2219" spans="1:8" x14ac:dyDescent="0.2">
      <c r="A2219" t="str">
        <f t="shared" si="810"/>
        <v>0617026129</v>
      </c>
      <c r="B2219" t="str">
        <f t="shared" si="811"/>
        <v>JAYDA</v>
      </c>
      <c r="C2219" t="str">
        <f t="shared" si="812"/>
        <v>BURGOS</v>
      </c>
      <c r="D2219" t="str">
        <f t="shared" si="813"/>
        <v>09</v>
      </c>
      <c r="E2219" t="str">
        <f>"01 - A - 101 - Adam Marcus  Drucker"</f>
        <v>01 - A - 101 - Adam Marcus  Drucker</v>
      </c>
      <c r="F2219" t="str">
        <f>"HOPE-PE V"</f>
        <v>HOPE-PE V</v>
      </c>
      <c r="G2219" t="str">
        <f>"04-254"</f>
        <v>04-254</v>
      </c>
      <c r="H2219" t="str">
        <f>"A"</f>
        <v>A</v>
      </c>
    </row>
    <row r="2220" spans="1:8" x14ac:dyDescent="0.2">
      <c r="A2220" t="str">
        <f t="shared" si="810"/>
        <v>0617026129</v>
      </c>
      <c r="B2220" t="str">
        <f t="shared" si="811"/>
        <v>JAYDA</v>
      </c>
      <c r="C2220" t="str">
        <f t="shared" si="812"/>
        <v>BURGOS</v>
      </c>
      <c r="D2220" t="str">
        <f t="shared" si="813"/>
        <v>09</v>
      </c>
      <c r="E2220" t="str">
        <f>"08 - B - 102 - Josiah I Lacy"</f>
        <v>08 - B - 102 - Josiah I Lacy</v>
      </c>
      <c r="F2220" t="str">
        <f>"ANAT PHYSIO HON"</f>
        <v>ANAT PHYSIO HON</v>
      </c>
      <c r="G2220" t="str">
        <f>"08-801"</f>
        <v>08-801</v>
      </c>
      <c r="H2220" t="str">
        <f>"B"</f>
        <v>B</v>
      </c>
    </row>
    <row r="2221" spans="1:8" x14ac:dyDescent="0.2">
      <c r="A2221" t="str">
        <f t="shared" ref="A2221:A2228" si="814">"0614012360"</f>
        <v>0614012360</v>
      </c>
      <c r="B2221" t="str">
        <f t="shared" ref="B2221:B2228" si="815">"KIARA"</f>
        <v>KIARA</v>
      </c>
      <c r="C2221" t="str">
        <f t="shared" si="812"/>
        <v>BURGOS</v>
      </c>
      <c r="D2221">
        <f>12</f>
        <v>12</v>
      </c>
      <c r="E2221" t="str">
        <f>"04 - A - 101 - Stefanie S Scher"</f>
        <v>04 - A - 101 - Stefanie S Scher</v>
      </c>
      <c r="F2221" t="str">
        <f>"AP PSYCH"</f>
        <v>AP PSYCH</v>
      </c>
      <c r="G2221" t="str">
        <f>"17-1735"</f>
        <v>17-1735</v>
      </c>
      <c r="H2221" t="str">
        <f>"A"</f>
        <v>A</v>
      </c>
    </row>
    <row r="2222" spans="1:8" x14ac:dyDescent="0.2">
      <c r="A2222" t="str">
        <f t="shared" si="814"/>
        <v>0614012360</v>
      </c>
      <c r="B2222" t="str">
        <f t="shared" si="815"/>
        <v>KIARA</v>
      </c>
      <c r="C2222" t="str">
        <f t="shared" si="812"/>
        <v>BURGOS</v>
      </c>
      <c r="D2222">
        <f>12</f>
        <v>12</v>
      </c>
      <c r="E2222" t="str">
        <f>"06 - B - 114 - Lisa J London"</f>
        <v>06 - B - 114 - Lisa J London</v>
      </c>
      <c r="F2222" t="str">
        <f>"NC STUDY HALL 1"</f>
        <v>NC STUDY HALL 1</v>
      </c>
      <c r="G2222" t="str">
        <f>"17-1714"</f>
        <v>17-1714</v>
      </c>
      <c r="H2222" t="str">
        <f>"B"</f>
        <v>B</v>
      </c>
    </row>
    <row r="2223" spans="1:8" x14ac:dyDescent="0.2">
      <c r="A2223" t="str">
        <f t="shared" si="814"/>
        <v>0614012360</v>
      </c>
      <c r="B2223" t="str">
        <f t="shared" si="815"/>
        <v>KIARA</v>
      </c>
      <c r="C2223" t="str">
        <f t="shared" si="812"/>
        <v>BURGOS</v>
      </c>
      <c r="D2223">
        <f>12</f>
        <v>12</v>
      </c>
      <c r="E2223" t="str">
        <f>"03 - A - 101 - Lourivaldo  Da Silva"</f>
        <v>03 - A - 101 - Lourivaldo  Da Silva</v>
      </c>
      <c r="F2223" t="str">
        <f>"AP STAT"</f>
        <v>AP STAT</v>
      </c>
      <c r="G2223" t="str">
        <f>"20-2079"</f>
        <v>20-2079</v>
      </c>
      <c r="H2223" t="str">
        <f>"A"</f>
        <v>A</v>
      </c>
    </row>
    <row r="2224" spans="1:8" x14ac:dyDescent="0.2">
      <c r="A2224" t="str">
        <f t="shared" si="814"/>
        <v>0614012360</v>
      </c>
      <c r="B2224" t="str">
        <f t="shared" si="815"/>
        <v>KIARA</v>
      </c>
      <c r="C2224" t="str">
        <f t="shared" si="812"/>
        <v>BURGOS</v>
      </c>
      <c r="D2224">
        <f>12</f>
        <v>12</v>
      </c>
      <c r="E2224" t="str">
        <f>"02 - S1 - A - 103 - Barbara L Segal"</f>
        <v>02 - S1 - A - 103 - Barbara L Segal</v>
      </c>
      <c r="F2224" t="str">
        <f>"US GOVT HON"</f>
        <v>US GOVT HON</v>
      </c>
      <c r="G2224" t="str">
        <f>"17-1742"</f>
        <v>17-1742</v>
      </c>
      <c r="H2224" t="str">
        <f>"A"</f>
        <v>A</v>
      </c>
    </row>
    <row r="2225" spans="1:8" x14ac:dyDescent="0.2">
      <c r="A2225" t="str">
        <f t="shared" si="814"/>
        <v>0614012360</v>
      </c>
      <c r="B2225" t="str">
        <f t="shared" si="815"/>
        <v>KIARA</v>
      </c>
      <c r="C2225" t="str">
        <f t="shared" si="812"/>
        <v>BURGOS</v>
      </c>
      <c r="D2225">
        <f>12</f>
        <v>12</v>
      </c>
      <c r="E2225" t="str">
        <f>"07 - B - 101 - Bruce A Evans"</f>
        <v>07 - B - 101 - Bruce A Evans</v>
      </c>
      <c r="F2225" t="str">
        <f>"FIREFIGHTING 1 LH"</f>
        <v>FIREFIGHTING 1 LH</v>
      </c>
      <c r="G2225" t="str">
        <f>"21-2142"</f>
        <v>21-2142</v>
      </c>
      <c r="H2225" t="str">
        <f>"B"</f>
        <v>B</v>
      </c>
    </row>
    <row r="2226" spans="1:8" x14ac:dyDescent="0.2">
      <c r="A2226" t="str">
        <f t="shared" si="814"/>
        <v>0614012360</v>
      </c>
      <c r="B2226" t="str">
        <f t="shared" si="815"/>
        <v>KIARA</v>
      </c>
      <c r="C2226" t="str">
        <f t="shared" si="812"/>
        <v>BURGOS</v>
      </c>
      <c r="D2226">
        <f>12</f>
        <v>12</v>
      </c>
      <c r="E2226" t="str">
        <f>"05 - B - 104 - Jeffrey S Gallagher"</f>
        <v>05 - B - 104 - Jeffrey S Gallagher</v>
      </c>
      <c r="F2226" t="str">
        <f>"ENG HON 4"</f>
        <v>ENG HON 4</v>
      </c>
      <c r="G2226" t="str">
        <f>"17-1724"</f>
        <v>17-1724</v>
      </c>
      <c r="H2226" t="str">
        <f>"B"</f>
        <v>B</v>
      </c>
    </row>
    <row r="2227" spans="1:8" x14ac:dyDescent="0.2">
      <c r="A2227" t="str">
        <f t="shared" si="814"/>
        <v>0614012360</v>
      </c>
      <c r="B2227" t="str">
        <f t="shared" si="815"/>
        <v>KIARA</v>
      </c>
      <c r="C2227" t="str">
        <f t="shared" si="812"/>
        <v>BURGOS</v>
      </c>
      <c r="D2227">
        <f>12</f>
        <v>12</v>
      </c>
      <c r="E2227" t="str">
        <f>"01 - A - 201 - Jeanne M Bermudez"</f>
        <v>01 - A - 201 - Jeanne M Bermudez</v>
      </c>
      <c r="F2227" t="str">
        <f>"PHYSICS 1 HON"</f>
        <v>PHYSICS 1 HON</v>
      </c>
      <c r="G2227" t="str">
        <f>"21-2141"</f>
        <v>21-2141</v>
      </c>
      <c r="H2227" t="str">
        <f>"A"</f>
        <v>A</v>
      </c>
    </row>
    <row r="2228" spans="1:8" x14ac:dyDescent="0.2">
      <c r="A2228" t="str">
        <f t="shared" si="814"/>
        <v>0614012360</v>
      </c>
      <c r="B2228" t="str">
        <f t="shared" si="815"/>
        <v>KIARA</v>
      </c>
      <c r="C2228" t="str">
        <f t="shared" si="812"/>
        <v>BURGOS</v>
      </c>
      <c r="D2228">
        <f>12</f>
        <v>12</v>
      </c>
      <c r="E2228" t="str">
        <f>"08 - B - 101 - Rosa Elaine  Collado-Duff"</f>
        <v>08 - B - 101 - Rosa Elaine  Collado-Duff</v>
      </c>
      <c r="F2228" t="str">
        <f>"AP SPANISH LANG &amp; CU"</f>
        <v>AP SPANISH LANG &amp; CU</v>
      </c>
      <c r="G2228" t="str">
        <f>"09-913"</f>
        <v>09-913</v>
      </c>
      <c r="H2228" t="str">
        <f>"B"</f>
        <v>B</v>
      </c>
    </row>
    <row r="2229" spans="1:8" x14ac:dyDescent="0.2">
      <c r="A2229" t="str">
        <f t="shared" ref="A2229:A2236" si="816">"0614128052"</f>
        <v>0614128052</v>
      </c>
      <c r="B2229" t="str">
        <f t="shared" ref="B2229:B2236" si="817">"DAMANI"</f>
        <v>DAMANI</v>
      </c>
      <c r="C2229" t="str">
        <f t="shared" ref="C2229:C2236" si="818">"BURKS"</f>
        <v>BURKS</v>
      </c>
      <c r="D2229">
        <f>11</f>
        <v>11</v>
      </c>
      <c r="E2229" t="str">
        <f>"04 - A - 201 - Scott A Dethloff"</f>
        <v>04 - A - 201 - Scott A Dethloff</v>
      </c>
      <c r="F2229" t="str">
        <f>"AICE THINK SKLS 1 AS"</f>
        <v>AICE THINK SKLS 1 AS</v>
      </c>
      <c r="G2229" t="str">
        <f>"08-812"</f>
        <v>08-812</v>
      </c>
      <c r="H2229" t="str">
        <f>"A"</f>
        <v>A</v>
      </c>
    </row>
    <row r="2230" spans="1:8" x14ac:dyDescent="0.2">
      <c r="A2230" t="str">
        <f t="shared" si="816"/>
        <v>0614128052</v>
      </c>
      <c r="B2230" t="str">
        <f t="shared" si="817"/>
        <v>DAMANI</v>
      </c>
      <c r="C2230" t="str">
        <f t="shared" si="818"/>
        <v>BURKS</v>
      </c>
      <c r="D2230">
        <f>11</f>
        <v>11</v>
      </c>
      <c r="E2230" t="str">
        <f>"06 - B - 104 - Brandy N Zdenek"</f>
        <v>06 - B - 104 - Brandy N Zdenek</v>
      </c>
      <c r="F2230" t="str">
        <f>"AICE ENG LANG 2 AL"</f>
        <v>AICE ENG LANG 2 AL</v>
      </c>
      <c r="G2230" t="str">
        <f>"17-1704"</f>
        <v>17-1704</v>
      </c>
      <c r="H2230" t="str">
        <f>"B"</f>
        <v>B</v>
      </c>
    </row>
    <row r="2231" spans="1:8" x14ac:dyDescent="0.2">
      <c r="A2231" t="str">
        <f t="shared" si="816"/>
        <v>0614128052</v>
      </c>
      <c r="B2231" t="str">
        <f t="shared" si="817"/>
        <v>DAMANI</v>
      </c>
      <c r="C2231" t="str">
        <f t="shared" si="818"/>
        <v>BURKS</v>
      </c>
      <c r="D2231">
        <f>11</f>
        <v>11</v>
      </c>
      <c r="E2231" t="str">
        <f>"03 - A - 101 - Scott A Dethloff"</f>
        <v>03 - A - 101 - Scott A Dethloff</v>
      </c>
      <c r="F2231" t="str">
        <f>"CHEMISTRY 1 HON"</f>
        <v>CHEMISTRY 1 HON</v>
      </c>
      <c r="G2231" t="str">
        <f>"08-812"</f>
        <v>08-812</v>
      </c>
      <c r="H2231" t="str">
        <f>"A"</f>
        <v>A</v>
      </c>
    </row>
    <row r="2232" spans="1:8" x14ac:dyDescent="0.2">
      <c r="A2232" t="str">
        <f t="shared" si="816"/>
        <v>0614128052</v>
      </c>
      <c r="B2232" t="str">
        <f t="shared" si="817"/>
        <v>DAMANI</v>
      </c>
      <c r="C2232" t="str">
        <f t="shared" si="818"/>
        <v>BURKS</v>
      </c>
      <c r="D2232">
        <f>11</f>
        <v>11</v>
      </c>
      <c r="E2232" t="str">
        <f>"02 - A - 112 - Brandy N Zdenek"</f>
        <v>02 - A - 112 - Brandy N Zdenek</v>
      </c>
      <c r="F2232" t="str">
        <f>"NC STUDY HALL 1"</f>
        <v>NC STUDY HALL 1</v>
      </c>
      <c r="G2232" t="str">
        <f>"17-1704"</f>
        <v>17-1704</v>
      </c>
      <c r="H2232" t="str">
        <f>"A"</f>
        <v>A</v>
      </c>
    </row>
    <row r="2233" spans="1:8" x14ac:dyDescent="0.2">
      <c r="A2233" t="str">
        <f t="shared" si="816"/>
        <v>0614128052</v>
      </c>
      <c r="B2233" t="str">
        <f t="shared" si="817"/>
        <v>DAMANI</v>
      </c>
      <c r="C2233" t="str">
        <f t="shared" si="818"/>
        <v>BURKS</v>
      </c>
      <c r="D2233">
        <f>11</f>
        <v>11</v>
      </c>
      <c r="E2233" t="str">
        <f>"07 - B - 102 - Timothy J Lawrence"</f>
        <v>07 - B - 102 - Timothy J Lawrence</v>
      </c>
      <c r="F2233" t="str">
        <f>"AICE PHYS ED 1 AS"</f>
        <v>AICE PHYS ED 1 AS</v>
      </c>
      <c r="G2233" t="str">
        <f>"05-523"</f>
        <v>05-523</v>
      </c>
      <c r="H2233" t="str">
        <f>"B"</f>
        <v>B</v>
      </c>
    </row>
    <row r="2234" spans="1:8" x14ac:dyDescent="0.2">
      <c r="A2234" t="str">
        <f t="shared" si="816"/>
        <v>0614128052</v>
      </c>
      <c r="B2234" t="str">
        <f t="shared" si="817"/>
        <v>DAMANI</v>
      </c>
      <c r="C2234" t="str">
        <f t="shared" si="818"/>
        <v>BURKS</v>
      </c>
      <c r="D2234">
        <f>11</f>
        <v>11</v>
      </c>
      <c r="E2234" t="str">
        <f>"05 - B - 102 - Jerry S Jiampetti"</f>
        <v>05 - B - 102 - Jerry S Jiampetti</v>
      </c>
      <c r="F2234" t="str">
        <f>"AICE U.S. HIST 1 AS"</f>
        <v>AICE U.S. HIST 1 AS</v>
      </c>
      <c r="G2234" t="str">
        <f>"17-1751"</f>
        <v>17-1751</v>
      </c>
      <c r="H2234" t="str">
        <f>"B"</f>
        <v>B</v>
      </c>
    </row>
    <row r="2235" spans="1:8" x14ac:dyDescent="0.2">
      <c r="A2235" t="str">
        <f t="shared" si="816"/>
        <v>0614128052</v>
      </c>
      <c r="B2235" t="str">
        <f t="shared" si="817"/>
        <v>DAMANI</v>
      </c>
      <c r="C2235" t="str">
        <f t="shared" si="818"/>
        <v>BURKS</v>
      </c>
      <c r="D2235">
        <f>11</f>
        <v>11</v>
      </c>
      <c r="E2235" t="str">
        <f>"01 - A - 101 - Lisa J London"</f>
        <v>01 - A - 101 - Lisa J London</v>
      </c>
      <c r="F2235" t="str">
        <f>"AP CAPSTONE SEMINAR"</f>
        <v>AP CAPSTONE SEMINAR</v>
      </c>
      <c r="G2235" t="str">
        <f>"17-1714"</f>
        <v>17-1714</v>
      </c>
      <c r="H2235" t="str">
        <f>"A"</f>
        <v>A</v>
      </c>
    </row>
    <row r="2236" spans="1:8" x14ac:dyDescent="0.2">
      <c r="A2236" t="str">
        <f t="shared" si="816"/>
        <v>0614128052</v>
      </c>
      <c r="B2236" t="str">
        <f t="shared" si="817"/>
        <v>DAMANI</v>
      </c>
      <c r="C2236" t="str">
        <f t="shared" si="818"/>
        <v>BURKS</v>
      </c>
      <c r="D2236">
        <f>11</f>
        <v>11</v>
      </c>
      <c r="E2236" t="str">
        <f>"08 - B - 205 - Daniel S Tyson"</f>
        <v>08 - B - 205 - Daniel S Tyson</v>
      </c>
      <c r="F2236" t="str">
        <f>"JROTC NAVAL SCI 3"</f>
        <v>JROTC NAVAL SCI 3</v>
      </c>
      <c r="G2236" t="str">
        <f>"05-510"</f>
        <v>05-510</v>
      </c>
      <c r="H2236" t="str">
        <f>"B"</f>
        <v>B</v>
      </c>
    </row>
    <row r="2237" spans="1:8" x14ac:dyDescent="0.2">
      <c r="A2237" t="str">
        <f t="shared" ref="A2237:A2244" si="819">"0616003381"</f>
        <v>0616003381</v>
      </c>
      <c r="B2237" t="str">
        <f t="shared" ref="B2237:B2244" si="820">"NOAH"</f>
        <v>NOAH</v>
      </c>
      <c r="C2237" t="str">
        <f t="shared" ref="C2237:C2244" si="821">"BURRELL"</f>
        <v>BURRELL</v>
      </c>
      <c r="D2237" t="str">
        <f t="shared" ref="D2237:D2244" si="822">"09"</f>
        <v>09</v>
      </c>
      <c r="E2237" t="str">
        <f>"04 - A - 104 - Marius D Orsolini"</f>
        <v>04 - A - 104 - Marius D Orsolini</v>
      </c>
      <c r="F2237" t="str">
        <f>"CULINARY ARTS 1"</f>
        <v>CULINARY ARTS 1</v>
      </c>
      <c r="G2237" t="str">
        <f>"21-2115"</f>
        <v>21-2115</v>
      </c>
      <c r="H2237" t="str">
        <f>"A"</f>
        <v>A</v>
      </c>
    </row>
    <row r="2238" spans="1:8" x14ac:dyDescent="0.2">
      <c r="A2238" t="str">
        <f t="shared" si="819"/>
        <v>0616003381</v>
      </c>
      <c r="B2238" t="str">
        <f t="shared" si="820"/>
        <v>NOAH</v>
      </c>
      <c r="C2238" t="str">
        <f t="shared" si="821"/>
        <v>BURRELL</v>
      </c>
      <c r="D2238" t="str">
        <f t="shared" si="822"/>
        <v>09</v>
      </c>
      <c r="E2238" t="str">
        <f>"06 - B - 102 - Rosa Elaine  Collado-Duff"</f>
        <v>06 - B - 102 - Rosa Elaine  Collado-Duff</v>
      </c>
      <c r="F2238" t="str">
        <f>"SPANISH 3 HON"</f>
        <v>SPANISH 3 HON</v>
      </c>
      <c r="G2238" t="str">
        <f>"09-913"</f>
        <v>09-913</v>
      </c>
      <c r="H2238" t="str">
        <f>"B"</f>
        <v>B</v>
      </c>
    </row>
    <row r="2239" spans="1:8" x14ac:dyDescent="0.2">
      <c r="A2239" t="str">
        <f t="shared" si="819"/>
        <v>0616003381</v>
      </c>
      <c r="B2239" t="str">
        <f t="shared" si="820"/>
        <v>NOAH</v>
      </c>
      <c r="C2239" t="str">
        <f t="shared" si="821"/>
        <v>BURRELL</v>
      </c>
      <c r="D2239" t="str">
        <f t="shared" si="822"/>
        <v>09</v>
      </c>
      <c r="E2239" t="str">
        <f>"03 - S1 - A - 101 - Daniel S Katz"</f>
        <v>03 - S1 - A - 101 - Daniel S Katz</v>
      </c>
      <c r="F2239" t="str">
        <f>"COURT PROCED"</f>
        <v>COURT PROCED</v>
      </c>
      <c r="G2239" t="str">
        <f>"21-2156"</f>
        <v>21-2156</v>
      </c>
      <c r="H2239" t="str">
        <f>"A"</f>
        <v>A</v>
      </c>
    </row>
    <row r="2240" spans="1:8" x14ac:dyDescent="0.2">
      <c r="A2240" t="str">
        <f t="shared" si="819"/>
        <v>0616003381</v>
      </c>
      <c r="B2240" t="str">
        <f t="shared" si="820"/>
        <v>NOAH</v>
      </c>
      <c r="C2240" t="str">
        <f t="shared" si="821"/>
        <v>BURRELL</v>
      </c>
      <c r="D2240" t="str">
        <f t="shared" si="822"/>
        <v>09</v>
      </c>
      <c r="E2240" t="str">
        <f>"02 - A - 103 - Arthur  Kulawik"</f>
        <v>02 - A - 103 - Arthur  Kulawik</v>
      </c>
      <c r="F2240" t="str">
        <f>"NC STUDY HALL 1"</f>
        <v>NC STUDY HALL 1</v>
      </c>
      <c r="G2240" t="str">
        <f>"05-506"</f>
        <v>05-506</v>
      </c>
      <c r="H2240" t="str">
        <f>"A"</f>
        <v>A</v>
      </c>
    </row>
    <row r="2241" spans="1:8" x14ac:dyDescent="0.2">
      <c r="A2241" t="str">
        <f t="shared" si="819"/>
        <v>0616003381</v>
      </c>
      <c r="B2241" t="str">
        <f t="shared" si="820"/>
        <v>NOAH</v>
      </c>
      <c r="C2241" t="str">
        <f t="shared" si="821"/>
        <v>BURRELL</v>
      </c>
      <c r="D2241" t="str">
        <f t="shared" si="822"/>
        <v>09</v>
      </c>
      <c r="E2241" t="str">
        <f>"07 - B - 001 - Cheryl Anne  Berman-Schechter"</f>
        <v>07 - B - 001 - Cheryl Anne  Berman-Schechter</v>
      </c>
      <c r="F2241" t="str">
        <f>"AICE ENG GEN PAPER 1"</f>
        <v>AICE ENG GEN PAPER 1</v>
      </c>
      <c r="G2241" t="str">
        <f>"17-1722"</f>
        <v>17-1722</v>
      </c>
      <c r="H2241" t="str">
        <f>"B"</f>
        <v>B</v>
      </c>
    </row>
    <row r="2242" spans="1:8" x14ac:dyDescent="0.2">
      <c r="A2242" t="str">
        <f t="shared" si="819"/>
        <v>0616003381</v>
      </c>
      <c r="B2242" t="str">
        <f t="shared" si="820"/>
        <v>NOAH</v>
      </c>
      <c r="C2242" t="str">
        <f t="shared" si="821"/>
        <v>BURRELL</v>
      </c>
      <c r="D2242" t="str">
        <f t="shared" si="822"/>
        <v>09</v>
      </c>
      <c r="E2242" t="str">
        <f>"05 - B - 104 - Maried P Ramos"</f>
        <v>05 - B - 104 - Maried P Ramos</v>
      </c>
      <c r="F2242" t="str">
        <f>"PRE-AICE MATH 2 IG"</f>
        <v>PRE-AICE MATH 2 IG</v>
      </c>
      <c r="G2242" t="str">
        <f>"21-2159"</f>
        <v>21-2159</v>
      </c>
      <c r="H2242" t="str">
        <f>"B"</f>
        <v>B</v>
      </c>
    </row>
    <row r="2243" spans="1:8" x14ac:dyDescent="0.2">
      <c r="A2243" t="str">
        <f t="shared" si="819"/>
        <v>0616003381</v>
      </c>
      <c r="B2243" t="str">
        <f t="shared" si="820"/>
        <v>NOAH</v>
      </c>
      <c r="C2243" t="str">
        <f t="shared" si="821"/>
        <v>BURRELL</v>
      </c>
      <c r="D2243" t="str">
        <f t="shared" si="822"/>
        <v>09</v>
      </c>
      <c r="E2243" t="str">
        <f>"01 - A - 201 - Cheryl L Beach"</f>
        <v>01 - A - 201 - Cheryl L Beach</v>
      </c>
      <c r="F2243" t="str">
        <f>"AICE ENV MGMNT AS"</f>
        <v>AICE ENV MGMNT AS</v>
      </c>
      <c r="G2243" t="str">
        <f>"08-811"</f>
        <v>08-811</v>
      </c>
      <c r="H2243" t="str">
        <f>"A"</f>
        <v>A</v>
      </c>
    </row>
    <row r="2244" spans="1:8" x14ac:dyDescent="0.2">
      <c r="A2244" t="str">
        <f t="shared" si="819"/>
        <v>0616003381</v>
      </c>
      <c r="B2244" t="str">
        <f t="shared" si="820"/>
        <v>NOAH</v>
      </c>
      <c r="C2244" t="str">
        <f t="shared" si="821"/>
        <v>BURRELL</v>
      </c>
      <c r="D2244" t="str">
        <f t="shared" si="822"/>
        <v>09</v>
      </c>
      <c r="E2244" t="str">
        <f>"08 - B - 109 - Emmily A Sarmiento"</f>
        <v>08 - B - 109 - Emmily A Sarmiento</v>
      </c>
      <c r="F2244" t="str">
        <f>"AICE GLBL PERSP 1 AS"</f>
        <v>AICE GLBL PERSP 1 AS</v>
      </c>
      <c r="G2244" t="str">
        <f>"17-1743"</f>
        <v>17-1743</v>
      </c>
      <c r="H2244" t="str">
        <f>"B"</f>
        <v>B</v>
      </c>
    </row>
    <row r="2245" spans="1:8" x14ac:dyDescent="0.2">
      <c r="A2245" t="str">
        <f t="shared" ref="A2245:A2252" si="823">"0616122411"</f>
        <v>0616122411</v>
      </c>
      <c r="B2245" t="str">
        <f t="shared" ref="B2245:B2252" si="824">"MAI'LYIA"</f>
        <v>MAI'LYIA</v>
      </c>
      <c r="C2245" t="str">
        <f t="shared" ref="C2245:C2260" si="825">"BURRIS"</f>
        <v>BURRIS</v>
      </c>
      <c r="D2245">
        <f>12</f>
        <v>12</v>
      </c>
      <c r="E2245" t="str">
        <f>"04 - A - 101 - Alejandro  Navarro"</f>
        <v>04 - A - 101 - Alejandro  Navarro</v>
      </c>
      <c r="F2245" t="str">
        <f>"BAND 5 HON"</f>
        <v>BAND 5 HON</v>
      </c>
      <c r="G2245" t="str">
        <f>"05-504"</f>
        <v>05-504</v>
      </c>
      <c r="H2245" t="str">
        <f>"A"</f>
        <v>A</v>
      </c>
    </row>
    <row r="2246" spans="1:8" x14ac:dyDescent="0.2">
      <c r="A2246" t="str">
        <f t="shared" si="823"/>
        <v>0616122411</v>
      </c>
      <c r="B2246" t="str">
        <f t="shared" si="824"/>
        <v>MAI'LYIA</v>
      </c>
      <c r="C2246" t="str">
        <f t="shared" si="825"/>
        <v>BURRIS</v>
      </c>
      <c r="D2246">
        <f>12</f>
        <v>12</v>
      </c>
      <c r="E2246" t="str">
        <f>"06 - B - 102 - Ferrie J Arostique"</f>
        <v>06 - B - 102 - Ferrie J Arostique</v>
      </c>
      <c r="F2246" t="str">
        <f>"NC STUDY HALL 1"</f>
        <v>NC STUDY HALL 1</v>
      </c>
      <c r="G2246" t="str">
        <f>"21-2139"</f>
        <v>21-2139</v>
      </c>
      <c r="H2246" t="str">
        <f>"B"</f>
        <v>B</v>
      </c>
    </row>
    <row r="2247" spans="1:8" x14ac:dyDescent="0.2">
      <c r="A2247" t="str">
        <f t="shared" si="823"/>
        <v>0616122411</v>
      </c>
      <c r="B2247" t="str">
        <f t="shared" si="824"/>
        <v>MAI'LYIA</v>
      </c>
      <c r="C2247" t="str">
        <f t="shared" si="825"/>
        <v>BURRIS</v>
      </c>
      <c r="D2247">
        <f>12</f>
        <v>12</v>
      </c>
      <c r="E2247" t="str">
        <f>"03 - A - 101 - Lourivaldo  Da Silva"</f>
        <v>03 - A - 101 - Lourivaldo  Da Silva</v>
      </c>
      <c r="F2247" t="str">
        <f>"AP STAT"</f>
        <v>AP STAT</v>
      </c>
      <c r="G2247" t="str">
        <f>"20-2079"</f>
        <v>20-2079</v>
      </c>
      <c r="H2247" t="str">
        <f>"A"</f>
        <v>A</v>
      </c>
    </row>
    <row r="2248" spans="1:8" x14ac:dyDescent="0.2">
      <c r="A2248" t="str">
        <f t="shared" si="823"/>
        <v>0616122411</v>
      </c>
      <c r="B2248" t="str">
        <f t="shared" si="824"/>
        <v>MAI'LYIA</v>
      </c>
      <c r="C2248" t="str">
        <f t="shared" si="825"/>
        <v>BURRIS</v>
      </c>
      <c r="D2248">
        <f>12</f>
        <v>12</v>
      </c>
      <c r="E2248" t="str">
        <f>"02 - A - 102 - Marielle A Witting"</f>
        <v>02 - A - 102 - Marielle A Witting</v>
      </c>
      <c r="F2248" t="str">
        <f>"AP BIO"</f>
        <v>AP BIO</v>
      </c>
      <c r="G2248" t="str">
        <f>"08-805"</f>
        <v>08-805</v>
      </c>
      <c r="H2248" t="str">
        <f>"A"</f>
        <v>A</v>
      </c>
    </row>
    <row r="2249" spans="1:8" x14ac:dyDescent="0.2">
      <c r="A2249" t="str">
        <f t="shared" si="823"/>
        <v>0616122411</v>
      </c>
      <c r="B2249" t="str">
        <f t="shared" si="824"/>
        <v>MAI'LYIA</v>
      </c>
      <c r="C2249" t="str">
        <f t="shared" si="825"/>
        <v>BURRIS</v>
      </c>
      <c r="D2249">
        <f>12</f>
        <v>12</v>
      </c>
      <c r="E2249" t="str">
        <f>"07 - S1 - B - 101 - Stephen T Ripp"</f>
        <v>07 - S1 - B - 101 - Stephen T Ripp</v>
      </c>
      <c r="F2249" t="str">
        <f>"AP US GOVT/POL"</f>
        <v>AP US GOVT/POL</v>
      </c>
      <c r="G2249" t="str">
        <f>"17-1744"</f>
        <v>17-1744</v>
      </c>
      <c r="H2249" t="str">
        <f>"B"</f>
        <v>B</v>
      </c>
    </row>
    <row r="2250" spans="1:8" x14ac:dyDescent="0.2">
      <c r="A2250" t="str">
        <f t="shared" si="823"/>
        <v>0616122411</v>
      </c>
      <c r="B2250" t="str">
        <f t="shared" si="824"/>
        <v>MAI'LYIA</v>
      </c>
      <c r="C2250" t="str">
        <f t="shared" si="825"/>
        <v>BURRIS</v>
      </c>
      <c r="D2250">
        <f>12</f>
        <v>12</v>
      </c>
      <c r="E2250" t="str">
        <f>"05 - B - 105 - Norayda D Suarez"</f>
        <v>05 - B - 105 - Norayda D Suarez</v>
      </c>
      <c r="F2250" t="str">
        <f>"RESEARCH 1 LH"</f>
        <v>RESEARCH 1 LH</v>
      </c>
      <c r="G2250">
        <f>2041</f>
        <v>2041</v>
      </c>
      <c r="H2250" t="str">
        <f>"B"</f>
        <v>B</v>
      </c>
    </row>
    <row r="2251" spans="1:8" x14ac:dyDescent="0.2">
      <c r="A2251" t="str">
        <f t="shared" si="823"/>
        <v>0616122411</v>
      </c>
      <c r="B2251" t="str">
        <f t="shared" si="824"/>
        <v>MAI'LYIA</v>
      </c>
      <c r="C2251" t="str">
        <f t="shared" si="825"/>
        <v>BURRIS</v>
      </c>
      <c r="D2251">
        <f>12</f>
        <v>12</v>
      </c>
      <c r="E2251" t="str">
        <f>"01 - A - 204 - Tina M Jaramillo"</f>
        <v>01 - A - 204 - Tina M Jaramillo</v>
      </c>
      <c r="F2251" t="str">
        <f>"AP ENG LIT COMPO"</f>
        <v>AP ENG LIT COMPO</v>
      </c>
      <c r="G2251" t="str">
        <f>"17-1706"</f>
        <v>17-1706</v>
      </c>
      <c r="H2251" t="str">
        <f>"A"</f>
        <v>A</v>
      </c>
    </row>
    <row r="2252" spans="1:8" x14ac:dyDescent="0.2">
      <c r="A2252" t="str">
        <f t="shared" si="823"/>
        <v>0616122411</v>
      </c>
      <c r="B2252" t="str">
        <f t="shared" si="824"/>
        <v>MAI'LYIA</v>
      </c>
      <c r="C2252" t="str">
        <f t="shared" si="825"/>
        <v>BURRIS</v>
      </c>
      <c r="D2252">
        <f>12</f>
        <v>12</v>
      </c>
      <c r="E2252" t="str">
        <f>"08 - B - 102 - Lisa J London"</f>
        <v>08 - B - 102 - Lisa J London</v>
      </c>
      <c r="F2252" t="str">
        <f>"AP CAPSTONE RESEARCH"</f>
        <v>AP CAPSTONE RESEARCH</v>
      </c>
      <c r="G2252" t="str">
        <f>"17-1714"</f>
        <v>17-1714</v>
      </c>
      <c r="H2252" t="str">
        <f>"B"</f>
        <v>B</v>
      </c>
    </row>
    <row r="2253" spans="1:8" x14ac:dyDescent="0.2">
      <c r="A2253" t="str">
        <f t="shared" ref="A2253:A2260" si="826">"0616122429"</f>
        <v>0616122429</v>
      </c>
      <c r="B2253" t="str">
        <f t="shared" ref="B2253:B2260" si="827">"MIHANNA"</f>
        <v>MIHANNA</v>
      </c>
      <c r="C2253" t="str">
        <f t="shared" si="825"/>
        <v>BURRIS</v>
      </c>
      <c r="D2253">
        <f>10</f>
        <v>10</v>
      </c>
      <c r="E2253" t="str">
        <f>"04 - A - 104 - Dayna M Foster"</f>
        <v>04 - A - 104 - Dayna M Foster</v>
      </c>
      <c r="F2253" t="str">
        <f>"ALGEBRA 2"</f>
        <v>ALGEBRA 2</v>
      </c>
      <c r="G2253" t="str">
        <f>"21-2109"</f>
        <v>21-2109</v>
      </c>
      <c r="H2253" t="str">
        <f>"A"</f>
        <v>A</v>
      </c>
    </row>
    <row r="2254" spans="1:8" x14ac:dyDescent="0.2">
      <c r="A2254" t="str">
        <f t="shared" si="826"/>
        <v>0616122429</v>
      </c>
      <c r="B2254" t="str">
        <f t="shared" si="827"/>
        <v>MIHANNA</v>
      </c>
      <c r="C2254" t="str">
        <f t="shared" si="825"/>
        <v>BURRIS</v>
      </c>
      <c r="D2254">
        <f>10</f>
        <v>10</v>
      </c>
      <c r="E2254" t="str">
        <f>"06 - B - 117 - Daniel S Tyson"</f>
        <v>06 - B - 117 - Daniel S Tyson</v>
      </c>
      <c r="F2254" t="str">
        <f>"NC STUDY HALL 1"</f>
        <v>NC STUDY HALL 1</v>
      </c>
      <c r="G2254" t="str">
        <f>"05-510"</f>
        <v>05-510</v>
      </c>
      <c r="H2254" t="str">
        <f>"B"</f>
        <v>B</v>
      </c>
    </row>
    <row r="2255" spans="1:8" x14ac:dyDescent="0.2">
      <c r="A2255" t="str">
        <f t="shared" si="826"/>
        <v>0616122429</v>
      </c>
      <c r="B2255" t="str">
        <f t="shared" si="827"/>
        <v>MIHANNA</v>
      </c>
      <c r="C2255" t="str">
        <f t="shared" si="825"/>
        <v>BURRIS</v>
      </c>
      <c r="D2255">
        <f>10</f>
        <v>10</v>
      </c>
      <c r="E2255" t="str">
        <f>"03 - A - 101 - Carleigh R Carmichael"</f>
        <v>03 - A - 101 - Carleigh R Carmichael</v>
      </c>
      <c r="F2255" t="str">
        <f>"LEAD SKLS DEV LH"</f>
        <v>LEAD SKLS DEV LH</v>
      </c>
      <c r="G2255" t="str">
        <f>"20-2072"</f>
        <v>20-2072</v>
      </c>
      <c r="H2255" t="str">
        <f>"A"</f>
        <v>A</v>
      </c>
    </row>
    <row r="2256" spans="1:8" x14ac:dyDescent="0.2">
      <c r="A2256" t="str">
        <f t="shared" si="826"/>
        <v>0616122429</v>
      </c>
      <c r="B2256" t="str">
        <f t="shared" si="827"/>
        <v>MIHANNA</v>
      </c>
      <c r="C2256" t="str">
        <f t="shared" si="825"/>
        <v>BURRIS</v>
      </c>
      <c r="D2256">
        <f>10</f>
        <v>10</v>
      </c>
      <c r="E2256" t="str">
        <f>"02 - A - 102 - Adam Marcus  Drucker"</f>
        <v>02 - A - 102 - Adam Marcus  Drucker</v>
      </c>
      <c r="F2256" t="str">
        <f>"HOPE-PE V"</f>
        <v>HOPE-PE V</v>
      </c>
      <c r="G2256" t="str">
        <f>"04-254"</f>
        <v>04-254</v>
      </c>
      <c r="H2256" t="str">
        <f>"A"</f>
        <v>A</v>
      </c>
    </row>
    <row r="2257" spans="1:8" x14ac:dyDescent="0.2">
      <c r="A2257" t="str">
        <f t="shared" si="826"/>
        <v>0616122429</v>
      </c>
      <c r="B2257" t="str">
        <f t="shared" si="827"/>
        <v>MIHANNA</v>
      </c>
      <c r="C2257" t="str">
        <f t="shared" si="825"/>
        <v>BURRIS</v>
      </c>
      <c r="D2257">
        <f>10</f>
        <v>10</v>
      </c>
      <c r="E2257" t="str">
        <f>"07 - B - 101 - Alejandro  Navarro"</f>
        <v>07 - B - 101 - Alejandro  Navarro</v>
      </c>
      <c r="F2257" t="str">
        <f>"EURHY 1"</f>
        <v>EURHY 1</v>
      </c>
      <c r="G2257" t="str">
        <f>"05-504"</f>
        <v>05-504</v>
      </c>
      <c r="H2257" t="str">
        <f>"B"</f>
        <v>B</v>
      </c>
    </row>
    <row r="2258" spans="1:8" x14ac:dyDescent="0.2">
      <c r="A2258" t="str">
        <f t="shared" si="826"/>
        <v>0616122429</v>
      </c>
      <c r="B2258" t="str">
        <f t="shared" si="827"/>
        <v>MIHANNA</v>
      </c>
      <c r="C2258" t="str">
        <f t="shared" si="825"/>
        <v>BURRIS</v>
      </c>
      <c r="D2258">
        <f>10</f>
        <v>10</v>
      </c>
      <c r="E2258" t="str">
        <f>"05 - B - 103 - Byron G Montenegro"</f>
        <v>05 - B - 103 - Byron G Montenegro</v>
      </c>
      <c r="F2258" t="str">
        <f>"AICE MARINE SCI 1 AS"</f>
        <v>AICE MARINE SCI 1 AS</v>
      </c>
      <c r="G2258" t="str">
        <f>"21-2144"</f>
        <v>21-2144</v>
      </c>
      <c r="H2258" t="str">
        <f>"B"</f>
        <v>B</v>
      </c>
    </row>
    <row r="2259" spans="1:8" x14ac:dyDescent="0.2">
      <c r="A2259" t="str">
        <f t="shared" si="826"/>
        <v>0616122429</v>
      </c>
      <c r="B2259" t="str">
        <f t="shared" si="827"/>
        <v>MIHANNA</v>
      </c>
      <c r="C2259" t="str">
        <f t="shared" si="825"/>
        <v>BURRIS</v>
      </c>
      <c r="D2259">
        <f>10</f>
        <v>10</v>
      </c>
      <c r="E2259" t="str">
        <f>"01 - A - 002 - Krystal Marie  Beruty"</f>
        <v>01 - A - 002 - Krystal Marie  Beruty</v>
      </c>
      <c r="F2259" t="str">
        <f>"AICE GLBL PERSP 1 AS"</f>
        <v>AICE GLBL PERSP 1 AS</v>
      </c>
      <c r="G2259" t="str">
        <f>"17-1721"</f>
        <v>17-1721</v>
      </c>
      <c r="H2259" t="str">
        <f>"A"</f>
        <v>A</v>
      </c>
    </row>
    <row r="2260" spans="1:8" x14ac:dyDescent="0.2">
      <c r="A2260" t="str">
        <f t="shared" si="826"/>
        <v>0616122429</v>
      </c>
      <c r="B2260" t="str">
        <f t="shared" si="827"/>
        <v>MIHANNA</v>
      </c>
      <c r="C2260" t="str">
        <f t="shared" si="825"/>
        <v>BURRIS</v>
      </c>
      <c r="D2260">
        <f>10</f>
        <v>10</v>
      </c>
      <c r="E2260" t="str">
        <f>"08 - B - 102 - Jacquelyn M Neeson"</f>
        <v>08 - B - 102 - Jacquelyn M Neeson</v>
      </c>
      <c r="F2260" t="str">
        <f>"AICE ENG GEN PAPER 1"</f>
        <v>AICE ENG GEN PAPER 1</v>
      </c>
      <c r="G2260" t="str">
        <f>"17-1715"</f>
        <v>17-1715</v>
      </c>
      <c r="H2260" t="str">
        <f>"B"</f>
        <v>B</v>
      </c>
    </row>
    <row r="2261" spans="1:8" x14ac:dyDescent="0.2">
      <c r="A2261" t="str">
        <f t="shared" ref="A2261:A2269" si="828">"0612079636"</f>
        <v>0612079636</v>
      </c>
      <c r="B2261" t="str">
        <f t="shared" ref="B2261:B2269" si="829">"DESTINY"</f>
        <v>DESTINY</v>
      </c>
      <c r="C2261" t="str">
        <f t="shared" ref="C2261:C2269" si="830">"BURROWS"</f>
        <v>BURROWS</v>
      </c>
      <c r="D2261" t="str">
        <f t="shared" ref="D2261:D2269" si="831">"09"</f>
        <v>09</v>
      </c>
      <c r="E2261" t="str">
        <f>"04 - A - 103 - Cerine S Stewart"</f>
        <v>04 - A - 103 - Cerine S Stewart</v>
      </c>
      <c r="F2261" t="str">
        <f>"ENG 1"</f>
        <v>ENG 1</v>
      </c>
      <c r="G2261" t="str">
        <f>"17-1720"</f>
        <v>17-1720</v>
      </c>
      <c r="H2261" t="str">
        <f>"A"</f>
        <v>A</v>
      </c>
    </row>
    <row r="2262" spans="1:8" x14ac:dyDescent="0.2">
      <c r="A2262" t="str">
        <f t="shared" si="828"/>
        <v>0612079636</v>
      </c>
      <c r="B2262" t="str">
        <f t="shared" si="829"/>
        <v>DESTINY</v>
      </c>
      <c r="C2262" t="str">
        <f t="shared" si="830"/>
        <v>BURROWS</v>
      </c>
      <c r="D2262" t="str">
        <f t="shared" si="831"/>
        <v>09</v>
      </c>
      <c r="E2262" t="str">
        <f>"06 - B - 105 - Dayna M Foster"</f>
        <v>06 - B - 105 - Dayna M Foster</v>
      </c>
      <c r="F2262" t="str">
        <f>"ALGEBRA 1"</f>
        <v>ALGEBRA 1</v>
      </c>
      <c r="G2262" t="str">
        <f>"21-2109"</f>
        <v>21-2109</v>
      </c>
      <c r="H2262" t="str">
        <f>"B"</f>
        <v>B</v>
      </c>
    </row>
    <row r="2263" spans="1:8" x14ac:dyDescent="0.2">
      <c r="A2263" t="str">
        <f t="shared" si="828"/>
        <v>0612079636</v>
      </c>
      <c r="B2263" t="str">
        <f t="shared" si="829"/>
        <v>DESTINY</v>
      </c>
      <c r="C2263" t="str">
        <f t="shared" si="830"/>
        <v>BURROWS</v>
      </c>
      <c r="D2263" t="str">
        <f t="shared" si="831"/>
        <v>09</v>
      </c>
      <c r="E2263" t="str">
        <f>"03 - A - 101 - Dayna M Foster"</f>
        <v>03 - A - 101 - Dayna M Foster</v>
      </c>
      <c r="F2263" t="str">
        <f>"FDN SKLS MATH 9-12"</f>
        <v>FDN SKLS MATH 9-12</v>
      </c>
      <c r="G2263" t="str">
        <f>"21-2109"</f>
        <v>21-2109</v>
      </c>
      <c r="H2263" t="str">
        <f>"A"</f>
        <v>A</v>
      </c>
    </row>
    <row r="2264" spans="1:8" x14ac:dyDescent="0.2">
      <c r="A2264" t="str">
        <f t="shared" si="828"/>
        <v>0612079636</v>
      </c>
      <c r="B2264" t="str">
        <f t="shared" si="829"/>
        <v>DESTINY</v>
      </c>
      <c r="C2264" t="str">
        <f t="shared" si="830"/>
        <v>BURROWS</v>
      </c>
      <c r="D2264" t="str">
        <f t="shared" si="831"/>
        <v>09</v>
      </c>
      <c r="E2264" t="str">
        <f>"02 - A - 101 - Milca  Exantus"</f>
        <v>02 - A - 101 - Milca  Exantus</v>
      </c>
      <c r="F2264" t="str">
        <f>"NC STUDY HALL 1"</f>
        <v>NC STUDY HALL 1</v>
      </c>
      <c r="G2264" t="str">
        <f>"21-2145"</f>
        <v>21-2145</v>
      </c>
      <c r="H2264" t="str">
        <f>"A"</f>
        <v>A</v>
      </c>
    </row>
    <row r="2265" spans="1:8" x14ac:dyDescent="0.2">
      <c r="A2265" t="str">
        <f t="shared" si="828"/>
        <v>0612079636</v>
      </c>
      <c r="B2265" t="str">
        <f t="shared" si="829"/>
        <v>DESTINY</v>
      </c>
      <c r="C2265" t="str">
        <f t="shared" si="830"/>
        <v>BURROWS</v>
      </c>
      <c r="D2265" t="str">
        <f t="shared" si="831"/>
        <v>09</v>
      </c>
      <c r="E2265" t="str">
        <f>"02 - A - 102 - Eric  Lopapa"</f>
        <v>02 - A - 102 - Eric  Lopapa</v>
      </c>
      <c r="F2265" t="str">
        <f>"LANG THERAPY"</f>
        <v>LANG THERAPY</v>
      </c>
      <c r="G2265" t="str">
        <f>"21-2110"</f>
        <v>21-2110</v>
      </c>
      <c r="H2265" t="str">
        <f>"A"</f>
        <v>A</v>
      </c>
    </row>
    <row r="2266" spans="1:8" x14ac:dyDescent="0.2">
      <c r="A2266" t="str">
        <f t="shared" si="828"/>
        <v>0612079636</v>
      </c>
      <c r="B2266" t="str">
        <f t="shared" si="829"/>
        <v>DESTINY</v>
      </c>
      <c r="C2266" t="str">
        <f t="shared" si="830"/>
        <v>BURROWS</v>
      </c>
      <c r="D2266" t="str">
        <f t="shared" si="831"/>
        <v>09</v>
      </c>
      <c r="E2266" t="str">
        <f>"07 - B - 107 - Adam Marcus  Drucker"</f>
        <v>07 - B - 107 - Adam Marcus  Drucker</v>
      </c>
      <c r="F2266" t="str">
        <f>"HOPE-PE V"</f>
        <v>HOPE-PE V</v>
      </c>
      <c r="G2266" t="str">
        <f>"04-254"</f>
        <v>04-254</v>
      </c>
      <c r="H2266" t="str">
        <f>"B"</f>
        <v>B</v>
      </c>
    </row>
    <row r="2267" spans="1:8" x14ac:dyDescent="0.2">
      <c r="A2267" t="str">
        <f t="shared" si="828"/>
        <v>0612079636</v>
      </c>
      <c r="B2267" t="str">
        <f t="shared" si="829"/>
        <v>DESTINY</v>
      </c>
      <c r="C2267" t="str">
        <f t="shared" si="830"/>
        <v>BURROWS</v>
      </c>
      <c r="D2267" t="str">
        <f t="shared" si="831"/>
        <v>09</v>
      </c>
      <c r="E2267" t="str">
        <f>"05 - B - 101 - Linda  Celestin"</f>
        <v>05 - B - 101 - Linda  Celestin</v>
      </c>
      <c r="F2267" t="str">
        <f>"LRNG STRATEGIES 9-12"</f>
        <v>LRNG STRATEGIES 9-12</v>
      </c>
      <c r="G2267" t="str">
        <f>"21-2160"</f>
        <v>21-2160</v>
      </c>
      <c r="H2267" t="str">
        <f>"B"</f>
        <v>B</v>
      </c>
    </row>
    <row r="2268" spans="1:8" x14ac:dyDescent="0.2">
      <c r="A2268" t="str">
        <f t="shared" si="828"/>
        <v>0612079636</v>
      </c>
      <c r="B2268" t="str">
        <f t="shared" si="829"/>
        <v>DESTINY</v>
      </c>
      <c r="C2268" t="str">
        <f t="shared" si="830"/>
        <v>BURROWS</v>
      </c>
      <c r="D2268" t="str">
        <f t="shared" si="831"/>
        <v>09</v>
      </c>
      <c r="E2268" t="str">
        <f>"01 - A - 103 - Amy Beth  Broyles"</f>
        <v>01 - A - 103 - Amy Beth  Broyles</v>
      </c>
      <c r="F2268" t="str">
        <f>"ENV SCI"</f>
        <v>ENV SCI</v>
      </c>
      <c r="G2268" t="str">
        <f>"08-802"</f>
        <v>08-802</v>
      </c>
      <c r="H2268" t="str">
        <f>"A"</f>
        <v>A</v>
      </c>
    </row>
    <row r="2269" spans="1:8" x14ac:dyDescent="0.2">
      <c r="A2269" t="str">
        <f t="shared" si="828"/>
        <v>0612079636</v>
      </c>
      <c r="B2269" t="str">
        <f t="shared" si="829"/>
        <v>DESTINY</v>
      </c>
      <c r="C2269" t="str">
        <f t="shared" si="830"/>
        <v>BURROWS</v>
      </c>
      <c r="D2269" t="str">
        <f t="shared" si="831"/>
        <v>09</v>
      </c>
      <c r="E2269" t="str">
        <f>"08 - B - 101 - Elizabeth Ellen  Moran"</f>
        <v>08 - B - 101 - Elizabeth Ellen  Moran</v>
      </c>
      <c r="F2269" t="str">
        <f>"WORLD HISTORY"</f>
        <v>WORLD HISTORY</v>
      </c>
      <c r="G2269" t="str">
        <f>"17-1752"</f>
        <v>17-1752</v>
      </c>
      <c r="H2269" t="str">
        <f>"B"</f>
        <v>B</v>
      </c>
    </row>
    <row r="2270" spans="1:8" x14ac:dyDescent="0.2">
      <c r="A2270" t="str">
        <f t="shared" ref="A2270:A2277" si="832">"0613092559"</f>
        <v>0613092559</v>
      </c>
      <c r="B2270" t="str">
        <f t="shared" ref="B2270:B2277" si="833">"SAMANTHA"</f>
        <v>SAMANTHA</v>
      </c>
      <c r="C2270" t="str">
        <f t="shared" ref="C2270:C2277" si="834">"BURTON"</f>
        <v>BURTON</v>
      </c>
      <c r="D2270">
        <f>12</f>
        <v>12</v>
      </c>
      <c r="E2270" t="str">
        <f>"04 - A - 201 - Brian M Fitzgerald"</f>
        <v>04 - A - 201 - Brian M Fitzgerald</v>
      </c>
      <c r="F2270" t="str">
        <f>"AP 3-D ART &amp; DESIGN"</f>
        <v>AP 3-D ART &amp; DESIGN</v>
      </c>
      <c r="G2270" t="str">
        <f>"09-908"</f>
        <v>09-908</v>
      </c>
      <c r="H2270" t="str">
        <f>"A"</f>
        <v>A</v>
      </c>
    </row>
    <row r="2271" spans="1:8" x14ac:dyDescent="0.2">
      <c r="A2271" t="str">
        <f t="shared" si="832"/>
        <v>0613092559</v>
      </c>
      <c r="B2271" t="str">
        <f t="shared" si="833"/>
        <v>SAMANTHA</v>
      </c>
      <c r="C2271" t="str">
        <f t="shared" si="834"/>
        <v>BURTON</v>
      </c>
      <c r="D2271">
        <f>12</f>
        <v>12</v>
      </c>
      <c r="E2271" t="str">
        <f>"06 - B - 101 - Cliffon  Saurel"</f>
        <v>06 - B - 101 - Cliffon  Saurel</v>
      </c>
      <c r="F2271" t="str">
        <f>"NC STUDY HALL 1"</f>
        <v>NC STUDY HALL 1</v>
      </c>
      <c r="G2271" t="str">
        <f>"05-522"</f>
        <v>05-522</v>
      </c>
      <c r="H2271" t="str">
        <f>"B"</f>
        <v>B</v>
      </c>
    </row>
    <row r="2272" spans="1:8" x14ac:dyDescent="0.2">
      <c r="A2272" t="str">
        <f t="shared" si="832"/>
        <v>0613092559</v>
      </c>
      <c r="B2272" t="str">
        <f t="shared" si="833"/>
        <v>SAMANTHA</v>
      </c>
      <c r="C2272" t="str">
        <f t="shared" si="834"/>
        <v>BURTON</v>
      </c>
      <c r="D2272">
        <f>12</f>
        <v>12</v>
      </c>
      <c r="E2272" t="str">
        <f>"03 - A - 203 - Stefanie S Scher"</f>
        <v>03 - A - 203 - Stefanie S Scher</v>
      </c>
      <c r="F2272" t="str">
        <f>"AP PSYCH"</f>
        <v>AP PSYCH</v>
      </c>
      <c r="G2272" t="str">
        <f>"17-1735"</f>
        <v>17-1735</v>
      </c>
      <c r="H2272" t="str">
        <f>"A"</f>
        <v>A</v>
      </c>
    </row>
    <row r="2273" spans="1:8" x14ac:dyDescent="0.2">
      <c r="A2273" t="str">
        <f t="shared" si="832"/>
        <v>0613092559</v>
      </c>
      <c r="B2273" t="str">
        <f t="shared" si="833"/>
        <v>SAMANTHA</v>
      </c>
      <c r="C2273" t="str">
        <f t="shared" si="834"/>
        <v>BURTON</v>
      </c>
      <c r="D2273">
        <f>12</f>
        <v>12</v>
      </c>
      <c r="E2273" t="str">
        <f>"02 - A - 102 - Norayda D Suarez"</f>
        <v>02 - A - 102 - Norayda D Suarez</v>
      </c>
      <c r="F2273" t="str">
        <f>"RESEARCH 1 LH"</f>
        <v>RESEARCH 1 LH</v>
      </c>
      <c r="G2273">
        <f>2041</f>
        <v>2041</v>
      </c>
      <c r="H2273" t="str">
        <f>"A"</f>
        <v>A</v>
      </c>
    </row>
    <row r="2274" spans="1:8" x14ac:dyDescent="0.2">
      <c r="A2274" t="str">
        <f t="shared" si="832"/>
        <v>0613092559</v>
      </c>
      <c r="B2274" t="str">
        <f t="shared" si="833"/>
        <v>SAMANTHA</v>
      </c>
      <c r="C2274" t="str">
        <f t="shared" si="834"/>
        <v>BURTON</v>
      </c>
      <c r="D2274">
        <f>12</f>
        <v>12</v>
      </c>
      <c r="E2274" t="str">
        <f>"07 - B - 102 - Courtney E Hambright"</f>
        <v>07 - B - 102 - Courtney E Hambright</v>
      </c>
      <c r="F2274" t="str">
        <f>"AP ENG LIT COMPO"</f>
        <v>AP ENG LIT COMPO</v>
      </c>
      <c r="G2274" t="str">
        <f>"17-1711"</f>
        <v>17-1711</v>
      </c>
      <c r="H2274" t="str">
        <f>"B"</f>
        <v>B</v>
      </c>
    </row>
    <row r="2275" spans="1:8" x14ac:dyDescent="0.2">
      <c r="A2275" t="str">
        <f t="shared" si="832"/>
        <v>0613092559</v>
      </c>
      <c r="B2275" t="str">
        <f t="shared" si="833"/>
        <v>SAMANTHA</v>
      </c>
      <c r="C2275" t="str">
        <f t="shared" si="834"/>
        <v>BURTON</v>
      </c>
      <c r="D2275">
        <f>12</f>
        <v>12</v>
      </c>
      <c r="E2275" t="str">
        <f>"05 - B - 101 - Jordana K Hass"</f>
        <v>05 - B - 101 - Jordana K Hass</v>
      </c>
      <c r="F2275" t="str">
        <f>"AP COMP SCI PRIN"</f>
        <v>AP COMP SCI PRIN</v>
      </c>
      <c r="G2275" t="str">
        <f>"08-807"</f>
        <v>08-807</v>
      </c>
      <c r="H2275" t="str">
        <f>"B"</f>
        <v>B</v>
      </c>
    </row>
    <row r="2276" spans="1:8" x14ac:dyDescent="0.2">
      <c r="A2276" t="str">
        <f t="shared" si="832"/>
        <v>0613092559</v>
      </c>
      <c r="B2276" t="str">
        <f t="shared" si="833"/>
        <v>SAMANTHA</v>
      </c>
      <c r="C2276" t="str">
        <f t="shared" si="834"/>
        <v>BURTON</v>
      </c>
      <c r="D2276">
        <f>12</f>
        <v>12</v>
      </c>
      <c r="E2276" t="str">
        <f>"01 - A - 201 - Pamela M Corzo"</f>
        <v>01 - A - 201 - Pamela M Corzo</v>
      </c>
      <c r="F2276" t="str">
        <f>"AP CALCULUS BC"</f>
        <v>AP CALCULUS BC</v>
      </c>
      <c r="G2276" t="str">
        <f>"21-2133"</f>
        <v>21-2133</v>
      </c>
      <c r="H2276" t="str">
        <f>"A"</f>
        <v>A</v>
      </c>
    </row>
    <row r="2277" spans="1:8" x14ac:dyDescent="0.2">
      <c r="A2277" t="str">
        <f t="shared" si="832"/>
        <v>0613092559</v>
      </c>
      <c r="B2277" t="str">
        <f t="shared" si="833"/>
        <v>SAMANTHA</v>
      </c>
      <c r="C2277" t="str">
        <f t="shared" si="834"/>
        <v>BURTON</v>
      </c>
      <c r="D2277">
        <f>12</f>
        <v>12</v>
      </c>
      <c r="E2277" t="str">
        <f>"08 - S1 - B - 102 - Stephen T Ripp"</f>
        <v>08 - S1 - B - 102 - Stephen T Ripp</v>
      </c>
      <c r="F2277" t="str">
        <f>"AP US GOVT/POL"</f>
        <v>AP US GOVT/POL</v>
      </c>
      <c r="G2277" t="str">
        <f>"17-1744"</f>
        <v>17-1744</v>
      </c>
      <c r="H2277" t="str">
        <f>"B"</f>
        <v>B</v>
      </c>
    </row>
    <row r="2278" spans="1:8" x14ac:dyDescent="0.2">
      <c r="A2278" t="str">
        <f t="shared" ref="A2278:A2285" si="835">"0613098031"</f>
        <v>0613098031</v>
      </c>
      <c r="B2278" t="str">
        <f t="shared" ref="B2278:B2285" si="836">"CASEY"</f>
        <v>CASEY</v>
      </c>
      <c r="C2278" t="str">
        <f t="shared" ref="C2278:C2309" si="837">"BUSH"</f>
        <v>BUSH</v>
      </c>
      <c r="D2278">
        <f>12</f>
        <v>12</v>
      </c>
      <c r="E2278" t="str">
        <f>"04 - A - 104 - Norayda D Suarez"</f>
        <v>04 - A - 104 - Norayda D Suarez</v>
      </c>
      <c r="F2278" t="str">
        <f>"RESEARCH 1 LH"</f>
        <v>RESEARCH 1 LH</v>
      </c>
      <c r="G2278">
        <f>2041</f>
        <v>2041</v>
      </c>
      <c r="H2278" t="str">
        <f>"A"</f>
        <v>A</v>
      </c>
    </row>
    <row r="2279" spans="1:8" x14ac:dyDescent="0.2">
      <c r="A2279" t="str">
        <f t="shared" si="835"/>
        <v>0613098031</v>
      </c>
      <c r="B2279" t="str">
        <f t="shared" si="836"/>
        <v>CASEY</v>
      </c>
      <c r="C2279" t="str">
        <f t="shared" si="837"/>
        <v>BUSH</v>
      </c>
      <c r="D2279">
        <f>12</f>
        <v>12</v>
      </c>
      <c r="E2279" t="str">
        <f>"06 - B - 110 - Barbara L Segal"</f>
        <v>06 - B - 110 - Barbara L Segal</v>
      </c>
      <c r="F2279" t="str">
        <f>"NC STUDY HALL 1"</f>
        <v>NC STUDY HALL 1</v>
      </c>
      <c r="G2279" t="str">
        <f>"17-1742"</f>
        <v>17-1742</v>
      </c>
      <c r="H2279" t="str">
        <f>"B"</f>
        <v>B</v>
      </c>
    </row>
    <row r="2280" spans="1:8" x14ac:dyDescent="0.2">
      <c r="A2280" t="str">
        <f t="shared" si="835"/>
        <v>0613098031</v>
      </c>
      <c r="B2280" t="str">
        <f t="shared" si="836"/>
        <v>CASEY</v>
      </c>
      <c r="C2280" t="str">
        <f t="shared" si="837"/>
        <v>BUSH</v>
      </c>
      <c r="D2280">
        <f>12</f>
        <v>12</v>
      </c>
      <c r="E2280" t="str">
        <f>"03 - A - 103 - Adam Marcus  Drucker"</f>
        <v>03 - A - 103 - Adam Marcus  Drucker</v>
      </c>
      <c r="F2280" t="str">
        <f>"HOPE-PE V"</f>
        <v>HOPE-PE V</v>
      </c>
      <c r="G2280" t="str">
        <f>"04-254"</f>
        <v>04-254</v>
      </c>
      <c r="H2280" t="str">
        <f>"A"</f>
        <v>A</v>
      </c>
    </row>
    <row r="2281" spans="1:8" x14ac:dyDescent="0.2">
      <c r="A2281" t="str">
        <f t="shared" si="835"/>
        <v>0613098031</v>
      </c>
      <c r="B2281" t="str">
        <f t="shared" si="836"/>
        <v>CASEY</v>
      </c>
      <c r="C2281" t="str">
        <f t="shared" si="837"/>
        <v>BUSH</v>
      </c>
      <c r="D2281">
        <f>12</f>
        <v>12</v>
      </c>
      <c r="E2281" t="str">
        <f>"02 - S1 - A - 101 - Carol S Moore"</f>
        <v>02 - S1 - A - 101 - Carol S Moore</v>
      </c>
      <c r="F2281" t="str">
        <f>"PER CAR SCH DEV 1 LH"</f>
        <v>PER CAR SCH DEV 1 LH</v>
      </c>
      <c r="G2281" t="str">
        <f>"17-1733"</f>
        <v>17-1733</v>
      </c>
      <c r="H2281" t="str">
        <f>"A"</f>
        <v>A</v>
      </c>
    </row>
    <row r="2282" spans="1:8" x14ac:dyDescent="0.2">
      <c r="A2282" t="str">
        <f t="shared" si="835"/>
        <v>0613098031</v>
      </c>
      <c r="B2282" t="str">
        <f t="shared" si="836"/>
        <v>CASEY</v>
      </c>
      <c r="C2282" t="str">
        <f t="shared" si="837"/>
        <v>BUSH</v>
      </c>
      <c r="D2282">
        <f>12</f>
        <v>12</v>
      </c>
      <c r="E2282" t="str">
        <f>"07 - S1 - B - 107 - Kelly N Panza"</f>
        <v>07 - S1 - B - 107 - Kelly N Panza</v>
      </c>
      <c r="F2282" t="str">
        <f>"US GOVT HON"</f>
        <v>US GOVT HON</v>
      </c>
      <c r="G2282" t="str">
        <f>"17-1753"</f>
        <v>17-1753</v>
      </c>
      <c r="H2282" t="str">
        <f>"B"</f>
        <v>B</v>
      </c>
    </row>
    <row r="2283" spans="1:8" x14ac:dyDescent="0.2">
      <c r="A2283" t="str">
        <f t="shared" si="835"/>
        <v>0613098031</v>
      </c>
      <c r="B2283" t="str">
        <f t="shared" si="836"/>
        <v>CASEY</v>
      </c>
      <c r="C2283" t="str">
        <f t="shared" si="837"/>
        <v>BUSH</v>
      </c>
      <c r="D2283">
        <f>12</f>
        <v>12</v>
      </c>
      <c r="E2283" t="str">
        <f>"05 - B - 203 - Chrystina M Marchionne"</f>
        <v>05 - B - 203 - Chrystina M Marchionne</v>
      </c>
      <c r="F2283" t="str">
        <f>"AICE MEDIASTUDIES AS"</f>
        <v>AICE MEDIASTUDIES AS</v>
      </c>
      <c r="G2283" t="str">
        <f>"05-520"</f>
        <v>05-520</v>
      </c>
      <c r="H2283" t="str">
        <f>"B"</f>
        <v>B</v>
      </c>
    </row>
    <row r="2284" spans="1:8" x14ac:dyDescent="0.2">
      <c r="A2284" t="str">
        <f t="shared" si="835"/>
        <v>0613098031</v>
      </c>
      <c r="B2284" t="str">
        <f t="shared" si="836"/>
        <v>CASEY</v>
      </c>
      <c r="C2284" t="str">
        <f t="shared" si="837"/>
        <v>BUSH</v>
      </c>
      <c r="D2284">
        <f>12</f>
        <v>12</v>
      </c>
      <c r="E2284" t="str">
        <f>"01 - A - 201 - Jeanne M Bermudez"</f>
        <v>01 - A - 201 - Jeanne M Bermudez</v>
      </c>
      <c r="F2284" t="str">
        <f>"PHYSICS 1 HON"</f>
        <v>PHYSICS 1 HON</v>
      </c>
      <c r="G2284" t="str">
        <f>"21-2141"</f>
        <v>21-2141</v>
      </c>
      <c r="H2284" t="str">
        <f>"A"</f>
        <v>A</v>
      </c>
    </row>
    <row r="2285" spans="1:8" x14ac:dyDescent="0.2">
      <c r="A2285" t="str">
        <f t="shared" si="835"/>
        <v>0613098031</v>
      </c>
      <c r="B2285" t="str">
        <f t="shared" si="836"/>
        <v>CASEY</v>
      </c>
      <c r="C2285" t="str">
        <f t="shared" si="837"/>
        <v>BUSH</v>
      </c>
      <c r="D2285">
        <f>12</f>
        <v>12</v>
      </c>
      <c r="E2285" t="str">
        <f>"08 - B - 105 - Jeffrey S Gallagher"</f>
        <v>08 - B - 105 - Jeffrey S Gallagher</v>
      </c>
      <c r="F2285" t="str">
        <f>"ENG HON 4"</f>
        <v>ENG HON 4</v>
      </c>
      <c r="G2285" t="str">
        <f>"17-1724"</f>
        <v>17-1724</v>
      </c>
      <c r="H2285" t="str">
        <f>"B"</f>
        <v>B</v>
      </c>
    </row>
    <row r="2286" spans="1:8" x14ac:dyDescent="0.2">
      <c r="A2286" t="str">
        <f t="shared" ref="A2286:A2294" si="838">"0614005700"</f>
        <v>0614005700</v>
      </c>
      <c r="B2286" t="str">
        <f t="shared" ref="B2286:B2294" si="839">"ISAIAH"</f>
        <v>ISAIAH</v>
      </c>
      <c r="C2286" t="str">
        <f t="shared" si="837"/>
        <v>BUSH</v>
      </c>
      <c r="D2286" t="str">
        <f t="shared" ref="D2286:D2302" si="840">"09"</f>
        <v>09</v>
      </c>
      <c r="E2286" t="str">
        <f>"04 - A - 101 - Reggie L Nixon"</f>
        <v>04 - A - 101 - Reggie L Nixon</v>
      </c>
      <c r="F2286" t="str">
        <f>"ACCESS WORLD HISTORY"</f>
        <v>ACCESS WORLD HISTORY</v>
      </c>
      <c r="G2286" t="str">
        <f>"21-2119"</f>
        <v>21-2119</v>
      </c>
      <c r="H2286" t="str">
        <f>"A"</f>
        <v>A</v>
      </c>
    </row>
    <row r="2287" spans="1:8" x14ac:dyDescent="0.2">
      <c r="A2287" t="str">
        <f t="shared" si="838"/>
        <v>0614005700</v>
      </c>
      <c r="B2287" t="str">
        <f t="shared" si="839"/>
        <v>ISAIAH</v>
      </c>
      <c r="C2287" t="str">
        <f t="shared" si="837"/>
        <v>BUSH</v>
      </c>
      <c r="D2287" t="str">
        <f t="shared" si="840"/>
        <v>09</v>
      </c>
      <c r="E2287" t="str">
        <f>"06 - B - 106 - Adam Marcus  Drucker"</f>
        <v>06 - B - 106 - Adam Marcus  Drucker</v>
      </c>
      <c r="F2287" t="str">
        <f>"HOPE-PE V"</f>
        <v>HOPE-PE V</v>
      </c>
      <c r="G2287" t="str">
        <f>"04-254"</f>
        <v>04-254</v>
      </c>
      <c r="H2287" t="str">
        <f>"B"</f>
        <v>B</v>
      </c>
    </row>
    <row r="2288" spans="1:8" x14ac:dyDescent="0.2">
      <c r="A2288" t="str">
        <f t="shared" si="838"/>
        <v>0614005700</v>
      </c>
      <c r="B2288" t="str">
        <f t="shared" si="839"/>
        <v>ISAIAH</v>
      </c>
      <c r="C2288" t="str">
        <f t="shared" si="837"/>
        <v>BUSH</v>
      </c>
      <c r="D2288" t="str">
        <f t="shared" si="840"/>
        <v>09</v>
      </c>
      <c r="E2288" t="str">
        <f>"03 - A - 101 - Reggie L Nixon"</f>
        <v>03 - A - 101 - Reggie L Nixon</v>
      </c>
      <c r="F2288" t="str">
        <f>"ACCESS BIOLOGY 1"</f>
        <v>ACCESS BIOLOGY 1</v>
      </c>
      <c r="G2288" t="str">
        <f>"21-2119"</f>
        <v>21-2119</v>
      </c>
      <c r="H2288" t="str">
        <f>"A"</f>
        <v>A</v>
      </c>
    </row>
    <row r="2289" spans="1:8" x14ac:dyDescent="0.2">
      <c r="A2289" t="str">
        <f t="shared" si="838"/>
        <v>0614005700</v>
      </c>
      <c r="B2289" t="str">
        <f t="shared" si="839"/>
        <v>ISAIAH</v>
      </c>
      <c r="C2289" t="str">
        <f t="shared" si="837"/>
        <v>BUSH</v>
      </c>
      <c r="D2289" t="str">
        <f t="shared" si="840"/>
        <v>09</v>
      </c>
      <c r="E2289" t="str">
        <f>"03 - A - 103 - Eric  Lopapa"</f>
        <v>03 - A - 103 - Eric  Lopapa</v>
      </c>
      <c r="F2289" t="str">
        <f>"LANG THERAPY"</f>
        <v>LANG THERAPY</v>
      </c>
      <c r="G2289" t="str">
        <f>"21-2110"</f>
        <v>21-2110</v>
      </c>
      <c r="H2289" t="str">
        <f>"A"</f>
        <v>A</v>
      </c>
    </row>
    <row r="2290" spans="1:8" x14ac:dyDescent="0.2">
      <c r="A2290" t="str">
        <f t="shared" si="838"/>
        <v>0614005700</v>
      </c>
      <c r="B2290" t="str">
        <f t="shared" si="839"/>
        <v>ISAIAH</v>
      </c>
      <c r="C2290" t="str">
        <f t="shared" si="837"/>
        <v>BUSH</v>
      </c>
      <c r="D2290" t="str">
        <f t="shared" si="840"/>
        <v>09</v>
      </c>
      <c r="E2290" t="str">
        <f>"02 - A - 101 - Reggie L Nixon"</f>
        <v>02 - A - 101 - Reggie L Nixon</v>
      </c>
      <c r="F2290" t="str">
        <f>"NC STUDY HALL 4"</f>
        <v>NC STUDY HALL 4</v>
      </c>
      <c r="G2290" t="str">
        <f>"21-2119"</f>
        <v>21-2119</v>
      </c>
      <c r="H2290" t="str">
        <f>"A"</f>
        <v>A</v>
      </c>
    </row>
    <row r="2291" spans="1:8" x14ac:dyDescent="0.2">
      <c r="A2291" t="str">
        <f t="shared" si="838"/>
        <v>0614005700</v>
      </c>
      <c r="B2291" t="str">
        <f t="shared" si="839"/>
        <v>ISAIAH</v>
      </c>
      <c r="C2291" t="str">
        <f t="shared" si="837"/>
        <v>BUSH</v>
      </c>
      <c r="D2291" t="str">
        <f t="shared" si="840"/>
        <v>09</v>
      </c>
      <c r="E2291" t="str">
        <f>"07 - B - 101 - Reggie L Nixon"</f>
        <v>07 - B - 101 - Reggie L Nixon</v>
      </c>
      <c r="F2291" t="str">
        <f>"CAREER ED: 9-12"</f>
        <v>CAREER ED: 9-12</v>
      </c>
      <c r="G2291" t="str">
        <f>"21-2119"</f>
        <v>21-2119</v>
      </c>
      <c r="H2291" t="str">
        <f>"B"</f>
        <v>B</v>
      </c>
    </row>
    <row r="2292" spans="1:8" x14ac:dyDescent="0.2">
      <c r="A2292" t="str">
        <f t="shared" si="838"/>
        <v>0614005700</v>
      </c>
      <c r="B2292" t="str">
        <f t="shared" si="839"/>
        <v>ISAIAH</v>
      </c>
      <c r="C2292" t="str">
        <f t="shared" si="837"/>
        <v>BUSH</v>
      </c>
      <c r="D2292" t="str">
        <f t="shared" si="840"/>
        <v>09</v>
      </c>
      <c r="E2292" t="str">
        <f>"05 - B - 001 - Reggie L Nixon"</f>
        <v>05 - B - 001 - Reggie L Nixon</v>
      </c>
      <c r="F2292" t="str">
        <f>"U SKLS: 9-12"</f>
        <v>U SKLS: 9-12</v>
      </c>
      <c r="G2292" t="str">
        <f>"21-2119"</f>
        <v>21-2119</v>
      </c>
      <c r="H2292" t="str">
        <f>"B"</f>
        <v>B</v>
      </c>
    </row>
    <row r="2293" spans="1:8" x14ac:dyDescent="0.2">
      <c r="A2293" t="str">
        <f t="shared" si="838"/>
        <v>0614005700</v>
      </c>
      <c r="B2293" t="str">
        <f t="shared" si="839"/>
        <v>ISAIAH</v>
      </c>
      <c r="C2293" t="str">
        <f t="shared" si="837"/>
        <v>BUSH</v>
      </c>
      <c r="D2293" t="str">
        <f t="shared" si="840"/>
        <v>09</v>
      </c>
      <c r="E2293" t="str">
        <f>"01 - A - 101 - Reggie L Nixon"</f>
        <v>01 - A - 101 - Reggie L Nixon</v>
      </c>
      <c r="F2293" t="str">
        <f>"ACCESS ENGLISH 1"</f>
        <v>ACCESS ENGLISH 1</v>
      </c>
      <c r="G2293" t="str">
        <f>"21-2119"</f>
        <v>21-2119</v>
      </c>
      <c r="H2293" t="str">
        <f>"A"</f>
        <v>A</v>
      </c>
    </row>
    <row r="2294" spans="1:8" x14ac:dyDescent="0.2">
      <c r="A2294" t="str">
        <f t="shared" si="838"/>
        <v>0614005700</v>
      </c>
      <c r="B2294" t="str">
        <f t="shared" si="839"/>
        <v>ISAIAH</v>
      </c>
      <c r="C2294" t="str">
        <f t="shared" si="837"/>
        <v>BUSH</v>
      </c>
      <c r="D2294" t="str">
        <f t="shared" si="840"/>
        <v>09</v>
      </c>
      <c r="E2294" t="str">
        <f>"08 - B - 101 - Reggie L Nixon"</f>
        <v>08 - B - 101 - Reggie L Nixon</v>
      </c>
      <c r="F2294" t="str">
        <f>"ACCESS ALGEBRA 1A"</f>
        <v>ACCESS ALGEBRA 1A</v>
      </c>
      <c r="G2294" t="str">
        <f>"21-2119"</f>
        <v>21-2119</v>
      </c>
      <c r="H2294" t="str">
        <f>"B"</f>
        <v>B</v>
      </c>
    </row>
    <row r="2295" spans="1:8" x14ac:dyDescent="0.2">
      <c r="A2295" t="str">
        <f t="shared" ref="A2295:A2302" si="841">"0617045948"</f>
        <v>0617045948</v>
      </c>
      <c r="B2295" t="str">
        <f t="shared" ref="B2295:B2302" si="842">"KAYLEE"</f>
        <v>KAYLEE</v>
      </c>
      <c r="C2295" t="str">
        <f t="shared" si="837"/>
        <v>BUSH</v>
      </c>
      <c r="D2295" t="str">
        <f t="shared" si="840"/>
        <v>09</v>
      </c>
      <c r="E2295" t="str">
        <f>"04 - A - 005 - Emmily A Sarmiento"</f>
        <v>04 - A - 005 - Emmily A Sarmiento</v>
      </c>
      <c r="F2295" t="str">
        <f>"AICE GLBL PERSP 1 AS"</f>
        <v>AICE GLBL PERSP 1 AS</v>
      </c>
      <c r="G2295" t="str">
        <f>"17-1743"</f>
        <v>17-1743</v>
      </c>
      <c r="H2295" t="str">
        <f>"A"</f>
        <v>A</v>
      </c>
    </row>
    <row r="2296" spans="1:8" x14ac:dyDescent="0.2">
      <c r="A2296" t="str">
        <f t="shared" si="841"/>
        <v>0617045948</v>
      </c>
      <c r="B2296" t="str">
        <f t="shared" si="842"/>
        <v>KAYLEE</v>
      </c>
      <c r="C2296" t="str">
        <f t="shared" si="837"/>
        <v>BUSH</v>
      </c>
      <c r="D2296" t="str">
        <f t="shared" si="840"/>
        <v>09</v>
      </c>
      <c r="E2296" t="str">
        <f>"06 - B - 104 - Byron G Montenegro"</f>
        <v>06 - B - 104 - Byron G Montenegro</v>
      </c>
      <c r="F2296" t="str">
        <f>"AICE MARINE SCI 1 AS"</f>
        <v>AICE MARINE SCI 1 AS</v>
      </c>
      <c r="G2296" t="str">
        <f>"21-2144"</f>
        <v>21-2144</v>
      </c>
      <c r="H2296" t="str">
        <f>"B"</f>
        <v>B</v>
      </c>
    </row>
    <row r="2297" spans="1:8" x14ac:dyDescent="0.2">
      <c r="A2297" t="str">
        <f t="shared" si="841"/>
        <v>0617045948</v>
      </c>
      <c r="B2297" t="str">
        <f t="shared" si="842"/>
        <v>KAYLEE</v>
      </c>
      <c r="C2297" t="str">
        <f t="shared" si="837"/>
        <v>BUSH</v>
      </c>
      <c r="D2297" t="str">
        <f t="shared" si="840"/>
        <v>09</v>
      </c>
      <c r="E2297" t="str">
        <f>"03 - A - 101 - Samantha L Martinez"</f>
        <v>03 - A - 101 - Samantha L Martinez</v>
      </c>
      <c r="F2297" t="str">
        <f>"VOCAL ENS 1"</f>
        <v>VOCAL ENS 1</v>
      </c>
      <c r="G2297" t="str">
        <f>"05-505"</f>
        <v>05-505</v>
      </c>
      <c r="H2297" t="str">
        <f>"A"</f>
        <v>A</v>
      </c>
    </row>
    <row r="2298" spans="1:8" x14ac:dyDescent="0.2">
      <c r="A2298" t="str">
        <f t="shared" si="841"/>
        <v>0617045948</v>
      </c>
      <c r="B2298" t="str">
        <f t="shared" si="842"/>
        <v>KAYLEE</v>
      </c>
      <c r="C2298" t="str">
        <f t="shared" si="837"/>
        <v>BUSH</v>
      </c>
      <c r="D2298" t="str">
        <f t="shared" si="840"/>
        <v>09</v>
      </c>
      <c r="E2298" t="str">
        <f>"02 - A - 109 - Krystal Marie  Beruty"</f>
        <v>02 - A - 109 - Krystal Marie  Beruty</v>
      </c>
      <c r="F2298" t="str">
        <f>"NC STUDY HALL 1"</f>
        <v>NC STUDY HALL 1</v>
      </c>
      <c r="G2298" t="str">
        <f>"17-1721"</f>
        <v>17-1721</v>
      </c>
      <c r="H2298" t="str">
        <f>"A"</f>
        <v>A</v>
      </c>
    </row>
    <row r="2299" spans="1:8" x14ac:dyDescent="0.2">
      <c r="A2299" t="str">
        <f t="shared" si="841"/>
        <v>0617045948</v>
      </c>
      <c r="B2299" t="str">
        <f t="shared" si="842"/>
        <v>KAYLEE</v>
      </c>
      <c r="C2299" t="str">
        <f t="shared" si="837"/>
        <v>BUSH</v>
      </c>
      <c r="D2299" t="str">
        <f t="shared" si="840"/>
        <v>09</v>
      </c>
      <c r="E2299" t="str">
        <f>"07 - B - 001 - Cheryl Anne  Berman-Schechter"</f>
        <v>07 - B - 001 - Cheryl Anne  Berman-Schechter</v>
      </c>
      <c r="F2299" t="str">
        <f>"AICE ENG GEN PAPER 1"</f>
        <v>AICE ENG GEN PAPER 1</v>
      </c>
      <c r="G2299" t="str">
        <f>"17-1722"</f>
        <v>17-1722</v>
      </c>
      <c r="H2299" t="str">
        <f>"B"</f>
        <v>B</v>
      </c>
    </row>
    <row r="2300" spans="1:8" x14ac:dyDescent="0.2">
      <c r="A2300" t="str">
        <f t="shared" si="841"/>
        <v>0617045948</v>
      </c>
      <c r="B2300" t="str">
        <f t="shared" si="842"/>
        <v>KAYLEE</v>
      </c>
      <c r="C2300" t="str">
        <f t="shared" si="837"/>
        <v>BUSH</v>
      </c>
      <c r="D2300" t="str">
        <f t="shared" si="840"/>
        <v>09</v>
      </c>
      <c r="E2300" t="str">
        <f>"05 - B - 201 - Lisa J London"</f>
        <v>05 - B - 201 - Lisa J London</v>
      </c>
      <c r="F2300" t="str">
        <f>"COMPRE LAW HON"</f>
        <v>COMPRE LAW HON</v>
      </c>
      <c r="G2300" t="str">
        <f>"17-1714"</f>
        <v>17-1714</v>
      </c>
      <c r="H2300" t="str">
        <f>"B"</f>
        <v>B</v>
      </c>
    </row>
    <row r="2301" spans="1:8" x14ac:dyDescent="0.2">
      <c r="A2301" t="str">
        <f t="shared" si="841"/>
        <v>0617045948</v>
      </c>
      <c r="B2301" t="str">
        <f t="shared" si="842"/>
        <v>KAYLEE</v>
      </c>
      <c r="C2301" t="str">
        <f t="shared" si="837"/>
        <v>BUSH</v>
      </c>
      <c r="D2301" t="str">
        <f t="shared" si="840"/>
        <v>09</v>
      </c>
      <c r="E2301" t="str">
        <f>"01 - A - 101 - Vanessa J Liburd"</f>
        <v>01 - A - 101 - Vanessa J Liburd</v>
      </c>
      <c r="F2301" t="str">
        <f>"PRE-AICE FRENCH 1 IG"</f>
        <v>PRE-AICE FRENCH 1 IG</v>
      </c>
      <c r="G2301" t="str">
        <f>"05-519"</f>
        <v>05-519</v>
      </c>
      <c r="H2301" t="str">
        <f>"A"</f>
        <v>A</v>
      </c>
    </row>
    <row r="2302" spans="1:8" x14ac:dyDescent="0.2">
      <c r="A2302" t="str">
        <f t="shared" si="841"/>
        <v>0617045948</v>
      </c>
      <c r="B2302" t="str">
        <f t="shared" si="842"/>
        <v>KAYLEE</v>
      </c>
      <c r="C2302" t="str">
        <f t="shared" si="837"/>
        <v>BUSH</v>
      </c>
      <c r="D2302" t="str">
        <f t="shared" si="840"/>
        <v>09</v>
      </c>
      <c r="E2302" t="str">
        <f>"08 - B - 105 - Ferrie J Arostique"</f>
        <v>08 - B - 105 - Ferrie J Arostique</v>
      </c>
      <c r="F2302" t="str">
        <f>"PRE-AICE MATH 2 IG"</f>
        <v>PRE-AICE MATH 2 IG</v>
      </c>
      <c r="G2302" t="str">
        <f>"21-2139"</f>
        <v>21-2139</v>
      </c>
      <c r="H2302" t="str">
        <f>"B"</f>
        <v>B</v>
      </c>
    </row>
    <row r="2303" spans="1:8" x14ac:dyDescent="0.2">
      <c r="A2303" t="str">
        <f t="shared" ref="A2303:A2309" si="843">"0613019571"</f>
        <v>0613019571</v>
      </c>
      <c r="B2303" t="str">
        <f t="shared" ref="B2303:B2309" si="844">"ZARREIA"</f>
        <v>ZARREIA</v>
      </c>
      <c r="C2303" t="str">
        <f t="shared" si="837"/>
        <v>BUSH</v>
      </c>
      <c r="D2303">
        <f>12</f>
        <v>12</v>
      </c>
      <c r="E2303" t="str">
        <f>"19 - S1 - MTWHF - BCC - Instructor BC"</f>
        <v>19 - S1 - MTWHF - BCC - Instructor BC</v>
      </c>
      <c r="F2303" t="str">
        <f>"COMPOSITION I"</f>
        <v>COMPOSITION I</v>
      </c>
      <c r="G2303" t="str">
        <f>"60-DE"</f>
        <v>60-DE</v>
      </c>
      <c r="H2303" t="str">
        <f>"-"</f>
        <v>-</v>
      </c>
    </row>
    <row r="2304" spans="1:8" x14ac:dyDescent="0.2">
      <c r="A2304" t="str">
        <f t="shared" si="843"/>
        <v>0613019571</v>
      </c>
      <c r="B2304" t="str">
        <f t="shared" si="844"/>
        <v>ZARREIA</v>
      </c>
      <c r="C2304" t="str">
        <f t="shared" si="837"/>
        <v>BUSH</v>
      </c>
      <c r="D2304">
        <f>12</f>
        <v>12</v>
      </c>
      <c r="E2304" t="str">
        <f>"19 - S1 - MTWHF - B18 - Instructor BC"</f>
        <v>19 - S1 - MTWHF - B18 - Instructor BC</v>
      </c>
      <c r="F2304" t="str">
        <f>"DE HUMANITIES"</f>
        <v>DE HUMANITIES</v>
      </c>
      <c r="G2304" t="str">
        <f>"60-DE"</f>
        <v>60-DE</v>
      </c>
      <c r="H2304" t="str">
        <f>"-"</f>
        <v>-</v>
      </c>
    </row>
    <row r="2305" spans="1:8" x14ac:dyDescent="0.2">
      <c r="A2305" t="str">
        <f t="shared" si="843"/>
        <v>0613019571</v>
      </c>
      <c r="B2305" t="str">
        <f t="shared" si="844"/>
        <v>ZARREIA</v>
      </c>
      <c r="C2305" t="str">
        <f t="shared" si="837"/>
        <v>BUSH</v>
      </c>
      <c r="D2305">
        <f>12</f>
        <v>12</v>
      </c>
      <c r="E2305" t="str">
        <f>"04 - S1 - A - 105 - Robert O Burger"</f>
        <v>04 - S1 - A - 105 - Robert O Burger</v>
      </c>
      <c r="F2305" t="str">
        <f>"US GOVT"</f>
        <v>US GOVT</v>
      </c>
      <c r="G2305" t="str">
        <f>"17-1755"</f>
        <v>17-1755</v>
      </c>
      <c r="H2305" t="str">
        <f>"A"</f>
        <v>A</v>
      </c>
    </row>
    <row r="2306" spans="1:8" x14ac:dyDescent="0.2">
      <c r="A2306" t="str">
        <f t="shared" si="843"/>
        <v>0613019571</v>
      </c>
      <c r="B2306" t="str">
        <f t="shared" si="844"/>
        <v>ZARREIA</v>
      </c>
      <c r="C2306" t="str">
        <f t="shared" si="837"/>
        <v>BUSH</v>
      </c>
      <c r="D2306">
        <f>12</f>
        <v>12</v>
      </c>
      <c r="E2306" t="str">
        <f>"03 - A - 208 - Marielle A Witting"</f>
        <v>03 - A - 208 - Marielle A Witting</v>
      </c>
      <c r="F2306" t="str">
        <f>"ANAT PHYSIO"</f>
        <v>ANAT PHYSIO</v>
      </c>
      <c r="G2306" t="str">
        <f>"08-805"</f>
        <v>08-805</v>
      </c>
      <c r="H2306" t="str">
        <f>"A"</f>
        <v>A</v>
      </c>
    </row>
    <row r="2307" spans="1:8" x14ac:dyDescent="0.2">
      <c r="A2307" t="str">
        <f t="shared" si="843"/>
        <v>0613019571</v>
      </c>
      <c r="B2307" t="str">
        <f t="shared" si="844"/>
        <v>ZARREIA</v>
      </c>
      <c r="C2307" t="str">
        <f t="shared" si="837"/>
        <v>BUSH</v>
      </c>
      <c r="D2307">
        <f>12</f>
        <v>12</v>
      </c>
      <c r="E2307" t="str">
        <f>"07 - B - 104 - Robyn L Trainer"</f>
        <v>07 - B - 104 - Robyn L Trainer</v>
      </c>
      <c r="F2307" t="str">
        <f>"ENG 4"</f>
        <v>ENG 4</v>
      </c>
      <c r="G2307" t="str">
        <f>"17-1734"</f>
        <v>17-1734</v>
      </c>
      <c r="H2307" t="str">
        <f>"B"</f>
        <v>B</v>
      </c>
    </row>
    <row r="2308" spans="1:8" x14ac:dyDescent="0.2">
      <c r="A2308" t="str">
        <f t="shared" si="843"/>
        <v>0613019571</v>
      </c>
      <c r="B2308" t="str">
        <f t="shared" si="844"/>
        <v>ZARREIA</v>
      </c>
      <c r="C2308" t="str">
        <f t="shared" si="837"/>
        <v>BUSH</v>
      </c>
      <c r="D2308">
        <f>12</f>
        <v>12</v>
      </c>
      <c r="E2308" t="str">
        <f>"01 - A - 101 - Norayda D Suarez"</f>
        <v>01 - A - 101 - Norayda D Suarez</v>
      </c>
      <c r="F2308" t="str">
        <f>"RESEARCH 1 LH"</f>
        <v>RESEARCH 1 LH</v>
      </c>
      <c r="G2308">
        <f>2041</f>
        <v>2041</v>
      </c>
      <c r="H2308" t="str">
        <f>"A"</f>
        <v>A</v>
      </c>
    </row>
    <row r="2309" spans="1:8" x14ac:dyDescent="0.2">
      <c r="A2309" t="str">
        <f t="shared" si="843"/>
        <v>0613019571</v>
      </c>
      <c r="B2309" t="str">
        <f t="shared" si="844"/>
        <v>ZARREIA</v>
      </c>
      <c r="C2309" t="str">
        <f t="shared" si="837"/>
        <v>BUSH</v>
      </c>
      <c r="D2309">
        <f>12</f>
        <v>12</v>
      </c>
      <c r="E2309" t="str">
        <f>"08 - B - 105 - Semra  Bahadir"</f>
        <v>08 - B - 105 - Semra  Bahadir</v>
      </c>
      <c r="F2309" t="str">
        <f>"MATH COLL ALGEBRA"</f>
        <v>MATH COLL ALGEBRA</v>
      </c>
      <c r="G2309" t="str">
        <f>"21-2107"</f>
        <v>21-2107</v>
      </c>
      <c r="H2309" t="str">
        <f>"B"</f>
        <v>B</v>
      </c>
    </row>
    <row r="2310" spans="1:8" x14ac:dyDescent="0.2">
      <c r="A2310" t="str">
        <f t="shared" ref="A2310:A2317" si="845">"0618041442"</f>
        <v>0618041442</v>
      </c>
      <c r="B2310" t="str">
        <f t="shared" ref="B2310:B2317" si="846">"CAMDEN"</f>
        <v>CAMDEN</v>
      </c>
      <c r="C2310" t="str">
        <f t="shared" ref="C2310:C2317" si="847">"BUSTAMANTE"</f>
        <v>BUSTAMANTE</v>
      </c>
      <c r="D2310">
        <f>12</f>
        <v>12</v>
      </c>
      <c r="E2310" t="str">
        <f>"04 - A - 104 - Robert H Rindner"</f>
        <v>04 - A - 104 - Robert H Rindner</v>
      </c>
      <c r="F2310" t="str">
        <f>"MATH DATA&amp;FIN LIT H"</f>
        <v>MATH DATA&amp;FIN LIT H</v>
      </c>
      <c r="G2310" t="str">
        <f>"21-2160"</f>
        <v>21-2160</v>
      </c>
      <c r="H2310" t="str">
        <f>"A"</f>
        <v>A</v>
      </c>
    </row>
    <row r="2311" spans="1:8" x14ac:dyDescent="0.2">
      <c r="A2311" t="str">
        <f t="shared" si="845"/>
        <v>0618041442</v>
      </c>
      <c r="B2311" t="str">
        <f t="shared" si="846"/>
        <v>CAMDEN</v>
      </c>
      <c r="C2311" t="str">
        <f t="shared" si="847"/>
        <v>BUSTAMANTE</v>
      </c>
      <c r="D2311">
        <f>12</f>
        <v>12</v>
      </c>
      <c r="E2311" t="str">
        <f>"06 - B - 107 - Pamela M Corzo"</f>
        <v>06 - B - 107 - Pamela M Corzo</v>
      </c>
      <c r="F2311" t="str">
        <f>"NC STUDY HALL 1"</f>
        <v>NC STUDY HALL 1</v>
      </c>
      <c r="G2311" t="str">
        <f>"21-2133"</f>
        <v>21-2133</v>
      </c>
      <c r="H2311" t="str">
        <f>"B"</f>
        <v>B</v>
      </c>
    </row>
    <row r="2312" spans="1:8" x14ac:dyDescent="0.2">
      <c r="A2312" t="str">
        <f t="shared" si="845"/>
        <v>0618041442</v>
      </c>
      <c r="B2312" t="str">
        <f t="shared" si="846"/>
        <v>CAMDEN</v>
      </c>
      <c r="C2312" t="str">
        <f t="shared" si="847"/>
        <v>BUSTAMANTE</v>
      </c>
      <c r="D2312">
        <f>12</f>
        <v>12</v>
      </c>
      <c r="E2312" t="str">
        <f>"03 - A - 103 - Adam Marcus  Drucker"</f>
        <v>03 - A - 103 - Adam Marcus  Drucker</v>
      </c>
      <c r="F2312" t="str">
        <f>"HOPE-PE V"</f>
        <v>HOPE-PE V</v>
      </c>
      <c r="G2312" t="str">
        <f>"04-254"</f>
        <v>04-254</v>
      </c>
      <c r="H2312" t="str">
        <f>"A"</f>
        <v>A</v>
      </c>
    </row>
    <row r="2313" spans="1:8" x14ac:dyDescent="0.2">
      <c r="A2313" t="str">
        <f t="shared" si="845"/>
        <v>0618041442</v>
      </c>
      <c r="B2313" t="str">
        <f t="shared" si="846"/>
        <v>CAMDEN</v>
      </c>
      <c r="C2313" t="str">
        <f t="shared" si="847"/>
        <v>BUSTAMANTE</v>
      </c>
      <c r="D2313">
        <f>12</f>
        <v>12</v>
      </c>
      <c r="E2313" t="str">
        <f>"02 - A - 102 - Chrystina M Marchionne"</f>
        <v>02 - A - 102 - Chrystina M Marchionne</v>
      </c>
      <c r="F2313" t="str">
        <f>"AICE MEDIA STUDIES A"</f>
        <v>AICE MEDIA STUDIES A</v>
      </c>
      <c r="G2313" t="str">
        <f>"05-520"</f>
        <v>05-520</v>
      </c>
      <c r="H2313" t="str">
        <f>"A"</f>
        <v>A</v>
      </c>
    </row>
    <row r="2314" spans="1:8" x14ac:dyDescent="0.2">
      <c r="A2314" t="str">
        <f t="shared" si="845"/>
        <v>0618041442</v>
      </c>
      <c r="B2314" t="str">
        <f t="shared" si="846"/>
        <v>CAMDEN</v>
      </c>
      <c r="C2314" t="str">
        <f t="shared" si="847"/>
        <v>BUSTAMANTE</v>
      </c>
      <c r="D2314">
        <f>12</f>
        <v>12</v>
      </c>
      <c r="E2314" t="str">
        <f>"07 - B - 102 - Courtney E Hambright"</f>
        <v>07 - B - 102 - Courtney E Hambright</v>
      </c>
      <c r="F2314" t="str">
        <f>"AP ENG LIT COMPO"</f>
        <v>AP ENG LIT COMPO</v>
      </c>
      <c r="G2314" t="str">
        <f>"17-1711"</f>
        <v>17-1711</v>
      </c>
      <c r="H2314" t="str">
        <f>"B"</f>
        <v>B</v>
      </c>
    </row>
    <row r="2315" spans="1:8" x14ac:dyDescent="0.2">
      <c r="A2315" t="str">
        <f t="shared" si="845"/>
        <v>0618041442</v>
      </c>
      <c r="B2315" t="str">
        <f t="shared" si="846"/>
        <v>CAMDEN</v>
      </c>
      <c r="C2315" t="str">
        <f t="shared" si="847"/>
        <v>BUSTAMANTE</v>
      </c>
      <c r="D2315">
        <f>12</f>
        <v>12</v>
      </c>
      <c r="E2315" t="str">
        <f>"05 - B - 102 - Dorothy D Moore"</f>
        <v>05 - B - 102 - Dorothy D Moore</v>
      </c>
      <c r="F2315" t="str">
        <f>"FORC SCI 1 LH"</f>
        <v>FORC SCI 1 LH</v>
      </c>
      <c r="G2315" t="str">
        <f>"08-803"</f>
        <v>08-803</v>
      </c>
      <c r="H2315" t="str">
        <f>"B"</f>
        <v>B</v>
      </c>
    </row>
    <row r="2316" spans="1:8" x14ac:dyDescent="0.2">
      <c r="A2316" t="str">
        <f t="shared" si="845"/>
        <v>0618041442</v>
      </c>
      <c r="B2316" t="str">
        <f t="shared" si="846"/>
        <v>CAMDEN</v>
      </c>
      <c r="C2316" t="str">
        <f t="shared" si="847"/>
        <v>BUSTAMANTE</v>
      </c>
      <c r="D2316">
        <f>12</f>
        <v>12</v>
      </c>
      <c r="E2316" t="str">
        <f>"01 - S1 - A - 101 - Jordana K Hass"</f>
        <v>01 - S1 - A - 101 - Jordana K Hass</v>
      </c>
      <c r="F2316" t="str">
        <f>"PRIN OF AERO SCI"</f>
        <v>PRIN OF AERO SCI</v>
      </c>
      <c r="G2316" t="str">
        <f>"08-807"</f>
        <v>08-807</v>
      </c>
      <c r="H2316" t="str">
        <f>"A"</f>
        <v>A</v>
      </c>
    </row>
    <row r="2317" spans="1:8" x14ac:dyDescent="0.2">
      <c r="A2317" t="str">
        <f t="shared" si="845"/>
        <v>0618041442</v>
      </c>
      <c r="B2317" t="str">
        <f t="shared" si="846"/>
        <v>CAMDEN</v>
      </c>
      <c r="C2317" t="str">
        <f t="shared" si="847"/>
        <v>BUSTAMANTE</v>
      </c>
      <c r="D2317">
        <f>12</f>
        <v>12</v>
      </c>
      <c r="E2317" t="str">
        <f>"08 - S1 - B - 102 - Stephen T Ripp"</f>
        <v>08 - S1 - B - 102 - Stephen T Ripp</v>
      </c>
      <c r="F2317" t="str">
        <f>"AP US GOVT/POL"</f>
        <v>AP US GOVT/POL</v>
      </c>
      <c r="G2317" t="str">
        <f>"17-1744"</f>
        <v>17-1744</v>
      </c>
      <c r="H2317" t="str">
        <f>"B"</f>
        <v>B</v>
      </c>
    </row>
    <row r="2318" spans="1:8" x14ac:dyDescent="0.2">
      <c r="A2318" t="str">
        <f t="shared" ref="A2318:A2326" si="848">"0615010412"</f>
        <v>0615010412</v>
      </c>
      <c r="B2318" t="str">
        <f t="shared" ref="B2318:B2326" si="849">"JAMEIR"</f>
        <v>JAMEIR</v>
      </c>
      <c r="C2318" t="str">
        <f t="shared" ref="C2318:C2326" si="850">"BYNES"</f>
        <v>BYNES</v>
      </c>
      <c r="D2318" t="str">
        <f t="shared" ref="D2318:D2326" si="851">"09"</f>
        <v>09</v>
      </c>
      <c r="E2318" t="str">
        <f>"04 - A - 106 - Lissa C Frederique"</f>
        <v>04 - A - 106 - Lissa C Frederique</v>
      </c>
      <c r="F2318" t="str">
        <f>"WORLD HISTORY"</f>
        <v>WORLD HISTORY</v>
      </c>
      <c r="G2318" t="str">
        <f>"17-1754"</f>
        <v>17-1754</v>
      </c>
      <c r="H2318" t="str">
        <f>"A"</f>
        <v>A</v>
      </c>
    </row>
    <row r="2319" spans="1:8" x14ac:dyDescent="0.2">
      <c r="A2319" t="str">
        <f t="shared" si="848"/>
        <v>0615010412</v>
      </c>
      <c r="B2319" t="str">
        <f t="shared" si="849"/>
        <v>JAMEIR</v>
      </c>
      <c r="C2319" t="str">
        <f t="shared" si="850"/>
        <v>BYNES</v>
      </c>
      <c r="D2319" t="str">
        <f t="shared" si="851"/>
        <v>09</v>
      </c>
      <c r="E2319" t="str">
        <f>"06 - B - 104 - Eva T Rimmer"</f>
        <v>06 - B - 104 - Eva T Rimmer</v>
      </c>
      <c r="F2319" t="str">
        <f>"CRIMINAL JUST OPS 1"</f>
        <v>CRIMINAL JUST OPS 1</v>
      </c>
      <c r="G2319" t="str">
        <f>"05-523"</f>
        <v>05-523</v>
      </c>
      <c r="H2319" t="str">
        <f>"B"</f>
        <v>B</v>
      </c>
    </row>
    <row r="2320" spans="1:8" x14ac:dyDescent="0.2">
      <c r="A2320" t="str">
        <f t="shared" si="848"/>
        <v>0615010412</v>
      </c>
      <c r="B2320" t="str">
        <f t="shared" si="849"/>
        <v>JAMEIR</v>
      </c>
      <c r="C2320" t="str">
        <f t="shared" si="850"/>
        <v>BYNES</v>
      </c>
      <c r="D2320" t="str">
        <f t="shared" si="851"/>
        <v>09</v>
      </c>
      <c r="E2320" t="str">
        <f>"03 - A - 102 - Laselleda D Shaw"</f>
        <v>03 - A - 102 - Laselleda D Shaw</v>
      </c>
      <c r="F2320" t="str">
        <f>"INTENS READ 1"</f>
        <v>INTENS READ 1</v>
      </c>
      <c r="G2320" t="str">
        <f>"17-1723"</f>
        <v>17-1723</v>
      </c>
      <c r="H2320" t="str">
        <f>"A"</f>
        <v>A</v>
      </c>
    </row>
    <row r="2321" spans="1:8" x14ac:dyDescent="0.2">
      <c r="A2321" t="str">
        <f t="shared" si="848"/>
        <v>0615010412</v>
      </c>
      <c r="B2321" t="str">
        <f t="shared" si="849"/>
        <v>JAMEIR</v>
      </c>
      <c r="C2321" t="str">
        <f t="shared" si="850"/>
        <v>BYNES</v>
      </c>
      <c r="D2321" t="str">
        <f t="shared" si="851"/>
        <v>09</v>
      </c>
      <c r="E2321" t="str">
        <f>"02 - A - 104 - Jazmin S Fletcher"</f>
        <v>02 - A - 104 - Jazmin S Fletcher</v>
      </c>
      <c r="F2321" t="str">
        <f>"NC STUDY HALL 1"</f>
        <v>NC STUDY HALL 1</v>
      </c>
      <c r="G2321" t="str">
        <f>"09-909"</f>
        <v>09-909</v>
      </c>
      <c r="H2321" t="str">
        <f>"A"</f>
        <v>A</v>
      </c>
    </row>
    <row r="2322" spans="1:8" x14ac:dyDescent="0.2">
      <c r="A2322" t="str">
        <f t="shared" si="848"/>
        <v>0615010412</v>
      </c>
      <c r="B2322" t="str">
        <f t="shared" si="849"/>
        <v>JAMEIR</v>
      </c>
      <c r="C2322" t="str">
        <f t="shared" si="850"/>
        <v>BYNES</v>
      </c>
      <c r="D2322" t="str">
        <f t="shared" si="851"/>
        <v>09</v>
      </c>
      <c r="E2322" t="str">
        <f>"02 - A - 102 - Eric  Lopapa"</f>
        <v>02 - A - 102 - Eric  Lopapa</v>
      </c>
      <c r="F2322" t="str">
        <f>"LANG THERAPY"</f>
        <v>LANG THERAPY</v>
      </c>
      <c r="G2322" t="str">
        <f>"21-2110"</f>
        <v>21-2110</v>
      </c>
      <c r="H2322" t="str">
        <f>"A"</f>
        <v>A</v>
      </c>
    </row>
    <row r="2323" spans="1:8" x14ac:dyDescent="0.2">
      <c r="A2323" t="str">
        <f t="shared" si="848"/>
        <v>0615010412</v>
      </c>
      <c r="B2323" t="str">
        <f t="shared" si="849"/>
        <v>JAMEIR</v>
      </c>
      <c r="C2323" t="str">
        <f t="shared" si="850"/>
        <v>BYNES</v>
      </c>
      <c r="D2323" t="str">
        <f t="shared" si="851"/>
        <v>09</v>
      </c>
      <c r="E2323" t="str">
        <f>"07 - B - 106 - Dayna M Foster"</f>
        <v>07 - B - 106 - Dayna M Foster</v>
      </c>
      <c r="F2323" t="str">
        <f>"FDN SKLS MATH 9-12"</f>
        <v>FDN SKLS MATH 9-12</v>
      </c>
      <c r="G2323" t="str">
        <f>"21-2109"</f>
        <v>21-2109</v>
      </c>
      <c r="H2323" t="str">
        <f>"B"</f>
        <v>B</v>
      </c>
    </row>
    <row r="2324" spans="1:8" x14ac:dyDescent="0.2">
      <c r="A2324" t="str">
        <f t="shared" si="848"/>
        <v>0615010412</v>
      </c>
      <c r="B2324" t="str">
        <f t="shared" si="849"/>
        <v>JAMEIR</v>
      </c>
      <c r="C2324" t="str">
        <f t="shared" si="850"/>
        <v>BYNES</v>
      </c>
      <c r="D2324" t="str">
        <f t="shared" si="851"/>
        <v>09</v>
      </c>
      <c r="E2324" t="str">
        <f>"05 - B - 202 - Amy Beth  Broyles"</f>
        <v>05 - B - 202 - Amy Beth  Broyles</v>
      </c>
      <c r="F2324" t="str">
        <f>"ENV SCI"</f>
        <v>ENV SCI</v>
      </c>
      <c r="G2324" t="str">
        <f>"08-802"</f>
        <v>08-802</v>
      </c>
      <c r="H2324" t="str">
        <f>"B"</f>
        <v>B</v>
      </c>
    </row>
    <row r="2325" spans="1:8" x14ac:dyDescent="0.2">
      <c r="A2325" t="str">
        <f t="shared" si="848"/>
        <v>0615010412</v>
      </c>
      <c r="B2325" t="str">
        <f t="shared" si="849"/>
        <v>JAMEIR</v>
      </c>
      <c r="C2325" t="str">
        <f t="shared" si="850"/>
        <v>BYNES</v>
      </c>
      <c r="D2325" t="str">
        <f t="shared" si="851"/>
        <v>09</v>
      </c>
      <c r="E2325" t="str">
        <f>"01 - A - 108 - Dayna M Foster"</f>
        <v>01 - A - 108 - Dayna M Foster</v>
      </c>
      <c r="F2325" t="str">
        <f>"ALGEBRA 1"</f>
        <v>ALGEBRA 1</v>
      </c>
      <c r="G2325" t="str">
        <f>"21-2109"</f>
        <v>21-2109</v>
      </c>
      <c r="H2325" t="str">
        <f>"A"</f>
        <v>A</v>
      </c>
    </row>
    <row r="2326" spans="1:8" x14ac:dyDescent="0.2">
      <c r="A2326" t="str">
        <f t="shared" si="848"/>
        <v>0615010412</v>
      </c>
      <c r="B2326" t="str">
        <f t="shared" si="849"/>
        <v>JAMEIR</v>
      </c>
      <c r="C2326" t="str">
        <f t="shared" si="850"/>
        <v>BYNES</v>
      </c>
      <c r="D2326" t="str">
        <f t="shared" si="851"/>
        <v>09</v>
      </c>
      <c r="E2326" t="str">
        <f>"08 - B - 108 - Cerine S Stewart"</f>
        <v>08 - B - 108 - Cerine S Stewart</v>
      </c>
      <c r="F2326" t="str">
        <f>"ENG 1"</f>
        <v>ENG 1</v>
      </c>
      <c r="G2326" t="str">
        <f>"17-1720"</f>
        <v>17-1720</v>
      </c>
      <c r="H2326" t="str">
        <f>"B"</f>
        <v>B</v>
      </c>
    </row>
    <row r="2327" spans="1:8" x14ac:dyDescent="0.2">
      <c r="A2327" t="str">
        <f t="shared" ref="A2327:A2334" si="852">"0614006011"</f>
        <v>0614006011</v>
      </c>
      <c r="B2327" t="str">
        <f t="shared" ref="B2327:B2334" si="853">"KHLOE"</f>
        <v>KHLOE</v>
      </c>
      <c r="C2327" t="str">
        <f t="shared" ref="C2327:C2342" si="854">"BYRD"</f>
        <v>BYRD</v>
      </c>
      <c r="D2327">
        <f>11</f>
        <v>11</v>
      </c>
      <c r="E2327" t="str">
        <f>"04 - A - 103 - Lourivaldo  Da Silva"</f>
        <v>04 - A - 103 - Lourivaldo  Da Silva</v>
      </c>
      <c r="F2327" t="str">
        <f>"PRE-CALCULUS HON"</f>
        <v>PRE-CALCULUS HON</v>
      </c>
      <c r="G2327" t="str">
        <f>"20-2079"</f>
        <v>20-2079</v>
      </c>
      <c r="H2327" t="str">
        <f>"A"</f>
        <v>A</v>
      </c>
    </row>
    <row r="2328" spans="1:8" x14ac:dyDescent="0.2">
      <c r="A2328" t="str">
        <f t="shared" si="852"/>
        <v>0614006011</v>
      </c>
      <c r="B2328" t="str">
        <f t="shared" si="853"/>
        <v>KHLOE</v>
      </c>
      <c r="C2328" t="str">
        <f t="shared" si="854"/>
        <v>BYRD</v>
      </c>
      <c r="D2328">
        <f>11</f>
        <v>11</v>
      </c>
      <c r="E2328" t="str">
        <f>"06 - B - 104 - Eva T Rimmer"</f>
        <v>06 - B - 104 - Eva T Rimmer</v>
      </c>
      <c r="F2328" t="str">
        <f>"CRIMINAL JUST OPS 1"</f>
        <v>CRIMINAL JUST OPS 1</v>
      </c>
      <c r="G2328" t="str">
        <f>"05-523"</f>
        <v>05-523</v>
      </c>
      <c r="H2328" t="str">
        <f>"B"</f>
        <v>B</v>
      </c>
    </row>
    <row r="2329" spans="1:8" x14ac:dyDescent="0.2">
      <c r="A2329" t="str">
        <f t="shared" si="852"/>
        <v>0614006011</v>
      </c>
      <c r="B2329" t="str">
        <f t="shared" si="853"/>
        <v>KHLOE</v>
      </c>
      <c r="C2329" t="str">
        <f t="shared" si="854"/>
        <v>BYRD</v>
      </c>
      <c r="D2329">
        <f>11</f>
        <v>11</v>
      </c>
      <c r="E2329" t="str">
        <f>"03 - A - 201 - Joe  Kilpatrick Jr"</f>
        <v>03 - A - 201 - Joe  Kilpatrick Jr</v>
      </c>
      <c r="F2329" t="str">
        <f>"PRE-AICE SPAN 2 IG"</f>
        <v>PRE-AICE SPAN 2 IG</v>
      </c>
      <c r="G2329" t="str">
        <f>"09-912"</f>
        <v>09-912</v>
      </c>
      <c r="H2329" t="str">
        <f>"A"</f>
        <v>A</v>
      </c>
    </row>
    <row r="2330" spans="1:8" x14ac:dyDescent="0.2">
      <c r="A2330" t="str">
        <f t="shared" si="852"/>
        <v>0614006011</v>
      </c>
      <c r="B2330" t="str">
        <f t="shared" si="853"/>
        <v>KHLOE</v>
      </c>
      <c r="C2330" t="str">
        <f t="shared" si="854"/>
        <v>BYRD</v>
      </c>
      <c r="D2330">
        <f>11</f>
        <v>11</v>
      </c>
      <c r="E2330" t="str">
        <f>"02 - A - 104 - Dayna M Foster"</f>
        <v>02 - A - 104 - Dayna M Foster</v>
      </c>
      <c r="F2330" t="str">
        <f>"NC STUDY HALL 1"</f>
        <v>NC STUDY HALL 1</v>
      </c>
      <c r="G2330" t="str">
        <f>"21-2109"</f>
        <v>21-2109</v>
      </c>
      <c r="H2330" t="str">
        <f>"A"</f>
        <v>A</v>
      </c>
    </row>
    <row r="2331" spans="1:8" x14ac:dyDescent="0.2">
      <c r="A2331" t="str">
        <f t="shared" si="852"/>
        <v>0614006011</v>
      </c>
      <c r="B2331" t="str">
        <f t="shared" si="853"/>
        <v>KHLOE</v>
      </c>
      <c r="C2331" t="str">
        <f t="shared" si="854"/>
        <v>BYRD</v>
      </c>
      <c r="D2331">
        <f>11</f>
        <v>11</v>
      </c>
      <c r="E2331" t="str">
        <f>"07 - B - 204 - Scott A Dethloff"</f>
        <v>07 - B - 204 - Scott A Dethloff</v>
      </c>
      <c r="F2331" t="str">
        <f>"CHEMISTRY 1"</f>
        <v>CHEMISTRY 1</v>
      </c>
      <c r="G2331" t="str">
        <f>"08-812"</f>
        <v>08-812</v>
      </c>
      <c r="H2331" t="str">
        <f>"B"</f>
        <v>B</v>
      </c>
    </row>
    <row r="2332" spans="1:8" x14ac:dyDescent="0.2">
      <c r="A2332" t="str">
        <f t="shared" si="852"/>
        <v>0614006011</v>
      </c>
      <c r="B2332" t="str">
        <f t="shared" si="853"/>
        <v>KHLOE</v>
      </c>
      <c r="C2332" t="str">
        <f t="shared" si="854"/>
        <v>BYRD</v>
      </c>
      <c r="D2332">
        <f>11</f>
        <v>11</v>
      </c>
      <c r="E2332" t="str">
        <f>"05 - B - 103 - Heidi M Knopp"</f>
        <v>05 - B - 103 - Heidi M Knopp</v>
      </c>
      <c r="F2332" t="str">
        <f>"ENG HON 3"</f>
        <v>ENG HON 3</v>
      </c>
      <c r="G2332" t="str">
        <f>"17-1723"</f>
        <v>17-1723</v>
      </c>
      <c r="H2332" t="str">
        <f>"B"</f>
        <v>B</v>
      </c>
    </row>
    <row r="2333" spans="1:8" x14ac:dyDescent="0.2">
      <c r="A2333" t="str">
        <f t="shared" si="852"/>
        <v>0614006011</v>
      </c>
      <c r="B2333" t="str">
        <f t="shared" si="853"/>
        <v>KHLOE</v>
      </c>
      <c r="C2333" t="str">
        <f t="shared" si="854"/>
        <v>BYRD</v>
      </c>
      <c r="D2333">
        <f>11</f>
        <v>11</v>
      </c>
      <c r="E2333" t="str">
        <f>"01 - A - 101 - Kyle  Robbins"</f>
        <v>01 - A - 101 - Kyle  Robbins</v>
      </c>
      <c r="F2333" t="str">
        <f>"US HISTORY"</f>
        <v>US HISTORY</v>
      </c>
      <c r="G2333" t="str">
        <f>"17-1745"</f>
        <v>17-1745</v>
      </c>
      <c r="H2333" t="str">
        <f>"A"</f>
        <v>A</v>
      </c>
    </row>
    <row r="2334" spans="1:8" x14ac:dyDescent="0.2">
      <c r="A2334" t="str">
        <f t="shared" si="852"/>
        <v>0614006011</v>
      </c>
      <c r="B2334" t="str">
        <f t="shared" si="853"/>
        <v>KHLOE</v>
      </c>
      <c r="C2334" t="str">
        <f t="shared" si="854"/>
        <v>BYRD</v>
      </c>
      <c r="D2334">
        <f>11</f>
        <v>11</v>
      </c>
      <c r="E2334" t="str">
        <f>"08 - B - 101 - Staci M Newton"</f>
        <v>08 - B - 101 - Staci M Newton</v>
      </c>
      <c r="F2334" t="str">
        <f>"PEER/PARTNERS LRN LH"</f>
        <v>PEER/PARTNERS LRN LH</v>
      </c>
      <c r="G2334" t="str">
        <f>"21-2103"</f>
        <v>21-2103</v>
      </c>
      <c r="H2334" t="str">
        <f>"B"</f>
        <v>B</v>
      </c>
    </row>
    <row r="2335" spans="1:8" x14ac:dyDescent="0.2">
      <c r="A2335" t="str">
        <f t="shared" ref="A2335:A2342" si="855">"0616016098"</f>
        <v>0616016098</v>
      </c>
      <c r="B2335" t="str">
        <f t="shared" ref="B2335:B2342" si="856">"RAYNA"</f>
        <v>RAYNA</v>
      </c>
      <c r="C2335" t="str">
        <f t="shared" si="854"/>
        <v>BYRD</v>
      </c>
      <c r="D2335">
        <f>10</f>
        <v>10</v>
      </c>
      <c r="E2335" t="str">
        <f>"04 - S1 - A - 101 - Kyle  Robbins"</f>
        <v>04 - S1 - A - 101 - Kyle  Robbins</v>
      </c>
      <c r="F2335" t="str">
        <f>"PERS FIN &amp; MON MGT H"</f>
        <v>PERS FIN &amp; MON MGT H</v>
      </c>
      <c r="G2335" t="str">
        <f>"17-1745"</f>
        <v>17-1745</v>
      </c>
      <c r="H2335" t="str">
        <f>"A"</f>
        <v>A</v>
      </c>
    </row>
    <row r="2336" spans="1:8" x14ac:dyDescent="0.2">
      <c r="A2336" t="str">
        <f t="shared" si="855"/>
        <v>0616016098</v>
      </c>
      <c r="B2336" t="str">
        <f t="shared" si="856"/>
        <v>RAYNA</v>
      </c>
      <c r="C2336" t="str">
        <f t="shared" si="854"/>
        <v>BYRD</v>
      </c>
      <c r="D2336">
        <f>10</f>
        <v>10</v>
      </c>
      <c r="E2336" t="str">
        <f>"06 - B - 105 - Jeffrey S Gallagher"</f>
        <v>06 - B - 105 - Jeffrey S Gallagher</v>
      </c>
      <c r="F2336" t="str">
        <f>"NC STUDY HALL 1"</f>
        <v>NC STUDY HALL 1</v>
      </c>
      <c r="G2336" t="str">
        <f>"17-1724"</f>
        <v>17-1724</v>
      </c>
      <c r="H2336" t="str">
        <f>"B"</f>
        <v>B</v>
      </c>
    </row>
    <row r="2337" spans="1:8" x14ac:dyDescent="0.2">
      <c r="A2337" t="str">
        <f t="shared" si="855"/>
        <v>0616016098</v>
      </c>
      <c r="B2337" t="str">
        <f t="shared" si="856"/>
        <v>RAYNA</v>
      </c>
      <c r="C2337" t="str">
        <f t="shared" si="854"/>
        <v>BYRD</v>
      </c>
      <c r="D2337">
        <f>10</f>
        <v>10</v>
      </c>
      <c r="E2337" t="str">
        <f>"03 - A - 204 - Lytrell T Dixon"</f>
        <v>03 - A - 204 - Lytrell T Dixon</v>
      </c>
      <c r="F2337" t="str">
        <f>"BIOLOGY 1"</f>
        <v>BIOLOGY 1</v>
      </c>
      <c r="G2337" t="str">
        <f>"08-808"</f>
        <v>08-808</v>
      </c>
      <c r="H2337" t="str">
        <f>"A"</f>
        <v>A</v>
      </c>
    </row>
    <row r="2338" spans="1:8" x14ac:dyDescent="0.2">
      <c r="A2338" t="str">
        <f t="shared" si="855"/>
        <v>0616016098</v>
      </c>
      <c r="B2338" t="str">
        <f t="shared" si="856"/>
        <v>RAYNA</v>
      </c>
      <c r="C2338" t="str">
        <f t="shared" si="854"/>
        <v>BYRD</v>
      </c>
      <c r="D2338">
        <f>10</f>
        <v>10</v>
      </c>
      <c r="E2338" t="str">
        <f>"02 - A - 102 - Daniel S Tyson"</f>
        <v>02 - A - 102 - Daniel S Tyson</v>
      </c>
      <c r="F2338" t="str">
        <f>"JROTC NAVAL SCI 1"</f>
        <v>JROTC NAVAL SCI 1</v>
      </c>
      <c r="G2338" t="str">
        <f>"05-510"</f>
        <v>05-510</v>
      </c>
      <c r="H2338" t="str">
        <f>"A"</f>
        <v>A</v>
      </c>
    </row>
    <row r="2339" spans="1:8" x14ac:dyDescent="0.2">
      <c r="A2339" t="str">
        <f t="shared" si="855"/>
        <v>0616016098</v>
      </c>
      <c r="B2339" t="str">
        <f t="shared" si="856"/>
        <v>RAYNA</v>
      </c>
      <c r="C2339" t="str">
        <f t="shared" si="854"/>
        <v>BYRD</v>
      </c>
      <c r="D2339">
        <f>10</f>
        <v>10</v>
      </c>
      <c r="E2339" t="str">
        <f>"07 - B - 107 - Milca  Exantus"</f>
        <v>07 - B - 107 - Milca  Exantus</v>
      </c>
      <c r="F2339" t="str">
        <f>"MATH COLLEGE LIB ART"</f>
        <v>MATH COLLEGE LIB ART</v>
      </c>
      <c r="G2339" t="str">
        <f>"21-2145"</f>
        <v>21-2145</v>
      </c>
      <c r="H2339" t="str">
        <f>"B"</f>
        <v>B</v>
      </c>
    </row>
    <row r="2340" spans="1:8" x14ac:dyDescent="0.2">
      <c r="A2340" t="str">
        <f t="shared" si="855"/>
        <v>0616016098</v>
      </c>
      <c r="B2340" t="str">
        <f t="shared" si="856"/>
        <v>RAYNA</v>
      </c>
      <c r="C2340" t="str">
        <f t="shared" si="854"/>
        <v>BYRD</v>
      </c>
      <c r="D2340">
        <f>10</f>
        <v>10</v>
      </c>
      <c r="E2340" t="str">
        <f>"05 - B - 107 - Nikiel  Nesbeth"</f>
        <v>05 - B - 107 - Nikiel  Nesbeth</v>
      </c>
      <c r="F2340" t="str">
        <f>"ENG 2"</f>
        <v>ENG 2</v>
      </c>
      <c r="G2340" t="str">
        <f>"17-1705"</f>
        <v>17-1705</v>
      </c>
      <c r="H2340" t="str">
        <f>"B"</f>
        <v>B</v>
      </c>
    </row>
    <row r="2341" spans="1:8" x14ac:dyDescent="0.2">
      <c r="A2341" t="str">
        <f t="shared" si="855"/>
        <v>0616016098</v>
      </c>
      <c r="B2341" t="str">
        <f t="shared" si="856"/>
        <v>RAYNA</v>
      </c>
      <c r="C2341" t="str">
        <f t="shared" si="854"/>
        <v>BYRD</v>
      </c>
      <c r="D2341">
        <f>10</f>
        <v>10</v>
      </c>
      <c r="E2341" t="str">
        <f>"01 - A - 101 - Taraneh C Abreu"</f>
        <v>01 - A - 101 - Taraneh C Abreu</v>
      </c>
      <c r="F2341" t="str">
        <f>"INTENS READ 2"</f>
        <v>INTENS READ 2</v>
      </c>
      <c r="G2341" t="str">
        <f>"17-1713"</f>
        <v>17-1713</v>
      </c>
      <c r="H2341" t="str">
        <f>"A"</f>
        <v>A</v>
      </c>
    </row>
    <row r="2342" spans="1:8" x14ac:dyDescent="0.2">
      <c r="A2342" t="str">
        <f t="shared" si="855"/>
        <v>0616016098</v>
      </c>
      <c r="B2342" t="str">
        <f t="shared" si="856"/>
        <v>RAYNA</v>
      </c>
      <c r="C2342" t="str">
        <f t="shared" si="854"/>
        <v>BYRD</v>
      </c>
      <c r="D2342">
        <f>10</f>
        <v>10</v>
      </c>
      <c r="E2342" t="str">
        <f>"08 - S1 - B - 104 - Leslie J Barton"</f>
        <v>08 - S1 - B - 104 - Leslie J Barton</v>
      </c>
      <c r="F2342" t="str">
        <f>"TEAM SPORTS 1"</f>
        <v>TEAM SPORTS 1</v>
      </c>
      <c r="G2342" t="str">
        <f>"04-254"</f>
        <v>04-254</v>
      </c>
      <c r="H2342" t="str">
        <f>"B"</f>
        <v>B</v>
      </c>
    </row>
    <row r="2343" spans="1:8" x14ac:dyDescent="0.2">
      <c r="A2343" t="str">
        <f t="shared" ref="A2343:A2350" si="857">"0614006302"</f>
        <v>0614006302</v>
      </c>
      <c r="B2343" t="str">
        <f t="shared" ref="B2343:B2350" si="858">"MARANDA"</f>
        <v>MARANDA</v>
      </c>
      <c r="C2343" t="str">
        <f t="shared" ref="C2343:C2350" si="859">"BYRNES"</f>
        <v>BYRNES</v>
      </c>
      <c r="D2343">
        <f>12</f>
        <v>12</v>
      </c>
      <c r="E2343" t="str">
        <f>"04 - A - 106 - Tina M Jaramillo"</f>
        <v>04 - A - 106 - Tina M Jaramillo</v>
      </c>
      <c r="F2343" t="str">
        <f>"AP ENG LIT COMPO"</f>
        <v>AP ENG LIT COMPO</v>
      </c>
      <c r="G2343" t="str">
        <f>"17-1706"</f>
        <v>17-1706</v>
      </c>
      <c r="H2343" t="str">
        <f>"A"</f>
        <v>A</v>
      </c>
    </row>
    <row r="2344" spans="1:8" x14ac:dyDescent="0.2">
      <c r="A2344" t="str">
        <f t="shared" si="857"/>
        <v>0614006302</v>
      </c>
      <c r="B2344" t="str">
        <f t="shared" si="858"/>
        <v>MARANDA</v>
      </c>
      <c r="C2344" t="str">
        <f t="shared" si="859"/>
        <v>BYRNES</v>
      </c>
      <c r="D2344">
        <f>12</f>
        <v>12</v>
      </c>
      <c r="E2344" t="str">
        <f>"06 - B - 003 - Emmily A Sarmiento"</f>
        <v>06 - B - 003 - Emmily A Sarmiento</v>
      </c>
      <c r="F2344" t="str">
        <f>"NC STUDY HALL 1"</f>
        <v>NC STUDY HALL 1</v>
      </c>
      <c r="G2344" t="str">
        <f>"17-1743"</f>
        <v>17-1743</v>
      </c>
      <c r="H2344" t="str">
        <f>"B"</f>
        <v>B</v>
      </c>
    </row>
    <row r="2345" spans="1:8" x14ac:dyDescent="0.2">
      <c r="A2345" t="str">
        <f t="shared" si="857"/>
        <v>0614006302</v>
      </c>
      <c r="B2345" t="str">
        <f t="shared" si="858"/>
        <v>MARANDA</v>
      </c>
      <c r="C2345" t="str">
        <f t="shared" si="859"/>
        <v>BYRNES</v>
      </c>
      <c r="D2345">
        <f>12</f>
        <v>12</v>
      </c>
      <c r="E2345" t="str">
        <f>"03 - A - 101 - Dorothy D Moore"</f>
        <v>03 - A - 101 - Dorothy D Moore</v>
      </c>
      <c r="F2345" t="str">
        <f>"FORC SCI 1 LH"</f>
        <v>FORC SCI 1 LH</v>
      </c>
      <c r="G2345" t="str">
        <f>"08-803"</f>
        <v>08-803</v>
      </c>
      <c r="H2345" t="str">
        <f>"A"</f>
        <v>A</v>
      </c>
    </row>
    <row r="2346" spans="1:8" x14ac:dyDescent="0.2">
      <c r="A2346" t="str">
        <f t="shared" si="857"/>
        <v>0614006302</v>
      </c>
      <c r="B2346" t="str">
        <f t="shared" si="858"/>
        <v>MARANDA</v>
      </c>
      <c r="C2346" t="str">
        <f t="shared" si="859"/>
        <v>BYRNES</v>
      </c>
      <c r="D2346">
        <f>12</f>
        <v>12</v>
      </c>
      <c r="E2346" t="str">
        <f>"02 - A - 102 - Bruce A Evans"</f>
        <v>02 - A - 102 - Bruce A Evans</v>
      </c>
      <c r="F2346" t="str">
        <f>"EMERG MED RESP 3 HON"</f>
        <v>EMERG MED RESP 3 HON</v>
      </c>
      <c r="G2346" t="str">
        <f>"21-2142"</f>
        <v>21-2142</v>
      </c>
      <c r="H2346" t="str">
        <f>"A"</f>
        <v>A</v>
      </c>
    </row>
    <row r="2347" spans="1:8" x14ac:dyDescent="0.2">
      <c r="A2347" t="str">
        <f t="shared" si="857"/>
        <v>0614006302</v>
      </c>
      <c r="B2347" t="str">
        <f t="shared" si="858"/>
        <v>MARANDA</v>
      </c>
      <c r="C2347" t="str">
        <f t="shared" si="859"/>
        <v>BYRNES</v>
      </c>
      <c r="D2347">
        <f>12</f>
        <v>12</v>
      </c>
      <c r="E2347" t="str">
        <f>"07 - S1 - B - 101 - Stephen T Ripp"</f>
        <v>07 - S1 - B - 101 - Stephen T Ripp</v>
      </c>
      <c r="F2347" t="str">
        <f>"AP US GOVT/POL"</f>
        <v>AP US GOVT/POL</v>
      </c>
      <c r="G2347" t="str">
        <f>"17-1744"</f>
        <v>17-1744</v>
      </c>
      <c r="H2347" t="str">
        <f>"B"</f>
        <v>B</v>
      </c>
    </row>
    <row r="2348" spans="1:8" x14ac:dyDescent="0.2">
      <c r="A2348" t="str">
        <f t="shared" si="857"/>
        <v>0614006302</v>
      </c>
      <c r="B2348" t="str">
        <f t="shared" si="858"/>
        <v>MARANDA</v>
      </c>
      <c r="C2348" t="str">
        <f t="shared" si="859"/>
        <v>BYRNES</v>
      </c>
      <c r="D2348">
        <f>12</f>
        <v>12</v>
      </c>
      <c r="E2348" t="str">
        <f>"05 - B - 201 - Bruce A Evans"</f>
        <v>05 - B - 201 - Bruce A Evans</v>
      </c>
      <c r="F2348" t="str">
        <f>"HEALTH SCI FOUND HON"</f>
        <v>HEALTH SCI FOUND HON</v>
      </c>
      <c r="G2348" t="str">
        <f>"21-2142"</f>
        <v>21-2142</v>
      </c>
      <c r="H2348" t="str">
        <f>"B"</f>
        <v>B</v>
      </c>
    </row>
    <row r="2349" spans="1:8" x14ac:dyDescent="0.2">
      <c r="A2349" t="str">
        <f t="shared" si="857"/>
        <v>0614006302</v>
      </c>
      <c r="B2349" t="str">
        <f t="shared" si="858"/>
        <v>MARANDA</v>
      </c>
      <c r="C2349" t="str">
        <f t="shared" si="859"/>
        <v>BYRNES</v>
      </c>
      <c r="D2349">
        <f>12</f>
        <v>12</v>
      </c>
      <c r="E2349" t="str">
        <f>"01 - A - 201 - Pamela M Corzo"</f>
        <v>01 - A - 201 - Pamela M Corzo</v>
      </c>
      <c r="F2349" t="str">
        <f>"AP CALCULUS BC"</f>
        <v>AP CALCULUS BC</v>
      </c>
      <c r="G2349" t="str">
        <f>"21-2133"</f>
        <v>21-2133</v>
      </c>
      <c r="H2349" t="str">
        <f>"A"</f>
        <v>A</v>
      </c>
    </row>
    <row r="2350" spans="1:8" x14ac:dyDescent="0.2">
      <c r="A2350" t="str">
        <f t="shared" si="857"/>
        <v>0614006302</v>
      </c>
      <c r="B2350" t="str">
        <f t="shared" si="858"/>
        <v>MARANDA</v>
      </c>
      <c r="C2350" t="str">
        <f t="shared" si="859"/>
        <v>BYRNES</v>
      </c>
      <c r="D2350">
        <f>12</f>
        <v>12</v>
      </c>
      <c r="E2350" t="str">
        <f>"08 - B - 103 - Marielle A Witting"</f>
        <v>08 - B - 103 - Marielle A Witting</v>
      </c>
      <c r="F2350" t="str">
        <f>"AP BIO"</f>
        <v>AP BIO</v>
      </c>
      <c r="G2350" t="str">
        <f>"08-805"</f>
        <v>08-805</v>
      </c>
      <c r="H2350" t="str">
        <f>"B"</f>
        <v>B</v>
      </c>
    </row>
    <row r="2351" spans="1:8" x14ac:dyDescent="0.2">
      <c r="A2351" t="str">
        <f t="shared" ref="A2351:A2359" si="860">"0613136373"</f>
        <v>0613136373</v>
      </c>
      <c r="B2351" t="str">
        <f t="shared" ref="B2351:B2359" si="861">"NATHALY"</f>
        <v>NATHALY</v>
      </c>
      <c r="C2351" t="str">
        <f t="shared" ref="C2351:C2359" si="862">"CABRERA-HERNANDEZ"</f>
        <v>CABRERA-HERNANDEZ</v>
      </c>
      <c r="D2351">
        <f>12</f>
        <v>12</v>
      </c>
      <c r="E2351" t="str">
        <f>"19 - S1 - MTWHF - B18 - Instructor BC"</f>
        <v>19 - S1 - MTWHF - B18 - Instructor BC</v>
      </c>
      <c r="F2351" t="str">
        <f>"BEG SPANISH II"</f>
        <v>BEG SPANISH II</v>
      </c>
      <c r="G2351" t="str">
        <f>"60-DE"</f>
        <v>60-DE</v>
      </c>
      <c r="H2351" t="str">
        <f>"-"</f>
        <v>-</v>
      </c>
    </row>
    <row r="2352" spans="1:8" x14ac:dyDescent="0.2">
      <c r="A2352" t="str">
        <f t="shared" si="860"/>
        <v>0613136373</v>
      </c>
      <c r="B2352" t="str">
        <f t="shared" si="861"/>
        <v>NATHALY</v>
      </c>
      <c r="C2352" t="str">
        <f t="shared" si="862"/>
        <v>CABRERA-HERNANDEZ</v>
      </c>
      <c r="D2352">
        <f>12</f>
        <v>12</v>
      </c>
      <c r="E2352" t="str">
        <f>"04 - S1 - A - 101 - Barbara L Segal"</f>
        <v>04 - S1 - A - 101 - Barbara L Segal</v>
      </c>
      <c r="F2352" t="str">
        <f>"AP US GOVT/POL"</f>
        <v>AP US GOVT/POL</v>
      </c>
      <c r="G2352" t="str">
        <f>"17-1742"</f>
        <v>17-1742</v>
      </c>
      <c r="H2352" t="str">
        <f>"A"</f>
        <v>A</v>
      </c>
    </row>
    <row r="2353" spans="1:8" x14ac:dyDescent="0.2">
      <c r="A2353" t="str">
        <f t="shared" si="860"/>
        <v>0613136373</v>
      </c>
      <c r="B2353" t="str">
        <f t="shared" si="861"/>
        <v>NATHALY</v>
      </c>
      <c r="C2353" t="str">
        <f t="shared" si="862"/>
        <v>CABRERA-HERNANDEZ</v>
      </c>
      <c r="D2353">
        <f>12</f>
        <v>12</v>
      </c>
      <c r="E2353" t="str">
        <f>"06 - B - 104 - Lissa C Frederique"</f>
        <v>06 - B - 104 - Lissa C Frederique</v>
      </c>
      <c r="F2353" t="str">
        <f>"NC STUDY HALL 1"</f>
        <v>NC STUDY HALL 1</v>
      </c>
      <c r="G2353" t="str">
        <f>"17-1754"</f>
        <v>17-1754</v>
      </c>
      <c r="H2353" t="str">
        <f>"B"</f>
        <v>B</v>
      </c>
    </row>
    <row r="2354" spans="1:8" x14ac:dyDescent="0.2">
      <c r="A2354" t="str">
        <f t="shared" si="860"/>
        <v>0613136373</v>
      </c>
      <c r="B2354" t="str">
        <f t="shared" si="861"/>
        <v>NATHALY</v>
      </c>
      <c r="C2354" t="str">
        <f t="shared" si="862"/>
        <v>CABRERA-HERNANDEZ</v>
      </c>
      <c r="D2354">
        <f>12</f>
        <v>12</v>
      </c>
      <c r="E2354" t="str">
        <f>"03 - A - 101 - Lisa J London"</f>
        <v>03 - A - 101 - Lisa J London</v>
      </c>
      <c r="F2354" t="str">
        <f>"AP CAPSTONE RESEARCH"</f>
        <v>AP CAPSTONE RESEARCH</v>
      </c>
      <c r="G2354" t="str">
        <f>"17-1714"</f>
        <v>17-1714</v>
      </c>
      <c r="H2354" t="str">
        <f>"A"</f>
        <v>A</v>
      </c>
    </row>
    <row r="2355" spans="1:8" x14ac:dyDescent="0.2">
      <c r="A2355" t="str">
        <f t="shared" si="860"/>
        <v>0613136373</v>
      </c>
      <c r="B2355" t="str">
        <f t="shared" si="861"/>
        <v>NATHALY</v>
      </c>
      <c r="C2355" t="str">
        <f t="shared" si="862"/>
        <v>CABRERA-HERNANDEZ</v>
      </c>
      <c r="D2355">
        <f>12</f>
        <v>12</v>
      </c>
      <c r="E2355" t="str">
        <f>"02 - A - 102 - Marielle A Witting"</f>
        <v>02 - A - 102 - Marielle A Witting</v>
      </c>
      <c r="F2355" t="str">
        <f>"AP BIO"</f>
        <v>AP BIO</v>
      </c>
      <c r="G2355" t="str">
        <f>"08-805"</f>
        <v>08-805</v>
      </c>
      <c r="H2355" t="str">
        <f>"A"</f>
        <v>A</v>
      </c>
    </row>
    <row r="2356" spans="1:8" x14ac:dyDescent="0.2">
      <c r="A2356" t="str">
        <f t="shared" si="860"/>
        <v>0613136373</v>
      </c>
      <c r="B2356" t="str">
        <f t="shared" si="861"/>
        <v>NATHALY</v>
      </c>
      <c r="C2356" t="str">
        <f t="shared" si="862"/>
        <v>CABRERA-HERNANDEZ</v>
      </c>
      <c r="D2356">
        <f>12</f>
        <v>12</v>
      </c>
      <c r="E2356" t="str">
        <f>"07 - S1 - B - 101 - Daniel S Katz"</f>
        <v>07 - S1 - B - 101 - Daniel S Katz</v>
      </c>
      <c r="F2356" t="str">
        <f>"CRIMINAL LAW"</f>
        <v>CRIMINAL LAW</v>
      </c>
      <c r="G2356" t="str">
        <f>"21-2156"</f>
        <v>21-2156</v>
      </c>
      <c r="H2356" t="str">
        <f>"B"</f>
        <v>B</v>
      </c>
    </row>
    <row r="2357" spans="1:8" x14ac:dyDescent="0.2">
      <c r="A2357" t="str">
        <f t="shared" si="860"/>
        <v>0613136373</v>
      </c>
      <c r="B2357" t="str">
        <f t="shared" si="861"/>
        <v>NATHALY</v>
      </c>
      <c r="C2357" t="str">
        <f t="shared" si="862"/>
        <v>CABRERA-HERNANDEZ</v>
      </c>
      <c r="D2357">
        <f>12</f>
        <v>12</v>
      </c>
      <c r="E2357" t="str">
        <f>"05 - B - 101 - Jordana K Hass"</f>
        <v>05 - B - 101 - Jordana K Hass</v>
      </c>
      <c r="F2357" t="str">
        <f>"AP COMP SCI PRIN"</f>
        <v>AP COMP SCI PRIN</v>
      </c>
      <c r="G2357" t="str">
        <f>"08-807"</f>
        <v>08-807</v>
      </c>
      <c r="H2357" t="str">
        <f>"B"</f>
        <v>B</v>
      </c>
    </row>
    <row r="2358" spans="1:8" x14ac:dyDescent="0.2">
      <c r="A2358" t="str">
        <f t="shared" si="860"/>
        <v>0613136373</v>
      </c>
      <c r="B2358" t="str">
        <f t="shared" si="861"/>
        <v>NATHALY</v>
      </c>
      <c r="C2358" t="str">
        <f t="shared" si="862"/>
        <v>CABRERA-HERNANDEZ</v>
      </c>
      <c r="D2358">
        <f>12</f>
        <v>12</v>
      </c>
      <c r="E2358" t="str">
        <f>"01 - A - 204 - Tina M Jaramillo"</f>
        <v>01 - A - 204 - Tina M Jaramillo</v>
      </c>
      <c r="F2358" t="str">
        <f>"AP ENG LIT COMPO"</f>
        <v>AP ENG LIT COMPO</v>
      </c>
      <c r="G2358" t="str">
        <f>"17-1706"</f>
        <v>17-1706</v>
      </c>
      <c r="H2358" t="str">
        <f>"A"</f>
        <v>A</v>
      </c>
    </row>
    <row r="2359" spans="1:8" x14ac:dyDescent="0.2">
      <c r="A2359" t="str">
        <f t="shared" si="860"/>
        <v>0613136373</v>
      </c>
      <c r="B2359" t="str">
        <f t="shared" si="861"/>
        <v>NATHALY</v>
      </c>
      <c r="C2359" t="str">
        <f t="shared" si="862"/>
        <v>CABRERA-HERNANDEZ</v>
      </c>
      <c r="D2359">
        <f>12</f>
        <v>12</v>
      </c>
      <c r="E2359" t="str">
        <f>"08 - B - 102 - Pamela M Corzo"</f>
        <v>08 - B - 102 - Pamela M Corzo</v>
      </c>
      <c r="F2359" t="str">
        <f>"AP STAT"</f>
        <v>AP STAT</v>
      </c>
      <c r="G2359" t="str">
        <f>"21-2133"</f>
        <v>21-2133</v>
      </c>
      <c r="H2359" t="str">
        <f>"B"</f>
        <v>B</v>
      </c>
    </row>
    <row r="2360" spans="1:8" x14ac:dyDescent="0.2">
      <c r="A2360" t="str">
        <f t="shared" ref="A2360:A2367" si="863">"0615035429"</f>
        <v>0615035429</v>
      </c>
      <c r="B2360" t="str">
        <f t="shared" ref="B2360:B2367" si="864">"BERLANDA"</f>
        <v>BERLANDA</v>
      </c>
      <c r="C2360" t="str">
        <f t="shared" ref="C2360:C2367" si="865">"CADET"</f>
        <v>CADET</v>
      </c>
      <c r="D2360">
        <f>10</f>
        <v>10</v>
      </c>
      <c r="E2360" t="str">
        <f>"04 - A - 101 - Chrystina M Marchionne"</f>
        <v>04 - A - 101 - Chrystina M Marchionne</v>
      </c>
      <c r="F2360" t="str">
        <f>"THEA CIN &amp; FILM LH"</f>
        <v>THEA CIN &amp; FILM LH</v>
      </c>
      <c r="G2360" t="str">
        <f>"05-520"</f>
        <v>05-520</v>
      </c>
      <c r="H2360" t="str">
        <f>"A"</f>
        <v>A</v>
      </c>
    </row>
    <row r="2361" spans="1:8" x14ac:dyDescent="0.2">
      <c r="A2361" t="str">
        <f t="shared" si="863"/>
        <v>0615035429</v>
      </c>
      <c r="B2361" t="str">
        <f t="shared" si="864"/>
        <v>BERLANDA</v>
      </c>
      <c r="C2361" t="str">
        <f t="shared" si="865"/>
        <v>CADET</v>
      </c>
      <c r="D2361">
        <f>10</f>
        <v>10</v>
      </c>
      <c r="E2361" t="str">
        <f>"06 - B - 103 - Thomas G Handwerg"</f>
        <v>06 - B - 103 - Thomas G Handwerg</v>
      </c>
      <c r="F2361" t="str">
        <f>"NC STUDY HALL 1"</f>
        <v>NC STUDY HALL 1</v>
      </c>
      <c r="G2361" t="str">
        <f>"21-2146"</f>
        <v>21-2146</v>
      </c>
      <c r="H2361" t="str">
        <f>"B"</f>
        <v>B</v>
      </c>
    </row>
    <row r="2362" spans="1:8" x14ac:dyDescent="0.2">
      <c r="A2362" t="str">
        <f t="shared" si="863"/>
        <v>0615035429</v>
      </c>
      <c r="B2362" t="str">
        <f t="shared" si="864"/>
        <v>BERLANDA</v>
      </c>
      <c r="C2362" t="str">
        <f t="shared" si="865"/>
        <v>CADET</v>
      </c>
      <c r="D2362">
        <f>10</f>
        <v>10</v>
      </c>
      <c r="E2362" t="str">
        <f>"03 - A - 101 - Eva T Rimmer"</f>
        <v>03 - A - 101 - Eva T Rimmer</v>
      </c>
      <c r="F2362" t="str">
        <f>"CRIMINAL JUST OPS 1"</f>
        <v>CRIMINAL JUST OPS 1</v>
      </c>
      <c r="G2362" t="str">
        <f>"05-523"</f>
        <v>05-523</v>
      </c>
      <c r="H2362" t="str">
        <f>"A"</f>
        <v>A</v>
      </c>
    </row>
    <row r="2363" spans="1:8" x14ac:dyDescent="0.2">
      <c r="A2363" t="str">
        <f t="shared" si="863"/>
        <v>0615035429</v>
      </c>
      <c r="B2363" t="str">
        <f t="shared" si="864"/>
        <v>BERLANDA</v>
      </c>
      <c r="C2363" t="str">
        <f t="shared" si="865"/>
        <v>CADET</v>
      </c>
      <c r="D2363">
        <f>10</f>
        <v>10</v>
      </c>
      <c r="E2363" t="str">
        <f>"02 - A - 205 - Emmily A Sarmiento"</f>
        <v>02 - A - 205 - Emmily A Sarmiento</v>
      </c>
      <c r="F2363" t="str">
        <f>"AICE GLBL PERSP 1 AS"</f>
        <v>AICE GLBL PERSP 1 AS</v>
      </c>
      <c r="G2363" t="str">
        <f>"17-1743"</f>
        <v>17-1743</v>
      </c>
      <c r="H2363" t="str">
        <f>"A"</f>
        <v>A</v>
      </c>
    </row>
    <row r="2364" spans="1:8" x14ac:dyDescent="0.2">
      <c r="A2364" t="str">
        <f t="shared" si="863"/>
        <v>0615035429</v>
      </c>
      <c r="B2364" t="str">
        <f t="shared" si="864"/>
        <v>BERLANDA</v>
      </c>
      <c r="C2364" t="str">
        <f t="shared" si="865"/>
        <v>CADET</v>
      </c>
      <c r="D2364">
        <f>10</f>
        <v>10</v>
      </c>
      <c r="E2364" t="str">
        <f>"07 - B - 105 - Paige Lauren  Brochu"</f>
        <v>07 - B - 105 - Paige Lauren  Brochu</v>
      </c>
      <c r="F2364" t="str">
        <f>"PRE-AICE BIO IG"</f>
        <v>PRE-AICE BIO IG</v>
      </c>
      <c r="G2364" t="str">
        <f>"21-2134"</f>
        <v>21-2134</v>
      </c>
      <c r="H2364" t="str">
        <f>"B"</f>
        <v>B</v>
      </c>
    </row>
    <row r="2365" spans="1:8" x14ac:dyDescent="0.2">
      <c r="A2365" t="str">
        <f t="shared" si="863"/>
        <v>0615035429</v>
      </c>
      <c r="B2365" t="str">
        <f t="shared" si="864"/>
        <v>BERLANDA</v>
      </c>
      <c r="C2365" t="str">
        <f t="shared" si="865"/>
        <v>CADET</v>
      </c>
      <c r="D2365">
        <f>10</f>
        <v>10</v>
      </c>
      <c r="E2365" t="str">
        <f>"05 - B - 204 - Cheryl L Beach"</f>
        <v>05 - B - 204 - Cheryl L Beach</v>
      </c>
      <c r="F2365" t="str">
        <f>"AICE ENV MGMNT AS"</f>
        <v>AICE ENV MGMNT AS</v>
      </c>
      <c r="G2365" t="str">
        <f>"08-811"</f>
        <v>08-811</v>
      </c>
      <c r="H2365" t="str">
        <f>"B"</f>
        <v>B</v>
      </c>
    </row>
    <row r="2366" spans="1:8" x14ac:dyDescent="0.2">
      <c r="A2366" t="str">
        <f t="shared" si="863"/>
        <v>0615035429</v>
      </c>
      <c r="B2366" t="str">
        <f t="shared" si="864"/>
        <v>BERLANDA</v>
      </c>
      <c r="C2366" t="str">
        <f t="shared" si="865"/>
        <v>CADET</v>
      </c>
      <c r="D2366">
        <f>10</f>
        <v>10</v>
      </c>
      <c r="E2366" t="str">
        <f>"01 - A - 101 - Lourivaldo  Da Silva"</f>
        <v>01 - A - 101 - Lourivaldo  Da Silva</v>
      </c>
      <c r="F2366" t="str">
        <f>"ALGEBRA 2 HON"</f>
        <v>ALGEBRA 2 HON</v>
      </c>
      <c r="G2366" t="str">
        <f>"20-2079"</f>
        <v>20-2079</v>
      </c>
      <c r="H2366" t="str">
        <f>"A"</f>
        <v>A</v>
      </c>
    </row>
    <row r="2367" spans="1:8" x14ac:dyDescent="0.2">
      <c r="A2367" t="str">
        <f t="shared" si="863"/>
        <v>0615035429</v>
      </c>
      <c r="B2367" t="str">
        <f t="shared" si="864"/>
        <v>BERLANDA</v>
      </c>
      <c r="C2367" t="str">
        <f t="shared" si="865"/>
        <v>CADET</v>
      </c>
      <c r="D2367">
        <f>10</f>
        <v>10</v>
      </c>
      <c r="E2367" t="str">
        <f>"08 - B - 001 - Jacklyn M James"</f>
        <v>08 - B - 001 - Jacklyn M James</v>
      </c>
      <c r="F2367" t="str">
        <f>"AICE ENG LANG AS"</f>
        <v>AICE ENG LANG AS</v>
      </c>
      <c r="G2367" t="str">
        <f>"17-1731"</f>
        <v>17-1731</v>
      </c>
      <c r="H2367" t="str">
        <f>"B"</f>
        <v>B</v>
      </c>
    </row>
    <row r="2368" spans="1:8" x14ac:dyDescent="0.2">
      <c r="A2368" t="str">
        <f t="shared" ref="A2368:A2375" si="866">"0616023290"</f>
        <v>0616023290</v>
      </c>
      <c r="B2368" t="str">
        <f t="shared" ref="B2368:B2383" si="867">"GABRIELLE"</f>
        <v>GABRIELLE</v>
      </c>
      <c r="C2368" t="str">
        <f t="shared" ref="C2368:C2375" si="868">"CAIN"</f>
        <v>CAIN</v>
      </c>
      <c r="D2368">
        <f>10</f>
        <v>10</v>
      </c>
      <c r="E2368" t="str">
        <f>"04 - A - 203 - Cheryl L Beach"</f>
        <v>04 - A - 203 - Cheryl L Beach</v>
      </c>
      <c r="F2368" t="str">
        <f>"AICE ENV MGMNT AS"</f>
        <v>AICE ENV MGMNT AS</v>
      </c>
      <c r="G2368" t="str">
        <f>"08-811"</f>
        <v>08-811</v>
      </c>
      <c r="H2368" t="str">
        <f>"A"</f>
        <v>A</v>
      </c>
    </row>
    <row r="2369" spans="1:8" x14ac:dyDescent="0.2">
      <c r="A2369" t="str">
        <f t="shared" si="866"/>
        <v>0616023290</v>
      </c>
      <c r="B2369" t="str">
        <f t="shared" si="867"/>
        <v>GABRIELLE</v>
      </c>
      <c r="C2369" t="str">
        <f t="shared" si="868"/>
        <v>CAIN</v>
      </c>
      <c r="D2369">
        <f>10</f>
        <v>10</v>
      </c>
      <c r="E2369" t="str">
        <f>"06 - B - 119 - Nikiel  Nesbeth"</f>
        <v>06 - B - 119 - Nikiel  Nesbeth</v>
      </c>
      <c r="F2369" t="str">
        <f>"NC STUDY HALL 1"</f>
        <v>NC STUDY HALL 1</v>
      </c>
      <c r="G2369" t="str">
        <f>"17-1705"</f>
        <v>17-1705</v>
      </c>
      <c r="H2369" t="str">
        <f>"B"</f>
        <v>B</v>
      </c>
    </row>
    <row r="2370" spans="1:8" x14ac:dyDescent="0.2">
      <c r="A2370" t="str">
        <f t="shared" si="866"/>
        <v>0616023290</v>
      </c>
      <c r="B2370" t="str">
        <f t="shared" si="867"/>
        <v>GABRIELLE</v>
      </c>
      <c r="C2370" t="str">
        <f t="shared" si="868"/>
        <v>CAIN</v>
      </c>
      <c r="D2370">
        <f>10</f>
        <v>10</v>
      </c>
      <c r="E2370" t="str">
        <f>"03 - A - 102 - Semra  Bahadir"</f>
        <v>03 - A - 102 - Semra  Bahadir</v>
      </c>
      <c r="F2370" t="str">
        <f>"ALGEBRA 2"</f>
        <v>ALGEBRA 2</v>
      </c>
      <c r="G2370" t="str">
        <f>"21-2107"</f>
        <v>21-2107</v>
      </c>
      <c r="H2370" t="str">
        <f>"A"</f>
        <v>A</v>
      </c>
    </row>
    <row r="2371" spans="1:8" x14ac:dyDescent="0.2">
      <c r="A2371" t="str">
        <f t="shared" si="866"/>
        <v>0616023290</v>
      </c>
      <c r="B2371" t="str">
        <f t="shared" si="867"/>
        <v>GABRIELLE</v>
      </c>
      <c r="C2371" t="str">
        <f t="shared" si="868"/>
        <v>CAIN</v>
      </c>
      <c r="D2371">
        <f>10</f>
        <v>10</v>
      </c>
      <c r="E2371" t="str">
        <f>"02 - S1 - A - 102 - Richard E Dunbar Iii"</f>
        <v>02 - S1 - A - 102 - Richard E Dunbar Iii</v>
      </c>
      <c r="F2371" t="str">
        <f>"WEIGHT TRAIN 1"</f>
        <v>WEIGHT TRAIN 1</v>
      </c>
      <c r="G2371" t="str">
        <f>"05-501"</f>
        <v>05-501</v>
      </c>
      <c r="H2371" t="str">
        <f>"A"</f>
        <v>A</v>
      </c>
    </row>
    <row r="2372" spans="1:8" x14ac:dyDescent="0.2">
      <c r="A2372" t="str">
        <f t="shared" si="866"/>
        <v>0616023290</v>
      </c>
      <c r="B2372" t="str">
        <f t="shared" si="867"/>
        <v>GABRIELLE</v>
      </c>
      <c r="C2372" t="str">
        <f t="shared" si="868"/>
        <v>CAIN</v>
      </c>
      <c r="D2372">
        <f>10</f>
        <v>10</v>
      </c>
      <c r="E2372" t="str">
        <f>"07 - B - 107 - Rosa Elaine  Collado-Duff"</f>
        <v>07 - B - 107 - Rosa Elaine  Collado-Duff</v>
      </c>
      <c r="F2372" t="str">
        <f>"PRE-AICE SPAN 2 IG"</f>
        <v>PRE-AICE SPAN 2 IG</v>
      </c>
      <c r="G2372" t="str">
        <f>"09-913"</f>
        <v>09-913</v>
      </c>
      <c r="H2372" t="str">
        <f>"B"</f>
        <v>B</v>
      </c>
    </row>
    <row r="2373" spans="1:8" x14ac:dyDescent="0.2">
      <c r="A2373" t="str">
        <f t="shared" si="866"/>
        <v>0616023290</v>
      </c>
      <c r="B2373" t="str">
        <f t="shared" si="867"/>
        <v>GABRIELLE</v>
      </c>
      <c r="C2373" t="str">
        <f t="shared" si="868"/>
        <v>CAIN</v>
      </c>
      <c r="D2373">
        <f>10</f>
        <v>10</v>
      </c>
      <c r="E2373" t="str">
        <f>"05 - B - 001 - Kelly N Panza"</f>
        <v>05 - B - 001 - Kelly N Panza</v>
      </c>
      <c r="F2373" t="str">
        <f>"AICE GLBL PERSP 1 AS"</f>
        <v>AICE GLBL PERSP 1 AS</v>
      </c>
      <c r="G2373" t="str">
        <f>"17-1753"</f>
        <v>17-1753</v>
      </c>
      <c r="H2373" t="str">
        <f>"B"</f>
        <v>B</v>
      </c>
    </row>
    <row r="2374" spans="1:8" x14ac:dyDescent="0.2">
      <c r="A2374" t="str">
        <f t="shared" si="866"/>
        <v>0616023290</v>
      </c>
      <c r="B2374" t="str">
        <f t="shared" si="867"/>
        <v>GABRIELLE</v>
      </c>
      <c r="C2374" t="str">
        <f t="shared" si="868"/>
        <v>CAIN</v>
      </c>
      <c r="D2374">
        <f>10</f>
        <v>10</v>
      </c>
      <c r="E2374" t="str">
        <f>"01 - A - 101 - Taraneh C Abreu"</f>
        <v>01 - A - 101 - Taraneh C Abreu</v>
      </c>
      <c r="F2374" t="str">
        <f>"INTENS READ 2"</f>
        <v>INTENS READ 2</v>
      </c>
      <c r="G2374" t="str">
        <f>"17-1713"</f>
        <v>17-1713</v>
      </c>
      <c r="H2374" t="str">
        <f>"A"</f>
        <v>A</v>
      </c>
    </row>
    <row r="2375" spans="1:8" x14ac:dyDescent="0.2">
      <c r="A2375" t="str">
        <f t="shared" si="866"/>
        <v>0616023290</v>
      </c>
      <c r="B2375" t="str">
        <f t="shared" si="867"/>
        <v>GABRIELLE</v>
      </c>
      <c r="C2375" t="str">
        <f t="shared" si="868"/>
        <v>CAIN</v>
      </c>
      <c r="D2375">
        <f>10</f>
        <v>10</v>
      </c>
      <c r="E2375" t="str">
        <f>"08 - B - 102 - Jacquelyn M Neeson"</f>
        <v>08 - B - 102 - Jacquelyn M Neeson</v>
      </c>
      <c r="F2375" t="str">
        <f>"AICE ENG GEN PAPER 1"</f>
        <v>AICE ENG GEN PAPER 1</v>
      </c>
      <c r="G2375" t="str">
        <f>"17-1715"</f>
        <v>17-1715</v>
      </c>
      <c r="H2375" t="str">
        <f>"B"</f>
        <v>B</v>
      </c>
    </row>
    <row r="2376" spans="1:8" x14ac:dyDescent="0.2">
      <c r="A2376" t="str">
        <f t="shared" ref="A2376:A2383" si="869">"0616025477"</f>
        <v>0616025477</v>
      </c>
      <c r="B2376" t="str">
        <f t="shared" si="867"/>
        <v>GABRIELLE</v>
      </c>
      <c r="C2376" t="str">
        <f t="shared" ref="C2376:C2383" si="870">"CAJUSTE"</f>
        <v>CAJUSTE</v>
      </c>
      <c r="D2376">
        <f>10</f>
        <v>10</v>
      </c>
      <c r="E2376" t="str">
        <f>"04 - S1 - A - 101 - Kyle  Robbins"</f>
        <v>04 - S1 - A - 101 - Kyle  Robbins</v>
      </c>
      <c r="F2376" t="str">
        <f>"PERS FIN &amp; MON MGT H"</f>
        <v>PERS FIN &amp; MON MGT H</v>
      </c>
      <c r="G2376" t="str">
        <f>"17-1745"</f>
        <v>17-1745</v>
      </c>
      <c r="H2376" t="str">
        <f>"A"</f>
        <v>A</v>
      </c>
    </row>
    <row r="2377" spans="1:8" x14ac:dyDescent="0.2">
      <c r="A2377" t="str">
        <f t="shared" si="869"/>
        <v>0616025477</v>
      </c>
      <c r="B2377" t="str">
        <f t="shared" si="867"/>
        <v>GABRIELLE</v>
      </c>
      <c r="C2377" t="str">
        <f t="shared" si="870"/>
        <v>CAJUSTE</v>
      </c>
      <c r="D2377">
        <f>10</f>
        <v>10</v>
      </c>
      <c r="E2377" t="str">
        <f>"06 - B - 105 - Jeffrey S Gallagher"</f>
        <v>06 - B - 105 - Jeffrey S Gallagher</v>
      </c>
      <c r="F2377" t="str">
        <f>"NC STUDY HALL 1"</f>
        <v>NC STUDY HALL 1</v>
      </c>
      <c r="G2377" t="str">
        <f>"17-1724"</f>
        <v>17-1724</v>
      </c>
      <c r="H2377" t="str">
        <f>"B"</f>
        <v>B</v>
      </c>
    </row>
    <row r="2378" spans="1:8" x14ac:dyDescent="0.2">
      <c r="A2378" t="str">
        <f t="shared" si="869"/>
        <v>0616025477</v>
      </c>
      <c r="B2378" t="str">
        <f t="shared" si="867"/>
        <v>GABRIELLE</v>
      </c>
      <c r="C2378" t="str">
        <f t="shared" si="870"/>
        <v>CAJUSTE</v>
      </c>
      <c r="D2378">
        <f>10</f>
        <v>10</v>
      </c>
      <c r="E2378" t="str">
        <f>"03 - A - 002 - Nikiel  Nesbeth"</f>
        <v>03 - A - 002 - Nikiel  Nesbeth</v>
      </c>
      <c r="F2378" t="str">
        <f>"PRE-AICE ENG LIT IG"</f>
        <v>PRE-AICE ENG LIT IG</v>
      </c>
      <c r="G2378" t="str">
        <f>"17-1705"</f>
        <v>17-1705</v>
      </c>
      <c r="H2378" t="str">
        <f>"A"</f>
        <v>A</v>
      </c>
    </row>
    <row r="2379" spans="1:8" x14ac:dyDescent="0.2">
      <c r="A2379" t="str">
        <f t="shared" si="869"/>
        <v>0616025477</v>
      </c>
      <c r="B2379" t="str">
        <f t="shared" si="867"/>
        <v>GABRIELLE</v>
      </c>
      <c r="C2379" t="str">
        <f t="shared" si="870"/>
        <v>CAJUSTE</v>
      </c>
      <c r="D2379">
        <f>10</f>
        <v>10</v>
      </c>
      <c r="E2379" t="str">
        <f>"02 - A - 105 - Semra  Bahadir"</f>
        <v>02 - A - 105 - Semra  Bahadir</v>
      </c>
      <c r="F2379" t="str">
        <f>"ALGEBRA 2"</f>
        <v>ALGEBRA 2</v>
      </c>
      <c r="G2379" t="str">
        <f>"21-2107"</f>
        <v>21-2107</v>
      </c>
      <c r="H2379" t="str">
        <f>"A"</f>
        <v>A</v>
      </c>
    </row>
    <row r="2380" spans="1:8" x14ac:dyDescent="0.2">
      <c r="A2380" t="str">
        <f t="shared" si="869"/>
        <v>0616025477</v>
      </c>
      <c r="B2380" t="str">
        <f t="shared" si="867"/>
        <v>GABRIELLE</v>
      </c>
      <c r="C2380" t="str">
        <f t="shared" si="870"/>
        <v>CAJUSTE</v>
      </c>
      <c r="D2380">
        <f>10</f>
        <v>10</v>
      </c>
      <c r="E2380" t="str">
        <f>"07 - B - 101 - Alejandro  Navarro"</f>
        <v>07 - B - 101 - Alejandro  Navarro</v>
      </c>
      <c r="F2380" t="str">
        <f>"EURHY 1"</f>
        <v>EURHY 1</v>
      </c>
      <c r="G2380" t="str">
        <f>"05-504"</f>
        <v>05-504</v>
      </c>
      <c r="H2380" t="str">
        <f>"B"</f>
        <v>B</v>
      </c>
    </row>
    <row r="2381" spans="1:8" x14ac:dyDescent="0.2">
      <c r="A2381" t="str">
        <f t="shared" si="869"/>
        <v>0616025477</v>
      </c>
      <c r="B2381" t="str">
        <f t="shared" si="867"/>
        <v>GABRIELLE</v>
      </c>
      <c r="C2381" t="str">
        <f t="shared" si="870"/>
        <v>CAJUSTE</v>
      </c>
      <c r="D2381">
        <f>10</f>
        <v>10</v>
      </c>
      <c r="E2381" t="str">
        <f>"05 - B - 105 - Taraneh C Abreu"</f>
        <v>05 - B - 105 - Taraneh C Abreu</v>
      </c>
      <c r="F2381" t="str">
        <f>"INTENS READ 2"</f>
        <v>INTENS READ 2</v>
      </c>
      <c r="G2381" t="str">
        <f>"17-1713"</f>
        <v>17-1713</v>
      </c>
      <c r="H2381" t="str">
        <f>"B"</f>
        <v>B</v>
      </c>
    </row>
    <row r="2382" spans="1:8" x14ac:dyDescent="0.2">
      <c r="A2382" t="str">
        <f t="shared" si="869"/>
        <v>0616025477</v>
      </c>
      <c r="B2382" t="str">
        <f t="shared" si="867"/>
        <v>GABRIELLE</v>
      </c>
      <c r="C2382" t="str">
        <f t="shared" si="870"/>
        <v>CAJUSTE</v>
      </c>
      <c r="D2382">
        <f>10</f>
        <v>10</v>
      </c>
      <c r="E2382" t="str">
        <f>"01 - A - 101 - Vanessa J Liburd"</f>
        <v>01 - A - 101 - Vanessa J Liburd</v>
      </c>
      <c r="F2382" t="str">
        <f>"PRE-AICE FRENCH 1 IG"</f>
        <v>PRE-AICE FRENCH 1 IG</v>
      </c>
      <c r="G2382" t="str">
        <f>"05-519"</f>
        <v>05-519</v>
      </c>
      <c r="H2382" t="str">
        <f>"A"</f>
        <v>A</v>
      </c>
    </row>
    <row r="2383" spans="1:8" x14ac:dyDescent="0.2">
      <c r="A2383" t="str">
        <f t="shared" si="869"/>
        <v>0616025477</v>
      </c>
      <c r="B2383" t="str">
        <f t="shared" si="867"/>
        <v>GABRIELLE</v>
      </c>
      <c r="C2383" t="str">
        <f t="shared" si="870"/>
        <v>CAJUSTE</v>
      </c>
      <c r="D2383">
        <f>10</f>
        <v>10</v>
      </c>
      <c r="E2383" t="str">
        <f>"08 - B - 001 - Scott A Dethloff"</f>
        <v>08 - B - 001 - Scott A Dethloff</v>
      </c>
      <c r="F2383" t="str">
        <f>"CHEMISTRY 1 HON"</f>
        <v>CHEMISTRY 1 HON</v>
      </c>
      <c r="G2383" t="str">
        <f>"08-812"</f>
        <v>08-812</v>
      </c>
      <c r="H2383" t="str">
        <f>"B"</f>
        <v>B</v>
      </c>
    </row>
    <row r="2384" spans="1:8" x14ac:dyDescent="0.2">
      <c r="A2384" t="str">
        <f t="shared" ref="A2384:A2391" si="871">"0616038942"</f>
        <v>0616038942</v>
      </c>
      <c r="B2384" t="str">
        <f t="shared" ref="B2384:B2391" si="872">"DESTINY"</f>
        <v>DESTINY</v>
      </c>
      <c r="C2384" t="str">
        <f t="shared" ref="C2384:C2391" si="873">"CALAHAN"</f>
        <v>CALAHAN</v>
      </c>
      <c r="D2384">
        <f>10</f>
        <v>10</v>
      </c>
      <c r="E2384" t="str">
        <f>"04 - A - 101 - Arthur  Kulawik"</f>
        <v>04 - A - 101 - Arthur  Kulawik</v>
      </c>
      <c r="F2384" t="str">
        <f>"DEBATE 3 HON"</f>
        <v>DEBATE 3 HON</v>
      </c>
      <c r="G2384" t="str">
        <f>"05-506"</f>
        <v>05-506</v>
      </c>
      <c r="H2384" t="str">
        <f>"A"</f>
        <v>A</v>
      </c>
    </row>
    <row r="2385" spans="1:8" x14ac:dyDescent="0.2">
      <c r="A2385" t="str">
        <f t="shared" si="871"/>
        <v>0616038942</v>
      </c>
      <c r="B2385" t="str">
        <f t="shared" si="872"/>
        <v>DESTINY</v>
      </c>
      <c r="C2385" t="str">
        <f t="shared" si="873"/>
        <v>CALAHAN</v>
      </c>
      <c r="D2385">
        <f>10</f>
        <v>10</v>
      </c>
      <c r="E2385" t="str">
        <f>"06 - B - 114 - Richard E Dunbar Iii"</f>
        <v>06 - B - 114 - Richard E Dunbar Iii</v>
      </c>
      <c r="F2385" t="str">
        <f>"NC STUDY HALL 1"</f>
        <v>NC STUDY HALL 1</v>
      </c>
      <c r="G2385" t="str">
        <f>"17-1703"</f>
        <v>17-1703</v>
      </c>
      <c r="H2385" t="str">
        <f>"B"</f>
        <v>B</v>
      </c>
    </row>
    <row r="2386" spans="1:8" x14ac:dyDescent="0.2">
      <c r="A2386" t="str">
        <f t="shared" si="871"/>
        <v>0616038942</v>
      </c>
      <c r="B2386" t="str">
        <f t="shared" si="872"/>
        <v>DESTINY</v>
      </c>
      <c r="C2386" t="str">
        <f t="shared" si="873"/>
        <v>CALAHAN</v>
      </c>
      <c r="D2386">
        <f>10</f>
        <v>10</v>
      </c>
      <c r="E2386" t="str">
        <f>"03 - A - 002 - Nikiel  Nesbeth"</f>
        <v>03 - A - 002 - Nikiel  Nesbeth</v>
      </c>
      <c r="F2386" t="str">
        <f>"PRE-AICE ENG LIT IG"</f>
        <v>PRE-AICE ENG LIT IG</v>
      </c>
      <c r="G2386" t="str">
        <f>"17-1705"</f>
        <v>17-1705</v>
      </c>
      <c r="H2386" t="str">
        <f>"A"</f>
        <v>A</v>
      </c>
    </row>
    <row r="2387" spans="1:8" x14ac:dyDescent="0.2">
      <c r="A2387" t="str">
        <f t="shared" si="871"/>
        <v>0616038942</v>
      </c>
      <c r="B2387" t="str">
        <f t="shared" si="872"/>
        <v>DESTINY</v>
      </c>
      <c r="C2387" t="str">
        <f t="shared" si="873"/>
        <v>CALAHAN</v>
      </c>
      <c r="D2387">
        <f>10</f>
        <v>10</v>
      </c>
      <c r="E2387" t="str">
        <f>"02 - A - 204 - Jacqueline R Morphet"</f>
        <v>02 - A - 204 - Jacqueline R Morphet</v>
      </c>
      <c r="F2387" t="str">
        <f>"PHYSICS 1 HON"</f>
        <v>PHYSICS 1 HON</v>
      </c>
      <c r="G2387" t="str">
        <f>"21-2138"</f>
        <v>21-2138</v>
      </c>
      <c r="H2387" t="str">
        <f>"A"</f>
        <v>A</v>
      </c>
    </row>
    <row r="2388" spans="1:8" x14ac:dyDescent="0.2">
      <c r="A2388" t="str">
        <f t="shared" si="871"/>
        <v>0616038942</v>
      </c>
      <c r="B2388" t="str">
        <f t="shared" si="872"/>
        <v>DESTINY</v>
      </c>
      <c r="C2388" t="str">
        <f t="shared" si="873"/>
        <v>CALAHAN</v>
      </c>
      <c r="D2388">
        <f>10</f>
        <v>10</v>
      </c>
      <c r="E2388" t="str">
        <f>"07 - B - 106 - James H Mccann"</f>
        <v>07 - B - 106 - James H Mccann</v>
      </c>
      <c r="F2388" t="str">
        <f>"ALGEBRA 2"</f>
        <v>ALGEBRA 2</v>
      </c>
      <c r="G2388" t="str">
        <f>"17-1716"</f>
        <v>17-1716</v>
      </c>
      <c r="H2388" t="str">
        <f>"B"</f>
        <v>B</v>
      </c>
    </row>
    <row r="2389" spans="1:8" x14ac:dyDescent="0.2">
      <c r="A2389" t="str">
        <f t="shared" si="871"/>
        <v>0616038942</v>
      </c>
      <c r="B2389" t="str">
        <f t="shared" si="872"/>
        <v>DESTINY</v>
      </c>
      <c r="C2389" t="str">
        <f t="shared" si="873"/>
        <v>CALAHAN</v>
      </c>
      <c r="D2389">
        <f>10</f>
        <v>10</v>
      </c>
      <c r="E2389" t="str">
        <f>"05 - B - 104 - Daniel S Tyson"</f>
        <v>05 - B - 104 - Daniel S Tyson</v>
      </c>
      <c r="F2389" t="str">
        <f>"JROTC NAVAL SCI 2"</f>
        <v>JROTC NAVAL SCI 2</v>
      </c>
      <c r="G2389" t="str">
        <f>"05-510"</f>
        <v>05-510</v>
      </c>
      <c r="H2389" t="str">
        <f>"B"</f>
        <v>B</v>
      </c>
    </row>
    <row r="2390" spans="1:8" x14ac:dyDescent="0.2">
      <c r="A2390" t="str">
        <f t="shared" si="871"/>
        <v>0616038942</v>
      </c>
      <c r="B2390" t="str">
        <f t="shared" si="872"/>
        <v>DESTINY</v>
      </c>
      <c r="C2390" t="str">
        <f t="shared" si="873"/>
        <v>CALAHAN</v>
      </c>
      <c r="D2390">
        <f>10</f>
        <v>10</v>
      </c>
      <c r="E2390" t="str">
        <f>"01 - A - 101 - Marius D Orsolini"</f>
        <v>01 - A - 101 - Marius D Orsolini</v>
      </c>
      <c r="F2390" t="str">
        <f>"CULINARY ARTS 1"</f>
        <v>CULINARY ARTS 1</v>
      </c>
      <c r="G2390" t="str">
        <f>"21-2115"</f>
        <v>21-2115</v>
      </c>
      <c r="H2390" t="str">
        <f>"A"</f>
        <v>A</v>
      </c>
    </row>
    <row r="2391" spans="1:8" x14ac:dyDescent="0.2">
      <c r="A2391" t="str">
        <f t="shared" si="871"/>
        <v>0616038942</v>
      </c>
      <c r="B2391" t="str">
        <f t="shared" si="872"/>
        <v>DESTINY</v>
      </c>
      <c r="C2391" t="str">
        <f t="shared" si="873"/>
        <v>CALAHAN</v>
      </c>
      <c r="D2391">
        <f>10</f>
        <v>10</v>
      </c>
      <c r="E2391" t="str">
        <f>"08 - S1 - B - 105 - James H Mccann"</f>
        <v>08 - S1 - B - 105 - James H Mccann</v>
      </c>
      <c r="F2391" t="str">
        <f>"PERS FIN &amp; MON MGT H"</f>
        <v>PERS FIN &amp; MON MGT H</v>
      </c>
      <c r="G2391" t="str">
        <f>"17-1716"</f>
        <v>17-1716</v>
      </c>
      <c r="H2391" t="str">
        <f>"B"</f>
        <v>B</v>
      </c>
    </row>
    <row r="2392" spans="1:8" x14ac:dyDescent="0.2">
      <c r="A2392" t="str">
        <f t="shared" ref="A2392:A2399" si="874">"0615051927"</f>
        <v>0615051927</v>
      </c>
      <c r="B2392" t="str">
        <f t="shared" ref="B2392:B2399" si="875">"CHRISTIAN"</f>
        <v>CHRISTIAN</v>
      </c>
      <c r="C2392" t="str">
        <f t="shared" ref="C2392:C2399" si="876">"CALIX"</f>
        <v>CALIX</v>
      </c>
      <c r="D2392">
        <f>10</f>
        <v>10</v>
      </c>
      <c r="E2392" t="str">
        <f>"04 - A - 105 - Jacklyn M James"</f>
        <v>04 - A - 105 - Jacklyn M James</v>
      </c>
      <c r="F2392" t="str">
        <f>"AICE ENG LANG AS"</f>
        <v>AICE ENG LANG AS</v>
      </c>
      <c r="G2392" t="str">
        <f>"17-1731"</f>
        <v>17-1731</v>
      </c>
      <c r="H2392" t="str">
        <f>"A"</f>
        <v>A</v>
      </c>
    </row>
    <row r="2393" spans="1:8" x14ac:dyDescent="0.2">
      <c r="A2393" t="str">
        <f t="shared" si="874"/>
        <v>0615051927</v>
      </c>
      <c r="B2393" t="str">
        <f t="shared" si="875"/>
        <v>CHRISTIAN</v>
      </c>
      <c r="C2393" t="str">
        <f t="shared" si="876"/>
        <v>CALIX</v>
      </c>
      <c r="D2393">
        <f>10</f>
        <v>10</v>
      </c>
      <c r="E2393" t="str">
        <f>"06 - B - 118 - Jeanne M Bermudez"</f>
        <v>06 - B - 118 - Jeanne M Bermudez</v>
      </c>
      <c r="F2393" t="str">
        <f>"NC STUDY HALL 1"</f>
        <v>NC STUDY HALL 1</v>
      </c>
      <c r="G2393" t="str">
        <f>"21-2141"</f>
        <v>21-2141</v>
      </c>
      <c r="H2393" t="str">
        <f>"B"</f>
        <v>B</v>
      </c>
    </row>
    <row r="2394" spans="1:8" x14ac:dyDescent="0.2">
      <c r="A2394" t="str">
        <f t="shared" si="874"/>
        <v>0615051927</v>
      </c>
      <c r="B2394" t="str">
        <f t="shared" si="875"/>
        <v>CHRISTIAN</v>
      </c>
      <c r="C2394" t="str">
        <f t="shared" si="876"/>
        <v>CALIX</v>
      </c>
      <c r="D2394">
        <f>10</f>
        <v>10</v>
      </c>
      <c r="E2394" t="str">
        <f>"03 - S1 - A - 101 - Arthur  Kulawik"</f>
        <v>03 - S1 - A - 101 - Arthur  Kulawik</v>
      </c>
      <c r="F2394" t="str">
        <f>"PERS FIN &amp; MON MGT H"</f>
        <v>PERS FIN &amp; MON MGT H</v>
      </c>
      <c r="G2394" t="str">
        <f>"05-506"</f>
        <v>05-506</v>
      </c>
      <c r="H2394" t="str">
        <f>"A"</f>
        <v>A</v>
      </c>
    </row>
    <row r="2395" spans="1:8" x14ac:dyDescent="0.2">
      <c r="A2395" t="str">
        <f t="shared" si="874"/>
        <v>0615051927</v>
      </c>
      <c r="B2395" t="str">
        <f t="shared" si="875"/>
        <v>CHRISTIAN</v>
      </c>
      <c r="C2395" t="str">
        <f t="shared" si="876"/>
        <v>CALIX</v>
      </c>
      <c r="D2395">
        <f>10</f>
        <v>10</v>
      </c>
      <c r="E2395" t="str">
        <f>"02 - A - 201 - Jordana K Hass"</f>
        <v>02 - A - 201 - Jordana K Hass</v>
      </c>
      <c r="F2395" t="str">
        <f>"CHEMISTRY 1"</f>
        <v>CHEMISTRY 1</v>
      </c>
      <c r="G2395" t="str">
        <f>"08-807"</f>
        <v>08-807</v>
      </c>
      <c r="H2395" t="str">
        <f>"A"</f>
        <v>A</v>
      </c>
    </row>
    <row r="2396" spans="1:8" x14ac:dyDescent="0.2">
      <c r="A2396" t="str">
        <f t="shared" si="874"/>
        <v>0615051927</v>
      </c>
      <c r="B2396" t="str">
        <f t="shared" si="875"/>
        <v>CHRISTIAN</v>
      </c>
      <c r="C2396" t="str">
        <f t="shared" si="876"/>
        <v>CALIX</v>
      </c>
      <c r="D2396">
        <f>10</f>
        <v>10</v>
      </c>
      <c r="E2396" t="str">
        <f>"07 - B - 102 - Timothy J Lawrence"</f>
        <v>07 - B - 102 - Timothy J Lawrence</v>
      </c>
      <c r="F2396" t="str">
        <f>"AICE PHYS ED 1 AS"</f>
        <v>AICE PHYS ED 1 AS</v>
      </c>
      <c r="G2396" t="str">
        <f>"05-523"</f>
        <v>05-523</v>
      </c>
      <c r="H2396" t="str">
        <f>"B"</f>
        <v>B</v>
      </c>
    </row>
    <row r="2397" spans="1:8" x14ac:dyDescent="0.2">
      <c r="A2397" t="str">
        <f t="shared" si="874"/>
        <v>0615051927</v>
      </c>
      <c r="B2397" t="str">
        <f t="shared" si="875"/>
        <v>CHRISTIAN</v>
      </c>
      <c r="C2397" t="str">
        <f t="shared" si="876"/>
        <v>CALIX</v>
      </c>
      <c r="D2397">
        <f>10</f>
        <v>10</v>
      </c>
      <c r="E2397" t="str">
        <f>"05 - B - 105 - Marius D Orsolini"</f>
        <v>05 - B - 105 - Marius D Orsolini</v>
      </c>
      <c r="F2397" t="str">
        <f>"CULINARY ARTS 1"</f>
        <v>CULINARY ARTS 1</v>
      </c>
      <c r="G2397" t="str">
        <f>"21-2115"</f>
        <v>21-2115</v>
      </c>
      <c r="H2397" t="str">
        <f>"B"</f>
        <v>B</v>
      </c>
    </row>
    <row r="2398" spans="1:8" x14ac:dyDescent="0.2">
      <c r="A2398" t="str">
        <f t="shared" si="874"/>
        <v>0615051927</v>
      </c>
      <c r="B2398" t="str">
        <f t="shared" si="875"/>
        <v>CHRISTIAN</v>
      </c>
      <c r="C2398" t="str">
        <f t="shared" si="876"/>
        <v>CALIX</v>
      </c>
      <c r="D2398">
        <f>10</f>
        <v>10</v>
      </c>
      <c r="E2398" t="str">
        <f>"01 - A - 001 - Lenecy  Nodarse"</f>
        <v>01 - A - 001 - Lenecy  Nodarse</v>
      </c>
      <c r="F2398" t="str">
        <f>"AICE EURO HIST 1 AS"</f>
        <v>AICE EURO HIST 1 AS</v>
      </c>
      <c r="G2398" t="str">
        <f>"17-1741"</f>
        <v>17-1741</v>
      </c>
      <c r="H2398" t="str">
        <f>"A"</f>
        <v>A</v>
      </c>
    </row>
    <row r="2399" spans="1:8" x14ac:dyDescent="0.2">
      <c r="A2399" t="str">
        <f t="shared" si="874"/>
        <v>0615051927</v>
      </c>
      <c r="B2399" t="str">
        <f t="shared" si="875"/>
        <v>CHRISTIAN</v>
      </c>
      <c r="C2399" t="str">
        <f t="shared" si="876"/>
        <v>CALIX</v>
      </c>
      <c r="D2399">
        <f>10</f>
        <v>10</v>
      </c>
      <c r="E2399" t="str">
        <f>"08 - B - 107 - Dayna M Foster"</f>
        <v>08 - B - 107 - Dayna M Foster</v>
      </c>
      <c r="F2399" t="str">
        <f>"ALGEBRA 2"</f>
        <v>ALGEBRA 2</v>
      </c>
      <c r="G2399" t="str">
        <f>"21-2109"</f>
        <v>21-2109</v>
      </c>
      <c r="H2399" t="str">
        <f>"B"</f>
        <v>B</v>
      </c>
    </row>
    <row r="2400" spans="1:8" x14ac:dyDescent="0.2">
      <c r="A2400" t="str">
        <f t="shared" ref="A2400:A2407" si="877">"0623048202"</f>
        <v>0623048202</v>
      </c>
      <c r="B2400" t="str">
        <f t="shared" ref="B2400:B2407" si="878">"MARIA"</f>
        <v>MARIA</v>
      </c>
      <c r="C2400" t="str">
        <f t="shared" ref="C2400:C2407" si="879">"CALVO SUAREZ"</f>
        <v>CALVO SUAREZ</v>
      </c>
      <c r="D2400" t="str">
        <f t="shared" ref="D2400:D2415" si="880">"09"</f>
        <v>09</v>
      </c>
      <c r="E2400" t="str">
        <f>"04 - A - 104 - Helen A Flores"</f>
        <v>04 - A - 104 - Helen A Flores</v>
      </c>
      <c r="F2400" t="str">
        <f>"FDN SKLS MATH 9-12"</f>
        <v>FDN SKLS MATH 9-12</v>
      </c>
      <c r="G2400" t="str">
        <f>"21-2101"</f>
        <v>21-2101</v>
      </c>
      <c r="H2400" t="str">
        <f>"A"</f>
        <v>A</v>
      </c>
    </row>
    <row r="2401" spans="1:8" x14ac:dyDescent="0.2">
      <c r="A2401" t="str">
        <f t="shared" si="877"/>
        <v>0623048202</v>
      </c>
      <c r="B2401" t="str">
        <f t="shared" si="878"/>
        <v>MARIA</v>
      </c>
      <c r="C2401" t="str">
        <f t="shared" si="879"/>
        <v>CALVO SUAREZ</v>
      </c>
      <c r="D2401" t="str">
        <f t="shared" si="880"/>
        <v>09</v>
      </c>
      <c r="E2401" t="str">
        <f>"06 - B - 104 - Laselleda D Shaw"</f>
        <v>06 - B - 104 - Laselleda D Shaw</v>
      </c>
      <c r="F2401" t="str">
        <f>"INTENS READ 1"</f>
        <v>INTENS READ 1</v>
      </c>
      <c r="G2401" t="str">
        <f>"17-1723"</f>
        <v>17-1723</v>
      </c>
      <c r="H2401" t="str">
        <f>"B"</f>
        <v>B</v>
      </c>
    </row>
    <row r="2402" spans="1:8" x14ac:dyDescent="0.2">
      <c r="A2402" t="str">
        <f t="shared" si="877"/>
        <v>0623048202</v>
      </c>
      <c r="B2402" t="str">
        <f t="shared" si="878"/>
        <v>MARIA</v>
      </c>
      <c r="C2402" t="str">
        <f t="shared" si="879"/>
        <v>CALVO SUAREZ</v>
      </c>
      <c r="D2402" t="str">
        <f t="shared" si="880"/>
        <v>09</v>
      </c>
      <c r="E2402" t="str">
        <f>"03 - A - 105 - Elizabeth Ellen  Moran"</f>
        <v>03 - A - 105 - Elizabeth Ellen  Moran</v>
      </c>
      <c r="F2402" t="str">
        <f>"WORLD HISTORY"</f>
        <v>WORLD HISTORY</v>
      </c>
      <c r="G2402" t="str">
        <f>"17-1752"</f>
        <v>17-1752</v>
      </c>
      <c r="H2402" t="str">
        <f>"A"</f>
        <v>A</v>
      </c>
    </row>
    <row r="2403" spans="1:8" x14ac:dyDescent="0.2">
      <c r="A2403" t="str">
        <f t="shared" si="877"/>
        <v>0623048202</v>
      </c>
      <c r="B2403" t="str">
        <f t="shared" si="878"/>
        <v>MARIA</v>
      </c>
      <c r="C2403" t="str">
        <f t="shared" si="879"/>
        <v>CALVO SUAREZ</v>
      </c>
      <c r="D2403" t="str">
        <f t="shared" si="880"/>
        <v>09</v>
      </c>
      <c r="E2403" t="str">
        <f>"02 - A - 102 - Fernando  Vega-Cid"</f>
        <v>02 - A - 102 - Fernando  Vega-Cid</v>
      </c>
      <c r="F2403" t="str">
        <f>"NC STUDY HALL 1"</f>
        <v>NC STUDY HALL 1</v>
      </c>
      <c r="G2403" t="str">
        <f>"21-2163"</f>
        <v>21-2163</v>
      </c>
      <c r="H2403" t="str">
        <f>"A"</f>
        <v>A</v>
      </c>
    </row>
    <row r="2404" spans="1:8" x14ac:dyDescent="0.2">
      <c r="A2404" t="str">
        <f t="shared" si="877"/>
        <v>0623048202</v>
      </c>
      <c r="B2404" t="str">
        <f t="shared" si="878"/>
        <v>MARIA</v>
      </c>
      <c r="C2404" t="str">
        <f t="shared" si="879"/>
        <v>CALVO SUAREZ</v>
      </c>
      <c r="D2404" t="str">
        <f t="shared" si="880"/>
        <v>09</v>
      </c>
      <c r="E2404" t="str">
        <f>"07 - B - 003 - Samantha J Headley"</f>
        <v>07 - B - 003 - Samantha J Headley</v>
      </c>
      <c r="F2404" t="str">
        <f>"ENV SCI"</f>
        <v>ENV SCI</v>
      </c>
      <c r="G2404" t="str">
        <f>"08-802"</f>
        <v>08-802</v>
      </c>
      <c r="H2404" t="str">
        <f>"B"</f>
        <v>B</v>
      </c>
    </row>
    <row r="2405" spans="1:8" x14ac:dyDescent="0.2">
      <c r="A2405" t="str">
        <f t="shared" si="877"/>
        <v>0623048202</v>
      </c>
      <c r="B2405" t="str">
        <f t="shared" si="878"/>
        <v>MARIA</v>
      </c>
      <c r="C2405" t="str">
        <f t="shared" si="879"/>
        <v>CALVO SUAREZ</v>
      </c>
      <c r="D2405" t="str">
        <f t="shared" si="880"/>
        <v>09</v>
      </c>
      <c r="E2405" t="str">
        <f>"05 - S1 - B - 102 - Richard E Dunbar Iii"</f>
        <v>05 - S1 - B - 102 - Richard E Dunbar Iii</v>
      </c>
      <c r="F2405" t="str">
        <f>"TEAM SPORTS 1"</f>
        <v>TEAM SPORTS 1</v>
      </c>
      <c r="G2405" t="str">
        <f>"04-254"</f>
        <v>04-254</v>
      </c>
      <c r="H2405" t="str">
        <f>"B"</f>
        <v>B</v>
      </c>
    </row>
    <row r="2406" spans="1:8" x14ac:dyDescent="0.2">
      <c r="A2406" t="str">
        <f t="shared" si="877"/>
        <v>0623048202</v>
      </c>
      <c r="B2406" t="str">
        <f t="shared" si="878"/>
        <v>MARIA</v>
      </c>
      <c r="C2406" t="str">
        <f t="shared" si="879"/>
        <v>CALVO SUAREZ</v>
      </c>
      <c r="D2406" t="str">
        <f t="shared" si="880"/>
        <v>09</v>
      </c>
      <c r="E2406" t="str">
        <f>"01 - A - 101 - Cerine S Stewart"</f>
        <v>01 - A - 101 - Cerine S Stewart</v>
      </c>
      <c r="F2406" t="str">
        <f>"ENG 1"</f>
        <v>ENG 1</v>
      </c>
      <c r="G2406" t="str">
        <f>"17-1720"</f>
        <v>17-1720</v>
      </c>
      <c r="H2406" t="str">
        <f>"A"</f>
        <v>A</v>
      </c>
    </row>
    <row r="2407" spans="1:8" x14ac:dyDescent="0.2">
      <c r="A2407" t="str">
        <f t="shared" si="877"/>
        <v>0623048202</v>
      </c>
      <c r="B2407" t="str">
        <f t="shared" si="878"/>
        <v>MARIA</v>
      </c>
      <c r="C2407" t="str">
        <f t="shared" si="879"/>
        <v>CALVO SUAREZ</v>
      </c>
      <c r="D2407" t="str">
        <f t="shared" si="880"/>
        <v>09</v>
      </c>
      <c r="E2407" t="str">
        <f>"08 - B - 106 - Helen A Flores"</f>
        <v>08 - B - 106 - Helen A Flores</v>
      </c>
      <c r="F2407" t="str">
        <f>"ALGEBRA 1"</f>
        <v>ALGEBRA 1</v>
      </c>
      <c r="G2407" t="str">
        <f>"21-2101"</f>
        <v>21-2101</v>
      </c>
      <c r="H2407" t="str">
        <f>"B"</f>
        <v>B</v>
      </c>
    </row>
    <row r="2408" spans="1:8" x14ac:dyDescent="0.2">
      <c r="A2408" t="str">
        <f t="shared" ref="A2408:A2415" si="881">"0617104081"</f>
        <v>0617104081</v>
      </c>
      <c r="B2408" t="str">
        <f t="shared" ref="B2408:B2415" si="882">"ELISSA"</f>
        <v>ELISSA</v>
      </c>
      <c r="C2408" t="str">
        <f t="shared" ref="C2408:C2424" si="883">"CAMACHO"</f>
        <v>CAMACHO</v>
      </c>
      <c r="D2408" t="str">
        <f t="shared" si="880"/>
        <v>09</v>
      </c>
      <c r="E2408" t="str">
        <f>"04 - A - 203 - Cheryl L Beach"</f>
        <v>04 - A - 203 - Cheryl L Beach</v>
      </c>
      <c r="F2408" t="str">
        <f>"AICE ENV MGMNT AS"</f>
        <v>AICE ENV MGMNT AS</v>
      </c>
      <c r="G2408" t="str">
        <f>"08-811"</f>
        <v>08-811</v>
      </c>
      <c r="H2408" t="str">
        <f>"A"</f>
        <v>A</v>
      </c>
    </row>
    <row r="2409" spans="1:8" x14ac:dyDescent="0.2">
      <c r="A2409" t="str">
        <f t="shared" si="881"/>
        <v>0617104081</v>
      </c>
      <c r="B2409" t="str">
        <f t="shared" si="882"/>
        <v>ELISSA</v>
      </c>
      <c r="C2409" t="str">
        <f t="shared" si="883"/>
        <v>CAMACHO</v>
      </c>
      <c r="D2409" t="str">
        <f t="shared" si="880"/>
        <v>09</v>
      </c>
      <c r="E2409" t="str">
        <f>"06 - S1 - B - 104 - Leslie J Barton"</f>
        <v>06 - S1 - B - 104 - Leslie J Barton</v>
      </c>
      <c r="F2409" t="str">
        <f>"FIRST AID SAFETY"</f>
        <v>FIRST AID SAFETY</v>
      </c>
      <c r="G2409" t="str">
        <f>"05-521"</f>
        <v>05-521</v>
      </c>
      <c r="H2409" t="str">
        <f>"B"</f>
        <v>B</v>
      </c>
    </row>
    <row r="2410" spans="1:8" x14ac:dyDescent="0.2">
      <c r="A2410" t="str">
        <f t="shared" si="881"/>
        <v>0617104081</v>
      </c>
      <c r="B2410" t="str">
        <f t="shared" si="882"/>
        <v>ELISSA</v>
      </c>
      <c r="C2410" t="str">
        <f t="shared" si="883"/>
        <v>CAMACHO</v>
      </c>
      <c r="D2410" t="str">
        <f t="shared" si="880"/>
        <v>09</v>
      </c>
      <c r="E2410" t="str">
        <f>"03 - A - 103 - Kelly N Panza"</f>
        <v>03 - A - 103 - Kelly N Panza</v>
      </c>
      <c r="F2410" t="str">
        <f>"AICE GLBL PERSP 1 AS"</f>
        <v>AICE GLBL PERSP 1 AS</v>
      </c>
      <c r="G2410" t="str">
        <f>"17-1753"</f>
        <v>17-1753</v>
      </c>
      <c r="H2410" t="str">
        <f>"A"</f>
        <v>A</v>
      </c>
    </row>
    <row r="2411" spans="1:8" x14ac:dyDescent="0.2">
      <c r="A2411" t="str">
        <f t="shared" si="881"/>
        <v>0617104081</v>
      </c>
      <c r="B2411" t="str">
        <f t="shared" si="882"/>
        <v>ELISSA</v>
      </c>
      <c r="C2411" t="str">
        <f t="shared" si="883"/>
        <v>CAMACHO</v>
      </c>
      <c r="D2411" t="str">
        <f t="shared" si="880"/>
        <v>09</v>
      </c>
      <c r="E2411" t="str">
        <f>"02 - A - 104 - Lytrell T Dixon"</f>
        <v>02 - A - 104 - Lytrell T Dixon</v>
      </c>
      <c r="F2411" t="str">
        <f>"NC STUDY HALL 1"</f>
        <v>NC STUDY HALL 1</v>
      </c>
      <c r="G2411" t="str">
        <f>"08-808"</f>
        <v>08-808</v>
      </c>
      <c r="H2411" t="str">
        <f>"A"</f>
        <v>A</v>
      </c>
    </row>
    <row r="2412" spans="1:8" x14ac:dyDescent="0.2">
      <c r="A2412" t="str">
        <f t="shared" si="881"/>
        <v>0617104081</v>
      </c>
      <c r="B2412" t="str">
        <f t="shared" si="882"/>
        <v>ELISSA</v>
      </c>
      <c r="C2412" t="str">
        <f t="shared" si="883"/>
        <v>CAMACHO</v>
      </c>
      <c r="D2412" t="str">
        <f t="shared" si="880"/>
        <v>09</v>
      </c>
      <c r="E2412" t="str">
        <f>"07 - B - 001 - Cheryl Anne  Berman-Schechter"</f>
        <v>07 - B - 001 - Cheryl Anne  Berman-Schechter</v>
      </c>
      <c r="F2412" t="str">
        <f>"AICE ENG GEN PAPER 1"</f>
        <v>AICE ENG GEN PAPER 1</v>
      </c>
      <c r="G2412" t="str">
        <f>"17-1722"</f>
        <v>17-1722</v>
      </c>
      <c r="H2412" t="str">
        <f>"B"</f>
        <v>B</v>
      </c>
    </row>
    <row r="2413" spans="1:8" x14ac:dyDescent="0.2">
      <c r="A2413" t="str">
        <f t="shared" si="881"/>
        <v>0617104081</v>
      </c>
      <c r="B2413" t="str">
        <f t="shared" si="882"/>
        <v>ELISSA</v>
      </c>
      <c r="C2413" t="str">
        <f t="shared" si="883"/>
        <v>CAMACHO</v>
      </c>
      <c r="D2413" t="str">
        <f t="shared" si="880"/>
        <v>09</v>
      </c>
      <c r="E2413" t="str">
        <f>"05 - B - 104 - Joe  Kilpatrick Jr"</f>
        <v>05 - B - 104 - Joe  Kilpatrick Jr</v>
      </c>
      <c r="F2413" t="str">
        <f>"PRE-AICE SPAN 1 IG"</f>
        <v>PRE-AICE SPAN 1 IG</v>
      </c>
      <c r="G2413" t="str">
        <f>"09-912"</f>
        <v>09-912</v>
      </c>
      <c r="H2413" t="str">
        <f>"B"</f>
        <v>B</v>
      </c>
    </row>
    <row r="2414" spans="1:8" x14ac:dyDescent="0.2">
      <c r="A2414" t="str">
        <f t="shared" si="881"/>
        <v>0617104081</v>
      </c>
      <c r="B2414" t="str">
        <f t="shared" si="882"/>
        <v>ELISSA</v>
      </c>
      <c r="C2414" t="str">
        <f t="shared" si="883"/>
        <v>CAMACHO</v>
      </c>
      <c r="D2414" t="str">
        <f t="shared" si="880"/>
        <v>09</v>
      </c>
      <c r="E2414" t="str">
        <f>"01 - A - 504 - Alejandro  Navarro"</f>
        <v>01 - A - 504 - Alejandro  Navarro</v>
      </c>
      <c r="F2414" t="str">
        <f>"BAND 1"</f>
        <v>BAND 1</v>
      </c>
      <c r="G2414" t="str">
        <f>"05-504"</f>
        <v>05-504</v>
      </c>
      <c r="H2414" t="str">
        <f>"A"</f>
        <v>A</v>
      </c>
    </row>
    <row r="2415" spans="1:8" x14ac:dyDescent="0.2">
      <c r="A2415" t="str">
        <f t="shared" si="881"/>
        <v>0617104081</v>
      </c>
      <c r="B2415" t="str">
        <f t="shared" si="882"/>
        <v>ELISSA</v>
      </c>
      <c r="C2415" t="str">
        <f t="shared" si="883"/>
        <v>CAMACHO</v>
      </c>
      <c r="D2415" t="str">
        <f t="shared" si="880"/>
        <v>09</v>
      </c>
      <c r="E2415" t="str">
        <f>"08 - B - 102 - Maried P Ramos"</f>
        <v>08 - B - 102 - Maried P Ramos</v>
      </c>
      <c r="F2415" t="str">
        <f>"ALGEBRA 2 HON"</f>
        <v>ALGEBRA 2 HON</v>
      </c>
      <c r="G2415" t="str">
        <f>"21-2159"</f>
        <v>21-2159</v>
      </c>
      <c r="H2415" t="str">
        <f>"B"</f>
        <v>B</v>
      </c>
    </row>
    <row r="2416" spans="1:8" x14ac:dyDescent="0.2">
      <c r="A2416" t="str">
        <f t="shared" ref="A2416:A2424" si="884">"0613096620"</f>
        <v>0613096620</v>
      </c>
      <c r="B2416" t="str">
        <f t="shared" ref="B2416:B2424" si="885">"JAZMIN"</f>
        <v>JAZMIN</v>
      </c>
      <c r="C2416" t="str">
        <f t="shared" si="883"/>
        <v>CAMACHO</v>
      </c>
      <c r="D2416">
        <f>12</f>
        <v>12</v>
      </c>
      <c r="E2416" t="str">
        <f>"04 - A - 101 - Thomas G Handwerg"</f>
        <v>04 - A - 101 - Thomas G Handwerg</v>
      </c>
      <c r="F2416" t="str">
        <f>"MATH COLL ALGEBRA"</f>
        <v>MATH COLL ALGEBRA</v>
      </c>
      <c r="G2416" t="str">
        <f>"21-2146"</f>
        <v>21-2146</v>
      </c>
      <c r="H2416" t="str">
        <f>"A"</f>
        <v>A</v>
      </c>
    </row>
    <row r="2417" spans="1:8" x14ac:dyDescent="0.2">
      <c r="A2417" t="str">
        <f t="shared" si="884"/>
        <v>0613096620</v>
      </c>
      <c r="B2417" t="str">
        <f t="shared" si="885"/>
        <v>JAZMIN</v>
      </c>
      <c r="C2417" t="str">
        <f t="shared" si="883"/>
        <v>CAMACHO</v>
      </c>
      <c r="D2417">
        <f>12</f>
        <v>12</v>
      </c>
      <c r="E2417" t="str">
        <f>"06 - B - 108 - Jacquelyn M Neeson"</f>
        <v>06 - B - 108 - Jacquelyn M Neeson</v>
      </c>
      <c r="F2417" t="str">
        <f>"NC STUDY HALL 1"</f>
        <v>NC STUDY HALL 1</v>
      </c>
      <c r="G2417" t="str">
        <f>"17-1715"</f>
        <v>17-1715</v>
      </c>
      <c r="H2417" t="str">
        <f>"B"</f>
        <v>B</v>
      </c>
    </row>
    <row r="2418" spans="1:8" x14ac:dyDescent="0.2">
      <c r="A2418" t="str">
        <f t="shared" si="884"/>
        <v>0613096620</v>
      </c>
      <c r="B2418" t="str">
        <f t="shared" si="885"/>
        <v>JAZMIN</v>
      </c>
      <c r="C2418" t="str">
        <f t="shared" si="883"/>
        <v>CAMACHO</v>
      </c>
      <c r="D2418">
        <f>12</f>
        <v>12</v>
      </c>
      <c r="E2418" t="str">
        <f>"06 - B - 116 - Karen A Toomer"</f>
        <v>06 - B - 116 - Karen A Toomer</v>
      </c>
      <c r="F2418" t="str">
        <f>"LANG THERAPY"</f>
        <v>LANG THERAPY</v>
      </c>
      <c r="G2418" t="str">
        <f>"21-2110"</f>
        <v>21-2110</v>
      </c>
      <c r="H2418" t="str">
        <f>"B"</f>
        <v>B</v>
      </c>
    </row>
    <row r="2419" spans="1:8" x14ac:dyDescent="0.2">
      <c r="A2419" t="str">
        <f t="shared" si="884"/>
        <v>0613096620</v>
      </c>
      <c r="B2419" t="str">
        <f t="shared" si="885"/>
        <v>JAZMIN</v>
      </c>
      <c r="C2419" t="str">
        <f t="shared" si="883"/>
        <v>CAMACHO</v>
      </c>
      <c r="D2419">
        <f>12</f>
        <v>12</v>
      </c>
      <c r="E2419" t="str">
        <f>"03 - A - 101 - Carleigh R Carmichael"</f>
        <v>03 - A - 101 - Carleigh R Carmichael</v>
      </c>
      <c r="F2419" t="str">
        <f>"LEAD SKLS DEV LH"</f>
        <v>LEAD SKLS DEV LH</v>
      </c>
      <c r="G2419" t="str">
        <f>"20-2072"</f>
        <v>20-2072</v>
      </c>
      <c r="H2419" t="str">
        <f>"A"</f>
        <v>A</v>
      </c>
    </row>
    <row r="2420" spans="1:8" x14ac:dyDescent="0.2">
      <c r="A2420" t="str">
        <f t="shared" si="884"/>
        <v>0613096620</v>
      </c>
      <c r="B2420" t="str">
        <f t="shared" si="885"/>
        <v>JAZMIN</v>
      </c>
      <c r="C2420" t="str">
        <f t="shared" si="883"/>
        <v>CAMACHO</v>
      </c>
      <c r="D2420">
        <f>12</f>
        <v>12</v>
      </c>
      <c r="E2420" t="str">
        <f>"02 - S1 - A - 103 - Barbara L Segal"</f>
        <v>02 - S1 - A - 103 - Barbara L Segal</v>
      </c>
      <c r="F2420" t="str">
        <f>"US GOVT HON"</f>
        <v>US GOVT HON</v>
      </c>
      <c r="G2420" t="str">
        <f>"17-1742"</f>
        <v>17-1742</v>
      </c>
      <c r="H2420" t="str">
        <f>"A"</f>
        <v>A</v>
      </c>
    </row>
    <row r="2421" spans="1:8" x14ac:dyDescent="0.2">
      <c r="A2421" t="str">
        <f t="shared" si="884"/>
        <v>0613096620</v>
      </c>
      <c r="B2421" t="str">
        <f t="shared" si="885"/>
        <v>JAZMIN</v>
      </c>
      <c r="C2421" t="str">
        <f t="shared" si="883"/>
        <v>CAMACHO</v>
      </c>
      <c r="D2421">
        <f>12</f>
        <v>12</v>
      </c>
      <c r="E2421" t="str">
        <f>"07 - B - 204 - Stefanie S Scher"</f>
        <v>07 - B - 204 - Stefanie S Scher</v>
      </c>
      <c r="F2421" t="str">
        <f>"AP PSYCH"</f>
        <v>AP PSYCH</v>
      </c>
      <c r="G2421" t="str">
        <f>"17-1735"</f>
        <v>17-1735</v>
      </c>
      <c r="H2421" t="str">
        <f>"B"</f>
        <v>B</v>
      </c>
    </row>
    <row r="2422" spans="1:8" x14ac:dyDescent="0.2">
      <c r="A2422" t="str">
        <f t="shared" si="884"/>
        <v>0613096620</v>
      </c>
      <c r="B2422" t="str">
        <f t="shared" si="885"/>
        <v>JAZMIN</v>
      </c>
      <c r="C2422" t="str">
        <f t="shared" si="883"/>
        <v>CAMACHO</v>
      </c>
      <c r="D2422">
        <f>12</f>
        <v>12</v>
      </c>
      <c r="E2422" t="str">
        <f>"05 - B - 104 - Jeffrey S Gallagher"</f>
        <v>05 - B - 104 - Jeffrey S Gallagher</v>
      </c>
      <c r="F2422" t="str">
        <f>"ENG HON 4"</f>
        <v>ENG HON 4</v>
      </c>
      <c r="G2422" t="str">
        <f>"17-1724"</f>
        <v>17-1724</v>
      </c>
      <c r="H2422" t="str">
        <f>"B"</f>
        <v>B</v>
      </c>
    </row>
    <row r="2423" spans="1:8" x14ac:dyDescent="0.2">
      <c r="A2423" t="str">
        <f t="shared" si="884"/>
        <v>0613096620</v>
      </c>
      <c r="B2423" t="str">
        <f t="shared" si="885"/>
        <v>JAZMIN</v>
      </c>
      <c r="C2423" t="str">
        <f t="shared" si="883"/>
        <v>CAMACHO</v>
      </c>
      <c r="D2423">
        <f>12</f>
        <v>12</v>
      </c>
      <c r="E2423" t="str">
        <f>"01 - A - 201 - Jeanne M Bermudez"</f>
        <v>01 - A - 201 - Jeanne M Bermudez</v>
      </c>
      <c r="F2423" t="str">
        <f>"PHYSICS 1 HON"</f>
        <v>PHYSICS 1 HON</v>
      </c>
      <c r="G2423" t="str">
        <f>"21-2141"</f>
        <v>21-2141</v>
      </c>
      <c r="H2423" t="str">
        <f>"A"</f>
        <v>A</v>
      </c>
    </row>
    <row r="2424" spans="1:8" x14ac:dyDescent="0.2">
      <c r="A2424" t="str">
        <f t="shared" si="884"/>
        <v>0613096620</v>
      </c>
      <c r="B2424" t="str">
        <f t="shared" si="885"/>
        <v>JAZMIN</v>
      </c>
      <c r="C2424" t="str">
        <f t="shared" si="883"/>
        <v>CAMACHO</v>
      </c>
      <c r="D2424">
        <f>12</f>
        <v>12</v>
      </c>
      <c r="E2424" t="str">
        <f>"08 - B - 101 - Jazmin S Fletcher"</f>
        <v>08 - B - 101 - Jazmin S Fletcher</v>
      </c>
      <c r="F2424" t="str">
        <f>"PRE-AICE DRAMA 1G"</f>
        <v>PRE-AICE DRAMA 1G</v>
      </c>
      <c r="G2424" t="str">
        <f>"09-909"</f>
        <v>09-909</v>
      </c>
      <c r="H2424" t="str">
        <f>"B"</f>
        <v>B</v>
      </c>
    </row>
    <row r="2425" spans="1:8" x14ac:dyDescent="0.2">
      <c r="A2425" t="str">
        <f t="shared" ref="A2425:A2432" si="886">"0615110397"</f>
        <v>0615110397</v>
      </c>
      <c r="B2425" t="str">
        <f t="shared" ref="B2425:B2432" si="887">"SKYLER"</f>
        <v>SKYLER</v>
      </c>
      <c r="C2425" t="str">
        <f t="shared" ref="C2425:C2432" si="888">"CAMBRON"</f>
        <v>CAMBRON</v>
      </c>
      <c r="D2425">
        <f>10</f>
        <v>10</v>
      </c>
      <c r="E2425" t="str">
        <f>"04 - A - 104 - Nikiel  Nesbeth"</f>
        <v>04 - A - 104 - Nikiel  Nesbeth</v>
      </c>
      <c r="F2425" t="str">
        <f>"ENG 2"</f>
        <v>ENG 2</v>
      </c>
      <c r="G2425" t="str">
        <f>"17-1705"</f>
        <v>17-1705</v>
      </c>
      <c r="H2425" t="str">
        <f>"A"</f>
        <v>A</v>
      </c>
    </row>
    <row r="2426" spans="1:8" x14ac:dyDescent="0.2">
      <c r="A2426" t="str">
        <f t="shared" si="886"/>
        <v>0615110397</v>
      </c>
      <c r="B2426" t="str">
        <f t="shared" si="887"/>
        <v>SKYLER</v>
      </c>
      <c r="C2426" t="str">
        <f t="shared" si="888"/>
        <v>CAMBRON</v>
      </c>
      <c r="D2426">
        <f>10</f>
        <v>10</v>
      </c>
      <c r="E2426" t="str">
        <f>"06 - B - 110 - Jerry S Jiampetti"</f>
        <v>06 - B - 110 - Jerry S Jiampetti</v>
      </c>
      <c r="F2426" t="str">
        <f>"NC STUDY HALL 1"</f>
        <v>NC STUDY HALL 1</v>
      </c>
      <c r="G2426" t="str">
        <f>"17-1751"</f>
        <v>17-1751</v>
      </c>
      <c r="H2426" t="str">
        <f>"B"</f>
        <v>B</v>
      </c>
    </row>
    <row r="2427" spans="1:8" x14ac:dyDescent="0.2">
      <c r="A2427" t="str">
        <f t="shared" si="886"/>
        <v>0615110397</v>
      </c>
      <c r="B2427" t="str">
        <f t="shared" si="887"/>
        <v>SKYLER</v>
      </c>
      <c r="C2427" t="str">
        <f t="shared" si="888"/>
        <v>CAMBRON</v>
      </c>
      <c r="D2427">
        <f>10</f>
        <v>10</v>
      </c>
      <c r="E2427" t="str">
        <f>"03 - A - 101 - Samantha L Martinez"</f>
        <v>03 - A - 101 - Samantha L Martinez</v>
      </c>
      <c r="F2427" t="str">
        <f>"VOCAL ENS 1"</f>
        <v>VOCAL ENS 1</v>
      </c>
      <c r="G2427" t="str">
        <f>"05-505"</f>
        <v>05-505</v>
      </c>
      <c r="H2427" t="str">
        <f>"A"</f>
        <v>A</v>
      </c>
    </row>
    <row r="2428" spans="1:8" x14ac:dyDescent="0.2">
      <c r="A2428" t="str">
        <f t="shared" si="886"/>
        <v>0615110397</v>
      </c>
      <c r="B2428" t="str">
        <f t="shared" si="887"/>
        <v>SKYLER</v>
      </c>
      <c r="C2428" t="str">
        <f t="shared" si="888"/>
        <v>CAMBRON</v>
      </c>
      <c r="D2428">
        <f>10</f>
        <v>10</v>
      </c>
      <c r="E2428" t="str">
        <f>"02 - S1 - A - 102 - Richard E Dunbar Iii"</f>
        <v>02 - S1 - A - 102 - Richard E Dunbar Iii</v>
      </c>
      <c r="F2428" t="str">
        <f>"WEIGHT TRAIN 1"</f>
        <v>WEIGHT TRAIN 1</v>
      </c>
      <c r="G2428" t="str">
        <f>"05-501"</f>
        <v>05-501</v>
      </c>
      <c r="H2428" t="str">
        <f>"A"</f>
        <v>A</v>
      </c>
    </row>
    <row r="2429" spans="1:8" x14ac:dyDescent="0.2">
      <c r="A2429" t="str">
        <f t="shared" si="886"/>
        <v>0615110397</v>
      </c>
      <c r="B2429" t="str">
        <f t="shared" si="887"/>
        <v>SKYLER</v>
      </c>
      <c r="C2429" t="str">
        <f t="shared" si="888"/>
        <v>CAMBRON</v>
      </c>
      <c r="D2429">
        <f>10</f>
        <v>10</v>
      </c>
      <c r="E2429" t="str">
        <f>"07 - B - 107 - Lytrell T Dixon"</f>
        <v>07 - B - 107 - Lytrell T Dixon</v>
      </c>
      <c r="F2429" t="str">
        <f>"BIOLOGY 1"</f>
        <v>BIOLOGY 1</v>
      </c>
      <c r="G2429" t="str">
        <f>"08-808"</f>
        <v>08-808</v>
      </c>
      <c r="H2429" t="str">
        <f>"B"</f>
        <v>B</v>
      </c>
    </row>
    <row r="2430" spans="1:8" x14ac:dyDescent="0.2">
      <c r="A2430" t="str">
        <f t="shared" si="886"/>
        <v>0615110397</v>
      </c>
      <c r="B2430" t="str">
        <f t="shared" si="887"/>
        <v>SKYLER</v>
      </c>
      <c r="C2430" t="str">
        <f t="shared" si="888"/>
        <v>CAMBRON</v>
      </c>
      <c r="D2430">
        <f>10</f>
        <v>10</v>
      </c>
      <c r="E2430" t="str">
        <f>"05 - B - 104 - Joe  Kilpatrick Jr"</f>
        <v>05 - B - 104 - Joe  Kilpatrick Jr</v>
      </c>
      <c r="F2430" t="str">
        <f>"PRE-AICE SPAN 1 IG"</f>
        <v>PRE-AICE SPAN 1 IG</v>
      </c>
      <c r="G2430" t="str">
        <f>"09-912"</f>
        <v>09-912</v>
      </c>
      <c r="H2430" t="str">
        <f>"B"</f>
        <v>B</v>
      </c>
    </row>
    <row r="2431" spans="1:8" x14ac:dyDescent="0.2">
      <c r="A2431" t="str">
        <f t="shared" si="886"/>
        <v>0615110397</v>
      </c>
      <c r="B2431" t="str">
        <f t="shared" si="887"/>
        <v>SKYLER</v>
      </c>
      <c r="C2431" t="str">
        <f t="shared" si="888"/>
        <v>CAMBRON</v>
      </c>
      <c r="D2431">
        <f>10</f>
        <v>10</v>
      </c>
      <c r="E2431" t="str">
        <f>"01 - A - 104 - Milca  Exantus"</f>
        <v>01 - A - 104 - Milca  Exantus</v>
      </c>
      <c r="F2431" t="str">
        <f>"MATH COLLEGE LIB ART"</f>
        <v>MATH COLLEGE LIB ART</v>
      </c>
      <c r="G2431" t="str">
        <f>"21-2145"</f>
        <v>21-2145</v>
      </c>
      <c r="H2431" t="str">
        <f>"A"</f>
        <v>A</v>
      </c>
    </row>
    <row r="2432" spans="1:8" x14ac:dyDescent="0.2">
      <c r="A2432" t="str">
        <f t="shared" si="886"/>
        <v>0615110397</v>
      </c>
      <c r="B2432" t="str">
        <f t="shared" si="887"/>
        <v>SKYLER</v>
      </c>
      <c r="C2432" t="str">
        <f t="shared" si="888"/>
        <v>CAMBRON</v>
      </c>
      <c r="D2432">
        <f>10</f>
        <v>10</v>
      </c>
      <c r="E2432" t="str">
        <f>"08 - B - 001 - Brian M Fitzgerald"</f>
        <v>08 - B - 001 - Brian M Fitzgerald</v>
      </c>
      <c r="F2432" t="str">
        <f>"CERAM/POT 1"</f>
        <v>CERAM/POT 1</v>
      </c>
      <c r="G2432" t="str">
        <f>"09-908"</f>
        <v>09-908</v>
      </c>
      <c r="H2432" t="str">
        <f>"B"</f>
        <v>B</v>
      </c>
    </row>
    <row r="2433" spans="1:8" x14ac:dyDescent="0.2">
      <c r="A2433" t="str">
        <f t="shared" ref="A2433:A2440" si="889">"0623124846"</f>
        <v>0623124846</v>
      </c>
      <c r="B2433" t="str">
        <f t="shared" ref="B2433:B2440" si="890">"ANDRIANA"</f>
        <v>ANDRIANA</v>
      </c>
      <c r="C2433" t="str">
        <f t="shared" ref="C2433:C2440" si="891">"CAMILO GERMOSEN"</f>
        <v>CAMILO GERMOSEN</v>
      </c>
      <c r="D2433" t="str">
        <f t="shared" ref="D2433:D2440" si="892">"09"</f>
        <v>09</v>
      </c>
      <c r="E2433" t="str">
        <f>"04 - A - 107 - Amy Beth  Broyles"</f>
        <v>04 - A - 107 - Amy Beth  Broyles</v>
      </c>
      <c r="F2433" t="str">
        <f>"ENV SCI"</f>
        <v>ENV SCI</v>
      </c>
      <c r="G2433" t="str">
        <f>"08-802"</f>
        <v>08-802</v>
      </c>
      <c r="H2433" t="str">
        <f>"A"</f>
        <v>A</v>
      </c>
    </row>
    <row r="2434" spans="1:8" x14ac:dyDescent="0.2">
      <c r="A2434" t="str">
        <f t="shared" si="889"/>
        <v>0623124846</v>
      </c>
      <c r="B2434" t="str">
        <f t="shared" si="890"/>
        <v>ANDRIANA</v>
      </c>
      <c r="C2434" t="str">
        <f t="shared" si="891"/>
        <v>CAMILO GERMOSEN</v>
      </c>
      <c r="D2434" t="str">
        <f t="shared" si="892"/>
        <v>09</v>
      </c>
      <c r="E2434" t="str">
        <f>"06 - B - 105 - Tina L Lovett"</f>
        <v>06 - B - 105 - Tina L Lovett</v>
      </c>
      <c r="F2434" t="str">
        <f>"FDN SKLS MATH 9-12"</f>
        <v>FDN SKLS MATH 9-12</v>
      </c>
      <c r="G2434" t="str">
        <f>"21-2153"</f>
        <v>21-2153</v>
      </c>
      <c r="H2434" t="str">
        <f>"B"</f>
        <v>B</v>
      </c>
    </row>
    <row r="2435" spans="1:8" x14ac:dyDescent="0.2">
      <c r="A2435" t="str">
        <f t="shared" si="889"/>
        <v>0623124846</v>
      </c>
      <c r="B2435" t="str">
        <f t="shared" si="890"/>
        <v>ANDRIANA</v>
      </c>
      <c r="C2435" t="str">
        <f t="shared" si="891"/>
        <v>CAMILO GERMOSEN</v>
      </c>
      <c r="D2435" t="str">
        <f t="shared" si="892"/>
        <v>09</v>
      </c>
      <c r="E2435" t="str">
        <f>"03 - A - 201 - Christa T Parisi"</f>
        <v>03 - A - 201 - Christa T Parisi</v>
      </c>
      <c r="F2435" t="str">
        <f>"DANCE TECHNQS 1"</f>
        <v>DANCE TECHNQS 1</v>
      </c>
      <c r="G2435" t="str">
        <f>"05-503"</f>
        <v>05-503</v>
      </c>
      <c r="H2435" t="str">
        <f>"A"</f>
        <v>A</v>
      </c>
    </row>
    <row r="2436" spans="1:8" x14ac:dyDescent="0.2">
      <c r="A2436" t="str">
        <f t="shared" si="889"/>
        <v>0623124846</v>
      </c>
      <c r="B2436" t="str">
        <f t="shared" si="890"/>
        <v>ANDRIANA</v>
      </c>
      <c r="C2436" t="str">
        <f t="shared" si="891"/>
        <v>CAMILO GERMOSEN</v>
      </c>
      <c r="D2436" t="str">
        <f t="shared" si="892"/>
        <v>09</v>
      </c>
      <c r="E2436" t="str">
        <f>"02 - A - 101 - Milca  Exantus"</f>
        <v>02 - A - 101 - Milca  Exantus</v>
      </c>
      <c r="F2436" t="str">
        <f>"NC STUDY HALL 1"</f>
        <v>NC STUDY HALL 1</v>
      </c>
      <c r="G2436" t="str">
        <f>"21-2145"</f>
        <v>21-2145</v>
      </c>
      <c r="H2436" t="str">
        <f>"A"</f>
        <v>A</v>
      </c>
    </row>
    <row r="2437" spans="1:8" x14ac:dyDescent="0.2">
      <c r="A2437" t="str">
        <f t="shared" si="889"/>
        <v>0623124846</v>
      </c>
      <c r="B2437" t="str">
        <f t="shared" si="890"/>
        <v>ANDRIANA</v>
      </c>
      <c r="C2437" t="str">
        <f t="shared" si="891"/>
        <v>CAMILO GERMOSEN</v>
      </c>
      <c r="D2437" t="str">
        <f t="shared" si="892"/>
        <v>09</v>
      </c>
      <c r="E2437" t="str">
        <f>"07 - B - 104 - Lissa C Frederique"</f>
        <v>07 - B - 104 - Lissa C Frederique</v>
      </c>
      <c r="F2437" t="str">
        <f>"WORLD HISTORY"</f>
        <v>WORLD HISTORY</v>
      </c>
      <c r="G2437" t="str">
        <f>"17-1754"</f>
        <v>17-1754</v>
      </c>
      <c r="H2437" t="str">
        <f>"B"</f>
        <v>B</v>
      </c>
    </row>
    <row r="2438" spans="1:8" x14ac:dyDescent="0.2">
      <c r="A2438" t="str">
        <f t="shared" si="889"/>
        <v>0623124846</v>
      </c>
      <c r="B2438" t="str">
        <f t="shared" si="890"/>
        <v>ANDRIANA</v>
      </c>
      <c r="C2438" t="str">
        <f t="shared" si="891"/>
        <v>CAMILO GERMOSEN</v>
      </c>
      <c r="D2438" t="str">
        <f t="shared" si="892"/>
        <v>09</v>
      </c>
      <c r="E2438" t="str">
        <f>"05 - B - 001 - Laselleda D Shaw"</f>
        <v>05 - B - 001 - Laselleda D Shaw</v>
      </c>
      <c r="F2438" t="str">
        <f>"INTENS READ 1"</f>
        <v>INTENS READ 1</v>
      </c>
      <c r="G2438" t="str">
        <f>"17-1723"</f>
        <v>17-1723</v>
      </c>
      <c r="H2438" t="str">
        <f>"B"</f>
        <v>B</v>
      </c>
    </row>
    <row r="2439" spans="1:8" x14ac:dyDescent="0.2">
      <c r="A2439" t="str">
        <f t="shared" si="889"/>
        <v>0623124846</v>
      </c>
      <c r="B2439" t="str">
        <f t="shared" si="890"/>
        <v>ANDRIANA</v>
      </c>
      <c r="C2439" t="str">
        <f t="shared" si="891"/>
        <v>CAMILO GERMOSEN</v>
      </c>
      <c r="D2439" t="str">
        <f t="shared" si="892"/>
        <v>09</v>
      </c>
      <c r="E2439" t="str">
        <f>"01 - A - 101 - Tina L Lovett"</f>
        <v>01 - A - 101 - Tina L Lovett</v>
      </c>
      <c r="F2439" t="str">
        <f>"ALGEBRA 1"</f>
        <v>ALGEBRA 1</v>
      </c>
      <c r="G2439" t="str">
        <f>"21-2153"</f>
        <v>21-2153</v>
      </c>
      <c r="H2439" t="str">
        <f>"A"</f>
        <v>A</v>
      </c>
    </row>
    <row r="2440" spans="1:8" x14ac:dyDescent="0.2">
      <c r="A2440" t="str">
        <f t="shared" si="889"/>
        <v>0623124846</v>
      </c>
      <c r="B2440" t="str">
        <f t="shared" si="890"/>
        <v>ANDRIANA</v>
      </c>
      <c r="C2440" t="str">
        <f t="shared" si="891"/>
        <v>CAMILO GERMOSEN</v>
      </c>
      <c r="D2440" t="str">
        <f t="shared" si="892"/>
        <v>09</v>
      </c>
      <c r="E2440" t="str">
        <f>"08 - B - 108 - Cerine S Stewart"</f>
        <v>08 - B - 108 - Cerine S Stewart</v>
      </c>
      <c r="F2440" t="str">
        <f>"ENG 1"</f>
        <v>ENG 1</v>
      </c>
      <c r="G2440" t="str">
        <f>"17-1720"</f>
        <v>17-1720</v>
      </c>
      <c r="H2440" t="str">
        <f>"B"</f>
        <v>B</v>
      </c>
    </row>
    <row r="2441" spans="1:8" x14ac:dyDescent="0.2">
      <c r="A2441" t="str">
        <f t="shared" ref="A2441:A2448" si="893">"0616029355"</f>
        <v>0616029355</v>
      </c>
      <c r="B2441" t="str">
        <f t="shared" ref="B2441:B2448" si="894">"HANYA"</f>
        <v>HANYA</v>
      </c>
      <c r="C2441" t="str">
        <f t="shared" ref="C2441:C2472" si="895">"CAMPBELL"</f>
        <v>CAMPBELL</v>
      </c>
      <c r="D2441">
        <f>10</f>
        <v>10</v>
      </c>
      <c r="E2441" t="str">
        <f>"04 - A - 201 - Arthur  Kulawik"</f>
        <v>04 - A - 201 - Arthur  Kulawik</v>
      </c>
      <c r="F2441" t="str">
        <f>"DEBATE 4 HON"</f>
        <v>DEBATE 4 HON</v>
      </c>
      <c r="G2441" t="str">
        <f>"05-506"</f>
        <v>05-506</v>
      </c>
      <c r="H2441" t="str">
        <f>"A"</f>
        <v>A</v>
      </c>
    </row>
    <row r="2442" spans="1:8" x14ac:dyDescent="0.2">
      <c r="A2442" t="str">
        <f t="shared" si="893"/>
        <v>0616029355</v>
      </c>
      <c r="B2442" t="str">
        <f t="shared" si="894"/>
        <v>HANYA</v>
      </c>
      <c r="C2442" t="str">
        <f t="shared" si="895"/>
        <v>CAMPBELL</v>
      </c>
      <c r="D2442">
        <f>10</f>
        <v>10</v>
      </c>
      <c r="E2442" t="str">
        <f>"06 - B - 108 - Jacklyn M James"</f>
        <v>06 - B - 108 - Jacklyn M James</v>
      </c>
      <c r="F2442" t="str">
        <f>"NC STUDY HALL 1"</f>
        <v>NC STUDY HALL 1</v>
      </c>
      <c r="G2442" t="str">
        <f>"17-1731"</f>
        <v>17-1731</v>
      </c>
      <c r="H2442" t="str">
        <f>"B"</f>
        <v>B</v>
      </c>
    </row>
    <row r="2443" spans="1:8" x14ac:dyDescent="0.2">
      <c r="A2443" t="str">
        <f t="shared" si="893"/>
        <v>0616029355</v>
      </c>
      <c r="B2443" t="str">
        <f t="shared" si="894"/>
        <v>HANYA</v>
      </c>
      <c r="C2443" t="str">
        <f t="shared" si="895"/>
        <v>CAMPBELL</v>
      </c>
      <c r="D2443">
        <f>10</f>
        <v>10</v>
      </c>
      <c r="E2443" t="str">
        <f>"03 - A - 002 - Lenecy  Nodarse"</f>
        <v>03 - A - 002 - Lenecy  Nodarse</v>
      </c>
      <c r="F2443" t="str">
        <f>"AICE EURO HIST 1 AS"</f>
        <v>AICE EURO HIST 1 AS</v>
      </c>
      <c r="G2443" t="str">
        <f>"17-1741"</f>
        <v>17-1741</v>
      </c>
      <c r="H2443" t="str">
        <f>"A"</f>
        <v>A</v>
      </c>
    </row>
    <row r="2444" spans="1:8" x14ac:dyDescent="0.2">
      <c r="A2444" t="str">
        <f t="shared" si="893"/>
        <v>0616029355</v>
      </c>
      <c r="B2444" t="str">
        <f t="shared" si="894"/>
        <v>HANYA</v>
      </c>
      <c r="C2444" t="str">
        <f t="shared" si="895"/>
        <v>CAMPBELL</v>
      </c>
      <c r="D2444">
        <f>10</f>
        <v>10</v>
      </c>
      <c r="E2444" t="str">
        <f>"02 - A - 103 - Dorothy D Moore"</f>
        <v>02 - A - 103 - Dorothy D Moore</v>
      </c>
      <c r="F2444" t="str">
        <f>"ANAT PHYSIO HON"</f>
        <v>ANAT PHYSIO HON</v>
      </c>
      <c r="G2444" t="str">
        <f>"08-803"</f>
        <v>08-803</v>
      </c>
      <c r="H2444" t="str">
        <f>"A"</f>
        <v>A</v>
      </c>
    </row>
    <row r="2445" spans="1:8" x14ac:dyDescent="0.2">
      <c r="A2445" t="str">
        <f t="shared" si="893"/>
        <v>0616029355</v>
      </c>
      <c r="B2445" t="str">
        <f t="shared" si="894"/>
        <v>HANYA</v>
      </c>
      <c r="C2445" t="str">
        <f t="shared" si="895"/>
        <v>CAMPBELL</v>
      </c>
      <c r="D2445">
        <f>10</f>
        <v>10</v>
      </c>
      <c r="E2445" t="str">
        <f>"07 - B - 101 - Fernando  Vega-Cid"</f>
        <v>07 - B - 101 - Fernando  Vega-Cid</v>
      </c>
      <c r="F2445" t="str">
        <f>"AP PRECALCULUS"</f>
        <v>AP PRECALCULUS</v>
      </c>
      <c r="G2445" t="str">
        <f>"21-2163"</f>
        <v>21-2163</v>
      </c>
      <c r="H2445" t="str">
        <f>"B"</f>
        <v>B</v>
      </c>
    </row>
    <row r="2446" spans="1:8" x14ac:dyDescent="0.2">
      <c r="A2446" t="str">
        <f t="shared" si="893"/>
        <v>0616029355</v>
      </c>
      <c r="B2446" t="str">
        <f t="shared" si="894"/>
        <v>HANYA</v>
      </c>
      <c r="C2446" t="str">
        <f t="shared" si="895"/>
        <v>CAMPBELL</v>
      </c>
      <c r="D2446">
        <f>10</f>
        <v>10</v>
      </c>
      <c r="E2446" t="str">
        <f>"05 - B - 106 - Courtney E Hambright"</f>
        <v>05 - B - 106 - Courtney E Hambright</v>
      </c>
      <c r="F2446" t="str">
        <f>"AICE ENG LANG AS"</f>
        <v>AICE ENG LANG AS</v>
      </c>
      <c r="G2446" t="str">
        <f>"17-1711"</f>
        <v>17-1711</v>
      </c>
      <c r="H2446" t="str">
        <f>"B"</f>
        <v>B</v>
      </c>
    </row>
    <row r="2447" spans="1:8" x14ac:dyDescent="0.2">
      <c r="A2447" t="str">
        <f t="shared" si="893"/>
        <v>0616029355</v>
      </c>
      <c r="B2447" t="str">
        <f t="shared" si="894"/>
        <v>HANYA</v>
      </c>
      <c r="C2447" t="str">
        <f t="shared" si="895"/>
        <v>CAMPBELL</v>
      </c>
      <c r="D2447">
        <f>10</f>
        <v>10</v>
      </c>
      <c r="E2447" t="str">
        <f>"01 - A - 103 - Scott A Dethloff"</f>
        <v>01 - A - 103 - Scott A Dethloff</v>
      </c>
      <c r="F2447" t="str">
        <f>"AICE THINK SKLS 1 AS"</f>
        <v>AICE THINK SKLS 1 AS</v>
      </c>
      <c r="G2447" t="str">
        <f>"08-812"</f>
        <v>08-812</v>
      </c>
      <c r="H2447" t="str">
        <f>"A"</f>
        <v>A</v>
      </c>
    </row>
    <row r="2448" spans="1:8" x14ac:dyDescent="0.2">
      <c r="A2448" t="str">
        <f t="shared" si="893"/>
        <v>0616029355</v>
      </c>
      <c r="B2448" t="str">
        <f t="shared" si="894"/>
        <v>HANYA</v>
      </c>
      <c r="C2448" t="str">
        <f t="shared" si="895"/>
        <v>CAMPBELL</v>
      </c>
      <c r="D2448">
        <f>10</f>
        <v>10</v>
      </c>
      <c r="E2448" t="str">
        <f>"08 - B - 201 - Stacey A Blecker"</f>
        <v>08 - B - 201 - Stacey A Blecker</v>
      </c>
      <c r="F2448" t="str">
        <f>"AICE SOCIOLOGY 1 AS"</f>
        <v>AICE SOCIOLOGY 1 AS</v>
      </c>
      <c r="G2448" t="str">
        <f>"09-926"</f>
        <v>09-926</v>
      </c>
      <c r="H2448" t="str">
        <f>"B"</f>
        <v>B</v>
      </c>
    </row>
    <row r="2449" spans="1:8" x14ac:dyDescent="0.2">
      <c r="A2449" t="str">
        <f t="shared" ref="A2449:A2456" si="896">"0620131838"</f>
        <v>0620131838</v>
      </c>
      <c r="B2449" t="str">
        <f t="shared" ref="B2449:B2456" si="897">"JADA"</f>
        <v>JADA</v>
      </c>
      <c r="C2449" t="str">
        <f t="shared" si="895"/>
        <v>CAMPBELL</v>
      </c>
      <c r="D2449" t="str">
        <f t="shared" ref="D2449:D2456" si="898">"09"</f>
        <v>09</v>
      </c>
      <c r="E2449" t="str">
        <f>"04 - A - 005 - Emmily A Sarmiento"</f>
        <v>04 - A - 005 - Emmily A Sarmiento</v>
      </c>
      <c r="F2449" t="str">
        <f>"AICE GLBL PERSP 1 AS"</f>
        <v>AICE GLBL PERSP 1 AS</v>
      </c>
      <c r="G2449" t="str">
        <f>"17-1743"</f>
        <v>17-1743</v>
      </c>
      <c r="H2449" t="str">
        <f>"A"</f>
        <v>A</v>
      </c>
    </row>
    <row r="2450" spans="1:8" x14ac:dyDescent="0.2">
      <c r="A2450" t="str">
        <f t="shared" si="896"/>
        <v>0620131838</v>
      </c>
      <c r="B2450" t="str">
        <f t="shared" si="897"/>
        <v>JADA</v>
      </c>
      <c r="C2450" t="str">
        <f t="shared" si="895"/>
        <v>CAMPBELL</v>
      </c>
      <c r="D2450" t="str">
        <f t="shared" si="898"/>
        <v>09</v>
      </c>
      <c r="E2450" t="str">
        <f>"06 - B - 101 - Fernando  Vega-Cid"</f>
        <v>06 - B - 101 - Fernando  Vega-Cid</v>
      </c>
      <c r="F2450" t="str">
        <f>"PRE-AICE MATH 2 IG"</f>
        <v>PRE-AICE MATH 2 IG</v>
      </c>
      <c r="G2450" t="str">
        <f>"21-2163"</f>
        <v>21-2163</v>
      </c>
      <c r="H2450" t="str">
        <f>"B"</f>
        <v>B</v>
      </c>
    </row>
    <row r="2451" spans="1:8" x14ac:dyDescent="0.2">
      <c r="A2451" t="str">
        <f t="shared" si="896"/>
        <v>0620131838</v>
      </c>
      <c r="B2451" t="str">
        <f t="shared" si="897"/>
        <v>JADA</v>
      </c>
      <c r="C2451" t="str">
        <f t="shared" si="895"/>
        <v>CAMPBELL</v>
      </c>
      <c r="D2451" t="str">
        <f t="shared" si="898"/>
        <v>09</v>
      </c>
      <c r="E2451" t="str">
        <f>"03 - A - 101 - Rosa Elaine  Collado-Duff"</f>
        <v>03 - A - 101 - Rosa Elaine  Collado-Duff</v>
      </c>
      <c r="F2451" t="str">
        <f>"SPANISH 3 HON"</f>
        <v>SPANISH 3 HON</v>
      </c>
      <c r="G2451" t="str">
        <f>"09-913"</f>
        <v>09-913</v>
      </c>
      <c r="H2451" t="str">
        <f>"A"</f>
        <v>A</v>
      </c>
    </row>
    <row r="2452" spans="1:8" x14ac:dyDescent="0.2">
      <c r="A2452" t="str">
        <f t="shared" si="896"/>
        <v>0620131838</v>
      </c>
      <c r="B2452" t="str">
        <f t="shared" si="897"/>
        <v>JADA</v>
      </c>
      <c r="C2452" t="str">
        <f t="shared" si="895"/>
        <v>CAMPBELL</v>
      </c>
      <c r="D2452" t="str">
        <f t="shared" si="898"/>
        <v>09</v>
      </c>
      <c r="E2452" t="str">
        <f>"02 - A - 108 - Rory T Sponsler"</f>
        <v>02 - A - 108 - Rory T Sponsler</v>
      </c>
      <c r="F2452" t="str">
        <f>"NC STUDY HALL 1"</f>
        <v>NC STUDY HALL 1</v>
      </c>
      <c r="G2452" t="str">
        <f>"17-1740"</f>
        <v>17-1740</v>
      </c>
      <c r="H2452" t="str">
        <f>"A"</f>
        <v>A</v>
      </c>
    </row>
    <row r="2453" spans="1:8" x14ac:dyDescent="0.2">
      <c r="A2453" t="str">
        <f t="shared" si="896"/>
        <v>0620131838</v>
      </c>
      <c r="B2453" t="str">
        <f t="shared" si="897"/>
        <v>JADA</v>
      </c>
      <c r="C2453" t="str">
        <f t="shared" si="895"/>
        <v>CAMPBELL</v>
      </c>
      <c r="D2453" t="str">
        <f t="shared" si="898"/>
        <v>09</v>
      </c>
      <c r="E2453" t="str">
        <f>"07 - B - 001 - Cheryl Anne  Berman-Schechter"</f>
        <v>07 - B - 001 - Cheryl Anne  Berman-Schechter</v>
      </c>
      <c r="F2453" t="str">
        <f>"AICE ENG GEN PAPER 1"</f>
        <v>AICE ENG GEN PAPER 1</v>
      </c>
      <c r="G2453" t="str">
        <f>"17-1722"</f>
        <v>17-1722</v>
      </c>
      <c r="H2453" t="str">
        <f>"B"</f>
        <v>B</v>
      </c>
    </row>
    <row r="2454" spans="1:8" x14ac:dyDescent="0.2">
      <c r="A2454" t="str">
        <f t="shared" si="896"/>
        <v>0620131838</v>
      </c>
      <c r="B2454" t="str">
        <f t="shared" si="897"/>
        <v>JADA</v>
      </c>
      <c r="C2454" t="str">
        <f t="shared" si="895"/>
        <v>CAMPBELL</v>
      </c>
      <c r="D2454" t="str">
        <f t="shared" si="898"/>
        <v>09</v>
      </c>
      <c r="E2454" t="str">
        <f>"05 - B - 101 - Arthur  Kulawik"</f>
        <v>05 - B - 101 - Arthur  Kulawik</v>
      </c>
      <c r="F2454" t="str">
        <f>"DEBATE 2 LH"</f>
        <v>DEBATE 2 LH</v>
      </c>
      <c r="G2454" t="str">
        <f>"05-506"</f>
        <v>05-506</v>
      </c>
      <c r="H2454" t="str">
        <f>"B"</f>
        <v>B</v>
      </c>
    </row>
    <row r="2455" spans="1:8" x14ac:dyDescent="0.2">
      <c r="A2455" t="str">
        <f t="shared" si="896"/>
        <v>0620131838</v>
      </c>
      <c r="B2455" t="str">
        <f t="shared" si="897"/>
        <v>JADA</v>
      </c>
      <c r="C2455" t="str">
        <f t="shared" si="895"/>
        <v>CAMPBELL</v>
      </c>
      <c r="D2455" t="str">
        <f t="shared" si="898"/>
        <v>09</v>
      </c>
      <c r="E2455" t="str">
        <f>"01 - A - 201 - Cheryl L Beach"</f>
        <v>01 - A - 201 - Cheryl L Beach</v>
      </c>
      <c r="F2455" t="str">
        <f>"AICE ENV MGMNT AS"</f>
        <v>AICE ENV MGMNT AS</v>
      </c>
      <c r="G2455" t="str">
        <f>"08-811"</f>
        <v>08-811</v>
      </c>
      <c r="H2455" t="str">
        <f>"A"</f>
        <v>A</v>
      </c>
    </row>
    <row r="2456" spans="1:8" x14ac:dyDescent="0.2">
      <c r="A2456" t="str">
        <f t="shared" si="896"/>
        <v>0620131838</v>
      </c>
      <c r="B2456" t="str">
        <f t="shared" si="897"/>
        <v>JADA</v>
      </c>
      <c r="C2456" t="str">
        <f t="shared" si="895"/>
        <v>CAMPBELL</v>
      </c>
      <c r="D2456" t="str">
        <f t="shared" si="898"/>
        <v>09</v>
      </c>
      <c r="E2456" t="str">
        <f>"08 - B - 101 - Jazmin S Fletcher"</f>
        <v>08 - B - 101 - Jazmin S Fletcher</v>
      </c>
      <c r="F2456" t="str">
        <f>"PRE-AICE DRAMA 1G"</f>
        <v>PRE-AICE DRAMA 1G</v>
      </c>
      <c r="G2456" t="str">
        <f>"09-909"</f>
        <v>09-909</v>
      </c>
      <c r="H2456" t="str">
        <f>"B"</f>
        <v>B</v>
      </c>
    </row>
    <row r="2457" spans="1:8" x14ac:dyDescent="0.2">
      <c r="A2457" t="str">
        <f t="shared" ref="A2457:A2464" si="899">"0615111543"</f>
        <v>0615111543</v>
      </c>
      <c r="B2457" t="str">
        <f t="shared" ref="B2457:B2464" si="900">"JAYLEN"</f>
        <v>JAYLEN</v>
      </c>
      <c r="C2457" t="str">
        <f t="shared" si="895"/>
        <v>CAMPBELL</v>
      </c>
      <c r="D2457">
        <f>10</f>
        <v>10</v>
      </c>
      <c r="E2457" t="str">
        <f>"04 - A - 105 - Jacquelyn M Neeson"</f>
        <v>04 - A - 105 - Jacquelyn M Neeson</v>
      </c>
      <c r="F2457" t="str">
        <f>"ENG 2"</f>
        <v>ENG 2</v>
      </c>
      <c r="G2457" t="str">
        <f>"17-1715"</f>
        <v>17-1715</v>
      </c>
      <c r="H2457" t="str">
        <f>"A"</f>
        <v>A</v>
      </c>
    </row>
    <row r="2458" spans="1:8" x14ac:dyDescent="0.2">
      <c r="A2458" t="str">
        <f t="shared" si="899"/>
        <v>0615111543</v>
      </c>
      <c r="B2458" t="str">
        <f t="shared" si="900"/>
        <v>JAYLEN</v>
      </c>
      <c r="C2458" t="str">
        <f t="shared" si="895"/>
        <v>CAMPBELL</v>
      </c>
      <c r="D2458">
        <f>10</f>
        <v>10</v>
      </c>
      <c r="E2458" t="str">
        <f>"06 - B - 115 - Scott A Dethloff"</f>
        <v>06 - B - 115 - Scott A Dethloff</v>
      </c>
      <c r="F2458" t="str">
        <f>"NC STUDY HALL 1"</f>
        <v>NC STUDY HALL 1</v>
      </c>
      <c r="G2458" t="str">
        <f>"08-812"</f>
        <v>08-812</v>
      </c>
      <c r="H2458" t="str">
        <f>"B"</f>
        <v>B</v>
      </c>
    </row>
    <row r="2459" spans="1:8" x14ac:dyDescent="0.2">
      <c r="A2459" t="str">
        <f t="shared" si="899"/>
        <v>0615111543</v>
      </c>
      <c r="B2459" t="str">
        <f t="shared" si="900"/>
        <v>JAYLEN</v>
      </c>
      <c r="C2459" t="str">
        <f t="shared" si="895"/>
        <v>CAMPBELL</v>
      </c>
      <c r="D2459">
        <f>10</f>
        <v>10</v>
      </c>
      <c r="E2459" t="str">
        <f>"03 - A - 103 - Adam Marcus  Drucker"</f>
        <v>03 - A - 103 - Adam Marcus  Drucker</v>
      </c>
      <c r="F2459" t="str">
        <f>"HOPE-PE V"</f>
        <v>HOPE-PE V</v>
      </c>
      <c r="G2459" t="str">
        <f>"04-254"</f>
        <v>04-254</v>
      </c>
      <c r="H2459" t="str">
        <f>"A"</f>
        <v>A</v>
      </c>
    </row>
    <row r="2460" spans="1:8" x14ac:dyDescent="0.2">
      <c r="A2460" t="str">
        <f t="shared" si="899"/>
        <v>0615111543</v>
      </c>
      <c r="B2460" t="str">
        <f t="shared" si="900"/>
        <v>JAYLEN</v>
      </c>
      <c r="C2460" t="str">
        <f t="shared" si="895"/>
        <v>CAMPBELL</v>
      </c>
      <c r="D2460">
        <f>10</f>
        <v>10</v>
      </c>
      <c r="E2460" t="str">
        <f>"02 - A - 102 - Marius D Orsolini"</f>
        <v>02 - A - 102 - Marius D Orsolini</v>
      </c>
      <c r="F2460" t="str">
        <f>"CULINARY ARTS 1"</f>
        <v>CULINARY ARTS 1</v>
      </c>
      <c r="G2460" t="str">
        <f>"21-2115"</f>
        <v>21-2115</v>
      </c>
      <c r="H2460" t="str">
        <f>"A"</f>
        <v>A</v>
      </c>
    </row>
    <row r="2461" spans="1:8" x14ac:dyDescent="0.2">
      <c r="A2461" t="str">
        <f t="shared" si="899"/>
        <v>0615111543</v>
      </c>
      <c r="B2461" t="str">
        <f t="shared" si="900"/>
        <v>JAYLEN</v>
      </c>
      <c r="C2461" t="str">
        <f t="shared" si="895"/>
        <v>CAMPBELL</v>
      </c>
      <c r="D2461">
        <f>10</f>
        <v>10</v>
      </c>
      <c r="E2461" t="str">
        <f>"07 - B - 101 - Jeanne M Bermudez"</f>
        <v>07 - B - 101 - Jeanne M Bermudez</v>
      </c>
      <c r="F2461" t="str">
        <f>"FOUND OF PROGRAM HON"</f>
        <v>FOUND OF PROGRAM HON</v>
      </c>
      <c r="G2461" t="str">
        <f>"21-2141"</f>
        <v>21-2141</v>
      </c>
      <c r="H2461" t="str">
        <f>"B"</f>
        <v>B</v>
      </c>
    </row>
    <row r="2462" spans="1:8" x14ac:dyDescent="0.2">
      <c r="A2462" t="str">
        <f t="shared" si="899"/>
        <v>0615111543</v>
      </c>
      <c r="B2462" t="str">
        <f t="shared" si="900"/>
        <v>JAYLEN</v>
      </c>
      <c r="C2462" t="str">
        <f t="shared" si="895"/>
        <v>CAMPBELL</v>
      </c>
      <c r="D2462">
        <f>10</f>
        <v>10</v>
      </c>
      <c r="E2462" t="str">
        <f>"05 - B - 109 - Ferrie J Arostique"</f>
        <v>05 - B - 109 - Ferrie J Arostique</v>
      </c>
      <c r="F2462" t="str">
        <f>"GEOMETRY"</f>
        <v>GEOMETRY</v>
      </c>
      <c r="G2462" t="str">
        <f>"21-2139"</f>
        <v>21-2139</v>
      </c>
      <c r="H2462" t="str">
        <f>"B"</f>
        <v>B</v>
      </c>
    </row>
    <row r="2463" spans="1:8" x14ac:dyDescent="0.2">
      <c r="A2463" t="str">
        <f t="shared" si="899"/>
        <v>0615111543</v>
      </c>
      <c r="B2463" t="str">
        <f t="shared" si="900"/>
        <v>JAYLEN</v>
      </c>
      <c r="C2463" t="str">
        <f t="shared" si="895"/>
        <v>CAMPBELL</v>
      </c>
      <c r="D2463">
        <f>10</f>
        <v>10</v>
      </c>
      <c r="E2463" t="str">
        <f>"01 - S1 - A - 101 - Carol S Moore"</f>
        <v>01 - S1 - A - 101 - Carol S Moore</v>
      </c>
      <c r="F2463" t="str">
        <f>"PERS FIN &amp; MON MGT H"</f>
        <v>PERS FIN &amp; MON MGT H</v>
      </c>
      <c r="G2463" t="str">
        <f>"17-1733"</f>
        <v>17-1733</v>
      </c>
      <c r="H2463" t="str">
        <f>"A"</f>
        <v>A</v>
      </c>
    </row>
    <row r="2464" spans="1:8" x14ac:dyDescent="0.2">
      <c r="A2464" t="str">
        <f t="shared" si="899"/>
        <v>0615111543</v>
      </c>
      <c r="B2464" t="str">
        <f t="shared" si="900"/>
        <v>JAYLEN</v>
      </c>
      <c r="C2464" t="str">
        <f t="shared" si="895"/>
        <v>CAMPBELL</v>
      </c>
      <c r="D2464">
        <f>10</f>
        <v>10</v>
      </c>
      <c r="E2464" t="str">
        <f>"08 - B - 001 - Lytrell T Dixon"</f>
        <v>08 - B - 001 - Lytrell T Dixon</v>
      </c>
      <c r="F2464" t="str">
        <f>"BIOLOGY 1"</f>
        <v>BIOLOGY 1</v>
      </c>
      <c r="G2464" t="str">
        <f>"08-808"</f>
        <v>08-808</v>
      </c>
      <c r="H2464" t="str">
        <f>"B"</f>
        <v>B</v>
      </c>
    </row>
    <row r="2465" spans="1:8" x14ac:dyDescent="0.2">
      <c r="A2465" t="str">
        <f t="shared" ref="A2465:A2472" si="901">"0615000248"</f>
        <v>0615000248</v>
      </c>
      <c r="B2465" t="str">
        <f t="shared" ref="B2465:B2472" si="902">"MARYSKA"</f>
        <v>MARYSKA</v>
      </c>
      <c r="C2465" t="str">
        <f t="shared" si="895"/>
        <v>CAMPBELL</v>
      </c>
      <c r="D2465">
        <f>11</f>
        <v>11</v>
      </c>
      <c r="E2465" t="str">
        <f>"04 - A - 101 - Stephen T Ripp"</f>
        <v>04 - A - 101 - Stephen T Ripp</v>
      </c>
      <c r="F2465" t="str">
        <f>"AP U.S. HIST"</f>
        <v>AP U.S. HIST</v>
      </c>
      <c r="G2465" t="str">
        <f>"17-1744"</f>
        <v>17-1744</v>
      </c>
      <c r="H2465" t="str">
        <f>"A"</f>
        <v>A</v>
      </c>
    </row>
    <row r="2466" spans="1:8" x14ac:dyDescent="0.2">
      <c r="A2466" t="str">
        <f t="shared" si="901"/>
        <v>0615000248</v>
      </c>
      <c r="B2466" t="str">
        <f t="shared" si="902"/>
        <v>MARYSKA</v>
      </c>
      <c r="C2466" t="str">
        <f t="shared" si="895"/>
        <v>CAMPBELL</v>
      </c>
      <c r="D2466">
        <f>11</f>
        <v>11</v>
      </c>
      <c r="E2466" t="str">
        <f>"06 - B - 204 - Chrystina M Marchionne"</f>
        <v>06 - B - 204 - Chrystina M Marchionne</v>
      </c>
      <c r="F2466" t="str">
        <f>"AICE MEDIASTUDIES AS"</f>
        <v>AICE MEDIASTUDIES AS</v>
      </c>
      <c r="G2466" t="str">
        <f>"05-520"</f>
        <v>05-520</v>
      </c>
      <c r="H2466" t="str">
        <f>"B"</f>
        <v>B</v>
      </c>
    </row>
    <row r="2467" spans="1:8" x14ac:dyDescent="0.2">
      <c r="A2467" t="str">
        <f t="shared" si="901"/>
        <v>0615000248</v>
      </c>
      <c r="B2467" t="str">
        <f t="shared" si="902"/>
        <v>MARYSKA</v>
      </c>
      <c r="C2467" t="str">
        <f t="shared" si="895"/>
        <v>CAMPBELL</v>
      </c>
      <c r="D2467">
        <f>11</f>
        <v>11</v>
      </c>
      <c r="E2467" t="str">
        <f>"03 - A - 101 - Jacqueline R Morphet"</f>
        <v>03 - A - 101 - Jacqueline R Morphet</v>
      </c>
      <c r="F2467" t="str">
        <f>"AP PHYSICS 1"</f>
        <v>AP PHYSICS 1</v>
      </c>
      <c r="G2467" t="str">
        <f>"21-2138"</f>
        <v>21-2138</v>
      </c>
      <c r="H2467" t="str">
        <f>"A"</f>
        <v>A</v>
      </c>
    </row>
    <row r="2468" spans="1:8" x14ac:dyDescent="0.2">
      <c r="A2468" t="str">
        <f t="shared" si="901"/>
        <v>0615000248</v>
      </c>
      <c r="B2468" t="str">
        <f t="shared" si="902"/>
        <v>MARYSKA</v>
      </c>
      <c r="C2468" t="str">
        <f t="shared" si="895"/>
        <v>CAMPBELL</v>
      </c>
      <c r="D2468">
        <f>11</f>
        <v>11</v>
      </c>
      <c r="E2468" t="str">
        <f>"02 - A - 103 - Angela S Adeshina-Morrison"</f>
        <v>02 - A - 103 - Angela S Adeshina-Morrison</v>
      </c>
      <c r="F2468" t="str">
        <f>"NC STUDY HALL 1"</f>
        <v>NC STUDY HALL 1</v>
      </c>
      <c r="G2468" t="str">
        <f>"05-518"</f>
        <v>05-518</v>
      </c>
      <c r="H2468" t="str">
        <f>"A"</f>
        <v>A</v>
      </c>
    </row>
    <row r="2469" spans="1:8" x14ac:dyDescent="0.2">
      <c r="A2469" t="str">
        <f t="shared" si="901"/>
        <v>0615000248</v>
      </c>
      <c r="B2469" t="str">
        <f t="shared" si="902"/>
        <v>MARYSKA</v>
      </c>
      <c r="C2469" t="str">
        <f t="shared" si="895"/>
        <v>CAMPBELL</v>
      </c>
      <c r="D2469">
        <f>11</f>
        <v>11</v>
      </c>
      <c r="E2469" t="str">
        <f>"07 - B - 102 - Pamela M Corzo"</f>
        <v>07 - B - 102 - Pamela M Corzo</v>
      </c>
      <c r="F2469" t="str">
        <f>"AP CALCULUS AB"</f>
        <v>AP CALCULUS AB</v>
      </c>
      <c r="G2469" t="str">
        <f>"21-2133"</f>
        <v>21-2133</v>
      </c>
      <c r="H2469" t="str">
        <f>"B"</f>
        <v>B</v>
      </c>
    </row>
    <row r="2470" spans="1:8" x14ac:dyDescent="0.2">
      <c r="A2470" t="str">
        <f t="shared" si="901"/>
        <v>0615000248</v>
      </c>
      <c r="B2470" t="str">
        <f t="shared" si="902"/>
        <v>MARYSKA</v>
      </c>
      <c r="C2470" t="str">
        <f t="shared" si="895"/>
        <v>CAMPBELL</v>
      </c>
      <c r="D2470">
        <f>11</f>
        <v>11</v>
      </c>
      <c r="E2470" t="str">
        <f>"05 - B - 102 - Daniel S Katz"</f>
        <v>05 - B - 102 - Daniel S Katz</v>
      </c>
      <c r="F2470" t="str">
        <f>"EXEC INTERN 4 LH"</f>
        <v>EXEC INTERN 4 LH</v>
      </c>
      <c r="G2470" t="str">
        <f>"21-2156"</f>
        <v>21-2156</v>
      </c>
      <c r="H2470" t="str">
        <f>"B"</f>
        <v>B</v>
      </c>
    </row>
    <row r="2471" spans="1:8" x14ac:dyDescent="0.2">
      <c r="A2471" t="str">
        <f t="shared" si="901"/>
        <v>0615000248</v>
      </c>
      <c r="B2471" t="str">
        <f t="shared" si="902"/>
        <v>MARYSKA</v>
      </c>
      <c r="C2471" t="str">
        <f t="shared" si="895"/>
        <v>CAMPBELL</v>
      </c>
      <c r="D2471">
        <f>11</f>
        <v>11</v>
      </c>
      <c r="E2471" t="str">
        <f>"01 - A - 101 - Lisa J London"</f>
        <v>01 - A - 101 - Lisa J London</v>
      </c>
      <c r="F2471" t="str">
        <f>"AP CAPSTONE SEMINAR"</f>
        <v>AP CAPSTONE SEMINAR</v>
      </c>
      <c r="G2471" t="str">
        <f>"17-1714"</f>
        <v>17-1714</v>
      </c>
      <c r="H2471" t="str">
        <f>"A"</f>
        <v>A</v>
      </c>
    </row>
    <row r="2472" spans="1:8" x14ac:dyDescent="0.2">
      <c r="A2472" t="str">
        <f t="shared" si="901"/>
        <v>0615000248</v>
      </c>
      <c r="B2472" t="str">
        <f t="shared" si="902"/>
        <v>MARYSKA</v>
      </c>
      <c r="C2472" t="str">
        <f t="shared" si="895"/>
        <v>CAMPBELL</v>
      </c>
      <c r="D2472">
        <f>11</f>
        <v>11</v>
      </c>
      <c r="E2472" t="str">
        <f>"08 - B - 105 - Brandy N Zdenek"</f>
        <v>08 - B - 105 - Brandy N Zdenek</v>
      </c>
      <c r="F2472" t="str">
        <f>"AICE ENG LANG 2 AL"</f>
        <v>AICE ENG LANG 2 AL</v>
      </c>
      <c r="G2472" t="str">
        <f>"17-1704"</f>
        <v>17-1704</v>
      </c>
      <c r="H2472" t="str">
        <f>"B"</f>
        <v>B</v>
      </c>
    </row>
    <row r="2473" spans="1:8" x14ac:dyDescent="0.2">
      <c r="A2473" t="str">
        <f t="shared" ref="A2473:A2480" si="903">"0617054778"</f>
        <v>0617054778</v>
      </c>
      <c r="B2473" t="str">
        <f t="shared" ref="B2473:B2480" si="904">"OSHUNTOLEWA"</f>
        <v>OSHUNTOLEWA</v>
      </c>
      <c r="C2473" t="str">
        <f t="shared" ref="C2473:C2496" si="905">"CAMPBELL"</f>
        <v>CAMPBELL</v>
      </c>
      <c r="D2473" t="str">
        <f t="shared" ref="D2473:D2480" si="906">"09"</f>
        <v>09</v>
      </c>
      <c r="E2473" t="str">
        <f>"04 - A - 104 - Brook E Goren"</f>
        <v>04 - A - 104 - Brook E Goren</v>
      </c>
      <c r="F2473" t="str">
        <f>"ALGEBRA 2 HON"</f>
        <v>ALGEBRA 2 HON</v>
      </c>
      <c r="G2473" t="str">
        <f>"21-2158"</f>
        <v>21-2158</v>
      </c>
      <c r="H2473" t="str">
        <f>"A"</f>
        <v>A</v>
      </c>
    </row>
    <row r="2474" spans="1:8" x14ac:dyDescent="0.2">
      <c r="A2474" t="str">
        <f t="shared" si="903"/>
        <v>0617054778</v>
      </c>
      <c r="B2474" t="str">
        <f t="shared" si="904"/>
        <v>OSHUNTOLEWA</v>
      </c>
      <c r="C2474" t="str">
        <f t="shared" si="905"/>
        <v>CAMPBELL</v>
      </c>
      <c r="D2474" t="str">
        <f t="shared" si="906"/>
        <v>09</v>
      </c>
      <c r="E2474" t="str">
        <f>"06 - B - 104 - Byron G Montenegro"</f>
        <v>06 - B - 104 - Byron G Montenegro</v>
      </c>
      <c r="F2474" t="str">
        <f>"AICE MARINE SCI 1 AS"</f>
        <v>AICE MARINE SCI 1 AS</v>
      </c>
      <c r="G2474" t="str">
        <f>"21-2144"</f>
        <v>21-2144</v>
      </c>
      <c r="H2474" t="str">
        <f>"B"</f>
        <v>B</v>
      </c>
    </row>
    <row r="2475" spans="1:8" x14ac:dyDescent="0.2">
      <c r="A2475" t="str">
        <f t="shared" si="903"/>
        <v>0617054778</v>
      </c>
      <c r="B2475" t="str">
        <f t="shared" si="904"/>
        <v>OSHUNTOLEWA</v>
      </c>
      <c r="C2475" t="str">
        <f t="shared" si="905"/>
        <v>CAMPBELL</v>
      </c>
      <c r="D2475" t="str">
        <f t="shared" si="906"/>
        <v>09</v>
      </c>
      <c r="E2475" t="str">
        <f>"03 - A - 201 - Christa T Parisi"</f>
        <v>03 - A - 201 - Christa T Parisi</v>
      </c>
      <c r="F2475" t="str">
        <f>"DANCE TECHNQS 1"</f>
        <v>DANCE TECHNQS 1</v>
      </c>
      <c r="G2475" t="str">
        <f>"05-503"</f>
        <v>05-503</v>
      </c>
      <c r="H2475" t="str">
        <f>"A"</f>
        <v>A</v>
      </c>
    </row>
    <row r="2476" spans="1:8" x14ac:dyDescent="0.2">
      <c r="A2476" t="str">
        <f t="shared" si="903"/>
        <v>0617054778</v>
      </c>
      <c r="B2476" t="str">
        <f t="shared" si="904"/>
        <v>OSHUNTOLEWA</v>
      </c>
      <c r="C2476" t="str">
        <f t="shared" si="905"/>
        <v>CAMPBELL</v>
      </c>
      <c r="D2476" t="str">
        <f t="shared" si="906"/>
        <v>09</v>
      </c>
      <c r="E2476" t="str">
        <f>"02 - A - 106 - Helen A Flores"</f>
        <v>02 - A - 106 - Helen A Flores</v>
      </c>
      <c r="F2476" t="str">
        <f>"NC STUDY HALL 1"</f>
        <v>NC STUDY HALL 1</v>
      </c>
      <c r="G2476" t="str">
        <f>"21-2101"</f>
        <v>21-2101</v>
      </c>
      <c r="H2476" t="str">
        <f>"A"</f>
        <v>A</v>
      </c>
    </row>
    <row r="2477" spans="1:8" x14ac:dyDescent="0.2">
      <c r="A2477" t="str">
        <f t="shared" si="903"/>
        <v>0617054778</v>
      </c>
      <c r="B2477" t="str">
        <f t="shared" si="904"/>
        <v>OSHUNTOLEWA</v>
      </c>
      <c r="C2477" t="str">
        <f t="shared" si="905"/>
        <v>CAMPBELL</v>
      </c>
      <c r="D2477" t="str">
        <f t="shared" si="906"/>
        <v>09</v>
      </c>
      <c r="E2477" t="str">
        <f>"07 - B - 002 - Jazmin S Fletcher"</f>
        <v>07 - B - 002 - Jazmin S Fletcher</v>
      </c>
      <c r="F2477" t="str">
        <f>"THEATRE 1"</f>
        <v>THEATRE 1</v>
      </c>
      <c r="G2477" t="str">
        <f>"09-909"</f>
        <v>09-909</v>
      </c>
      <c r="H2477" t="str">
        <f>"B"</f>
        <v>B</v>
      </c>
    </row>
    <row r="2478" spans="1:8" x14ac:dyDescent="0.2">
      <c r="A2478" t="str">
        <f t="shared" si="903"/>
        <v>0617054778</v>
      </c>
      <c r="B2478" t="str">
        <f t="shared" si="904"/>
        <v>OSHUNTOLEWA</v>
      </c>
      <c r="C2478" t="str">
        <f t="shared" si="905"/>
        <v>CAMPBELL</v>
      </c>
      <c r="D2478" t="str">
        <f t="shared" si="906"/>
        <v>09</v>
      </c>
      <c r="E2478" t="str">
        <f>"05 - B - 003 - Krystal Marie  Beruty"</f>
        <v>05 - B - 003 - Krystal Marie  Beruty</v>
      </c>
      <c r="F2478" t="str">
        <f>"AICE GLBL PERSP 1 AS"</f>
        <v>AICE GLBL PERSP 1 AS</v>
      </c>
      <c r="G2478" t="str">
        <f>"17-1721"</f>
        <v>17-1721</v>
      </c>
      <c r="H2478" t="str">
        <f>"B"</f>
        <v>B</v>
      </c>
    </row>
    <row r="2479" spans="1:8" x14ac:dyDescent="0.2">
      <c r="A2479" t="str">
        <f t="shared" si="903"/>
        <v>0617054778</v>
      </c>
      <c r="B2479" t="str">
        <f t="shared" si="904"/>
        <v>OSHUNTOLEWA</v>
      </c>
      <c r="C2479" t="str">
        <f t="shared" si="905"/>
        <v>CAMPBELL</v>
      </c>
      <c r="D2479" t="str">
        <f t="shared" si="906"/>
        <v>09</v>
      </c>
      <c r="E2479" t="str">
        <f>"01 - A - 101 - Vanessa J Liburd"</f>
        <v>01 - A - 101 - Vanessa J Liburd</v>
      </c>
      <c r="F2479" t="str">
        <f>"PRE-AICE FRENCH 1 IG"</f>
        <v>PRE-AICE FRENCH 1 IG</v>
      </c>
      <c r="G2479" t="str">
        <f>"05-519"</f>
        <v>05-519</v>
      </c>
      <c r="H2479" t="str">
        <f>"A"</f>
        <v>A</v>
      </c>
    </row>
    <row r="2480" spans="1:8" x14ac:dyDescent="0.2">
      <c r="A2480" t="str">
        <f t="shared" si="903"/>
        <v>0617054778</v>
      </c>
      <c r="B2480" t="str">
        <f t="shared" si="904"/>
        <v>OSHUNTOLEWA</v>
      </c>
      <c r="C2480" t="str">
        <f t="shared" si="905"/>
        <v>CAMPBELL</v>
      </c>
      <c r="D2480" t="str">
        <f t="shared" si="906"/>
        <v>09</v>
      </c>
      <c r="E2480" t="str">
        <f>"08 - B - 004 - Cheryl Anne  Berman-Schechter"</f>
        <v>08 - B - 004 - Cheryl Anne  Berman-Schechter</v>
      </c>
      <c r="F2480" t="str">
        <f>"AICE ENG GEN PAPER 1"</f>
        <v>AICE ENG GEN PAPER 1</v>
      </c>
      <c r="G2480" t="str">
        <f>"17-1722"</f>
        <v>17-1722</v>
      </c>
      <c r="H2480" t="str">
        <f>"B"</f>
        <v>B</v>
      </c>
    </row>
    <row r="2481" spans="1:8" x14ac:dyDescent="0.2">
      <c r="A2481" t="str">
        <f t="shared" ref="A2481:A2488" si="907">"0615038822"</f>
        <v>0615038822</v>
      </c>
      <c r="B2481" t="str">
        <f t="shared" ref="B2481:B2488" si="908">"SHELDON"</f>
        <v>SHELDON</v>
      </c>
      <c r="C2481" t="str">
        <f t="shared" si="905"/>
        <v>CAMPBELL</v>
      </c>
      <c r="D2481">
        <f>11</f>
        <v>11</v>
      </c>
      <c r="E2481" t="str">
        <f>"04 - A - 205 - Jacqueline R Morphet"</f>
        <v>04 - A - 205 - Jacqueline R Morphet</v>
      </c>
      <c r="F2481" t="str">
        <f>"PHYSICS 1 HON"</f>
        <v>PHYSICS 1 HON</v>
      </c>
      <c r="G2481" t="str">
        <f>"21-2138"</f>
        <v>21-2138</v>
      </c>
      <c r="H2481" t="str">
        <f>"A"</f>
        <v>A</v>
      </c>
    </row>
    <row r="2482" spans="1:8" x14ac:dyDescent="0.2">
      <c r="A2482" t="str">
        <f t="shared" si="907"/>
        <v>0615038822</v>
      </c>
      <c r="B2482" t="str">
        <f t="shared" si="908"/>
        <v>SHELDON</v>
      </c>
      <c r="C2482" t="str">
        <f t="shared" si="905"/>
        <v>CAMPBELL</v>
      </c>
      <c r="D2482">
        <f>11</f>
        <v>11</v>
      </c>
      <c r="E2482" t="str">
        <f>"06 - B - 104 - Eva T Rimmer"</f>
        <v>06 - B - 104 - Eva T Rimmer</v>
      </c>
      <c r="F2482" t="str">
        <f>"CRIMINAL JUST OPS 1"</f>
        <v>CRIMINAL JUST OPS 1</v>
      </c>
      <c r="G2482" t="str">
        <f>"05-523"</f>
        <v>05-523</v>
      </c>
      <c r="H2482" t="str">
        <f>"B"</f>
        <v>B</v>
      </c>
    </row>
    <row r="2483" spans="1:8" x14ac:dyDescent="0.2">
      <c r="A2483" t="str">
        <f t="shared" si="907"/>
        <v>0615038822</v>
      </c>
      <c r="B2483" t="str">
        <f t="shared" si="908"/>
        <v>SHELDON</v>
      </c>
      <c r="C2483" t="str">
        <f t="shared" si="905"/>
        <v>CAMPBELL</v>
      </c>
      <c r="D2483">
        <f>11</f>
        <v>11</v>
      </c>
      <c r="E2483" t="str">
        <f>"03 - A - 102 - Tina M Jaramillo"</f>
        <v>03 - A - 102 - Tina M Jaramillo</v>
      </c>
      <c r="F2483" t="str">
        <f>"AP ENG COMPO"</f>
        <v>AP ENG COMPO</v>
      </c>
      <c r="G2483" t="str">
        <f>"17-1706"</f>
        <v>17-1706</v>
      </c>
      <c r="H2483" t="str">
        <f>"A"</f>
        <v>A</v>
      </c>
    </row>
    <row r="2484" spans="1:8" x14ac:dyDescent="0.2">
      <c r="A2484" t="str">
        <f t="shared" si="907"/>
        <v>0615038822</v>
      </c>
      <c r="B2484" t="str">
        <f t="shared" si="908"/>
        <v>SHELDON</v>
      </c>
      <c r="C2484" t="str">
        <f t="shared" si="905"/>
        <v>CAMPBELL</v>
      </c>
      <c r="D2484">
        <f>11</f>
        <v>11</v>
      </c>
      <c r="E2484" t="str">
        <f>"02 - A - 104 - Dayna M Foster"</f>
        <v>02 - A - 104 - Dayna M Foster</v>
      </c>
      <c r="F2484" t="str">
        <f>"NC STUDY HALL 1"</f>
        <v>NC STUDY HALL 1</v>
      </c>
      <c r="G2484" t="str">
        <f>"21-2109"</f>
        <v>21-2109</v>
      </c>
      <c r="H2484" t="str">
        <f>"A"</f>
        <v>A</v>
      </c>
    </row>
    <row r="2485" spans="1:8" x14ac:dyDescent="0.2">
      <c r="A2485" t="str">
        <f t="shared" si="907"/>
        <v>0615038822</v>
      </c>
      <c r="B2485" t="str">
        <f t="shared" si="908"/>
        <v>SHELDON</v>
      </c>
      <c r="C2485" t="str">
        <f t="shared" si="905"/>
        <v>CAMPBELL</v>
      </c>
      <c r="D2485">
        <f>11</f>
        <v>11</v>
      </c>
      <c r="E2485" t="str">
        <f>"07 - B - 103 - Lisa J London"</f>
        <v>07 - B - 103 - Lisa J London</v>
      </c>
      <c r="F2485" t="str">
        <f>"AP CAPSTONE SEMINAR"</f>
        <v>AP CAPSTONE SEMINAR</v>
      </c>
      <c r="G2485" t="str">
        <f>"17-1714"</f>
        <v>17-1714</v>
      </c>
      <c r="H2485" t="str">
        <f>"B"</f>
        <v>B</v>
      </c>
    </row>
    <row r="2486" spans="1:8" x14ac:dyDescent="0.2">
      <c r="A2486" t="str">
        <f t="shared" si="907"/>
        <v>0615038822</v>
      </c>
      <c r="B2486" t="str">
        <f t="shared" si="908"/>
        <v>SHELDON</v>
      </c>
      <c r="C2486" t="str">
        <f t="shared" si="905"/>
        <v>CAMPBELL</v>
      </c>
      <c r="D2486">
        <f>11</f>
        <v>11</v>
      </c>
      <c r="E2486" t="str">
        <f>"05 - B - 104 - Lourivaldo  Da Silva"</f>
        <v>05 - B - 104 - Lourivaldo  Da Silva</v>
      </c>
      <c r="F2486" t="str">
        <f>"PRE-CALCULUS HON"</f>
        <v>PRE-CALCULUS HON</v>
      </c>
      <c r="G2486" t="str">
        <f>"20-2079"</f>
        <v>20-2079</v>
      </c>
      <c r="H2486" t="str">
        <f>"B"</f>
        <v>B</v>
      </c>
    </row>
    <row r="2487" spans="1:8" x14ac:dyDescent="0.2">
      <c r="A2487" t="str">
        <f t="shared" si="907"/>
        <v>0615038822</v>
      </c>
      <c r="B2487" t="str">
        <f t="shared" si="908"/>
        <v>SHELDON</v>
      </c>
      <c r="C2487" t="str">
        <f t="shared" si="905"/>
        <v>CAMPBELL</v>
      </c>
      <c r="D2487">
        <f>11</f>
        <v>11</v>
      </c>
      <c r="E2487" t="str">
        <f>"01 - A - 001 - Stephen T Ripp"</f>
        <v>01 - A - 001 - Stephen T Ripp</v>
      </c>
      <c r="F2487" t="str">
        <f>"AP U.S. HIST"</f>
        <v>AP U.S. HIST</v>
      </c>
      <c r="G2487" t="str">
        <f>"17-1744"</f>
        <v>17-1744</v>
      </c>
      <c r="H2487" t="str">
        <f>"A"</f>
        <v>A</v>
      </c>
    </row>
    <row r="2488" spans="1:8" x14ac:dyDescent="0.2">
      <c r="A2488" t="str">
        <f t="shared" si="907"/>
        <v>0615038822</v>
      </c>
      <c r="B2488" t="str">
        <f t="shared" si="908"/>
        <v>SHELDON</v>
      </c>
      <c r="C2488" t="str">
        <f t="shared" si="905"/>
        <v>CAMPBELL</v>
      </c>
      <c r="D2488">
        <f>11</f>
        <v>11</v>
      </c>
      <c r="E2488" t="str">
        <f>"08 - B - 105 - Daniel S Katz"</f>
        <v>08 - B - 105 - Daniel S Katz</v>
      </c>
      <c r="F2488" t="str">
        <f>"AICE MEDIA STUDIES A"</f>
        <v>AICE MEDIA STUDIES A</v>
      </c>
      <c r="G2488" t="str">
        <f>"05-521"</f>
        <v>05-521</v>
      </c>
      <c r="H2488" t="str">
        <f>"B"</f>
        <v>B</v>
      </c>
    </row>
    <row r="2489" spans="1:8" x14ac:dyDescent="0.2">
      <c r="A2489" t="str">
        <f t="shared" ref="A2489:A2496" si="909">"0619000081"</f>
        <v>0619000081</v>
      </c>
      <c r="B2489" t="str">
        <f t="shared" ref="B2489:B2496" si="910">"TIERRA"</f>
        <v>TIERRA</v>
      </c>
      <c r="C2489" t="str">
        <f t="shared" si="905"/>
        <v>CAMPBELL</v>
      </c>
      <c r="D2489">
        <f>11</f>
        <v>11</v>
      </c>
      <c r="E2489" t="str">
        <f>"04 - A - 101 - Stephen T Ripp"</f>
        <v>04 - A - 101 - Stephen T Ripp</v>
      </c>
      <c r="F2489" t="str">
        <f>"AP U.S. HIST"</f>
        <v>AP U.S. HIST</v>
      </c>
      <c r="G2489" t="str">
        <f>"17-1744"</f>
        <v>17-1744</v>
      </c>
      <c r="H2489" t="str">
        <f>"A"</f>
        <v>A</v>
      </c>
    </row>
    <row r="2490" spans="1:8" x14ac:dyDescent="0.2">
      <c r="A2490" t="str">
        <f t="shared" si="909"/>
        <v>0619000081</v>
      </c>
      <c r="B2490" t="str">
        <f t="shared" si="910"/>
        <v>TIERRA</v>
      </c>
      <c r="C2490" t="str">
        <f t="shared" si="905"/>
        <v>CAMPBELL</v>
      </c>
      <c r="D2490">
        <f>11</f>
        <v>11</v>
      </c>
      <c r="E2490" t="str">
        <f>"06 - B - 104 - Brandy N Zdenek"</f>
        <v>06 - B - 104 - Brandy N Zdenek</v>
      </c>
      <c r="F2490" t="str">
        <f>"AICE ENG LANG 2 AL"</f>
        <v>AICE ENG LANG 2 AL</v>
      </c>
      <c r="G2490" t="str">
        <f>"17-1704"</f>
        <v>17-1704</v>
      </c>
      <c r="H2490" t="str">
        <f>"B"</f>
        <v>B</v>
      </c>
    </row>
    <row r="2491" spans="1:8" x14ac:dyDescent="0.2">
      <c r="A2491" t="str">
        <f t="shared" si="909"/>
        <v>0619000081</v>
      </c>
      <c r="B2491" t="str">
        <f t="shared" si="910"/>
        <v>TIERRA</v>
      </c>
      <c r="C2491" t="str">
        <f t="shared" si="905"/>
        <v>CAMPBELL</v>
      </c>
      <c r="D2491">
        <f>11</f>
        <v>11</v>
      </c>
      <c r="E2491" t="str">
        <f>"03 - A - 101 - Timothy J Lawrence"</f>
        <v>03 - A - 101 - Timothy J Lawrence</v>
      </c>
      <c r="F2491" t="str">
        <f>"AICE PHYS ED 1 AS"</f>
        <v>AICE PHYS ED 1 AS</v>
      </c>
      <c r="G2491" t="str">
        <f>"05-519"</f>
        <v>05-519</v>
      </c>
      <c r="H2491" t="str">
        <f>"A"</f>
        <v>A</v>
      </c>
    </row>
    <row r="2492" spans="1:8" x14ac:dyDescent="0.2">
      <c r="A2492" t="str">
        <f t="shared" si="909"/>
        <v>0619000081</v>
      </c>
      <c r="B2492" t="str">
        <f t="shared" si="910"/>
        <v>TIERRA</v>
      </c>
      <c r="C2492" t="str">
        <f t="shared" si="905"/>
        <v>CAMPBELL</v>
      </c>
      <c r="D2492">
        <f>11</f>
        <v>11</v>
      </c>
      <c r="E2492" t="str">
        <f>"02 - A - 101 - Timothy J Lawrence"</f>
        <v>02 - A - 101 - Timothy J Lawrence</v>
      </c>
      <c r="F2492" t="str">
        <f>"NC STUDY HALL 1"</f>
        <v>NC STUDY HALL 1</v>
      </c>
      <c r="G2492" t="str">
        <f>"05-522"</f>
        <v>05-522</v>
      </c>
      <c r="H2492" t="str">
        <f>"A"</f>
        <v>A</v>
      </c>
    </row>
    <row r="2493" spans="1:8" x14ac:dyDescent="0.2">
      <c r="A2493" t="str">
        <f t="shared" si="909"/>
        <v>0619000081</v>
      </c>
      <c r="B2493" t="str">
        <f t="shared" si="910"/>
        <v>TIERRA</v>
      </c>
      <c r="C2493" t="str">
        <f t="shared" si="905"/>
        <v>CAMPBELL</v>
      </c>
      <c r="D2493">
        <f>11</f>
        <v>11</v>
      </c>
      <c r="E2493" t="str">
        <f>"07 - B - 103 - Lisa J London"</f>
        <v>07 - B - 103 - Lisa J London</v>
      </c>
      <c r="F2493" t="str">
        <f>"AP CAPSTONE SEMINAR"</f>
        <v>AP CAPSTONE SEMINAR</v>
      </c>
      <c r="G2493" t="str">
        <f>"17-1714"</f>
        <v>17-1714</v>
      </c>
      <c r="H2493" t="str">
        <f>"B"</f>
        <v>B</v>
      </c>
    </row>
    <row r="2494" spans="1:8" x14ac:dyDescent="0.2">
      <c r="A2494" t="str">
        <f t="shared" si="909"/>
        <v>0619000081</v>
      </c>
      <c r="B2494" t="str">
        <f t="shared" si="910"/>
        <v>TIERRA</v>
      </c>
      <c r="C2494" t="str">
        <f t="shared" si="905"/>
        <v>CAMPBELL</v>
      </c>
      <c r="D2494">
        <f>11</f>
        <v>11</v>
      </c>
      <c r="E2494" t="str">
        <f>"05 - B - 202 - Daniel S Katz"</f>
        <v>05 - B - 202 - Daniel S Katz</v>
      </c>
      <c r="F2494" t="str">
        <f>"EXEC INTERN 3 LH"</f>
        <v>EXEC INTERN 3 LH</v>
      </c>
      <c r="G2494" t="str">
        <f>"21-2156"</f>
        <v>21-2156</v>
      </c>
      <c r="H2494" t="str">
        <f>"B"</f>
        <v>B</v>
      </c>
    </row>
    <row r="2495" spans="1:8" x14ac:dyDescent="0.2">
      <c r="A2495" t="str">
        <f t="shared" si="909"/>
        <v>0619000081</v>
      </c>
      <c r="B2495" t="str">
        <f t="shared" si="910"/>
        <v>TIERRA</v>
      </c>
      <c r="C2495" t="str">
        <f t="shared" si="905"/>
        <v>CAMPBELL</v>
      </c>
      <c r="D2495">
        <f>11</f>
        <v>11</v>
      </c>
      <c r="E2495" t="str">
        <f>"01 - A - 101 - Thomas G Handwerg"</f>
        <v>01 - A - 101 - Thomas G Handwerg</v>
      </c>
      <c r="F2495" t="str">
        <f>"PROB STAT W/APPS HON"</f>
        <v>PROB STAT W/APPS HON</v>
      </c>
      <c r="G2495" t="str">
        <f>"21-2146"</f>
        <v>21-2146</v>
      </c>
      <c r="H2495" t="str">
        <f>"A"</f>
        <v>A</v>
      </c>
    </row>
    <row r="2496" spans="1:8" x14ac:dyDescent="0.2">
      <c r="A2496" t="str">
        <f t="shared" si="909"/>
        <v>0619000081</v>
      </c>
      <c r="B2496" t="str">
        <f t="shared" si="910"/>
        <v>TIERRA</v>
      </c>
      <c r="C2496" t="str">
        <f t="shared" si="905"/>
        <v>CAMPBELL</v>
      </c>
      <c r="D2496">
        <f>11</f>
        <v>11</v>
      </c>
      <c r="E2496" t="str">
        <f>"08 - B - 202 - Krystal Marie  Beruty"</f>
        <v>08 - B - 202 - Krystal Marie  Beruty</v>
      </c>
      <c r="F2496" t="str">
        <f>"AICE PSYCH 1 AS"</f>
        <v>AICE PSYCH 1 AS</v>
      </c>
      <c r="G2496" t="str">
        <f>"17-1721"</f>
        <v>17-1721</v>
      </c>
      <c r="H2496" t="str">
        <f>"B"</f>
        <v>B</v>
      </c>
    </row>
    <row r="2497" spans="1:8" x14ac:dyDescent="0.2">
      <c r="A2497" t="str">
        <f t="shared" ref="A2497:A2504" si="911">"0624031632"</f>
        <v>0624031632</v>
      </c>
      <c r="B2497" t="str">
        <f t="shared" ref="B2497:B2504" si="912">"LUIS"</f>
        <v>LUIS</v>
      </c>
      <c r="C2497" t="str">
        <f t="shared" ref="C2497:C2504" si="913">"CAMPELLO MONTENEGRO"</f>
        <v>CAMPELLO MONTENEGRO</v>
      </c>
      <c r="D2497" t="str">
        <f t="shared" ref="D2497:D2504" si="914">"09"</f>
        <v>09</v>
      </c>
      <c r="E2497" t="str">
        <f>"04 - S1 - A - 104 - Richard E Dunbar Iii"</f>
        <v>04 - S1 - A - 104 - Richard E Dunbar Iii</v>
      </c>
      <c r="F2497" t="str">
        <f>"WEIGHT TRAIN 1"</f>
        <v>WEIGHT TRAIN 1</v>
      </c>
      <c r="G2497" t="str">
        <f>"05-501"</f>
        <v>05-501</v>
      </c>
      <c r="H2497" t="str">
        <f>"A"</f>
        <v>A</v>
      </c>
    </row>
    <row r="2498" spans="1:8" x14ac:dyDescent="0.2">
      <c r="A2498" t="str">
        <f t="shared" si="911"/>
        <v>0624031632</v>
      </c>
      <c r="B2498" t="str">
        <f t="shared" si="912"/>
        <v>LUIS</v>
      </c>
      <c r="C2498" t="str">
        <f t="shared" si="913"/>
        <v>CAMPELLO MONTENEGRO</v>
      </c>
      <c r="D2498" t="str">
        <f t="shared" si="914"/>
        <v>09</v>
      </c>
      <c r="E2498" t="str">
        <f>"06 - B - 002 - Amy Beth  Broyles"</f>
        <v>06 - B - 002 - Amy Beth  Broyles</v>
      </c>
      <c r="F2498" t="str">
        <f>"ENV SCI"</f>
        <v>ENV SCI</v>
      </c>
      <c r="G2498" t="str">
        <f>"08-802"</f>
        <v>08-802</v>
      </c>
      <c r="H2498" t="str">
        <f>"B"</f>
        <v>B</v>
      </c>
    </row>
    <row r="2499" spans="1:8" x14ac:dyDescent="0.2">
      <c r="A2499" t="str">
        <f t="shared" si="911"/>
        <v>0624031632</v>
      </c>
      <c r="B2499" t="str">
        <f t="shared" si="912"/>
        <v>LUIS</v>
      </c>
      <c r="C2499" t="str">
        <f t="shared" si="913"/>
        <v>CAMPELLO MONTENEGRO</v>
      </c>
      <c r="D2499" t="str">
        <f t="shared" si="914"/>
        <v>09</v>
      </c>
      <c r="E2499" t="str">
        <f>"03 - A - 101 - Milca  Exantus"</f>
        <v>03 - A - 101 - Milca  Exantus</v>
      </c>
      <c r="F2499" t="str">
        <f>"ALGEBRA 1-A"</f>
        <v>ALGEBRA 1-A</v>
      </c>
      <c r="G2499" t="str">
        <f>"21-2145"</f>
        <v>21-2145</v>
      </c>
      <c r="H2499" t="str">
        <f>"A"</f>
        <v>A</v>
      </c>
    </row>
    <row r="2500" spans="1:8" x14ac:dyDescent="0.2">
      <c r="A2500" t="str">
        <f t="shared" si="911"/>
        <v>0624031632</v>
      </c>
      <c r="B2500" t="str">
        <f t="shared" si="912"/>
        <v>LUIS</v>
      </c>
      <c r="C2500" t="str">
        <f t="shared" si="913"/>
        <v>CAMPELLO MONTENEGRO</v>
      </c>
      <c r="D2500" t="str">
        <f t="shared" si="914"/>
        <v>09</v>
      </c>
      <c r="E2500" t="str">
        <f>"02 - A - 101 - Josiah I Lacy"</f>
        <v>02 - A - 101 - Josiah I Lacy</v>
      </c>
      <c r="F2500" t="str">
        <f>"NC STUDY HALL 1"</f>
        <v>NC STUDY HALL 1</v>
      </c>
      <c r="G2500" t="str">
        <f>"08-801"</f>
        <v>08-801</v>
      </c>
      <c r="H2500" t="str">
        <f>"A"</f>
        <v>A</v>
      </c>
    </row>
    <row r="2501" spans="1:8" x14ac:dyDescent="0.2">
      <c r="A2501" t="str">
        <f t="shared" si="911"/>
        <v>0624031632</v>
      </c>
      <c r="B2501" t="str">
        <f t="shared" si="912"/>
        <v>LUIS</v>
      </c>
      <c r="C2501" t="str">
        <f t="shared" si="913"/>
        <v>CAMPELLO MONTENEGRO</v>
      </c>
      <c r="D2501" t="str">
        <f t="shared" si="914"/>
        <v>09</v>
      </c>
      <c r="E2501" t="str">
        <f>"07 - B - 104 - Lissa C Frederique"</f>
        <v>07 - B - 104 - Lissa C Frederique</v>
      </c>
      <c r="F2501" t="str">
        <f>"WORLD HISTORY"</f>
        <v>WORLD HISTORY</v>
      </c>
      <c r="G2501" t="str">
        <f>"17-1754"</f>
        <v>17-1754</v>
      </c>
      <c r="H2501" t="str">
        <f>"B"</f>
        <v>B</v>
      </c>
    </row>
    <row r="2502" spans="1:8" x14ac:dyDescent="0.2">
      <c r="A2502" t="str">
        <f t="shared" si="911"/>
        <v>0624031632</v>
      </c>
      <c r="B2502" t="str">
        <f t="shared" si="912"/>
        <v>LUIS</v>
      </c>
      <c r="C2502" t="str">
        <f t="shared" si="913"/>
        <v>CAMPELLO MONTENEGRO</v>
      </c>
      <c r="D2502" t="str">
        <f t="shared" si="914"/>
        <v>09</v>
      </c>
      <c r="E2502" t="str">
        <f>"05 - B - 102 - Vanessa J Pena"</f>
        <v>05 - B - 102 - Vanessa J Pena</v>
      </c>
      <c r="F2502" t="str">
        <f>"DEV LANG ARTS ESOL-R"</f>
        <v>DEV LANG ARTS ESOL-R</v>
      </c>
      <c r="G2502" t="str">
        <f>"09-926"</f>
        <v>09-926</v>
      </c>
      <c r="H2502" t="str">
        <f>"B"</f>
        <v>B</v>
      </c>
    </row>
    <row r="2503" spans="1:8" x14ac:dyDescent="0.2">
      <c r="A2503" t="str">
        <f t="shared" si="911"/>
        <v>0624031632</v>
      </c>
      <c r="B2503" t="str">
        <f t="shared" si="912"/>
        <v>LUIS</v>
      </c>
      <c r="C2503" t="str">
        <f t="shared" si="913"/>
        <v>CAMPELLO MONTENEGRO</v>
      </c>
      <c r="D2503" t="str">
        <f t="shared" si="914"/>
        <v>09</v>
      </c>
      <c r="E2503" t="str">
        <f>"01 - A - 101 - Cerine S Stewart"</f>
        <v>01 - A - 101 - Cerine S Stewart</v>
      </c>
      <c r="F2503" t="str">
        <f>"ENG 1"</f>
        <v>ENG 1</v>
      </c>
      <c r="G2503" t="str">
        <f>"17-1720"</f>
        <v>17-1720</v>
      </c>
      <c r="H2503" t="str">
        <f>"A"</f>
        <v>A</v>
      </c>
    </row>
    <row r="2504" spans="1:8" x14ac:dyDescent="0.2">
      <c r="A2504" t="str">
        <f t="shared" si="911"/>
        <v>0624031632</v>
      </c>
      <c r="B2504" t="str">
        <f t="shared" si="912"/>
        <v>LUIS</v>
      </c>
      <c r="C2504" t="str">
        <f t="shared" si="913"/>
        <v>CAMPELLO MONTENEGRO</v>
      </c>
      <c r="D2504" t="str">
        <f t="shared" si="914"/>
        <v>09</v>
      </c>
      <c r="E2504" t="str">
        <f>"08 - B - 106 - Laselleda D Shaw"</f>
        <v>08 - B - 106 - Laselleda D Shaw</v>
      </c>
      <c r="F2504" t="str">
        <f>"INTENS READ 1"</f>
        <v>INTENS READ 1</v>
      </c>
      <c r="G2504" t="str">
        <f>"17-1723"</f>
        <v>17-1723</v>
      </c>
      <c r="H2504" t="str">
        <f>"B"</f>
        <v>B</v>
      </c>
    </row>
    <row r="2505" spans="1:8" x14ac:dyDescent="0.2">
      <c r="A2505" t="str">
        <f t="shared" ref="A2505:A2512" si="915">"0623014235"</f>
        <v>0623014235</v>
      </c>
      <c r="B2505" t="str">
        <f t="shared" ref="B2505:B2512" si="916">"PEDRO"</f>
        <v>PEDRO</v>
      </c>
      <c r="C2505" t="str">
        <f t="shared" ref="C2505:C2512" si="917">"CAMPO VASQUEZ"</f>
        <v>CAMPO VASQUEZ</v>
      </c>
      <c r="D2505">
        <f>10</f>
        <v>10</v>
      </c>
      <c r="E2505" t="str">
        <f>"04 - A - 105 - Jacklyn M James"</f>
        <v>04 - A - 105 - Jacklyn M James</v>
      </c>
      <c r="F2505" t="str">
        <f>"AICE ENG LANG AS"</f>
        <v>AICE ENG LANG AS</v>
      </c>
      <c r="G2505" t="str">
        <f>"17-1731"</f>
        <v>17-1731</v>
      </c>
      <c r="H2505" t="str">
        <f>"A"</f>
        <v>A</v>
      </c>
    </row>
    <row r="2506" spans="1:8" x14ac:dyDescent="0.2">
      <c r="A2506" t="str">
        <f t="shared" si="915"/>
        <v>0623014235</v>
      </c>
      <c r="B2506" t="str">
        <f t="shared" si="916"/>
        <v>PEDRO</v>
      </c>
      <c r="C2506" t="str">
        <f t="shared" si="917"/>
        <v>CAMPO VASQUEZ</v>
      </c>
      <c r="D2506">
        <f>10</f>
        <v>10</v>
      </c>
      <c r="E2506" t="str">
        <f>"06 - B - 108 - Jacklyn M James"</f>
        <v>06 - B - 108 - Jacklyn M James</v>
      </c>
      <c r="F2506" t="str">
        <f>"NC STUDY HALL 1"</f>
        <v>NC STUDY HALL 1</v>
      </c>
      <c r="G2506" t="str">
        <f>"17-1731"</f>
        <v>17-1731</v>
      </c>
      <c r="H2506" t="str">
        <f>"B"</f>
        <v>B</v>
      </c>
    </row>
    <row r="2507" spans="1:8" x14ac:dyDescent="0.2">
      <c r="A2507" t="str">
        <f t="shared" si="915"/>
        <v>0623014235</v>
      </c>
      <c r="B2507" t="str">
        <f t="shared" si="916"/>
        <v>PEDRO</v>
      </c>
      <c r="C2507" t="str">
        <f t="shared" si="917"/>
        <v>CAMPO VASQUEZ</v>
      </c>
      <c r="D2507">
        <f>10</f>
        <v>10</v>
      </c>
      <c r="E2507" t="str">
        <f>"03 - S1 - A - 101 - Arthur  Kulawik"</f>
        <v>03 - S1 - A - 101 - Arthur  Kulawik</v>
      </c>
      <c r="F2507" t="str">
        <f>"PERS FIN &amp; MON MGT H"</f>
        <v>PERS FIN &amp; MON MGT H</v>
      </c>
      <c r="G2507" t="str">
        <f>"05-506"</f>
        <v>05-506</v>
      </c>
      <c r="H2507" t="str">
        <f>"A"</f>
        <v>A</v>
      </c>
    </row>
    <row r="2508" spans="1:8" x14ac:dyDescent="0.2">
      <c r="A2508" t="str">
        <f t="shared" si="915"/>
        <v>0623014235</v>
      </c>
      <c r="B2508" t="str">
        <f t="shared" si="916"/>
        <v>PEDRO</v>
      </c>
      <c r="C2508" t="str">
        <f t="shared" si="917"/>
        <v>CAMPO VASQUEZ</v>
      </c>
      <c r="D2508">
        <f>10</f>
        <v>10</v>
      </c>
      <c r="E2508" t="str">
        <f>"02 - A - 102 - Chrystina M Marchionne"</f>
        <v>02 - A - 102 - Chrystina M Marchionne</v>
      </c>
      <c r="F2508" t="str">
        <f>"AICE MEDIASTUDIES AS"</f>
        <v>AICE MEDIASTUDIES AS</v>
      </c>
      <c r="G2508" t="str">
        <f>"05-520"</f>
        <v>05-520</v>
      </c>
      <c r="H2508" t="str">
        <f>"A"</f>
        <v>A</v>
      </c>
    </row>
    <row r="2509" spans="1:8" x14ac:dyDescent="0.2">
      <c r="A2509" t="str">
        <f t="shared" si="915"/>
        <v>0623014235</v>
      </c>
      <c r="B2509" t="str">
        <f t="shared" si="916"/>
        <v>PEDRO</v>
      </c>
      <c r="C2509" t="str">
        <f t="shared" si="917"/>
        <v>CAMPO VASQUEZ</v>
      </c>
      <c r="D2509">
        <f>10</f>
        <v>10</v>
      </c>
      <c r="E2509" t="str">
        <f>"07 - B - 107 - Adam Marcus  Drucker"</f>
        <v>07 - B - 107 - Adam Marcus  Drucker</v>
      </c>
      <c r="F2509" t="str">
        <f>"HOPE-PE V"</f>
        <v>HOPE-PE V</v>
      </c>
      <c r="G2509" t="str">
        <f>"04-254"</f>
        <v>04-254</v>
      </c>
      <c r="H2509" t="str">
        <f>"B"</f>
        <v>B</v>
      </c>
    </row>
    <row r="2510" spans="1:8" x14ac:dyDescent="0.2">
      <c r="A2510" t="str">
        <f t="shared" si="915"/>
        <v>0623014235</v>
      </c>
      <c r="B2510" t="str">
        <f t="shared" si="916"/>
        <v>PEDRO</v>
      </c>
      <c r="C2510" t="str">
        <f t="shared" si="917"/>
        <v>CAMPO VASQUEZ</v>
      </c>
      <c r="D2510">
        <f>10</f>
        <v>10</v>
      </c>
      <c r="E2510" t="str">
        <f>"05 - B - 105 - Marius D Orsolini"</f>
        <v>05 - B - 105 - Marius D Orsolini</v>
      </c>
      <c r="F2510" t="str">
        <f>"CULINARY ARTS 1"</f>
        <v>CULINARY ARTS 1</v>
      </c>
      <c r="G2510" t="str">
        <f>"21-2115"</f>
        <v>21-2115</v>
      </c>
      <c r="H2510" t="str">
        <f>"B"</f>
        <v>B</v>
      </c>
    </row>
    <row r="2511" spans="1:8" x14ac:dyDescent="0.2">
      <c r="A2511" t="str">
        <f t="shared" si="915"/>
        <v>0623014235</v>
      </c>
      <c r="B2511" t="str">
        <f t="shared" si="916"/>
        <v>PEDRO</v>
      </c>
      <c r="C2511" t="str">
        <f t="shared" si="917"/>
        <v>CAMPO VASQUEZ</v>
      </c>
      <c r="D2511">
        <f>10</f>
        <v>10</v>
      </c>
      <c r="E2511" t="str">
        <f>"01 - A - 107 - Valerie J Ruwe"</f>
        <v>01 - A - 107 - Valerie J Ruwe</v>
      </c>
      <c r="F2511" t="str">
        <f>"CHEMISTRY 1 HON"</f>
        <v>CHEMISTRY 1 HON</v>
      </c>
      <c r="G2511" t="str">
        <f>"21-2134"</f>
        <v>21-2134</v>
      </c>
      <c r="H2511" t="str">
        <f>"A"</f>
        <v>A</v>
      </c>
    </row>
    <row r="2512" spans="1:8" x14ac:dyDescent="0.2">
      <c r="A2512" t="str">
        <f t="shared" si="915"/>
        <v>0623014235</v>
      </c>
      <c r="B2512" t="str">
        <f t="shared" si="916"/>
        <v>PEDRO</v>
      </c>
      <c r="C2512" t="str">
        <f t="shared" si="917"/>
        <v>CAMPO VASQUEZ</v>
      </c>
      <c r="D2512">
        <f>10</f>
        <v>10</v>
      </c>
      <c r="E2512" t="str">
        <f>"08 - B - 105 - Ferrie J Arostique"</f>
        <v>08 - B - 105 - Ferrie J Arostique</v>
      </c>
      <c r="F2512" t="str">
        <f>"PRE-AICE MATH 2 IG"</f>
        <v>PRE-AICE MATH 2 IG</v>
      </c>
      <c r="G2512" t="str">
        <f>"21-2139"</f>
        <v>21-2139</v>
      </c>
      <c r="H2512" t="str">
        <f>"B"</f>
        <v>B</v>
      </c>
    </row>
    <row r="2513" spans="1:8" x14ac:dyDescent="0.2">
      <c r="A2513" t="str">
        <f t="shared" ref="A2513:A2520" si="918">"0616021997"</f>
        <v>0616021997</v>
      </c>
      <c r="B2513" t="str">
        <f t="shared" ref="B2513:B2520" si="919">"JANEIL"</f>
        <v>JANEIL</v>
      </c>
      <c r="C2513" t="str">
        <f t="shared" ref="C2513:C2520" si="920">"CANCIA"</f>
        <v>CANCIA</v>
      </c>
      <c r="D2513">
        <f>10</f>
        <v>10</v>
      </c>
      <c r="E2513" t="str">
        <f>"04 - A - 103 - Lourivaldo  Da Silva"</f>
        <v>04 - A - 103 - Lourivaldo  Da Silva</v>
      </c>
      <c r="F2513" t="str">
        <f>"PRE-CALCULUS HON"</f>
        <v>PRE-CALCULUS HON</v>
      </c>
      <c r="G2513" t="str">
        <f>"20-2079"</f>
        <v>20-2079</v>
      </c>
      <c r="H2513" t="str">
        <f>"A"</f>
        <v>A</v>
      </c>
    </row>
    <row r="2514" spans="1:8" x14ac:dyDescent="0.2">
      <c r="A2514" t="str">
        <f t="shared" si="918"/>
        <v>0616021997</v>
      </c>
      <c r="B2514" t="str">
        <f t="shared" si="919"/>
        <v>JANEIL</v>
      </c>
      <c r="C2514" t="str">
        <f t="shared" si="920"/>
        <v>CANCIA</v>
      </c>
      <c r="D2514">
        <f>10</f>
        <v>10</v>
      </c>
      <c r="E2514" t="str">
        <f>"06 - B - 114 - Richard E Dunbar Iii"</f>
        <v>06 - B - 114 - Richard E Dunbar Iii</v>
      </c>
      <c r="F2514" t="str">
        <f>"NC STUDY HALL 1"</f>
        <v>NC STUDY HALL 1</v>
      </c>
      <c r="G2514" t="str">
        <f>"17-1703"</f>
        <v>17-1703</v>
      </c>
      <c r="H2514" t="str">
        <f>"B"</f>
        <v>B</v>
      </c>
    </row>
    <row r="2515" spans="1:8" x14ac:dyDescent="0.2">
      <c r="A2515" t="str">
        <f t="shared" si="918"/>
        <v>0616021997</v>
      </c>
      <c r="B2515" t="str">
        <f t="shared" si="919"/>
        <v>JANEIL</v>
      </c>
      <c r="C2515" t="str">
        <f t="shared" si="920"/>
        <v>CANCIA</v>
      </c>
      <c r="D2515">
        <f>10</f>
        <v>10</v>
      </c>
      <c r="E2515" t="str">
        <f>"03 - A - 106 - Krystal Marie  Beruty"</f>
        <v>03 - A - 106 - Krystal Marie  Beruty</v>
      </c>
      <c r="F2515" t="str">
        <f>"AICE PSYCH 1 AS"</f>
        <v>AICE PSYCH 1 AS</v>
      </c>
      <c r="G2515" t="str">
        <f>"17-1721"</f>
        <v>17-1721</v>
      </c>
      <c r="H2515" t="str">
        <f>"A"</f>
        <v>A</v>
      </c>
    </row>
    <row r="2516" spans="1:8" x14ac:dyDescent="0.2">
      <c r="A2516" t="str">
        <f t="shared" si="918"/>
        <v>0616021997</v>
      </c>
      <c r="B2516" t="str">
        <f t="shared" si="919"/>
        <v>JANEIL</v>
      </c>
      <c r="C2516" t="str">
        <f t="shared" si="920"/>
        <v>CANCIA</v>
      </c>
      <c r="D2516">
        <f>10</f>
        <v>10</v>
      </c>
      <c r="E2516" t="str">
        <f>"02 - A - 102 - Adam Marcus  Drucker"</f>
        <v>02 - A - 102 - Adam Marcus  Drucker</v>
      </c>
      <c r="F2516" t="str">
        <f>"HOPE-PE V"</f>
        <v>HOPE-PE V</v>
      </c>
      <c r="G2516" t="str">
        <f>"04-254"</f>
        <v>04-254</v>
      </c>
      <c r="H2516" t="str">
        <f>"A"</f>
        <v>A</v>
      </c>
    </row>
    <row r="2517" spans="1:8" x14ac:dyDescent="0.2">
      <c r="A2517" t="str">
        <f t="shared" si="918"/>
        <v>0616021997</v>
      </c>
      <c r="B2517" t="str">
        <f t="shared" si="919"/>
        <v>JANEIL</v>
      </c>
      <c r="C2517" t="str">
        <f t="shared" si="920"/>
        <v>CANCIA</v>
      </c>
      <c r="D2517">
        <f>10</f>
        <v>10</v>
      </c>
      <c r="E2517" t="str">
        <f>"07 - S1 - B - 102 - Arthur  Kulawik"</f>
        <v>07 - S1 - B - 102 - Arthur  Kulawik</v>
      </c>
      <c r="F2517" t="str">
        <f>"PERS FIN &amp; MON MGT H"</f>
        <v>PERS FIN &amp; MON MGT H</v>
      </c>
      <c r="G2517" t="str">
        <f>"05-506"</f>
        <v>05-506</v>
      </c>
      <c r="H2517" t="str">
        <f>"B"</f>
        <v>B</v>
      </c>
    </row>
    <row r="2518" spans="1:8" x14ac:dyDescent="0.2">
      <c r="A2518" t="str">
        <f t="shared" si="918"/>
        <v>0616021997</v>
      </c>
      <c r="B2518" t="str">
        <f t="shared" si="919"/>
        <v>JANEIL</v>
      </c>
      <c r="C2518" t="str">
        <f t="shared" si="920"/>
        <v>CANCIA</v>
      </c>
      <c r="D2518">
        <f>10</f>
        <v>10</v>
      </c>
      <c r="E2518" t="str">
        <f>"05 - B - 001 - Kelly N Panza"</f>
        <v>05 - B - 001 - Kelly N Panza</v>
      </c>
      <c r="F2518" t="str">
        <f>"AICE GLBL PERSP 1 AS"</f>
        <v>AICE GLBL PERSP 1 AS</v>
      </c>
      <c r="G2518" t="str">
        <f>"17-1753"</f>
        <v>17-1753</v>
      </c>
      <c r="H2518" t="str">
        <f>"B"</f>
        <v>B</v>
      </c>
    </row>
    <row r="2519" spans="1:8" x14ac:dyDescent="0.2">
      <c r="A2519" t="str">
        <f t="shared" si="918"/>
        <v>0616021997</v>
      </c>
      <c r="B2519" t="str">
        <f t="shared" si="919"/>
        <v>JANEIL</v>
      </c>
      <c r="C2519" t="str">
        <f t="shared" si="920"/>
        <v>CANCIA</v>
      </c>
      <c r="D2519">
        <f>10</f>
        <v>10</v>
      </c>
      <c r="E2519" t="str">
        <f>"01 - A - 201 - Cheryl L Beach"</f>
        <v>01 - A - 201 - Cheryl L Beach</v>
      </c>
      <c r="F2519" t="str">
        <f>"AICE ENV MGMNT AS"</f>
        <v>AICE ENV MGMNT AS</v>
      </c>
      <c r="G2519" t="str">
        <f>"08-811"</f>
        <v>08-811</v>
      </c>
      <c r="H2519" t="str">
        <f>"A"</f>
        <v>A</v>
      </c>
    </row>
    <row r="2520" spans="1:8" x14ac:dyDescent="0.2">
      <c r="A2520" t="str">
        <f t="shared" si="918"/>
        <v>0616021997</v>
      </c>
      <c r="B2520" t="str">
        <f t="shared" si="919"/>
        <v>JANEIL</v>
      </c>
      <c r="C2520" t="str">
        <f t="shared" si="920"/>
        <v>CANCIA</v>
      </c>
      <c r="D2520">
        <f>10</f>
        <v>10</v>
      </c>
      <c r="E2520" t="str">
        <f>"08 - B - 001 - Jacklyn M James"</f>
        <v>08 - B - 001 - Jacklyn M James</v>
      </c>
      <c r="F2520" t="str">
        <f>"AICE ENG LANG AS"</f>
        <v>AICE ENG LANG AS</v>
      </c>
      <c r="G2520" t="str">
        <f>"17-1731"</f>
        <v>17-1731</v>
      </c>
      <c r="H2520" t="str">
        <f>"B"</f>
        <v>B</v>
      </c>
    </row>
    <row r="2521" spans="1:8" x14ac:dyDescent="0.2">
      <c r="A2521" t="str">
        <f t="shared" ref="A2521:A2528" si="921">"0614109172"</f>
        <v>0614109172</v>
      </c>
      <c r="B2521" t="str">
        <f t="shared" ref="B2521:B2528" si="922">"LAILA"</f>
        <v>LAILA</v>
      </c>
      <c r="C2521" t="str">
        <f t="shared" ref="C2521:C2528" si="923">"CANCINO"</f>
        <v>CANCINO</v>
      </c>
      <c r="D2521">
        <f>11</f>
        <v>11</v>
      </c>
      <c r="E2521" t="str">
        <f>"04 - A - 205 - Jacqueline R Morphet"</f>
        <v>04 - A - 205 - Jacqueline R Morphet</v>
      </c>
      <c r="F2521" t="str">
        <f>"PHYSICS 1 HON"</f>
        <v>PHYSICS 1 HON</v>
      </c>
      <c r="G2521" t="str">
        <f>"21-2138"</f>
        <v>21-2138</v>
      </c>
      <c r="H2521" t="str">
        <f>"A"</f>
        <v>A</v>
      </c>
    </row>
    <row r="2522" spans="1:8" x14ac:dyDescent="0.2">
      <c r="A2522" t="str">
        <f t="shared" si="921"/>
        <v>0614109172</v>
      </c>
      <c r="B2522" t="str">
        <f t="shared" si="922"/>
        <v>LAILA</v>
      </c>
      <c r="C2522" t="str">
        <f t="shared" si="923"/>
        <v>CANCINO</v>
      </c>
      <c r="D2522">
        <f>11</f>
        <v>11</v>
      </c>
      <c r="E2522" t="str">
        <f>"06 - B - 101 - Bruce A Evans"</f>
        <v>06 - B - 101 - Bruce A Evans</v>
      </c>
      <c r="F2522" t="str">
        <f>"EMERG MED RESP 3 HON"</f>
        <v>EMERG MED RESP 3 HON</v>
      </c>
      <c r="G2522" t="str">
        <f>"21-2142"</f>
        <v>21-2142</v>
      </c>
      <c r="H2522" t="str">
        <f>"B"</f>
        <v>B</v>
      </c>
    </row>
    <row r="2523" spans="1:8" x14ac:dyDescent="0.2">
      <c r="A2523" t="str">
        <f t="shared" si="921"/>
        <v>0614109172</v>
      </c>
      <c r="B2523" t="str">
        <f t="shared" si="922"/>
        <v>LAILA</v>
      </c>
      <c r="C2523" t="str">
        <f t="shared" si="923"/>
        <v>CANCINO</v>
      </c>
      <c r="D2523">
        <f>11</f>
        <v>11</v>
      </c>
      <c r="E2523" t="str">
        <f>"03 - A - 202 - Bruce A Evans"</f>
        <v>03 - A - 202 - Bruce A Evans</v>
      </c>
      <c r="F2523" t="str">
        <f>"HEALTH SCI FOUND HON"</f>
        <v>HEALTH SCI FOUND HON</v>
      </c>
      <c r="G2523" t="str">
        <f>"21-2142"</f>
        <v>21-2142</v>
      </c>
      <c r="H2523" t="str">
        <f>"A"</f>
        <v>A</v>
      </c>
    </row>
    <row r="2524" spans="1:8" x14ac:dyDescent="0.2">
      <c r="A2524" t="str">
        <f t="shared" si="921"/>
        <v>0614109172</v>
      </c>
      <c r="B2524" t="str">
        <f t="shared" si="922"/>
        <v>LAILA</v>
      </c>
      <c r="C2524" t="str">
        <f t="shared" si="923"/>
        <v>CANCINO</v>
      </c>
      <c r="D2524">
        <f>11</f>
        <v>11</v>
      </c>
      <c r="E2524" t="str">
        <f>"02 - A - 103 - Kelly N Panza"</f>
        <v>02 - A - 103 - Kelly N Panza</v>
      </c>
      <c r="F2524" t="str">
        <f>"NC STUDY HALL 1"</f>
        <v>NC STUDY HALL 1</v>
      </c>
      <c r="G2524" t="str">
        <f>"17-1753"</f>
        <v>17-1753</v>
      </c>
      <c r="H2524" t="str">
        <f>"A"</f>
        <v>A</v>
      </c>
    </row>
    <row r="2525" spans="1:8" x14ac:dyDescent="0.2">
      <c r="A2525" t="str">
        <f t="shared" si="921"/>
        <v>0614109172</v>
      </c>
      <c r="B2525" t="str">
        <f t="shared" si="922"/>
        <v>LAILA</v>
      </c>
      <c r="C2525" t="str">
        <f t="shared" si="923"/>
        <v>CANCINO</v>
      </c>
      <c r="D2525">
        <f>11</f>
        <v>11</v>
      </c>
      <c r="E2525" t="str">
        <f>"07 - B - 101 - Alejandro  Navarro"</f>
        <v>07 - B - 101 - Alejandro  Navarro</v>
      </c>
      <c r="F2525" t="str">
        <f>"EURHY 1"</f>
        <v>EURHY 1</v>
      </c>
      <c r="G2525" t="str">
        <f>"05-504"</f>
        <v>05-504</v>
      </c>
      <c r="H2525" t="str">
        <f>"B"</f>
        <v>B</v>
      </c>
    </row>
    <row r="2526" spans="1:8" x14ac:dyDescent="0.2">
      <c r="A2526" t="str">
        <f t="shared" si="921"/>
        <v>0614109172</v>
      </c>
      <c r="B2526" t="str">
        <f t="shared" si="922"/>
        <v>LAILA</v>
      </c>
      <c r="C2526" t="str">
        <f t="shared" si="923"/>
        <v>CANCINO</v>
      </c>
      <c r="D2526">
        <f>11</f>
        <v>11</v>
      </c>
      <c r="E2526" t="str">
        <f>"05 - B - 001 - Kyle  Robbins"</f>
        <v>05 - B - 001 - Kyle  Robbins</v>
      </c>
      <c r="F2526" t="str">
        <f>"US HISTORY HON"</f>
        <v>US HISTORY HON</v>
      </c>
      <c r="G2526" t="str">
        <f>"17-1745"</f>
        <v>17-1745</v>
      </c>
      <c r="H2526" t="str">
        <f>"B"</f>
        <v>B</v>
      </c>
    </row>
    <row r="2527" spans="1:8" x14ac:dyDescent="0.2">
      <c r="A2527" t="str">
        <f t="shared" si="921"/>
        <v>0614109172</v>
      </c>
      <c r="B2527" t="str">
        <f t="shared" si="922"/>
        <v>LAILA</v>
      </c>
      <c r="C2527" t="str">
        <f t="shared" si="923"/>
        <v>CANCINO</v>
      </c>
      <c r="D2527">
        <f>11</f>
        <v>11</v>
      </c>
      <c r="E2527" t="str">
        <f>"01 - A - 101 - Heidi M Knopp"</f>
        <v>01 - A - 101 - Heidi M Knopp</v>
      </c>
      <c r="F2527" t="str">
        <f>"ENG HON 3"</f>
        <v>ENG HON 3</v>
      </c>
      <c r="G2527" t="str">
        <f>"17-1752"</f>
        <v>17-1752</v>
      </c>
      <c r="H2527" t="str">
        <f>"A"</f>
        <v>A</v>
      </c>
    </row>
    <row r="2528" spans="1:8" x14ac:dyDescent="0.2">
      <c r="A2528" t="str">
        <f t="shared" si="921"/>
        <v>0614109172</v>
      </c>
      <c r="B2528" t="str">
        <f t="shared" si="922"/>
        <v>LAILA</v>
      </c>
      <c r="C2528" t="str">
        <f t="shared" si="923"/>
        <v>CANCINO</v>
      </c>
      <c r="D2528">
        <f>11</f>
        <v>11</v>
      </c>
      <c r="E2528" t="str">
        <f>"08 - B - 105 - Semra  Bahadir"</f>
        <v>08 - B - 105 - Semra  Bahadir</v>
      </c>
      <c r="F2528" t="str">
        <f>"MATH COLL ALGEBRA"</f>
        <v>MATH COLL ALGEBRA</v>
      </c>
      <c r="G2528" t="str">
        <f>"21-2107"</f>
        <v>21-2107</v>
      </c>
      <c r="H2528" t="str">
        <f>"B"</f>
        <v>B</v>
      </c>
    </row>
    <row r="2529" spans="1:8" x14ac:dyDescent="0.2">
      <c r="A2529" t="str">
        <f t="shared" ref="A2529:A2536" si="924">"0617054012"</f>
        <v>0617054012</v>
      </c>
      <c r="B2529" t="str">
        <f t="shared" ref="B2529:B2536" si="925">"ROWAN"</f>
        <v>ROWAN</v>
      </c>
      <c r="C2529" t="str">
        <f t="shared" ref="C2529:C2536" si="926">"CANNON"</f>
        <v>CANNON</v>
      </c>
      <c r="D2529">
        <f>10</f>
        <v>10</v>
      </c>
      <c r="E2529" t="str">
        <f>"04 - A - 102 - Byron G Montenegro"</f>
        <v>04 - A - 102 - Byron G Montenegro</v>
      </c>
      <c r="F2529" t="str">
        <f>"AICE MARINE SCI 1 AS"</f>
        <v>AICE MARINE SCI 1 AS</v>
      </c>
      <c r="G2529" t="str">
        <f>"21-2144"</f>
        <v>21-2144</v>
      </c>
      <c r="H2529" t="str">
        <f>"A"</f>
        <v>A</v>
      </c>
    </row>
    <row r="2530" spans="1:8" x14ac:dyDescent="0.2">
      <c r="A2530" t="str">
        <f t="shared" si="924"/>
        <v>0617054012</v>
      </c>
      <c r="B2530" t="str">
        <f t="shared" si="925"/>
        <v>ROWAN</v>
      </c>
      <c r="C2530" t="str">
        <f t="shared" si="926"/>
        <v>CANNON</v>
      </c>
      <c r="D2530">
        <f>10</f>
        <v>10</v>
      </c>
      <c r="E2530" t="str">
        <f>"06 - B - 107 - Dorothy D Moore"</f>
        <v>06 - B - 107 - Dorothy D Moore</v>
      </c>
      <c r="F2530" t="str">
        <f>"NC STUDY HALL 1"</f>
        <v>NC STUDY HALL 1</v>
      </c>
      <c r="G2530" t="str">
        <f>"08-803"</f>
        <v>08-803</v>
      </c>
      <c r="H2530" t="str">
        <f>"B"</f>
        <v>B</v>
      </c>
    </row>
    <row r="2531" spans="1:8" x14ac:dyDescent="0.2">
      <c r="A2531" t="str">
        <f t="shared" si="924"/>
        <v>0617054012</v>
      </c>
      <c r="B2531" t="str">
        <f t="shared" si="925"/>
        <v>ROWAN</v>
      </c>
      <c r="C2531" t="str">
        <f t="shared" si="926"/>
        <v>CANNON</v>
      </c>
      <c r="D2531">
        <f>10</f>
        <v>10</v>
      </c>
      <c r="E2531" t="str">
        <f>"03 - A - 103 - Marius D Orsolini"</f>
        <v>03 - A - 103 - Marius D Orsolini</v>
      </c>
      <c r="F2531" t="str">
        <f>"CULINARY ARTS 1"</f>
        <v>CULINARY ARTS 1</v>
      </c>
      <c r="G2531" t="str">
        <f>"21-2115"</f>
        <v>21-2115</v>
      </c>
      <c r="H2531" t="str">
        <f>"A"</f>
        <v>A</v>
      </c>
    </row>
    <row r="2532" spans="1:8" x14ac:dyDescent="0.2">
      <c r="A2532" t="str">
        <f t="shared" si="924"/>
        <v>0617054012</v>
      </c>
      <c r="B2532" t="str">
        <f t="shared" si="925"/>
        <v>ROWAN</v>
      </c>
      <c r="C2532" t="str">
        <f t="shared" si="926"/>
        <v>CANNON</v>
      </c>
      <c r="D2532">
        <f>10</f>
        <v>10</v>
      </c>
      <c r="E2532" t="str">
        <f>"02 - S1 - A - 101 - James H Mccann"</f>
        <v>02 - S1 - A - 101 - James H Mccann</v>
      </c>
      <c r="F2532" t="str">
        <f>"PERS FIN &amp; MON MGT H"</f>
        <v>PERS FIN &amp; MON MGT H</v>
      </c>
      <c r="G2532" t="str">
        <f>"17-1716"</f>
        <v>17-1716</v>
      </c>
      <c r="H2532" t="str">
        <f>"A"</f>
        <v>A</v>
      </c>
    </row>
    <row r="2533" spans="1:8" x14ac:dyDescent="0.2">
      <c r="A2533" t="str">
        <f t="shared" si="924"/>
        <v>0617054012</v>
      </c>
      <c r="B2533" t="str">
        <f t="shared" si="925"/>
        <v>ROWAN</v>
      </c>
      <c r="C2533" t="str">
        <f t="shared" si="926"/>
        <v>CANNON</v>
      </c>
      <c r="D2533">
        <f>10</f>
        <v>10</v>
      </c>
      <c r="E2533" t="str">
        <f>"07 - B - 107 - Rosa Elaine  Collado-Duff"</f>
        <v>07 - B - 107 - Rosa Elaine  Collado-Duff</v>
      </c>
      <c r="F2533" t="str">
        <f>"PRE-AICE SPAN 2 IG"</f>
        <v>PRE-AICE SPAN 2 IG</v>
      </c>
      <c r="G2533" t="str">
        <f>"09-913"</f>
        <v>09-913</v>
      </c>
      <c r="H2533" t="str">
        <f>"B"</f>
        <v>B</v>
      </c>
    </row>
    <row r="2534" spans="1:8" x14ac:dyDescent="0.2">
      <c r="A2534" t="str">
        <f t="shared" si="924"/>
        <v>0617054012</v>
      </c>
      <c r="B2534" t="str">
        <f t="shared" si="925"/>
        <v>ROWAN</v>
      </c>
      <c r="C2534" t="str">
        <f t="shared" si="926"/>
        <v>CANNON</v>
      </c>
      <c r="D2534">
        <f>10</f>
        <v>10</v>
      </c>
      <c r="E2534" t="str">
        <f>"05 - B - 104 - Maried P Ramos"</f>
        <v>05 - B - 104 - Maried P Ramos</v>
      </c>
      <c r="F2534" t="str">
        <f>"PRE-AICE MATH 2 IG"</f>
        <v>PRE-AICE MATH 2 IG</v>
      </c>
      <c r="G2534" t="str">
        <f>"21-2159"</f>
        <v>21-2159</v>
      </c>
      <c r="H2534" t="str">
        <f>"B"</f>
        <v>B</v>
      </c>
    </row>
    <row r="2535" spans="1:8" x14ac:dyDescent="0.2">
      <c r="A2535" t="str">
        <f t="shared" si="924"/>
        <v>0617054012</v>
      </c>
      <c r="B2535" t="str">
        <f t="shared" si="925"/>
        <v>ROWAN</v>
      </c>
      <c r="C2535" t="str">
        <f t="shared" si="926"/>
        <v>CANNON</v>
      </c>
      <c r="D2535">
        <f>10</f>
        <v>10</v>
      </c>
      <c r="E2535" t="str">
        <f>"01 - A - 006 - Emmily A Sarmiento"</f>
        <v>01 - A - 006 - Emmily A Sarmiento</v>
      </c>
      <c r="F2535" t="str">
        <f>"AICE GLBL PERSP 1 AS"</f>
        <v>AICE GLBL PERSP 1 AS</v>
      </c>
      <c r="G2535" t="str">
        <f>"17-1743"</f>
        <v>17-1743</v>
      </c>
      <c r="H2535" t="str">
        <f>"A"</f>
        <v>A</v>
      </c>
    </row>
    <row r="2536" spans="1:8" x14ac:dyDescent="0.2">
      <c r="A2536" t="str">
        <f t="shared" si="924"/>
        <v>0617054012</v>
      </c>
      <c r="B2536" t="str">
        <f t="shared" si="925"/>
        <v>ROWAN</v>
      </c>
      <c r="C2536" t="str">
        <f t="shared" si="926"/>
        <v>CANNON</v>
      </c>
      <c r="D2536">
        <f>10</f>
        <v>10</v>
      </c>
      <c r="E2536" t="str">
        <f>"08 - B - 102 - Jacquelyn M Neeson"</f>
        <v>08 - B - 102 - Jacquelyn M Neeson</v>
      </c>
      <c r="F2536" t="str">
        <f>"AICE ENG GEN PAPER 1"</f>
        <v>AICE ENG GEN PAPER 1</v>
      </c>
      <c r="G2536" t="str">
        <f>"17-1715"</f>
        <v>17-1715</v>
      </c>
      <c r="H2536" t="str">
        <f>"B"</f>
        <v>B</v>
      </c>
    </row>
    <row r="2537" spans="1:8" x14ac:dyDescent="0.2">
      <c r="A2537" t="str">
        <f t="shared" ref="A2537:A2544" si="927">"0625021843"</f>
        <v>0625021843</v>
      </c>
      <c r="B2537" t="str">
        <f t="shared" ref="B2537:B2544" si="928">"JONATHAN"</f>
        <v>JONATHAN</v>
      </c>
      <c r="C2537" t="str">
        <f t="shared" ref="C2537:C2544" si="929">"CANO"</f>
        <v>CANO</v>
      </c>
      <c r="D2537">
        <f>11</f>
        <v>11</v>
      </c>
      <c r="E2537" t="str">
        <f>"04 - A - 108 - Maried P Ramos"</f>
        <v>04 - A - 108 - Maried P Ramos</v>
      </c>
      <c r="F2537" t="str">
        <f>"GEOMETRY"</f>
        <v>GEOMETRY</v>
      </c>
      <c r="G2537" t="str">
        <f>"21-2159"</f>
        <v>21-2159</v>
      </c>
      <c r="H2537" t="str">
        <f>"A"</f>
        <v>A</v>
      </c>
    </row>
    <row r="2538" spans="1:8" x14ac:dyDescent="0.2">
      <c r="A2538" t="str">
        <f t="shared" si="927"/>
        <v>0625021843</v>
      </c>
      <c r="B2538" t="str">
        <f t="shared" si="928"/>
        <v>JONATHAN</v>
      </c>
      <c r="C2538" t="str">
        <f t="shared" si="929"/>
        <v>CANO</v>
      </c>
      <c r="D2538">
        <f>11</f>
        <v>11</v>
      </c>
      <c r="E2538" t="str">
        <f>"06 - B - 202 - Brian M Fitzgerald"</f>
        <v>06 - B - 202 - Brian M Fitzgerald</v>
      </c>
      <c r="F2538" t="str">
        <f>"DRAW 1"</f>
        <v>DRAW 1</v>
      </c>
      <c r="G2538" t="str">
        <f>"09-908"</f>
        <v>09-908</v>
      </c>
      <c r="H2538" t="str">
        <f>"B"</f>
        <v>B</v>
      </c>
    </row>
    <row r="2539" spans="1:8" x14ac:dyDescent="0.2">
      <c r="A2539" t="str">
        <f t="shared" si="927"/>
        <v>0625021843</v>
      </c>
      <c r="B2539" t="str">
        <f t="shared" si="928"/>
        <v>JONATHAN</v>
      </c>
      <c r="C2539" t="str">
        <f t="shared" si="929"/>
        <v>CANO</v>
      </c>
      <c r="D2539">
        <f>11</f>
        <v>11</v>
      </c>
      <c r="E2539" t="str">
        <f>"03 - A - 104 - Kyle  Robbins"</f>
        <v>03 - A - 104 - Kyle  Robbins</v>
      </c>
      <c r="F2539" t="str">
        <f>"US HISTORY"</f>
        <v>US HISTORY</v>
      </c>
      <c r="G2539" t="str">
        <f>"17-1745"</f>
        <v>17-1745</v>
      </c>
      <c r="H2539" t="str">
        <f>"A"</f>
        <v>A</v>
      </c>
    </row>
    <row r="2540" spans="1:8" x14ac:dyDescent="0.2">
      <c r="A2540" t="str">
        <f t="shared" si="927"/>
        <v>0625021843</v>
      </c>
      <c r="B2540" t="str">
        <f t="shared" si="928"/>
        <v>JONATHAN</v>
      </c>
      <c r="C2540" t="str">
        <f t="shared" si="929"/>
        <v>CANO</v>
      </c>
      <c r="D2540">
        <f>11</f>
        <v>11</v>
      </c>
      <c r="E2540" t="str">
        <f>"02 - A - 102 - Brook E Goren"</f>
        <v>02 - A - 102 - Brook E Goren</v>
      </c>
      <c r="F2540" t="str">
        <f>"NC STUDY HALL 1"</f>
        <v>NC STUDY HALL 1</v>
      </c>
      <c r="G2540" t="str">
        <f>"21-2158"</f>
        <v>21-2158</v>
      </c>
      <c r="H2540" t="str">
        <f>"A"</f>
        <v>A</v>
      </c>
    </row>
    <row r="2541" spans="1:8" x14ac:dyDescent="0.2">
      <c r="A2541" t="str">
        <f t="shared" si="927"/>
        <v>0625021843</v>
      </c>
      <c r="B2541" t="str">
        <f t="shared" si="928"/>
        <v>JONATHAN</v>
      </c>
      <c r="C2541" t="str">
        <f t="shared" si="929"/>
        <v>CANO</v>
      </c>
      <c r="D2541">
        <f>11</f>
        <v>11</v>
      </c>
      <c r="E2541" t="str">
        <f>"07 - B - 107 - Lytrell T Dixon"</f>
        <v>07 - B - 107 - Lytrell T Dixon</v>
      </c>
      <c r="F2541" t="str">
        <f>"BIOLOGY 1"</f>
        <v>BIOLOGY 1</v>
      </c>
      <c r="G2541" t="str">
        <f>"08-808"</f>
        <v>08-808</v>
      </c>
      <c r="H2541" t="str">
        <f>"B"</f>
        <v>B</v>
      </c>
    </row>
    <row r="2542" spans="1:8" x14ac:dyDescent="0.2">
      <c r="A2542" t="str">
        <f t="shared" si="927"/>
        <v>0625021843</v>
      </c>
      <c r="B2542" t="str">
        <f t="shared" si="928"/>
        <v>JONATHAN</v>
      </c>
      <c r="C2542" t="str">
        <f t="shared" si="929"/>
        <v>CANO</v>
      </c>
      <c r="D2542">
        <f>11</f>
        <v>11</v>
      </c>
      <c r="E2542" t="str">
        <f>"05 - B - 104 - Lisa  Quinn"</f>
        <v>05 - B - 104 - Lisa  Quinn</v>
      </c>
      <c r="F2542" t="str">
        <f>"ENG 3"</f>
        <v>ENG 3</v>
      </c>
      <c r="G2542" t="str">
        <f>"17-1725"</f>
        <v>17-1725</v>
      </c>
      <c r="H2542" t="str">
        <f>"B"</f>
        <v>B</v>
      </c>
    </row>
    <row r="2543" spans="1:8" x14ac:dyDescent="0.2">
      <c r="A2543" t="str">
        <f t="shared" si="927"/>
        <v>0625021843</v>
      </c>
      <c r="B2543" t="str">
        <f t="shared" si="928"/>
        <v>JONATHAN</v>
      </c>
      <c r="C2543" t="str">
        <f t="shared" si="929"/>
        <v>CANO</v>
      </c>
      <c r="D2543">
        <f>11</f>
        <v>11</v>
      </c>
      <c r="E2543" t="str">
        <f>"01 - A - 101 - Vanessa J Pena"</f>
        <v>01 - A - 101 - Vanessa J Pena</v>
      </c>
      <c r="F2543" t="str">
        <f>"DEV LANG ARTS ESOL-R"</f>
        <v>DEV LANG ARTS ESOL-R</v>
      </c>
      <c r="G2543" t="str">
        <f>"09-926"</f>
        <v>09-926</v>
      </c>
      <c r="H2543" t="str">
        <f>"A"</f>
        <v>A</v>
      </c>
    </row>
    <row r="2544" spans="1:8" x14ac:dyDescent="0.2">
      <c r="A2544" t="str">
        <f t="shared" si="927"/>
        <v>0625021843</v>
      </c>
      <c r="B2544" t="str">
        <f t="shared" si="928"/>
        <v>JONATHAN</v>
      </c>
      <c r="C2544" t="str">
        <f t="shared" si="929"/>
        <v>CANO</v>
      </c>
      <c r="D2544">
        <f>11</f>
        <v>11</v>
      </c>
      <c r="E2544" t="str">
        <f>"08 - S1 - B - 104 - Leslie J Barton"</f>
        <v>08 - S1 - B - 104 - Leslie J Barton</v>
      </c>
      <c r="F2544" t="str">
        <f>"TEAM SPORTS 1"</f>
        <v>TEAM SPORTS 1</v>
      </c>
      <c r="G2544" t="str">
        <f>"04-254"</f>
        <v>04-254</v>
      </c>
      <c r="H2544" t="str">
        <f>"B"</f>
        <v>B</v>
      </c>
    </row>
    <row r="2545" spans="1:8" x14ac:dyDescent="0.2">
      <c r="A2545" t="str">
        <f t="shared" ref="A2545:A2552" si="930">"0616047471"</f>
        <v>0616047471</v>
      </c>
      <c r="B2545" t="str">
        <f t="shared" ref="B2545:B2552" si="931">"NIKISHA"</f>
        <v>NIKISHA</v>
      </c>
      <c r="C2545" t="str">
        <f t="shared" ref="C2545:C2552" si="932">"CANOIS"</f>
        <v>CANOIS</v>
      </c>
      <c r="D2545">
        <f>10</f>
        <v>10</v>
      </c>
      <c r="E2545" t="str">
        <f>"04 - A - 201 - Samantha L Martinez"</f>
        <v>04 - A - 201 - Samantha L Martinez</v>
      </c>
      <c r="F2545" t="str">
        <f>"KEYBD 2"</f>
        <v>KEYBD 2</v>
      </c>
      <c r="G2545" t="str">
        <f>"05-505"</f>
        <v>05-505</v>
      </c>
      <c r="H2545" t="str">
        <f>"A"</f>
        <v>A</v>
      </c>
    </row>
    <row r="2546" spans="1:8" x14ac:dyDescent="0.2">
      <c r="A2546" t="str">
        <f t="shared" si="930"/>
        <v>0616047471</v>
      </c>
      <c r="B2546" t="str">
        <f t="shared" si="931"/>
        <v>NIKISHA</v>
      </c>
      <c r="C2546" t="str">
        <f t="shared" si="932"/>
        <v>CANOIS</v>
      </c>
      <c r="D2546">
        <f>10</f>
        <v>10</v>
      </c>
      <c r="E2546" t="str">
        <f>"06 - B - 112 - Tina M Jaramillo"</f>
        <v>06 - B - 112 - Tina M Jaramillo</v>
      </c>
      <c r="F2546" t="str">
        <f>"NC STUDY HALL 1"</f>
        <v>NC STUDY HALL 1</v>
      </c>
      <c r="G2546" t="str">
        <f>"17-1706"</f>
        <v>17-1706</v>
      </c>
      <c r="H2546" t="str">
        <f>"B"</f>
        <v>B</v>
      </c>
    </row>
    <row r="2547" spans="1:8" x14ac:dyDescent="0.2">
      <c r="A2547" t="str">
        <f t="shared" si="930"/>
        <v>0616047471</v>
      </c>
      <c r="B2547" t="str">
        <f t="shared" si="931"/>
        <v>NIKISHA</v>
      </c>
      <c r="C2547" t="str">
        <f t="shared" si="932"/>
        <v>CANOIS</v>
      </c>
      <c r="D2547">
        <f>10</f>
        <v>10</v>
      </c>
      <c r="E2547" t="str">
        <f>"03 - A - 206 - Josiah I Lacy"</f>
        <v>03 - A - 206 - Josiah I Lacy</v>
      </c>
      <c r="F2547" t="str">
        <f>"BIOLOGY 1"</f>
        <v>BIOLOGY 1</v>
      </c>
      <c r="G2547" t="str">
        <f>"08-801"</f>
        <v>08-801</v>
      </c>
      <c r="H2547" t="str">
        <f>"A"</f>
        <v>A</v>
      </c>
    </row>
    <row r="2548" spans="1:8" x14ac:dyDescent="0.2">
      <c r="A2548" t="str">
        <f t="shared" si="930"/>
        <v>0616047471</v>
      </c>
      <c r="B2548" t="str">
        <f t="shared" si="931"/>
        <v>NIKISHA</v>
      </c>
      <c r="C2548" t="str">
        <f t="shared" si="932"/>
        <v>CANOIS</v>
      </c>
      <c r="D2548">
        <f>10</f>
        <v>10</v>
      </c>
      <c r="E2548" t="str">
        <f>"02 - A - 102 - Adam Marcus  Drucker"</f>
        <v>02 - A - 102 - Adam Marcus  Drucker</v>
      </c>
      <c r="F2548" t="str">
        <f>"HOPE-PE V"</f>
        <v>HOPE-PE V</v>
      </c>
      <c r="G2548" t="str">
        <f>"04-254"</f>
        <v>04-254</v>
      </c>
      <c r="H2548" t="str">
        <f>"A"</f>
        <v>A</v>
      </c>
    </row>
    <row r="2549" spans="1:8" x14ac:dyDescent="0.2">
      <c r="A2549" t="str">
        <f t="shared" si="930"/>
        <v>0616047471</v>
      </c>
      <c r="B2549" t="str">
        <f t="shared" si="931"/>
        <v>NIKISHA</v>
      </c>
      <c r="C2549" t="str">
        <f t="shared" si="932"/>
        <v>CANOIS</v>
      </c>
      <c r="D2549">
        <f>10</f>
        <v>10</v>
      </c>
      <c r="E2549" t="str">
        <f>"07 - B - 106 - James H Mccann"</f>
        <v>07 - B - 106 - James H Mccann</v>
      </c>
      <c r="F2549" t="str">
        <f>"ALGEBRA 2"</f>
        <v>ALGEBRA 2</v>
      </c>
      <c r="G2549" t="str">
        <f>"17-1716"</f>
        <v>17-1716</v>
      </c>
      <c r="H2549" t="str">
        <f>"B"</f>
        <v>B</v>
      </c>
    </row>
    <row r="2550" spans="1:8" x14ac:dyDescent="0.2">
      <c r="A2550" t="str">
        <f t="shared" si="930"/>
        <v>0616047471</v>
      </c>
      <c r="B2550" t="str">
        <f t="shared" si="931"/>
        <v>NIKISHA</v>
      </c>
      <c r="C2550" t="str">
        <f t="shared" si="932"/>
        <v>CANOIS</v>
      </c>
      <c r="D2550">
        <f>10</f>
        <v>10</v>
      </c>
      <c r="E2550" t="str">
        <f>"05 - B - 201 - Lisa J London"</f>
        <v>05 - B - 201 - Lisa J London</v>
      </c>
      <c r="F2550" t="str">
        <f>"COMPRE LAW HON"</f>
        <v>COMPRE LAW HON</v>
      </c>
      <c r="G2550" t="str">
        <f>"17-1714"</f>
        <v>17-1714</v>
      </c>
      <c r="H2550" t="str">
        <f>"B"</f>
        <v>B</v>
      </c>
    </row>
    <row r="2551" spans="1:8" x14ac:dyDescent="0.2">
      <c r="A2551" t="str">
        <f t="shared" si="930"/>
        <v>0616047471</v>
      </c>
      <c r="B2551" t="str">
        <f t="shared" si="931"/>
        <v>NIKISHA</v>
      </c>
      <c r="C2551" t="str">
        <f t="shared" si="932"/>
        <v>CANOIS</v>
      </c>
      <c r="D2551">
        <f>10</f>
        <v>10</v>
      </c>
      <c r="E2551" t="str">
        <f>"01 - S1 - A - 101 - Lissa C Frederique"</f>
        <v>01 - S1 - A - 101 - Lissa C Frederique</v>
      </c>
      <c r="F2551" t="str">
        <f>"PERS FIN &amp; MON MGT H"</f>
        <v>PERS FIN &amp; MON MGT H</v>
      </c>
      <c r="G2551" t="str">
        <f>"17-1754"</f>
        <v>17-1754</v>
      </c>
      <c r="H2551" t="str">
        <f>"A"</f>
        <v>A</v>
      </c>
    </row>
    <row r="2552" spans="1:8" x14ac:dyDescent="0.2">
      <c r="A2552" t="str">
        <f t="shared" si="930"/>
        <v>0616047471</v>
      </c>
      <c r="B2552" t="str">
        <f t="shared" si="931"/>
        <v>NIKISHA</v>
      </c>
      <c r="C2552" t="str">
        <f t="shared" si="932"/>
        <v>CANOIS</v>
      </c>
      <c r="D2552">
        <f>10</f>
        <v>10</v>
      </c>
      <c r="E2552" t="str">
        <f>"08 - B - 109 - Nikiel  Nesbeth"</f>
        <v>08 - B - 109 - Nikiel  Nesbeth</v>
      </c>
      <c r="F2552" t="str">
        <f>"ENG 2"</f>
        <v>ENG 2</v>
      </c>
      <c r="G2552" t="str">
        <f>"17-1705"</f>
        <v>17-1705</v>
      </c>
      <c r="H2552" t="str">
        <f>"B"</f>
        <v>B</v>
      </c>
    </row>
    <row r="2553" spans="1:8" x14ac:dyDescent="0.2">
      <c r="A2553" t="str">
        <f t="shared" ref="A2553:A2560" si="933">"0614066724"</f>
        <v>0614066724</v>
      </c>
      <c r="B2553" t="str">
        <f t="shared" ref="B2553:B2560" si="934">"MIA"</f>
        <v>MIA</v>
      </c>
      <c r="C2553" t="str">
        <f t="shared" ref="C2553:C2560" si="935">"CAPOBIANCO"</f>
        <v>CAPOBIANCO</v>
      </c>
      <c r="D2553">
        <f>12</f>
        <v>12</v>
      </c>
      <c r="E2553" t="str">
        <f>"04 - S1 - A - 101 - Nahum  Saint-Preux"</f>
        <v>04 - S1 - A - 101 - Nahum  Saint-Preux</v>
      </c>
      <c r="F2553" t="str">
        <f>"CRIT THINK ST SKLS"</f>
        <v>CRIT THINK ST SKLS</v>
      </c>
      <c r="G2553" t="str">
        <f>"17-1712"</f>
        <v>17-1712</v>
      </c>
      <c r="H2553" t="str">
        <f>"A"</f>
        <v>A</v>
      </c>
    </row>
    <row r="2554" spans="1:8" x14ac:dyDescent="0.2">
      <c r="A2554" t="str">
        <f t="shared" si="933"/>
        <v>0614066724</v>
      </c>
      <c r="B2554" t="str">
        <f t="shared" si="934"/>
        <v>MIA</v>
      </c>
      <c r="C2554" t="str">
        <f t="shared" si="935"/>
        <v>CAPOBIANCO</v>
      </c>
      <c r="D2554">
        <f>12</f>
        <v>12</v>
      </c>
      <c r="E2554" t="str">
        <f>"06 - B - 111 - James H Mccann"</f>
        <v>06 - B - 111 - James H Mccann</v>
      </c>
      <c r="F2554" t="str">
        <f>"NC STUDY HALL 1"</f>
        <v>NC STUDY HALL 1</v>
      </c>
      <c r="G2554" t="str">
        <f>"17-1716"</f>
        <v>17-1716</v>
      </c>
      <c r="H2554" t="str">
        <f>"B"</f>
        <v>B</v>
      </c>
    </row>
    <row r="2555" spans="1:8" x14ac:dyDescent="0.2">
      <c r="A2555" t="str">
        <f t="shared" si="933"/>
        <v>0614066724</v>
      </c>
      <c r="B2555" t="str">
        <f t="shared" si="934"/>
        <v>MIA</v>
      </c>
      <c r="C2555" t="str">
        <f t="shared" si="935"/>
        <v>CAPOBIANCO</v>
      </c>
      <c r="D2555">
        <f>12</f>
        <v>12</v>
      </c>
      <c r="E2555" t="str">
        <f>"03 - A - 101 - Brian M Fitzgerald"</f>
        <v>03 - A - 101 - Brian M Fitzgerald</v>
      </c>
      <c r="F2555" t="str">
        <f>"SCULPT 1"</f>
        <v>SCULPT 1</v>
      </c>
      <c r="G2555" t="str">
        <f>"09-908"</f>
        <v>09-908</v>
      </c>
      <c r="H2555" t="str">
        <f>"A"</f>
        <v>A</v>
      </c>
    </row>
    <row r="2556" spans="1:8" x14ac:dyDescent="0.2">
      <c r="A2556" t="str">
        <f t="shared" si="933"/>
        <v>0614066724</v>
      </c>
      <c r="B2556" t="str">
        <f t="shared" si="934"/>
        <v>MIA</v>
      </c>
      <c r="C2556" t="str">
        <f t="shared" si="935"/>
        <v>CAPOBIANCO</v>
      </c>
      <c r="D2556">
        <f>12</f>
        <v>12</v>
      </c>
      <c r="E2556" t="str">
        <f>"02 - A - 101 - Nahum  Saint-Preux"</f>
        <v>02 - A - 101 - Nahum  Saint-Preux</v>
      </c>
      <c r="F2556" t="str">
        <f>"INTENS READ 4"</f>
        <v>INTENS READ 4</v>
      </c>
      <c r="G2556" t="str">
        <f>"17-1712"</f>
        <v>17-1712</v>
      </c>
      <c r="H2556" t="str">
        <f>"A"</f>
        <v>A</v>
      </c>
    </row>
    <row r="2557" spans="1:8" x14ac:dyDescent="0.2">
      <c r="A2557" t="str">
        <f t="shared" si="933"/>
        <v>0614066724</v>
      </c>
      <c r="B2557" t="str">
        <f t="shared" si="934"/>
        <v>MIA</v>
      </c>
      <c r="C2557" t="str">
        <f t="shared" si="935"/>
        <v>CAPOBIANCO</v>
      </c>
      <c r="D2557">
        <f>12</f>
        <v>12</v>
      </c>
      <c r="E2557" t="str">
        <f>"07 - S1 - B - 103 - Robert O Burger"</f>
        <v>07 - S1 - B - 103 - Robert O Burger</v>
      </c>
      <c r="F2557" t="str">
        <f>"US GOVT"</f>
        <v>US GOVT</v>
      </c>
      <c r="G2557" t="str">
        <f>"17-1755"</f>
        <v>17-1755</v>
      </c>
      <c r="H2557" t="str">
        <f>"B"</f>
        <v>B</v>
      </c>
    </row>
    <row r="2558" spans="1:8" x14ac:dyDescent="0.2">
      <c r="A2558" t="str">
        <f t="shared" si="933"/>
        <v>0614066724</v>
      </c>
      <c r="B2558" t="str">
        <f t="shared" si="934"/>
        <v>MIA</v>
      </c>
      <c r="C2558" t="str">
        <f t="shared" si="935"/>
        <v>CAPOBIANCO</v>
      </c>
      <c r="D2558">
        <f>12</f>
        <v>12</v>
      </c>
      <c r="E2558" t="str">
        <f>"05 - B - 201 - Jazmin S Fletcher"</f>
        <v>05 - B - 201 - Jazmin S Fletcher</v>
      </c>
      <c r="F2558" t="str">
        <f>"THEATRE 1"</f>
        <v>THEATRE 1</v>
      </c>
      <c r="G2558" t="str">
        <f>"09-909"</f>
        <v>09-909</v>
      </c>
      <c r="H2558" t="str">
        <f>"B"</f>
        <v>B</v>
      </c>
    </row>
    <row r="2559" spans="1:8" x14ac:dyDescent="0.2">
      <c r="A2559" t="str">
        <f t="shared" si="933"/>
        <v>0614066724</v>
      </c>
      <c r="B2559" t="str">
        <f t="shared" si="934"/>
        <v>MIA</v>
      </c>
      <c r="C2559" t="str">
        <f t="shared" si="935"/>
        <v>CAPOBIANCO</v>
      </c>
      <c r="D2559">
        <f>12</f>
        <v>12</v>
      </c>
      <c r="E2559" t="str">
        <f>"01 - A - 102 - Robert H Rindner"</f>
        <v>01 - A - 102 - Robert H Rindner</v>
      </c>
      <c r="F2559" t="str">
        <f>"MATH DATA&amp;FIN LIT H"</f>
        <v>MATH DATA&amp;FIN LIT H</v>
      </c>
      <c r="G2559" t="str">
        <f>"21-2160"</f>
        <v>21-2160</v>
      </c>
      <c r="H2559" t="str">
        <f>"A"</f>
        <v>A</v>
      </c>
    </row>
    <row r="2560" spans="1:8" x14ac:dyDescent="0.2">
      <c r="A2560" t="str">
        <f t="shared" si="933"/>
        <v>0614066724</v>
      </c>
      <c r="B2560" t="str">
        <f t="shared" si="934"/>
        <v>MIA</v>
      </c>
      <c r="C2560" t="str">
        <f t="shared" si="935"/>
        <v>CAPOBIANCO</v>
      </c>
      <c r="D2560">
        <f>12</f>
        <v>12</v>
      </c>
      <c r="E2560" t="str">
        <f>"08 - B - 206 - Robyn L Trainer"</f>
        <v>08 - B - 206 - Robyn L Trainer</v>
      </c>
      <c r="F2560" t="str">
        <f>"ENG 4: FL COLL PREP"</f>
        <v>ENG 4: FL COLL PREP</v>
      </c>
      <c r="G2560" t="str">
        <f>"17-1734"</f>
        <v>17-1734</v>
      </c>
      <c r="H2560" t="str">
        <f>"B"</f>
        <v>B</v>
      </c>
    </row>
    <row r="2561" spans="1:8" x14ac:dyDescent="0.2">
      <c r="A2561" t="str">
        <f t="shared" ref="A2561:A2568" si="936">"0615146754"</f>
        <v>0615146754</v>
      </c>
      <c r="B2561" t="str">
        <f t="shared" ref="B2561:B2568" si="937">"MAYA"</f>
        <v>MAYA</v>
      </c>
      <c r="C2561" t="str">
        <f t="shared" ref="C2561:C2568" si="938">"CAPPELLETTI"</f>
        <v>CAPPELLETTI</v>
      </c>
      <c r="D2561">
        <f>10</f>
        <v>10</v>
      </c>
      <c r="E2561" t="str">
        <f>"04 - A - 101 - Rosa Elaine  Collado-Duff"</f>
        <v>04 - A - 101 - Rosa Elaine  Collado-Duff</v>
      </c>
      <c r="F2561" t="str">
        <f>"AICE SPAN LANG AS"</f>
        <v>AICE SPAN LANG AS</v>
      </c>
      <c r="G2561" t="str">
        <f>"09-913"</f>
        <v>09-913</v>
      </c>
      <c r="H2561" t="str">
        <f>"A"</f>
        <v>A</v>
      </c>
    </row>
    <row r="2562" spans="1:8" x14ac:dyDescent="0.2">
      <c r="A2562" t="str">
        <f t="shared" si="936"/>
        <v>0615146754</v>
      </c>
      <c r="B2562" t="str">
        <f t="shared" si="937"/>
        <v>MAYA</v>
      </c>
      <c r="C2562" t="str">
        <f t="shared" si="938"/>
        <v>CAPPELLETTI</v>
      </c>
      <c r="D2562">
        <f>10</f>
        <v>10</v>
      </c>
      <c r="E2562" t="str">
        <f>"06 - B - 116 - Jordana K Hass"</f>
        <v>06 - B - 116 - Jordana K Hass</v>
      </c>
      <c r="F2562" t="str">
        <f>"NC STUDY HALL 1"</f>
        <v>NC STUDY HALL 1</v>
      </c>
      <c r="G2562" t="str">
        <f>"08-807"</f>
        <v>08-807</v>
      </c>
      <c r="H2562" t="str">
        <f>"B"</f>
        <v>B</v>
      </c>
    </row>
    <row r="2563" spans="1:8" x14ac:dyDescent="0.2">
      <c r="A2563" t="str">
        <f t="shared" si="936"/>
        <v>0615146754</v>
      </c>
      <c r="B2563" t="str">
        <f t="shared" si="937"/>
        <v>MAYA</v>
      </c>
      <c r="C2563" t="str">
        <f t="shared" si="938"/>
        <v>CAPPELLETTI</v>
      </c>
      <c r="D2563">
        <f>10</f>
        <v>10</v>
      </c>
      <c r="E2563" t="str">
        <f>"03 - A - 101 - Scott A Dethloff"</f>
        <v>03 - A - 101 - Scott A Dethloff</v>
      </c>
      <c r="F2563" t="str">
        <f>"CHEMISTRY 1 HON"</f>
        <v>CHEMISTRY 1 HON</v>
      </c>
      <c r="G2563" t="str">
        <f>"08-812"</f>
        <v>08-812</v>
      </c>
      <c r="H2563" t="str">
        <f>"A"</f>
        <v>A</v>
      </c>
    </row>
    <row r="2564" spans="1:8" x14ac:dyDescent="0.2">
      <c r="A2564" t="str">
        <f t="shared" si="936"/>
        <v>0615146754</v>
      </c>
      <c r="B2564" t="str">
        <f t="shared" si="937"/>
        <v>MAYA</v>
      </c>
      <c r="C2564" t="str">
        <f t="shared" si="938"/>
        <v>CAPPELLETTI</v>
      </c>
      <c r="D2564">
        <f>10</f>
        <v>10</v>
      </c>
      <c r="E2564" t="str">
        <f>"02 - A - 102 - Jacklyn M James"</f>
        <v>02 - A - 102 - Jacklyn M James</v>
      </c>
      <c r="F2564" t="str">
        <f>"AICE ENG LANG AS"</f>
        <v>AICE ENG LANG AS</v>
      </c>
      <c r="G2564" t="str">
        <f>"17-1731"</f>
        <v>17-1731</v>
      </c>
      <c r="H2564" t="str">
        <f>"A"</f>
        <v>A</v>
      </c>
    </row>
    <row r="2565" spans="1:8" x14ac:dyDescent="0.2">
      <c r="A2565" t="str">
        <f t="shared" si="936"/>
        <v>0615146754</v>
      </c>
      <c r="B2565" t="str">
        <f t="shared" si="937"/>
        <v>MAYA</v>
      </c>
      <c r="C2565" t="str">
        <f t="shared" si="938"/>
        <v>CAPPELLETTI</v>
      </c>
      <c r="D2565">
        <f>10</f>
        <v>10</v>
      </c>
      <c r="E2565" t="str">
        <f>"07 - B - 204 - Elizabeth Ellen  Moran"</f>
        <v>07 - B - 204 - Elizabeth Ellen  Moran</v>
      </c>
      <c r="F2565" t="str">
        <f>"AICE EURO HIST 1 AS"</f>
        <v>AICE EURO HIST 1 AS</v>
      </c>
      <c r="G2565" t="str">
        <f>"17-1752"</f>
        <v>17-1752</v>
      </c>
      <c r="H2565" t="str">
        <f>"B"</f>
        <v>B</v>
      </c>
    </row>
    <row r="2566" spans="1:8" x14ac:dyDescent="0.2">
      <c r="A2566" t="str">
        <f t="shared" si="936"/>
        <v>0615146754</v>
      </c>
      <c r="B2566" t="str">
        <f t="shared" si="937"/>
        <v>MAYA</v>
      </c>
      <c r="C2566" t="str">
        <f t="shared" si="938"/>
        <v>CAPPELLETTI</v>
      </c>
      <c r="D2566">
        <f>10</f>
        <v>10</v>
      </c>
      <c r="E2566" t="str">
        <f>"05 - B - 104 - Lourivaldo  Da Silva"</f>
        <v>05 - B - 104 - Lourivaldo  Da Silva</v>
      </c>
      <c r="F2566" t="str">
        <f>"PRE-CALCULUS HON"</f>
        <v>PRE-CALCULUS HON</v>
      </c>
      <c r="G2566" t="str">
        <f>"20-2079"</f>
        <v>20-2079</v>
      </c>
      <c r="H2566" t="str">
        <f>"B"</f>
        <v>B</v>
      </c>
    </row>
    <row r="2567" spans="1:8" x14ac:dyDescent="0.2">
      <c r="A2567" t="str">
        <f t="shared" si="936"/>
        <v>0615146754</v>
      </c>
      <c r="B2567" t="str">
        <f t="shared" si="937"/>
        <v>MAYA</v>
      </c>
      <c r="C2567" t="str">
        <f t="shared" si="938"/>
        <v>CAPPELLETTI</v>
      </c>
      <c r="D2567">
        <f>10</f>
        <v>10</v>
      </c>
      <c r="E2567" t="str">
        <f>"01 - A - 201 - Stefanie S Scher"</f>
        <v>01 - A - 201 - Stefanie S Scher</v>
      </c>
      <c r="F2567" t="str">
        <f>"AICE PSYCH 1 AS"</f>
        <v>AICE PSYCH 1 AS</v>
      </c>
      <c r="G2567" t="str">
        <f>"17-1735"</f>
        <v>17-1735</v>
      </c>
      <c r="H2567" t="str">
        <f>"A"</f>
        <v>A</v>
      </c>
    </row>
    <row r="2568" spans="1:8" x14ac:dyDescent="0.2">
      <c r="A2568" t="str">
        <f t="shared" si="936"/>
        <v>0615146754</v>
      </c>
      <c r="B2568" t="str">
        <f t="shared" si="937"/>
        <v>MAYA</v>
      </c>
      <c r="C2568" t="str">
        <f t="shared" si="938"/>
        <v>CAPPELLETTI</v>
      </c>
      <c r="D2568">
        <f>10</f>
        <v>10</v>
      </c>
      <c r="E2568" t="str">
        <f>"08 - B - 001 - Chrystina M Marchionne"</f>
        <v>08 - B - 001 - Chrystina M Marchionne</v>
      </c>
      <c r="F2568" t="str">
        <f>"JOURN 1 (YB) LH"</f>
        <v>JOURN 1 (YB) LH</v>
      </c>
      <c r="G2568" t="str">
        <f>"05-520"</f>
        <v>05-520</v>
      </c>
      <c r="H2568" t="str">
        <f>"B"</f>
        <v>B</v>
      </c>
    </row>
    <row r="2569" spans="1:8" x14ac:dyDescent="0.2">
      <c r="A2569" t="str">
        <f t="shared" ref="A2569:A2576" si="939">"0616102994"</f>
        <v>0616102994</v>
      </c>
      <c r="B2569" t="str">
        <f t="shared" ref="B2569:B2576" si="940">"SUMMER"</f>
        <v>SUMMER</v>
      </c>
      <c r="C2569" t="str">
        <f t="shared" ref="C2569:C2576" si="941">"CAPPELLUCCI"</f>
        <v>CAPPELLUCCI</v>
      </c>
      <c r="D2569" t="str">
        <f t="shared" ref="D2569:D2576" si="942">"09"</f>
        <v>09</v>
      </c>
      <c r="E2569" t="str">
        <f>"04 - A - 102 - Elizabeth R Walker"</f>
        <v>04 - A - 102 - Elizabeth R Walker</v>
      </c>
      <c r="F2569" t="str">
        <f>"AICE ENG GEN PAPER 1"</f>
        <v>AICE ENG GEN PAPER 1</v>
      </c>
      <c r="G2569" t="str">
        <f>"17-1703"</f>
        <v>17-1703</v>
      </c>
      <c r="H2569" t="str">
        <f>"A"</f>
        <v>A</v>
      </c>
    </row>
    <row r="2570" spans="1:8" x14ac:dyDescent="0.2">
      <c r="A2570" t="str">
        <f t="shared" si="939"/>
        <v>0616102994</v>
      </c>
      <c r="B2570" t="str">
        <f t="shared" si="940"/>
        <v>SUMMER</v>
      </c>
      <c r="C2570" t="str">
        <f t="shared" si="941"/>
        <v>CAPPELLUCCI</v>
      </c>
      <c r="D2570" t="str">
        <f t="shared" si="942"/>
        <v>09</v>
      </c>
      <c r="E2570" t="str">
        <f>"06 - B - 104 - Rory T Sponsler"</f>
        <v>06 - B - 104 - Rory T Sponsler</v>
      </c>
      <c r="F2570" t="str">
        <f>"PRE-AICE WRLD HST IG"</f>
        <v>PRE-AICE WRLD HST IG</v>
      </c>
      <c r="G2570" t="str">
        <f>"17-1740"</f>
        <v>17-1740</v>
      </c>
      <c r="H2570" t="str">
        <f>"B"</f>
        <v>B</v>
      </c>
    </row>
    <row r="2571" spans="1:8" x14ac:dyDescent="0.2">
      <c r="A2571" t="str">
        <f t="shared" si="939"/>
        <v>0616102994</v>
      </c>
      <c r="B2571" t="str">
        <f t="shared" si="940"/>
        <v>SUMMER</v>
      </c>
      <c r="C2571" t="str">
        <f t="shared" si="941"/>
        <v>CAPPELLUCCI</v>
      </c>
      <c r="D2571" t="str">
        <f t="shared" si="942"/>
        <v>09</v>
      </c>
      <c r="E2571" t="str">
        <f>"03 - S1 - A - 102 - Leslie J Barton"</f>
        <v>03 - S1 - A - 102 - Leslie J Barton</v>
      </c>
      <c r="F2571" t="str">
        <f>"FIRST AID SAFETY"</f>
        <v>FIRST AID SAFETY</v>
      </c>
      <c r="G2571" t="str">
        <f>"05-521"</f>
        <v>05-521</v>
      </c>
      <c r="H2571" t="str">
        <f>"A"</f>
        <v>A</v>
      </c>
    </row>
    <row r="2572" spans="1:8" x14ac:dyDescent="0.2">
      <c r="A2572" t="str">
        <f t="shared" si="939"/>
        <v>0616102994</v>
      </c>
      <c r="B2572" t="str">
        <f t="shared" si="940"/>
        <v>SUMMER</v>
      </c>
      <c r="C2572" t="str">
        <f t="shared" si="941"/>
        <v>CAPPELLUCCI</v>
      </c>
      <c r="D2572" t="str">
        <f t="shared" si="942"/>
        <v>09</v>
      </c>
      <c r="E2572" t="str">
        <f>"02 - A - 104 - Lytrell T Dixon"</f>
        <v>02 - A - 104 - Lytrell T Dixon</v>
      </c>
      <c r="F2572" t="str">
        <f>"NC STUDY HALL 1"</f>
        <v>NC STUDY HALL 1</v>
      </c>
      <c r="G2572" t="str">
        <f>"08-808"</f>
        <v>08-808</v>
      </c>
      <c r="H2572" t="str">
        <f>"A"</f>
        <v>A</v>
      </c>
    </row>
    <row r="2573" spans="1:8" x14ac:dyDescent="0.2">
      <c r="A2573" t="str">
        <f t="shared" si="939"/>
        <v>0616102994</v>
      </c>
      <c r="B2573" t="str">
        <f t="shared" si="940"/>
        <v>SUMMER</v>
      </c>
      <c r="C2573" t="str">
        <f t="shared" si="941"/>
        <v>CAPPELLUCCI</v>
      </c>
      <c r="D2573" t="str">
        <f t="shared" si="942"/>
        <v>09</v>
      </c>
      <c r="E2573" t="str">
        <f>"07 - B - 201 - Angela S Adeshina-Morrison"</f>
        <v>07 - B - 201 - Angela S Adeshina-Morrison</v>
      </c>
      <c r="F2573" t="str">
        <f>"BUSINESS OWNER HON"</f>
        <v>BUSINESS OWNER HON</v>
      </c>
      <c r="G2573" t="str">
        <f>"05-518"</f>
        <v>05-518</v>
      </c>
      <c r="H2573" t="str">
        <f>"B"</f>
        <v>B</v>
      </c>
    </row>
    <row r="2574" spans="1:8" x14ac:dyDescent="0.2">
      <c r="A2574" t="str">
        <f t="shared" si="939"/>
        <v>0616102994</v>
      </c>
      <c r="B2574" t="str">
        <f t="shared" si="940"/>
        <v>SUMMER</v>
      </c>
      <c r="C2574" t="str">
        <f t="shared" si="941"/>
        <v>CAPPELLUCCI</v>
      </c>
      <c r="D2574" t="str">
        <f t="shared" si="942"/>
        <v>09</v>
      </c>
      <c r="E2574" t="str">
        <f>"05 - B - 104 - Joe  Kilpatrick Jr"</f>
        <v>05 - B - 104 - Joe  Kilpatrick Jr</v>
      </c>
      <c r="F2574" t="str">
        <f>"PRE-AICE SPAN 1 IG"</f>
        <v>PRE-AICE SPAN 1 IG</v>
      </c>
      <c r="G2574" t="str">
        <f>"09-912"</f>
        <v>09-912</v>
      </c>
      <c r="H2574" t="str">
        <f>"B"</f>
        <v>B</v>
      </c>
    </row>
    <row r="2575" spans="1:8" x14ac:dyDescent="0.2">
      <c r="A2575" t="str">
        <f t="shared" si="939"/>
        <v>0616102994</v>
      </c>
      <c r="B2575" t="str">
        <f t="shared" si="940"/>
        <v>SUMMER</v>
      </c>
      <c r="C2575" t="str">
        <f t="shared" si="941"/>
        <v>CAPPELLUCCI</v>
      </c>
      <c r="D2575" t="str">
        <f t="shared" si="942"/>
        <v>09</v>
      </c>
      <c r="E2575" t="str">
        <f>"01 - A - 102 - Brook E Goren"</f>
        <v>01 - A - 102 - Brook E Goren</v>
      </c>
      <c r="F2575" t="str">
        <f>"PRE-AICE MATH 2 IG"</f>
        <v>PRE-AICE MATH 2 IG</v>
      </c>
      <c r="G2575" t="str">
        <f>"21-2158"</f>
        <v>21-2158</v>
      </c>
      <c r="H2575" t="str">
        <f>"A"</f>
        <v>A</v>
      </c>
    </row>
    <row r="2576" spans="1:8" x14ac:dyDescent="0.2">
      <c r="A2576" t="str">
        <f t="shared" si="939"/>
        <v>0616102994</v>
      </c>
      <c r="B2576" t="str">
        <f t="shared" si="940"/>
        <v>SUMMER</v>
      </c>
      <c r="C2576" t="str">
        <f t="shared" si="941"/>
        <v>CAPPELLUCCI</v>
      </c>
      <c r="D2576" t="str">
        <f t="shared" si="942"/>
        <v>09</v>
      </c>
      <c r="E2576" t="str">
        <f>"08 - B - 202 - Dorothy D Moore"</f>
        <v>08 - B - 202 - Dorothy D Moore</v>
      </c>
      <c r="F2576" t="str">
        <f>"HEALTH SCI 1/A&amp;P HON"</f>
        <v>HEALTH SCI 1/A&amp;P HON</v>
      </c>
      <c r="G2576" t="str">
        <f>"08-803"</f>
        <v>08-803</v>
      </c>
      <c r="H2576" t="str">
        <f>"B"</f>
        <v>B</v>
      </c>
    </row>
    <row r="2577" spans="1:8" x14ac:dyDescent="0.2">
      <c r="A2577" t="str">
        <f t="shared" ref="A2577:A2584" si="943">"0616125048"</f>
        <v>0616125048</v>
      </c>
      <c r="B2577" t="str">
        <f t="shared" ref="B2577:B2584" si="944">"CAYDAN"</f>
        <v>CAYDAN</v>
      </c>
      <c r="C2577" t="str">
        <f t="shared" ref="C2577:C2584" si="945">"CARAMANNA"</f>
        <v>CARAMANNA</v>
      </c>
      <c r="D2577">
        <f>12</f>
        <v>12</v>
      </c>
      <c r="E2577" t="str">
        <f>"04 - A - 201 - Vanessa J Liburd"</f>
        <v>04 - A - 201 - Vanessa J Liburd</v>
      </c>
      <c r="F2577" t="str">
        <f>"FRENCH 4 HON"</f>
        <v>FRENCH 4 HON</v>
      </c>
      <c r="G2577" t="str">
        <f>"05-519"</f>
        <v>05-519</v>
      </c>
      <c r="H2577" t="str">
        <f>"A"</f>
        <v>A</v>
      </c>
    </row>
    <row r="2578" spans="1:8" x14ac:dyDescent="0.2">
      <c r="A2578" t="str">
        <f t="shared" si="943"/>
        <v>0616125048</v>
      </c>
      <c r="B2578" t="str">
        <f t="shared" si="944"/>
        <v>CAYDAN</v>
      </c>
      <c r="C2578" t="str">
        <f t="shared" si="945"/>
        <v>CARAMANNA</v>
      </c>
      <c r="D2578">
        <f>12</f>
        <v>12</v>
      </c>
      <c r="E2578" t="str">
        <f>"06 - B - 102 - Andrea A Amison"</f>
        <v>06 - B - 102 - Andrea A Amison</v>
      </c>
      <c r="F2578" t="str">
        <f>"NC STUDY HALL 1"</f>
        <v>NC STUDY HALL 1</v>
      </c>
      <c r="G2578" t="str">
        <f>"09-922C"</f>
        <v>09-922C</v>
      </c>
      <c r="H2578" t="str">
        <f>"B"</f>
        <v>B</v>
      </c>
    </row>
    <row r="2579" spans="1:8" x14ac:dyDescent="0.2">
      <c r="A2579" t="str">
        <f t="shared" si="943"/>
        <v>0616125048</v>
      </c>
      <c r="B2579" t="str">
        <f t="shared" si="944"/>
        <v>CAYDAN</v>
      </c>
      <c r="C2579" t="str">
        <f t="shared" si="945"/>
        <v>CARAMANNA</v>
      </c>
      <c r="D2579">
        <f>12</f>
        <v>12</v>
      </c>
      <c r="E2579" t="str">
        <f>"03 - A - 101 - Jeffrey S Gallagher"</f>
        <v>03 - A - 101 - Jeffrey S Gallagher</v>
      </c>
      <c r="F2579" t="str">
        <f>"ENG HON 4"</f>
        <v>ENG HON 4</v>
      </c>
      <c r="G2579" t="str">
        <f>"17-1724"</f>
        <v>17-1724</v>
      </c>
      <c r="H2579" t="str">
        <f>"A"</f>
        <v>A</v>
      </c>
    </row>
    <row r="2580" spans="1:8" x14ac:dyDescent="0.2">
      <c r="A2580" t="str">
        <f t="shared" si="943"/>
        <v>0616125048</v>
      </c>
      <c r="B2580" t="str">
        <f t="shared" si="944"/>
        <v>CAYDAN</v>
      </c>
      <c r="C2580" t="str">
        <f t="shared" si="945"/>
        <v>CARAMANNA</v>
      </c>
      <c r="D2580">
        <f>12</f>
        <v>12</v>
      </c>
      <c r="E2580" t="str">
        <f>"02 - S1 - A - 103 - Barbara L Segal"</f>
        <v>02 - S1 - A - 103 - Barbara L Segal</v>
      </c>
      <c r="F2580" t="str">
        <f>"US GOVT HON"</f>
        <v>US GOVT HON</v>
      </c>
      <c r="G2580" t="str">
        <f>"17-1742"</f>
        <v>17-1742</v>
      </c>
      <c r="H2580" t="str">
        <f>"A"</f>
        <v>A</v>
      </c>
    </row>
    <row r="2581" spans="1:8" x14ac:dyDescent="0.2">
      <c r="A2581" t="str">
        <f t="shared" si="943"/>
        <v>0616125048</v>
      </c>
      <c r="B2581" t="str">
        <f t="shared" si="944"/>
        <v>CAYDAN</v>
      </c>
      <c r="C2581" t="str">
        <f t="shared" si="945"/>
        <v>CARAMANNA</v>
      </c>
      <c r="D2581">
        <f>12</f>
        <v>12</v>
      </c>
      <c r="E2581" t="str">
        <f>"07 - B - 107 - Semra  Bahadir"</f>
        <v>07 - B - 107 - Semra  Bahadir</v>
      </c>
      <c r="F2581" t="str">
        <f>"MATH COLL ALGEBRA"</f>
        <v>MATH COLL ALGEBRA</v>
      </c>
      <c r="G2581" t="str">
        <f>"21-2107"</f>
        <v>21-2107</v>
      </c>
      <c r="H2581" t="str">
        <f>"B"</f>
        <v>B</v>
      </c>
    </row>
    <row r="2582" spans="1:8" x14ac:dyDescent="0.2">
      <c r="A2582" t="str">
        <f t="shared" si="943"/>
        <v>0616125048</v>
      </c>
      <c r="B2582" t="str">
        <f t="shared" si="944"/>
        <v>CAYDAN</v>
      </c>
      <c r="C2582" t="str">
        <f t="shared" si="945"/>
        <v>CARAMANNA</v>
      </c>
      <c r="D2582">
        <f>12</f>
        <v>12</v>
      </c>
      <c r="E2582" t="str">
        <f>"05 - B - 104 - Daniel S Tyson"</f>
        <v>05 - B - 104 - Daniel S Tyson</v>
      </c>
      <c r="F2582" t="str">
        <f>"JROTC NAVAL SCI 4"</f>
        <v>JROTC NAVAL SCI 4</v>
      </c>
      <c r="G2582" t="str">
        <f>"05-510"</f>
        <v>05-510</v>
      </c>
      <c r="H2582" t="str">
        <f>"B"</f>
        <v>B</v>
      </c>
    </row>
    <row r="2583" spans="1:8" x14ac:dyDescent="0.2">
      <c r="A2583" t="str">
        <f t="shared" si="943"/>
        <v>0616125048</v>
      </c>
      <c r="B2583" t="str">
        <f t="shared" si="944"/>
        <v>CAYDAN</v>
      </c>
      <c r="C2583" t="str">
        <f t="shared" si="945"/>
        <v>CARAMANNA</v>
      </c>
      <c r="D2583">
        <f>12</f>
        <v>12</v>
      </c>
      <c r="E2583" t="str">
        <f>"01 - A - 107 - Valerie J Ruwe"</f>
        <v>01 - A - 107 - Valerie J Ruwe</v>
      </c>
      <c r="F2583" t="str">
        <f>"CHEMISTRY 1 HON"</f>
        <v>CHEMISTRY 1 HON</v>
      </c>
      <c r="G2583" t="str">
        <f>"21-2134"</f>
        <v>21-2134</v>
      </c>
      <c r="H2583" t="str">
        <f>"A"</f>
        <v>A</v>
      </c>
    </row>
    <row r="2584" spans="1:8" x14ac:dyDescent="0.2">
      <c r="A2584" t="str">
        <f t="shared" si="943"/>
        <v>0616125048</v>
      </c>
      <c r="B2584" t="str">
        <f t="shared" si="944"/>
        <v>CAYDAN</v>
      </c>
      <c r="C2584" t="str">
        <f t="shared" si="945"/>
        <v>CARAMANNA</v>
      </c>
      <c r="D2584">
        <f>12</f>
        <v>12</v>
      </c>
      <c r="E2584" t="str">
        <f>"08 - S1 - B - 105 - James H Mccann"</f>
        <v>08 - S1 - B - 105 - James H Mccann</v>
      </c>
      <c r="F2584" t="str">
        <f>"PERS FIN &amp; MON MGT H"</f>
        <v>PERS FIN &amp; MON MGT H</v>
      </c>
      <c r="G2584" t="str">
        <f>"17-1716"</f>
        <v>17-1716</v>
      </c>
      <c r="H2584" t="str">
        <f>"B"</f>
        <v>B</v>
      </c>
    </row>
    <row r="2585" spans="1:8" x14ac:dyDescent="0.2">
      <c r="A2585" t="str">
        <f t="shared" ref="A2585:A2592" si="946">"0613108760"</f>
        <v>0613108760</v>
      </c>
      <c r="B2585" t="str">
        <f t="shared" ref="B2585:B2592" si="947">"DAVID"</f>
        <v>DAVID</v>
      </c>
      <c r="C2585" t="str">
        <f t="shared" ref="C2585:C2592" si="948">"CARBAJAL"</f>
        <v>CARBAJAL</v>
      </c>
      <c r="D2585">
        <f>10</f>
        <v>10</v>
      </c>
      <c r="E2585" t="str">
        <f>"04 - S1 - A - 107 - Richard E Dunbar Iii"</f>
        <v>04 - S1 - A - 107 - Richard E Dunbar Iii</v>
      </c>
      <c r="F2585" t="str">
        <f>"WEIGHT TRAIN 3"</f>
        <v>WEIGHT TRAIN 3</v>
      </c>
      <c r="G2585" t="str">
        <f>"05-501"</f>
        <v>05-501</v>
      </c>
      <c r="H2585" t="str">
        <f>"A"</f>
        <v>A</v>
      </c>
    </row>
    <row r="2586" spans="1:8" x14ac:dyDescent="0.2">
      <c r="A2586" t="str">
        <f t="shared" si="946"/>
        <v>0613108760</v>
      </c>
      <c r="B2586" t="str">
        <f t="shared" si="947"/>
        <v>DAVID</v>
      </c>
      <c r="C2586" t="str">
        <f t="shared" si="948"/>
        <v>CARBAJAL</v>
      </c>
      <c r="D2586">
        <f>10</f>
        <v>10</v>
      </c>
      <c r="E2586" t="str">
        <f>"06 - B - 117 - Daniel S Tyson"</f>
        <v>06 - B - 117 - Daniel S Tyson</v>
      </c>
      <c r="F2586" t="str">
        <f>"NC STUDY HALL 1"</f>
        <v>NC STUDY HALL 1</v>
      </c>
      <c r="G2586" t="str">
        <f>"05-510"</f>
        <v>05-510</v>
      </c>
      <c r="H2586" t="str">
        <f>"B"</f>
        <v>B</v>
      </c>
    </row>
    <row r="2587" spans="1:8" x14ac:dyDescent="0.2">
      <c r="A2587" t="str">
        <f t="shared" si="946"/>
        <v>0613108760</v>
      </c>
      <c r="B2587" t="str">
        <f t="shared" si="947"/>
        <v>DAVID</v>
      </c>
      <c r="C2587" t="str">
        <f t="shared" si="948"/>
        <v>CARBAJAL</v>
      </c>
      <c r="D2587">
        <f>10</f>
        <v>10</v>
      </c>
      <c r="E2587" t="str">
        <f>"03 - A - 103 - Kelly N Panza"</f>
        <v>03 - A - 103 - Kelly N Panza</v>
      </c>
      <c r="F2587" t="str">
        <f>"AICE GLBL PERSP 1 AS"</f>
        <v>AICE GLBL PERSP 1 AS</v>
      </c>
      <c r="G2587" t="str">
        <f>"17-1753"</f>
        <v>17-1753</v>
      </c>
      <c r="H2587" t="str">
        <f>"A"</f>
        <v>A</v>
      </c>
    </row>
    <row r="2588" spans="1:8" x14ac:dyDescent="0.2">
      <c r="A2588" t="str">
        <f t="shared" si="946"/>
        <v>0613108760</v>
      </c>
      <c r="B2588" t="str">
        <f t="shared" si="947"/>
        <v>DAVID</v>
      </c>
      <c r="C2588" t="str">
        <f t="shared" si="948"/>
        <v>CARBAJAL</v>
      </c>
      <c r="D2588">
        <f>10</f>
        <v>10</v>
      </c>
      <c r="E2588" t="str">
        <f>"02 - A - 102 - Vanessa J Liburd"</f>
        <v>02 - A - 102 - Vanessa J Liburd</v>
      </c>
      <c r="F2588" t="str">
        <f>"PRE-AICE FRENCH 2 IG"</f>
        <v>PRE-AICE FRENCH 2 IG</v>
      </c>
      <c r="G2588" t="str">
        <f>"05-519"</f>
        <v>05-519</v>
      </c>
      <c r="H2588" t="str">
        <f>"A"</f>
        <v>A</v>
      </c>
    </row>
    <row r="2589" spans="1:8" x14ac:dyDescent="0.2">
      <c r="A2589" t="str">
        <f t="shared" si="946"/>
        <v>0613108760</v>
      </c>
      <c r="B2589" t="str">
        <f t="shared" si="947"/>
        <v>DAVID</v>
      </c>
      <c r="C2589" t="str">
        <f t="shared" si="948"/>
        <v>CARBAJAL</v>
      </c>
      <c r="D2589">
        <f>10</f>
        <v>10</v>
      </c>
      <c r="E2589" t="str">
        <f>"07 - B - 107 - Jacklyn M James"</f>
        <v>07 - B - 107 - Jacklyn M James</v>
      </c>
      <c r="F2589" t="str">
        <f>"AICE ENG LANG AS"</f>
        <v>AICE ENG LANG AS</v>
      </c>
      <c r="G2589" t="str">
        <f>"17-1731"</f>
        <v>17-1731</v>
      </c>
      <c r="H2589" t="str">
        <f>"B"</f>
        <v>B</v>
      </c>
    </row>
    <row r="2590" spans="1:8" x14ac:dyDescent="0.2">
      <c r="A2590" t="str">
        <f t="shared" si="946"/>
        <v>0613108760</v>
      </c>
      <c r="B2590" t="str">
        <f t="shared" si="947"/>
        <v>DAVID</v>
      </c>
      <c r="C2590" t="str">
        <f t="shared" si="948"/>
        <v>CARBAJAL</v>
      </c>
      <c r="D2590">
        <f>10</f>
        <v>10</v>
      </c>
      <c r="E2590" t="str">
        <f>"05 - S1 - B - 102 - Carol S Moore"</f>
        <v>05 - S1 - B - 102 - Carol S Moore</v>
      </c>
      <c r="F2590" t="str">
        <f>"PERS FIN &amp; MON MGT H"</f>
        <v>PERS FIN &amp; MON MGT H</v>
      </c>
      <c r="G2590" t="str">
        <f>"17-1733"</f>
        <v>17-1733</v>
      </c>
      <c r="H2590" t="str">
        <f>"B"</f>
        <v>B</v>
      </c>
    </row>
    <row r="2591" spans="1:8" x14ac:dyDescent="0.2">
      <c r="A2591" t="str">
        <f t="shared" si="946"/>
        <v>0613108760</v>
      </c>
      <c r="B2591" t="str">
        <f t="shared" si="947"/>
        <v>DAVID</v>
      </c>
      <c r="C2591" t="str">
        <f t="shared" si="948"/>
        <v>CARBAJAL</v>
      </c>
      <c r="D2591">
        <f>10</f>
        <v>10</v>
      </c>
      <c r="E2591" t="str">
        <f>"01 - A - 101 - Byron G Montenegro"</f>
        <v>01 - A - 101 - Byron G Montenegro</v>
      </c>
      <c r="F2591" t="str">
        <f>"AICE MARINE SCI 1 AS"</f>
        <v>AICE MARINE SCI 1 AS</v>
      </c>
      <c r="G2591" t="str">
        <f>"21-2144"</f>
        <v>21-2144</v>
      </c>
      <c r="H2591" t="str">
        <f>"A"</f>
        <v>A</v>
      </c>
    </row>
    <row r="2592" spans="1:8" x14ac:dyDescent="0.2">
      <c r="A2592" t="str">
        <f t="shared" si="946"/>
        <v>0613108760</v>
      </c>
      <c r="B2592" t="str">
        <f t="shared" si="947"/>
        <v>DAVID</v>
      </c>
      <c r="C2592" t="str">
        <f t="shared" si="948"/>
        <v>CARBAJAL</v>
      </c>
      <c r="D2592">
        <f>10</f>
        <v>10</v>
      </c>
      <c r="E2592" t="str">
        <f>"08 - B - 107 - Dayna M Foster"</f>
        <v>08 - B - 107 - Dayna M Foster</v>
      </c>
      <c r="F2592" t="str">
        <f>"ALGEBRA 2"</f>
        <v>ALGEBRA 2</v>
      </c>
      <c r="G2592" t="str">
        <f>"21-2109"</f>
        <v>21-2109</v>
      </c>
      <c r="H2592" t="str">
        <f>"B"</f>
        <v>B</v>
      </c>
    </row>
    <row r="2593" spans="1:8" x14ac:dyDescent="0.2">
      <c r="A2593" t="str">
        <f t="shared" ref="A2593:A2600" si="949">"0615009379"</f>
        <v>0615009379</v>
      </c>
      <c r="B2593" t="str">
        <f t="shared" ref="B2593:B2600" si="950">"BRIANNA"</f>
        <v>BRIANNA</v>
      </c>
      <c r="C2593" t="str">
        <f t="shared" ref="C2593:C2600" si="951">"CARDENAS"</f>
        <v>CARDENAS</v>
      </c>
      <c r="D2593">
        <f>11</f>
        <v>11</v>
      </c>
      <c r="E2593" t="str">
        <f>"04 - A - 102 - Lisa J London"</f>
        <v>04 - A - 102 - Lisa J London</v>
      </c>
      <c r="F2593" t="str">
        <f>"AP CAPSTONE SEMINAR"</f>
        <v>AP CAPSTONE SEMINAR</v>
      </c>
      <c r="G2593" t="str">
        <f>"17-1714"</f>
        <v>17-1714</v>
      </c>
      <c r="H2593" t="str">
        <f>"A"</f>
        <v>A</v>
      </c>
    </row>
    <row r="2594" spans="1:8" x14ac:dyDescent="0.2">
      <c r="A2594" t="str">
        <f t="shared" si="949"/>
        <v>0615009379</v>
      </c>
      <c r="B2594" t="str">
        <f t="shared" si="950"/>
        <v>BRIANNA</v>
      </c>
      <c r="C2594" t="str">
        <f t="shared" si="951"/>
        <v>CARDENAS</v>
      </c>
      <c r="D2594">
        <f>11</f>
        <v>11</v>
      </c>
      <c r="E2594" t="str">
        <f>"06 - B - 002 - Kyle  Robbins"</f>
        <v>06 - B - 002 - Kyle  Robbins</v>
      </c>
      <c r="F2594" t="str">
        <f>"US HISTORY HON"</f>
        <v>US HISTORY HON</v>
      </c>
      <c r="G2594" t="str">
        <f>"17-1745"</f>
        <v>17-1745</v>
      </c>
      <c r="H2594" t="str">
        <f>"B"</f>
        <v>B</v>
      </c>
    </row>
    <row r="2595" spans="1:8" x14ac:dyDescent="0.2">
      <c r="A2595" t="str">
        <f t="shared" si="949"/>
        <v>0615009379</v>
      </c>
      <c r="B2595" t="str">
        <f t="shared" si="950"/>
        <v>BRIANNA</v>
      </c>
      <c r="C2595" t="str">
        <f t="shared" si="951"/>
        <v>CARDENAS</v>
      </c>
      <c r="D2595">
        <f>11</f>
        <v>11</v>
      </c>
      <c r="E2595" t="str">
        <f>"03 - A - 101 - Samantha L Martinez"</f>
        <v>03 - A - 101 - Samantha L Martinez</v>
      </c>
      <c r="F2595" t="str">
        <f>"VOCAL ENS 1"</f>
        <v>VOCAL ENS 1</v>
      </c>
      <c r="G2595" t="str">
        <f>"05-505"</f>
        <v>05-505</v>
      </c>
      <c r="H2595" t="str">
        <f>"A"</f>
        <v>A</v>
      </c>
    </row>
    <row r="2596" spans="1:8" x14ac:dyDescent="0.2">
      <c r="A2596" t="str">
        <f t="shared" si="949"/>
        <v>0615009379</v>
      </c>
      <c r="B2596" t="str">
        <f t="shared" si="950"/>
        <v>BRIANNA</v>
      </c>
      <c r="C2596" t="str">
        <f t="shared" si="951"/>
        <v>CARDENAS</v>
      </c>
      <c r="D2596">
        <f>11</f>
        <v>11</v>
      </c>
      <c r="E2596" t="str">
        <f>"02 - A - 103 - Angela S Adeshina-Morrison"</f>
        <v>02 - A - 103 - Angela S Adeshina-Morrison</v>
      </c>
      <c r="F2596" t="str">
        <f>"NC STUDY HALL 1"</f>
        <v>NC STUDY HALL 1</v>
      </c>
      <c r="G2596" t="str">
        <f>"05-518"</f>
        <v>05-518</v>
      </c>
      <c r="H2596" t="str">
        <f>"A"</f>
        <v>A</v>
      </c>
    </row>
    <row r="2597" spans="1:8" x14ac:dyDescent="0.2">
      <c r="A2597" t="str">
        <f t="shared" si="949"/>
        <v>0615009379</v>
      </c>
      <c r="B2597" t="str">
        <f t="shared" si="950"/>
        <v>BRIANNA</v>
      </c>
      <c r="C2597" t="str">
        <f t="shared" si="951"/>
        <v>CARDENAS</v>
      </c>
      <c r="D2597">
        <f>11</f>
        <v>11</v>
      </c>
      <c r="E2597" t="str">
        <f>"07 - B - 105 - Josiah I Lacy"</f>
        <v>07 - B - 105 - Josiah I Lacy</v>
      </c>
      <c r="F2597" t="str">
        <f>"ANAT PHYSIO HON"</f>
        <v>ANAT PHYSIO HON</v>
      </c>
      <c r="G2597" t="str">
        <f>"08-801"</f>
        <v>08-801</v>
      </c>
      <c r="H2597" t="str">
        <f>"B"</f>
        <v>B</v>
      </c>
    </row>
    <row r="2598" spans="1:8" x14ac:dyDescent="0.2">
      <c r="A2598" t="str">
        <f t="shared" si="949"/>
        <v>0615009379</v>
      </c>
      <c r="B2598" t="str">
        <f t="shared" si="950"/>
        <v>BRIANNA</v>
      </c>
      <c r="C2598" t="str">
        <f t="shared" si="951"/>
        <v>CARDENAS</v>
      </c>
      <c r="D2598">
        <f>11</f>
        <v>11</v>
      </c>
      <c r="E2598" t="str">
        <f>"05 - B - 104 - Semra  Bahadir"</f>
        <v>05 - B - 104 - Semra  Bahadir</v>
      </c>
      <c r="F2598" t="str">
        <f>"MATH COLL ALGEBRA"</f>
        <v>MATH COLL ALGEBRA</v>
      </c>
      <c r="G2598" t="str">
        <f>"21-2107"</f>
        <v>21-2107</v>
      </c>
      <c r="H2598" t="str">
        <f>"B"</f>
        <v>B</v>
      </c>
    </row>
    <row r="2599" spans="1:8" x14ac:dyDescent="0.2">
      <c r="A2599" t="str">
        <f t="shared" si="949"/>
        <v>0615009379</v>
      </c>
      <c r="B2599" t="str">
        <f t="shared" si="950"/>
        <v>BRIANNA</v>
      </c>
      <c r="C2599" t="str">
        <f t="shared" si="951"/>
        <v>CARDENAS</v>
      </c>
      <c r="D2599">
        <f>11</f>
        <v>11</v>
      </c>
      <c r="E2599" t="str">
        <f>"01 - A - 101 - Brandy N Zdenek"</f>
        <v>01 - A - 101 - Brandy N Zdenek</v>
      </c>
      <c r="F2599" t="str">
        <f>"AICE ENG LANG 2 AL"</f>
        <v>AICE ENG LANG 2 AL</v>
      </c>
      <c r="G2599" t="str">
        <f>"17-1704"</f>
        <v>17-1704</v>
      </c>
      <c r="H2599" t="str">
        <f>"A"</f>
        <v>A</v>
      </c>
    </row>
    <row r="2600" spans="1:8" x14ac:dyDescent="0.2">
      <c r="A2600" t="str">
        <f t="shared" si="949"/>
        <v>0615009379</v>
      </c>
      <c r="B2600" t="str">
        <f t="shared" si="950"/>
        <v>BRIANNA</v>
      </c>
      <c r="C2600" t="str">
        <f t="shared" si="951"/>
        <v>CARDENAS</v>
      </c>
      <c r="D2600">
        <f>11</f>
        <v>11</v>
      </c>
      <c r="E2600" t="str">
        <f>"08 - B - 202 - Krystal Marie  Beruty"</f>
        <v>08 - B - 202 - Krystal Marie  Beruty</v>
      </c>
      <c r="F2600" t="str">
        <f>"AICE PSYCH 1 AS"</f>
        <v>AICE PSYCH 1 AS</v>
      </c>
      <c r="G2600" t="str">
        <f>"17-1721"</f>
        <v>17-1721</v>
      </c>
      <c r="H2600" t="str">
        <f>"B"</f>
        <v>B</v>
      </c>
    </row>
    <row r="2601" spans="1:8" x14ac:dyDescent="0.2">
      <c r="A2601" t="str">
        <f t="shared" ref="A2601:A2608" si="952">"0615013761"</f>
        <v>0615013761</v>
      </c>
      <c r="B2601" t="str">
        <f t="shared" ref="B2601:B2608" si="953">"RENESA"</f>
        <v>RENESA</v>
      </c>
      <c r="C2601" t="str">
        <f t="shared" ref="C2601:C2608" si="954">"CARDONA"</f>
        <v>CARDONA</v>
      </c>
      <c r="D2601">
        <f>11</f>
        <v>11</v>
      </c>
      <c r="E2601" t="str">
        <f>"04 - A - 101 - Thomas G Handwerg"</f>
        <v>04 - A - 101 - Thomas G Handwerg</v>
      </c>
      <c r="F2601" t="str">
        <f>"MATH COLL ALGEBRA"</f>
        <v>MATH COLL ALGEBRA</v>
      </c>
      <c r="G2601" t="str">
        <f>"21-2146"</f>
        <v>21-2146</v>
      </c>
      <c r="H2601" t="str">
        <f>"A"</f>
        <v>A</v>
      </c>
    </row>
    <row r="2602" spans="1:8" x14ac:dyDescent="0.2">
      <c r="A2602" t="str">
        <f t="shared" si="952"/>
        <v>0615013761</v>
      </c>
      <c r="B2602" t="str">
        <f t="shared" si="953"/>
        <v>RENESA</v>
      </c>
      <c r="C2602" t="str">
        <f t="shared" si="954"/>
        <v>CARDONA</v>
      </c>
      <c r="D2602">
        <f>11</f>
        <v>11</v>
      </c>
      <c r="E2602" t="str">
        <f>"06 - B - 102 - Stephen T Ripp"</f>
        <v>06 - B - 102 - Stephen T Ripp</v>
      </c>
      <c r="F2602" t="str">
        <f>"AP U.S. HIST"</f>
        <v>AP U.S. HIST</v>
      </c>
      <c r="G2602" t="str">
        <f>"17-1744"</f>
        <v>17-1744</v>
      </c>
      <c r="H2602" t="str">
        <f>"B"</f>
        <v>B</v>
      </c>
    </row>
    <row r="2603" spans="1:8" x14ac:dyDescent="0.2">
      <c r="A2603" t="str">
        <f t="shared" si="952"/>
        <v>0615013761</v>
      </c>
      <c r="B2603" t="str">
        <f t="shared" si="953"/>
        <v>RENESA</v>
      </c>
      <c r="C2603" t="str">
        <f t="shared" si="954"/>
        <v>CARDONA</v>
      </c>
      <c r="D2603">
        <f>11</f>
        <v>11</v>
      </c>
      <c r="E2603" t="str">
        <f>"03 - A - 101 - Timothy J Lawrence"</f>
        <v>03 - A - 101 - Timothy J Lawrence</v>
      </c>
      <c r="F2603" t="str">
        <f>"AICE PHYS ED 1 AS"</f>
        <v>AICE PHYS ED 1 AS</v>
      </c>
      <c r="G2603" t="str">
        <f>"05-519"</f>
        <v>05-519</v>
      </c>
      <c r="H2603" t="str">
        <f>"A"</f>
        <v>A</v>
      </c>
    </row>
    <row r="2604" spans="1:8" x14ac:dyDescent="0.2">
      <c r="A2604" t="str">
        <f t="shared" si="952"/>
        <v>0615013761</v>
      </c>
      <c r="B2604" t="str">
        <f t="shared" si="953"/>
        <v>RENESA</v>
      </c>
      <c r="C2604" t="str">
        <f t="shared" si="954"/>
        <v>CARDONA</v>
      </c>
      <c r="D2604">
        <f>11</f>
        <v>11</v>
      </c>
      <c r="E2604" t="str">
        <f>"02 - A - 101 - Milca  Exantus"</f>
        <v>02 - A - 101 - Milca  Exantus</v>
      </c>
      <c r="F2604" t="str">
        <f>"NC STUDY HALL 1"</f>
        <v>NC STUDY HALL 1</v>
      </c>
      <c r="G2604" t="str">
        <f>"21-2145"</f>
        <v>21-2145</v>
      </c>
      <c r="H2604" t="str">
        <f>"A"</f>
        <v>A</v>
      </c>
    </row>
    <row r="2605" spans="1:8" x14ac:dyDescent="0.2">
      <c r="A2605" t="str">
        <f t="shared" si="952"/>
        <v>0615013761</v>
      </c>
      <c r="B2605" t="str">
        <f t="shared" si="953"/>
        <v>RENESA</v>
      </c>
      <c r="C2605" t="str">
        <f t="shared" si="954"/>
        <v>CARDONA</v>
      </c>
      <c r="D2605">
        <f>11</f>
        <v>11</v>
      </c>
      <c r="E2605" t="str">
        <f>"07 - B - 204 - Stefanie S Scher"</f>
        <v>07 - B - 204 - Stefanie S Scher</v>
      </c>
      <c r="F2605" t="str">
        <f>"AP PSYCH"</f>
        <v>AP PSYCH</v>
      </c>
      <c r="G2605" t="str">
        <f>"17-1735"</f>
        <v>17-1735</v>
      </c>
      <c r="H2605" t="str">
        <f>"B"</f>
        <v>B</v>
      </c>
    </row>
    <row r="2606" spans="1:8" x14ac:dyDescent="0.2">
      <c r="A2606" t="str">
        <f t="shared" si="952"/>
        <v>0615013761</v>
      </c>
      <c r="B2606" t="str">
        <f t="shared" si="953"/>
        <v>RENESA</v>
      </c>
      <c r="C2606" t="str">
        <f t="shared" si="954"/>
        <v>CARDONA</v>
      </c>
      <c r="D2606">
        <f>11</f>
        <v>11</v>
      </c>
      <c r="E2606" t="str">
        <f>"05 - B - 103 - Tina M Jaramillo"</f>
        <v>05 - B - 103 - Tina M Jaramillo</v>
      </c>
      <c r="F2606" t="str">
        <f>"AP ENG COMPO"</f>
        <v>AP ENG COMPO</v>
      </c>
      <c r="G2606" t="str">
        <f>"17-1706"</f>
        <v>17-1706</v>
      </c>
      <c r="H2606" t="str">
        <f>"B"</f>
        <v>B</v>
      </c>
    </row>
    <row r="2607" spans="1:8" x14ac:dyDescent="0.2">
      <c r="A2607" t="str">
        <f t="shared" si="952"/>
        <v>0615013761</v>
      </c>
      <c r="B2607" t="str">
        <f t="shared" si="953"/>
        <v>RENESA</v>
      </c>
      <c r="C2607" t="str">
        <f t="shared" si="954"/>
        <v>CARDONA</v>
      </c>
      <c r="D2607">
        <f>11</f>
        <v>11</v>
      </c>
      <c r="E2607" t="str">
        <f>"01 - A - 101 - Marielle A Witting"</f>
        <v>01 - A - 101 - Marielle A Witting</v>
      </c>
      <c r="F2607" t="str">
        <f>"AP BIO"</f>
        <v>AP BIO</v>
      </c>
      <c r="G2607" t="str">
        <f>"08-805"</f>
        <v>08-805</v>
      </c>
      <c r="H2607" t="str">
        <f>"A"</f>
        <v>A</v>
      </c>
    </row>
    <row r="2608" spans="1:8" x14ac:dyDescent="0.2">
      <c r="A2608" t="str">
        <f t="shared" si="952"/>
        <v>0615013761</v>
      </c>
      <c r="B2608" t="str">
        <f t="shared" si="953"/>
        <v>RENESA</v>
      </c>
      <c r="C2608" t="str">
        <f t="shared" si="954"/>
        <v>CARDONA</v>
      </c>
      <c r="D2608">
        <f>11</f>
        <v>11</v>
      </c>
      <c r="E2608" t="str">
        <f>"08 - B - 105 - Daniel S Katz"</f>
        <v>08 - B - 105 - Daniel S Katz</v>
      </c>
      <c r="F2608" t="str">
        <f>"AICE MEDIA STUDIES A"</f>
        <v>AICE MEDIA STUDIES A</v>
      </c>
      <c r="G2608" t="str">
        <f>"05-521"</f>
        <v>05-521</v>
      </c>
      <c r="H2608" t="str">
        <f>"B"</f>
        <v>B</v>
      </c>
    </row>
    <row r="2609" spans="1:8" x14ac:dyDescent="0.2">
      <c r="A2609" t="str">
        <f t="shared" ref="A2609:A2616" si="955">"0617006181"</f>
        <v>0617006181</v>
      </c>
      <c r="B2609" t="str">
        <f t="shared" ref="B2609:B2616" si="956">"BRYAN"</f>
        <v>BRYAN</v>
      </c>
      <c r="C2609" t="str">
        <f t="shared" ref="C2609:C2616" si="957">"CARDONA BENITEZ"</f>
        <v>CARDONA BENITEZ</v>
      </c>
      <c r="D2609" t="str">
        <f t="shared" ref="D2609:D2616" si="958">"09"</f>
        <v>09</v>
      </c>
      <c r="E2609" t="str">
        <f>"04 - A - 107 - Amy Beth  Broyles"</f>
        <v>04 - A - 107 - Amy Beth  Broyles</v>
      </c>
      <c r="F2609" t="str">
        <f>"ENV SCI"</f>
        <v>ENV SCI</v>
      </c>
      <c r="G2609" t="str">
        <f>"08-802"</f>
        <v>08-802</v>
      </c>
      <c r="H2609" t="str">
        <f>"A"</f>
        <v>A</v>
      </c>
    </row>
    <row r="2610" spans="1:8" x14ac:dyDescent="0.2">
      <c r="A2610" t="str">
        <f t="shared" si="955"/>
        <v>0617006181</v>
      </c>
      <c r="B2610" t="str">
        <f t="shared" si="956"/>
        <v>BRYAN</v>
      </c>
      <c r="C2610" t="str">
        <f t="shared" si="957"/>
        <v>CARDONA BENITEZ</v>
      </c>
      <c r="D2610" t="str">
        <f t="shared" si="958"/>
        <v>09</v>
      </c>
      <c r="E2610" t="str">
        <f>"06 - B - 202 - Brian M Fitzgerald"</f>
        <v>06 - B - 202 - Brian M Fitzgerald</v>
      </c>
      <c r="F2610" t="str">
        <f>"DRAW 1"</f>
        <v>DRAW 1</v>
      </c>
      <c r="G2610" t="str">
        <f>"09-908"</f>
        <v>09-908</v>
      </c>
      <c r="H2610" t="str">
        <f>"B"</f>
        <v>B</v>
      </c>
    </row>
    <row r="2611" spans="1:8" x14ac:dyDescent="0.2">
      <c r="A2611" t="str">
        <f t="shared" si="955"/>
        <v>0617006181</v>
      </c>
      <c r="B2611" t="str">
        <f t="shared" si="956"/>
        <v>BRYAN</v>
      </c>
      <c r="C2611" t="str">
        <f t="shared" si="957"/>
        <v>CARDONA BENITEZ</v>
      </c>
      <c r="D2611" t="str">
        <f t="shared" si="958"/>
        <v>09</v>
      </c>
      <c r="E2611" t="str">
        <f>"03 - A - 105 - Elizabeth Ellen  Moran"</f>
        <v>03 - A - 105 - Elizabeth Ellen  Moran</v>
      </c>
      <c r="F2611" t="str">
        <f>"WORLD HISTORY"</f>
        <v>WORLD HISTORY</v>
      </c>
      <c r="G2611" t="str">
        <f>"17-1752"</f>
        <v>17-1752</v>
      </c>
      <c r="H2611" t="str">
        <f>"A"</f>
        <v>A</v>
      </c>
    </row>
    <row r="2612" spans="1:8" x14ac:dyDescent="0.2">
      <c r="A2612" t="str">
        <f t="shared" si="955"/>
        <v>0617006181</v>
      </c>
      <c r="B2612" t="str">
        <f t="shared" si="956"/>
        <v>BRYAN</v>
      </c>
      <c r="C2612" t="str">
        <f t="shared" si="957"/>
        <v>CARDONA BENITEZ</v>
      </c>
      <c r="D2612" t="str">
        <f t="shared" si="958"/>
        <v>09</v>
      </c>
      <c r="E2612" t="str">
        <f>"02 - A - 114 - Laselleda D Shaw"</f>
        <v>02 - A - 114 - Laselleda D Shaw</v>
      </c>
      <c r="F2612" t="str">
        <f>"NC STUDY HALL 1"</f>
        <v>NC STUDY HALL 1</v>
      </c>
      <c r="G2612" t="str">
        <f>"17-1723"</f>
        <v>17-1723</v>
      </c>
      <c r="H2612" t="str">
        <f>"A"</f>
        <v>A</v>
      </c>
    </row>
    <row r="2613" spans="1:8" x14ac:dyDescent="0.2">
      <c r="A2613" t="str">
        <f t="shared" si="955"/>
        <v>0617006181</v>
      </c>
      <c r="B2613" t="str">
        <f t="shared" si="956"/>
        <v>BRYAN</v>
      </c>
      <c r="C2613" t="str">
        <f t="shared" si="957"/>
        <v>CARDONA BENITEZ</v>
      </c>
      <c r="D2613" t="str">
        <f t="shared" si="958"/>
        <v>09</v>
      </c>
      <c r="E2613" t="str">
        <f>"07 - B - 106 - Dayna M Foster"</f>
        <v>07 - B - 106 - Dayna M Foster</v>
      </c>
      <c r="F2613" t="str">
        <f>"FDN SKLS MATH 9-12"</f>
        <v>FDN SKLS MATH 9-12</v>
      </c>
      <c r="G2613" t="str">
        <f>"21-2109"</f>
        <v>21-2109</v>
      </c>
      <c r="H2613" t="str">
        <f>"B"</f>
        <v>B</v>
      </c>
    </row>
    <row r="2614" spans="1:8" x14ac:dyDescent="0.2">
      <c r="A2614" t="str">
        <f t="shared" si="955"/>
        <v>0617006181</v>
      </c>
      <c r="B2614" t="str">
        <f t="shared" si="956"/>
        <v>BRYAN</v>
      </c>
      <c r="C2614" t="str">
        <f t="shared" si="957"/>
        <v>CARDONA BENITEZ</v>
      </c>
      <c r="D2614" t="str">
        <f t="shared" si="958"/>
        <v>09</v>
      </c>
      <c r="E2614" t="str">
        <f>"05 - B - 104 - Cerine S Stewart"</f>
        <v>05 - B - 104 - Cerine S Stewart</v>
      </c>
      <c r="F2614" t="str">
        <f>"ENG 1"</f>
        <v>ENG 1</v>
      </c>
      <c r="G2614" t="str">
        <f>"17-1720"</f>
        <v>17-1720</v>
      </c>
      <c r="H2614" t="str">
        <f>"B"</f>
        <v>B</v>
      </c>
    </row>
    <row r="2615" spans="1:8" x14ac:dyDescent="0.2">
      <c r="A2615" t="str">
        <f t="shared" si="955"/>
        <v>0617006181</v>
      </c>
      <c r="B2615" t="str">
        <f t="shared" si="956"/>
        <v>BRYAN</v>
      </c>
      <c r="C2615" t="str">
        <f t="shared" si="957"/>
        <v>CARDONA BENITEZ</v>
      </c>
      <c r="D2615" t="str">
        <f t="shared" si="958"/>
        <v>09</v>
      </c>
      <c r="E2615" t="str">
        <f>"01 - A - 108 - Dayna M Foster"</f>
        <v>01 - A - 108 - Dayna M Foster</v>
      </c>
      <c r="F2615" t="str">
        <f>"ALGEBRA 1"</f>
        <v>ALGEBRA 1</v>
      </c>
      <c r="G2615" t="str">
        <f>"21-2109"</f>
        <v>21-2109</v>
      </c>
      <c r="H2615" t="str">
        <f>"A"</f>
        <v>A</v>
      </c>
    </row>
    <row r="2616" spans="1:8" x14ac:dyDescent="0.2">
      <c r="A2616" t="str">
        <f t="shared" si="955"/>
        <v>0617006181</v>
      </c>
      <c r="B2616" t="str">
        <f t="shared" si="956"/>
        <v>BRYAN</v>
      </c>
      <c r="C2616" t="str">
        <f t="shared" si="957"/>
        <v>CARDONA BENITEZ</v>
      </c>
      <c r="D2616" t="str">
        <f t="shared" si="958"/>
        <v>09</v>
      </c>
      <c r="E2616" t="str">
        <f>"08 - B - 106 - Laselleda D Shaw"</f>
        <v>08 - B - 106 - Laselleda D Shaw</v>
      </c>
      <c r="F2616" t="str">
        <f>"INTENS READ 1"</f>
        <v>INTENS READ 1</v>
      </c>
      <c r="G2616" t="str">
        <f>"17-1723"</f>
        <v>17-1723</v>
      </c>
      <c r="H2616" t="str">
        <f>"B"</f>
        <v>B</v>
      </c>
    </row>
    <row r="2617" spans="1:8" x14ac:dyDescent="0.2">
      <c r="A2617" t="str">
        <f t="shared" ref="A2617:A2624" si="959">"0617058957"</f>
        <v>0617058957</v>
      </c>
      <c r="B2617" t="str">
        <f t="shared" ref="B2617:B2624" si="960">"HELEN"</f>
        <v>HELEN</v>
      </c>
      <c r="C2617" t="str">
        <f t="shared" ref="C2617:C2624" si="961">"CARDOSO GONZALEZ"</f>
        <v>CARDOSO GONZALEZ</v>
      </c>
      <c r="D2617">
        <f>11</f>
        <v>11</v>
      </c>
      <c r="E2617" t="str">
        <f>"04 - A - 101 - Stephen T Ripp"</f>
        <v>04 - A - 101 - Stephen T Ripp</v>
      </c>
      <c r="F2617" t="str">
        <f>"AP U.S. HIST"</f>
        <v>AP U.S. HIST</v>
      </c>
      <c r="G2617" t="str">
        <f>"17-1744"</f>
        <v>17-1744</v>
      </c>
      <c r="H2617" t="str">
        <f>"A"</f>
        <v>A</v>
      </c>
    </row>
    <row r="2618" spans="1:8" x14ac:dyDescent="0.2">
      <c r="A2618" t="str">
        <f t="shared" si="959"/>
        <v>0617058957</v>
      </c>
      <c r="B2618" t="str">
        <f t="shared" si="960"/>
        <v>HELEN</v>
      </c>
      <c r="C2618" t="str">
        <f t="shared" si="961"/>
        <v>CARDOSO GONZALEZ</v>
      </c>
      <c r="D2618">
        <f>11</f>
        <v>11</v>
      </c>
      <c r="E2618" t="str">
        <f>"06 - B - 202 - Brian M Fitzgerald"</f>
        <v>06 - B - 202 - Brian M Fitzgerald</v>
      </c>
      <c r="F2618" t="str">
        <f>"DRAW 1"</f>
        <v>DRAW 1</v>
      </c>
      <c r="G2618" t="str">
        <f>"09-908"</f>
        <v>09-908</v>
      </c>
      <c r="H2618" t="str">
        <f>"B"</f>
        <v>B</v>
      </c>
    </row>
    <row r="2619" spans="1:8" x14ac:dyDescent="0.2">
      <c r="A2619" t="str">
        <f t="shared" si="959"/>
        <v>0617058957</v>
      </c>
      <c r="B2619" t="str">
        <f t="shared" si="960"/>
        <v>HELEN</v>
      </c>
      <c r="C2619" t="str">
        <f t="shared" si="961"/>
        <v>CARDOSO GONZALEZ</v>
      </c>
      <c r="D2619">
        <f>11</f>
        <v>11</v>
      </c>
      <c r="E2619" t="str">
        <f>"03 - A - 202 - Jeanne M Bermudez"</f>
        <v>03 - A - 202 - Jeanne M Bermudez</v>
      </c>
      <c r="F2619" t="str">
        <f>"PHYSICS 1 HON"</f>
        <v>PHYSICS 1 HON</v>
      </c>
      <c r="G2619" t="str">
        <f>"21-2141"</f>
        <v>21-2141</v>
      </c>
      <c r="H2619" t="str">
        <f>"A"</f>
        <v>A</v>
      </c>
    </row>
    <row r="2620" spans="1:8" x14ac:dyDescent="0.2">
      <c r="A2620" t="str">
        <f t="shared" si="959"/>
        <v>0617058957</v>
      </c>
      <c r="B2620" t="str">
        <f t="shared" si="960"/>
        <v>HELEN</v>
      </c>
      <c r="C2620" t="str">
        <f t="shared" si="961"/>
        <v>CARDOSO GONZALEZ</v>
      </c>
      <c r="D2620">
        <f>11</f>
        <v>11</v>
      </c>
      <c r="E2620" t="str">
        <f>"02 - A - 107 - Elizabeth Ellen  Moran"</f>
        <v>02 - A - 107 - Elizabeth Ellen  Moran</v>
      </c>
      <c r="F2620" t="str">
        <f>"NC STUDY HALL 1"</f>
        <v>NC STUDY HALL 1</v>
      </c>
      <c r="G2620" t="str">
        <f>"17-1752"</f>
        <v>17-1752</v>
      </c>
      <c r="H2620" t="str">
        <f>"A"</f>
        <v>A</v>
      </c>
    </row>
    <row r="2621" spans="1:8" x14ac:dyDescent="0.2">
      <c r="A2621" t="str">
        <f t="shared" si="959"/>
        <v>0617058957</v>
      </c>
      <c r="B2621" t="str">
        <f t="shared" si="960"/>
        <v>HELEN</v>
      </c>
      <c r="C2621" t="str">
        <f t="shared" si="961"/>
        <v>CARDOSO GONZALEZ</v>
      </c>
      <c r="D2621">
        <f>11</f>
        <v>11</v>
      </c>
      <c r="E2621" t="str">
        <f>"07 - B - 102 - Thomas G Handwerg"</f>
        <v>07 - B - 102 - Thomas G Handwerg</v>
      </c>
      <c r="F2621" t="str">
        <f>"PROB STAT W/APPS HON"</f>
        <v>PROB STAT W/APPS HON</v>
      </c>
      <c r="G2621" t="str">
        <f>"21-2146"</f>
        <v>21-2146</v>
      </c>
      <c r="H2621" t="str">
        <f>"B"</f>
        <v>B</v>
      </c>
    </row>
    <row r="2622" spans="1:8" x14ac:dyDescent="0.2">
      <c r="A2622" t="str">
        <f t="shared" si="959"/>
        <v>0617058957</v>
      </c>
      <c r="B2622" t="str">
        <f t="shared" si="960"/>
        <v>HELEN</v>
      </c>
      <c r="C2622" t="str">
        <f t="shared" si="961"/>
        <v>CARDOSO GONZALEZ</v>
      </c>
      <c r="D2622">
        <f>11</f>
        <v>11</v>
      </c>
      <c r="E2622" t="str">
        <f>"05 - B - 103 - Tina M Jaramillo"</f>
        <v>05 - B - 103 - Tina M Jaramillo</v>
      </c>
      <c r="F2622" t="str">
        <f>"AP ENG COMPO"</f>
        <v>AP ENG COMPO</v>
      </c>
      <c r="G2622" t="str">
        <f>"17-1706"</f>
        <v>17-1706</v>
      </c>
      <c r="H2622" t="str">
        <f>"B"</f>
        <v>B</v>
      </c>
    </row>
    <row r="2623" spans="1:8" x14ac:dyDescent="0.2">
      <c r="A2623" t="str">
        <f t="shared" si="959"/>
        <v>0617058957</v>
      </c>
      <c r="B2623" t="str">
        <f t="shared" si="960"/>
        <v>HELEN</v>
      </c>
      <c r="C2623" t="str">
        <f t="shared" si="961"/>
        <v>CARDOSO GONZALEZ</v>
      </c>
      <c r="D2623">
        <f>11</f>
        <v>11</v>
      </c>
      <c r="E2623" t="str">
        <f>"01 - A - 101 - Lisa J London"</f>
        <v>01 - A - 101 - Lisa J London</v>
      </c>
      <c r="F2623" t="str">
        <f>"AP CAPSTONE SEMINAR"</f>
        <v>AP CAPSTONE SEMINAR</v>
      </c>
      <c r="G2623" t="str">
        <f>"17-1714"</f>
        <v>17-1714</v>
      </c>
      <c r="H2623" t="str">
        <f>"A"</f>
        <v>A</v>
      </c>
    </row>
    <row r="2624" spans="1:8" x14ac:dyDescent="0.2">
      <c r="A2624" t="str">
        <f t="shared" si="959"/>
        <v>0617058957</v>
      </c>
      <c r="B2624" t="str">
        <f t="shared" si="960"/>
        <v>HELEN</v>
      </c>
      <c r="C2624" t="str">
        <f t="shared" si="961"/>
        <v>CARDOSO GONZALEZ</v>
      </c>
      <c r="D2624">
        <f>11</f>
        <v>11</v>
      </c>
      <c r="E2624" t="str">
        <f>"08 - B - 102 - Robert H Rindner"</f>
        <v>08 - B - 102 - Robert H Rindner</v>
      </c>
      <c r="F2624" t="str">
        <f>"TV PRODUCTION TECH 1"</f>
        <v>TV PRODUCTION TECH 1</v>
      </c>
      <c r="G2624" t="str">
        <f>"21-2160"</f>
        <v>21-2160</v>
      </c>
      <c r="H2624" t="str">
        <f>"B"</f>
        <v>B</v>
      </c>
    </row>
    <row r="2625" spans="1:8" x14ac:dyDescent="0.2">
      <c r="A2625" t="str">
        <f t="shared" ref="A2625:A2632" si="962">"0614059875"</f>
        <v>0614059875</v>
      </c>
      <c r="B2625" t="str">
        <f t="shared" ref="B2625:B2632" si="963">"DALILAH"</f>
        <v>DALILAH</v>
      </c>
      <c r="C2625" t="str">
        <f t="shared" ref="C2625:C2632" si="964">"CARDOZA"</f>
        <v>CARDOZA</v>
      </c>
      <c r="D2625">
        <f>12</f>
        <v>12</v>
      </c>
      <c r="E2625" t="str">
        <f>"04 - S1 - A - 101 - Barbara L Segal"</f>
        <v>04 - S1 - A - 101 - Barbara L Segal</v>
      </c>
      <c r="F2625" t="str">
        <f>"AP US GOVT/POL"</f>
        <v>AP US GOVT/POL</v>
      </c>
      <c r="G2625" t="str">
        <f>"17-1742"</f>
        <v>17-1742</v>
      </c>
      <c r="H2625" t="str">
        <f>"A"</f>
        <v>A</v>
      </c>
    </row>
    <row r="2626" spans="1:8" x14ac:dyDescent="0.2">
      <c r="A2626" t="str">
        <f t="shared" si="962"/>
        <v>0614059875</v>
      </c>
      <c r="B2626" t="str">
        <f t="shared" si="963"/>
        <v>DALILAH</v>
      </c>
      <c r="C2626" t="str">
        <f t="shared" si="964"/>
        <v>CARDOZA</v>
      </c>
      <c r="D2626">
        <f>12</f>
        <v>12</v>
      </c>
      <c r="E2626" t="str">
        <f>"06 - B - 114 - Lisa J London"</f>
        <v>06 - B - 114 - Lisa J London</v>
      </c>
      <c r="F2626" t="str">
        <f>"NC STUDY HALL 1"</f>
        <v>NC STUDY HALL 1</v>
      </c>
      <c r="G2626" t="str">
        <f>"17-1714"</f>
        <v>17-1714</v>
      </c>
      <c r="H2626" t="str">
        <f>"B"</f>
        <v>B</v>
      </c>
    </row>
    <row r="2627" spans="1:8" x14ac:dyDescent="0.2">
      <c r="A2627" t="str">
        <f t="shared" si="962"/>
        <v>0614059875</v>
      </c>
      <c r="B2627" t="str">
        <f t="shared" si="963"/>
        <v>DALILAH</v>
      </c>
      <c r="C2627" t="str">
        <f t="shared" si="964"/>
        <v>CARDOZA</v>
      </c>
      <c r="D2627">
        <f>12</f>
        <v>12</v>
      </c>
      <c r="E2627" t="str">
        <f>"03 - A - 201 - Chrystina M Marchionne"</f>
        <v>03 - A - 201 - Chrystina M Marchionne</v>
      </c>
      <c r="F2627" t="str">
        <f>"JOURN 1 (YB) LH"</f>
        <v>JOURN 1 (YB) LH</v>
      </c>
      <c r="G2627" t="str">
        <f>"05-520"</f>
        <v>05-520</v>
      </c>
      <c r="H2627" t="str">
        <f>"A"</f>
        <v>A</v>
      </c>
    </row>
    <row r="2628" spans="1:8" x14ac:dyDescent="0.2">
      <c r="A2628" t="str">
        <f t="shared" si="962"/>
        <v>0614059875</v>
      </c>
      <c r="B2628" t="str">
        <f t="shared" si="963"/>
        <v>DALILAH</v>
      </c>
      <c r="C2628" t="str">
        <f t="shared" si="964"/>
        <v>CARDOZA</v>
      </c>
      <c r="D2628">
        <f>12</f>
        <v>12</v>
      </c>
      <c r="E2628" t="str">
        <f>"02 - A - 102 - Marielle A Witting"</f>
        <v>02 - A - 102 - Marielle A Witting</v>
      </c>
      <c r="F2628" t="str">
        <f>"AP BIO"</f>
        <v>AP BIO</v>
      </c>
      <c r="G2628" t="str">
        <f>"08-805"</f>
        <v>08-805</v>
      </c>
      <c r="H2628" t="str">
        <f>"A"</f>
        <v>A</v>
      </c>
    </row>
    <row r="2629" spans="1:8" x14ac:dyDescent="0.2">
      <c r="A2629" t="str">
        <f t="shared" si="962"/>
        <v>0614059875</v>
      </c>
      <c r="B2629" t="str">
        <f t="shared" si="963"/>
        <v>DALILAH</v>
      </c>
      <c r="C2629" t="str">
        <f t="shared" si="964"/>
        <v>CARDOZA</v>
      </c>
      <c r="D2629">
        <f>12</f>
        <v>12</v>
      </c>
      <c r="E2629" t="str">
        <f>"07 - B - 102 - Carleigh R Carmichael"</f>
        <v>07 - B - 102 - Carleigh R Carmichael</v>
      </c>
      <c r="F2629" t="str">
        <f>"LEAD SKLS DEV LH"</f>
        <v>LEAD SKLS DEV LH</v>
      </c>
      <c r="G2629" t="str">
        <f>"20-2072"</f>
        <v>20-2072</v>
      </c>
      <c r="H2629" t="str">
        <f>"B"</f>
        <v>B</v>
      </c>
    </row>
    <row r="2630" spans="1:8" x14ac:dyDescent="0.2">
      <c r="A2630" t="str">
        <f t="shared" si="962"/>
        <v>0614059875</v>
      </c>
      <c r="B2630" t="str">
        <f t="shared" si="963"/>
        <v>DALILAH</v>
      </c>
      <c r="C2630" t="str">
        <f t="shared" si="964"/>
        <v>CARDOZA</v>
      </c>
      <c r="D2630">
        <f>12</f>
        <v>12</v>
      </c>
      <c r="E2630" t="str">
        <f>"05 - B - 104 - Lourivaldo  Da Silva"</f>
        <v>05 - B - 104 - Lourivaldo  Da Silva</v>
      </c>
      <c r="F2630" t="str">
        <f>"PRE-CALCULUS HON"</f>
        <v>PRE-CALCULUS HON</v>
      </c>
      <c r="G2630" t="str">
        <f>"20-2079"</f>
        <v>20-2079</v>
      </c>
      <c r="H2630" t="str">
        <f>"B"</f>
        <v>B</v>
      </c>
    </row>
    <row r="2631" spans="1:8" x14ac:dyDescent="0.2">
      <c r="A2631" t="str">
        <f t="shared" si="962"/>
        <v>0614059875</v>
      </c>
      <c r="B2631" t="str">
        <f t="shared" si="963"/>
        <v>DALILAH</v>
      </c>
      <c r="C2631" t="str">
        <f t="shared" si="964"/>
        <v>CARDOZA</v>
      </c>
      <c r="D2631">
        <f>12</f>
        <v>12</v>
      </c>
      <c r="E2631" t="str">
        <f>"01 - A - 204 - Tina M Jaramillo"</f>
        <v>01 - A - 204 - Tina M Jaramillo</v>
      </c>
      <c r="F2631" t="str">
        <f>"AP ENG LIT COMPO"</f>
        <v>AP ENG LIT COMPO</v>
      </c>
      <c r="G2631" t="str">
        <f>"17-1706"</f>
        <v>17-1706</v>
      </c>
      <c r="H2631" t="str">
        <f>"A"</f>
        <v>A</v>
      </c>
    </row>
    <row r="2632" spans="1:8" x14ac:dyDescent="0.2">
      <c r="A2632" t="str">
        <f t="shared" si="962"/>
        <v>0614059875</v>
      </c>
      <c r="B2632" t="str">
        <f t="shared" si="963"/>
        <v>DALILAH</v>
      </c>
      <c r="C2632" t="str">
        <f t="shared" si="964"/>
        <v>CARDOZA</v>
      </c>
      <c r="D2632">
        <f>12</f>
        <v>12</v>
      </c>
      <c r="E2632" t="str">
        <f>"08 - B - 201 - Vanessa J Liburd"</f>
        <v>08 - B - 201 - Vanessa J Liburd</v>
      </c>
      <c r="F2632" t="str">
        <f>"FRENCH 3 HON"</f>
        <v>FRENCH 3 HON</v>
      </c>
      <c r="G2632" t="str">
        <f>"05-519"</f>
        <v>05-519</v>
      </c>
      <c r="H2632" t="str">
        <f>"B"</f>
        <v>B</v>
      </c>
    </row>
    <row r="2633" spans="1:8" x14ac:dyDescent="0.2">
      <c r="A2633" t="str">
        <f t="shared" ref="A2633:A2640" si="965">"0616140086"</f>
        <v>0616140086</v>
      </c>
      <c r="B2633" t="str">
        <f t="shared" ref="B2633:B2640" si="966">"DREA"</f>
        <v>DREA</v>
      </c>
      <c r="C2633" t="str">
        <f t="shared" ref="C2633:C2640" si="967">"CARELLI"</f>
        <v>CARELLI</v>
      </c>
      <c r="D2633" t="str">
        <f t="shared" ref="D2633:D2640" si="968">"09"</f>
        <v>09</v>
      </c>
      <c r="E2633" t="str">
        <f>"04 - A - 104 - Adam Marcus  Drucker"</f>
        <v>04 - A - 104 - Adam Marcus  Drucker</v>
      </c>
      <c r="F2633" t="str">
        <f>"HOPE-PE V"</f>
        <v>HOPE-PE V</v>
      </c>
      <c r="G2633" t="str">
        <f>"04-254"</f>
        <v>04-254</v>
      </c>
      <c r="H2633" t="str">
        <f>"A"</f>
        <v>A</v>
      </c>
    </row>
    <row r="2634" spans="1:8" x14ac:dyDescent="0.2">
      <c r="A2634" t="str">
        <f t="shared" si="965"/>
        <v>0616140086</v>
      </c>
      <c r="B2634" t="str">
        <f t="shared" si="966"/>
        <v>DREA</v>
      </c>
      <c r="C2634" t="str">
        <f t="shared" si="967"/>
        <v>CARELLI</v>
      </c>
      <c r="D2634" t="str">
        <f t="shared" si="968"/>
        <v>09</v>
      </c>
      <c r="E2634" t="str">
        <f>"06 - B - 105 - Cerine S Stewart"</f>
        <v>06 - B - 105 - Cerine S Stewart</v>
      </c>
      <c r="F2634" t="str">
        <f>"AICE ENG GEN PAPER 1"</f>
        <v>AICE ENG GEN PAPER 1</v>
      </c>
      <c r="G2634" t="str">
        <f>"17-1720"</f>
        <v>17-1720</v>
      </c>
      <c r="H2634" t="str">
        <f>"B"</f>
        <v>B</v>
      </c>
    </row>
    <row r="2635" spans="1:8" x14ac:dyDescent="0.2">
      <c r="A2635" t="str">
        <f t="shared" si="965"/>
        <v>0616140086</v>
      </c>
      <c r="B2635" t="str">
        <f t="shared" si="966"/>
        <v>DREA</v>
      </c>
      <c r="C2635" t="str">
        <f t="shared" si="967"/>
        <v>CARELLI</v>
      </c>
      <c r="D2635" t="str">
        <f t="shared" si="968"/>
        <v>09</v>
      </c>
      <c r="E2635" t="str">
        <f>"03 - A - 103 - Samantha J Headley"</f>
        <v>03 - A - 103 - Samantha J Headley</v>
      </c>
      <c r="F2635" t="str">
        <f>"MARINE SCI 1 HON"</f>
        <v>MARINE SCI 1 HON</v>
      </c>
      <c r="G2635" t="str">
        <f>"21-2134"</f>
        <v>21-2134</v>
      </c>
      <c r="H2635" t="str">
        <f>"A"</f>
        <v>A</v>
      </c>
    </row>
    <row r="2636" spans="1:8" x14ac:dyDescent="0.2">
      <c r="A2636" t="str">
        <f t="shared" si="965"/>
        <v>0616140086</v>
      </c>
      <c r="B2636" t="str">
        <f t="shared" si="966"/>
        <v>DREA</v>
      </c>
      <c r="C2636" t="str">
        <f t="shared" si="967"/>
        <v>CARELLI</v>
      </c>
      <c r="D2636" t="str">
        <f t="shared" si="968"/>
        <v>09</v>
      </c>
      <c r="E2636" t="str">
        <f>"02 - A - 109 - Krystal Marie  Beruty"</f>
        <v>02 - A - 109 - Krystal Marie  Beruty</v>
      </c>
      <c r="F2636" t="str">
        <f>"NC STUDY HALL 1"</f>
        <v>NC STUDY HALL 1</v>
      </c>
      <c r="G2636" t="str">
        <f>"17-1721"</f>
        <v>17-1721</v>
      </c>
      <c r="H2636" t="str">
        <f>"A"</f>
        <v>A</v>
      </c>
    </row>
    <row r="2637" spans="1:8" x14ac:dyDescent="0.2">
      <c r="A2637" t="str">
        <f t="shared" si="965"/>
        <v>0616140086</v>
      </c>
      <c r="B2637" t="str">
        <f t="shared" si="966"/>
        <v>DREA</v>
      </c>
      <c r="C2637" t="str">
        <f t="shared" si="967"/>
        <v>CARELLI</v>
      </c>
      <c r="D2637" t="str">
        <f t="shared" si="968"/>
        <v>09</v>
      </c>
      <c r="E2637" t="str">
        <f>"07 - B - 001 - Maried P Ramos"</f>
        <v>07 - B - 001 - Maried P Ramos</v>
      </c>
      <c r="F2637" t="str">
        <f>"GEOMETRY"</f>
        <v>GEOMETRY</v>
      </c>
      <c r="G2637" t="str">
        <f>"21-2159"</f>
        <v>21-2159</v>
      </c>
      <c r="H2637" t="str">
        <f>"B"</f>
        <v>B</v>
      </c>
    </row>
    <row r="2638" spans="1:8" x14ac:dyDescent="0.2">
      <c r="A2638" t="str">
        <f t="shared" si="965"/>
        <v>0616140086</v>
      </c>
      <c r="B2638" t="str">
        <f t="shared" si="966"/>
        <v>DREA</v>
      </c>
      <c r="C2638" t="str">
        <f t="shared" si="967"/>
        <v>CARELLI</v>
      </c>
      <c r="D2638" t="str">
        <f t="shared" si="968"/>
        <v>09</v>
      </c>
      <c r="E2638" t="str">
        <f>"05 - B - 103 - Eva T Rimmer"</f>
        <v>05 - B - 103 - Eva T Rimmer</v>
      </c>
      <c r="F2638" t="str">
        <f>"CRIMINAL JUST OPS 1"</f>
        <v>CRIMINAL JUST OPS 1</v>
      </c>
      <c r="G2638" t="str">
        <f>"05-523"</f>
        <v>05-523</v>
      </c>
      <c r="H2638" t="str">
        <f>"B"</f>
        <v>B</v>
      </c>
    </row>
    <row r="2639" spans="1:8" x14ac:dyDescent="0.2">
      <c r="A2639" t="str">
        <f t="shared" si="965"/>
        <v>0616140086</v>
      </c>
      <c r="B2639" t="str">
        <f t="shared" si="966"/>
        <v>DREA</v>
      </c>
      <c r="C2639" t="str">
        <f t="shared" si="967"/>
        <v>CARELLI</v>
      </c>
      <c r="D2639" t="str">
        <f t="shared" si="968"/>
        <v>09</v>
      </c>
      <c r="E2639" t="str">
        <f>"01 - A - 101 - Joe  Kilpatrick Jr"</f>
        <v>01 - A - 101 - Joe  Kilpatrick Jr</v>
      </c>
      <c r="F2639" t="str">
        <f>"PRE-AICE SPAN 1 IG"</f>
        <v>PRE-AICE SPAN 1 IG</v>
      </c>
      <c r="G2639" t="str">
        <f>"09-912"</f>
        <v>09-912</v>
      </c>
      <c r="H2639" t="str">
        <f>"A"</f>
        <v>A</v>
      </c>
    </row>
    <row r="2640" spans="1:8" x14ac:dyDescent="0.2">
      <c r="A2640" t="str">
        <f t="shared" si="965"/>
        <v>0616140086</v>
      </c>
      <c r="B2640" t="str">
        <f t="shared" si="966"/>
        <v>DREA</v>
      </c>
      <c r="C2640" t="str">
        <f t="shared" si="967"/>
        <v>CARELLI</v>
      </c>
      <c r="D2640" t="str">
        <f t="shared" si="968"/>
        <v>09</v>
      </c>
      <c r="E2640" t="str">
        <f>"08 - B - 109 - Rory T Sponsler"</f>
        <v>08 - B - 109 - Rory T Sponsler</v>
      </c>
      <c r="F2640" t="str">
        <f>"PRE-AICE WRLD HST IG"</f>
        <v>PRE-AICE WRLD HST IG</v>
      </c>
      <c r="G2640" t="str">
        <f>"17-1740"</f>
        <v>17-1740</v>
      </c>
      <c r="H2640" t="str">
        <f>"B"</f>
        <v>B</v>
      </c>
    </row>
    <row r="2641" spans="1:8" x14ac:dyDescent="0.2">
      <c r="A2641" t="str">
        <f t="shared" ref="A2641:A2648" si="969">"0615003639"</f>
        <v>0615003639</v>
      </c>
      <c r="B2641" t="str">
        <f t="shared" ref="B2641:B2648" si="970">"OLIVIA"</f>
        <v>OLIVIA</v>
      </c>
      <c r="C2641" t="str">
        <f t="shared" ref="C2641:C2648" si="971">"CAREY"</f>
        <v>CAREY</v>
      </c>
      <c r="D2641">
        <f>11</f>
        <v>11</v>
      </c>
      <c r="E2641" t="str">
        <f>"04 - A - 101 - Jerry S Jiampetti"</f>
        <v>04 - A - 101 - Jerry S Jiampetti</v>
      </c>
      <c r="F2641" t="str">
        <f>"AICE U.S. HIST 1 AS"</f>
        <v>AICE U.S. HIST 1 AS</v>
      </c>
      <c r="G2641" t="str">
        <f>"17-1751"</f>
        <v>17-1751</v>
      </c>
      <c r="H2641" t="str">
        <f>"A"</f>
        <v>A</v>
      </c>
    </row>
    <row r="2642" spans="1:8" x14ac:dyDescent="0.2">
      <c r="A2642" t="str">
        <f t="shared" si="969"/>
        <v>0615003639</v>
      </c>
      <c r="B2642" t="str">
        <f t="shared" si="970"/>
        <v>OLIVIA</v>
      </c>
      <c r="C2642" t="str">
        <f t="shared" si="971"/>
        <v>CAREY</v>
      </c>
      <c r="D2642">
        <f>11</f>
        <v>11</v>
      </c>
      <c r="E2642" t="str">
        <f>"06 - B - 202 - Samantha L Martinez"</f>
        <v>06 - B - 202 - Samantha L Martinez</v>
      </c>
      <c r="F2642" t="str">
        <f>"GUITAR 1"</f>
        <v>GUITAR 1</v>
      </c>
      <c r="G2642" t="str">
        <f>"05-505"</f>
        <v>05-505</v>
      </c>
      <c r="H2642" t="str">
        <f>"B"</f>
        <v>B</v>
      </c>
    </row>
    <row r="2643" spans="1:8" x14ac:dyDescent="0.2">
      <c r="A2643" t="str">
        <f t="shared" si="969"/>
        <v>0615003639</v>
      </c>
      <c r="B2643" t="str">
        <f t="shared" si="970"/>
        <v>OLIVIA</v>
      </c>
      <c r="C2643" t="str">
        <f t="shared" si="971"/>
        <v>CAREY</v>
      </c>
      <c r="D2643">
        <f>11</f>
        <v>11</v>
      </c>
      <c r="E2643" t="str">
        <f>"03 - A - 102 - Tina M Jaramillo"</f>
        <v>03 - A - 102 - Tina M Jaramillo</v>
      </c>
      <c r="F2643" t="str">
        <f>"AP ENG COMPO"</f>
        <v>AP ENG COMPO</v>
      </c>
      <c r="G2643" t="str">
        <f>"17-1706"</f>
        <v>17-1706</v>
      </c>
      <c r="H2643" t="str">
        <f>"A"</f>
        <v>A</v>
      </c>
    </row>
    <row r="2644" spans="1:8" x14ac:dyDescent="0.2">
      <c r="A2644" t="str">
        <f t="shared" si="969"/>
        <v>0615003639</v>
      </c>
      <c r="B2644" t="str">
        <f t="shared" si="970"/>
        <v>OLIVIA</v>
      </c>
      <c r="C2644" t="str">
        <f t="shared" si="971"/>
        <v>CAREY</v>
      </c>
      <c r="D2644">
        <f>11</f>
        <v>11</v>
      </c>
      <c r="E2644" t="str">
        <f>"02 - A - 105 - Leslie J Barton"</f>
        <v>02 - A - 105 - Leslie J Barton</v>
      </c>
      <c r="F2644" t="str">
        <f>"NC STUDY HALL 1"</f>
        <v>NC STUDY HALL 1</v>
      </c>
      <c r="G2644" t="str">
        <f>"05-521"</f>
        <v>05-521</v>
      </c>
      <c r="H2644" t="str">
        <f>"A"</f>
        <v>A</v>
      </c>
    </row>
    <row r="2645" spans="1:8" x14ac:dyDescent="0.2">
      <c r="A2645" t="str">
        <f t="shared" si="969"/>
        <v>0615003639</v>
      </c>
      <c r="B2645" t="str">
        <f t="shared" si="970"/>
        <v>OLIVIA</v>
      </c>
      <c r="C2645" t="str">
        <f t="shared" si="971"/>
        <v>CAREY</v>
      </c>
      <c r="D2645">
        <f>11</f>
        <v>11</v>
      </c>
      <c r="E2645" t="str">
        <f>"07 - B - 204 - Scott A Dethloff"</f>
        <v>07 - B - 204 - Scott A Dethloff</v>
      </c>
      <c r="F2645" t="str">
        <f>"CHEMISTRY 1"</f>
        <v>CHEMISTRY 1</v>
      </c>
      <c r="G2645" t="str">
        <f>"08-812"</f>
        <v>08-812</v>
      </c>
      <c r="H2645" t="str">
        <f>"B"</f>
        <v>B</v>
      </c>
    </row>
    <row r="2646" spans="1:8" x14ac:dyDescent="0.2">
      <c r="A2646" t="str">
        <f t="shared" si="969"/>
        <v>0615003639</v>
      </c>
      <c r="B2646" t="str">
        <f t="shared" si="970"/>
        <v>OLIVIA</v>
      </c>
      <c r="C2646" t="str">
        <f t="shared" si="971"/>
        <v>CAREY</v>
      </c>
      <c r="D2646">
        <f>11</f>
        <v>11</v>
      </c>
      <c r="E2646" t="str">
        <f>"05 - B - 102 - Dorothy D Moore"</f>
        <v>05 - B - 102 - Dorothy D Moore</v>
      </c>
      <c r="F2646" t="str">
        <f>"FORC SCI 1 LH"</f>
        <v>FORC SCI 1 LH</v>
      </c>
      <c r="G2646" t="str">
        <f>"08-803"</f>
        <v>08-803</v>
      </c>
      <c r="H2646" t="str">
        <f>"B"</f>
        <v>B</v>
      </c>
    </row>
    <row r="2647" spans="1:8" x14ac:dyDescent="0.2">
      <c r="A2647" t="str">
        <f t="shared" si="969"/>
        <v>0615003639</v>
      </c>
      <c r="B2647" t="str">
        <f t="shared" si="970"/>
        <v>OLIVIA</v>
      </c>
      <c r="C2647" t="str">
        <f t="shared" si="971"/>
        <v>CAREY</v>
      </c>
      <c r="D2647">
        <f>11</f>
        <v>11</v>
      </c>
      <c r="E2647" t="str">
        <f>"01 - A - 103 - Semra  Bahadir"</f>
        <v>01 - A - 103 - Semra  Bahadir</v>
      </c>
      <c r="F2647" t="str">
        <f>"MATH COLL ALGEBRA"</f>
        <v>MATH COLL ALGEBRA</v>
      </c>
      <c r="G2647" t="str">
        <f>"21-2107"</f>
        <v>21-2107</v>
      </c>
      <c r="H2647" t="str">
        <f>"A"</f>
        <v>A</v>
      </c>
    </row>
    <row r="2648" spans="1:8" x14ac:dyDescent="0.2">
      <c r="A2648" t="str">
        <f t="shared" si="969"/>
        <v>0615003639</v>
      </c>
      <c r="B2648" t="str">
        <f t="shared" si="970"/>
        <v>OLIVIA</v>
      </c>
      <c r="C2648" t="str">
        <f t="shared" si="971"/>
        <v>CAREY</v>
      </c>
      <c r="D2648">
        <f>11</f>
        <v>11</v>
      </c>
      <c r="E2648" t="str">
        <f>"08 - B - 101 - Jordana K Hass"</f>
        <v>08 - B - 101 - Jordana K Hass</v>
      </c>
      <c r="F2648" t="str">
        <f>"AICE INFO TECH 1 AS"</f>
        <v>AICE INFO TECH 1 AS</v>
      </c>
      <c r="G2648" t="str">
        <f>"08-807"</f>
        <v>08-807</v>
      </c>
      <c r="H2648" t="str">
        <f>"B"</f>
        <v>B</v>
      </c>
    </row>
    <row r="2649" spans="1:8" x14ac:dyDescent="0.2">
      <c r="A2649" t="str">
        <f t="shared" ref="A2649:A2656" si="972">"0623152828"</f>
        <v>0623152828</v>
      </c>
      <c r="B2649" t="str">
        <f t="shared" ref="B2649:B2656" si="973">"THOMAS"</f>
        <v>THOMAS</v>
      </c>
      <c r="C2649" t="str">
        <f t="shared" ref="C2649:C2656" si="974">"CARPENTER"</f>
        <v>CARPENTER</v>
      </c>
      <c r="D2649">
        <f>11</f>
        <v>11</v>
      </c>
      <c r="E2649" t="str">
        <f>"04 - A - 101 - Jerry S Jiampetti"</f>
        <v>04 - A - 101 - Jerry S Jiampetti</v>
      </c>
      <c r="F2649" t="str">
        <f>"AICE U.S. HIST 1 AS"</f>
        <v>AICE U.S. HIST 1 AS</v>
      </c>
      <c r="G2649" t="str">
        <f>"17-1751"</f>
        <v>17-1751</v>
      </c>
      <c r="H2649" t="str">
        <f>"A"</f>
        <v>A</v>
      </c>
    </row>
    <row r="2650" spans="1:8" x14ac:dyDescent="0.2">
      <c r="A2650" t="str">
        <f t="shared" si="972"/>
        <v>0623152828</v>
      </c>
      <c r="B2650" t="str">
        <f t="shared" si="973"/>
        <v>THOMAS</v>
      </c>
      <c r="C2650" t="str">
        <f t="shared" si="974"/>
        <v>CARPENTER</v>
      </c>
      <c r="D2650">
        <f>11</f>
        <v>11</v>
      </c>
      <c r="E2650" t="str">
        <f>"06 - B - 204 - Chrystina M Marchionne"</f>
        <v>06 - B - 204 - Chrystina M Marchionne</v>
      </c>
      <c r="F2650" t="str">
        <f>"AICE MEDIASTUDIES AS"</f>
        <v>AICE MEDIASTUDIES AS</v>
      </c>
      <c r="G2650" t="str">
        <f>"05-520"</f>
        <v>05-520</v>
      </c>
      <c r="H2650" t="str">
        <f>"B"</f>
        <v>B</v>
      </c>
    </row>
    <row r="2651" spans="1:8" x14ac:dyDescent="0.2">
      <c r="A2651" t="str">
        <f t="shared" si="972"/>
        <v>0623152828</v>
      </c>
      <c r="B2651" t="str">
        <f t="shared" si="973"/>
        <v>THOMAS</v>
      </c>
      <c r="C2651" t="str">
        <f t="shared" si="974"/>
        <v>CARPENTER</v>
      </c>
      <c r="D2651">
        <f>11</f>
        <v>11</v>
      </c>
      <c r="E2651" t="str">
        <f>"03 - A - 101 - Jacqueline R Morphet"</f>
        <v>03 - A - 101 - Jacqueline R Morphet</v>
      </c>
      <c r="F2651" t="str">
        <f>"AP PHYSICS 1"</f>
        <v>AP PHYSICS 1</v>
      </c>
      <c r="G2651" t="str">
        <f>"21-2138"</f>
        <v>21-2138</v>
      </c>
      <c r="H2651" t="str">
        <f>"A"</f>
        <v>A</v>
      </c>
    </row>
    <row r="2652" spans="1:8" x14ac:dyDescent="0.2">
      <c r="A2652" t="str">
        <f t="shared" si="972"/>
        <v>0623152828</v>
      </c>
      <c r="B2652" t="str">
        <f t="shared" si="973"/>
        <v>THOMAS</v>
      </c>
      <c r="C2652" t="str">
        <f t="shared" si="974"/>
        <v>CARPENTER</v>
      </c>
      <c r="D2652">
        <f>11</f>
        <v>11</v>
      </c>
      <c r="E2652" t="str">
        <f>"02 - A - 106 - Heidi M Knopp"</f>
        <v>02 - A - 106 - Heidi M Knopp</v>
      </c>
      <c r="F2652" t="str">
        <f>"NC STUDY HALL 1"</f>
        <v>NC STUDY HALL 1</v>
      </c>
      <c r="G2652" t="str">
        <f>"17-1735"</f>
        <v>17-1735</v>
      </c>
      <c r="H2652" t="str">
        <f>"A"</f>
        <v>A</v>
      </c>
    </row>
    <row r="2653" spans="1:8" x14ac:dyDescent="0.2">
      <c r="A2653" t="str">
        <f t="shared" si="972"/>
        <v>0623152828</v>
      </c>
      <c r="B2653" t="str">
        <f t="shared" si="973"/>
        <v>THOMAS</v>
      </c>
      <c r="C2653" t="str">
        <f t="shared" si="974"/>
        <v>CARPENTER</v>
      </c>
      <c r="D2653">
        <f>11</f>
        <v>11</v>
      </c>
      <c r="E2653" t="str">
        <f>"07 - B - 107 - Rosa Elaine  Collado-Duff"</f>
        <v>07 - B - 107 - Rosa Elaine  Collado-Duff</v>
      </c>
      <c r="F2653" t="str">
        <f>"PRE-AICE SPAN 2 IG"</f>
        <v>PRE-AICE SPAN 2 IG</v>
      </c>
      <c r="G2653" t="str">
        <f>"09-913"</f>
        <v>09-913</v>
      </c>
      <c r="H2653" t="str">
        <f>"B"</f>
        <v>B</v>
      </c>
    </row>
    <row r="2654" spans="1:8" x14ac:dyDescent="0.2">
      <c r="A2654" t="str">
        <f t="shared" si="972"/>
        <v>0623152828</v>
      </c>
      <c r="B2654" t="str">
        <f t="shared" si="973"/>
        <v>THOMAS</v>
      </c>
      <c r="C2654" t="str">
        <f t="shared" si="974"/>
        <v>CARPENTER</v>
      </c>
      <c r="D2654">
        <f>11</f>
        <v>11</v>
      </c>
      <c r="E2654" t="str">
        <f>"05 - B - 103 - Tina M Jaramillo"</f>
        <v>05 - B - 103 - Tina M Jaramillo</v>
      </c>
      <c r="F2654" t="str">
        <f>"AP ENG COMPO"</f>
        <v>AP ENG COMPO</v>
      </c>
      <c r="G2654" t="str">
        <f>"17-1706"</f>
        <v>17-1706</v>
      </c>
      <c r="H2654" t="str">
        <f>"B"</f>
        <v>B</v>
      </c>
    </row>
    <row r="2655" spans="1:8" x14ac:dyDescent="0.2">
      <c r="A2655" t="str">
        <f t="shared" si="972"/>
        <v>0623152828</v>
      </c>
      <c r="B2655" t="str">
        <f t="shared" si="973"/>
        <v>THOMAS</v>
      </c>
      <c r="C2655" t="str">
        <f t="shared" si="974"/>
        <v>CARPENTER</v>
      </c>
      <c r="D2655">
        <f>11</f>
        <v>11</v>
      </c>
      <c r="E2655" t="str">
        <f>"01 - A - 101 - Lourivaldo  Da Silva"</f>
        <v>01 - A - 101 - Lourivaldo  Da Silva</v>
      </c>
      <c r="F2655" t="str">
        <f>"ALGEBRA 2 HON"</f>
        <v>ALGEBRA 2 HON</v>
      </c>
      <c r="G2655" t="str">
        <f>"20-2079"</f>
        <v>20-2079</v>
      </c>
      <c r="H2655" t="str">
        <f>"A"</f>
        <v>A</v>
      </c>
    </row>
    <row r="2656" spans="1:8" x14ac:dyDescent="0.2">
      <c r="A2656" t="str">
        <f t="shared" si="972"/>
        <v>0623152828</v>
      </c>
      <c r="B2656" t="str">
        <f t="shared" si="973"/>
        <v>THOMAS</v>
      </c>
      <c r="C2656" t="str">
        <f t="shared" si="974"/>
        <v>CARPENTER</v>
      </c>
      <c r="D2656">
        <f>11</f>
        <v>11</v>
      </c>
      <c r="E2656" t="str">
        <f>"08 - B - 101 - Marius D Orsolini"</f>
        <v>08 - B - 101 - Marius D Orsolini</v>
      </c>
      <c r="F2656" t="str">
        <f>"CULINARY ARTS 2"</f>
        <v>CULINARY ARTS 2</v>
      </c>
      <c r="G2656" t="str">
        <f>"21-2115"</f>
        <v>21-2115</v>
      </c>
      <c r="H2656" t="str">
        <f>"B"</f>
        <v>B</v>
      </c>
    </row>
    <row r="2657" spans="1:8" x14ac:dyDescent="0.2">
      <c r="A2657" t="str">
        <f t="shared" ref="A2657:A2665" si="975">"0614083814"</f>
        <v>0614083814</v>
      </c>
      <c r="B2657" t="str">
        <f t="shared" ref="B2657:B2665" si="976">"DANIEL"</f>
        <v>DANIEL</v>
      </c>
      <c r="C2657" t="str">
        <f t="shared" ref="C2657:C2673" si="977">"CARRASCO"</f>
        <v>CARRASCO</v>
      </c>
      <c r="D2657">
        <f>11</f>
        <v>11</v>
      </c>
      <c r="E2657" t="str">
        <f>"04 - A - 103 - Lisa  Quinn"</f>
        <v>04 - A - 103 - Lisa  Quinn</v>
      </c>
      <c r="F2657" t="str">
        <f>"ENG 3"</f>
        <v>ENG 3</v>
      </c>
      <c r="G2657" t="str">
        <f>"17-1725"</f>
        <v>17-1725</v>
      </c>
      <c r="H2657" t="str">
        <f>"A"</f>
        <v>A</v>
      </c>
    </row>
    <row r="2658" spans="1:8" x14ac:dyDescent="0.2">
      <c r="A2658" t="str">
        <f t="shared" si="975"/>
        <v>0614083814</v>
      </c>
      <c r="B2658" t="str">
        <f t="shared" si="976"/>
        <v>DANIEL</v>
      </c>
      <c r="C2658" t="str">
        <f t="shared" si="977"/>
        <v>CARRASCO</v>
      </c>
      <c r="D2658">
        <f>11</f>
        <v>11</v>
      </c>
      <c r="E2658" t="str">
        <f>"06 - B - 105 - Elizabeth Ellen  Moran"</f>
        <v>06 - B - 105 - Elizabeth Ellen  Moran</v>
      </c>
      <c r="F2658" t="str">
        <f>"US HISTORY"</f>
        <v>US HISTORY</v>
      </c>
      <c r="G2658" t="str">
        <f>"17-1752"</f>
        <v>17-1752</v>
      </c>
      <c r="H2658" t="str">
        <f>"B"</f>
        <v>B</v>
      </c>
    </row>
    <row r="2659" spans="1:8" x14ac:dyDescent="0.2">
      <c r="A2659" t="str">
        <f t="shared" si="975"/>
        <v>0614083814</v>
      </c>
      <c r="B2659" t="str">
        <f t="shared" si="976"/>
        <v>DANIEL</v>
      </c>
      <c r="C2659" t="str">
        <f t="shared" si="977"/>
        <v>CARRASCO</v>
      </c>
      <c r="D2659">
        <f>11</f>
        <v>11</v>
      </c>
      <c r="E2659" t="str">
        <f>"03 - A - 104 - Fernando  Vega-Cid"</f>
        <v>03 - A - 104 - Fernando  Vega-Cid</v>
      </c>
      <c r="F2659" t="str">
        <f>"GEOMETRY"</f>
        <v>GEOMETRY</v>
      </c>
      <c r="G2659" t="str">
        <f>"21-2163"</f>
        <v>21-2163</v>
      </c>
      <c r="H2659" t="str">
        <f>"A"</f>
        <v>A</v>
      </c>
    </row>
    <row r="2660" spans="1:8" x14ac:dyDescent="0.2">
      <c r="A2660" t="str">
        <f t="shared" si="975"/>
        <v>0614083814</v>
      </c>
      <c r="B2660" t="str">
        <f t="shared" si="976"/>
        <v>DANIEL</v>
      </c>
      <c r="C2660" t="str">
        <f t="shared" si="977"/>
        <v>CARRASCO</v>
      </c>
      <c r="D2660">
        <f>11</f>
        <v>11</v>
      </c>
      <c r="E2660" t="str">
        <f>"02 - A - 001 - Courtney E Hambright"</f>
        <v>02 - A - 001 - Courtney E Hambright</v>
      </c>
      <c r="F2660" t="str">
        <f>"NC STUDY HALL 1"</f>
        <v>NC STUDY HALL 1</v>
      </c>
      <c r="G2660" t="str">
        <f>"17-1711"</f>
        <v>17-1711</v>
      </c>
      <c r="H2660" t="str">
        <f>"A"</f>
        <v>A</v>
      </c>
    </row>
    <row r="2661" spans="1:8" x14ac:dyDescent="0.2">
      <c r="A2661" t="str">
        <f t="shared" si="975"/>
        <v>0614083814</v>
      </c>
      <c r="B2661" t="str">
        <f t="shared" si="976"/>
        <v>DANIEL</v>
      </c>
      <c r="C2661" t="str">
        <f t="shared" si="977"/>
        <v>CARRASCO</v>
      </c>
      <c r="D2661">
        <f>11</f>
        <v>11</v>
      </c>
      <c r="E2661" t="str">
        <f>"02 - A - 112 - Karen A Toomer"</f>
        <v>02 - A - 112 - Karen A Toomer</v>
      </c>
      <c r="F2661" t="str">
        <f>"LANG THERAPY"</f>
        <v>LANG THERAPY</v>
      </c>
      <c r="G2661" t="str">
        <f>"21-2110"</f>
        <v>21-2110</v>
      </c>
      <c r="H2661" t="str">
        <f>"A"</f>
        <v>A</v>
      </c>
    </row>
    <row r="2662" spans="1:8" x14ac:dyDescent="0.2">
      <c r="A2662" t="str">
        <f t="shared" si="975"/>
        <v>0614083814</v>
      </c>
      <c r="B2662" t="str">
        <f t="shared" si="976"/>
        <v>DANIEL</v>
      </c>
      <c r="C2662" t="str">
        <f t="shared" si="977"/>
        <v>CARRASCO</v>
      </c>
      <c r="D2662">
        <f>11</f>
        <v>11</v>
      </c>
      <c r="E2662" t="str">
        <f>"07 - S1 - B - 107 - Richard E Dunbar Iii"</f>
        <v>07 - S1 - B - 107 - Richard E Dunbar Iii</v>
      </c>
      <c r="F2662" t="str">
        <f>"WEIGHT TRAIN 1"</f>
        <v>WEIGHT TRAIN 1</v>
      </c>
      <c r="G2662" t="str">
        <f>"05-501"</f>
        <v>05-501</v>
      </c>
      <c r="H2662" t="str">
        <f>"B"</f>
        <v>B</v>
      </c>
    </row>
    <row r="2663" spans="1:8" x14ac:dyDescent="0.2">
      <c r="A2663" t="str">
        <f t="shared" si="975"/>
        <v>0614083814</v>
      </c>
      <c r="B2663" t="str">
        <f t="shared" si="976"/>
        <v>DANIEL</v>
      </c>
      <c r="C2663" t="str">
        <f t="shared" si="977"/>
        <v>CARRASCO</v>
      </c>
      <c r="D2663">
        <f>11</f>
        <v>11</v>
      </c>
      <c r="E2663" t="str">
        <f>"05 - B - 207 - Marielle A Witting"</f>
        <v>05 - B - 207 - Marielle A Witting</v>
      </c>
      <c r="F2663" t="str">
        <f>"ANAT PHYSIO"</f>
        <v>ANAT PHYSIO</v>
      </c>
      <c r="G2663" t="str">
        <f>"08-805"</f>
        <v>08-805</v>
      </c>
      <c r="H2663" t="str">
        <f>"B"</f>
        <v>B</v>
      </c>
    </row>
    <row r="2664" spans="1:8" x14ac:dyDescent="0.2">
      <c r="A2664" t="str">
        <f t="shared" si="975"/>
        <v>0614083814</v>
      </c>
      <c r="B2664" t="str">
        <f t="shared" si="976"/>
        <v>DANIEL</v>
      </c>
      <c r="C2664" t="str">
        <f t="shared" si="977"/>
        <v>CARRASCO</v>
      </c>
      <c r="D2664">
        <f>11</f>
        <v>11</v>
      </c>
      <c r="E2664" t="str">
        <f>"01 - A - 108 - Rosa Elaine  Collado-Duff"</f>
        <v>01 - A - 108 - Rosa Elaine  Collado-Duff</v>
      </c>
      <c r="F2664" t="str">
        <f>"PRE-AICE SPAN 2 IG"</f>
        <v>PRE-AICE SPAN 2 IG</v>
      </c>
      <c r="G2664" t="str">
        <f>"09-913"</f>
        <v>09-913</v>
      </c>
      <c r="H2664" t="str">
        <f>"A"</f>
        <v>A</v>
      </c>
    </row>
    <row r="2665" spans="1:8" x14ac:dyDescent="0.2">
      <c r="A2665" t="str">
        <f t="shared" si="975"/>
        <v>0614083814</v>
      </c>
      <c r="B2665" t="str">
        <f t="shared" si="976"/>
        <v>DANIEL</v>
      </c>
      <c r="C2665" t="str">
        <f t="shared" si="977"/>
        <v>CARRASCO</v>
      </c>
      <c r="D2665">
        <f>11</f>
        <v>11</v>
      </c>
      <c r="E2665" t="str">
        <f>"08 - B - 102 - Carleigh R Carmichael"</f>
        <v>08 - B - 102 - Carleigh R Carmichael</v>
      </c>
      <c r="F2665" t="str">
        <f>"LRNG STRATEGIES 9-12"</f>
        <v>LRNG STRATEGIES 9-12</v>
      </c>
      <c r="G2665" t="str">
        <f>"20-2072"</f>
        <v>20-2072</v>
      </c>
      <c r="H2665" t="str">
        <f>"B"</f>
        <v>B</v>
      </c>
    </row>
    <row r="2666" spans="1:8" x14ac:dyDescent="0.2">
      <c r="A2666" t="str">
        <f t="shared" ref="A2666:A2673" si="978">"0614086355"</f>
        <v>0614086355</v>
      </c>
      <c r="B2666" t="str">
        <f t="shared" ref="B2666:B2673" si="979">"DAVID"</f>
        <v>DAVID</v>
      </c>
      <c r="C2666" t="str">
        <f t="shared" si="977"/>
        <v>CARRASCO</v>
      </c>
      <c r="D2666">
        <f>10</f>
        <v>10</v>
      </c>
      <c r="E2666" t="str">
        <f>"04 - A - 102 - Tina L Lovett"</f>
        <v>04 - A - 102 - Tina L Lovett</v>
      </c>
      <c r="F2666" t="str">
        <f>"ALGEBRA 1"</f>
        <v>ALGEBRA 1</v>
      </c>
      <c r="G2666" t="str">
        <f>"21-2153"</f>
        <v>21-2153</v>
      </c>
      <c r="H2666" t="str">
        <f>"A"</f>
        <v>A</v>
      </c>
    </row>
    <row r="2667" spans="1:8" x14ac:dyDescent="0.2">
      <c r="A2667" t="str">
        <f t="shared" si="978"/>
        <v>0614086355</v>
      </c>
      <c r="B2667" t="str">
        <f t="shared" si="979"/>
        <v>DAVID</v>
      </c>
      <c r="C2667" t="str">
        <f t="shared" si="977"/>
        <v>CARRASCO</v>
      </c>
      <c r="D2667">
        <f>10</f>
        <v>10</v>
      </c>
      <c r="E2667" t="str">
        <f>"06 - B - 003 - Emmily A Sarmiento"</f>
        <v>06 - B - 003 - Emmily A Sarmiento</v>
      </c>
      <c r="F2667" t="str">
        <f>"NC STUDY HALL 1"</f>
        <v>NC STUDY HALL 1</v>
      </c>
      <c r="G2667" t="str">
        <f>"17-1743"</f>
        <v>17-1743</v>
      </c>
      <c r="H2667" t="str">
        <f>"B"</f>
        <v>B</v>
      </c>
    </row>
    <row r="2668" spans="1:8" x14ac:dyDescent="0.2">
      <c r="A2668" t="str">
        <f t="shared" si="978"/>
        <v>0614086355</v>
      </c>
      <c r="B2668" t="str">
        <f t="shared" si="979"/>
        <v>DAVID</v>
      </c>
      <c r="C2668" t="str">
        <f t="shared" si="977"/>
        <v>CARRASCO</v>
      </c>
      <c r="D2668">
        <f>10</f>
        <v>10</v>
      </c>
      <c r="E2668" t="str">
        <f>"03 - A - 204 - Lytrell T Dixon"</f>
        <v>03 - A - 204 - Lytrell T Dixon</v>
      </c>
      <c r="F2668" t="str">
        <f>"BIOLOGY 1"</f>
        <v>BIOLOGY 1</v>
      </c>
      <c r="G2668" t="str">
        <f>"08-808"</f>
        <v>08-808</v>
      </c>
      <c r="H2668" t="str">
        <f>"A"</f>
        <v>A</v>
      </c>
    </row>
    <row r="2669" spans="1:8" x14ac:dyDescent="0.2">
      <c r="A2669" t="str">
        <f t="shared" si="978"/>
        <v>0614086355</v>
      </c>
      <c r="B2669" t="str">
        <f t="shared" si="979"/>
        <v>DAVID</v>
      </c>
      <c r="C2669" t="str">
        <f t="shared" si="977"/>
        <v>CARRASCO</v>
      </c>
      <c r="D2669">
        <f>10</f>
        <v>10</v>
      </c>
      <c r="E2669" t="str">
        <f>"02 - A - 102 - Nikiel  Nesbeth"</f>
        <v>02 - A - 102 - Nikiel  Nesbeth</v>
      </c>
      <c r="F2669" t="str">
        <f>"ENG 2"</f>
        <v>ENG 2</v>
      </c>
      <c r="G2669" t="str">
        <f>"17-1705"</f>
        <v>17-1705</v>
      </c>
      <c r="H2669" t="str">
        <f>"A"</f>
        <v>A</v>
      </c>
    </row>
    <row r="2670" spans="1:8" x14ac:dyDescent="0.2">
      <c r="A2670" t="str">
        <f t="shared" si="978"/>
        <v>0614086355</v>
      </c>
      <c r="B2670" t="str">
        <f t="shared" si="979"/>
        <v>DAVID</v>
      </c>
      <c r="C2670" t="str">
        <f t="shared" si="977"/>
        <v>CARRASCO</v>
      </c>
      <c r="D2670">
        <f>10</f>
        <v>10</v>
      </c>
      <c r="E2670" t="str">
        <f>"07 - B - 106 - Taraneh C Abreu"</f>
        <v>07 - B - 106 - Taraneh C Abreu</v>
      </c>
      <c r="F2670" t="str">
        <f>"INTENS READ 2"</f>
        <v>INTENS READ 2</v>
      </c>
      <c r="G2670" t="str">
        <f>"17-1713"</f>
        <v>17-1713</v>
      </c>
      <c r="H2670" t="str">
        <f>"B"</f>
        <v>B</v>
      </c>
    </row>
    <row r="2671" spans="1:8" x14ac:dyDescent="0.2">
      <c r="A2671" t="str">
        <f t="shared" si="978"/>
        <v>0614086355</v>
      </c>
      <c r="B2671" t="str">
        <f t="shared" si="979"/>
        <v>DAVID</v>
      </c>
      <c r="C2671" t="str">
        <f t="shared" si="977"/>
        <v>CARRASCO</v>
      </c>
      <c r="D2671">
        <f>10</f>
        <v>10</v>
      </c>
      <c r="E2671" t="str">
        <f>"05 - S1 - B - 102 - Richard E Dunbar Iii"</f>
        <v>05 - S1 - B - 102 - Richard E Dunbar Iii</v>
      </c>
      <c r="F2671" t="str">
        <f>"TEAM SPORTS 1"</f>
        <v>TEAM SPORTS 1</v>
      </c>
      <c r="G2671" t="str">
        <f>"04-254"</f>
        <v>04-254</v>
      </c>
      <c r="H2671" t="str">
        <f>"B"</f>
        <v>B</v>
      </c>
    </row>
    <row r="2672" spans="1:8" x14ac:dyDescent="0.2">
      <c r="A2672" t="str">
        <f t="shared" si="978"/>
        <v>0614086355</v>
      </c>
      <c r="B2672" t="str">
        <f t="shared" si="979"/>
        <v>DAVID</v>
      </c>
      <c r="C2672" t="str">
        <f t="shared" si="977"/>
        <v>CARRASCO</v>
      </c>
      <c r="D2672">
        <f>10</f>
        <v>10</v>
      </c>
      <c r="E2672" t="str">
        <f>"01 - S1 - A - 101 - Carol S Moore"</f>
        <v>01 - S1 - A - 101 - Carol S Moore</v>
      </c>
      <c r="F2672" t="str">
        <f>"PERS FIN &amp; MON MGT H"</f>
        <v>PERS FIN &amp; MON MGT H</v>
      </c>
      <c r="G2672" t="str">
        <f>"17-1733"</f>
        <v>17-1733</v>
      </c>
      <c r="H2672" t="str">
        <f>"A"</f>
        <v>A</v>
      </c>
    </row>
    <row r="2673" spans="1:8" x14ac:dyDescent="0.2">
      <c r="A2673" t="str">
        <f t="shared" si="978"/>
        <v>0614086355</v>
      </c>
      <c r="B2673" t="str">
        <f t="shared" si="979"/>
        <v>DAVID</v>
      </c>
      <c r="C2673" t="str">
        <f t="shared" si="977"/>
        <v>CARRASCO</v>
      </c>
      <c r="D2673">
        <f>10</f>
        <v>10</v>
      </c>
      <c r="E2673" t="str">
        <f>"08 - B - 108 - Tina L Lovett"</f>
        <v>08 - B - 108 - Tina L Lovett</v>
      </c>
      <c r="F2673" t="str">
        <f>"FDN SKLS MATH 9-12"</f>
        <v>FDN SKLS MATH 9-12</v>
      </c>
      <c r="G2673" t="str">
        <f>"21-2153"</f>
        <v>21-2153</v>
      </c>
      <c r="H2673" t="str">
        <f>"B"</f>
        <v>B</v>
      </c>
    </row>
    <row r="2674" spans="1:8" x14ac:dyDescent="0.2">
      <c r="A2674" t="str">
        <f t="shared" ref="A2674:A2681" si="980">"0615028075"</f>
        <v>0615028075</v>
      </c>
      <c r="B2674" t="str">
        <f t="shared" ref="B2674:B2681" si="981">"NAYLA"</f>
        <v>NAYLA</v>
      </c>
      <c r="C2674" t="str">
        <f t="shared" ref="C2674:C2681" si="982">"CARRASQUILLO LACE"</f>
        <v>CARRASQUILLO LACE</v>
      </c>
      <c r="D2674">
        <f>11</f>
        <v>11</v>
      </c>
      <c r="E2674" t="str">
        <f>"04 - A - 101 - Stephen T Ripp"</f>
        <v>04 - A - 101 - Stephen T Ripp</v>
      </c>
      <c r="F2674" t="str">
        <f>"AP U.S. HIST"</f>
        <v>AP U.S. HIST</v>
      </c>
      <c r="G2674" t="str">
        <f>"17-1744"</f>
        <v>17-1744</v>
      </c>
      <c r="H2674" t="str">
        <f>"A"</f>
        <v>A</v>
      </c>
    </row>
    <row r="2675" spans="1:8" x14ac:dyDescent="0.2">
      <c r="A2675" t="str">
        <f t="shared" si="980"/>
        <v>0615028075</v>
      </c>
      <c r="B2675" t="str">
        <f t="shared" si="981"/>
        <v>NAYLA</v>
      </c>
      <c r="C2675" t="str">
        <f t="shared" si="982"/>
        <v>CARRASQUILLO LACE</v>
      </c>
      <c r="D2675">
        <f>11</f>
        <v>11</v>
      </c>
      <c r="E2675" t="str">
        <f>"06 - B - 001 - Lourivaldo  Da Silva"</f>
        <v>06 - B - 001 - Lourivaldo  Da Silva</v>
      </c>
      <c r="F2675" t="str">
        <f>"PRE-CALCULUS HON"</f>
        <v>PRE-CALCULUS HON</v>
      </c>
      <c r="G2675" t="str">
        <f>"20-2079"</f>
        <v>20-2079</v>
      </c>
      <c r="H2675" t="str">
        <f>"B"</f>
        <v>B</v>
      </c>
    </row>
    <row r="2676" spans="1:8" x14ac:dyDescent="0.2">
      <c r="A2676" t="str">
        <f t="shared" si="980"/>
        <v>0615028075</v>
      </c>
      <c r="B2676" t="str">
        <f t="shared" si="981"/>
        <v>NAYLA</v>
      </c>
      <c r="C2676" t="str">
        <f t="shared" si="982"/>
        <v>CARRASQUILLO LACE</v>
      </c>
      <c r="D2676">
        <f>11</f>
        <v>11</v>
      </c>
      <c r="E2676" t="str">
        <f>"03 - A - 202 - Jeanne M Bermudez"</f>
        <v>03 - A - 202 - Jeanne M Bermudez</v>
      </c>
      <c r="F2676" t="str">
        <f>"PHYSICS 1 HON"</f>
        <v>PHYSICS 1 HON</v>
      </c>
      <c r="G2676" t="str">
        <f>"21-2141"</f>
        <v>21-2141</v>
      </c>
      <c r="H2676" t="str">
        <f>"A"</f>
        <v>A</v>
      </c>
    </row>
    <row r="2677" spans="1:8" x14ac:dyDescent="0.2">
      <c r="A2677" t="str">
        <f t="shared" si="980"/>
        <v>0615028075</v>
      </c>
      <c r="B2677" t="str">
        <f t="shared" si="981"/>
        <v>NAYLA</v>
      </c>
      <c r="C2677" t="str">
        <f t="shared" si="982"/>
        <v>CARRASQUILLO LACE</v>
      </c>
      <c r="D2677">
        <f>11</f>
        <v>11</v>
      </c>
      <c r="E2677" t="str">
        <f>"02 - A - 103 - Angela S Adeshina-Morrison"</f>
        <v>02 - A - 103 - Angela S Adeshina-Morrison</v>
      </c>
      <c r="F2677" t="str">
        <f>"NC STUDY HALL 1"</f>
        <v>NC STUDY HALL 1</v>
      </c>
      <c r="G2677" t="str">
        <f>"05-518"</f>
        <v>05-518</v>
      </c>
      <c r="H2677" t="str">
        <f>"A"</f>
        <v>A</v>
      </c>
    </row>
    <row r="2678" spans="1:8" x14ac:dyDescent="0.2">
      <c r="A2678" t="str">
        <f t="shared" si="980"/>
        <v>0615028075</v>
      </c>
      <c r="B2678" t="str">
        <f t="shared" si="981"/>
        <v>NAYLA</v>
      </c>
      <c r="C2678" t="str">
        <f t="shared" si="982"/>
        <v>CARRASQUILLO LACE</v>
      </c>
      <c r="D2678">
        <f>11</f>
        <v>11</v>
      </c>
      <c r="E2678" t="str">
        <f>"07 - B - 103 - Lisa J London"</f>
        <v>07 - B - 103 - Lisa J London</v>
      </c>
      <c r="F2678" t="str">
        <f>"AP CAPSTONE SEMINAR"</f>
        <v>AP CAPSTONE SEMINAR</v>
      </c>
      <c r="G2678" t="str">
        <f>"17-1714"</f>
        <v>17-1714</v>
      </c>
      <c r="H2678" t="str">
        <f>"B"</f>
        <v>B</v>
      </c>
    </row>
    <row r="2679" spans="1:8" x14ac:dyDescent="0.2">
      <c r="A2679" t="str">
        <f t="shared" si="980"/>
        <v>0615028075</v>
      </c>
      <c r="B2679" t="str">
        <f t="shared" si="981"/>
        <v>NAYLA</v>
      </c>
      <c r="C2679" t="str">
        <f t="shared" si="982"/>
        <v>CARRASQUILLO LACE</v>
      </c>
      <c r="D2679">
        <f>11</f>
        <v>11</v>
      </c>
      <c r="E2679" t="str">
        <f>"05 - B - 102 - Daniel S Katz"</f>
        <v>05 - B - 102 - Daniel S Katz</v>
      </c>
      <c r="F2679" t="str">
        <f>"EXEC INTERN 4 LH"</f>
        <v>EXEC INTERN 4 LH</v>
      </c>
      <c r="G2679" t="str">
        <f>"21-2156"</f>
        <v>21-2156</v>
      </c>
      <c r="H2679" t="str">
        <f>"B"</f>
        <v>B</v>
      </c>
    </row>
    <row r="2680" spans="1:8" x14ac:dyDescent="0.2">
      <c r="A2680" t="str">
        <f t="shared" si="980"/>
        <v>0615028075</v>
      </c>
      <c r="B2680" t="str">
        <f t="shared" si="981"/>
        <v>NAYLA</v>
      </c>
      <c r="C2680" t="str">
        <f t="shared" si="982"/>
        <v>CARRASQUILLO LACE</v>
      </c>
      <c r="D2680">
        <f>11</f>
        <v>11</v>
      </c>
      <c r="E2680" t="str">
        <f>"01 - A - 101 - Chrystina M Marchionne"</f>
        <v>01 - A - 101 - Chrystina M Marchionne</v>
      </c>
      <c r="F2680" t="str">
        <f>"AICE MEDIA STUDIES A"</f>
        <v>AICE MEDIA STUDIES A</v>
      </c>
      <c r="G2680" t="str">
        <f>"05-520"</f>
        <v>05-520</v>
      </c>
      <c r="H2680" t="str">
        <f>"A"</f>
        <v>A</v>
      </c>
    </row>
    <row r="2681" spans="1:8" x14ac:dyDescent="0.2">
      <c r="A2681" t="str">
        <f t="shared" si="980"/>
        <v>0615028075</v>
      </c>
      <c r="B2681" t="str">
        <f t="shared" si="981"/>
        <v>NAYLA</v>
      </c>
      <c r="C2681" t="str">
        <f t="shared" si="982"/>
        <v>CARRASQUILLO LACE</v>
      </c>
      <c r="D2681">
        <f>11</f>
        <v>11</v>
      </c>
      <c r="E2681" t="str">
        <f>"08 - B - 105 - Brandy N Zdenek"</f>
        <v>08 - B - 105 - Brandy N Zdenek</v>
      </c>
      <c r="F2681" t="str">
        <f>"AICE ENG LANG 2 AL"</f>
        <v>AICE ENG LANG 2 AL</v>
      </c>
      <c r="G2681" t="str">
        <f>"17-1704"</f>
        <v>17-1704</v>
      </c>
      <c r="H2681" t="str">
        <f>"B"</f>
        <v>B</v>
      </c>
    </row>
    <row r="2682" spans="1:8" x14ac:dyDescent="0.2">
      <c r="A2682" t="str">
        <f t="shared" ref="A2682:A2690" si="983">"0621080405"</f>
        <v>0621080405</v>
      </c>
      <c r="B2682" t="str">
        <f t="shared" ref="B2682:B2690" si="984">"LAYLA"</f>
        <v>LAYLA</v>
      </c>
      <c r="C2682" t="str">
        <f t="shared" ref="C2682:C2690" si="985">"CARRINGTON"</f>
        <v>CARRINGTON</v>
      </c>
      <c r="D2682">
        <f>11</f>
        <v>11</v>
      </c>
      <c r="E2682" t="str">
        <f>"19 - S1 - MTWHF - B18 - Instructor BC"</f>
        <v>19 - S1 - MTWHF - B18 - Instructor BC</v>
      </c>
      <c r="F2682" t="str">
        <f>"INTRO TO CRIMINO"</f>
        <v>INTRO TO CRIMINO</v>
      </c>
      <c r="G2682" t="str">
        <f>"60-DE"</f>
        <v>60-DE</v>
      </c>
      <c r="H2682" t="str">
        <f>"-"</f>
        <v>-</v>
      </c>
    </row>
    <row r="2683" spans="1:8" x14ac:dyDescent="0.2">
      <c r="A2683" t="str">
        <f t="shared" si="983"/>
        <v>0621080405</v>
      </c>
      <c r="B2683" t="str">
        <f t="shared" si="984"/>
        <v>LAYLA</v>
      </c>
      <c r="C2683" t="str">
        <f t="shared" si="985"/>
        <v>CARRINGTON</v>
      </c>
      <c r="D2683">
        <f>11</f>
        <v>11</v>
      </c>
      <c r="E2683" t="str">
        <f>"04 - A - 102 - Brandy N Zdenek"</f>
        <v>04 - A - 102 - Brandy N Zdenek</v>
      </c>
      <c r="F2683" t="str">
        <f>"AICE ENG LANG 2 AL"</f>
        <v>AICE ENG LANG 2 AL</v>
      </c>
      <c r="G2683" t="str">
        <f>"17-1704"</f>
        <v>17-1704</v>
      </c>
      <c r="H2683" t="str">
        <f>"A"</f>
        <v>A</v>
      </c>
    </row>
    <row r="2684" spans="1:8" x14ac:dyDescent="0.2">
      <c r="A2684" t="str">
        <f t="shared" si="983"/>
        <v>0621080405</v>
      </c>
      <c r="B2684" t="str">
        <f t="shared" si="984"/>
        <v>LAYLA</v>
      </c>
      <c r="C2684" t="str">
        <f t="shared" si="985"/>
        <v>CARRINGTON</v>
      </c>
      <c r="D2684">
        <f>11</f>
        <v>11</v>
      </c>
      <c r="E2684" t="str">
        <f>"06 - B - 001 - Lourivaldo  Da Silva"</f>
        <v>06 - B - 001 - Lourivaldo  Da Silva</v>
      </c>
      <c r="F2684" t="str">
        <f>"PRE-CALCULUS HON"</f>
        <v>PRE-CALCULUS HON</v>
      </c>
      <c r="G2684" t="str">
        <f>"20-2079"</f>
        <v>20-2079</v>
      </c>
      <c r="H2684" t="str">
        <f>"B"</f>
        <v>B</v>
      </c>
    </row>
    <row r="2685" spans="1:8" x14ac:dyDescent="0.2">
      <c r="A2685" t="str">
        <f t="shared" si="983"/>
        <v>0621080405</v>
      </c>
      <c r="B2685" t="str">
        <f t="shared" si="984"/>
        <v>LAYLA</v>
      </c>
      <c r="C2685" t="str">
        <f t="shared" si="985"/>
        <v>CARRINGTON</v>
      </c>
      <c r="D2685">
        <f>11</f>
        <v>11</v>
      </c>
      <c r="E2685" t="str">
        <f>"03 - S1 - A - 101 - Daniel S Katz"</f>
        <v>03 - S1 - A - 101 - Daniel S Katz</v>
      </c>
      <c r="F2685" t="str">
        <f>"COURT PROCED"</f>
        <v>COURT PROCED</v>
      </c>
      <c r="G2685" t="str">
        <f>"21-2156"</f>
        <v>21-2156</v>
      </c>
      <c r="H2685" t="str">
        <f>"A"</f>
        <v>A</v>
      </c>
    </row>
    <row r="2686" spans="1:8" x14ac:dyDescent="0.2">
      <c r="A2686" t="str">
        <f t="shared" si="983"/>
        <v>0621080405</v>
      </c>
      <c r="B2686" t="str">
        <f t="shared" si="984"/>
        <v>LAYLA</v>
      </c>
      <c r="C2686" t="str">
        <f t="shared" si="985"/>
        <v>CARRINGTON</v>
      </c>
      <c r="D2686">
        <f>11</f>
        <v>11</v>
      </c>
      <c r="E2686" t="str">
        <f>"02 - A - 114 - Eva T Rimmer"</f>
        <v>02 - A - 114 - Eva T Rimmer</v>
      </c>
      <c r="F2686" t="str">
        <f>"NC STUDY HALL 1"</f>
        <v>NC STUDY HALL 1</v>
      </c>
      <c r="G2686" t="str">
        <f>"05-523"</f>
        <v>05-523</v>
      </c>
      <c r="H2686" t="str">
        <f>"A"</f>
        <v>A</v>
      </c>
    </row>
    <row r="2687" spans="1:8" x14ac:dyDescent="0.2">
      <c r="A2687" t="str">
        <f t="shared" si="983"/>
        <v>0621080405</v>
      </c>
      <c r="B2687" t="str">
        <f t="shared" si="984"/>
        <v>LAYLA</v>
      </c>
      <c r="C2687" t="str">
        <f t="shared" si="985"/>
        <v>CARRINGTON</v>
      </c>
      <c r="D2687">
        <f>11</f>
        <v>11</v>
      </c>
      <c r="E2687" t="str">
        <f>"07 - B - 103 - Lisa J London"</f>
        <v>07 - B - 103 - Lisa J London</v>
      </c>
      <c r="F2687" t="str">
        <f>"AP CAPSTONE SEMINAR"</f>
        <v>AP CAPSTONE SEMINAR</v>
      </c>
      <c r="G2687" t="str">
        <f>"17-1714"</f>
        <v>17-1714</v>
      </c>
      <c r="H2687" t="str">
        <f>"B"</f>
        <v>B</v>
      </c>
    </row>
    <row r="2688" spans="1:8" x14ac:dyDescent="0.2">
      <c r="A2688" t="str">
        <f t="shared" si="983"/>
        <v>0621080405</v>
      </c>
      <c r="B2688" t="str">
        <f t="shared" si="984"/>
        <v>LAYLA</v>
      </c>
      <c r="C2688" t="str">
        <f t="shared" si="985"/>
        <v>CARRINGTON</v>
      </c>
      <c r="D2688">
        <f>11</f>
        <v>11</v>
      </c>
      <c r="E2688" t="str">
        <f>"05 - B - 201 - Scott A Dethloff"</f>
        <v>05 - B - 201 - Scott A Dethloff</v>
      </c>
      <c r="F2688" t="str">
        <f>"AP CHEM"</f>
        <v>AP CHEM</v>
      </c>
      <c r="G2688" t="str">
        <f>"08-812"</f>
        <v>08-812</v>
      </c>
      <c r="H2688" t="str">
        <f>"B"</f>
        <v>B</v>
      </c>
    </row>
    <row r="2689" spans="1:8" x14ac:dyDescent="0.2">
      <c r="A2689" t="str">
        <f t="shared" si="983"/>
        <v>0621080405</v>
      </c>
      <c r="B2689" t="str">
        <f t="shared" si="984"/>
        <v>LAYLA</v>
      </c>
      <c r="C2689" t="str">
        <f t="shared" si="985"/>
        <v>CARRINGTON</v>
      </c>
      <c r="D2689">
        <f>11</f>
        <v>11</v>
      </c>
      <c r="E2689" t="str">
        <f>"01 - A - 001 - Stephen T Ripp"</f>
        <v>01 - A - 001 - Stephen T Ripp</v>
      </c>
      <c r="F2689" t="str">
        <f>"AP U.S. HIST"</f>
        <v>AP U.S. HIST</v>
      </c>
      <c r="G2689" t="str">
        <f>"17-1744"</f>
        <v>17-1744</v>
      </c>
      <c r="H2689" t="str">
        <f>"A"</f>
        <v>A</v>
      </c>
    </row>
    <row r="2690" spans="1:8" x14ac:dyDescent="0.2">
      <c r="A2690" t="str">
        <f t="shared" si="983"/>
        <v>0621080405</v>
      </c>
      <c r="B2690" t="str">
        <f t="shared" si="984"/>
        <v>LAYLA</v>
      </c>
      <c r="C2690" t="str">
        <f t="shared" si="985"/>
        <v>CARRINGTON</v>
      </c>
      <c r="D2690">
        <f>11</f>
        <v>11</v>
      </c>
      <c r="E2690" t="str">
        <f>"08 - B - 001 - Samantha L Martinez"</f>
        <v>08 - B - 001 - Samantha L Martinez</v>
      </c>
      <c r="F2690" t="str">
        <f>"VOCAL ENS 2"</f>
        <v>VOCAL ENS 2</v>
      </c>
      <c r="G2690" t="str">
        <f>"05-505"</f>
        <v>05-505</v>
      </c>
      <c r="H2690" t="str">
        <f>"B"</f>
        <v>B</v>
      </c>
    </row>
    <row r="2691" spans="1:8" x14ac:dyDescent="0.2">
      <c r="A2691" t="str">
        <f t="shared" ref="A2691:A2698" si="986">"0617144185"</f>
        <v>0617144185</v>
      </c>
      <c r="B2691" t="str">
        <f t="shared" ref="B2691:B2698" si="987">"RYLIE"</f>
        <v>RYLIE</v>
      </c>
      <c r="C2691" t="str">
        <f t="shared" ref="C2691:C2698" si="988">"CARROLL"</f>
        <v>CARROLL</v>
      </c>
      <c r="D2691">
        <f>11</f>
        <v>11</v>
      </c>
      <c r="E2691" t="str">
        <f>"04 - A - 103 - Lourivaldo  Da Silva"</f>
        <v>04 - A - 103 - Lourivaldo  Da Silva</v>
      </c>
      <c r="F2691" t="str">
        <f>"PRE-CALCULUS HON"</f>
        <v>PRE-CALCULUS HON</v>
      </c>
      <c r="G2691" t="str">
        <f>"20-2079"</f>
        <v>20-2079</v>
      </c>
      <c r="H2691" t="str">
        <f>"A"</f>
        <v>A</v>
      </c>
    </row>
    <row r="2692" spans="1:8" x14ac:dyDescent="0.2">
      <c r="A2692" t="str">
        <f t="shared" si="986"/>
        <v>0617144185</v>
      </c>
      <c r="B2692" t="str">
        <f t="shared" si="987"/>
        <v>RYLIE</v>
      </c>
      <c r="C2692" t="str">
        <f t="shared" si="988"/>
        <v>CARROLL</v>
      </c>
      <c r="D2692">
        <f>11</f>
        <v>11</v>
      </c>
      <c r="E2692" t="str">
        <f>"06 - B - 102 - Rosa Elaine  Collado-Duff"</f>
        <v>06 - B - 102 - Rosa Elaine  Collado-Duff</v>
      </c>
      <c r="F2692" t="str">
        <f>"SPANISH 3 HON"</f>
        <v>SPANISH 3 HON</v>
      </c>
      <c r="G2692" t="str">
        <f>"09-913"</f>
        <v>09-913</v>
      </c>
      <c r="H2692" t="str">
        <f>"B"</f>
        <v>B</v>
      </c>
    </row>
    <row r="2693" spans="1:8" x14ac:dyDescent="0.2">
      <c r="A2693" t="str">
        <f t="shared" si="986"/>
        <v>0617144185</v>
      </c>
      <c r="B2693" t="str">
        <f t="shared" si="987"/>
        <v>RYLIE</v>
      </c>
      <c r="C2693" t="str">
        <f t="shared" si="988"/>
        <v>CARROLL</v>
      </c>
      <c r="D2693">
        <f>11</f>
        <v>11</v>
      </c>
      <c r="E2693" t="str">
        <f>"03 - A - 102 - Tina M Jaramillo"</f>
        <v>03 - A - 102 - Tina M Jaramillo</v>
      </c>
      <c r="F2693" t="str">
        <f>"AP ENG COMPO"</f>
        <v>AP ENG COMPO</v>
      </c>
      <c r="G2693" t="str">
        <f>"17-1706"</f>
        <v>17-1706</v>
      </c>
      <c r="H2693" t="str">
        <f>"A"</f>
        <v>A</v>
      </c>
    </row>
    <row r="2694" spans="1:8" x14ac:dyDescent="0.2">
      <c r="A2694" t="str">
        <f t="shared" si="986"/>
        <v>0617144185</v>
      </c>
      <c r="B2694" t="str">
        <f t="shared" si="987"/>
        <v>RYLIE</v>
      </c>
      <c r="C2694" t="str">
        <f t="shared" si="988"/>
        <v>CARROLL</v>
      </c>
      <c r="D2694">
        <f>11</f>
        <v>11</v>
      </c>
      <c r="E2694" t="str">
        <f>"02 - A - 112 - Brandy N Zdenek"</f>
        <v>02 - A - 112 - Brandy N Zdenek</v>
      </c>
      <c r="F2694" t="str">
        <f>"NC STUDY HALL 1"</f>
        <v>NC STUDY HALL 1</v>
      </c>
      <c r="G2694" t="str">
        <f>"17-1704"</f>
        <v>17-1704</v>
      </c>
      <c r="H2694" t="str">
        <f>"A"</f>
        <v>A</v>
      </c>
    </row>
    <row r="2695" spans="1:8" x14ac:dyDescent="0.2">
      <c r="A2695" t="str">
        <f t="shared" si="986"/>
        <v>0617144185</v>
      </c>
      <c r="B2695" t="str">
        <f t="shared" si="987"/>
        <v>RYLIE</v>
      </c>
      <c r="C2695" t="str">
        <f t="shared" si="988"/>
        <v>CARROLL</v>
      </c>
      <c r="D2695">
        <f>11</f>
        <v>11</v>
      </c>
      <c r="E2695" t="str">
        <f>"07 - B - 103 - Lisa J London"</f>
        <v>07 - B - 103 - Lisa J London</v>
      </c>
      <c r="F2695" t="str">
        <f>"AP CAPSTONE SEMINAR"</f>
        <v>AP CAPSTONE SEMINAR</v>
      </c>
      <c r="G2695" t="str">
        <f>"17-1714"</f>
        <v>17-1714</v>
      </c>
      <c r="H2695" t="str">
        <f>"B"</f>
        <v>B</v>
      </c>
    </row>
    <row r="2696" spans="1:8" x14ac:dyDescent="0.2">
      <c r="A2696" t="str">
        <f t="shared" si="986"/>
        <v>0617144185</v>
      </c>
      <c r="B2696" t="str">
        <f t="shared" si="987"/>
        <v>RYLIE</v>
      </c>
      <c r="C2696" t="str">
        <f t="shared" si="988"/>
        <v>CARROLL</v>
      </c>
      <c r="D2696">
        <f>11</f>
        <v>11</v>
      </c>
      <c r="E2696" t="str">
        <f>"05 - B - 103 - Chrystina M Marchionne"</f>
        <v>05 - B - 103 - Chrystina M Marchionne</v>
      </c>
      <c r="F2696" t="str">
        <f>"AICE MEDIA STUDIES A"</f>
        <v>AICE MEDIA STUDIES A</v>
      </c>
      <c r="G2696" t="str">
        <f>"05-520"</f>
        <v>05-520</v>
      </c>
      <c r="H2696" t="str">
        <f>"B"</f>
        <v>B</v>
      </c>
    </row>
    <row r="2697" spans="1:8" x14ac:dyDescent="0.2">
      <c r="A2697" t="str">
        <f t="shared" si="986"/>
        <v>0617144185</v>
      </c>
      <c r="B2697" t="str">
        <f t="shared" si="987"/>
        <v>RYLIE</v>
      </c>
      <c r="C2697" t="str">
        <f t="shared" si="988"/>
        <v>CARROLL</v>
      </c>
      <c r="D2697">
        <f>11</f>
        <v>11</v>
      </c>
      <c r="E2697" t="str">
        <f>"01 - A - 001 - Stephen T Ripp"</f>
        <v>01 - A - 001 - Stephen T Ripp</v>
      </c>
      <c r="F2697" t="str">
        <f>"AP U.S. HIST"</f>
        <v>AP U.S. HIST</v>
      </c>
      <c r="G2697" t="str">
        <f>"17-1744"</f>
        <v>17-1744</v>
      </c>
      <c r="H2697" t="str">
        <f>"A"</f>
        <v>A</v>
      </c>
    </row>
    <row r="2698" spans="1:8" x14ac:dyDescent="0.2">
      <c r="A2698" t="str">
        <f t="shared" si="986"/>
        <v>0617144185</v>
      </c>
      <c r="B2698" t="str">
        <f t="shared" si="987"/>
        <v>RYLIE</v>
      </c>
      <c r="C2698" t="str">
        <f t="shared" si="988"/>
        <v>CARROLL</v>
      </c>
      <c r="D2698">
        <f>11</f>
        <v>11</v>
      </c>
      <c r="E2698" t="str">
        <f>"08 - B - 102 - Jacqueline R Morphet"</f>
        <v>08 - B - 102 - Jacqueline R Morphet</v>
      </c>
      <c r="F2698" t="str">
        <f>"AP PHYSICS 1"</f>
        <v>AP PHYSICS 1</v>
      </c>
      <c r="G2698" t="str">
        <f>"21-2138"</f>
        <v>21-2138</v>
      </c>
      <c r="H2698" t="str">
        <f>"B"</f>
        <v>B</v>
      </c>
    </row>
    <row r="2699" spans="1:8" x14ac:dyDescent="0.2">
      <c r="A2699" t="str">
        <f t="shared" ref="A2699:A2706" si="989">"0617071755"</f>
        <v>0617071755</v>
      </c>
      <c r="B2699" t="str">
        <f t="shared" ref="B2699:B2706" si="990">"KIA'LEE"</f>
        <v>KIA'LEE</v>
      </c>
      <c r="C2699" t="str">
        <f t="shared" ref="C2699:C2714" si="991">"CARTER"</f>
        <v>CARTER</v>
      </c>
      <c r="D2699" t="str">
        <f t="shared" ref="D2699:D2706" si="992">"09"</f>
        <v>09</v>
      </c>
      <c r="E2699" t="str">
        <f>"04 - S1 - A - 103 - Rory T Sponsler"</f>
        <v>04 - S1 - A - 103 - Rory T Sponsler</v>
      </c>
      <c r="F2699" t="str">
        <f>"WOMENS STUDIES LH"</f>
        <v>WOMENS STUDIES LH</v>
      </c>
      <c r="G2699" t="str">
        <f>"17-1740"</f>
        <v>17-1740</v>
      </c>
      <c r="H2699" t="str">
        <f>"A"</f>
        <v>A</v>
      </c>
    </row>
    <row r="2700" spans="1:8" x14ac:dyDescent="0.2">
      <c r="A2700" t="str">
        <f t="shared" si="989"/>
        <v>0617071755</v>
      </c>
      <c r="B2700" t="str">
        <f t="shared" si="990"/>
        <v>KIA'LEE</v>
      </c>
      <c r="C2700" t="str">
        <f t="shared" si="991"/>
        <v>CARTER</v>
      </c>
      <c r="D2700" t="str">
        <f t="shared" si="992"/>
        <v>09</v>
      </c>
      <c r="E2700" t="str">
        <f>"06 - B - 105 - Tina L Lovett"</f>
        <v>06 - B - 105 - Tina L Lovett</v>
      </c>
      <c r="F2700" t="str">
        <f>"FDN SKLS MATH 9-12"</f>
        <v>FDN SKLS MATH 9-12</v>
      </c>
      <c r="G2700" t="str">
        <f>"21-2153"</f>
        <v>21-2153</v>
      </c>
      <c r="H2700" t="str">
        <f>"B"</f>
        <v>B</v>
      </c>
    </row>
    <row r="2701" spans="1:8" x14ac:dyDescent="0.2">
      <c r="A2701" t="str">
        <f t="shared" si="989"/>
        <v>0617071755</v>
      </c>
      <c r="B2701" t="str">
        <f t="shared" si="990"/>
        <v>KIA'LEE</v>
      </c>
      <c r="C2701" t="str">
        <f t="shared" si="991"/>
        <v>CARTER</v>
      </c>
      <c r="D2701" t="str">
        <f t="shared" si="992"/>
        <v>09</v>
      </c>
      <c r="E2701" t="str">
        <f>"03 - A - 109 - Lissa C Frederique"</f>
        <v>03 - A - 109 - Lissa C Frederique</v>
      </c>
      <c r="F2701" t="str">
        <f>"WORLD HISTORY"</f>
        <v>WORLD HISTORY</v>
      </c>
      <c r="G2701" t="str">
        <f>"17-1754"</f>
        <v>17-1754</v>
      </c>
      <c r="H2701" t="str">
        <f>"A"</f>
        <v>A</v>
      </c>
    </row>
    <row r="2702" spans="1:8" x14ac:dyDescent="0.2">
      <c r="A2702" t="str">
        <f t="shared" si="989"/>
        <v>0617071755</v>
      </c>
      <c r="B2702" t="str">
        <f t="shared" si="990"/>
        <v>KIA'LEE</v>
      </c>
      <c r="C2702" t="str">
        <f t="shared" si="991"/>
        <v>CARTER</v>
      </c>
      <c r="D2702" t="str">
        <f t="shared" si="992"/>
        <v>09</v>
      </c>
      <c r="E2702" t="str">
        <f>"02 - A - 112 - Cheryl Anne  Berman-Schechter"</f>
        <v>02 - A - 112 - Cheryl Anne  Berman-Schechter</v>
      </c>
      <c r="F2702" t="str">
        <f>"NC STUDY HALL 1"</f>
        <v>NC STUDY HALL 1</v>
      </c>
      <c r="G2702" t="str">
        <f>"17-1722"</f>
        <v>17-1722</v>
      </c>
      <c r="H2702" t="str">
        <f>"A"</f>
        <v>A</v>
      </c>
    </row>
    <row r="2703" spans="1:8" x14ac:dyDescent="0.2">
      <c r="A2703" t="str">
        <f t="shared" si="989"/>
        <v>0617071755</v>
      </c>
      <c r="B2703" t="str">
        <f t="shared" si="990"/>
        <v>KIA'LEE</v>
      </c>
      <c r="C2703" t="str">
        <f t="shared" si="991"/>
        <v>CARTER</v>
      </c>
      <c r="D2703" t="str">
        <f t="shared" si="992"/>
        <v>09</v>
      </c>
      <c r="E2703" t="str">
        <f>"07 - B - 107 - Cerine S Stewart"</f>
        <v>07 - B - 107 - Cerine S Stewart</v>
      </c>
      <c r="F2703" t="str">
        <f>"ENG 1"</f>
        <v>ENG 1</v>
      </c>
      <c r="G2703" t="str">
        <f>"17-1720"</f>
        <v>17-1720</v>
      </c>
      <c r="H2703" t="str">
        <f>"B"</f>
        <v>B</v>
      </c>
    </row>
    <row r="2704" spans="1:8" x14ac:dyDescent="0.2">
      <c r="A2704" t="str">
        <f t="shared" si="989"/>
        <v>0617071755</v>
      </c>
      <c r="B2704" t="str">
        <f t="shared" si="990"/>
        <v>KIA'LEE</v>
      </c>
      <c r="C2704" t="str">
        <f t="shared" si="991"/>
        <v>CARTER</v>
      </c>
      <c r="D2704" t="str">
        <f t="shared" si="992"/>
        <v>09</v>
      </c>
      <c r="E2704" t="str">
        <f>"05 - B - 202 - Amy Beth  Broyles"</f>
        <v>05 - B - 202 - Amy Beth  Broyles</v>
      </c>
      <c r="F2704" t="str">
        <f>"ENV SCI"</f>
        <v>ENV SCI</v>
      </c>
      <c r="G2704" t="str">
        <f>"08-802"</f>
        <v>08-802</v>
      </c>
      <c r="H2704" t="str">
        <f>"B"</f>
        <v>B</v>
      </c>
    </row>
    <row r="2705" spans="1:8" x14ac:dyDescent="0.2">
      <c r="A2705" t="str">
        <f t="shared" si="989"/>
        <v>0617071755</v>
      </c>
      <c r="B2705" t="str">
        <f t="shared" si="990"/>
        <v>KIA'LEE</v>
      </c>
      <c r="C2705" t="str">
        <f t="shared" si="991"/>
        <v>CARTER</v>
      </c>
      <c r="D2705" t="str">
        <f t="shared" si="992"/>
        <v>09</v>
      </c>
      <c r="E2705" t="str">
        <f>"01 - A - 101 - Tina L Lovett"</f>
        <v>01 - A - 101 - Tina L Lovett</v>
      </c>
      <c r="F2705" t="str">
        <f>"ALGEBRA 1"</f>
        <v>ALGEBRA 1</v>
      </c>
      <c r="G2705" t="str">
        <f>"21-2153"</f>
        <v>21-2153</v>
      </c>
      <c r="H2705" t="str">
        <f>"A"</f>
        <v>A</v>
      </c>
    </row>
    <row r="2706" spans="1:8" x14ac:dyDescent="0.2">
      <c r="A2706" t="str">
        <f t="shared" si="989"/>
        <v>0617071755</v>
      </c>
      <c r="B2706" t="str">
        <f t="shared" si="990"/>
        <v>KIA'LEE</v>
      </c>
      <c r="C2706" t="str">
        <f t="shared" si="991"/>
        <v>CARTER</v>
      </c>
      <c r="D2706" t="str">
        <f t="shared" si="992"/>
        <v>09</v>
      </c>
      <c r="E2706" t="str">
        <f>"08 - B - 108 - Adam Marcus  Drucker"</f>
        <v>08 - B - 108 - Adam Marcus  Drucker</v>
      </c>
      <c r="F2706" t="str">
        <f>"HOPE-PE V"</f>
        <v>HOPE-PE V</v>
      </c>
      <c r="G2706" t="str">
        <f>"04-254"</f>
        <v>04-254</v>
      </c>
      <c r="H2706" t="str">
        <f>"B"</f>
        <v>B</v>
      </c>
    </row>
    <row r="2707" spans="1:8" x14ac:dyDescent="0.2">
      <c r="A2707" t="str">
        <f t="shared" ref="A2707:A2714" si="993">"0613094921"</f>
        <v>0613094921</v>
      </c>
      <c r="B2707" t="str">
        <f t="shared" ref="B2707:B2714" si="994">"SHILOH"</f>
        <v>SHILOH</v>
      </c>
      <c r="C2707" t="str">
        <f t="shared" si="991"/>
        <v>CARTER</v>
      </c>
      <c r="D2707">
        <f>10</f>
        <v>10</v>
      </c>
      <c r="E2707" t="str">
        <f>"04 - A - 102 - Byron G Montenegro"</f>
        <v>04 - A - 102 - Byron G Montenegro</v>
      </c>
      <c r="F2707" t="str">
        <f>"AICE MARINE SCI 1 AS"</f>
        <v>AICE MARINE SCI 1 AS</v>
      </c>
      <c r="G2707" t="str">
        <f>"21-2144"</f>
        <v>21-2144</v>
      </c>
      <c r="H2707" t="str">
        <f>"A"</f>
        <v>A</v>
      </c>
    </row>
    <row r="2708" spans="1:8" x14ac:dyDescent="0.2">
      <c r="A2708" t="str">
        <f t="shared" si="993"/>
        <v>0613094921</v>
      </c>
      <c r="B2708" t="str">
        <f t="shared" si="994"/>
        <v>SHILOH</v>
      </c>
      <c r="C2708" t="str">
        <f t="shared" si="991"/>
        <v>CARTER</v>
      </c>
      <c r="D2708">
        <f>10</f>
        <v>10</v>
      </c>
      <c r="E2708" t="str">
        <f>"06 - B - 103 - Thomas G Handwerg"</f>
        <v>06 - B - 103 - Thomas G Handwerg</v>
      </c>
      <c r="F2708" t="str">
        <f>"NC STUDY HALL 1"</f>
        <v>NC STUDY HALL 1</v>
      </c>
      <c r="G2708" t="str">
        <f>"21-2146"</f>
        <v>21-2146</v>
      </c>
      <c r="H2708" t="str">
        <f>"B"</f>
        <v>B</v>
      </c>
    </row>
    <row r="2709" spans="1:8" x14ac:dyDescent="0.2">
      <c r="A2709" t="str">
        <f t="shared" si="993"/>
        <v>0613094921</v>
      </c>
      <c r="B2709" t="str">
        <f t="shared" si="994"/>
        <v>SHILOH</v>
      </c>
      <c r="C2709" t="str">
        <f t="shared" si="991"/>
        <v>CARTER</v>
      </c>
      <c r="D2709">
        <f>10</f>
        <v>10</v>
      </c>
      <c r="E2709" t="str">
        <f>"03 - A - 101 - Brian M Fitzgerald"</f>
        <v>03 - A - 101 - Brian M Fitzgerald</v>
      </c>
      <c r="F2709" t="str">
        <f>"SCULPT 1"</f>
        <v>SCULPT 1</v>
      </c>
      <c r="G2709" t="str">
        <f>"09-908"</f>
        <v>09-908</v>
      </c>
      <c r="H2709" t="str">
        <f>"A"</f>
        <v>A</v>
      </c>
    </row>
    <row r="2710" spans="1:8" x14ac:dyDescent="0.2">
      <c r="A2710" t="str">
        <f t="shared" si="993"/>
        <v>0613094921</v>
      </c>
      <c r="B2710" t="str">
        <f t="shared" si="994"/>
        <v>SHILOH</v>
      </c>
      <c r="C2710" t="str">
        <f t="shared" si="991"/>
        <v>CARTER</v>
      </c>
      <c r="D2710">
        <f>10</f>
        <v>10</v>
      </c>
      <c r="E2710" t="str">
        <f>"02 - A - 205 - Emmily A Sarmiento"</f>
        <v>02 - A - 205 - Emmily A Sarmiento</v>
      </c>
      <c r="F2710" t="str">
        <f>"AICE GLBL PERSP 1 AS"</f>
        <v>AICE GLBL PERSP 1 AS</v>
      </c>
      <c r="G2710" t="str">
        <f>"17-1743"</f>
        <v>17-1743</v>
      </c>
      <c r="H2710" t="str">
        <f>"A"</f>
        <v>A</v>
      </c>
    </row>
    <row r="2711" spans="1:8" x14ac:dyDescent="0.2">
      <c r="A2711" t="str">
        <f t="shared" si="993"/>
        <v>0613094921</v>
      </c>
      <c r="B2711" t="str">
        <f t="shared" si="994"/>
        <v>SHILOH</v>
      </c>
      <c r="C2711" t="str">
        <f t="shared" si="991"/>
        <v>CARTER</v>
      </c>
      <c r="D2711">
        <f>10</f>
        <v>10</v>
      </c>
      <c r="E2711" t="str">
        <f>"07 - B - 101 - Alejandro  Navarro"</f>
        <v>07 - B - 101 - Alejandro  Navarro</v>
      </c>
      <c r="F2711" t="str">
        <f>"EURHY 1"</f>
        <v>EURHY 1</v>
      </c>
      <c r="G2711" t="str">
        <f>"05-504"</f>
        <v>05-504</v>
      </c>
      <c r="H2711" t="str">
        <f>"B"</f>
        <v>B</v>
      </c>
    </row>
    <row r="2712" spans="1:8" x14ac:dyDescent="0.2">
      <c r="A2712" t="str">
        <f t="shared" si="993"/>
        <v>0613094921</v>
      </c>
      <c r="B2712" t="str">
        <f t="shared" si="994"/>
        <v>SHILOH</v>
      </c>
      <c r="C2712" t="str">
        <f t="shared" si="991"/>
        <v>CARTER</v>
      </c>
      <c r="D2712">
        <f>10</f>
        <v>10</v>
      </c>
      <c r="E2712" t="str">
        <f>"05 - B - 106 - Courtney E Hambright"</f>
        <v>05 - B - 106 - Courtney E Hambright</v>
      </c>
      <c r="F2712" t="str">
        <f>"AICE ENG LANG AS"</f>
        <v>AICE ENG LANG AS</v>
      </c>
      <c r="G2712" t="str">
        <f>"17-1711"</f>
        <v>17-1711</v>
      </c>
      <c r="H2712" t="str">
        <f>"B"</f>
        <v>B</v>
      </c>
    </row>
    <row r="2713" spans="1:8" x14ac:dyDescent="0.2">
      <c r="A2713" t="str">
        <f t="shared" si="993"/>
        <v>0613094921</v>
      </c>
      <c r="B2713" t="str">
        <f t="shared" si="994"/>
        <v>SHILOH</v>
      </c>
      <c r="C2713" t="str">
        <f t="shared" si="991"/>
        <v>CARTER</v>
      </c>
      <c r="D2713">
        <f>10</f>
        <v>10</v>
      </c>
      <c r="E2713" t="str">
        <f>"01 - A - 104 - Milca  Exantus"</f>
        <v>01 - A - 104 - Milca  Exantus</v>
      </c>
      <c r="F2713" t="str">
        <f>"MATH COLLEGE LIB ART"</f>
        <v>MATH COLLEGE LIB ART</v>
      </c>
      <c r="G2713" t="str">
        <f>"21-2145"</f>
        <v>21-2145</v>
      </c>
      <c r="H2713" t="str">
        <f>"A"</f>
        <v>A</v>
      </c>
    </row>
    <row r="2714" spans="1:8" x14ac:dyDescent="0.2">
      <c r="A2714" t="str">
        <f t="shared" si="993"/>
        <v>0613094921</v>
      </c>
      <c r="B2714" t="str">
        <f t="shared" si="994"/>
        <v>SHILOH</v>
      </c>
      <c r="C2714" t="str">
        <f t="shared" si="991"/>
        <v>CARTER</v>
      </c>
      <c r="D2714">
        <f>10</f>
        <v>10</v>
      </c>
      <c r="E2714" t="str">
        <f>"08 - S1 - B - 102 - Kyle  Robbins"</f>
        <v>08 - S1 - B - 102 - Kyle  Robbins</v>
      </c>
      <c r="F2714" t="str">
        <f>"PERS FIN &amp; MON MGT H"</f>
        <v>PERS FIN &amp; MON MGT H</v>
      </c>
      <c r="G2714" t="str">
        <f>"17-1745"</f>
        <v>17-1745</v>
      </c>
      <c r="H2714" t="str">
        <f>"B"</f>
        <v>B</v>
      </c>
    </row>
    <row r="2715" spans="1:8" x14ac:dyDescent="0.2">
      <c r="A2715" t="str">
        <f t="shared" ref="A2715:A2722" si="995">"0624023595"</f>
        <v>0624023595</v>
      </c>
      <c r="B2715" t="str">
        <f t="shared" ref="B2715:B2722" si="996">"MYA"</f>
        <v>MYA</v>
      </c>
      <c r="C2715" t="str">
        <f t="shared" ref="C2715:C2722" si="997">"CARTLIDGE"</f>
        <v>CARTLIDGE</v>
      </c>
      <c r="D2715" t="str">
        <f t="shared" ref="D2715:D2730" si="998">"09"</f>
        <v>09</v>
      </c>
      <c r="E2715" t="str">
        <f>"04 - A - 103 - Lenecy  Nodarse"</f>
        <v>04 - A - 103 - Lenecy  Nodarse</v>
      </c>
      <c r="F2715" t="str">
        <f>"WORLD HISTORY"</f>
        <v>WORLD HISTORY</v>
      </c>
      <c r="G2715" t="str">
        <f>"17-1741"</f>
        <v>17-1741</v>
      </c>
      <c r="H2715" t="str">
        <f>"A"</f>
        <v>A</v>
      </c>
    </row>
    <row r="2716" spans="1:8" x14ac:dyDescent="0.2">
      <c r="A2716" t="str">
        <f t="shared" si="995"/>
        <v>0624023595</v>
      </c>
      <c r="B2716" t="str">
        <f t="shared" si="996"/>
        <v>MYA</v>
      </c>
      <c r="C2716" t="str">
        <f t="shared" si="997"/>
        <v>CARTLIDGE</v>
      </c>
      <c r="D2716" t="str">
        <f t="shared" si="998"/>
        <v>09</v>
      </c>
      <c r="E2716" t="str">
        <f>"06 - B - 104 - Laselleda D Shaw"</f>
        <v>06 - B - 104 - Laselleda D Shaw</v>
      </c>
      <c r="F2716" t="str">
        <f>"INTENS READ 1"</f>
        <v>INTENS READ 1</v>
      </c>
      <c r="G2716" t="str">
        <f>"17-1723"</f>
        <v>17-1723</v>
      </c>
      <c r="H2716" t="str">
        <f>"B"</f>
        <v>B</v>
      </c>
    </row>
    <row r="2717" spans="1:8" x14ac:dyDescent="0.2">
      <c r="A2717" t="str">
        <f t="shared" si="995"/>
        <v>0624023595</v>
      </c>
      <c r="B2717" t="str">
        <f t="shared" si="996"/>
        <v>MYA</v>
      </c>
      <c r="C2717" t="str">
        <f t="shared" si="997"/>
        <v>CARTLIDGE</v>
      </c>
      <c r="D2717" t="str">
        <f t="shared" si="998"/>
        <v>09</v>
      </c>
      <c r="E2717" t="str">
        <f>"03 - S1 - A - 102 - Angela S Adeshina-Morrison"</f>
        <v>03 - S1 - A - 102 - Angela S Adeshina-Morrison</v>
      </c>
      <c r="F2717" t="str">
        <f>"PEER COUN 1"</f>
        <v>PEER COUN 1</v>
      </c>
      <c r="G2717" t="str">
        <f>"05-518"</f>
        <v>05-518</v>
      </c>
      <c r="H2717" t="str">
        <f>"A"</f>
        <v>A</v>
      </c>
    </row>
    <row r="2718" spans="1:8" x14ac:dyDescent="0.2">
      <c r="A2718" t="str">
        <f t="shared" si="995"/>
        <v>0624023595</v>
      </c>
      <c r="B2718" t="str">
        <f t="shared" si="996"/>
        <v>MYA</v>
      </c>
      <c r="C2718" t="str">
        <f t="shared" si="997"/>
        <v>CARTLIDGE</v>
      </c>
      <c r="D2718" t="str">
        <f t="shared" si="998"/>
        <v>09</v>
      </c>
      <c r="E2718" t="str">
        <f>"02 - A - 103 - Angela S Adeshina-Morrison"</f>
        <v>02 - A - 103 - Angela S Adeshina-Morrison</v>
      </c>
      <c r="F2718" t="str">
        <f>"NC STUDY HALL 1"</f>
        <v>NC STUDY HALL 1</v>
      </c>
      <c r="G2718" t="str">
        <f>"05-518"</f>
        <v>05-518</v>
      </c>
      <c r="H2718" t="str">
        <f>"A"</f>
        <v>A</v>
      </c>
    </row>
    <row r="2719" spans="1:8" x14ac:dyDescent="0.2">
      <c r="A2719" t="str">
        <f t="shared" si="995"/>
        <v>0624023595</v>
      </c>
      <c r="B2719" t="str">
        <f t="shared" si="996"/>
        <v>MYA</v>
      </c>
      <c r="C2719" t="str">
        <f t="shared" si="997"/>
        <v>CARTLIDGE</v>
      </c>
      <c r="D2719" t="str">
        <f t="shared" si="998"/>
        <v>09</v>
      </c>
      <c r="E2719" t="str">
        <f>"07 - B - 106 - Dayna M Foster"</f>
        <v>07 - B - 106 - Dayna M Foster</v>
      </c>
      <c r="F2719" t="str">
        <f>"FDN SKLS MATH 9-12"</f>
        <v>FDN SKLS MATH 9-12</v>
      </c>
      <c r="G2719" t="str">
        <f>"21-2109"</f>
        <v>21-2109</v>
      </c>
      <c r="H2719" t="str">
        <f>"B"</f>
        <v>B</v>
      </c>
    </row>
    <row r="2720" spans="1:8" x14ac:dyDescent="0.2">
      <c r="A2720" t="str">
        <f t="shared" si="995"/>
        <v>0624023595</v>
      </c>
      <c r="B2720" t="str">
        <f t="shared" si="996"/>
        <v>MYA</v>
      </c>
      <c r="C2720" t="str">
        <f t="shared" si="997"/>
        <v>CARTLIDGE</v>
      </c>
      <c r="D2720" t="str">
        <f t="shared" si="998"/>
        <v>09</v>
      </c>
      <c r="E2720" t="str">
        <f>"05 - B - 104 - Cerine S Stewart"</f>
        <v>05 - B - 104 - Cerine S Stewart</v>
      </c>
      <c r="F2720" t="str">
        <f>"ENG 1"</f>
        <v>ENG 1</v>
      </c>
      <c r="G2720" t="str">
        <f>"17-1720"</f>
        <v>17-1720</v>
      </c>
      <c r="H2720" t="str">
        <f>"B"</f>
        <v>B</v>
      </c>
    </row>
    <row r="2721" spans="1:8" x14ac:dyDescent="0.2">
      <c r="A2721" t="str">
        <f t="shared" si="995"/>
        <v>0624023595</v>
      </c>
      <c r="B2721" t="str">
        <f t="shared" si="996"/>
        <v>MYA</v>
      </c>
      <c r="C2721" t="str">
        <f t="shared" si="997"/>
        <v>CARTLIDGE</v>
      </c>
      <c r="D2721" t="str">
        <f t="shared" si="998"/>
        <v>09</v>
      </c>
      <c r="E2721" t="str">
        <f>"01 - A - 108 - Dayna M Foster"</f>
        <v>01 - A - 108 - Dayna M Foster</v>
      </c>
      <c r="F2721" t="str">
        <f>"ALGEBRA 1"</f>
        <v>ALGEBRA 1</v>
      </c>
      <c r="G2721" t="str">
        <f>"21-2109"</f>
        <v>21-2109</v>
      </c>
      <c r="H2721" t="str">
        <f>"A"</f>
        <v>A</v>
      </c>
    </row>
    <row r="2722" spans="1:8" x14ac:dyDescent="0.2">
      <c r="A2722" t="str">
        <f t="shared" si="995"/>
        <v>0624023595</v>
      </c>
      <c r="B2722" t="str">
        <f t="shared" si="996"/>
        <v>MYA</v>
      </c>
      <c r="C2722" t="str">
        <f t="shared" si="997"/>
        <v>CARTLIDGE</v>
      </c>
      <c r="D2722" t="str">
        <f t="shared" si="998"/>
        <v>09</v>
      </c>
      <c r="E2722" t="str">
        <f>"08 - B - 105 - Samantha J Headley"</f>
        <v>08 - B - 105 - Samantha J Headley</v>
      </c>
      <c r="F2722" t="str">
        <f>"ENV SCI"</f>
        <v>ENV SCI</v>
      </c>
      <c r="G2722" t="str">
        <f>"08-802"</f>
        <v>08-802</v>
      </c>
      <c r="H2722" t="str">
        <f>"B"</f>
        <v>B</v>
      </c>
    </row>
    <row r="2723" spans="1:8" x14ac:dyDescent="0.2">
      <c r="A2723" t="str">
        <f t="shared" ref="A2723:A2730" si="999">"0616147676"</f>
        <v>0616147676</v>
      </c>
      <c r="B2723" t="str">
        <f t="shared" ref="B2723:B2730" si="1000">"BRYAN"</f>
        <v>BRYAN</v>
      </c>
      <c r="C2723" t="str">
        <f t="shared" ref="C2723:C2730" si="1001">"CASAS BERMUDEZ"</f>
        <v>CASAS BERMUDEZ</v>
      </c>
      <c r="D2723" t="str">
        <f t="shared" si="998"/>
        <v>09</v>
      </c>
      <c r="E2723" t="str">
        <f>"04 - A - 102 - Elizabeth R Walker"</f>
        <v>04 - A - 102 - Elizabeth R Walker</v>
      </c>
      <c r="F2723" t="str">
        <f>"AICE ENG GEN PAPER 1"</f>
        <v>AICE ENG GEN PAPER 1</v>
      </c>
      <c r="G2723" t="str">
        <f>"17-1703"</f>
        <v>17-1703</v>
      </c>
      <c r="H2723" t="str">
        <f>"A"</f>
        <v>A</v>
      </c>
    </row>
    <row r="2724" spans="1:8" x14ac:dyDescent="0.2">
      <c r="A2724" t="str">
        <f t="shared" si="999"/>
        <v>0616147676</v>
      </c>
      <c r="B2724" t="str">
        <f t="shared" si="1000"/>
        <v>BRYAN</v>
      </c>
      <c r="C2724" t="str">
        <f t="shared" si="1001"/>
        <v>CASAS BERMUDEZ</v>
      </c>
      <c r="D2724" t="str">
        <f t="shared" si="998"/>
        <v>09</v>
      </c>
      <c r="E2724" t="str">
        <f>"06 - B - 110 - Krystal Marie  Beruty"</f>
        <v>06 - B - 110 - Krystal Marie  Beruty</v>
      </c>
      <c r="F2724" t="str">
        <f>"AICE GLBL PERSP 1 AS"</f>
        <v>AICE GLBL PERSP 1 AS</v>
      </c>
      <c r="G2724" t="str">
        <f>"17-1721"</f>
        <v>17-1721</v>
      </c>
      <c r="H2724" t="str">
        <f>"B"</f>
        <v>B</v>
      </c>
    </row>
    <row r="2725" spans="1:8" x14ac:dyDescent="0.2">
      <c r="A2725" t="str">
        <f t="shared" si="999"/>
        <v>0616147676</v>
      </c>
      <c r="B2725" t="str">
        <f t="shared" si="1000"/>
        <v>BRYAN</v>
      </c>
      <c r="C2725" t="str">
        <f t="shared" si="1001"/>
        <v>CASAS BERMUDEZ</v>
      </c>
      <c r="D2725" t="str">
        <f t="shared" si="998"/>
        <v>09</v>
      </c>
      <c r="E2725" t="str">
        <f>"03 - S1 - A - 103 - Richard E Dunbar Iii"</f>
        <v>03 - S1 - A - 103 - Richard E Dunbar Iii</v>
      </c>
      <c r="F2725" t="str">
        <f>"WEIGHT TRAIN 1"</f>
        <v>WEIGHT TRAIN 1</v>
      </c>
      <c r="G2725" t="str">
        <f>"05-501"</f>
        <v>05-501</v>
      </c>
      <c r="H2725" t="str">
        <f>"A"</f>
        <v>A</v>
      </c>
    </row>
    <row r="2726" spans="1:8" x14ac:dyDescent="0.2">
      <c r="A2726" t="str">
        <f t="shared" si="999"/>
        <v>0616147676</v>
      </c>
      <c r="B2726" t="str">
        <f t="shared" si="1000"/>
        <v>BRYAN</v>
      </c>
      <c r="C2726" t="str">
        <f t="shared" si="1001"/>
        <v>CASAS BERMUDEZ</v>
      </c>
      <c r="D2726" t="str">
        <f t="shared" si="998"/>
        <v>09</v>
      </c>
      <c r="E2726" t="str">
        <f>"02 - A - 103 - Arthur  Kulawik"</f>
        <v>02 - A - 103 - Arthur  Kulawik</v>
      </c>
      <c r="F2726" t="str">
        <f>"NC STUDY HALL 1"</f>
        <v>NC STUDY HALL 1</v>
      </c>
      <c r="G2726" t="str">
        <f>"05-506"</f>
        <v>05-506</v>
      </c>
      <c r="H2726" t="str">
        <f>"A"</f>
        <v>A</v>
      </c>
    </row>
    <row r="2727" spans="1:8" x14ac:dyDescent="0.2">
      <c r="A2727" t="str">
        <f t="shared" si="999"/>
        <v>0616147676</v>
      </c>
      <c r="B2727" t="str">
        <f t="shared" si="1000"/>
        <v>BRYAN</v>
      </c>
      <c r="C2727" t="str">
        <f t="shared" si="1001"/>
        <v>CASAS BERMUDEZ</v>
      </c>
      <c r="D2727" t="str">
        <f t="shared" si="998"/>
        <v>09</v>
      </c>
      <c r="E2727" t="str">
        <f>"07 - B - 206 - Cheryl L Beach"</f>
        <v>07 - B - 206 - Cheryl L Beach</v>
      </c>
      <c r="F2727" t="str">
        <f>"AICE ENV MGMNT AS"</f>
        <v>AICE ENV MGMNT AS</v>
      </c>
      <c r="G2727" t="str">
        <f>"08-811"</f>
        <v>08-811</v>
      </c>
      <c r="H2727" t="str">
        <f>"B"</f>
        <v>B</v>
      </c>
    </row>
    <row r="2728" spans="1:8" x14ac:dyDescent="0.2">
      <c r="A2728" t="str">
        <f t="shared" si="999"/>
        <v>0616147676</v>
      </c>
      <c r="B2728" t="str">
        <f t="shared" si="1000"/>
        <v>BRYAN</v>
      </c>
      <c r="C2728" t="str">
        <f t="shared" si="1001"/>
        <v>CASAS BERMUDEZ</v>
      </c>
      <c r="D2728" t="str">
        <f t="shared" si="998"/>
        <v>09</v>
      </c>
      <c r="E2728" t="str">
        <f>"05 - B - 105 - Marius D Orsolini"</f>
        <v>05 - B - 105 - Marius D Orsolini</v>
      </c>
      <c r="F2728" t="str">
        <f>"CULINARY ARTS 1"</f>
        <v>CULINARY ARTS 1</v>
      </c>
      <c r="G2728" t="str">
        <f>"21-2115"</f>
        <v>21-2115</v>
      </c>
      <c r="H2728" t="str">
        <f>"B"</f>
        <v>B</v>
      </c>
    </row>
    <row r="2729" spans="1:8" x14ac:dyDescent="0.2">
      <c r="A2729" t="str">
        <f t="shared" si="999"/>
        <v>0616147676</v>
      </c>
      <c r="B2729" t="str">
        <f t="shared" si="1000"/>
        <v>BRYAN</v>
      </c>
      <c r="C2729" t="str">
        <f t="shared" si="1001"/>
        <v>CASAS BERMUDEZ</v>
      </c>
      <c r="D2729" t="str">
        <f t="shared" si="998"/>
        <v>09</v>
      </c>
      <c r="E2729" t="str">
        <f>"01 - A - 101 - Angela S Adeshina-Morrison"</f>
        <v>01 - A - 101 - Angela S Adeshina-Morrison</v>
      </c>
      <c r="F2729" t="str">
        <f>"MARKETING ESSENTIALS"</f>
        <v>MARKETING ESSENTIALS</v>
      </c>
      <c r="G2729" t="str">
        <f>"05-518"</f>
        <v>05-518</v>
      </c>
      <c r="H2729" t="str">
        <f>"A"</f>
        <v>A</v>
      </c>
    </row>
    <row r="2730" spans="1:8" x14ac:dyDescent="0.2">
      <c r="A2730" t="str">
        <f t="shared" si="999"/>
        <v>0616147676</v>
      </c>
      <c r="B2730" t="str">
        <f t="shared" si="1000"/>
        <v>BRYAN</v>
      </c>
      <c r="C2730" t="str">
        <f t="shared" si="1001"/>
        <v>CASAS BERMUDEZ</v>
      </c>
      <c r="D2730" t="str">
        <f t="shared" si="998"/>
        <v>09</v>
      </c>
      <c r="E2730" t="str">
        <f>"08 - B - 102 - Maried P Ramos"</f>
        <v>08 - B - 102 - Maried P Ramos</v>
      </c>
      <c r="F2730" t="str">
        <f>"ALGEBRA 2 HON"</f>
        <v>ALGEBRA 2 HON</v>
      </c>
      <c r="G2730" t="str">
        <f>"21-2159"</f>
        <v>21-2159</v>
      </c>
      <c r="H2730" t="str">
        <f>"B"</f>
        <v>B</v>
      </c>
    </row>
    <row r="2731" spans="1:8" x14ac:dyDescent="0.2">
      <c r="A2731" t="str">
        <f t="shared" ref="A2731:A2738" si="1002">"0617068842"</f>
        <v>0617068842</v>
      </c>
      <c r="B2731" t="str">
        <f t="shared" ref="B2731:B2738" si="1003">"ASHLEY"</f>
        <v>ASHLEY</v>
      </c>
      <c r="C2731" t="str">
        <f t="shared" ref="C2731:C2738" si="1004">"CASAS GUZMAN"</f>
        <v>CASAS GUZMAN</v>
      </c>
      <c r="D2731">
        <f>11</f>
        <v>11</v>
      </c>
      <c r="E2731" t="str">
        <f>"04 - A - 205 - Jacqueline R Morphet"</f>
        <v>04 - A - 205 - Jacqueline R Morphet</v>
      </c>
      <c r="F2731" t="str">
        <f>"PHYSICS 1 HON"</f>
        <v>PHYSICS 1 HON</v>
      </c>
      <c r="G2731" t="str">
        <f>"21-2138"</f>
        <v>21-2138</v>
      </c>
      <c r="H2731" t="str">
        <f>"A"</f>
        <v>A</v>
      </c>
    </row>
    <row r="2732" spans="1:8" x14ac:dyDescent="0.2">
      <c r="A2732" t="str">
        <f t="shared" si="1002"/>
        <v>0617068842</v>
      </c>
      <c r="B2732" t="str">
        <f t="shared" si="1003"/>
        <v>ASHLEY</v>
      </c>
      <c r="C2732" t="str">
        <f t="shared" si="1004"/>
        <v>CASAS GUZMAN</v>
      </c>
      <c r="D2732">
        <f>11</f>
        <v>11</v>
      </c>
      <c r="E2732" t="str">
        <f>"06 - B - 001 - Lourivaldo  Da Silva"</f>
        <v>06 - B - 001 - Lourivaldo  Da Silva</v>
      </c>
      <c r="F2732" t="str">
        <f>"PRE-CALCULUS HON"</f>
        <v>PRE-CALCULUS HON</v>
      </c>
      <c r="G2732" t="str">
        <f>"20-2079"</f>
        <v>20-2079</v>
      </c>
      <c r="H2732" t="str">
        <f>"B"</f>
        <v>B</v>
      </c>
    </row>
    <row r="2733" spans="1:8" x14ac:dyDescent="0.2">
      <c r="A2733" t="str">
        <f t="shared" si="1002"/>
        <v>0617068842</v>
      </c>
      <c r="B2733" t="str">
        <f t="shared" si="1003"/>
        <v>ASHLEY</v>
      </c>
      <c r="C2733" t="str">
        <f t="shared" si="1004"/>
        <v>CASAS GUZMAN</v>
      </c>
      <c r="D2733">
        <f>11</f>
        <v>11</v>
      </c>
      <c r="E2733" t="str">
        <f>"03 - A - 101 - Rosa Elaine  Collado-Duff"</f>
        <v>03 - A - 101 - Rosa Elaine  Collado-Duff</v>
      </c>
      <c r="F2733" t="str">
        <f>"SPANISH 3 HON"</f>
        <v>SPANISH 3 HON</v>
      </c>
      <c r="G2733" t="str">
        <f>"09-913"</f>
        <v>09-913</v>
      </c>
      <c r="H2733" t="str">
        <f>"A"</f>
        <v>A</v>
      </c>
    </row>
    <row r="2734" spans="1:8" x14ac:dyDescent="0.2">
      <c r="A2734" t="str">
        <f t="shared" si="1002"/>
        <v>0617068842</v>
      </c>
      <c r="B2734" t="str">
        <f t="shared" si="1003"/>
        <v>ASHLEY</v>
      </c>
      <c r="C2734" t="str">
        <f t="shared" si="1004"/>
        <v>CASAS GUZMAN</v>
      </c>
      <c r="D2734">
        <f>11</f>
        <v>11</v>
      </c>
      <c r="E2734" t="str">
        <f>"02 - A - 104 - Dayna M Foster"</f>
        <v>02 - A - 104 - Dayna M Foster</v>
      </c>
      <c r="F2734" t="str">
        <f>"NC STUDY HALL 1"</f>
        <v>NC STUDY HALL 1</v>
      </c>
      <c r="G2734" t="str">
        <f>"21-2109"</f>
        <v>21-2109</v>
      </c>
      <c r="H2734" t="str">
        <f>"A"</f>
        <v>A</v>
      </c>
    </row>
    <row r="2735" spans="1:8" x14ac:dyDescent="0.2">
      <c r="A2735" t="str">
        <f t="shared" si="1002"/>
        <v>0617068842</v>
      </c>
      <c r="B2735" t="str">
        <f t="shared" si="1003"/>
        <v>ASHLEY</v>
      </c>
      <c r="C2735" t="str">
        <f t="shared" si="1004"/>
        <v>CASAS GUZMAN</v>
      </c>
      <c r="D2735">
        <f>11</f>
        <v>11</v>
      </c>
      <c r="E2735" t="str">
        <f>"07 - B - 108 - Lauren N Logan"</f>
        <v>07 - B - 108 - Lauren N Logan</v>
      </c>
      <c r="F2735" t="str">
        <f>"US HISTORY"</f>
        <v>US HISTORY</v>
      </c>
      <c r="G2735" t="str">
        <f>"17-1745"</f>
        <v>17-1745</v>
      </c>
      <c r="H2735" t="str">
        <f>"B"</f>
        <v>B</v>
      </c>
    </row>
    <row r="2736" spans="1:8" x14ac:dyDescent="0.2">
      <c r="A2736" t="str">
        <f t="shared" si="1002"/>
        <v>0617068842</v>
      </c>
      <c r="B2736" t="str">
        <f t="shared" si="1003"/>
        <v>ASHLEY</v>
      </c>
      <c r="C2736" t="str">
        <f t="shared" si="1004"/>
        <v>CASAS GUZMAN</v>
      </c>
      <c r="D2736">
        <f>11</f>
        <v>11</v>
      </c>
      <c r="E2736" t="str">
        <f>"05 - B - 105 - Adam Marcus  Drucker"</f>
        <v>05 - B - 105 - Adam Marcus  Drucker</v>
      </c>
      <c r="F2736" t="str">
        <f>"HOPE-PE V"</f>
        <v>HOPE-PE V</v>
      </c>
      <c r="G2736" t="str">
        <f>"04-254"</f>
        <v>04-254</v>
      </c>
      <c r="H2736" t="str">
        <f>"B"</f>
        <v>B</v>
      </c>
    </row>
    <row r="2737" spans="1:8" x14ac:dyDescent="0.2">
      <c r="A2737" t="str">
        <f t="shared" si="1002"/>
        <v>0617068842</v>
      </c>
      <c r="B2737" t="str">
        <f t="shared" si="1003"/>
        <v>ASHLEY</v>
      </c>
      <c r="C2737" t="str">
        <f t="shared" si="1004"/>
        <v>CASAS GUZMAN</v>
      </c>
      <c r="D2737">
        <f>11</f>
        <v>11</v>
      </c>
      <c r="E2737" t="str">
        <f>"01 - A - 101 - Lisa  Quinn"</f>
        <v>01 - A - 101 - Lisa  Quinn</v>
      </c>
      <c r="F2737" t="str">
        <f>"ENG 3"</f>
        <v>ENG 3</v>
      </c>
      <c r="G2737" t="str">
        <f>"17-1725"</f>
        <v>17-1725</v>
      </c>
      <c r="H2737" t="str">
        <f>"A"</f>
        <v>A</v>
      </c>
    </row>
    <row r="2738" spans="1:8" x14ac:dyDescent="0.2">
      <c r="A2738" t="str">
        <f t="shared" si="1002"/>
        <v>0617068842</v>
      </c>
      <c r="B2738" t="str">
        <f t="shared" si="1003"/>
        <v>ASHLEY</v>
      </c>
      <c r="C2738" t="str">
        <f t="shared" si="1004"/>
        <v>CASAS GUZMAN</v>
      </c>
      <c r="D2738">
        <f>11</f>
        <v>11</v>
      </c>
      <c r="E2738" t="str">
        <f>"08 - B - 101 - Staci M Newton"</f>
        <v>08 - B - 101 - Staci M Newton</v>
      </c>
      <c r="F2738" t="str">
        <f>"PEER/PARTNERS LRN LH"</f>
        <v>PEER/PARTNERS LRN LH</v>
      </c>
      <c r="G2738" t="str">
        <f>"21-2103"</f>
        <v>21-2103</v>
      </c>
      <c r="H2738" t="str">
        <f>"B"</f>
        <v>B</v>
      </c>
    </row>
    <row r="2739" spans="1:8" x14ac:dyDescent="0.2">
      <c r="A2739" t="str">
        <f t="shared" ref="A2739:A2746" si="1005">"0614001419"</f>
        <v>0614001419</v>
      </c>
      <c r="B2739" t="str">
        <f t="shared" ref="B2739:B2746" si="1006">"HAILEY"</f>
        <v>HAILEY</v>
      </c>
      <c r="C2739" t="str">
        <f t="shared" ref="C2739:C2746" si="1007">"CASELLA"</f>
        <v>CASELLA</v>
      </c>
      <c r="D2739">
        <f>12</f>
        <v>12</v>
      </c>
      <c r="E2739" t="str">
        <f>"04 - S1 - A - 101 - Barbara L Segal"</f>
        <v>04 - S1 - A - 101 - Barbara L Segal</v>
      </c>
      <c r="F2739" t="str">
        <f>"AP US GOVT/POL"</f>
        <v>AP US GOVT/POL</v>
      </c>
      <c r="G2739" t="str">
        <f>"17-1742"</f>
        <v>17-1742</v>
      </c>
      <c r="H2739" t="str">
        <f>"A"</f>
        <v>A</v>
      </c>
    </row>
    <row r="2740" spans="1:8" x14ac:dyDescent="0.2">
      <c r="A2740" t="str">
        <f t="shared" si="1005"/>
        <v>0614001419</v>
      </c>
      <c r="B2740" t="str">
        <f t="shared" si="1006"/>
        <v>HAILEY</v>
      </c>
      <c r="C2740" t="str">
        <f t="shared" si="1007"/>
        <v>CASELLA</v>
      </c>
      <c r="D2740">
        <f>12</f>
        <v>12</v>
      </c>
      <c r="E2740" t="str">
        <f>"06 - B - 109 - Carol S Moore"</f>
        <v>06 - B - 109 - Carol S Moore</v>
      </c>
      <c r="F2740" t="str">
        <f>"NC STUDY HALL 1"</f>
        <v>NC STUDY HALL 1</v>
      </c>
      <c r="G2740" t="str">
        <f>"17-1733"</f>
        <v>17-1733</v>
      </c>
      <c r="H2740" t="str">
        <f>"B"</f>
        <v>B</v>
      </c>
    </row>
    <row r="2741" spans="1:8" x14ac:dyDescent="0.2">
      <c r="A2741" t="str">
        <f t="shared" si="1005"/>
        <v>0614001419</v>
      </c>
      <c r="B2741" t="str">
        <f t="shared" si="1006"/>
        <v>HAILEY</v>
      </c>
      <c r="C2741" t="str">
        <f t="shared" si="1007"/>
        <v>CASELLA</v>
      </c>
      <c r="D2741">
        <f>12</f>
        <v>12</v>
      </c>
      <c r="E2741" t="str">
        <f>"03 - A - 101 - Carleigh R Carmichael"</f>
        <v>03 - A - 101 - Carleigh R Carmichael</v>
      </c>
      <c r="F2741" t="str">
        <f>"LEAD TECHQS HONORS"</f>
        <v>LEAD TECHQS HONORS</v>
      </c>
      <c r="G2741" t="str">
        <f>"20-2072"</f>
        <v>20-2072</v>
      </c>
      <c r="H2741" t="str">
        <f>"A"</f>
        <v>A</v>
      </c>
    </row>
    <row r="2742" spans="1:8" x14ac:dyDescent="0.2">
      <c r="A2742" t="str">
        <f t="shared" si="1005"/>
        <v>0614001419</v>
      </c>
      <c r="B2742" t="str">
        <f t="shared" si="1006"/>
        <v>HAILEY</v>
      </c>
      <c r="C2742" t="str">
        <f t="shared" si="1007"/>
        <v>CASELLA</v>
      </c>
      <c r="D2742">
        <f>12</f>
        <v>12</v>
      </c>
      <c r="E2742" t="str">
        <f>"02 - A - 102 - Marielle A Witting"</f>
        <v>02 - A - 102 - Marielle A Witting</v>
      </c>
      <c r="F2742" t="str">
        <f>"AP BIO"</f>
        <v>AP BIO</v>
      </c>
      <c r="G2742" t="str">
        <f>"08-805"</f>
        <v>08-805</v>
      </c>
      <c r="H2742" t="str">
        <f>"A"</f>
        <v>A</v>
      </c>
    </row>
    <row r="2743" spans="1:8" x14ac:dyDescent="0.2">
      <c r="A2743" t="str">
        <f t="shared" si="1005"/>
        <v>0614001419</v>
      </c>
      <c r="B2743" t="str">
        <f t="shared" si="1006"/>
        <v>HAILEY</v>
      </c>
      <c r="C2743" t="str">
        <f t="shared" si="1007"/>
        <v>CASELLA</v>
      </c>
      <c r="D2743">
        <f>12</f>
        <v>12</v>
      </c>
      <c r="E2743" t="str">
        <f>"07 - B - 002 - Rachel M Montrose"</f>
        <v>07 - B - 002 - Rachel M Montrose</v>
      </c>
      <c r="F2743" t="str">
        <f>"JOURN 1 (NP) LH"</f>
        <v>JOURN 1 (NP) LH</v>
      </c>
      <c r="G2743" t="str">
        <f>"05-521"</f>
        <v>05-521</v>
      </c>
      <c r="H2743" t="str">
        <f>"B"</f>
        <v>B</v>
      </c>
    </row>
    <row r="2744" spans="1:8" x14ac:dyDescent="0.2">
      <c r="A2744" t="str">
        <f t="shared" si="1005"/>
        <v>0614001419</v>
      </c>
      <c r="B2744" t="str">
        <f t="shared" si="1006"/>
        <v>HAILEY</v>
      </c>
      <c r="C2744" t="str">
        <f t="shared" si="1007"/>
        <v>CASELLA</v>
      </c>
      <c r="D2744">
        <f>12</f>
        <v>12</v>
      </c>
      <c r="E2744" t="str">
        <f>"05 - B - 104 - Lourivaldo  Da Silva"</f>
        <v>05 - B - 104 - Lourivaldo  Da Silva</v>
      </c>
      <c r="F2744" t="str">
        <f>"PRE-CALCULUS HON"</f>
        <v>PRE-CALCULUS HON</v>
      </c>
      <c r="G2744" t="str">
        <f>"20-2079"</f>
        <v>20-2079</v>
      </c>
      <c r="H2744" t="str">
        <f>"B"</f>
        <v>B</v>
      </c>
    </row>
    <row r="2745" spans="1:8" x14ac:dyDescent="0.2">
      <c r="A2745" t="str">
        <f t="shared" si="1005"/>
        <v>0614001419</v>
      </c>
      <c r="B2745" t="str">
        <f t="shared" si="1006"/>
        <v>HAILEY</v>
      </c>
      <c r="C2745" t="str">
        <f t="shared" si="1007"/>
        <v>CASELLA</v>
      </c>
      <c r="D2745">
        <f>12</f>
        <v>12</v>
      </c>
      <c r="E2745" t="str">
        <f>"01 - A - 101 - Kelly N Panza"</f>
        <v>01 - A - 101 - Kelly N Panza</v>
      </c>
      <c r="F2745" t="str">
        <f>"AP HUMAN GEOG"</f>
        <v>AP HUMAN GEOG</v>
      </c>
      <c r="G2745" t="str">
        <f>"17-1753"</f>
        <v>17-1753</v>
      </c>
      <c r="H2745" t="str">
        <f>"A"</f>
        <v>A</v>
      </c>
    </row>
    <row r="2746" spans="1:8" x14ac:dyDescent="0.2">
      <c r="A2746" t="str">
        <f t="shared" si="1005"/>
        <v>0614001419</v>
      </c>
      <c r="B2746" t="str">
        <f t="shared" si="1006"/>
        <v>HAILEY</v>
      </c>
      <c r="C2746" t="str">
        <f t="shared" si="1007"/>
        <v>CASELLA</v>
      </c>
      <c r="D2746">
        <f>12</f>
        <v>12</v>
      </c>
      <c r="E2746" t="str">
        <f>"08 - B - 203 - Courtney E Hambright"</f>
        <v>08 - B - 203 - Courtney E Hambright</v>
      </c>
      <c r="F2746" t="str">
        <f>"AP ENG LIT COMPO"</f>
        <v>AP ENG LIT COMPO</v>
      </c>
      <c r="G2746" t="str">
        <f>"17-1711"</f>
        <v>17-1711</v>
      </c>
      <c r="H2746" t="str">
        <f>"B"</f>
        <v>B</v>
      </c>
    </row>
    <row r="2747" spans="1:8" x14ac:dyDescent="0.2">
      <c r="A2747" t="str">
        <f t="shared" ref="A2747:A2754" si="1008">"0622070621"</f>
        <v>0622070621</v>
      </c>
      <c r="B2747" t="str">
        <f t="shared" ref="B2747:B2754" si="1009">"JULIAN"</f>
        <v>JULIAN</v>
      </c>
      <c r="C2747" t="str">
        <f t="shared" ref="C2747:C2754" si="1010">"CASELLI"</f>
        <v>CASELLI</v>
      </c>
      <c r="D2747">
        <f>12</f>
        <v>12</v>
      </c>
      <c r="E2747" t="str">
        <f>"04 - S1 - A - 101 - Barbara L Segal"</f>
        <v>04 - S1 - A - 101 - Barbara L Segal</v>
      </c>
      <c r="F2747" t="str">
        <f>"AP US GOVT/POL"</f>
        <v>AP US GOVT/POL</v>
      </c>
      <c r="G2747" t="str">
        <f>"17-1742"</f>
        <v>17-1742</v>
      </c>
      <c r="H2747" t="str">
        <f>"A"</f>
        <v>A</v>
      </c>
    </row>
    <row r="2748" spans="1:8" x14ac:dyDescent="0.2">
      <c r="A2748" t="str">
        <f t="shared" si="1008"/>
        <v>0622070621</v>
      </c>
      <c r="B2748" t="str">
        <f t="shared" si="1009"/>
        <v>JULIAN</v>
      </c>
      <c r="C2748" t="str">
        <f t="shared" si="1010"/>
        <v>CASELLI</v>
      </c>
      <c r="D2748">
        <f>12</f>
        <v>12</v>
      </c>
      <c r="E2748" t="str">
        <f>"06 - B - 111 - James H Mccann"</f>
        <v>06 - B - 111 - James H Mccann</v>
      </c>
      <c r="F2748" t="str">
        <f>"NC STUDY HALL 1"</f>
        <v>NC STUDY HALL 1</v>
      </c>
      <c r="G2748" t="str">
        <f>"17-1716"</f>
        <v>17-1716</v>
      </c>
      <c r="H2748" t="str">
        <f>"B"</f>
        <v>B</v>
      </c>
    </row>
    <row r="2749" spans="1:8" x14ac:dyDescent="0.2">
      <c r="A2749" t="str">
        <f t="shared" si="1008"/>
        <v>0622070621</v>
      </c>
      <c r="B2749" t="str">
        <f t="shared" si="1009"/>
        <v>JULIAN</v>
      </c>
      <c r="C2749" t="str">
        <f t="shared" si="1010"/>
        <v>CASELLI</v>
      </c>
      <c r="D2749">
        <f>12</f>
        <v>12</v>
      </c>
      <c r="E2749" t="str">
        <f>"03 - A - 101 - Lourivaldo  Da Silva"</f>
        <v>03 - A - 101 - Lourivaldo  Da Silva</v>
      </c>
      <c r="F2749" t="str">
        <f>"AP STAT"</f>
        <v>AP STAT</v>
      </c>
      <c r="G2749" t="str">
        <f>"20-2079"</f>
        <v>20-2079</v>
      </c>
      <c r="H2749" t="str">
        <f>"A"</f>
        <v>A</v>
      </c>
    </row>
    <row r="2750" spans="1:8" x14ac:dyDescent="0.2">
      <c r="A2750" t="str">
        <f t="shared" si="1008"/>
        <v>0622070621</v>
      </c>
      <c r="B2750" t="str">
        <f t="shared" si="1009"/>
        <v>JULIAN</v>
      </c>
      <c r="C2750" t="str">
        <f t="shared" si="1010"/>
        <v>CASELLI</v>
      </c>
      <c r="D2750">
        <f>12</f>
        <v>12</v>
      </c>
      <c r="E2750" t="str">
        <f>"02 - A - 102 - Jeffrey S Gallagher"</f>
        <v>02 - A - 102 - Jeffrey S Gallagher</v>
      </c>
      <c r="F2750" t="str">
        <f>"ENG HON 4"</f>
        <v>ENG HON 4</v>
      </c>
      <c r="G2750" t="str">
        <f>"17-1724"</f>
        <v>17-1724</v>
      </c>
      <c r="H2750" t="str">
        <f>"A"</f>
        <v>A</v>
      </c>
    </row>
    <row r="2751" spans="1:8" x14ac:dyDescent="0.2">
      <c r="A2751" t="str">
        <f t="shared" si="1008"/>
        <v>0622070621</v>
      </c>
      <c r="B2751" t="str">
        <f t="shared" si="1009"/>
        <v>JULIAN</v>
      </c>
      <c r="C2751" t="str">
        <f t="shared" si="1010"/>
        <v>CASELLI</v>
      </c>
      <c r="D2751">
        <f>12</f>
        <v>12</v>
      </c>
      <c r="E2751" t="str">
        <f>"07 - B - 202 - Chrystina M Marchionne"</f>
        <v>07 - B - 202 - Chrystina M Marchionne</v>
      </c>
      <c r="F2751" t="str">
        <f>"JOURN 1 (YB) LH"</f>
        <v>JOURN 1 (YB) LH</v>
      </c>
      <c r="G2751" t="str">
        <f>"05-520"</f>
        <v>05-520</v>
      </c>
      <c r="H2751" t="str">
        <f>"B"</f>
        <v>B</v>
      </c>
    </row>
    <row r="2752" spans="1:8" x14ac:dyDescent="0.2">
      <c r="A2752" t="str">
        <f t="shared" si="1008"/>
        <v>0622070621</v>
      </c>
      <c r="B2752" t="str">
        <f t="shared" si="1009"/>
        <v>JULIAN</v>
      </c>
      <c r="C2752" t="str">
        <f t="shared" si="1010"/>
        <v>CASELLI</v>
      </c>
      <c r="D2752">
        <f>12</f>
        <v>12</v>
      </c>
      <c r="E2752" t="str">
        <f>"05 - B - 101 - Angela S Adeshina-Morrison"</f>
        <v>05 - B - 101 - Angela S Adeshina-Morrison</v>
      </c>
      <c r="F2752" t="str">
        <f>"MKT APPLCTNS LH"</f>
        <v>MKT APPLCTNS LH</v>
      </c>
      <c r="G2752" t="str">
        <f>"05-518"</f>
        <v>05-518</v>
      </c>
      <c r="H2752" t="str">
        <f>"B"</f>
        <v>B</v>
      </c>
    </row>
    <row r="2753" spans="1:8" x14ac:dyDescent="0.2">
      <c r="A2753" t="str">
        <f t="shared" si="1008"/>
        <v>0622070621</v>
      </c>
      <c r="B2753" t="str">
        <f t="shared" si="1009"/>
        <v>JULIAN</v>
      </c>
      <c r="C2753" t="str">
        <f t="shared" si="1010"/>
        <v>CASELLI</v>
      </c>
      <c r="D2753">
        <f>12</f>
        <v>12</v>
      </c>
      <c r="E2753" t="str">
        <f>"01 - A - 101 - Kelly N Panza"</f>
        <v>01 - A - 101 - Kelly N Panza</v>
      </c>
      <c r="F2753" t="str">
        <f>"AP HUMAN GEOG"</f>
        <v>AP HUMAN GEOG</v>
      </c>
      <c r="G2753" t="str">
        <f>"17-1753"</f>
        <v>17-1753</v>
      </c>
      <c r="H2753" t="str">
        <f>"A"</f>
        <v>A</v>
      </c>
    </row>
    <row r="2754" spans="1:8" x14ac:dyDescent="0.2">
      <c r="A2754" t="str">
        <f t="shared" si="1008"/>
        <v>0622070621</v>
      </c>
      <c r="B2754" t="str">
        <f t="shared" si="1009"/>
        <v>JULIAN</v>
      </c>
      <c r="C2754" t="str">
        <f t="shared" si="1010"/>
        <v>CASELLI</v>
      </c>
      <c r="D2754">
        <f>12</f>
        <v>12</v>
      </c>
      <c r="E2754" t="str">
        <f>"08 - B - 102 - Jacqueline R Morphet"</f>
        <v>08 - B - 102 - Jacqueline R Morphet</v>
      </c>
      <c r="F2754" t="str">
        <f>"AP PHYSICS 1"</f>
        <v>AP PHYSICS 1</v>
      </c>
      <c r="G2754" t="str">
        <f>"21-2138"</f>
        <v>21-2138</v>
      </c>
      <c r="H2754" t="str">
        <f>"B"</f>
        <v>B</v>
      </c>
    </row>
    <row r="2755" spans="1:8" x14ac:dyDescent="0.2">
      <c r="A2755" t="str">
        <f t="shared" ref="A2755:A2762" si="1011">"0616004656"</f>
        <v>0616004656</v>
      </c>
      <c r="B2755" t="str">
        <f t="shared" ref="B2755:B2762" si="1012">"DAWSON"</f>
        <v>DAWSON</v>
      </c>
      <c r="C2755" t="str">
        <f t="shared" ref="C2755:C2762" si="1013">"CASIMIR"</f>
        <v>CASIMIR</v>
      </c>
      <c r="D2755">
        <f>10</f>
        <v>10</v>
      </c>
      <c r="E2755" t="str">
        <f>"04 - A - 203 - Cheryl L Beach"</f>
        <v>04 - A - 203 - Cheryl L Beach</v>
      </c>
      <c r="F2755" t="str">
        <f>"AICE ENV MGMNT AS"</f>
        <v>AICE ENV MGMNT AS</v>
      </c>
      <c r="G2755" t="str">
        <f>"08-811"</f>
        <v>08-811</v>
      </c>
      <c r="H2755" t="str">
        <f>"A"</f>
        <v>A</v>
      </c>
    </row>
    <row r="2756" spans="1:8" x14ac:dyDescent="0.2">
      <c r="A2756" t="str">
        <f t="shared" si="1011"/>
        <v>0616004656</v>
      </c>
      <c r="B2756" t="str">
        <f t="shared" si="1012"/>
        <v>DAWSON</v>
      </c>
      <c r="C2756" t="str">
        <f t="shared" si="1013"/>
        <v>CASIMIR</v>
      </c>
      <c r="D2756">
        <f>10</f>
        <v>10</v>
      </c>
      <c r="E2756" t="str">
        <f>"06 - B - 110 - Jerry S Jiampetti"</f>
        <v>06 - B - 110 - Jerry S Jiampetti</v>
      </c>
      <c r="F2756" t="str">
        <f>"NC STUDY HALL 1"</f>
        <v>NC STUDY HALL 1</v>
      </c>
      <c r="G2756" t="str">
        <f>"17-1751"</f>
        <v>17-1751</v>
      </c>
      <c r="H2756" t="str">
        <f>"B"</f>
        <v>B</v>
      </c>
    </row>
    <row r="2757" spans="1:8" x14ac:dyDescent="0.2">
      <c r="A2757" t="str">
        <f t="shared" si="1011"/>
        <v>0616004656</v>
      </c>
      <c r="B2757" t="str">
        <f t="shared" si="1012"/>
        <v>DAWSON</v>
      </c>
      <c r="C2757" t="str">
        <f t="shared" si="1013"/>
        <v>CASIMIR</v>
      </c>
      <c r="D2757">
        <f>10</f>
        <v>10</v>
      </c>
      <c r="E2757" t="str">
        <f>"03 - A - 002 - Brandy N Zdenek"</f>
        <v>03 - A - 002 - Brandy N Zdenek</v>
      </c>
      <c r="F2757" t="str">
        <f>"AICE ENG LANG AS"</f>
        <v>AICE ENG LANG AS</v>
      </c>
      <c r="G2757" t="str">
        <f>"17-1704"</f>
        <v>17-1704</v>
      </c>
      <c r="H2757" t="str">
        <f>"A"</f>
        <v>A</v>
      </c>
    </row>
    <row r="2758" spans="1:8" x14ac:dyDescent="0.2">
      <c r="A2758" t="str">
        <f t="shared" si="1011"/>
        <v>0616004656</v>
      </c>
      <c r="B2758" t="str">
        <f t="shared" si="1012"/>
        <v>DAWSON</v>
      </c>
      <c r="C2758" t="str">
        <f t="shared" si="1013"/>
        <v>CASIMIR</v>
      </c>
      <c r="D2758">
        <f>10</f>
        <v>10</v>
      </c>
      <c r="E2758" t="str">
        <f>"02 - S1 - A - 101 - Carol S Moore"</f>
        <v>02 - S1 - A - 101 - Carol S Moore</v>
      </c>
      <c r="F2758" t="str">
        <f>"PER CAR SCH DEV 1 LH"</f>
        <v>PER CAR SCH DEV 1 LH</v>
      </c>
      <c r="G2758" t="str">
        <f>"17-1733"</f>
        <v>17-1733</v>
      </c>
      <c r="H2758" t="str">
        <f>"A"</f>
        <v>A</v>
      </c>
    </row>
    <row r="2759" spans="1:8" x14ac:dyDescent="0.2">
      <c r="A2759" t="str">
        <f t="shared" si="1011"/>
        <v>0616004656</v>
      </c>
      <c r="B2759" t="str">
        <f t="shared" si="1012"/>
        <v>DAWSON</v>
      </c>
      <c r="C2759" t="str">
        <f t="shared" si="1013"/>
        <v>CASIMIR</v>
      </c>
      <c r="D2759">
        <f>10</f>
        <v>10</v>
      </c>
      <c r="E2759" t="str">
        <f>"07 - B - 105 - Joe  Kilpatrick Jr"</f>
        <v>07 - B - 105 - Joe  Kilpatrick Jr</v>
      </c>
      <c r="F2759" t="str">
        <f>"PRE-AICE SPAN 1 IG"</f>
        <v>PRE-AICE SPAN 1 IG</v>
      </c>
      <c r="G2759" t="str">
        <f>"09-912"</f>
        <v>09-912</v>
      </c>
      <c r="H2759" t="str">
        <f>"B"</f>
        <v>B</v>
      </c>
    </row>
    <row r="2760" spans="1:8" x14ac:dyDescent="0.2">
      <c r="A2760" t="str">
        <f t="shared" si="1011"/>
        <v>0616004656</v>
      </c>
      <c r="B2760" t="str">
        <f t="shared" si="1012"/>
        <v>DAWSON</v>
      </c>
      <c r="C2760" t="str">
        <f t="shared" si="1013"/>
        <v>CASIMIR</v>
      </c>
      <c r="D2760">
        <f>10</f>
        <v>10</v>
      </c>
      <c r="E2760" t="str">
        <f>"05 - B - 003 - Krystal Marie  Beruty"</f>
        <v>05 - B - 003 - Krystal Marie  Beruty</v>
      </c>
      <c r="F2760" t="str">
        <f>"AICE GLBL PERSP 1 AS"</f>
        <v>AICE GLBL PERSP 1 AS</v>
      </c>
      <c r="G2760" t="str">
        <f>"17-1721"</f>
        <v>17-1721</v>
      </c>
      <c r="H2760" t="str">
        <f>"B"</f>
        <v>B</v>
      </c>
    </row>
    <row r="2761" spans="1:8" x14ac:dyDescent="0.2">
      <c r="A2761" t="str">
        <f t="shared" si="1011"/>
        <v>0616004656</v>
      </c>
      <c r="B2761" t="str">
        <f t="shared" si="1012"/>
        <v>DAWSON</v>
      </c>
      <c r="C2761" t="str">
        <f t="shared" si="1013"/>
        <v>CASIMIR</v>
      </c>
      <c r="D2761">
        <f>10</f>
        <v>10</v>
      </c>
      <c r="E2761" t="str">
        <f>"01 - A - 101 - Eva T Rimmer"</f>
        <v>01 - A - 101 - Eva T Rimmer</v>
      </c>
      <c r="F2761" t="str">
        <f>"CRIMINAL JUST OPS 2"</f>
        <v>CRIMINAL JUST OPS 2</v>
      </c>
      <c r="G2761" t="str">
        <f>"05-523"</f>
        <v>05-523</v>
      </c>
      <c r="H2761" t="str">
        <f>"A"</f>
        <v>A</v>
      </c>
    </row>
    <row r="2762" spans="1:8" x14ac:dyDescent="0.2">
      <c r="A2762" t="str">
        <f t="shared" si="1011"/>
        <v>0616004656</v>
      </c>
      <c r="B2762" t="str">
        <f t="shared" si="1012"/>
        <v>DAWSON</v>
      </c>
      <c r="C2762" t="str">
        <f t="shared" si="1013"/>
        <v>CASIMIR</v>
      </c>
      <c r="D2762">
        <f>10</f>
        <v>10</v>
      </c>
      <c r="E2762" t="str">
        <f>"08 - B - 107 - Dayna M Foster"</f>
        <v>08 - B - 107 - Dayna M Foster</v>
      </c>
      <c r="F2762" t="str">
        <f>"ALGEBRA 2"</f>
        <v>ALGEBRA 2</v>
      </c>
      <c r="G2762" t="str">
        <f>"21-2109"</f>
        <v>21-2109</v>
      </c>
      <c r="H2762" t="str">
        <f>"B"</f>
        <v>B</v>
      </c>
    </row>
    <row r="2763" spans="1:8" x14ac:dyDescent="0.2">
      <c r="A2763" t="str">
        <f t="shared" ref="A2763:A2770" si="1014">"0616042854"</f>
        <v>0616042854</v>
      </c>
      <c r="B2763" t="str">
        <f t="shared" ref="B2763:B2770" si="1015">"DAMANI"</f>
        <v>DAMANI</v>
      </c>
      <c r="C2763" t="str">
        <f t="shared" ref="C2763:C2778" si="1016">"CASSEUS"</f>
        <v>CASSEUS</v>
      </c>
      <c r="D2763">
        <f>10</f>
        <v>10</v>
      </c>
      <c r="E2763" t="str">
        <f>"04 - A - 106 - Marielle A Witting"</f>
        <v>04 - A - 106 - Marielle A Witting</v>
      </c>
      <c r="F2763" t="str">
        <f>"ANAT PHYSIO"</f>
        <v>ANAT PHYSIO</v>
      </c>
      <c r="G2763" t="str">
        <f>"08-805"</f>
        <v>08-805</v>
      </c>
      <c r="H2763" t="str">
        <f>"A"</f>
        <v>A</v>
      </c>
    </row>
    <row r="2764" spans="1:8" x14ac:dyDescent="0.2">
      <c r="A2764" t="str">
        <f t="shared" si="1014"/>
        <v>0616042854</v>
      </c>
      <c r="B2764" t="str">
        <f t="shared" si="1015"/>
        <v>DAMANI</v>
      </c>
      <c r="C2764" t="str">
        <f t="shared" si="1016"/>
        <v>CASSEUS</v>
      </c>
      <c r="D2764">
        <f>10</f>
        <v>10</v>
      </c>
      <c r="E2764" t="str">
        <f>"06 - B - 103 - Thomas G Handwerg"</f>
        <v>06 - B - 103 - Thomas G Handwerg</v>
      </c>
      <c r="F2764" t="str">
        <f>"NC STUDY HALL 1"</f>
        <v>NC STUDY HALL 1</v>
      </c>
      <c r="G2764" t="str">
        <f>"21-2146"</f>
        <v>21-2146</v>
      </c>
      <c r="H2764" t="str">
        <f>"B"</f>
        <v>B</v>
      </c>
    </row>
    <row r="2765" spans="1:8" x14ac:dyDescent="0.2">
      <c r="A2765" t="str">
        <f t="shared" si="1014"/>
        <v>0616042854</v>
      </c>
      <c r="B2765" t="str">
        <f t="shared" si="1015"/>
        <v>DAMANI</v>
      </c>
      <c r="C2765" t="str">
        <f t="shared" si="1016"/>
        <v>CASSEUS</v>
      </c>
      <c r="D2765">
        <f>10</f>
        <v>10</v>
      </c>
      <c r="E2765" t="str">
        <f>"03 - S1 - A - 103 - Richard E Dunbar Iii"</f>
        <v>03 - S1 - A - 103 - Richard E Dunbar Iii</v>
      </c>
      <c r="F2765" t="str">
        <f>"WEIGHT TRAIN 1"</f>
        <v>WEIGHT TRAIN 1</v>
      </c>
      <c r="G2765" t="str">
        <f>"05-501"</f>
        <v>05-501</v>
      </c>
      <c r="H2765" t="str">
        <f>"A"</f>
        <v>A</v>
      </c>
    </row>
    <row r="2766" spans="1:8" x14ac:dyDescent="0.2">
      <c r="A2766" t="str">
        <f t="shared" si="1014"/>
        <v>0616042854</v>
      </c>
      <c r="B2766" t="str">
        <f t="shared" si="1015"/>
        <v>DAMANI</v>
      </c>
      <c r="C2766" t="str">
        <f t="shared" si="1016"/>
        <v>CASSEUS</v>
      </c>
      <c r="D2766">
        <f>10</f>
        <v>10</v>
      </c>
      <c r="E2766" t="str">
        <f>"02 - S1 - A - 101 - James H Mccann"</f>
        <v>02 - S1 - A - 101 - James H Mccann</v>
      </c>
      <c r="F2766" t="str">
        <f>"PERS FIN &amp; MON MGT H"</f>
        <v>PERS FIN &amp; MON MGT H</v>
      </c>
      <c r="G2766" t="str">
        <f>"17-1716"</f>
        <v>17-1716</v>
      </c>
      <c r="H2766" t="str">
        <f>"A"</f>
        <v>A</v>
      </c>
    </row>
    <row r="2767" spans="1:8" x14ac:dyDescent="0.2">
      <c r="A2767" t="str">
        <f t="shared" si="1014"/>
        <v>0616042854</v>
      </c>
      <c r="B2767" t="str">
        <f t="shared" si="1015"/>
        <v>DAMANI</v>
      </c>
      <c r="C2767" t="str">
        <f t="shared" si="1016"/>
        <v>CASSEUS</v>
      </c>
      <c r="D2767">
        <f>10</f>
        <v>10</v>
      </c>
      <c r="E2767" t="str">
        <f>"07 - B - 104 - Lissa C Frederique"</f>
        <v>07 - B - 104 - Lissa C Frederique</v>
      </c>
      <c r="F2767" t="str">
        <f>"WORLD HISTORY"</f>
        <v>WORLD HISTORY</v>
      </c>
      <c r="G2767" t="str">
        <f>"17-1754"</f>
        <v>17-1754</v>
      </c>
      <c r="H2767" t="str">
        <f>"B"</f>
        <v>B</v>
      </c>
    </row>
    <row r="2768" spans="1:8" x14ac:dyDescent="0.2">
      <c r="A2768" t="str">
        <f t="shared" si="1014"/>
        <v>0616042854</v>
      </c>
      <c r="B2768" t="str">
        <f t="shared" si="1015"/>
        <v>DAMANI</v>
      </c>
      <c r="C2768" t="str">
        <f t="shared" si="1016"/>
        <v>CASSEUS</v>
      </c>
      <c r="D2768">
        <f>10</f>
        <v>10</v>
      </c>
      <c r="E2768" t="str">
        <f>"05 - B - 109 - Ferrie J Arostique"</f>
        <v>05 - B - 109 - Ferrie J Arostique</v>
      </c>
      <c r="F2768" t="str">
        <f>"GEOMETRY"</f>
        <v>GEOMETRY</v>
      </c>
      <c r="G2768" t="str">
        <f>"21-2139"</f>
        <v>21-2139</v>
      </c>
      <c r="H2768" t="str">
        <f>"B"</f>
        <v>B</v>
      </c>
    </row>
    <row r="2769" spans="1:8" x14ac:dyDescent="0.2">
      <c r="A2769" t="str">
        <f t="shared" si="1014"/>
        <v>0616042854</v>
      </c>
      <c r="B2769" t="str">
        <f t="shared" si="1015"/>
        <v>DAMANI</v>
      </c>
      <c r="C2769" t="str">
        <f t="shared" si="1016"/>
        <v>CASSEUS</v>
      </c>
      <c r="D2769">
        <f>10</f>
        <v>10</v>
      </c>
      <c r="E2769" t="str">
        <f>"01 - A - 101 - Vanessa J Liburd"</f>
        <v>01 - A - 101 - Vanessa J Liburd</v>
      </c>
      <c r="F2769" t="str">
        <f>"PRE-AICE FRENCH 1 IG"</f>
        <v>PRE-AICE FRENCH 1 IG</v>
      </c>
      <c r="G2769" t="str">
        <f>"05-519"</f>
        <v>05-519</v>
      </c>
      <c r="H2769" t="str">
        <f>"A"</f>
        <v>A</v>
      </c>
    </row>
    <row r="2770" spans="1:8" x14ac:dyDescent="0.2">
      <c r="A2770" t="str">
        <f t="shared" si="1014"/>
        <v>0616042854</v>
      </c>
      <c r="B2770" t="str">
        <f t="shared" si="1015"/>
        <v>DAMANI</v>
      </c>
      <c r="C2770" t="str">
        <f t="shared" si="1016"/>
        <v>CASSEUS</v>
      </c>
      <c r="D2770">
        <f>10</f>
        <v>10</v>
      </c>
      <c r="E2770" t="str">
        <f>"08 - B - 109 - Nikiel  Nesbeth"</f>
        <v>08 - B - 109 - Nikiel  Nesbeth</v>
      </c>
      <c r="F2770" t="str">
        <f>"ENG 2"</f>
        <v>ENG 2</v>
      </c>
      <c r="G2770" t="str">
        <f>"17-1705"</f>
        <v>17-1705</v>
      </c>
      <c r="H2770" t="str">
        <f>"B"</f>
        <v>B</v>
      </c>
    </row>
    <row r="2771" spans="1:8" x14ac:dyDescent="0.2">
      <c r="A2771" t="str">
        <f t="shared" ref="A2771:A2778" si="1017">"0612047238"</f>
        <v>0612047238</v>
      </c>
      <c r="B2771" t="str">
        <f t="shared" ref="B2771:B2778" si="1018">"MALACHI"</f>
        <v>MALACHI</v>
      </c>
      <c r="C2771" t="str">
        <f t="shared" si="1016"/>
        <v>CASSEUS</v>
      </c>
      <c r="D2771">
        <f>12</f>
        <v>12</v>
      </c>
      <c r="E2771" t="str">
        <f>"04 - A - 102 - Fernando  Vega-Cid"</f>
        <v>04 - A - 102 - Fernando  Vega-Cid</v>
      </c>
      <c r="F2771" t="str">
        <f>"PRE-CALCULUS HON"</f>
        <v>PRE-CALCULUS HON</v>
      </c>
      <c r="G2771" t="str">
        <f>"21-2163"</f>
        <v>21-2163</v>
      </c>
      <c r="H2771" t="str">
        <f>"A"</f>
        <v>A</v>
      </c>
    </row>
    <row r="2772" spans="1:8" x14ac:dyDescent="0.2">
      <c r="A2772" t="str">
        <f t="shared" si="1017"/>
        <v>0612047238</v>
      </c>
      <c r="B2772" t="str">
        <f t="shared" si="1018"/>
        <v>MALACHI</v>
      </c>
      <c r="C2772" t="str">
        <f t="shared" si="1016"/>
        <v>CASSEUS</v>
      </c>
      <c r="D2772">
        <f>12</f>
        <v>12</v>
      </c>
      <c r="E2772" t="str">
        <f>"06 - B - 104 - Vanessa J Liburd"</f>
        <v>06 - B - 104 - Vanessa J Liburd</v>
      </c>
      <c r="F2772" t="str">
        <f>"NC STUDY HALL 1"</f>
        <v>NC STUDY HALL 1</v>
      </c>
      <c r="G2772" t="str">
        <f>"05-519"</f>
        <v>05-519</v>
      </c>
      <c r="H2772" t="str">
        <f>"B"</f>
        <v>B</v>
      </c>
    </row>
    <row r="2773" spans="1:8" x14ac:dyDescent="0.2">
      <c r="A2773" t="str">
        <f t="shared" si="1017"/>
        <v>0612047238</v>
      </c>
      <c r="B2773" t="str">
        <f t="shared" si="1018"/>
        <v>MALACHI</v>
      </c>
      <c r="C2773" t="str">
        <f t="shared" si="1016"/>
        <v>CASSEUS</v>
      </c>
      <c r="D2773">
        <f>12</f>
        <v>12</v>
      </c>
      <c r="E2773" t="str">
        <f>"03 - A - 101 - Jeffrey S Gallagher"</f>
        <v>03 - A - 101 - Jeffrey S Gallagher</v>
      </c>
      <c r="F2773" t="str">
        <f>"ENG HON 4"</f>
        <v>ENG HON 4</v>
      </c>
      <c r="G2773" t="str">
        <f>"17-1724"</f>
        <v>17-1724</v>
      </c>
      <c r="H2773" t="str">
        <f>"A"</f>
        <v>A</v>
      </c>
    </row>
    <row r="2774" spans="1:8" x14ac:dyDescent="0.2">
      <c r="A2774" t="str">
        <f t="shared" si="1017"/>
        <v>0612047238</v>
      </c>
      <c r="B2774" t="str">
        <f t="shared" si="1018"/>
        <v>MALACHI</v>
      </c>
      <c r="C2774" t="str">
        <f t="shared" si="1016"/>
        <v>CASSEUS</v>
      </c>
      <c r="D2774">
        <f>12</f>
        <v>12</v>
      </c>
      <c r="E2774" t="str">
        <f>"02 - A - 103 - Dorothy D Moore"</f>
        <v>02 - A - 103 - Dorothy D Moore</v>
      </c>
      <c r="F2774" t="str">
        <f>"ANAT PHYSIO HON"</f>
        <v>ANAT PHYSIO HON</v>
      </c>
      <c r="G2774" t="str">
        <f>"08-803"</f>
        <v>08-803</v>
      </c>
      <c r="H2774" t="str">
        <f>"A"</f>
        <v>A</v>
      </c>
    </row>
    <row r="2775" spans="1:8" x14ac:dyDescent="0.2">
      <c r="A2775" t="str">
        <f t="shared" si="1017"/>
        <v>0612047238</v>
      </c>
      <c r="B2775" t="str">
        <f t="shared" si="1018"/>
        <v>MALACHI</v>
      </c>
      <c r="C2775" t="str">
        <f t="shared" si="1016"/>
        <v>CASSEUS</v>
      </c>
      <c r="D2775">
        <f>12</f>
        <v>12</v>
      </c>
      <c r="E2775" t="str">
        <f>"07 - S1 - B - 101 - Daniel S Katz"</f>
        <v>07 - S1 - B - 101 - Daniel S Katz</v>
      </c>
      <c r="F2775" t="str">
        <f>"CRIMINAL LAW"</f>
        <v>CRIMINAL LAW</v>
      </c>
      <c r="G2775" t="str">
        <f>"21-2156"</f>
        <v>21-2156</v>
      </c>
      <c r="H2775" t="str">
        <f>"B"</f>
        <v>B</v>
      </c>
    </row>
    <row r="2776" spans="1:8" x14ac:dyDescent="0.2">
      <c r="A2776" t="str">
        <f t="shared" si="1017"/>
        <v>0612047238</v>
      </c>
      <c r="B2776" t="str">
        <f t="shared" si="1018"/>
        <v>MALACHI</v>
      </c>
      <c r="C2776" t="str">
        <f t="shared" si="1016"/>
        <v>CASSEUS</v>
      </c>
      <c r="D2776">
        <f>12</f>
        <v>12</v>
      </c>
      <c r="E2776" t="str">
        <f>"05 - B - 205 - Rosa Elaine  Collado-Duff"</f>
        <v>05 - B - 205 - Rosa Elaine  Collado-Duff</v>
      </c>
      <c r="F2776" t="str">
        <f>"PRE-AICE SPAN 2 IG"</f>
        <v>PRE-AICE SPAN 2 IG</v>
      </c>
      <c r="G2776" t="str">
        <f>"09-913"</f>
        <v>09-913</v>
      </c>
      <c r="H2776" t="str">
        <f>"B"</f>
        <v>B</v>
      </c>
    </row>
    <row r="2777" spans="1:8" x14ac:dyDescent="0.2">
      <c r="A2777" t="str">
        <f t="shared" si="1017"/>
        <v>0612047238</v>
      </c>
      <c r="B2777" t="str">
        <f t="shared" si="1018"/>
        <v>MALACHI</v>
      </c>
      <c r="C2777" t="str">
        <f t="shared" si="1016"/>
        <v>CASSEUS</v>
      </c>
      <c r="D2777">
        <f>12</f>
        <v>12</v>
      </c>
      <c r="E2777" t="str">
        <f>"01 - A - 101 - Brian M Fitzgerald"</f>
        <v>01 - A - 101 - Brian M Fitzgerald</v>
      </c>
      <c r="F2777" t="str">
        <f>"CERAM/POT 1"</f>
        <v>CERAM/POT 1</v>
      </c>
      <c r="G2777" t="str">
        <f>"09-908"</f>
        <v>09-908</v>
      </c>
      <c r="H2777" t="str">
        <f>"A"</f>
        <v>A</v>
      </c>
    </row>
    <row r="2778" spans="1:8" x14ac:dyDescent="0.2">
      <c r="A2778" t="str">
        <f t="shared" si="1017"/>
        <v>0612047238</v>
      </c>
      <c r="B2778" t="str">
        <f t="shared" si="1018"/>
        <v>MALACHI</v>
      </c>
      <c r="C2778" t="str">
        <f t="shared" si="1016"/>
        <v>CASSEUS</v>
      </c>
      <c r="D2778">
        <f>12</f>
        <v>12</v>
      </c>
      <c r="E2778" t="str">
        <f>"08 - S1 - B - 105 - Kelly N Panza"</f>
        <v>08 - S1 - B - 105 - Kelly N Panza</v>
      </c>
      <c r="F2778" t="str">
        <f>"US GOVT HON"</f>
        <v>US GOVT HON</v>
      </c>
      <c r="G2778" t="str">
        <f>"17-1753"</f>
        <v>17-1753</v>
      </c>
      <c r="H2778" t="str">
        <f>"B"</f>
        <v>B</v>
      </c>
    </row>
    <row r="2779" spans="1:8" x14ac:dyDescent="0.2">
      <c r="A2779" t="str">
        <f t="shared" ref="A2779:A2786" si="1019">"0623076996"</f>
        <v>0623076996</v>
      </c>
      <c r="B2779" t="str">
        <f t="shared" ref="B2779:B2786" si="1020">"DANIEL"</f>
        <v>DANIEL</v>
      </c>
      <c r="C2779" t="str">
        <f t="shared" ref="C2779:C2786" si="1021">"CASTANON CONCEPCI"</f>
        <v>CASTANON CONCEPCI</v>
      </c>
      <c r="D2779" t="str">
        <f t="shared" ref="D2779:D2786" si="1022">"09"</f>
        <v>09</v>
      </c>
      <c r="E2779" t="str">
        <f>"04 - A - 103 - Cerine S Stewart"</f>
        <v>04 - A - 103 - Cerine S Stewart</v>
      </c>
      <c r="F2779" t="str">
        <f>"ENG 1"</f>
        <v>ENG 1</v>
      </c>
      <c r="G2779" t="str">
        <f>"17-1720"</f>
        <v>17-1720</v>
      </c>
      <c r="H2779" t="str">
        <f>"A"</f>
        <v>A</v>
      </c>
    </row>
    <row r="2780" spans="1:8" x14ac:dyDescent="0.2">
      <c r="A2780" t="str">
        <f t="shared" si="1019"/>
        <v>0623076996</v>
      </c>
      <c r="B2780" t="str">
        <f t="shared" si="1020"/>
        <v>DANIEL</v>
      </c>
      <c r="C2780" t="str">
        <f t="shared" si="1021"/>
        <v>CASTANON CONCEPCI</v>
      </c>
      <c r="D2780" t="str">
        <f t="shared" si="1022"/>
        <v>09</v>
      </c>
      <c r="E2780" t="str">
        <f>"06 - B - 202 - Samantha L Martinez"</f>
        <v>06 - B - 202 - Samantha L Martinez</v>
      </c>
      <c r="F2780" t="str">
        <f>"GUITAR 1"</f>
        <v>GUITAR 1</v>
      </c>
      <c r="G2780" t="str">
        <f>"05-505"</f>
        <v>05-505</v>
      </c>
      <c r="H2780" t="str">
        <f>"B"</f>
        <v>B</v>
      </c>
    </row>
    <row r="2781" spans="1:8" x14ac:dyDescent="0.2">
      <c r="A2781" t="str">
        <f t="shared" si="1019"/>
        <v>0623076996</v>
      </c>
      <c r="B2781" t="str">
        <f t="shared" si="1020"/>
        <v>DANIEL</v>
      </c>
      <c r="C2781" t="str">
        <f t="shared" si="1021"/>
        <v>CASTANON CONCEPCI</v>
      </c>
      <c r="D2781" t="str">
        <f t="shared" si="1022"/>
        <v>09</v>
      </c>
      <c r="E2781" t="str">
        <f>"03 - A - 101 - Milca  Exantus"</f>
        <v>03 - A - 101 - Milca  Exantus</v>
      </c>
      <c r="F2781" t="str">
        <f>"ALGEBRA 1-A"</f>
        <v>ALGEBRA 1-A</v>
      </c>
      <c r="G2781" t="str">
        <f>"21-2145"</f>
        <v>21-2145</v>
      </c>
      <c r="H2781" t="str">
        <f>"A"</f>
        <v>A</v>
      </c>
    </row>
    <row r="2782" spans="1:8" x14ac:dyDescent="0.2">
      <c r="A2782" t="str">
        <f t="shared" si="1019"/>
        <v>0623076996</v>
      </c>
      <c r="B2782" t="str">
        <f t="shared" si="1020"/>
        <v>DANIEL</v>
      </c>
      <c r="C2782" t="str">
        <f t="shared" si="1021"/>
        <v>CASTANON CONCEPCI</v>
      </c>
      <c r="D2782" t="str">
        <f t="shared" si="1022"/>
        <v>09</v>
      </c>
      <c r="E2782" t="str">
        <f>"02 - A - 102 - Samantha J Headley"</f>
        <v>02 - A - 102 - Samantha J Headley</v>
      </c>
      <c r="F2782" t="str">
        <f>"NC STUDY HALL 1"</f>
        <v>NC STUDY HALL 1</v>
      </c>
      <c r="G2782" t="str">
        <f>"21-2134"</f>
        <v>21-2134</v>
      </c>
      <c r="H2782" t="str">
        <f>"A"</f>
        <v>A</v>
      </c>
    </row>
    <row r="2783" spans="1:8" x14ac:dyDescent="0.2">
      <c r="A2783" t="str">
        <f t="shared" si="1019"/>
        <v>0623076996</v>
      </c>
      <c r="B2783" t="str">
        <f t="shared" si="1020"/>
        <v>DANIEL</v>
      </c>
      <c r="C2783" t="str">
        <f t="shared" si="1021"/>
        <v>CASTANON CONCEPCI</v>
      </c>
      <c r="D2783" t="str">
        <f t="shared" si="1022"/>
        <v>09</v>
      </c>
      <c r="E2783" t="str">
        <f>"07 - B - 104 - Lissa C Frederique"</f>
        <v>07 - B - 104 - Lissa C Frederique</v>
      </c>
      <c r="F2783" t="str">
        <f>"WORLD HISTORY"</f>
        <v>WORLD HISTORY</v>
      </c>
      <c r="G2783" t="str">
        <f>"17-1754"</f>
        <v>17-1754</v>
      </c>
      <c r="H2783" t="str">
        <f>"B"</f>
        <v>B</v>
      </c>
    </row>
    <row r="2784" spans="1:8" x14ac:dyDescent="0.2">
      <c r="A2784" t="str">
        <f t="shared" si="1019"/>
        <v>0623076996</v>
      </c>
      <c r="B2784" t="str">
        <f t="shared" si="1020"/>
        <v>DANIEL</v>
      </c>
      <c r="C2784" t="str">
        <f t="shared" si="1021"/>
        <v>CASTANON CONCEPCI</v>
      </c>
      <c r="D2784" t="str">
        <f t="shared" si="1022"/>
        <v>09</v>
      </c>
      <c r="E2784" t="str">
        <f>"05 - B - 105 - Adam Marcus  Drucker"</f>
        <v>05 - B - 105 - Adam Marcus  Drucker</v>
      </c>
      <c r="F2784" t="str">
        <f>"HOPE-PE V"</f>
        <v>HOPE-PE V</v>
      </c>
      <c r="G2784" t="str">
        <f>"04-254"</f>
        <v>04-254</v>
      </c>
      <c r="H2784" t="str">
        <f>"B"</f>
        <v>B</v>
      </c>
    </row>
    <row r="2785" spans="1:8" x14ac:dyDescent="0.2">
      <c r="A2785" t="str">
        <f t="shared" si="1019"/>
        <v>0623076996</v>
      </c>
      <c r="B2785" t="str">
        <f t="shared" si="1020"/>
        <v>DANIEL</v>
      </c>
      <c r="C2785" t="str">
        <f t="shared" si="1021"/>
        <v>CASTANON CONCEPCI</v>
      </c>
      <c r="D2785" t="str">
        <f t="shared" si="1022"/>
        <v>09</v>
      </c>
      <c r="E2785" t="str">
        <f>"01 - A - 103 - Amy Beth  Broyles"</f>
        <v>01 - A - 103 - Amy Beth  Broyles</v>
      </c>
      <c r="F2785" t="str">
        <f>"ENV SCI"</f>
        <v>ENV SCI</v>
      </c>
      <c r="G2785" t="str">
        <f>"08-802"</f>
        <v>08-802</v>
      </c>
      <c r="H2785" t="str">
        <f>"A"</f>
        <v>A</v>
      </c>
    </row>
    <row r="2786" spans="1:8" x14ac:dyDescent="0.2">
      <c r="A2786" t="str">
        <f t="shared" si="1019"/>
        <v>0623076996</v>
      </c>
      <c r="B2786" t="str">
        <f t="shared" si="1020"/>
        <v>DANIEL</v>
      </c>
      <c r="C2786" t="str">
        <f t="shared" si="1021"/>
        <v>CASTANON CONCEPCI</v>
      </c>
      <c r="D2786" t="str">
        <f t="shared" si="1022"/>
        <v>09</v>
      </c>
      <c r="E2786" t="str">
        <f>"08 - B - 001 - Brian M Fitzgerald"</f>
        <v>08 - B - 001 - Brian M Fitzgerald</v>
      </c>
      <c r="F2786" t="str">
        <f>"CERAM/POT 1"</f>
        <v>CERAM/POT 1</v>
      </c>
      <c r="G2786" t="str">
        <f>"09-908"</f>
        <v>09-908</v>
      </c>
      <c r="H2786" t="str">
        <f>"B"</f>
        <v>B</v>
      </c>
    </row>
    <row r="2787" spans="1:8" x14ac:dyDescent="0.2">
      <c r="A2787" t="str">
        <f t="shared" ref="A2787:A2794" si="1023">"0613063945"</f>
        <v>0613063945</v>
      </c>
      <c r="B2787" t="str">
        <f t="shared" ref="B2787:B2794" si="1024">"AYANNA"</f>
        <v>AYANNA</v>
      </c>
      <c r="C2787" t="str">
        <f t="shared" ref="C2787:C2794" si="1025">"CASTEEL"</f>
        <v>CASTEEL</v>
      </c>
      <c r="D2787">
        <f>12</f>
        <v>12</v>
      </c>
      <c r="E2787" t="str">
        <f>"04 - A - 103 - Cliffon  Saurel"</f>
        <v>04 - A - 103 - Cliffon  Saurel</v>
      </c>
      <c r="F2787" t="str">
        <f>"PHYSICAL SCI"</f>
        <v>PHYSICAL SCI</v>
      </c>
      <c r="G2787" t="str">
        <f>"05-522"</f>
        <v>05-522</v>
      </c>
      <c r="H2787" t="str">
        <f>"A"</f>
        <v>A</v>
      </c>
    </row>
    <row r="2788" spans="1:8" x14ac:dyDescent="0.2">
      <c r="A2788" t="str">
        <f t="shared" si="1023"/>
        <v>0613063945</v>
      </c>
      <c r="B2788" t="str">
        <f t="shared" si="1024"/>
        <v>AYANNA</v>
      </c>
      <c r="C2788" t="str">
        <f t="shared" si="1025"/>
        <v>CASTEEL</v>
      </c>
      <c r="D2788">
        <f>12</f>
        <v>12</v>
      </c>
      <c r="E2788" t="str">
        <f>"06 - B - 101 - Cliffon  Saurel"</f>
        <v>06 - B - 101 - Cliffon  Saurel</v>
      </c>
      <c r="F2788" t="str">
        <f>"NC STUDY HALL 1"</f>
        <v>NC STUDY HALL 1</v>
      </c>
      <c r="G2788" t="str">
        <f>"05-522"</f>
        <v>05-522</v>
      </c>
      <c r="H2788" t="str">
        <f>"B"</f>
        <v>B</v>
      </c>
    </row>
    <row r="2789" spans="1:8" x14ac:dyDescent="0.2">
      <c r="A2789" t="str">
        <f t="shared" si="1023"/>
        <v>0613063945</v>
      </c>
      <c r="B2789" t="str">
        <f t="shared" si="1024"/>
        <v>AYANNA</v>
      </c>
      <c r="C2789" t="str">
        <f t="shared" si="1025"/>
        <v>CASTEEL</v>
      </c>
      <c r="D2789">
        <f>12</f>
        <v>12</v>
      </c>
      <c r="E2789" t="str">
        <f>"03 - S1 - A - 002 - Barbara L Segal"</f>
        <v>03 - S1 - A - 002 - Barbara L Segal</v>
      </c>
      <c r="F2789" t="str">
        <f>"US GOVT"</f>
        <v>US GOVT</v>
      </c>
      <c r="G2789" t="str">
        <f>"17-1742"</f>
        <v>17-1742</v>
      </c>
      <c r="H2789" t="str">
        <f>"A"</f>
        <v>A</v>
      </c>
    </row>
    <row r="2790" spans="1:8" x14ac:dyDescent="0.2">
      <c r="A2790" t="str">
        <f t="shared" si="1023"/>
        <v>0613063945</v>
      </c>
      <c r="B2790" t="str">
        <f t="shared" si="1024"/>
        <v>AYANNA</v>
      </c>
      <c r="C2790" t="str">
        <f t="shared" si="1025"/>
        <v>CASTEEL</v>
      </c>
      <c r="D2790">
        <f>12</f>
        <v>12</v>
      </c>
      <c r="E2790" t="str">
        <f>"02 - A - 001 - Alejandro  Navarro"</f>
        <v>02 - A - 001 - Alejandro  Navarro</v>
      </c>
      <c r="F2790" t="str">
        <f>"BAND 1"</f>
        <v>BAND 1</v>
      </c>
      <c r="G2790" t="str">
        <f>"05-504"</f>
        <v>05-504</v>
      </c>
      <c r="H2790" t="str">
        <f>"A"</f>
        <v>A</v>
      </c>
    </row>
    <row r="2791" spans="1:8" x14ac:dyDescent="0.2">
      <c r="A2791" t="str">
        <f t="shared" si="1023"/>
        <v>0613063945</v>
      </c>
      <c r="B2791" t="str">
        <f t="shared" si="1024"/>
        <v>AYANNA</v>
      </c>
      <c r="C2791" t="str">
        <f t="shared" si="1025"/>
        <v>CASTEEL</v>
      </c>
      <c r="D2791">
        <f>12</f>
        <v>12</v>
      </c>
      <c r="E2791" t="str">
        <f>"07 - B - 102 - Tina L Lovett"</f>
        <v>07 - B - 102 - Tina L Lovett</v>
      </c>
      <c r="F2791" t="str">
        <f>"MATH DATA &amp; FIN LIT"</f>
        <v>MATH DATA &amp; FIN LIT</v>
      </c>
      <c r="G2791" t="str">
        <f>"21-2153"</f>
        <v>21-2153</v>
      </c>
      <c r="H2791" t="str">
        <f>"B"</f>
        <v>B</v>
      </c>
    </row>
    <row r="2792" spans="1:8" x14ac:dyDescent="0.2">
      <c r="A2792" t="str">
        <f t="shared" si="1023"/>
        <v>0613063945</v>
      </c>
      <c r="B2792" t="str">
        <f t="shared" si="1024"/>
        <v>AYANNA</v>
      </c>
      <c r="C2792" t="str">
        <f t="shared" si="1025"/>
        <v>CASTEEL</v>
      </c>
      <c r="D2792">
        <f>12</f>
        <v>12</v>
      </c>
      <c r="E2792" t="str">
        <f>"05 - B - 102 - Robyn L Trainer"</f>
        <v>05 - B - 102 - Robyn L Trainer</v>
      </c>
      <c r="F2792" t="str">
        <f>"ENG 4"</f>
        <v>ENG 4</v>
      </c>
      <c r="G2792" t="str">
        <f>"17-1734"</f>
        <v>17-1734</v>
      </c>
      <c r="H2792" t="str">
        <f>"B"</f>
        <v>B</v>
      </c>
    </row>
    <row r="2793" spans="1:8" x14ac:dyDescent="0.2">
      <c r="A2793" t="str">
        <f t="shared" si="1023"/>
        <v>0613063945</v>
      </c>
      <c r="B2793" t="str">
        <f t="shared" si="1024"/>
        <v>AYANNA</v>
      </c>
      <c r="C2793" t="str">
        <f t="shared" si="1025"/>
        <v>CASTEEL</v>
      </c>
      <c r="D2793">
        <f>12</f>
        <v>12</v>
      </c>
      <c r="E2793" t="str">
        <f>"01 - A - 101 - Angela S Adeshina-Morrison"</f>
        <v>01 - A - 101 - Angela S Adeshina-Morrison</v>
      </c>
      <c r="F2793" t="str">
        <f>"MARKETING ESSENTIALS"</f>
        <v>MARKETING ESSENTIALS</v>
      </c>
      <c r="G2793" t="str">
        <f>"05-518"</f>
        <v>05-518</v>
      </c>
      <c r="H2793" t="str">
        <f>"A"</f>
        <v>A</v>
      </c>
    </row>
    <row r="2794" spans="1:8" x14ac:dyDescent="0.2">
      <c r="A2794" t="str">
        <f t="shared" si="1023"/>
        <v>0613063945</v>
      </c>
      <c r="B2794" t="str">
        <f t="shared" si="1024"/>
        <v>AYANNA</v>
      </c>
      <c r="C2794" t="str">
        <f t="shared" si="1025"/>
        <v>CASTEEL</v>
      </c>
      <c r="D2794">
        <f>12</f>
        <v>12</v>
      </c>
      <c r="E2794" t="str">
        <f>"08 - S1 - B - 101 - Amy Beth  Broyles"</f>
        <v>08 - S1 - B - 101 - Amy Beth  Broyles</v>
      </c>
      <c r="F2794" t="str">
        <f>"PEER COUN 3"</f>
        <v>PEER COUN 3</v>
      </c>
      <c r="G2794" t="str">
        <f>"17-1713"</f>
        <v>17-1713</v>
      </c>
      <c r="H2794" t="str">
        <f>"B"</f>
        <v>B</v>
      </c>
    </row>
    <row r="2795" spans="1:8" x14ac:dyDescent="0.2">
      <c r="A2795" t="str">
        <f t="shared" ref="A2795:A2802" si="1026">"0612079642"</f>
        <v>0612079642</v>
      </c>
      <c r="B2795" t="str">
        <f t="shared" ref="B2795:B2802" si="1027">"REEVALDO"</f>
        <v>REEVALDO</v>
      </c>
      <c r="C2795" t="str">
        <f t="shared" ref="C2795:C2802" si="1028">"CASTEL"</f>
        <v>CASTEL</v>
      </c>
      <c r="D2795" t="str">
        <f t="shared" ref="D2795:D2810" si="1029">"09"</f>
        <v>09</v>
      </c>
      <c r="E2795" t="str">
        <f>"04 - A - 104 - Adam Marcus  Drucker"</f>
        <v>04 - A - 104 - Adam Marcus  Drucker</v>
      </c>
      <c r="F2795" t="str">
        <f>"HOPE-PE V"</f>
        <v>HOPE-PE V</v>
      </c>
      <c r="G2795" t="str">
        <f>"04-254"</f>
        <v>04-254</v>
      </c>
      <c r="H2795" t="str">
        <f>"A"</f>
        <v>A</v>
      </c>
    </row>
    <row r="2796" spans="1:8" x14ac:dyDescent="0.2">
      <c r="A2796" t="str">
        <f t="shared" si="1026"/>
        <v>0612079642</v>
      </c>
      <c r="B2796" t="str">
        <f t="shared" si="1027"/>
        <v>REEVALDO</v>
      </c>
      <c r="C2796" t="str">
        <f t="shared" si="1028"/>
        <v>CASTEL</v>
      </c>
      <c r="D2796" t="str">
        <f t="shared" si="1029"/>
        <v>09</v>
      </c>
      <c r="E2796" t="str">
        <f>"06 - B - 104 - Eva T Rimmer"</f>
        <v>06 - B - 104 - Eva T Rimmer</v>
      </c>
      <c r="F2796" t="str">
        <f>"CRIMINAL JUST OPS 1"</f>
        <v>CRIMINAL JUST OPS 1</v>
      </c>
      <c r="G2796" t="str">
        <f>"05-523"</f>
        <v>05-523</v>
      </c>
      <c r="H2796" t="str">
        <f>"B"</f>
        <v>B</v>
      </c>
    </row>
    <row r="2797" spans="1:8" x14ac:dyDescent="0.2">
      <c r="A2797" t="str">
        <f t="shared" si="1026"/>
        <v>0612079642</v>
      </c>
      <c r="B2797" t="str">
        <f t="shared" si="1027"/>
        <v>REEVALDO</v>
      </c>
      <c r="C2797" t="str">
        <f t="shared" si="1028"/>
        <v>CASTEL</v>
      </c>
      <c r="D2797" t="str">
        <f t="shared" si="1029"/>
        <v>09</v>
      </c>
      <c r="E2797" t="str">
        <f>"03 - A - 202 - Cheryl L Beach"</f>
        <v>03 - A - 202 - Cheryl L Beach</v>
      </c>
      <c r="F2797" t="str">
        <f>"AICE ENV MGMNT AS"</f>
        <v>AICE ENV MGMNT AS</v>
      </c>
      <c r="G2797" t="str">
        <f>"08-811"</f>
        <v>08-811</v>
      </c>
      <c r="H2797" t="str">
        <f>"A"</f>
        <v>A</v>
      </c>
    </row>
    <row r="2798" spans="1:8" x14ac:dyDescent="0.2">
      <c r="A2798" t="str">
        <f t="shared" si="1026"/>
        <v>0612079642</v>
      </c>
      <c r="B2798" t="str">
        <f t="shared" si="1027"/>
        <v>REEVALDO</v>
      </c>
      <c r="C2798" t="str">
        <f t="shared" si="1028"/>
        <v>CASTEL</v>
      </c>
      <c r="D2798" t="str">
        <f t="shared" si="1029"/>
        <v>09</v>
      </c>
      <c r="E2798" t="str">
        <f>"02 - A - 114 - Laselleda D Shaw"</f>
        <v>02 - A - 114 - Laselleda D Shaw</v>
      </c>
      <c r="F2798" t="str">
        <f>"NC STUDY HALL 1"</f>
        <v>NC STUDY HALL 1</v>
      </c>
      <c r="G2798" t="str">
        <f>"17-1723"</f>
        <v>17-1723</v>
      </c>
      <c r="H2798" t="str">
        <f>"A"</f>
        <v>A</v>
      </c>
    </row>
    <row r="2799" spans="1:8" x14ac:dyDescent="0.2">
      <c r="A2799" t="str">
        <f t="shared" si="1026"/>
        <v>0612079642</v>
      </c>
      <c r="B2799" t="str">
        <f t="shared" si="1027"/>
        <v>REEVALDO</v>
      </c>
      <c r="C2799" t="str">
        <f t="shared" si="1028"/>
        <v>CASTEL</v>
      </c>
      <c r="D2799" t="str">
        <f t="shared" si="1029"/>
        <v>09</v>
      </c>
      <c r="E2799" t="str">
        <f>"07 - B - 001 - Cheryl Anne  Berman-Schechter"</f>
        <v>07 - B - 001 - Cheryl Anne  Berman-Schechter</v>
      </c>
      <c r="F2799" t="str">
        <f>"AICE ENG GEN PAPER 1"</f>
        <v>AICE ENG GEN PAPER 1</v>
      </c>
      <c r="G2799" t="str">
        <f>"17-1722"</f>
        <v>17-1722</v>
      </c>
      <c r="H2799" t="str">
        <f>"B"</f>
        <v>B</v>
      </c>
    </row>
    <row r="2800" spans="1:8" x14ac:dyDescent="0.2">
      <c r="A2800" t="str">
        <f t="shared" si="1026"/>
        <v>0612079642</v>
      </c>
      <c r="B2800" t="str">
        <f t="shared" si="1027"/>
        <v>REEVALDO</v>
      </c>
      <c r="C2800" t="str">
        <f t="shared" si="1028"/>
        <v>CASTEL</v>
      </c>
      <c r="D2800" t="str">
        <f t="shared" si="1029"/>
        <v>09</v>
      </c>
      <c r="E2800" t="str">
        <f>"05 - B - 003 - Krystal Marie  Beruty"</f>
        <v>05 - B - 003 - Krystal Marie  Beruty</v>
      </c>
      <c r="F2800" t="str">
        <f>"AICE GLBL PERSP 1 AS"</f>
        <v>AICE GLBL PERSP 1 AS</v>
      </c>
      <c r="G2800" t="str">
        <f>"17-1721"</f>
        <v>17-1721</v>
      </c>
      <c r="H2800" t="str">
        <f>"B"</f>
        <v>B</v>
      </c>
    </row>
    <row r="2801" spans="1:8" x14ac:dyDescent="0.2">
      <c r="A2801" t="str">
        <f t="shared" si="1026"/>
        <v>0612079642</v>
      </c>
      <c r="B2801" t="str">
        <f t="shared" si="1027"/>
        <v>REEVALDO</v>
      </c>
      <c r="C2801" t="str">
        <f t="shared" si="1028"/>
        <v>CASTEL</v>
      </c>
      <c r="D2801" t="str">
        <f t="shared" si="1029"/>
        <v>09</v>
      </c>
      <c r="E2801" t="str">
        <f>"01 - A - 504 - Alejandro  Navarro"</f>
        <v>01 - A - 504 - Alejandro  Navarro</v>
      </c>
      <c r="F2801" t="str">
        <f>"BAND 1"</f>
        <v>BAND 1</v>
      </c>
      <c r="G2801" t="str">
        <f>"05-504"</f>
        <v>05-504</v>
      </c>
      <c r="H2801" t="str">
        <f>"A"</f>
        <v>A</v>
      </c>
    </row>
    <row r="2802" spans="1:8" x14ac:dyDescent="0.2">
      <c r="A2802" t="str">
        <f t="shared" si="1026"/>
        <v>0612079642</v>
      </c>
      <c r="B2802" t="str">
        <f t="shared" si="1027"/>
        <v>REEVALDO</v>
      </c>
      <c r="C2802" t="str">
        <f t="shared" si="1028"/>
        <v>CASTEL</v>
      </c>
      <c r="D2802" t="str">
        <f t="shared" si="1029"/>
        <v>09</v>
      </c>
      <c r="E2802" t="str">
        <f>"08 - B - 107 - Dayna M Foster"</f>
        <v>08 - B - 107 - Dayna M Foster</v>
      </c>
      <c r="F2802" t="str">
        <f>"ALGEBRA 2"</f>
        <v>ALGEBRA 2</v>
      </c>
      <c r="G2802" t="str">
        <f>"21-2109"</f>
        <v>21-2109</v>
      </c>
      <c r="H2802" t="str">
        <f>"B"</f>
        <v>B</v>
      </c>
    </row>
    <row r="2803" spans="1:8" x14ac:dyDescent="0.2">
      <c r="A2803" t="str">
        <f t="shared" ref="A2803:A2810" si="1030">"0616150497"</f>
        <v>0616150497</v>
      </c>
      <c r="B2803" t="str">
        <f t="shared" ref="B2803:B2810" si="1031">"JASON"</f>
        <v>JASON</v>
      </c>
      <c r="C2803" t="str">
        <f t="shared" ref="C2803:C2818" si="1032">"CASTILLO"</f>
        <v>CASTILLO</v>
      </c>
      <c r="D2803" t="str">
        <f t="shared" si="1029"/>
        <v>09</v>
      </c>
      <c r="E2803" t="str">
        <f>"04 - A - 101 - Chrystina M Marchionne"</f>
        <v>04 - A - 101 - Chrystina M Marchionne</v>
      </c>
      <c r="F2803" t="str">
        <f>"THEA CIN &amp; FILM LH"</f>
        <v>THEA CIN &amp; FILM LH</v>
      </c>
      <c r="G2803" t="str">
        <f>"05-520"</f>
        <v>05-520</v>
      </c>
      <c r="H2803" t="str">
        <f>"A"</f>
        <v>A</v>
      </c>
    </row>
    <row r="2804" spans="1:8" x14ac:dyDescent="0.2">
      <c r="A2804" t="str">
        <f t="shared" si="1030"/>
        <v>0616150497</v>
      </c>
      <c r="B2804" t="str">
        <f t="shared" si="1031"/>
        <v>JASON</v>
      </c>
      <c r="C2804" t="str">
        <f t="shared" si="1032"/>
        <v>CASTILLO</v>
      </c>
      <c r="D2804" t="str">
        <f t="shared" si="1029"/>
        <v>09</v>
      </c>
      <c r="E2804" t="str">
        <f>"06 - B - 101 - Fernando  Vega-Cid"</f>
        <v>06 - B - 101 - Fernando  Vega-Cid</v>
      </c>
      <c r="F2804" t="str">
        <f>"PRE-AICE MATH 2 IG"</f>
        <v>PRE-AICE MATH 2 IG</v>
      </c>
      <c r="G2804" t="str">
        <f>"21-2163"</f>
        <v>21-2163</v>
      </c>
      <c r="H2804" t="str">
        <f>"B"</f>
        <v>B</v>
      </c>
    </row>
    <row r="2805" spans="1:8" x14ac:dyDescent="0.2">
      <c r="A2805" t="str">
        <f t="shared" si="1030"/>
        <v>0616150497</v>
      </c>
      <c r="B2805" t="str">
        <f t="shared" si="1031"/>
        <v>JASON</v>
      </c>
      <c r="C2805" t="str">
        <f t="shared" si="1032"/>
        <v>CASTILLO</v>
      </c>
      <c r="D2805" t="str">
        <f t="shared" si="1029"/>
        <v>09</v>
      </c>
      <c r="E2805" t="str">
        <f>"03 - A - 201 - Joe  Kilpatrick Jr"</f>
        <v>03 - A - 201 - Joe  Kilpatrick Jr</v>
      </c>
      <c r="F2805" t="str">
        <f>"PRE-AICE SPAN 2 IG"</f>
        <v>PRE-AICE SPAN 2 IG</v>
      </c>
      <c r="G2805" t="str">
        <f>"09-912"</f>
        <v>09-912</v>
      </c>
      <c r="H2805" t="str">
        <f>"A"</f>
        <v>A</v>
      </c>
    </row>
    <row r="2806" spans="1:8" x14ac:dyDescent="0.2">
      <c r="A2806" t="str">
        <f t="shared" si="1030"/>
        <v>0616150497</v>
      </c>
      <c r="B2806" t="str">
        <f t="shared" si="1031"/>
        <v>JASON</v>
      </c>
      <c r="C2806" t="str">
        <f t="shared" si="1032"/>
        <v>CASTILLO</v>
      </c>
      <c r="D2806" t="str">
        <f t="shared" si="1029"/>
        <v>09</v>
      </c>
      <c r="E2806" t="str">
        <f>"02 - A - 106 - Helen A Flores"</f>
        <v>02 - A - 106 - Helen A Flores</v>
      </c>
      <c r="F2806" t="str">
        <f>"NC STUDY HALL 1"</f>
        <v>NC STUDY HALL 1</v>
      </c>
      <c r="G2806" t="str">
        <f>"21-2101"</f>
        <v>21-2101</v>
      </c>
      <c r="H2806" t="str">
        <f>"A"</f>
        <v>A</v>
      </c>
    </row>
    <row r="2807" spans="1:8" x14ac:dyDescent="0.2">
      <c r="A2807" t="str">
        <f t="shared" si="1030"/>
        <v>0616150497</v>
      </c>
      <c r="B2807" t="str">
        <f t="shared" si="1031"/>
        <v>JASON</v>
      </c>
      <c r="C2807" t="str">
        <f t="shared" si="1032"/>
        <v>CASTILLO</v>
      </c>
      <c r="D2807" t="str">
        <f t="shared" si="1029"/>
        <v>09</v>
      </c>
      <c r="E2807" t="str">
        <f>"07 - B - 001 - Carol S Moore"</f>
        <v>07 - B - 001 - Carol S Moore</v>
      </c>
      <c r="F2807" t="str">
        <f>"PRE-AICE WRLD HST IG"</f>
        <v>PRE-AICE WRLD HST IG</v>
      </c>
      <c r="G2807" t="str">
        <f>"17-1733"</f>
        <v>17-1733</v>
      </c>
      <c r="H2807" t="str">
        <f>"B"</f>
        <v>B</v>
      </c>
    </row>
    <row r="2808" spans="1:8" x14ac:dyDescent="0.2">
      <c r="A2808" t="str">
        <f t="shared" si="1030"/>
        <v>0616150497</v>
      </c>
      <c r="B2808" t="str">
        <f t="shared" si="1031"/>
        <v>JASON</v>
      </c>
      <c r="C2808" t="str">
        <f t="shared" si="1032"/>
        <v>CASTILLO</v>
      </c>
      <c r="D2808" t="str">
        <f t="shared" si="1029"/>
        <v>09</v>
      </c>
      <c r="E2808" t="str">
        <f>"05 - B - 104 - Daniel S Tyson"</f>
        <v>05 - B - 104 - Daniel S Tyson</v>
      </c>
      <c r="F2808" t="str">
        <f>"JROTC NAVAL SCI 1"</f>
        <v>JROTC NAVAL SCI 1</v>
      </c>
      <c r="G2808" t="str">
        <f>"05-510"</f>
        <v>05-510</v>
      </c>
      <c r="H2808" t="str">
        <f>"B"</f>
        <v>B</v>
      </c>
    </row>
    <row r="2809" spans="1:8" x14ac:dyDescent="0.2">
      <c r="A2809" t="str">
        <f t="shared" si="1030"/>
        <v>0616150497</v>
      </c>
      <c r="B2809" t="str">
        <f t="shared" si="1031"/>
        <v>JASON</v>
      </c>
      <c r="C2809" t="str">
        <f t="shared" si="1032"/>
        <v>CASTILLO</v>
      </c>
      <c r="D2809" t="str">
        <f t="shared" si="1029"/>
        <v>09</v>
      </c>
      <c r="E2809" t="str">
        <f>"01 - A - 101 - Josiah I Lacy"</f>
        <v>01 - A - 101 - Josiah I Lacy</v>
      </c>
      <c r="F2809" t="str">
        <f>"PRE-AICE BIO IG"</f>
        <v>PRE-AICE BIO IG</v>
      </c>
      <c r="G2809" t="str">
        <f>"08-801"</f>
        <v>08-801</v>
      </c>
      <c r="H2809" t="str">
        <f>"A"</f>
        <v>A</v>
      </c>
    </row>
    <row r="2810" spans="1:8" x14ac:dyDescent="0.2">
      <c r="A2810" t="str">
        <f t="shared" si="1030"/>
        <v>0616150497</v>
      </c>
      <c r="B2810" t="str">
        <f t="shared" si="1031"/>
        <v>JASON</v>
      </c>
      <c r="C2810" t="str">
        <f t="shared" si="1032"/>
        <v>CASTILLO</v>
      </c>
      <c r="D2810" t="str">
        <f t="shared" si="1029"/>
        <v>09</v>
      </c>
      <c r="E2810" t="str">
        <f>"08 - B - 201 - Elizabeth R Walker"</f>
        <v>08 - B - 201 - Elizabeth R Walker</v>
      </c>
      <c r="F2810" t="str">
        <f>"AICE ENG GEN PAPER 1"</f>
        <v>AICE ENG GEN PAPER 1</v>
      </c>
      <c r="G2810" t="str">
        <f>"17-1703"</f>
        <v>17-1703</v>
      </c>
      <c r="H2810" t="str">
        <f>"B"</f>
        <v>B</v>
      </c>
    </row>
    <row r="2811" spans="1:8" x14ac:dyDescent="0.2">
      <c r="A2811" t="str">
        <f t="shared" ref="A2811:A2818" si="1033">"0612120587"</f>
        <v>0612120587</v>
      </c>
      <c r="B2811" t="str">
        <f t="shared" ref="B2811:B2818" si="1034">"SEBASTIAN"</f>
        <v>SEBASTIAN</v>
      </c>
      <c r="C2811" t="str">
        <f t="shared" si="1032"/>
        <v>CASTILLO</v>
      </c>
      <c r="D2811">
        <f>11</f>
        <v>11</v>
      </c>
      <c r="E2811" t="str">
        <f>"04 - A - 101 - Stephen T Ripp"</f>
        <v>04 - A - 101 - Stephen T Ripp</v>
      </c>
      <c r="F2811" t="str">
        <f>"AP U.S. HIST"</f>
        <v>AP U.S. HIST</v>
      </c>
      <c r="G2811" t="str">
        <f>"17-1744"</f>
        <v>17-1744</v>
      </c>
      <c r="H2811" t="str">
        <f>"A"</f>
        <v>A</v>
      </c>
    </row>
    <row r="2812" spans="1:8" x14ac:dyDescent="0.2">
      <c r="A2812" t="str">
        <f t="shared" si="1033"/>
        <v>0612120587</v>
      </c>
      <c r="B2812" t="str">
        <f t="shared" si="1034"/>
        <v>SEBASTIAN</v>
      </c>
      <c r="C2812" t="str">
        <f t="shared" si="1032"/>
        <v>CASTILLO</v>
      </c>
      <c r="D2812">
        <f>11</f>
        <v>11</v>
      </c>
      <c r="E2812" t="str">
        <f>"06 - B - 104 - Chrystina M Marchionne"</f>
        <v>06 - B - 104 - Chrystina M Marchionne</v>
      </c>
      <c r="F2812" t="str">
        <f>"AICE MEDIA STUDIES A"</f>
        <v>AICE MEDIA STUDIES A</v>
      </c>
      <c r="G2812" t="str">
        <f>"05-520"</f>
        <v>05-520</v>
      </c>
      <c r="H2812" t="str">
        <f>"B"</f>
        <v>B</v>
      </c>
    </row>
    <row r="2813" spans="1:8" x14ac:dyDescent="0.2">
      <c r="A2813" t="str">
        <f t="shared" si="1033"/>
        <v>0612120587</v>
      </c>
      <c r="B2813" t="str">
        <f t="shared" si="1034"/>
        <v>SEBASTIAN</v>
      </c>
      <c r="C2813" t="str">
        <f t="shared" si="1032"/>
        <v>CASTILLO</v>
      </c>
      <c r="D2813">
        <f>11</f>
        <v>11</v>
      </c>
      <c r="E2813" t="str">
        <f>"03 - A - 102 - Tina M Jaramillo"</f>
        <v>03 - A - 102 - Tina M Jaramillo</v>
      </c>
      <c r="F2813" t="str">
        <f>"AP ENG COMPO"</f>
        <v>AP ENG COMPO</v>
      </c>
      <c r="G2813" t="str">
        <f>"17-1706"</f>
        <v>17-1706</v>
      </c>
      <c r="H2813" t="str">
        <f>"A"</f>
        <v>A</v>
      </c>
    </row>
    <row r="2814" spans="1:8" x14ac:dyDescent="0.2">
      <c r="A2814" t="str">
        <f t="shared" si="1033"/>
        <v>0612120587</v>
      </c>
      <c r="B2814" t="str">
        <f t="shared" si="1034"/>
        <v>SEBASTIAN</v>
      </c>
      <c r="C2814" t="str">
        <f t="shared" si="1032"/>
        <v>CASTILLO</v>
      </c>
      <c r="D2814">
        <f>11</f>
        <v>11</v>
      </c>
      <c r="E2814" t="str">
        <f>"02 - A - 113 - Byron G Montenegro"</f>
        <v>02 - A - 113 - Byron G Montenegro</v>
      </c>
      <c r="F2814" t="str">
        <f>"NC STUDY HALL 1"</f>
        <v>NC STUDY HALL 1</v>
      </c>
      <c r="G2814" t="str">
        <f>"21-2144"</f>
        <v>21-2144</v>
      </c>
      <c r="H2814" t="str">
        <f>"A"</f>
        <v>A</v>
      </c>
    </row>
    <row r="2815" spans="1:8" x14ac:dyDescent="0.2">
      <c r="A2815" t="str">
        <f t="shared" si="1033"/>
        <v>0612120587</v>
      </c>
      <c r="B2815" t="str">
        <f t="shared" si="1034"/>
        <v>SEBASTIAN</v>
      </c>
      <c r="C2815" t="str">
        <f t="shared" si="1032"/>
        <v>CASTILLO</v>
      </c>
      <c r="D2815">
        <f>11</f>
        <v>11</v>
      </c>
      <c r="E2815" t="str">
        <f>"07 - B - 204 - Stefanie S Scher"</f>
        <v>07 - B - 204 - Stefanie S Scher</v>
      </c>
      <c r="F2815" t="str">
        <f>"AP PSYCH"</f>
        <v>AP PSYCH</v>
      </c>
      <c r="G2815" t="str">
        <f>"17-1735"</f>
        <v>17-1735</v>
      </c>
      <c r="H2815" t="str">
        <f>"B"</f>
        <v>B</v>
      </c>
    </row>
    <row r="2816" spans="1:8" x14ac:dyDescent="0.2">
      <c r="A2816" t="str">
        <f t="shared" si="1033"/>
        <v>0612120587</v>
      </c>
      <c r="B2816" t="str">
        <f t="shared" si="1034"/>
        <v>SEBASTIAN</v>
      </c>
      <c r="C2816" t="str">
        <f t="shared" si="1032"/>
        <v>CASTILLO</v>
      </c>
      <c r="D2816">
        <f>11</f>
        <v>11</v>
      </c>
      <c r="E2816" t="str">
        <f>"05 - B - 101 - Pamela M Corzo"</f>
        <v>05 - B - 101 - Pamela M Corzo</v>
      </c>
      <c r="F2816" t="str">
        <f>"AP CALCULUS AB"</f>
        <v>AP CALCULUS AB</v>
      </c>
      <c r="G2816" t="str">
        <f>"21-2133"</f>
        <v>21-2133</v>
      </c>
      <c r="H2816" t="str">
        <f>"B"</f>
        <v>B</v>
      </c>
    </row>
    <row r="2817" spans="1:8" x14ac:dyDescent="0.2">
      <c r="A2817" t="str">
        <f t="shared" si="1033"/>
        <v>0612120587</v>
      </c>
      <c r="B2817" t="str">
        <f t="shared" si="1034"/>
        <v>SEBASTIAN</v>
      </c>
      <c r="C2817" t="str">
        <f t="shared" si="1032"/>
        <v>CASTILLO</v>
      </c>
      <c r="D2817">
        <f>11</f>
        <v>11</v>
      </c>
      <c r="E2817" t="str">
        <f>"01 - A - 101 - Lisa J London"</f>
        <v>01 - A - 101 - Lisa J London</v>
      </c>
      <c r="F2817" t="str">
        <f>"AP CAPSTONE SEMINAR"</f>
        <v>AP CAPSTONE SEMINAR</v>
      </c>
      <c r="G2817" t="str">
        <f>"17-1714"</f>
        <v>17-1714</v>
      </c>
      <c r="H2817" t="str">
        <f>"A"</f>
        <v>A</v>
      </c>
    </row>
    <row r="2818" spans="1:8" x14ac:dyDescent="0.2">
      <c r="A2818" t="str">
        <f t="shared" si="1033"/>
        <v>0612120587</v>
      </c>
      <c r="B2818" t="str">
        <f t="shared" si="1034"/>
        <v>SEBASTIAN</v>
      </c>
      <c r="C2818" t="str">
        <f t="shared" si="1032"/>
        <v>CASTILLO</v>
      </c>
      <c r="D2818">
        <f>11</f>
        <v>11</v>
      </c>
      <c r="E2818" t="str">
        <f>"08 - B - 103 - Marielle A Witting"</f>
        <v>08 - B - 103 - Marielle A Witting</v>
      </c>
      <c r="F2818" t="str">
        <f>"AP BIO"</f>
        <v>AP BIO</v>
      </c>
      <c r="G2818" t="str">
        <f>"08-805"</f>
        <v>08-805</v>
      </c>
      <c r="H2818" t="str">
        <f>"B"</f>
        <v>B</v>
      </c>
    </row>
    <row r="2819" spans="1:8" x14ac:dyDescent="0.2">
      <c r="A2819" t="str">
        <f t="shared" ref="A2819:A2826" si="1035">"0616013965"</f>
        <v>0616013965</v>
      </c>
      <c r="B2819" t="str">
        <f t="shared" ref="B2819:B2826" si="1036">"JASHLYNE"</f>
        <v>JASHLYNE</v>
      </c>
      <c r="C2819" t="str">
        <f t="shared" ref="C2819:C2834" si="1037">"CASTRO"</f>
        <v>CASTRO</v>
      </c>
      <c r="D2819">
        <f>10</f>
        <v>10</v>
      </c>
      <c r="E2819" t="str">
        <f>"04 - A - 102 - Byron G Montenegro"</f>
        <v>04 - A - 102 - Byron G Montenegro</v>
      </c>
      <c r="F2819" t="str">
        <f>"AICE MARINE SCI 1 AS"</f>
        <v>AICE MARINE SCI 1 AS</v>
      </c>
      <c r="G2819" t="str">
        <f>"21-2144"</f>
        <v>21-2144</v>
      </c>
      <c r="H2819" t="str">
        <f>"A"</f>
        <v>A</v>
      </c>
    </row>
    <row r="2820" spans="1:8" x14ac:dyDescent="0.2">
      <c r="A2820" t="str">
        <f t="shared" si="1035"/>
        <v>0616013965</v>
      </c>
      <c r="B2820" t="str">
        <f t="shared" si="1036"/>
        <v>JASHLYNE</v>
      </c>
      <c r="C2820" t="str">
        <f t="shared" si="1037"/>
        <v>CASTRO</v>
      </c>
      <c r="D2820">
        <f>10</f>
        <v>10</v>
      </c>
      <c r="E2820" t="str">
        <f>"06 - B - 109 - Semra  Bahadir"</f>
        <v>06 - B - 109 - Semra  Bahadir</v>
      </c>
      <c r="F2820" t="str">
        <f>"NC STUDY HALL 1"</f>
        <v>NC STUDY HALL 1</v>
      </c>
      <c r="G2820" t="str">
        <f>"21-2107"</f>
        <v>21-2107</v>
      </c>
      <c r="H2820" t="str">
        <f>"B"</f>
        <v>B</v>
      </c>
    </row>
    <row r="2821" spans="1:8" x14ac:dyDescent="0.2">
      <c r="A2821" t="str">
        <f t="shared" si="1035"/>
        <v>0616013965</v>
      </c>
      <c r="B2821" t="str">
        <f t="shared" si="1036"/>
        <v>JASHLYNE</v>
      </c>
      <c r="C2821" t="str">
        <f t="shared" si="1037"/>
        <v>CASTRO</v>
      </c>
      <c r="D2821">
        <f>10</f>
        <v>10</v>
      </c>
      <c r="E2821" t="str">
        <f>"03 - A - 103 - Kelly N Panza"</f>
        <v>03 - A - 103 - Kelly N Panza</v>
      </c>
      <c r="F2821" t="str">
        <f>"AICE GLBL PERSP 1 AS"</f>
        <v>AICE GLBL PERSP 1 AS</v>
      </c>
      <c r="G2821" t="str">
        <f>"17-1753"</f>
        <v>17-1753</v>
      </c>
      <c r="H2821" t="str">
        <f>"A"</f>
        <v>A</v>
      </c>
    </row>
    <row r="2822" spans="1:8" x14ac:dyDescent="0.2">
      <c r="A2822" t="str">
        <f t="shared" si="1035"/>
        <v>0616013965</v>
      </c>
      <c r="B2822" t="str">
        <f t="shared" si="1036"/>
        <v>JASHLYNE</v>
      </c>
      <c r="C2822" t="str">
        <f t="shared" si="1037"/>
        <v>CASTRO</v>
      </c>
      <c r="D2822">
        <f>10</f>
        <v>10</v>
      </c>
      <c r="E2822" t="str">
        <f>"02 - A - 104 - Joe  Kilpatrick Jr"</f>
        <v>02 - A - 104 - Joe  Kilpatrick Jr</v>
      </c>
      <c r="F2822" t="str">
        <f>"PRE-AICE SPAN 2 IG"</f>
        <v>PRE-AICE SPAN 2 IG</v>
      </c>
      <c r="G2822" t="str">
        <f>"09-912"</f>
        <v>09-912</v>
      </c>
      <c r="H2822" t="str">
        <f>"A"</f>
        <v>A</v>
      </c>
    </row>
    <row r="2823" spans="1:8" x14ac:dyDescent="0.2">
      <c r="A2823" t="str">
        <f t="shared" si="1035"/>
        <v>0616013965</v>
      </c>
      <c r="B2823" t="str">
        <f t="shared" si="1036"/>
        <v>JASHLYNE</v>
      </c>
      <c r="C2823" t="str">
        <f t="shared" si="1037"/>
        <v>CASTRO</v>
      </c>
      <c r="D2823">
        <f>10</f>
        <v>10</v>
      </c>
      <c r="E2823" t="str">
        <f>"07 - B - 107 - Jacklyn M James"</f>
        <v>07 - B - 107 - Jacklyn M James</v>
      </c>
      <c r="F2823" t="str">
        <f>"AICE ENG LANG AS"</f>
        <v>AICE ENG LANG AS</v>
      </c>
      <c r="G2823" t="str">
        <f>"17-1731"</f>
        <v>17-1731</v>
      </c>
      <c r="H2823" t="str">
        <f>"B"</f>
        <v>B</v>
      </c>
    </row>
    <row r="2824" spans="1:8" x14ac:dyDescent="0.2">
      <c r="A2824" t="str">
        <f t="shared" si="1035"/>
        <v>0616013965</v>
      </c>
      <c r="B2824" t="str">
        <f t="shared" si="1036"/>
        <v>JASHLYNE</v>
      </c>
      <c r="C2824" t="str">
        <f t="shared" si="1037"/>
        <v>CASTRO</v>
      </c>
      <c r="D2824">
        <f>10</f>
        <v>10</v>
      </c>
      <c r="E2824" t="str">
        <f>"05 - B - 203 - Chrystina M Marchionne"</f>
        <v>05 - B - 203 - Chrystina M Marchionne</v>
      </c>
      <c r="F2824" t="str">
        <f>"AICE MEDIASTUDIES AS"</f>
        <v>AICE MEDIASTUDIES AS</v>
      </c>
      <c r="G2824" t="str">
        <f>"05-520"</f>
        <v>05-520</v>
      </c>
      <c r="H2824" t="str">
        <f>"B"</f>
        <v>B</v>
      </c>
    </row>
    <row r="2825" spans="1:8" x14ac:dyDescent="0.2">
      <c r="A2825" t="str">
        <f t="shared" si="1035"/>
        <v>0616013965</v>
      </c>
      <c r="B2825" t="str">
        <f t="shared" si="1036"/>
        <v>JASHLYNE</v>
      </c>
      <c r="C2825" t="str">
        <f t="shared" si="1037"/>
        <v>CASTRO</v>
      </c>
      <c r="D2825">
        <f>10</f>
        <v>10</v>
      </c>
      <c r="E2825" t="str">
        <f>"01 - A - 101 - Nikiel  Nesbeth"</f>
        <v>01 - A - 101 - Nikiel  Nesbeth</v>
      </c>
      <c r="F2825" t="str">
        <f>"CONST LAW HON"</f>
        <v>CONST LAW HON</v>
      </c>
      <c r="G2825" t="str">
        <f>"17-1705"</f>
        <v>17-1705</v>
      </c>
      <c r="H2825" t="str">
        <f>"A"</f>
        <v>A</v>
      </c>
    </row>
    <row r="2826" spans="1:8" x14ac:dyDescent="0.2">
      <c r="A2826" t="str">
        <f t="shared" si="1035"/>
        <v>0616013965</v>
      </c>
      <c r="B2826" t="str">
        <f t="shared" si="1036"/>
        <v>JASHLYNE</v>
      </c>
      <c r="C2826" t="str">
        <f t="shared" si="1037"/>
        <v>CASTRO</v>
      </c>
      <c r="D2826">
        <f>10</f>
        <v>10</v>
      </c>
      <c r="E2826" t="str">
        <f>"08 - B - 107 - Dayna M Foster"</f>
        <v>08 - B - 107 - Dayna M Foster</v>
      </c>
      <c r="F2826" t="str">
        <f>"ALGEBRA 2"</f>
        <v>ALGEBRA 2</v>
      </c>
      <c r="G2826" t="str">
        <f>"21-2109"</f>
        <v>21-2109</v>
      </c>
      <c r="H2826" t="str">
        <f>"B"</f>
        <v>B</v>
      </c>
    </row>
    <row r="2827" spans="1:8" x14ac:dyDescent="0.2">
      <c r="A2827" t="str">
        <f t="shared" ref="A2827:A2834" si="1038">"0625048812"</f>
        <v>0625048812</v>
      </c>
      <c r="B2827" t="str">
        <f t="shared" ref="B2827:B2834" si="1039">"JOSEPH"</f>
        <v>JOSEPH</v>
      </c>
      <c r="C2827" t="str">
        <f t="shared" si="1037"/>
        <v>CASTRO</v>
      </c>
      <c r="D2827">
        <f>11</f>
        <v>11</v>
      </c>
      <c r="E2827" t="str">
        <f>"04 - A - 102 - Jordana K Hass"</f>
        <v>04 - A - 102 - Jordana K Hass</v>
      </c>
      <c r="F2827" t="str">
        <f>"CHEMISTRY 1"</f>
        <v>CHEMISTRY 1</v>
      </c>
      <c r="G2827" t="str">
        <f>"08-807"</f>
        <v>08-807</v>
      </c>
      <c r="H2827" t="str">
        <f>"A"</f>
        <v>A</v>
      </c>
    </row>
    <row r="2828" spans="1:8" x14ac:dyDescent="0.2">
      <c r="A2828" t="str">
        <f t="shared" si="1038"/>
        <v>0625048812</v>
      </c>
      <c r="B2828" t="str">
        <f t="shared" si="1039"/>
        <v>JOSEPH</v>
      </c>
      <c r="C2828" t="str">
        <f t="shared" si="1037"/>
        <v>CASTRO</v>
      </c>
      <c r="D2828">
        <f>11</f>
        <v>11</v>
      </c>
      <c r="E2828" t="str">
        <f>"06 - B - 103 - Helen A Flores"</f>
        <v>06 - B - 103 - Helen A Flores</v>
      </c>
      <c r="F2828" t="str">
        <f>"ALGEBRA 2"</f>
        <v>ALGEBRA 2</v>
      </c>
      <c r="G2828" t="str">
        <f>"21-2101"</f>
        <v>21-2101</v>
      </c>
      <c r="H2828" t="str">
        <f>"B"</f>
        <v>B</v>
      </c>
    </row>
    <row r="2829" spans="1:8" x14ac:dyDescent="0.2">
      <c r="A2829" t="str">
        <f t="shared" si="1038"/>
        <v>0625048812</v>
      </c>
      <c r="B2829" t="str">
        <f t="shared" si="1039"/>
        <v>JOSEPH</v>
      </c>
      <c r="C2829" t="str">
        <f t="shared" si="1037"/>
        <v>CASTRO</v>
      </c>
      <c r="D2829">
        <f>11</f>
        <v>11</v>
      </c>
      <c r="E2829" t="str">
        <f>"03 - A - 101 - Dorothy D Moore"</f>
        <v>03 - A - 101 - Dorothy D Moore</v>
      </c>
      <c r="F2829" t="str">
        <f>"FORC SCI 1 LH"</f>
        <v>FORC SCI 1 LH</v>
      </c>
      <c r="G2829" t="str">
        <f>"08-803"</f>
        <v>08-803</v>
      </c>
      <c r="H2829" t="str">
        <f>"A"</f>
        <v>A</v>
      </c>
    </row>
    <row r="2830" spans="1:8" x14ac:dyDescent="0.2">
      <c r="A2830" t="str">
        <f t="shared" si="1038"/>
        <v>0625048812</v>
      </c>
      <c r="B2830" t="str">
        <f t="shared" si="1039"/>
        <v>JOSEPH</v>
      </c>
      <c r="C2830" t="str">
        <f t="shared" si="1037"/>
        <v>CASTRO</v>
      </c>
      <c r="D2830">
        <f>11</f>
        <v>11</v>
      </c>
      <c r="E2830" t="str">
        <f>"02 - A - 001 - Courtney E Hambright"</f>
        <v>02 - A - 001 - Courtney E Hambright</v>
      </c>
      <c r="F2830" t="str">
        <f>"NC STUDY HALL 1"</f>
        <v>NC STUDY HALL 1</v>
      </c>
      <c r="G2830" t="str">
        <f>"17-1711"</f>
        <v>17-1711</v>
      </c>
      <c r="H2830" t="str">
        <f>"A"</f>
        <v>A</v>
      </c>
    </row>
    <row r="2831" spans="1:8" x14ac:dyDescent="0.2">
      <c r="A2831" t="str">
        <f t="shared" si="1038"/>
        <v>0625048812</v>
      </c>
      <c r="B2831" t="str">
        <f t="shared" si="1039"/>
        <v>JOSEPH</v>
      </c>
      <c r="C2831" t="str">
        <f t="shared" si="1037"/>
        <v>CASTRO</v>
      </c>
      <c r="D2831">
        <f>11</f>
        <v>11</v>
      </c>
      <c r="E2831" t="str">
        <f>"07 - S1 - B - 102 - Arthur  Kulawik"</f>
        <v>07 - S1 - B - 102 - Arthur  Kulawik</v>
      </c>
      <c r="F2831" t="str">
        <f>"PERS FIN &amp; MON MGT H"</f>
        <v>PERS FIN &amp; MON MGT H</v>
      </c>
      <c r="G2831" t="str">
        <f>"05-506"</f>
        <v>05-506</v>
      </c>
      <c r="H2831" t="str">
        <f>"B"</f>
        <v>B</v>
      </c>
    </row>
    <row r="2832" spans="1:8" x14ac:dyDescent="0.2">
      <c r="A2832" t="str">
        <f t="shared" si="1038"/>
        <v>0625048812</v>
      </c>
      <c r="B2832" t="str">
        <f t="shared" si="1039"/>
        <v>JOSEPH</v>
      </c>
      <c r="C2832" t="str">
        <f t="shared" si="1037"/>
        <v>CASTRO</v>
      </c>
      <c r="D2832">
        <f>11</f>
        <v>11</v>
      </c>
      <c r="E2832" t="str">
        <f>"05 - B - 001 - Kyle  Robbins"</f>
        <v>05 - B - 001 - Kyle  Robbins</v>
      </c>
      <c r="F2832" t="str">
        <f>"US HISTORY HON"</f>
        <v>US HISTORY HON</v>
      </c>
      <c r="G2832" t="str">
        <f>"17-1745"</f>
        <v>17-1745</v>
      </c>
      <c r="H2832" t="str">
        <f>"B"</f>
        <v>B</v>
      </c>
    </row>
    <row r="2833" spans="1:8" x14ac:dyDescent="0.2">
      <c r="A2833" t="str">
        <f t="shared" si="1038"/>
        <v>0625048812</v>
      </c>
      <c r="B2833" t="str">
        <f t="shared" si="1039"/>
        <v>JOSEPH</v>
      </c>
      <c r="C2833" t="str">
        <f t="shared" si="1037"/>
        <v>CASTRO</v>
      </c>
      <c r="D2833">
        <f>11</f>
        <v>11</v>
      </c>
      <c r="E2833" t="str">
        <f>"01 - A - 101 - Heidi M Knopp"</f>
        <v>01 - A - 101 - Heidi M Knopp</v>
      </c>
      <c r="F2833" t="str">
        <f>"ENG HON 3"</f>
        <v>ENG HON 3</v>
      </c>
      <c r="G2833" t="str">
        <f>"17-1752"</f>
        <v>17-1752</v>
      </c>
      <c r="H2833" t="str">
        <f>"A"</f>
        <v>A</v>
      </c>
    </row>
    <row r="2834" spans="1:8" x14ac:dyDescent="0.2">
      <c r="A2834" t="str">
        <f t="shared" si="1038"/>
        <v>0625048812</v>
      </c>
      <c r="B2834" t="str">
        <f t="shared" si="1039"/>
        <v>JOSEPH</v>
      </c>
      <c r="C2834" t="str">
        <f t="shared" si="1037"/>
        <v>CASTRO</v>
      </c>
      <c r="D2834">
        <f>11</f>
        <v>11</v>
      </c>
      <c r="E2834" t="str">
        <f>"08 - B - 001 - Chrystina M Marchionne"</f>
        <v>08 - B - 001 - Chrystina M Marchionne</v>
      </c>
      <c r="F2834" t="str">
        <f>"JOURN 1 (YB) LH"</f>
        <v>JOURN 1 (YB) LH</v>
      </c>
      <c r="G2834" t="str">
        <f>"05-520"</f>
        <v>05-520</v>
      </c>
      <c r="H2834" t="str">
        <f>"B"</f>
        <v>B</v>
      </c>
    </row>
    <row r="2835" spans="1:8" x14ac:dyDescent="0.2">
      <c r="A2835" t="str">
        <f t="shared" ref="A2835:A2842" si="1040">"0625031042"</f>
        <v>0625031042</v>
      </c>
      <c r="B2835" t="str">
        <f t="shared" ref="B2835:B2842" si="1041">"Enzo"</f>
        <v>Enzo</v>
      </c>
      <c r="C2835" t="str">
        <f t="shared" ref="C2835:C2842" si="1042">"Castro Dickel"</f>
        <v>Castro Dickel</v>
      </c>
      <c r="D2835">
        <f>10</f>
        <v>10</v>
      </c>
      <c r="E2835" t="str">
        <f>"04 - A - 106 - Ferrie J Arostique"</f>
        <v>04 - A - 106 - Ferrie J Arostique</v>
      </c>
      <c r="F2835" t="str">
        <f>"PRE-AICE MATH 2 IG"</f>
        <v>PRE-AICE MATH 2 IG</v>
      </c>
      <c r="G2835" t="str">
        <f>"21-2139"</f>
        <v>21-2139</v>
      </c>
      <c r="H2835" t="str">
        <f>"A"</f>
        <v>A</v>
      </c>
    </row>
    <row r="2836" spans="1:8" x14ac:dyDescent="0.2">
      <c r="A2836" t="str">
        <f t="shared" si="1040"/>
        <v>0625031042</v>
      </c>
      <c r="B2836" t="str">
        <f t="shared" si="1041"/>
        <v>Enzo</v>
      </c>
      <c r="C2836" t="str">
        <f t="shared" si="1042"/>
        <v>Castro Dickel</v>
      </c>
      <c r="D2836">
        <f>10</f>
        <v>10</v>
      </c>
      <c r="E2836" t="str">
        <f>"06 - B - 103 - Thomas G Handwerg"</f>
        <v>06 - B - 103 - Thomas G Handwerg</v>
      </c>
      <c r="F2836" t="str">
        <f>"NC STUDY HALL 1"</f>
        <v>NC STUDY HALL 1</v>
      </c>
      <c r="G2836" t="str">
        <f>"21-2146"</f>
        <v>21-2146</v>
      </c>
      <c r="H2836" t="str">
        <f>"B"</f>
        <v>B</v>
      </c>
    </row>
    <row r="2837" spans="1:8" x14ac:dyDescent="0.2">
      <c r="A2837" t="str">
        <f t="shared" si="1040"/>
        <v>0625031042</v>
      </c>
      <c r="B2837" t="str">
        <f t="shared" si="1041"/>
        <v>Enzo</v>
      </c>
      <c r="C2837" t="str">
        <f t="shared" si="1042"/>
        <v>Castro Dickel</v>
      </c>
      <c r="D2837">
        <f>10</f>
        <v>10</v>
      </c>
      <c r="E2837" t="str">
        <f>"03 - A - 103 - Taraneh C Abreu"</f>
        <v>03 - A - 103 - Taraneh C Abreu</v>
      </c>
      <c r="F2837" t="str">
        <f>"INTENS READ 2"</f>
        <v>INTENS READ 2</v>
      </c>
      <c r="G2837" t="str">
        <f>"17-1713"</f>
        <v>17-1713</v>
      </c>
      <c r="H2837" t="str">
        <f>"A"</f>
        <v>A</v>
      </c>
    </row>
    <row r="2838" spans="1:8" x14ac:dyDescent="0.2">
      <c r="A2838" t="str">
        <f t="shared" si="1040"/>
        <v>0625031042</v>
      </c>
      <c r="B2838" t="str">
        <f t="shared" si="1041"/>
        <v>Enzo</v>
      </c>
      <c r="C2838" t="str">
        <f t="shared" si="1042"/>
        <v>Castro Dickel</v>
      </c>
      <c r="D2838">
        <f>10</f>
        <v>10</v>
      </c>
      <c r="E2838" t="str">
        <f>"02 - A - 102 - Nikiel  Nesbeth"</f>
        <v>02 - A - 102 - Nikiel  Nesbeth</v>
      </c>
      <c r="F2838" t="str">
        <f>"ENG 2"</f>
        <v>ENG 2</v>
      </c>
      <c r="G2838" t="str">
        <f>"17-1705"</f>
        <v>17-1705</v>
      </c>
      <c r="H2838" t="str">
        <f>"A"</f>
        <v>A</v>
      </c>
    </row>
    <row r="2839" spans="1:8" x14ac:dyDescent="0.2">
      <c r="A2839" t="str">
        <f t="shared" si="1040"/>
        <v>0625031042</v>
      </c>
      <c r="B2839" t="str">
        <f t="shared" si="1041"/>
        <v>Enzo</v>
      </c>
      <c r="C2839" t="str">
        <f t="shared" si="1042"/>
        <v>Castro Dickel</v>
      </c>
      <c r="D2839">
        <f>10</f>
        <v>10</v>
      </c>
      <c r="E2839" t="str">
        <f>"07 - B - 101 - Jeanne M Bermudez"</f>
        <v>07 - B - 101 - Jeanne M Bermudez</v>
      </c>
      <c r="F2839" t="str">
        <f>"FOUND OF PROGRAM HON"</f>
        <v>FOUND OF PROGRAM HON</v>
      </c>
      <c r="G2839" t="str">
        <f>"21-2141"</f>
        <v>21-2141</v>
      </c>
      <c r="H2839" t="str">
        <f>"B"</f>
        <v>B</v>
      </c>
    </row>
    <row r="2840" spans="1:8" x14ac:dyDescent="0.2">
      <c r="A2840" t="str">
        <f t="shared" si="1040"/>
        <v>0625031042</v>
      </c>
      <c r="B2840" t="str">
        <f t="shared" si="1041"/>
        <v>Enzo</v>
      </c>
      <c r="C2840" t="str">
        <f t="shared" si="1042"/>
        <v>Castro Dickel</v>
      </c>
      <c r="D2840">
        <f>10</f>
        <v>10</v>
      </c>
      <c r="E2840" t="str">
        <f>"05 - S1 - B - 102 - Carol S Moore"</f>
        <v>05 - S1 - B - 102 - Carol S Moore</v>
      </c>
      <c r="F2840" t="str">
        <f>"PERS FIN &amp; MON MGT H"</f>
        <v>PERS FIN &amp; MON MGT H</v>
      </c>
      <c r="G2840" t="str">
        <f>"17-1733"</f>
        <v>17-1733</v>
      </c>
      <c r="H2840" t="str">
        <f>"B"</f>
        <v>B</v>
      </c>
    </row>
    <row r="2841" spans="1:8" x14ac:dyDescent="0.2">
      <c r="A2841" t="str">
        <f t="shared" si="1040"/>
        <v>0625031042</v>
      </c>
      <c r="B2841" t="str">
        <f t="shared" si="1041"/>
        <v>Enzo</v>
      </c>
      <c r="C2841" t="str">
        <f t="shared" si="1042"/>
        <v>Castro Dickel</v>
      </c>
      <c r="D2841">
        <f>10</f>
        <v>10</v>
      </c>
      <c r="E2841" t="str">
        <f>"01 - A - 101 - Angela S Adeshina-Morrison"</f>
        <v>01 - A - 101 - Angela S Adeshina-Morrison</v>
      </c>
      <c r="F2841" t="str">
        <f>"MARKETING ESSENTIALS"</f>
        <v>MARKETING ESSENTIALS</v>
      </c>
      <c r="G2841" t="str">
        <f>"05-518"</f>
        <v>05-518</v>
      </c>
      <c r="H2841" t="str">
        <f>"A"</f>
        <v>A</v>
      </c>
    </row>
    <row r="2842" spans="1:8" x14ac:dyDescent="0.2">
      <c r="A2842" t="str">
        <f t="shared" si="1040"/>
        <v>0625031042</v>
      </c>
      <c r="B2842" t="str">
        <f t="shared" si="1041"/>
        <v>Enzo</v>
      </c>
      <c r="C2842" t="str">
        <f t="shared" si="1042"/>
        <v>Castro Dickel</v>
      </c>
      <c r="D2842">
        <f>10</f>
        <v>10</v>
      </c>
      <c r="E2842" t="str">
        <f>"08 - B - 001 - Lytrell T Dixon"</f>
        <v>08 - B - 001 - Lytrell T Dixon</v>
      </c>
      <c r="F2842" t="str">
        <f>"BIOLOGY 1"</f>
        <v>BIOLOGY 1</v>
      </c>
      <c r="G2842" t="str">
        <f>"08-808"</f>
        <v>08-808</v>
      </c>
      <c r="H2842" t="str">
        <f>"B"</f>
        <v>B</v>
      </c>
    </row>
    <row r="2843" spans="1:8" x14ac:dyDescent="0.2">
      <c r="A2843" t="str">
        <f t="shared" ref="A2843:A2850" si="1043">"0614136934"</f>
        <v>0614136934</v>
      </c>
      <c r="B2843" t="str">
        <f t="shared" ref="B2843:B2850" si="1044">"DAVID"</f>
        <v>DAVID</v>
      </c>
      <c r="C2843" t="str">
        <f t="shared" ref="C2843:C2850" si="1045">"CASTRO SEQUEIRA"</f>
        <v>CASTRO SEQUEIRA</v>
      </c>
      <c r="D2843">
        <f>11</f>
        <v>11</v>
      </c>
      <c r="E2843" t="str">
        <f>"04 - A - 108 - Maried P Ramos"</f>
        <v>04 - A - 108 - Maried P Ramos</v>
      </c>
      <c r="F2843" t="str">
        <f>"GEOMETRY"</f>
        <v>GEOMETRY</v>
      </c>
      <c r="G2843" t="str">
        <f>"21-2159"</f>
        <v>21-2159</v>
      </c>
      <c r="H2843" t="str">
        <f>"A"</f>
        <v>A</v>
      </c>
    </row>
    <row r="2844" spans="1:8" x14ac:dyDescent="0.2">
      <c r="A2844" t="str">
        <f t="shared" si="1043"/>
        <v>0614136934</v>
      </c>
      <c r="B2844" t="str">
        <f t="shared" si="1044"/>
        <v>DAVID</v>
      </c>
      <c r="C2844" t="str">
        <f t="shared" si="1045"/>
        <v>CASTRO SEQUEIRA</v>
      </c>
      <c r="D2844">
        <f>11</f>
        <v>11</v>
      </c>
      <c r="E2844" t="str">
        <f>"06 - B - 105 - Arthur  Kulawik"</f>
        <v>06 - B - 105 - Arthur  Kulawik</v>
      </c>
      <c r="F2844" t="str">
        <f>"ENG 3"</f>
        <v>ENG 3</v>
      </c>
      <c r="G2844" t="str">
        <f>"05-506"</f>
        <v>05-506</v>
      </c>
      <c r="H2844" t="str">
        <f>"B"</f>
        <v>B</v>
      </c>
    </row>
    <row r="2845" spans="1:8" x14ac:dyDescent="0.2">
      <c r="A2845" t="str">
        <f t="shared" si="1043"/>
        <v>0614136934</v>
      </c>
      <c r="B2845" t="str">
        <f t="shared" si="1044"/>
        <v>DAVID</v>
      </c>
      <c r="C2845" t="str">
        <f t="shared" si="1045"/>
        <v>CASTRO SEQUEIRA</v>
      </c>
      <c r="D2845">
        <f>11</f>
        <v>11</v>
      </c>
      <c r="E2845" t="str">
        <f>"03 - A - 208 - Marielle A Witting"</f>
        <v>03 - A - 208 - Marielle A Witting</v>
      </c>
      <c r="F2845" t="str">
        <f>"ANAT PHYSIO"</f>
        <v>ANAT PHYSIO</v>
      </c>
      <c r="G2845" t="str">
        <f>"08-805"</f>
        <v>08-805</v>
      </c>
      <c r="H2845" t="str">
        <f>"A"</f>
        <v>A</v>
      </c>
    </row>
    <row r="2846" spans="1:8" x14ac:dyDescent="0.2">
      <c r="A2846" t="str">
        <f t="shared" si="1043"/>
        <v>0614136934</v>
      </c>
      <c r="B2846" t="str">
        <f t="shared" si="1044"/>
        <v>DAVID</v>
      </c>
      <c r="C2846" t="str">
        <f t="shared" si="1045"/>
        <v>CASTRO SEQUEIRA</v>
      </c>
      <c r="D2846">
        <f>11</f>
        <v>11</v>
      </c>
      <c r="E2846" t="str">
        <f>"02 - A - 108 - Stephen T Ripp"</f>
        <v>02 - A - 108 - Stephen T Ripp</v>
      </c>
      <c r="F2846" t="str">
        <f>"NC STUDY HALL 1"</f>
        <v>NC STUDY HALL 1</v>
      </c>
      <c r="G2846" t="str">
        <f>"17-1744"</f>
        <v>17-1744</v>
      </c>
      <c r="H2846" t="str">
        <f>"A"</f>
        <v>A</v>
      </c>
    </row>
    <row r="2847" spans="1:8" x14ac:dyDescent="0.2">
      <c r="A2847" t="str">
        <f t="shared" si="1043"/>
        <v>0614136934</v>
      </c>
      <c r="B2847" t="str">
        <f t="shared" si="1044"/>
        <v>DAVID</v>
      </c>
      <c r="C2847" t="str">
        <f t="shared" si="1045"/>
        <v>CASTRO SEQUEIRA</v>
      </c>
      <c r="D2847">
        <f>11</f>
        <v>11</v>
      </c>
      <c r="E2847" t="str">
        <f>"07 - B - 101 - Samantha L Martinez"</f>
        <v>07 - B - 101 - Samantha L Martinez</v>
      </c>
      <c r="F2847" t="str">
        <f>"KEYBD 1"</f>
        <v>KEYBD 1</v>
      </c>
      <c r="G2847" t="str">
        <f>"05-505"</f>
        <v>05-505</v>
      </c>
      <c r="H2847" t="str">
        <f>"B"</f>
        <v>B</v>
      </c>
    </row>
    <row r="2848" spans="1:8" x14ac:dyDescent="0.2">
      <c r="A2848" t="str">
        <f t="shared" si="1043"/>
        <v>0614136934</v>
      </c>
      <c r="B2848" t="str">
        <f t="shared" si="1044"/>
        <v>DAVID</v>
      </c>
      <c r="C2848" t="str">
        <f t="shared" si="1045"/>
        <v>CASTRO SEQUEIRA</v>
      </c>
      <c r="D2848">
        <f>11</f>
        <v>11</v>
      </c>
      <c r="E2848" t="str">
        <f>"05 - B - 201 - Jazmin S Fletcher"</f>
        <v>05 - B - 201 - Jazmin S Fletcher</v>
      </c>
      <c r="F2848" t="str">
        <f>"THEATRE 1"</f>
        <v>THEATRE 1</v>
      </c>
      <c r="G2848" t="str">
        <f>"09-909"</f>
        <v>09-909</v>
      </c>
      <c r="H2848" t="str">
        <f>"B"</f>
        <v>B</v>
      </c>
    </row>
    <row r="2849" spans="1:8" x14ac:dyDescent="0.2">
      <c r="A2849" t="str">
        <f t="shared" si="1043"/>
        <v>0614136934</v>
      </c>
      <c r="B2849" t="str">
        <f t="shared" si="1044"/>
        <v>DAVID</v>
      </c>
      <c r="C2849" t="str">
        <f t="shared" si="1045"/>
        <v>CASTRO SEQUEIRA</v>
      </c>
      <c r="D2849">
        <f>11</f>
        <v>11</v>
      </c>
      <c r="E2849" t="str">
        <f>"01 - A - 101 - Nahum  Saint-Preux"</f>
        <v>01 - A - 101 - Nahum  Saint-Preux</v>
      </c>
      <c r="F2849" t="str">
        <f>"INTENS READ 3"</f>
        <v>INTENS READ 3</v>
      </c>
      <c r="G2849" t="str">
        <f>"17-1712"</f>
        <v>17-1712</v>
      </c>
      <c r="H2849" t="str">
        <f>"A"</f>
        <v>A</v>
      </c>
    </row>
    <row r="2850" spans="1:8" x14ac:dyDescent="0.2">
      <c r="A2850" t="str">
        <f t="shared" si="1043"/>
        <v>0614136934</v>
      </c>
      <c r="B2850" t="str">
        <f t="shared" si="1044"/>
        <v>DAVID</v>
      </c>
      <c r="C2850" t="str">
        <f t="shared" si="1045"/>
        <v>CASTRO SEQUEIRA</v>
      </c>
      <c r="D2850">
        <f>11</f>
        <v>11</v>
      </c>
      <c r="E2850" t="str">
        <f>"08 - B - 109 - Lauren N Logan"</f>
        <v>08 - B - 109 - Lauren N Logan</v>
      </c>
      <c r="F2850" t="str">
        <f>"US HISTORY"</f>
        <v>US HISTORY</v>
      </c>
      <c r="G2850" t="str">
        <f>"17-1754"</f>
        <v>17-1754</v>
      </c>
      <c r="H2850" t="str">
        <f>"B"</f>
        <v>B</v>
      </c>
    </row>
    <row r="2851" spans="1:8" x14ac:dyDescent="0.2">
      <c r="A2851" t="str">
        <f t="shared" ref="A2851:A2858" si="1046">"0615108659"</f>
        <v>0615108659</v>
      </c>
      <c r="B2851" t="str">
        <f t="shared" ref="B2851:B2858" si="1047">"TYLER"</f>
        <v>TYLER</v>
      </c>
      <c r="C2851" t="str">
        <f t="shared" ref="C2851:C2858" si="1048">"CATILUS"</f>
        <v>CATILUS</v>
      </c>
      <c r="D2851">
        <f>10</f>
        <v>10</v>
      </c>
      <c r="E2851" t="str">
        <f>"04 - A - 108 - Maried P Ramos"</f>
        <v>04 - A - 108 - Maried P Ramos</v>
      </c>
      <c r="F2851" t="str">
        <f>"GEOMETRY"</f>
        <v>GEOMETRY</v>
      </c>
      <c r="G2851" t="str">
        <f>"21-2159"</f>
        <v>21-2159</v>
      </c>
      <c r="H2851" t="str">
        <f>"A"</f>
        <v>A</v>
      </c>
    </row>
    <row r="2852" spans="1:8" x14ac:dyDescent="0.2">
      <c r="A2852" t="str">
        <f t="shared" si="1046"/>
        <v>0615108659</v>
      </c>
      <c r="B2852" t="str">
        <f t="shared" si="1047"/>
        <v>TYLER</v>
      </c>
      <c r="C2852" t="str">
        <f t="shared" si="1048"/>
        <v>CATILUS</v>
      </c>
      <c r="D2852">
        <f>10</f>
        <v>10</v>
      </c>
      <c r="E2852" t="str">
        <f>"06 - B - 108 - Jacklyn M James"</f>
        <v>06 - B - 108 - Jacklyn M James</v>
      </c>
      <c r="F2852" t="str">
        <f>"NC STUDY HALL 1"</f>
        <v>NC STUDY HALL 1</v>
      </c>
      <c r="G2852" t="str">
        <f>"17-1731"</f>
        <v>17-1731</v>
      </c>
      <c r="H2852" t="str">
        <f>"B"</f>
        <v>B</v>
      </c>
    </row>
    <row r="2853" spans="1:8" x14ac:dyDescent="0.2">
      <c r="A2853" t="str">
        <f t="shared" si="1046"/>
        <v>0615108659</v>
      </c>
      <c r="B2853" t="str">
        <f t="shared" si="1047"/>
        <v>TYLER</v>
      </c>
      <c r="C2853" t="str">
        <f t="shared" si="1048"/>
        <v>CATILUS</v>
      </c>
      <c r="D2853">
        <f>10</f>
        <v>10</v>
      </c>
      <c r="E2853" t="str">
        <f>"03 - A - 103 - Courtney E Hambright"</f>
        <v>03 - A - 103 - Courtney E Hambright</v>
      </c>
      <c r="F2853" t="str">
        <f>"AICE ENG LANG AS"</f>
        <v>AICE ENG LANG AS</v>
      </c>
      <c r="G2853" t="str">
        <f>"17-1711"</f>
        <v>17-1711</v>
      </c>
      <c r="H2853" t="str">
        <f>"A"</f>
        <v>A</v>
      </c>
    </row>
    <row r="2854" spans="1:8" x14ac:dyDescent="0.2">
      <c r="A2854" t="str">
        <f t="shared" si="1046"/>
        <v>0615108659</v>
      </c>
      <c r="B2854" t="str">
        <f t="shared" si="1047"/>
        <v>TYLER</v>
      </c>
      <c r="C2854" t="str">
        <f t="shared" si="1048"/>
        <v>CATILUS</v>
      </c>
      <c r="D2854">
        <f>10</f>
        <v>10</v>
      </c>
      <c r="E2854" t="str">
        <f>"02 - A - 104 - Scott A Dethloff"</f>
        <v>02 - A - 104 - Scott A Dethloff</v>
      </c>
      <c r="F2854" t="str">
        <f>"CHEMISTRY 1 HON"</f>
        <v>CHEMISTRY 1 HON</v>
      </c>
      <c r="G2854" t="str">
        <f>"08-812"</f>
        <v>08-812</v>
      </c>
      <c r="H2854" t="str">
        <f>"A"</f>
        <v>A</v>
      </c>
    </row>
    <row r="2855" spans="1:8" x14ac:dyDescent="0.2">
      <c r="A2855" t="str">
        <f t="shared" si="1046"/>
        <v>0615108659</v>
      </c>
      <c r="B2855" t="str">
        <f t="shared" si="1047"/>
        <v>TYLER</v>
      </c>
      <c r="C2855" t="str">
        <f t="shared" si="1048"/>
        <v>CATILUS</v>
      </c>
      <c r="D2855">
        <f>10</f>
        <v>10</v>
      </c>
      <c r="E2855" t="str">
        <f>"07 - S1 - B - 103 - Leslie J Barton"</f>
        <v>07 - S1 - B - 103 - Leslie J Barton</v>
      </c>
      <c r="F2855" t="str">
        <f>"TEAM SPORTS 1"</f>
        <v>TEAM SPORTS 1</v>
      </c>
      <c r="G2855" t="str">
        <f>"04-254"</f>
        <v>04-254</v>
      </c>
      <c r="H2855" t="str">
        <f>"B"</f>
        <v>B</v>
      </c>
    </row>
    <row r="2856" spans="1:8" x14ac:dyDescent="0.2">
      <c r="A2856" t="str">
        <f t="shared" si="1046"/>
        <v>0615108659</v>
      </c>
      <c r="B2856" t="str">
        <f t="shared" si="1047"/>
        <v>TYLER</v>
      </c>
      <c r="C2856" t="str">
        <f t="shared" si="1048"/>
        <v>CATILUS</v>
      </c>
      <c r="D2856">
        <f>10</f>
        <v>10</v>
      </c>
      <c r="E2856" t="str">
        <f>"05 - B - 001 - Stefanie S Scher"</f>
        <v>05 - B - 001 - Stefanie S Scher</v>
      </c>
      <c r="F2856" t="str">
        <f>"AICE PSYCH 1 AS"</f>
        <v>AICE PSYCH 1 AS</v>
      </c>
      <c r="G2856" t="str">
        <f>"17-1735"</f>
        <v>17-1735</v>
      </c>
      <c r="H2856" t="str">
        <f>"B"</f>
        <v>B</v>
      </c>
    </row>
    <row r="2857" spans="1:8" x14ac:dyDescent="0.2">
      <c r="A2857" t="str">
        <f t="shared" si="1046"/>
        <v>0615108659</v>
      </c>
      <c r="B2857" t="str">
        <f t="shared" si="1047"/>
        <v>TYLER</v>
      </c>
      <c r="C2857" t="str">
        <f t="shared" si="1048"/>
        <v>CATILUS</v>
      </c>
      <c r="D2857">
        <f>10</f>
        <v>10</v>
      </c>
      <c r="E2857" t="str">
        <f>"01 - A - 201 - Chrystina M Marchionne"</f>
        <v>01 - A - 201 - Chrystina M Marchionne</v>
      </c>
      <c r="F2857" t="str">
        <f>"AICE MEDIASTUDIES AS"</f>
        <v>AICE MEDIASTUDIES AS</v>
      </c>
      <c r="G2857" t="str">
        <f>"05-520"</f>
        <v>05-520</v>
      </c>
      <c r="H2857" t="str">
        <f>"A"</f>
        <v>A</v>
      </c>
    </row>
    <row r="2858" spans="1:8" x14ac:dyDescent="0.2">
      <c r="A2858" t="str">
        <f t="shared" si="1046"/>
        <v>0615108659</v>
      </c>
      <c r="B2858" t="str">
        <f t="shared" si="1047"/>
        <v>TYLER</v>
      </c>
      <c r="C2858" t="str">
        <f t="shared" si="1048"/>
        <v>CATILUS</v>
      </c>
      <c r="D2858">
        <f>10</f>
        <v>10</v>
      </c>
      <c r="E2858" t="str">
        <f>"08 - B - 103 - Joe  Kilpatrick Jr"</f>
        <v>08 - B - 103 - Joe  Kilpatrick Jr</v>
      </c>
      <c r="F2858" t="str">
        <f>"PRE-AICE SPAN 2 IG"</f>
        <v>PRE-AICE SPAN 2 IG</v>
      </c>
      <c r="G2858" t="str">
        <f>"09-912"</f>
        <v>09-912</v>
      </c>
      <c r="H2858" t="str">
        <f>"B"</f>
        <v>B</v>
      </c>
    </row>
    <row r="2859" spans="1:8" x14ac:dyDescent="0.2">
      <c r="A2859" t="str">
        <f t="shared" ref="A2859:A2866" si="1049">"0617106394"</f>
        <v>0617106394</v>
      </c>
      <c r="B2859" t="str">
        <f t="shared" ref="B2859:B2866" si="1050">"TSELANI"</f>
        <v>TSELANI</v>
      </c>
      <c r="C2859" t="str">
        <f t="shared" ref="C2859:C2866" si="1051">"CATUS"</f>
        <v>CATUS</v>
      </c>
      <c r="D2859">
        <f>10</f>
        <v>10</v>
      </c>
      <c r="E2859" t="str">
        <f>"04 - A - 104 - Marius D Orsolini"</f>
        <v>04 - A - 104 - Marius D Orsolini</v>
      </c>
      <c r="F2859" t="str">
        <f>"CULINARY ARTS 1"</f>
        <v>CULINARY ARTS 1</v>
      </c>
      <c r="G2859" t="str">
        <f>"21-2115"</f>
        <v>21-2115</v>
      </c>
      <c r="H2859" t="str">
        <f>"A"</f>
        <v>A</v>
      </c>
    </row>
    <row r="2860" spans="1:8" x14ac:dyDescent="0.2">
      <c r="A2860" t="str">
        <f t="shared" si="1049"/>
        <v>0617106394</v>
      </c>
      <c r="B2860" t="str">
        <f t="shared" si="1050"/>
        <v>TSELANI</v>
      </c>
      <c r="C2860" t="str">
        <f t="shared" si="1051"/>
        <v>CATUS</v>
      </c>
      <c r="D2860">
        <f>10</f>
        <v>10</v>
      </c>
      <c r="E2860" t="str">
        <f>"06 - B - 113 - Joe  Kilpatrick Jr"</f>
        <v>06 - B - 113 - Joe  Kilpatrick Jr</v>
      </c>
      <c r="F2860" t="str">
        <f>"NC STUDY HALL 1"</f>
        <v>NC STUDY HALL 1</v>
      </c>
      <c r="G2860" t="str">
        <f>"09-912"</f>
        <v>09-912</v>
      </c>
      <c r="H2860" t="str">
        <f>"B"</f>
        <v>B</v>
      </c>
    </row>
    <row r="2861" spans="1:8" x14ac:dyDescent="0.2">
      <c r="A2861" t="str">
        <f t="shared" si="1049"/>
        <v>0617106394</v>
      </c>
      <c r="B2861" t="str">
        <f t="shared" si="1050"/>
        <v>TSELANI</v>
      </c>
      <c r="C2861" t="str">
        <f t="shared" si="1051"/>
        <v>CATUS</v>
      </c>
      <c r="D2861">
        <f>10</f>
        <v>10</v>
      </c>
      <c r="E2861" t="str">
        <f>"03 - A - 103 - Courtney E Hambright"</f>
        <v>03 - A - 103 - Courtney E Hambright</v>
      </c>
      <c r="F2861" t="str">
        <f>"AICE ENG LANG AS"</f>
        <v>AICE ENG LANG AS</v>
      </c>
      <c r="G2861" t="str">
        <f>"17-1711"</f>
        <v>17-1711</v>
      </c>
      <c r="H2861" t="str">
        <f>"A"</f>
        <v>A</v>
      </c>
    </row>
    <row r="2862" spans="1:8" x14ac:dyDescent="0.2">
      <c r="A2862" t="str">
        <f t="shared" si="1049"/>
        <v>0617106394</v>
      </c>
      <c r="B2862" t="str">
        <f t="shared" si="1050"/>
        <v>TSELANI</v>
      </c>
      <c r="C2862" t="str">
        <f t="shared" si="1051"/>
        <v>CATUS</v>
      </c>
      <c r="D2862">
        <f>10</f>
        <v>10</v>
      </c>
      <c r="E2862" t="str">
        <f>"02 - S1 - A - 101 - Carol S Moore"</f>
        <v>02 - S1 - A - 101 - Carol S Moore</v>
      </c>
      <c r="F2862" t="str">
        <f>"PER CAR SCH DEV 1 LH"</f>
        <v>PER CAR SCH DEV 1 LH</v>
      </c>
      <c r="G2862" t="str">
        <f>"17-1733"</f>
        <v>17-1733</v>
      </c>
      <c r="H2862" t="str">
        <f>"A"</f>
        <v>A</v>
      </c>
    </row>
    <row r="2863" spans="1:8" x14ac:dyDescent="0.2">
      <c r="A2863" t="str">
        <f t="shared" si="1049"/>
        <v>0617106394</v>
      </c>
      <c r="B2863" t="str">
        <f t="shared" si="1050"/>
        <v>TSELANI</v>
      </c>
      <c r="C2863" t="str">
        <f t="shared" si="1051"/>
        <v>CATUS</v>
      </c>
      <c r="D2863">
        <f>10</f>
        <v>10</v>
      </c>
      <c r="E2863" t="str">
        <f>"07 - B - 107 - Rosa Elaine  Collado-Duff"</f>
        <v>07 - B - 107 - Rosa Elaine  Collado-Duff</v>
      </c>
      <c r="F2863" t="str">
        <f>"PRE-AICE SPAN 2 IG"</f>
        <v>PRE-AICE SPAN 2 IG</v>
      </c>
      <c r="G2863" t="str">
        <f>"09-913"</f>
        <v>09-913</v>
      </c>
      <c r="H2863" t="str">
        <f>"B"</f>
        <v>B</v>
      </c>
    </row>
    <row r="2864" spans="1:8" x14ac:dyDescent="0.2">
      <c r="A2864" t="str">
        <f t="shared" si="1049"/>
        <v>0617106394</v>
      </c>
      <c r="B2864" t="str">
        <f t="shared" si="1050"/>
        <v>TSELANI</v>
      </c>
      <c r="C2864" t="str">
        <f t="shared" si="1051"/>
        <v>CATUS</v>
      </c>
      <c r="D2864">
        <f>10</f>
        <v>10</v>
      </c>
      <c r="E2864" t="str">
        <f>"05 - B - 104 - Semra  Bahadir"</f>
        <v>05 - B - 104 - Semra  Bahadir</v>
      </c>
      <c r="F2864" t="str">
        <f>"MATH COLL ALGEBRA"</f>
        <v>MATH COLL ALGEBRA</v>
      </c>
      <c r="G2864" t="str">
        <f>"21-2107"</f>
        <v>21-2107</v>
      </c>
      <c r="H2864" t="str">
        <f>"B"</f>
        <v>B</v>
      </c>
    </row>
    <row r="2865" spans="1:8" x14ac:dyDescent="0.2">
      <c r="A2865" t="str">
        <f t="shared" si="1049"/>
        <v>0617106394</v>
      </c>
      <c r="B2865" t="str">
        <f t="shared" si="1050"/>
        <v>TSELANI</v>
      </c>
      <c r="C2865" t="str">
        <f t="shared" si="1051"/>
        <v>CATUS</v>
      </c>
      <c r="D2865">
        <f>10</f>
        <v>10</v>
      </c>
      <c r="E2865" t="str">
        <f>"01 - A - 001 - Lenecy  Nodarse"</f>
        <v>01 - A - 001 - Lenecy  Nodarse</v>
      </c>
      <c r="F2865" t="str">
        <f>"AICE EURO HIST 1 AS"</f>
        <v>AICE EURO HIST 1 AS</v>
      </c>
      <c r="G2865" t="str">
        <f>"17-1741"</f>
        <v>17-1741</v>
      </c>
      <c r="H2865" t="str">
        <f>"A"</f>
        <v>A</v>
      </c>
    </row>
    <row r="2866" spans="1:8" x14ac:dyDescent="0.2">
      <c r="A2866" t="str">
        <f t="shared" si="1049"/>
        <v>0617106394</v>
      </c>
      <c r="B2866" t="str">
        <f t="shared" si="1050"/>
        <v>TSELANI</v>
      </c>
      <c r="C2866" t="str">
        <f t="shared" si="1051"/>
        <v>CATUS</v>
      </c>
      <c r="D2866">
        <f>10</f>
        <v>10</v>
      </c>
      <c r="E2866" t="str">
        <f>"08 - B - 001 - Scott A Dethloff"</f>
        <v>08 - B - 001 - Scott A Dethloff</v>
      </c>
      <c r="F2866" t="str">
        <f>"CHEMISTRY 1 HON"</f>
        <v>CHEMISTRY 1 HON</v>
      </c>
      <c r="G2866" t="str">
        <f>"08-812"</f>
        <v>08-812</v>
      </c>
      <c r="H2866" t="str">
        <f>"B"</f>
        <v>B</v>
      </c>
    </row>
    <row r="2867" spans="1:8" x14ac:dyDescent="0.2">
      <c r="A2867" t="str">
        <f t="shared" ref="A2867:A2875" si="1052">"0613085582"</f>
        <v>0613085582</v>
      </c>
      <c r="B2867" t="str">
        <f t="shared" ref="B2867:B2875" si="1053">"SOPHIA"</f>
        <v>SOPHIA</v>
      </c>
      <c r="C2867" t="str">
        <f t="shared" ref="C2867:C2875" si="1054">"CAVARETTA"</f>
        <v>CAVARETTA</v>
      </c>
      <c r="D2867">
        <f>12</f>
        <v>12</v>
      </c>
      <c r="E2867" t="str">
        <f>"19 - S1 - MTWHF - UF - Instructor UF"</f>
        <v>19 - S1 - MTWHF - UF - Instructor UF</v>
      </c>
      <c r="F2867" t="str">
        <f>"COLLEGE ALGEBRA"</f>
        <v>COLLEGE ALGEBRA</v>
      </c>
      <c r="G2867" t="str">
        <f>"60-DE"</f>
        <v>60-DE</v>
      </c>
      <c r="H2867" t="str">
        <f>"-"</f>
        <v>-</v>
      </c>
    </row>
    <row r="2868" spans="1:8" x14ac:dyDescent="0.2">
      <c r="A2868" t="str">
        <f t="shared" si="1052"/>
        <v>0613085582</v>
      </c>
      <c r="B2868" t="str">
        <f t="shared" si="1053"/>
        <v>SOPHIA</v>
      </c>
      <c r="C2868" t="str">
        <f t="shared" si="1054"/>
        <v>CAVARETTA</v>
      </c>
      <c r="D2868">
        <f>12</f>
        <v>12</v>
      </c>
      <c r="E2868" t="str">
        <f>"04 - S1 - A - 101 - Barbara L Segal"</f>
        <v>04 - S1 - A - 101 - Barbara L Segal</v>
      </c>
      <c r="F2868" t="str">
        <f>"AP US GOVT/POL"</f>
        <v>AP US GOVT/POL</v>
      </c>
      <c r="G2868" t="str">
        <f>"17-1742"</f>
        <v>17-1742</v>
      </c>
      <c r="H2868" t="str">
        <f>"A"</f>
        <v>A</v>
      </c>
    </row>
    <row r="2869" spans="1:8" x14ac:dyDescent="0.2">
      <c r="A2869" t="str">
        <f t="shared" si="1052"/>
        <v>0613085582</v>
      </c>
      <c r="B2869" t="str">
        <f t="shared" si="1053"/>
        <v>SOPHIA</v>
      </c>
      <c r="C2869" t="str">
        <f t="shared" si="1054"/>
        <v>CAVARETTA</v>
      </c>
      <c r="D2869">
        <f>12</f>
        <v>12</v>
      </c>
      <c r="E2869" t="str">
        <f>"06 - B - 105 - Robyn L Trainer"</f>
        <v>06 - B - 105 - Robyn L Trainer</v>
      </c>
      <c r="F2869" t="str">
        <f>"NC STUDY HALL 1"</f>
        <v>NC STUDY HALL 1</v>
      </c>
      <c r="G2869" t="str">
        <f>"17-1734"</f>
        <v>17-1734</v>
      </c>
      <c r="H2869" t="str">
        <f>"B"</f>
        <v>B</v>
      </c>
    </row>
    <row r="2870" spans="1:8" x14ac:dyDescent="0.2">
      <c r="A2870" t="str">
        <f t="shared" si="1052"/>
        <v>0613085582</v>
      </c>
      <c r="B2870" t="str">
        <f t="shared" si="1053"/>
        <v>SOPHIA</v>
      </c>
      <c r="C2870" t="str">
        <f t="shared" si="1054"/>
        <v>CAVARETTA</v>
      </c>
      <c r="D2870">
        <f>12</f>
        <v>12</v>
      </c>
      <c r="E2870" t="str">
        <f>"03 - A - 101 - Lisa J London"</f>
        <v>03 - A - 101 - Lisa J London</v>
      </c>
      <c r="F2870" t="str">
        <f>"AP CAPSTONE RESEARCH"</f>
        <v>AP CAPSTONE RESEARCH</v>
      </c>
      <c r="G2870" t="str">
        <f>"17-1714"</f>
        <v>17-1714</v>
      </c>
      <c r="H2870" t="str">
        <f>"A"</f>
        <v>A</v>
      </c>
    </row>
    <row r="2871" spans="1:8" x14ac:dyDescent="0.2">
      <c r="A2871" t="str">
        <f t="shared" si="1052"/>
        <v>0613085582</v>
      </c>
      <c r="B2871" t="str">
        <f t="shared" si="1053"/>
        <v>SOPHIA</v>
      </c>
      <c r="C2871" t="str">
        <f t="shared" si="1054"/>
        <v>CAVARETTA</v>
      </c>
      <c r="D2871">
        <f>12</f>
        <v>12</v>
      </c>
      <c r="E2871" t="str">
        <f>"02 - A - 102 - Norayda D Suarez"</f>
        <v>02 - A - 102 - Norayda D Suarez</v>
      </c>
      <c r="F2871" t="str">
        <f>"RESEARCH 1 LH"</f>
        <v>RESEARCH 1 LH</v>
      </c>
      <c r="G2871">
        <f>2041</f>
        <v>2041</v>
      </c>
      <c r="H2871" t="str">
        <f>"A"</f>
        <v>A</v>
      </c>
    </row>
    <row r="2872" spans="1:8" x14ac:dyDescent="0.2">
      <c r="A2872" t="str">
        <f t="shared" si="1052"/>
        <v>0613085582</v>
      </c>
      <c r="B2872" t="str">
        <f t="shared" si="1053"/>
        <v>SOPHIA</v>
      </c>
      <c r="C2872" t="str">
        <f t="shared" si="1054"/>
        <v>CAVARETTA</v>
      </c>
      <c r="D2872">
        <f>12</f>
        <v>12</v>
      </c>
      <c r="E2872" t="str">
        <f>"07 - B - 002 - Rachel M Montrose"</f>
        <v>07 - B - 002 - Rachel M Montrose</v>
      </c>
      <c r="F2872" t="str">
        <f>"JOURN 1 (NP) LH"</f>
        <v>JOURN 1 (NP) LH</v>
      </c>
      <c r="G2872" t="str">
        <f>"05-521"</f>
        <v>05-521</v>
      </c>
      <c r="H2872" t="str">
        <f>"B"</f>
        <v>B</v>
      </c>
    </row>
    <row r="2873" spans="1:8" x14ac:dyDescent="0.2">
      <c r="A2873" t="str">
        <f t="shared" si="1052"/>
        <v>0613085582</v>
      </c>
      <c r="B2873" t="str">
        <f t="shared" si="1053"/>
        <v>SOPHIA</v>
      </c>
      <c r="C2873" t="str">
        <f t="shared" si="1054"/>
        <v>CAVARETTA</v>
      </c>
      <c r="D2873">
        <f>12</f>
        <v>12</v>
      </c>
      <c r="E2873" t="str">
        <f>"05 - B - 101 - Brian M Fitzgerald"</f>
        <v>05 - B - 101 - Brian M Fitzgerald</v>
      </c>
      <c r="F2873" t="str">
        <f>"PAINT 1"</f>
        <v>PAINT 1</v>
      </c>
      <c r="G2873" t="str">
        <f>"09-908"</f>
        <v>09-908</v>
      </c>
      <c r="H2873" t="str">
        <f>"B"</f>
        <v>B</v>
      </c>
    </row>
    <row r="2874" spans="1:8" x14ac:dyDescent="0.2">
      <c r="A2874" t="str">
        <f t="shared" si="1052"/>
        <v>0613085582</v>
      </c>
      <c r="B2874" t="str">
        <f t="shared" si="1053"/>
        <v>SOPHIA</v>
      </c>
      <c r="C2874" t="str">
        <f t="shared" si="1054"/>
        <v>CAVARETTA</v>
      </c>
      <c r="D2874">
        <f>12</f>
        <v>12</v>
      </c>
      <c r="E2874" t="str">
        <f>"01 - A - 101 - Kelly N Panza"</f>
        <v>01 - A - 101 - Kelly N Panza</v>
      </c>
      <c r="F2874" t="str">
        <f>"AP HUMAN GEOG"</f>
        <v>AP HUMAN GEOG</v>
      </c>
      <c r="G2874" t="str">
        <f>"17-1753"</f>
        <v>17-1753</v>
      </c>
      <c r="H2874" t="str">
        <f>"A"</f>
        <v>A</v>
      </c>
    </row>
    <row r="2875" spans="1:8" x14ac:dyDescent="0.2">
      <c r="A2875" t="str">
        <f t="shared" si="1052"/>
        <v>0613085582</v>
      </c>
      <c r="B2875" t="str">
        <f t="shared" si="1053"/>
        <v>SOPHIA</v>
      </c>
      <c r="C2875" t="str">
        <f t="shared" si="1054"/>
        <v>CAVARETTA</v>
      </c>
      <c r="D2875">
        <f>12</f>
        <v>12</v>
      </c>
      <c r="E2875" t="str">
        <f>"08 - B - 203 - Courtney E Hambright"</f>
        <v>08 - B - 203 - Courtney E Hambright</v>
      </c>
      <c r="F2875" t="str">
        <f>"AP ENG LIT COMPO"</f>
        <v>AP ENG LIT COMPO</v>
      </c>
      <c r="G2875" t="str">
        <f>"17-1711"</f>
        <v>17-1711</v>
      </c>
      <c r="H2875" t="str">
        <f>"B"</f>
        <v>B</v>
      </c>
    </row>
    <row r="2876" spans="1:8" x14ac:dyDescent="0.2">
      <c r="A2876" t="str">
        <f t="shared" ref="A2876:A2883" si="1055">"0620107158"</f>
        <v>0620107158</v>
      </c>
      <c r="B2876" t="str">
        <f t="shared" ref="B2876:B2883" si="1056">"ASHELEY"</f>
        <v>ASHELEY</v>
      </c>
      <c r="C2876" t="str">
        <f t="shared" ref="C2876:C2892" si="1057">"CELESTIN"</f>
        <v>CELESTIN</v>
      </c>
      <c r="D2876" t="str">
        <f t="shared" ref="D2876:D2883" si="1058">"09"</f>
        <v>09</v>
      </c>
      <c r="E2876" t="str">
        <f>"04 - A - 103 - Lenecy  Nodarse"</f>
        <v>04 - A - 103 - Lenecy  Nodarse</v>
      </c>
      <c r="F2876" t="str">
        <f>"WORLD HISTORY"</f>
        <v>WORLD HISTORY</v>
      </c>
      <c r="G2876" t="str">
        <f>"17-1741"</f>
        <v>17-1741</v>
      </c>
      <c r="H2876" t="str">
        <f>"A"</f>
        <v>A</v>
      </c>
    </row>
    <row r="2877" spans="1:8" x14ac:dyDescent="0.2">
      <c r="A2877" t="str">
        <f t="shared" si="1055"/>
        <v>0620107158</v>
      </c>
      <c r="B2877" t="str">
        <f t="shared" si="1056"/>
        <v>ASHELEY</v>
      </c>
      <c r="C2877" t="str">
        <f t="shared" si="1057"/>
        <v>CELESTIN</v>
      </c>
      <c r="D2877" t="str">
        <f t="shared" si="1058"/>
        <v>09</v>
      </c>
      <c r="E2877" t="str">
        <f>"06 - B - 104 - Laselleda D Shaw"</f>
        <v>06 - B - 104 - Laselleda D Shaw</v>
      </c>
      <c r="F2877" t="str">
        <f>"INTENS READ 1"</f>
        <v>INTENS READ 1</v>
      </c>
      <c r="G2877" t="str">
        <f>"17-1723"</f>
        <v>17-1723</v>
      </c>
      <c r="H2877" t="str">
        <f>"B"</f>
        <v>B</v>
      </c>
    </row>
    <row r="2878" spans="1:8" x14ac:dyDescent="0.2">
      <c r="A2878" t="str">
        <f t="shared" si="1055"/>
        <v>0620107158</v>
      </c>
      <c r="B2878" t="str">
        <f t="shared" si="1056"/>
        <v>ASHELEY</v>
      </c>
      <c r="C2878" t="str">
        <f t="shared" si="1057"/>
        <v>CELESTIN</v>
      </c>
      <c r="D2878" t="str">
        <f t="shared" si="1058"/>
        <v>09</v>
      </c>
      <c r="E2878" t="str">
        <f>"03 - A - 105 - Cheryl Anne  Berman-Schechter"</f>
        <v>03 - A - 105 - Cheryl Anne  Berman-Schechter</v>
      </c>
      <c r="F2878" t="str">
        <f>"ENG 1"</f>
        <v>ENG 1</v>
      </c>
      <c r="G2878" t="str">
        <f>"17-1722"</f>
        <v>17-1722</v>
      </c>
      <c r="H2878" t="str">
        <f>"A"</f>
        <v>A</v>
      </c>
    </row>
    <row r="2879" spans="1:8" x14ac:dyDescent="0.2">
      <c r="A2879" t="str">
        <f t="shared" si="1055"/>
        <v>0620107158</v>
      </c>
      <c r="B2879" t="str">
        <f t="shared" si="1056"/>
        <v>ASHELEY</v>
      </c>
      <c r="C2879" t="str">
        <f t="shared" si="1057"/>
        <v>CELESTIN</v>
      </c>
      <c r="D2879" t="str">
        <f t="shared" si="1058"/>
        <v>09</v>
      </c>
      <c r="E2879" t="str">
        <f>"02 - A - 115 - Lourivaldo  Da Silva"</f>
        <v>02 - A - 115 - Lourivaldo  Da Silva</v>
      </c>
      <c r="F2879" t="str">
        <f>"NC STUDY HALL 1"</f>
        <v>NC STUDY HALL 1</v>
      </c>
      <c r="G2879" t="str">
        <f>"20-2079"</f>
        <v>20-2079</v>
      </c>
      <c r="H2879" t="str">
        <f>"A"</f>
        <v>A</v>
      </c>
    </row>
    <row r="2880" spans="1:8" x14ac:dyDescent="0.2">
      <c r="A2880" t="str">
        <f t="shared" si="1055"/>
        <v>0620107158</v>
      </c>
      <c r="B2880" t="str">
        <f t="shared" si="1056"/>
        <v>ASHELEY</v>
      </c>
      <c r="C2880" t="str">
        <f t="shared" si="1057"/>
        <v>CELESTIN</v>
      </c>
      <c r="D2880" t="str">
        <f t="shared" si="1058"/>
        <v>09</v>
      </c>
      <c r="E2880" t="str">
        <f>"07 - B - 107 - Helen A Flores"</f>
        <v>07 - B - 107 - Helen A Flores</v>
      </c>
      <c r="F2880" t="str">
        <f>"ALGEBRA 1"</f>
        <v>ALGEBRA 1</v>
      </c>
      <c r="G2880" t="str">
        <f>"21-2101"</f>
        <v>21-2101</v>
      </c>
      <c r="H2880" t="str">
        <f>"B"</f>
        <v>B</v>
      </c>
    </row>
    <row r="2881" spans="1:8" x14ac:dyDescent="0.2">
      <c r="A2881" t="str">
        <f t="shared" si="1055"/>
        <v>0620107158</v>
      </c>
      <c r="B2881" t="str">
        <f t="shared" si="1056"/>
        <v>ASHELEY</v>
      </c>
      <c r="C2881" t="str">
        <f t="shared" si="1057"/>
        <v>CELESTIN</v>
      </c>
      <c r="D2881" t="str">
        <f t="shared" si="1058"/>
        <v>09</v>
      </c>
      <c r="E2881" t="str">
        <f>"05 - B - 202 - Amy Beth  Broyles"</f>
        <v>05 - B - 202 - Amy Beth  Broyles</v>
      </c>
      <c r="F2881" t="str">
        <f>"ENV SCI"</f>
        <v>ENV SCI</v>
      </c>
      <c r="G2881" t="str">
        <f>"08-802"</f>
        <v>08-802</v>
      </c>
      <c r="H2881" t="str">
        <f>"B"</f>
        <v>B</v>
      </c>
    </row>
    <row r="2882" spans="1:8" x14ac:dyDescent="0.2">
      <c r="A2882" t="str">
        <f t="shared" si="1055"/>
        <v>0620107158</v>
      </c>
      <c r="B2882" t="str">
        <f t="shared" si="1056"/>
        <v>ASHELEY</v>
      </c>
      <c r="C2882" t="str">
        <f t="shared" si="1057"/>
        <v>CELESTIN</v>
      </c>
      <c r="D2882" t="str">
        <f t="shared" si="1058"/>
        <v>09</v>
      </c>
      <c r="E2882" t="str">
        <f>"01 - A - 102 - Helen A Flores"</f>
        <v>01 - A - 102 - Helen A Flores</v>
      </c>
      <c r="F2882" t="str">
        <f>"FDN SKLS MATH 9-12"</f>
        <v>FDN SKLS MATH 9-12</v>
      </c>
      <c r="G2882" t="str">
        <f>"21-2101"</f>
        <v>21-2101</v>
      </c>
      <c r="H2882" t="str">
        <f>"A"</f>
        <v>A</v>
      </c>
    </row>
    <row r="2883" spans="1:8" x14ac:dyDescent="0.2">
      <c r="A2883" t="str">
        <f t="shared" si="1055"/>
        <v>0620107158</v>
      </c>
      <c r="B2883" t="str">
        <f t="shared" si="1056"/>
        <v>ASHELEY</v>
      </c>
      <c r="C2883" t="str">
        <f t="shared" si="1057"/>
        <v>CELESTIN</v>
      </c>
      <c r="D2883" t="str">
        <f t="shared" si="1058"/>
        <v>09</v>
      </c>
      <c r="E2883" t="str">
        <f>"08 - B - 108 - Adam Marcus  Drucker"</f>
        <v>08 - B - 108 - Adam Marcus  Drucker</v>
      </c>
      <c r="F2883" t="str">
        <f>"HOPE-PE V"</f>
        <v>HOPE-PE V</v>
      </c>
      <c r="G2883" t="str">
        <f>"04-254"</f>
        <v>04-254</v>
      </c>
      <c r="H2883" t="str">
        <f>"B"</f>
        <v>B</v>
      </c>
    </row>
    <row r="2884" spans="1:8" x14ac:dyDescent="0.2">
      <c r="A2884" t="str">
        <f t="shared" ref="A2884:A2892" si="1059">"0611095691"</f>
        <v>0611095691</v>
      </c>
      <c r="B2884" t="str">
        <f t="shared" ref="B2884:B2892" si="1060">"BRADLEY"</f>
        <v>BRADLEY</v>
      </c>
      <c r="C2884" t="str">
        <f t="shared" si="1057"/>
        <v>CELESTIN</v>
      </c>
      <c r="D2884">
        <f>12</f>
        <v>12</v>
      </c>
      <c r="E2884" t="str">
        <f>"04 - A - 101 - Staci M Newton"</f>
        <v>04 - A - 101 - Staci M Newton</v>
      </c>
      <c r="F2884" t="str">
        <f>"ACCESS HEALTH/SAFETY"</f>
        <v>ACCESS HEALTH/SAFETY</v>
      </c>
      <c r="G2884" t="str">
        <f>"21-2103"</f>
        <v>21-2103</v>
      </c>
      <c r="H2884" t="str">
        <f>"A"</f>
        <v>A</v>
      </c>
    </row>
    <row r="2885" spans="1:8" x14ac:dyDescent="0.2">
      <c r="A2885" t="str">
        <f t="shared" si="1059"/>
        <v>0611095691</v>
      </c>
      <c r="B2885" t="str">
        <f t="shared" si="1060"/>
        <v>BRADLEY</v>
      </c>
      <c r="C2885" t="str">
        <f t="shared" si="1057"/>
        <v>CELESTIN</v>
      </c>
      <c r="D2885">
        <f>12</f>
        <v>12</v>
      </c>
      <c r="E2885" t="str">
        <f>"06 - B - 101 - Justin D Willard"</f>
        <v>06 - B - 101 - Justin D Willard</v>
      </c>
      <c r="F2885" t="str">
        <f>"CAR EXERIENCES: 9-12"</f>
        <v>CAR EXERIENCES: 9-12</v>
      </c>
      <c r="G2885" t="str">
        <f>"21-2111"</f>
        <v>21-2111</v>
      </c>
      <c r="H2885" t="str">
        <f>"B"</f>
        <v>B</v>
      </c>
    </row>
    <row r="2886" spans="1:8" x14ac:dyDescent="0.2">
      <c r="A2886" t="str">
        <f t="shared" si="1059"/>
        <v>0611095691</v>
      </c>
      <c r="B2886" t="str">
        <f t="shared" si="1060"/>
        <v>BRADLEY</v>
      </c>
      <c r="C2886" t="str">
        <f t="shared" si="1057"/>
        <v>CELESTIN</v>
      </c>
      <c r="D2886">
        <f>12</f>
        <v>12</v>
      </c>
      <c r="E2886" t="str">
        <f>"03 - S1 - A - 101 - Staci M Newton"</f>
        <v>03 - S1 - A - 101 - Staci M Newton</v>
      </c>
      <c r="F2886" t="str">
        <f>"ACCESS ECON FIN LIT"</f>
        <v>ACCESS ECON FIN LIT</v>
      </c>
      <c r="G2886" t="str">
        <f>"21-2103"</f>
        <v>21-2103</v>
      </c>
      <c r="H2886" t="str">
        <f>"A"</f>
        <v>A</v>
      </c>
    </row>
    <row r="2887" spans="1:8" x14ac:dyDescent="0.2">
      <c r="A2887" t="str">
        <f t="shared" si="1059"/>
        <v>0611095691</v>
      </c>
      <c r="B2887" t="str">
        <f t="shared" si="1060"/>
        <v>BRADLEY</v>
      </c>
      <c r="C2887" t="str">
        <f t="shared" si="1057"/>
        <v>CELESTIN</v>
      </c>
      <c r="D2887">
        <f>12</f>
        <v>12</v>
      </c>
      <c r="E2887" t="str">
        <f>"02 - A - 101 - Staci M Newton"</f>
        <v>02 - A - 101 - Staci M Newton</v>
      </c>
      <c r="F2887" t="str">
        <f>"ACCESS LIB ARTS MATH"</f>
        <v>ACCESS LIB ARTS MATH</v>
      </c>
      <c r="G2887" t="str">
        <f>"21-2103"</f>
        <v>21-2103</v>
      </c>
      <c r="H2887" t="str">
        <f>"A"</f>
        <v>A</v>
      </c>
    </row>
    <row r="2888" spans="1:8" x14ac:dyDescent="0.2">
      <c r="A2888" t="str">
        <f t="shared" si="1059"/>
        <v>0611095691</v>
      </c>
      <c r="B2888" t="str">
        <f t="shared" si="1060"/>
        <v>BRADLEY</v>
      </c>
      <c r="C2888" t="str">
        <f t="shared" si="1057"/>
        <v>CELESTIN</v>
      </c>
      <c r="D2888">
        <f>12</f>
        <v>12</v>
      </c>
      <c r="E2888" t="str">
        <f>"07 - B - 101 - Justin D Willard"</f>
        <v>07 - B - 101 - Justin D Willard</v>
      </c>
      <c r="F2888" t="str">
        <f>"CAR PLACEMENT: 9-12"</f>
        <v>CAR PLACEMENT: 9-12</v>
      </c>
      <c r="G2888" t="str">
        <f>"21-2111"</f>
        <v>21-2111</v>
      </c>
      <c r="H2888" t="str">
        <f>"B"</f>
        <v>B</v>
      </c>
    </row>
    <row r="2889" spans="1:8" x14ac:dyDescent="0.2">
      <c r="A2889" t="str">
        <f t="shared" si="1059"/>
        <v>0611095691</v>
      </c>
      <c r="B2889" t="str">
        <f t="shared" si="1060"/>
        <v>BRADLEY</v>
      </c>
      <c r="C2889" t="str">
        <f t="shared" si="1057"/>
        <v>CELESTIN</v>
      </c>
      <c r="D2889">
        <f>12</f>
        <v>12</v>
      </c>
      <c r="E2889" t="str">
        <f>"05 - B - 103 - Justin D Willard"</f>
        <v>05 - B - 103 - Justin D Willard</v>
      </c>
      <c r="F2889" t="str">
        <f>"U SKLS: 9-12"</f>
        <v>U SKLS: 9-12</v>
      </c>
      <c r="G2889" t="str">
        <f>"21-2111"</f>
        <v>21-2111</v>
      </c>
      <c r="H2889" t="str">
        <f>"B"</f>
        <v>B</v>
      </c>
    </row>
    <row r="2890" spans="1:8" x14ac:dyDescent="0.2">
      <c r="A2890" t="str">
        <f t="shared" si="1059"/>
        <v>0611095691</v>
      </c>
      <c r="B2890" t="str">
        <f t="shared" si="1060"/>
        <v>BRADLEY</v>
      </c>
      <c r="C2890" t="str">
        <f t="shared" si="1057"/>
        <v>CELESTIN</v>
      </c>
      <c r="D2890">
        <f>12</f>
        <v>12</v>
      </c>
      <c r="E2890" t="str">
        <f>"05 - B - 115 - Karen A Toomer"</f>
        <v>05 - B - 115 - Karen A Toomer</v>
      </c>
      <c r="F2890" t="str">
        <f>"LANG THERAPY"</f>
        <v>LANG THERAPY</v>
      </c>
      <c r="G2890" t="str">
        <f>"21-2110"</f>
        <v>21-2110</v>
      </c>
      <c r="H2890" t="str">
        <f>"B"</f>
        <v>B</v>
      </c>
    </row>
    <row r="2891" spans="1:8" x14ac:dyDescent="0.2">
      <c r="A2891" t="str">
        <f t="shared" si="1059"/>
        <v>0611095691</v>
      </c>
      <c r="B2891" t="str">
        <f t="shared" si="1060"/>
        <v>BRADLEY</v>
      </c>
      <c r="C2891" t="str">
        <f t="shared" si="1057"/>
        <v>CELESTIN</v>
      </c>
      <c r="D2891">
        <f>12</f>
        <v>12</v>
      </c>
      <c r="E2891" t="str">
        <f>"01 - A - 101 - Staci M Newton"</f>
        <v>01 - A - 101 - Staci M Newton</v>
      </c>
      <c r="F2891" t="str">
        <f>"ACCESS ENGLISH 4"</f>
        <v>ACCESS ENGLISH 4</v>
      </c>
      <c r="G2891" t="str">
        <f>"21-2103"</f>
        <v>21-2103</v>
      </c>
      <c r="H2891" t="str">
        <f>"A"</f>
        <v>A</v>
      </c>
    </row>
    <row r="2892" spans="1:8" x14ac:dyDescent="0.2">
      <c r="A2892" t="str">
        <f t="shared" si="1059"/>
        <v>0611095691</v>
      </c>
      <c r="B2892" t="str">
        <f t="shared" si="1060"/>
        <v>BRADLEY</v>
      </c>
      <c r="C2892" t="str">
        <f t="shared" si="1057"/>
        <v>CELESTIN</v>
      </c>
      <c r="D2892">
        <f>12</f>
        <v>12</v>
      </c>
      <c r="E2892" t="str">
        <f>"08 - B - 101 - Justin D Willard"</f>
        <v>08 - B - 101 - Justin D Willard</v>
      </c>
      <c r="F2892" t="str">
        <f>"U SKLS: SOC&amp;EMO 9-12"</f>
        <v>U SKLS: SOC&amp;EMO 9-12</v>
      </c>
      <c r="G2892" t="str">
        <f>"21-2111"</f>
        <v>21-2111</v>
      </c>
      <c r="H2892" t="str">
        <f>"B"</f>
        <v>B</v>
      </c>
    </row>
    <row r="2893" spans="1:8" x14ac:dyDescent="0.2">
      <c r="A2893" t="str">
        <f t="shared" ref="A2893:A2900" si="1061">"0616041531"</f>
        <v>0616041531</v>
      </c>
      <c r="B2893" t="str">
        <f t="shared" ref="B2893:B2900" si="1062">"FERLANDYNE"</f>
        <v>FERLANDYNE</v>
      </c>
      <c r="C2893" t="str">
        <f t="shared" ref="C2893:C2900" si="1063">"CENA"</f>
        <v>CENA</v>
      </c>
      <c r="D2893">
        <f>10</f>
        <v>10</v>
      </c>
      <c r="E2893" t="str">
        <f>"04 - A - 203 - Cheryl L Beach"</f>
        <v>04 - A - 203 - Cheryl L Beach</v>
      </c>
      <c r="F2893" t="str">
        <f>"AICE ENV MGMNT AS"</f>
        <v>AICE ENV MGMNT AS</v>
      </c>
      <c r="G2893" t="str">
        <f>"08-811"</f>
        <v>08-811</v>
      </c>
      <c r="H2893" t="str">
        <f>"A"</f>
        <v>A</v>
      </c>
    </row>
    <row r="2894" spans="1:8" x14ac:dyDescent="0.2">
      <c r="A2894" t="str">
        <f t="shared" si="1061"/>
        <v>0616041531</v>
      </c>
      <c r="B2894" t="str">
        <f t="shared" si="1062"/>
        <v>FERLANDYNE</v>
      </c>
      <c r="C2894" t="str">
        <f t="shared" si="1063"/>
        <v>CENA</v>
      </c>
      <c r="D2894">
        <f>10</f>
        <v>10</v>
      </c>
      <c r="E2894" t="str">
        <f>"06 - B - 107 - Dorothy D Moore"</f>
        <v>06 - B - 107 - Dorothy D Moore</v>
      </c>
      <c r="F2894" t="str">
        <f>"NC STUDY HALL 1"</f>
        <v>NC STUDY HALL 1</v>
      </c>
      <c r="G2894" t="str">
        <f>"08-803"</f>
        <v>08-803</v>
      </c>
      <c r="H2894" t="str">
        <f>"B"</f>
        <v>B</v>
      </c>
    </row>
    <row r="2895" spans="1:8" x14ac:dyDescent="0.2">
      <c r="A2895" t="str">
        <f t="shared" si="1061"/>
        <v>0616041531</v>
      </c>
      <c r="B2895" t="str">
        <f t="shared" si="1062"/>
        <v>FERLANDYNE</v>
      </c>
      <c r="C2895" t="str">
        <f t="shared" si="1063"/>
        <v>CENA</v>
      </c>
      <c r="D2895">
        <f>10</f>
        <v>10</v>
      </c>
      <c r="E2895" t="str">
        <f>"03 - A - 102 - Semra  Bahadir"</f>
        <v>03 - A - 102 - Semra  Bahadir</v>
      </c>
      <c r="F2895" t="str">
        <f>"ALGEBRA 2"</f>
        <v>ALGEBRA 2</v>
      </c>
      <c r="G2895" t="str">
        <f>"21-2107"</f>
        <v>21-2107</v>
      </c>
      <c r="H2895" t="str">
        <f>"A"</f>
        <v>A</v>
      </c>
    </row>
    <row r="2896" spans="1:8" x14ac:dyDescent="0.2">
      <c r="A2896" t="str">
        <f t="shared" si="1061"/>
        <v>0616041531</v>
      </c>
      <c r="B2896" t="str">
        <f t="shared" si="1062"/>
        <v>FERLANDYNE</v>
      </c>
      <c r="C2896" t="str">
        <f t="shared" si="1063"/>
        <v>CENA</v>
      </c>
      <c r="D2896">
        <f>10</f>
        <v>10</v>
      </c>
      <c r="E2896" t="str">
        <f>"02 - A - 204 - Jacqueline R Morphet"</f>
        <v>02 - A - 204 - Jacqueline R Morphet</v>
      </c>
      <c r="F2896" t="str">
        <f>"PHYSICS 1 HON"</f>
        <v>PHYSICS 1 HON</v>
      </c>
      <c r="G2896" t="str">
        <f>"21-2138"</f>
        <v>21-2138</v>
      </c>
      <c r="H2896" t="str">
        <f>"A"</f>
        <v>A</v>
      </c>
    </row>
    <row r="2897" spans="1:8" x14ac:dyDescent="0.2">
      <c r="A2897" t="str">
        <f t="shared" si="1061"/>
        <v>0616041531</v>
      </c>
      <c r="B2897" t="str">
        <f t="shared" si="1062"/>
        <v>FERLANDYNE</v>
      </c>
      <c r="C2897" t="str">
        <f t="shared" si="1063"/>
        <v>CENA</v>
      </c>
      <c r="D2897">
        <f>10</f>
        <v>10</v>
      </c>
      <c r="E2897" t="str">
        <f>"07 - B - 107 - Jacklyn M James"</f>
        <v>07 - B - 107 - Jacklyn M James</v>
      </c>
      <c r="F2897" t="str">
        <f>"AICE ENG LANG AS"</f>
        <v>AICE ENG LANG AS</v>
      </c>
      <c r="G2897" t="str">
        <f>"17-1731"</f>
        <v>17-1731</v>
      </c>
      <c r="H2897" t="str">
        <f>"B"</f>
        <v>B</v>
      </c>
    </row>
    <row r="2898" spans="1:8" x14ac:dyDescent="0.2">
      <c r="A2898" t="str">
        <f t="shared" si="1061"/>
        <v>0616041531</v>
      </c>
      <c r="B2898" t="str">
        <f t="shared" si="1062"/>
        <v>FERLANDYNE</v>
      </c>
      <c r="C2898" t="str">
        <f t="shared" si="1063"/>
        <v>CENA</v>
      </c>
      <c r="D2898">
        <f>10</f>
        <v>10</v>
      </c>
      <c r="E2898" t="str">
        <f>"05 - B - 001 - Kelly N Panza"</f>
        <v>05 - B - 001 - Kelly N Panza</v>
      </c>
      <c r="F2898" t="str">
        <f>"AICE GLBL PERSP 1 AS"</f>
        <v>AICE GLBL PERSP 1 AS</v>
      </c>
      <c r="G2898" t="str">
        <f>"17-1753"</f>
        <v>17-1753</v>
      </c>
      <c r="H2898" t="str">
        <f>"B"</f>
        <v>B</v>
      </c>
    </row>
    <row r="2899" spans="1:8" x14ac:dyDescent="0.2">
      <c r="A2899" t="str">
        <f t="shared" si="1061"/>
        <v>0616041531</v>
      </c>
      <c r="B2899" t="str">
        <f t="shared" si="1062"/>
        <v>FERLANDYNE</v>
      </c>
      <c r="C2899" t="str">
        <f t="shared" si="1063"/>
        <v>CENA</v>
      </c>
      <c r="D2899">
        <f>10</f>
        <v>10</v>
      </c>
      <c r="E2899" t="str">
        <f>"01 - A - 101 - Eva T Rimmer"</f>
        <v>01 - A - 101 - Eva T Rimmer</v>
      </c>
      <c r="F2899" t="str">
        <f>"CRIMINAL JUST OPS 2"</f>
        <v>CRIMINAL JUST OPS 2</v>
      </c>
      <c r="G2899" t="str">
        <f>"05-523"</f>
        <v>05-523</v>
      </c>
      <c r="H2899" t="str">
        <f>"A"</f>
        <v>A</v>
      </c>
    </row>
    <row r="2900" spans="1:8" x14ac:dyDescent="0.2">
      <c r="A2900" t="str">
        <f t="shared" si="1061"/>
        <v>0616041531</v>
      </c>
      <c r="B2900" t="str">
        <f t="shared" si="1062"/>
        <v>FERLANDYNE</v>
      </c>
      <c r="C2900" t="str">
        <f t="shared" si="1063"/>
        <v>CENA</v>
      </c>
      <c r="D2900">
        <f>10</f>
        <v>10</v>
      </c>
      <c r="E2900" t="str">
        <f>"08 - B - 101 - Marius D Orsolini"</f>
        <v>08 - B - 101 - Marius D Orsolini</v>
      </c>
      <c r="F2900" t="str">
        <f>"CULINARY ARTS 2"</f>
        <v>CULINARY ARTS 2</v>
      </c>
      <c r="G2900" t="str">
        <f>"21-2115"</f>
        <v>21-2115</v>
      </c>
      <c r="H2900" t="str">
        <f>"B"</f>
        <v>B</v>
      </c>
    </row>
    <row r="2901" spans="1:8" x14ac:dyDescent="0.2">
      <c r="A2901" t="str">
        <f t="shared" ref="A2901:A2908" si="1064">"0618054012"</f>
        <v>0618054012</v>
      </c>
      <c r="B2901" t="str">
        <f t="shared" ref="B2901:B2908" si="1065">"BIANCA"</f>
        <v>BIANCA</v>
      </c>
      <c r="C2901" t="str">
        <f t="shared" ref="C2901:C2908" si="1066">"CENOBLE"</f>
        <v>CENOBLE</v>
      </c>
      <c r="D2901" t="str">
        <f t="shared" ref="D2901:D2908" si="1067">"09"</f>
        <v>09</v>
      </c>
      <c r="E2901" t="str">
        <f>"04 - A - 201 - Norayda D Suarez"</f>
        <v>04 - A - 201 - Norayda D Suarez</v>
      </c>
      <c r="F2901" t="str">
        <f>"ANAT PHYSIO HON"</f>
        <v>ANAT PHYSIO HON</v>
      </c>
      <c r="G2901" t="str">
        <f>"21-2142"</f>
        <v>21-2142</v>
      </c>
      <c r="H2901" t="str">
        <f>"A"</f>
        <v>A</v>
      </c>
    </row>
    <row r="2902" spans="1:8" x14ac:dyDescent="0.2">
      <c r="A2902" t="str">
        <f t="shared" si="1064"/>
        <v>0618054012</v>
      </c>
      <c r="B2902" t="str">
        <f t="shared" si="1065"/>
        <v>BIANCA</v>
      </c>
      <c r="C2902" t="str">
        <f t="shared" si="1066"/>
        <v>CENOBLE</v>
      </c>
      <c r="D2902" t="str">
        <f t="shared" si="1067"/>
        <v>09</v>
      </c>
      <c r="E2902" t="str">
        <f>"06 - B - 104 - Byron G Montenegro"</f>
        <v>06 - B - 104 - Byron G Montenegro</v>
      </c>
      <c r="F2902" t="str">
        <f>"AICE MARINE SCI 1 AS"</f>
        <v>AICE MARINE SCI 1 AS</v>
      </c>
      <c r="G2902" t="str">
        <f>"21-2144"</f>
        <v>21-2144</v>
      </c>
      <c r="H2902" t="str">
        <f>"B"</f>
        <v>B</v>
      </c>
    </row>
    <row r="2903" spans="1:8" x14ac:dyDescent="0.2">
      <c r="A2903" t="str">
        <f t="shared" si="1064"/>
        <v>0618054012</v>
      </c>
      <c r="B2903" t="str">
        <f t="shared" si="1065"/>
        <v>BIANCA</v>
      </c>
      <c r="C2903" t="str">
        <f t="shared" si="1066"/>
        <v>CENOBLE</v>
      </c>
      <c r="D2903" t="str">
        <f t="shared" si="1067"/>
        <v>09</v>
      </c>
      <c r="E2903" t="str">
        <f>"03 - S1 - A - 101 - Daniel S Katz"</f>
        <v>03 - S1 - A - 101 - Daniel S Katz</v>
      </c>
      <c r="F2903" t="str">
        <f>"COURT PROCED"</f>
        <v>COURT PROCED</v>
      </c>
      <c r="G2903" t="str">
        <f>"21-2156"</f>
        <v>21-2156</v>
      </c>
      <c r="H2903" t="str">
        <f>"A"</f>
        <v>A</v>
      </c>
    </row>
    <row r="2904" spans="1:8" x14ac:dyDescent="0.2">
      <c r="A2904" t="str">
        <f t="shared" si="1064"/>
        <v>0618054012</v>
      </c>
      <c r="B2904" t="str">
        <f t="shared" si="1065"/>
        <v>BIANCA</v>
      </c>
      <c r="C2904" t="str">
        <f t="shared" si="1066"/>
        <v>CENOBLE</v>
      </c>
      <c r="D2904" t="str">
        <f t="shared" si="1067"/>
        <v>09</v>
      </c>
      <c r="E2904" t="str">
        <f>"02 - A - 103 - Arthur  Kulawik"</f>
        <v>02 - A - 103 - Arthur  Kulawik</v>
      </c>
      <c r="F2904" t="str">
        <f>"NC STUDY HALL 1"</f>
        <v>NC STUDY HALL 1</v>
      </c>
      <c r="G2904" t="str">
        <f>"05-506"</f>
        <v>05-506</v>
      </c>
      <c r="H2904" t="str">
        <f>"A"</f>
        <v>A</v>
      </c>
    </row>
    <row r="2905" spans="1:8" x14ac:dyDescent="0.2">
      <c r="A2905" t="str">
        <f t="shared" si="1064"/>
        <v>0618054012</v>
      </c>
      <c r="B2905" t="str">
        <f t="shared" si="1065"/>
        <v>BIANCA</v>
      </c>
      <c r="C2905" t="str">
        <f t="shared" si="1066"/>
        <v>CENOBLE</v>
      </c>
      <c r="D2905" t="str">
        <f t="shared" si="1067"/>
        <v>09</v>
      </c>
      <c r="E2905" t="str">
        <f>"07 - B - 101 - Jeanne M Bermudez"</f>
        <v>07 - B - 101 - Jeanne M Bermudez</v>
      </c>
      <c r="F2905" t="str">
        <f>"FOUND OF PROGRAM HON"</f>
        <v>FOUND OF PROGRAM HON</v>
      </c>
      <c r="G2905" t="str">
        <f>"21-2141"</f>
        <v>21-2141</v>
      </c>
      <c r="H2905" t="str">
        <f>"B"</f>
        <v>B</v>
      </c>
    </row>
    <row r="2906" spans="1:8" x14ac:dyDescent="0.2">
      <c r="A2906" t="str">
        <f t="shared" si="1064"/>
        <v>0618054012</v>
      </c>
      <c r="B2906" t="str">
        <f t="shared" si="1065"/>
        <v>BIANCA</v>
      </c>
      <c r="C2906" t="str">
        <f t="shared" si="1066"/>
        <v>CENOBLE</v>
      </c>
      <c r="D2906" t="str">
        <f t="shared" si="1067"/>
        <v>09</v>
      </c>
      <c r="E2906" t="str">
        <f>"05 - B - 102 - Tina L Lovett"</f>
        <v>05 - B - 102 - Tina L Lovett</v>
      </c>
      <c r="F2906" t="str">
        <f>"PRE-AICE MATH 1 IG"</f>
        <v>PRE-AICE MATH 1 IG</v>
      </c>
      <c r="G2906" t="str">
        <f>"21-2153"</f>
        <v>21-2153</v>
      </c>
      <c r="H2906" t="str">
        <f>"B"</f>
        <v>B</v>
      </c>
    </row>
    <row r="2907" spans="1:8" x14ac:dyDescent="0.2">
      <c r="A2907" t="str">
        <f t="shared" si="1064"/>
        <v>0618054012</v>
      </c>
      <c r="B2907" t="str">
        <f t="shared" si="1065"/>
        <v>BIANCA</v>
      </c>
      <c r="C2907" t="str">
        <f t="shared" si="1066"/>
        <v>CENOBLE</v>
      </c>
      <c r="D2907" t="str">
        <f t="shared" si="1067"/>
        <v>09</v>
      </c>
      <c r="E2907" t="str">
        <f>"01 - A - 002 - Krystal Marie  Beruty"</f>
        <v>01 - A - 002 - Krystal Marie  Beruty</v>
      </c>
      <c r="F2907" t="str">
        <f>"AICE GLBL PERSP 1 AS"</f>
        <v>AICE GLBL PERSP 1 AS</v>
      </c>
      <c r="G2907" t="str">
        <f>"17-1721"</f>
        <v>17-1721</v>
      </c>
      <c r="H2907" t="str">
        <f>"A"</f>
        <v>A</v>
      </c>
    </row>
    <row r="2908" spans="1:8" x14ac:dyDescent="0.2">
      <c r="A2908" t="str">
        <f t="shared" si="1064"/>
        <v>0618054012</v>
      </c>
      <c r="B2908" t="str">
        <f t="shared" si="1065"/>
        <v>BIANCA</v>
      </c>
      <c r="C2908" t="str">
        <f t="shared" si="1066"/>
        <v>CENOBLE</v>
      </c>
      <c r="D2908" t="str">
        <f t="shared" si="1067"/>
        <v>09</v>
      </c>
      <c r="E2908" t="str">
        <f>"08 - B - 201 - Elizabeth R Walker"</f>
        <v>08 - B - 201 - Elizabeth R Walker</v>
      </c>
      <c r="F2908" t="str">
        <f>"AICE ENG GEN PAPER 1"</f>
        <v>AICE ENG GEN PAPER 1</v>
      </c>
      <c r="G2908" t="str">
        <f>"17-1703"</f>
        <v>17-1703</v>
      </c>
      <c r="H2908" t="str">
        <f>"B"</f>
        <v>B</v>
      </c>
    </row>
    <row r="2909" spans="1:8" x14ac:dyDescent="0.2">
      <c r="A2909" t="str">
        <f t="shared" ref="A2909:A2916" si="1068">"0619111906"</f>
        <v>0619111906</v>
      </c>
      <c r="B2909" t="str">
        <f t="shared" ref="B2909:B2916" si="1069">"MARIO"</f>
        <v>MARIO</v>
      </c>
      <c r="C2909" t="str">
        <f t="shared" ref="C2909:C2916" si="1070">"CENTENO MARTINEZ"</f>
        <v>CENTENO MARTINEZ</v>
      </c>
      <c r="D2909">
        <f>10</f>
        <v>10</v>
      </c>
      <c r="E2909" t="str">
        <f>"04 - A - 102 - Samantha L Martinez"</f>
        <v>04 - A - 102 - Samantha L Martinez</v>
      </c>
      <c r="F2909" t="str">
        <f>"KEYBD 1"</f>
        <v>KEYBD 1</v>
      </c>
      <c r="G2909" t="str">
        <f>"05-505"</f>
        <v>05-505</v>
      </c>
      <c r="H2909" t="str">
        <f>"A"</f>
        <v>A</v>
      </c>
    </row>
    <row r="2910" spans="1:8" x14ac:dyDescent="0.2">
      <c r="A2910" t="str">
        <f t="shared" si="1068"/>
        <v>0619111906</v>
      </c>
      <c r="B2910" t="str">
        <f t="shared" si="1069"/>
        <v>MARIO</v>
      </c>
      <c r="C2910" t="str">
        <f t="shared" si="1070"/>
        <v>CENTENO MARTINEZ</v>
      </c>
      <c r="D2910">
        <f>10</f>
        <v>10</v>
      </c>
      <c r="E2910" t="str">
        <f>"06 - B - 103 - Vanessa J Liburd"</f>
        <v>06 - B - 103 - Vanessa J Liburd</v>
      </c>
      <c r="F2910" t="str">
        <f>"NC STUDY HALL 1"</f>
        <v>NC STUDY HALL 1</v>
      </c>
      <c r="G2910" t="str">
        <f>"05-519"</f>
        <v>05-519</v>
      </c>
      <c r="H2910" t="str">
        <f>"B"</f>
        <v>B</v>
      </c>
    </row>
    <row r="2911" spans="1:8" x14ac:dyDescent="0.2">
      <c r="A2911" t="str">
        <f t="shared" si="1068"/>
        <v>0619111906</v>
      </c>
      <c r="B2911" t="str">
        <f t="shared" si="1069"/>
        <v>MARIO</v>
      </c>
      <c r="C2911" t="str">
        <f t="shared" si="1070"/>
        <v>CENTENO MARTINEZ</v>
      </c>
      <c r="D2911">
        <f>10</f>
        <v>10</v>
      </c>
      <c r="E2911" t="str">
        <f>"03 - A - 206 - Josiah I Lacy"</f>
        <v>03 - A - 206 - Josiah I Lacy</v>
      </c>
      <c r="F2911" t="str">
        <f>"BIOLOGY 1"</f>
        <v>BIOLOGY 1</v>
      </c>
      <c r="G2911" t="str">
        <f>"08-801"</f>
        <v>08-801</v>
      </c>
      <c r="H2911" t="str">
        <f>"A"</f>
        <v>A</v>
      </c>
    </row>
    <row r="2912" spans="1:8" x14ac:dyDescent="0.2">
      <c r="A2912" t="str">
        <f t="shared" si="1068"/>
        <v>0619111906</v>
      </c>
      <c r="B2912" t="str">
        <f t="shared" si="1069"/>
        <v>MARIO</v>
      </c>
      <c r="C2912" t="str">
        <f t="shared" si="1070"/>
        <v>CENTENO MARTINEZ</v>
      </c>
      <c r="D2912">
        <f>10</f>
        <v>10</v>
      </c>
      <c r="E2912" t="str">
        <f>"02 - A - 102 - Daniel S Tyson"</f>
        <v>02 - A - 102 - Daniel S Tyson</v>
      </c>
      <c r="F2912" t="str">
        <f>"JROTC NAVAL SCI 1"</f>
        <v>JROTC NAVAL SCI 1</v>
      </c>
      <c r="G2912" t="str">
        <f>"05-510"</f>
        <v>05-510</v>
      </c>
      <c r="H2912" t="str">
        <f>"A"</f>
        <v>A</v>
      </c>
    </row>
    <row r="2913" spans="1:8" x14ac:dyDescent="0.2">
      <c r="A2913" t="str">
        <f t="shared" si="1068"/>
        <v>0619111906</v>
      </c>
      <c r="B2913" t="str">
        <f t="shared" si="1069"/>
        <v>MARIO</v>
      </c>
      <c r="C2913" t="str">
        <f t="shared" si="1070"/>
        <v>CENTENO MARTINEZ</v>
      </c>
      <c r="D2913">
        <f>10</f>
        <v>10</v>
      </c>
      <c r="E2913" t="str">
        <f>"07 - B - 107 - Milca  Exantus"</f>
        <v>07 - B - 107 - Milca  Exantus</v>
      </c>
      <c r="F2913" t="str">
        <f>"MATH COLLEGE LIB ART"</f>
        <v>MATH COLLEGE LIB ART</v>
      </c>
      <c r="G2913" t="str">
        <f>"21-2145"</f>
        <v>21-2145</v>
      </c>
      <c r="H2913" t="str">
        <f>"B"</f>
        <v>B</v>
      </c>
    </row>
    <row r="2914" spans="1:8" x14ac:dyDescent="0.2">
      <c r="A2914" t="str">
        <f t="shared" si="1068"/>
        <v>0619111906</v>
      </c>
      <c r="B2914" t="str">
        <f t="shared" si="1069"/>
        <v>MARIO</v>
      </c>
      <c r="C2914" t="str">
        <f t="shared" si="1070"/>
        <v>CENTENO MARTINEZ</v>
      </c>
      <c r="D2914">
        <f>10</f>
        <v>10</v>
      </c>
      <c r="E2914" t="str">
        <f>"05 - B - 107 - Nikiel  Nesbeth"</f>
        <v>05 - B - 107 - Nikiel  Nesbeth</v>
      </c>
      <c r="F2914" t="str">
        <f>"ENG 2"</f>
        <v>ENG 2</v>
      </c>
      <c r="G2914" t="str">
        <f>"17-1705"</f>
        <v>17-1705</v>
      </c>
      <c r="H2914" t="str">
        <f>"B"</f>
        <v>B</v>
      </c>
    </row>
    <row r="2915" spans="1:8" x14ac:dyDescent="0.2">
      <c r="A2915" t="str">
        <f t="shared" si="1068"/>
        <v>0619111906</v>
      </c>
      <c r="B2915" t="str">
        <f t="shared" si="1069"/>
        <v>MARIO</v>
      </c>
      <c r="C2915" t="str">
        <f t="shared" si="1070"/>
        <v>CENTENO MARTINEZ</v>
      </c>
      <c r="D2915">
        <f>10</f>
        <v>10</v>
      </c>
      <c r="E2915" t="str">
        <f>"01 - S1 - A - 101 - Carol S Moore"</f>
        <v>01 - S1 - A - 101 - Carol S Moore</v>
      </c>
      <c r="F2915" t="str">
        <f>"PERS FIN &amp; MON MGT H"</f>
        <v>PERS FIN &amp; MON MGT H</v>
      </c>
      <c r="G2915" t="str">
        <f>"17-1733"</f>
        <v>17-1733</v>
      </c>
      <c r="H2915" t="str">
        <f>"A"</f>
        <v>A</v>
      </c>
    </row>
    <row r="2916" spans="1:8" x14ac:dyDescent="0.2">
      <c r="A2916" t="str">
        <f t="shared" si="1068"/>
        <v>0619111906</v>
      </c>
      <c r="B2916" t="str">
        <f t="shared" si="1069"/>
        <v>MARIO</v>
      </c>
      <c r="C2916" t="str">
        <f t="shared" si="1070"/>
        <v>CENTENO MARTINEZ</v>
      </c>
      <c r="D2916">
        <f>10</f>
        <v>10</v>
      </c>
      <c r="E2916" t="str">
        <f>"08 - S1 - B - 104 - Leslie J Barton"</f>
        <v>08 - S1 - B - 104 - Leslie J Barton</v>
      </c>
      <c r="F2916" t="str">
        <f>"TEAM SPORTS 1"</f>
        <v>TEAM SPORTS 1</v>
      </c>
      <c r="G2916" t="str">
        <f>"04-254"</f>
        <v>04-254</v>
      </c>
      <c r="H2916" t="str">
        <f>"B"</f>
        <v>B</v>
      </c>
    </row>
    <row r="2917" spans="1:8" x14ac:dyDescent="0.2">
      <c r="A2917" t="str">
        <f t="shared" ref="A2917:A2924" si="1071">"0613131682"</f>
        <v>0613131682</v>
      </c>
      <c r="B2917" t="str">
        <f t="shared" ref="B2917:B2924" si="1072">"STEPHEN"</f>
        <v>STEPHEN</v>
      </c>
      <c r="C2917" t="str">
        <f t="shared" ref="C2917:C2924" si="1073">"CESAIRE-JEAN"</f>
        <v>CESAIRE-JEAN</v>
      </c>
      <c r="D2917">
        <f>12</f>
        <v>12</v>
      </c>
      <c r="E2917" t="str">
        <f>"04 - A - 102 - Samantha J Headley"</f>
        <v>04 - A - 102 - Samantha J Headley</v>
      </c>
      <c r="F2917" t="str">
        <f>"MARINE SCI 1 HON"</f>
        <v>MARINE SCI 1 HON</v>
      </c>
      <c r="G2917" t="str">
        <f>"21-2134"</f>
        <v>21-2134</v>
      </c>
      <c r="H2917" t="str">
        <f>"A"</f>
        <v>A</v>
      </c>
    </row>
    <row r="2918" spans="1:8" x14ac:dyDescent="0.2">
      <c r="A2918" t="str">
        <f t="shared" si="1071"/>
        <v>0613131682</v>
      </c>
      <c r="B2918" t="str">
        <f t="shared" si="1072"/>
        <v>STEPHEN</v>
      </c>
      <c r="C2918" t="str">
        <f t="shared" si="1073"/>
        <v>CESAIRE-JEAN</v>
      </c>
      <c r="D2918">
        <f>12</f>
        <v>12</v>
      </c>
      <c r="E2918" t="str">
        <f>"06 - B - 114 - Lisa J London"</f>
        <v>06 - B - 114 - Lisa J London</v>
      </c>
      <c r="F2918" t="str">
        <f>"NC STUDY HALL 1"</f>
        <v>NC STUDY HALL 1</v>
      </c>
      <c r="G2918" t="str">
        <f>"17-1714"</f>
        <v>17-1714</v>
      </c>
      <c r="H2918" t="str">
        <f>"B"</f>
        <v>B</v>
      </c>
    </row>
    <row r="2919" spans="1:8" x14ac:dyDescent="0.2">
      <c r="A2919" t="str">
        <f t="shared" si="1071"/>
        <v>0613131682</v>
      </c>
      <c r="B2919" t="str">
        <f t="shared" si="1072"/>
        <v>STEPHEN</v>
      </c>
      <c r="C2919" t="str">
        <f t="shared" si="1073"/>
        <v>CESAIRE-JEAN</v>
      </c>
      <c r="D2919">
        <f>12</f>
        <v>12</v>
      </c>
      <c r="E2919" t="str">
        <f>"03 - A - 201 - Chrystina M Marchionne"</f>
        <v>03 - A - 201 - Chrystina M Marchionne</v>
      </c>
      <c r="F2919" t="str">
        <f>"JOURN 1 (YB) LH"</f>
        <v>JOURN 1 (YB) LH</v>
      </c>
      <c r="G2919" t="str">
        <f>"05-520"</f>
        <v>05-520</v>
      </c>
      <c r="H2919" t="str">
        <f>"A"</f>
        <v>A</v>
      </c>
    </row>
    <row r="2920" spans="1:8" x14ac:dyDescent="0.2">
      <c r="A2920" t="str">
        <f t="shared" si="1071"/>
        <v>0613131682</v>
      </c>
      <c r="B2920" t="str">
        <f t="shared" si="1072"/>
        <v>STEPHEN</v>
      </c>
      <c r="C2920" t="str">
        <f t="shared" si="1073"/>
        <v>CESAIRE-JEAN</v>
      </c>
      <c r="D2920">
        <f>12</f>
        <v>12</v>
      </c>
      <c r="E2920" t="str">
        <f>"02 - A - 101 - Robert H Rindner"</f>
        <v>02 - A - 101 - Robert H Rindner</v>
      </c>
      <c r="F2920" t="str">
        <f>"MATH DATA&amp;FIN LIT H"</f>
        <v>MATH DATA&amp;FIN LIT H</v>
      </c>
      <c r="G2920" t="str">
        <f>"21-2160"</f>
        <v>21-2160</v>
      </c>
      <c r="H2920" t="str">
        <f>"A"</f>
        <v>A</v>
      </c>
    </row>
    <row r="2921" spans="1:8" x14ac:dyDescent="0.2">
      <c r="A2921" t="str">
        <f t="shared" si="1071"/>
        <v>0613131682</v>
      </c>
      <c r="B2921" t="str">
        <f t="shared" si="1072"/>
        <v>STEPHEN</v>
      </c>
      <c r="C2921" t="str">
        <f t="shared" si="1073"/>
        <v>CESAIRE-JEAN</v>
      </c>
      <c r="D2921">
        <f>12</f>
        <v>12</v>
      </c>
      <c r="E2921" t="str">
        <f>"07 - B - 002 - Rachel M Montrose"</f>
        <v>07 - B - 002 - Rachel M Montrose</v>
      </c>
      <c r="F2921" t="str">
        <f>"JOURN 1 (NP) LH"</f>
        <v>JOURN 1 (NP) LH</v>
      </c>
      <c r="G2921" t="str">
        <f>"05-521"</f>
        <v>05-521</v>
      </c>
      <c r="H2921" t="str">
        <f>"B"</f>
        <v>B</v>
      </c>
    </row>
    <row r="2922" spans="1:8" x14ac:dyDescent="0.2">
      <c r="A2922" t="str">
        <f t="shared" si="1071"/>
        <v>0613131682</v>
      </c>
      <c r="B2922" t="str">
        <f t="shared" si="1072"/>
        <v>STEPHEN</v>
      </c>
      <c r="C2922" t="str">
        <f t="shared" si="1073"/>
        <v>CESAIRE-JEAN</v>
      </c>
      <c r="D2922">
        <f>12</f>
        <v>12</v>
      </c>
      <c r="E2922" t="str">
        <f>"05 - S1 - B - 102 - Barbara L Segal"</f>
        <v>05 - S1 - B - 102 - Barbara L Segal</v>
      </c>
      <c r="F2922" t="str">
        <f>"US GOVT HON"</f>
        <v>US GOVT HON</v>
      </c>
      <c r="G2922" t="str">
        <f>"17-1742"</f>
        <v>17-1742</v>
      </c>
      <c r="H2922" t="str">
        <f>"B"</f>
        <v>B</v>
      </c>
    </row>
    <row r="2923" spans="1:8" x14ac:dyDescent="0.2">
      <c r="A2923" t="str">
        <f t="shared" si="1071"/>
        <v>0613131682</v>
      </c>
      <c r="B2923" t="str">
        <f t="shared" si="1072"/>
        <v>STEPHEN</v>
      </c>
      <c r="C2923" t="str">
        <f t="shared" si="1073"/>
        <v>CESAIRE-JEAN</v>
      </c>
      <c r="D2923">
        <f>12</f>
        <v>12</v>
      </c>
      <c r="E2923" t="str">
        <f>"01 - A - 103 - Jeffrey S Gallagher"</f>
        <v>01 - A - 103 - Jeffrey S Gallagher</v>
      </c>
      <c r="F2923" t="str">
        <f>"ENG HON 4"</f>
        <v>ENG HON 4</v>
      </c>
      <c r="G2923" t="str">
        <f>"17-1724"</f>
        <v>17-1724</v>
      </c>
      <c r="H2923" t="str">
        <f>"A"</f>
        <v>A</v>
      </c>
    </row>
    <row r="2924" spans="1:8" x14ac:dyDescent="0.2">
      <c r="A2924" t="str">
        <f t="shared" si="1071"/>
        <v>0613131682</v>
      </c>
      <c r="B2924" t="str">
        <f t="shared" si="1072"/>
        <v>STEPHEN</v>
      </c>
      <c r="C2924" t="str">
        <f t="shared" si="1073"/>
        <v>CESAIRE-JEAN</v>
      </c>
      <c r="D2924">
        <f>12</f>
        <v>12</v>
      </c>
      <c r="E2924" t="str">
        <f>"08 - S1 - B - 104 - Richard E Dunbar Iii"</f>
        <v>08 - S1 - B - 104 - Richard E Dunbar Iii</v>
      </c>
      <c r="F2924" t="str">
        <f>"WEIGHT TRAIN 3"</f>
        <v>WEIGHT TRAIN 3</v>
      </c>
      <c r="G2924" t="str">
        <f>"05-501"</f>
        <v>05-501</v>
      </c>
      <c r="H2924" t="str">
        <f>"B"</f>
        <v>B</v>
      </c>
    </row>
    <row r="2925" spans="1:8" x14ac:dyDescent="0.2">
      <c r="A2925" t="str">
        <f t="shared" ref="A2925:A2932" si="1074">"0623108472"</f>
        <v>0623108472</v>
      </c>
      <c r="B2925" t="str">
        <f t="shared" ref="B2925:B2932" si="1075">"JAPHET"</f>
        <v>JAPHET</v>
      </c>
      <c r="C2925" t="str">
        <f t="shared" ref="C2925:C2932" si="1076">"CESAR"</f>
        <v>CESAR</v>
      </c>
      <c r="D2925">
        <f>10</f>
        <v>10</v>
      </c>
      <c r="E2925" t="str">
        <f>"04 - A - 105 - Milca  Exantus"</f>
        <v>04 - A - 105 - Milca  Exantus</v>
      </c>
      <c r="F2925" t="str">
        <f>"MATH COLLEGE LIB ART"</f>
        <v>MATH COLLEGE LIB ART</v>
      </c>
      <c r="G2925" t="str">
        <f>"21-2145"</f>
        <v>21-2145</v>
      </c>
      <c r="H2925" t="str">
        <f>"A"</f>
        <v>A</v>
      </c>
    </row>
    <row r="2926" spans="1:8" x14ac:dyDescent="0.2">
      <c r="A2926" t="str">
        <f t="shared" si="1074"/>
        <v>0623108472</v>
      </c>
      <c r="B2926" t="str">
        <f t="shared" si="1075"/>
        <v>JAPHET</v>
      </c>
      <c r="C2926" t="str">
        <f t="shared" si="1076"/>
        <v>CESAR</v>
      </c>
      <c r="D2926">
        <f>10</f>
        <v>10</v>
      </c>
      <c r="E2926" t="str">
        <f>"06 - B - 103 - Vanessa J Liburd"</f>
        <v>06 - B - 103 - Vanessa J Liburd</v>
      </c>
      <c r="F2926" t="str">
        <f>"NC STUDY HALL 1"</f>
        <v>NC STUDY HALL 1</v>
      </c>
      <c r="G2926" t="str">
        <f>"05-519"</f>
        <v>05-519</v>
      </c>
      <c r="H2926" t="str">
        <f>"B"</f>
        <v>B</v>
      </c>
    </row>
    <row r="2927" spans="1:8" x14ac:dyDescent="0.2">
      <c r="A2927" t="str">
        <f t="shared" si="1074"/>
        <v>0623108472</v>
      </c>
      <c r="B2927" t="str">
        <f t="shared" si="1075"/>
        <v>JAPHET</v>
      </c>
      <c r="C2927" t="str">
        <f t="shared" si="1076"/>
        <v>CESAR</v>
      </c>
      <c r="D2927">
        <f>10</f>
        <v>10</v>
      </c>
      <c r="E2927" t="str">
        <f>"03 - A - 204 - Lytrell T Dixon"</f>
        <v>03 - A - 204 - Lytrell T Dixon</v>
      </c>
      <c r="F2927" t="str">
        <f>"BIOLOGY 1"</f>
        <v>BIOLOGY 1</v>
      </c>
      <c r="G2927" t="str">
        <f>"08-808"</f>
        <v>08-808</v>
      </c>
      <c r="H2927" t="str">
        <f>"A"</f>
        <v>A</v>
      </c>
    </row>
    <row r="2928" spans="1:8" x14ac:dyDescent="0.2">
      <c r="A2928" t="str">
        <f t="shared" si="1074"/>
        <v>0623108472</v>
      </c>
      <c r="B2928" t="str">
        <f t="shared" si="1075"/>
        <v>JAPHET</v>
      </c>
      <c r="C2928" t="str">
        <f t="shared" si="1076"/>
        <v>CESAR</v>
      </c>
      <c r="D2928">
        <f>10</f>
        <v>10</v>
      </c>
      <c r="E2928" t="str">
        <f>"02 - A - 101 - Brian M Fitzgerald"</f>
        <v>02 - A - 101 - Brian M Fitzgerald</v>
      </c>
      <c r="F2928" t="str">
        <f>"DRAW 1"</f>
        <v>DRAW 1</v>
      </c>
      <c r="G2928" t="str">
        <f>"09-908"</f>
        <v>09-908</v>
      </c>
      <c r="H2928" t="str">
        <f>"A"</f>
        <v>A</v>
      </c>
    </row>
    <row r="2929" spans="1:8" x14ac:dyDescent="0.2">
      <c r="A2929" t="str">
        <f t="shared" si="1074"/>
        <v>0623108472</v>
      </c>
      <c r="B2929" t="str">
        <f t="shared" si="1075"/>
        <v>JAPHET</v>
      </c>
      <c r="C2929" t="str">
        <f t="shared" si="1076"/>
        <v>CESAR</v>
      </c>
      <c r="D2929">
        <f>10</f>
        <v>10</v>
      </c>
      <c r="E2929" t="str">
        <f>"07 - B - 108 - Jacquelyn M Neeson"</f>
        <v>07 - B - 108 - Jacquelyn M Neeson</v>
      </c>
      <c r="F2929" t="str">
        <f>"ENG 2"</f>
        <v>ENG 2</v>
      </c>
      <c r="G2929" t="str">
        <f>"17-1715"</f>
        <v>17-1715</v>
      </c>
      <c r="H2929" t="str">
        <f>"B"</f>
        <v>B</v>
      </c>
    </row>
    <row r="2930" spans="1:8" x14ac:dyDescent="0.2">
      <c r="A2930" t="str">
        <f t="shared" si="1074"/>
        <v>0623108472</v>
      </c>
      <c r="B2930" t="str">
        <f t="shared" si="1075"/>
        <v>JAPHET</v>
      </c>
      <c r="C2930" t="str">
        <f t="shared" si="1076"/>
        <v>CESAR</v>
      </c>
      <c r="D2930">
        <f>10</f>
        <v>10</v>
      </c>
      <c r="E2930" t="str">
        <f>"05 - S1 - B - 102 - Carol S Moore"</f>
        <v>05 - S1 - B - 102 - Carol S Moore</v>
      </c>
      <c r="F2930" t="str">
        <f>"PERS FIN &amp; MON MGT H"</f>
        <v>PERS FIN &amp; MON MGT H</v>
      </c>
      <c r="G2930" t="str">
        <f>"17-1733"</f>
        <v>17-1733</v>
      </c>
      <c r="H2930" t="str">
        <f>"B"</f>
        <v>B</v>
      </c>
    </row>
    <row r="2931" spans="1:8" x14ac:dyDescent="0.2">
      <c r="A2931" t="str">
        <f t="shared" si="1074"/>
        <v>0623108472</v>
      </c>
      <c r="B2931" t="str">
        <f t="shared" si="1075"/>
        <v>JAPHET</v>
      </c>
      <c r="C2931" t="str">
        <f t="shared" si="1076"/>
        <v>CESAR</v>
      </c>
      <c r="D2931">
        <f>10</f>
        <v>10</v>
      </c>
      <c r="E2931" t="str">
        <f>"01 - A - 101 - Vanessa J Liburd"</f>
        <v>01 - A - 101 - Vanessa J Liburd</v>
      </c>
      <c r="F2931" t="str">
        <f>"PRE-AICE FRENCH 1 IG"</f>
        <v>PRE-AICE FRENCH 1 IG</v>
      </c>
      <c r="G2931" t="str">
        <f>"05-519"</f>
        <v>05-519</v>
      </c>
      <c r="H2931" t="str">
        <f>"A"</f>
        <v>A</v>
      </c>
    </row>
    <row r="2932" spans="1:8" x14ac:dyDescent="0.2">
      <c r="A2932" t="str">
        <f t="shared" si="1074"/>
        <v>0623108472</v>
      </c>
      <c r="B2932" t="str">
        <f t="shared" si="1075"/>
        <v>JAPHET</v>
      </c>
      <c r="C2932" t="str">
        <f t="shared" si="1076"/>
        <v>CESAR</v>
      </c>
      <c r="D2932">
        <f>10</f>
        <v>10</v>
      </c>
      <c r="E2932" t="str">
        <f>"08 - S1 - B - 104 - Leslie J Barton"</f>
        <v>08 - S1 - B - 104 - Leslie J Barton</v>
      </c>
      <c r="F2932" t="str">
        <f>"TEAM SPORTS 1"</f>
        <v>TEAM SPORTS 1</v>
      </c>
      <c r="G2932" t="str">
        <f>"04-254"</f>
        <v>04-254</v>
      </c>
      <c r="H2932" t="str">
        <f>"B"</f>
        <v>B</v>
      </c>
    </row>
    <row r="2933" spans="1:8" x14ac:dyDescent="0.2">
      <c r="A2933" t="str">
        <f t="shared" ref="A2933:A2940" si="1077">"0613052793"</f>
        <v>0613052793</v>
      </c>
      <c r="B2933" t="str">
        <f t="shared" ref="B2933:B2940" si="1078">"NEVAEH"</f>
        <v>NEVAEH</v>
      </c>
      <c r="C2933" t="str">
        <f t="shared" ref="C2933:C2940" si="1079">"CHAMBERS"</f>
        <v>CHAMBERS</v>
      </c>
      <c r="D2933">
        <f>12</f>
        <v>12</v>
      </c>
      <c r="E2933" t="str">
        <f>"04 - A - 205 - Jacqueline R Morphet"</f>
        <v>04 - A - 205 - Jacqueline R Morphet</v>
      </c>
      <c r="F2933" t="str">
        <f>"PHYSICS 1 HON"</f>
        <v>PHYSICS 1 HON</v>
      </c>
      <c r="G2933" t="str">
        <f>"21-2138"</f>
        <v>21-2138</v>
      </c>
      <c r="H2933" t="str">
        <f>"A"</f>
        <v>A</v>
      </c>
    </row>
    <row r="2934" spans="1:8" x14ac:dyDescent="0.2">
      <c r="A2934" t="str">
        <f t="shared" si="1077"/>
        <v>0613052793</v>
      </c>
      <c r="B2934" t="str">
        <f t="shared" si="1078"/>
        <v>NEVAEH</v>
      </c>
      <c r="C2934" t="str">
        <f t="shared" si="1079"/>
        <v>CHAMBERS</v>
      </c>
      <c r="D2934">
        <f>12</f>
        <v>12</v>
      </c>
      <c r="E2934" t="str">
        <f>"06 - B - 106 - Taraneh C Abreu"</f>
        <v>06 - B - 106 - Taraneh C Abreu</v>
      </c>
      <c r="F2934" t="str">
        <f>"NC STUDY HALL 1"</f>
        <v>NC STUDY HALL 1</v>
      </c>
      <c r="G2934" t="str">
        <f>"17-1713"</f>
        <v>17-1713</v>
      </c>
      <c r="H2934" t="str">
        <f>"B"</f>
        <v>B</v>
      </c>
    </row>
    <row r="2935" spans="1:8" x14ac:dyDescent="0.2">
      <c r="A2935" t="str">
        <f t="shared" si="1077"/>
        <v>0613052793</v>
      </c>
      <c r="B2935" t="str">
        <f t="shared" si="1078"/>
        <v>NEVAEH</v>
      </c>
      <c r="C2935" t="str">
        <f t="shared" si="1079"/>
        <v>CHAMBERS</v>
      </c>
      <c r="D2935">
        <f>12</f>
        <v>12</v>
      </c>
      <c r="E2935" t="str">
        <f>"03 - A - 101 - Chrystina M Marchionne"</f>
        <v>03 - A - 101 - Chrystina M Marchionne</v>
      </c>
      <c r="F2935" t="str">
        <f>"JOURN 2 (YB) LH"</f>
        <v>JOURN 2 (YB) LH</v>
      </c>
      <c r="G2935" t="str">
        <f>"05-520"</f>
        <v>05-520</v>
      </c>
      <c r="H2935" t="str">
        <f>"A"</f>
        <v>A</v>
      </c>
    </row>
    <row r="2936" spans="1:8" x14ac:dyDescent="0.2">
      <c r="A2936" t="str">
        <f t="shared" si="1077"/>
        <v>0613052793</v>
      </c>
      <c r="B2936" t="str">
        <f t="shared" si="1078"/>
        <v>NEVAEH</v>
      </c>
      <c r="C2936" t="str">
        <f t="shared" si="1079"/>
        <v>CHAMBERS</v>
      </c>
      <c r="D2936">
        <f>12</f>
        <v>12</v>
      </c>
      <c r="E2936" t="str">
        <f>"02 - S1 - A - 101 - Carol S Moore"</f>
        <v>02 - S1 - A - 101 - Carol S Moore</v>
      </c>
      <c r="F2936" t="str">
        <f>"PER CAR SCH DEV 1 LH"</f>
        <v>PER CAR SCH DEV 1 LH</v>
      </c>
      <c r="G2936" t="str">
        <f>"17-1733"</f>
        <v>17-1733</v>
      </c>
      <c r="H2936" t="str">
        <f>"A"</f>
        <v>A</v>
      </c>
    </row>
    <row r="2937" spans="1:8" x14ac:dyDescent="0.2">
      <c r="A2937" t="str">
        <f t="shared" si="1077"/>
        <v>0613052793</v>
      </c>
      <c r="B2937" t="str">
        <f t="shared" si="1078"/>
        <v>NEVAEH</v>
      </c>
      <c r="C2937" t="str">
        <f t="shared" si="1079"/>
        <v>CHAMBERS</v>
      </c>
      <c r="D2937">
        <f>12</f>
        <v>12</v>
      </c>
      <c r="E2937" t="str">
        <f>"07 - S1 - B - 107 - Kelly N Panza"</f>
        <v>07 - S1 - B - 107 - Kelly N Panza</v>
      </c>
      <c r="F2937" t="str">
        <f>"US GOVT HON"</f>
        <v>US GOVT HON</v>
      </c>
      <c r="G2937" t="str">
        <f>"17-1753"</f>
        <v>17-1753</v>
      </c>
      <c r="H2937" t="str">
        <f>"B"</f>
        <v>B</v>
      </c>
    </row>
    <row r="2938" spans="1:8" x14ac:dyDescent="0.2">
      <c r="A2938" t="str">
        <f t="shared" si="1077"/>
        <v>0613052793</v>
      </c>
      <c r="B2938" t="str">
        <f t="shared" si="1078"/>
        <v>NEVAEH</v>
      </c>
      <c r="C2938" t="str">
        <f t="shared" si="1079"/>
        <v>CHAMBERS</v>
      </c>
      <c r="D2938">
        <f>12</f>
        <v>12</v>
      </c>
      <c r="E2938" t="str">
        <f>"05 - B - 104 - Jeffrey S Gallagher"</f>
        <v>05 - B - 104 - Jeffrey S Gallagher</v>
      </c>
      <c r="F2938" t="str">
        <f>"ENG HON 4"</f>
        <v>ENG HON 4</v>
      </c>
      <c r="G2938" t="str">
        <f>"17-1724"</f>
        <v>17-1724</v>
      </c>
      <c r="H2938" t="str">
        <f>"B"</f>
        <v>B</v>
      </c>
    </row>
    <row r="2939" spans="1:8" x14ac:dyDescent="0.2">
      <c r="A2939" t="str">
        <f t="shared" si="1077"/>
        <v>0613052793</v>
      </c>
      <c r="B2939" t="str">
        <f t="shared" si="1078"/>
        <v>NEVAEH</v>
      </c>
      <c r="C2939" t="str">
        <f t="shared" si="1079"/>
        <v>CHAMBERS</v>
      </c>
      <c r="D2939">
        <f>12</f>
        <v>12</v>
      </c>
      <c r="E2939" t="str">
        <f>"01 - A - 103 - Semra  Bahadir"</f>
        <v>01 - A - 103 - Semra  Bahadir</v>
      </c>
      <c r="F2939" t="str">
        <f>"MATH COLL ALGEBRA"</f>
        <v>MATH COLL ALGEBRA</v>
      </c>
      <c r="G2939" t="str">
        <f>"21-2107"</f>
        <v>21-2107</v>
      </c>
      <c r="H2939" t="str">
        <f>"A"</f>
        <v>A</v>
      </c>
    </row>
    <row r="2940" spans="1:8" x14ac:dyDescent="0.2">
      <c r="A2940" t="str">
        <f t="shared" si="1077"/>
        <v>0613052793</v>
      </c>
      <c r="B2940" t="str">
        <f t="shared" si="1078"/>
        <v>NEVAEH</v>
      </c>
      <c r="C2940" t="str">
        <f t="shared" si="1079"/>
        <v>CHAMBERS</v>
      </c>
      <c r="D2940">
        <f>12</f>
        <v>12</v>
      </c>
      <c r="E2940" t="str">
        <f>"08 - B - 201 - Vanessa J Liburd"</f>
        <v>08 - B - 201 - Vanessa J Liburd</v>
      </c>
      <c r="F2940" t="str">
        <f>"FRENCH 3 HON"</f>
        <v>FRENCH 3 HON</v>
      </c>
      <c r="G2940" t="str">
        <f>"05-519"</f>
        <v>05-519</v>
      </c>
      <c r="H2940" t="str">
        <f>"B"</f>
        <v>B</v>
      </c>
    </row>
    <row r="2941" spans="1:8" x14ac:dyDescent="0.2">
      <c r="A2941" t="str">
        <f t="shared" ref="A2941:A2948" si="1080">"0623021532"</f>
        <v>0623021532</v>
      </c>
      <c r="B2941" t="str">
        <f t="shared" ref="B2941:B2948" si="1081">"BARBARA"</f>
        <v>BARBARA</v>
      </c>
      <c r="C2941" t="str">
        <f t="shared" ref="C2941:C2967" si="1082">"CHAPARRO"</f>
        <v>CHAPARRO</v>
      </c>
      <c r="D2941">
        <f>11</f>
        <v>11</v>
      </c>
      <c r="E2941" t="str">
        <f>"04 - A - 201 - Christa T Parisi"</f>
        <v>04 - A - 201 - Christa T Parisi</v>
      </c>
      <c r="F2941" t="str">
        <f>"DANCE TECHNQS 3 HON"</f>
        <v>DANCE TECHNQS 3 HON</v>
      </c>
      <c r="G2941" t="str">
        <f>"05-503"</f>
        <v>05-503</v>
      </c>
      <c r="H2941" t="str">
        <f>"A"</f>
        <v>A</v>
      </c>
    </row>
    <row r="2942" spans="1:8" x14ac:dyDescent="0.2">
      <c r="A2942" t="str">
        <f t="shared" si="1080"/>
        <v>0623021532</v>
      </c>
      <c r="B2942" t="str">
        <f t="shared" si="1081"/>
        <v>BARBARA</v>
      </c>
      <c r="C2942" t="str">
        <f t="shared" si="1082"/>
        <v>CHAPARRO</v>
      </c>
      <c r="D2942">
        <f>11</f>
        <v>11</v>
      </c>
      <c r="E2942" t="str">
        <f>"06 - B - 108 - Milca  Exantus"</f>
        <v>06 - B - 108 - Milca  Exantus</v>
      </c>
      <c r="F2942" t="str">
        <f>"MATH COLLEGE LIB ART"</f>
        <v>MATH COLLEGE LIB ART</v>
      </c>
      <c r="G2942" t="str">
        <f>"21-2145"</f>
        <v>21-2145</v>
      </c>
      <c r="H2942" t="str">
        <f>"B"</f>
        <v>B</v>
      </c>
    </row>
    <row r="2943" spans="1:8" x14ac:dyDescent="0.2">
      <c r="A2943" t="str">
        <f t="shared" si="1080"/>
        <v>0623021532</v>
      </c>
      <c r="B2943" t="str">
        <f t="shared" si="1081"/>
        <v>BARBARA</v>
      </c>
      <c r="C2943" t="str">
        <f t="shared" si="1082"/>
        <v>CHAPARRO</v>
      </c>
      <c r="D2943">
        <f>11</f>
        <v>11</v>
      </c>
      <c r="E2943" t="str">
        <f>"03 - A - 201 - Emmily A Sarmiento"</f>
        <v>03 - A - 201 - Emmily A Sarmiento</v>
      </c>
      <c r="F2943" t="str">
        <f>"LEAD TECHQS HONORS"</f>
        <v>LEAD TECHQS HONORS</v>
      </c>
      <c r="G2943" t="str">
        <f>"17-1743"</f>
        <v>17-1743</v>
      </c>
      <c r="H2943" t="str">
        <f>"A"</f>
        <v>A</v>
      </c>
    </row>
    <row r="2944" spans="1:8" x14ac:dyDescent="0.2">
      <c r="A2944" t="str">
        <f t="shared" si="1080"/>
        <v>0623021532</v>
      </c>
      <c r="B2944" t="str">
        <f t="shared" si="1081"/>
        <v>BARBARA</v>
      </c>
      <c r="C2944" t="str">
        <f t="shared" si="1082"/>
        <v>CHAPARRO</v>
      </c>
      <c r="D2944">
        <f>11</f>
        <v>11</v>
      </c>
      <c r="E2944" t="str">
        <f>"02 - A - 101 - Timothy J Lawrence"</f>
        <v>02 - A - 101 - Timothy J Lawrence</v>
      </c>
      <c r="F2944" t="str">
        <f>"NC STUDY HALL 1"</f>
        <v>NC STUDY HALL 1</v>
      </c>
      <c r="G2944" t="str">
        <f>"05-522"</f>
        <v>05-522</v>
      </c>
      <c r="H2944" t="str">
        <f>"A"</f>
        <v>A</v>
      </c>
    </row>
    <row r="2945" spans="1:8" x14ac:dyDescent="0.2">
      <c r="A2945" t="str">
        <f t="shared" si="1080"/>
        <v>0623021532</v>
      </c>
      <c r="B2945" t="str">
        <f t="shared" si="1081"/>
        <v>BARBARA</v>
      </c>
      <c r="C2945" t="str">
        <f t="shared" si="1082"/>
        <v>CHAPARRO</v>
      </c>
      <c r="D2945">
        <f>11</f>
        <v>11</v>
      </c>
      <c r="E2945" t="str">
        <f>"07 - B - 002 - Rachel M Montrose"</f>
        <v>07 - B - 002 - Rachel M Montrose</v>
      </c>
      <c r="F2945" t="str">
        <f>"JOURN 1 (NP) LH"</f>
        <v>JOURN 1 (NP) LH</v>
      </c>
      <c r="G2945" t="str">
        <f>"05-521"</f>
        <v>05-521</v>
      </c>
      <c r="H2945" t="str">
        <f>"B"</f>
        <v>B</v>
      </c>
    </row>
    <row r="2946" spans="1:8" x14ac:dyDescent="0.2">
      <c r="A2946" t="str">
        <f t="shared" si="1080"/>
        <v>0623021532</v>
      </c>
      <c r="B2946" t="str">
        <f t="shared" si="1081"/>
        <v>BARBARA</v>
      </c>
      <c r="C2946" t="str">
        <f t="shared" si="1082"/>
        <v>CHAPARRO</v>
      </c>
      <c r="D2946">
        <f>11</f>
        <v>11</v>
      </c>
      <c r="E2946" t="str">
        <f>"05 - B - 001 - Kyle  Robbins"</f>
        <v>05 - B - 001 - Kyle  Robbins</v>
      </c>
      <c r="F2946" t="str">
        <f>"US HISTORY HON"</f>
        <v>US HISTORY HON</v>
      </c>
      <c r="G2946" t="str">
        <f>"17-1745"</f>
        <v>17-1745</v>
      </c>
      <c r="H2946" t="str">
        <f>"B"</f>
        <v>B</v>
      </c>
    </row>
    <row r="2947" spans="1:8" x14ac:dyDescent="0.2">
      <c r="A2947" t="str">
        <f t="shared" si="1080"/>
        <v>0623021532</v>
      </c>
      <c r="B2947" t="str">
        <f t="shared" si="1081"/>
        <v>BARBARA</v>
      </c>
      <c r="C2947" t="str">
        <f t="shared" si="1082"/>
        <v>CHAPARRO</v>
      </c>
      <c r="D2947">
        <f>11</f>
        <v>11</v>
      </c>
      <c r="E2947" t="str">
        <f>"01 - A - 101 - Heidi M Knopp"</f>
        <v>01 - A - 101 - Heidi M Knopp</v>
      </c>
      <c r="F2947" t="str">
        <f>"ENG HON 3"</f>
        <v>ENG HON 3</v>
      </c>
      <c r="G2947" t="str">
        <f>"17-1752"</f>
        <v>17-1752</v>
      </c>
      <c r="H2947" t="str">
        <f>"A"</f>
        <v>A</v>
      </c>
    </row>
    <row r="2948" spans="1:8" x14ac:dyDescent="0.2">
      <c r="A2948" t="str">
        <f t="shared" si="1080"/>
        <v>0623021532</v>
      </c>
      <c r="B2948" t="str">
        <f t="shared" si="1081"/>
        <v>BARBARA</v>
      </c>
      <c r="C2948" t="str">
        <f t="shared" si="1082"/>
        <v>CHAPARRO</v>
      </c>
      <c r="D2948">
        <f>11</f>
        <v>11</v>
      </c>
      <c r="E2948" t="str">
        <f>"08 - B - 001 - Scott A Dethloff"</f>
        <v>08 - B - 001 - Scott A Dethloff</v>
      </c>
      <c r="F2948" t="str">
        <f>"CHEMISTRY 1 HON"</f>
        <v>CHEMISTRY 1 HON</v>
      </c>
      <c r="G2948" t="str">
        <f>"08-812"</f>
        <v>08-812</v>
      </c>
      <c r="H2948" t="str">
        <f>"B"</f>
        <v>B</v>
      </c>
    </row>
    <row r="2949" spans="1:8" x14ac:dyDescent="0.2">
      <c r="A2949" t="str">
        <f t="shared" ref="A2949:A2957" si="1083">"0617071422"</f>
        <v>0617071422</v>
      </c>
      <c r="B2949" t="str">
        <f t="shared" ref="B2949:B2957" si="1084">"MIKAYLA"</f>
        <v>MIKAYLA</v>
      </c>
      <c r="C2949" t="str">
        <f t="shared" si="1082"/>
        <v>CHAPARRO</v>
      </c>
      <c r="D2949" t="str">
        <f t="shared" ref="D2949:D2957" si="1085">"09"</f>
        <v>09</v>
      </c>
      <c r="E2949" t="str">
        <f>"04 - A - 102 - Samantha J Headley"</f>
        <v>04 - A - 102 - Samantha J Headley</v>
      </c>
      <c r="F2949" t="str">
        <f>"MARINE SCI 1 HON"</f>
        <v>MARINE SCI 1 HON</v>
      </c>
      <c r="G2949" t="str">
        <f>"21-2134"</f>
        <v>21-2134</v>
      </c>
      <c r="H2949" t="str">
        <f>"A"</f>
        <v>A</v>
      </c>
    </row>
    <row r="2950" spans="1:8" x14ac:dyDescent="0.2">
      <c r="A2950" t="str">
        <f t="shared" si="1083"/>
        <v>0617071422</v>
      </c>
      <c r="B2950" t="str">
        <f t="shared" si="1084"/>
        <v>MIKAYLA</v>
      </c>
      <c r="C2950" t="str">
        <f t="shared" si="1082"/>
        <v>CHAPARRO</v>
      </c>
      <c r="D2950" t="str">
        <f t="shared" si="1085"/>
        <v>09</v>
      </c>
      <c r="E2950" t="str">
        <f>"06 - B - 104 - Rory T Sponsler"</f>
        <v>06 - B - 104 - Rory T Sponsler</v>
      </c>
      <c r="F2950" t="str">
        <f>"PRE-AICE WRLD HST IG"</f>
        <v>PRE-AICE WRLD HST IG</v>
      </c>
      <c r="G2950" t="str">
        <f>"17-1740"</f>
        <v>17-1740</v>
      </c>
      <c r="H2950" t="str">
        <f>"B"</f>
        <v>B</v>
      </c>
    </row>
    <row r="2951" spans="1:8" x14ac:dyDescent="0.2">
      <c r="A2951" t="str">
        <f t="shared" si="1083"/>
        <v>0617071422</v>
      </c>
      <c r="B2951" t="str">
        <f t="shared" si="1084"/>
        <v>MIKAYLA</v>
      </c>
      <c r="C2951" t="str">
        <f t="shared" si="1082"/>
        <v>CHAPARRO</v>
      </c>
      <c r="D2951" t="str">
        <f t="shared" si="1085"/>
        <v>09</v>
      </c>
      <c r="E2951" t="str">
        <f>"03 - A - 201 - Emmily A Sarmiento"</f>
        <v>03 - A - 201 - Emmily A Sarmiento</v>
      </c>
      <c r="F2951" t="str">
        <f>"LEAD SKLS DEV LH"</f>
        <v>LEAD SKLS DEV LH</v>
      </c>
      <c r="G2951" t="str">
        <f>"17-1743"</f>
        <v>17-1743</v>
      </c>
      <c r="H2951" t="str">
        <f>"A"</f>
        <v>A</v>
      </c>
    </row>
    <row r="2952" spans="1:8" x14ac:dyDescent="0.2">
      <c r="A2952" t="str">
        <f t="shared" si="1083"/>
        <v>0617071422</v>
      </c>
      <c r="B2952" t="str">
        <f t="shared" si="1084"/>
        <v>MIKAYLA</v>
      </c>
      <c r="C2952" t="str">
        <f t="shared" si="1082"/>
        <v>CHAPARRO</v>
      </c>
      <c r="D2952" t="str">
        <f t="shared" si="1085"/>
        <v>09</v>
      </c>
      <c r="E2952" t="str">
        <f>"02 - A - 112 - Cheryl Anne  Berman-Schechter"</f>
        <v>02 - A - 112 - Cheryl Anne  Berman-Schechter</v>
      </c>
      <c r="F2952" t="str">
        <f>"NC STUDY HALL 1"</f>
        <v>NC STUDY HALL 1</v>
      </c>
      <c r="G2952" t="str">
        <f>"17-1722"</f>
        <v>17-1722</v>
      </c>
      <c r="H2952" t="str">
        <f>"A"</f>
        <v>A</v>
      </c>
    </row>
    <row r="2953" spans="1:8" x14ac:dyDescent="0.2">
      <c r="A2953" t="str">
        <f t="shared" si="1083"/>
        <v>0617071422</v>
      </c>
      <c r="B2953" t="str">
        <f t="shared" si="1084"/>
        <v>MIKAYLA</v>
      </c>
      <c r="C2953" t="str">
        <f t="shared" si="1082"/>
        <v>CHAPARRO</v>
      </c>
      <c r="D2953" t="str">
        <f t="shared" si="1085"/>
        <v>09</v>
      </c>
      <c r="E2953" t="str">
        <f>"02 - A - 102 - Eric  Lopapa"</f>
        <v>02 - A - 102 - Eric  Lopapa</v>
      </c>
      <c r="F2953" t="str">
        <f>"SPEECH THRPY"</f>
        <v>SPEECH THRPY</v>
      </c>
      <c r="G2953" t="str">
        <f>"21-2110"</f>
        <v>21-2110</v>
      </c>
      <c r="H2953" t="str">
        <f>"A"</f>
        <v>A</v>
      </c>
    </row>
    <row r="2954" spans="1:8" x14ac:dyDescent="0.2">
      <c r="A2954" t="str">
        <f t="shared" si="1083"/>
        <v>0617071422</v>
      </c>
      <c r="B2954" t="str">
        <f t="shared" si="1084"/>
        <v>MIKAYLA</v>
      </c>
      <c r="C2954" t="str">
        <f t="shared" si="1082"/>
        <v>CHAPARRO</v>
      </c>
      <c r="D2954" t="str">
        <f t="shared" si="1085"/>
        <v>09</v>
      </c>
      <c r="E2954" t="str">
        <f>"07 - B - 201 - Angela S Adeshina-Morrison"</f>
        <v>07 - B - 201 - Angela S Adeshina-Morrison</v>
      </c>
      <c r="F2954" t="str">
        <f>"BUSINESS OWNER HON"</f>
        <v>BUSINESS OWNER HON</v>
      </c>
      <c r="G2954" t="str">
        <f>"05-518"</f>
        <v>05-518</v>
      </c>
      <c r="H2954" t="str">
        <f>"B"</f>
        <v>B</v>
      </c>
    </row>
    <row r="2955" spans="1:8" x14ac:dyDescent="0.2">
      <c r="A2955" t="str">
        <f t="shared" si="1083"/>
        <v>0617071422</v>
      </c>
      <c r="B2955" t="str">
        <f t="shared" si="1084"/>
        <v>MIKAYLA</v>
      </c>
      <c r="C2955" t="str">
        <f t="shared" si="1082"/>
        <v>CHAPARRO</v>
      </c>
      <c r="D2955" t="str">
        <f t="shared" si="1085"/>
        <v>09</v>
      </c>
      <c r="E2955" t="str">
        <f>"05 - B - 101 - Brian M Fitzgerald"</f>
        <v>05 - B - 101 - Brian M Fitzgerald</v>
      </c>
      <c r="F2955" t="str">
        <f>"PAINT 1"</f>
        <v>PAINT 1</v>
      </c>
      <c r="G2955" t="str">
        <f>"09-908"</f>
        <v>09-908</v>
      </c>
      <c r="H2955" t="str">
        <f>"B"</f>
        <v>B</v>
      </c>
    </row>
    <row r="2956" spans="1:8" x14ac:dyDescent="0.2">
      <c r="A2956" t="str">
        <f t="shared" si="1083"/>
        <v>0617071422</v>
      </c>
      <c r="B2956" t="str">
        <f t="shared" si="1084"/>
        <v>MIKAYLA</v>
      </c>
      <c r="C2956" t="str">
        <f t="shared" si="1082"/>
        <v>CHAPARRO</v>
      </c>
      <c r="D2956" t="str">
        <f t="shared" si="1085"/>
        <v>09</v>
      </c>
      <c r="E2956" t="str">
        <f>"01 - A - 102 - Brook E Goren"</f>
        <v>01 - A - 102 - Brook E Goren</v>
      </c>
      <c r="F2956" t="str">
        <f>"PRE-AICE MATH 2 IG"</f>
        <v>PRE-AICE MATH 2 IG</v>
      </c>
      <c r="G2956" t="str">
        <f>"21-2158"</f>
        <v>21-2158</v>
      </c>
      <c r="H2956" t="str">
        <f>"A"</f>
        <v>A</v>
      </c>
    </row>
    <row r="2957" spans="1:8" x14ac:dyDescent="0.2">
      <c r="A2957" t="str">
        <f t="shared" si="1083"/>
        <v>0617071422</v>
      </c>
      <c r="B2957" t="str">
        <f t="shared" si="1084"/>
        <v>MIKAYLA</v>
      </c>
      <c r="C2957" t="str">
        <f t="shared" si="1082"/>
        <v>CHAPARRO</v>
      </c>
      <c r="D2957" t="str">
        <f t="shared" si="1085"/>
        <v>09</v>
      </c>
      <c r="E2957" t="str">
        <f>"08 - B - 201 - Elizabeth R Walker"</f>
        <v>08 - B - 201 - Elizabeth R Walker</v>
      </c>
      <c r="F2957" t="str">
        <f>"AICE ENG GEN PAPER 1"</f>
        <v>AICE ENG GEN PAPER 1</v>
      </c>
      <c r="G2957" t="str">
        <f>"17-1703"</f>
        <v>17-1703</v>
      </c>
      <c r="H2957" t="str">
        <f>"B"</f>
        <v>B</v>
      </c>
    </row>
    <row r="2958" spans="1:8" x14ac:dyDescent="0.2">
      <c r="A2958" t="str">
        <f t="shared" ref="A2958:A2967" si="1086">"0613078286"</f>
        <v>0613078286</v>
      </c>
      <c r="B2958" t="str">
        <f t="shared" ref="B2958:B2967" si="1087">"YANDEL"</f>
        <v>YANDEL</v>
      </c>
      <c r="C2958" t="str">
        <f t="shared" si="1082"/>
        <v>CHAPARRO</v>
      </c>
      <c r="D2958">
        <f>11</f>
        <v>11</v>
      </c>
      <c r="E2958" t="str">
        <f>"04 - A - 106 - Marielle A Witting"</f>
        <v>04 - A - 106 - Marielle A Witting</v>
      </c>
      <c r="F2958" t="str">
        <f>"ANAT PHYSIO"</f>
        <v>ANAT PHYSIO</v>
      </c>
      <c r="G2958" t="str">
        <f>"08-805"</f>
        <v>08-805</v>
      </c>
      <c r="H2958" t="str">
        <f>"A"</f>
        <v>A</v>
      </c>
    </row>
    <row r="2959" spans="1:8" x14ac:dyDescent="0.2">
      <c r="A2959" t="str">
        <f t="shared" si="1086"/>
        <v>0613078286</v>
      </c>
      <c r="B2959" t="str">
        <f t="shared" si="1087"/>
        <v>YANDEL</v>
      </c>
      <c r="C2959" t="str">
        <f t="shared" si="1082"/>
        <v>CHAPARRO</v>
      </c>
      <c r="D2959">
        <f>11</f>
        <v>11</v>
      </c>
      <c r="E2959" t="str">
        <f>"06 - B - 105 - Elizabeth Ellen  Moran"</f>
        <v>06 - B - 105 - Elizabeth Ellen  Moran</v>
      </c>
      <c r="F2959" t="str">
        <f>"US HISTORY"</f>
        <v>US HISTORY</v>
      </c>
      <c r="G2959" t="str">
        <f>"17-1752"</f>
        <v>17-1752</v>
      </c>
      <c r="H2959" t="str">
        <f>"B"</f>
        <v>B</v>
      </c>
    </row>
    <row r="2960" spans="1:8" x14ac:dyDescent="0.2">
      <c r="A2960" t="str">
        <f t="shared" si="1086"/>
        <v>0613078286</v>
      </c>
      <c r="B2960" t="str">
        <f t="shared" si="1087"/>
        <v>YANDEL</v>
      </c>
      <c r="C2960" t="str">
        <f t="shared" si="1082"/>
        <v>CHAPARRO</v>
      </c>
      <c r="D2960">
        <f>11</f>
        <v>11</v>
      </c>
      <c r="E2960" t="str">
        <f>"03 - A - 101 - Eva T Rimmer"</f>
        <v>03 - A - 101 - Eva T Rimmer</v>
      </c>
      <c r="F2960" t="str">
        <f>"CRIMINAL JUST OPS 1"</f>
        <v>CRIMINAL JUST OPS 1</v>
      </c>
      <c r="G2960" t="str">
        <f>"05-523"</f>
        <v>05-523</v>
      </c>
      <c r="H2960" t="str">
        <f>"A"</f>
        <v>A</v>
      </c>
    </row>
    <row r="2961" spans="1:8" x14ac:dyDescent="0.2">
      <c r="A2961" t="str">
        <f t="shared" si="1086"/>
        <v>0613078286</v>
      </c>
      <c r="B2961" t="str">
        <f t="shared" si="1087"/>
        <v>YANDEL</v>
      </c>
      <c r="C2961" t="str">
        <f t="shared" si="1082"/>
        <v>CHAPARRO</v>
      </c>
      <c r="D2961">
        <f>11</f>
        <v>11</v>
      </c>
      <c r="E2961" t="str">
        <f>"02 - A - 108 - Stephen T Ripp"</f>
        <v>02 - A - 108 - Stephen T Ripp</v>
      </c>
      <c r="F2961" t="str">
        <f>"NC STUDY HALL 1"</f>
        <v>NC STUDY HALL 1</v>
      </c>
      <c r="G2961" t="str">
        <f>"17-1744"</f>
        <v>17-1744</v>
      </c>
      <c r="H2961" t="str">
        <f>"A"</f>
        <v>A</v>
      </c>
    </row>
    <row r="2962" spans="1:8" x14ac:dyDescent="0.2">
      <c r="A2962" t="str">
        <f t="shared" si="1086"/>
        <v>0613078286</v>
      </c>
      <c r="B2962" t="str">
        <f t="shared" si="1087"/>
        <v>YANDEL</v>
      </c>
      <c r="C2962" t="str">
        <f t="shared" si="1082"/>
        <v>CHAPARRO</v>
      </c>
      <c r="D2962">
        <f>11</f>
        <v>11</v>
      </c>
      <c r="E2962" t="str">
        <f>"02 - A - 112 - Karen A Toomer"</f>
        <v>02 - A - 112 - Karen A Toomer</v>
      </c>
      <c r="F2962" t="str">
        <f>"LANG THERAPY"</f>
        <v>LANG THERAPY</v>
      </c>
      <c r="G2962" t="str">
        <f>"21-2110"</f>
        <v>21-2110</v>
      </c>
      <c r="H2962" t="str">
        <f>"A"</f>
        <v>A</v>
      </c>
    </row>
    <row r="2963" spans="1:8" x14ac:dyDescent="0.2">
      <c r="A2963" t="str">
        <f t="shared" si="1086"/>
        <v>0613078286</v>
      </c>
      <c r="B2963" t="str">
        <f t="shared" si="1087"/>
        <v>YANDEL</v>
      </c>
      <c r="C2963" t="str">
        <f t="shared" si="1082"/>
        <v>CHAPARRO</v>
      </c>
      <c r="D2963">
        <f>11</f>
        <v>11</v>
      </c>
      <c r="E2963" t="str">
        <f>"02 - A - 112 - Karen A Toomer"</f>
        <v>02 - A - 112 - Karen A Toomer</v>
      </c>
      <c r="F2963" t="str">
        <f>"SPEECH THRPY"</f>
        <v>SPEECH THRPY</v>
      </c>
      <c r="G2963" t="str">
        <f>"21-2110"</f>
        <v>21-2110</v>
      </c>
      <c r="H2963" t="str">
        <f>"A"</f>
        <v>A</v>
      </c>
    </row>
    <row r="2964" spans="1:8" x14ac:dyDescent="0.2">
      <c r="A2964" t="str">
        <f t="shared" si="1086"/>
        <v>0613078286</v>
      </c>
      <c r="B2964" t="str">
        <f t="shared" si="1087"/>
        <v>YANDEL</v>
      </c>
      <c r="C2964" t="str">
        <f t="shared" si="1082"/>
        <v>CHAPARRO</v>
      </c>
      <c r="D2964">
        <f>11</f>
        <v>11</v>
      </c>
      <c r="E2964" t="str">
        <f>"07 - S1 - B - 103 - Leslie J Barton"</f>
        <v>07 - S1 - B - 103 - Leslie J Barton</v>
      </c>
      <c r="F2964" t="str">
        <f>"TEAM SPORTS 1"</f>
        <v>TEAM SPORTS 1</v>
      </c>
      <c r="G2964" t="str">
        <f>"04-254"</f>
        <v>04-254</v>
      </c>
      <c r="H2964" t="str">
        <f>"B"</f>
        <v>B</v>
      </c>
    </row>
    <row r="2965" spans="1:8" x14ac:dyDescent="0.2">
      <c r="A2965" t="str">
        <f t="shared" si="1086"/>
        <v>0613078286</v>
      </c>
      <c r="B2965" t="str">
        <f t="shared" si="1087"/>
        <v>YANDEL</v>
      </c>
      <c r="C2965" t="str">
        <f t="shared" si="1082"/>
        <v>CHAPARRO</v>
      </c>
      <c r="D2965">
        <f>11</f>
        <v>11</v>
      </c>
      <c r="E2965" t="str">
        <f>"05 - B - 104 - Lisa  Quinn"</f>
        <v>05 - B - 104 - Lisa  Quinn</v>
      </c>
      <c r="F2965" t="str">
        <f>"ENG 3"</f>
        <v>ENG 3</v>
      </c>
      <c r="G2965" t="str">
        <f>"17-1725"</f>
        <v>17-1725</v>
      </c>
      <c r="H2965" t="str">
        <f>"B"</f>
        <v>B</v>
      </c>
    </row>
    <row r="2966" spans="1:8" x14ac:dyDescent="0.2">
      <c r="A2966" t="str">
        <f t="shared" si="1086"/>
        <v>0613078286</v>
      </c>
      <c r="B2966" t="str">
        <f t="shared" si="1087"/>
        <v>YANDEL</v>
      </c>
      <c r="C2966" t="str">
        <f t="shared" si="1082"/>
        <v>CHAPARRO</v>
      </c>
      <c r="D2966">
        <f>11</f>
        <v>11</v>
      </c>
      <c r="E2966" t="str">
        <f>"01 - A - 102 - Fernando  Vega-Cid"</f>
        <v>01 - A - 102 - Fernando  Vega-Cid</v>
      </c>
      <c r="F2966" t="str">
        <f>"GEOMETRY"</f>
        <v>GEOMETRY</v>
      </c>
      <c r="G2966" t="str">
        <f>"21-2163"</f>
        <v>21-2163</v>
      </c>
      <c r="H2966" t="str">
        <f>"A"</f>
        <v>A</v>
      </c>
    </row>
    <row r="2967" spans="1:8" x14ac:dyDescent="0.2">
      <c r="A2967" t="str">
        <f t="shared" si="1086"/>
        <v>0613078286</v>
      </c>
      <c r="B2967" t="str">
        <f t="shared" si="1087"/>
        <v>YANDEL</v>
      </c>
      <c r="C2967" t="str">
        <f t="shared" si="1082"/>
        <v>CHAPARRO</v>
      </c>
      <c r="D2967">
        <f>11</f>
        <v>11</v>
      </c>
      <c r="E2967" t="str">
        <f>"08 - B - 102 - Carleigh R Carmichael"</f>
        <v>08 - B - 102 - Carleigh R Carmichael</v>
      </c>
      <c r="F2967" t="str">
        <f>"LRNG STRATEGIES 9-12"</f>
        <v>LRNG STRATEGIES 9-12</v>
      </c>
      <c r="G2967" t="str">
        <f>"20-2072"</f>
        <v>20-2072</v>
      </c>
      <c r="H2967" t="str">
        <f>"B"</f>
        <v>B</v>
      </c>
    </row>
    <row r="2968" spans="1:8" x14ac:dyDescent="0.2">
      <c r="A2968" t="str">
        <f t="shared" ref="A2968:A2975" si="1088">"0613066919"</f>
        <v>0613066919</v>
      </c>
      <c r="B2968" t="str">
        <f t="shared" ref="B2968:B2975" si="1089">"TA'LEAH"</f>
        <v>TA'LEAH</v>
      </c>
      <c r="C2968" t="str">
        <f t="shared" ref="C2968:C2975" si="1090">"CHARISTIL"</f>
        <v>CHARISTIL</v>
      </c>
      <c r="D2968">
        <f>11</f>
        <v>11</v>
      </c>
      <c r="E2968" t="str">
        <f>"04 - A - 101 - Jerry S Jiampetti"</f>
        <v>04 - A - 101 - Jerry S Jiampetti</v>
      </c>
      <c r="F2968" t="str">
        <f>"AICE U.S. HIST 1 AS"</f>
        <v>AICE U.S. HIST 1 AS</v>
      </c>
      <c r="G2968" t="str">
        <f>"17-1751"</f>
        <v>17-1751</v>
      </c>
      <c r="H2968" t="str">
        <f>"A"</f>
        <v>A</v>
      </c>
    </row>
    <row r="2969" spans="1:8" x14ac:dyDescent="0.2">
      <c r="A2969" t="str">
        <f t="shared" si="1088"/>
        <v>0613066919</v>
      </c>
      <c r="B2969" t="str">
        <f t="shared" si="1089"/>
        <v>TA'LEAH</v>
      </c>
      <c r="C2969" t="str">
        <f t="shared" si="1090"/>
        <v>CHARISTIL</v>
      </c>
      <c r="D2969">
        <f>11</f>
        <v>11</v>
      </c>
      <c r="E2969" t="str">
        <f>"06 - B - 202 - Alejandro  Navarro"</f>
        <v>06 - B - 202 - Alejandro  Navarro</v>
      </c>
      <c r="F2969" t="str">
        <f>"BAND 1"</f>
        <v>BAND 1</v>
      </c>
      <c r="G2969" t="str">
        <f>"05-504"</f>
        <v>05-504</v>
      </c>
      <c r="H2969" t="str">
        <f>"B"</f>
        <v>B</v>
      </c>
    </row>
    <row r="2970" spans="1:8" x14ac:dyDescent="0.2">
      <c r="A2970" t="str">
        <f t="shared" si="1088"/>
        <v>0613066919</v>
      </c>
      <c r="B2970" t="str">
        <f t="shared" si="1089"/>
        <v>TA'LEAH</v>
      </c>
      <c r="C2970" t="str">
        <f t="shared" si="1090"/>
        <v>CHARISTIL</v>
      </c>
      <c r="D2970">
        <f>11</f>
        <v>11</v>
      </c>
      <c r="E2970" t="str">
        <f>"03 - A - 204 - Norayda D Suarez"</f>
        <v>03 - A - 204 - Norayda D Suarez</v>
      </c>
      <c r="F2970" t="str">
        <f>"ANAT PHYSIO HON"</f>
        <v>ANAT PHYSIO HON</v>
      </c>
      <c r="G2970" t="str">
        <f>"21-2144"</f>
        <v>21-2144</v>
      </c>
      <c r="H2970" t="str">
        <f>"A"</f>
        <v>A</v>
      </c>
    </row>
    <row r="2971" spans="1:8" x14ac:dyDescent="0.2">
      <c r="A2971" t="str">
        <f t="shared" si="1088"/>
        <v>0613066919</v>
      </c>
      <c r="B2971" t="str">
        <f t="shared" si="1089"/>
        <v>TA'LEAH</v>
      </c>
      <c r="C2971" t="str">
        <f t="shared" si="1090"/>
        <v>CHARISTIL</v>
      </c>
      <c r="D2971">
        <f>11</f>
        <v>11</v>
      </c>
      <c r="E2971" t="str">
        <f>"02 - A - 001 - Jazmin S Fletcher"</f>
        <v>02 - A - 001 - Jazmin S Fletcher</v>
      </c>
      <c r="F2971" t="str">
        <f>"NC STUDY HALL 1"</f>
        <v>NC STUDY HALL 1</v>
      </c>
      <c r="G2971" t="str">
        <f>"09-909"</f>
        <v>09-909</v>
      </c>
      <c r="H2971" t="str">
        <f>"A"</f>
        <v>A</v>
      </c>
    </row>
    <row r="2972" spans="1:8" x14ac:dyDescent="0.2">
      <c r="A2972" t="str">
        <f t="shared" si="1088"/>
        <v>0613066919</v>
      </c>
      <c r="B2972" t="str">
        <f t="shared" si="1089"/>
        <v>TA'LEAH</v>
      </c>
      <c r="C2972" t="str">
        <f t="shared" si="1090"/>
        <v>CHARISTIL</v>
      </c>
      <c r="D2972">
        <f>11</f>
        <v>11</v>
      </c>
      <c r="E2972" t="str">
        <f>"07 - B - 201 - Angela S Adeshina-Morrison"</f>
        <v>07 - B - 201 - Angela S Adeshina-Morrison</v>
      </c>
      <c r="F2972" t="str">
        <f>"BUSINESS OWNER HON"</f>
        <v>BUSINESS OWNER HON</v>
      </c>
      <c r="G2972" t="str">
        <f>"05-518"</f>
        <v>05-518</v>
      </c>
      <c r="H2972" t="str">
        <f>"B"</f>
        <v>B</v>
      </c>
    </row>
    <row r="2973" spans="1:8" x14ac:dyDescent="0.2">
      <c r="A2973" t="str">
        <f t="shared" si="1088"/>
        <v>0613066919</v>
      </c>
      <c r="B2973" t="str">
        <f t="shared" si="1089"/>
        <v>TA'LEAH</v>
      </c>
      <c r="C2973" t="str">
        <f t="shared" si="1090"/>
        <v>CHARISTIL</v>
      </c>
      <c r="D2973">
        <f>11</f>
        <v>11</v>
      </c>
      <c r="E2973" t="str">
        <f>"05 - B - 106 - Thomas G Handwerg"</f>
        <v>05 - B - 106 - Thomas G Handwerg</v>
      </c>
      <c r="F2973" t="str">
        <f>"MATH COLL ALGEBRA"</f>
        <v>MATH COLL ALGEBRA</v>
      </c>
      <c r="G2973" t="str">
        <f>"21-2146"</f>
        <v>21-2146</v>
      </c>
      <c r="H2973" t="str">
        <f>"B"</f>
        <v>B</v>
      </c>
    </row>
    <row r="2974" spans="1:8" x14ac:dyDescent="0.2">
      <c r="A2974" t="str">
        <f t="shared" si="1088"/>
        <v>0613066919</v>
      </c>
      <c r="B2974" t="str">
        <f t="shared" si="1089"/>
        <v>TA'LEAH</v>
      </c>
      <c r="C2974" t="str">
        <f t="shared" si="1090"/>
        <v>CHARISTIL</v>
      </c>
      <c r="D2974">
        <f>11</f>
        <v>11</v>
      </c>
      <c r="E2974" t="str">
        <f>"01 - A - 101 - Brandy N Zdenek"</f>
        <v>01 - A - 101 - Brandy N Zdenek</v>
      </c>
      <c r="F2974" t="str">
        <f>"AICE ENG LANG 2 AL"</f>
        <v>AICE ENG LANG 2 AL</v>
      </c>
      <c r="G2974" t="str">
        <f>"17-1704"</f>
        <v>17-1704</v>
      </c>
      <c r="H2974" t="str">
        <f>"A"</f>
        <v>A</v>
      </c>
    </row>
    <row r="2975" spans="1:8" x14ac:dyDescent="0.2">
      <c r="A2975" t="str">
        <f t="shared" si="1088"/>
        <v>0613066919</v>
      </c>
      <c r="B2975" t="str">
        <f t="shared" si="1089"/>
        <v>TA'LEAH</v>
      </c>
      <c r="C2975" t="str">
        <f t="shared" si="1090"/>
        <v>CHARISTIL</v>
      </c>
      <c r="D2975">
        <f>11</f>
        <v>11</v>
      </c>
      <c r="E2975" t="str">
        <f>"08 - B - 101 - Jordana K Hass"</f>
        <v>08 - B - 101 - Jordana K Hass</v>
      </c>
      <c r="F2975" t="str">
        <f>"AICE INFO TECH 1 AS"</f>
        <v>AICE INFO TECH 1 AS</v>
      </c>
      <c r="G2975" t="str">
        <f>"08-807"</f>
        <v>08-807</v>
      </c>
      <c r="H2975" t="str">
        <f>"B"</f>
        <v>B</v>
      </c>
    </row>
    <row r="2976" spans="1:8" x14ac:dyDescent="0.2">
      <c r="A2976" t="str">
        <f t="shared" ref="A2976:A2983" si="1091">"0626008734"</f>
        <v>0626008734</v>
      </c>
      <c r="B2976" t="str">
        <f t="shared" ref="B2976:B2983" si="1092">"Kenya"</f>
        <v>Kenya</v>
      </c>
      <c r="C2976" t="str">
        <f t="shared" ref="C2976:C2983" si="1093">"Charles"</f>
        <v>Charles</v>
      </c>
      <c r="D2976">
        <f>12</f>
        <v>12</v>
      </c>
      <c r="E2976" t="str">
        <f>"04 - A - 103 - Daniel S Tyson"</f>
        <v>04 - A - 103 - Daniel S Tyson</v>
      </c>
      <c r="F2976" t="str">
        <f>"JROTC NAVAL SCI 1"</f>
        <v>JROTC NAVAL SCI 1</v>
      </c>
      <c r="G2976" t="str">
        <f>"05-510"</f>
        <v>05-510</v>
      </c>
      <c r="H2976" t="str">
        <f>"A"</f>
        <v>A</v>
      </c>
    </row>
    <row r="2977" spans="1:8" x14ac:dyDescent="0.2">
      <c r="A2977" t="str">
        <f t="shared" si="1091"/>
        <v>0626008734</v>
      </c>
      <c r="B2977" t="str">
        <f t="shared" si="1092"/>
        <v>Kenya</v>
      </c>
      <c r="C2977" t="str">
        <f t="shared" si="1093"/>
        <v>Charles</v>
      </c>
      <c r="D2977">
        <f>12</f>
        <v>12</v>
      </c>
      <c r="E2977" t="str">
        <f>"06 - B - 101 - Justin D Willard"</f>
        <v>06 - B - 101 - Justin D Willard</v>
      </c>
      <c r="F2977" t="str">
        <f>"CAR EXERIENCES: 9-12"</f>
        <v>CAR EXERIENCES: 9-12</v>
      </c>
      <c r="G2977" t="str">
        <f>"21-2111"</f>
        <v>21-2111</v>
      </c>
      <c r="H2977" t="str">
        <f>"B"</f>
        <v>B</v>
      </c>
    </row>
    <row r="2978" spans="1:8" x14ac:dyDescent="0.2">
      <c r="A2978" t="str">
        <f t="shared" si="1091"/>
        <v>0626008734</v>
      </c>
      <c r="B2978" t="str">
        <f t="shared" si="1092"/>
        <v>Kenya</v>
      </c>
      <c r="C2978" t="str">
        <f t="shared" si="1093"/>
        <v>Charles</v>
      </c>
      <c r="D2978">
        <f>12</f>
        <v>12</v>
      </c>
      <c r="E2978" t="str">
        <f>"03 - S1 - A - 101 - Staci M Newton"</f>
        <v>03 - S1 - A - 101 - Staci M Newton</v>
      </c>
      <c r="F2978" t="str">
        <f>"ACCESS ECON FIN LIT"</f>
        <v>ACCESS ECON FIN LIT</v>
      </c>
      <c r="G2978" t="str">
        <f>"21-2103"</f>
        <v>21-2103</v>
      </c>
      <c r="H2978" t="str">
        <f>"A"</f>
        <v>A</v>
      </c>
    </row>
    <row r="2979" spans="1:8" x14ac:dyDescent="0.2">
      <c r="A2979" t="str">
        <f t="shared" si="1091"/>
        <v>0626008734</v>
      </c>
      <c r="B2979" t="str">
        <f t="shared" si="1092"/>
        <v>Kenya</v>
      </c>
      <c r="C2979" t="str">
        <f t="shared" si="1093"/>
        <v>Charles</v>
      </c>
      <c r="D2979">
        <f>12</f>
        <v>12</v>
      </c>
      <c r="E2979" t="str">
        <f>"02 - A - 101 - Staci M Newton"</f>
        <v>02 - A - 101 - Staci M Newton</v>
      </c>
      <c r="F2979" t="str">
        <f>"ACCESS LIB ARTS MATH"</f>
        <v>ACCESS LIB ARTS MATH</v>
      </c>
      <c r="G2979" t="str">
        <f>"21-2103"</f>
        <v>21-2103</v>
      </c>
      <c r="H2979" t="str">
        <f>"A"</f>
        <v>A</v>
      </c>
    </row>
    <row r="2980" spans="1:8" x14ac:dyDescent="0.2">
      <c r="A2980" t="str">
        <f t="shared" si="1091"/>
        <v>0626008734</v>
      </c>
      <c r="B2980" t="str">
        <f t="shared" si="1092"/>
        <v>Kenya</v>
      </c>
      <c r="C2980" t="str">
        <f t="shared" si="1093"/>
        <v>Charles</v>
      </c>
      <c r="D2980">
        <f>12</f>
        <v>12</v>
      </c>
      <c r="E2980" t="str">
        <f>"07 - B - 101 - Justin D Willard"</f>
        <v>07 - B - 101 - Justin D Willard</v>
      </c>
      <c r="F2980" t="str">
        <f>"CAR PLACEMENT: 9-12"</f>
        <v>CAR PLACEMENT: 9-12</v>
      </c>
      <c r="G2980" t="str">
        <f>"21-2111"</f>
        <v>21-2111</v>
      </c>
      <c r="H2980" t="str">
        <f>"B"</f>
        <v>B</v>
      </c>
    </row>
    <row r="2981" spans="1:8" x14ac:dyDescent="0.2">
      <c r="A2981" t="str">
        <f t="shared" si="1091"/>
        <v>0626008734</v>
      </c>
      <c r="B2981" t="str">
        <f t="shared" si="1092"/>
        <v>Kenya</v>
      </c>
      <c r="C2981" t="str">
        <f t="shared" si="1093"/>
        <v>Charles</v>
      </c>
      <c r="D2981">
        <f>12</f>
        <v>12</v>
      </c>
      <c r="E2981" t="str">
        <f>"05 - B - 103 - Justin D Willard"</f>
        <v>05 - B - 103 - Justin D Willard</v>
      </c>
      <c r="F2981" t="str">
        <f>"U SKLS: 9-12"</f>
        <v>U SKLS: 9-12</v>
      </c>
      <c r="G2981" t="str">
        <f>"21-2111"</f>
        <v>21-2111</v>
      </c>
      <c r="H2981" t="str">
        <f>"B"</f>
        <v>B</v>
      </c>
    </row>
    <row r="2982" spans="1:8" x14ac:dyDescent="0.2">
      <c r="A2982" t="str">
        <f t="shared" si="1091"/>
        <v>0626008734</v>
      </c>
      <c r="B2982" t="str">
        <f t="shared" si="1092"/>
        <v>Kenya</v>
      </c>
      <c r="C2982" t="str">
        <f t="shared" si="1093"/>
        <v>Charles</v>
      </c>
      <c r="D2982">
        <f>12</f>
        <v>12</v>
      </c>
      <c r="E2982" t="str">
        <f>"01 - A - 101 - Staci M Newton"</f>
        <v>01 - A - 101 - Staci M Newton</v>
      </c>
      <c r="F2982" t="str">
        <f>"ACCESS ENGLISH 4"</f>
        <v>ACCESS ENGLISH 4</v>
      </c>
      <c r="G2982" t="str">
        <f>"21-2103"</f>
        <v>21-2103</v>
      </c>
      <c r="H2982" t="str">
        <f>"A"</f>
        <v>A</v>
      </c>
    </row>
    <row r="2983" spans="1:8" x14ac:dyDescent="0.2">
      <c r="A2983" t="str">
        <f t="shared" si="1091"/>
        <v>0626008734</v>
      </c>
      <c r="B2983" t="str">
        <f t="shared" si="1092"/>
        <v>Kenya</v>
      </c>
      <c r="C2983" t="str">
        <f t="shared" si="1093"/>
        <v>Charles</v>
      </c>
      <c r="D2983">
        <f>12</f>
        <v>12</v>
      </c>
      <c r="E2983" t="str">
        <f>"08 - B - 101 - Jazmin S Fletcher"</f>
        <v>08 - B - 101 - Jazmin S Fletcher</v>
      </c>
      <c r="F2983" t="str">
        <f>"PRE-AICE DRAMA 1G"</f>
        <v>PRE-AICE DRAMA 1G</v>
      </c>
      <c r="G2983" t="str">
        <f>"09-909"</f>
        <v>09-909</v>
      </c>
      <c r="H2983" t="str">
        <f>"B"</f>
        <v>B</v>
      </c>
    </row>
    <row r="2984" spans="1:8" x14ac:dyDescent="0.2">
      <c r="A2984" t="str">
        <f t="shared" ref="A2984:A2991" si="1094">"0614020063"</f>
        <v>0614020063</v>
      </c>
      <c r="B2984" t="str">
        <f t="shared" ref="B2984:B2991" si="1095">"AKIRAH"</f>
        <v>AKIRAH</v>
      </c>
      <c r="C2984" t="str">
        <f t="shared" ref="C2984:C3015" si="1096">"CHARLES"</f>
        <v>CHARLES</v>
      </c>
      <c r="D2984">
        <f>12</f>
        <v>12</v>
      </c>
      <c r="E2984" t="str">
        <f>"04 - A - 101 - Christa T Parisi"</f>
        <v>04 - A - 101 - Christa T Parisi</v>
      </c>
      <c r="F2984" t="str">
        <f>"DANCE TECHNQS 2"</f>
        <v>DANCE TECHNQS 2</v>
      </c>
      <c r="G2984" t="str">
        <f>"05-503"</f>
        <v>05-503</v>
      </c>
      <c r="H2984" t="str">
        <f>"A"</f>
        <v>A</v>
      </c>
    </row>
    <row r="2985" spans="1:8" x14ac:dyDescent="0.2">
      <c r="A2985" t="str">
        <f t="shared" si="1094"/>
        <v>0614020063</v>
      </c>
      <c r="B2985" t="str">
        <f t="shared" si="1095"/>
        <v>AKIRAH</v>
      </c>
      <c r="C2985" t="str">
        <f t="shared" si="1096"/>
        <v>CHARLES</v>
      </c>
      <c r="D2985">
        <f>12</f>
        <v>12</v>
      </c>
      <c r="E2985" t="str">
        <f>"06 - B - 101 - Cliffon  Saurel"</f>
        <v>06 - B - 101 - Cliffon  Saurel</v>
      </c>
      <c r="F2985" t="str">
        <f>"NC STUDY HALL 1"</f>
        <v>NC STUDY HALL 1</v>
      </c>
      <c r="G2985" t="str">
        <f>"05-522"</f>
        <v>05-522</v>
      </c>
      <c r="H2985" t="str">
        <f>"B"</f>
        <v>B</v>
      </c>
    </row>
    <row r="2986" spans="1:8" x14ac:dyDescent="0.2">
      <c r="A2986" t="str">
        <f t="shared" si="1094"/>
        <v>0614020063</v>
      </c>
      <c r="B2986" t="str">
        <f t="shared" si="1095"/>
        <v>AKIRAH</v>
      </c>
      <c r="C2986" t="str">
        <f t="shared" si="1096"/>
        <v>CHARLES</v>
      </c>
      <c r="D2986">
        <f>12</f>
        <v>12</v>
      </c>
      <c r="E2986" t="str">
        <f>"03 - A - 101 - Dorothy D Moore"</f>
        <v>03 - A - 101 - Dorothy D Moore</v>
      </c>
      <c r="F2986" t="str">
        <f>"FORC SCI 1 LH"</f>
        <v>FORC SCI 1 LH</v>
      </c>
      <c r="G2986" t="str">
        <f>"08-803"</f>
        <v>08-803</v>
      </c>
      <c r="H2986" t="str">
        <f>"A"</f>
        <v>A</v>
      </c>
    </row>
    <row r="2987" spans="1:8" x14ac:dyDescent="0.2">
      <c r="A2987" t="str">
        <f t="shared" si="1094"/>
        <v>0614020063</v>
      </c>
      <c r="B2987" t="str">
        <f t="shared" si="1095"/>
        <v>AKIRAH</v>
      </c>
      <c r="C2987" t="str">
        <f t="shared" si="1096"/>
        <v>CHARLES</v>
      </c>
      <c r="D2987">
        <f>12</f>
        <v>12</v>
      </c>
      <c r="E2987" t="str">
        <f>"02 - A - 101 - Brian M Fitzgerald"</f>
        <v>02 - A - 101 - Brian M Fitzgerald</v>
      </c>
      <c r="F2987" t="str">
        <f>"DRAW 1"</f>
        <v>DRAW 1</v>
      </c>
      <c r="G2987" t="str">
        <f>"09-908"</f>
        <v>09-908</v>
      </c>
      <c r="H2987" t="str">
        <f>"A"</f>
        <v>A</v>
      </c>
    </row>
    <row r="2988" spans="1:8" x14ac:dyDescent="0.2">
      <c r="A2988" t="str">
        <f t="shared" si="1094"/>
        <v>0614020063</v>
      </c>
      <c r="B2988" t="str">
        <f t="shared" si="1095"/>
        <v>AKIRAH</v>
      </c>
      <c r="C2988" t="str">
        <f t="shared" si="1096"/>
        <v>CHARLES</v>
      </c>
      <c r="D2988">
        <f>12</f>
        <v>12</v>
      </c>
      <c r="E2988" t="str">
        <f>"07 - B - 103 - Nahum  Saint-Preux"</f>
        <v>07 - B - 103 - Nahum  Saint-Preux</v>
      </c>
      <c r="F2988" t="str">
        <f>"INTENS READ 4"</f>
        <v>INTENS READ 4</v>
      </c>
      <c r="G2988" t="str">
        <f>"17-1712"</f>
        <v>17-1712</v>
      </c>
      <c r="H2988" t="str">
        <f>"B"</f>
        <v>B</v>
      </c>
    </row>
    <row r="2989" spans="1:8" x14ac:dyDescent="0.2">
      <c r="A2989" t="str">
        <f t="shared" si="1094"/>
        <v>0614020063</v>
      </c>
      <c r="B2989" t="str">
        <f t="shared" si="1095"/>
        <v>AKIRAH</v>
      </c>
      <c r="C2989" t="str">
        <f t="shared" si="1096"/>
        <v>CHARLES</v>
      </c>
      <c r="D2989">
        <f>12</f>
        <v>12</v>
      </c>
      <c r="E2989" t="str">
        <f>"05 - S1 - B - 102 - Barbara L Segal"</f>
        <v>05 - S1 - B - 102 - Barbara L Segal</v>
      </c>
      <c r="F2989" t="str">
        <f>"US GOVT HON"</f>
        <v>US GOVT HON</v>
      </c>
      <c r="G2989" t="str">
        <f>"17-1742"</f>
        <v>17-1742</v>
      </c>
      <c r="H2989" t="str">
        <f>"B"</f>
        <v>B</v>
      </c>
    </row>
    <row r="2990" spans="1:8" x14ac:dyDescent="0.2">
      <c r="A2990" t="str">
        <f t="shared" si="1094"/>
        <v>0614020063</v>
      </c>
      <c r="B2990" t="str">
        <f t="shared" si="1095"/>
        <v>AKIRAH</v>
      </c>
      <c r="C2990" t="str">
        <f t="shared" si="1096"/>
        <v>CHARLES</v>
      </c>
      <c r="D2990">
        <f>12</f>
        <v>12</v>
      </c>
      <c r="E2990" t="str">
        <f>"01 - A - 102 - Robert H Rindner"</f>
        <v>01 - A - 102 - Robert H Rindner</v>
      </c>
      <c r="F2990" t="str">
        <f>"MATH DATA&amp;FIN LIT H"</f>
        <v>MATH DATA&amp;FIN LIT H</v>
      </c>
      <c r="G2990" t="str">
        <f>"21-2160"</f>
        <v>21-2160</v>
      </c>
      <c r="H2990" t="str">
        <f>"A"</f>
        <v>A</v>
      </c>
    </row>
    <row r="2991" spans="1:8" x14ac:dyDescent="0.2">
      <c r="A2991" t="str">
        <f t="shared" si="1094"/>
        <v>0614020063</v>
      </c>
      <c r="B2991" t="str">
        <f t="shared" si="1095"/>
        <v>AKIRAH</v>
      </c>
      <c r="C2991" t="str">
        <f t="shared" si="1096"/>
        <v>CHARLES</v>
      </c>
      <c r="D2991">
        <f>12</f>
        <v>12</v>
      </c>
      <c r="E2991" t="str">
        <f>"08 - B - 206 - Robyn L Trainer"</f>
        <v>08 - B - 206 - Robyn L Trainer</v>
      </c>
      <c r="F2991" t="str">
        <f>"ENG 4: FL COLL PREP"</f>
        <v>ENG 4: FL COLL PREP</v>
      </c>
      <c r="G2991" t="str">
        <f>"17-1734"</f>
        <v>17-1734</v>
      </c>
      <c r="H2991" t="str">
        <f>"B"</f>
        <v>B</v>
      </c>
    </row>
    <row r="2992" spans="1:8" x14ac:dyDescent="0.2">
      <c r="A2992" t="str">
        <f t="shared" ref="A2992:A2999" si="1097">"0614058747"</f>
        <v>0614058747</v>
      </c>
      <c r="B2992" t="str">
        <f t="shared" ref="B2992:B2999" si="1098">"CELIANA"</f>
        <v>CELIANA</v>
      </c>
      <c r="C2992" t="str">
        <f t="shared" si="1096"/>
        <v>CHARLES</v>
      </c>
      <c r="D2992">
        <f>10</f>
        <v>10</v>
      </c>
      <c r="E2992" t="str">
        <f>"04 - S1 - A - 103 - James H Mccann"</f>
        <v>04 - S1 - A - 103 - James H Mccann</v>
      </c>
      <c r="F2992" t="str">
        <f>"PERS FIN &amp; MON MGT H"</f>
        <v>PERS FIN &amp; MON MGT H</v>
      </c>
      <c r="G2992" t="str">
        <f>"17-1716"</f>
        <v>17-1716</v>
      </c>
      <c r="H2992" t="str">
        <f>"A"</f>
        <v>A</v>
      </c>
    </row>
    <row r="2993" spans="1:8" x14ac:dyDescent="0.2">
      <c r="A2993" t="str">
        <f t="shared" si="1097"/>
        <v>0614058747</v>
      </c>
      <c r="B2993" t="str">
        <f t="shared" si="1098"/>
        <v>CELIANA</v>
      </c>
      <c r="C2993" t="str">
        <f t="shared" si="1096"/>
        <v>CHARLES</v>
      </c>
      <c r="D2993">
        <f>10</f>
        <v>10</v>
      </c>
      <c r="E2993" t="str">
        <f>"06 - B - 105 - Jeffrey S Gallagher"</f>
        <v>06 - B - 105 - Jeffrey S Gallagher</v>
      </c>
      <c r="F2993" t="str">
        <f>"NC STUDY HALL 1"</f>
        <v>NC STUDY HALL 1</v>
      </c>
      <c r="G2993" t="str">
        <f>"17-1724"</f>
        <v>17-1724</v>
      </c>
      <c r="H2993" t="str">
        <f>"B"</f>
        <v>B</v>
      </c>
    </row>
    <row r="2994" spans="1:8" x14ac:dyDescent="0.2">
      <c r="A2994" t="str">
        <f t="shared" si="1097"/>
        <v>0614058747</v>
      </c>
      <c r="B2994" t="str">
        <f t="shared" si="1098"/>
        <v>CELIANA</v>
      </c>
      <c r="C2994" t="str">
        <f t="shared" si="1096"/>
        <v>CHARLES</v>
      </c>
      <c r="D2994">
        <f>10</f>
        <v>10</v>
      </c>
      <c r="E2994" t="str">
        <f>"03 - A - 103 - Courtney E Hambright"</f>
        <v>03 - A - 103 - Courtney E Hambright</v>
      </c>
      <c r="F2994" t="str">
        <f>"AICE ENG LANG AS"</f>
        <v>AICE ENG LANG AS</v>
      </c>
      <c r="G2994" t="str">
        <f>"17-1711"</f>
        <v>17-1711</v>
      </c>
      <c r="H2994" t="str">
        <f>"A"</f>
        <v>A</v>
      </c>
    </row>
    <row r="2995" spans="1:8" x14ac:dyDescent="0.2">
      <c r="A2995" t="str">
        <f t="shared" si="1097"/>
        <v>0614058747</v>
      </c>
      <c r="B2995" t="str">
        <f t="shared" si="1098"/>
        <v>CELIANA</v>
      </c>
      <c r="C2995" t="str">
        <f t="shared" si="1096"/>
        <v>CHARLES</v>
      </c>
      <c r="D2995">
        <f>10</f>
        <v>10</v>
      </c>
      <c r="E2995" t="str">
        <f>"02 - A - 102 - Chrystina M Marchionne"</f>
        <v>02 - A - 102 - Chrystina M Marchionne</v>
      </c>
      <c r="F2995" t="str">
        <f>"AICE MEDIASTUDIES AS"</f>
        <v>AICE MEDIASTUDIES AS</v>
      </c>
      <c r="G2995" t="str">
        <f>"05-520"</f>
        <v>05-520</v>
      </c>
      <c r="H2995" t="str">
        <f>"A"</f>
        <v>A</v>
      </c>
    </row>
    <row r="2996" spans="1:8" x14ac:dyDescent="0.2">
      <c r="A2996" t="str">
        <f t="shared" si="1097"/>
        <v>0614058747</v>
      </c>
      <c r="B2996" t="str">
        <f t="shared" si="1098"/>
        <v>CELIANA</v>
      </c>
      <c r="C2996" t="str">
        <f t="shared" si="1096"/>
        <v>CHARLES</v>
      </c>
      <c r="D2996">
        <f>10</f>
        <v>10</v>
      </c>
      <c r="E2996" t="str">
        <f>"07 - B - 001 - Carol S Moore"</f>
        <v>07 - B - 001 - Carol S Moore</v>
      </c>
      <c r="F2996" t="str">
        <f>"PRE-AICE WRLD HST IG"</f>
        <v>PRE-AICE WRLD HST IG</v>
      </c>
      <c r="G2996" t="str">
        <f>"17-1733"</f>
        <v>17-1733</v>
      </c>
      <c r="H2996" t="str">
        <f>"B"</f>
        <v>B</v>
      </c>
    </row>
    <row r="2997" spans="1:8" x14ac:dyDescent="0.2">
      <c r="A2997" t="str">
        <f t="shared" si="1097"/>
        <v>0614058747</v>
      </c>
      <c r="B2997" t="str">
        <f t="shared" si="1098"/>
        <v>CELIANA</v>
      </c>
      <c r="C2997" t="str">
        <f t="shared" si="1096"/>
        <v>CHARLES</v>
      </c>
      <c r="D2997">
        <f>10</f>
        <v>10</v>
      </c>
      <c r="E2997" t="str">
        <f>"05 - B - 106 - Fernando  Vega-Cid"</f>
        <v>05 - B - 106 - Fernando  Vega-Cid</v>
      </c>
      <c r="F2997" t="str">
        <f>"GEOMETRY"</f>
        <v>GEOMETRY</v>
      </c>
      <c r="G2997" t="str">
        <f>"21-2163"</f>
        <v>21-2163</v>
      </c>
      <c r="H2997" t="str">
        <f>"B"</f>
        <v>B</v>
      </c>
    </row>
    <row r="2998" spans="1:8" x14ac:dyDescent="0.2">
      <c r="A2998" t="str">
        <f t="shared" si="1097"/>
        <v>0614058747</v>
      </c>
      <c r="B2998" t="str">
        <f t="shared" si="1098"/>
        <v>CELIANA</v>
      </c>
      <c r="C2998" t="str">
        <f t="shared" si="1096"/>
        <v>CHARLES</v>
      </c>
      <c r="D2998">
        <f>10</f>
        <v>10</v>
      </c>
      <c r="E2998" t="str">
        <f>"01 - A - 001 - Dorothy D Moore"</f>
        <v>01 - A - 001 - Dorothy D Moore</v>
      </c>
      <c r="F2998" t="str">
        <f>"ANAT PHYSIO HON"</f>
        <v>ANAT PHYSIO HON</v>
      </c>
      <c r="G2998" t="str">
        <f>"08-803"</f>
        <v>08-803</v>
      </c>
      <c r="H2998" t="str">
        <f>"A"</f>
        <v>A</v>
      </c>
    </row>
    <row r="2999" spans="1:8" x14ac:dyDescent="0.2">
      <c r="A2999" t="str">
        <f t="shared" si="1097"/>
        <v>0614058747</v>
      </c>
      <c r="B2999" t="str">
        <f t="shared" si="1098"/>
        <v>CELIANA</v>
      </c>
      <c r="C2999" t="str">
        <f t="shared" si="1096"/>
        <v>CHARLES</v>
      </c>
      <c r="D2999">
        <f>10</f>
        <v>10</v>
      </c>
      <c r="E2999" t="str">
        <f>"08 - B - 101 - Jordana K Hass"</f>
        <v>08 - B - 101 - Jordana K Hass</v>
      </c>
      <c r="F2999" t="str">
        <f>"AICE INFO TECH 1 AS"</f>
        <v>AICE INFO TECH 1 AS</v>
      </c>
      <c r="G2999" t="str">
        <f>"08-807"</f>
        <v>08-807</v>
      </c>
      <c r="H2999" t="str">
        <f>"B"</f>
        <v>B</v>
      </c>
    </row>
    <row r="3000" spans="1:8" x14ac:dyDescent="0.2">
      <c r="A3000" t="str">
        <f t="shared" ref="A3000:A3008" si="1099">"0616159307"</f>
        <v>0616159307</v>
      </c>
      <c r="B3000" t="str">
        <f t="shared" ref="B3000:B3008" si="1100">"CHOUBY"</f>
        <v>CHOUBY</v>
      </c>
      <c r="C3000" t="str">
        <f t="shared" si="1096"/>
        <v>CHARLES</v>
      </c>
      <c r="D3000">
        <f>12</f>
        <v>12</v>
      </c>
      <c r="E3000" t="str">
        <f>"04 - A - 102 - Tiffany L Colon"</f>
        <v>04 - A - 102 - Tiffany L Colon</v>
      </c>
      <c r="F3000" t="str">
        <f>"U SKLS: SOC&amp;EMO 9-12"</f>
        <v>U SKLS: SOC&amp;EMO 9-12</v>
      </c>
      <c r="G3000">
        <f>2044</f>
        <v>2044</v>
      </c>
      <c r="H3000" t="str">
        <f>"A"</f>
        <v>A</v>
      </c>
    </row>
    <row r="3001" spans="1:8" x14ac:dyDescent="0.2">
      <c r="A3001" t="str">
        <f t="shared" si="1099"/>
        <v>0616159307</v>
      </c>
      <c r="B3001" t="str">
        <f t="shared" si="1100"/>
        <v>CHOUBY</v>
      </c>
      <c r="C3001" t="str">
        <f t="shared" si="1096"/>
        <v>CHARLES</v>
      </c>
      <c r="D3001">
        <f>12</f>
        <v>12</v>
      </c>
      <c r="E3001" t="str">
        <f>"04 - A - 114 - Karen A Toomer"</f>
        <v>04 - A - 114 - Karen A Toomer</v>
      </c>
      <c r="F3001" t="str">
        <f>"SPEECH THRPY"</f>
        <v>SPEECH THRPY</v>
      </c>
      <c r="G3001" t="str">
        <f>"21-2110"</f>
        <v>21-2110</v>
      </c>
      <c r="H3001" t="str">
        <f>"A"</f>
        <v>A</v>
      </c>
    </row>
    <row r="3002" spans="1:8" x14ac:dyDescent="0.2">
      <c r="A3002" t="str">
        <f t="shared" si="1099"/>
        <v>0616159307</v>
      </c>
      <c r="B3002" t="str">
        <f t="shared" si="1100"/>
        <v>CHOUBY</v>
      </c>
      <c r="C3002" t="str">
        <f t="shared" si="1096"/>
        <v>CHARLES</v>
      </c>
      <c r="D3002">
        <f>12</f>
        <v>12</v>
      </c>
      <c r="E3002" t="str">
        <f>"06 - B - 101 - Gail S Markowitz"</f>
        <v>06 - B - 101 - Gail S Markowitz</v>
      </c>
      <c r="F3002" t="str">
        <f>"CAR EXERIENCES: 9-12"</f>
        <v>CAR EXERIENCES: 9-12</v>
      </c>
      <c r="G3002">
        <f>1730</f>
        <v>1730</v>
      </c>
      <c r="H3002" t="str">
        <f>"B"</f>
        <v>B</v>
      </c>
    </row>
    <row r="3003" spans="1:8" x14ac:dyDescent="0.2">
      <c r="A3003" t="str">
        <f t="shared" si="1099"/>
        <v>0616159307</v>
      </c>
      <c r="B3003" t="str">
        <f t="shared" si="1100"/>
        <v>CHOUBY</v>
      </c>
      <c r="C3003" t="str">
        <f t="shared" si="1096"/>
        <v>CHARLES</v>
      </c>
      <c r="D3003">
        <f>12</f>
        <v>12</v>
      </c>
      <c r="E3003" t="str">
        <f>"03 - A - 101 - Gail S Markowitz"</f>
        <v>03 - A - 101 - Gail S Markowitz</v>
      </c>
      <c r="F3003" t="str">
        <f>"SELF-DETERMINATION"</f>
        <v>SELF-DETERMINATION</v>
      </c>
      <c r="G3003">
        <f>1730</f>
        <v>1730</v>
      </c>
      <c r="H3003" t="str">
        <f>"A"</f>
        <v>A</v>
      </c>
    </row>
    <row r="3004" spans="1:8" x14ac:dyDescent="0.2">
      <c r="A3004" t="str">
        <f t="shared" si="1099"/>
        <v>0616159307</v>
      </c>
      <c r="B3004" t="str">
        <f t="shared" si="1100"/>
        <v>CHOUBY</v>
      </c>
      <c r="C3004" t="str">
        <f t="shared" si="1096"/>
        <v>CHARLES</v>
      </c>
      <c r="D3004">
        <f>12</f>
        <v>12</v>
      </c>
      <c r="E3004" t="str">
        <f>"02 - A - 101 - Gail S Markowitz"</f>
        <v>02 - A - 101 - Gail S Markowitz</v>
      </c>
      <c r="F3004" t="str">
        <f>"CAREER ED: 9-12"</f>
        <v>CAREER ED: 9-12</v>
      </c>
      <c r="G3004">
        <f>1730</f>
        <v>1730</v>
      </c>
      <c r="H3004" t="str">
        <f>"A"</f>
        <v>A</v>
      </c>
    </row>
    <row r="3005" spans="1:8" x14ac:dyDescent="0.2">
      <c r="A3005" t="str">
        <f t="shared" si="1099"/>
        <v>0616159307</v>
      </c>
      <c r="B3005" t="str">
        <f t="shared" si="1100"/>
        <v>CHOUBY</v>
      </c>
      <c r="C3005" t="str">
        <f t="shared" si="1096"/>
        <v>CHARLES</v>
      </c>
      <c r="D3005">
        <f>12</f>
        <v>12</v>
      </c>
      <c r="E3005" t="str">
        <f>"07 - B - 101 - Gail S Markowitz"</f>
        <v>07 - B - 101 - Gail S Markowitz</v>
      </c>
      <c r="F3005" t="str">
        <f>"CAR PLACEMENT: 9-12"</f>
        <v>CAR PLACEMENT: 9-12</v>
      </c>
      <c r="G3005">
        <f>1730</f>
        <v>1730</v>
      </c>
      <c r="H3005" t="str">
        <f>"B"</f>
        <v>B</v>
      </c>
    </row>
    <row r="3006" spans="1:8" x14ac:dyDescent="0.2">
      <c r="A3006" t="str">
        <f t="shared" si="1099"/>
        <v>0616159307</v>
      </c>
      <c r="B3006" t="str">
        <f t="shared" si="1100"/>
        <v>CHOUBY</v>
      </c>
      <c r="C3006" t="str">
        <f t="shared" si="1096"/>
        <v>CHARLES</v>
      </c>
      <c r="D3006">
        <f>12</f>
        <v>12</v>
      </c>
      <c r="E3006" t="str">
        <f>"05 - B - 101 - Gail S Markowitz"</f>
        <v>05 - B - 101 - Gail S Markowitz</v>
      </c>
      <c r="F3006" t="str">
        <f>"U SKLS: 9-12"</f>
        <v>U SKLS: 9-12</v>
      </c>
      <c r="G3006">
        <f>1730</f>
        <v>1730</v>
      </c>
      <c r="H3006" t="str">
        <f>"B"</f>
        <v>B</v>
      </c>
    </row>
    <row r="3007" spans="1:8" x14ac:dyDescent="0.2">
      <c r="A3007" t="str">
        <f t="shared" si="1099"/>
        <v>0616159307</v>
      </c>
      <c r="B3007" t="str">
        <f t="shared" si="1100"/>
        <v>CHOUBY</v>
      </c>
      <c r="C3007" t="str">
        <f t="shared" si="1096"/>
        <v>CHARLES</v>
      </c>
      <c r="D3007">
        <f>12</f>
        <v>12</v>
      </c>
      <c r="E3007" t="str">
        <f>"01 - A - 101 - Gail S Markowitz"</f>
        <v>01 - A - 101 - Gail S Markowitz</v>
      </c>
      <c r="F3007" t="str">
        <f>"PREP AD LIV"</f>
        <v>PREP AD LIV</v>
      </c>
      <c r="G3007">
        <f>1730</f>
        <v>1730</v>
      </c>
      <c r="H3007" t="str">
        <f>"A"</f>
        <v>A</v>
      </c>
    </row>
    <row r="3008" spans="1:8" x14ac:dyDescent="0.2">
      <c r="A3008" t="str">
        <f t="shared" si="1099"/>
        <v>0616159307</v>
      </c>
      <c r="B3008" t="str">
        <f t="shared" si="1100"/>
        <v>CHOUBY</v>
      </c>
      <c r="C3008" t="str">
        <f t="shared" si="1096"/>
        <v>CHARLES</v>
      </c>
      <c r="D3008">
        <f>12</f>
        <v>12</v>
      </c>
      <c r="E3008" t="str">
        <f>"08 - B - 101 - Gail S Markowitz"</f>
        <v>08 - B - 101 - Gail S Markowitz</v>
      </c>
      <c r="F3008" t="str">
        <f>"U SKLS: SOC&amp;EMO 9-12"</f>
        <v>U SKLS: SOC&amp;EMO 9-12</v>
      </c>
      <c r="G3008">
        <f>1730</f>
        <v>1730</v>
      </c>
      <c r="H3008" t="str">
        <f>"B"</f>
        <v>B</v>
      </c>
    </row>
    <row r="3009" spans="1:8" x14ac:dyDescent="0.2">
      <c r="A3009" t="str">
        <f t="shared" ref="A3009:A3016" si="1101">"0615052767"</f>
        <v>0615052767</v>
      </c>
      <c r="B3009" t="str">
        <f t="shared" ref="B3009:B3016" si="1102">"MEYAH"</f>
        <v>MEYAH</v>
      </c>
      <c r="C3009" t="str">
        <f t="shared" si="1096"/>
        <v>CHARLES</v>
      </c>
      <c r="D3009">
        <f>10</f>
        <v>10</v>
      </c>
      <c r="E3009" t="str">
        <f>"04 - A - 205 - Lytrell T Dixon"</f>
        <v>04 - A - 205 - Lytrell T Dixon</v>
      </c>
      <c r="F3009" t="str">
        <f>"BIOLOGY 1"</f>
        <v>BIOLOGY 1</v>
      </c>
      <c r="G3009" t="str">
        <f>"08-808"</f>
        <v>08-808</v>
      </c>
      <c r="H3009" t="str">
        <f>"A"</f>
        <v>A</v>
      </c>
    </row>
    <row r="3010" spans="1:8" x14ac:dyDescent="0.2">
      <c r="A3010" t="str">
        <f t="shared" si="1101"/>
        <v>0615052767</v>
      </c>
      <c r="B3010" t="str">
        <f t="shared" si="1102"/>
        <v>MEYAH</v>
      </c>
      <c r="C3010" t="str">
        <f t="shared" si="1096"/>
        <v>CHARLES</v>
      </c>
      <c r="D3010">
        <f>10</f>
        <v>10</v>
      </c>
      <c r="E3010" t="str">
        <f>"06 - B - 108 - Jacklyn M James"</f>
        <v>06 - B - 108 - Jacklyn M James</v>
      </c>
      <c r="F3010" t="str">
        <f>"NC STUDY HALL 1"</f>
        <v>NC STUDY HALL 1</v>
      </c>
      <c r="G3010" t="str">
        <f>"17-1731"</f>
        <v>17-1731</v>
      </c>
      <c r="H3010" t="str">
        <f>"B"</f>
        <v>B</v>
      </c>
    </row>
    <row r="3011" spans="1:8" x14ac:dyDescent="0.2">
      <c r="A3011" t="str">
        <f t="shared" si="1101"/>
        <v>0615052767</v>
      </c>
      <c r="B3011" t="str">
        <f t="shared" si="1102"/>
        <v>MEYAH</v>
      </c>
      <c r="C3011" t="str">
        <f t="shared" si="1096"/>
        <v>CHARLES</v>
      </c>
      <c r="D3011">
        <f>10</f>
        <v>10</v>
      </c>
      <c r="E3011" t="str">
        <f>"03 - A - 104 - Fernando  Vega-Cid"</f>
        <v>03 - A - 104 - Fernando  Vega-Cid</v>
      </c>
      <c r="F3011" t="str">
        <f>"GEOMETRY"</f>
        <v>GEOMETRY</v>
      </c>
      <c r="G3011" t="str">
        <f>"21-2163"</f>
        <v>21-2163</v>
      </c>
      <c r="H3011" t="str">
        <f>"A"</f>
        <v>A</v>
      </c>
    </row>
    <row r="3012" spans="1:8" x14ac:dyDescent="0.2">
      <c r="A3012" t="str">
        <f t="shared" si="1101"/>
        <v>0615052767</v>
      </c>
      <c r="B3012" t="str">
        <f t="shared" si="1102"/>
        <v>MEYAH</v>
      </c>
      <c r="C3012" t="str">
        <f t="shared" si="1096"/>
        <v>CHARLES</v>
      </c>
      <c r="D3012">
        <f>10</f>
        <v>10</v>
      </c>
      <c r="E3012" t="str">
        <f>"02 - A - 102 - Marius D Orsolini"</f>
        <v>02 - A - 102 - Marius D Orsolini</v>
      </c>
      <c r="F3012" t="str">
        <f>"CULINARY ARTS 1"</f>
        <v>CULINARY ARTS 1</v>
      </c>
      <c r="G3012" t="str">
        <f>"21-2115"</f>
        <v>21-2115</v>
      </c>
      <c r="H3012" t="str">
        <f>"A"</f>
        <v>A</v>
      </c>
    </row>
    <row r="3013" spans="1:8" x14ac:dyDescent="0.2">
      <c r="A3013" t="str">
        <f t="shared" si="1101"/>
        <v>0615052767</v>
      </c>
      <c r="B3013" t="str">
        <f t="shared" si="1102"/>
        <v>MEYAH</v>
      </c>
      <c r="C3013" t="str">
        <f t="shared" si="1096"/>
        <v>CHARLES</v>
      </c>
      <c r="D3013">
        <f>10</f>
        <v>10</v>
      </c>
      <c r="E3013" t="str">
        <f>"07 - S1 - B - 102 - Arthur  Kulawik"</f>
        <v>07 - S1 - B - 102 - Arthur  Kulawik</v>
      </c>
      <c r="F3013" t="str">
        <f>"PERS FIN &amp; MON MGT H"</f>
        <v>PERS FIN &amp; MON MGT H</v>
      </c>
      <c r="G3013" t="str">
        <f>"05-506"</f>
        <v>05-506</v>
      </c>
      <c r="H3013" t="str">
        <f>"B"</f>
        <v>B</v>
      </c>
    </row>
    <row r="3014" spans="1:8" x14ac:dyDescent="0.2">
      <c r="A3014" t="str">
        <f t="shared" si="1101"/>
        <v>0615052767</v>
      </c>
      <c r="B3014" t="str">
        <f t="shared" si="1102"/>
        <v>MEYAH</v>
      </c>
      <c r="C3014" t="str">
        <f t="shared" si="1096"/>
        <v>CHARLES</v>
      </c>
      <c r="D3014">
        <f>10</f>
        <v>10</v>
      </c>
      <c r="E3014" t="str">
        <f>"05 - B - 107 - Nikiel  Nesbeth"</f>
        <v>05 - B - 107 - Nikiel  Nesbeth</v>
      </c>
      <c r="F3014" t="str">
        <f>"ENG 2"</f>
        <v>ENG 2</v>
      </c>
      <c r="G3014" t="str">
        <f>"17-1705"</f>
        <v>17-1705</v>
      </c>
      <c r="H3014" t="str">
        <f>"B"</f>
        <v>B</v>
      </c>
    </row>
    <row r="3015" spans="1:8" x14ac:dyDescent="0.2">
      <c r="A3015" t="str">
        <f t="shared" si="1101"/>
        <v>0615052767</v>
      </c>
      <c r="B3015" t="str">
        <f t="shared" si="1102"/>
        <v>MEYAH</v>
      </c>
      <c r="C3015" t="str">
        <f t="shared" si="1096"/>
        <v>CHARLES</v>
      </c>
      <c r="D3015">
        <f>10</f>
        <v>10</v>
      </c>
      <c r="E3015" t="str">
        <f>"01 - A - 101 - Taraneh C Abreu"</f>
        <v>01 - A - 101 - Taraneh C Abreu</v>
      </c>
      <c r="F3015" t="str">
        <f>"INTENS READ 2"</f>
        <v>INTENS READ 2</v>
      </c>
      <c r="G3015" t="str">
        <f>"17-1713"</f>
        <v>17-1713</v>
      </c>
      <c r="H3015" t="str">
        <f>"A"</f>
        <v>A</v>
      </c>
    </row>
    <row r="3016" spans="1:8" x14ac:dyDescent="0.2">
      <c r="A3016" t="str">
        <f t="shared" si="1101"/>
        <v>0615052767</v>
      </c>
      <c r="B3016" t="str">
        <f t="shared" si="1102"/>
        <v>MEYAH</v>
      </c>
      <c r="C3016" t="str">
        <f t="shared" ref="C3016:C3032" si="1103">"CHARLES"</f>
        <v>CHARLES</v>
      </c>
      <c r="D3016">
        <f>10</f>
        <v>10</v>
      </c>
      <c r="E3016" t="str">
        <f>"08 - B - 101 - Jazmin S Fletcher"</f>
        <v>08 - B - 101 - Jazmin S Fletcher</v>
      </c>
      <c r="F3016" t="str">
        <f>"PRE-AICE DRAMA 1G"</f>
        <v>PRE-AICE DRAMA 1G</v>
      </c>
      <c r="G3016" t="str">
        <f>"09-909"</f>
        <v>09-909</v>
      </c>
      <c r="H3016" t="str">
        <f>"B"</f>
        <v>B</v>
      </c>
    </row>
    <row r="3017" spans="1:8" x14ac:dyDescent="0.2">
      <c r="A3017" t="str">
        <f t="shared" ref="A3017:A3024" si="1104">"0615005007"</f>
        <v>0615005007</v>
      </c>
      <c r="B3017" t="str">
        <f t="shared" ref="B3017:B3024" si="1105">"SHAKYLEE"</f>
        <v>SHAKYLEE</v>
      </c>
      <c r="C3017" t="str">
        <f t="shared" si="1103"/>
        <v>CHARLES</v>
      </c>
      <c r="D3017" t="str">
        <f t="shared" ref="D3017:D3024" si="1106">"09"</f>
        <v>09</v>
      </c>
      <c r="E3017" t="str">
        <f>"04 - A - 101 - Jeanne M Bermudez"</f>
        <v>04 - A - 101 - Jeanne M Bermudez</v>
      </c>
      <c r="F3017" t="str">
        <f>"ADVANCED IT HON"</f>
        <v>ADVANCED IT HON</v>
      </c>
      <c r="G3017" t="str">
        <f>"21-2141"</f>
        <v>21-2141</v>
      </c>
      <c r="H3017" t="str">
        <f>"A"</f>
        <v>A</v>
      </c>
    </row>
    <row r="3018" spans="1:8" x14ac:dyDescent="0.2">
      <c r="A3018" t="str">
        <f t="shared" si="1104"/>
        <v>0615005007</v>
      </c>
      <c r="B3018" t="str">
        <f t="shared" si="1105"/>
        <v>SHAKYLEE</v>
      </c>
      <c r="C3018" t="str">
        <f t="shared" si="1103"/>
        <v>CHARLES</v>
      </c>
      <c r="D3018" t="str">
        <f t="shared" si="1106"/>
        <v>09</v>
      </c>
      <c r="E3018" t="str">
        <f>"06 - B - 105 - Cerine S Stewart"</f>
        <v>06 - B - 105 - Cerine S Stewart</v>
      </c>
      <c r="F3018" t="str">
        <f>"AICE ENG GEN PAPER 1"</f>
        <v>AICE ENG GEN PAPER 1</v>
      </c>
      <c r="G3018" t="str">
        <f>"17-1720"</f>
        <v>17-1720</v>
      </c>
      <c r="H3018" t="str">
        <f>"B"</f>
        <v>B</v>
      </c>
    </row>
    <row r="3019" spans="1:8" x14ac:dyDescent="0.2">
      <c r="A3019" t="str">
        <f t="shared" si="1104"/>
        <v>0615005007</v>
      </c>
      <c r="B3019" t="str">
        <f t="shared" si="1105"/>
        <v>SHAKYLEE</v>
      </c>
      <c r="C3019" t="str">
        <f t="shared" si="1103"/>
        <v>CHARLES</v>
      </c>
      <c r="D3019" t="str">
        <f t="shared" si="1106"/>
        <v>09</v>
      </c>
      <c r="E3019" t="str">
        <f>"03 - S1 - A - 102 - Leslie J Barton"</f>
        <v>03 - S1 - A - 102 - Leslie J Barton</v>
      </c>
      <c r="F3019" t="str">
        <f>"FIRST AID SAFETY"</f>
        <v>FIRST AID SAFETY</v>
      </c>
      <c r="G3019" t="str">
        <f>"05-521"</f>
        <v>05-521</v>
      </c>
      <c r="H3019" t="str">
        <f>"A"</f>
        <v>A</v>
      </c>
    </row>
    <row r="3020" spans="1:8" x14ac:dyDescent="0.2">
      <c r="A3020" t="str">
        <f t="shared" si="1104"/>
        <v>0615005007</v>
      </c>
      <c r="B3020" t="str">
        <f t="shared" si="1105"/>
        <v>SHAKYLEE</v>
      </c>
      <c r="C3020" t="str">
        <f t="shared" si="1103"/>
        <v>CHARLES</v>
      </c>
      <c r="D3020" t="str">
        <f t="shared" si="1106"/>
        <v>09</v>
      </c>
      <c r="E3020" t="str">
        <f>"02 - A - 115 - Lourivaldo  Da Silva"</f>
        <v>02 - A - 115 - Lourivaldo  Da Silva</v>
      </c>
      <c r="F3020" t="str">
        <f>"NC STUDY HALL 1"</f>
        <v>NC STUDY HALL 1</v>
      </c>
      <c r="G3020" t="str">
        <f>"20-2079"</f>
        <v>20-2079</v>
      </c>
      <c r="H3020" t="str">
        <f>"A"</f>
        <v>A</v>
      </c>
    </row>
    <row r="3021" spans="1:8" x14ac:dyDescent="0.2">
      <c r="A3021" t="str">
        <f t="shared" si="1104"/>
        <v>0615005007</v>
      </c>
      <c r="B3021" t="str">
        <f t="shared" si="1105"/>
        <v>SHAKYLEE</v>
      </c>
      <c r="C3021" t="str">
        <f t="shared" si="1103"/>
        <v>CHARLES</v>
      </c>
      <c r="D3021" t="str">
        <f t="shared" si="1106"/>
        <v>09</v>
      </c>
      <c r="E3021" t="str">
        <f>"07 - B - 105 - Joe  Kilpatrick Jr"</f>
        <v>07 - B - 105 - Joe  Kilpatrick Jr</v>
      </c>
      <c r="F3021" t="str">
        <f>"PRE-AICE SPAN 1 IG"</f>
        <v>PRE-AICE SPAN 1 IG</v>
      </c>
      <c r="G3021" t="str">
        <f>"09-912"</f>
        <v>09-912</v>
      </c>
      <c r="H3021" t="str">
        <f>"B"</f>
        <v>B</v>
      </c>
    </row>
    <row r="3022" spans="1:8" x14ac:dyDescent="0.2">
      <c r="A3022" t="str">
        <f t="shared" si="1104"/>
        <v>0615005007</v>
      </c>
      <c r="B3022" t="str">
        <f t="shared" si="1105"/>
        <v>SHAKYLEE</v>
      </c>
      <c r="C3022" t="str">
        <f t="shared" si="1103"/>
        <v>CHARLES</v>
      </c>
      <c r="D3022" t="str">
        <f t="shared" si="1106"/>
        <v>09</v>
      </c>
      <c r="E3022" t="str">
        <f>"05 - B - 003 - Krystal Marie  Beruty"</f>
        <v>05 - B - 003 - Krystal Marie  Beruty</v>
      </c>
      <c r="F3022" t="str">
        <f>"AICE GLBL PERSP 1 AS"</f>
        <v>AICE GLBL PERSP 1 AS</v>
      </c>
      <c r="G3022" t="str">
        <f>"17-1721"</f>
        <v>17-1721</v>
      </c>
      <c r="H3022" t="str">
        <f>"B"</f>
        <v>B</v>
      </c>
    </row>
    <row r="3023" spans="1:8" x14ac:dyDescent="0.2">
      <c r="A3023" t="str">
        <f t="shared" si="1104"/>
        <v>0615005007</v>
      </c>
      <c r="B3023" t="str">
        <f t="shared" si="1105"/>
        <v>SHAKYLEE</v>
      </c>
      <c r="C3023" t="str">
        <f t="shared" si="1103"/>
        <v>CHARLES</v>
      </c>
      <c r="D3023" t="str">
        <f t="shared" si="1106"/>
        <v>09</v>
      </c>
      <c r="E3023" t="str">
        <f>"01 - A - 101 - Byron G Montenegro"</f>
        <v>01 - A - 101 - Byron G Montenegro</v>
      </c>
      <c r="F3023" t="str">
        <f>"AICE MARINE SCI 1 AS"</f>
        <v>AICE MARINE SCI 1 AS</v>
      </c>
      <c r="G3023" t="str">
        <f>"21-2144"</f>
        <v>21-2144</v>
      </c>
      <c r="H3023" t="str">
        <f>"A"</f>
        <v>A</v>
      </c>
    </row>
    <row r="3024" spans="1:8" x14ac:dyDescent="0.2">
      <c r="A3024" t="str">
        <f t="shared" si="1104"/>
        <v>0615005007</v>
      </c>
      <c r="B3024" t="str">
        <f t="shared" si="1105"/>
        <v>SHAKYLEE</v>
      </c>
      <c r="C3024" t="str">
        <f t="shared" si="1103"/>
        <v>CHARLES</v>
      </c>
      <c r="D3024" t="str">
        <f t="shared" si="1106"/>
        <v>09</v>
      </c>
      <c r="E3024" t="str">
        <f>"08 - B - 102 - Maried P Ramos"</f>
        <v>08 - B - 102 - Maried P Ramos</v>
      </c>
      <c r="F3024" t="str">
        <f>"ALGEBRA 2 HON"</f>
        <v>ALGEBRA 2 HON</v>
      </c>
      <c r="G3024" t="str">
        <f>"21-2159"</f>
        <v>21-2159</v>
      </c>
      <c r="H3024" t="str">
        <f>"B"</f>
        <v>B</v>
      </c>
    </row>
    <row r="3025" spans="1:8" x14ac:dyDescent="0.2">
      <c r="A3025" t="str">
        <f t="shared" ref="A3025:A3032" si="1107">"0614090502"</f>
        <v>0614090502</v>
      </c>
      <c r="B3025" t="str">
        <f t="shared" ref="B3025:B3032" si="1108">"THOMAS"</f>
        <v>THOMAS</v>
      </c>
      <c r="C3025" t="str">
        <f t="shared" si="1103"/>
        <v>CHARLES</v>
      </c>
      <c r="D3025">
        <f>10</f>
        <v>10</v>
      </c>
      <c r="E3025" t="str">
        <f>"04 - A - 203 - Cheryl L Beach"</f>
        <v>04 - A - 203 - Cheryl L Beach</v>
      </c>
      <c r="F3025" t="str">
        <f>"AICE ENV MGMNT AS"</f>
        <v>AICE ENV MGMNT AS</v>
      </c>
      <c r="G3025" t="str">
        <f>"08-811"</f>
        <v>08-811</v>
      </c>
      <c r="H3025" t="str">
        <f>"A"</f>
        <v>A</v>
      </c>
    </row>
    <row r="3026" spans="1:8" x14ac:dyDescent="0.2">
      <c r="A3026" t="str">
        <f t="shared" si="1107"/>
        <v>0614090502</v>
      </c>
      <c r="B3026" t="str">
        <f t="shared" si="1108"/>
        <v>THOMAS</v>
      </c>
      <c r="C3026" t="str">
        <f t="shared" si="1103"/>
        <v>CHARLES</v>
      </c>
      <c r="D3026">
        <f>10</f>
        <v>10</v>
      </c>
      <c r="E3026" t="str">
        <f>"06 - B - 114 - Richard E Dunbar Iii"</f>
        <v>06 - B - 114 - Richard E Dunbar Iii</v>
      </c>
      <c r="F3026" t="str">
        <f>"NC STUDY HALL 1"</f>
        <v>NC STUDY HALL 1</v>
      </c>
      <c r="G3026" t="str">
        <f>"17-1703"</f>
        <v>17-1703</v>
      </c>
      <c r="H3026" t="str">
        <f>"B"</f>
        <v>B</v>
      </c>
    </row>
    <row r="3027" spans="1:8" x14ac:dyDescent="0.2">
      <c r="A3027" t="str">
        <f t="shared" si="1107"/>
        <v>0614090502</v>
      </c>
      <c r="B3027" t="str">
        <f t="shared" si="1108"/>
        <v>THOMAS</v>
      </c>
      <c r="C3027" t="str">
        <f t="shared" si="1103"/>
        <v>CHARLES</v>
      </c>
      <c r="D3027">
        <f>10</f>
        <v>10</v>
      </c>
      <c r="E3027" t="str">
        <f>"03 - A - 002 - Brandy N Zdenek"</f>
        <v>03 - A - 002 - Brandy N Zdenek</v>
      </c>
      <c r="F3027" t="str">
        <f>"AICE ENG LANG AS"</f>
        <v>AICE ENG LANG AS</v>
      </c>
      <c r="G3027" t="str">
        <f>"17-1704"</f>
        <v>17-1704</v>
      </c>
      <c r="H3027" t="str">
        <f>"A"</f>
        <v>A</v>
      </c>
    </row>
    <row r="3028" spans="1:8" x14ac:dyDescent="0.2">
      <c r="A3028" t="str">
        <f t="shared" si="1107"/>
        <v>0614090502</v>
      </c>
      <c r="B3028" t="str">
        <f t="shared" si="1108"/>
        <v>THOMAS</v>
      </c>
      <c r="C3028" t="str">
        <f t="shared" si="1103"/>
        <v>CHARLES</v>
      </c>
      <c r="D3028">
        <f>10</f>
        <v>10</v>
      </c>
      <c r="E3028" t="str">
        <f>"02 - A - 104 - Scott A Dethloff"</f>
        <v>02 - A - 104 - Scott A Dethloff</v>
      </c>
      <c r="F3028" t="str">
        <f>"CHEMISTRY 1 HON"</f>
        <v>CHEMISTRY 1 HON</v>
      </c>
      <c r="G3028" t="str">
        <f>"08-812"</f>
        <v>08-812</v>
      </c>
      <c r="H3028" t="str">
        <f>"A"</f>
        <v>A</v>
      </c>
    </row>
    <row r="3029" spans="1:8" x14ac:dyDescent="0.2">
      <c r="A3029" t="str">
        <f t="shared" si="1107"/>
        <v>0614090502</v>
      </c>
      <c r="B3029" t="str">
        <f t="shared" si="1108"/>
        <v>THOMAS</v>
      </c>
      <c r="C3029" t="str">
        <f t="shared" si="1103"/>
        <v>CHARLES</v>
      </c>
      <c r="D3029">
        <f>10</f>
        <v>10</v>
      </c>
      <c r="E3029" t="str">
        <f>"07 - B - 107 - Marius D Orsolini"</f>
        <v>07 - B - 107 - Marius D Orsolini</v>
      </c>
      <c r="F3029" t="str">
        <f>"CULINARY ARTS 1"</f>
        <v>CULINARY ARTS 1</v>
      </c>
      <c r="G3029" t="str">
        <f>"21-2115"</f>
        <v>21-2115</v>
      </c>
      <c r="H3029" t="str">
        <f>"B"</f>
        <v>B</v>
      </c>
    </row>
    <row r="3030" spans="1:8" x14ac:dyDescent="0.2">
      <c r="A3030" t="str">
        <f t="shared" si="1107"/>
        <v>0614090502</v>
      </c>
      <c r="B3030" t="str">
        <f t="shared" si="1108"/>
        <v>THOMAS</v>
      </c>
      <c r="C3030" t="str">
        <f t="shared" si="1103"/>
        <v>CHARLES</v>
      </c>
      <c r="D3030">
        <f>10</f>
        <v>10</v>
      </c>
      <c r="E3030" t="str">
        <f>"05 - B - 108 - James H Mccann"</f>
        <v>05 - B - 108 - James H Mccann</v>
      </c>
      <c r="F3030" t="str">
        <f>"ALGEBRA 2"</f>
        <v>ALGEBRA 2</v>
      </c>
      <c r="G3030" t="str">
        <f>"17-1716"</f>
        <v>17-1716</v>
      </c>
      <c r="H3030" t="str">
        <f>"B"</f>
        <v>B</v>
      </c>
    </row>
    <row r="3031" spans="1:8" x14ac:dyDescent="0.2">
      <c r="A3031" t="str">
        <f t="shared" si="1107"/>
        <v>0614090502</v>
      </c>
      <c r="B3031" t="str">
        <f t="shared" si="1108"/>
        <v>THOMAS</v>
      </c>
      <c r="C3031" t="str">
        <f t="shared" si="1103"/>
        <v>CHARLES</v>
      </c>
      <c r="D3031">
        <f>10</f>
        <v>10</v>
      </c>
      <c r="E3031" t="str">
        <f>"01 - S1 - A - 101 - Lissa C Frederique"</f>
        <v>01 - S1 - A - 101 - Lissa C Frederique</v>
      </c>
      <c r="F3031" t="str">
        <f>"PERS FIN &amp; MON MGT H"</f>
        <v>PERS FIN &amp; MON MGT H</v>
      </c>
      <c r="G3031" t="str">
        <f>"17-1754"</f>
        <v>17-1754</v>
      </c>
      <c r="H3031" t="str">
        <f>"A"</f>
        <v>A</v>
      </c>
    </row>
    <row r="3032" spans="1:8" x14ac:dyDescent="0.2">
      <c r="A3032" t="str">
        <f t="shared" si="1107"/>
        <v>0614090502</v>
      </c>
      <c r="B3032" t="str">
        <f t="shared" si="1108"/>
        <v>THOMAS</v>
      </c>
      <c r="C3032" t="str">
        <f t="shared" si="1103"/>
        <v>CHARLES</v>
      </c>
      <c r="D3032">
        <f>10</f>
        <v>10</v>
      </c>
      <c r="E3032" t="str">
        <f>"08 - B - 201 - Lenecy  Nodarse"</f>
        <v>08 - B - 201 - Lenecy  Nodarse</v>
      </c>
      <c r="F3032" t="str">
        <f>"AICE EURO HIST 1 AS"</f>
        <v>AICE EURO HIST 1 AS</v>
      </c>
      <c r="G3032" t="str">
        <f>"17-1741"</f>
        <v>17-1741</v>
      </c>
      <c r="H3032" t="str">
        <f>"B"</f>
        <v>B</v>
      </c>
    </row>
    <row r="3033" spans="1:8" x14ac:dyDescent="0.2">
      <c r="A3033" t="str">
        <f t="shared" ref="A3033:A3040" si="1109">"0614043027"</f>
        <v>0614043027</v>
      </c>
      <c r="B3033" t="str">
        <f t="shared" ref="B3033:B3040" si="1110">"NEISSA"</f>
        <v>NEISSA</v>
      </c>
      <c r="C3033" t="str">
        <f t="shared" ref="C3033:C3040" si="1111">"CHARLOT"</f>
        <v>CHARLOT</v>
      </c>
      <c r="D3033">
        <f>12</f>
        <v>12</v>
      </c>
      <c r="E3033" t="str">
        <f>"04 - A - 104 - Robert H Rindner"</f>
        <v>04 - A - 104 - Robert H Rindner</v>
      </c>
      <c r="F3033" t="str">
        <f>"MATH DATA&amp;FIN LIT H"</f>
        <v>MATH DATA&amp;FIN LIT H</v>
      </c>
      <c r="G3033" t="str">
        <f>"21-2160"</f>
        <v>21-2160</v>
      </c>
      <c r="H3033" t="str">
        <f>"A"</f>
        <v>A</v>
      </c>
    </row>
    <row r="3034" spans="1:8" x14ac:dyDescent="0.2">
      <c r="A3034" t="str">
        <f t="shared" si="1109"/>
        <v>0614043027</v>
      </c>
      <c r="B3034" t="str">
        <f t="shared" si="1110"/>
        <v>NEISSA</v>
      </c>
      <c r="C3034" t="str">
        <f t="shared" si="1111"/>
        <v>CHARLOT</v>
      </c>
      <c r="D3034">
        <f>12</f>
        <v>12</v>
      </c>
      <c r="E3034" t="str">
        <f>"06 - B - 103 - Stefanie S Scher"</f>
        <v>06 - B - 103 - Stefanie S Scher</v>
      </c>
      <c r="F3034" t="str">
        <f>"NC STUDY HALL 1"</f>
        <v>NC STUDY HALL 1</v>
      </c>
      <c r="G3034" t="str">
        <f>"17-1735"</f>
        <v>17-1735</v>
      </c>
      <c r="H3034" t="str">
        <f>"B"</f>
        <v>B</v>
      </c>
    </row>
    <row r="3035" spans="1:8" x14ac:dyDescent="0.2">
      <c r="A3035" t="str">
        <f t="shared" si="1109"/>
        <v>0614043027</v>
      </c>
      <c r="B3035" t="str">
        <f t="shared" si="1110"/>
        <v>NEISSA</v>
      </c>
      <c r="C3035" t="str">
        <f t="shared" si="1111"/>
        <v>CHARLOT</v>
      </c>
      <c r="D3035">
        <f>12</f>
        <v>12</v>
      </c>
      <c r="E3035" t="str">
        <f>"03 - S1 - A - 002 - Barbara L Segal"</f>
        <v>03 - S1 - A - 002 - Barbara L Segal</v>
      </c>
      <c r="F3035" t="str">
        <f>"US GOVT"</f>
        <v>US GOVT</v>
      </c>
      <c r="G3035" t="str">
        <f>"17-1742"</f>
        <v>17-1742</v>
      </c>
      <c r="H3035" t="str">
        <f>"A"</f>
        <v>A</v>
      </c>
    </row>
    <row r="3036" spans="1:8" x14ac:dyDescent="0.2">
      <c r="A3036" t="str">
        <f t="shared" si="1109"/>
        <v>0614043027</v>
      </c>
      <c r="B3036" t="str">
        <f t="shared" si="1110"/>
        <v>NEISSA</v>
      </c>
      <c r="C3036" t="str">
        <f t="shared" si="1111"/>
        <v>CHARLOT</v>
      </c>
      <c r="D3036">
        <f>12</f>
        <v>12</v>
      </c>
      <c r="E3036" t="str">
        <f>"02 - A - 202 - Daniel S Tyson"</f>
        <v>02 - A - 202 - Daniel S Tyson</v>
      </c>
      <c r="F3036" t="str">
        <f>"JROTC NAVAL SCI 2"</f>
        <v>JROTC NAVAL SCI 2</v>
      </c>
      <c r="G3036" t="str">
        <f>"05-510"</f>
        <v>05-510</v>
      </c>
      <c r="H3036" t="str">
        <f>"A"</f>
        <v>A</v>
      </c>
    </row>
    <row r="3037" spans="1:8" x14ac:dyDescent="0.2">
      <c r="A3037" t="str">
        <f t="shared" si="1109"/>
        <v>0614043027</v>
      </c>
      <c r="B3037" t="str">
        <f t="shared" si="1110"/>
        <v>NEISSA</v>
      </c>
      <c r="C3037" t="str">
        <f t="shared" si="1111"/>
        <v>CHARLOT</v>
      </c>
      <c r="D3037">
        <f>12</f>
        <v>12</v>
      </c>
      <c r="E3037" t="str">
        <f>"07 - B - 002 - Jazmin S Fletcher"</f>
        <v>07 - B - 002 - Jazmin S Fletcher</v>
      </c>
      <c r="F3037" t="str">
        <f>"THEATRE 1"</f>
        <v>THEATRE 1</v>
      </c>
      <c r="G3037" t="str">
        <f>"09-909"</f>
        <v>09-909</v>
      </c>
      <c r="H3037" t="str">
        <f>"B"</f>
        <v>B</v>
      </c>
    </row>
    <row r="3038" spans="1:8" x14ac:dyDescent="0.2">
      <c r="A3038" t="str">
        <f t="shared" si="1109"/>
        <v>0614043027</v>
      </c>
      <c r="B3038" t="str">
        <f t="shared" si="1110"/>
        <v>NEISSA</v>
      </c>
      <c r="C3038" t="str">
        <f t="shared" si="1111"/>
        <v>CHARLOT</v>
      </c>
      <c r="D3038">
        <f>12</f>
        <v>12</v>
      </c>
      <c r="E3038" t="str">
        <f>"05 - B - 204 - Cliffon  Saurel"</f>
        <v>05 - B - 204 - Cliffon  Saurel</v>
      </c>
      <c r="F3038" t="str">
        <f>"PHYSICAL SCI"</f>
        <v>PHYSICAL SCI</v>
      </c>
      <c r="G3038" t="str">
        <f>"05-522"</f>
        <v>05-522</v>
      </c>
      <c r="H3038" t="str">
        <f>"B"</f>
        <v>B</v>
      </c>
    </row>
    <row r="3039" spans="1:8" x14ac:dyDescent="0.2">
      <c r="A3039" t="str">
        <f t="shared" si="1109"/>
        <v>0614043027</v>
      </c>
      <c r="B3039" t="str">
        <f t="shared" si="1110"/>
        <v>NEISSA</v>
      </c>
      <c r="C3039" t="str">
        <f t="shared" si="1111"/>
        <v>CHARLOT</v>
      </c>
      <c r="D3039">
        <f>12</f>
        <v>12</v>
      </c>
      <c r="E3039" t="str">
        <f>"01 - A - 103 - Robyn L Trainer"</f>
        <v>01 - A - 103 - Robyn L Trainer</v>
      </c>
      <c r="F3039" t="str">
        <f>"ENG 4"</f>
        <v>ENG 4</v>
      </c>
      <c r="G3039" t="str">
        <f>"17-1734"</f>
        <v>17-1734</v>
      </c>
      <c r="H3039" t="str">
        <f>"A"</f>
        <v>A</v>
      </c>
    </row>
    <row r="3040" spans="1:8" x14ac:dyDescent="0.2">
      <c r="A3040" t="str">
        <f t="shared" si="1109"/>
        <v>0614043027</v>
      </c>
      <c r="B3040" t="str">
        <f t="shared" si="1110"/>
        <v>NEISSA</v>
      </c>
      <c r="C3040" t="str">
        <f t="shared" si="1111"/>
        <v>CHARLOT</v>
      </c>
      <c r="D3040">
        <f>12</f>
        <v>12</v>
      </c>
      <c r="E3040" t="str">
        <f>"08 - B - 103 - Joe  Kilpatrick Jr"</f>
        <v>08 - B - 103 - Joe  Kilpatrick Jr</v>
      </c>
      <c r="F3040" t="str">
        <f>"PRE-AICE SPAN 2 IG"</f>
        <v>PRE-AICE SPAN 2 IG</v>
      </c>
      <c r="G3040" t="str">
        <f>"09-912"</f>
        <v>09-912</v>
      </c>
      <c r="H3040" t="str">
        <f>"B"</f>
        <v>B</v>
      </c>
    </row>
    <row r="3041" spans="1:8" x14ac:dyDescent="0.2">
      <c r="A3041" t="str">
        <f t="shared" ref="A3041:A3049" si="1112">"0613004285"</f>
        <v>0613004285</v>
      </c>
      <c r="B3041" t="str">
        <f t="shared" ref="B3041:B3049" si="1113">"ANJALAYNA"</f>
        <v>ANJALAYNA</v>
      </c>
      <c r="C3041" t="str">
        <f t="shared" ref="C3041:C3049" si="1114">"CHATOORI"</f>
        <v>CHATOORI</v>
      </c>
      <c r="D3041">
        <f>11</f>
        <v>11</v>
      </c>
      <c r="E3041" t="str">
        <f>"19 - S1 - MTWHF - B18 - Instructor BC"</f>
        <v>19 - S1 - MTWHF - B18 - Instructor BC</v>
      </c>
      <c r="F3041" t="str">
        <f>"DEVEL PSYCH II: ADOL"</f>
        <v>DEVEL PSYCH II: ADOL</v>
      </c>
      <c r="G3041" t="str">
        <f>"60-DE"</f>
        <v>60-DE</v>
      </c>
      <c r="H3041" t="str">
        <f>"-"</f>
        <v>-</v>
      </c>
    </row>
    <row r="3042" spans="1:8" x14ac:dyDescent="0.2">
      <c r="A3042" t="str">
        <f t="shared" si="1112"/>
        <v>0613004285</v>
      </c>
      <c r="B3042" t="str">
        <f t="shared" si="1113"/>
        <v>ANJALAYNA</v>
      </c>
      <c r="C3042" t="str">
        <f t="shared" si="1114"/>
        <v>CHATOORI</v>
      </c>
      <c r="D3042">
        <f>11</f>
        <v>11</v>
      </c>
      <c r="E3042" t="str">
        <f>"04 - A - 102 - Lisa J London"</f>
        <v>04 - A - 102 - Lisa J London</v>
      </c>
      <c r="F3042" t="str">
        <f>"AP CAPSTONE SEMINAR"</f>
        <v>AP CAPSTONE SEMINAR</v>
      </c>
      <c r="G3042" t="str">
        <f>"17-1714"</f>
        <v>17-1714</v>
      </c>
      <c r="H3042" t="str">
        <f>"A"</f>
        <v>A</v>
      </c>
    </row>
    <row r="3043" spans="1:8" x14ac:dyDescent="0.2">
      <c r="A3043" t="str">
        <f t="shared" si="1112"/>
        <v>0613004285</v>
      </c>
      <c r="B3043" t="str">
        <f t="shared" si="1113"/>
        <v>ANJALAYNA</v>
      </c>
      <c r="C3043" t="str">
        <f t="shared" si="1114"/>
        <v>CHATOORI</v>
      </c>
      <c r="D3043">
        <f>11</f>
        <v>11</v>
      </c>
      <c r="E3043" t="str">
        <f>"06 - B - 104 - Brandy N Zdenek"</f>
        <v>06 - B - 104 - Brandy N Zdenek</v>
      </c>
      <c r="F3043" t="str">
        <f>"AICE ENG LANG 2 AL"</f>
        <v>AICE ENG LANG 2 AL</v>
      </c>
      <c r="G3043" t="str">
        <f>"17-1704"</f>
        <v>17-1704</v>
      </c>
      <c r="H3043" t="str">
        <f>"B"</f>
        <v>B</v>
      </c>
    </row>
    <row r="3044" spans="1:8" x14ac:dyDescent="0.2">
      <c r="A3044" t="str">
        <f t="shared" si="1112"/>
        <v>0613004285</v>
      </c>
      <c r="B3044" t="str">
        <f t="shared" si="1113"/>
        <v>ANJALAYNA</v>
      </c>
      <c r="C3044" t="str">
        <f t="shared" si="1114"/>
        <v>CHATOORI</v>
      </c>
      <c r="D3044">
        <f>11</f>
        <v>11</v>
      </c>
      <c r="E3044" t="str">
        <f>"03 - A - 101 - Jacqueline R Morphet"</f>
        <v>03 - A - 101 - Jacqueline R Morphet</v>
      </c>
      <c r="F3044" t="str">
        <f>"AP PHYSICS 1"</f>
        <v>AP PHYSICS 1</v>
      </c>
      <c r="G3044" t="str">
        <f>"21-2138"</f>
        <v>21-2138</v>
      </c>
      <c r="H3044" t="str">
        <f>"A"</f>
        <v>A</v>
      </c>
    </row>
    <row r="3045" spans="1:8" x14ac:dyDescent="0.2">
      <c r="A3045" t="str">
        <f t="shared" si="1112"/>
        <v>0613004285</v>
      </c>
      <c r="B3045" t="str">
        <f t="shared" si="1113"/>
        <v>ANJALAYNA</v>
      </c>
      <c r="C3045" t="str">
        <f t="shared" si="1114"/>
        <v>CHATOORI</v>
      </c>
      <c r="D3045">
        <f>11</f>
        <v>11</v>
      </c>
      <c r="E3045" t="str">
        <f>"02 - A - 109 - Daniel S Katz"</f>
        <v>02 - A - 109 - Daniel S Katz</v>
      </c>
      <c r="F3045" t="str">
        <f>"NC STUDY HALL 1"</f>
        <v>NC STUDY HALL 1</v>
      </c>
      <c r="G3045" t="str">
        <f>"21-2156"</f>
        <v>21-2156</v>
      </c>
      <c r="H3045" t="str">
        <f>"A"</f>
        <v>A</v>
      </c>
    </row>
    <row r="3046" spans="1:8" x14ac:dyDescent="0.2">
      <c r="A3046" t="str">
        <f t="shared" si="1112"/>
        <v>0613004285</v>
      </c>
      <c r="B3046" t="str">
        <f t="shared" si="1113"/>
        <v>ANJALAYNA</v>
      </c>
      <c r="C3046" t="str">
        <f t="shared" si="1114"/>
        <v>CHATOORI</v>
      </c>
      <c r="D3046">
        <f>11</f>
        <v>11</v>
      </c>
      <c r="E3046" t="str">
        <f>"07 - B - 102 - Pamela M Corzo"</f>
        <v>07 - B - 102 - Pamela M Corzo</v>
      </c>
      <c r="F3046" t="str">
        <f>"AP CALCULUS AB"</f>
        <v>AP CALCULUS AB</v>
      </c>
      <c r="G3046" t="str">
        <f>"21-2133"</f>
        <v>21-2133</v>
      </c>
      <c r="H3046" t="str">
        <f>"B"</f>
        <v>B</v>
      </c>
    </row>
    <row r="3047" spans="1:8" x14ac:dyDescent="0.2">
      <c r="A3047" t="str">
        <f t="shared" si="1112"/>
        <v>0613004285</v>
      </c>
      <c r="B3047" t="str">
        <f t="shared" si="1113"/>
        <v>ANJALAYNA</v>
      </c>
      <c r="C3047" t="str">
        <f t="shared" si="1114"/>
        <v>CHATOORI</v>
      </c>
      <c r="D3047">
        <f>11</f>
        <v>11</v>
      </c>
      <c r="E3047" t="str">
        <f>"05 - B - 102 - Daniel S Katz"</f>
        <v>05 - B - 102 - Daniel S Katz</v>
      </c>
      <c r="F3047" t="str">
        <f>"EXEC INTERN 4 LH"</f>
        <v>EXEC INTERN 4 LH</v>
      </c>
      <c r="G3047" t="str">
        <f>"21-2156"</f>
        <v>21-2156</v>
      </c>
      <c r="H3047" t="str">
        <f>"B"</f>
        <v>B</v>
      </c>
    </row>
    <row r="3048" spans="1:8" x14ac:dyDescent="0.2">
      <c r="A3048" t="str">
        <f t="shared" si="1112"/>
        <v>0613004285</v>
      </c>
      <c r="B3048" t="str">
        <f t="shared" si="1113"/>
        <v>ANJALAYNA</v>
      </c>
      <c r="C3048" t="str">
        <f t="shared" si="1114"/>
        <v>CHATOORI</v>
      </c>
      <c r="D3048">
        <f>11</f>
        <v>11</v>
      </c>
      <c r="E3048" t="str">
        <f>"01 - A - 001 - Stephen T Ripp"</f>
        <v>01 - A - 001 - Stephen T Ripp</v>
      </c>
      <c r="F3048" t="str">
        <f>"AP U.S. HIST"</f>
        <v>AP U.S. HIST</v>
      </c>
      <c r="G3048" t="str">
        <f>"17-1744"</f>
        <v>17-1744</v>
      </c>
      <c r="H3048" t="str">
        <f>"A"</f>
        <v>A</v>
      </c>
    </row>
    <row r="3049" spans="1:8" x14ac:dyDescent="0.2">
      <c r="A3049" t="str">
        <f t="shared" si="1112"/>
        <v>0613004285</v>
      </c>
      <c r="B3049" t="str">
        <f t="shared" si="1113"/>
        <v>ANJALAYNA</v>
      </c>
      <c r="C3049" t="str">
        <f t="shared" si="1114"/>
        <v>CHATOORI</v>
      </c>
      <c r="D3049">
        <f>11</f>
        <v>11</v>
      </c>
      <c r="E3049" t="str">
        <f>"08 - B - 105 - Daniel S Katz"</f>
        <v>08 - B - 105 - Daniel S Katz</v>
      </c>
      <c r="F3049" t="str">
        <f>"AICE MEDIA STUDIES A"</f>
        <v>AICE MEDIA STUDIES A</v>
      </c>
      <c r="G3049" t="str">
        <f>"05-521"</f>
        <v>05-521</v>
      </c>
      <c r="H3049" t="str">
        <f>"B"</f>
        <v>B</v>
      </c>
    </row>
    <row r="3050" spans="1:8" x14ac:dyDescent="0.2">
      <c r="A3050" t="str">
        <f t="shared" ref="A3050:A3057" si="1115">"0617042255"</f>
        <v>0617042255</v>
      </c>
      <c r="B3050" t="str">
        <f t="shared" ref="B3050:B3057" si="1116">"LUIS"</f>
        <v>LUIS</v>
      </c>
      <c r="C3050" t="str">
        <f t="shared" ref="C3050:C3057" si="1117">"CHAVEZ"</f>
        <v>CHAVEZ</v>
      </c>
      <c r="D3050">
        <f>10</f>
        <v>10</v>
      </c>
      <c r="E3050" t="str">
        <f>"04 - A - 105 - Jacquelyn M Neeson"</f>
        <v>04 - A - 105 - Jacquelyn M Neeson</v>
      </c>
      <c r="F3050" t="str">
        <f>"ENG 2"</f>
        <v>ENG 2</v>
      </c>
      <c r="G3050" t="str">
        <f>"17-1715"</f>
        <v>17-1715</v>
      </c>
      <c r="H3050" t="str">
        <f>"A"</f>
        <v>A</v>
      </c>
    </row>
    <row r="3051" spans="1:8" x14ac:dyDescent="0.2">
      <c r="A3051" t="str">
        <f t="shared" si="1115"/>
        <v>0617042255</v>
      </c>
      <c r="B3051" t="str">
        <f t="shared" si="1116"/>
        <v>LUIS</v>
      </c>
      <c r="C3051" t="str">
        <f t="shared" si="1117"/>
        <v>CHAVEZ</v>
      </c>
      <c r="D3051">
        <f>10</f>
        <v>10</v>
      </c>
      <c r="E3051" t="str">
        <f>"06 - B - 110 - Jerry S Jiampetti"</f>
        <v>06 - B - 110 - Jerry S Jiampetti</v>
      </c>
      <c r="F3051" t="str">
        <f>"NC STUDY HALL 1"</f>
        <v>NC STUDY HALL 1</v>
      </c>
      <c r="G3051" t="str">
        <f>"17-1751"</f>
        <v>17-1751</v>
      </c>
      <c r="H3051" t="str">
        <f>"B"</f>
        <v>B</v>
      </c>
    </row>
    <row r="3052" spans="1:8" x14ac:dyDescent="0.2">
      <c r="A3052" t="str">
        <f t="shared" si="1115"/>
        <v>0617042255</v>
      </c>
      <c r="B3052" t="str">
        <f t="shared" si="1116"/>
        <v>LUIS</v>
      </c>
      <c r="C3052" t="str">
        <f t="shared" si="1117"/>
        <v>CHAVEZ</v>
      </c>
      <c r="D3052">
        <f>10</f>
        <v>10</v>
      </c>
      <c r="E3052" t="str">
        <f>"03 - A - 103 - Taraneh C Abreu"</f>
        <v>03 - A - 103 - Taraneh C Abreu</v>
      </c>
      <c r="F3052" t="str">
        <f>"INTENS READ 2"</f>
        <v>INTENS READ 2</v>
      </c>
      <c r="G3052" t="str">
        <f>"17-1713"</f>
        <v>17-1713</v>
      </c>
      <c r="H3052" t="str">
        <f>"A"</f>
        <v>A</v>
      </c>
    </row>
    <row r="3053" spans="1:8" x14ac:dyDescent="0.2">
      <c r="A3053" t="str">
        <f t="shared" si="1115"/>
        <v>0617042255</v>
      </c>
      <c r="B3053" t="str">
        <f t="shared" si="1116"/>
        <v>LUIS</v>
      </c>
      <c r="C3053" t="str">
        <f t="shared" si="1117"/>
        <v>CHAVEZ</v>
      </c>
      <c r="D3053">
        <f>10</f>
        <v>10</v>
      </c>
      <c r="E3053" t="str">
        <f>"02 - A - 001 - Alejandro  Navarro"</f>
        <v>02 - A - 001 - Alejandro  Navarro</v>
      </c>
      <c r="F3053" t="str">
        <f>"BAND 1"</f>
        <v>BAND 1</v>
      </c>
      <c r="G3053" t="str">
        <f>"05-504"</f>
        <v>05-504</v>
      </c>
      <c r="H3053" t="str">
        <f>"A"</f>
        <v>A</v>
      </c>
    </row>
    <row r="3054" spans="1:8" x14ac:dyDescent="0.2">
      <c r="A3054" t="str">
        <f t="shared" si="1115"/>
        <v>0617042255</v>
      </c>
      <c r="B3054" t="str">
        <f t="shared" si="1116"/>
        <v>LUIS</v>
      </c>
      <c r="C3054" t="str">
        <f t="shared" si="1117"/>
        <v>CHAVEZ</v>
      </c>
      <c r="D3054">
        <f>10</f>
        <v>10</v>
      </c>
      <c r="E3054" t="str">
        <f>"07 - B - 107 - Milca  Exantus"</f>
        <v>07 - B - 107 - Milca  Exantus</v>
      </c>
      <c r="F3054" t="str">
        <f>"MATH COLLEGE LIB ART"</f>
        <v>MATH COLLEGE LIB ART</v>
      </c>
      <c r="G3054" t="str">
        <f>"21-2145"</f>
        <v>21-2145</v>
      </c>
      <c r="H3054" t="str">
        <f>"B"</f>
        <v>B</v>
      </c>
    </row>
    <row r="3055" spans="1:8" x14ac:dyDescent="0.2">
      <c r="A3055" t="str">
        <f t="shared" si="1115"/>
        <v>0617042255</v>
      </c>
      <c r="B3055" t="str">
        <f t="shared" si="1116"/>
        <v>LUIS</v>
      </c>
      <c r="C3055" t="str">
        <f t="shared" si="1117"/>
        <v>CHAVEZ</v>
      </c>
      <c r="D3055">
        <f>10</f>
        <v>10</v>
      </c>
      <c r="E3055" t="str">
        <f>"05 - B - 104 - Joe  Kilpatrick Jr"</f>
        <v>05 - B - 104 - Joe  Kilpatrick Jr</v>
      </c>
      <c r="F3055" t="str">
        <f>"PRE-AICE SPAN 1 IG"</f>
        <v>PRE-AICE SPAN 1 IG</v>
      </c>
      <c r="G3055" t="str">
        <f>"09-912"</f>
        <v>09-912</v>
      </c>
      <c r="H3055" t="str">
        <f>"B"</f>
        <v>B</v>
      </c>
    </row>
    <row r="3056" spans="1:8" x14ac:dyDescent="0.2">
      <c r="A3056" t="str">
        <f t="shared" si="1115"/>
        <v>0617042255</v>
      </c>
      <c r="B3056" t="str">
        <f t="shared" si="1116"/>
        <v>LUIS</v>
      </c>
      <c r="C3056" t="str">
        <f t="shared" si="1117"/>
        <v>CHAVEZ</v>
      </c>
      <c r="D3056">
        <f>10</f>
        <v>10</v>
      </c>
      <c r="E3056" t="str">
        <f>"01 - S1 - A - 101 - Carol S Moore"</f>
        <v>01 - S1 - A - 101 - Carol S Moore</v>
      </c>
      <c r="F3056" t="str">
        <f>"PERS FIN &amp; MON MGT H"</f>
        <v>PERS FIN &amp; MON MGT H</v>
      </c>
      <c r="G3056" t="str">
        <f>"17-1733"</f>
        <v>17-1733</v>
      </c>
      <c r="H3056" t="str">
        <f>"A"</f>
        <v>A</v>
      </c>
    </row>
    <row r="3057" spans="1:8" x14ac:dyDescent="0.2">
      <c r="A3057" t="str">
        <f t="shared" si="1115"/>
        <v>0617042255</v>
      </c>
      <c r="B3057" t="str">
        <f t="shared" si="1116"/>
        <v>LUIS</v>
      </c>
      <c r="C3057" t="str">
        <f t="shared" si="1117"/>
        <v>CHAVEZ</v>
      </c>
      <c r="D3057">
        <f>10</f>
        <v>10</v>
      </c>
      <c r="E3057" t="str">
        <f>"08 - B - 108 - Paige Lauren  Brochu"</f>
        <v>08 - B - 108 - Paige Lauren  Brochu</v>
      </c>
      <c r="F3057" t="str">
        <f>"BIOLOGY 1"</f>
        <v>BIOLOGY 1</v>
      </c>
      <c r="G3057" t="str">
        <f>"21-2134"</f>
        <v>21-2134</v>
      </c>
      <c r="H3057" t="str">
        <f>"B"</f>
        <v>B</v>
      </c>
    </row>
    <row r="3058" spans="1:8" x14ac:dyDescent="0.2">
      <c r="A3058" t="str">
        <f t="shared" ref="A3058:A3065" si="1118">"0616151940"</f>
        <v>0616151940</v>
      </c>
      <c r="B3058" t="str">
        <f t="shared" ref="B3058:B3065" si="1119">"JOSHUA"</f>
        <v>JOSHUA</v>
      </c>
      <c r="C3058" t="str">
        <f t="shared" ref="C3058:C3065" si="1120">"CHERICHEL"</f>
        <v>CHERICHEL</v>
      </c>
      <c r="D3058" t="str">
        <f t="shared" ref="D3058:D3065" si="1121">"09"</f>
        <v>09</v>
      </c>
      <c r="E3058" t="str">
        <f>"04 - A - 005 - Emmily A Sarmiento"</f>
        <v>04 - A - 005 - Emmily A Sarmiento</v>
      </c>
      <c r="F3058" t="str">
        <f>"AICE GLBL PERSP 1 AS"</f>
        <v>AICE GLBL PERSP 1 AS</v>
      </c>
      <c r="G3058" t="str">
        <f>"17-1743"</f>
        <v>17-1743</v>
      </c>
      <c r="H3058" t="str">
        <f>"A"</f>
        <v>A</v>
      </c>
    </row>
    <row r="3059" spans="1:8" x14ac:dyDescent="0.2">
      <c r="A3059" t="str">
        <f t="shared" si="1118"/>
        <v>0616151940</v>
      </c>
      <c r="B3059" t="str">
        <f t="shared" si="1119"/>
        <v>JOSHUA</v>
      </c>
      <c r="C3059" t="str">
        <f t="shared" si="1120"/>
        <v>CHERICHEL</v>
      </c>
      <c r="D3059" t="str">
        <f t="shared" si="1121"/>
        <v>09</v>
      </c>
      <c r="E3059" t="str">
        <f>"06 - B - 105 - Cheryl L Beach"</f>
        <v>06 - B - 105 - Cheryl L Beach</v>
      </c>
      <c r="F3059" t="str">
        <f>"AICE ENV MGMNT AS"</f>
        <v>AICE ENV MGMNT AS</v>
      </c>
      <c r="G3059" t="str">
        <f>"08-811"</f>
        <v>08-811</v>
      </c>
      <c r="H3059" t="str">
        <f>"B"</f>
        <v>B</v>
      </c>
    </row>
    <row r="3060" spans="1:8" x14ac:dyDescent="0.2">
      <c r="A3060" t="str">
        <f t="shared" si="1118"/>
        <v>0616151940</v>
      </c>
      <c r="B3060" t="str">
        <f t="shared" si="1119"/>
        <v>JOSHUA</v>
      </c>
      <c r="C3060" t="str">
        <f t="shared" si="1120"/>
        <v>CHERICHEL</v>
      </c>
      <c r="D3060" t="str">
        <f t="shared" si="1121"/>
        <v>09</v>
      </c>
      <c r="E3060" t="str">
        <f>"03 - A - 005 - Cerine S Stewart"</f>
        <v>03 - A - 005 - Cerine S Stewart</v>
      </c>
      <c r="F3060" t="str">
        <f>"AICE ENG GEN PAPER 1"</f>
        <v>AICE ENG GEN PAPER 1</v>
      </c>
      <c r="G3060" t="str">
        <f>"17-1720"</f>
        <v>17-1720</v>
      </c>
      <c r="H3060" t="str">
        <f>"A"</f>
        <v>A</v>
      </c>
    </row>
    <row r="3061" spans="1:8" x14ac:dyDescent="0.2">
      <c r="A3061" t="str">
        <f t="shared" si="1118"/>
        <v>0616151940</v>
      </c>
      <c r="B3061" t="str">
        <f t="shared" si="1119"/>
        <v>JOSHUA</v>
      </c>
      <c r="C3061" t="str">
        <f t="shared" si="1120"/>
        <v>CHERICHEL</v>
      </c>
      <c r="D3061" t="str">
        <f t="shared" si="1121"/>
        <v>09</v>
      </c>
      <c r="E3061" t="str">
        <f>"02 - A - 113 - Amy Beth  Broyles"</f>
        <v>02 - A - 113 - Amy Beth  Broyles</v>
      </c>
      <c r="F3061" t="str">
        <f>"NC STUDY HALL 1"</f>
        <v>NC STUDY HALL 1</v>
      </c>
      <c r="G3061" t="str">
        <f>"08-802"</f>
        <v>08-802</v>
      </c>
      <c r="H3061" t="str">
        <f>"A"</f>
        <v>A</v>
      </c>
    </row>
    <row r="3062" spans="1:8" x14ac:dyDescent="0.2">
      <c r="A3062" t="str">
        <f t="shared" si="1118"/>
        <v>0616151940</v>
      </c>
      <c r="B3062" t="str">
        <f t="shared" si="1119"/>
        <v>JOSHUA</v>
      </c>
      <c r="C3062" t="str">
        <f t="shared" si="1120"/>
        <v>CHERICHEL</v>
      </c>
      <c r="D3062" t="str">
        <f t="shared" si="1121"/>
        <v>09</v>
      </c>
      <c r="E3062" t="str">
        <f>"07 - B - 001 - Maried P Ramos"</f>
        <v>07 - B - 001 - Maried P Ramos</v>
      </c>
      <c r="F3062" t="str">
        <f>"GEOMETRY"</f>
        <v>GEOMETRY</v>
      </c>
      <c r="G3062" t="str">
        <f>"21-2159"</f>
        <v>21-2159</v>
      </c>
      <c r="H3062" t="str">
        <f>"B"</f>
        <v>B</v>
      </c>
    </row>
    <row r="3063" spans="1:8" x14ac:dyDescent="0.2">
      <c r="A3063" t="str">
        <f t="shared" si="1118"/>
        <v>0616151940</v>
      </c>
      <c r="B3063" t="str">
        <f t="shared" si="1119"/>
        <v>JOSHUA</v>
      </c>
      <c r="C3063" t="str">
        <f t="shared" si="1120"/>
        <v>CHERICHEL</v>
      </c>
      <c r="D3063" t="str">
        <f t="shared" si="1121"/>
        <v>09</v>
      </c>
      <c r="E3063" t="str">
        <f>"05 - B - 201 - Lisa J London"</f>
        <v>05 - B - 201 - Lisa J London</v>
      </c>
      <c r="F3063" t="str">
        <f>"COMPRE LAW HON"</f>
        <v>COMPRE LAW HON</v>
      </c>
      <c r="G3063" t="str">
        <f>"17-1714"</f>
        <v>17-1714</v>
      </c>
      <c r="H3063" t="str">
        <f>"B"</f>
        <v>B</v>
      </c>
    </row>
    <row r="3064" spans="1:8" x14ac:dyDescent="0.2">
      <c r="A3064" t="str">
        <f t="shared" si="1118"/>
        <v>0616151940</v>
      </c>
      <c r="B3064" t="str">
        <f t="shared" si="1119"/>
        <v>JOSHUA</v>
      </c>
      <c r="C3064" t="str">
        <f t="shared" si="1120"/>
        <v>CHERICHEL</v>
      </c>
      <c r="D3064" t="str">
        <f t="shared" si="1121"/>
        <v>09</v>
      </c>
      <c r="E3064" t="str">
        <f>"01 - A - 101 - Arthur  Kulawik"</f>
        <v>01 - A - 101 - Arthur  Kulawik</v>
      </c>
      <c r="F3064" t="str">
        <f>"DEBATE 1 LH"</f>
        <v>DEBATE 1 LH</v>
      </c>
      <c r="G3064" t="str">
        <f>"05-506"</f>
        <v>05-506</v>
      </c>
      <c r="H3064" t="str">
        <f>"A"</f>
        <v>A</v>
      </c>
    </row>
    <row r="3065" spans="1:8" x14ac:dyDescent="0.2">
      <c r="A3065" t="str">
        <f t="shared" si="1118"/>
        <v>0616151940</v>
      </c>
      <c r="B3065" t="str">
        <f t="shared" si="1119"/>
        <v>JOSHUA</v>
      </c>
      <c r="C3065" t="str">
        <f t="shared" si="1120"/>
        <v>CHERICHEL</v>
      </c>
      <c r="D3065" t="str">
        <f t="shared" si="1121"/>
        <v>09</v>
      </c>
      <c r="E3065" t="str">
        <f>"08 - B - 201 - Vanessa J Liburd"</f>
        <v>08 - B - 201 - Vanessa J Liburd</v>
      </c>
      <c r="F3065" t="str">
        <f>"FRENCH 3 HON"</f>
        <v>FRENCH 3 HON</v>
      </c>
      <c r="G3065" t="str">
        <f>"05-519"</f>
        <v>05-519</v>
      </c>
      <c r="H3065" t="str">
        <f>"B"</f>
        <v>B</v>
      </c>
    </row>
    <row r="3066" spans="1:8" x14ac:dyDescent="0.2">
      <c r="A3066" t="str">
        <f t="shared" ref="A3066:A3073" si="1122">"0624101505"</f>
        <v>0624101505</v>
      </c>
      <c r="B3066" t="str">
        <f t="shared" ref="B3066:B3073" si="1123">"KERVENSON"</f>
        <v>KERVENSON</v>
      </c>
      <c r="C3066" t="str">
        <f t="shared" ref="C3066:C3081" si="1124">"CHERY"</f>
        <v>CHERY</v>
      </c>
      <c r="D3066">
        <f>10</f>
        <v>10</v>
      </c>
      <c r="E3066" t="str">
        <f>"04 - S1 - A - 101 - Kyle  Robbins"</f>
        <v>04 - S1 - A - 101 - Kyle  Robbins</v>
      </c>
      <c r="F3066" t="str">
        <f>"PERS FIN &amp; MON MGT H"</f>
        <v>PERS FIN &amp; MON MGT H</v>
      </c>
      <c r="G3066" t="str">
        <f>"17-1745"</f>
        <v>17-1745</v>
      </c>
      <c r="H3066" t="str">
        <f>"A"</f>
        <v>A</v>
      </c>
    </row>
    <row r="3067" spans="1:8" x14ac:dyDescent="0.2">
      <c r="A3067" t="str">
        <f t="shared" si="1122"/>
        <v>0624101505</v>
      </c>
      <c r="B3067" t="str">
        <f t="shared" si="1123"/>
        <v>KERVENSON</v>
      </c>
      <c r="C3067" t="str">
        <f t="shared" si="1124"/>
        <v>CHERY</v>
      </c>
      <c r="D3067">
        <f>10</f>
        <v>10</v>
      </c>
      <c r="E3067" t="str">
        <f>"06 - B - 103 - Vanessa J Liburd"</f>
        <v>06 - B - 103 - Vanessa J Liburd</v>
      </c>
      <c r="F3067" t="str">
        <f>"NC STUDY HALL 1"</f>
        <v>NC STUDY HALL 1</v>
      </c>
      <c r="G3067" t="str">
        <f>"05-519"</f>
        <v>05-519</v>
      </c>
      <c r="H3067" t="str">
        <f>"B"</f>
        <v>B</v>
      </c>
    </row>
    <row r="3068" spans="1:8" x14ac:dyDescent="0.2">
      <c r="A3068" t="str">
        <f t="shared" si="1122"/>
        <v>0624101505</v>
      </c>
      <c r="B3068" t="str">
        <f t="shared" si="1123"/>
        <v>KERVENSON</v>
      </c>
      <c r="C3068" t="str">
        <f t="shared" si="1124"/>
        <v>CHERY</v>
      </c>
      <c r="D3068">
        <f>10</f>
        <v>10</v>
      </c>
      <c r="E3068" t="str">
        <f>"03 - A - 204 - Lytrell T Dixon"</f>
        <v>03 - A - 204 - Lytrell T Dixon</v>
      </c>
      <c r="F3068" t="str">
        <f>"BIOLOGY 1"</f>
        <v>BIOLOGY 1</v>
      </c>
      <c r="G3068" t="str">
        <f>"08-808"</f>
        <v>08-808</v>
      </c>
      <c r="H3068" t="str">
        <f>"A"</f>
        <v>A</v>
      </c>
    </row>
    <row r="3069" spans="1:8" x14ac:dyDescent="0.2">
      <c r="A3069" t="str">
        <f t="shared" si="1122"/>
        <v>0624101505</v>
      </c>
      <c r="B3069" t="str">
        <f t="shared" si="1123"/>
        <v>KERVENSON</v>
      </c>
      <c r="C3069" t="str">
        <f t="shared" si="1124"/>
        <v>CHERY</v>
      </c>
      <c r="D3069">
        <f>10</f>
        <v>10</v>
      </c>
      <c r="E3069" t="str">
        <f>"02 - A - 102 - Nikiel  Nesbeth"</f>
        <v>02 - A - 102 - Nikiel  Nesbeth</v>
      </c>
      <c r="F3069" t="str">
        <f>"ENG 2"</f>
        <v>ENG 2</v>
      </c>
      <c r="G3069" t="str">
        <f>"17-1705"</f>
        <v>17-1705</v>
      </c>
      <c r="H3069" t="str">
        <f>"A"</f>
        <v>A</v>
      </c>
    </row>
    <row r="3070" spans="1:8" x14ac:dyDescent="0.2">
      <c r="A3070" t="str">
        <f t="shared" si="1122"/>
        <v>0624101505</v>
      </c>
      <c r="B3070" t="str">
        <f t="shared" si="1123"/>
        <v>KERVENSON</v>
      </c>
      <c r="C3070" t="str">
        <f t="shared" si="1124"/>
        <v>CHERY</v>
      </c>
      <c r="D3070">
        <f>10</f>
        <v>10</v>
      </c>
      <c r="E3070" t="str">
        <f>"07 - S1 - B - 103 - Leslie J Barton"</f>
        <v>07 - S1 - B - 103 - Leslie J Barton</v>
      </c>
      <c r="F3070" t="str">
        <f>"TEAM SPORTS 1"</f>
        <v>TEAM SPORTS 1</v>
      </c>
      <c r="G3070" t="str">
        <f>"04-254"</f>
        <v>04-254</v>
      </c>
      <c r="H3070" t="str">
        <f>"B"</f>
        <v>B</v>
      </c>
    </row>
    <row r="3071" spans="1:8" x14ac:dyDescent="0.2">
      <c r="A3071" t="str">
        <f t="shared" si="1122"/>
        <v>0624101505</v>
      </c>
      <c r="B3071" t="str">
        <f t="shared" si="1123"/>
        <v>KERVENSON</v>
      </c>
      <c r="C3071" t="str">
        <f t="shared" si="1124"/>
        <v>CHERY</v>
      </c>
      <c r="D3071">
        <f>10</f>
        <v>10</v>
      </c>
      <c r="E3071" t="str">
        <f>"05 - B - 106 - Milca  Exantus"</f>
        <v>05 - B - 106 - Milca  Exantus</v>
      </c>
      <c r="F3071" t="str">
        <f>"MATH COLLEGE LIB ART"</f>
        <v>MATH COLLEGE LIB ART</v>
      </c>
      <c r="G3071" t="str">
        <f>"21-2145"</f>
        <v>21-2145</v>
      </c>
      <c r="H3071" t="str">
        <f>"B"</f>
        <v>B</v>
      </c>
    </row>
    <row r="3072" spans="1:8" x14ac:dyDescent="0.2">
      <c r="A3072" t="str">
        <f t="shared" si="1122"/>
        <v>0624101505</v>
      </c>
      <c r="B3072" t="str">
        <f t="shared" si="1123"/>
        <v>KERVENSON</v>
      </c>
      <c r="C3072" t="str">
        <f t="shared" si="1124"/>
        <v>CHERY</v>
      </c>
      <c r="D3072">
        <f>10</f>
        <v>10</v>
      </c>
      <c r="E3072" t="str">
        <f>"01 - A - 101 - Taraneh C Abreu"</f>
        <v>01 - A - 101 - Taraneh C Abreu</v>
      </c>
      <c r="F3072" t="str">
        <f>"INTENS READ 2"</f>
        <v>INTENS READ 2</v>
      </c>
      <c r="G3072" t="str">
        <f>"17-1713"</f>
        <v>17-1713</v>
      </c>
      <c r="H3072" t="str">
        <f>"A"</f>
        <v>A</v>
      </c>
    </row>
    <row r="3073" spans="1:8" x14ac:dyDescent="0.2">
      <c r="A3073" t="str">
        <f t="shared" si="1122"/>
        <v>0624101505</v>
      </c>
      <c r="B3073" t="str">
        <f t="shared" si="1123"/>
        <v>KERVENSON</v>
      </c>
      <c r="C3073" t="str">
        <f t="shared" si="1124"/>
        <v>CHERY</v>
      </c>
      <c r="D3073">
        <f>10</f>
        <v>10</v>
      </c>
      <c r="E3073" t="str">
        <f>"08 - B - 101 - Robert H Rindner"</f>
        <v>08 - B - 101 - Robert H Rindner</v>
      </c>
      <c r="F3073" t="str">
        <f>"TV PRODUCTION TECH 2"</f>
        <v>TV PRODUCTION TECH 2</v>
      </c>
      <c r="G3073" t="str">
        <f>"21-2160"</f>
        <v>21-2160</v>
      </c>
      <c r="H3073" t="str">
        <f>"B"</f>
        <v>B</v>
      </c>
    </row>
    <row r="3074" spans="1:8" x14ac:dyDescent="0.2">
      <c r="A3074" t="str">
        <f t="shared" ref="A3074:A3081" si="1125">"0615057091"</f>
        <v>0615057091</v>
      </c>
      <c r="B3074" t="str">
        <f t="shared" ref="B3074:B3081" si="1126">"KIOVANNI"</f>
        <v>KIOVANNI</v>
      </c>
      <c r="C3074" t="str">
        <f t="shared" si="1124"/>
        <v>CHERY</v>
      </c>
      <c r="D3074">
        <f>10</f>
        <v>10</v>
      </c>
      <c r="E3074" t="str">
        <f>"04 - A - 103 - Joe  Kilpatrick Jr"</f>
        <v>04 - A - 103 - Joe  Kilpatrick Jr</v>
      </c>
      <c r="F3074" t="str">
        <f>"PRE-AICE SPAN 1 IG"</f>
        <v>PRE-AICE SPAN 1 IG</v>
      </c>
      <c r="G3074" t="str">
        <f>"09-912"</f>
        <v>09-912</v>
      </c>
      <c r="H3074" t="str">
        <f>"A"</f>
        <v>A</v>
      </c>
    </row>
    <row r="3075" spans="1:8" x14ac:dyDescent="0.2">
      <c r="A3075" t="str">
        <f t="shared" si="1125"/>
        <v>0615057091</v>
      </c>
      <c r="B3075" t="str">
        <f t="shared" si="1126"/>
        <v>KIOVANNI</v>
      </c>
      <c r="C3075" t="str">
        <f t="shared" si="1124"/>
        <v>CHERY</v>
      </c>
      <c r="D3075">
        <f>10</f>
        <v>10</v>
      </c>
      <c r="E3075" t="str">
        <f>"06 - B - 119 - Nikiel  Nesbeth"</f>
        <v>06 - B - 119 - Nikiel  Nesbeth</v>
      </c>
      <c r="F3075" t="str">
        <f>"NC STUDY HALL 1"</f>
        <v>NC STUDY HALL 1</v>
      </c>
      <c r="G3075" t="str">
        <f>"17-1705"</f>
        <v>17-1705</v>
      </c>
      <c r="H3075" t="str">
        <f>"B"</f>
        <v>B</v>
      </c>
    </row>
    <row r="3076" spans="1:8" x14ac:dyDescent="0.2">
      <c r="A3076" t="str">
        <f t="shared" si="1125"/>
        <v>0615057091</v>
      </c>
      <c r="B3076" t="str">
        <f t="shared" si="1126"/>
        <v>KIOVANNI</v>
      </c>
      <c r="C3076" t="str">
        <f t="shared" si="1124"/>
        <v>CHERY</v>
      </c>
      <c r="D3076">
        <f>10</f>
        <v>10</v>
      </c>
      <c r="E3076" t="str">
        <f>"03 - A - 103 - Adam Marcus  Drucker"</f>
        <v>03 - A - 103 - Adam Marcus  Drucker</v>
      </c>
      <c r="F3076" t="str">
        <f>"HOPE-PE V"</f>
        <v>HOPE-PE V</v>
      </c>
      <c r="G3076" t="str">
        <f>"04-254"</f>
        <v>04-254</v>
      </c>
      <c r="H3076" t="str">
        <f>"A"</f>
        <v>A</v>
      </c>
    </row>
    <row r="3077" spans="1:8" x14ac:dyDescent="0.2">
      <c r="A3077" t="str">
        <f t="shared" si="1125"/>
        <v>0615057091</v>
      </c>
      <c r="B3077" t="str">
        <f t="shared" si="1126"/>
        <v>KIOVANNI</v>
      </c>
      <c r="C3077" t="str">
        <f t="shared" si="1124"/>
        <v>CHERY</v>
      </c>
      <c r="D3077">
        <f>10</f>
        <v>10</v>
      </c>
      <c r="E3077" t="str">
        <f>"02 - A - 102 - Marius D Orsolini"</f>
        <v>02 - A - 102 - Marius D Orsolini</v>
      </c>
      <c r="F3077" t="str">
        <f>"CULINARY ARTS 1"</f>
        <v>CULINARY ARTS 1</v>
      </c>
      <c r="G3077" t="str">
        <f>"21-2115"</f>
        <v>21-2115</v>
      </c>
      <c r="H3077" t="str">
        <f>"A"</f>
        <v>A</v>
      </c>
    </row>
    <row r="3078" spans="1:8" x14ac:dyDescent="0.2">
      <c r="A3078" t="str">
        <f t="shared" si="1125"/>
        <v>0615057091</v>
      </c>
      <c r="B3078" t="str">
        <f t="shared" si="1126"/>
        <v>KIOVANNI</v>
      </c>
      <c r="C3078" t="str">
        <f t="shared" si="1124"/>
        <v>CHERY</v>
      </c>
      <c r="D3078">
        <f>10</f>
        <v>10</v>
      </c>
      <c r="E3078" t="str">
        <f>"07 - B - 108 - Jacquelyn M Neeson"</f>
        <v>07 - B - 108 - Jacquelyn M Neeson</v>
      </c>
      <c r="F3078" t="str">
        <f>"ENG 2"</f>
        <v>ENG 2</v>
      </c>
      <c r="G3078" t="str">
        <f>"17-1715"</f>
        <v>17-1715</v>
      </c>
      <c r="H3078" t="str">
        <f>"B"</f>
        <v>B</v>
      </c>
    </row>
    <row r="3079" spans="1:8" x14ac:dyDescent="0.2">
      <c r="A3079" t="str">
        <f t="shared" si="1125"/>
        <v>0615057091</v>
      </c>
      <c r="B3079" t="str">
        <f t="shared" si="1126"/>
        <v>KIOVANNI</v>
      </c>
      <c r="C3079" t="str">
        <f t="shared" si="1124"/>
        <v>CHERY</v>
      </c>
      <c r="D3079">
        <f>10</f>
        <v>10</v>
      </c>
      <c r="E3079" t="str">
        <f>"05 - B - 106 - Fernando  Vega-Cid"</f>
        <v>05 - B - 106 - Fernando  Vega-Cid</v>
      </c>
      <c r="F3079" t="str">
        <f>"GEOMETRY"</f>
        <v>GEOMETRY</v>
      </c>
      <c r="G3079" t="str">
        <f>"21-2163"</f>
        <v>21-2163</v>
      </c>
      <c r="H3079" t="str">
        <f>"B"</f>
        <v>B</v>
      </c>
    </row>
    <row r="3080" spans="1:8" x14ac:dyDescent="0.2">
      <c r="A3080" t="str">
        <f t="shared" si="1125"/>
        <v>0615057091</v>
      </c>
      <c r="B3080" t="str">
        <f t="shared" si="1126"/>
        <v>KIOVANNI</v>
      </c>
      <c r="C3080" t="str">
        <f t="shared" si="1124"/>
        <v>CHERY</v>
      </c>
      <c r="D3080">
        <f>10</f>
        <v>10</v>
      </c>
      <c r="E3080" t="str">
        <f>"01 - S1 - A - 101 - Carol S Moore"</f>
        <v>01 - S1 - A - 101 - Carol S Moore</v>
      </c>
      <c r="F3080" t="str">
        <f>"PERS FIN &amp; MON MGT H"</f>
        <v>PERS FIN &amp; MON MGT H</v>
      </c>
      <c r="G3080" t="str">
        <f>"17-1733"</f>
        <v>17-1733</v>
      </c>
      <c r="H3080" t="str">
        <f>"A"</f>
        <v>A</v>
      </c>
    </row>
    <row r="3081" spans="1:8" x14ac:dyDescent="0.2">
      <c r="A3081" t="str">
        <f t="shared" si="1125"/>
        <v>0615057091</v>
      </c>
      <c r="B3081" t="str">
        <f t="shared" si="1126"/>
        <v>KIOVANNI</v>
      </c>
      <c r="C3081" t="str">
        <f t="shared" si="1124"/>
        <v>CHERY</v>
      </c>
      <c r="D3081">
        <f>10</f>
        <v>10</v>
      </c>
      <c r="E3081" t="str">
        <f>"08 - B - 001 - Lytrell T Dixon"</f>
        <v>08 - B - 001 - Lytrell T Dixon</v>
      </c>
      <c r="F3081" t="str">
        <f>"BIOLOGY 1"</f>
        <v>BIOLOGY 1</v>
      </c>
      <c r="G3081" t="str">
        <f>"08-808"</f>
        <v>08-808</v>
      </c>
      <c r="H3081" t="str">
        <f>"B"</f>
        <v>B</v>
      </c>
    </row>
    <row r="3082" spans="1:8" x14ac:dyDescent="0.2">
      <c r="A3082" t="str">
        <f t="shared" ref="A3082:A3089" si="1127">"0617016369"</f>
        <v>0617016369</v>
      </c>
      <c r="B3082" t="str">
        <f t="shared" ref="B3082:B3089" si="1128">"KERVIN"</f>
        <v>KERVIN</v>
      </c>
      <c r="C3082" t="str">
        <f t="shared" ref="C3082:C3097" si="1129">"CHEVELON"</f>
        <v>CHEVELON</v>
      </c>
      <c r="D3082" t="str">
        <f t="shared" ref="D3082:D3089" si="1130">"09"</f>
        <v>09</v>
      </c>
      <c r="E3082" t="str">
        <f>"04 - A - 103 - Cerine S Stewart"</f>
        <v>04 - A - 103 - Cerine S Stewart</v>
      </c>
      <c r="F3082" t="str">
        <f>"ENG 1"</f>
        <v>ENG 1</v>
      </c>
      <c r="G3082" t="str">
        <f>"17-1720"</f>
        <v>17-1720</v>
      </c>
      <c r="H3082" t="str">
        <f>"A"</f>
        <v>A</v>
      </c>
    </row>
    <row r="3083" spans="1:8" x14ac:dyDescent="0.2">
      <c r="A3083" t="str">
        <f t="shared" si="1127"/>
        <v>0617016369</v>
      </c>
      <c r="B3083" t="str">
        <f t="shared" si="1128"/>
        <v>KERVIN</v>
      </c>
      <c r="C3083" t="str">
        <f t="shared" si="1129"/>
        <v>CHEVELON</v>
      </c>
      <c r="D3083" t="str">
        <f t="shared" si="1130"/>
        <v>09</v>
      </c>
      <c r="E3083" t="str">
        <f>"06 - B - 106 - Adam Marcus  Drucker"</f>
        <v>06 - B - 106 - Adam Marcus  Drucker</v>
      </c>
      <c r="F3083" t="str">
        <f>"HOPE-PE V"</f>
        <v>HOPE-PE V</v>
      </c>
      <c r="G3083" t="str">
        <f>"04-254"</f>
        <v>04-254</v>
      </c>
      <c r="H3083" t="str">
        <f>"B"</f>
        <v>B</v>
      </c>
    </row>
    <row r="3084" spans="1:8" x14ac:dyDescent="0.2">
      <c r="A3084" t="str">
        <f t="shared" si="1127"/>
        <v>0617016369</v>
      </c>
      <c r="B3084" t="str">
        <f t="shared" si="1128"/>
        <v>KERVIN</v>
      </c>
      <c r="C3084" t="str">
        <f t="shared" si="1129"/>
        <v>CHEVELON</v>
      </c>
      <c r="D3084" t="str">
        <f t="shared" si="1130"/>
        <v>09</v>
      </c>
      <c r="E3084" t="str">
        <f>"03 - A - 101 - Milca  Exantus"</f>
        <v>03 - A - 101 - Milca  Exantus</v>
      </c>
      <c r="F3084" t="str">
        <f>"ALGEBRA 1-A"</f>
        <v>ALGEBRA 1-A</v>
      </c>
      <c r="G3084" t="str">
        <f>"21-2145"</f>
        <v>21-2145</v>
      </c>
      <c r="H3084" t="str">
        <f>"A"</f>
        <v>A</v>
      </c>
    </row>
    <row r="3085" spans="1:8" x14ac:dyDescent="0.2">
      <c r="A3085" t="str">
        <f t="shared" si="1127"/>
        <v>0617016369</v>
      </c>
      <c r="B3085" t="str">
        <f t="shared" si="1128"/>
        <v>KERVIN</v>
      </c>
      <c r="C3085" t="str">
        <f t="shared" si="1129"/>
        <v>CHEVELON</v>
      </c>
      <c r="D3085" t="str">
        <f t="shared" si="1130"/>
        <v>09</v>
      </c>
      <c r="E3085" t="str">
        <f>"02 - A - 107 - Cerine S Stewart"</f>
        <v>02 - A - 107 - Cerine S Stewart</v>
      </c>
      <c r="F3085" t="str">
        <f>"NC STUDY HALL 1"</f>
        <v>NC STUDY HALL 1</v>
      </c>
      <c r="G3085" t="str">
        <f>"17-1720"</f>
        <v>17-1720</v>
      </c>
      <c r="H3085" t="str">
        <f>"A"</f>
        <v>A</v>
      </c>
    </row>
    <row r="3086" spans="1:8" x14ac:dyDescent="0.2">
      <c r="A3086" t="str">
        <f t="shared" si="1127"/>
        <v>0617016369</v>
      </c>
      <c r="B3086" t="str">
        <f t="shared" si="1128"/>
        <v>KERVIN</v>
      </c>
      <c r="C3086" t="str">
        <f t="shared" si="1129"/>
        <v>CHEVELON</v>
      </c>
      <c r="D3086" t="str">
        <f t="shared" si="1130"/>
        <v>09</v>
      </c>
      <c r="E3086" t="str">
        <f>"07 - B - 104 - Lissa C Frederique"</f>
        <v>07 - B - 104 - Lissa C Frederique</v>
      </c>
      <c r="F3086" t="str">
        <f>"WORLD HISTORY"</f>
        <v>WORLD HISTORY</v>
      </c>
      <c r="G3086" t="str">
        <f>"17-1754"</f>
        <v>17-1754</v>
      </c>
      <c r="H3086" t="str">
        <f>"B"</f>
        <v>B</v>
      </c>
    </row>
    <row r="3087" spans="1:8" x14ac:dyDescent="0.2">
      <c r="A3087" t="str">
        <f t="shared" si="1127"/>
        <v>0617016369</v>
      </c>
      <c r="B3087" t="str">
        <f t="shared" si="1128"/>
        <v>KERVIN</v>
      </c>
      <c r="C3087" t="str">
        <f t="shared" si="1129"/>
        <v>CHEVELON</v>
      </c>
      <c r="D3087" t="str">
        <f t="shared" si="1130"/>
        <v>09</v>
      </c>
      <c r="E3087" t="str">
        <f>"05 - B - 103 - Eva T Rimmer"</f>
        <v>05 - B - 103 - Eva T Rimmer</v>
      </c>
      <c r="F3087" t="str">
        <f>"CRIMINAL JUST OPS 1"</f>
        <v>CRIMINAL JUST OPS 1</v>
      </c>
      <c r="G3087" t="str">
        <f>"05-523"</f>
        <v>05-523</v>
      </c>
      <c r="H3087" t="str">
        <f>"B"</f>
        <v>B</v>
      </c>
    </row>
    <row r="3088" spans="1:8" x14ac:dyDescent="0.2">
      <c r="A3088" t="str">
        <f t="shared" si="1127"/>
        <v>0617016369</v>
      </c>
      <c r="B3088" t="str">
        <f t="shared" si="1128"/>
        <v>KERVIN</v>
      </c>
      <c r="C3088" t="str">
        <f t="shared" si="1129"/>
        <v>CHEVELON</v>
      </c>
      <c r="D3088" t="str">
        <f t="shared" si="1130"/>
        <v>09</v>
      </c>
      <c r="E3088" t="str">
        <f>"01 - A - 103 - Amy Beth  Broyles"</f>
        <v>01 - A - 103 - Amy Beth  Broyles</v>
      </c>
      <c r="F3088" t="str">
        <f>"ENV SCI"</f>
        <v>ENV SCI</v>
      </c>
      <c r="G3088" t="str">
        <f>"08-802"</f>
        <v>08-802</v>
      </c>
      <c r="H3088" t="str">
        <f>"A"</f>
        <v>A</v>
      </c>
    </row>
    <row r="3089" spans="1:8" x14ac:dyDescent="0.2">
      <c r="A3089" t="str">
        <f t="shared" si="1127"/>
        <v>0617016369</v>
      </c>
      <c r="B3089" t="str">
        <f t="shared" si="1128"/>
        <v>KERVIN</v>
      </c>
      <c r="C3089" t="str">
        <f t="shared" si="1129"/>
        <v>CHEVELON</v>
      </c>
      <c r="D3089" t="str">
        <f t="shared" si="1130"/>
        <v>09</v>
      </c>
      <c r="E3089" t="str">
        <f>"08 - B - 106 - Laselleda D Shaw"</f>
        <v>08 - B - 106 - Laselleda D Shaw</v>
      </c>
      <c r="F3089" t="str">
        <f>"INTENS READ 1"</f>
        <v>INTENS READ 1</v>
      </c>
      <c r="G3089" t="str">
        <f>"17-1723"</f>
        <v>17-1723</v>
      </c>
      <c r="H3089" t="str">
        <f>"B"</f>
        <v>B</v>
      </c>
    </row>
    <row r="3090" spans="1:8" x14ac:dyDescent="0.2">
      <c r="A3090" t="str">
        <f t="shared" ref="A3090:A3097" si="1131">"0614003146"</f>
        <v>0614003146</v>
      </c>
      <c r="B3090" t="str">
        <f t="shared" ref="B3090:B3097" si="1132">"SHABRIANA"</f>
        <v>SHABRIANA</v>
      </c>
      <c r="C3090" t="str">
        <f t="shared" si="1129"/>
        <v>CHEVELON</v>
      </c>
      <c r="D3090">
        <f>12</f>
        <v>12</v>
      </c>
      <c r="E3090" t="str">
        <f>"04 - A - 104 - Norayda D Suarez"</f>
        <v>04 - A - 104 - Norayda D Suarez</v>
      </c>
      <c r="F3090" t="str">
        <f>"RESEARCH 1 LH"</f>
        <v>RESEARCH 1 LH</v>
      </c>
      <c r="G3090">
        <f>2041</f>
        <v>2041</v>
      </c>
      <c r="H3090" t="str">
        <f>"A"</f>
        <v>A</v>
      </c>
    </row>
    <row r="3091" spans="1:8" x14ac:dyDescent="0.2">
      <c r="A3091" t="str">
        <f t="shared" si="1131"/>
        <v>0614003146</v>
      </c>
      <c r="B3091" t="str">
        <f t="shared" si="1132"/>
        <v>SHABRIANA</v>
      </c>
      <c r="C3091" t="str">
        <f t="shared" si="1129"/>
        <v>CHEVELON</v>
      </c>
      <c r="D3091">
        <f>12</f>
        <v>12</v>
      </c>
      <c r="E3091" t="str">
        <f>"06 - B - 101 - Lenecy  Nodarse"</f>
        <v>06 - B - 101 - Lenecy  Nodarse</v>
      </c>
      <c r="F3091" t="str">
        <f>"NC STUDY HALL 1"</f>
        <v>NC STUDY HALL 1</v>
      </c>
      <c r="G3091" t="str">
        <f>"17-1741"</f>
        <v>17-1741</v>
      </c>
      <c r="H3091" t="str">
        <f>"B"</f>
        <v>B</v>
      </c>
    </row>
    <row r="3092" spans="1:8" x14ac:dyDescent="0.2">
      <c r="A3092" t="str">
        <f t="shared" si="1131"/>
        <v>0614003146</v>
      </c>
      <c r="B3092" t="str">
        <f t="shared" si="1132"/>
        <v>SHABRIANA</v>
      </c>
      <c r="C3092" t="str">
        <f t="shared" si="1129"/>
        <v>CHEVELON</v>
      </c>
      <c r="D3092">
        <f>12</f>
        <v>12</v>
      </c>
      <c r="E3092" t="str">
        <f>"03 - A - 101 - Rosa Elaine  Collado-Duff"</f>
        <v>03 - A - 101 - Rosa Elaine  Collado-Duff</v>
      </c>
      <c r="F3092" t="str">
        <f>"SPANISH 3 HON"</f>
        <v>SPANISH 3 HON</v>
      </c>
      <c r="G3092" t="str">
        <f>"09-913"</f>
        <v>09-913</v>
      </c>
      <c r="H3092" t="str">
        <f>"A"</f>
        <v>A</v>
      </c>
    </row>
    <row r="3093" spans="1:8" x14ac:dyDescent="0.2">
      <c r="A3093" t="str">
        <f t="shared" si="1131"/>
        <v>0614003146</v>
      </c>
      <c r="B3093" t="str">
        <f t="shared" si="1132"/>
        <v>SHABRIANA</v>
      </c>
      <c r="C3093" t="str">
        <f t="shared" si="1129"/>
        <v>CHEVELON</v>
      </c>
      <c r="D3093">
        <f>12</f>
        <v>12</v>
      </c>
      <c r="E3093" t="str">
        <f>"02 - A - 103 - Dorothy D Moore"</f>
        <v>02 - A - 103 - Dorothy D Moore</v>
      </c>
      <c r="F3093" t="str">
        <f>"ANAT PHYSIO HON"</f>
        <v>ANAT PHYSIO HON</v>
      </c>
      <c r="G3093" t="str">
        <f>"08-803"</f>
        <v>08-803</v>
      </c>
      <c r="H3093" t="str">
        <f>"A"</f>
        <v>A</v>
      </c>
    </row>
    <row r="3094" spans="1:8" x14ac:dyDescent="0.2">
      <c r="A3094" t="str">
        <f t="shared" si="1131"/>
        <v>0614003146</v>
      </c>
      <c r="B3094" t="str">
        <f t="shared" si="1132"/>
        <v>SHABRIANA</v>
      </c>
      <c r="C3094" t="str">
        <f t="shared" si="1129"/>
        <v>CHEVELON</v>
      </c>
      <c r="D3094">
        <f>12</f>
        <v>12</v>
      </c>
      <c r="E3094" t="str">
        <f>"07 - S1 - B - 101 - Stephen T Ripp"</f>
        <v>07 - S1 - B - 101 - Stephen T Ripp</v>
      </c>
      <c r="F3094" t="str">
        <f>"AP US GOVT/POL"</f>
        <v>AP US GOVT/POL</v>
      </c>
      <c r="G3094" t="str">
        <f>"17-1744"</f>
        <v>17-1744</v>
      </c>
      <c r="H3094" t="str">
        <f>"B"</f>
        <v>B</v>
      </c>
    </row>
    <row r="3095" spans="1:8" x14ac:dyDescent="0.2">
      <c r="A3095" t="str">
        <f t="shared" si="1131"/>
        <v>0614003146</v>
      </c>
      <c r="B3095" t="str">
        <f t="shared" si="1132"/>
        <v>SHABRIANA</v>
      </c>
      <c r="C3095" t="str">
        <f t="shared" si="1129"/>
        <v>CHEVELON</v>
      </c>
      <c r="D3095">
        <f>12</f>
        <v>12</v>
      </c>
      <c r="E3095" t="str">
        <f>"05 - S1 - B - 103 - Leslie J Barton"</f>
        <v>05 - S1 - B - 103 - Leslie J Barton</v>
      </c>
      <c r="F3095" t="str">
        <f>"FIRST AID SAFETY"</f>
        <v>FIRST AID SAFETY</v>
      </c>
      <c r="G3095" t="str">
        <f>"05-521"</f>
        <v>05-521</v>
      </c>
      <c r="H3095" t="str">
        <f>"B"</f>
        <v>B</v>
      </c>
    </row>
    <row r="3096" spans="1:8" x14ac:dyDescent="0.2">
      <c r="A3096" t="str">
        <f t="shared" si="1131"/>
        <v>0614003146</v>
      </c>
      <c r="B3096" t="str">
        <f t="shared" si="1132"/>
        <v>SHABRIANA</v>
      </c>
      <c r="C3096" t="str">
        <f t="shared" si="1129"/>
        <v>CHEVELON</v>
      </c>
      <c r="D3096">
        <f>12</f>
        <v>12</v>
      </c>
      <c r="E3096" t="str">
        <f>"01 - A - 204 - Tina M Jaramillo"</f>
        <v>01 - A - 204 - Tina M Jaramillo</v>
      </c>
      <c r="F3096" t="str">
        <f>"AP ENG LIT COMPO"</f>
        <v>AP ENG LIT COMPO</v>
      </c>
      <c r="G3096" t="str">
        <f>"17-1706"</f>
        <v>17-1706</v>
      </c>
      <c r="H3096" t="str">
        <f>"A"</f>
        <v>A</v>
      </c>
    </row>
    <row r="3097" spans="1:8" x14ac:dyDescent="0.2">
      <c r="A3097" t="str">
        <f t="shared" si="1131"/>
        <v>0614003146</v>
      </c>
      <c r="B3097" t="str">
        <f t="shared" si="1132"/>
        <v>SHABRIANA</v>
      </c>
      <c r="C3097" t="str">
        <f t="shared" si="1129"/>
        <v>CHEVELON</v>
      </c>
      <c r="D3097">
        <f>12</f>
        <v>12</v>
      </c>
      <c r="E3097" t="str">
        <f>"08 - B - 102 - Pamela M Corzo"</f>
        <v>08 - B - 102 - Pamela M Corzo</v>
      </c>
      <c r="F3097" t="str">
        <f>"AP STAT"</f>
        <v>AP STAT</v>
      </c>
      <c r="G3097" t="str">
        <f>"21-2133"</f>
        <v>21-2133</v>
      </c>
      <c r="H3097" t="str">
        <f>"B"</f>
        <v>B</v>
      </c>
    </row>
    <row r="3098" spans="1:8" x14ac:dyDescent="0.2">
      <c r="A3098" t="str">
        <f t="shared" ref="A3098:A3106" si="1133">"0613074489"</f>
        <v>0613074489</v>
      </c>
      <c r="B3098" t="str">
        <f t="shared" ref="B3098:B3106" si="1134">"DEVYN"</f>
        <v>DEVYN</v>
      </c>
      <c r="C3098" t="str">
        <f t="shared" ref="C3098:C3106" si="1135">"CHILDERS"</f>
        <v>CHILDERS</v>
      </c>
      <c r="D3098">
        <f>12</f>
        <v>12</v>
      </c>
      <c r="E3098" t="str">
        <f>"04 - A - 104 - Dayna M Foster"</f>
        <v>04 - A - 104 - Dayna M Foster</v>
      </c>
      <c r="F3098" t="str">
        <f>"ALGEBRA 2"</f>
        <v>ALGEBRA 2</v>
      </c>
      <c r="G3098" t="str">
        <f>"21-2109"</f>
        <v>21-2109</v>
      </c>
      <c r="H3098" t="str">
        <f>"A"</f>
        <v>A</v>
      </c>
    </row>
    <row r="3099" spans="1:8" x14ac:dyDescent="0.2">
      <c r="A3099" t="str">
        <f t="shared" si="1133"/>
        <v>0613074489</v>
      </c>
      <c r="B3099" t="str">
        <f t="shared" si="1134"/>
        <v>DEVYN</v>
      </c>
      <c r="C3099" t="str">
        <f t="shared" si="1135"/>
        <v>CHILDERS</v>
      </c>
      <c r="D3099">
        <f>12</f>
        <v>12</v>
      </c>
      <c r="E3099" t="str">
        <f>"06 - B - 114 - Lisa J London"</f>
        <v>06 - B - 114 - Lisa J London</v>
      </c>
      <c r="F3099" t="str">
        <f>"NC STUDY HALL 1"</f>
        <v>NC STUDY HALL 1</v>
      </c>
      <c r="G3099" t="str">
        <f>"17-1714"</f>
        <v>17-1714</v>
      </c>
      <c r="H3099" t="str">
        <f>"B"</f>
        <v>B</v>
      </c>
    </row>
    <row r="3100" spans="1:8" x14ac:dyDescent="0.2">
      <c r="A3100" t="str">
        <f t="shared" si="1133"/>
        <v>0613074489</v>
      </c>
      <c r="B3100" t="str">
        <f t="shared" si="1134"/>
        <v>DEVYN</v>
      </c>
      <c r="C3100" t="str">
        <f t="shared" si="1135"/>
        <v>CHILDERS</v>
      </c>
      <c r="D3100">
        <f>12</f>
        <v>12</v>
      </c>
      <c r="E3100" t="str">
        <f>"06 - B - 116 - Karen A Toomer"</f>
        <v>06 - B - 116 - Karen A Toomer</v>
      </c>
      <c r="F3100" t="str">
        <f>"LANG THERAPY"</f>
        <v>LANG THERAPY</v>
      </c>
      <c r="G3100" t="str">
        <f>"21-2110"</f>
        <v>21-2110</v>
      </c>
      <c r="H3100" t="str">
        <f>"B"</f>
        <v>B</v>
      </c>
    </row>
    <row r="3101" spans="1:8" x14ac:dyDescent="0.2">
      <c r="A3101" t="str">
        <f t="shared" si="1133"/>
        <v>0613074489</v>
      </c>
      <c r="B3101" t="str">
        <f t="shared" si="1134"/>
        <v>DEVYN</v>
      </c>
      <c r="C3101" t="str">
        <f t="shared" si="1135"/>
        <v>CHILDERS</v>
      </c>
      <c r="D3101">
        <f>12</f>
        <v>12</v>
      </c>
      <c r="E3101" t="str">
        <f>"03 - S1 - A - 102 - Angela S Adeshina-Morrison"</f>
        <v>03 - S1 - A - 102 - Angela S Adeshina-Morrison</v>
      </c>
      <c r="F3101" t="str">
        <f>"PEER COUN 1"</f>
        <v>PEER COUN 1</v>
      </c>
      <c r="G3101" t="str">
        <f>"05-518"</f>
        <v>05-518</v>
      </c>
      <c r="H3101" t="str">
        <f>"A"</f>
        <v>A</v>
      </c>
    </row>
    <row r="3102" spans="1:8" x14ac:dyDescent="0.2">
      <c r="A3102" t="str">
        <f t="shared" si="1133"/>
        <v>0613074489</v>
      </c>
      <c r="B3102" t="str">
        <f t="shared" si="1134"/>
        <v>DEVYN</v>
      </c>
      <c r="C3102" t="str">
        <f t="shared" si="1135"/>
        <v>CHILDERS</v>
      </c>
      <c r="D3102">
        <f>12</f>
        <v>12</v>
      </c>
      <c r="E3102" t="str">
        <f>"02 - A - 204 - Jacqueline R Morphet"</f>
        <v>02 - A - 204 - Jacqueline R Morphet</v>
      </c>
      <c r="F3102" t="str">
        <f>"PHYSICS 1 HON"</f>
        <v>PHYSICS 1 HON</v>
      </c>
      <c r="G3102" t="str">
        <f>"21-2138"</f>
        <v>21-2138</v>
      </c>
      <c r="H3102" t="str">
        <f>"A"</f>
        <v>A</v>
      </c>
    </row>
    <row r="3103" spans="1:8" x14ac:dyDescent="0.2">
      <c r="A3103" t="str">
        <f t="shared" si="1133"/>
        <v>0613074489</v>
      </c>
      <c r="B3103" t="str">
        <f t="shared" si="1134"/>
        <v>DEVYN</v>
      </c>
      <c r="C3103" t="str">
        <f t="shared" si="1135"/>
        <v>CHILDERS</v>
      </c>
      <c r="D3103">
        <f>12</f>
        <v>12</v>
      </c>
      <c r="E3103" t="str">
        <f>"07 - B - 101 - Bruce A Evans"</f>
        <v>07 - B - 101 - Bruce A Evans</v>
      </c>
      <c r="F3103" t="str">
        <f>"FIREFIGHTING 1 LH"</f>
        <v>FIREFIGHTING 1 LH</v>
      </c>
      <c r="G3103" t="str">
        <f>"21-2142"</f>
        <v>21-2142</v>
      </c>
      <c r="H3103" t="str">
        <f>"B"</f>
        <v>B</v>
      </c>
    </row>
    <row r="3104" spans="1:8" x14ac:dyDescent="0.2">
      <c r="A3104" t="str">
        <f t="shared" si="1133"/>
        <v>0613074489</v>
      </c>
      <c r="B3104" t="str">
        <f t="shared" si="1134"/>
        <v>DEVYN</v>
      </c>
      <c r="C3104" t="str">
        <f t="shared" si="1135"/>
        <v>CHILDERS</v>
      </c>
      <c r="D3104">
        <f>12</f>
        <v>12</v>
      </c>
      <c r="E3104" t="str">
        <f>"05 - B - 104 - Jeffrey S Gallagher"</f>
        <v>05 - B - 104 - Jeffrey S Gallagher</v>
      </c>
      <c r="F3104" t="str">
        <f>"ENG HON 4"</f>
        <v>ENG HON 4</v>
      </c>
      <c r="G3104" t="str">
        <f>"17-1724"</f>
        <v>17-1724</v>
      </c>
      <c r="H3104" t="str">
        <f>"B"</f>
        <v>B</v>
      </c>
    </row>
    <row r="3105" spans="1:8" x14ac:dyDescent="0.2">
      <c r="A3105" t="str">
        <f t="shared" si="1133"/>
        <v>0613074489</v>
      </c>
      <c r="B3105" t="str">
        <f t="shared" si="1134"/>
        <v>DEVYN</v>
      </c>
      <c r="C3105" t="str">
        <f t="shared" si="1135"/>
        <v>CHILDERS</v>
      </c>
      <c r="D3105">
        <f>12</f>
        <v>12</v>
      </c>
      <c r="E3105" t="str">
        <f>"01 - S1 - A - 101 - Bruce A Evans"</f>
        <v>01 - S1 - A - 101 - Bruce A Evans</v>
      </c>
      <c r="F3105" t="str">
        <f>"ELECTROCARD TECH 3HN"</f>
        <v>ELECTROCARD TECH 3HN</v>
      </c>
      <c r="G3105" t="str">
        <f>"21-2142"</f>
        <v>21-2142</v>
      </c>
      <c r="H3105" t="str">
        <f>"A"</f>
        <v>A</v>
      </c>
    </row>
    <row r="3106" spans="1:8" x14ac:dyDescent="0.2">
      <c r="A3106" t="str">
        <f t="shared" si="1133"/>
        <v>0613074489</v>
      </c>
      <c r="B3106" t="str">
        <f t="shared" si="1134"/>
        <v>DEVYN</v>
      </c>
      <c r="C3106" t="str">
        <f t="shared" si="1135"/>
        <v>CHILDERS</v>
      </c>
      <c r="D3106">
        <f>12</f>
        <v>12</v>
      </c>
      <c r="E3106" t="str">
        <f>"08 - S1 - B - 105 - Kelly N Panza"</f>
        <v>08 - S1 - B - 105 - Kelly N Panza</v>
      </c>
      <c r="F3106" t="str">
        <f>"US GOVT HON"</f>
        <v>US GOVT HON</v>
      </c>
      <c r="G3106" t="str">
        <f>"17-1753"</f>
        <v>17-1753</v>
      </c>
      <c r="H3106" t="str">
        <f>"B"</f>
        <v>B</v>
      </c>
    </row>
    <row r="3107" spans="1:8" x14ac:dyDescent="0.2">
      <c r="A3107" t="str">
        <f t="shared" ref="A3107:A3114" si="1136">"0614134417"</f>
        <v>0614134417</v>
      </c>
      <c r="B3107" t="str">
        <f t="shared" ref="B3107:B3114" si="1137">"DYLAN"</f>
        <v>DYLAN</v>
      </c>
      <c r="C3107" t="str">
        <f t="shared" ref="C3107:C3114" si="1138">"CHINCHILLA"</f>
        <v>CHINCHILLA</v>
      </c>
      <c r="D3107" t="str">
        <f t="shared" ref="D3107:D3114" si="1139">"09"</f>
        <v>09</v>
      </c>
      <c r="E3107" t="str">
        <f>"04 - A - 104 - Brook E Goren"</f>
        <v>04 - A - 104 - Brook E Goren</v>
      </c>
      <c r="F3107" t="str">
        <f>"ALGEBRA 2 HON"</f>
        <v>ALGEBRA 2 HON</v>
      </c>
      <c r="G3107" t="str">
        <f>"21-2158"</f>
        <v>21-2158</v>
      </c>
      <c r="H3107" t="str">
        <f>"A"</f>
        <v>A</v>
      </c>
    </row>
    <row r="3108" spans="1:8" x14ac:dyDescent="0.2">
      <c r="A3108" t="str">
        <f t="shared" si="1136"/>
        <v>0614134417</v>
      </c>
      <c r="B3108" t="str">
        <f t="shared" si="1137"/>
        <v>DYLAN</v>
      </c>
      <c r="C3108" t="str">
        <f t="shared" si="1138"/>
        <v>CHINCHILLA</v>
      </c>
      <c r="D3108" t="str">
        <f t="shared" si="1139"/>
        <v>09</v>
      </c>
      <c r="E3108" t="str">
        <f>"06 - B - 202 - Alejandro  Navarro"</f>
        <v>06 - B - 202 - Alejandro  Navarro</v>
      </c>
      <c r="F3108" t="str">
        <f>"BAND 1"</f>
        <v>BAND 1</v>
      </c>
      <c r="G3108" t="str">
        <f>"05-504"</f>
        <v>05-504</v>
      </c>
      <c r="H3108" t="str">
        <f>"B"</f>
        <v>B</v>
      </c>
    </row>
    <row r="3109" spans="1:8" x14ac:dyDescent="0.2">
      <c r="A3109" t="str">
        <f t="shared" si="1136"/>
        <v>0614134417</v>
      </c>
      <c r="B3109" t="str">
        <f t="shared" si="1137"/>
        <v>DYLAN</v>
      </c>
      <c r="C3109" t="str">
        <f t="shared" si="1138"/>
        <v>CHINCHILLA</v>
      </c>
      <c r="D3109" t="str">
        <f t="shared" si="1139"/>
        <v>09</v>
      </c>
      <c r="E3109" t="str">
        <f>"03 - S1 - A - 101 - Daniel S Katz"</f>
        <v>03 - S1 - A - 101 - Daniel S Katz</v>
      </c>
      <c r="F3109" t="str">
        <f>"COURT PROCED"</f>
        <v>COURT PROCED</v>
      </c>
      <c r="G3109" t="str">
        <f>"21-2156"</f>
        <v>21-2156</v>
      </c>
      <c r="H3109" t="str">
        <f>"A"</f>
        <v>A</v>
      </c>
    </row>
    <row r="3110" spans="1:8" x14ac:dyDescent="0.2">
      <c r="A3110" t="str">
        <f t="shared" si="1136"/>
        <v>0614134417</v>
      </c>
      <c r="B3110" t="str">
        <f t="shared" si="1137"/>
        <v>DYLAN</v>
      </c>
      <c r="C3110" t="str">
        <f t="shared" si="1138"/>
        <v>CHINCHILLA</v>
      </c>
      <c r="D3110" t="str">
        <f t="shared" si="1139"/>
        <v>09</v>
      </c>
      <c r="E3110" t="str">
        <f>"02 - A - 112 - Cheryl Anne  Berman-Schechter"</f>
        <v>02 - A - 112 - Cheryl Anne  Berman-Schechter</v>
      </c>
      <c r="F3110" t="str">
        <f>"NC STUDY HALL 1"</f>
        <v>NC STUDY HALL 1</v>
      </c>
      <c r="G3110" t="str">
        <f>"17-1722"</f>
        <v>17-1722</v>
      </c>
      <c r="H3110" t="str">
        <f>"A"</f>
        <v>A</v>
      </c>
    </row>
    <row r="3111" spans="1:8" x14ac:dyDescent="0.2">
      <c r="A3111" t="str">
        <f t="shared" si="1136"/>
        <v>0614134417</v>
      </c>
      <c r="B3111" t="str">
        <f t="shared" si="1137"/>
        <v>DYLAN</v>
      </c>
      <c r="C3111" t="str">
        <f t="shared" si="1138"/>
        <v>CHINCHILLA</v>
      </c>
      <c r="D3111" t="str">
        <f t="shared" si="1139"/>
        <v>09</v>
      </c>
      <c r="E3111" t="str">
        <f>"07 - B - 207 - Krystal Marie  Beruty"</f>
        <v>07 - B - 207 - Krystal Marie  Beruty</v>
      </c>
      <c r="F3111" t="str">
        <f>"AICE GLBL PERSP 1 AS"</f>
        <v>AICE GLBL PERSP 1 AS</v>
      </c>
      <c r="G3111" t="str">
        <f>"17-1721"</f>
        <v>17-1721</v>
      </c>
      <c r="H3111" t="str">
        <f>"B"</f>
        <v>B</v>
      </c>
    </row>
    <row r="3112" spans="1:8" x14ac:dyDescent="0.2">
      <c r="A3112" t="str">
        <f t="shared" si="1136"/>
        <v>0614134417</v>
      </c>
      <c r="B3112" t="str">
        <f t="shared" si="1137"/>
        <v>DYLAN</v>
      </c>
      <c r="C3112" t="str">
        <f t="shared" si="1138"/>
        <v>CHINCHILLA</v>
      </c>
      <c r="D3112" t="str">
        <f t="shared" si="1139"/>
        <v>09</v>
      </c>
      <c r="E3112" t="str">
        <f>"05 - B - 103 - Byron G Montenegro"</f>
        <v>05 - B - 103 - Byron G Montenegro</v>
      </c>
      <c r="F3112" t="str">
        <f>"AICE MARINE SCI 1 AS"</f>
        <v>AICE MARINE SCI 1 AS</v>
      </c>
      <c r="G3112" t="str">
        <f>"21-2144"</f>
        <v>21-2144</v>
      </c>
      <c r="H3112" t="str">
        <f>"B"</f>
        <v>B</v>
      </c>
    </row>
    <row r="3113" spans="1:8" x14ac:dyDescent="0.2">
      <c r="A3113" t="str">
        <f t="shared" si="1136"/>
        <v>0614134417</v>
      </c>
      <c r="B3113" t="str">
        <f t="shared" si="1137"/>
        <v>DYLAN</v>
      </c>
      <c r="C3113" t="str">
        <f t="shared" si="1138"/>
        <v>CHINCHILLA</v>
      </c>
      <c r="D3113" t="str">
        <f t="shared" si="1139"/>
        <v>09</v>
      </c>
      <c r="E3113" t="str">
        <f>"01 - A - 101 - Vanessa J Liburd"</f>
        <v>01 - A - 101 - Vanessa J Liburd</v>
      </c>
      <c r="F3113" t="str">
        <f>"PRE-AICE FRENCH 1 IG"</f>
        <v>PRE-AICE FRENCH 1 IG</v>
      </c>
      <c r="G3113" t="str">
        <f>"05-519"</f>
        <v>05-519</v>
      </c>
      <c r="H3113" t="str">
        <f>"A"</f>
        <v>A</v>
      </c>
    </row>
    <row r="3114" spans="1:8" x14ac:dyDescent="0.2">
      <c r="A3114" t="str">
        <f t="shared" si="1136"/>
        <v>0614134417</v>
      </c>
      <c r="B3114" t="str">
        <f t="shared" si="1137"/>
        <v>DYLAN</v>
      </c>
      <c r="C3114" t="str">
        <f t="shared" si="1138"/>
        <v>CHINCHILLA</v>
      </c>
      <c r="D3114" t="str">
        <f t="shared" si="1139"/>
        <v>09</v>
      </c>
      <c r="E3114" t="str">
        <f>"08 - B - 201 - Elizabeth R Walker"</f>
        <v>08 - B - 201 - Elizabeth R Walker</v>
      </c>
      <c r="F3114" t="str">
        <f>"AICE ENG GEN PAPER 1"</f>
        <v>AICE ENG GEN PAPER 1</v>
      </c>
      <c r="G3114" t="str">
        <f>"17-1703"</f>
        <v>17-1703</v>
      </c>
      <c r="H3114" t="str">
        <f>"B"</f>
        <v>B</v>
      </c>
    </row>
    <row r="3115" spans="1:8" x14ac:dyDescent="0.2">
      <c r="A3115" t="str">
        <f t="shared" ref="A3115:A3122" si="1140">"0617105062"</f>
        <v>0617105062</v>
      </c>
      <c r="B3115" t="str">
        <f t="shared" ref="B3115:B3122" si="1141">"GABRIELA"</f>
        <v>GABRIELA</v>
      </c>
      <c r="C3115" t="str">
        <f t="shared" ref="C3115:C3122" si="1142">"CHINDA"</f>
        <v>CHINDA</v>
      </c>
      <c r="D3115">
        <f>10</f>
        <v>10</v>
      </c>
      <c r="E3115" t="str">
        <f>"04 - A - 102 - Daniel S Katz"</f>
        <v>04 - A - 102 - Daniel S Katz</v>
      </c>
      <c r="F3115" t="str">
        <f>"AICE DRAMA 1 AS LEV"</f>
        <v>AICE DRAMA 1 AS LEV</v>
      </c>
      <c r="G3115" t="str">
        <f>"05-521"</f>
        <v>05-521</v>
      </c>
      <c r="H3115" t="str">
        <f>"A"</f>
        <v>A</v>
      </c>
    </row>
    <row r="3116" spans="1:8" x14ac:dyDescent="0.2">
      <c r="A3116" t="str">
        <f t="shared" si="1140"/>
        <v>0617105062</v>
      </c>
      <c r="B3116" t="str">
        <f t="shared" si="1141"/>
        <v>GABRIELA</v>
      </c>
      <c r="C3116" t="str">
        <f t="shared" si="1142"/>
        <v>CHINDA</v>
      </c>
      <c r="D3116">
        <f>10</f>
        <v>10</v>
      </c>
      <c r="E3116" t="str">
        <f>"06 - B - 110 - Jerry S Jiampetti"</f>
        <v>06 - B - 110 - Jerry S Jiampetti</v>
      </c>
      <c r="F3116" t="str">
        <f>"NC STUDY HALL 1"</f>
        <v>NC STUDY HALL 1</v>
      </c>
      <c r="G3116" t="str">
        <f>"17-1751"</f>
        <v>17-1751</v>
      </c>
      <c r="H3116" t="str">
        <f>"B"</f>
        <v>B</v>
      </c>
    </row>
    <row r="3117" spans="1:8" x14ac:dyDescent="0.2">
      <c r="A3117" t="str">
        <f t="shared" si="1140"/>
        <v>0617105062</v>
      </c>
      <c r="B3117" t="str">
        <f t="shared" si="1141"/>
        <v>GABRIELA</v>
      </c>
      <c r="C3117" t="str">
        <f t="shared" si="1142"/>
        <v>CHINDA</v>
      </c>
      <c r="D3117">
        <f>10</f>
        <v>10</v>
      </c>
      <c r="E3117" t="str">
        <f>"03 - A - 202 - Cheryl L Beach"</f>
        <v>03 - A - 202 - Cheryl L Beach</v>
      </c>
      <c r="F3117" t="str">
        <f>"AICE ENV MGMNT AS"</f>
        <v>AICE ENV MGMNT AS</v>
      </c>
      <c r="G3117" t="str">
        <f>"08-811"</f>
        <v>08-811</v>
      </c>
      <c r="H3117" t="str">
        <f>"A"</f>
        <v>A</v>
      </c>
    </row>
    <row r="3118" spans="1:8" x14ac:dyDescent="0.2">
      <c r="A3118" t="str">
        <f t="shared" si="1140"/>
        <v>0617105062</v>
      </c>
      <c r="B3118" t="str">
        <f t="shared" si="1141"/>
        <v>GABRIELA</v>
      </c>
      <c r="C3118" t="str">
        <f t="shared" si="1142"/>
        <v>CHINDA</v>
      </c>
      <c r="D3118">
        <f>10</f>
        <v>10</v>
      </c>
      <c r="E3118" t="str">
        <f>"02 - A - 102 - Marius D Orsolini"</f>
        <v>02 - A - 102 - Marius D Orsolini</v>
      </c>
      <c r="F3118" t="str">
        <f>"CULINARY ARTS 1"</f>
        <v>CULINARY ARTS 1</v>
      </c>
      <c r="G3118" t="str">
        <f>"21-2115"</f>
        <v>21-2115</v>
      </c>
      <c r="H3118" t="str">
        <f>"A"</f>
        <v>A</v>
      </c>
    </row>
    <row r="3119" spans="1:8" x14ac:dyDescent="0.2">
      <c r="A3119" t="str">
        <f t="shared" si="1140"/>
        <v>0617105062</v>
      </c>
      <c r="B3119" t="str">
        <f t="shared" si="1141"/>
        <v>GABRIELA</v>
      </c>
      <c r="C3119" t="str">
        <f t="shared" si="1142"/>
        <v>CHINDA</v>
      </c>
      <c r="D3119">
        <f>10</f>
        <v>10</v>
      </c>
      <c r="E3119" t="str">
        <f>"07 - B - 107 - Brook E Goren"</f>
        <v>07 - B - 107 - Brook E Goren</v>
      </c>
      <c r="F3119" t="str">
        <f>"PRE-AICE MATH 2 IG"</f>
        <v>PRE-AICE MATH 2 IG</v>
      </c>
      <c r="G3119" t="str">
        <f>"21-2158"</f>
        <v>21-2158</v>
      </c>
      <c r="H3119" t="str">
        <f>"B"</f>
        <v>B</v>
      </c>
    </row>
    <row r="3120" spans="1:8" x14ac:dyDescent="0.2">
      <c r="A3120" t="str">
        <f t="shared" si="1140"/>
        <v>0617105062</v>
      </c>
      <c r="B3120" t="str">
        <f t="shared" si="1141"/>
        <v>GABRIELA</v>
      </c>
      <c r="C3120" t="str">
        <f t="shared" si="1142"/>
        <v>CHINDA</v>
      </c>
      <c r="D3120">
        <f>10</f>
        <v>10</v>
      </c>
      <c r="E3120" t="str">
        <f>"05 - S1 - B - 102 - Carol S Moore"</f>
        <v>05 - S1 - B - 102 - Carol S Moore</v>
      </c>
      <c r="F3120" t="str">
        <f>"PERS FIN &amp; MON MGT H"</f>
        <v>PERS FIN &amp; MON MGT H</v>
      </c>
      <c r="G3120" t="str">
        <f>"17-1733"</f>
        <v>17-1733</v>
      </c>
      <c r="H3120" t="str">
        <f>"B"</f>
        <v>B</v>
      </c>
    </row>
    <row r="3121" spans="1:8" x14ac:dyDescent="0.2">
      <c r="A3121" t="str">
        <f t="shared" si="1140"/>
        <v>0617105062</v>
      </c>
      <c r="B3121" t="str">
        <f t="shared" si="1141"/>
        <v>GABRIELA</v>
      </c>
      <c r="C3121" t="str">
        <f t="shared" si="1142"/>
        <v>CHINDA</v>
      </c>
      <c r="D3121">
        <f>10</f>
        <v>10</v>
      </c>
      <c r="E3121" t="str">
        <f>"01 - A - 101 - Courtney E Hambright"</f>
        <v>01 - A - 101 - Courtney E Hambright</v>
      </c>
      <c r="F3121" t="str">
        <f>"AICE ENG LANG AS"</f>
        <v>AICE ENG LANG AS</v>
      </c>
      <c r="G3121" t="str">
        <f>"17-1711"</f>
        <v>17-1711</v>
      </c>
      <c r="H3121" t="str">
        <f>"A"</f>
        <v>A</v>
      </c>
    </row>
    <row r="3122" spans="1:8" x14ac:dyDescent="0.2">
      <c r="A3122" t="str">
        <f t="shared" si="1140"/>
        <v>0617105062</v>
      </c>
      <c r="B3122" t="str">
        <f t="shared" si="1141"/>
        <v>GABRIELA</v>
      </c>
      <c r="C3122" t="str">
        <f t="shared" si="1142"/>
        <v>CHINDA</v>
      </c>
      <c r="D3122">
        <f>10</f>
        <v>10</v>
      </c>
      <c r="E3122" t="str">
        <f>"08 - B - 109 - Emmily A Sarmiento"</f>
        <v>08 - B - 109 - Emmily A Sarmiento</v>
      </c>
      <c r="F3122" t="str">
        <f>"AICE GLBL PERSP 1 AS"</f>
        <v>AICE GLBL PERSP 1 AS</v>
      </c>
      <c r="G3122" t="str">
        <f>"17-1743"</f>
        <v>17-1743</v>
      </c>
      <c r="H3122" t="str">
        <f>"B"</f>
        <v>B</v>
      </c>
    </row>
    <row r="3123" spans="1:8" x14ac:dyDescent="0.2">
      <c r="A3123" t="str">
        <f t="shared" ref="A3123:A3130" si="1143">"0617071146"</f>
        <v>0617071146</v>
      </c>
      <c r="B3123" t="str">
        <f t="shared" ref="B3123:B3130" si="1144">"BRIANNA"</f>
        <v>BRIANNA</v>
      </c>
      <c r="C3123" t="str">
        <f t="shared" ref="C3123:C3130" si="1145">"CHOTOO"</f>
        <v>CHOTOO</v>
      </c>
      <c r="D3123" t="str">
        <f t="shared" ref="D3123:D3130" si="1146">"09"</f>
        <v>09</v>
      </c>
      <c r="E3123" t="str">
        <f>"04 - A - 102 - Josiah I Lacy"</f>
        <v>04 - A - 102 - Josiah I Lacy</v>
      </c>
      <c r="F3123" t="str">
        <f>"PRE-AICE BIO IG"</f>
        <v>PRE-AICE BIO IG</v>
      </c>
      <c r="G3123" t="str">
        <f>"08-801"</f>
        <v>08-801</v>
      </c>
      <c r="H3123" t="str">
        <f>"A"</f>
        <v>A</v>
      </c>
    </row>
    <row r="3124" spans="1:8" x14ac:dyDescent="0.2">
      <c r="A3124" t="str">
        <f t="shared" si="1143"/>
        <v>0617071146</v>
      </c>
      <c r="B3124" t="str">
        <f t="shared" si="1144"/>
        <v>BRIANNA</v>
      </c>
      <c r="C3124" t="str">
        <f t="shared" si="1145"/>
        <v>CHOTOO</v>
      </c>
      <c r="D3124" t="str">
        <f t="shared" si="1146"/>
        <v>09</v>
      </c>
      <c r="E3124" t="str">
        <f>"06 - B - 202 - Brian M Fitzgerald"</f>
        <v>06 - B - 202 - Brian M Fitzgerald</v>
      </c>
      <c r="F3124" t="str">
        <f>"DRAW 1"</f>
        <v>DRAW 1</v>
      </c>
      <c r="G3124" t="str">
        <f>"09-908"</f>
        <v>09-908</v>
      </c>
      <c r="H3124" t="str">
        <f>"B"</f>
        <v>B</v>
      </c>
    </row>
    <row r="3125" spans="1:8" x14ac:dyDescent="0.2">
      <c r="A3125" t="str">
        <f t="shared" si="1143"/>
        <v>0617071146</v>
      </c>
      <c r="B3125" t="str">
        <f t="shared" si="1144"/>
        <v>BRIANNA</v>
      </c>
      <c r="C3125" t="str">
        <f t="shared" si="1145"/>
        <v>CHOTOO</v>
      </c>
      <c r="D3125" t="str">
        <f t="shared" si="1146"/>
        <v>09</v>
      </c>
      <c r="E3125" t="str">
        <f>"03 - A - 203 - Elizabeth R Walker"</f>
        <v>03 - A - 203 - Elizabeth R Walker</v>
      </c>
      <c r="F3125" t="str">
        <f>"AICE ENG GEN PAPER 1"</f>
        <v>AICE ENG GEN PAPER 1</v>
      </c>
      <c r="G3125" t="str">
        <f>"17-1703"</f>
        <v>17-1703</v>
      </c>
      <c r="H3125" t="str">
        <f>"A"</f>
        <v>A</v>
      </c>
    </row>
    <row r="3126" spans="1:8" x14ac:dyDescent="0.2">
      <c r="A3126" t="str">
        <f t="shared" si="1143"/>
        <v>0617071146</v>
      </c>
      <c r="B3126" t="str">
        <f t="shared" si="1144"/>
        <v>BRIANNA</v>
      </c>
      <c r="C3126" t="str">
        <f t="shared" si="1145"/>
        <v>CHOTOO</v>
      </c>
      <c r="D3126" t="str">
        <f t="shared" si="1146"/>
        <v>09</v>
      </c>
      <c r="E3126" t="str">
        <f>"02 - A - 104 - Lytrell T Dixon"</f>
        <v>02 - A - 104 - Lytrell T Dixon</v>
      </c>
      <c r="F3126" t="str">
        <f>"NC STUDY HALL 1"</f>
        <v>NC STUDY HALL 1</v>
      </c>
      <c r="G3126" t="str">
        <f>"08-808"</f>
        <v>08-808</v>
      </c>
      <c r="H3126" t="str">
        <f>"A"</f>
        <v>A</v>
      </c>
    </row>
    <row r="3127" spans="1:8" x14ac:dyDescent="0.2">
      <c r="A3127" t="str">
        <f t="shared" si="1143"/>
        <v>0617071146</v>
      </c>
      <c r="B3127" t="str">
        <f t="shared" si="1144"/>
        <v>BRIANNA</v>
      </c>
      <c r="C3127" t="str">
        <f t="shared" si="1145"/>
        <v>CHOTOO</v>
      </c>
      <c r="D3127" t="str">
        <f t="shared" si="1146"/>
        <v>09</v>
      </c>
      <c r="E3127" t="str">
        <f>"07 - B - 002 - Rachel M Montrose"</f>
        <v>07 - B - 002 - Rachel M Montrose</v>
      </c>
      <c r="F3127" t="str">
        <f>"JOURN 1 (NP) LH"</f>
        <v>JOURN 1 (NP) LH</v>
      </c>
      <c r="G3127" t="str">
        <f>"05-521"</f>
        <v>05-521</v>
      </c>
      <c r="H3127" t="str">
        <f>"B"</f>
        <v>B</v>
      </c>
    </row>
    <row r="3128" spans="1:8" x14ac:dyDescent="0.2">
      <c r="A3128" t="str">
        <f t="shared" si="1143"/>
        <v>0617071146</v>
      </c>
      <c r="B3128" t="str">
        <f t="shared" si="1144"/>
        <v>BRIANNA</v>
      </c>
      <c r="C3128" t="str">
        <f t="shared" si="1145"/>
        <v>CHOTOO</v>
      </c>
      <c r="D3128" t="str">
        <f t="shared" si="1146"/>
        <v>09</v>
      </c>
      <c r="E3128" t="str">
        <f>"05 - B - 201 - Lisa J London"</f>
        <v>05 - B - 201 - Lisa J London</v>
      </c>
      <c r="F3128" t="str">
        <f>"COMPRE LAW HON"</f>
        <v>COMPRE LAW HON</v>
      </c>
      <c r="G3128" t="str">
        <f>"17-1714"</f>
        <v>17-1714</v>
      </c>
      <c r="H3128" t="str">
        <f>"B"</f>
        <v>B</v>
      </c>
    </row>
    <row r="3129" spans="1:8" x14ac:dyDescent="0.2">
      <c r="A3129" t="str">
        <f t="shared" si="1143"/>
        <v>0617071146</v>
      </c>
      <c r="B3129" t="str">
        <f t="shared" si="1144"/>
        <v>BRIANNA</v>
      </c>
      <c r="C3129" t="str">
        <f t="shared" si="1145"/>
        <v>CHOTOO</v>
      </c>
      <c r="D3129" t="str">
        <f t="shared" si="1146"/>
        <v>09</v>
      </c>
      <c r="E3129" t="str">
        <f>"01 - A - 101 - Rory T Sponsler"</f>
        <v>01 - A - 101 - Rory T Sponsler</v>
      </c>
      <c r="F3129" t="str">
        <f>"PRE-AICE WRLD HST IG"</f>
        <v>PRE-AICE WRLD HST IG</v>
      </c>
      <c r="G3129" t="str">
        <f>"17-1740"</f>
        <v>17-1740</v>
      </c>
      <c r="H3129" t="str">
        <f>"A"</f>
        <v>A</v>
      </c>
    </row>
    <row r="3130" spans="1:8" x14ac:dyDescent="0.2">
      <c r="A3130" t="str">
        <f t="shared" si="1143"/>
        <v>0617071146</v>
      </c>
      <c r="B3130" t="str">
        <f t="shared" si="1144"/>
        <v>BRIANNA</v>
      </c>
      <c r="C3130" t="str">
        <f t="shared" si="1145"/>
        <v>CHOTOO</v>
      </c>
      <c r="D3130" t="str">
        <f t="shared" si="1146"/>
        <v>09</v>
      </c>
      <c r="E3130" t="str">
        <f>"08 - B - 105 - Ferrie J Arostique"</f>
        <v>08 - B - 105 - Ferrie J Arostique</v>
      </c>
      <c r="F3130" t="str">
        <f>"PRE-AICE MATH 2 IG"</f>
        <v>PRE-AICE MATH 2 IG</v>
      </c>
      <c r="G3130" t="str">
        <f>"21-2139"</f>
        <v>21-2139</v>
      </c>
      <c r="H3130" t="str">
        <f>"B"</f>
        <v>B</v>
      </c>
    </row>
    <row r="3131" spans="1:8" x14ac:dyDescent="0.2">
      <c r="A3131" t="str">
        <f t="shared" ref="A3131:A3138" si="1147">"0624075333"</f>
        <v>0624075333</v>
      </c>
      <c r="B3131" t="str">
        <f t="shared" ref="B3131:B3138" si="1148">"FADLEY"</f>
        <v>FADLEY</v>
      </c>
      <c r="C3131" t="str">
        <f t="shared" ref="C3131:C3138" si="1149">"CHOUTE"</f>
        <v>CHOUTE</v>
      </c>
      <c r="D3131">
        <f>11</f>
        <v>11</v>
      </c>
      <c r="E3131" t="str">
        <f>"04 - A - 103 - Lisa  Quinn"</f>
        <v>04 - A - 103 - Lisa  Quinn</v>
      </c>
      <c r="F3131" t="str">
        <f>"ENG 3"</f>
        <v>ENG 3</v>
      </c>
      <c r="G3131" t="str">
        <f>"17-1725"</f>
        <v>17-1725</v>
      </c>
      <c r="H3131" t="str">
        <f>"A"</f>
        <v>A</v>
      </c>
    </row>
    <row r="3132" spans="1:8" x14ac:dyDescent="0.2">
      <c r="A3132" t="str">
        <f t="shared" si="1147"/>
        <v>0624075333</v>
      </c>
      <c r="B3132" t="str">
        <f t="shared" si="1148"/>
        <v>FADLEY</v>
      </c>
      <c r="C3132" t="str">
        <f t="shared" si="1149"/>
        <v>CHOUTE</v>
      </c>
      <c r="D3132">
        <f>11</f>
        <v>11</v>
      </c>
      <c r="E3132" t="str">
        <f>"06 - B - 106 - Adam Marcus  Drucker"</f>
        <v>06 - B - 106 - Adam Marcus  Drucker</v>
      </c>
      <c r="F3132" t="str">
        <f>"HOPE-PE V"</f>
        <v>HOPE-PE V</v>
      </c>
      <c r="G3132" t="str">
        <f>"04-254"</f>
        <v>04-254</v>
      </c>
      <c r="H3132" t="str">
        <f>"B"</f>
        <v>B</v>
      </c>
    </row>
    <row r="3133" spans="1:8" x14ac:dyDescent="0.2">
      <c r="A3133" t="str">
        <f t="shared" si="1147"/>
        <v>0624075333</v>
      </c>
      <c r="B3133" t="str">
        <f t="shared" si="1148"/>
        <v>FADLEY</v>
      </c>
      <c r="C3133" t="str">
        <f t="shared" si="1149"/>
        <v>CHOUTE</v>
      </c>
      <c r="D3133">
        <f>11</f>
        <v>11</v>
      </c>
      <c r="E3133" t="str">
        <f>"03 - A - 103 - Jordana K Hass"</f>
        <v>03 - A - 103 - Jordana K Hass</v>
      </c>
      <c r="F3133" t="str">
        <f>"CHEMISTRY 1"</f>
        <v>CHEMISTRY 1</v>
      </c>
      <c r="G3133" t="str">
        <f>"08-807"</f>
        <v>08-807</v>
      </c>
      <c r="H3133" t="str">
        <f>"A"</f>
        <v>A</v>
      </c>
    </row>
    <row r="3134" spans="1:8" x14ac:dyDescent="0.2">
      <c r="A3134" t="str">
        <f t="shared" si="1147"/>
        <v>0624075333</v>
      </c>
      <c r="B3134" t="str">
        <f t="shared" si="1148"/>
        <v>FADLEY</v>
      </c>
      <c r="C3134" t="str">
        <f t="shared" si="1149"/>
        <v>CHOUTE</v>
      </c>
      <c r="D3134">
        <f>11</f>
        <v>11</v>
      </c>
      <c r="E3134" t="str">
        <f>"02 - A - 107 - Elizabeth Ellen  Moran"</f>
        <v>02 - A - 107 - Elizabeth Ellen  Moran</v>
      </c>
      <c r="F3134" t="str">
        <f>"NC STUDY HALL 1"</f>
        <v>NC STUDY HALL 1</v>
      </c>
      <c r="G3134" t="str">
        <f>"17-1752"</f>
        <v>17-1752</v>
      </c>
      <c r="H3134" t="str">
        <f>"A"</f>
        <v>A</v>
      </c>
    </row>
    <row r="3135" spans="1:8" x14ac:dyDescent="0.2">
      <c r="A3135" t="str">
        <f t="shared" si="1147"/>
        <v>0624075333</v>
      </c>
      <c r="B3135" t="str">
        <f t="shared" si="1148"/>
        <v>FADLEY</v>
      </c>
      <c r="C3135" t="str">
        <f t="shared" si="1149"/>
        <v>CHOUTE</v>
      </c>
      <c r="D3135">
        <f>11</f>
        <v>11</v>
      </c>
      <c r="E3135" t="str">
        <f>"07 - B - 108 - Lauren N Logan"</f>
        <v>07 - B - 108 - Lauren N Logan</v>
      </c>
      <c r="F3135" t="str">
        <f>"US HISTORY"</f>
        <v>US HISTORY</v>
      </c>
      <c r="G3135" t="str">
        <f>"17-1745"</f>
        <v>17-1745</v>
      </c>
      <c r="H3135" t="str">
        <f>"B"</f>
        <v>B</v>
      </c>
    </row>
    <row r="3136" spans="1:8" x14ac:dyDescent="0.2">
      <c r="A3136" t="str">
        <f t="shared" si="1147"/>
        <v>0624075333</v>
      </c>
      <c r="B3136" t="str">
        <f t="shared" si="1148"/>
        <v>FADLEY</v>
      </c>
      <c r="C3136" t="str">
        <f t="shared" si="1149"/>
        <v>CHOUTE</v>
      </c>
      <c r="D3136">
        <f>11</f>
        <v>11</v>
      </c>
      <c r="E3136" t="str">
        <f>"05 - B - 205 - Lenecy  Nodarse"</f>
        <v>05 - B - 205 - Lenecy  Nodarse</v>
      </c>
      <c r="F3136" t="str">
        <f>"WORLD HISTORY"</f>
        <v>WORLD HISTORY</v>
      </c>
      <c r="G3136" t="str">
        <f>"17-1741"</f>
        <v>17-1741</v>
      </c>
      <c r="H3136" t="str">
        <f>"B"</f>
        <v>B</v>
      </c>
    </row>
    <row r="3137" spans="1:8" x14ac:dyDescent="0.2">
      <c r="A3137" t="str">
        <f t="shared" si="1147"/>
        <v>0624075333</v>
      </c>
      <c r="B3137" t="str">
        <f t="shared" si="1148"/>
        <v>FADLEY</v>
      </c>
      <c r="C3137" t="str">
        <f t="shared" si="1149"/>
        <v>CHOUTE</v>
      </c>
      <c r="D3137">
        <f>11</f>
        <v>11</v>
      </c>
      <c r="E3137" t="str">
        <f>"01 - A - 101 - James H Mccann"</f>
        <v>01 - A - 101 - James H Mccann</v>
      </c>
      <c r="F3137" t="str">
        <f>"ALGEBRA 2"</f>
        <v>ALGEBRA 2</v>
      </c>
      <c r="G3137" t="str">
        <f>"17-1716"</f>
        <v>17-1716</v>
      </c>
      <c r="H3137" t="str">
        <f>"A"</f>
        <v>A</v>
      </c>
    </row>
    <row r="3138" spans="1:8" x14ac:dyDescent="0.2">
      <c r="A3138" t="str">
        <f t="shared" si="1147"/>
        <v>0624075333</v>
      </c>
      <c r="B3138" t="str">
        <f t="shared" si="1148"/>
        <v>FADLEY</v>
      </c>
      <c r="C3138" t="str">
        <f t="shared" si="1149"/>
        <v>CHOUTE</v>
      </c>
      <c r="D3138">
        <f>11</f>
        <v>11</v>
      </c>
      <c r="E3138" t="str">
        <f>"08 - S1 - B - 102 - Nahum  Saint-Preux"</f>
        <v>08 - S1 - B - 102 - Nahum  Saint-Preux</v>
      </c>
      <c r="F3138" t="str">
        <f>"CRIT THINK ST SKLS"</f>
        <v>CRIT THINK ST SKLS</v>
      </c>
      <c r="G3138" t="str">
        <f>"17-1712"</f>
        <v>17-1712</v>
      </c>
      <c r="H3138" t="str">
        <f>"B"</f>
        <v>B</v>
      </c>
    </row>
    <row r="3139" spans="1:8" x14ac:dyDescent="0.2">
      <c r="A3139" t="str">
        <f t="shared" ref="A3139:A3146" si="1150">"0617112648"</f>
        <v>0617112648</v>
      </c>
      <c r="B3139" t="str">
        <f t="shared" ref="B3139:B3146" si="1151">"ALIYA"</f>
        <v>ALIYA</v>
      </c>
      <c r="C3139" t="str">
        <f t="shared" ref="C3139:C3146" si="1152">"CHRIQUI"</f>
        <v>CHRIQUI</v>
      </c>
      <c r="D3139">
        <f>11</f>
        <v>11</v>
      </c>
      <c r="E3139" t="str">
        <f>"04 - A - 102 - Brandy N Zdenek"</f>
        <v>04 - A - 102 - Brandy N Zdenek</v>
      </c>
      <c r="F3139" t="str">
        <f>"AICE ENG LANG 2 AL"</f>
        <v>AICE ENG LANG 2 AL</v>
      </c>
      <c r="G3139" t="str">
        <f>"17-1704"</f>
        <v>17-1704</v>
      </c>
      <c r="H3139" t="str">
        <f>"A"</f>
        <v>A</v>
      </c>
    </row>
    <row r="3140" spans="1:8" x14ac:dyDescent="0.2">
      <c r="A3140" t="str">
        <f t="shared" si="1150"/>
        <v>0617112648</v>
      </c>
      <c r="B3140" t="str">
        <f t="shared" si="1151"/>
        <v>ALIYA</v>
      </c>
      <c r="C3140" t="str">
        <f t="shared" si="1152"/>
        <v>CHRIQUI</v>
      </c>
      <c r="D3140">
        <f>11</f>
        <v>11</v>
      </c>
      <c r="E3140" t="str">
        <f>"06 - B - 108 - Jacquelyn M Neeson"</f>
        <v>06 - B - 108 - Jacquelyn M Neeson</v>
      </c>
      <c r="F3140" t="str">
        <f>"NC STUDY HALL 1"</f>
        <v>NC STUDY HALL 1</v>
      </c>
      <c r="G3140" t="str">
        <f>"17-1715"</f>
        <v>17-1715</v>
      </c>
      <c r="H3140" t="str">
        <f>"B"</f>
        <v>B</v>
      </c>
    </row>
    <row r="3141" spans="1:8" x14ac:dyDescent="0.2">
      <c r="A3141" t="str">
        <f t="shared" si="1150"/>
        <v>0617112648</v>
      </c>
      <c r="B3141" t="str">
        <f t="shared" si="1151"/>
        <v>ALIYA</v>
      </c>
      <c r="C3141" t="str">
        <f t="shared" si="1152"/>
        <v>CHRIQUI</v>
      </c>
      <c r="D3141">
        <f>11</f>
        <v>11</v>
      </c>
      <c r="E3141" t="str">
        <f>"03 - A - 101 - Dorothy D Moore"</f>
        <v>03 - A - 101 - Dorothy D Moore</v>
      </c>
      <c r="F3141" t="str">
        <f>"FORC SCI 1 LH"</f>
        <v>FORC SCI 1 LH</v>
      </c>
      <c r="G3141" t="str">
        <f>"08-803"</f>
        <v>08-803</v>
      </c>
      <c r="H3141" t="str">
        <f>"A"</f>
        <v>A</v>
      </c>
    </row>
    <row r="3142" spans="1:8" x14ac:dyDescent="0.2">
      <c r="A3142" t="str">
        <f t="shared" si="1150"/>
        <v>0617112648</v>
      </c>
      <c r="B3142" t="str">
        <f t="shared" si="1151"/>
        <v>ALIYA</v>
      </c>
      <c r="C3142" t="str">
        <f t="shared" si="1152"/>
        <v>CHRIQUI</v>
      </c>
      <c r="D3142">
        <f>11</f>
        <v>11</v>
      </c>
      <c r="E3142" t="str">
        <f>"02 - A - 204 - Jacqueline R Morphet"</f>
        <v>02 - A - 204 - Jacqueline R Morphet</v>
      </c>
      <c r="F3142" t="str">
        <f>"PHYSICS 1 HON"</f>
        <v>PHYSICS 1 HON</v>
      </c>
      <c r="G3142" t="str">
        <f>"21-2138"</f>
        <v>21-2138</v>
      </c>
      <c r="H3142" t="str">
        <f>"A"</f>
        <v>A</v>
      </c>
    </row>
    <row r="3143" spans="1:8" x14ac:dyDescent="0.2">
      <c r="A3143" t="str">
        <f t="shared" si="1150"/>
        <v>0617112648</v>
      </c>
      <c r="B3143" t="str">
        <f t="shared" si="1151"/>
        <v>ALIYA</v>
      </c>
      <c r="C3143" t="str">
        <f t="shared" si="1152"/>
        <v>CHRIQUI</v>
      </c>
      <c r="D3143">
        <f>11</f>
        <v>11</v>
      </c>
      <c r="E3143" t="str">
        <f>"07 - B - 102 - Thomas G Handwerg"</f>
        <v>07 - B - 102 - Thomas G Handwerg</v>
      </c>
      <c r="F3143" t="str">
        <f>"PROB STAT W/APPS HON"</f>
        <v>PROB STAT W/APPS HON</v>
      </c>
      <c r="G3143" t="str">
        <f>"21-2146"</f>
        <v>21-2146</v>
      </c>
      <c r="H3143" t="str">
        <f>"B"</f>
        <v>B</v>
      </c>
    </row>
    <row r="3144" spans="1:8" x14ac:dyDescent="0.2">
      <c r="A3144" t="str">
        <f t="shared" si="1150"/>
        <v>0617112648</v>
      </c>
      <c r="B3144" t="str">
        <f t="shared" si="1151"/>
        <v>ALIYA</v>
      </c>
      <c r="C3144" t="str">
        <f t="shared" si="1152"/>
        <v>CHRIQUI</v>
      </c>
      <c r="D3144">
        <f>11</f>
        <v>11</v>
      </c>
      <c r="E3144" t="str">
        <f>"05 - B - 102 - Jerry S Jiampetti"</f>
        <v>05 - B - 102 - Jerry S Jiampetti</v>
      </c>
      <c r="F3144" t="str">
        <f>"AICE U.S. HIST 1 AS"</f>
        <v>AICE U.S. HIST 1 AS</v>
      </c>
      <c r="G3144" t="str">
        <f>"17-1751"</f>
        <v>17-1751</v>
      </c>
      <c r="H3144" t="str">
        <f>"B"</f>
        <v>B</v>
      </c>
    </row>
    <row r="3145" spans="1:8" x14ac:dyDescent="0.2">
      <c r="A3145" t="str">
        <f t="shared" si="1150"/>
        <v>0617112648</v>
      </c>
      <c r="B3145" t="str">
        <f t="shared" si="1151"/>
        <v>ALIYA</v>
      </c>
      <c r="C3145" t="str">
        <f t="shared" si="1152"/>
        <v>CHRIQUI</v>
      </c>
      <c r="D3145">
        <f>11</f>
        <v>11</v>
      </c>
      <c r="E3145" t="str">
        <f>"01 - A - 103 - Scott A Dethloff"</f>
        <v>01 - A - 103 - Scott A Dethloff</v>
      </c>
      <c r="F3145" t="str">
        <f>"AICE THINK SKLS 1 AS"</f>
        <v>AICE THINK SKLS 1 AS</v>
      </c>
      <c r="G3145" t="str">
        <f>"08-812"</f>
        <v>08-812</v>
      </c>
      <c r="H3145" t="str">
        <f>"A"</f>
        <v>A</v>
      </c>
    </row>
    <row r="3146" spans="1:8" x14ac:dyDescent="0.2">
      <c r="A3146" t="str">
        <f t="shared" si="1150"/>
        <v>0617112648</v>
      </c>
      <c r="B3146" t="str">
        <f t="shared" si="1151"/>
        <v>ALIYA</v>
      </c>
      <c r="C3146" t="str">
        <f t="shared" si="1152"/>
        <v>CHRIQUI</v>
      </c>
      <c r="D3146">
        <f>11</f>
        <v>11</v>
      </c>
      <c r="E3146" t="str">
        <f>"08 - B - 201 - Tina M Jaramillo"</f>
        <v>08 - B - 201 - Tina M Jaramillo</v>
      </c>
      <c r="F3146" t="str">
        <f>"CREATIVE WRIT 3 HON"</f>
        <v>CREATIVE WRIT 3 HON</v>
      </c>
      <c r="G3146" t="str">
        <f>"17-1706"</f>
        <v>17-1706</v>
      </c>
      <c r="H3146" t="str">
        <f>"B"</f>
        <v>B</v>
      </c>
    </row>
    <row r="3147" spans="1:8" x14ac:dyDescent="0.2">
      <c r="A3147" t="str">
        <f t="shared" ref="A3147:A3154" si="1153">"0625048930"</f>
        <v>0625048930</v>
      </c>
      <c r="B3147" t="str">
        <f t="shared" ref="B3147:B3154" si="1154">"MIKHAIL"</f>
        <v>MIKHAIL</v>
      </c>
      <c r="C3147" t="str">
        <f t="shared" ref="C3147:C3170" si="1155">"CHRISPIN"</f>
        <v>CHRISPIN</v>
      </c>
      <c r="D3147">
        <f>12</f>
        <v>12</v>
      </c>
      <c r="E3147" t="str">
        <f>"04 - S1 - A - 101 - Barbara L Segal"</f>
        <v>04 - S1 - A - 101 - Barbara L Segal</v>
      </c>
      <c r="F3147" t="str">
        <f>"AP US GOVT/POL"</f>
        <v>AP US GOVT/POL</v>
      </c>
      <c r="G3147" t="str">
        <f>"17-1742"</f>
        <v>17-1742</v>
      </c>
      <c r="H3147" t="str">
        <f>"A"</f>
        <v>A</v>
      </c>
    </row>
    <row r="3148" spans="1:8" x14ac:dyDescent="0.2">
      <c r="A3148" t="str">
        <f t="shared" si="1153"/>
        <v>0625048930</v>
      </c>
      <c r="B3148" t="str">
        <f t="shared" si="1154"/>
        <v>MIKHAIL</v>
      </c>
      <c r="C3148" t="str">
        <f t="shared" si="1155"/>
        <v>CHRISPIN</v>
      </c>
      <c r="D3148">
        <f>12</f>
        <v>12</v>
      </c>
      <c r="E3148" t="str">
        <f>"06 - B - 110 - Barbara L Segal"</f>
        <v>06 - B - 110 - Barbara L Segal</v>
      </c>
      <c r="F3148" t="str">
        <f>"NC STUDY HALL 1"</f>
        <v>NC STUDY HALL 1</v>
      </c>
      <c r="G3148" t="str">
        <f>"17-1742"</f>
        <v>17-1742</v>
      </c>
      <c r="H3148" t="str">
        <f>"B"</f>
        <v>B</v>
      </c>
    </row>
    <row r="3149" spans="1:8" x14ac:dyDescent="0.2">
      <c r="A3149" t="str">
        <f t="shared" si="1153"/>
        <v>0625048930</v>
      </c>
      <c r="B3149" t="str">
        <f t="shared" si="1154"/>
        <v>MIKHAIL</v>
      </c>
      <c r="C3149" t="str">
        <f t="shared" si="1155"/>
        <v>CHRISPIN</v>
      </c>
      <c r="D3149">
        <f>12</f>
        <v>12</v>
      </c>
      <c r="E3149" t="str">
        <f>"03 - S1 - A - 101 - Arthur  Kulawik"</f>
        <v>03 - S1 - A - 101 - Arthur  Kulawik</v>
      </c>
      <c r="F3149" t="str">
        <f>"PERS FIN &amp; MON MGT H"</f>
        <v>PERS FIN &amp; MON MGT H</v>
      </c>
      <c r="G3149" t="str">
        <f>"05-506"</f>
        <v>05-506</v>
      </c>
      <c r="H3149" t="str">
        <f>"A"</f>
        <v>A</v>
      </c>
    </row>
    <row r="3150" spans="1:8" x14ac:dyDescent="0.2">
      <c r="A3150" t="str">
        <f t="shared" si="1153"/>
        <v>0625048930</v>
      </c>
      <c r="B3150" t="str">
        <f t="shared" si="1154"/>
        <v>MIKHAIL</v>
      </c>
      <c r="C3150" t="str">
        <f t="shared" si="1155"/>
        <v>CHRISPIN</v>
      </c>
      <c r="D3150">
        <f>12</f>
        <v>12</v>
      </c>
      <c r="E3150" t="str">
        <f>"02 - A - 101 - Robert H Rindner"</f>
        <v>02 - A - 101 - Robert H Rindner</v>
      </c>
      <c r="F3150" t="str">
        <f>"MATH DATA&amp;FIN LIT H"</f>
        <v>MATH DATA&amp;FIN LIT H</v>
      </c>
      <c r="G3150" t="str">
        <f>"21-2160"</f>
        <v>21-2160</v>
      </c>
      <c r="H3150" t="str">
        <f>"A"</f>
        <v>A</v>
      </c>
    </row>
    <row r="3151" spans="1:8" x14ac:dyDescent="0.2">
      <c r="A3151" t="str">
        <f t="shared" si="1153"/>
        <v>0625048930</v>
      </c>
      <c r="B3151" t="str">
        <f t="shared" si="1154"/>
        <v>MIKHAIL</v>
      </c>
      <c r="C3151" t="str">
        <f t="shared" si="1155"/>
        <v>CHRISPIN</v>
      </c>
      <c r="D3151">
        <f>12</f>
        <v>12</v>
      </c>
      <c r="E3151" t="str">
        <f>"07 - B - 204 - Stefanie S Scher"</f>
        <v>07 - B - 204 - Stefanie S Scher</v>
      </c>
      <c r="F3151" t="str">
        <f>"AP PSYCH"</f>
        <v>AP PSYCH</v>
      </c>
      <c r="G3151" t="str">
        <f>"17-1735"</f>
        <v>17-1735</v>
      </c>
      <c r="H3151" t="str">
        <f>"B"</f>
        <v>B</v>
      </c>
    </row>
    <row r="3152" spans="1:8" x14ac:dyDescent="0.2">
      <c r="A3152" t="str">
        <f t="shared" si="1153"/>
        <v>0625048930</v>
      </c>
      <c r="B3152" t="str">
        <f t="shared" si="1154"/>
        <v>MIKHAIL</v>
      </c>
      <c r="C3152" t="str">
        <f t="shared" si="1155"/>
        <v>CHRISPIN</v>
      </c>
      <c r="D3152">
        <f>12</f>
        <v>12</v>
      </c>
      <c r="E3152" t="str">
        <f>"05 - B - 101 - Angela S Adeshina-Morrison"</f>
        <v>05 - B - 101 - Angela S Adeshina-Morrison</v>
      </c>
      <c r="F3152" t="str">
        <f>"MKT APPLCTNS LH"</f>
        <v>MKT APPLCTNS LH</v>
      </c>
      <c r="G3152" t="str">
        <f>"05-518"</f>
        <v>05-518</v>
      </c>
      <c r="H3152" t="str">
        <f>"B"</f>
        <v>B</v>
      </c>
    </row>
    <row r="3153" spans="1:8" x14ac:dyDescent="0.2">
      <c r="A3153" t="str">
        <f t="shared" si="1153"/>
        <v>0625048930</v>
      </c>
      <c r="B3153" t="str">
        <f t="shared" si="1154"/>
        <v>MIKHAIL</v>
      </c>
      <c r="C3153" t="str">
        <f t="shared" si="1155"/>
        <v>CHRISPIN</v>
      </c>
      <c r="D3153">
        <f>12</f>
        <v>12</v>
      </c>
      <c r="E3153" t="str">
        <f>"01 - A - 204 - Tina M Jaramillo"</f>
        <v>01 - A - 204 - Tina M Jaramillo</v>
      </c>
      <c r="F3153" t="str">
        <f>"AP ENG LIT COMPO"</f>
        <v>AP ENG LIT COMPO</v>
      </c>
      <c r="G3153" t="str">
        <f>"17-1706"</f>
        <v>17-1706</v>
      </c>
      <c r="H3153" t="str">
        <f>"A"</f>
        <v>A</v>
      </c>
    </row>
    <row r="3154" spans="1:8" x14ac:dyDescent="0.2">
      <c r="A3154" t="str">
        <f t="shared" si="1153"/>
        <v>0625048930</v>
      </c>
      <c r="B3154" t="str">
        <f t="shared" si="1154"/>
        <v>MIKHAIL</v>
      </c>
      <c r="C3154" t="str">
        <f t="shared" si="1155"/>
        <v>CHRISPIN</v>
      </c>
      <c r="D3154">
        <f>12</f>
        <v>12</v>
      </c>
      <c r="E3154" t="str">
        <f>"08 - B - 102 - Lisa J London"</f>
        <v>08 - B - 102 - Lisa J London</v>
      </c>
      <c r="F3154" t="str">
        <f>"AP CAPSTONE RESEARCH"</f>
        <v>AP CAPSTONE RESEARCH</v>
      </c>
      <c r="G3154" t="str">
        <f>"17-1714"</f>
        <v>17-1714</v>
      </c>
      <c r="H3154" t="str">
        <f>"B"</f>
        <v>B</v>
      </c>
    </row>
    <row r="3155" spans="1:8" x14ac:dyDescent="0.2">
      <c r="A3155" t="str">
        <f t="shared" ref="A3155:A3162" si="1156">"0625048936"</f>
        <v>0625048936</v>
      </c>
      <c r="B3155" t="str">
        <f t="shared" ref="B3155:B3162" si="1157">"NIKOLAI"</f>
        <v>NIKOLAI</v>
      </c>
      <c r="C3155" t="str">
        <f t="shared" si="1155"/>
        <v>CHRISPIN</v>
      </c>
      <c r="D3155">
        <f>10</f>
        <v>10</v>
      </c>
      <c r="E3155" t="str">
        <f>"04 - A - 201 - Scott A Dethloff"</f>
        <v>04 - A - 201 - Scott A Dethloff</v>
      </c>
      <c r="F3155" t="str">
        <f>"AICE THINK SKLS 1 AS"</f>
        <v>AICE THINK SKLS 1 AS</v>
      </c>
      <c r="G3155" t="str">
        <f>"08-812"</f>
        <v>08-812</v>
      </c>
      <c r="H3155" t="str">
        <f>"A"</f>
        <v>A</v>
      </c>
    </row>
    <row r="3156" spans="1:8" x14ac:dyDescent="0.2">
      <c r="A3156" t="str">
        <f t="shared" si="1156"/>
        <v>0625048936</v>
      </c>
      <c r="B3156" t="str">
        <f t="shared" si="1157"/>
        <v>NIKOLAI</v>
      </c>
      <c r="C3156" t="str">
        <f t="shared" si="1155"/>
        <v>CHRISPIN</v>
      </c>
      <c r="D3156">
        <f>10</f>
        <v>10</v>
      </c>
      <c r="E3156" t="str">
        <f>"06 - B - 117 - Daniel S Tyson"</f>
        <v>06 - B - 117 - Daniel S Tyson</v>
      </c>
      <c r="F3156" t="str">
        <f>"NC STUDY HALL 1"</f>
        <v>NC STUDY HALL 1</v>
      </c>
      <c r="G3156" t="str">
        <f>"05-510"</f>
        <v>05-510</v>
      </c>
      <c r="H3156" t="str">
        <f>"B"</f>
        <v>B</v>
      </c>
    </row>
    <row r="3157" spans="1:8" x14ac:dyDescent="0.2">
      <c r="A3157" t="str">
        <f t="shared" si="1156"/>
        <v>0625048936</v>
      </c>
      <c r="B3157" t="str">
        <f t="shared" si="1157"/>
        <v>NIKOLAI</v>
      </c>
      <c r="C3157" t="str">
        <f t="shared" si="1155"/>
        <v>CHRISPIN</v>
      </c>
      <c r="D3157">
        <f>10</f>
        <v>10</v>
      </c>
      <c r="E3157" t="str">
        <f>"03 - S1 - A - 103 - Richard E Dunbar Iii"</f>
        <v>03 - S1 - A - 103 - Richard E Dunbar Iii</v>
      </c>
      <c r="F3157" t="str">
        <f>"WEIGHT TRAIN 1"</f>
        <v>WEIGHT TRAIN 1</v>
      </c>
      <c r="G3157" t="str">
        <f>"05-501"</f>
        <v>05-501</v>
      </c>
      <c r="H3157" t="str">
        <f>"A"</f>
        <v>A</v>
      </c>
    </row>
    <row r="3158" spans="1:8" x14ac:dyDescent="0.2">
      <c r="A3158" t="str">
        <f t="shared" si="1156"/>
        <v>0625048936</v>
      </c>
      <c r="B3158" t="str">
        <f t="shared" si="1157"/>
        <v>NIKOLAI</v>
      </c>
      <c r="C3158" t="str">
        <f t="shared" si="1155"/>
        <v>CHRISPIN</v>
      </c>
      <c r="D3158">
        <f>10</f>
        <v>10</v>
      </c>
      <c r="E3158" t="str">
        <f>"02 - S1 - A - 101 - Carol S Moore"</f>
        <v>02 - S1 - A - 101 - Carol S Moore</v>
      </c>
      <c r="F3158" t="str">
        <f>"PER CAR SCH DEV 1 LH"</f>
        <v>PER CAR SCH DEV 1 LH</v>
      </c>
      <c r="G3158" t="str">
        <f>"17-1733"</f>
        <v>17-1733</v>
      </c>
      <c r="H3158" t="str">
        <f>"A"</f>
        <v>A</v>
      </c>
    </row>
    <row r="3159" spans="1:8" x14ac:dyDescent="0.2">
      <c r="A3159" t="str">
        <f t="shared" si="1156"/>
        <v>0625048936</v>
      </c>
      <c r="B3159" t="str">
        <f t="shared" si="1157"/>
        <v>NIKOLAI</v>
      </c>
      <c r="C3159" t="str">
        <f t="shared" si="1155"/>
        <v>CHRISPIN</v>
      </c>
      <c r="D3159">
        <f>10</f>
        <v>10</v>
      </c>
      <c r="E3159" t="str">
        <f>"07 - B - 107 - Helen A Flores"</f>
        <v>07 - B - 107 - Helen A Flores</v>
      </c>
      <c r="F3159" t="str">
        <f>"ALGEBRA 1"</f>
        <v>ALGEBRA 1</v>
      </c>
      <c r="G3159" t="str">
        <f>"21-2101"</f>
        <v>21-2101</v>
      </c>
      <c r="H3159" t="str">
        <f>"B"</f>
        <v>B</v>
      </c>
    </row>
    <row r="3160" spans="1:8" x14ac:dyDescent="0.2">
      <c r="A3160" t="str">
        <f t="shared" si="1156"/>
        <v>0625048936</v>
      </c>
      <c r="B3160" t="str">
        <f t="shared" si="1157"/>
        <v>NIKOLAI</v>
      </c>
      <c r="C3160" t="str">
        <f t="shared" si="1155"/>
        <v>CHRISPIN</v>
      </c>
      <c r="D3160">
        <f>10</f>
        <v>10</v>
      </c>
      <c r="E3160" t="str">
        <f>"05 - B - 103 - Josiah I Lacy"</f>
        <v>05 - B - 103 - Josiah I Lacy</v>
      </c>
      <c r="F3160" t="str">
        <f>"PRE-AICE BIO IG"</f>
        <v>PRE-AICE BIO IG</v>
      </c>
      <c r="G3160" t="str">
        <f>"08-801"</f>
        <v>08-801</v>
      </c>
      <c r="H3160" t="str">
        <f>"B"</f>
        <v>B</v>
      </c>
    </row>
    <row r="3161" spans="1:8" x14ac:dyDescent="0.2">
      <c r="A3161" t="str">
        <f t="shared" si="1156"/>
        <v>0625048936</v>
      </c>
      <c r="B3161" t="str">
        <f t="shared" si="1157"/>
        <v>NIKOLAI</v>
      </c>
      <c r="C3161" t="str">
        <f t="shared" si="1155"/>
        <v>CHRISPIN</v>
      </c>
      <c r="D3161">
        <f>10</f>
        <v>10</v>
      </c>
      <c r="E3161" t="str">
        <f>"01 - A - 102 - Helen A Flores"</f>
        <v>01 - A - 102 - Helen A Flores</v>
      </c>
      <c r="F3161" t="str">
        <f>"FDN SKLS MATH 9-12"</f>
        <v>FDN SKLS MATH 9-12</v>
      </c>
      <c r="G3161" t="str">
        <f>"21-2101"</f>
        <v>21-2101</v>
      </c>
      <c r="H3161" t="str">
        <f>"A"</f>
        <v>A</v>
      </c>
    </row>
    <row r="3162" spans="1:8" x14ac:dyDescent="0.2">
      <c r="A3162" t="str">
        <f t="shared" si="1156"/>
        <v>0625048936</v>
      </c>
      <c r="B3162" t="str">
        <f t="shared" si="1157"/>
        <v>NIKOLAI</v>
      </c>
      <c r="C3162" t="str">
        <f t="shared" si="1155"/>
        <v>CHRISPIN</v>
      </c>
      <c r="D3162">
        <f>10</f>
        <v>10</v>
      </c>
      <c r="E3162" t="str">
        <f>"08 - B - 102 - Jacquelyn M Neeson"</f>
        <v>08 - B - 102 - Jacquelyn M Neeson</v>
      </c>
      <c r="F3162" t="str">
        <f>"AICE ENG GEN PAPER 1"</f>
        <v>AICE ENG GEN PAPER 1</v>
      </c>
      <c r="G3162" t="str">
        <f>"17-1715"</f>
        <v>17-1715</v>
      </c>
      <c r="H3162" t="str">
        <f>"B"</f>
        <v>B</v>
      </c>
    </row>
    <row r="3163" spans="1:8" x14ac:dyDescent="0.2">
      <c r="A3163" t="str">
        <f t="shared" ref="A3163:A3170" si="1158">"0615015431"</f>
        <v>0615015431</v>
      </c>
      <c r="B3163" t="str">
        <f t="shared" ref="B3163:B3170" si="1159">"VIDA"</f>
        <v>VIDA</v>
      </c>
      <c r="C3163" t="str">
        <f t="shared" si="1155"/>
        <v>CHRISPIN</v>
      </c>
      <c r="D3163">
        <f>10</f>
        <v>10</v>
      </c>
      <c r="E3163" t="str">
        <f>"04 - A - 102 - Daniel S Katz"</f>
        <v>04 - A - 102 - Daniel S Katz</v>
      </c>
      <c r="F3163" t="str">
        <f>"AICE DRAMA 1 AS LEV"</f>
        <v>AICE DRAMA 1 AS LEV</v>
      </c>
      <c r="G3163" t="str">
        <f>"05-521"</f>
        <v>05-521</v>
      </c>
      <c r="H3163" t="str">
        <f>"A"</f>
        <v>A</v>
      </c>
    </row>
    <row r="3164" spans="1:8" x14ac:dyDescent="0.2">
      <c r="A3164" t="str">
        <f t="shared" si="1158"/>
        <v>0615015431</v>
      </c>
      <c r="B3164" t="str">
        <f t="shared" si="1159"/>
        <v>VIDA</v>
      </c>
      <c r="C3164" t="str">
        <f t="shared" si="1155"/>
        <v>CHRISPIN</v>
      </c>
      <c r="D3164">
        <f>10</f>
        <v>10</v>
      </c>
      <c r="E3164" t="str">
        <f>"06 - B - 117 - Daniel S Tyson"</f>
        <v>06 - B - 117 - Daniel S Tyson</v>
      </c>
      <c r="F3164" t="str">
        <f>"NC STUDY HALL 1"</f>
        <v>NC STUDY HALL 1</v>
      </c>
      <c r="G3164" t="str">
        <f>"05-510"</f>
        <v>05-510</v>
      </c>
      <c r="H3164" t="str">
        <f>"B"</f>
        <v>B</v>
      </c>
    </row>
    <row r="3165" spans="1:8" x14ac:dyDescent="0.2">
      <c r="A3165" t="str">
        <f t="shared" si="1158"/>
        <v>0615015431</v>
      </c>
      <c r="B3165" t="str">
        <f t="shared" si="1159"/>
        <v>VIDA</v>
      </c>
      <c r="C3165" t="str">
        <f t="shared" si="1155"/>
        <v>CHRISPIN</v>
      </c>
      <c r="D3165">
        <f>10</f>
        <v>10</v>
      </c>
      <c r="E3165" t="str">
        <f>"03 - A - 103 - Courtney E Hambright"</f>
        <v>03 - A - 103 - Courtney E Hambright</v>
      </c>
      <c r="F3165" t="str">
        <f>"AICE ENG LANG AS"</f>
        <v>AICE ENG LANG AS</v>
      </c>
      <c r="G3165" t="str">
        <f>"17-1711"</f>
        <v>17-1711</v>
      </c>
      <c r="H3165" t="str">
        <f>"A"</f>
        <v>A</v>
      </c>
    </row>
    <row r="3166" spans="1:8" x14ac:dyDescent="0.2">
      <c r="A3166" t="str">
        <f t="shared" si="1158"/>
        <v>0615015431</v>
      </c>
      <c r="B3166" t="str">
        <f t="shared" si="1159"/>
        <v>VIDA</v>
      </c>
      <c r="C3166" t="str">
        <f t="shared" si="1155"/>
        <v>CHRISPIN</v>
      </c>
      <c r="D3166">
        <f>10</f>
        <v>10</v>
      </c>
      <c r="E3166" t="str">
        <f>"02 - A - 104 - Scott A Dethloff"</f>
        <v>02 - A - 104 - Scott A Dethloff</v>
      </c>
      <c r="F3166" t="str">
        <f>"CHEMISTRY 1 HON"</f>
        <v>CHEMISTRY 1 HON</v>
      </c>
      <c r="G3166" t="str">
        <f>"08-812"</f>
        <v>08-812</v>
      </c>
      <c r="H3166" t="str">
        <f>"A"</f>
        <v>A</v>
      </c>
    </row>
    <row r="3167" spans="1:8" x14ac:dyDescent="0.2">
      <c r="A3167" t="str">
        <f t="shared" si="1158"/>
        <v>0615015431</v>
      </c>
      <c r="B3167" t="str">
        <f t="shared" si="1159"/>
        <v>VIDA</v>
      </c>
      <c r="C3167" t="str">
        <f t="shared" si="1155"/>
        <v>CHRISPIN</v>
      </c>
      <c r="D3167">
        <f>10</f>
        <v>10</v>
      </c>
      <c r="E3167" t="str">
        <f>"07 - B - 107 - Brook E Goren"</f>
        <v>07 - B - 107 - Brook E Goren</v>
      </c>
      <c r="F3167" t="str">
        <f>"PRE-AICE MATH 2 IG"</f>
        <v>PRE-AICE MATH 2 IG</v>
      </c>
      <c r="G3167" t="str">
        <f>"21-2158"</f>
        <v>21-2158</v>
      </c>
      <c r="H3167" t="str">
        <f>"B"</f>
        <v>B</v>
      </c>
    </row>
    <row r="3168" spans="1:8" x14ac:dyDescent="0.2">
      <c r="A3168" t="str">
        <f t="shared" si="1158"/>
        <v>0615015431</v>
      </c>
      <c r="B3168" t="str">
        <f t="shared" si="1159"/>
        <v>VIDA</v>
      </c>
      <c r="C3168" t="str">
        <f t="shared" si="1155"/>
        <v>CHRISPIN</v>
      </c>
      <c r="D3168">
        <f>10</f>
        <v>10</v>
      </c>
      <c r="E3168" t="str">
        <f>"05 - B - 103 - Vanessa J Liburd"</f>
        <v>05 - B - 103 - Vanessa J Liburd</v>
      </c>
      <c r="F3168" t="str">
        <f>"PRE-AICE FRENCH 2 IG"</f>
        <v>PRE-AICE FRENCH 2 IG</v>
      </c>
      <c r="G3168" t="str">
        <f>"05-519"</f>
        <v>05-519</v>
      </c>
      <c r="H3168" t="str">
        <f>"B"</f>
        <v>B</v>
      </c>
    </row>
    <row r="3169" spans="1:8" x14ac:dyDescent="0.2">
      <c r="A3169" t="str">
        <f t="shared" si="1158"/>
        <v>0615015431</v>
      </c>
      <c r="B3169" t="str">
        <f t="shared" si="1159"/>
        <v>VIDA</v>
      </c>
      <c r="C3169" t="str">
        <f t="shared" si="1155"/>
        <v>CHRISPIN</v>
      </c>
      <c r="D3169">
        <f>10</f>
        <v>10</v>
      </c>
      <c r="E3169" t="str">
        <f>"01 - A - 201 - Chrystina M Marchionne"</f>
        <v>01 - A - 201 - Chrystina M Marchionne</v>
      </c>
      <c r="F3169" t="str">
        <f>"AICE MEDIASTUDIES AS"</f>
        <v>AICE MEDIASTUDIES AS</v>
      </c>
      <c r="G3169" t="str">
        <f>"05-520"</f>
        <v>05-520</v>
      </c>
      <c r="H3169" t="str">
        <f>"A"</f>
        <v>A</v>
      </c>
    </row>
    <row r="3170" spans="1:8" x14ac:dyDescent="0.2">
      <c r="A3170" t="str">
        <f t="shared" si="1158"/>
        <v>0615015431</v>
      </c>
      <c r="B3170" t="str">
        <f t="shared" si="1159"/>
        <v>VIDA</v>
      </c>
      <c r="C3170" t="str">
        <f t="shared" si="1155"/>
        <v>CHRISPIN</v>
      </c>
      <c r="D3170">
        <f>10</f>
        <v>10</v>
      </c>
      <c r="E3170" t="str">
        <f>"08 - B - 201 - Lenecy  Nodarse"</f>
        <v>08 - B - 201 - Lenecy  Nodarse</v>
      </c>
      <c r="F3170" t="str">
        <f>"AICE EURO HIST 1 AS"</f>
        <v>AICE EURO HIST 1 AS</v>
      </c>
      <c r="G3170" t="str">
        <f>"17-1741"</f>
        <v>17-1741</v>
      </c>
      <c r="H3170" t="str">
        <f>"B"</f>
        <v>B</v>
      </c>
    </row>
    <row r="3171" spans="1:8" x14ac:dyDescent="0.2">
      <c r="A3171" t="str">
        <f t="shared" ref="A3171:A3178" si="1160">"0624047343"</f>
        <v>0624047343</v>
      </c>
      <c r="B3171" t="str">
        <f t="shared" ref="B3171:B3178" si="1161">"JANIYAH"</f>
        <v>JANIYAH</v>
      </c>
      <c r="C3171" t="str">
        <f t="shared" ref="C3171:C3178" si="1162">"CHRISTMAS"</f>
        <v>CHRISTMAS</v>
      </c>
      <c r="D3171" t="str">
        <f t="shared" ref="D3171:D3178" si="1163">"09"</f>
        <v>09</v>
      </c>
      <c r="E3171" t="str">
        <f>"04 - A - 102 - Tina L Lovett"</f>
        <v>04 - A - 102 - Tina L Lovett</v>
      </c>
      <c r="F3171" t="str">
        <f>"ALGEBRA 1"</f>
        <v>ALGEBRA 1</v>
      </c>
      <c r="G3171" t="str">
        <f>"21-2153"</f>
        <v>21-2153</v>
      </c>
      <c r="H3171" t="str">
        <f>"A"</f>
        <v>A</v>
      </c>
    </row>
    <row r="3172" spans="1:8" x14ac:dyDescent="0.2">
      <c r="A3172" t="str">
        <f t="shared" si="1160"/>
        <v>0624047343</v>
      </c>
      <c r="B3172" t="str">
        <f t="shared" si="1161"/>
        <v>JANIYAH</v>
      </c>
      <c r="C3172" t="str">
        <f t="shared" si="1162"/>
        <v>CHRISTMAS</v>
      </c>
      <c r="D3172" t="str">
        <f t="shared" si="1163"/>
        <v>09</v>
      </c>
      <c r="E3172" t="str">
        <f>"06 - B - 104 - Rory T Sponsler"</f>
        <v>06 - B - 104 - Rory T Sponsler</v>
      </c>
      <c r="F3172" t="str">
        <f>"PRE-AICE WRLD HST IG"</f>
        <v>PRE-AICE WRLD HST IG</v>
      </c>
      <c r="G3172" t="str">
        <f>"17-1740"</f>
        <v>17-1740</v>
      </c>
      <c r="H3172" t="str">
        <f>"B"</f>
        <v>B</v>
      </c>
    </row>
    <row r="3173" spans="1:8" x14ac:dyDescent="0.2">
      <c r="A3173" t="str">
        <f t="shared" si="1160"/>
        <v>0624047343</v>
      </c>
      <c r="B3173" t="str">
        <f t="shared" si="1161"/>
        <v>JANIYAH</v>
      </c>
      <c r="C3173" t="str">
        <f t="shared" si="1162"/>
        <v>CHRISTMAS</v>
      </c>
      <c r="D3173" t="str">
        <f t="shared" si="1163"/>
        <v>09</v>
      </c>
      <c r="E3173" t="str">
        <f>"03 - S1 - A - 101 - Arthur  Kulawik"</f>
        <v>03 - S1 - A - 101 - Arthur  Kulawik</v>
      </c>
      <c r="F3173" t="str">
        <f>"PERS FIN &amp; MON MGT H"</f>
        <v>PERS FIN &amp; MON MGT H</v>
      </c>
      <c r="G3173" t="str">
        <f>"05-506"</f>
        <v>05-506</v>
      </c>
      <c r="H3173" t="str">
        <f>"A"</f>
        <v>A</v>
      </c>
    </row>
    <row r="3174" spans="1:8" x14ac:dyDescent="0.2">
      <c r="A3174" t="str">
        <f t="shared" si="1160"/>
        <v>0624047343</v>
      </c>
      <c r="B3174" t="str">
        <f t="shared" si="1161"/>
        <v>JANIYAH</v>
      </c>
      <c r="C3174" t="str">
        <f t="shared" si="1162"/>
        <v>CHRISTMAS</v>
      </c>
      <c r="D3174" t="str">
        <f t="shared" si="1163"/>
        <v>09</v>
      </c>
      <c r="E3174" t="str">
        <f>"02 - A - 103 - Arthur  Kulawik"</f>
        <v>02 - A - 103 - Arthur  Kulawik</v>
      </c>
      <c r="F3174" t="str">
        <f>"NC STUDY HALL 1"</f>
        <v>NC STUDY HALL 1</v>
      </c>
      <c r="G3174" t="str">
        <f>"05-506"</f>
        <v>05-506</v>
      </c>
      <c r="H3174" t="str">
        <f>"A"</f>
        <v>A</v>
      </c>
    </row>
    <row r="3175" spans="1:8" x14ac:dyDescent="0.2">
      <c r="A3175" t="str">
        <f t="shared" si="1160"/>
        <v>0624047343</v>
      </c>
      <c r="B3175" t="str">
        <f t="shared" si="1161"/>
        <v>JANIYAH</v>
      </c>
      <c r="C3175" t="str">
        <f t="shared" si="1162"/>
        <v>CHRISTMAS</v>
      </c>
      <c r="D3175" t="str">
        <f t="shared" si="1163"/>
        <v>09</v>
      </c>
      <c r="E3175" t="str">
        <f>"07 - B - 002 - Jazmin S Fletcher"</f>
        <v>07 - B - 002 - Jazmin S Fletcher</v>
      </c>
      <c r="F3175" t="str">
        <f>"THEATRE 1"</f>
        <v>THEATRE 1</v>
      </c>
      <c r="G3175" t="str">
        <f>"09-909"</f>
        <v>09-909</v>
      </c>
      <c r="H3175" t="str">
        <f>"B"</f>
        <v>B</v>
      </c>
    </row>
    <row r="3176" spans="1:8" x14ac:dyDescent="0.2">
      <c r="A3176" t="str">
        <f t="shared" si="1160"/>
        <v>0624047343</v>
      </c>
      <c r="B3176" t="str">
        <f t="shared" si="1161"/>
        <v>JANIYAH</v>
      </c>
      <c r="C3176" t="str">
        <f t="shared" si="1162"/>
        <v>CHRISTMAS</v>
      </c>
      <c r="D3176" t="str">
        <f t="shared" si="1163"/>
        <v>09</v>
      </c>
      <c r="E3176" t="str">
        <f>"05 - B - 103 - Josiah I Lacy"</f>
        <v>05 - B - 103 - Josiah I Lacy</v>
      </c>
      <c r="F3176" t="str">
        <f>"PRE-AICE BIO IG"</f>
        <v>PRE-AICE BIO IG</v>
      </c>
      <c r="G3176" t="str">
        <f>"08-801"</f>
        <v>08-801</v>
      </c>
      <c r="H3176" t="str">
        <f>"B"</f>
        <v>B</v>
      </c>
    </row>
    <row r="3177" spans="1:8" x14ac:dyDescent="0.2">
      <c r="A3177" t="str">
        <f t="shared" si="1160"/>
        <v>0624047343</v>
      </c>
      <c r="B3177" t="str">
        <f t="shared" si="1161"/>
        <v>JANIYAH</v>
      </c>
      <c r="C3177" t="str">
        <f t="shared" si="1162"/>
        <v>CHRISTMAS</v>
      </c>
      <c r="D3177" t="str">
        <f t="shared" si="1163"/>
        <v>09</v>
      </c>
      <c r="E3177" t="str">
        <f>"01 - A - 101 - Cheryl Anne  Berman-Schechter"</f>
        <v>01 - A - 101 - Cheryl Anne  Berman-Schechter</v>
      </c>
      <c r="F3177" t="str">
        <f>"PRE-AICE ENG LANG IG"</f>
        <v>PRE-AICE ENG LANG IG</v>
      </c>
      <c r="G3177" t="str">
        <f>"17-1722"</f>
        <v>17-1722</v>
      </c>
      <c r="H3177" t="str">
        <f>"A"</f>
        <v>A</v>
      </c>
    </row>
    <row r="3178" spans="1:8" x14ac:dyDescent="0.2">
      <c r="A3178" t="str">
        <f t="shared" si="1160"/>
        <v>0624047343</v>
      </c>
      <c r="B3178" t="str">
        <f t="shared" si="1161"/>
        <v>JANIYAH</v>
      </c>
      <c r="C3178" t="str">
        <f t="shared" si="1162"/>
        <v>CHRISTMAS</v>
      </c>
      <c r="D3178" t="str">
        <f t="shared" si="1163"/>
        <v>09</v>
      </c>
      <c r="E3178" t="str">
        <f>"08 - B - 108 - Tina L Lovett"</f>
        <v>08 - B - 108 - Tina L Lovett</v>
      </c>
      <c r="F3178" t="str">
        <f>"FDN SKLS MATH 9-12"</f>
        <v>FDN SKLS MATH 9-12</v>
      </c>
      <c r="G3178" t="str">
        <f>"21-2153"</f>
        <v>21-2153</v>
      </c>
      <c r="H3178" t="str">
        <f>"B"</f>
        <v>B</v>
      </c>
    </row>
    <row r="3179" spans="1:8" x14ac:dyDescent="0.2">
      <c r="A3179" t="str">
        <f t="shared" ref="A3179:A3186" si="1164">"0612020021"</f>
        <v>0612020021</v>
      </c>
      <c r="B3179" t="str">
        <f t="shared" ref="B3179:B3186" si="1165">"JASON"</f>
        <v>JASON</v>
      </c>
      <c r="C3179" t="str">
        <f t="shared" ref="C3179:C3186" si="1166">"CHRISTOPHIN"</f>
        <v>CHRISTOPHIN</v>
      </c>
      <c r="D3179">
        <f>12</f>
        <v>12</v>
      </c>
      <c r="E3179" t="str">
        <f>"04 - A - 103 - Cliffon  Saurel"</f>
        <v>04 - A - 103 - Cliffon  Saurel</v>
      </c>
      <c r="F3179" t="str">
        <f>"PHYSICAL SCI"</f>
        <v>PHYSICAL SCI</v>
      </c>
      <c r="G3179" t="str">
        <f>"05-522"</f>
        <v>05-522</v>
      </c>
      <c r="H3179" t="str">
        <f>"A"</f>
        <v>A</v>
      </c>
    </row>
    <row r="3180" spans="1:8" x14ac:dyDescent="0.2">
      <c r="A3180" t="str">
        <f t="shared" si="1164"/>
        <v>0612020021</v>
      </c>
      <c r="B3180" t="str">
        <f t="shared" si="1165"/>
        <v>JASON</v>
      </c>
      <c r="C3180" t="str">
        <f t="shared" si="1166"/>
        <v>CHRISTOPHIN</v>
      </c>
      <c r="D3180">
        <f>12</f>
        <v>12</v>
      </c>
      <c r="E3180" t="str">
        <f>"06 - B - 106 - Taraneh C Abreu"</f>
        <v>06 - B - 106 - Taraneh C Abreu</v>
      </c>
      <c r="F3180" t="str">
        <f>"NC STUDY HALL 1"</f>
        <v>NC STUDY HALL 1</v>
      </c>
      <c r="G3180" t="str">
        <f>"17-1713"</f>
        <v>17-1713</v>
      </c>
      <c r="H3180" t="str">
        <f>"B"</f>
        <v>B</v>
      </c>
    </row>
    <row r="3181" spans="1:8" x14ac:dyDescent="0.2">
      <c r="A3181" t="str">
        <f t="shared" si="1164"/>
        <v>0612020021</v>
      </c>
      <c r="B3181" t="str">
        <f t="shared" si="1165"/>
        <v>JASON</v>
      </c>
      <c r="C3181" t="str">
        <f t="shared" si="1166"/>
        <v>CHRISTOPHIN</v>
      </c>
      <c r="D3181">
        <f>12</f>
        <v>12</v>
      </c>
      <c r="E3181" t="str">
        <f>"03 - S1 - A - 002 - Barbara L Segal"</f>
        <v>03 - S1 - A - 002 - Barbara L Segal</v>
      </c>
      <c r="F3181" t="str">
        <f>"US GOVT"</f>
        <v>US GOVT</v>
      </c>
      <c r="G3181" t="str">
        <f>"17-1742"</f>
        <v>17-1742</v>
      </c>
      <c r="H3181" t="str">
        <f>"A"</f>
        <v>A</v>
      </c>
    </row>
    <row r="3182" spans="1:8" x14ac:dyDescent="0.2">
      <c r="A3182" t="str">
        <f t="shared" si="1164"/>
        <v>0612020021</v>
      </c>
      <c r="B3182" t="str">
        <f t="shared" si="1165"/>
        <v>JASON</v>
      </c>
      <c r="C3182" t="str">
        <f t="shared" si="1166"/>
        <v>CHRISTOPHIN</v>
      </c>
      <c r="D3182">
        <f>12</f>
        <v>12</v>
      </c>
      <c r="E3182" t="str">
        <f>"02 - A - 101 - Nahum  Saint-Preux"</f>
        <v>02 - A - 101 - Nahum  Saint-Preux</v>
      </c>
      <c r="F3182" t="str">
        <f>"INTENS READ 4"</f>
        <v>INTENS READ 4</v>
      </c>
      <c r="G3182" t="str">
        <f>"17-1712"</f>
        <v>17-1712</v>
      </c>
      <c r="H3182" t="str">
        <f>"A"</f>
        <v>A</v>
      </c>
    </row>
    <row r="3183" spans="1:8" x14ac:dyDescent="0.2">
      <c r="A3183" t="str">
        <f t="shared" si="1164"/>
        <v>0612020021</v>
      </c>
      <c r="B3183" t="str">
        <f t="shared" si="1165"/>
        <v>JASON</v>
      </c>
      <c r="C3183" t="str">
        <f t="shared" si="1166"/>
        <v>CHRISTOPHIN</v>
      </c>
      <c r="D3183">
        <f>12</f>
        <v>12</v>
      </c>
      <c r="E3183" t="str">
        <f>"07 - B - 105 - Robert H Rindner"</f>
        <v>07 - B - 105 - Robert H Rindner</v>
      </c>
      <c r="F3183" t="str">
        <f>"MATH DATA&amp;FIN LIT H"</f>
        <v>MATH DATA&amp;FIN LIT H</v>
      </c>
      <c r="G3183" t="str">
        <f>"21-2160"</f>
        <v>21-2160</v>
      </c>
      <c r="H3183" t="str">
        <f>"B"</f>
        <v>B</v>
      </c>
    </row>
    <row r="3184" spans="1:8" x14ac:dyDescent="0.2">
      <c r="A3184" t="str">
        <f t="shared" si="1164"/>
        <v>0612020021</v>
      </c>
      <c r="B3184" t="str">
        <f t="shared" si="1165"/>
        <v>JASON</v>
      </c>
      <c r="C3184" t="str">
        <f t="shared" si="1166"/>
        <v>CHRISTOPHIN</v>
      </c>
      <c r="D3184">
        <f>12</f>
        <v>12</v>
      </c>
      <c r="E3184" t="str">
        <f>"05 - B - 201 - Jazmin S Fletcher"</f>
        <v>05 - B - 201 - Jazmin S Fletcher</v>
      </c>
      <c r="F3184" t="str">
        <f>"THEATRE 1"</f>
        <v>THEATRE 1</v>
      </c>
      <c r="G3184" t="str">
        <f>"09-909"</f>
        <v>09-909</v>
      </c>
      <c r="H3184" t="str">
        <f>"B"</f>
        <v>B</v>
      </c>
    </row>
    <row r="3185" spans="1:8" x14ac:dyDescent="0.2">
      <c r="A3185" t="str">
        <f t="shared" si="1164"/>
        <v>0612020021</v>
      </c>
      <c r="B3185" t="str">
        <f t="shared" si="1165"/>
        <v>JASON</v>
      </c>
      <c r="C3185" t="str">
        <f t="shared" si="1166"/>
        <v>CHRISTOPHIN</v>
      </c>
      <c r="D3185">
        <f>12</f>
        <v>12</v>
      </c>
      <c r="E3185" t="str">
        <f>"01 - S1 - A - 101 - Leslie J Barton"</f>
        <v>01 - S1 - A - 101 - Leslie J Barton</v>
      </c>
      <c r="F3185" t="str">
        <f>"FIRST AID SAFETY"</f>
        <v>FIRST AID SAFETY</v>
      </c>
      <c r="G3185" t="str">
        <f>"05-521"</f>
        <v>05-521</v>
      </c>
      <c r="H3185" t="str">
        <f>"A"</f>
        <v>A</v>
      </c>
    </row>
    <row r="3186" spans="1:8" x14ac:dyDescent="0.2">
      <c r="A3186" t="str">
        <f t="shared" si="1164"/>
        <v>0612020021</v>
      </c>
      <c r="B3186" t="str">
        <f t="shared" si="1165"/>
        <v>JASON</v>
      </c>
      <c r="C3186" t="str">
        <f t="shared" si="1166"/>
        <v>CHRISTOPHIN</v>
      </c>
      <c r="D3186">
        <f>12</f>
        <v>12</v>
      </c>
      <c r="E3186" t="str">
        <f>"08 - B - 206 - Robyn L Trainer"</f>
        <v>08 - B - 206 - Robyn L Trainer</v>
      </c>
      <c r="F3186" t="str">
        <f>"ENG 4: FL COLL PREP"</f>
        <v>ENG 4: FL COLL PREP</v>
      </c>
      <c r="G3186" t="str">
        <f>"17-1734"</f>
        <v>17-1734</v>
      </c>
      <c r="H3186" t="str">
        <f>"B"</f>
        <v>B</v>
      </c>
    </row>
    <row r="3187" spans="1:8" x14ac:dyDescent="0.2">
      <c r="A3187" t="str">
        <f t="shared" ref="A3187:A3194" si="1167">"0616042179"</f>
        <v>0616042179</v>
      </c>
      <c r="B3187" t="str">
        <f t="shared" ref="B3187:B3194" si="1168">"RICHARDSON"</f>
        <v>RICHARDSON</v>
      </c>
      <c r="C3187" t="str">
        <f t="shared" ref="C3187:C3194" si="1169">"CINE"</f>
        <v>CINE</v>
      </c>
      <c r="D3187" t="str">
        <f t="shared" ref="D3187:D3194" si="1170">"09"</f>
        <v>09</v>
      </c>
      <c r="E3187" t="str">
        <f>"04 - A - 103 - Cerine S Stewart"</f>
        <v>04 - A - 103 - Cerine S Stewart</v>
      </c>
      <c r="F3187" t="str">
        <f>"ENG 1"</f>
        <v>ENG 1</v>
      </c>
      <c r="G3187" t="str">
        <f>"17-1720"</f>
        <v>17-1720</v>
      </c>
      <c r="H3187" t="str">
        <f>"A"</f>
        <v>A</v>
      </c>
    </row>
    <row r="3188" spans="1:8" x14ac:dyDescent="0.2">
      <c r="A3188" t="str">
        <f t="shared" si="1167"/>
        <v>0616042179</v>
      </c>
      <c r="B3188" t="str">
        <f t="shared" si="1168"/>
        <v>RICHARDSON</v>
      </c>
      <c r="C3188" t="str">
        <f t="shared" si="1169"/>
        <v>CINE</v>
      </c>
      <c r="D3188" t="str">
        <f t="shared" si="1170"/>
        <v>09</v>
      </c>
      <c r="E3188" t="str">
        <f>"06 - B - 202 - Samantha L Martinez"</f>
        <v>06 - B - 202 - Samantha L Martinez</v>
      </c>
      <c r="F3188" t="str">
        <f>"GUITAR 1"</f>
        <v>GUITAR 1</v>
      </c>
      <c r="G3188" t="str">
        <f>"05-505"</f>
        <v>05-505</v>
      </c>
      <c r="H3188" t="str">
        <f>"B"</f>
        <v>B</v>
      </c>
    </row>
    <row r="3189" spans="1:8" x14ac:dyDescent="0.2">
      <c r="A3189" t="str">
        <f t="shared" si="1167"/>
        <v>0616042179</v>
      </c>
      <c r="B3189" t="str">
        <f t="shared" si="1168"/>
        <v>RICHARDSON</v>
      </c>
      <c r="C3189" t="str">
        <f t="shared" si="1169"/>
        <v>CINE</v>
      </c>
      <c r="D3189" t="str">
        <f t="shared" si="1170"/>
        <v>09</v>
      </c>
      <c r="E3189" t="str">
        <f>"03 - A - 105 - Elizabeth Ellen  Moran"</f>
        <v>03 - A - 105 - Elizabeth Ellen  Moran</v>
      </c>
      <c r="F3189" t="str">
        <f>"WORLD HISTORY"</f>
        <v>WORLD HISTORY</v>
      </c>
      <c r="G3189" t="str">
        <f>"17-1752"</f>
        <v>17-1752</v>
      </c>
      <c r="H3189" t="str">
        <f>"A"</f>
        <v>A</v>
      </c>
    </row>
    <row r="3190" spans="1:8" x14ac:dyDescent="0.2">
      <c r="A3190" t="str">
        <f t="shared" si="1167"/>
        <v>0616042179</v>
      </c>
      <c r="B3190" t="str">
        <f t="shared" si="1168"/>
        <v>RICHARDSON</v>
      </c>
      <c r="C3190" t="str">
        <f t="shared" si="1169"/>
        <v>CINE</v>
      </c>
      <c r="D3190" t="str">
        <f t="shared" si="1170"/>
        <v>09</v>
      </c>
      <c r="E3190" t="str">
        <f>"02 - A - 102 - Samantha J Headley"</f>
        <v>02 - A - 102 - Samantha J Headley</v>
      </c>
      <c r="F3190" t="str">
        <f>"NC STUDY HALL 1"</f>
        <v>NC STUDY HALL 1</v>
      </c>
      <c r="G3190" t="str">
        <f>"21-2134"</f>
        <v>21-2134</v>
      </c>
      <c r="H3190" t="str">
        <f>"A"</f>
        <v>A</v>
      </c>
    </row>
    <row r="3191" spans="1:8" x14ac:dyDescent="0.2">
      <c r="A3191" t="str">
        <f t="shared" si="1167"/>
        <v>0616042179</v>
      </c>
      <c r="B3191" t="str">
        <f t="shared" si="1168"/>
        <v>RICHARDSON</v>
      </c>
      <c r="C3191" t="str">
        <f t="shared" si="1169"/>
        <v>CINE</v>
      </c>
      <c r="D3191" t="str">
        <f t="shared" si="1170"/>
        <v>09</v>
      </c>
      <c r="E3191" t="str">
        <f>"07 - B - 105 - Laselleda D Shaw"</f>
        <v>07 - B - 105 - Laselleda D Shaw</v>
      </c>
      <c r="F3191" t="str">
        <f>"INTENS READ 1"</f>
        <v>INTENS READ 1</v>
      </c>
      <c r="G3191" t="str">
        <f>"17-1723"</f>
        <v>17-1723</v>
      </c>
      <c r="H3191" t="str">
        <f>"B"</f>
        <v>B</v>
      </c>
    </row>
    <row r="3192" spans="1:8" x14ac:dyDescent="0.2">
      <c r="A3192" t="str">
        <f t="shared" si="1167"/>
        <v>0616042179</v>
      </c>
      <c r="B3192" t="str">
        <f t="shared" si="1168"/>
        <v>RICHARDSON</v>
      </c>
      <c r="C3192" t="str">
        <f t="shared" si="1169"/>
        <v>CINE</v>
      </c>
      <c r="D3192" t="str">
        <f t="shared" si="1170"/>
        <v>09</v>
      </c>
      <c r="E3192" t="str">
        <f>"05 - B - 102 - Tina L Lovett"</f>
        <v>05 - B - 102 - Tina L Lovett</v>
      </c>
      <c r="F3192" t="str">
        <f>"PRE-AICE MATH 1 IG"</f>
        <v>PRE-AICE MATH 1 IG</v>
      </c>
      <c r="G3192" t="str">
        <f>"21-2153"</f>
        <v>21-2153</v>
      </c>
      <c r="H3192" t="str">
        <f>"B"</f>
        <v>B</v>
      </c>
    </row>
    <row r="3193" spans="1:8" x14ac:dyDescent="0.2">
      <c r="A3193" t="str">
        <f t="shared" si="1167"/>
        <v>0616042179</v>
      </c>
      <c r="B3193" t="str">
        <f t="shared" si="1168"/>
        <v>RICHARDSON</v>
      </c>
      <c r="C3193" t="str">
        <f t="shared" si="1169"/>
        <v>CINE</v>
      </c>
      <c r="D3193" t="str">
        <f t="shared" si="1170"/>
        <v>09</v>
      </c>
      <c r="E3193" t="str">
        <f>"01 - A - 101 - Adam Marcus  Drucker"</f>
        <v>01 - A - 101 - Adam Marcus  Drucker</v>
      </c>
      <c r="F3193" t="str">
        <f>"HOPE-PE V"</f>
        <v>HOPE-PE V</v>
      </c>
      <c r="G3193" t="str">
        <f>"04-254"</f>
        <v>04-254</v>
      </c>
      <c r="H3193" t="str">
        <f>"A"</f>
        <v>A</v>
      </c>
    </row>
    <row r="3194" spans="1:8" x14ac:dyDescent="0.2">
      <c r="A3194" t="str">
        <f t="shared" si="1167"/>
        <v>0616042179</v>
      </c>
      <c r="B3194" t="str">
        <f t="shared" si="1168"/>
        <v>RICHARDSON</v>
      </c>
      <c r="C3194" t="str">
        <f t="shared" si="1169"/>
        <v>CINE</v>
      </c>
      <c r="D3194" t="str">
        <f t="shared" si="1170"/>
        <v>09</v>
      </c>
      <c r="E3194" t="str">
        <f>"08 - B - 105 - Samantha J Headley"</f>
        <v>08 - B - 105 - Samantha J Headley</v>
      </c>
      <c r="F3194" t="str">
        <f>"ENV SCI"</f>
        <v>ENV SCI</v>
      </c>
      <c r="G3194" t="str">
        <f>"08-802"</f>
        <v>08-802</v>
      </c>
      <c r="H3194" t="str">
        <f>"B"</f>
        <v>B</v>
      </c>
    </row>
    <row r="3195" spans="1:8" x14ac:dyDescent="0.2">
      <c r="A3195" t="str">
        <f t="shared" ref="A3195:A3202" si="1171">"0614010158"</f>
        <v>0614010158</v>
      </c>
      <c r="B3195" t="str">
        <f t="shared" ref="B3195:B3202" si="1172">"AYANNA"</f>
        <v>AYANNA</v>
      </c>
      <c r="C3195" t="str">
        <f t="shared" ref="C3195:C3202" si="1173">"CINE-TANIS"</f>
        <v>CINE-TANIS</v>
      </c>
      <c r="D3195">
        <f>12</f>
        <v>12</v>
      </c>
      <c r="E3195" t="str">
        <f>"04 - A - 104 - Robert H Rindner"</f>
        <v>04 - A - 104 - Robert H Rindner</v>
      </c>
      <c r="F3195" t="str">
        <f>"MATH DATA&amp;FIN LIT H"</f>
        <v>MATH DATA&amp;FIN LIT H</v>
      </c>
      <c r="G3195" t="str">
        <f>"21-2160"</f>
        <v>21-2160</v>
      </c>
      <c r="H3195" t="str">
        <f>"A"</f>
        <v>A</v>
      </c>
    </row>
    <row r="3196" spans="1:8" x14ac:dyDescent="0.2">
      <c r="A3196" t="str">
        <f t="shared" si="1171"/>
        <v>0614010158</v>
      </c>
      <c r="B3196" t="str">
        <f t="shared" si="1172"/>
        <v>AYANNA</v>
      </c>
      <c r="C3196" t="str">
        <f t="shared" si="1173"/>
        <v>CINE-TANIS</v>
      </c>
      <c r="D3196">
        <f>12</f>
        <v>12</v>
      </c>
      <c r="E3196" t="str">
        <f>"06 - B - 110 - Barbara L Segal"</f>
        <v>06 - B - 110 - Barbara L Segal</v>
      </c>
      <c r="F3196" t="str">
        <f>"NC STUDY HALL 1"</f>
        <v>NC STUDY HALL 1</v>
      </c>
      <c r="G3196" t="str">
        <f>"17-1742"</f>
        <v>17-1742</v>
      </c>
      <c r="H3196" t="str">
        <f>"B"</f>
        <v>B</v>
      </c>
    </row>
    <row r="3197" spans="1:8" x14ac:dyDescent="0.2">
      <c r="A3197" t="str">
        <f t="shared" si="1171"/>
        <v>0614010158</v>
      </c>
      <c r="B3197" t="str">
        <f t="shared" si="1172"/>
        <v>AYANNA</v>
      </c>
      <c r="C3197" t="str">
        <f t="shared" si="1173"/>
        <v>CINE-TANIS</v>
      </c>
      <c r="D3197">
        <f>12</f>
        <v>12</v>
      </c>
      <c r="E3197" t="str">
        <f>"03 - A - 201 - Christa T Parisi"</f>
        <v>03 - A - 201 - Christa T Parisi</v>
      </c>
      <c r="F3197" t="str">
        <f>"DANCE TECHNQS 1"</f>
        <v>DANCE TECHNQS 1</v>
      </c>
      <c r="G3197" t="str">
        <f>"05-503"</f>
        <v>05-503</v>
      </c>
      <c r="H3197" t="str">
        <f>"A"</f>
        <v>A</v>
      </c>
    </row>
    <row r="3198" spans="1:8" x14ac:dyDescent="0.2">
      <c r="A3198" t="str">
        <f t="shared" si="1171"/>
        <v>0614010158</v>
      </c>
      <c r="B3198" t="str">
        <f t="shared" si="1172"/>
        <v>AYANNA</v>
      </c>
      <c r="C3198" t="str">
        <f t="shared" si="1173"/>
        <v>CINE-TANIS</v>
      </c>
      <c r="D3198">
        <f>12</f>
        <v>12</v>
      </c>
      <c r="E3198" t="str">
        <f>"02 - A - 102 - Adam Marcus  Drucker"</f>
        <v>02 - A - 102 - Adam Marcus  Drucker</v>
      </c>
      <c r="F3198" t="str">
        <f>"HOPE-PE V"</f>
        <v>HOPE-PE V</v>
      </c>
      <c r="G3198" t="str">
        <f>"04-254"</f>
        <v>04-254</v>
      </c>
      <c r="H3198" t="str">
        <f>"A"</f>
        <v>A</v>
      </c>
    </row>
    <row r="3199" spans="1:8" x14ac:dyDescent="0.2">
      <c r="A3199" t="str">
        <f t="shared" si="1171"/>
        <v>0614010158</v>
      </c>
      <c r="B3199" t="str">
        <f t="shared" si="1172"/>
        <v>AYANNA</v>
      </c>
      <c r="C3199" t="str">
        <f t="shared" si="1173"/>
        <v>CINE-TANIS</v>
      </c>
      <c r="D3199">
        <f>12</f>
        <v>12</v>
      </c>
      <c r="E3199" t="str">
        <f>"07 - B - 105 - Cliffon  Saurel"</f>
        <v>07 - B - 105 - Cliffon  Saurel</v>
      </c>
      <c r="F3199" t="str">
        <f>"PHYSICAL SCI"</f>
        <v>PHYSICAL SCI</v>
      </c>
      <c r="G3199" t="str">
        <f>"05-522"</f>
        <v>05-522</v>
      </c>
      <c r="H3199" t="str">
        <f>"B"</f>
        <v>B</v>
      </c>
    </row>
    <row r="3200" spans="1:8" x14ac:dyDescent="0.2">
      <c r="A3200" t="str">
        <f t="shared" si="1171"/>
        <v>0614010158</v>
      </c>
      <c r="B3200" t="str">
        <f t="shared" si="1172"/>
        <v>AYANNA</v>
      </c>
      <c r="C3200" t="str">
        <f t="shared" si="1173"/>
        <v>CINE-TANIS</v>
      </c>
      <c r="D3200">
        <f>12</f>
        <v>12</v>
      </c>
      <c r="E3200" t="str">
        <f>"05 - S1 - B - 103 - Leslie J Barton"</f>
        <v>05 - S1 - B - 103 - Leslie J Barton</v>
      </c>
      <c r="F3200" t="str">
        <f>"FIRST AID SAFETY"</f>
        <v>FIRST AID SAFETY</v>
      </c>
      <c r="G3200" t="str">
        <f>"05-521"</f>
        <v>05-521</v>
      </c>
      <c r="H3200" t="str">
        <f>"B"</f>
        <v>B</v>
      </c>
    </row>
    <row r="3201" spans="1:8" x14ac:dyDescent="0.2">
      <c r="A3201" t="str">
        <f t="shared" si="1171"/>
        <v>0614010158</v>
      </c>
      <c r="B3201" t="str">
        <f t="shared" si="1172"/>
        <v>AYANNA</v>
      </c>
      <c r="C3201" t="str">
        <f t="shared" si="1173"/>
        <v>CINE-TANIS</v>
      </c>
      <c r="D3201">
        <f>12</f>
        <v>12</v>
      </c>
      <c r="E3201" t="str">
        <f>"01 - S1 - A - 101 - Robert O Burger"</f>
        <v>01 - S1 - A - 101 - Robert O Burger</v>
      </c>
      <c r="F3201" t="str">
        <f>"US GOVT"</f>
        <v>US GOVT</v>
      </c>
      <c r="G3201" t="str">
        <f>"17-1755"</f>
        <v>17-1755</v>
      </c>
      <c r="H3201" t="str">
        <f>"A"</f>
        <v>A</v>
      </c>
    </row>
    <row r="3202" spans="1:8" x14ac:dyDescent="0.2">
      <c r="A3202" t="str">
        <f t="shared" si="1171"/>
        <v>0614010158</v>
      </c>
      <c r="B3202" t="str">
        <f t="shared" si="1172"/>
        <v>AYANNA</v>
      </c>
      <c r="C3202" t="str">
        <f t="shared" si="1173"/>
        <v>CINE-TANIS</v>
      </c>
      <c r="D3202">
        <f>12</f>
        <v>12</v>
      </c>
      <c r="E3202" t="str">
        <f>"08 - B - 103 - Chrystina M Marchionne"</f>
        <v>08 - B - 103 - Chrystina M Marchionne</v>
      </c>
      <c r="F3202" t="str">
        <f>"JOURN 2 (YB) LH"</f>
        <v>JOURN 2 (YB) LH</v>
      </c>
      <c r="G3202" t="str">
        <f>"05-520"</f>
        <v>05-520</v>
      </c>
      <c r="H3202" t="str">
        <f>"B"</f>
        <v>B</v>
      </c>
    </row>
    <row r="3203" spans="1:8" x14ac:dyDescent="0.2">
      <c r="A3203" t="str">
        <f t="shared" ref="A3203:A3210" si="1174">"0613102074"</f>
        <v>0613102074</v>
      </c>
      <c r="B3203" t="str">
        <f t="shared" ref="B3203:B3210" si="1175">"AARON"</f>
        <v>AARON</v>
      </c>
      <c r="C3203" t="str">
        <f t="shared" ref="C3203:C3218" si="1176">"CLARENCE"</f>
        <v>CLARENCE</v>
      </c>
      <c r="D3203">
        <f>12</f>
        <v>12</v>
      </c>
      <c r="E3203" t="str">
        <f>"04 - A - 104 - Robert H Rindner"</f>
        <v>04 - A - 104 - Robert H Rindner</v>
      </c>
      <c r="F3203" t="str">
        <f>"MATH DATA&amp;FIN LIT H"</f>
        <v>MATH DATA&amp;FIN LIT H</v>
      </c>
      <c r="G3203" t="str">
        <f>"21-2160"</f>
        <v>21-2160</v>
      </c>
      <c r="H3203" t="str">
        <f>"A"</f>
        <v>A</v>
      </c>
    </row>
    <row r="3204" spans="1:8" x14ac:dyDescent="0.2">
      <c r="A3204" t="str">
        <f t="shared" si="1174"/>
        <v>0613102074</v>
      </c>
      <c r="B3204" t="str">
        <f t="shared" si="1175"/>
        <v>AARON</v>
      </c>
      <c r="C3204" t="str">
        <f t="shared" si="1176"/>
        <v>CLARENCE</v>
      </c>
      <c r="D3204">
        <f>12</f>
        <v>12</v>
      </c>
      <c r="E3204" t="str">
        <f>"06 - B - 110 - Barbara L Segal"</f>
        <v>06 - B - 110 - Barbara L Segal</v>
      </c>
      <c r="F3204" t="str">
        <f>"NC STUDY HALL 1"</f>
        <v>NC STUDY HALL 1</v>
      </c>
      <c r="G3204" t="str">
        <f>"17-1742"</f>
        <v>17-1742</v>
      </c>
      <c r="H3204" t="str">
        <f>"B"</f>
        <v>B</v>
      </c>
    </row>
    <row r="3205" spans="1:8" x14ac:dyDescent="0.2">
      <c r="A3205" t="str">
        <f t="shared" si="1174"/>
        <v>0613102074</v>
      </c>
      <c r="B3205" t="str">
        <f t="shared" si="1175"/>
        <v>AARON</v>
      </c>
      <c r="C3205" t="str">
        <f t="shared" si="1176"/>
        <v>CLARENCE</v>
      </c>
      <c r="D3205">
        <f>12</f>
        <v>12</v>
      </c>
      <c r="E3205" t="str">
        <f>"03 - A - 201 - Chrystina M Marchionne"</f>
        <v>03 - A - 201 - Chrystina M Marchionne</v>
      </c>
      <c r="F3205" t="str">
        <f>"JOURN 1 (YB) LH"</f>
        <v>JOURN 1 (YB) LH</v>
      </c>
      <c r="G3205" t="str">
        <f>"05-520"</f>
        <v>05-520</v>
      </c>
      <c r="H3205" t="str">
        <f>"A"</f>
        <v>A</v>
      </c>
    </row>
    <row r="3206" spans="1:8" x14ac:dyDescent="0.2">
      <c r="A3206" t="str">
        <f t="shared" si="1174"/>
        <v>0613102074</v>
      </c>
      <c r="B3206" t="str">
        <f t="shared" si="1175"/>
        <v>AARON</v>
      </c>
      <c r="C3206" t="str">
        <f t="shared" si="1176"/>
        <v>CLARENCE</v>
      </c>
      <c r="D3206">
        <f>12</f>
        <v>12</v>
      </c>
      <c r="E3206" t="str">
        <f>"02 - S1 - A - 104 - Robert O Burger"</f>
        <v>02 - S1 - A - 104 - Robert O Burger</v>
      </c>
      <c r="F3206" t="str">
        <f>"US GOVT"</f>
        <v>US GOVT</v>
      </c>
      <c r="G3206" t="str">
        <f>"17-1755"</f>
        <v>17-1755</v>
      </c>
      <c r="H3206" t="str">
        <f>"A"</f>
        <v>A</v>
      </c>
    </row>
    <row r="3207" spans="1:8" x14ac:dyDescent="0.2">
      <c r="A3207" t="str">
        <f t="shared" si="1174"/>
        <v>0613102074</v>
      </c>
      <c r="B3207" t="str">
        <f t="shared" si="1175"/>
        <v>AARON</v>
      </c>
      <c r="C3207" t="str">
        <f t="shared" si="1176"/>
        <v>CLARENCE</v>
      </c>
      <c r="D3207">
        <f>12</f>
        <v>12</v>
      </c>
      <c r="E3207" t="str">
        <f>"07 - B - 101 - Samantha L Martinez"</f>
        <v>07 - B - 101 - Samantha L Martinez</v>
      </c>
      <c r="F3207" t="str">
        <f>"KEYBD 1"</f>
        <v>KEYBD 1</v>
      </c>
      <c r="G3207" t="str">
        <f>"05-505"</f>
        <v>05-505</v>
      </c>
      <c r="H3207" t="str">
        <f>"B"</f>
        <v>B</v>
      </c>
    </row>
    <row r="3208" spans="1:8" x14ac:dyDescent="0.2">
      <c r="A3208" t="str">
        <f t="shared" si="1174"/>
        <v>0613102074</v>
      </c>
      <c r="B3208" t="str">
        <f t="shared" si="1175"/>
        <v>AARON</v>
      </c>
      <c r="C3208" t="str">
        <f t="shared" si="1176"/>
        <v>CLARENCE</v>
      </c>
      <c r="D3208">
        <f>12</f>
        <v>12</v>
      </c>
      <c r="E3208" t="str">
        <f>"05 - B - 102 - Robyn L Trainer"</f>
        <v>05 - B - 102 - Robyn L Trainer</v>
      </c>
      <c r="F3208" t="str">
        <f>"ENG 4"</f>
        <v>ENG 4</v>
      </c>
      <c r="G3208" t="str">
        <f>"17-1734"</f>
        <v>17-1734</v>
      </c>
      <c r="H3208" t="str">
        <f>"B"</f>
        <v>B</v>
      </c>
    </row>
    <row r="3209" spans="1:8" x14ac:dyDescent="0.2">
      <c r="A3209" t="str">
        <f t="shared" si="1174"/>
        <v>0613102074</v>
      </c>
      <c r="B3209" t="str">
        <f t="shared" si="1175"/>
        <v>AARON</v>
      </c>
      <c r="C3209" t="str">
        <f t="shared" si="1176"/>
        <v>CLARENCE</v>
      </c>
      <c r="D3209">
        <f>12</f>
        <v>12</v>
      </c>
      <c r="E3209" t="str">
        <f>"01 - A - 201 - Jeanne M Bermudez"</f>
        <v>01 - A - 201 - Jeanne M Bermudez</v>
      </c>
      <c r="F3209" t="str">
        <f>"PHYSICS 1 HON"</f>
        <v>PHYSICS 1 HON</v>
      </c>
      <c r="G3209" t="str">
        <f>"21-2141"</f>
        <v>21-2141</v>
      </c>
      <c r="H3209" t="str">
        <f>"A"</f>
        <v>A</v>
      </c>
    </row>
    <row r="3210" spans="1:8" x14ac:dyDescent="0.2">
      <c r="A3210" t="str">
        <f t="shared" si="1174"/>
        <v>0613102074</v>
      </c>
      <c r="B3210" t="str">
        <f t="shared" si="1175"/>
        <v>AARON</v>
      </c>
      <c r="C3210" t="str">
        <f t="shared" si="1176"/>
        <v>CLARENCE</v>
      </c>
      <c r="D3210">
        <f>12</f>
        <v>12</v>
      </c>
      <c r="E3210" t="str">
        <f>"08 - S1 - B - 104 - Leslie J Barton"</f>
        <v>08 - S1 - B - 104 - Leslie J Barton</v>
      </c>
      <c r="F3210" t="str">
        <f>"TEAM SPORTS 1"</f>
        <v>TEAM SPORTS 1</v>
      </c>
      <c r="G3210" t="str">
        <f>"04-254"</f>
        <v>04-254</v>
      </c>
      <c r="H3210" t="str">
        <f>"B"</f>
        <v>B</v>
      </c>
    </row>
    <row r="3211" spans="1:8" x14ac:dyDescent="0.2">
      <c r="A3211" t="str">
        <f t="shared" ref="A3211:A3218" si="1177">"0617026021"</f>
        <v>0617026021</v>
      </c>
      <c r="B3211" t="str">
        <f t="shared" ref="B3211:B3218" si="1178">"ETHON"</f>
        <v>ETHON</v>
      </c>
      <c r="C3211" t="str">
        <f t="shared" si="1176"/>
        <v>CLARENCE</v>
      </c>
      <c r="D3211" t="str">
        <f t="shared" ref="D3211:D3218" si="1179">"09"</f>
        <v>09</v>
      </c>
      <c r="E3211" t="str">
        <f>"04 - A - 103 - Cerine S Stewart"</f>
        <v>04 - A - 103 - Cerine S Stewart</v>
      </c>
      <c r="F3211" t="str">
        <f>"ENG 1"</f>
        <v>ENG 1</v>
      </c>
      <c r="G3211" t="str">
        <f>"17-1720"</f>
        <v>17-1720</v>
      </c>
      <c r="H3211" t="str">
        <f>"A"</f>
        <v>A</v>
      </c>
    </row>
    <row r="3212" spans="1:8" x14ac:dyDescent="0.2">
      <c r="A3212" t="str">
        <f t="shared" si="1177"/>
        <v>0617026021</v>
      </c>
      <c r="B3212" t="str">
        <f t="shared" si="1178"/>
        <v>ETHON</v>
      </c>
      <c r="C3212" t="str">
        <f t="shared" si="1176"/>
        <v>CLARENCE</v>
      </c>
      <c r="D3212" t="str">
        <f t="shared" si="1179"/>
        <v>09</v>
      </c>
      <c r="E3212" t="str">
        <f>"06 - S1 - B - 102 - Daniel S Katz"</f>
        <v>06 - S1 - B - 102 - Daniel S Katz</v>
      </c>
      <c r="F3212" t="str">
        <f>"COURT PROCED"</f>
        <v>COURT PROCED</v>
      </c>
      <c r="G3212" t="str">
        <f>"21-2156"</f>
        <v>21-2156</v>
      </c>
      <c r="H3212" t="str">
        <f>"B"</f>
        <v>B</v>
      </c>
    </row>
    <row r="3213" spans="1:8" x14ac:dyDescent="0.2">
      <c r="A3213" t="str">
        <f t="shared" si="1177"/>
        <v>0617026021</v>
      </c>
      <c r="B3213" t="str">
        <f t="shared" si="1178"/>
        <v>ETHON</v>
      </c>
      <c r="C3213" t="str">
        <f t="shared" si="1176"/>
        <v>CLARENCE</v>
      </c>
      <c r="D3213" t="str">
        <f t="shared" si="1179"/>
        <v>09</v>
      </c>
      <c r="E3213" t="str">
        <f>"03 - A - 208 - Marielle A Witting"</f>
        <v>03 - A - 208 - Marielle A Witting</v>
      </c>
      <c r="F3213" t="str">
        <f>"ANAT PHYSIO"</f>
        <v>ANAT PHYSIO</v>
      </c>
      <c r="G3213" t="str">
        <f>"08-805"</f>
        <v>08-805</v>
      </c>
      <c r="H3213" t="str">
        <f>"A"</f>
        <v>A</v>
      </c>
    </row>
    <row r="3214" spans="1:8" x14ac:dyDescent="0.2">
      <c r="A3214" t="str">
        <f t="shared" si="1177"/>
        <v>0617026021</v>
      </c>
      <c r="B3214" t="str">
        <f t="shared" si="1178"/>
        <v>ETHON</v>
      </c>
      <c r="C3214" t="str">
        <f t="shared" si="1176"/>
        <v>CLARENCE</v>
      </c>
      <c r="D3214" t="str">
        <f t="shared" si="1179"/>
        <v>09</v>
      </c>
      <c r="E3214" t="str">
        <f>"02 - A - 110 - Maried P Ramos"</f>
        <v>02 - A - 110 - Maried P Ramos</v>
      </c>
      <c r="F3214" t="str">
        <f>"NC STUDY HALL 1"</f>
        <v>NC STUDY HALL 1</v>
      </c>
      <c r="G3214" t="str">
        <f>"21-2159"</f>
        <v>21-2159</v>
      </c>
      <c r="H3214" t="str">
        <f>"A"</f>
        <v>A</v>
      </c>
    </row>
    <row r="3215" spans="1:8" x14ac:dyDescent="0.2">
      <c r="A3215" t="str">
        <f t="shared" si="1177"/>
        <v>0617026021</v>
      </c>
      <c r="B3215" t="str">
        <f t="shared" si="1178"/>
        <v>ETHON</v>
      </c>
      <c r="C3215" t="str">
        <f t="shared" si="1176"/>
        <v>CLARENCE</v>
      </c>
      <c r="D3215" t="str">
        <f t="shared" si="1179"/>
        <v>09</v>
      </c>
      <c r="E3215" t="str">
        <f>"07 - B - 105 - Laselleda D Shaw"</f>
        <v>07 - B - 105 - Laselleda D Shaw</v>
      </c>
      <c r="F3215" t="str">
        <f>"INTENS READ 1"</f>
        <v>INTENS READ 1</v>
      </c>
      <c r="G3215" t="str">
        <f>"17-1723"</f>
        <v>17-1723</v>
      </c>
      <c r="H3215" t="str">
        <f>"B"</f>
        <v>B</v>
      </c>
    </row>
    <row r="3216" spans="1:8" x14ac:dyDescent="0.2">
      <c r="A3216" t="str">
        <f t="shared" si="1177"/>
        <v>0617026021</v>
      </c>
      <c r="B3216" t="str">
        <f t="shared" si="1178"/>
        <v>ETHON</v>
      </c>
      <c r="C3216" t="str">
        <f t="shared" si="1176"/>
        <v>CLARENCE</v>
      </c>
      <c r="D3216" t="str">
        <f t="shared" si="1179"/>
        <v>09</v>
      </c>
      <c r="E3216" t="str">
        <f>"05 - B - 103 - Brook E Goren"</f>
        <v>05 - B - 103 - Brook E Goren</v>
      </c>
      <c r="F3216" t="str">
        <f>"PRE-AICE MATH 2 IG"</f>
        <v>PRE-AICE MATH 2 IG</v>
      </c>
      <c r="G3216" t="str">
        <f>"21-2158"</f>
        <v>21-2158</v>
      </c>
      <c r="H3216" t="str">
        <f>"B"</f>
        <v>B</v>
      </c>
    </row>
    <row r="3217" spans="1:8" x14ac:dyDescent="0.2">
      <c r="A3217" t="str">
        <f t="shared" si="1177"/>
        <v>0617026021</v>
      </c>
      <c r="B3217" t="str">
        <f t="shared" si="1178"/>
        <v>ETHON</v>
      </c>
      <c r="C3217" t="str">
        <f t="shared" si="1176"/>
        <v>CLARENCE</v>
      </c>
      <c r="D3217" t="str">
        <f t="shared" si="1179"/>
        <v>09</v>
      </c>
      <c r="E3217" t="str">
        <f>"01 - A - 101 - Vanessa J Liburd"</f>
        <v>01 - A - 101 - Vanessa J Liburd</v>
      </c>
      <c r="F3217" t="str">
        <f>"PRE-AICE FRENCH 1 IG"</f>
        <v>PRE-AICE FRENCH 1 IG</v>
      </c>
      <c r="G3217" t="str">
        <f>"05-519"</f>
        <v>05-519</v>
      </c>
      <c r="H3217" t="str">
        <f>"A"</f>
        <v>A</v>
      </c>
    </row>
    <row r="3218" spans="1:8" x14ac:dyDescent="0.2">
      <c r="A3218" t="str">
        <f t="shared" si="1177"/>
        <v>0617026021</v>
      </c>
      <c r="B3218" t="str">
        <f t="shared" si="1178"/>
        <v>ETHON</v>
      </c>
      <c r="C3218" t="str">
        <f t="shared" si="1176"/>
        <v>CLARENCE</v>
      </c>
      <c r="D3218" t="str">
        <f t="shared" si="1179"/>
        <v>09</v>
      </c>
      <c r="E3218" t="str">
        <f>"08 - B - 101 - Elizabeth Ellen  Moran"</f>
        <v>08 - B - 101 - Elizabeth Ellen  Moran</v>
      </c>
      <c r="F3218" t="str">
        <f>"WORLD HISTORY"</f>
        <v>WORLD HISTORY</v>
      </c>
      <c r="G3218" t="str">
        <f>"17-1752"</f>
        <v>17-1752</v>
      </c>
      <c r="H3218" t="str">
        <f>"B"</f>
        <v>B</v>
      </c>
    </row>
    <row r="3219" spans="1:8" x14ac:dyDescent="0.2">
      <c r="A3219" t="str">
        <f t="shared" ref="A3219:A3226" si="1180">"0615039188"</f>
        <v>0615039188</v>
      </c>
      <c r="B3219" t="str">
        <f t="shared" ref="B3219:B3226" si="1181">"ALIYAH"</f>
        <v>ALIYAH</v>
      </c>
      <c r="C3219" t="str">
        <f t="shared" ref="C3219:C3234" si="1182">"CLARK"</f>
        <v>CLARK</v>
      </c>
      <c r="D3219">
        <f>10</f>
        <v>10</v>
      </c>
      <c r="E3219" t="str">
        <f>"04 - A - 101 - Christa T Parisi"</f>
        <v>04 - A - 101 - Christa T Parisi</v>
      </c>
      <c r="F3219" t="str">
        <f>"DANCE TECHNQS 2"</f>
        <v>DANCE TECHNQS 2</v>
      </c>
      <c r="G3219" t="str">
        <f>"05-503"</f>
        <v>05-503</v>
      </c>
      <c r="H3219" t="str">
        <f>"A"</f>
        <v>A</v>
      </c>
    </row>
    <row r="3220" spans="1:8" x14ac:dyDescent="0.2">
      <c r="A3220" t="str">
        <f t="shared" si="1180"/>
        <v>0615039188</v>
      </c>
      <c r="B3220" t="str">
        <f t="shared" si="1181"/>
        <v>ALIYAH</v>
      </c>
      <c r="C3220" t="str">
        <f t="shared" si="1182"/>
        <v>CLARK</v>
      </c>
      <c r="D3220">
        <f>10</f>
        <v>10</v>
      </c>
      <c r="E3220" t="str">
        <f>"06 - B - 104 - Robert H Rindner"</f>
        <v>06 - B - 104 - Robert H Rindner</v>
      </c>
      <c r="F3220" t="str">
        <f>"NC STUDY HALL 1"</f>
        <v>NC STUDY HALL 1</v>
      </c>
      <c r="G3220" t="str">
        <f>"21-2160"</f>
        <v>21-2160</v>
      </c>
      <c r="H3220" t="str">
        <f>"B"</f>
        <v>B</v>
      </c>
    </row>
    <row r="3221" spans="1:8" x14ac:dyDescent="0.2">
      <c r="A3221" t="str">
        <f t="shared" si="1180"/>
        <v>0615039188</v>
      </c>
      <c r="B3221" t="str">
        <f t="shared" si="1181"/>
        <v>ALIYAH</v>
      </c>
      <c r="C3221" t="str">
        <f t="shared" si="1182"/>
        <v>CLARK</v>
      </c>
      <c r="D3221">
        <f>10</f>
        <v>10</v>
      </c>
      <c r="E3221" t="str">
        <f>"03 - A - 103 - Pamela M Corzo"</f>
        <v>03 - A - 103 - Pamela M Corzo</v>
      </c>
      <c r="F3221" t="str">
        <f>"ALGEBRA 2 HON"</f>
        <v>ALGEBRA 2 HON</v>
      </c>
      <c r="G3221" t="str">
        <f>"21-2133"</f>
        <v>21-2133</v>
      </c>
      <c r="H3221" t="str">
        <f>"A"</f>
        <v>A</v>
      </c>
    </row>
    <row r="3222" spans="1:8" x14ac:dyDescent="0.2">
      <c r="A3222" t="str">
        <f t="shared" si="1180"/>
        <v>0615039188</v>
      </c>
      <c r="B3222" t="str">
        <f t="shared" si="1181"/>
        <v>ALIYAH</v>
      </c>
      <c r="C3222" t="str">
        <f t="shared" si="1182"/>
        <v>CLARK</v>
      </c>
      <c r="D3222">
        <f>10</f>
        <v>10</v>
      </c>
      <c r="E3222" t="str">
        <f>"02 - A - 102 - Marius D Orsolini"</f>
        <v>02 - A - 102 - Marius D Orsolini</v>
      </c>
      <c r="F3222" t="str">
        <f>"CULINARY ARTS 1"</f>
        <v>CULINARY ARTS 1</v>
      </c>
      <c r="G3222" t="str">
        <f>"21-2115"</f>
        <v>21-2115</v>
      </c>
      <c r="H3222" t="str">
        <f>"A"</f>
        <v>A</v>
      </c>
    </row>
    <row r="3223" spans="1:8" x14ac:dyDescent="0.2">
      <c r="A3223" t="str">
        <f t="shared" si="1180"/>
        <v>0615039188</v>
      </c>
      <c r="B3223" t="str">
        <f t="shared" si="1181"/>
        <v>ALIYAH</v>
      </c>
      <c r="C3223" t="str">
        <f t="shared" si="1182"/>
        <v>CLARK</v>
      </c>
      <c r="D3223">
        <f>10</f>
        <v>10</v>
      </c>
      <c r="E3223" t="str">
        <f>"07 - B - 102 - Nikiel  Nesbeth"</f>
        <v>07 - B - 102 - Nikiel  Nesbeth</v>
      </c>
      <c r="F3223" t="str">
        <f>"PRE-AICE ENG LIT IG"</f>
        <v>PRE-AICE ENG LIT IG</v>
      </c>
      <c r="G3223" t="str">
        <f>"17-1705"</f>
        <v>17-1705</v>
      </c>
      <c r="H3223" t="str">
        <f>"B"</f>
        <v>B</v>
      </c>
    </row>
    <row r="3224" spans="1:8" x14ac:dyDescent="0.2">
      <c r="A3224" t="str">
        <f t="shared" si="1180"/>
        <v>0615039188</v>
      </c>
      <c r="B3224" t="str">
        <f t="shared" si="1181"/>
        <v>ALIYAH</v>
      </c>
      <c r="C3224" t="str">
        <f t="shared" si="1182"/>
        <v>CLARK</v>
      </c>
      <c r="D3224">
        <f>10</f>
        <v>10</v>
      </c>
      <c r="E3224" t="str">
        <f>"05 - S1 - B - 102 - Lissa C Frederique"</f>
        <v>05 - S1 - B - 102 - Lissa C Frederique</v>
      </c>
      <c r="F3224" t="str">
        <f>"PERS FIN &amp; MON MGT H"</f>
        <v>PERS FIN &amp; MON MGT H</v>
      </c>
      <c r="G3224" t="str">
        <f>"17-1754"</f>
        <v>17-1754</v>
      </c>
      <c r="H3224" t="str">
        <f>"B"</f>
        <v>B</v>
      </c>
    </row>
    <row r="3225" spans="1:8" x14ac:dyDescent="0.2">
      <c r="A3225" t="str">
        <f t="shared" si="1180"/>
        <v>0615039188</v>
      </c>
      <c r="B3225" t="str">
        <f t="shared" si="1181"/>
        <v>ALIYAH</v>
      </c>
      <c r="C3225" t="str">
        <f t="shared" si="1182"/>
        <v>CLARK</v>
      </c>
      <c r="D3225">
        <f>10</f>
        <v>10</v>
      </c>
      <c r="E3225" t="str">
        <f>"01 - A - 107 - Valerie J Ruwe"</f>
        <v>01 - A - 107 - Valerie J Ruwe</v>
      </c>
      <c r="F3225" t="str">
        <f>"CHEMISTRY 1 HON"</f>
        <v>CHEMISTRY 1 HON</v>
      </c>
      <c r="G3225" t="str">
        <f>"21-2134"</f>
        <v>21-2134</v>
      </c>
      <c r="H3225" t="str">
        <f>"A"</f>
        <v>A</v>
      </c>
    </row>
    <row r="3226" spans="1:8" x14ac:dyDescent="0.2">
      <c r="A3226" t="str">
        <f t="shared" si="1180"/>
        <v>0615039188</v>
      </c>
      <c r="B3226" t="str">
        <f t="shared" si="1181"/>
        <v>ALIYAH</v>
      </c>
      <c r="C3226" t="str">
        <f t="shared" si="1182"/>
        <v>CLARK</v>
      </c>
      <c r="D3226">
        <f>10</f>
        <v>10</v>
      </c>
      <c r="E3226" t="str">
        <f>"08 - B - 206 - Daniel S Katz"</f>
        <v>08 - B - 206 - Daniel S Katz</v>
      </c>
      <c r="F3226" t="str">
        <f>"AICE MEDIASTUDIES AS"</f>
        <v>AICE MEDIASTUDIES AS</v>
      </c>
      <c r="G3226" t="str">
        <f>"05-521"</f>
        <v>05-521</v>
      </c>
      <c r="H3226" t="str">
        <f>"B"</f>
        <v>B</v>
      </c>
    </row>
    <row r="3227" spans="1:8" x14ac:dyDescent="0.2">
      <c r="A3227" t="str">
        <f t="shared" ref="A3227:A3234" si="1183">"0623136438"</f>
        <v>0623136438</v>
      </c>
      <c r="B3227" t="str">
        <f t="shared" ref="B3227:B3234" si="1184">"DA'MARI"</f>
        <v>DA'MARI</v>
      </c>
      <c r="C3227" t="str">
        <f t="shared" si="1182"/>
        <v>CLARK</v>
      </c>
      <c r="D3227" t="str">
        <f t="shared" ref="D3227:D3234" si="1185">"09"</f>
        <v>09</v>
      </c>
      <c r="E3227" t="str">
        <f>"04 - A - 102 - Elizabeth R Walker"</f>
        <v>04 - A - 102 - Elizabeth R Walker</v>
      </c>
      <c r="F3227" t="str">
        <f>"AICE ENG GEN PAPER 1"</f>
        <v>AICE ENG GEN PAPER 1</v>
      </c>
      <c r="G3227" t="str">
        <f>"17-1703"</f>
        <v>17-1703</v>
      </c>
      <c r="H3227" t="str">
        <f>"A"</f>
        <v>A</v>
      </c>
    </row>
    <row r="3228" spans="1:8" x14ac:dyDescent="0.2">
      <c r="A3228" t="str">
        <f t="shared" si="1183"/>
        <v>0623136438</v>
      </c>
      <c r="B3228" t="str">
        <f t="shared" si="1184"/>
        <v>DA'MARI</v>
      </c>
      <c r="C3228" t="str">
        <f t="shared" si="1182"/>
        <v>CLARK</v>
      </c>
      <c r="D3228" t="str">
        <f t="shared" si="1185"/>
        <v>09</v>
      </c>
      <c r="E3228" t="str">
        <f>"06 - B - 105 - Cheryl L Beach"</f>
        <v>06 - B - 105 - Cheryl L Beach</v>
      </c>
      <c r="F3228" t="str">
        <f>"AICE ENV MGMNT AS"</f>
        <v>AICE ENV MGMNT AS</v>
      </c>
      <c r="G3228" t="str">
        <f>"08-811"</f>
        <v>08-811</v>
      </c>
      <c r="H3228" t="str">
        <f>"B"</f>
        <v>B</v>
      </c>
    </row>
    <row r="3229" spans="1:8" x14ac:dyDescent="0.2">
      <c r="A3229" t="str">
        <f t="shared" si="1183"/>
        <v>0623136438</v>
      </c>
      <c r="B3229" t="str">
        <f t="shared" si="1184"/>
        <v>DA'MARI</v>
      </c>
      <c r="C3229" t="str">
        <f t="shared" si="1182"/>
        <v>CLARK</v>
      </c>
      <c r="D3229" t="str">
        <f t="shared" si="1185"/>
        <v>09</v>
      </c>
      <c r="E3229" t="str">
        <f>"03 - A - 101 - Alejandro  Navarro"</f>
        <v>03 - A - 101 - Alejandro  Navarro</v>
      </c>
      <c r="F3229" t="str">
        <f>"BAND 3"</f>
        <v>BAND 3</v>
      </c>
      <c r="G3229" t="str">
        <f>"05-504"</f>
        <v>05-504</v>
      </c>
      <c r="H3229" t="str">
        <f>"A"</f>
        <v>A</v>
      </c>
    </row>
    <row r="3230" spans="1:8" x14ac:dyDescent="0.2">
      <c r="A3230" t="str">
        <f t="shared" si="1183"/>
        <v>0623136438</v>
      </c>
      <c r="B3230" t="str">
        <f t="shared" si="1184"/>
        <v>DA'MARI</v>
      </c>
      <c r="C3230" t="str">
        <f t="shared" si="1182"/>
        <v>CLARK</v>
      </c>
      <c r="D3230" t="str">
        <f t="shared" si="1185"/>
        <v>09</v>
      </c>
      <c r="E3230" t="str">
        <f>"02 - A - 108 - Rory T Sponsler"</f>
        <v>02 - A - 108 - Rory T Sponsler</v>
      </c>
      <c r="F3230" t="str">
        <f>"NC STUDY HALL 1"</f>
        <v>NC STUDY HALL 1</v>
      </c>
      <c r="G3230" t="str">
        <f>"17-1740"</f>
        <v>17-1740</v>
      </c>
      <c r="H3230" t="str">
        <f>"A"</f>
        <v>A</v>
      </c>
    </row>
    <row r="3231" spans="1:8" x14ac:dyDescent="0.2">
      <c r="A3231" t="str">
        <f t="shared" si="1183"/>
        <v>0623136438</v>
      </c>
      <c r="B3231" t="str">
        <f t="shared" si="1184"/>
        <v>DA'MARI</v>
      </c>
      <c r="C3231" t="str">
        <f t="shared" si="1182"/>
        <v>CLARK</v>
      </c>
      <c r="D3231" t="str">
        <f t="shared" si="1185"/>
        <v>09</v>
      </c>
      <c r="E3231" t="str">
        <f>"07 - S1 - B - 107 - Richard E Dunbar Iii"</f>
        <v>07 - S1 - B - 107 - Richard E Dunbar Iii</v>
      </c>
      <c r="F3231" t="str">
        <f>"WEIGHT TRAIN 1"</f>
        <v>WEIGHT TRAIN 1</v>
      </c>
      <c r="G3231" t="str">
        <f>"05-501"</f>
        <v>05-501</v>
      </c>
      <c r="H3231" t="str">
        <f>"B"</f>
        <v>B</v>
      </c>
    </row>
    <row r="3232" spans="1:8" x14ac:dyDescent="0.2">
      <c r="A3232" t="str">
        <f t="shared" si="1183"/>
        <v>0623136438</v>
      </c>
      <c r="B3232" t="str">
        <f t="shared" si="1184"/>
        <v>DA'MARI</v>
      </c>
      <c r="C3232" t="str">
        <f t="shared" si="1182"/>
        <v>CLARK</v>
      </c>
      <c r="D3232" t="str">
        <f t="shared" si="1185"/>
        <v>09</v>
      </c>
      <c r="E3232" t="str">
        <f>"05 - B - 103 - Brook E Goren"</f>
        <v>05 - B - 103 - Brook E Goren</v>
      </c>
      <c r="F3232" t="str">
        <f>"PRE-AICE MATH 2 IG"</f>
        <v>PRE-AICE MATH 2 IG</v>
      </c>
      <c r="G3232" t="str">
        <f>"21-2158"</f>
        <v>21-2158</v>
      </c>
      <c r="H3232" t="str">
        <f>"B"</f>
        <v>B</v>
      </c>
    </row>
    <row r="3233" spans="1:8" x14ac:dyDescent="0.2">
      <c r="A3233" t="str">
        <f t="shared" si="1183"/>
        <v>0623136438</v>
      </c>
      <c r="B3233" t="str">
        <f t="shared" si="1184"/>
        <v>DA'MARI</v>
      </c>
      <c r="C3233" t="str">
        <f t="shared" si="1182"/>
        <v>CLARK</v>
      </c>
      <c r="D3233" t="str">
        <f t="shared" si="1185"/>
        <v>09</v>
      </c>
      <c r="E3233" t="str">
        <f>"01 - A - 006 - Emmily A Sarmiento"</f>
        <v>01 - A - 006 - Emmily A Sarmiento</v>
      </c>
      <c r="F3233" t="str">
        <f>"AICE GLBL PERSP 1 AS"</f>
        <v>AICE GLBL PERSP 1 AS</v>
      </c>
      <c r="G3233" t="str">
        <f>"17-1743"</f>
        <v>17-1743</v>
      </c>
      <c r="H3233" t="str">
        <f>"A"</f>
        <v>A</v>
      </c>
    </row>
    <row r="3234" spans="1:8" x14ac:dyDescent="0.2">
      <c r="A3234" t="str">
        <f t="shared" si="1183"/>
        <v>0623136438</v>
      </c>
      <c r="B3234" t="str">
        <f t="shared" si="1184"/>
        <v>DA'MARI</v>
      </c>
      <c r="C3234" t="str">
        <f t="shared" si="1182"/>
        <v>CLARK</v>
      </c>
      <c r="D3234" t="str">
        <f t="shared" si="1185"/>
        <v>09</v>
      </c>
      <c r="E3234" t="str">
        <f>"08 - B - 202 - Dorothy D Moore"</f>
        <v>08 - B - 202 - Dorothy D Moore</v>
      </c>
      <c r="F3234" t="str">
        <f>"HEALTH SCI 1/A&amp;P HON"</f>
        <v>HEALTH SCI 1/A&amp;P HON</v>
      </c>
      <c r="G3234" t="str">
        <f>"08-803"</f>
        <v>08-803</v>
      </c>
      <c r="H3234" t="str">
        <f>"B"</f>
        <v>B</v>
      </c>
    </row>
    <row r="3235" spans="1:8" x14ac:dyDescent="0.2">
      <c r="A3235" t="str">
        <f t="shared" ref="A3235:A3242" si="1186">"0613137649"</f>
        <v>0613137649</v>
      </c>
      <c r="B3235" t="str">
        <f t="shared" ref="B3235:B3242" si="1187">"DONTE"</f>
        <v>DONTE</v>
      </c>
      <c r="C3235" t="str">
        <f t="shared" ref="C3235:C3258" si="1188">"CLARKE"</f>
        <v>CLARKE</v>
      </c>
      <c r="D3235">
        <f>12</f>
        <v>12</v>
      </c>
      <c r="E3235" t="str">
        <f>"04 - S1 - A - 101 - Leslie J Barton"</f>
        <v>04 - S1 - A - 101 - Leslie J Barton</v>
      </c>
      <c r="F3235" t="str">
        <f>"TEAM SPORTS 1"</f>
        <v>TEAM SPORTS 1</v>
      </c>
      <c r="G3235" t="str">
        <f>"04-254"</f>
        <v>04-254</v>
      </c>
      <c r="H3235" t="str">
        <f>"A"</f>
        <v>A</v>
      </c>
    </row>
    <row r="3236" spans="1:8" x14ac:dyDescent="0.2">
      <c r="A3236" t="str">
        <f t="shared" si="1186"/>
        <v>0613137649</v>
      </c>
      <c r="B3236" t="str">
        <f t="shared" si="1187"/>
        <v>DONTE</v>
      </c>
      <c r="C3236" t="str">
        <f t="shared" si="1188"/>
        <v>CLARKE</v>
      </c>
      <c r="D3236">
        <f>12</f>
        <v>12</v>
      </c>
      <c r="E3236" t="str">
        <f>"06 - B - 106 - Taraneh C Abreu"</f>
        <v>06 - B - 106 - Taraneh C Abreu</v>
      </c>
      <c r="F3236" t="str">
        <f>"NC STUDY HALL 1"</f>
        <v>NC STUDY HALL 1</v>
      </c>
      <c r="G3236" t="str">
        <f>"17-1713"</f>
        <v>17-1713</v>
      </c>
      <c r="H3236" t="str">
        <f>"B"</f>
        <v>B</v>
      </c>
    </row>
    <row r="3237" spans="1:8" x14ac:dyDescent="0.2">
      <c r="A3237" t="str">
        <f t="shared" si="1186"/>
        <v>0613137649</v>
      </c>
      <c r="B3237" t="str">
        <f t="shared" si="1187"/>
        <v>DONTE</v>
      </c>
      <c r="C3237" t="str">
        <f t="shared" si="1188"/>
        <v>CLARKE</v>
      </c>
      <c r="D3237">
        <f>12</f>
        <v>12</v>
      </c>
      <c r="E3237" t="str">
        <f>"03 - A - 101 - Jeffrey S Gallagher"</f>
        <v>03 - A - 101 - Jeffrey S Gallagher</v>
      </c>
      <c r="F3237" t="str">
        <f>"ENG HON 4"</f>
        <v>ENG HON 4</v>
      </c>
      <c r="G3237" t="str">
        <f>"17-1724"</f>
        <v>17-1724</v>
      </c>
      <c r="H3237" t="str">
        <f>"A"</f>
        <v>A</v>
      </c>
    </row>
    <row r="3238" spans="1:8" x14ac:dyDescent="0.2">
      <c r="A3238" t="str">
        <f t="shared" si="1186"/>
        <v>0613137649</v>
      </c>
      <c r="B3238" t="str">
        <f t="shared" si="1187"/>
        <v>DONTE</v>
      </c>
      <c r="C3238" t="str">
        <f t="shared" si="1188"/>
        <v>CLARKE</v>
      </c>
      <c r="D3238">
        <f>12</f>
        <v>12</v>
      </c>
      <c r="E3238" t="str">
        <f>"02 - A - 103 - Dorothy D Moore"</f>
        <v>02 - A - 103 - Dorothy D Moore</v>
      </c>
      <c r="F3238" t="str">
        <f>"ANAT PHYSIO HON"</f>
        <v>ANAT PHYSIO HON</v>
      </c>
      <c r="G3238" t="str">
        <f>"08-803"</f>
        <v>08-803</v>
      </c>
      <c r="H3238" t="str">
        <f>"A"</f>
        <v>A</v>
      </c>
    </row>
    <row r="3239" spans="1:8" x14ac:dyDescent="0.2">
      <c r="A3239" t="str">
        <f t="shared" si="1186"/>
        <v>0613137649</v>
      </c>
      <c r="B3239" t="str">
        <f t="shared" si="1187"/>
        <v>DONTE</v>
      </c>
      <c r="C3239" t="str">
        <f t="shared" si="1188"/>
        <v>CLARKE</v>
      </c>
      <c r="D3239">
        <f>12</f>
        <v>12</v>
      </c>
      <c r="E3239" t="str">
        <f>"07 - B - 105 - Robert H Rindner"</f>
        <v>07 - B - 105 - Robert H Rindner</v>
      </c>
      <c r="F3239" t="str">
        <f>"MATH DATA&amp;FIN LIT H"</f>
        <v>MATH DATA&amp;FIN LIT H</v>
      </c>
      <c r="G3239" t="str">
        <f>"21-2160"</f>
        <v>21-2160</v>
      </c>
      <c r="H3239" t="str">
        <f>"B"</f>
        <v>B</v>
      </c>
    </row>
    <row r="3240" spans="1:8" x14ac:dyDescent="0.2">
      <c r="A3240" t="str">
        <f t="shared" si="1186"/>
        <v>0613137649</v>
      </c>
      <c r="B3240" t="str">
        <f t="shared" si="1187"/>
        <v>DONTE</v>
      </c>
      <c r="C3240" t="str">
        <f t="shared" si="1188"/>
        <v>CLARKE</v>
      </c>
      <c r="D3240">
        <f>12</f>
        <v>12</v>
      </c>
      <c r="E3240" t="str">
        <f>"05 - B - 101 - Angela S Adeshina-Morrison"</f>
        <v>05 - B - 101 - Angela S Adeshina-Morrison</v>
      </c>
      <c r="F3240" t="str">
        <f>"MKT MANAGEMENT LH"</f>
        <v>MKT MANAGEMENT LH</v>
      </c>
      <c r="G3240" t="str">
        <f>"05-518"</f>
        <v>05-518</v>
      </c>
      <c r="H3240" t="str">
        <f>"B"</f>
        <v>B</v>
      </c>
    </row>
    <row r="3241" spans="1:8" x14ac:dyDescent="0.2">
      <c r="A3241" t="str">
        <f t="shared" si="1186"/>
        <v>0613137649</v>
      </c>
      <c r="B3241" t="str">
        <f t="shared" si="1187"/>
        <v>DONTE</v>
      </c>
      <c r="C3241" t="str">
        <f t="shared" si="1188"/>
        <v>CLARKE</v>
      </c>
      <c r="D3241">
        <f>12</f>
        <v>12</v>
      </c>
      <c r="E3241" t="str">
        <f>"01 - S1 - A - 101 - Barbara L Segal"</f>
        <v>01 - S1 - A - 101 - Barbara L Segal</v>
      </c>
      <c r="F3241" t="str">
        <f>"US GOVT HON"</f>
        <v>US GOVT HON</v>
      </c>
      <c r="G3241" t="str">
        <f>"17-1742"</f>
        <v>17-1742</v>
      </c>
      <c r="H3241" t="str">
        <f>"A"</f>
        <v>A</v>
      </c>
    </row>
    <row r="3242" spans="1:8" x14ac:dyDescent="0.2">
      <c r="A3242" t="str">
        <f t="shared" si="1186"/>
        <v>0613137649</v>
      </c>
      <c r="B3242" t="str">
        <f t="shared" si="1187"/>
        <v>DONTE</v>
      </c>
      <c r="C3242" t="str">
        <f t="shared" si="1188"/>
        <v>CLARKE</v>
      </c>
      <c r="D3242">
        <f>12</f>
        <v>12</v>
      </c>
      <c r="E3242" t="str">
        <f>"08 - B - 101 - Alejandro  Navarro"</f>
        <v>08 - B - 101 - Alejandro  Navarro</v>
      </c>
      <c r="F3242" t="str">
        <f>"GUITAR 1"</f>
        <v>GUITAR 1</v>
      </c>
      <c r="G3242" t="str">
        <f>"05-504"</f>
        <v>05-504</v>
      </c>
      <c r="H3242" t="str">
        <f>"B"</f>
        <v>B</v>
      </c>
    </row>
    <row r="3243" spans="1:8" x14ac:dyDescent="0.2">
      <c r="A3243" t="str">
        <f t="shared" ref="A3243:A3250" si="1189">"0619069171"</f>
        <v>0619069171</v>
      </c>
      <c r="B3243" t="str">
        <f t="shared" ref="B3243:B3250" si="1190">"TANOYA"</f>
        <v>TANOYA</v>
      </c>
      <c r="C3243" t="str">
        <f t="shared" si="1188"/>
        <v>CLARKE</v>
      </c>
      <c r="D3243">
        <f>11</f>
        <v>11</v>
      </c>
      <c r="E3243" t="str">
        <f>"04 - A - 102 - Elizabeth Ellen  Moran"</f>
        <v>04 - A - 102 - Elizabeth Ellen  Moran</v>
      </c>
      <c r="F3243" t="str">
        <f>"US HISTORY"</f>
        <v>US HISTORY</v>
      </c>
      <c r="G3243" t="str">
        <f>"17-1752"</f>
        <v>17-1752</v>
      </c>
      <c r="H3243" t="str">
        <f>"A"</f>
        <v>A</v>
      </c>
    </row>
    <row r="3244" spans="1:8" x14ac:dyDescent="0.2">
      <c r="A3244" t="str">
        <f t="shared" si="1189"/>
        <v>0619069171</v>
      </c>
      <c r="B3244" t="str">
        <f t="shared" si="1190"/>
        <v>TANOYA</v>
      </c>
      <c r="C3244" t="str">
        <f t="shared" si="1188"/>
        <v>CLARKE</v>
      </c>
      <c r="D3244">
        <f>11</f>
        <v>11</v>
      </c>
      <c r="E3244" t="str">
        <f>"06 - B - 108 - Milca  Exantus"</f>
        <v>06 - B - 108 - Milca  Exantus</v>
      </c>
      <c r="F3244" t="str">
        <f>"MATH COLLEGE LIB ART"</f>
        <v>MATH COLLEGE LIB ART</v>
      </c>
      <c r="G3244" t="str">
        <f>"21-2145"</f>
        <v>21-2145</v>
      </c>
      <c r="H3244" t="str">
        <f>"B"</f>
        <v>B</v>
      </c>
    </row>
    <row r="3245" spans="1:8" x14ac:dyDescent="0.2">
      <c r="A3245" t="str">
        <f t="shared" si="1189"/>
        <v>0619069171</v>
      </c>
      <c r="B3245" t="str">
        <f t="shared" si="1190"/>
        <v>TANOYA</v>
      </c>
      <c r="C3245" t="str">
        <f t="shared" si="1188"/>
        <v>CLARKE</v>
      </c>
      <c r="D3245">
        <f>11</f>
        <v>11</v>
      </c>
      <c r="E3245" t="str">
        <f>"03 - A - 208 - Marielle A Witting"</f>
        <v>03 - A - 208 - Marielle A Witting</v>
      </c>
      <c r="F3245" t="str">
        <f>"ANAT PHYSIO"</f>
        <v>ANAT PHYSIO</v>
      </c>
      <c r="G3245" t="str">
        <f>"08-805"</f>
        <v>08-805</v>
      </c>
      <c r="H3245" t="str">
        <f>"A"</f>
        <v>A</v>
      </c>
    </row>
    <row r="3246" spans="1:8" x14ac:dyDescent="0.2">
      <c r="A3246" t="str">
        <f t="shared" si="1189"/>
        <v>0619069171</v>
      </c>
      <c r="B3246" t="str">
        <f t="shared" si="1190"/>
        <v>TANOYA</v>
      </c>
      <c r="C3246" t="str">
        <f t="shared" si="1188"/>
        <v>CLARKE</v>
      </c>
      <c r="D3246">
        <f>11</f>
        <v>11</v>
      </c>
      <c r="E3246" t="str">
        <f>"02 - A - 106 - Heidi M Knopp"</f>
        <v>02 - A - 106 - Heidi M Knopp</v>
      </c>
      <c r="F3246" t="str">
        <f>"NC STUDY HALL 1"</f>
        <v>NC STUDY HALL 1</v>
      </c>
      <c r="G3246" t="str">
        <f>"17-1735"</f>
        <v>17-1735</v>
      </c>
      <c r="H3246" t="str">
        <f>"A"</f>
        <v>A</v>
      </c>
    </row>
    <row r="3247" spans="1:8" x14ac:dyDescent="0.2">
      <c r="A3247" t="str">
        <f t="shared" si="1189"/>
        <v>0619069171</v>
      </c>
      <c r="B3247" t="str">
        <f t="shared" si="1190"/>
        <v>TANOYA</v>
      </c>
      <c r="C3247" t="str">
        <f t="shared" si="1188"/>
        <v>CLARKE</v>
      </c>
      <c r="D3247">
        <f>11</f>
        <v>11</v>
      </c>
      <c r="E3247" t="str">
        <f>"07 - B - 101 - Alejandro  Navarro"</f>
        <v>07 - B - 101 - Alejandro  Navarro</v>
      </c>
      <c r="F3247" t="str">
        <f>"EURHY 1"</f>
        <v>EURHY 1</v>
      </c>
      <c r="G3247" t="str">
        <f>"05-504"</f>
        <v>05-504</v>
      </c>
      <c r="H3247" t="str">
        <f>"B"</f>
        <v>B</v>
      </c>
    </row>
    <row r="3248" spans="1:8" x14ac:dyDescent="0.2">
      <c r="A3248" t="str">
        <f t="shared" si="1189"/>
        <v>0619069171</v>
      </c>
      <c r="B3248" t="str">
        <f t="shared" si="1190"/>
        <v>TANOYA</v>
      </c>
      <c r="C3248" t="str">
        <f t="shared" si="1188"/>
        <v>CLARKE</v>
      </c>
      <c r="D3248">
        <f>11</f>
        <v>11</v>
      </c>
      <c r="E3248" t="str">
        <f>"05 - B - 205 - Lenecy  Nodarse"</f>
        <v>05 - B - 205 - Lenecy  Nodarse</v>
      </c>
      <c r="F3248" t="str">
        <f>"WORLD HISTORY"</f>
        <v>WORLD HISTORY</v>
      </c>
      <c r="G3248" t="str">
        <f>"17-1741"</f>
        <v>17-1741</v>
      </c>
      <c r="H3248" t="str">
        <f>"B"</f>
        <v>B</v>
      </c>
    </row>
    <row r="3249" spans="1:8" x14ac:dyDescent="0.2">
      <c r="A3249" t="str">
        <f t="shared" si="1189"/>
        <v>0619069171</v>
      </c>
      <c r="B3249" t="str">
        <f t="shared" si="1190"/>
        <v>TANOYA</v>
      </c>
      <c r="C3249" t="str">
        <f t="shared" si="1188"/>
        <v>CLARKE</v>
      </c>
      <c r="D3249">
        <f>11</f>
        <v>11</v>
      </c>
      <c r="E3249" t="str">
        <f>"01 - A - 101 - Lisa  Quinn"</f>
        <v>01 - A - 101 - Lisa  Quinn</v>
      </c>
      <c r="F3249" t="str">
        <f>"ENG 3"</f>
        <v>ENG 3</v>
      </c>
      <c r="G3249" t="str">
        <f>"17-1725"</f>
        <v>17-1725</v>
      </c>
      <c r="H3249" t="str">
        <f>"A"</f>
        <v>A</v>
      </c>
    </row>
    <row r="3250" spans="1:8" x14ac:dyDescent="0.2">
      <c r="A3250" t="str">
        <f t="shared" si="1189"/>
        <v>0619069171</v>
      </c>
      <c r="B3250" t="str">
        <f t="shared" si="1190"/>
        <v>TANOYA</v>
      </c>
      <c r="C3250" t="str">
        <f t="shared" si="1188"/>
        <v>CLARKE</v>
      </c>
      <c r="D3250">
        <f>11</f>
        <v>11</v>
      </c>
      <c r="E3250" t="str">
        <f>"08 - B - 205 - Daniel S Tyson"</f>
        <v>08 - B - 205 - Daniel S Tyson</v>
      </c>
      <c r="F3250" t="str">
        <f>"JROTC NAVAL SCI 3"</f>
        <v>JROTC NAVAL SCI 3</v>
      </c>
      <c r="G3250" t="str">
        <f>"05-510"</f>
        <v>05-510</v>
      </c>
      <c r="H3250" t="str">
        <f>"B"</f>
        <v>B</v>
      </c>
    </row>
    <row r="3251" spans="1:8" x14ac:dyDescent="0.2">
      <c r="A3251" t="str">
        <f t="shared" ref="A3251:A3258" si="1191">"0615075895"</f>
        <v>0615075895</v>
      </c>
      <c r="B3251" t="str">
        <f t="shared" ref="B3251:B3258" si="1192">"ZYON"</f>
        <v>ZYON</v>
      </c>
      <c r="C3251" t="str">
        <f t="shared" si="1188"/>
        <v>CLARKE</v>
      </c>
      <c r="D3251">
        <f>11</f>
        <v>11</v>
      </c>
      <c r="E3251" t="str">
        <f>"04 - A - 101 - Alejandro  Navarro"</f>
        <v>04 - A - 101 - Alejandro  Navarro</v>
      </c>
      <c r="F3251" t="str">
        <f>"BAND 5 HON"</f>
        <v>BAND 5 HON</v>
      </c>
      <c r="G3251" t="str">
        <f>"05-504"</f>
        <v>05-504</v>
      </c>
      <c r="H3251" t="str">
        <f>"A"</f>
        <v>A</v>
      </c>
    </row>
    <row r="3252" spans="1:8" x14ac:dyDescent="0.2">
      <c r="A3252" t="str">
        <f t="shared" si="1191"/>
        <v>0615075895</v>
      </c>
      <c r="B3252" t="str">
        <f t="shared" si="1192"/>
        <v>ZYON</v>
      </c>
      <c r="C3252" t="str">
        <f t="shared" si="1188"/>
        <v>CLARKE</v>
      </c>
      <c r="D3252">
        <f>11</f>
        <v>11</v>
      </c>
      <c r="E3252" t="str">
        <f>"06 - B - 001 - Lourivaldo  Da Silva"</f>
        <v>06 - B - 001 - Lourivaldo  Da Silva</v>
      </c>
      <c r="F3252" t="str">
        <f>"PRE-CALCULUS HON"</f>
        <v>PRE-CALCULUS HON</v>
      </c>
      <c r="G3252" t="str">
        <f>"20-2079"</f>
        <v>20-2079</v>
      </c>
      <c r="H3252" t="str">
        <f>"B"</f>
        <v>B</v>
      </c>
    </row>
    <row r="3253" spans="1:8" x14ac:dyDescent="0.2">
      <c r="A3253" t="str">
        <f t="shared" si="1191"/>
        <v>0615075895</v>
      </c>
      <c r="B3253" t="str">
        <f t="shared" si="1192"/>
        <v>ZYON</v>
      </c>
      <c r="C3253" t="str">
        <f t="shared" si="1188"/>
        <v>CLARKE</v>
      </c>
      <c r="D3253">
        <f>11</f>
        <v>11</v>
      </c>
      <c r="E3253" t="str">
        <f>"03 - A - 203 - Stefanie S Scher"</f>
        <v>03 - A - 203 - Stefanie S Scher</v>
      </c>
      <c r="F3253" t="str">
        <f>"AP PSYCH"</f>
        <v>AP PSYCH</v>
      </c>
      <c r="G3253" t="str">
        <f>"17-1735"</f>
        <v>17-1735</v>
      </c>
      <c r="H3253" t="str">
        <f>"A"</f>
        <v>A</v>
      </c>
    </row>
    <row r="3254" spans="1:8" x14ac:dyDescent="0.2">
      <c r="A3254" t="str">
        <f t="shared" si="1191"/>
        <v>0615075895</v>
      </c>
      <c r="B3254" t="str">
        <f t="shared" si="1192"/>
        <v>ZYON</v>
      </c>
      <c r="C3254" t="str">
        <f t="shared" si="1188"/>
        <v>CLARKE</v>
      </c>
      <c r="D3254">
        <f>11</f>
        <v>11</v>
      </c>
      <c r="E3254" t="str">
        <f>"02 - A - 001 - Jazmin S Fletcher"</f>
        <v>02 - A - 001 - Jazmin S Fletcher</v>
      </c>
      <c r="F3254" t="str">
        <f>"NC STUDY HALL 1"</f>
        <v>NC STUDY HALL 1</v>
      </c>
      <c r="G3254" t="str">
        <f>"09-909"</f>
        <v>09-909</v>
      </c>
      <c r="H3254" t="str">
        <f>"A"</f>
        <v>A</v>
      </c>
    </row>
    <row r="3255" spans="1:8" x14ac:dyDescent="0.2">
      <c r="A3255" t="str">
        <f t="shared" si="1191"/>
        <v>0615075895</v>
      </c>
      <c r="B3255" t="str">
        <f t="shared" si="1192"/>
        <v>ZYON</v>
      </c>
      <c r="C3255" t="str">
        <f t="shared" si="1188"/>
        <v>CLARKE</v>
      </c>
      <c r="D3255">
        <f>11</f>
        <v>11</v>
      </c>
      <c r="E3255" t="str">
        <f>"07 - B - 104 - Jerry S Jiampetti"</f>
        <v>07 - B - 104 - Jerry S Jiampetti</v>
      </c>
      <c r="F3255" t="str">
        <f>"AICE U.S. HIST 1 AS"</f>
        <v>AICE U.S. HIST 1 AS</v>
      </c>
      <c r="G3255" t="str">
        <f>"17-1751"</f>
        <v>17-1751</v>
      </c>
      <c r="H3255" t="str">
        <f>"B"</f>
        <v>B</v>
      </c>
    </row>
    <row r="3256" spans="1:8" x14ac:dyDescent="0.2">
      <c r="A3256" t="str">
        <f t="shared" si="1191"/>
        <v>0615075895</v>
      </c>
      <c r="B3256" t="str">
        <f t="shared" si="1192"/>
        <v>ZYON</v>
      </c>
      <c r="C3256" t="str">
        <f t="shared" si="1188"/>
        <v>CLARKE</v>
      </c>
      <c r="D3256">
        <f>11</f>
        <v>11</v>
      </c>
      <c r="E3256" t="str">
        <f>"05 - B - 103 - Chrystina M Marchionne"</f>
        <v>05 - B - 103 - Chrystina M Marchionne</v>
      </c>
      <c r="F3256" t="str">
        <f>"AICE MEDIA STUDIES A"</f>
        <v>AICE MEDIA STUDIES A</v>
      </c>
      <c r="G3256" t="str">
        <f>"05-520"</f>
        <v>05-520</v>
      </c>
      <c r="H3256" t="str">
        <f>"B"</f>
        <v>B</v>
      </c>
    </row>
    <row r="3257" spans="1:8" x14ac:dyDescent="0.2">
      <c r="A3257" t="str">
        <f t="shared" si="1191"/>
        <v>0615075895</v>
      </c>
      <c r="B3257" t="str">
        <f t="shared" si="1192"/>
        <v>ZYON</v>
      </c>
      <c r="C3257" t="str">
        <f t="shared" si="1188"/>
        <v>CLARKE</v>
      </c>
      <c r="D3257">
        <f>11</f>
        <v>11</v>
      </c>
      <c r="E3257" t="str">
        <f>"01 - A - 101 - Brandy N Zdenek"</f>
        <v>01 - A - 101 - Brandy N Zdenek</v>
      </c>
      <c r="F3257" t="str">
        <f>"AICE ENG LANG 2 AL"</f>
        <v>AICE ENG LANG 2 AL</v>
      </c>
      <c r="G3257" t="str">
        <f>"17-1704"</f>
        <v>17-1704</v>
      </c>
      <c r="H3257" t="str">
        <f>"A"</f>
        <v>A</v>
      </c>
    </row>
    <row r="3258" spans="1:8" x14ac:dyDescent="0.2">
      <c r="A3258" t="str">
        <f t="shared" si="1191"/>
        <v>0615075895</v>
      </c>
      <c r="B3258" t="str">
        <f t="shared" si="1192"/>
        <v>ZYON</v>
      </c>
      <c r="C3258" t="str">
        <f t="shared" si="1188"/>
        <v>CLARKE</v>
      </c>
      <c r="D3258">
        <f>11</f>
        <v>11</v>
      </c>
      <c r="E3258" t="str">
        <f>"08 - B - 103 - Marielle A Witting"</f>
        <v>08 - B - 103 - Marielle A Witting</v>
      </c>
      <c r="F3258" t="str">
        <f>"AP BIO"</f>
        <v>AP BIO</v>
      </c>
      <c r="G3258" t="str">
        <f>"08-805"</f>
        <v>08-805</v>
      </c>
      <c r="H3258" t="str">
        <f>"B"</f>
        <v>B</v>
      </c>
    </row>
    <row r="3259" spans="1:8" x14ac:dyDescent="0.2">
      <c r="A3259" t="str">
        <f t="shared" ref="A3259:A3266" si="1193">"0615120639"</f>
        <v>0615120639</v>
      </c>
      <c r="B3259" t="str">
        <f t="shared" ref="B3259:B3266" si="1194">"JORDON"</f>
        <v>JORDON</v>
      </c>
      <c r="C3259" t="str">
        <f t="shared" ref="C3259:C3266" si="1195">"CLARKE-BISHOP"</f>
        <v>CLARKE-BISHOP</v>
      </c>
      <c r="D3259" t="str">
        <f t="shared" ref="D3259:D3266" si="1196">"09"</f>
        <v>09</v>
      </c>
      <c r="E3259" t="str">
        <f>"04 - A - 103 - Daniel S Tyson"</f>
        <v>04 - A - 103 - Daniel S Tyson</v>
      </c>
      <c r="F3259" t="str">
        <f>"JROTC NAVAL SCI 1"</f>
        <v>JROTC NAVAL SCI 1</v>
      </c>
      <c r="G3259" t="str">
        <f>"05-510"</f>
        <v>05-510</v>
      </c>
      <c r="H3259" t="str">
        <f>"A"</f>
        <v>A</v>
      </c>
    </row>
    <row r="3260" spans="1:8" x14ac:dyDescent="0.2">
      <c r="A3260" t="str">
        <f t="shared" si="1193"/>
        <v>0615120639</v>
      </c>
      <c r="B3260" t="str">
        <f t="shared" si="1194"/>
        <v>JORDON</v>
      </c>
      <c r="C3260" t="str">
        <f t="shared" si="1195"/>
        <v>CLARKE-BISHOP</v>
      </c>
      <c r="D3260" t="str">
        <f t="shared" si="1196"/>
        <v>09</v>
      </c>
      <c r="E3260" t="str">
        <f>"06 - B - 110 - Krystal Marie  Beruty"</f>
        <v>06 - B - 110 - Krystal Marie  Beruty</v>
      </c>
      <c r="F3260" t="str">
        <f>"AICE GLBL PERSP 1 AS"</f>
        <v>AICE GLBL PERSP 1 AS</v>
      </c>
      <c r="G3260" t="str">
        <f>"17-1721"</f>
        <v>17-1721</v>
      </c>
      <c r="H3260" t="str">
        <f>"B"</f>
        <v>B</v>
      </c>
    </row>
    <row r="3261" spans="1:8" x14ac:dyDescent="0.2">
      <c r="A3261" t="str">
        <f t="shared" si="1193"/>
        <v>0615120639</v>
      </c>
      <c r="B3261" t="str">
        <f t="shared" si="1194"/>
        <v>JORDON</v>
      </c>
      <c r="C3261" t="str">
        <f t="shared" si="1195"/>
        <v>CLARKE-BISHOP</v>
      </c>
      <c r="D3261" t="str">
        <f t="shared" si="1196"/>
        <v>09</v>
      </c>
      <c r="E3261" t="str">
        <f>"03 - A - 101 - Eva T Rimmer"</f>
        <v>03 - A - 101 - Eva T Rimmer</v>
      </c>
      <c r="F3261" t="str">
        <f>"CRIMINAL JUST OPS 1"</f>
        <v>CRIMINAL JUST OPS 1</v>
      </c>
      <c r="G3261" t="str">
        <f>"05-523"</f>
        <v>05-523</v>
      </c>
      <c r="H3261" t="str">
        <f>"A"</f>
        <v>A</v>
      </c>
    </row>
    <row r="3262" spans="1:8" x14ac:dyDescent="0.2">
      <c r="A3262" t="str">
        <f t="shared" si="1193"/>
        <v>0615120639</v>
      </c>
      <c r="B3262" t="str">
        <f t="shared" si="1194"/>
        <v>JORDON</v>
      </c>
      <c r="C3262" t="str">
        <f t="shared" si="1195"/>
        <v>CLARKE-BISHOP</v>
      </c>
      <c r="D3262" t="str">
        <f t="shared" si="1196"/>
        <v>09</v>
      </c>
      <c r="E3262" t="str">
        <f>"02 - A - 114 - Laselleda D Shaw"</f>
        <v>02 - A - 114 - Laselleda D Shaw</v>
      </c>
      <c r="F3262" t="str">
        <f>"NC STUDY HALL 1"</f>
        <v>NC STUDY HALL 1</v>
      </c>
      <c r="G3262" t="str">
        <f>"17-1723"</f>
        <v>17-1723</v>
      </c>
      <c r="H3262" t="str">
        <f>"A"</f>
        <v>A</v>
      </c>
    </row>
    <row r="3263" spans="1:8" x14ac:dyDescent="0.2">
      <c r="A3263" t="str">
        <f t="shared" si="1193"/>
        <v>0615120639</v>
      </c>
      <c r="B3263" t="str">
        <f t="shared" si="1194"/>
        <v>JORDON</v>
      </c>
      <c r="C3263" t="str">
        <f t="shared" si="1195"/>
        <v>CLARKE-BISHOP</v>
      </c>
      <c r="D3263" t="str">
        <f t="shared" si="1196"/>
        <v>09</v>
      </c>
      <c r="E3263" t="str">
        <f>"07 - B - 105 - Paige Lauren  Brochu"</f>
        <v>07 - B - 105 - Paige Lauren  Brochu</v>
      </c>
      <c r="F3263" t="str">
        <f>"PRE-AICE BIO IG"</f>
        <v>PRE-AICE BIO IG</v>
      </c>
      <c r="G3263" t="str">
        <f>"21-2134"</f>
        <v>21-2134</v>
      </c>
      <c r="H3263" t="str">
        <f>"B"</f>
        <v>B</v>
      </c>
    </row>
    <row r="3264" spans="1:8" x14ac:dyDescent="0.2">
      <c r="A3264" t="str">
        <f t="shared" si="1193"/>
        <v>0615120639</v>
      </c>
      <c r="B3264" t="str">
        <f t="shared" si="1194"/>
        <v>JORDON</v>
      </c>
      <c r="C3264" t="str">
        <f t="shared" si="1195"/>
        <v>CLARKE-BISHOP</v>
      </c>
      <c r="D3264" t="str">
        <f t="shared" si="1196"/>
        <v>09</v>
      </c>
      <c r="E3264" t="str">
        <f>"05 - B - 103 - Byron G Montenegro"</f>
        <v>05 - B - 103 - Byron G Montenegro</v>
      </c>
      <c r="F3264" t="str">
        <f>"AICE MARINE SCI 1 AS"</f>
        <v>AICE MARINE SCI 1 AS</v>
      </c>
      <c r="G3264" t="str">
        <f>"21-2144"</f>
        <v>21-2144</v>
      </c>
      <c r="H3264" t="str">
        <f>"B"</f>
        <v>B</v>
      </c>
    </row>
    <row r="3265" spans="1:8" x14ac:dyDescent="0.2">
      <c r="A3265" t="str">
        <f t="shared" si="1193"/>
        <v>0615120639</v>
      </c>
      <c r="B3265" t="str">
        <f t="shared" si="1194"/>
        <v>JORDON</v>
      </c>
      <c r="C3265" t="str">
        <f t="shared" si="1195"/>
        <v>CLARKE-BISHOP</v>
      </c>
      <c r="D3265" t="str">
        <f t="shared" si="1196"/>
        <v>09</v>
      </c>
      <c r="E3265" t="str">
        <f>"01 - A - 101 - Ferrie J Arostique"</f>
        <v>01 - A - 101 - Ferrie J Arostique</v>
      </c>
      <c r="F3265" t="str">
        <f>"GEOMETRY"</f>
        <v>GEOMETRY</v>
      </c>
      <c r="G3265" t="str">
        <f>"21-2139"</f>
        <v>21-2139</v>
      </c>
      <c r="H3265" t="str">
        <f>"A"</f>
        <v>A</v>
      </c>
    </row>
    <row r="3266" spans="1:8" x14ac:dyDescent="0.2">
      <c r="A3266" t="str">
        <f t="shared" si="1193"/>
        <v>0615120639</v>
      </c>
      <c r="B3266" t="str">
        <f t="shared" si="1194"/>
        <v>JORDON</v>
      </c>
      <c r="C3266" t="str">
        <f t="shared" si="1195"/>
        <v>CLARKE-BISHOP</v>
      </c>
      <c r="D3266" t="str">
        <f t="shared" si="1196"/>
        <v>09</v>
      </c>
      <c r="E3266" t="str">
        <f>"08 - B - 004 - Cheryl Anne  Berman-Schechter"</f>
        <v>08 - B - 004 - Cheryl Anne  Berman-Schechter</v>
      </c>
      <c r="F3266" t="str">
        <f>"AICE ENG GEN PAPER 1"</f>
        <v>AICE ENG GEN PAPER 1</v>
      </c>
      <c r="G3266" t="str">
        <f>"17-1722"</f>
        <v>17-1722</v>
      </c>
      <c r="H3266" t="str">
        <f>"B"</f>
        <v>B</v>
      </c>
    </row>
    <row r="3267" spans="1:8" x14ac:dyDescent="0.2">
      <c r="A3267" t="str">
        <f t="shared" ref="A3267:A3274" si="1197">"0614014238"</f>
        <v>0614014238</v>
      </c>
      <c r="B3267" t="str">
        <f t="shared" ref="B3267:B3274" si="1198">"ALEX"</f>
        <v>ALEX</v>
      </c>
      <c r="C3267" t="str">
        <f t="shared" ref="C3267:C3282" si="1199">"CLAY"</f>
        <v>CLAY</v>
      </c>
      <c r="D3267">
        <f>11</f>
        <v>11</v>
      </c>
      <c r="E3267" t="str">
        <f>"04 - A - 106 - Marielle A Witting"</f>
        <v>04 - A - 106 - Marielle A Witting</v>
      </c>
      <c r="F3267" t="str">
        <f>"ANAT PHYSIO"</f>
        <v>ANAT PHYSIO</v>
      </c>
      <c r="G3267" t="str">
        <f>"08-805"</f>
        <v>08-805</v>
      </c>
      <c r="H3267" t="str">
        <f>"A"</f>
        <v>A</v>
      </c>
    </row>
    <row r="3268" spans="1:8" x14ac:dyDescent="0.2">
      <c r="A3268" t="str">
        <f t="shared" si="1197"/>
        <v>0614014238</v>
      </c>
      <c r="B3268" t="str">
        <f t="shared" si="1198"/>
        <v>ALEX</v>
      </c>
      <c r="C3268" t="str">
        <f t="shared" si="1199"/>
        <v>CLAY</v>
      </c>
      <c r="D3268">
        <f>11</f>
        <v>11</v>
      </c>
      <c r="E3268" t="str">
        <f>"06 - B - 202 - Samantha L Martinez"</f>
        <v>06 - B - 202 - Samantha L Martinez</v>
      </c>
      <c r="F3268" t="str">
        <f>"GUITAR 1"</f>
        <v>GUITAR 1</v>
      </c>
      <c r="G3268" t="str">
        <f>"05-505"</f>
        <v>05-505</v>
      </c>
      <c r="H3268" t="str">
        <f>"B"</f>
        <v>B</v>
      </c>
    </row>
    <row r="3269" spans="1:8" x14ac:dyDescent="0.2">
      <c r="A3269" t="str">
        <f t="shared" si="1197"/>
        <v>0614014238</v>
      </c>
      <c r="B3269" t="str">
        <f t="shared" si="1198"/>
        <v>ALEX</v>
      </c>
      <c r="C3269" t="str">
        <f t="shared" si="1199"/>
        <v>CLAY</v>
      </c>
      <c r="D3269">
        <f>11</f>
        <v>11</v>
      </c>
      <c r="E3269" t="str">
        <f>"03 - A - 002 - Ferrie J Arostique"</f>
        <v>03 - A - 002 - Ferrie J Arostique</v>
      </c>
      <c r="F3269" t="str">
        <f>"GEOMETRY"</f>
        <v>GEOMETRY</v>
      </c>
      <c r="G3269" t="str">
        <f>"21-2139"</f>
        <v>21-2139</v>
      </c>
      <c r="H3269" t="str">
        <f>"A"</f>
        <v>A</v>
      </c>
    </row>
    <row r="3270" spans="1:8" x14ac:dyDescent="0.2">
      <c r="A3270" t="str">
        <f t="shared" si="1197"/>
        <v>0614014238</v>
      </c>
      <c r="B3270" t="str">
        <f t="shared" si="1198"/>
        <v>ALEX</v>
      </c>
      <c r="C3270" t="str">
        <f t="shared" si="1199"/>
        <v>CLAY</v>
      </c>
      <c r="D3270">
        <f>11</f>
        <v>11</v>
      </c>
      <c r="E3270" t="str">
        <f>"02 - A - 112 - Brandy N Zdenek"</f>
        <v>02 - A - 112 - Brandy N Zdenek</v>
      </c>
      <c r="F3270" t="str">
        <f>"NC STUDY HALL 1"</f>
        <v>NC STUDY HALL 1</v>
      </c>
      <c r="G3270" t="str">
        <f>"17-1704"</f>
        <v>17-1704</v>
      </c>
      <c r="H3270" t="str">
        <f>"A"</f>
        <v>A</v>
      </c>
    </row>
    <row r="3271" spans="1:8" x14ac:dyDescent="0.2">
      <c r="A3271" t="str">
        <f t="shared" si="1197"/>
        <v>0614014238</v>
      </c>
      <c r="B3271" t="str">
        <f t="shared" si="1198"/>
        <v>ALEX</v>
      </c>
      <c r="C3271" t="str">
        <f t="shared" si="1199"/>
        <v>CLAY</v>
      </c>
      <c r="D3271">
        <f>11</f>
        <v>11</v>
      </c>
      <c r="E3271" t="str">
        <f>"07 - B - 108 - Lauren N Logan"</f>
        <v>07 - B - 108 - Lauren N Logan</v>
      </c>
      <c r="F3271" t="str">
        <f>"US HISTORY"</f>
        <v>US HISTORY</v>
      </c>
      <c r="G3271" t="str">
        <f>"17-1745"</f>
        <v>17-1745</v>
      </c>
      <c r="H3271" t="str">
        <f>"B"</f>
        <v>B</v>
      </c>
    </row>
    <row r="3272" spans="1:8" x14ac:dyDescent="0.2">
      <c r="A3272" t="str">
        <f t="shared" si="1197"/>
        <v>0614014238</v>
      </c>
      <c r="B3272" t="str">
        <f t="shared" si="1198"/>
        <v>ALEX</v>
      </c>
      <c r="C3272" t="str">
        <f t="shared" si="1199"/>
        <v>CLAY</v>
      </c>
      <c r="D3272">
        <f>11</f>
        <v>11</v>
      </c>
      <c r="E3272" t="str">
        <f>"05 - B - 104 - Lisa  Quinn"</f>
        <v>05 - B - 104 - Lisa  Quinn</v>
      </c>
      <c r="F3272" t="str">
        <f>"ENG 3"</f>
        <v>ENG 3</v>
      </c>
      <c r="G3272" t="str">
        <f>"17-1725"</f>
        <v>17-1725</v>
      </c>
      <c r="H3272" t="str">
        <f>"B"</f>
        <v>B</v>
      </c>
    </row>
    <row r="3273" spans="1:8" x14ac:dyDescent="0.2">
      <c r="A3273" t="str">
        <f t="shared" si="1197"/>
        <v>0614014238</v>
      </c>
      <c r="B3273" t="str">
        <f t="shared" si="1198"/>
        <v>ALEX</v>
      </c>
      <c r="C3273" t="str">
        <f t="shared" si="1199"/>
        <v>CLAY</v>
      </c>
      <c r="D3273">
        <f>11</f>
        <v>11</v>
      </c>
      <c r="E3273" t="str">
        <f>"01 - S1 - A - 101 - Richard E Dunbar Iii"</f>
        <v>01 - S1 - A - 101 - Richard E Dunbar Iii</v>
      </c>
      <c r="F3273" t="str">
        <f>"WEIGHT TRAIN 1"</f>
        <v>WEIGHT TRAIN 1</v>
      </c>
      <c r="G3273" t="str">
        <f>"05-501"</f>
        <v>05-501</v>
      </c>
      <c r="H3273" t="str">
        <f>"A"</f>
        <v>A</v>
      </c>
    </row>
    <row r="3274" spans="1:8" x14ac:dyDescent="0.2">
      <c r="A3274" t="str">
        <f t="shared" si="1197"/>
        <v>0614014238</v>
      </c>
      <c r="B3274" t="str">
        <f t="shared" si="1198"/>
        <v>ALEX</v>
      </c>
      <c r="C3274" t="str">
        <f t="shared" si="1199"/>
        <v>CLAY</v>
      </c>
      <c r="D3274">
        <f>11</f>
        <v>11</v>
      </c>
      <c r="E3274" t="str">
        <f>"08 - B - 102 - Carleigh R Carmichael"</f>
        <v>08 - B - 102 - Carleigh R Carmichael</v>
      </c>
      <c r="F3274" t="str">
        <f>"LRNG STRATEGIES 9-12"</f>
        <v>LRNG STRATEGIES 9-12</v>
      </c>
      <c r="G3274" t="str">
        <f>"20-2072"</f>
        <v>20-2072</v>
      </c>
      <c r="H3274" t="str">
        <f>"B"</f>
        <v>B</v>
      </c>
    </row>
    <row r="3275" spans="1:8" x14ac:dyDescent="0.2">
      <c r="A3275" t="str">
        <f t="shared" ref="A3275:A3282" si="1200">"0615096211"</f>
        <v>0615096211</v>
      </c>
      <c r="B3275" t="str">
        <f t="shared" ref="B3275:B3282" si="1201">"JANEVIA"</f>
        <v>JANEVIA</v>
      </c>
      <c r="C3275" t="str">
        <f t="shared" si="1199"/>
        <v>CLAY</v>
      </c>
      <c r="D3275">
        <f>10</f>
        <v>10</v>
      </c>
      <c r="E3275" t="str">
        <f>"04 - A - 205 - Lytrell T Dixon"</f>
        <v>04 - A - 205 - Lytrell T Dixon</v>
      </c>
      <c r="F3275" t="str">
        <f>"BIOLOGY 1"</f>
        <v>BIOLOGY 1</v>
      </c>
      <c r="G3275" t="str">
        <f>"08-808"</f>
        <v>08-808</v>
      </c>
      <c r="H3275" t="str">
        <f>"A"</f>
        <v>A</v>
      </c>
    </row>
    <row r="3276" spans="1:8" x14ac:dyDescent="0.2">
      <c r="A3276" t="str">
        <f t="shared" si="1200"/>
        <v>0615096211</v>
      </c>
      <c r="B3276" t="str">
        <f t="shared" si="1201"/>
        <v>JANEVIA</v>
      </c>
      <c r="C3276" t="str">
        <f t="shared" si="1199"/>
        <v>CLAY</v>
      </c>
      <c r="D3276">
        <f>10</f>
        <v>10</v>
      </c>
      <c r="E3276" t="str">
        <f>"06 - B - 116 - Jordana K Hass"</f>
        <v>06 - B - 116 - Jordana K Hass</v>
      </c>
      <c r="F3276" t="str">
        <f>"NC STUDY HALL 1"</f>
        <v>NC STUDY HALL 1</v>
      </c>
      <c r="G3276" t="str">
        <f>"08-807"</f>
        <v>08-807</v>
      </c>
      <c r="H3276" t="str">
        <f>"B"</f>
        <v>B</v>
      </c>
    </row>
    <row r="3277" spans="1:8" x14ac:dyDescent="0.2">
      <c r="A3277" t="str">
        <f t="shared" si="1200"/>
        <v>0615096211</v>
      </c>
      <c r="B3277" t="str">
        <f t="shared" si="1201"/>
        <v>JANEVIA</v>
      </c>
      <c r="C3277" t="str">
        <f t="shared" si="1199"/>
        <v>CLAY</v>
      </c>
      <c r="D3277">
        <f>10</f>
        <v>10</v>
      </c>
      <c r="E3277" t="str">
        <f>"03 - A - 201 - Christa T Parisi"</f>
        <v>03 - A - 201 - Christa T Parisi</v>
      </c>
      <c r="F3277" t="str">
        <f>"DANCE TECHNQS 1"</f>
        <v>DANCE TECHNQS 1</v>
      </c>
      <c r="G3277" t="str">
        <f>"05-503"</f>
        <v>05-503</v>
      </c>
      <c r="H3277" t="str">
        <f>"A"</f>
        <v>A</v>
      </c>
    </row>
    <row r="3278" spans="1:8" x14ac:dyDescent="0.2">
      <c r="A3278" t="str">
        <f t="shared" si="1200"/>
        <v>0615096211</v>
      </c>
      <c r="B3278" t="str">
        <f t="shared" si="1201"/>
        <v>JANEVIA</v>
      </c>
      <c r="C3278" t="str">
        <f t="shared" si="1199"/>
        <v>CLAY</v>
      </c>
      <c r="D3278">
        <f>10</f>
        <v>10</v>
      </c>
      <c r="E3278" t="str">
        <f>"02 - S1 - A - 102 - Richard E Dunbar Iii"</f>
        <v>02 - S1 - A - 102 - Richard E Dunbar Iii</v>
      </c>
      <c r="F3278" t="str">
        <f>"WEIGHT TRAIN 1"</f>
        <v>WEIGHT TRAIN 1</v>
      </c>
      <c r="G3278" t="str">
        <f>"05-501"</f>
        <v>05-501</v>
      </c>
      <c r="H3278" t="str">
        <f>"A"</f>
        <v>A</v>
      </c>
    </row>
    <row r="3279" spans="1:8" x14ac:dyDescent="0.2">
      <c r="A3279" t="str">
        <f t="shared" si="1200"/>
        <v>0615096211</v>
      </c>
      <c r="B3279" t="str">
        <f t="shared" si="1201"/>
        <v>JANEVIA</v>
      </c>
      <c r="C3279" t="str">
        <f t="shared" si="1199"/>
        <v>CLAY</v>
      </c>
      <c r="D3279">
        <f>10</f>
        <v>10</v>
      </c>
      <c r="E3279" t="str">
        <f>"07 - B - 108 - Jacquelyn M Neeson"</f>
        <v>07 - B - 108 - Jacquelyn M Neeson</v>
      </c>
      <c r="F3279" t="str">
        <f>"ENG 2"</f>
        <v>ENG 2</v>
      </c>
      <c r="G3279" t="str">
        <f>"17-1715"</f>
        <v>17-1715</v>
      </c>
      <c r="H3279" t="str">
        <f>"B"</f>
        <v>B</v>
      </c>
    </row>
    <row r="3280" spans="1:8" x14ac:dyDescent="0.2">
      <c r="A3280" t="str">
        <f t="shared" si="1200"/>
        <v>0615096211</v>
      </c>
      <c r="B3280" t="str">
        <f t="shared" si="1201"/>
        <v>JANEVIA</v>
      </c>
      <c r="C3280" t="str">
        <f t="shared" si="1199"/>
        <v>CLAY</v>
      </c>
      <c r="D3280">
        <f>10</f>
        <v>10</v>
      </c>
      <c r="E3280" t="str">
        <f>"05 - B - 108 - James H Mccann"</f>
        <v>05 - B - 108 - James H Mccann</v>
      </c>
      <c r="F3280" t="str">
        <f>"ALGEBRA 2"</f>
        <v>ALGEBRA 2</v>
      </c>
      <c r="G3280" t="str">
        <f>"17-1716"</f>
        <v>17-1716</v>
      </c>
      <c r="H3280" t="str">
        <f>"B"</f>
        <v>B</v>
      </c>
    </row>
    <row r="3281" spans="1:8" x14ac:dyDescent="0.2">
      <c r="A3281" t="str">
        <f t="shared" si="1200"/>
        <v>0615096211</v>
      </c>
      <c r="B3281" t="str">
        <f t="shared" si="1201"/>
        <v>JANEVIA</v>
      </c>
      <c r="C3281" t="str">
        <f t="shared" si="1199"/>
        <v>CLAY</v>
      </c>
      <c r="D3281">
        <f>10</f>
        <v>10</v>
      </c>
      <c r="E3281" t="str">
        <f>"01 - S1 - A - 101 - Lissa C Frederique"</f>
        <v>01 - S1 - A - 101 - Lissa C Frederique</v>
      </c>
      <c r="F3281" t="str">
        <f>"PERS FIN &amp; MON MGT H"</f>
        <v>PERS FIN &amp; MON MGT H</v>
      </c>
      <c r="G3281" t="str">
        <f>"17-1754"</f>
        <v>17-1754</v>
      </c>
      <c r="H3281" t="str">
        <f>"A"</f>
        <v>A</v>
      </c>
    </row>
    <row r="3282" spans="1:8" x14ac:dyDescent="0.2">
      <c r="A3282" t="str">
        <f t="shared" si="1200"/>
        <v>0615096211</v>
      </c>
      <c r="B3282" t="str">
        <f t="shared" si="1201"/>
        <v>JANEVIA</v>
      </c>
      <c r="C3282" t="str">
        <f t="shared" si="1199"/>
        <v>CLAY</v>
      </c>
      <c r="D3282">
        <f>10</f>
        <v>10</v>
      </c>
      <c r="E3282" t="str">
        <f>"08 - B - 001 - Samantha L Martinez"</f>
        <v>08 - B - 001 - Samantha L Martinez</v>
      </c>
      <c r="F3282" t="str">
        <f>"VOCAL ENS 2"</f>
        <v>VOCAL ENS 2</v>
      </c>
      <c r="G3282" t="str">
        <f>"05-505"</f>
        <v>05-505</v>
      </c>
      <c r="H3282" t="str">
        <f>"B"</f>
        <v>B</v>
      </c>
    </row>
    <row r="3283" spans="1:8" x14ac:dyDescent="0.2">
      <c r="A3283" t="str">
        <f t="shared" ref="A3283:A3290" si="1202">"0614076207"</f>
        <v>0614076207</v>
      </c>
      <c r="B3283" t="str">
        <f t="shared" ref="B3283:B3290" si="1203">"CONNER"</f>
        <v>CONNER</v>
      </c>
      <c r="C3283" t="str">
        <f t="shared" ref="C3283:C3290" si="1204">"CLEARY"</f>
        <v>CLEARY</v>
      </c>
      <c r="D3283">
        <f>12</f>
        <v>12</v>
      </c>
      <c r="E3283" t="str">
        <f>"04 - A - 102 - Daniel S Katz"</f>
        <v>04 - A - 102 - Daniel S Katz</v>
      </c>
      <c r="F3283" t="str">
        <f>"AICE DRAMA 1 AS LEV"</f>
        <v>AICE DRAMA 1 AS LEV</v>
      </c>
      <c r="G3283" t="str">
        <f>"05-521"</f>
        <v>05-521</v>
      </c>
      <c r="H3283" t="str">
        <f>"A"</f>
        <v>A</v>
      </c>
    </row>
    <row r="3284" spans="1:8" x14ac:dyDescent="0.2">
      <c r="A3284" t="str">
        <f t="shared" si="1202"/>
        <v>0614076207</v>
      </c>
      <c r="B3284" t="str">
        <f t="shared" si="1203"/>
        <v>CONNER</v>
      </c>
      <c r="C3284" t="str">
        <f t="shared" si="1204"/>
        <v>CLEARY</v>
      </c>
      <c r="D3284">
        <f>12</f>
        <v>12</v>
      </c>
      <c r="E3284" t="str">
        <f>"06 - B - 108 - Jacquelyn M Neeson"</f>
        <v>06 - B - 108 - Jacquelyn M Neeson</v>
      </c>
      <c r="F3284" t="str">
        <f>"NC STUDY HALL 1"</f>
        <v>NC STUDY HALL 1</v>
      </c>
      <c r="G3284" t="str">
        <f>"17-1715"</f>
        <v>17-1715</v>
      </c>
      <c r="H3284" t="str">
        <f>"B"</f>
        <v>B</v>
      </c>
    </row>
    <row r="3285" spans="1:8" x14ac:dyDescent="0.2">
      <c r="A3285" t="str">
        <f t="shared" si="1202"/>
        <v>0614076207</v>
      </c>
      <c r="B3285" t="str">
        <f t="shared" si="1203"/>
        <v>CONNER</v>
      </c>
      <c r="C3285" t="str">
        <f t="shared" si="1204"/>
        <v>CLEARY</v>
      </c>
      <c r="D3285">
        <f>12</f>
        <v>12</v>
      </c>
      <c r="E3285" t="str">
        <f>"03 - A - 101 - Carleigh R Carmichael"</f>
        <v>03 - A - 101 - Carleigh R Carmichael</v>
      </c>
      <c r="F3285" t="str">
        <f>"LEAD SKLS DEV LH"</f>
        <v>LEAD SKLS DEV LH</v>
      </c>
      <c r="G3285" t="str">
        <f>"20-2072"</f>
        <v>20-2072</v>
      </c>
      <c r="H3285" t="str">
        <f>"A"</f>
        <v>A</v>
      </c>
    </row>
    <row r="3286" spans="1:8" x14ac:dyDescent="0.2">
      <c r="A3286" t="str">
        <f t="shared" si="1202"/>
        <v>0614076207</v>
      </c>
      <c r="B3286" t="str">
        <f t="shared" si="1203"/>
        <v>CONNER</v>
      </c>
      <c r="C3286" t="str">
        <f t="shared" si="1204"/>
        <v>CLEARY</v>
      </c>
      <c r="D3286">
        <f>12</f>
        <v>12</v>
      </c>
      <c r="E3286" t="str">
        <f>"02 - A - 107 - Tina M Jaramillo"</f>
        <v>02 - A - 107 - Tina M Jaramillo</v>
      </c>
      <c r="F3286" t="str">
        <f>"AP ENG LIT COMPO"</f>
        <v>AP ENG LIT COMPO</v>
      </c>
      <c r="G3286" t="str">
        <f>"17-1706"</f>
        <v>17-1706</v>
      </c>
      <c r="H3286" t="str">
        <f>"A"</f>
        <v>A</v>
      </c>
    </row>
    <row r="3287" spans="1:8" x14ac:dyDescent="0.2">
      <c r="A3287" t="str">
        <f t="shared" si="1202"/>
        <v>0614076207</v>
      </c>
      <c r="B3287" t="str">
        <f t="shared" si="1203"/>
        <v>CONNER</v>
      </c>
      <c r="C3287" t="str">
        <f t="shared" si="1204"/>
        <v>CLEARY</v>
      </c>
      <c r="D3287">
        <f>12</f>
        <v>12</v>
      </c>
      <c r="E3287" t="str">
        <f>"07 - B - 106 - Norayda D Suarez"</f>
        <v>07 - B - 106 - Norayda D Suarez</v>
      </c>
      <c r="F3287" t="str">
        <f>"RESEARCH 1 LH"</f>
        <v>RESEARCH 1 LH</v>
      </c>
      <c r="G3287">
        <f>2041</f>
        <v>2041</v>
      </c>
      <c r="H3287" t="str">
        <f>"B"</f>
        <v>B</v>
      </c>
    </row>
    <row r="3288" spans="1:8" x14ac:dyDescent="0.2">
      <c r="A3288" t="str">
        <f t="shared" si="1202"/>
        <v>0614076207</v>
      </c>
      <c r="B3288" t="str">
        <f t="shared" si="1203"/>
        <v>CONNER</v>
      </c>
      <c r="C3288" t="str">
        <f t="shared" si="1204"/>
        <v>CLEARY</v>
      </c>
      <c r="D3288">
        <f>12</f>
        <v>12</v>
      </c>
      <c r="E3288" t="str">
        <f>"05 - S1 - B - 103 - Stephen T Ripp"</f>
        <v>05 - S1 - B - 103 - Stephen T Ripp</v>
      </c>
      <c r="F3288" t="str">
        <f>"AP US GOVT/POL"</f>
        <v>AP US GOVT/POL</v>
      </c>
      <c r="G3288" t="str">
        <f>"17-1744"</f>
        <v>17-1744</v>
      </c>
      <c r="H3288" t="str">
        <f>"B"</f>
        <v>B</v>
      </c>
    </row>
    <row r="3289" spans="1:8" x14ac:dyDescent="0.2">
      <c r="A3289" t="str">
        <f t="shared" si="1202"/>
        <v>0614076207</v>
      </c>
      <c r="B3289" t="str">
        <f t="shared" si="1203"/>
        <v>CONNER</v>
      </c>
      <c r="C3289" t="str">
        <f t="shared" si="1204"/>
        <v>CLEARY</v>
      </c>
      <c r="D3289">
        <f>12</f>
        <v>12</v>
      </c>
      <c r="E3289" t="str">
        <f>"01 - A - 101 - Marielle A Witting"</f>
        <v>01 - A - 101 - Marielle A Witting</v>
      </c>
      <c r="F3289" t="str">
        <f>"AP BIO"</f>
        <v>AP BIO</v>
      </c>
      <c r="G3289" t="str">
        <f>"08-805"</f>
        <v>08-805</v>
      </c>
      <c r="H3289" t="str">
        <f>"A"</f>
        <v>A</v>
      </c>
    </row>
    <row r="3290" spans="1:8" x14ac:dyDescent="0.2">
      <c r="A3290" t="str">
        <f t="shared" si="1202"/>
        <v>0614076207</v>
      </c>
      <c r="B3290" t="str">
        <f t="shared" si="1203"/>
        <v>CONNER</v>
      </c>
      <c r="C3290" t="str">
        <f t="shared" si="1204"/>
        <v>CLEARY</v>
      </c>
      <c r="D3290">
        <f>12</f>
        <v>12</v>
      </c>
      <c r="E3290" t="str">
        <f>"08 - B - 001 - Chrystina M Marchionne"</f>
        <v>08 - B - 001 - Chrystina M Marchionne</v>
      </c>
      <c r="F3290" t="str">
        <f>"JOURN 1 (YB) LH"</f>
        <v>JOURN 1 (YB) LH</v>
      </c>
      <c r="G3290" t="str">
        <f>"05-520"</f>
        <v>05-520</v>
      </c>
      <c r="H3290" t="str">
        <f>"B"</f>
        <v>B</v>
      </c>
    </row>
    <row r="3291" spans="1:8" x14ac:dyDescent="0.2">
      <c r="A3291" t="str">
        <f t="shared" ref="A3291:A3298" si="1205">"0620104869"</f>
        <v>0620104869</v>
      </c>
      <c r="B3291" t="str">
        <f t="shared" ref="B3291:B3298" si="1206">"LOYDA"</f>
        <v>LOYDA</v>
      </c>
      <c r="C3291" t="str">
        <f t="shared" ref="C3291:C3298" si="1207">"CLEMENTE ANDINO"</f>
        <v>CLEMENTE ANDINO</v>
      </c>
      <c r="D3291">
        <f>12</f>
        <v>12</v>
      </c>
      <c r="E3291" t="str">
        <f>"04 - A - 201 - Vanessa J Liburd"</f>
        <v>04 - A - 201 - Vanessa J Liburd</v>
      </c>
      <c r="F3291" t="str">
        <f>"FRENCH 4 HON"</f>
        <v>FRENCH 4 HON</v>
      </c>
      <c r="G3291" t="str">
        <f>"05-519"</f>
        <v>05-519</v>
      </c>
      <c r="H3291" t="str">
        <f>"A"</f>
        <v>A</v>
      </c>
    </row>
    <row r="3292" spans="1:8" x14ac:dyDescent="0.2">
      <c r="A3292" t="str">
        <f t="shared" si="1205"/>
        <v>0620104869</v>
      </c>
      <c r="B3292" t="str">
        <f t="shared" si="1206"/>
        <v>LOYDA</v>
      </c>
      <c r="C3292" t="str">
        <f t="shared" si="1207"/>
        <v>CLEMENTE ANDINO</v>
      </c>
      <c r="D3292">
        <f>12</f>
        <v>12</v>
      </c>
      <c r="E3292" t="str">
        <f>"06 - B - 112 - Lisa  Quinn"</f>
        <v>06 - B - 112 - Lisa  Quinn</v>
      </c>
      <c r="F3292" t="str">
        <f>"NC STUDY HALL 1"</f>
        <v>NC STUDY HALL 1</v>
      </c>
      <c r="G3292" t="str">
        <f>"17-1725"</f>
        <v>17-1725</v>
      </c>
      <c r="H3292" t="str">
        <f>"B"</f>
        <v>B</v>
      </c>
    </row>
    <row r="3293" spans="1:8" x14ac:dyDescent="0.2">
      <c r="A3293" t="str">
        <f t="shared" si="1205"/>
        <v>0620104869</v>
      </c>
      <c r="B3293" t="str">
        <f t="shared" si="1206"/>
        <v>LOYDA</v>
      </c>
      <c r="C3293" t="str">
        <f t="shared" si="1207"/>
        <v>CLEMENTE ANDINO</v>
      </c>
      <c r="D3293">
        <f>12</f>
        <v>12</v>
      </c>
      <c r="E3293" t="str">
        <f>"03 - A - 203 - Stefanie S Scher"</f>
        <v>03 - A - 203 - Stefanie S Scher</v>
      </c>
      <c r="F3293" t="str">
        <f>"AP PSYCH"</f>
        <v>AP PSYCH</v>
      </c>
      <c r="G3293" t="str">
        <f>"17-1735"</f>
        <v>17-1735</v>
      </c>
      <c r="H3293" t="str">
        <f>"A"</f>
        <v>A</v>
      </c>
    </row>
    <row r="3294" spans="1:8" x14ac:dyDescent="0.2">
      <c r="A3294" t="str">
        <f t="shared" si="1205"/>
        <v>0620104869</v>
      </c>
      <c r="B3294" t="str">
        <f t="shared" si="1206"/>
        <v>LOYDA</v>
      </c>
      <c r="C3294" t="str">
        <f t="shared" si="1207"/>
        <v>CLEMENTE ANDINO</v>
      </c>
      <c r="D3294">
        <f>12</f>
        <v>12</v>
      </c>
      <c r="E3294" t="str">
        <f>"02 - A - 107 - Tina M Jaramillo"</f>
        <v>02 - A - 107 - Tina M Jaramillo</v>
      </c>
      <c r="F3294" t="str">
        <f>"AP ENG LIT COMPO"</f>
        <v>AP ENG LIT COMPO</v>
      </c>
      <c r="G3294" t="str">
        <f>"17-1706"</f>
        <v>17-1706</v>
      </c>
      <c r="H3294" t="str">
        <f>"A"</f>
        <v>A</v>
      </c>
    </row>
    <row r="3295" spans="1:8" x14ac:dyDescent="0.2">
      <c r="A3295" t="str">
        <f t="shared" si="1205"/>
        <v>0620104869</v>
      </c>
      <c r="B3295" t="str">
        <f t="shared" si="1206"/>
        <v>LOYDA</v>
      </c>
      <c r="C3295" t="str">
        <f t="shared" si="1207"/>
        <v>CLEMENTE ANDINO</v>
      </c>
      <c r="D3295">
        <f>12</f>
        <v>12</v>
      </c>
      <c r="E3295" t="str">
        <f>"07 - B - 101 - Alejandro  Navarro"</f>
        <v>07 - B - 101 - Alejandro  Navarro</v>
      </c>
      <c r="F3295" t="str">
        <f>"EURHY 3"</f>
        <v>EURHY 3</v>
      </c>
      <c r="G3295" t="str">
        <f>"05-504"</f>
        <v>05-504</v>
      </c>
      <c r="H3295" t="str">
        <f>"B"</f>
        <v>B</v>
      </c>
    </row>
    <row r="3296" spans="1:8" x14ac:dyDescent="0.2">
      <c r="A3296" t="str">
        <f t="shared" si="1205"/>
        <v>0620104869</v>
      </c>
      <c r="B3296" t="str">
        <f t="shared" si="1206"/>
        <v>LOYDA</v>
      </c>
      <c r="C3296" t="str">
        <f t="shared" si="1207"/>
        <v>CLEMENTE ANDINO</v>
      </c>
      <c r="D3296">
        <f>12</f>
        <v>12</v>
      </c>
      <c r="E3296" t="str">
        <f>"05 - S1 - B - 103 - Stephen T Ripp"</f>
        <v>05 - S1 - B - 103 - Stephen T Ripp</v>
      </c>
      <c r="F3296" t="str">
        <f>"AP US GOVT/POL"</f>
        <v>AP US GOVT/POL</v>
      </c>
      <c r="G3296" t="str">
        <f>"17-1744"</f>
        <v>17-1744</v>
      </c>
      <c r="H3296" t="str">
        <f>"B"</f>
        <v>B</v>
      </c>
    </row>
    <row r="3297" spans="1:8" x14ac:dyDescent="0.2">
      <c r="A3297" t="str">
        <f t="shared" si="1205"/>
        <v>0620104869</v>
      </c>
      <c r="B3297" t="str">
        <f t="shared" si="1206"/>
        <v>LOYDA</v>
      </c>
      <c r="C3297" t="str">
        <f t="shared" si="1207"/>
        <v>CLEMENTE ANDINO</v>
      </c>
      <c r="D3297">
        <f>12</f>
        <v>12</v>
      </c>
      <c r="E3297" t="str">
        <f>"01 - A - 101 - Thomas G Handwerg"</f>
        <v>01 - A - 101 - Thomas G Handwerg</v>
      </c>
      <c r="F3297" t="str">
        <f>"PROB STAT W/APPS HON"</f>
        <v>PROB STAT W/APPS HON</v>
      </c>
      <c r="G3297" t="str">
        <f>"21-2146"</f>
        <v>21-2146</v>
      </c>
      <c r="H3297" t="str">
        <f>"A"</f>
        <v>A</v>
      </c>
    </row>
    <row r="3298" spans="1:8" x14ac:dyDescent="0.2">
      <c r="A3298" t="str">
        <f t="shared" si="1205"/>
        <v>0620104869</v>
      </c>
      <c r="B3298" t="str">
        <f t="shared" si="1206"/>
        <v>LOYDA</v>
      </c>
      <c r="C3298" t="str">
        <f t="shared" si="1207"/>
        <v>CLEMENTE ANDINO</v>
      </c>
      <c r="D3298">
        <f>12</f>
        <v>12</v>
      </c>
      <c r="E3298" t="str">
        <f>"08 - B - 102 - Lisa J London"</f>
        <v>08 - B - 102 - Lisa J London</v>
      </c>
      <c r="F3298" t="str">
        <f>"AP CAPSTONE RESEARCH"</f>
        <v>AP CAPSTONE RESEARCH</v>
      </c>
      <c r="G3298" t="str">
        <f>"17-1714"</f>
        <v>17-1714</v>
      </c>
      <c r="H3298" t="str">
        <f>"B"</f>
        <v>B</v>
      </c>
    </row>
    <row r="3299" spans="1:8" x14ac:dyDescent="0.2">
      <c r="A3299" t="str">
        <f t="shared" ref="A3299:A3306" si="1208">"0622132213"</f>
        <v>0622132213</v>
      </c>
      <c r="B3299" t="str">
        <f t="shared" ref="B3299:B3306" si="1209">"DJENIE"</f>
        <v>DJENIE</v>
      </c>
      <c r="C3299" t="str">
        <f t="shared" ref="C3299:C3314" si="1210">"CLERIDOR"</f>
        <v>CLERIDOR</v>
      </c>
      <c r="D3299">
        <f>10</f>
        <v>10</v>
      </c>
      <c r="E3299" t="str">
        <f>"04 - A - 103 - Joe  Kilpatrick Jr"</f>
        <v>04 - A - 103 - Joe  Kilpatrick Jr</v>
      </c>
      <c r="F3299" t="str">
        <f>"PRE-AICE SPAN 1 IG"</f>
        <v>PRE-AICE SPAN 1 IG</v>
      </c>
      <c r="G3299" t="str">
        <f>"09-912"</f>
        <v>09-912</v>
      </c>
      <c r="H3299" t="str">
        <f>"A"</f>
        <v>A</v>
      </c>
    </row>
    <row r="3300" spans="1:8" x14ac:dyDescent="0.2">
      <c r="A3300" t="str">
        <f t="shared" si="1208"/>
        <v>0622132213</v>
      </c>
      <c r="B3300" t="str">
        <f t="shared" si="1209"/>
        <v>DJENIE</v>
      </c>
      <c r="C3300" t="str">
        <f t="shared" si="1210"/>
        <v>CLERIDOR</v>
      </c>
      <c r="D3300">
        <f>10</f>
        <v>10</v>
      </c>
      <c r="E3300" t="str">
        <f>"06 - B - 103 - Vanessa J Liburd"</f>
        <v>06 - B - 103 - Vanessa J Liburd</v>
      </c>
      <c r="F3300" t="str">
        <f>"NC STUDY HALL 1"</f>
        <v>NC STUDY HALL 1</v>
      </c>
      <c r="G3300" t="str">
        <f>"05-519"</f>
        <v>05-519</v>
      </c>
      <c r="H3300" t="str">
        <f>"B"</f>
        <v>B</v>
      </c>
    </row>
    <row r="3301" spans="1:8" x14ac:dyDescent="0.2">
      <c r="A3301" t="str">
        <f t="shared" si="1208"/>
        <v>0622132213</v>
      </c>
      <c r="B3301" t="str">
        <f t="shared" si="1209"/>
        <v>DJENIE</v>
      </c>
      <c r="C3301" t="str">
        <f t="shared" si="1210"/>
        <v>CLERIDOR</v>
      </c>
      <c r="D3301">
        <f>10</f>
        <v>10</v>
      </c>
      <c r="E3301" t="str">
        <f>"03 - A - 206 - Josiah I Lacy"</f>
        <v>03 - A - 206 - Josiah I Lacy</v>
      </c>
      <c r="F3301" t="str">
        <f>"BIOLOGY 1"</f>
        <v>BIOLOGY 1</v>
      </c>
      <c r="G3301" t="str">
        <f>"08-801"</f>
        <v>08-801</v>
      </c>
      <c r="H3301" t="str">
        <f>"A"</f>
        <v>A</v>
      </c>
    </row>
    <row r="3302" spans="1:8" x14ac:dyDescent="0.2">
      <c r="A3302" t="str">
        <f t="shared" si="1208"/>
        <v>0622132213</v>
      </c>
      <c r="B3302" t="str">
        <f t="shared" si="1209"/>
        <v>DJENIE</v>
      </c>
      <c r="C3302" t="str">
        <f t="shared" si="1210"/>
        <v>CLERIDOR</v>
      </c>
      <c r="D3302">
        <f>10</f>
        <v>10</v>
      </c>
      <c r="E3302" t="str">
        <f>"02 - S1 - A - 101 - Carol S Moore"</f>
        <v>02 - S1 - A - 101 - Carol S Moore</v>
      </c>
      <c r="F3302" t="str">
        <f>"PER CAR SCH DEV 1 LH"</f>
        <v>PER CAR SCH DEV 1 LH</v>
      </c>
      <c r="G3302" t="str">
        <f>"17-1733"</f>
        <v>17-1733</v>
      </c>
      <c r="H3302" t="str">
        <f>"A"</f>
        <v>A</v>
      </c>
    </row>
    <row r="3303" spans="1:8" x14ac:dyDescent="0.2">
      <c r="A3303" t="str">
        <f t="shared" si="1208"/>
        <v>0622132213</v>
      </c>
      <c r="B3303" t="str">
        <f t="shared" si="1209"/>
        <v>DJENIE</v>
      </c>
      <c r="C3303" t="str">
        <f t="shared" si="1210"/>
        <v>CLERIDOR</v>
      </c>
      <c r="D3303">
        <f>10</f>
        <v>10</v>
      </c>
      <c r="E3303" t="str">
        <f>"07 - B - 107 - Helen A Flores"</f>
        <v>07 - B - 107 - Helen A Flores</v>
      </c>
      <c r="F3303" t="str">
        <f>"ALGEBRA 1"</f>
        <v>ALGEBRA 1</v>
      </c>
      <c r="G3303" t="str">
        <f>"21-2101"</f>
        <v>21-2101</v>
      </c>
      <c r="H3303" t="str">
        <f>"B"</f>
        <v>B</v>
      </c>
    </row>
    <row r="3304" spans="1:8" x14ac:dyDescent="0.2">
      <c r="A3304" t="str">
        <f t="shared" si="1208"/>
        <v>0622132213</v>
      </c>
      <c r="B3304" t="str">
        <f t="shared" si="1209"/>
        <v>DJENIE</v>
      </c>
      <c r="C3304" t="str">
        <f t="shared" si="1210"/>
        <v>CLERIDOR</v>
      </c>
      <c r="D3304">
        <f>10</f>
        <v>10</v>
      </c>
      <c r="E3304" t="str">
        <f>"05 - B - 201 - Jazmin S Fletcher"</f>
        <v>05 - B - 201 - Jazmin S Fletcher</v>
      </c>
      <c r="F3304" t="str">
        <f>"THEATRE 1"</f>
        <v>THEATRE 1</v>
      </c>
      <c r="G3304" t="str">
        <f>"09-909"</f>
        <v>09-909</v>
      </c>
      <c r="H3304" t="str">
        <f>"B"</f>
        <v>B</v>
      </c>
    </row>
    <row r="3305" spans="1:8" x14ac:dyDescent="0.2">
      <c r="A3305" t="str">
        <f t="shared" si="1208"/>
        <v>0622132213</v>
      </c>
      <c r="B3305" t="str">
        <f t="shared" si="1209"/>
        <v>DJENIE</v>
      </c>
      <c r="C3305" t="str">
        <f t="shared" si="1210"/>
        <v>CLERIDOR</v>
      </c>
      <c r="D3305">
        <f>10</f>
        <v>10</v>
      </c>
      <c r="E3305" t="str">
        <f>"01 - A - 102 - Helen A Flores"</f>
        <v>01 - A - 102 - Helen A Flores</v>
      </c>
      <c r="F3305" t="str">
        <f>"FDN SKLS MATH 9-12"</f>
        <v>FDN SKLS MATH 9-12</v>
      </c>
      <c r="G3305" t="str">
        <f>"21-2101"</f>
        <v>21-2101</v>
      </c>
      <c r="H3305" t="str">
        <f>"A"</f>
        <v>A</v>
      </c>
    </row>
    <row r="3306" spans="1:8" x14ac:dyDescent="0.2">
      <c r="A3306" t="str">
        <f t="shared" si="1208"/>
        <v>0622132213</v>
      </c>
      <c r="B3306" t="str">
        <f t="shared" si="1209"/>
        <v>DJENIE</v>
      </c>
      <c r="C3306" t="str">
        <f t="shared" si="1210"/>
        <v>CLERIDOR</v>
      </c>
      <c r="D3306">
        <f>10</f>
        <v>10</v>
      </c>
      <c r="E3306" t="str">
        <f>"08 - B - 109 - Nikiel  Nesbeth"</f>
        <v>08 - B - 109 - Nikiel  Nesbeth</v>
      </c>
      <c r="F3306" t="str">
        <f>"ENG 2"</f>
        <v>ENG 2</v>
      </c>
      <c r="G3306" t="str">
        <f>"17-1705"</f>
        <v>17-1705</v>
      </c>
      <c r="H3306" t="str">
        <f>"B"</f>
        <v>B</v>
      </c>
    </row>
    <row r="3307" spans="1:8" x14ac:dyDescent="0.2">
      <c r="A3307" t="str">
        <f t="shared" ref="A3307:A3314" si="1211">"0622132210"</f>
        <v>0622132210</v>
      </c>
      <c r="B3307" t="str">
        <f t="shared" ref="B3307:B3314" si="1212">"LENS"</f>
        <v>LENS</v>
      </c>
      <c r="C3307" t="str">
        <f t="shared" si="1210"/>
        <v>CLERIDOR</v>
      </c>
      <c r="D3307">
        <f>11</f>
        <v>11</v>
      </c>
      <c r="E3307" t="str">
        <f>"04 - A - 201 - Brian M Fitzgerald"</f>
        <v>04 - A - 201 - Brian M Fitzgerald</v>
      </c>
      <c r="F3307" t="str">
        <f>"PAINT 2"</f>
        <v>PAINT 2</v>
      </c>
      <c r="G3307" t="str">
        <f>"09-908"</f>
        <v>09-908</v>
      </c>
      <c r="H3307" t="str">
        <f>"A"</f>
        <v>A</v>
      </c>
    </row>
    <row r="3308" spans="1:8" x14ac:dyDescent="0.2">
      <c r="A3308" t="str">
        <f t="shared" si="1211"/>
        <v>0622132210</v>
      </c>
      <c r="B3308" t="str">
        <f t="shared" si="1212"/>
        <v>LENS</v>
      </c>
      <c r="C3308" t="str">
        <f t="shared" si="1210"/>
        <v>CLERIDOR</v>
      </c>
      <c r="D3308">
        <f>11</f>
        <v>11</v>
      </c>
      <c r="E3308" t="str">
        <f>"06 - B - 105 - Elizabeth Ellen  Moran"</f>
        <v>06 - B - 105 - Elizabeth Ellen  Moran</v>
      </c>
      <c r="F3308" t="str">
        <f>"US HISTORY"</f>
        <v>US HISTORY</v>
      </c>
      <c r="G3308" t="str">
        <f>"17-1752"</f>
        <v>17-1752</v>
      </c>
      <c r="H3308" t="str">
        <f>"B"</f>
        <v>B</v>
      </c>
    </row>
    <row r="3309" spans="1:8" x14ac:dyDescent="0.2">
      <c r="A3309" t="str">
        <f t="shared" si="1211"/>
        <v>0622132210</v>
      </c>
      <c r="B3309" t="str">
        <f t="shared" si="1212"/>
        <v>LENS</v>
      </c>
      <c r="C3309" t="str">
        <f t="shared" si="1210"/>
        <v>CLERIDOR</v>
      </c>
      <c r="D3309">
        <f>11</f>
        <v>11</v>
      </c>
      <c r="E3309" t="str">
        <f>"03 - A - 208 - Marielle A Witting"</f>
        <v>03 - A - 208 - Marielle A Witting</v>
      </c>
      <c r="F3309" t="str">
        <f>"ANAT PHYSIO"</f>
        <v>ANAT PHYSIO</v>
      </c>
      <c r="G3309" t="str">
        <f>"08-805"</f>
        <v>08-805</v>
      </c>
      <c r="H3309" t="str">
        <f>"A"</f>
        <v>A</v>
      </c>
    </row>
    <row r="3310" spans="1:8" x14ac:dyDescent="0.2">
      <c r="A3310" t="str">
        <f t="shared" si="1211"/>
        <v>0622132210</v>
      </c>
      <c r="B3310" t="str">
        <f t="shared" si="1212"/>
        <v>LENS</v>
      </c>
      <c r="C3310" t="str">
        <f t="shared" si="1210"/>
        <v>CLERIDOR</v>
      </c>
      <c r="D3310">
        <f>11</f>
        <v>11</v>
      </c>
      <c r="E3310" t="str">
        <f>"02 - A - 102 - Brook E Goren"</f>
        <v>02 - A - 102 - Brook E Goren</v>
      </c>
      <c r="F3310" t="str">
        <f>"NC STUDY HALL 1"</f>
        <v>NC STUDY HALL 1</v>
      </c>
      <c r="G3310" t="str">
        <f>"21-2158"</f>
        <v>21-2158</v>
      </c>
      <c r="H3310" t="str">
        <f>"A"</f>
        <v>A</v>
      </c>
    </row>
    <row r="3311" spans="1:8" x14ac:dyDescent="0.2">
      <c r="A3311" t="str">
        <f t="shared" si="1211"/>
        <v>0622132210</v>
      </c>
      <c r="B3311" t="str">
        <f t="shared" si="1212"/>
        <v>LENS</v>
      </c>
      <c r="C3311" t="str">
        <f t="shared" si="1210"/>
        <v>CLERIDOR</v>
      </c>
      <c r="D3311">
        <f>11</f>
        <v>11</v>
      </c>
      <c r="E3311" t="str">
        <f>"07 - B - 105 - Joe  Kilpatrick Jr"</f>
        <v>07 - B - 105 - Joe  Kilpatrick Jr</v>
      </c>
      <c r="F3311" t="str">
        <f>"PRE-AICE SPAN 1 IG"</f>
        <v>PRE-AICE SPAN 1 IG</v>
      </c>
      <c r="G3311" t="str">
        <f>"09-912"</f>
        <v>09-912</v>
      </c>
      <c r="H3311" t="str">
        <f>"B"</f>
        <v>B</v>
      </c>
    </row>
    <row r="3312" spans="1:8" x14ac:dyDescent="0.2">
      <c r="A3312" t="str">
        <f t="shared" si="1211"/>
        <v>0622132210</v>
      </c>
      <c r="B3312" t="str">
        <f t="shared" si="1212"/>
        <v>LENS</v>
      </c>
      <c r="C3312" t="str">
        <f t="shared" si="1210"/>
        <v>CLERIDOR</v>
      </c>
      <c r="D3312">
        <f>11</f>
        <v>11</v>
      </c>
      <c r="E3312" t="str">
        <f>"05 - B - 109 - Ferrie J Arostique"</f>
        <v>05 - B - 109 - Ferrie J Arostique</v>
      </c>
      <c r="F3312" t="str">
        <f>"GEOMETRY"</f>
        <v>GEOMETRY</v>
      </c>
      <c r="G3312" t="str">
        <f>"21-2139"</f>
        <v>21-2139</v>
      </c>
      <c r="H3312" t="str">
        <f>"B"</f>
        <v>B</v>
      </c>
    </row>
    <row r="3313" spans="1:8" x14ac:dyDescent="0.2">
      <c r="A3313" t="str">
        <f t="shared" si="1211"/>
        <v>0622132210</v>
      </c>
      <c r="B3313" t="str">
        <f t="shared" si="1212"/>
        <v>LENS</v>
      </c>
      <c r="C3313" t="str">
        <f t="shared" si="1210"/>
        <v>CLERIDOR</v>
      </c>
      <c r="D3313">
        <f>11</f>
        <v>11</v>
      </c>
      <c r="E3313" t="str">
        <f>"01 - A - 101 - Nahum  Saint-Preux"</f>
        <v>01 - A - 101 - Nahum  Saint-Preux</v>
      </c>
      <c r="F3313" t="str">
        <f>"INTENS READ 3"</f>
        <v>INTENS READ 3</v>
      </c>
      <c r="G3313" t="str">
        <f>"17-1712"</f>
        <v>17-1712</v>
      </c>
      <c r="H3313" t="str">
        <f>"A"</f>
        <v>A</v>
      </c>
    </row>
    <row r="3314" spans="1:8" x14ac:dyDescent="0.2">
      <c r="A3314" t="str">
        <f t="shared" si="1211"/>
        <v>0622132210</v>
      </c>
      <c r="B3314" t="str">
        <f t="shared" si="1212"/>
        <v>LENS</v>
      </c>
      <c r="C3314" t="str">
        <f t="shared" si="1210"/>
        <v>CLERIDOR</v>
      </c>
      <c r="D3314">
        <f>11</f>
        <v>11</v>
      </c>
      <c r="E3314" t="str">
        <f>"08 - B - 106 - Lisa  Quinn"</f>
        <v>08 - B - 106 - Lisa  Quinn</v>
      </c>
      <c r="F3314" t="str">
        <f>"ENG 3"</f>
        <v>ENG 3</v>
      </c>
      <c r="G3314" t="str">
        <f>"17-1725"</f>
        <v>17-1725</v>
      </c>
      <c r="H3314" t="str">
        <f>"B"</f>
        <v>B</v>
      </c>
    </row>
    <row r="3315" spans="1:8" x14ac:dyDescent="0.2">
      <c r="A3315" t="str">
        <f t="shared" ref="A3315:A3322" si="1213">"0615072518"</f>
        <v>0615072518</v>
      </c>
      <c r="B3315" t="str">
        <f t="shared" ref="B3315:B3322" si="1214">"JEAN LOVENS"</f>
        <v>JEAN LOVENS</v>
      </c>
      <c r="C3315" t="str">
        <f t="shared" ref="C3315:C3322" si="1215">"CLERVOIT"</f>
        <v>CLERVOIT</v>
      </c>
      <c r="D3315">
        <f>12</f>
        <v>12</v>
      </c>
      <c r="E3315" t="str">
        <f>"04 - A - 106 - Marielle A Witting"</f>
        <v>04 - A - 106 - Marielle A Witting</v>
      </c>
      <c r="F3315" t="str">
        <f>"ANAT PHYSIO"</f>
        <v>ANAT PHYSIO</v>
      </c>
      <c r="G3315" t="str">
        <f>"08-805"</f>
        <v>08-805</v>
      </c>
      <c r="H3315" t="str">
        <f>"A"</f>
        <v>A</v>
      </c>
    </row>
    <row r="3316" spans="1:8" x14ac:dyDescent="0.2">
      <c r="A3316" t="str">
        <f t="shared" si="1213"/>
        <v>0615072518</v>
      </c>
      <c r="B3316" t="str">
        <f t="shared" si="1214"/>
        <v>JEAN LOVENS</v>
      </c>
      <c r="C3316" t="str">
        <f t="shared" si="1215"/>
        <v>CLERVOIT</v>
      </c>
      <c r="D3316">
        <f>12</f>
        <v>12</v>
      </c>
      <c r="E3316" t="str">
        <f>"06 - B - 112 - Lisa  Quinn"</f>
        <v>06 - B - 112 - Lisa  Quinn</v>
      </c>
      <c r="F3316" t="str">
        <f>"NC STUDY HALL 1"</f>
        <v>NC STUDY HALL 1</v>
      </c>
      <c r="G3316" t="str">
        <f>"17-1725"</f>
        <v>17-1725</v>
      </c>
      <c r="H3316" t="str">
        <f>"B"</f>
        <v>B</v>
      </c>
    </row>
    <row r="3317" spans="1:8" x14ac:dyDescent="0.2">
      <c r="A3317" t="str">
        <f t="shared" si="1213"/>
        <v>0615072518</v>
      </c>
      <c r="B3317" t="str">
        <f t="shared" si="1214"/>
        <v>JEAN LOVENS</v>
      </c>
      <c r="C3317" t="str">
        <f t="shared" si="1215"/>
        <v>CLERVOIT</v>
      </c>
      <c r="D3317">
        <f>12</f>
        <v>12</v>
      </c>
      <c r="E3317" t="str">
        <f>"03 - S1 - A - 002 - Barbara L Segal"</f>
        <v>03 - S1 - A - 002 - Barbara L Segal</v>
      </c>
      <c r="F3317" t="str">
        <f>"US GOVT"</f>
        <v>US GOVT</v>
      </c>
      <c r="G3317" t="str">
        <f>"17-1742"</f>
        <v>17-1742</v>
      </c>
      <c r="H3317" t="str">
        <f>"A"</f>
        <v>A</v>
      </c>
    </row>
    <row r="3318" spans="1:8" x14ac:dyDescent="0.2">
      <c r="A3318" t="str">
        <f t="shared" si="1213"/>
        <v>0615072518</v>
      </c>
      <c r="B3318" t="str">
        <f t="shared" si="1214"/>
        <v>JEAN LOVENS</v>
      </c>
      <c r="C3318" t="str">
        <f t="shared" si="1215"/>
        <v>CLERVOIT</v>
      </c>
      <c r="D3318">
        <f>12</f>
        <v>12</v>
      </c>
      <c r="E3318" t="str">
        <f>"02 - A - 101 - Robyn L Trainer"</f>
        <v>02 - A - 101 - Robyn L Trainer</v>
      </c>
      <c r="F3318" t="str">
        <f>"ENG 4"</f>
        <v>ENG 4</v>
      </c>
      <c r="G3318" t="str">
        <f>"17-1734"</f>
        <v>17-1734</v>
      </c>
      <c r="H3318" t="str">
        <f>"A"</f>
        <v>A</v>
      </c>
    </row>
    <row r="3319" spans="1:8" x14ac:dyDescent="0.2">
      <c r="A3319" t="str">
        <f t="shared" si="1213"/>
        <v>0615072518</v>
      </c>
      <c r="B3319" t="str">
        <f t="shared" si="1214"/>
        <v>JEAN LOVENS</v>
      </c>
      <c r="C3319" t="str">
        <f t="shared" si="1215"/>
        <v>CLERVOIT</v>
      </c>
      <c r="D3319">
        <f>12</f>
        <v>12</v>
      </c>
      <c r="E3319" t="str">
        <f>"07 - B - 101 - Jeanne M Bermudez"</f>
        <v>07 - B - 101 - Jeanne M Bermudez</v>
      </c>
      <c r="F3319" t="str">
        <f>"FOUND OF PROGRAM HON"</f>
        <v>FOUND OF PROGRAM HON</v>
      </c>
      <c r="G3319" t="str">
        <f>"21-2141"</f>
        <v>21-2141</v>
      </c>
      <c r="H3319" t="str">
        <f>"B"</f>
        <v>B</v>
      </c>
    </row>
    <row r="3320" spans="1:8" x14ac:dyDescent="0.2">
      <c r="A3320" t="str">
        <f t="shared" si="1213"/>
        <v>0615072518</v>
      </c>
      <c r="B3320" t="str">
        <f t="shared" si="1214"/>
        <v>JEAN LOVENS</v>
      </c>
      <c r="C3320" t="str">
        <f t="shared" si="1215"/>
        <v>CLERVOIT</v>
      </c>
      <c r="D3320">
        <f>12</f>
        <v>12</v>
      </c>
      <c r="E3320" t="str">
        <f>"05 - B - 104 - Semra  Bahadir"</f>
        <v>05 - B - 104 - Semra  Bahadir</v>
      </c>
      <c r="F3320" t="str">
        <f>"MATH COLL ALGEBRA"</f>
        <v>MATH COLL ALGEBRA</v>
      </c>
      <c r="G3320" t="str">
        <f>"21-2107"</f>
        <v>21-2107</v>
      </c>
      <c r="H3320" t="str">
        <f>"B"</f>
        <v>B</v>
      </c>
    </row>
    <row r="3321" spans="1:8" x14ac:dyDescent="0.2">
      <c r="A3321" t="str">
        <f t="shared" si="1213"/>
        <v>0615072518</v>
      </c>
      <c r="B3321" t="str">
        <f t="shared" si="1214"/>
        <v>JEAN LOVENS</v>
      </c>
      <c r="C3321" t="str">
        <f t="shared" si="1215"/>
        <v>CLERVOIT</v>
      </c>
      <c r="D3321">
        <f>12</f>
        <v>12</v>
      </c>
      <c r="E3321" t="str">
        <f>"01 - S1 - A - 101 - Leslie J Barton"</f>
        <v>01 - S1 - A - 101 - Leslie J Barton</v>
      </c>
      <c r="F3321" t="str">
        <f>"FIRST AID SAFETY"</f>
        <v>FIRST AID SAFETY</v>
      </c>
      <c r="G3321" t="str">
        <f>"05-521"</f>
        <v>05-521</v>
      </c>
      <c r="H3321" t="str">
        <f>"A"</f>
        <v>A</v>
      </c>
    </row>
    <row r="3322" spans="1:8" x14ac:dyDescent="0.2">
      <c r="A3322" t="str">
        <f t="shared" si="1213"/>
        <v>0615072518</v>
      </c>
      <c r="B3322" t="str">
        <f t="shared" si="1214"/>
        <v>JEAN LOVENS</v>
      </c>
      <c r="C3322" t="str">
        <f t="shared" si="1215"/>
        <v>CLERVOIT</v>
      </c>
      <c r="D3322">
        <f>12</f>
        <v>12</v>
      </c>
      <c r="E3322" t="str">
        <f>"08 - B - 201 - Vanessa J Liburd"</f>
        <v>08 - B - 201 - Vanessa J Liburd</v>
      </c>
      <c r="F3322" t="str">
        <f>"FRENCH 3 HON"</f>
        <v>FRENCH 3 HON</v>
      </c>
      <c r="G3322" t="str">
        <f>"05-519"</f>
        <v>05-519</v>
      </c>
      <c r="H3322" t="str">
        <f>"B"</f>
        <v>B</v>
      </c>
    </row>
    <row r="3323" spans="1:8" x14ac:dyDescent="0.2">
      <c r="A3323" t="str">
        <f t="shared" ref="A3323:A3330" si="1216">"0619117510"</f>
        <v>0619117510</v>
      </c>
      <c r="B3323" t="str">
        <f t="shared" ref="B3323:B3330" si="1217">"JAYLYN"</f>
        <v>JAYLYN</v>
      </c>
      <c r="C3323" t="str">
        <f t="shared" ref="C3323:C3330" si="1218">"CLINTON"</f>
        <v>CLINTON</v>
      </c>
      <c r="D3323">
        <f>10</f>
        <v>10</v>
      </c>
      <c r="E3323" t="str">
        <f>"04 - A - 105 - Milca  Exantus"</f>
        <v>04 - A - 105 - Milca  Exantus</v>
      </c>
      <c r="F3323" t="str">
        <f>"MATH COLLEGE LIB ART"</f>
        <v>MATH COLLEGE LIB ART</v>
      </c>
      <c r="G3323" t="str">
        <f>"21-2145"</f>
        <v>21-2145</v>
      </c>
      <c r="H3323" t="str">
        <f>"A"</f>
        <v>A</v>
      </c>
    </row>
    <row r="3324" spans="1:8" x14ac:dyDescent="0.2">
      <c r="A3324" t="str">
        <f t="shared" si="1216"/>
        <v>0619117510</v>
      </c>
      <c r="B3324" t="str">
        <f t="shared" si="1217"/>
        <v>JAYLYN</v>
      </c>
      <c r="C3324" t="str">
        <f t="shared" si="1218"/>
        <v>CLINTON</v>
      </c>
      <c r="D3324">
        <f>10</f>
        <v>10</v>
      </c>
      <c r="E3324" t="str">
        <f>"06 - B - 002 - Lenecy  Nodarse"</f>
        <v>06 - B - 002 - Lenecy  Nodarse</v>
      </c>
      <c r="F3324" t="str">
        <f>"NC STUDY HALL 1"</f>
        <v>NC STUDY HALL 1</v>
      </c>
      <c r="G3324" t="str">
        <f>"17-1741"</f>
        <v>17-1741</v>
      </c>
      <c r="H3324" t="str">
        <f>"B"</f>
        <v>B</v>
      </c>
    </row>
    <row r="3325" spans="1:8" x14ac:dyDescent="0.2">
      <c r="A3325" t="str">
        <f t="shared" si="1216"/>
        <v>0619117510</v>
      </c>
      <c r="B3325" t="str">
        <f t="shared" si="1217"/>
        <v>JAYLYN</v>
      </c>
      <c r="C3325" t="str">
        <f t="shared" si="1218"/>
        <v>CLINTON</v>
      </c>
      <c r="D3325">
        <f>10</f>
        <v>10</v>
      </c>
      <c r="E3325" t="str">
        <f>"03 - A - 103 - Marius D Orsolini"</f>
        <v>03 - A - 103 - Marius D Orsolini</v>
      </c>
      <c r="F3325" t="str">
        <f>"CULINARY ARTS 1"</f>
        <v>CULINARY ARTS 1</v>
      </c>
      <c r="G3325" t="str">
        <f>"21-2115"</f>
        <v>21-2115</v>
      </c>
      <c r="H3325" t="str">
        <f>"A"</f>
        <v>A</v>
      </c>
    </row>
    <row r="3326" spans="1:8" x14ac:dyDescent="0.2">
      <c r="A3326" t="str">
        <f t="shared" si="1216"/>
        <v>0619117510</v>
      </c>
      <c r="B3326" t="str">
        <f t="shared" si="1217"/>
        <v>JAYLYN</v>
      </c>
      <c r="C3326" t="str">
        <f t="shared" si="1218"/>
        <v>CLINTON</v>
      </c>
      <c r="D3326">
        <f>10</f>
        <v>10</v>
      </c>
      <c r="E3326" t="str">
        <f>"02 - A - 102 - Nikiel  Nesbeth"</f>
        <v>02 - A - 102 - Nikiel  Nesbeth</v>
      </c>
      <c r="F3326" t="str">
        <f>"ENG 2"</f>
        <v>ENG 2</v>
      </c>
      <c r="G3326" t="str">
        <f>"17-1705"</f>
        <v>17-1705</v>
      </c>
      <c r="H3326" t="str">
        <f>"A"</f>
        <v>A</v>
      </c>
    </row>
    <row r="3327" spans="1:8" x14ac:dyDescent="0.2">
      <c r="A3327" t="str">
        <f t="shared" si="1216"/>
        <v>0619117510</v>
      </c>
      <c r="B3327" t="str">
        <f t="shared" si="1217"/>
        <v>JAYLYN</v>
      </c>
      <c r="C3327" t="str">
        <f t="shared" si="1218"/>
        <v>CLINTON</v>
      </c>
      <c r="D3327">
        <f>10</f>
        <v>10</v>
      </c>
      <c r="E3327" t="str">
        <f>"07 - B - 101 - Lisa  Quinn"</f>
        <v>07 - B - 101 - Lisa  Quinn</v>
      </c>
      <c r="F3327" t="str">
        <f>"RESEARCH 1"</f>
        <v>RESEARCH 1</v>
      </c>
      <c r="G3327" t="str">
        <f>"17-1725"</f>
        <v>17-1725</v>
      </c>
      <c r="H3327" t="str">
        <f>"B"</f>
        <v>B</v>
      </c>
    </row>
    <row r="3328" spans="1:8" x14ac:dyDescent="0.2">
      <c r="A3328" t="str">
        <f t="shared" si="1216"/>
        <v>0619117510</v>
      </c>
      <c r="B3328" t="str">
        <f t="shared" si="1217"/>
        <v>JAYLYN</v>
      </c>
      <c r="C3328" t="str">
        <f t="shared" si="1218"/>
        <v>CLINTON</v>
      </c>
      <c r="D3328">
        <f>10</f>
        <v>10</v>
      </c>
      <c r="E3328" t="str">
        <f>"05 - B - 105 - Taraneh C Abreu"</f>
        <v>05 - B - 105 - Taraneh C Abreu</v>
      </c>
      <c r="F3328" t="str">
        <f>"INTENS READ 2"</f>
        <v>INTENS READ 2</v>
      </c>
      <c r="G3328" t="str">
        <f>"17-1713"</f>
        <v>17-1713</v>
      </c>
      <c r="H3328" t="str">
        <f>"B"</f>
        <v>B</v>
      </c>
    </row>
    <row r="3329" spans="1:8" x14ac:dyDescent="0.2">
      <c r="A3329" t="str">
        <f t="shared" si="1216"/>
        <v>0619117510</v>
      </c>
      <c r="B3329" t="str">
        <f t="shared" si="1217"/>
        <v>JAYLYN</v>
      </c>
      <c r="C3329" t="str">
        <f t="shared" si="1218"/>
        <v>CLINTON</v>
      </c>
      <c r="D3329">
        <f>10</f>
        <v>10</v>
      </c>
      <c r="E3329" t="str">
        <f>"01 - A - 102 - Lytrell T Dixon"</f>
        <v>01 - A - 102 - Lytrell T Dixon</v>
      </c>
      <c r="F3329" t="str">
        <f>"BIOLOGY 1"</f>
        <v>BIOLOGY 1</v>
      </c>
      <c r="G3329" t="str">
        <f>"08-808"</f>
        <v>08-808</v>
      </c>
      <c r="H3329" t="str">
        <f>"A"</f>
        <v>A</v>
      </c>
    </row>
    <row r="3330" spans="1:8" x14ac:dyDescent="0.2">
      <c r="A3330" t="str">
        <f t="shared" si="1216"/>
        <v>0619117510</v>
      </c>
      <c r="B3330" t="str">
        <f t="shared" si="1217"/>
        <v>JAYLYN</v>
      </c>
      <c r="C3330" t="str">
        <f t="shared" si="1218"/>
        <v>CLINTON</v>
      </c>
      <c r="D3330">
        <f>10</f>
        <v>10</v>
      </c>
      <c r="E3330" t="str">
        <f>"08 - S1 - B - 102 - Kyle  Robbins"</f>
        <v>08 - S1 - B - 102 - Kyle  Robbins</v>
      </c>
      <c r="F3330" t="str">
        <f>"PERS FIN &amp; MON MGT H"</f>
        <v>PERS FIN &amp; MON MGT H</v>
      </c>
      <c r="G3330" t="str">
        <f>"17-1745"</f>
        <v>17-1745</v>
      </c>
      <c r="H3330" t="str">
        <f>"B"</f>
        <v>B</v>
      </c>
    </row>
    <row r="3331" spans="1:8" x14ac:dyDescent="0.2">
      <c r="A3331" t="str">
        <f t="shared" ref="A3331:A3338" si="1219">"0616125039"</f>
        <v>0616125039</v>
      </c>
      <c r="B3331" t="str">
        <f t="shared" ref="B3331:B3338" si="1220">"TATUM"</f>
        <v>TATUM</v>
      </c>
      <c r="C3331" t="str">
        <f t="shared" ref="C3331:C3338" si="1221">"CLOWERS"</f>
        <v>CLOWERS</v>
      </c>
      <c r="D3331">
        <f>12</f>
        <v>12</v>
      </c>
      <c r="E3331" t="str">
        <f>"04 - A - 103 - Cliffon  Saurel"</f>
        <v>04 - A - 103 - Cliffon  Saurel</v>
      </c>
      <c r="F3331" t="str">
        <f>"PHYSICAL SCI"</f>
        <v>PHYSICAL SCI</v>
      </c>
      <c r="G3331" t="str">
        <f>"05-522"</f>
        <v>05-522</v>
      </c>
      <c r="H3331" t="str">
        <f>"A"</f>
        <v>A</v>
      </c>
    </row>
    <row r="3332" spans="1:8" x14ac:dyDescent="0.2">
      <c r="A3332" t="str">
        <f t="shared" si="1219"/>
        <v>0616125039</v>
      </c>
      <c r="B3332" t="str">
        <f t="shared" si="1220"/>
        <v>TATUM</v>
      </c>
      <c r="C3332" t="str">
        <f t="shared" si="1221"/>
        <v>CLOWERS</v>
      </c>
      <c r="D3332">
        <f>12</f>
        <v>12</v>
      </c>
      <c r="E3332" t="str">
        <f>"06 - B - 112 - Lisa  Quinn"</f>
        <v>06 - B - 112 - Lisa  Quinn</v>
      </c>
      <c r="F3332" t="str">
        <f>"NC STUDY HALL 1"</f>
        <v>NC STUDY HALL 1</v>
      </c>
      <c r="G3332" t="str">
        <f>"17-1725"</f>
        <v>17-1725</v>
      </c>
      <c r="H3332" t="str">
        <f>"B"</f>
        <v>B</v>
      </c>
    </row>
    <row r="3333" spans="1:8" x14ac:dyDescent="0.2">
      <c r="A3333" t="str">
        <f t="shared" si="1219"/>
        <v>0616125039</v>
      </c>
      <c r="B3333" t="str">
        <f t="shared" si="1220"/>
        <v>TATUM</v>
      </c>
      <c r="C3333" t="str">
        <f t="shared" si="1221"/>
        <v>CLOWERS</v>
      </c>
      <c r="D3333">
        <f>12</f>
        <v>12</v>
      </c>
      <c r="E3333" t="str">
        <f>"03 - A - 202 - Bruce A Evans"</f>
        <v>03 - A - 202 - Bruce A Evans</v>
      </c>
      <c r="F3333" t="str">
        <f>"HEALTH SCI FOUND HON"</f>
        <v>HEALTH SCI FOUND HON</v>
      </c>
      <c r="G3333" t="str">
        <f>"21-2142"</f>
        <v>21-2142</v>
      </c>
      <c r="H3333" t="str">
        <f>"A"</f>
        <v>A</v>
      </c>
    </row>
    <row r="3334" spans="1:8" x14ac:dyDescent="0.2">
      <c r="A3334" t="str">
        <f t="shared" si="1219"/>
        <v>0616125039</v>
      </c>
      <c r="B3334" t="str">
        <f t="shared" si="1220"/>
        <v>TATUM</v>
      </c>
      <c r="C3334" t="str">
        <f t="shared" si="1221"/>
        <v>CLOWERS</v>
      </c>
      <c r="D3334">
        <f>12</f>
        <v>12</v>
      </c>
      <c r="E3334" t="str">
        <f>"02 - A - 102 - Bruce A Evans"</f>
        <v>02 - A - 102 - Bruce A Evans</v>
      </c>
      <c r="F3334" t="str">
        <f>"EMERG MED RESP 3 HON"</f>
        <v>EMERG MED RESP 3 HON</v>
      </c>
      <c r="G3334" t="str">
        <f>"21-2142"</f>
        <v>21-2142</v>
      </c>
      <c r="H3334" t="str">
        <f>"A"</f>
        <v>A</v>
      </c>
    </row>
    <row r="3335" spans="1:8" x14ac:dyDescent="0.2">
      <c r="A3335" t="str">
        <f t="shared" si="1219"/>
        <v>0616125039</v>
      </c>
      <c r="B3335" t="str">
        <f t="shared" si="1220"/>
        <v>TATUM</v>
      </c>
      <c r="C3335" t="str">
        <f t="shared" si="1221"/>
        <v>CLOWERS</v>
      </c>
      <c r="D3335">
        <f>12</f>
        <v>12</v>
      </c>
      <c r="E3335" t="str">
        <f>"07 - B - 101 - Bruce A Evans"</f>
        <v>07 - B - 101 - Bruce A Evans</v>
      </c>
      <c r="F3335" t="str">
        <f>"FIREFIGHTING 1 LH"</f>
        <v>FIREFIGHTING 1 LH</v>
      </c>
      <c r="G3335" t="str">
        <f>"21-2142"</f>
        <v>21-2142</v>
      </c>
      <c r="H3335" t="str">
        <f>"B"</f>
        <v>B</v>
      </c>
    </row>
    <row r="3336" spans="1:8" x14ac:dyDescent="0.2">
      <c r="A3336" t="str">
        <f t="shared" si="1219"/>
        <v>0616125039</v>
      </c>
      <c r="B3336" t="str">
        <f t="shared" si="1220"/>
        <v>TATUM</v>
      </c>
      <c r="C3336" t="str">
        <f t="shared" si="1221"/>
        <v>CLOWERS</v>
      </c>
      <c r="D3336">
        <f>12</f>
        <v>12</v>
      </c>
      <c r="E3336" t="str">
        <f>"05 - B - 102 - Robyn L Trainer"</f>
        <v>05 - B - 102 - Robyn L Trainer</v>
      </c>
      <c r="F3336" t="str">
        <f>"ENG 4"</f>
        <v>ENG 4</v>
      </c>
      <c r="G3336" t="str">
        <f>"17-1734"</f>
        <v>17-1734</v>
      </c>
      <c r="H3336" t="str">
        <f>"B"</f>
        <v>B</v>
      </c>
    </row>
    <row r="3337" spans="1:8" x14ac:dyDescent="0.2">
      <c r="A3337" t="str">
        <f t="shared" si="1219"/>
        <v>0616125039</v>
      </c>
      <c r="B3337" t="str">
        <f t="shared" si="1220"/>
        <v>TATUM</v>
      </c>
      <c r="C3337" t="str">
        <f t="shared" si="1221"/>
        <v>CLOWERS</v>
      </c>
      <c r="D3337">
        <f>12</f>
        <v>12</v>
      </c>
      <c r="E3337" t="str">
        <f>"01 - S1 - A - 101 - Barbara L Segal"</f>
        <v>01 - S1 - A - 101 - Barbara L Segal</v>
      </c>
      <c r="F3337" t="str">
        <f>"US GOVT HON"</f>
        <v>US GOVT HON</v>
      </c>
      <c r="G3337" t="str">
        <f>"17-1742"</f>
        <v>17-1742</v>
      </c>
      <c r="H3337" t="str">
        <f>"A"</f>
        <v>A</v>
      </c>
    </row>
    <row r="3338" spans="1:8" x14ac:dyDescent="0.2">
      <c r="A3338" t="str">
        <f t="shared" si="1219"/>
        <v>0616125039</v>
      </c>
      <c r="B3338" t="str">
        <f t="shared" si="1220"/>
        <v>TATUM</v>
      </c>
      <c r="C3338" t="str">
        <f t="shared" si="1221"/>
        <v>CLOWERS</v>
      </c>
      <c r="D3338">
        <f>12</f>
        <v>12</v>
      </c>
      <c r="E3338" t="str">
        <f>"08 - B - 105 - Semra  Bahadir"</f>
        <v>08 - B - 105 - Semra  Bahadir</v>
      </c>
      <c r="F3338" t="str">
        <f>"MATH COLL ALGEBRA"</f>
        <v>MATH COLL ALGEBRA</v>
      </c>
      <c r="G3338" t="str">
        <f>"21-2107"</f>
        <v>21-2107</v>
      </c>
      <c r="H3338" t="str">
        <f>"B"</f>
        <v>B</v>
      </c>
    </row>
    <row r="3339" spans="1:8" x14ac:dyDescent="0.2">
      <c r="A3339" t="str">
        <f t="shared" ref="A3339:A3347" si="1222">"0619094814"</f>
        <v>0619094814</v>
      </c>
      <c r="B3339" t="str">
        <f t="shared" ref="B3339:B3347" si="1223">"ELIJAH"</f>
        <v>ELIJAH</v>
      </c>
      <c r="C3339" t="str">
        <f t="shared" ref="C3339:C3347" si="1224">"COAKLEY"</f>
        <v>COAKLEY</v>
      </c>
      <c r="D3339" t="str">
        <f t="shared" ref="D3339:D3347" si="1225">"09"</f>
        <v>09</v>
      </c>
      <c r="E3339" t="str">
        <f>"04 - A - 105 - Carol S Moore"</f>
        <v>04 - A - 105 - Carol S Moore</v>
      </c>
      <c r="F3339" t="str">
        <f>"PRE-AICE WRLD HST IG"</f>
        <v>PRE-AICE WRLD HST IG</v>
      </c>
      <c r="G3339" t="str">
        <f>"17-1733"</f>
        <v>17-1733</v>
      </c>
      <c r="H3339" t="str">
        <f>"A"</f>
        <v>A</v>
      </c>
    </row>
    <row r="3340" spans="1:8" x14ac:dyDescent="0.2">
      <c r="A3340" t="str">
        <f t="shared" si="1222"/>
        <v>0619094814</v>
      </c>
      <c r="B3340" t="str">
        <f t="shared" si="1223"/>
        <v>ELIJAH</v>
      </c>
      <c r="C3340" t="str">
        <f t="shared" si="1224"/>
        <v>COAKLEY</v>
      </c>
      <c r="D3340" t="str">
        <f t="shared" si="1225"/>
        <v>09</v>
      </c>
      <c r="E3340" t="str">
        <f>"06 - B - 104 - Lytrell T Dixon"</f>
        <v>06 - B - 104 - Lytrell T Dixon</v>
      </c>
      <c r="F3340" t="str">
        <f>"PRE-AICE BIO IG"</f>
        <v>PRE-AICE BIO IG</v>
      </c>
      <c r="G3340" t="str">
        <f>"08-808"</f>
        <v>08-808</v>
      </c>
      <c r="H3340" t="str">
        <f>"B"</f>
        <v>B</v>
      </c>
    </row>
    <row r="3341" spans="1:8" x14ac:dyDescent="0.2">
      <c r="A3341" t="str">
        <f t="shared" si="1222"/>
        <v>0619094814</v>
      </c>
      <c r="B3341" t="str">
        <f t="shared" si="1223"/>
        <v>ELIJAH</v>
      </c>
      <c r="C3341" t="str">
        <f t="shared" si="1224"/>
        <v>COAKLEY</v>
      </c>
      <c r="D3341" t="str">
        <f t="shared" si="1225"/>
        <v>09</v>
      </c>
      <c r="E3341" t="str">
        <f>"03 - A - 103 - Adam Marcus  Drucker"</f>
        <v>03 - A - 103 - Adam Marcus  Drucker</v>
      </c>
      <c r="F3341" t="str">
        <f>"HOPE-PE V"</f>
        <v>HOPE-PE V</v>
      </c>
      <c r="G3341" t="str">
        <f>"04-254"</f>
        <v>04-254</v>
      </c>
      <c r="H3341" t="str">
        <f>"A"</f>
        <v>A</v>
      </c>
    </row>
    <row r="3342" spans="1:8" x14ac:dyDescent="0.2">
      <c r="A3342" t="str">
        <f t="shared" si="1222"/>
        <v>0619094814</v>
      </c>
      <c r="B3342" t="str">
        <f t="shared" si="1223"/>
        <v>ELIJAH</v>
      </c>
      <c r="C3342" t="str">
        <f t="shared" si="1224"/>
        <v>COAKLEY</v>
      </c>
      <c r="D3342" t="str">
        <f t="shared" si="1225"/>
        <v>09</v>
      </c>
      <c r="E3342" t="str">
        <f>"02 - A - 116 - Tina L Lovett"</f>
        <v>02 - A - 116 - Tina L Lovett</v>
      </c>
      <c r="F3342" t="str">
        <f>"NC STUDY HALL 1"</f>
        <v>NC STUDY HALL 1</v>
      </c>
      <c r="G3342" t="str">
        <f>"21-2153"</f>
        <v>21-2153</v>
      </c>
      <c r="H3342" t="str">
        <f>"A"</f>
        <v>A</v>
      </c>
    </row>
    <row r="3343" spans="1:8" x14ac:dyDescent="0.2">
      <c r="A3343" t="str">
        <f t="shared" si="1222"/>
        <v>0619094814</v>
      </c>
      <c r="B3343" t="str">
        <f t="shared" si="1223"/>
        <v>ELIJAH</v>
      </c>
      <c r="C3343" t="str">
        <f t="shared" si="1224"/>
        <v>COAKLEY</v>
      </c>
      <c r="D3343" t="str">
        <f t="shared" si="1225"/>
        <v>09</v>
      </c>
      <c r="E3343" t="str">
        <f>"02 - A - 102 - Eric  Lopapa"</f>
        <v>02 - A - 102 - Eric  Lopapa</v>
      </c>
      <c r="F3343" t="str">
        <f>"SPEECH THRPY"</f>
        <v>SPEECH THRPY</v>
      </c>
      <c r="G3343" t="str">
        <f>"21-2110"</f>
        <v>21-2110</v>
      </c>
      <c r="H3343" t="str">
        <f>"A"</f>
        <v>A</v>
      </c>
    </row>
    <row r="3344" spans="1:8" x14ac:dyDescent="0.2">
      <c r="A3344" t="str">
        <f t="shared" si="1222"/>
        <v>0619094814</v>
      </c>
      <c r="B3344" t="str">
        <f t="shared" si="1223"/>
        <v>ELIJAH</v>
      </c>
      <c r="C3344" t="str">
        <f t="shared" si="1224"/>
        <v>COAKLEY</v>
      </c>
      <c r="D3344" t="str">
        <f t="shared" si="1225"/>
        <v>09</v>
      </c>
      <c r="E3344" t="str">
        <f>"07 - B - 002 - Jazmin S Fletcher"</f>
        <v>07 - B - 002 - Jazmin S Fletcher</v>
      </c>
      <c r="F3344" t="str">
        <f>"THEATRE 1"</f>
        <v>THEATRE 1</v>
      </c>
      <c r="G3344" t="str">
        <f>"09-909"</f>
        <v>09-909</v>
      </c>
      <c r="H3344" t="str">
        <f>"B"</f>
        <v>B</v>
      </c>
    </row>
    <row r="3345" spans="1:8" x14ac:dyDescent="0.2">
      <c r="A3345" t="str">
        <f t="shared" si="1222"/>
        <v>0619094814</v>
      </c>
      <c r="B3345" t="str">
        <f t="shared" si="1223"/>
        <v>ELIJAH</v>
      </c>
      <c r="C3345" t="str">
        <f t="shared" si="1224"/>
        <v>COAKLEY</v>
      </c>
      <c r="D3345" t="str">
        <f t="shared" si="1225"/>
        <v>09</v>
      </c>
      <c r="E3345" t="str">
        <f>"05 - B - 106 - Fernando  Vega-Cid"</f>
        <v>05 - B - 106 - Fernando  Vega-Cid</v>
      </c>
      <c r="F3345" t="str">
        <f>"GEOMETRY"</f>
        <v>GEOMETRY</v>
      </c>
      <c r="G3345" t="str">
        <f>"21-2163"</f>
        <v>21-2163</v>
      </c>
      <c r="H3345" t="str">
        <f>"B"</f>
        <v>B</v>
      </c>
    </row>
    <row r="3346" spans="1:8" x14ac:dyDescent="0.2">
      <c r="A3346" t="str">
        <f t="shared" si="1222"/>
        <v>0619094814</v>
      </c>
      <c r="B3346" t="str">
        <f t="shared" si="1223"/>
        <v>ELIJAH</v>
      </c>
      <c r="C3346" t="str">
        <f t="shared" si="1224"/>
        <v>COAKLEY</v>
      </c>
      <c r="D3346" t="str">
        <f t="shared" si="1225"/>
        <v>09</v>
      </c>
      <c r="E3346" t="str">
        <f>"01 - A - 101 - Cheryl Anne  Berman-Schechter"</f>
        <v>01 - A - 101 - Cheryl Anne  Berman-Schechter</v>
      </c>
      <c r="F3346" t="str">
        <f>"PRE-AICE ENG LANG IG"</f>
        <v>PRE-AICE ENG LANG IG</v>
      </c>
      <c r="G3346" t="str">
        <f>"17-1722"</f>
        <v>17-1722</v>
      </c>
      <c r="H3346" t="str">
        <f>"A"</f>
        <v>A</v>
      </c>
    </row>
    <row r="3347" spans="1:8" x14ac:dyDescent="0.2">
      <c r="A3347" t="str">
        <f t="shared" si="1222"/>
        <v>0619094814</v>
      </c>
      <c r="B3347" t="str">
        <f t="shared" si="1223"/>
        <v>ELIJAH</v>
      </c>
      <c r="C3347" t="str">
        <f t="shared" si="1224"/>
        <v>COAKLEY</v>
      </c>
      <c r="D3347" t="str">
        <f t="shared" si="1225"/>
        <v>09</v>
      </c>
      <c r="E3347" t="str">
        <f>"08 - S1 - B - 104 - Angela S Adeshina-Morrison"</f>
        <v>08 - S1 - B - 104 - Angela S Adeshina-Morrison</v>
      </c>
      <c r="F3347" t="str">
        <f>"PEER COUN 1"</f>
        <v>PEER COUN 1</v>
      </c>
      <c r="G3347" t="str">
        <f>"05-518"</f>
        <v>05-518</v>
      </c>
      <c r="H3347" t="str">
        <f>"B"</f>
        <v>B</v>
      </c>
    </row>
    <row r="3348" spans="1:8" x14ac:dyDescent="0.2">
      <c r="A3348" t="str">
        <f t="shared" ref="A3348:A3355" si="1226">"0625049426"</f>
        <v>0625049426</v>
      </c>
      <c r="B3348" t="str">
        <f t="shared" ref="B3348:B3355" si="1227">"DEREK"</f>
        <v>DEREK</v>
      </c>
      <c r="C3348" t="str">
        <f t="shared" ref="C3348:C3355" si="1228">"COBB"</f>
        <v>COBB</v>
      </c>
      <c r="D3348">
        <f>10</f>
        <v>10</v>
      </c>
      <c r="E3348" t="str">
        <f>"04 - A - 102 - Tina L Lovett"</f>
        <v>04 - A - 102 - Tina L Lovett</v>
      </c>
      <c r="F3348" t="str">
        <f>"ALGEBRA 1"</f>
        <v>ALGEBRA 1</v>
      </c>
      <c r="G3348" t="str">
        <f>"21-2153"</f>
        <v>21-2153</v>
      </c>
      <c r="H3348" t="str">
        <f>"A"</f>
        <v>A</v>
      </c>
    </row>
    <row r="3349" spans="1:8" x14ac:dyDescent="0.2">
      <c r="A3349" t="str">
        <f t="shared" si="1226"/>
        <v>0625049426</v>
      </c>
      <c r="B3349" t="str">
        <f t="shared" si="1227"/>
        <v>DEREK</v>
      </c>
      <c r="C3349" t="str">
        <f t="shared" si="1228"/>
        <v>COBB</v>
      </c>
      <c r="D3349">
        <f>10</f>
        <v>10</v>
      </c>
      <c r="E3349" t="str">
        <f>"06 - B - 105 - Jeffrey S Gallagher"</f>
        <v>06 - B - 105 - Jeffrey S Gallagher</v>
      </c>
      <c r="F3349" t="str">
        <f>"NC STUDY HALL 1"</f>
        <v>NC STUDY HALL 1</v>
      </c>
      <c r="G3349" t="str">
        <f>"17-1724"</f>
        <v>17-1724</v>
      </c>
      <c r="H3349" t="str">
        <f>"B"</f>
        <v>B</v>
      </c>
    </row>
    <row r="3350" spans="1:8" x14ac:dyDescent="0.2">
      <c r="A3350" t="str">
        <f t="shared" si="1226"/>
        <v>0625049426</v>
      </c>
      <c r="B3350" t="str">
        <f t="shared" si="1227"/>
        <v>DEREK</v>
      </c>
      <c r="C3350" t="str">
        <f t="shared" si="1228"/>
        <v>COBB</v>
      </c>
      <c r="D3350">
        <f>10</f>
        <v>10</v>
      </c>
      <c r="E3350" t="str">
        <f>"03 - A - 206 - Josiah I Lacy"</f>
        <v>03 - A - 206 - Josiah I Lacy</v>
      </c>
      <c r="F3350" t="str">
        <f>"BIOLOGY 1"</f>
        <v>BIOLOGY 1</v>
      </c>
      <c r="G3350" t="str">
        <f>"08-801"</f>
        <v>08-801</v>
      </c>
      <c r="H3350" t="str">
        <f>"A"</f>
        <v>A</v>
      </c>
    </row>
    <row r="3351" spans="1:8" x14ac:dyDescent="0.2">
      <c r="A3351" t="str">
        <f t="shared" si="1226"/>
        <v>0625049426</v>
      </c>
      <c r="B3351" t="str">
        <f t="shared" si="1227"/>
        <v>DEREK</v>
      </c>
      <c r="C3351" t="str">
        <f t="shared" si="1228"/>
        <v>COBB</v>
      </c>
      <c r="D3351">
        <f>10</f>
        <v>10</v>
      </c>
      <c r="E3351" t="str">
        <f>"02 - A - 102 - Nikiel  Nesbeth"</f>
        <v>02 - A - 102 - Nikiel  Nesbeth</v>
      </c>
      <c r="F3351" t="str">
        <f>"ENG 2"</f>
        <v>ENG 2</v>
      </c>
      <c r="G3351" t="str">
        <f>"17-1705"</f>
        <v>17-1705</v>
      </c>
      <c r="H3351" t="str">
        <f>"A"</f>
        <v>A</v>
      </c>
    </row>
    <row r="3352" spans="1:8" x14ac:dyDescent="0.2">
      <c r="A3352" t="str">
        <f t="shared" si="1226"/>
        <v>0625049426</v>
      </c>
      <c r="B3352" t="str">
        <f t="shared" si="1227"/>
        <v>DEREK</v>
      </c>
      <c r="C3352" t="str">
        <f t="shared" si="1228"/>
        <v>COBB</v>
      </c>
      <c r="D3352">
        <f>10</f>
        <v>10</v>
      </c>
      <c r="E3352" t="str">
        <f>"07 - B - 104 - Lissa C Frederique"</f>
        <v>07 - B - 104 - Lissa C Frederique</v>
      </c>
      <c r="F3352" t="str">
        <f>"WORLD HISTORY"</f>
        <v>WORLD HISTORY</v>
      </c>
      <c r="G3352" t="str">
        <f>"17-1754"</f>
        <v>17-1754</v>
      </c>
      <c r="H3352" t="str">
        <f>"B"</f>
        <v>B</v>
      </c>
    </row>
    <row r="3353" spans="1:8" x14ac:dyDescent="0.2">
      <c r="A3353" t="str">
        <f t="shared" si="1226"/>
        <v>0625049426</v>
      </c>
      <c r="B3353" t="str">
        <f t="shared" si="1227"/>
        <v>DEREK</v>
      </c>
      <c r="C3353" t="str">
        <f t="shared" si="1228"/>
        <v>COBB</v>
      </c>
      <c r="D3353">
        <f>10</f>
        <v>10</v>
      </c>
      <c r="E3353" t="str">
        <f>"05 - B - 105 - Taraneh C Abreu"</f>
        <v>05 - B - 105 - Taraneh C Abreu</v>
      </c>
      <c r="F3353" t="str">
        <f>"INTENS READ 2"</f>
        <v>INTENS READ 2</v>
      </c>
      <c r="G3353" t="str">
        <f>"17-1713"</f>
        <v>17-1713</v>
      </c>
      <c r="H3353" t="str">
        <f>"B"</f>
        <v>B</v>
      </c>
    </row>
    <row r="3354" spans="1:8" x14ac:dyDescent="0.2">
      <c r="A3354" t="str">
        <f t="shared" si="1226"/>
        <v>0625049426</v>
      </c>
      <c r="B3354" t="str">
        <f t="shared" si="1227"/>
        <v>DEREK</v>
      </c>
      <c r="C3354" t="str">
        <f t="shared" si="1228"/>
        <v>COBB</v>
      </c>
      <c r="D3354">
        <f>10</f>
        <v>10</v>
      </c>
      <c r="E3354" t="str">
        <f>"01 - S1 - A - 101 - Lissa C Frederique"</f>
        <v>01 - S1 - A - 101 - Lissa C Frederique</v>
      </c>
      <c r="F3354" t="str">
        <f>"PERS FIN &amp; MON MGT H"</f>
        <v>PERS FIN &amp; MON MGT H</v>
      </c>
      <c r="G3354" t="str">
        <f>"17-1754"</f>
        <v>17-1754</v>
      </c>
      <c r="H3354" t="str">
        <f>"A"</f>
        <v>A</v>
      </c>
    </row>
    <row r="3355" spans="1:8" x14ac:dyDescent="0.2">
      <c r="A3355" t="str">
        <f t="shared" si="1226"/>
        <v>0625049426</v>
      </c>
      <c r="B3355" t="str">
        <f t="shared" si="1227"/>
        <v>DEREK</v>
      </c>
      <c r="C3355" t="str">
        <f t="shared" si="1228"/>
        <v>COBB</v>
      </c>
      <c r="D3355">
        <f>10</f>
        <v>10</v>
      </c>
      <c r="E3355" t="str">
        <f>"08 - B - 108 - Tina L Lovett"</f>
        <v>08 - B - 108 - Tina L Lovett</v>
      </c>
      <c r="F3355" t="str">
        <f>"FDN SKLS MATH 9-12"</f>
        <v>FDN SKLS MATH 9-12</v>
      </c>
      <c r="G3355" t="str">
        <f>"21-2153"</f>
        <v>21-2153</v>
      </c>
      <c r="H3355" t="str">
        <f>"B"</f>
        <v>B</v>
      </c>
    </row>
    <row r="3356" spans="1:8" x14ac:dyDescent="0.2">
      <c r="A3356" t="str">
        <f t="shared" ref="A3356:A3363" si="1229">"0616150386"</f>
        <v>0616150386</v>
      </c>
      <c r="B3356" t="str">
        <f t="shared" ref="B3356:B3363" si="1230">"ISADORA"</f>
        <v>ISADORA</v>
      </c>
      <c r="C3356" t="str">
        <f t="shared" ref="C3356:C3363" si="1231">"COELHO"</f>
        <v>COELHO</v>
      </c>
      <c r="D3356" t="str">
        <f t="shared" ref="D3356:D3371" si="1232">"09"</f>
        <v>09</v>
      </c>
      <c r="E3356" t="str">
        <f>"04 - A - 201 - Norayda D Suarez"</f>
        <v>04 - A - 201 - Norayda D Suarez</v>
      </c>
      <c r="F3356" t="str">
        <f>"ANAT PHYSIO HON"</f>
        <v>ANAT PHYSIO HON</v>
      </c>
      <c r="G3356" t="str">
        <f>"21-2142"</f>
        <v>21-2142</v>
      </c>
      <c r="H3356" t="str">
        <f>"A"</f>
        <v>A</v>
      </c>
    </row>
    <row r="3357" spans="1:8" x14ac:dyDescent="0.2">
      <c r="A3357" t="str">
        <f t="shared" si="1229"/>
        <v>0616150386</v>
      </c>
      <c r="B3357" t="str">
        <f t="shared" si="1230"/>
        <v>ISADORA</v>
      </c>
      <c r="C3357" t="str">
        <f t="shared" si="1231"/>
        <v>COELHO</v>
      </c>
      <c r="D3357" t="str">
        <f t="shared" si="1232"/>
        <v>09</v>
      </c>
      <c r="E3357" t="str">
        <f>"06 - S1 - B - 102 - Daniel S Katz"</f>
        <v>06 - S1 - B - 102 - Daniel S Katz</v>
      </c>
      <c r="F3357" t="str">
        <f>"COURT PROCED"</f>
        <v>COURT PROCED</v>
      </c>
      <c r="G3357" t="str">
        <f>"21-2156"</f>
        <v>21-2156</v>
      </c>
      <c r="H3357" t="str">
        <f>"B"</f>
        <v>B</v>
      </c>
    </row>
    <row r="3358" spans="1:8" x14ac:dyDescent="0.2">
      <c r="A3358" t="str">
        <f t="shared" si="1229"/>
        <v>0616150386</v>
      </c>
      <c r="B3358" t="str">
        <f t="shared" si="1230"/>
        <v>ISADORA</v>
      </c>
      <c r="C3358" t="str">
        <f t="shared" si="1231"/>
        <v>COELHO</v>
      </c>
      <c r="D3358" t="str">
        <f t="shared" si="1232"/>
        <v>09</v>
      </c>
      <c r="E3358" t="str">
        <f>"03 - A - 101 - Brian M Fitzgerald"</f>
        <v>03 - A - 101 - Brian M Fitzgerald</v>
      </c>
      <c r="F3358" t="str">
        <f>"SCULPT 1"</f>
        <v>SCULPT 1</v>
      </c>
      <c r="G3358" t="str">
        <f>"09-908"</f>
        <v>09-908</v>
      </c>
      <c r="H3358" t="str">
        <f>"A"</f>
        <v>A</v>
      </c>
    </row>
    <row r="3359" spans="1:8" x14ac:dyDescent="0.2">
      <c r="A3359" t="str">
        <f t="shared" si="1229"/>
        <v>0616150386</v>
      </c>
      <c r="B3359" t="str">
        <f t="shared" si="1230"/>
        <v>ISADORA</v>
      </c>
      <c r="C3359" t="str">
        <f t="shared" si="1231"/>
        <v>COELHO</v>
      </c>
      <c r="D3359" t="str">
        <f t="shared" si="1232"/>
        <v>09</v>
      </c>
      <c r="E3359" t="str">
        <f>"02 - A - 110 - Maried P Ramos"</f>
        <v>02 - A - 110 - Maried P Ramos</v>
      </c>
      <c r="F3359" t="str">
        <f>"NC STUDY HALL 1"</f>
        <v>NC STUDY HALL 1</v>
      </c>
      <c r="G3359" t="str">
        <f>"21-2159"</f>
        <v>21-2159</v>
      </c>
      <c r="H3359" t="str">
        <f>"A"</f>
        <v>A</v>
      </c>
    </row>
    <row r="3360" spans="1:8" x14ac:dyDescent="0.2">
      <c r="A3360" t="str">
        <f t="shared" si="1229"/>
        <v>0616150386</v>
      </c>
      <c r="B3360" t="str">
        <f t="shared" si="1230"/>
        <v>ISADORA</v>
      </c>
      <c r="C3360" t="str">
        <f t="shared" si="1231"/>
        <v>COELHO</v>
      </c>
      <c r="D3360" t="str">
        <f t="shared" si="1232"/>
        <v>09</v>
      </c>
      <c r="E3360" t="str">
        <f>"07 - B - 103 - Vanessa J Liburd"</f>
        <v>07 - B - 103 - Vanessa J Liburd</v>
      </c>
      <c r="F3360" t="str">
        <f>"PRE-AICE FRENCH 1 IG"</f>
        <v>PRE-AICE FRENCH 1 IG</v>
      </c>
      <c r="G3360" t="str">
        <f>"05-519"</f>
        <v>05-519</v>
      </c>
      <c r="H3360" t="str">
        <f>"B"</f>
        <v>B</v>
      </c>
    </row>
    <row r="3361" spans="1:8" x14ac:dyDescent="0.2">
      <c r="A3361" t="str">
        <f t="shared" si="1229"/>
        <v>0616150386</v>
      </c>
      <c r="B3361" t="str">
        <f t="shared" si="1230"/>
        <v>ISADORA</v>
      </c>
      <c r="C3361" t="str">
        <f t="shared" si="1231"/>
        <v>COELHO</v>
      </c>
      <c r="D3361" t="str">
        <f t="shared" si="1232"/>
        <v>09</v>
      </c>
      <c r="E3361" t="str">
        <f>"05 - B - 104 - Maried P Ramos"</f>
        <v>05 - B - 104 - Maried P Ramos</v>
      </c>
      <c r="F3361" t="str">
        <f>"PRE-AICE MATH 2 IG"</f>
        <v>PRE-AICE MATH 2 IG</v>
      </c>
      <c r="G3361" t="str">
        <f>"21-2159"</f>
        <v>21-2159</v>
      </c>
      <c r="H3361" t="str">
        <f>"B"</f>
        <v>B</v>
      </c>
    </row>
    <row r="3362" spans="1:8" x14ac:dyDescent="0.2">
      <c r="A3362" t="str">
        <f t="shared" si="1229"/>
        <v>0616150386</v>
      </c>
      <c r="B3362" t="str">
        <f t="shared" si="1230"/>
        <v>ISADORA</v>
      </c>
      <c r="C3362" t="str">
        <f t="shared" si="1231"/>
        <v>COELHO</v>
      </c>
      <c r="D3362" t="str">
        <f t="shared" si="1232"/>
        <v>09</v>
      </c>
      <c r="E3362" t="str">
        <f>"01 - A - 101 - Rory T Sponsler"</f>
        <v>01 - A - 101 - Rory T Sponsler</v>
      </c>
      <c r="F3362" t="str">
        <f>"PRE-AICE WRLD HST IG"</f>
        <v>PRE-AICE WRLD HST IG</v>
      </c>
      <c r="G3362" t="str">
        <f>"17-1740"</f>
        <v>17-1740</v>
      </c>
      <c r="H3362" t="str">
        <f>"A"</f>
        <v>A</v>
      </c>
    </row>
    <row r="3363" spans="1:8" x14ac:dyDescent="0.2">
      <c r="A3363" t="str">
        <f t="shared" si="1229"/>
        <v>0616150386</v>
      </c>
      <c r="B3363" t="str">
        <f t="shared" si="1230"/>
        <v>ISADORA</v>
      </c>
      <c r="C3363" t="str">
        <f t="shared" si="1231"/>
        <v>COELHO</v>
      </c>
      <c r="D3363" t="str">
        <f t="shared" si="1232"/>
        <v>09</v>
      </c>
      <c r="E3363" t="str">
        <f>"08 - B - 201 - Elizabeth R Walker"</f>
        <v>08 - B - 201 - Elizabeth R Walker</v>
      </c>
      <c r="F3363" t="str">
        <f>"AICE ENG GEN PAPER 1"</f>
        <v>AICE ENG GEN PAPER 1</v>
      </c>
      <c r="G3363" t="str">
        <f>"17-1703"</f>
        <v>17-1703</v>
      </c>
      <c r="H3363" t="str">
        <f>"B"</f>
        <v>B</v>
      </c>
    </row>
    <row r="3364" spans="1:8" x14ac:dyDescent="0.2">
      <c r="A3364" t="str">
        <f t="shared" ref="A3364:A3371" si="1233">"0616143715"</f>
        <v>0616143715</v>
      </c>
      <c r="B3364" t="str">
        <f t="shared" ref="B3364:B3371" si="1234">"CHARLOTTE"</f>
        <v>CHARLOTTE</v>
      </c>
      <c r="C3364" t="str">
        <f t="shared" ref="C3364:C3371" si="1235">"COFFMAN"</f>
        <v>COFFMAN</v>
      </c>
      <c r="D3364" t="str">
        <f t="shared" si="1232"/>
        <v>09</v>
      </c>
      <c r="E3364" t="str">
        <f>"04 - A - 101 - Jeanne M Bermudez"</f>
        <v>04 - A - 101 - Jeanne M Bermudez</v>
      </c>
      <c r="F3364" t="str">
        <f>"ADVANCED IT HON"</f>
        <v>ADVANCED IT HON</v>
      </c>
      <c r="G3364" t="str">
        <f>"21-2141"</f>
        <v>21-2141</v>
      </c>
      <c r="H3364" t="str">
        <f>"A"</f>
        <v>A</v>
      </c>
    </row>
    <row r="3365" spans="1:8" x14ac:dyDescent="0.2">
      <c r="A3365" t="str">
        <f t="shared" si="1233"/>
        <v>0616143715</v>
      </c>
      <c r="B3365" t="str">
        <f t="shared" si="1234"/>
        <v>CHARLOTTE</v>
      </c>
      <c r="C3365" t="str">
        <f t="shared" si="1235"/>
        <v>COFFMAN</v>
      </c>
      <c r="D3365" t="str">
        <f t="shared" si="1232"/>
        <v>09</v>
      </c>
      <c r="E3365" t="str">
        <f>"06 - B - 202 - Alejandro  Navarro"</f>
        <v>06 - B - 202 - Alejandro  Navarro</v>
      </c>
      <c r="F3365" t="str">
        <f>"BAND 1"</f>
        <v>BAND 1</v>
      </c>
      <c r="G3365" t="str">
        <f>"05-504"</f>
        <v>05-504</v>
      </c>
      <c r="H3365" t="str">
        <f>"B"</f>
        <v>B</v>
      </c>
    </row>
    <row r="3366" spans="1:8" x14ac:dyDescent="0.2">
      <c r="A3366" t="str">
        <f t="shared" si="1233"/>
        <v>0616143715</v>
      </c>
      <c r="B3366" t="str">
        <f t="shared" si="1234"/>
        <v>CHARLOTTE</v>
      </c>
      <c r="C3366" t="str">
        <f t="shared" si="1235"/>
        <v>COFFMAN</v>
      </c>
      <c r="D3366" t="str">
        <f t="shared" si="1232"/>
        <v>09</v>
      </c>
      <c r="E3366" t="str">
        <f>"03 - A - 101 - Helen A Flores"</f>
        <v>03 - A - 101 - Helen A Flores</v>
      </c>
      <c r="F3366" t="str">
        <f>"PRE-AICE MATH 1 IG"</f>
        <v>PRE-AICE MATH 1 IG</v>
      </c>
      <c r="G3366" t="str">
        <f>"21-2101"</f>
        <v>21-2101</v>
      </c>
      <c r="H3366" t="str">
        <f>"A"</f>
        <v>A</v>
      </c>
    </row>
    <row r="3367" spans="1:8" x14ac:dyDescent="0.2">
      <c r="A3367" t="str">
        <f t="shared" si="1233"/>
        <v>0616143715</v>
      </c>
      <c r="B3367" t="str">
        <f t="shared" si="1234"/>
        <v>CHARLOTTE</v>
      </c>
      <c r="C3367" t="str">
        <f t="shared" si="1235"/>
        <v>COFFMAN</v>
      </c>
      <c r="D3367" t="str">
        <f t="shared" si="1232"/>
        <v>09</v>
      </c>
      <c r="E3367" t="str">
        <f>"02 - A - 103 - Arthur  Kulawik"</f>
        <v>02 - A - 103 - Arthur  Kulawik</v>
      </c>
      <c r="F3367" t="str">
        <f>"NC STUDY HALL 1"</f>
        <v>NC STUDY HALL 1</v>
      </c>
      <c r="G3367" t="str">
        <f>"05-506"</f>
        <v>05-506</v>
      </c>
      <c r="H3367" t="str">
        <f>"A"</f>
        <v>A</v>
      </c>
    </row>
    <row r="3368" spans="1:8" x14ac:dyDescent="0.2">
      <c r="A3368" t="str">
        <f t="shared" si="1233"/>
        <v>0616143715</v>
      </c>
      <c r="B3368" t="str">
        <f t="shared" si="1234"/>
        <v>CHARLOTTE</v>
      </c>
      <c r="C3368" t="str">
        <f t="shared" si="1235"/>
        <v>COFFMAN</v>
      </c>
      <c r="D3368" t="str">
        <f t="shared" si="1232"/>
        <v>09</v>
      </c>
      <c r="E3368" t="str">
        <f>"07 - B - 107 - Adam Marcus  Drucker"</f>
        <v>07 - B - 107 - Adam Marcus  Drucker</v>
      </c>
      <c r="F3368" t="str">
        <f>"HOPE-PE V"</f>
        <v>HOPE-PE V</v>
      </c>
      <c r="G3368" t="str">
        <f>"04-254"</f>
        <v>04-254</v>
      </c>
      <c r="H3368" t="str">
        <f>"B"</f>
        <v>B</v>
      </c>
    </row>
    <row r="3369" spans="1:8" x14ac:dyDescent="0.2">
      <c r="A3369" t="str">
        <f t="shared" si="1233"/>
        <v>0616143715</v>
      </c>
      <c r="B3369" t="str">
        <f t="shared" si="1234"/>
        <v>CHARLOTTE</v>
      </c>
      <c r="C3369" t="str">
        <f t="shared" si="1235"/>
        <v>COFFMAN</v>
      </c>
      <c r="D3369" t="str">
        <f t="shared" si="1232"/>
        <v>09</v>
      </c>
      <c r="E3369" t="str">
        <f>"05 - B - 103 - Josiah I Lacy"</f>
        <v>05 - B - 103 - Josiah I Lacy</v>
      </c>
      <c r="F3369" t="str">
        <f>"PRE-AICE BIO IG"</f>
        <v>PRE-AICE BIO IG</v>
      </c>
      <c r="G3369" t="str">
        <f>"08-801"</f>
        <v>08-801</v>
      </c>
      <c r="H3369" t="str">
        <f>"B"</f>
        <v>B</v>
      </c>
    </row>
    <row r="3370" spans="1:8" x14ac:dyDescent="0.2">
      <c r="A3370" t="str">
        <f t="shared" si="1233"/>
        <v>0616143715</v>
      </c>
      <c r="B3370" t="str">
        <f t="shared" si="1234"/>
        <v>CHARLOTTE</v>
      </c>
      <c r="C3370" t="str">
        <f t="shared" si="1235"/>
        <v>COFFMAN</v>
      </c>
      <c r="D3370" t="str">
        <f t="shared" si="1232"/>
        <v>09</v>
      </c>
      <c r="E3370" t="str">
        <f>"01 - A - 101 - Cheryl Anne  Berman-Schechter"</f>
        <v>01 - A - 101 - Cheryl Anne  Berman-Schechter</v>
      </c>
      <c r="F3370" t="str">
        <f>"PRE-AICE ENG LANG IG"</f>
        <v>PRE-AICE ENG LANG IG</v>
      </c>
      <c r="G3370" t="str">
        <f>"17-1722"</f>
        <v>17-1722</v>
      </c>
      <c r="H3370" t="str">
        <f>"A"</f>
        <v>A</v>
      </c>
    </row>
    <row r="3371" spans="1:8" x14ac:dyDescent="0.2">
      <c r="A3371" t="str">
        <f t="shared" si="1233"/>
        <v>0616143715</v>
      </c>
      <c r="B3371" t="str">
        <f t="shared" si="1234"/>
        <v>CHARLOTTE</v>
      </c>
      <c r="C3371" t="str">
        <f t="shared" si="1235"/>
        <v>COFFMAN</v>
      </c>
      <c r="D3371" t="str">
        <f t="shared" si="1232"/>
        <v>09</v>
      </c>
      <c r="E3371" t="str">
        <f>"08 - B - 109 - Rory T Sponsler"</f>
        <v>08 - B - 109 - Rory T Sponsler</v>
      </c>
      <c r="F3371" t="str">
        <f>"PRE-AICE WRLD HST IG"</f>
        <v>PRE-AICE WRLD HST IG</v>
      </c>
      <c r="G3371" t="str">
        <f>"17-1740"</f>
        <v>17-1740</v>
      </c>
      <c r="H3371" t="str">
        <f>"B"</f>
        <v>B</v>
      </c>
    </row>
    <row r="3372" spans="1:8" x14ac:dyDescent="0.2">
      <c r="A3372" t="str">
        <f t="shared" ref="A3372:A3379" si="1236">"0615134678"</f>
        <v>0615134678</v>
      </c>
      <c r="B3372" t="str">
        <f t="shared" ref="B3372:B3379" si="1237">"ANDREW"</f>
        <v>ANDREW</v>
      </c>
      <c r="C3372" t="str">
        <f t="shared" ref="C3372:C3387" si="1238">"COHEN"</f>
        <v>COHEN</v>
      </c>
      <c r="D3372">
        <f>10</f>
        <v>10</v>
      </c>
      <c r="E3372" t="str">
        <f>"04 - A - 104 - Courtney E Hambright"</f>
        <v>04 - A - 104 - Courtney E Hambright</v>
      </c>
      <c r="F3372" t="str">
        <f>"AICE ENG LANG AS"</f>
        <v>AICE ENG LANG AS</v>
      </c>
      <c r="G3372" t="str">
        <f>"17-1711"</f>
        <v>17-1711</v>
      </c>
      <c r="H3372" t="str">
        <f>"A"</f>
        <v>A</v>
      </c>
    </row>
    <row r="3373" spans="1:8" x14ac:dyDescent="0.2">
      <c r="A3373" t="str">
        <f t="shared" si="1236"/>
        <v>0615134678</v>
      </c>
      <c r="B3373" t="str">
        <f t="shared" si="1237"/>
        <v>ANDREW</v>
      </c>
      <c r="C3373" t="str">
        <f t="shared" si="1238"/>
        <v>COHEN</v>
      </c>
      <c r="D3373">
        <f>10</f>
        <v>10</v>
      </c>
      <c r="E3373" t="str">
        <f>"06 - B - 109 - Semra  Bahadir"</f>
        <v>06 - B - 109 - Semra  Bahadir</v>
      </c>
      <c r="F3373" t="str">
        <f>"NC STUDY HALL 1"</f>
        <v>NC STUDY HALL 1</v>
      </c>
      <c r="G3373" t="str">
        <f>"21-2107"</f>
        <v>21-2107</v>
      </c>
      <c r="H3373" t="str">
        <f>"B"</f>
        <v>B</v>
      </c>
    </row>
    <row r="3374" spans="1:8" x14ac:dyDescent="0.2">
      <c r="A3374" t="str">
        <f t="shared" si="1236"/>
        <v>0615134678</v>
      </c>
      <c r="B3374" t="str">
        <f t="shared" si="1237"/>
        <v>ANDREW</v>
      </c>
      <c r="C3374" t="str">
        <f t="shared" si="1238"/>
        <v>COHEN</v>
      </c>
      <c r="D3374">
        <f>10</f>
        <v>10</v>
      </c>
      <c r="E3374" t="str">
        <f>"03 - A - 104 - Brook E Goren"</f>
        <v>03 - A - 104 - Brook E Goren</v>
      </c>
      <c r="F3374" t="str">
        <f>"ALGEBRA 2 HON"</f>
        <v>ALGEBRA 2 HON</v>
      </c>
      <c r="G3374" t="str">
        <f>"21-2158"</f>
        <v>21-2158</v>
      </c>
      <c r="H3374" t="str">
        <f>"A"</f>
        <v>A</v>
      </c>
    </row>
    <row r="3375" spans="1:8" x14ac:dyDescent="0.2">
      <c r="A3375" t="str">
        <f t="shared" si="1236"/>
        <v>0615134678</v>
      </c>
      <c r="B3375" t="str">
        <f t="shared" si="1237"/>
        <v>ANDREW</v>
      </c>
      <c r="C3375" t="str">
        <f t="shared" si="1238"/>
        <v>COHEN</v>
      </c>
      <c r="D3375">
        <f>10</f>
        <v>10</v>
      </c>
      <c r="E3375" t="str">
        <f>"02 - A - 103 - Lenecy  Nodarse"</f>
        <v>02 - A - 103 - Lenecy  Nodarse</v>
      </c>
      <c r="F3375" t="str">
        <f>"AICE EURO HIST 1 AS"</f>
        <v>AICE EURO HIST 1 AS</v>
      </c>
      <c r="G3375" t="str">
        <f>"17-1741"</f>
        <v>17-1741</v>
      </c>
      <c r="H3375" t="str">
        <f>"A"</f>
        <v>A</v>
      </c>
    </row>
    <row r="3376" spans="1:8" x14ac:dyDescent="0.2">
      <c r="A3376" t="str">
        <f t="shared" si="1236"/>
        <v>0615134678</v>
      </c>
      <c r="B3376" t="str">
        <f t="shared" si="1237"/>
        <v>ANDREW</v>
      </c>
      <c r="C3376" t="str">
        <f t="shared" si="1238"/>
        <v>COHEN</v>
      </c>
      <c r="D3376">
        <f>10</f>
        <v>10</v>
      </c>
      <c r="E3376" t="str">
        <f>"07 - B - 107 - Rosa Elaine  Collado-Duff"</f>
        <v>07 - B - 107 - Rosa Elaine  Collado-Duff</v>
      </c>
      <c r="F3376" t="str">
        <f>"PRE-AICE SPAN 2 IG"</f>
        <v>PRE-AICE SPAN 2 IG</v>
      </c>
      <c r="G3376" t="str">
        <f>"09-913"</f>
        <v>09-913</v>
      </c>
      <c r="H3376" t="str">
        <f>"B"</f>
        <v>B</v>
      </c>
    </row>
    <row r="3377" spans="1:8" x14ac:dyDescent="0.2">
      <c r="A3377" t="str">
        <f t="shared" si="1236"/>
        <v>0615134678</v>
      </c>
      <c r="B3377" t="str">
        <f t="shared" si="1237"/>
        <v>ANDREW</v>
      </c>
      <c r="C3377" t="str">
        <f t="shared" si="1238"/>
        <v>COHEN</v>
      </c>
      <c r="D3377">
        <f>10</f>
        <v>10</v>
      </c>
      <c r="E3377" t="str">
        <f>"05 - B - 203 - Chrystina M Marchionne"</f>
        <v>05 - B - 203 - Chrystina M Marchionne</v>
      </c>
      <c r="F3377" t="str">
        <f>"AICE MEDIASTUDIES AS"</f>
        <v>AICE MEDIASTUDIES AS</v>
      </c>
      <c r="G3377" t="str">
        <f>"05-520"</f>
        <v>05-520</v>
      </c>
      <c r="H3377" t="str">
        <f>"B"</f>
        <v>B</v>
      </c>
    </row>
    <row r="3378" spans="1:8" x14ac:dyDescent="0.2">
      <c r="A3378" t="str">
        <f t="shared" si="1236"/>
        <v>0615134678</v>
      </c>
      <c r="B3378" t="str">
        <f t="shared" si="1237"/>
        <v>ANDREW</v>
      </c>
      <c r="C3378" t="str">
        <f t="shared" si="1238"/>
        <v>COHEN</v>
      </c>
      <c r="D3378">
        <f>10</f>
        <v>10</v>
      </c>
      <c r="E3378" t="str">
        <f>"01 - A - 101 - Daniel S Katz"</f>
        <v>01 - A - 101 - Daniel S Katz</v>
      </c>
      <c r="F3378" t="str">
        <f>"EXEC INTERN 3 LH"</f>
        <v>EXEC INTERN 3 LH</v>
      </c>
      <c r="G3378" t="str">
        <f>"21-2156"</f>
        <v>21-2156</v>
      </c>
      <c r="H3378" t="str">
        <f>"A"</f>
        <v>A</v>
      </c>
    </row>
    <row r="3379" spans="1:8" x14ac:dyDescent="0.2">
      <c r="A3379" t="str">
        <f t="shared" si="1236"/>
        <v>0615134678</v>
      </c>
      <c r="B3379" t="str">
        <f t="shared" si="1237"/>
        <v>ANDREW</v>
      </c>
      <c r="C3379" t="str">
        <f t="shared" si="1238"/>
        <v>COHEN</v>
      </c>
      <c r="D3379">
        <f>10</f>
        <v>10</v>
      </c>
      <c r="E3379" t="str">
        <f>"08 - B - 001 - Scott A Dethloff"</f>
        <v>08 - B - 001 - Scott A Dethloff</v>
      </c>
      <c r="F3379" t="str">
        <f>"CHEMISTRY 1 HON"</f>
        <v>CHEMISTRY 1 HON</v>
      </c>
      <c r="G3379" t="str">
        <f>"08-812"</f>
        <v>08-812</v>
      </c>
      <c r="H3379" t="str">
        <f>"B"</f>
        <v>B</v>
      </c>
    </row>
    <row r="3380" spans="1:8" x14ac:dyDescent="0.2">
      <c r="A3380" t="str">
        <f t="shared" ref="A3380:A3387" si="1239">"0616122570"</f>
        <v>0616122570</v>
      </c>
      <c r="B3380" t="str">
        <f t="shared" ref="B3380:B3387" si="1240">"LIAN"</f>
        <v>LIAN</v>
      </c>
      <c r="C3380" t="str">
        <f t="shared" si="1238"/>
        <v>COHEN</v>
      </c>
      <c r="D3380" t="str">
        <f t="shared" ref="D3380:D3387" si="1241">"09"</f>
        <v>09</v>
      </c>
      <c r="E3380" t="str">
        <f>"04 - A - 106 - Ferrie J Arostique"</f>
        <v>04 - A - 106 - Ferrie J Arostique</v>
      </c>
      <c r="F3380" t="str">
        <f>"PRE-AICE MATH 2 IG"</f>
        <v>PRE-AICE MATH 2 IG</v>
      </c>
      <c r="G3380" t="str">
        <f>"21-2139"</f>
        <v>21-2139</v>
      </c>
      <c r="H3380" t="str">
        <f>"A"</f>
        <v>A</v>
      </c>
    </row>
    <row r="3381" spans="1:8" x14ac:dyDescent="0.2">
      <c r="A3381" t="str">
        <f t="shared" si="1239"/>
        <v>0616122570</v>
      </c>
      <c r="B3381" t="str">
        <f t="shared" si="1240"/>
        <v>LIAN</v>
      </c>
      <c r="C3381" t="str">
        <f t="shared" si="1238"/>
        <v>COHEN</v>
      </c>
      <c r="D3381" t="str">
        <f t="shared" si="1241"/>
        <v>09</v>
      </c>
      <c r="E3381" t="str">
        <f>"06 - B - 104 - Eva T Rimmer"</f>
        <v>06 - B - 104 - Eva T Rimmer</v>
      </c>
      <c r="F3381" t="str">
        <f>"CRIMINAL JUST OPS 1"</f>
        <v>CRIMINAL JUST OPS 1</v>
      </c>
      <c r="G3381" t="str">
        <f>"05-523"</f>
        <v>05-523</v>
      </c>
      <c r="H3381" t="str">
        <f>"B"</f>
        <v>B</v>
      </c>
    </row>
    <row r="3382" spans="1:8" x14ac:dyDescent="0.2">
      <c r="A3382" t="str">
        <f t="shared" si="1239"/>
        <v>0616122570</v>
      </c>
      <c r="B3382" t="str">
        <f t="shared" si="1240"/>
        <v>LIAN</v>
      </c>
      <c r="C3382" t="str">
        <f t="shared" si="1238"/>
        <v>COHEN</v>
      </c>
      <c r="D3382" t="str">
        <f t="shared" si="1241"/>
        <v>09</v>
      </c>
      <c r="E3382" t="str">
        <f>"03 - S1 - A - 101 - Daniel S Katz"</f>
        <v>03 - S1 - A - 101 - Daniel S Katz</v>
      </c>
      <c r="F3382" t="str">
        <f>"COURT PROCED"</f>
        <v>COURT PROCED</v>
      </c>
      <c r="G3382" t="str">
        <f>"21-2156"</f>
        <v>21-2156</v>
      </c>
      <c r="H3382" t="str">
        <f>"A"</f>
        <v>A</v>
      </c>
    </row>
    <row r="3383" spans="1:8" x14ac:dyDescent="0.2">
      <c r="A3383" t="str">
        <f t="shared" si="1239"/>
        <v>0616122570</v>
      </c>
      <c r="B3383" t="str">
        <f t="shared" si="1240"/>
        <v>LIAN</v>
      </c>
      <c r="C3383" t="str">
        <f t="shared" si="1238"/>
        <v>COHEN</v>
      </c>
      <c r="D3383" t="str">
        <f t="shared" si="1241"/>
        <v>09</v>
      </c>
      <c r="E3383" t="str">
        <f>"02 - A - 116 - Tina L Lovett"</f>
        <v>02 - A - 116 - Tina L Lovett</v>
      </c>
      <c r="F3383" t="str">
        <f>"NC STUDY HALL 1"</f>
        <v>NC STUDY HALL 1</v>
      </c>
      <c r="G3383" t="str">
        <f>"21-2153"</f>
        <v>21-2153</v>
      </c>
      <c r="H3383" t="str">
        <f>"A"</f>
        <v>A</v>
      </c>
    </row>
    <row r="3384" spans="1:8" x14ac:dyDescent="0.2">
      <c r="A3384" t="str">
        <f t="shared" si="1239"/>
        <v>0616122570</v>
      </c>
      <c r="B3384" t="str">
        <f t="shared" si="1240"/>
        <v>LIAN</v>
      </c>
      <c r="C3384" t="str">
        <f t="shared" si="1238"/>
        <v>COHEN</v>
      </c>
      <c r="D3384" t="str">
        <f t="shared" si="1241"/>
        <v>09</v>
      </c>
      <c r="E3384" t="str">
        <f>"07 - B - 105 - Byron G Montenegro"</f>
        <v>07 - B - 105 - Byron G Montenegro</v>
      </c>
      <c r="F3384" t="str">
        <f>"AICE MARINE SCI 1 AS"</f>
        <v>AICE MARINE SCI 1 AS</v>
      </c>
      <c r="G3384" t="str">
        <f>"21-2144"</f>
        <v>21-2144</v>
      </c>
      <c r="H3384" t="str">
        <f>"B"</f>
        <v>B</v>
      </c>
    </row>
    <row r="3385" spans="1:8" x14ac:dyDescent="0.2">
      <c r="A3385" t="str">
        <f t="shared" si="1239"/>
        <v>0616122570</v>
      </c>
      <c r="B3385" t="str">
        <f t="shared" si="1240"/>
        <v>LIAN</v>
      </c>
      <c r="C3385" t="str">
        <f t="shared" si="1238"/>
        <v>COHEN</v>
      </c>
      <c r="D3385" t="str">
        <f t="shared" si="1241"/>
        <v>09</v>
      </c>
      <c r="E3385" t="str">
        <f>"05 - B - 002 - Cheryl Anne  Berman-Schechter"</f>
        <v>05 - B - 002 - Cheryl Anne  Berman-Schechter</v>
      </c>
      <c r="F3385" t="str">
        <f>"AICE ENG GEN PAPER 1"</f>
        <v>AICE ENG GEN PAPER 1</v>
      </c>
      <c r="G3385" t="str">
        <f>"17-1722"</f>
        <v>17-1722</v>
      </c>
      <c r="H3385" t="str">
        <f>"B"</f>
        <v>B</v>
      </c>
    </row>
    <row r="3386" spans="1:8" x14ac:dyDescent="0.2">
      <c r="A3386" t="str">
        <f t="shared" si="1239"/>
        <v>0616122570</v>
      </c>
      <c r="B3386" t="str">
        <f t="shared" si="1240"/>
        <v>LIAN</v>
      </c>
      <c r="C3386" t="str">
        <f t="shared" si="1238"/>
        <v>COHEN</v>
      </c>
      <c r="D3386" t="str">
        <f t="shared" si="1241"/>
        <v>09</v>
      </c>
      <c r="E3386" t="str">
        <f>"01 - A - 101 - Arthur  Kulawik"</f>
        <v>01 - A - 101 - Arthur  Kulawik</v>
      </c>
      <c r="F3386" t="str">
        <f>"DEBATE 1 LH"</f>
        <v>DEBATE 1 LH</v>
      </c>
      <c r="G3386" t="str">
        <f>"05-506"</f>
        <v>05-506</v>
      </c>
      <c r="H3386" t="str">
        <f>"A"</f>
        <v>A</v>
      </c>
    </row>
    <row r="3387" spans="1:8" x14ac:dyDescent="0.2">
      <c r="A3387" t="str">
        <f t="shared" si="1239"/>
        <v>0616122570</v>
      </c>
      <c r="B3387" t="str">
        <f t="shared" si="1240"/>
        <v>LIAN</v>
      </c>
      <c r="C3387" t="str">
        <f t="shared" si="1238"/>
        <v>COHEN</v>
      </c>
      <c r="D3387" t="str">
        <f t="shared" si="1241"/>
        <v>09</v>
      </c>
      <c r="E3387" t="str">
        <f>"08 - B - 109 - Emmily A Sarmiento"</f>
        <v>08 - B - 109 - Emmily A Sarmiento</v>
      </c>
      <c r="F3387" t="str">
        <f>"AICE GLBL PERSP 1 AS"</f>
        <v>AICE GLBL PERSP 1 AS</v>
      </c>
      <c r="G3387" t="str">
        <f>"17-1743"</f>
        <v>17-1743</v>
      </c>
      <c r="H3387" t="str">
        <f>"B"</f>
        <v>B</v>
      </c>
    </row>
    <row r="3388" spans="1:8" x14ac:dyDescent="0.2">
      <c r="A3388" t="str">
        <f t="shared" ref="A3388:A3395" si="1242">"0612052716"</f>
        <v>0612052716</v>
      </c>
      <c r="B3388" t="str">
        <f t="shared" ref="B3388:B3395" si="1243">"RAYSHON"</f>
        <v>RAYSHON</v>
      </c>
      <c r="C3388" t="str">
        <f t="shared" ref="C3388:C3395" si="1244">"COLAS"</f>
        <v>COLAS</v>
      </c>
      <c r="D3388">
        <f>12</f>
        <v>12</v>
      </c>
      <c r="E3388" t="str">
        <f>"04 - A - 102 - Brandy N Zdenek"</f>
        <v>04 - A - 102 - Brandy N Zdenek</v>
      </c>
      <c r="F3388" t="str">
        <f>"AICE ENG LANG 2 AL"</f>
        <v>AICE ENG LANG 2 AL</v>
      </c>
      <c r="G3388" t="str">
        <f>"17-1704"</f>
        <v>17-1704</v>
      </c>
      <c r="H3388" t="str">
        <f>"A"</f>
        <v>A</v>
      </c>
    </row>
    <row r="3389" spans="1:8" x14ac:dyDescent="0.2">
      <c r="A3389" t="str">
        <f t="shared" si="1242"/>
        <v>0612052716</v>
      </c>
      <c r="B3389" t="str">
        <f t="shared" si="1243"/>
        <v>RAYSHON</v>
      </c>
      <c r="C3389" t="str">
        <f t="shared" si="1244"/>
        <v>COLAS</v>
      </c>
      <c r="D3389">
        <f>12</f>
        <v>12</v>
      </c>
      <c r="E3389" t="str">
        <f>"06 - B - 109 - Carol S Moore"</f>
        <v>06 - B - 109 - Carol S Moore</v>
      </c>
      <c r="F3389" t="str">
        <f>"NC STUDY HALL 1"</f>
        <v>NC STUDY HALL 1</v>
      </c>
      <c r="G3389" t="str">
        <f>"17-1733"</f>
        <v>17-1733</v>
      </c>
      <c r="H3389" t="str">
        <f>"B"</f>
        <v>B</v>
      </c>
    </row>
    <row r="3390" spans="1:8" x14ac:dyDescent="0.2">
      <c r="A3390" t="str">
        <f t="shared" si="1242"/>
        <v>0612052716</v>
      </c>
      <c r="B3390" t="str">
        <f t="shared" si="1243"/>
        <v>RAYSHON</v>
      </c>
      <c r="C3390" t="str">
        <f t="shared" si="1244"/>
        <v>COLAS</v>
      </c>
      <c r="D3390">
        <f>12</f>
        <v>12</v>
      </c>
      <c r="E3390" t="str">
        <f>"03 - A - 101 - Lourivaldo  Da Silva"</f>
        <v>03 - A - 101 - Lourivaldo  Da Silva</v>
      </c>
      <c r="F3390" t="str">
        <f>"AP STAT"</f>
        <v>AP STAT</v>
      </c>
      <c r="G3390" t="str">
        <f>"20-2079"</f>
        <v>20-2079</v>
      </c>
      <c r="H3390" t="str">
        <f>"A"</f>
        <v>A</v>
      </c>
    </row>
    <row r="3391" spans="1:8" x14ac:dyDescent="0.2">
      <c r="A3391" t="str">
        <f t="shared" si="1242"/>
        <v>0612052716</v>
      </c>
      <c r="B3391" t="str">
        <f t="shared" si="1243"/>
        <v>RAYSHON</v>
      </c>
      <c r="C3391" t="str">
        <f t="shared" si="1244"/>
        <v>COLAS</v>
      </c>
      <c r="D3391">
        <f>12</f>
        <v>12</v>
      </c>
      <c r="E3391" t="str">
        <f>"02 - A - 104 - Joe  Kilpatrick Jr"</f>
        <v>02 - A - 104 - Joe  Kilpatrick Jr</v>
      </c>
      <c r="F3391" t="str">
        <f>"PRE-AICE SPAN 2 IG"</f>
        <v>PRE-AICE SPAN 2 IG</v>
      </c>
      <c r="G3391" t="str">
        <f>"09-912"</f>
        <v>09-912</v>
      </c>
      <c r="H3391" t="str">
        <f>"A"</f>
        <v>A</v>
      </c>
    </row>
    <row r="3392" spans="1:8" x14ac:dyDescent="0.2">
      <c r="A3392" t="str">
        <f t="shared" si="1242"/>
        <v>0612052716</v>
      </c>
      <c r="B3392" t="str">
        <f t="shared" si="1243"/>
        <v>RAYSHON</v>
      </c>
      <c r="C3392" t="str">
        <f t="shared" si="1244"/>
        <v>COLAS</v>
      </c>
      <c r="D3392">
        <f>12</f>
        <v>12</v>
      </c>
      <c r="E3392" t="str">
        <f>"07 - S1 - B - 107 - Kelly N Panza"</f>
        <v>07 - S1 - B - 107 - Kelly N Panza</v>
      </c>
      <c r="F3392" t="str">
        <f>"US GOVT HON"</f>
        <v>US GOVT HON</v>
      </c>
      <c r="G3392" t="str">
        <f>"17-1753"</f>
        <v>17-1753</v>
      </c>
      <c r="H3392" t="str">
        <f>"B"</f>
        <v>B</v>
      </c>
    </row>
    <row r="3393" spans="1:8" x14ac:dyDescent="0.2">
      <c r="A3393" t="str">
        <f t="shared" si="1242"/>
        <v>0612052716</v>
      </c>
      <c r="B3393" t="str">
        <f t="shared" si="1243"/>
        <v>RAYSHON</v>
      </c>
      <c r="C3393" t="str">
        <f t="shared" si="1244"/>
        <v>COLAS</v>
      </c>
      <c r="D3393">
        <f>12</f>
        <v>12</v>
      </c>
      <c r="E3393" t="str">
        <f>"05 - B - 203 - Chrystina M Marchionne"</f>
        <v>05 - B - 203 - Chrystina M Marchionne</v>
      </c>
      <c r="F3393" t="str">
        <f>"AICE MEDIASTUDIES AS"</f>
        <v>AICE MEDIASTUDIES AS</v>
      </c>
      <c r="G3393" t="str">
        <f>"05-520"</f>
        <v>05-520</v>
      </c>
      <c r="H3393" t="str">
        <f>"B"</f>
        <v>B</v>
      </c>
    </row>
    <row r="3394" spans="1:8" x14ac:dyDescent="0.2">
      <c r="A3394" t="str">
        <f t="shared" si="1242"/>
        <v>0612052716</v>
      </c>
      <c r="B3394" t="str">
        <f t="shared" si="1243"/>
        <v>RAYSHON</v>
      </c>
      <c r="C3394" t="str">
        <f t="shared" si="1244"/>
        <v>COLAS</v>
      </c>
      <c r="D3394">
        <f>12</f>
        <v>12</v>
      </c>
      <c r="E3394" t="str">
        <f>"01 - A - 001 - Dorothy D Moore"</f>
        <v>01 - A - 001 - Dorothy D Moore</v>
      </c>
      <c r="F3394" t="str">
        <f>"ANAT PHYSIO HON"</f>
        <v>ANAT PHYSIO HON</v>
      </c>
      <c r="G3394" t="str">
        <f>"08-803"</f>
        <v>08-803</v>
      </c>
      <c r="H3394" t="str">
        <f>"A"</f>
        <v>A</v>
      </c>
    </row>
    <row r="3395" spans="1:8" x14ac:dyDescent="0.2">
      <c r="A3395" t="str">
        <f t="shared" si="1242"/>
        <v>0612052716</v>
      </c>
      <c r="B3395" t="str">
        <f t="shared" si="1243"/>
        <v>RAYSHON</v>
      </c>
      <c r="C3395" t="str">
        <f t="shared" si="1244"/>
        <v>COLAS</v>
      </c>
      <c r="D3395">
        <f>12</f>
        <v>12</v>
      </c>
      <c r="E3395" t="str">
        <f>"08 - B - 101 - Eva T Rimmer"</f>
        <v>08 - B - 101 - Eva T Rimmer</v>
      </c>
      <c r="F3395" t="str">
        <f>"CRIM JUST OPS 3 HON"</f>
        <v>CRIM JUST OPS 3 HON</v>
      </c>
      <c r="G3395" t="str">
        <f>"05-523"</f>
        <v>05-523</v>
      </c>
      <c r="H3395" t="str">
        <f>"B"</f>
        <v>B</v>
      </c>
    </row>
    <row r="3396" spans="1:8" x14ac:dyDescent="0.2">
      <c r="A3396" t="str">
        <f t="shared" ref="A3396:A3403" si="1245">"0621039078"</f>
        <v>0621039078</v>
      </c>
      <c r="B3396" t="str">
        <f t="shared" ref="B3396:B3403" si="1246">"ANTHONY"</f>
        <v>ANTHONY</v>
      </c>
      <c r="C3396" t="str">
        <f t="shared" ref="C3396:C3443" si="1247">"COLEMAN"</f>
        <v>COLEMAN</v>
      </c>
      <c r="D3396">
        <f>11</f>
        <v>11</v>
      </c>
      <c r="E3396" t="str">
        <f>"04 - A - 201 - Samantha L Martinez"</f>
        <v>04 - A - 201 - Samantha L Martinez</v>
      </c>
      <c r="F3396" t="str">
        <f>"KEYBD 2"</f>
        <v>KEYBD 2</v>
      </c>
      <c r="G3396" t="str">
        <f>"05-505"</f>
        <v>05-505</v>
      </c>
      <c r="H3396" t="str">
        <f>"A"</f>
        <v>A</v>
      </c>
    </row>
    <row r="3397" spans="1:8" x14ac:dyDescent="0.2">
      <c r="A3397" t="str">
        <f t="shared" si="1245"/>
        <v>0621039078</v>
      </c>
      <c r="B3397" t="str">
        <f t="shared" si="1246"/>
        <v>ANTHONY</v>
      </c>
      <c r="C3397" t="str">
        <f t="shared" si="1247"/>
        <v>COLEMAN</v>
      </c>
      <c r="D3397">
        <f>11</f>
        <v>11</v>
      </c>
      <c r="E3397" t="str">
        <f>"06 - B - 202 - Alejandro  Navarro"</f>
        <v>06 - B - 202 - Alejandro  Navarro</v>
      </c>
      <c r="F3397" t="str">
        <f>"BAND 1"</f>
        <v>BAND 1</v>
      </c>
      <c r="G3397" t="str">
        <f>"05-504"</f>
        <v>05-504</v>
      </c>
      <c r="H3397" t="str">
        <f>"B"</f>
        <v>B</v>
      </c>
    </row>
    <row r="3398" spans="1:8" x14ac:dyDescent="0.2">
      <c r="A3398" t="str">
        <f t="shared" si="1245"/>
        <v>0621039078</v>
      </c>
      <c r="B3398" t="str">
        <f t="shared" si="1246"/>
        <v>ANTHONY</v>
      </c>
      <c r="C3398" t="str">
        <f t="shared" si="1247"/>
        <v>COLEMAN</v>
      </c>
      <c r="D3398">
        <f>11</f>
        <v>11</v>
      </c>
      <c r="E3398" t="str">
        <f>"03 - A - 106 - Jerry S Jiampetti"</f>
        <v>03 - A - 106 - Jerry S Jiampetti</v>
      </c>
      <c r="F3398" t="str">
        <f>"US HISTORY HON"</f>
        <v>US HISTORY HON</v>
      </c>
      <c r="G3398" t="str">
        <f>"17-1751"</f>
        <v>17-1751</v>
      </c>
      <c r="H3398" t="str">
        <f>"A"</f>
        <v>A</v>
      </c>
    </row>
    <row r="3399" spans="1:8" x14ac:dyDescent="0.2">
      <c r="A3399" t="str">
        <f t="shared" si="1245"/>
        <v>0621039078</v>
      </c>
      <c r="B3399" t="str">
        <f t="shared" si="1246"/>
        <v>ANTHONY</v>
      </c>
      <c r="C3399" t="str">
        <f t="shared" si="1247"/>
        <v>COLEMAN</v>
      </c>
      <c r="D3399">
        <f>11</f>
        <v>11</v>
      </c>
      <c r="E3399" t="str">
        <f>"02 - A - 104 - Dayna M Foster"</f>
        <v>02 - A - 104 - Dayna M Foster</v>
      </c>
      <c r="F3399" t="str">
        <f>"NC STUDY HALL 1"</f>
        <v>NC STUDY HALL 1</v>
      </c>
      <c r="G3399" t="str">
        <f>"21-2109"</f>
        <v>21-2109</v>
      </c>
      <c r="H3399" t="str">
        <f>"A"</f>
        <v>A</v>
      </c>
    </row>
    <row r="3400" spans="1:8" x14ac:dyDescent="0.2">
      <c r="A3400" t="str">
        <f t="shared" si="1245"/>
        <v>0621039078</v>
      </c>
      <c r="B3400" t="str">
        <f t="shared" si="1246"/>
        <v>ANTHONY</v>
      </c>
      <c r="C3400" t="str">
        <f t="shared" si="1247"/>
        <v>COLEMAN</v>
      </c>
      <c r="D3400">
        <f>11</f>
        <v>11</v>
      </c>
      <c r="E3400" t="str">
        <f>"07 - B - 107 - Semra  Bahadir"</f>
        <v>07 - B - 107 - Semra  Bahadir</v>
      </c>
      <c r="F3400" t="str">
        <f>"MATH COLL ALGEBRA"</f>
        <v>MATH COLL ALGEBRA</v>
      </c>
      <c r="G3400" t="str">
        <f>"21-2107"</f>
        <v>21-2107</v>
      </c>
      <c r="H3400" t="str">
        <f>"B"</f>
        <v>B</v>
      </c>
    </row>
    <row r="3401" spans="1:8" x14ac:dyDescent="0.2">
      <c r="A3401" t="str">
        <f t="shared" si="1245"/>
        <v>0621039078</v>
      </c>
      <c r="B3401" t="str">
        <f t="shared" si="1246"/>
        <v>ANTHONY</v>
      </c>
      <c r="C3401" t="str">
        <f t="shared" si="1247"/>
        <v>COLEMAN</v>
      </c>
      <c r="D3401">
        <f>11</f>
        <v>11</v>
      </c>
      <c r="E3401" t="str">
        <f>"05 - B - 108 - Valerie J Ruwe"</f>
        <v>05 - B - 108 - Valerie J Ruwe</v>
      </c>
      <c r="F3401" t="str">
        <f>"CHEMISTRY 1 HON"</f>
        <v>CHEMISTRY 1 HON</v>
      </c>
      <c r="G3401" t="str">
        <f>"21-2138"</f>
        <v>21-2138</v>
      </c>
      <c r="H3401" t="str">
        <f>"B"</f>
        <v>B</v>
      </c>
    </row>
    <row r="3402" spans="1:8" x14ac:dyDescent="0.2">
      <c r="A3402" t="str">
        <f t="shared" si="1245"/>
        <v>0621039078</v>
      </c>
      <c r="B3402" t="str">
        <f t="shared" si="1246"/>
        <v>ANTHONY</v>
      </c>
      <c r="C3402" t="str">
        <f t="shared" si="1247"/>
        <v>COLEMAN</v>
      </c>
      <c r="D3402">
        <f>11</f>
        <v>11</v>
      </c>
      <c r="E3402" t="str">
        <f>"01 - A - 101 - Heidi M Knopp"</f>
        <v>01 - A - 101 - Heidi M Knopp</v>
      </c>
      <c r="F3402" t="str">
        <f>"ENG HON 3"</f>
        <v>ENG HON 3</v>
      </c>
      <c r="G3402" t="str">
        <f>"17-1752"</f>
        <v>17-1752</v>
      </c>
      <c r="H3402" t="str">
        <f>"A"</f>
        <v>A</v>
      </c>
    </row>
    <row r="3403" spans="1:8" x14ac:dyDescent="0.2">
      <c r="A3403" t="str">
        <f t="shared" si="1245"/>
        <v>0621039078</v>
      </c>
      <c r="B3403" t="str">
        <f t="shared" si="1246"/>
        <v>ANTHONY</v>
      </c>
      <c r="C3403" t="str">
        <f t="shared" si="1247"/>
        <v>COLEMAN</v>
      </c>
      <c r="D3403">
        <f>11</f>
        <v>11</v>
      </c>
      <c r="E3403" t="str">
        <f>"08 - B - 201 - Tina M Jaramillo"</f>
        <v>08 - B - 201 - Tina M Jaramillo</v>
      </c>
      <c r="F3403" t="str">
        <f>"CREATIVE WRIT 3 HON"</f>
        <v>CREATIVE WRIT 3 HON</v>
      </c>
      <c r="G3403" t="str">
        <f>"17-1706"</f>
        <v>17-1706</v>
      </c>
      <c r="H3403" t="str">
        <f>"B"</f>
        <v>B</v>
      </c>
    </row>
    <row r="3404" spans="1:8" x14ac:dyDescent="0.2">
      <c r="A3404" t="str">
        <f t="shared" ref="A3404:A3411" si="1248">"0614098911"</f>
        <v>0614098911</v>
      </c>
      <c r="B3404" t="str">
        <f t="shared" ref="B3404:B3411" si="1249">"CHRISHAWN"</f>
        <v>CHRISHAWN</v>
      </c>
      <c r="C3404" t="str">
        <f t="shared" si="1247"/>
        <v>COLEMAN</v>
      </c>
      <c r="D3404" t="str">
        <f t="shared" ref="D3404:D3411" si="1250">"09"</f>
        <v>09</v>
      </c>
      <c r="E3404" t="str">
        <f>"04 - A - 104 - Helen A Flores"</f>
        <v>04 - A - 104 - Helen A Flores</v>
      </c>
      <c r="F3404" t="str">
        <f>"FDN SKLS MATH 9-12"</f>
        <v>FDN SKLS MATH 9-12</v>
      </c>
      <c r="G3404" t="str">
        <f>"21-2101"</f>
        <v>21-2101</v>
      </c>
      <c r="H3404" t="str">
        <f>"A"</f>
        <v>A</v>
      </c>
    </row>
    <row r="3405" spans="1:8" x14ac:dyDescent="0.2">
      <c r="A3405" t="str">
        <f t="shared" si="1248"/>
        <v>0614098911</v>
      </c>
      <c r="B3405" t="str">
        <f t="shared" si="1249"/>
        <v>CHRISHAWN</v>
      </c>
      <c r="C3405" t="str">
        <f t="shared" si="1247"/>
        <v>COLEMAN</v>
      </c>
      <c r="D3405" t="str">
        <f t="shared" si="1250"/>
        <v>09</v>
      </c>
      <c r="E3405" t="str">
        <f>"06 - B - 104 - Laselleda D Shaw"</f>
        <v>06 - B - 104 - Laselleda D Shaw</v>
      </c>
      <c r="F3405" t="str">
        <f>"INTENS READ 1"</f>
        <v>INTENS READ 1</v>
      </c>
      <c r="G3405" t="str">
        <f>"17-1723"</f>
        <v>17-1723</v>
      </c>
      <c r="H3405" t="str">
        <f>"B"</f>
        <v>B</v>
      </c>
    </row>
    <row r="3406" spans="1:8" x14ac:dyDescent="0.2">
      <c r="A3406" t="str">
        <f t="shared" si="1248"/>
        <v>0614098911</v>
      </c>
      <c r="B3406" t="str">
        <f t="shared" si="1249"/>
        <v>CHRISHAWN</v>
      </c>
      <c r="C3406" t="str">
        <f t="shared" si="1247"/>
        <v>COLEMAN</v>
      </c>
      <c r="D3406" t="str">
        <f t="shared" si="1250"/>
        <v>09</v>
      </c>
      <c r="E3406" t="str">
        <f>"03 - A - 105 - Elizabeth Ellen  Moran"</f>
        <v>03 - A - 105 - Elizabeth Ellen  Moran</v>
      </c>
      <c r="F3406" t="str">
        <f>"WORLD HISTORY"</f>
        <v>WORLD HISTORY</v>
      </c>
      <c r="G3406" t="str">
        <f>"17-1752"</f>
        <v>17-1752</v>
      </c>
      <c r="H3406" t="str">
        <f>"A"</f>
        <v>A</v>
      </c>
    </row>
    <row r="3407" spans="1:8" x14ac:dyDescent="0.2">
      <c r="A3407" t="str">
        <f t="shared" si="1248"/>
        <v>0614098911</v>
      </c>
      <c r="B3407" t="str">
        <f t="shared" si="1249"/>
        <v>CHRISHAWN</v>
      </c>
      <c r="C3407" t="str">
        <f t="shared" si="1247"/>
        <v>COLEMAN</v>
      </c>
      <c r="D3407" t="str">
        <f t="shared" si="1250"/>
        <v>09</v>
      </c>
      <c r="E3407" t="str">
        <f>"02 - A - 103 - Angela S Adeshina-Morrison"</f>
        <v>02 - A - 103 - Angela S Adeshina-Morrison</v>
      </c>
      <c r="F3407" t="str">
        <f>"NC STUDY HALL 1"</f>
        <v>NC STUDY HALL 1</v>
      </c>
      <c r="G3407" t="str">
        <f>"05-518"</f>
        <v>05-518</v>
      </c>
      <c r="H3407" t="str">
        <f>"A"</f>
        <v>A</v>
      </c>
    </row>
    <row r="3408" spans="1:8" x14ac:dyDescent="0.2">
      <c r="A3408" t="str">
        <f t="shared" si="1248"/>
        <v>0614098911</v>
      </c>
      <c r="B3408" t="str">
        <f t="shared" si="1249"/>
        <v>CHRISHAWN</v>
      </c>
      <c r="C3408" t="str">
        <f t="shared" si="1247"/>
        <v>COLEMAN</v>
      </c>
      <c r="D3408" t="str">
        <f t="shared" si="1250"/>
        <v>09</v>
      </c>
      <c r="E3408" t="str">
        <f>"07 - B - 003 - Samantha J Headley"</f>
        <v>07 - B - 003 - Samantha J Headley</v>
      </c>
      <c r="F3408" t="str">
        <f>"ENV SCI"</f>
        <v>ENV SCI</v>
      </c>
      <c r="G3408" t="str">
        <f>"08-802"</f>
        <v>08-802</v>
      </c>
      <c r="H3408" t="str">
        <f>"B"</f>
        <v>B</v>
      </c>
    </row>
    <row r="3409" spans="1:8" x14ac:dyDescent="0.2">
      <c r="A3409" t="str">
        <f t="shared" si="1248"/>
        <v>0614098911</v>
      </c>
      <c r="B3409" t="str">
        <f t="shared" si="1249"/>
        <v>CHRISHAWN</v>
      </c>
      <c r="C3409" t="str">
        <f t="shared" si="1247"/>
        <v>COLEMAN</v>
      </c>
      <c r="D3409" t="str">
        <f t="shared" si="1250"/>
        <v>09</v>
      </c>
      <c r="E3409" t="str">
        <f>"05 - B - 105 - Adam Marcus  Drucker"</f>
        <v>05 - B - 105 - Adam Marcus  Drucker</v>
      </c>
      <c r="F3409" t="str">
        <f>"HOPE-PE V"</f>
        <v>HOPE-PE V</v>
      </c>
      <c r="G3409" t="str">
        <f>"04-254"</f>
        <v>04-254</v>
      </c>
      <c r="H3409" t="str">
        <f>"B"</f>
        <v>B</v>
      </c>
    </row>
    <row r="3410" spans="1:8" x14ac:dyDescent="0.2">
      <c r="A3410" t="str">
        <f t="shared" si="1248"/>
        <v>0614098911</v>
      </c>
      <c r="B3410" t="str">
        <f t="shared" si="1249"/>
        <v>CHRISHAWN</v>
      </c>
      <c r="C3410" t="str">
        <f t="shared" si="1247"/>
        <v>COLEMAN</v>
      </c>
      <c r="D3410" t="str">
        <f t="shared" si="1250"/>
        <v>09</v>
      </c>
      <c r="E3410" t="str">
        <f>"01 - A - 101 - Cerine S Stewart"</f>
        <v>01 - A - 101 - Cerine S Stewart</v>
      </c>
      <c r="F3410" t="str">
        <f>"ENG 1"</f>
        <v>ENG 1</v>
      </c>
      <c r="G3410" t="str">
        <f>"17-1720"</f>
        <v>17-1720</v>
      </c>
      <c r="H3410" t="str">
        <f>"A"</f>
        <v>A</v>
      </c>
    </row>
    <row r="3411" spans="1:8" x14ac:dyDescent="0.2">
      <c r="A3411" t="str">
        <f t="shared" si="1248"/>
        <v>0614098911</v>
      </c>
      <c r="B3411" t="str">
        <f t="shared" si="1249"/>
        <v>CHRISHAWN</v>
      </c>
      <c r="C3411" t="str">
        <f t="shared" si="1247"/>
        <v>COLEMAN</v>
      </c>
      <c r="D3411" t="str">
        <f t="shared" si="1250"/>
        <v>09</v>
      </c>
      <c r="E3411" t="str">
        <f>"08 - B - 106 - Helen A Flores"</f>
        <v>08 - B - 106 - Helen A Flores</v>
      </c>
      <c r="F3411" t="str">
        <f>"ALGEBRA 1"</f>
        <v>ALGEBRA 1</v>
      </c>
      <c r="G3411" t="str">
        <f>"21-2101"</f>
        <v>21-2101</v>
      </c>
      <c r="H3411" t="str">
        <f>"B"</f>
        <v>B</v>
      </c>
    </row>
    <row r="3412" spans="1:8" x14ac:dyDescent="0.2">
      <c r="A3412" t="str">
        <f t="shared" ref="A3412:A3419" si="1251">"0612093523"</f>
        <v>0612093523</v>
      </c>
      <c r="B3412" t="str">
        <f t="shared" ref="B3412:B3419" si="1252">"COLONEL"</f>
        <v>COLONEL</v>
      </c>
      <c r="C3412" t="str">
        <f t="shared" si="1247"/>
        <v>COLEMAN</v>
      </c>
      <c r="D3412">
        <f>10</f>
        <v>10</v>
      </c>
      <c r="E3412" t="str">
        <f>"04 - A - 105 - Jacquelyn M Neeson"</f>
        <v>04 - A - 105 - Jacquelyn M Neeson</v>
      </c>
      <c r="F3412" t="str">
        <f>"ENG 2"</f>
        <v>ENG 2</v>
      </c>
      <c r="G3412" t="str">
        <f>"17-1715"</f>
        <v>17-1715</v>
      </c>
      <c r="H3412" t="str">
        <f>"A"</f>
        <v>A</v>
      </c>
    </row>
    <row r="3413" spans="1:8" x14ac:dyDescent="0.2">
      <c r="A3413" t="str">
        <f t="shared" si="1251"/>
        <v>0612093523</v>
      </c>
      <c r="B3413" t="str">
        <f t="shared" si="1252"/>
        <v>COLONEL</v>
      </c>
      <c r="C3413" t="str">
        <f t="shared" si="1247"/>
        <v>COLEMAN</v>
      </c>
      <c r="D3413">
        <f>10</f>
        <v>10</v>
      </c>
      <c r="E3413" t="str">
        <f>"06 - B - 004 - Robert O Burger"</f>
        <v>06 - B - 004 - Robert O Burger</v>
      </c>
      <c r="F3413" t="str">
        <f>"NC STUDY HALL 1"</f>
        <v>NC STUDY HALL 1</v>
      </c>
      <c r="G3413" t="str">
        <f>"17-1755"</f>
        <v>17-1755</v>
      </c>
      <c r="H3413" t="str">
        <f>"B"</f>
        <v>B</v>
      </c>
    </row>
    <row r="3414" spans="1:8" x14ac:dyDescent="0.2">
      <c r="A3414" t="str">
        <f t="shared" si="1251"/>
        <v>0612093523</v>
      </c>
      <c r="B3414" t="str">
        <f t="shared" si="1252"/>
        <v>COLONEL</v>
      </c>
      <c r="C3414" t="str">
        <f t="shared" si="1247"/>
        <v>COLEMAN</v>
      </c>
      <c r="D3414">
        <f>10</f>
        <v>10</v>
      </c>
      <c r="E3414" t="str">
        <f>"03 - S1 - A - 101 - Arthur  Kulawik"</f>
        <v>03 - S1 - A - 101 - Arthur  Kulawik</v>
      </c>
      <c r="F3414" t="str">
        <f>"PERS FIN &amp; MON MGT H"</f>
        <v>PERS FIN &amp; MON MGT H</v>
      </c>
      <c r="G3414" t="str">
        <f>"05-506"</f>
        <v>05-506</v>
      </c>
      <c r="H3414" t="str">
        <f>"A"</f>
        <v>A</v>
      </c>
    </row>
    <row r="3415" spans="1:8" x14ac:dyDescent="0.2">
      <c r="A3415" t="str">
        <f t="shared" si="1251"/>
        <v>0612093523</v>
      </c>
      <c r="B3415" t="str">
        <f t="shared" si="1252"/>
        <v>COLONEL</v>
      </c>
      <c r="C3415" t="str">
        <f t="shared" si="1247"/>
        <v>COLEMAN</v>
      </c>
      <c r="D3415">
        <f>10</f>
        <v>10</v>
      </c>
      <c r="E3415" t="str">
        <f>"02 - A - 102 - Taraneh C Abreu"</f>
        <v>02 - A - 102 - Taraneh C Abreu</v>
      </c>
      <c r="F3415" t="str">
        <f>"INTENS READ 2"</f>
        <v>INTENS READ 2</v>
      </c>
      <c r="G3415" t="str">
        <f>"17-1713"</f>
        <v>17-1713</v>
      </c>
      <c r="H3415" t="str">
        <f>"A"</f>
        <v>A</v>
      </c>
    </row>
    <row r="3416" spans="1:8" x14ac:dyDescent="0.2">
      <c r="A3416" t="str">
        <f t="shared" si="1251"/>
        <v>0612093523</v>
      </c>
      <c r="B3416" t="str">
        <f t="shared" si="1252"/>
        <v>COLONEL</v>
      </c>
      <c r="C3416" t="str">
        <f t="shared" si="1247"/>
        <v>COLEMAN</v>
      </c>
      <c r="D3416">
        <f>10</f>
        <v>10</v>
      </c>
      <c r="E3416" t="str">
        <f>"07 - S1 - B - 103 - Leslie J Barton"</f>
        <v>07 - S1 - B - 103 - Leslie J Barton</v>
      </c>
      <c r="F3416" t="str">
        <f>"TEAM SPORTS 1"</f>
        <v>TEAM SPORTS 1</v>
      </c>
      <c r="G3416" t="str">
        <f>"04-254"</f>
        <v>04-254</v>
      </c>
      <c r="H3416" t="str">
        <f>"B"</f>
        <v>B</v>
      </c>
    </row>
    <row r="3417" spans="1:8" x14ac:dyDescent="0.2">
      <c r="A3417" t="str">
        <f t="shared" si="1251"/>
        <v>0612093523</v>
      </c>
      <c r="B3417" t="str">
        <f t="shared" si="1252"/>
        <v>COLONEL</v>
      </c>
      <c r="C3417" t="str">
        <f t="shared" si="1247"/>
        <v>COLEMAN</v>
      </c>
      <c r="D3417">
        <f>10</f>
        <v>10</v>
      </c>
      <c r="E3417" t="str">
        <f>"05 - B - 104 - Joe  Kilpatrick Jr"</f>
        <v>05 - B - 104 - Joe  Kilpatrick Jr</v>
      </c>
      <c r="F3417" t="str">
        <f>"PRE-AICE SPAN 1 IG"</f>
        <v>PRE-AICE SPAN 1 IG</v>
      </c>
      <c r="G3417" t="str">
        <f>"09-912"</f>
        <v>09-912</v>
      </c>
      <c r="H3417" t="str">
        <f>"B"</f>
        <v>B</v>
      </c>
    </row>
    <row r="3418" spans="1:8" x14ac:dyDescent="0.2">
      <c r="A3418" t="str">
        <f t="shared" si="1251"/>
        <v>0612093523</v>
      </c>
      <c r="B3418" t="str">
        <f t="shared" si="1252"/>
        <v>COLONEL</v>
      </c>
      <c r="C3418" t="str">
        <f t="shared" si="1247"/>
        <v>COLEMAN</v>
      </c>
      <c r="D3418">
        <f>10</f>
        <v>10</v>
      </c>
      <c r="E3418" t="str">
        <f>"01 - A - 104 - Milca  Exantus"</f>
        <v>01 - A - 104 - Milca  Exantus</v>
      </c>
      <c r="F3418" t="str">
        <f>"MATH COLLEGE LIB ART"</f>
        <v>MATH COLLEGE LIB ART</v>
      </c>
      <c r="G3418" t="str">
        <f>"21-2145"</f>
        <v>21-2145</v>
      </c>
      <c r="H3418" t="str">
        <f>"A"</f>
        <v>A</v>
      </c>
    </row>
    <row r="3419" spans="1:8" x14ac:dyDescent="0.2">
      <c r="A3419" t="str">
        <f t="shared" si="1251"/>
        <v>0612093523</v>
      </c>
      <c r="B3419" t="str">
        <f t="shared" si="1252"/>
        <v>COLONEL</v>
      </c>
      <c r="C3419" t="str">
        <f t="shared" si="1247"/>
        <v>COLEMAN</v>
      </c>
      <c r="D3419">
        <f>10</f>
        <v>10</v>
      </c>
      <c r="E3419" t="str">
        <f>"08 - B - 108 - Paige Lauren  Brochu"</f>
        <v>08 - B - 108 - Paige Lauren  Brochu</v>
      </c>
      <c r="F3419" t="str">
        <f>"BIOLOGY 1"</f>
        <v>BIOLOGY 1</v>
      </c>
      <c r="G3419" t="str">
        <f>"21-2134"</f>
        <v>21-2134</v>
      </c>
      <c r="H3419" t="str">
        <f>"B"</f>
        <v>B</v>
      </c>
    </row>
    <row r="3420" spans="1:8" x14ac:dyDescent="0.2">
      <c r="A3420" t="str">
        <f t="shared" ref="A3420:A3427" si="1253">"0614089103"</f>
        <v>0614089103</v>
      </c>
      <c r="B3420" t="str">
        <f t="shared" ref="B3420:B3427" si="1254">"ISABELLA"</f>
        <v>ISABELLA</v>
      </c>
      <c r="C3420" t="str">
        <f t="shared" si="1247"/>
        <v>COLEMAN</v>
      </c>
      <c r="D3420">
        <f>11</f>
        <v>11</v>
      </c>
      <c r="E3420" t="str">
        <f>"04 - A - 104 - Courtney E Hambright"</f>
        <v>04 - A - 104 - Courtney E Hambright</v>
      </c>
      <c r="F3420" t="str">
        <f>"AICE ENG LANG AS"</f>
        <v>AICE ENG LANG AS</v>
      </c>
      <c r="G3420" t="str">
        <f>"17-1711"</f>
        <v>17-1711</v>
      </c>
      <c r="H3420" t="str">
        <f>"A"</f>
        <v>A</v>
      </c>
    </row>
    <row r="3421" spans="1:8" x14ac:dyDescent="0.2">
      <c r="A3421" t="str">
        <f t="shared" si="1253"/>
        <v>0614089103</v>
      </c>
      <c r="B3421" t="str">
        <f t="shared" si="1254"/>
        <v>ISABELLA</v>
      </c>
      <c r="C3421" t="str">
        <f t="shared" si="1247"/>
        <v>COLEMAN</v>
      </c>
      <c r="D3421">
        <f>11</f>
        <v>11</v>
      </c>
      <c r="E3421" t="str">
        <f>"06 - B - 103 - Helen A Flores"</f>
        <v>06 - B - 103 - Helen A Flores</v>
      </c>
      <c r="F3421" t="str">
        <f>"ALGEBRA 2"</f>
        <v>ALGEBRA 2</v>
      </c>
      <c r="G3421" t="str">
        <f>"21-2101"</f>
        <v>21-2101</v>
      </c>
      <c r="H3421" t="str">
        <f>"B"</f>
        <v>B</v>
      </c>
    </row>
    <row r="3422" spans="1:8" x14ac:dyDescent="0.2">
      <c r="A3422" t="str">
        <f t="shared" si="1253"/>
        <v>0614089103</v>
      </c>
      <c r="B3422" t="str">
        <f t="shared" si="1254"/>
        <v>ISABELLA</v>
      </c>
      <c r="C3422" t="str">
        <f t="shared" si="1247"/>
        <v>COLEMAN</v>
      </c>
      <c r="D3422">
        <f>11</f>
        <v>11</v>
      </c>
      <c r="E3422" t="str">
        <f>"03 - A - 204 - Norayda D Suarez"</f>
        <v>03 - A - 204 - Norayda D Suarez</v>
      </c>
      <c r="F3422" t="str">
        <f>"ANAT PHYSIO HON"</f>
        <v>ANAT PHYSIO HON</v>
      </c>
      <c r="G3422" t="str">
        <f>"21-2144"</f>
        <v>21-2144</v>
      </c>
      <c r="H3422" t="str">
        <f>"A"</f>
        <v>A</v>
      </c>
    </row>
    <row r="3423" spans="1:8" x14ac:dyDescent="0.2">
      <c r="A3423" t="str">
        <f t="shared" si="1253"/>
        <v>0614089103</v>
      </c>
      <c r="B3423" t="str">
        <f t="shared" si="1254"/>
        <v>ISABELLA</v>
      </c>
      <c r="C3423" t="str">
        <f t="shared" si="1247"/>
        <v>COLEMAN</v>
      </c>
      <c r="D3423">
        <f>11</f>
        <v>11</v>
      </c>
      <c r="E3423" t="str">
        <f>"02 - A - 001 - Courtney E Hambright"</f>
        <v>02 - A - 001 - Courtney E Hambright</v>
      </c>
      <c r="F3423" t="str">
        <f>"NC STUDY HALL 1"</f>
        <v>NC STUDY HALL 1</v>
      </c>
      <c r="G3423" t="str">
        <f>"17-1711"</f>
        <v>17-1711</v>
      </c>
      <c r="H3423" t="str">
        <f>"A"</f>
        <v>A</v>
      </c>
    </row>
    <row r="3424" spans="1:8" x14ac:dyDescent="0.2">
      <c r="A3424" t="str">
        <f t="shared" si="1253"/>
        <v>0614089103</v>
      </c>
      <c r="B3424" t="str">
        <f t="shared" si="1254"/>
        <v>ISABELLA</v>
      </c>
      <c r="C3424" t="str">
        <f t="shared" si="1247"/>
        <v>COLEMAN</v>
      </c>
      <c r="D3424">
        <f>11</f>
        <v>11</v>
      </c>
      <c r="E3424" t="str">
        <f>"07 - B - 102 - Timothy J Lawrence"</f>
        <v>07 - B - 102 - Timothy J Lawrence</v>
      </c>
      <c r="F3424" t="str">
        <f>"AICE PHYS ED 1 AS"</f>
        <v>AICE PHYS ED 1 AS</v>
      </c>
      <c r="G3424" t="str">
        <f>"05-523"</f>
        <v>05-523</v>
      </c>
      <c r="H3424" t="str">
        <f>"B"</f>
        <v>B</v>
      </c>
    </row>
    <row r="3425" spans="1:8" x14ac:dyDescent="0.2">
      <c r="A3425" t="str">
        <f t="shared" si="1253"/>
        <v>0614089103</v>
      </c>
      <c r="B3425" t="str">
        <f t="shared" si="1254"/>
        <v>ISABELLA</v>
      </c>
      <c r="C3425" t="str">
        <f t="shared" si="1247"/>
        <v>COLEMAN</v>
      </c>
      <c r="D3425">
        <f>11</f>
        <v>11</v>
      </c>
      <c r="E3425" t="str">
        <f>"05 - B - 102 - Jerry S Jiampetti"</f>
        <v>05 - B - 102 - Jerry S Jiampetti</v>
      </c>
      <c r="F3425" t="str">
        <f>"AICE U.S. HIST 1 AS"</f>
        <v>AICE U.S. HIST 1 AS</v>
      </c>
      <c r="G3425" t="str">
        <f>"17-1751"</f>
        <v>17-1751</v>
      </c>
      <c r="H3425" t="str">
        <f>"B"</f>
        <v>B</v>
      </c>
    </row>
    <row r="3426" spans="1:8" x14ac:dyDescent="0.2">
      <c r="A3426" t="str">
        <f t="shared" si="1253"/>
        <v>0614089103</v>
      </c>
      <c r="B3426" t="str">
        <f t="shared" si="1254"/>
        <v>ISABELLA</v>
      </c>
      <c r="C3426" t="str">
        <f t="shared" si="1247"/>
        <v>COLEMAN</v>
      </c>
      <c r="D3426">
        <f>11</f>
        <v>11</v>
      </c>
      <c r="E3426" t="str">
        <f>"01 - A - 201 - Stefanie S Scher"</f>
        <v>01 - A - 201 - Stefanie S Scher</v>
      </c>
      <c r="F3426" t="str">
        <f>"AICE PSYCH 1 AS"</f>
        <v>AICE PSYCH 1 AS</v>
      </c>
      <c r="G3426" t="str">
        <f>"17-1735"</f>
        <v>17-1735</v>
      </c>
      <c r="H3426" t="str">
        <f>"A"</f>
        <v>A</v>
      </c>
    </row>
    <row r="3427" spans="1:8" x14ac:dyDescent="0.2">
      <c r="A3427" t="str">
        <f t="shared" si="1253"/>
        <v>0614089103</v>
      </c>
      <c r="B3427" t="str">
        <f t="shared" si="1254"/>
        <v>ISABELLA</v>
      </c>
      <c r="C3427" t="str">
        <f t="shared" si="1247"/>
        <v>COLEMAN</v>
      </c>
      <c r="D3427">
        <f>11</f>
        <v>11</v>
      </c>
      <c r="E3427" t="str">
        <f>"08 - S1 - B - 104 - Angela S Adeshina-Morrison"</f>
        <v>08 - S1 - B - 104 - Angela S Adeshina-Morrison</v>
      </c>
      <c r="F3427" t="str">
        <f>"PEER COUN 1"</f>
        <v>PEER COUN 1</v>
      </c>
      <c r="G3427" t="str">
        <f>"05-518"</f>
        <v>05-518</v>
      </c>
      <c r="H3427" t="str">
        <f>"B"</f>
        <v>B</v>
      </c>
    </row>
    <row r="3428" spans="1:8" x14ac:dyDescent="0.2">
      <c r="A3428" t="str">
        <f t="shared" ref="A3428:A3435" si="1255">"0615034108"</f>
        <v>0615034108</v>
      </c>
      <c r="B3428" t="str">
        <f t="shared" ref="B3428:B3435" si="1256">"MARCELUS"</f>
        <v>MARCELUS</v>
      </c>
      <c r="C3428" t="str">
        <f t="shared" si="1247"/>
        <v>COLEMAN</v>
      </c>
      <c r="D3428">
        <f>11</f>
        <v>11</v>
      </c>
      <c r="E3428" t="str">
        <f>"04 - A - 201 - Alejandro  Navarro"</f>
        <v>04 - A - 201 - Alejandro  Navarro</v>
      </c>
      <c r="F3428" t="str">
        <f>"BAND 4"</f>
        <v>BAND 4</v>
      </c>
      <c r="G3428" t="str">
        <f>"05-504"</f>
        <v>05-504</v>
      </c>
      <c r="H3428" t="str">
        <f>"A"</f>
        <v>A</v>
      </c>
    </row>
    <row r="3429" spans="1:8" x14ac:dyDescent="0.2">
      <c r="A3429" t="str">
        <f t="shared" si="1255"/>
        <v>0615034108</v>
      </c>
      <c r="B3429" t="str">
        <f t="shared" si="1256"/>
        <v>MARCELUS</v>
      </c>
      <c r="C3429" t="str">
        <f t="shared" si="1247"/>
        <v>COLEMAN</v>
      </c>
      <c r="D3429">
        <f>11</f>
        <v>11</v>
      </c>
      <c r="E3429" t="str">
        <f>"06 - B - 204 - Chrystina M Marchionne"</f>
        <v>06 - B - 204 - Chrystina M Marchionne</v>
      </c>
      <c r="F3429" t="str">
        <f>"AICE MEDIASTUDIES AS"</f>
        <v>AICE MEDIASTUDIES AS</v>
      </c>
      <c r="G3429" t="str">
        <f>"05-520"</f>
        <v>05-520</v>
      </c>
      <c r="H3429" t="str">
        <f>"B"</f>
        <v>B</v>
      </c>
    </row>
    <row r="3430" spans="1:8" x14ac:dyDescent="0.2">
      <c r="A3430" t="str">
        <f t="shared" si="1255"/>
        <v>0615034108</v>
      </c>
      <c r="B3430" t="str">
        <f t="shared" si="1256"/>
        <v>MARCELUS</v>
      </c>
      <c r="C3430" t="str">
        <f t="shared" si="1247"/>
        <v>COLEMAN</v>
      </c>
      <c r="D3430">
        <f>11</f>
        <v>11</v>
      </c>
      <c r="E3430" t="str">
        <f>"03 - A - 101 - Scott A Dethloff"</f>
        <v>03 - A - 101 - Scott A Dethloff</v>
      </c>
      <c r="F3430" t="str">
        <f>"CHEMISTRY 1 HON"</f>
        <v>CHEMISTRY 1 HON</v>
      </c>
      <c r="G3430" t="str">
        <f>"08-812"</f>
        <v>08-812</v>
      </c>
      <c r="H3430" t="str">
        <f>"A"</f>
        <v>A</v>
      </c>
    </row>
    <row r="3431" spans="1:8" x14ac:dyDescent="0.2">
      <c r="A3431" t="str">
        <f t="shared" si="1255"/>
        <v>0615034108</v>
      </c>
      <c r="B3431" t="str">
        <f t="shared" si="1256"/>
        <v>MARCELUS</v>
      </c>
      <c r="C3431" t="str">
        <f t="shared" si="1247"/>
        <v>COLEMAN</v>
      </c>
      <c r="D3431">
        <f>11</f>
        <v>11</v>
      </c>
      <c r="E3431" t="str">
        <f>"02 - A - 112 - Brandy N Zdenek"</f>
        <v>02 - A - 112 - Brandy N Zdenek</v>
      </c>
      <c r="F3431" t="str">
        <f>"NC STUDY HALL 1"</f>
        <v>NC STUDY HALL 1</v>
      </c>
      <c r="G3431" t="str">
        <f>"17-1704"</f>
        <v>17-1704</v>
      </c>
      <c r="H3431" t="str">
        <f>"A"</f>
        <v>A</v>
      </c>
    </row>
    <row r="3432" spans="1:8" x14ac:dyDescent="0.2">
      <c r="A3432" t="str">
        <f t="shared" si="1255"/>
        <v>0615034108</v>
      </c>
      <c r="B3432" t="str">
        <f t="shared" si="1256"/>
        <v>MARCELUS</v>
      </c>
      <c r="C3432" t="str">
        <f t="shared" si="1247"/>
        <v>COLEMAN</v>
      </c>
      <c r="D3432">
        <f>11</f>
        <v>11</v>
      </c>
      <c r="E3432" t="str">
        <f>"07 - B - 107 - Semra  Bahadir"</f>
        <v>07 - B - 107 - Semra  Bahadir</v>
      </c>
      <c r="F3432" t="str">
        <f>"MATH COLL ALGEBRA"</f>
        <v>MATH COLL ALGEBRA</v>
      </c>
      <c r="G3432" t="str">
        <f>"21-2107"</f>
        <v>21-2107</v>
      </c>
      <c r="H3432" t="str">
        <f>"B"</f>
        <v>B</v>
      </c>
    </row>
    <row r="3433" spans="1:8" x14ac:dyDescent="0.2">
      <c r="A3433" t="str">
        <f t="shared" si="1255"/>
        <v>0615034108</v>
      </c>
      <c r="B3433" t="str">
        <f t="shared" si="1256"/>
        <v>MARCELUS</v>
      </c>
      <c r="C3433" t="str">
        <f t="shared" si="1247"/>
        <v>COLEMAN</v>
      </c>
      <c r="D3433">
        <f>11</f>
        <v>11</v>
      </c>
      <c r="E3433" t="str">
        <f>"05 - B - 103 - Brandy N Zdenek"</f>
        <v>05 - B - 103 - Brandy N Zdenek</v>
      </c>
      <c r="F3433" t="str">
        <f>"AICE ENG LANG 2 AL"</f>
        <v>AICE ENG LANG 2 AL</v>
      </c>
      <c r="G3433" t="str">
        <f>"17-1704"</f>
        <v>17-1704</v>
      </c>
      <c r="H3433" t="str">
        <f>"B"</f>
        <v>B</v>
      </c>
    </row>
    <row r="3434" spans="1:8" x14ac:dyDescent="0.2">
      <c r="A3434" t="str">
        <f t="shared" si="1255"/>
        <v>0615034108</v>
      </c>
      <c r="B3434" t="str">
        <f t="shared" si="1256"/>
        <v>MARCELUS</v>
      </c>
      <c r="C3434" t="str">
        <f t="shared" si="1247"/>
        <v>COLEMAN</v>
      </c>
      <c r="D3434">
        <f>11</f>
        <v>11</v>
      </c>
      <c r="E3434" t="str">
        <f>"01 - A - 001 - Stephen T Ripp"</f>
        <v>01 - A - 001 - Stephen T Ripp</v>
      </c>
      <c r="F3434" t="str">
        <f>"AP U.S. HIST"</f>
        <v>AP U.S. HIST</v>
      </c>
      <c r="G3434" t="str">
        <f>"17-1744"</f>
        <v>17-1744</v>
      </c>
      <c r="H3434" t="str">
        <f>"A"</f>
        <v>A</v>
      </c>
    </row>
    <row r="3435" spans="1:8" x14ac:dyDescent="0.2">
      <c r="A3435" t="str">
        <f t="shared" si="1255"/>
        <v>0615034108</v>
      </c>
      <c r="B3435" t="str">
        <f t="shared" si="1256"/>
        <v>MARCELUS</v>
      </c>
      <c r="C3435" t="str">
        <f t="shared" si="1247"/>
        <v>COLEMAN</v>
      </c>
      <c r="D3435">
        <f>11</f>
        <v>11</v>
      </c>
      <c r="E3435" t="str">
        <f>"08 - B - 101 - Marius D Orsolini"</f>
        <v>08 - B - 101 - Marius D Orsolini</v>
      </c>
      <c r="F3435" t="str">
        <f>"CULINARY ARTS 2"</f>
        <v>CULINARY ARTS 2</v>
      </c>
      <c r="G3435" t="str">
        <f>"21-2115"</f>
        <v>21-2115</v>
      </c>
      <c r="H3435" t="str">
        <f>"B"</f>
        <v>B</v>
      </c>
    </row>
    <row r="3436" spans="1:8" x14ac:dyDescent="0.2">
      <c r="A3436" t="str">
        <f t="shared" ref="A3436:A3443" si="1257">"0615044851"</f>
        <v>0615044851</v>
      </c>
      <c r="B3436" t="str">
        <f t="shared" ref="B3436:B3443" si="1258">"TAVARIS"</f>
        <v>TAVARIS</v>
      </c>
      <c r="C3436" t="str">
        <f t="shared" si="1247"/>
        <v>COLEMAN</v>
      </c>
      <c r="D3436">
        <f>10</f>
        <v>10</v>
      </c>
      <c r="E3436" t="str">
        <f>"04 - S1 - A - 101 - Kyle  Robbins"</f>
        <v>04 - S1 - A - 101 - Kyle  Robbins</v>
      </c>
      <c r="F3436" t="str">
        <f>"PERS FIN &amp; MON MGT H"</f>
        <v>PERS FIN &amp; MON MGT H</v>
      </c>
      <c r="G3436" t="str">
        <f>"17-1745"</f>
        <v>17-1745</v>
      </c>
      <c r="H3436" t="str">
        <f>"A"</f>
        <v>A</v>
      </c>
    </row>
    <row r="3437" spans="1:8" x14ac:dyDescent="0.2">
      <c r="A3437" t="str">
        <f t="shared" si="1257"/>
        <v>0615044851</v>
      </c>
      <c r="B3437" t="str">
        <f t="shared" si="1258"/>
        <v>TAVARIS</v>
      </c>
      <c r="C3437" t="str">
        <f t="shared" si="1247"/>
        <v>COLEMAN</v>
      </c>
      <c r="D3437">
        <f>10</f>
        <v>10</v>
      </c>
      <c r="E3437" t="str">
        <f>"06 - B - 004 - Robert O Burger"</f>
        <v>06 - B - 004 - Robert O Burger</v>
      </c>
      <c r="F3437" t="str">
        <f>"NC STUDY HALL 1"</f>
        <v>NC STUDY HALL 1</v>
      </c>
      <c r="G3437" t="str">
        <f>"17-1755"</f>
        <v>17-1755</v>
      </c>
      <c r="H3437" t="str">
        <f>"B"</f>
        <v>B</v>
      </c>
    </row>
    <row r="3438" spans="1:8" x14ac:dyDescent="0.2">
      <c r="A3438" t="str">
        <f t="shared" si="1257"/>
        <v>0615044851</v>
      </c>
      <c r="B3438" t="str">
        <f t="shared" si="1258"/>
        <v>TAVARIS</v>
      </c>
      <c r="C3438" t="str">
        <f t="shared" si="1247"/>
        <v>COLEMAN</v>
      </c>
      <c r="D3438">
        <f>10</f>
        <v>10</v>
      </c>
      <c r="E3438" t="str">
        <f>"03 - A - 103 - Taraneh C Abreu"</f>
        <v>03 - A - 103 - Taraneh C Abreu</v>
      </c>
      <c r="F3438" t="str">
        <f>"INTENS READ 2"</f>
        <v>INTENS READ 2</v>
      </c>
      <c r="G3438" t="str">
        <f>"17-1713"</f>
        <v>17-1713</v>
      </c>
      <c r="H3438" t="str">
        <f>"A"</f>
        <v>A</v>
      </c>
    </row>
    <row r="3439" spans="1:8" x14ac:dyDescent="0.2">
      <c r="A3439" t="str">
        <f t="shared" si="1257"/>
        <v>0615044851</v>
      </c>
      <c r="B3439" t="str">
        <f t="shared" si="1258"/>
        <v>TAVARIS</v>
      </c>
      <c r="C3439" t="str">
        <f t="shared" si="1247"/>
        <v>COLEMAN</v>
      </c>
      <c r="D3439">
        <f>10</f>
        <v>10</v>
      </c>
      <c r="E3439" t="str">
        <f>"02 - A - 102 - Nikiel  Nesbeth"</f>
        <v>02 - A - 102 - Nikiel  Nesbeth</v>
      </c>
      <c r="F3439" t="str">
        <f>"ENG 2"</f>
        <v>ENG 2</v>
      </c>
      <c r="G3439" t="str">
        <f>"17-1705"</f>
        <v>17-1705</v>
      </c>
      <c r="H3439" t="str">
        <f>"A"</f>
        <v>A</v>
      </c>
    </row>
    <row r="3440" spans="1:8" x14ac:dyDescent="0.2">
      <c r="A3440" t="str">
        <f t="shared" si="1257"/>
        <v>0615044851</v>
      </c>
      <c r="B3440" t="str">
        <f t="shared" si="1258"/>
        <v>TAVARIS</v>
      </c>
      <c r="C3440" t="str">
        <f t="shared" si="1247"/>
        <v>COLEMAN</v>
      </c>
      <c r="D3440">
        <f>10</f>
        <v>10</v>
      </c>
      <c r="E3440" t="str">
        <f>"07 - B - 106 - Dayna M Foster"</f>
        <v>07 - B - 106 - Dayna M Foster</v>
      </c>
      <c r="F3440" t="str">
        <f>"FDN SKLS MATH 9-12"</f>
        <v>FDN SKLS MATH 9-12</v>
      </c>
      <c r="G3440" t="str">
        <f>"21-2109"</f>
        <v>21-2109</v>
      </c>
      <c r="H3440" t="str">
        <f>"B"</f>
        <v>B</v>
      </c>
    </row>
    <row r="3441" spans="1:8" x14ac:dyDescent="0.2">
      <c r="A3441" t="str">
        <f t="shared" si="1257"/>
        <v>0615044851</v>
      </c>
      <c r="B3441" t="str">
        <f t="shared" si="1258"/>
        <v>TAVARIS</v>
      </c>
      <c r="C3441" t="str">
        <f t="shared" si="1247"/>
        <v>COLEMAN</v>
      </c>
      <c r="D3441">
        <f>10</f>
        <v>10</v>
      </c>
      <c r="E3441" t="str">
        <f>"05 - S1 - B - 102 - Richard E Dunbar Iii"</f>
        <v>05 - S1 - B - 102 - Richard E Dunbar Iii</v>
      </c>
      <c r="F3441" t="str">
        <f>"TEAM SPORTS 1"</f>
        <v>TEAM SPORTS 1</v>
      </c>
      <c r="G3441" t="str">
        <f>"04-254"</f>
        <v>04-254</v>
      </c>
      <c r="H3441" t="str">
        <f>"B"</f>
        <v>B</v>
      </c>
    </row>
    <row r="3442" spans="1:8" x14ac:dyDescent="0.2">
      <c r="A3442" t="str">
        <f t="shared" si="1257"/>
        <v>0615044851</v>
      </c>
      <c r="B3442" t="str">
        <f t="shared" si="1258"/>
        <v>TAVARIS</v>
      </c>
      <c r="C3442" t="str">
        <f t="shared" si="1247"/>
        <v>COLEMAN</v>
      </c>
      <c r="D3442">
        <f>10</f>
        <v>10</v>
      </c>
      <c r="E3442" t="str">
        <f>"01 - A - 108 - Dayna M Foster"</f>
        <v>01 - A - 108 - Dayna M Foster</v>
      </c>
      <c r="F3442" t="str">
        <f>"ALGEBRA 1"</f>
        <v>ALGEBRA 1</v>
      </c>
      <c r="G3442" t="str">
        <f>"21-2109"</f>
        <v>21-2109</v>
      </c>
      <c r="H3442" t="str">
        <f>"A"</f>
        <v>A</v>
      </c>
    </row>
    <row r="3443" spans="1:8" x14ac:dyDescent="0.2">
      <c r="A3443" t="str">
        <f t="shared" si="1257"/>
        <v>0615044851</v>
      </c>
      <c r="B3443" t="str">
        <f t="shared" si="1258"/>
        <v>TAVARIS</v>
      </c>
      <c r="C3443" t="str">
        <f t="shared" si="1247"/>
        <v>COLEMAN</v>
      </c>
      <c r="D3443">
        <f>10</f>
        <v>10</v>
      </c>
      <c r="E3443" t="str">
        <f>"08 - B - 108 - Paige Lauren  Brochu"</f>
        <v>08 - B - 108 - Paige Lauren  Brochu</v>
      </c>
      <c r="F3443" t="str">
        <f>"BIOLOGY 1"</f>
        <v>BIOLOGY 1</v>
      </c>
      <c r="G3443" t="str">
        <f>"21-2134"</f>
        <v>21-2134</v>
      </c>
      <c r="H3443" t="str">
        <f>"B"</f>
        <v>B</v>
      </c>
    </row>
    <row r="3444" spans="1:8" x14ac:dyDescent="0.2">
      <c r="A3444" t="str">
        <f t="shared" ref="A3444:A3451" si="1259">"0622086423"</f>
        <v>0622086423</v>
      </c>
      <c r="B3444" t="str">
        <f t="shared" ref="B3444:B3451" si="1260">"DANTORNIA"</f>
        <v>DANTORNIA</v>
      </c>
      <c r="C3444" t="str">
        <f t="shared" ref="C3444:C3451" si="1261">"COLIN"</f>
        <v>COLIN</v>
      </c>
      <c r="D3444">
        <f>11</f>
        <v>11</v>
      </c>
      <c r="E3444" t="str">
        <f>"04 - S1 - A - 103 - James H Mccann"</f>
        <v>04 - S1 - A - 103 - James H Mccann</v>
      </c>
      <c r="F3444" t="str">
        <f>"PERS FIN &amp; MON MGT H"</f>
        <v>PERS FIN &amp; MON MGT H</v>
      </c>
      <c r="G3444" t="str">
        <f>"17-1716"</f>
        <v>17-1716</v>
      </c>
      <c r="H3444" t="str">
        <f>"A"</f>
        <v>A</v>
      </c>
    </row>
    <row r="3445" spans="1:8" x14ac:dyDescent="0.2">
      <c r="A3445" t="str">
        <f t="shared" si="1259"/>
        <v>0622086423</v>
      </c>
      <c r="B3445" t="str">
        <f t="shared" si="1260"/>
        <v>DANTORNIA</v>
      </c>
      <c r="C3445" t="str">
        <f t="shared" si="1261"/>
        <v>COLIN</v>
      </c>
      <c r="D3445">
        <f>11</f>
        <v>11</v>
      </c>
      <c r="E3445" t="str">
        <f>"06 - B - 103 - Helen A Flores"</f>
        <v>06 - B - 103 - Helen A Flores</v>
      </c>
      <c r="F3445" t="str">
        <f>"ALGEBRA 2"</f>
        <v>ALGEBRA 2</v>
      </c>
      <c r="G3445" t="str">
        <f>"21-2101"</f>
        <v>21-2101</v>
      </c>
      <c r="H3445" t="str">
        <f>"B"</f>
        <v>B</v>
      </c>
    </row>
    <row r="3446" spans="1:8" x14ac:dyDescent="0.2">
      <c r="A3446" t="str">
        <f t="shared" si="1259"/>
        <v>0622086423</v>
      </c>
      <c r="B3446" t="str">
        <f t="shared" si="1260"/>
        <v>DANTORNIA</v>
      </c>
      <c r="C3446" t="str">
        <f t="shared" si="1261"/>
        <v>COLIN</v>
      </c>
      <c r="D3446">
        <f>11</f>
        <v>11</v>
      </c>
      <c r="E3446" t="str">
        <f>"03 - A - 208 - Marielle A Witting"</f>
        <v>03 - A - 208 - Marielle A Witting</v>
      </c>
      <c r="F3446" t="str">
        <f>"ANAT PHYSIO"</f>
        <v>ANAT PHYSIO</v>
      </c>
      <c r="G3446" t="str">
        <f>"08-805"</f>
        <v>08-805</v>
      </c>
      <c r="H3446" t="str">
        <f>"A"</f>
        <v>A</v>
      </c>
    </row>
    <row r="3447" spans="1:8" x14ac:dyDescent="0.2">
      <c r="A3447" t="str">
        <f t="shared" si="1259"/>
        <v>0622086423</v>
      </c>
      <c r="B3447" t="str">
        <f t="shared" si="1260"/>
        <v>DANTORNIA</v>
      </c>
      <c r="C3447" t="str">
        <f t="shared" si="1261"/>
        <v>COLIN</v>
      </c>
      <c r="D3447">
        <f>11</f>
        <v>11</v>
      </c>
      <c r="E3447" t="str">
        <f>"02 - A - 105 - Leslie J Barton"</f>
        <v>02 - A - 105 - Leslie J Barton</v>
      </c>
      <c r="F3447" t="str">
        <f>"NC STUDY HALL 1"</f>
        <v>NC STUDY HALL 1</v>
      </c>
      <c r="G3447" t="str">
        <f>"05-521"</f>
        <v>05-521</v>
      </c>
      <c r="H3447" t="str">
        <f>"A"</f>
        <v>A</v>
      </c>
    </row>
    <row r="3448" spans="1:8" x14ac:dyDescent="0.2">
      <c r="A3448" t="str">
        <f t="shared" si="1259"/>
        <v>0622086423</v>
      </c>
      <c r="B3448" t="str">
        <f t="shared" si="1260"/>
        <v>DANTORNIA</v>
      </c>
      <c r="C3448" t="str">
        <f t="shared" si="1261"/>
        <v>COLIN</v>
      </c>
      <c r="D3448">
        <f>11</f>
        <v>11</v>
      </c>
      <c r="E3448" t="str">
        <f>"07 - B - 107 - Rosa Elaine  Collado-Duff"</f>
        <v>07 - B - 107 - Rosa Elaine  Collado-Duff</v>
      </c>
      <c r="F3448" t="str">
        <f>"PRE-AICE SPAN 2 IG"</f>
        <v>PRE-AICE SPAN 2 IG</v>
      </c>
      <c r="G3448" t="str">
        <f>"09-913"</f>
        <v>09-913</v>
      </c>
      <c r="H3448" t="str">
        <f>"B"</f>
        <v>B</v>
      </c>
    </row>
    <row r="3449" spans="1:8" x14ac:dyDescent="0.2">
      <c r="A3449" t="str">
        <f t="shared" si="1259"/>
        <v>0622086423</v>
      </c>
      <c r="B3449" t="str">
        <f t="shared" si="1260"/>
        <v>DANTORNIA</v>
      </c>
      <c r="C3449" t="str">
        <f t="shared" si="1261"/>
        <v>COLIN</v>
      </c>
      <c r="D3449">
        <f>11</f>
        <v>11</v>
      </c>
      <c r="E3449" t="str">
        <f>"05 - B - 103 - Eva T Rimmer"</f>
        <v>05 - B - 103 - Eva T Rimmer</v>
      </c>
      <c r="F3449" t="str">
        <f>"CRIMINAL JUST OPS 1"</f>
        <v>CRIMINAL JUST OPS 1</v>
      </c>
      <c r="G3449" t="str">
        <f>"05-523"</f>
        <v>05-523</v>
      </c>
      <c r="H3449" t="str">
        <f>"B"</f>
        <v>B</v>
      </c>
    </row>
    <row r="3450" spans="1:8" x14ac:dyDescent="0.2">
      <c r="A3450" t="str">
        <f t="shared" si="1259"/>
        <v>0622086423</v>
      </c>
      <c r="B3450" t="str">
        <f t="shared" si="1260"/>
        <v>DANTORNIA</v>
      </c>
      <c r="C3450" t="str">
        <f t="shared" si="1261"/>
        <v>COLIN</v>
      </c>
      <c r="D3450">
        <f>11</f>
        <v>11</v>
      </c>
      <c r="E3450" t="str">
        <f>"01 - A - 101 - Lisa  Quinn"</f>
        <v>01 - A - 101 - Lisa  Quinn</v>
      </c>
      <c r="F3450" t="str">
        <f>"ENG 3"</f>
        <v>ENG 3</v>
      </c>
      <c r="G3450" t="str">
        <f>"17-1725"</f>
        <v>17-1725</v>
      </c>
      <c r="H3450" t="str">
        <f>"A"</f>
        <v>A</v>
      </c>
    </row>
    <row r="3451" spans="1:8" x14ac:dyDescent="0.2">
      <c r="A3451" t="str">
        <f t="shared" si="1259"/>
        <v>0622086423</v>
      </c>
      <c r="B3451" t="str">
        <f t="shared" si="1260"/>
        <v>DANTORNIA</v>
      </c>
      <c r="C3451" t="str">
        <f t="shared" si="1261"/>
        <v>COLIN</v>
      </c>
      <c r="D3451">
        <f>11</f>
        <v>11</v>
      </c>
      <c r="E3451" t="str">
        <f>"08 - S1 - B - 101 - Amy Beth  Broyles"</f>
        <v>08 - S1 - B - 101 - Amy Beth  Broyles</v>
      </c>
      <c r="F3451" t="str">
        <f>"PEER COUN 3"</f>
        <v>PEER COUN 3</v>
      </c>
      <c r="G3451" t="str">
        <f>"17-1713"</f>
        <v>17-1713</v>
      </c>
      <c r="H3451" t="str">
        <f>"B"</f>
        <v>B</v>
      </c>
    </row>
    <row r="3452" spans="1:8" x14ac:dyDescent="0.2">
      <c r="A3452" t="str">
        <f t="shared" ref="A3452:A3459" si="1262">"0614129713"</f>
        <v>0614129713</v>
      </c>
      <c r="B3452" t="str">
        <f t="shared" ref="B3452:B3459" si="1263">"CHRISTOPHER"</f>
        <v>CHRISTOPHER</v>
      </c>
      <c r="C3452" t="str">
        <f t="shared" ref="C3452:C3459" si="1264">"COLLAZO"</f>
        <v>COLLAZO</v>
      </c>
      <c r="D3452">
        <f>11</f>
        <v>11</v>
      </c>
      <c r="E3452" t="str">
        <f>"04 - A - 101 - Stephen T Ripp"</f>
        <v>04 - A - 101 - Stephen T Ripp</v>
      </c>
      <c r="F3452" t="str">
        <f>"AP U.S. HIST"</f>
        <v>AP U.S. HIST</v>
      </c>
      <c r="G3452" t="str">
        <f>"17-1744"</f>
        <v>17-1744</v>
      </c>
      <c r="H3452" t="str">
        <f>"A"</f>
        <v>A</v>
      </c>
    </row>
    <row r="3453" spans="1:8" x14ac:dyDescent="0.2">
      <c r="A3453" t="str">
        <f t="shared" si="1262"/>
        <v>0614129713</v>
      </c>
      <c r="B3453" t="str">
        <f t="shared" si="1263"/>
        <v>CHRISTOPHER</v>
      </c>
      <c r="C3453" t="str">
        <f t="shared" si="1264"/>
        <v>COLLAZO</v>
      </c>
      <c r="D3453">
        <f>11</f>
        <v>11</v>
      </c>
      <c r="E3453" t="str">
        <f>"06 - B - 001 - Lourivaldo  Da Silva"</f>
        <v>06 - B - 001 - Lourivaldo  Da Silva</v>
      </c>
      <c r="F3453" t="str">
        <f>"PRE-CALCULUS HON"</f>
        <v>PRE-CALCULUS HON</v>
      </c>
      <c r="G3453" t="str">
        <f>"20-2079"</f>
        <v>20-2079</v>
      </c>
      <c r="H3453" t="str">
        <f>"B"</f>
        <v>B</v>
      </c>
    </row>
    <row r="3454" spans="1:8" x14ac:dyDescent="0.2">
      <c r="A3454" t="str">
        <f t="shared" si="1262"/>
        <v>0614129713</v>
      </c>
      <c r="B3454" t="str">
        <f t="shared" si="1263"/>
        <v>CHRISTOPHER</v>
      </c>
      <c r="C3454" t="str">
        <f t="shared" si="1264"/>
        <v>COLLAZO</v>
      </c>
      <c r="D3454">
        <f>11</f>
        <v>11</v>
      </c>
      <c r="E3454" t="str">
        <f>"03 - A - 202 - Jeanne M Bermudez"</f>
        <v>03 - A - 202 - Jeanne M Bermudez</v>
      </c>
      <c r="F3454" t="str">
        <f>"PHYSICS 1 HON"</f>
        <v>PHYSICS 1 HON</v>
      </c>
      <c r="G3454" t="str">
        <f>"21-2141"</f>
        <v>21-2141</v>
      </c>
      <c r="H3454" t="str">
        <f>"A"</f>
        <v>A</v>
      </c>
    </row>
    <row r="3455" spans="1:8" x14ac:dyDescent="0.2">
      <c r="A3455" t="str">
        <f t="shared" si="1262"/>
        <v>0614129713</v>
      </c>
      <c r="B3455" t="str">
        <f t="shared" si="1263"/>
        <v>CHRISTOPHER</v>
      </c>
      <c r="C3455" t="str">
        <f t="shared" si="1264"/>
        <v>COLLAZO</v>
      </c>
      <c r="D3455">
        <f>11</f>
        <v>11</v>
      </c>
      <c r="E3455" t="str">
        <f>"02 - A - 101 - Milca  Exantus"</f>
        <v>02 - A - 101 - Milca  Exantus</v>
      </c>
      <c r="F3455" t="str">
        <f>"NC STUDY HALL 1"</f>
        <v>NC STUDY HALL 1</v>
      </c>
      <c r="G3455" t="str">
        <f>"21-2145"</f>
        <v>21-2145</v>
      </c>
      <c r="H3455" t="str">
        <f>"A"</f>
        <v>A</v>
      </c>
    </row>
    <row r="3456" spans="1:8" x14ac:dyDescent="0.2">
      <c r="A3456" t="str">
        <f t="shared" si="1262"/>
        <v>0614129713</v>
      </c>
      <c r="B3456" t="str">
        <f t="shared" si="1263"/>
        <v>CHRISTOPHER</v>
      </c>
      <c r="C3456" t="str">
        <f t="shared" si="1264"/>
        <v>COLLAZO</v>
      </c>
      <c r="D3456">
        <f>11</f>
        <v>11</v>
      </c>
      <c r="E3456" t="str">
        <f>"07 - B - 103 - Lisa J London"</f>
        <v>07 - B - 103 - Lisa J London</v>
      </c>
      <c r="F3456" t="str">
        <f>"AP CAPSTONE SEMINAR"</f>
        <v>AP CAPSTONE SEMINAR</v>
      </c>
      <c r="G3456" t="str">
        <f>"17-1714"</f>
        <v>17-1714</v>
      </c>
      <c r="H3456" t="str">
        <f>"B"</f>
        <v>B</v>
      </c>
    </row>
    <row r="3457" spans="1:8" x14ac:dyDescent="0.2">
      <c r="A3457" t="str">
        <f t="shared" si="1262"/>
        <v>0614129713</v>
      </c>
      <c r="B3457" t="str">
        <f t="shared" si="1263"/>
        <v>CHRISTOPHER</v>
      </c>
      <c r="C3457" t="str">
        <f t="shared" si="1264"/>
        <v>COLLAZO</v>
      </c>
      <c r="D3457">
        <f>11</f>
        <v>11</v>
      </c>
      <c r="E3457" t="str">
        <f>"05 - B - 102 - Daniel S Katz"</f>
        <v>05 - B - 102 - Daniel S Katz</v>
      </c>
      <c r="F3457" t="str">
        <f>"EXEC INTERN 4 LH"</f>
        <v>EXEC INTERN 4 LH</v>
      </c>
      <c r="G3457" t="str">
        <f>"21-2156"</f>
        <v>21-2156</v>
      </c>
      <c r="H3457" t="str">
        <f>"B"</f>
        <v>B</v>
      </c>
    </row>
    <row r="3458" spans="1:8" x14ac:dyDescent="0.2">
      <c r="A3458" t="str">
        <f t="shared" si="1262"/>
        <v>0614129713</v>
      </c>
      <c r="B3458" t="str">
        <f t="shared" si="1263"/>
        <v>CHRISTOPHER</v>
      </c>
      <c r="C3458" t="str">
        <f t="shared" si="1264"/>
        <v>COLLAZO</v>
      </c>
      <c r="D3458">
        <f>11</f>
        <v>11</v>
      </c>
      <c r="E3458" t="str">
        <f>"01 - A - 101 - Brandy N Zdenek"</f>
        <v>01 - A - 101 - Brandy N Zdenek</v>
      </c>
      <c r="F3458" t="str">
        <f>"AICE ENG LANG 2 AL"</f>
        <v>AICE ENG LANG 2 AL</v>
      </c>
      <c r="G3458" t="str">
        <f>"17-1704"</f>
        <v>17-1704</v>
      </c>
      <c r="H3458" t="str">
        <f>"A"</f>
        <v>A</v>
      </c>
    </row>
    <row r="3459" spans="1:8" x14ac:dyDescent="0.2">
      <c r="A3459" t="str">
        <f t="shared" si="1262"/>
        <v>0614129713</v>
      </c>
      <c r="B3459" t="str">
        <f t="shared" si="1263"/>
        <v>CHRISTOPHER</v>
      </c>
      <c r="C3459" t="str">
        <f t="shared" si="1264"/>
        <v>COLLAZO</v>
      </c>
      <c r="D3459">
        <f>11</f>
        <v>11</v>
      </c>
      <c r="E3459" t="str">
        <f>"08 - B - 206 - Daniel S Katz"</f>
        <v>08 - B - 206 - Daniel S Katz</v>
      </c>
      <c r="F3459" t="str">
        <f>"AICE MEDIASTUDIES AS"</f>
        <v>AICE MEDIASTUDIES AS</v>
      </c>
      <c r="G3459" t="str">
        <f>"05-521"</f>
        <v>05-521</v>
      </c>
      <c r="H3459" t="str">
        <f>"B"</f>
        <v>B</v>
      </c>
    </row>
    <row r="3460" spans="1:8" x14ac:dyDescent="0.2">
      <c r="A3460" t="str">
        <f t="shared" ref="A3460:A3467" si="1265">"0617007330"</f>
        <v>0617007330</v>
      </c>
      <c r="B3460" t="str">
        <f t="shared" ref="B3460:B3467" si="1266">"JOHN"</f>
        <v>JOHN</v>
      </c>
      <c r="C3460" t="str">
        <f t="shared" ref="C3460:C3467" si="1267">"COLLIER"</f>
        <v>COLLIER</v>
      </c>
      <c r="D3460" t="str">
        <f t="shared" ref="D3460:D3467" si="1268">"09"</f>
        <v>09</v>
      </c>
      <c r="E3460" t="str">
        <f>"04 - A - 102 - Tina L Lovett"</f>
        <v>04 - A - 102 - Tina L Lovett</v>
      </c>
      <c r="F3460" t="str">
        <f>"ALGEBRA 1"</f>
        <v>ALGEBRA 1</v>
      </c>
      <c r="G3460" t="str">
        <f>"21-2153"</f>
        <v>21-2153</v>
      </c>
      <c r="H3460" t="str">
        <f>"A"</f>
        <v>A</v>
      </c>
    </row>
    <row r="3461" spans="1:8" x14ac:dyDescent="0.2">
      <c r="A3461" t="str">
        <f t="shared" si="1265"/>
        <v>0617007330</v>
      </c>
      <c r="B3461" t="str">
        <f t="shared" si="1266"/>
        <v>JOHN</v>
      </c>
      <c r="C3461" t="str">
        <f t="shared" si="1267"/>
        <v>COLLIER</v>
      </c>
      <c r="D3461" t="str">
        <f t="shared" si="1268"/>
        <v>09</v>
      </c>
      <c r="E3461" t="str">
        <f>"06 - B - 106 - Marius D Orsolini"</f>
        <v>06 - B - 106 - Marius D Orsolini</v>
      </c>
      <c r="F3461" t="str">
        <f>"CULINARY ARTS 1"</f>
        <v>CULINARY ARTS 1</v>
      </c>
      <c r="G3461" t="str">
        <f>"21-2115"</f>
        <v>21-2115</v>
      </c>
      <c r="H3461" t="str">
        <f>"B"</f>
        <v>B</v>
      </c>
    </row>
    <row r="3462" spans="1:8" x14ac:dyDescent="0.2">
      <c r="A3462" t="str">
        <f t="shared" si="1265"/>
        <v>0617007330</v>
      </c>
      <c r="B3462" t="str">
        <f t="shared" si="1266"/>
        <v>JOHN</v>
      </c>
      <c r="C3462" t="str">
        <f t="shared" si="1267"/>
        <v>COLLIER</v>
      </c>
      <c r="D3462" t="str">
        <f t="shared" si="1268"/>
        <v>09</v>
      </c>
      <c r="E3462" t="str">
        <f>"03 - S1 - A - 103 - Richard E Dunbar Iii"</f>
        <v>03 - S1 - A - 103 - Richard E Dunbar Iii</v>
      </c>
      <c r="F3462" t="str">
        <f>"WEIGHT TRAIN 1"</f>
        <v>WEIGHT TRAIN 1</v>
      </c>
      <c r="G3462" t="str">
        <f>"05-501"</f>
        <v>05-501</v>
      </c>
      <c r="H3462" t="str">
        <f>"A"</f>
        <v>A</v>
      </c>
    </row>
    <row r="3463" spans="1:8" x14ac:dyDescent="0.2">
      <c r="A3463" t="str">
        <f t="shared" si="1265"/>
        <v>0617007330</v>
      </c>
      <c r="B3463" t="str">
        <f t="shared" si="1266"/>
        <v>JOHN</v>
      </c>
      <c r="C3463" t="str">
        <f t="shared" si="1267"/>
        <v>COLLIER</v>
      </c>
      <c r="D3463" t="str">
        <f t="shared" si="1268"/>
        <v>09</v>
      </c>
      <c r="E3463" t="str">
        <f>"02 - A - 101 - Milca  Exantus"</f>
        <v>02 - A - 101 - Milca  Exantus</v>
      </c>
      <c r="F3463" t="str">
        <f>"NC STUDY HALL 1"</f>
        <v>NC STUDY HALL 1</v>
      </c>
      <c r="G3463" t="str">
        <f>"21-2145"</f>
        <v>21-2145</v>
      </c>
      <c r="H3463" t="str">
        <f>"A"</f>
        <v>A</v>
      </c>
    </row>
    <row r="3464" spans="1:8" x14ac:dyDescent="0.2">
      <c r="A3464" t="str">
        <f t="shared" si="1265"/>
        <v>0617007330</v>
      </c>
      <c r="B3464" t="str">
        <f t="shared" si="1266"/>
        <v>JOHN</v>
      </c>
      <c r="C3464" t="str">
        <f t="shared" si="1267"/>
        <v>COLLIER</v>
      </c>
      <c r="D3464" t="str">
        <f t="shared" si="1268"/>
        <v>09</v>
      </c>
      <c r="E3464" t="str">
        <f>"07 - B - 001 - Carol S Moore"</f>
        <v>07 - B - 001 - Carol S Moore</v>
      </c>
      <c r="F3464" t="str">
        <f>"PRE-AICE WRLD HST IG"</f>
        <v>PRE-AICE WRLD HST IG</v>
      </c>
      <c r="G3464" t="str">
        <f>"17-1733"</f>
        <v>17-1733</v>
      </c>
      <c r="H3464" t="str">
        <f>"B"</f>
        <v>B</v>
      </c>
    </row>
    <row r="3465" spans="1:8" x14ac:dyDescent="0.2">
      <c r="A3465" t="str">
        <f t="shared" si="1265"/>
        <v>0617007330</v>
      </c>
      <c r="B3465" t="str">
        <f t="shared" si="1266"/>
        <v>JOHN</v>
      </c>
      <c r="C3465" t="str">
        <f t="shared" si="1267"/>
        <v>COLLIER</v>
      </c>
      <c r="D3465" t="str">
        <f t="shared" si="1268"/>
        <v>09</v>
      </c>
      <c r="E3465" t="str">
        <f>"05 - B - 103 - Josiah I Lacy"</f>
        <v>05 - B - 103 - Josiah I Lacy</v>
      </c>
      <c r="F3465" t="str">
        <f>"PRE-AICE BIO IG"</f>
        <v>PRE-AICE BIO IG</v>
      </c>
      <c r="G3465" t="str">
        <f>"08-801"</f>
        <v>08-801</v>
      </c>
      <c r="H3465" t="str">
        <f>"B"</f>
        <v>B</v>
      </c>
    </row>
    <row r="3466" spans="1:8" x14ac:dyDescent="0.2">
      <c r="A3466" t="str">
        <f t="shared" si="1265"/>
        <v>0617007330</v>
      </c>
      <c r="B3466" t="str">
        <f t="shared" si="1266"/>
        <v>JOHN</v>
      </c>
      <c r="C3466" t="str">
        <f t="shared" si="1267"/>
        <v>COLLIER</v>
      </c>
      <c r="D3466" t="str">
        <f t="shared" si="1268"/>
        <v>09</v>
      </c>
      <c r="E3466" t="str">
        <f>"01 - A - 101 - Cheryl Anne  Berman-Schechter"</f>
        <v>01 - A - 101 - Cheryl Anne  Berman-Schechter</v>
      </c>
      <c r="F3466" t="str">
        <f>"PRE-AICE ENG LANG IG"</f>
        <v>PRE-AICE ENG LANG IG</v>
      </c>
      <c r="G3466" t="str">
        <f>"17-1722"</f>
        <v>17-1722</v>
      </c>
      <c r="H3466" t="str">
        <f>"A"</f>
        <v>A</v>
      </c>
    </row>
    <row r="3467" spans="1:8" x14ac:dyDescent="0.2">
      <c r="A3467" t="str">
        <f t="shared" si="1265"/>
        <v>0617007330</v>
      </c>
      <c r="B3467" t="str">
        <f t="shared" si="1266"/>
        <v>JOHN</v>
      </c>
      <c r="C3467" t="str">
        <f t="shared" si="1267"/>
        <v>COLLIER</v>
      </c>
      <c r="D3467" t="str">
        <f t="shared" si="1268"/>
        <v>09</v>
      </c>
      <c r="E3467" t="str">
        <f>"08 - B - 108 - Tina L Lovett"</f>
        <v>08 - B - 108 - Tina L Lovett</v>
      </c>
      <c r="F3467" t="str">
        <f>"FDN SKLS MATH 9-12"</f>
        <v>FDN SKLS MATH 9-12</v>
      </c>
      <c r="G3467" t="str">
        <f>"21-2153"</f>
        <v>21-2153</v>
      </c>
      <c r="H3467" t="str">
        <f>"B"</f>
        <v>B</v>
      </c>
    </row>
    <row r="3468" spans="1:8" x14ac:dyDescent="0.2">
      <c r="A3468" t="str">
        <f t="shared" ref="A3468:A3475" si="1269">"0616069950"</f>
        <v>0616069950</v>
      </c>
      <c r="B3468" t="str">
        <f t="shared" ref="B3468:B3475" si="1270">"DEAN"</f>
        <v>DEAN</v>
      </c>
      <c r="C3468" t="str">
        <f t="shared" ref="C3468:C3500" si="1271">"COLLINS"</f>
        <v>COLLINS</v>
      </c>
      <c r="D3468">
        <f>10</f>
        <v>10</v>
      </c>
      <c r="E3468" t="str">
        <f>"04 - A - 105 - Jacquelyn M Neeson"</f>
        <v>04 - A - 105 - Jacquelyn M Neeson</v>
      </c>
      <c r="F3468" t="str">
        <f>"ENG 2"</f>
        <v>ENG 2</v>
      </c>
      <c r="G3468" t="str">
        <f>"17-1715"</f>
        <v>17-1715</v>
      </c>
      <c r="H3468" t="str">
        <f>"A"</f>
        <v>A</v>
      </c>
    </row>
    <row r="3469" spans="1:8" x14ac:dyDescent="0.2">
      <c r="A3469" t="str">
        <f t="shared" si="1269"/>
        <v>0616069950</v>
      </c>
      <c r="B3469" t="str">
        <f t="shared" si="1270"/>
        <v>DEAN</v>
      </c>
      <c r="C3469" t="str">
        <f t="shared" si="1271"/>
        <v>COLLINS</v>
      </c>
      <c r="D3469">
        <f>10</f>
        <v>10</v>
      </c>
      <c r="E3469" t="str">
        <f>"06 - B - 104 - Robert H Rindner"</f>
        <v>06 - B - 104 - Robert H Rindner</v>
      </c>
      <c r="F3469" t="str">
        <f>"NC STUDY HALL 1"</f>
        <v>NC STUDY HALL 1</v>
      </c>
      <c r="G3469" t="str">
        <f>"21-2160"</f>
        <v>21-2160</v>
      </c>
      <c r="H3469" t="str">
        <f>"B"</f>
        <v>B</v>
      </c>
    </row>
    <row r="3470" spans="1:8" x14ac:dyDescent="0.2">
      <c r="A3470" t="str">
        <f t="shared" si="1269"/>
        <v>0616069950</v>
      </c>
      <c r="B3470" t="str">
        <f t="shared" si="1270"/>
        <v>DEAN</v>
      </c>
      <c r="C3470" t="str">
        <f t="shared" si="1271"/>
        <v>COLLINS</v>
      </c>
      <c r="D3470">
        <f>10</f>
        <v>10</v>
      </c>
      <c r="E3470" t="str">
        <f>"03 - A - 201 - Chrystina M Marchionne"</f>
        <v>03 - A - 201 - Chrystina M Marchionne</v>
      </c>
      <c r="F3470" t="str">
        <f>"JOURN 1 (YB) LH"</f>
        <v>JOURN 1 (YB) LH</v>
      </c>
      <c r="G3470" t="str">
        <f>"05-520"</f>
        <v>05-520</v>
      </c>
      <c r="H3470" t="str">
        <f>"A"</f>
        <v>A</v>
      </c>
    </row>
    <row r="3471" spans="1:8" x14ac:dyDescent="0.2">
      <c r="A3471" t="str">
        <f t="shared" si="1269"/>
        <v>0616069950</v>
      </c>
      <c r="B3471" t="str">
        <f t="shared" si="1270"/>
        <v>DEAN</v>
      </c>
      <c r="C3471" t="str">
        <f t="shared" si="1271"/>
        <v>COLLINS</v>
      </c>
      <c r="D3471">
        <f>10</f>
        <v>10</v>
      </c>
      <c r="E3471" t="str">
        <f>"02 - A - 201 - Jordana K Hass"</f>
        <v>02 - A - 201 - Jordana K Hass</v>
      </c>
      <c r="F3471" t="str">
        <f>"CHEMISTRY 1"</f>
        <v>CHEMISTRY 1</v>
      </c>
      <c r="G3471" t="str">
        <f>"08-807"</f>
        <v>08-807</v>
      </c>
      <c r="H3471" t="str">
        <f>"A"</f>
        <v>A</v>
      </c>
    </row>
    <row r="3472" spans="1:8" x14ac:dyDescent="0.2">
      <c r="A3472" t="str">
        <f t="shared" si="1269"/>
        <v>0616069950</v>
      </c>
      <c r="B3472" t="str">
        <f t="shared" si="1270"/>
        <v>DEAN</v>
      </c>
      <c r="C3472" t="str">
        <f t="shared" si="1271"/>
        <v>COLLINS</v>
      </c>
      <c r="D3472">
        <f>10</f>
        <v>10</v>
      </c>
      <c r="E3472" t="str">
        <f>"07 - S1 - B - 102 - Arthur  Kulawik"</f>
        <v>07 - S1 - B - 102 - Arthur  Kulawik</v>
      </c>
      <c r="F3472" t="str">
        <f>"PERS FIN &amp; MON MGT H"</f>
        <v>PERS FIN &amp; MON MGT H</v>
      </c>
      <c r="G3472" t="str">
        <f>"05-506"</f>
        <v>05-506</v>
      </c>
      <c r="H3472" t="str">
        <f>"B"</f>
        <v>B</v>
      </c>
    </row>
    <row r="3473" spans="1:8" x14ac:dyDescent="0.2">
      <c r="A3473" t="str">
        <f t="shared" si="1269"/>
        <v>0616069950</v>
      </c>
      <c r="B3473" t="str">
        <f t="shared" si="1270"/>
        <v>DEAN</v>
      </c>
      <c r="C3473" t="str">
        <f t="shared" si="1271"/>
        <v>COLLINS</v>
      </c>
      <c r="D3473">
        <f>10</f>
        <v>10</v>
      </c>
      <c r="E3473" t="str">
        <f>"05 - B - 102 - Dorothy D Moore"</f>
        <v>05 - B - 102 - Dorothy D Moore</v>
      </c>
      <c r="F3473" t="str">
        <f>"FORC SCI 1 LH"</f>
        <v>FORC SCI 1 LH</v>
      </c>
      <c r="G3473" t="str">
        <f>"08-803"</f>
        <v>08-803</v>
      </c>
      <c r="H3473" t="str">
        <f>"B"</f>
        <v>B</v>
      </c>
    </row>
    <row r="3474" spans="1:8" x14ac:dyDescent="0.2">
      <c r="A3474" t="str">
        <f t="shared" si="1269"/>
        <v>0616069950</v>
      </c>
      <c r="B3474" t="str">
        <f t="shared" si="1270"/>
        <v>DEAN</v>
      </c>
      <c r="C3474" t="str">
        <f t="shared" si="1271"/>
        <v>COLLINS</v>
      </c>
      <c r="D3474">
        <f>10</f>
        <v>10</v>
      </c>
      <c r="E3474" t="str">
        <f>"01 - A - 102 - Brook E Goren"</f>
        <v>01 - A - 102 - Brook E Goren</v>
      </c>
      <c r="F3474" t="str">
        <f>"PRE-AICE MATH 2 IG"</f>
        <v>PRE-AICE MATH 2 IG</v>
      </c>
      <c r="G3474" t="str">
        <f>"21-2158"</f>
        <v>21-2158</v>
      </c>
      <c r="H3474" t="str">
        <f>"A"</f>
        <v>A</v>
      </c>
    </row>
    <row r="3475" spans="1:8" x14ac:dyDescent="0.2">
      <c r="A3475" t="str">
        <f t="shared" si="1269"/>
        <v>0616069950</v>
      </c>
      <c r="B3475" t="str">
        <f t="shared" si="1270"/>
        <v>DEAN</v>
      </c>
      <c r="C3475" t="str">
        <f t="shared" si="1271"/>
        <v>COLLINS</v>
      </c>
      <c r="D3475">
        <f>10</f>
        <v>10</v>
      </c>
      <c r="E3475" t="str">
        <f>"08 - B - 102 - Robert H Rindner"</f>
        <v>08 - B - 102 - Robert H Rindner</v>
      </c>
      <c r="F3475" t="str">
        <f>"TV PRODUCTION TECH 1"</f>
        <v>TV PRODUCTION TECH 1</v>
      </c>
      <c r="G3475" t="str">
        <f>"21-2160"</f>
        <v>21-2160</v>
      </c>
      <c r="H3475" t="str">
        <f>"B"</f>
        <v>B</v>
      </c>
    </row>
    <row r="3476" spans="1:8" x14ac:dyDescent="0.2">
      <c r="A3476" t="str">
        <f t="shared" ref="A3476:A3483" si="1272">"0614131762"</f>
        <v>0614131762</v>
      </c>
      <c r="B3476" t="str">
        <f t="shared" ref="B3476:B3483" si="1273">"SAPHIRA"</f>
        <v>SAPHIRA</v>
      </c>
      <c r="C3476" t="str">
        <f t="shared" si="1271"/>
        <v>COLLINS</v>
      </c>
      <c r="D3476">
        <f>11</f>
        <v>11</v>
      </c>
      <c r="E3476" t="str">
        <f>"04 - A - 201 - Scott A Dethloff"</f>
        <v>04 - A - 201 - Scott A Dethloff</v>
      </c>
      <c r="F3476" t="str">
        <f>"AICE THINK SKLS 1 AS"</f>
        <v>AICE THINK SKLS 1 AS</v>
      </c>
      <c r="G3476" t="str">
        <f>"08-812"</f>
        <v>08-812</v>
      </c>
      <c r="H3476" t="str">
        <f>"A"</f>
        <v>A</v>
      </c>
    </row>
    <row r="3477" spans="1:8" x14ac:dyDescent="0.2">
      <c r="A3477" t="str">
        <f t="shared" si="1272"/>
        <v>0614131762</v>
      </c>
      <c r="B3477" t="str">
        <f t="shared" si="1273"/>
        <v>SAPHIRA</v>
      </c>
      <c r="C3477" t="str">
        <f t="shared" si="1271"/>
        <v>COLLINS</v>
      </c>
      <c r="D3477">
        <f>11</f>
        <v>11</v>
      </c>
      <c r="E3477" t="str">
        <f>"06 - S1 - B - 102 - Daniel S Katz"</f>
        <v>06 - S1 - B - 102 - Daniel S Katz</v>
      </c>
      <c r="F3477" t="str">
        <f>"COURT PROCED"</f>
        <v>COURT PROCED</v>
      </c>
      <c r="G3477" t="str">
        <f>"21-2156"</f>
        <v>21-2156</v>
      </c>
      <c r="H3477" t="str">
        <f>"B"</f>
        <v>B</v>
      </c>
    </row>
    <row r="3478" spans="1:8" x14ac:dyDescent="0.2">
      <c r="A3478" t="str">
        <f t="shared" si="1272"/>
        <v>0614131762</v>
      </c>
      <c r="B3478" t="str">
        <f t="shared" si="1273"/>
        <v>SAPHIRA</v>
      </c>
      <c r="C3478" t="str">
        <f t="shared" si="1271"/>
        <v>COLLINS</v>
      </c>
      <c r="D3478">
        <f>11</f>
        <v>11</v>
      </c>
      <c r="E3478" t="str">
        <f>"03 - A - 102 - Semra  Bahadir"</f>
        <v>03 - A - 102 - Semra  Bahadir</v>
      </c>
      <c r="F3478" t="str">
        <f>"ALGEBRA 2"</f>
        <v>ALGEBRA 2</v>
      </c>
      <c r="G3478" t="str">
        <f>"21-2107"</f>
        <v>21-2107</v>
      </c>
      <c r="H3478" t="str">
        <f>"A"</f>
        <v>A</v>
      </c>
    </row>
    <row r="3479" spans="1:8" x14ac:dyDescent="0.2">
      <c r="A3479" t="str">
        <f t="shared" si="1272"/>
        <v>0614131762</v>
      </c>
      <c r="B3479" t="str">
        <f t="shared" si="1273"/>
        <v>SAPHIRA</v>
      </c>
      <c r="C3479" t="str">
        <f t="shared" si="1271"/>
        <v>COLLINS</v>
      </c>
      <c r="D3479">
        <f>11</f>
        <v>11</v>
      </c>
      <c r="E3479" t="str">
        <f>"02 - A - 103 - Kelly N Panza"</f>
        <v>02 - A - 103 - Kelly N Panza</v>
      </c>
      <c r="F3479" t="str">
        <f>"NC STUDY HALL 1"</f>
        <v>NC STUDY HALL 1</v>
      </c>
      <c r="G3479" t="str">
        <f>"17-1753"</f>
        <v>17-1753</v>
      </c>
      <c r="H3479" t="str">
        <f>"A"</f>
        <v>A</v>
      </c>
    </row>
    <row r="3480" spans="1:8" x14ac:dyDescent="0.2">
      <c r="A3480" t="str">
        <f t="shared" si="1272"/>
        <v>0614131762</v>
      </c>
      <c r="B3480" t="str">
        <f t="shared" si="1273"/>
        <v>SAPHIRA</v>
      </c>
      <c r="C3480" t="str">
        <f t="shared" si="1271"/>
        <v>COLLINS</v>
      </c>
      <c r="D3480">
        <f>11</f>
        <v>11</v>
      </c>
      <c r="E3480" t="str">
        <f>"07 - B - 206 - Cheryl L Beach"</f>
        <v>07 - B - 206 - Cheryl L Beach</v>
      </c>
      <c r="F3480" t="str">
        <f>"AICE ENV MGMNT AS"</f>
        <v>AICE ENV MGMNT AS</v>
      </c>
      <c r="G3480" t="str">
        <f>"08-811"</f>
        <v>08-811</v>
      </c>
      <c r="H3480" t="str">
        <f>"B"</f>
        <v>B</v>
      </c>
    </row>
    <row r="3481" spans="1:8" x14ac:dyDescent="0.2">
      <c r="A3481" t="str">
        <f t="shared" si="1272"/>
        <v>0614131762</v>
      </c>
      <c r="B3481" t="str">
        <f t="shared" si="1273"/>
        <v>SAPHIRA</v>
      </c>
      <c r="C3481" t="str">
        <f t="shared" si="1271"/>
        <v>COLLINS</v>
      </c>
      <c r="D3481">
        <f>11</f>
        <v>11</v>
      </c>
      <c r="E3481" t="str">
        <f>"05 - B - 102 - Jerry S Jiampetti"</f>
        <v>05 - B - 102 - Jerry S Jiampetti</v>
      </c>
      <c r="F3481" t="str">
        <f>"AICE U.S. HIST 1 AS"</f>
        <v>AICE U.S. HIST 1 AS</v>
      </c>
      <c r="G3481" t="str">
        <f>"17-1751"</f>
        <v>17-1751</v>
      </c>
      <c r="H3481" t="str">
        <f>"B"</f>
        <v>B</v>
      </c>
    </row>
    <row r="3482" spans="1:8" x14ac:dyDescent="0.2">
      <c r="A3482" t="str">
        <f t="shared" si="1272"/>
        <v>0614131762</v>
      </c>
      <c r="B3482" t="str">
        <f t="shared" si="1273"/>
        <v>SAPHIRA</v>
      </c>
      <c r="C3482" t="str">
        <f t="shared" si="1271"/>
        <v>COLLINS</v>
      </c>
      <c r="D3482">
        <f>11</f>
        <v>11</v>
      </c>
      <c r="E3482" t="str">
        <f>"01 - A - 101 - Jacklyn M James"</f>
        <v>01 - A - 101 - Jacklyn M James</v>
      </c>
      <c r="F3482" t="str">
        <f>"AICE ENG LANG AS"</f>
        <v>AICE ENG LANG AS</v>
      </c>
      <c r="G3482" t="str">
        <f>"17-1731"</f>
        <v>17-1731</v>
      </c>
      <c r="H3482" t="str">
        <f>"A"</f>
        <v>A</v>
      </c>
    </row>
    <row r="3483" spans="1:8" x14ac:dyDescent="0.2">
      <c r="A3483" t="str">
        <f t="shared" si="1272"/>
        <v>0614131762</v>
      </c>
      <c r="B3483" t="str">
        <f t="shared" si="1273"/>
        <v>SAPHIRA</v>
      </c>
      <c r="C3483" t="str">
        <f t="shared" si="1271"/>
        <v>COLLINS</v>
      </c>
      <c r="D3483">
        <f>11</f>
        <v>11</v>
      </c>
      <c r="E3483" t="str">
        <f>"08 - B - 101 - Samantha L Martinez"</f>
        <v>08 - B - 101 - Samantha L Martinez</v>
      </c>
      <c r="F3483" t="str">
        <f>"VOCAL ENS 3"</f>
        <v>VOCAL ENS 3</v>
      </c>
      <c r="G3483" t="str">
        <f>"05-505"</f>
        <v>05-505</v>
      </c>
      <c r="H3483" t="str">
        <f>"B"</f>
        <v>B</v>
      </c>
    </row>
    <row r="3484" spans="1:8" x14ac:dyDescent="0.2">
      <c r="A3484" t="str">
        <f t="shared" ref="A3484:A3492" si="1274">"0616126083"</f>
        <v>0616126083</v>
      </c>
      <c r="B3484" t="str">
        <f t="shared" ref="B3484:B3492" si="1275">"SKYE"</f>
        <v>SKYE</v>
      </c>
      <c r="C3484" t="str">
        <f t="shared" si="1271"/>
        <v>COLLINS</v>
      </c>
      <c r="D3484" t="str">
        <f t="shared" ref="D3484:D3492" si="1276">"09"</f>
        <v>09</v>
      </c>
      <c r="E3484" t="str">
        <f>"04 - A - 004 - Krystal Marie  Beruty"</f>
        <v>04 - A - 004 - Krystal Marie  Beruty</v>
      </c>
      <c r="F3484" t="str">
        <f>"AICE GLBL PERSP 1 AS"</f>
        <v>AICE GLBL PERSP 1 AS</v>
      </c>
      <c r="G3484" t="str">
        <f>"17-1721"</f>
        <v>17-1721</v>
      </c>
      <c r="H3484" t="str">
        <f>"A"</f>
        <v>A</v>
      </c>
    </row>
    <row r="3485" spans="1:8" x14ac:dyDescent="0.2">
      <c r="A3485" t="str">
        <f t="shared" si="1274"/>
        <v>0616126083</v>
      </c>
      <c r="B3485" t="str">
        <f t="shared" si="1275"/>
        <v>SKYE</v>
      </c>
      <c r="C3485" t="str">
        <f t="shared" si="1271"/>
        <v>COLLINS</v>
      </c>
      <c r="D3485" t="str">
        <f t="shared" si="1276"/>
        <v>09</v>
      </c>
      <c r="E3485" t="str">
        <f>"06 - B - 101 - Fernando  Vega-Cid"</f>
        <v>06 - B - 101 - Fernando  Vega-Cid</v>
      </c>
      <c r="F3485" t="str">
        <f>"PRE-AICE MATH 2 IG"</f>
        <v>PRE-AICE MATH 2 IG</v>
      </c>
      <c r="G3485" t="str">
        <f>"21-2163"</f>
        <v>21-2163</v>
      </c>
      <c r="H3485" t="str">
        <f>"B"</f>
        <v>B</v>
      </c>
    </row>
    <row r="3486" spans="1:8" x14ac:dyDescent="0.2">
      <c r="A3486" t="str">
        <f t="shared" si="1274"/>
        <v>0616126083</v>
      </c>
      <c r="B3486" t="str">
        <f t="shared" si="1275"/>
        <v>SKYE</v>
      </c>
      <c r="C3486" t="str">
        <f t="shared" si="1271"/>
        <v>COLLINS</v>
      </c>
      <c r="D3486" t="str">
        <f t="shared" si="1276"/>
        <v>09</v>
      </c>
      <c r="E3486" t="str">
        <f>"03 - S1 - A - 101 - Arthur  Kulawik"</f>
        <v>03 - S1 - A - 101 - Arthur  Kulawik</v>
      </c>
      <c r="F3486" t="str">
        <f>"PERS FIN &amp; MON MGT H"</f>
        <v>PERS FIN &amp; MON MGT H</v>
      </c>
      <c r="G3486" t="str">
        <f>"05-506"</f>
        <v>05-506</v>
      </c>
      <c r="H3486" t="str">
        <f>"A"</f>
        <v>A</v>
      </c>
    </row>
    <row r="3487" spans="1:8" x14ac:dyDescent="0.2">
      <c r="A3487" t="str">
        <f t="shared" si="1274"/>
        <v>0616126083</v>
      </c>
      <c r="B3487" t="str">
        <f t="shared" si="1275"/>
        <v>SKYE</v>
      </c>
      <c r="C3487" t="str">
        <f t="shared" si="1271"/>
        <v>COLLINS</v>
      </c>
      <c r="D3487" t="str">
        <f t="shared" si="1276"/>
        <v>09</v>
      </c>
      <c r="E3487" t="str">
        <f>"02 - A - 116 - Tina L Lovett"</f>
        <v>02 - A - 116 - Tina L Lovett</v>
      </c>
      <c r="F3487" t="str">
        <f>"NC STUDY HALL 1"</f>
        <v>NC STUDY HALL 1</v>
      </c>
      <c r="G3487" t="str">
        <f>"21-2153"</f>
        <v>21-2153</v>
      </c>
      <c r="H3487" t="str">
        <f>"A"</f>
        <v>A</v>
      </c>
    </row>
    <row r="3488" spans="1:8" x14ac:dyDescent="0.2">
      <c r="A3488" t="str">
        <f t="shared" si="1274"/>
        <v>0616126083</v>
      </c>
      <c r="B3488" t="str">
        <f t="shared" si="1275"/>
        <v>SKYE</v>
      </c>
      <c r="C3488" t="str">
        <f t="shared" si="1271"/>
        <v>COLLINS</v>
      </c>
      <c r="D3488" t="str">
        <f t="shared" si="1276"/>
        <v>09</v>
      </c>
      <c r="E3488" t="str">
        <f>"02 - A - 102 - Eric  Lopapa"</f>
        <v>02 - A - 102 - Eric  Lopapa</v>
      </c>
      <c r="F3488" t="str">
        <f>"SPEECH THRPY"</f>
        <v>SPEECH THRPY</v>
      </c>
      <c r="G3488" t="str">
        <f>"21-2110"</f>
        <v>21-2110</v>
      </c>
      <c r="H3488" t="str">
        <f>"A"</f>
        <v>A</v>
      </c>
    </row>
    <row r="3489" spans="1:8" x14ac:dyDescent="0.2">
      <c r="A3489" t="str">
        <f t="shared" si="1274"/>
        <v>0616126083</v>
      </c>
      <c r="B3489" t="str">
        <f t="shared" si="1275"/>
        <v>SKYE</v>
      </c>
      <c r="C3489" t="str">
        <f t="shared" si="1271"/>
        <v>COLLINS</v>
      </c>
      <c r="D3489" t="str">
        <f t="shared" si="1276"/>
        <v>09</v>
      </c>
      <c r="E3489" t="str">
        <f>"07 - B - 206 - Cheryl L Beach"</f>
        <v>07 - B - 206 - Cheryl L Beach</v>
      </c>
      <c r="F3489" t="str">
        <f>"AICE ENV MGMNT AS"</f>
        <v>AICE ENV MGMNT AS</v>
      </c>
      <c r="G3489" t="str">
        <f>"08-811"</f>
        <v>08-811</v>
      </c>
      <c r="H3489" t="str">
        <f>"B"</f>
        <v>B</v>
      </c>
    </row>
    <row r="3490" spans="1:8" x14ac:dyDescent="0.2">
      <c r="A3490" t="str">
        <f t="shared" si="1274"/>
        <v>0616126083</v>
      </c>
      <c r="B3490" t="str">
        <f t="shared" si="1275"/>
        <v>SKYE</v>
      </c>
      <c r="C3490" t="str">
        <f t="shared" si="1271"/>
        <v>COLLINS</v>
      </c>
      <c r="D3490" t="str">
        <f t="shared" si="1276"/>
        <v>09</v>
      </c>
      <c r="E3490" t="str">
        <f>"05 - B - 204 - Elizabeth R Walker"</f>
        <v>05 - B - 204 - Elizabeth R Walker</v>
      </c>
      <c r="F3490" t="str">
        <f>"AICE ENG GEN PAPER 1"</f>
        <v>AICE ENG GEN PAPER 1</v>
      </c>
      <c r="G3490" t="str">
        <f>"17-1703"</f>
        <v>17-1703</v>
      </c>
      <c r="H3490" t="str">
        <f>"B"</f>
        <v>B</v>
      </c>
    </row>
    <row r="3491" spans="1:8" x14ac:dyDescent="0.2">
      <c r="A3491" t="str">
        <f t="shared" si="1274"/>
        <v>0616126083</v>
      </c>
      <c r="B3491" t="str">
        <f t="shared" si="1275"/>
        <v>SKYE</v>
      </c>
      <c r="C3491" t="str">
        <f t="shared" si="1271"/>
        <v>COLLINS</v>
      </c>
      <c r="D3491" t="str">
        <f t="shared" si="1276"/>
        <v>09</v>
      </c>
      <c r="E3491" t="str">
        <f>"01 - A - 101 - Brian M Fitzgerald"</f>
        <v>01 - A - 101 - Brian M Fitzgerald</v>
      </c>
      <c r="F3491" t="str">
        <f>"CERAM/POT 1"</f>
        <v>CERAM/POT 1</v>
      </c>
      <c r="G3491" t="str">
        <f>"09-908"</f>
        <v>09-908</v>
      </c>
      <c r="H3491" t="str">
        <f>"A"</f>
        <v>A</v>
      </c>
    </row>
    <row r="3492" spans="1:8" x14ac:dyDescent="0.2">
      <c r="A3492" t="str">
        <f t="shared" si="1274"/>
        <v>0616126083</v>
      </c>
      <c r="B3492" t="str">
        <f t="shared" si="1275"/>
        <v>SKYE</v>
      </c>
      <c r="C3492" t="str">
        <f t="shared" si="1271"/>
        <v>COLLINS</v>
      </c>
      <c r="D3492" t="str">
        <f t="shared" si="1276"/>
        <v>09</v>
      </c>
      <c r="E3492" t="str">
        <f>"08 - B - 201 - Vanessa J Liburd"</f>
        <v>08 - B - 201 - Vanessa J Liburd</v>
      </c>
      <c r="F3492" t="str">
        <f>"FRENCH 3 HON"</f>
        <v>FRENCH 3 HON</v>
      </c>
      <c r="G3492" t="str">
        <f>"05-519"</f>
        <v>05-519</v>
      </c>
      <c r="H3492" t="str">
        <f>"B"</f>
        <v>B</v>
      </c>
    </row>
    <row r="3493" spans="1:8" x14ac:dyDescent="0.2">
      <c r="A3493" t="str">
        <f t="shared" ref="A3493:A3500" si="1277">"0613081156"</f>
        <v>0613081156</v>
      </c>
      <c r="B3493" t="str">
        <f t="shared" ref="B3493:B3500" si="1278">"XAVIER"</f>
        <v>XAVIER</v>
      </c>
      <c r="C3493" t="str">
        <f t="shared" si="1271"/>
        <v>COLLINS</v>
      </c>
      <c r="D3493">
        <f>11</f>
        <v>11</v>
      </c>
      <c r="E3493" t="str">
        <f>"04 - A - 101 - Jerry S Jiampetti"</f>
        <v>04 - A - 101 - Jerry S Jiampetti</v>
      </c>
      <c r="F3493" t="str">
        <f>"AICE U.S. HIST 1 AS"</f>
        <v>AICE U.S. HIST 1 AS</v>
      </c>
      <c r="G3493" t="str">
        <f>"17-1751"</f>
        <v>17-1751</v>
      </c>
      <c r="H3493" t="str">
        <f>"A"</f>
        <v>A</v>
      </c>
    </row>
    <row r="3494" spans="1:8" x14ac:dyDescent="0.2">
      <c r="A3494" t="str">
        <f t="shared" si="1277"/>
        <v>0613081156</v>
      </c>
      <c r="B3494" t="str">
        <f t="shared" si="1278"/>
        <v>XAVIER</v>
      </c>
      <c r="C3494" t="str">
        <f t="shared" si="1271"/>
        <v>COLLINS</v>
      </c>
      <c r="D3494">
        <f>11</f>
        <v>11</v>
      </c>
      <c r="E3494" t="str">
        <f>"06 - B - 102 - Angela S Adeshina-Morrison"</f>
        <v>06 - B - 102 - Angela S Adeshina-Morrison</v>
      </c>
      <c r="F3494" t="str">
        <f>"MARKETING ESSENTIALS"</f>
        <v>MARKETING ESSENTIALS</v>
      </c>
      <c r="G3494" t="str">
        <f>"05-518"</f>
        <v>05-518</v>
      </c>
      <c r="H3494" t="str">
        <f>"B"</f>
        <v>B</v>
      </c>
    </row>
    <row r="3495" spans="1:8" x14ac:dyDescent="0.2">
      <c r="A3495" t="str">
        <f t="shared" si="1277"/>
        <v>0613081156</v>
      </c>
      <c r="B3495" t="str">
        <f t="shared" si="1278"/>
        <v>XAVIER</v>
      </c>
      <c r="C3495" t="str">
        <f t="shared" si="1271"/>
        <v>COLLINS</v>
      </c>
      <c r="D3495">
        <f>11</f>
        <v>11</v>
      </c>
      <c r="E3495" t="str">
        <f>"03 - A - 101 - Timothy J Lawrence"</f>
        <v>03 - A - 101 - Timothy J Lawrence</v>
      </c>
      <c r="F3495" t="str">
        <f>"AICE PHYS ED 1 AS"</f>
        <v>AICE PHYS ED 1 AS</v>
      </c>
      <c r="G3495" t="str">
        <f>"05-519"</f>
        <v>05-519</v>
      </c>
      <c r="H3495" t="str">
        <f>"A"</f>
        <v>A</v>
      </c>
    </row>
    <row r="3496" spans="1:8" x14ac:dyDescent="0.2">
      <c r="A3496" t="str">
        <f t="shared" si="1277"/>
        <v>0613081156</v>
      </c>
      <c r="B3496" t="str">
        <f t="shared" si="1278"/>
        <v>XAVIER</v>
      </c>
      <c r="C3496" t="str">
        <f t="shared" si="1271"/>
        <v>COLLINS</v>
      </c>
      <c r="D3496">
        <f>11</f>
        <v>11</v>
      </c>
      <c r="E3496" t="str">
        <f>"02 - A - 102 - Brook E Goren"</f>
        <v>02 - A - 102 - Brook E Goren</v>
      </c>
      <c r="F3496" t="str">
        <f>"NC STUDY HALL 1"</f>
        <v>NC STUDY HALL 1</v>
      </c>
      <c r="G3496" t="str">
        <f>"21-2158"</f>
        <v>21-2158</v>
      </c>
      <c r="H3496" t="str">
        <f>"A"</f>
        <v>A</v>
      </c>
    </row>
    <row r="3497" spans="1:8" x14ac:dyDescent="0.2">
      <c r="A3497" t="str">
        <f t="shared" si="1277"/>
        <v>0613081156</v>
      </c>
      <c r="B3497" t="str">
        <f t="shared" si="1278"/>
        <v>XAVIER</v>
      </c>
      <c r="C3497" t="str">
        <f t="shared" si="1271"/>
        <v>COLLINS</v>
      </c>
      <c r="D3497">
        <f>11</f>
        <v>11</v>
      </c>
      <c r="E3497" t="str">
        <f>"07 - B - 002 - Jordana K Hass"</f>
        <v>07 - B - 002 - Jordana K Hass</v>
      </c>
      <c r="F3497" t="str">
        <f>"CHEMISTRY 1 HON"</f>
        <v>CHEMISTRY 1 HON</v>
      </c>
      <c r="G3497" t="str">
        <f>"08-807"</f>
        <v>08-807</v>
      </c>
      <c r="H3497" t="str">
        <f>"B"</f>
        <v>B</v>
      </c>
    </row>
    <row r="3498" spans="1:8" x14ac:dyDescent="0.2">
      <c r="A3498" t="str">
        <f t="shared" si="1277"/>
        <v>0613081156</v>
      </c>
      <c r="B3498" t="str">
        <f t="shared" si="1278"/>
        <v>XAVIER</v>
      </c>
      <c r="C3498" t="str">
        <f t="shared" si="1271"/>
        <v>COLLINS</v>
      </c>
      <c r="D3498">
        <f>11</f>
        <v>11</v>
      </c>
      <c r="E3498" t="str">
        <f>"05 - B - 102 - Jacklyn M James"</f>
        <v>05 - B - 102 - Jacklyn M James</v>
      </c>
      <c r="F3498" t="str">
        <f>"AICE ENG LANG AS"</f>
        <v>AICE ENG LANG AS</v>
      </c>
      <c r="G3498" t="str">
        <f>"17-1731"</f>
        <v>17-1731</v>
      </c>
      <c r="H3498" t="str">
        <f>"B"</f>
        <v>B</v>
      </c>
    </row>
    <row r="3499" spans="1:8" x14ac:dyDescent="0.2">
      <c r="A3499" t="str">
        <f t="shared" si="1277"/>
        <v>0613081156</v>
      </c>
      <c r="B3499" t="str">
        <f t="shared" si="1278"/>
        <v>XAVIER</v>
      </c>
      <c r="C3499" t="str">
        <f t="shared" si="1271"/>
        <v>COLLINS</v>
      </c>
      <c r="D3499">
        <f>11</f>
        <v>11</v>
      </c>
      <c r="E3499" t="str">
        <f>"01 - A - 201 - Stefanie S Scher"</f>
        <v>01 - A - 201 - Stefanie S Scher</v>
      </c>
      <c r="F3499" t="str">
        <f>"AICE PSYCH 1 AS"</f>
        <v>AICE PSYCH 1 AS</v>
      </c>
      <c r="G3499" t="str">
        <f>"17-1735"</f>
        <v>17-1735</v>
      </c>
      <c r="H3499" t="str">
        <f>"A"</f>
        <v>A</v>
      </c>
    </row>
    <row r="3500" spans="1:8" x14ac:dyDescent="0.2">
      <c r="A3500" t="str">
        <f t="shared" si="1277"/>
        <v>0613081156</v>
      </c>
      <c r="B3500" t="str">
        <f t="shared" si="1278"/>
        <v>XAVIER</v>
      </c>
      <c r="C3500" t="str">
        <f t="shared" si="1271"/>
        <v>COLLINS</v>
      </c>
      <c r="D3500">
        <f>11</f>
        <v>11</v>
      </c>
      <c r="E3500" t="str">
        <f>"08 - B - 105 - Semra  Bahadir"</f>
        <v>08 - B - 105 - Semra  Bahadir</v>
      </c>
      <c r="F3500" t="str">
        <f>"MATH COLL ALGEBRA"</f>
        <v>MATH COLL ALGEBRA</v>
      </c>
      <c r="G3500" t="str">
        <f>"21-2107"</f>
        <v>21-2107</v>
      </c>
      <c r="H3500" t="str">
        <f>"B"</f>
        <v>B</v>
      </c>
    </row>
    <row r="3501" spans="1:8" x14ac:dyDescent="0.2">
      <c r="A3501" t="str">
        <f t="shared" ref="A3501:A3508" si="1279">"0618101341"</f>
        <v>0618101341</v>
      </c>
      <c r="B3501" t="str">
        <f t="shared" ref="B3501:B3508" si="1280">"ANGELIQUE"</f>
        <v>ANGELIQUE</v>
      </c>
      <c r="C3501" t="str">
        <f t="shared" ref="C3501:C3516" si="1281">"COLON"</f>
        <v>COLON</v>
      </c>
      <c r="D3501">
        <f>11</f>
        <v>11</v>
      </c>
      <c r="E3501" t="str">
        <f>"04 - A - 102 - Elizabeth Ellen  Moran"</f>
        <v>04 - A - 102 - Elizabeth Ellen  Moran</v>
      </c>
      <c r="F3501" t="str">
        <f>"US HISTORY"</f>
        <v>US HISTORY</v>
      </c>
      <c r="G3501" t="str">
        <f>"17-1752"</f>
        <v>17-1752</v>
      </c>
      <c r="H3501" t="str">
        <f>"A"</f>
        <v>A</v>
      </c>
    </row>
    <row r="3502" spans="1:8" x14ac:dyDescent="0.2">
      <c r="A3502" t="str">
        <f t="shared" si="1279"/>
        <v>0618101341</v>
      </c>
      <c r="B3502" t="str">
        <f t="shared" si="1280"/>
        <v>ANGELIQUE</v>
      </c>
      <c r="C3502" t="str">
        <f t="shared" si="1281"/>
        <v>COLON</v>
      </c>
      <c r="D3502">
        <f>11</f>
        <v>11</v>
      </c>
      <c r="E3502" t="str">
        <f>"06 - B - 108 - Milca  Exantus"</f>
        <v>06 - B - 108 - Milca  Exantus</v>
      </c>
      <c r="F3502" t="str">
        <f>"MATH COLLEGE LIB ART"</f>
        <v>MATH COLLEGE LIB ART</v>
      </c>
      <c r="G3502" t="str">
        <f>"21-2145"</f>
        <v>21-2145</v>
      </c>
      <c r="H3502" t="str">
        <f>"B"</f>
        <v>B</v>
      </c>
    </row>
    <row r="3503" spans="1:8" x14ac:dyDescent="0.2">
      <c r="A3503" t="str">
        <f t="shared" si="1279"/>
        <v>0618101341</v>
      </c>
      <c r="B3503" t="str">
        <f t="shared" si="1280"/>
        <v>ANGELIQUE</v>
      </c>
      <c r="C3503" t="str">
        <f t="shared" si="1281"/>
        <v>COLON</v>
      </c>
      <c r="D3503">
        <f>11</f>
        <v>11</v>
      </c>
      <c r="E3503" t="str">
        <f>"03 - A - 101 - Alejandro  Navarro"</f>
        <v>03 - A - 101 - Alejandro  Navarro</v>
      </c>
      <c r="F3503" t="str">
        <f>"BAND 3"</f>
        <v>BAND 3</v>
      </c>
      <c r="G3503" t="str">
        <f>"05-504"</f>
        <v>05-504</v>
      </c>
      <c r="H3503" t="str">
        <f>"A"</f>
        <v>A</v>
      </c>
    </row>
    <row r="3504" spans="1:8" x14ac:dyDescent="0.2">
      <c r="A3504" t="str">
        <f t="shared" si="1279"/>
        <v>0618101341</v>
      </c>
      <c r="B3504" t="str">
        <f t="shared" si="1280"/>
        <v>ANGELIQUE</v>
      </c>
      <c r="C3504" t="str">
        <f t="shared" si="1281"/>
        <v>COLON</v>
      </c>
      <c r="D3504">
        <f>11</f>
        <v>11</v>
      </c>
      <c r="E3504" t="str">
        <f>"02 - A - 101 - Timothy J Lawrence"</f>
        <v>02 - A - 101 - Timothy J Lawrence</v>
      </c>
      <c r="F3504" t="str">
        <f>"NC STUDY HALL 1"</f>
        <v>NC STUDY HALL 1</v>
      </c>
      <c r="G3504" t="str">
        <f>"05-522"</f>
        <v>05-522</v>
      </c>
      <c r="H3504" t="str">
        <f>"A"</f>
        <v>A</v>
      </c>
    </row>
    <row r="3505" spans="1:8" x14ac:dyDescent="0.2">
      <c r="A3505" t="str">
        <f t="shared" si="1279"/>
        <v>0618101341</v>
      </c>
      <c r="B3505" t="str">
        <f t="shared" si="1280"/>
        <v>ANGELIQUE</v>
      </c>
      <c r="C3505" t="str">
        <f t="shared" si="1281"/>
        <v>COLON</v>
      </c>
      <c r="D3505">
        <f>11</f>
        <v>11</v>
      </c>
      <c r="E3505" t="str">
        <f>"07 - B - 104 - Marielle A Witting"</f>
        <v>07 - B - 104 - Marielle A Witting</v>
      </c>
      <c r="F3505" t="str">
        <f>"ANAT PHYSIO"</f>
        <v>ANAT PHYSIO</v>
      </c>
      <c r="G3505" t="str">
        <f>"08-805"</f>
        <v>08-805</v>
      </c>
      <c r="H3505" t="str">
        <f>"B"</f>
        <v>B</v>
      </c>
    </row>
    <row r="3506" spans="1:8" x14ac:dyDescent="0.2">
      <c r="A3506" t="str">
        <f t="shared" si="1279"/>
        <v>0618101341</v>
      </c>
      <c r="B3506" t="str">
        <f t="shared" si="1280"/>
        <v>ANGELIQUE</v>
      </c>
      <c r="C3506" t="str">
        <f t="shared" si="1281"/>
        <v>COLON</v>
      </c>
      <c r="D3506">
        <f>11</f>
        <v>11</v>
      </c>
      <c r="E3506" t="str">
        <f>"05 - B - 104 - Lisa  Quinn"</f>
        <v>05 - B - 104 - Lisa  Quinn</v>
      </c>
      <c r="F3506" t="str">
        <f>"ENG 3"</f>
        <v>ENG 3</v>
      </c>
      <c r="G3506" t="str">
        <f>"17-1725"</f>
        <v>17-1725</v>
      </c>
      <c r="H3506" t="str">
        <f>"B"</f>
        <v>B</v>
      </c>
    </row>
    <row r="3507" spans="1:8" x14ac:dyDescent="0.2">
      <c r="A3507" t="str">
        <f t="shared" si="1279"/>
        <v>0618101341</v>
      </c>
      <c r="B3507" t="str">
        <f t="shared" si="1280"/>
        <v>ANGELIQUE</v>
      </c>
      <c r="C3507" t="str">
        <f t="shared" si="1281"/>
        <v>COLON</v>
      </c>
      <c r="D3507">
        <f>11</f>
        <v>11</v>
      </c>
      <c r="E3507" t="str">
        <f>"01 - A - 101 - Eva T Rimmer"</f>
        <v>01 - A - 101 - Eva T Rimmer</v>
      </c>
      <c r="F3507" t="str">
        <f>"CRIMINAL JUST OPS 2"</f>
        <v>CRIMINAL JUST OPS 2</v>
      </c>
      <c r="G3507" t="str">
        <f>"05-523"</f>
        <v>05-523</v>
      </c>
      <c r="H3507" t="str">
        <f>"A"</f>
        <v>A</v>
      </c>
    </row>
    <row r="3508" spans="1:8" x14ac:dyDescent="0.2">
      <c r="A3508" t="str">
        <f t="shared" si="1279"/>
        <v>0618101341</v>
      </c>
      <c r="B3508" t="str">
        <f t="shared" si="1280"/>
        <v>ANGELIQUE</v>
      </c>
      <c r="C3508" t="str">
        <f t="shared" si="1281"/>
        <v>COLON</v>
      </c>
      <c r="D3508">
        <f>11</f>
        <v>11</v>
      </c>
      <c r="E3508" t="str">
        <f>"08 - B - 108 - Adam Marcus  Drucker"</f>
        <v>08 - B - 108 - Adam Marcus  Drucker</v>
      </c>
      <c r="F3508" t="str">
        <f>"HOPE-PE V"</f>
        <v>HOPE-PE V</v>
      </c>
      <c r="G3508" t="str">
        <f>"04-254"</f>
        <v>04-254</v>
      </c>
      <c r="H3508" t="str">
        <f>"B"</f>
        <v>B</v>
      </c>
    </row>
    <row r="3509" spans="1:8" x14ac:dyDescent="0.2">
      <c r="A3509" t="str">
        <f t="shared" ref="A3509:A3516" si="1282">"0620102787"</f>
        <v>0620102787</v>
      </c>
      <c r="B3509" t="str">
        <f t="shared" ref="B3509:B3516" si="1283">"CIARA"</f>
        <v>CIARA</v>
      </c>
      <c r="C3509" t="str">
        <f t="shared" si="1281"/>
        <v>COLON</v>
      </c>
      <c r="D3509" t="str">
        <f t="shared" ref="D3509:D3516" si="1284">"09"</f>
        <v>09</v>
      </c>
      <c r="E3509" t="str">
        <f>"04 - A - 102 - Elizabeth R Walker"</f>
        <v>04 - A - 102 - Elizabeth R Walker</v>
      </c>
      <c r="F3509" t="str">
        <f>"AICE ENG GEN PAPER 1"</f>
        <v>AICE ENG GEN PAPER 1</v>
      </c>
      <c r="G3509" t="str">
        <f>"17-1703"</f>
        <v>17-1703</v>
      </c>
      <c r="H3509" t="str">
        <f>"A"</f>
        <v>A</v>
      </c>
    </row>
    <row r="3510" spans="1:8" x14ac:dyDescent="0.2">
      <c r="A3510" t="str">
        <f t="shared" si="1282"/>
        <v>0620102787</v>
      </c>
      <c r="B3510" t="str">
        <f t="shared" si="1283"/>
        <v>CIARA</v>
      </c>
      <c r="C3510" t="str">
        <f t="shared" si="1281"/>
        <v>COLON</v>
      </c>
      <c r="D3510" t="str">
        <f t="shared" si="1284"/>
        <v>09</v>
      </c>
      <c r="E3510" t="str">
        <f>"06 - B - 106 - Marius D Orsolini"</f>
        <v>06 - B - 106 - Marius D Orsolini</v>
      </c>
      <c r="F3510" t="str">
        <f>"CULINARY ARTS 1"</f>
        <v>CULINARY ARTS 1</v>
      </c>
      <c r="G3510" t="str">
        <f>"21-2115"</f>
        <v>21-2115</v>
      </c>
      <c r="H3510" t="str">
        <f>"B"</f>
        <v>B</v>
      </c>
    </row>
    <row r="3511" spans="1:8" x14ac:dyDescent="0.2">
      <c r="A3511" t="str">
        <f t="shared" si="1282"/>
        <v>0620102787</v>
      </c>
      <c r="B3511" t="str">
        <f t="shared" si="1283"/>
        <v>CIARA</v>
      </c>
      <c r="C3511" t="str">
        <f t="shared" si="1281"/>
        <v>COLON</v>
      </c>
      <c r="D3511" t="str">
        <f t="shared" si="1284"/>
        <v>09</v>
      </c>
      <c r="E3511" t="str">
        <f>"03 - A - 103 - Samantha J Headley"</f>
        <v>03 - A - 103 - Samantha J Headley</v>
      </c>
      <c r="F3511" t="str">
        <f>"MARINE SCI 1 HON"</f>
        <v>MARINE SCI 1 HON</v>
      </c>
      <c r="G3511" t="str">
        <f>"21-2134"</f>
        <v>21-2134</v>
      </c>
      <c r="H3511" t="str">
        <f>"A"</f>
        <v>A</v>
      </c>
    </row>
    <row r="3512" spans="1:8" x14ac:dyDescent="0.2">
      <c r="A3512" t="str">
        <f t="shared" si="1282"/>
        <v>0620102787</v>
      </c>
      <c r="B3512" t="str">
        <f t="shared" si="1283"/>
        <v>CIARA</v>
      </c>
      <c r="C3512" t="str">
        <f t="shared" si="1281"/>
        <v>COLON</v>
      </c>
      <c r="D3512" t="str">
        <f t="shared" si="1284"/>
        <v>09</v>
      </c>
      <c r="E3512" t="str">
        <f>"02 - A - 114 - Laselleda D Shaw"</f>
        <v>02 - A - 114 - Laselleda D Shaw</v>
      </c>
      <c r="F3512" t="str">
        <f>"NC STUDY HALL 1"</f>
        <v>NC STUDY HALL 1</v>
      </c>
      <c r="G3512" t="str">
        <f>"17-1723"</f>
        <v>17-1723</v>
      </c>
      <c r="H3512" t="str">
        <f>"A"</f>
        <v>A</v>
      </c>
    </row>
    <row r="3513" spans="1:8" x14ac:dyDescent="0.2">
      <c r="A3513" t="str">
        <f t="shared" si="1282"/>
        <v>0620102787</v>
      </c>
      <c r="B3513" t="str">
        <f t="shared" si="1283"/>
        <v>CIARA</v>
      </c>
      <c r="C3513" t="str">
        <f t="shared" si="1281"/>
        <v>COLON</v>
      </c>
      <c r="D3513" t="str">
        <f t="shared" si="1284"/>
        <v>09</v>
      </c>
      <c r="E3513" t="str">
        <f>"07 - B - 001 - Carol S Moore"</f>
        <v>07 - B - 001 - Carol S Moore</v>
      </c>
      <c r="F3513" t="str">
        <f>"PRE-AICE WRLD HST IG"</f>
        <v>PRE-AICE WRLD HST IG</v>
      </c>
      <c r="G3513" t="str">
        <f>"17-1733"</f>
        <v>17-1733</v>
      </c>
      <c r="H3513" t="str">
        <f>"B"</f>
        <v>B</v>
      </c>
    </row>
    <row r="3514" spans="1:8" x14ac:dyDescent="0.2">
      <c r="A3514" t="str">
        <f t="shared" si="1282"/>
        <v>0620102787</v>
      </c>
      <c r="B3514" t="str">
        <f t="shared" si="1283"/>
        <v>CIARA</v>
      </c>
      <c r="C3514" t="str">
        <f t="shared" si="1281"/>
        <v>COLON</v>
      </c>
      <c r="D3514" t="str">
        <f t="shared" si="1284"/>
        <v>09</v>
      </c>
      <c r="E3514" t="str">
        <f>"05 - B - 102 - Tina L Lovett"</f>
        <v>05 - B - 102 - Tina L Lovett</v>
      </c>
      <c r="F3514" t="str">
        <f>"PRE-AICE MATH 1 IG"</f>
        <v>PRE-AICE MATH 1 IG</v>
      </c>
      <c r="G3514" t="str">
        <f>"21-2153"</f>
        <v>21-2153</v>
      </c>
      <c r="H3514" t="str">
        <f>"B"</f>
        <v>B</v>
      </c>
    </row>
    <row r="3515" spans="1:8" x14ac:dyDescent="0.2">
      <c r="A3515" t="str">
        <f t="shared" si="1282"/>
        <v>0620102787</v>
      </c>
      <c r="B3515" t="str">
        <f t="shared" si="1283"/>
        <v>CIARA</v>
      </c>
      <c r="C3515" t="str">
        <f t="shared" si="1281"/>
        <v>COLON</v>
      </c>
      <c r="D3515" t="str">
        <f t="shared" si="1284"/>
        <v>09</v>
      </c>
      <c r="E3515" t="str">
        <f>"01 - A - 101 - Nikiel  Nesbeth"</f>
        <v>01 - A - 101 - Nikiel  Nesbeth</v>
      </c>
      <c r="F3515" t="str">
        <f>"CONST LAW HON"</f>
        <v>CONST LAW HON</v>
      </c>
      <c r="G3515" t="str">
        <f>"17-1705"</f>
        <v>17-1705</v>
      </c>
      <c r="H3515" t="str">
        <f>"A"</f>
        <v>A</v>
      </c>
    </row>
    <row r="3516" spans="1:8" x14ac:dyDescent="0.2">
      <c r="A3516" t="str">
        <f t="shared" si="1282"/>
        <v>0620102787</v>
      </c>
      <c r="B3516" t="str">
        <f t="shared" si="1283"/>
        <v>CIARA</v>
      </c>
      <c r="C3516" t="str">
        <f t="shared" si="1281"/>
        <v>COLON</v>
      </c>
      <c r="D3516" t="str">
        <f t="shared" si="1284"/>
        <v>09</v>
      </c>
      <c r="E3516" t="str">
        <f>"08 - B - 001 - Brian M Fitzgerald"</f>
        <v>08 - B - 001 - Brian M Fitzgerald</v>
      </c>
      <c r="F3516" t="str">
        <f>"CERAM/POT 1"</f>
        <v>CERAM/POT 1</v>
      </c>
      <c r="G3516" t="str">
        <f>"09-908"</f>
        <v>09-908</v>
      </c>
      <c r="H3516" t="str">
        <f>"B"</f>
        <v>B</v>
      </c>
    </row>
    <row r="3517" spans="1:8" x14ac:dyDescent="0.2">
      <c r="A3517" t="str">
        <f t="shared" ref="A3517:A3524" si="1285">"0615052011"</f>
        <v>0615052011</v>
      </c>
      <c r="B3517" t="str">
        <f t="shared" ref="B3517:B3524" si="1286">"BROOKE"</f>
        <v>BROOKE</v>
      </c>
      <c r="C3517" t="str">
        <f t="shared" ref="C3517:C3524" si="1287">"COLONGO"</f>
        <v>COLONGO</v>
      </c>
      <c r="D3517">
        <f>11</f>
        <v>11</v>
      </c>
      <c r="E3517" t="str">
        <f>"04 - A - 101 - Stephen T Ripp"</f>
        <v>04 - A - 101 - Stephen T Ripp</v>
      </c>
      <c r="F3517" t="str">
        <f>"AP U.S. HIST"</f>
        <v>AP U.S. HIST</v>
      </c>
      <c r="G3517" t="str">
        <f>"17-1744"</f>
        <v>17-1744</v>
      </c>
      <c r="H3517" t="str">
        <f>"A"</f>
        <v>A</v>
      </c>
    </row>
    <row r="3518" spans="1:8" x14ac:dyDescent="0.2">
      <c r="A3518" t="str">
        <f t="shared" si="1285"/>
        <v>0615052011</v>
      </c>
      <c r="B3518" t="str">
        <f t="shared" si="1286"/>
        <v>BROOKE</v>
      </c>
      <c r="C3518" t="str">
        <f t="shared" si="1287"/>
        <v>COLONGO</v>
      </c>
      <c r="D3518">
        <f>11</f>
        <v>11</v>
      </c>
      <c r="E3518" t="str">
        <f>"06 - B - 103 - Helen A Flores"</f>
        <v>06 - B - 103 - Helen A Flores</v>
      </c>
      <c r="F3518" t="str">
        <f>"ALGEBRA 2"</f>
        <v>ALGEBRA 2</v>
      </c>
      <c r="G3518" t="str">
        <f>"21-2101"</f>
        <v>21-2101</v>
      </c>
      <c r="H3518" t="str">
        <f>"B"</f>
        <v>B</v>
      </c>
    </row>
    <row r="3519" spans="1:8" x14ac:dyDescent="0.2">
      <c r="A3519" t="str">
        <f t="shared" si="1285"/>
        <v>0615052011</v>
      </c>
      <c r="B3519" t="str">
        <f t="shared" si="1286"/>
        <v>BROOKE</v>
      </c>
      <c r="C3519" t="str">
        <f t="shared" si="1287"/>
        <v>COLONGO</v>
      </c>
      <c r="D3519">
        <f>11</f>
        <v>11</v>
      </c>
      <c r="E3519" t="str">
        <f>"03 - A - 101 - Brian M Fitzgerald"</f>
        <v>03 - A - 101 - Brian M Fitzgerald</v>
      </c>
      <c r="F3519" t="str">
        <f>"SCULPT 1"</f>
        <v>SCULPT 1</v>
      </c>
      <c r="G3519" t="str">
        <f>"09-908"</f>
        <v>09-908</v>
      </c>
      <c r="H3519" t="str">
        <f>"A"</f>
        <v>A</v>
      </c>
    </row>
    <row r="3520" spans="1:8" x14ac:dyDescent="0.2">
      <c r="A3520" t="str">
        <f t="shared" si="1285"/>
        <v>0615052011</v>
      </c>
      <c r="B3520" t="str">
        <f t="shared" si="1286"/>
        <v>BROOKE</v>
      </c>
      <c r="C3520" t="str">
        <f t="shared" si="1287"/>
        <v>COLONGO</v>
      </c>
      <c r="D3520">
        <f>11</f>
        <v>11</v>
      </c>
      <c r="E3520" t="str">
        <f>"02 - A - 117 - Kyle  Robbins"</f>
        <v>02 - A - 117 - Kyle  Robbins</v>
      </c>
      <c r="F3520" t="str">
        <f>"NC STUDY HALL 1"</f>
        <v>NC STUDY HALL 1</v>
      </c>
      <c r="G3520" t="str">
        <f>"17-1745"</f>
        <v>17-1745</v>
      </c>
      <c r="H3520" t="str">
        <f>"A"</f>
        <v>A</v>
      </c>
    </row>
    <row r="3521" spans="1:8" x14ac:dyDescent="0.2">
      <c r="A3521" t="str">
        <f t="shared" si="1285"/>
        <v>0615052011</v>
      </c>
      <c r="B3521" t="str">
        <f t="shared" si="1286"/>
        <v>BROOKE</v>
      </c>
      <c r="C3521" t="str">
        <f t="shared" si="1287"/>
        <v>COLONGO</v>
      </c>
      <c r="D3521">
        <f>11</f>
        <v>11</v>
      </c>
      <c r="E3521" t="str">
        <f>"07 - B - 103 - Lisa J London"</f>
        <v>07 - B - 103 - Lisa J London</v>
      </c>
      <c r="F3521" t="str">
        <f>"AP CAPSTONE SEMINAR"</f>
        <v>AP CAPSTONE SEMINAR</v>
      </c>
      <c r="G3521" t="str">
        <f>"17-1714"</f>
        <v>17-1714</v>
      </c>
      <c r="H3521" t="str">
        <f>"B"</f>
        <v>B</v>
      </c>
    </row>
    <row r="3522" spans="1:8" x14ac:dyDescent="0.2">
      <c r="A3522" t="str">
        <f t="shared" si="1285"/>
        <v>0615052011</v>
      </c>
      <c r="B3522" t="str">
        <f t="shared" si="1286"/>
        <v>BROOKE</v>
      </c>
      <c r="C3522" t="str">
        <f t="shared" si="1287"/>
        <v>COLONGO</v>
      </c>
      <c r="D3522">
        <f>11</f>
        <v>11</v>
      </c>
      <c r="E3522" t="str">
        <f>"05 - B - 203 - Chrystina M Marchionne"</f>
        <v>05 - B - 203 - Chrystina M Marchionne</v>
      </c>
      <c r="F3522" t="str">
        <f>"AICE MEDIASTUDIES AS"</f>
        <v>AICE MEDIASTUDIES AS</v>
      </c>
      <c r="G3522" t="str">
        <f>"05-520"</f>
        <v>05-520</v>
      </c>
      <c r="H3522" t="str">
        <f>"B"</f>
        <v>B</v>
      </c>
    </row>
    <row r="3523" spans="1:8" x14ac:dyDescent="0.2">
      <c r="A3523" t="str">
        <f t="shared" si="1285"/>
        <v>0615052011</v>
      </c>
      <c r="B3523" t="str">
        <f t="shared" si="1286"/>
        <v>BROOKE</v>
      </c>
      <c r="C3523" t="str">
        <f t="shared" si="1287"/>
        <v>COLONGO</v>
      </c>
      <c r="D3523">
        <f>11</f>
        <v>11</v>
      </c>
      <c r="E3523" t="str">
        <f>"01 - A - 101 - Marielle A Witting"</f>
        <v>01 - A - 101 - Marielle A Witting</v>
      </c>
      <c r="F3523" t="str">
        <f>"AP BIO"</f>
        <v>AP BIO</v>
      </c>
      <c r="G3523" t="str">
        <f>"08-805"</f>
        <v>08-805</v>
      </c>
      <c r="H3523" t="str">
        <f>"A"</f>
        <v>A</v>
      </c>
    </row>
    <row r="3524" spans="1:8" x14ac:dyDescent="0.2">
      <c r="A3524" t="str">
        <f t="shared" si="1285"/>
        <v>0615052011</v>
      </c>
      <c r="B3524" t="str">
        <f t="shared" si="1286"/>
        <v>BROOKE</v>
      </c>
      <c r="C3524" t="str">
        <f t="shared" si="1287"/>
        <v>COLONGO</v>
      </c>
      <c r="D3524">
        <f>11</f>
        <v>11</v>
      </c>
      <c r="E3524" t="str">
        <f>"08 - B - 105 - Brandy N Zdenek"</f>
        <v>08 - B - 105 - Brandy N Zdenek</v>
      </c>
      <c r="F3524" t="str">
        <f>"AICE ENG LANG 2 AL"</f>
        <v>AICE ENG LANG 2 AL</v>
      </c>
      <c r="G3524" t="str">
        <f>"17-1704"</f>
        <v>17-1704</v>
      </c>
      <c r="H3524" t="str">
        <f>"B"</f>
        <v>B</v>
      </c>
    </row>
    <row r="3525" spans="1:8" x14ac:dyDescent="0.2">
      <c r="A3525" t="str">
        <f t="shared" ref="A3525:A3533" si="1288">"0610100004"</f>
        <v>0610100004</v>
      </c>
      <c r="B3525" t="str">
        <f t="shared" ref="B3525:B3533" si="1289">"GIOVANNI"</f>
        <v>GIOVANNI</v>
      </c>
      <c r="C3525" t="str">
        <f t="shared" ref="C3525:C3533" si="1290">"CONEY"</f>
        <v>CONEY</v>
      </c>
      <c r="D3525">
        <f>12</f>
        <v>12</v>
      </c>
      <c r="E3525" t="str">
        <f>"04 - A - 201 - Alejandro  Navarro"</f>
        <v>04 - A - 201 - Alejandro  Navarro</v>
      </c>
      <c r="F3525" t="str">
        <f>"BAND 4"</f>
        <v>BAND 4</v>
      </c>
      <c r="G3525" t="str">
        <f>"05-504"</f>
        <v>05-504</v>
      </c>
      <c r="H3525" t="str">
        <f>"A"</f>
        <v>A</v>
      </c>
    </row>
    <row r="3526" spans="1:8" x14ac:dyDescent="0.2">
      <c r="A3526" t="str">
        <f t="shared" si="1288"/>
        <v>0610100004</v>
      </c>
      <c r="B3526" t="str">
        <f t="shared" si="1289"/>
        <v>GIOVANNI</v>
      </c>
      <c r="C3526" t="str">
        <f t="shared" si="1290"/>
        <v>CONEY</v>
      </c>
      <c r="D3526">
        <f>12</f>
        <v>12</v>
      </c>
      <c r="E3526" t="str">
        <f>"06 - S1 - B - 001 - Staci M Newton"</f>
        <v>06 - S1 - B - 001 - Staci M Newton</v>
      </c>
      <c r="F3526" t="str">
        <f>"ACCESS US GOVT"</f>
        <v>ACCESS US GOVT</v>
      </c>
      <c r="G3526" t="str">
        <f>"21-2103"</f>
        <v>21-2103</v>
      </c>
      <c r="H3526" t="str">
        <f>"B"</f>
        <v>B</v>
      </c>
    </row>
    <row r="3527" spans="1:8" x14ac:dyDescent="0.2">
      <c r="A3527" t="str">
        <f t="shared" si="1288"/>
        <v>0610100004</v>
      </c>
      <c r="B3527" t="str">
        <f t="shared" si="1289"/>
        <v>GIOVANNI</v>
      </c>
      <c r="C3527" t="str">
        <f t="shared" si="1290"/>
        <v>CONEY</v>
      </c>
      <c r="D3527">
        <f>12</f>
        <v>12</v>
      </c>
      <c r="E3527" t="str">
        <f>"03 - A - 101 - Reggie L Nixon"</f>
        <v>03 - A - 101 - Reggie L Nixon</v>
      </c>
      <c r="F3527" t="str">
        <f>"ACCESS PHYSICAL SCI"</f>
        <v>ACCESS PHYSICAL SCI</v>
      </c>
      <c r="G3527" t="str">
        <f t="shared" ref="G3527:G3532" si="1291">"21-2119"</f>
        <v>21-2119</v>
      </c>
      <c r="H3527" t="str">
        <f>"A"</f>
        <v>A</v>
      </c>
    </row>
    <row r="3528" spans="1:8" x14ac:dyDescent="0.2">
      <c r="A3528" t="str">
        <f t="shared" si="1288"/>
        <v>0610100004</v>
      </c>
      <c r="B3528" t="str">
        <f t="shared" si="1289"/>
        <v>GIOVANNI</v>
      </c>
      <c r="C3528" t="str">
        <f t="shared" si="1290"/>
        <v>CONEY</v>
      </c>
      <c r="D3528">
        <f>12</f>
        <v>12</v>
      </c>
      <c r="E3528" t="str">
        <f>"02 - A - 101 - Reggie L Nixon"</f>
        <v>02 - A - 101 - Reggie L Nixon</v>
      </c>
      <c r="F3528" t="str">
        <f>"NC STUDY HALL 4"</f>
        <v>NC STUDY HALL 4</v>
      </c>
      <c r="G3528" t="str">
        <f t="shared" si="1291"/>
        <v>21-2119</v>
      </c>
      <c r="H3528" t="str">
        <f>"A"</f>
        <v>A</v>
      </c>
    </row>
    <row r="3529" spans="1:8" x14ac:dyDescent="0.2">
      <c r="A3529" t="str">
        <f t="shared" si="1288"/>
        <v>0610100004</v>
      </c>
      <c r="B3529" t="str">
        <f t="shared" si="1289"/>
        <v>GIOVANNI</v>
      </c>
      <c r="C3529" t="str">
        <f t="shared" si="1290"/>
        <v>CONEY</v>
      </c>
      <c r="D3529">
        <f>12</f>
        <v>12</v>
      </c>
      <c r="E3529" t="str">
        <f>"07 - B - 001 - Reggie L Nixon"</f>
        <v>07 - B - 001 - Reggie L Nixon</v>
      </c>
      <c r="F3529" t="str">
        <f>"ACCESS ENGLISH 4"</f>
        <v>ACCESS ENGLISH 4</v>
      </c>
      <c r="G3529" t="str">
        <f t="shared" si="1291"/>
        <v>21-2119</v>
      </c>
      <c r="H3529" t="str">
        <f>"B"</f>
        <v>B</v>
      </c>
    </row>
    <row r="3530" spans="1:8" x14ac:dyDescent="0.2">
      <c r="A3530" t="str">
        <f t="shared" si="1288"/>
        <v>0610100004</v>
      </c>
      <c r="B3530" t="str">
        <f t="shared" si="1289"/>
        <v>GIOVANNI</v>
      </c>
      <c r="C3530" t="str">
        <f t="shared" si="1290"/>
        <v>CONEY</v>
      </c>
      <c r="D3530">
        <f>12</f>
        <v>12</v>
      </c>
      <c r="E3530" t="str">
        <f>"05 - B - 001 - Reggie L Nixon"</f>
        <v>05 - B - 001 - Reggie L Nixon</v>
      </c>
      <c r="F3530" t="str">
        <f>"U SKLS: 9-12"</f>
        <v>U SKLS: 9-12</v>
      </c>
      <c r="G3530" t="str">
        <f t="shared" si="1291"/>
        <v>21-2119</v>
      </c>
      <c r="H3530" t="str">
        <f>"B"</f>
        <v>B</v>
      </c>
    </row>
    <row r="3531" spans="1:8" x14ac:dyDescent="0.2">
      <c r="A3531" t="str">
        <f t="shared" si="1288"/>
        <v>0610100004</v>
      </c>
      <c r="B3531" t="str">
        <f t="shared" si="1289"/>
        <v>GIOVANNI</v>
      </c>
      <c r="C3531" t="str">
        <f t="shared" si="1290"/>
        <v>CONEY</v>
      </c>
      <c r="D3531">
        <f>12</f>
        <v>12</v>
      </c>
      <c r="E3531" t="str">
        <f>"01 - S1 - A - 105 - Reggie L Nixon"</f>
        <v>01 - S1 - A - 105 - Reggie L Nixon</v>
      </c>
      <c r="F3531" t="str">
        <f>"ACCESS PERS FIN LIT"</f>
        <v>ACCESS PERS FIN LIT</v>
      </c>
      <c r="G3531" t="str">
        <f t="shared" si="1291"/>
        <v>21-2119</v>
      </c>
      <c r="H3531" t="str">
        <f>"A"</f>
        <v>A</v>
      </c>
    </row>
    <row r="3532" spans="1:8" x14ac:dyDescent="0.2">
      <c r="A3532" t="str">
        <f t="shared" si="1288"/>
        <v>0610100004</v>
      </c>
      <c r="B3532" t="str">
        <f t="shared" si="1289"/>
        <v>GIOVANNI</v>
      </c>
      <c r="C3532" t="str">
        <f t="shared" si="1290"/>
        <v>CONEY</v>
      </c>
      <c r="D3532">
        <f>12</f>
        <v>12</v>
      </c>
      <c r="E3532" t="str">
        <f>"08 - B - 101 - Reggie L Nixon"</f>
        <v>08 - B - 101 - Reggie L Nixon</v>
      </c>
      <c r="F3532" t="str">
        <f>"ACCESS LIB ARTS MATH"</f>
        <v>ACCESS LIB ARTS MATH</v>
      </c>
      <c r="G3532" t="str">
        <f t="shared" si="1291"/>
        <v>21-2119</v>
      </c>
      <c r="H3532" t="str">
        <f>"B"</f>
        <v>B</v>
      </c>
    </row>
    <row r="3533" spans="1:8" x14ac:dyDescent="0.2">
      <c r="A3533" t="str">
        <f t="shared" si="1288"/>
        <v>0610100004</v>
      </c>
      <c r="B3533" t="str">
        <f t="shared" si="1289"/>
        <v>GIOVANNI</v>
      </c>
      <c r="C3533" t="str">
        <f t="shared" si="1290"/>
        <v>CONEY</v>
      </c>
      <c r="D3533">
        <f>12</f>
        <v>12</v>
      </c>
      <c r="E3533" t="str">
        <f>"08 - B - 118 - Karen A Toomer"</f>
        <v>08 - B - 118 - Karen A Toomer</v>
      </c>
      <c r="F3533" t="str">
        <f>"LANG THERAPY"</f>
        <v>LANG THERAPY</v>
      </c>
      <c r="G3533" t="str">
        <f>"21-2110"</f>
        <v>21-2110</v>
      </c>
      <c r="H3533" t="str">
        <f>"B"</f>
        <v>B</v>
      </c>
    </row>
    <row r="3534" spans="1:8" x14ac:dyDescent="0.2">
      <c r="A3534" t="str">
        <f t="shared" ref="A3534:A3542" si="1292">"0622054439"</f>
        <v>0622054439</v>
      </c>
      <c r="B3534" t="str">
        <f t="shared" ref="B3534:B3542" si="1293">"NIVEK"</f>
        <v>NIVEK</v>
      </c>
      <c r="C3534" t="str">
        <f t="shared" ref="C3534:C3542" si="1294">"CONLEY"</f>
        <v>CONLEY</v>
      </c>
      <c r="D3534">
        <f>10</f>
        <v>10</v>
      </c>
      <c r="E3534" t="str">
        <f>"04 - A - 104 - Nikiel  Nesbeth"</f>
        <v>04 - A - 104 - Nikiel  Nesbeth</v>
      </c>
      <c r="F3534" t="str">
        <f>"ENG 2"</f>
        <v>ENG 2</v>
      </c>
      <c r="G3534" t="str">
        <f>"17-1705"</f>
        <v>17-1705</v>
      </c>
      <c r="H3534" t="str">
        <f>"A"</f>
        <v>A</v>
      </c>
    </row>
    <row r="3535" spans="1:8" x14ac:dyDescent="0.2">
      <c r="A3535" t="str">
        <f t="shared" si="1292"/>
        <v>0622054439</v>
      </c>
      <c r="B3535" t="str">
        <f t="shared" si="1293"/>
        <v>NIVEK</v>
      </c>
      <c r="C3535" t="str">
        <f t="shared" si="1294"/>
        <v>CONLEY</v>
      </c>
      <c r="D3535">
        <f>10</f>
        <v>10</v>
      </c>
      <c r="E3535" t="str">
        <f>"06 - B - 003 - Emmily A Sarmiento"</f>
        <v>06 - B - 003 - Emmily A Sarmiento</v>
      </c>
      <c r="F3535" t="str">
        <f>"NC STUDY HALL 1"</f>
        <v>NC STUDY HALL 1</v>
      </c>
      <c r="G3535" t="str">
        <f>"17-1743"</f>
        <v>17-1743</v>
      </c>
      <c r="H3535" t="str">
        <f>"B"</f>
        <v>B</v>
      </c>
    </row>
    <row r="3536" spans="1:8" x14ac:dyDescent="0.2">
      <c r="A3536" t="str">
        <f t="shared" si="1292"/>
        <v>0622054439</v>
      </c>
      <c r="B3536" t="str">
        <f t="shared" si="1293"/>
        <v>NIVEK</v>
      </c>
      <c r="C3536" t="str">
        <f t="shared" si="1294"/>
        <v>CONLEY</v>
      </c>
      <c r="D3536">
        <f>10</f>
        <v>10</v>
      </c>
      <c r="E3536" t="str">
        <f>"06 - B - 106 - Eric  Lopapa"</f>
        <v>06 - B - 106 - Eric  Lopapa</v>
      </c>
      <c r="F3536" t="str">
        <f>"LANG THERAPY"</f>
        <v>LANG THERAPY</v>
      </c>
      <c r="G3536" t="str">
        <f>"21-2110"</f>
        <v>21-2110</v>
      </c>
      <c r="H3536" t="str">
        <f>"B"</f>
        <v>B</v>
      </c>
    </row>
    <row r="3537" spans="1:8" x14ac:dyDescent="0.2">
      <c r="A3537" t="str">
        <f t="shared" si="1292"/>
        <v>0622054439</v>
      </c>
      <c r="B3537" t="str">
        <f t="shared" si="1293"/>
        <v>NIVEK</v>
      </c>
      <c r="C3537" t="str">
        <f t="shared" si="1294"/>
        <v>CONLEY</v>
      </c>
      <c r="D3537">
        <f>10</f>
        <v>10</v>
      </c>
      <c r="E3537" t="str">
        <f>"03 - A - 103 - Taraneh C Abreu"</f>
        <v>03 - A - 103 - Taraneh C Abreu</v>
      </c>
      <c r="F3537" t="str">
        <f>"INTENS READ 2"</f>
        <v>INTENS READ 2</v>
      </c>
      <c r="G3537" t="str">
        <f>"17-1713"</f>
        <v>17-1713</v>
      </c>
      <c r="H3537" t="str">
        <f>"A"</f>
        <v>A</v>
      </c>
    </row>
    <row r="3538" spans="1:8" x14ac:dyDescent="0.2">
      <c r="A3538" t="str">
        <f t="shared" si="1292"/>
        <v>0622054439</v>
      </c>
      <c r="B3538" t="str">
        <f t="shared" si="1293"/>
        <v>NIVEK</v>
      </c>
      <c r="C3538" t="str">
        <f t="shared" si="1294"/>
        <v>CONLEY</v>
      </c>
      <c r="D3538">
        <f>10</f>
        <v>10</v>
      </c>
      <c r="E3538" t="str">
        <f>"02 - A - 101 - Christa T Parisi"</f>
        <v>02 - A - 101 - Christa T Parisi</v>
      </c>
      <c r="F3538" t="str">
        <f>"LRNG STRATEGIES 9-12"</f>
        <v>LRNG STRATEGIES 9-12</v>
      </c>
      <c r="G3538" t="str">
        <f>"20-2072"</f>
        <v>20-2072</v>
      </c>
      <c r="H3538" t="str">
        <f>"A"</f>
        <v>A</v>
      </c>
    </row>
    <row r="3539" spans="1:8" x14ac:dyDescent="0.2">
      <c r="A3539" t="str">
        <f t="shared" si="1292"/>
        <v>0622054439</v>
      </c>
      <c r="B3539" t="str">
        <f t="shared" si="1293"/>
        <v>NIVEK</v>
      </c>
      <c r="C3539" t="str">
        <f t="shared" si="1294"/>
        <v>CONLEY</v>
      </c>
      <c r="D3539">
        <f>10</f>
        <v>10</v>
      </c>
      <c r="E3539" t="str">
        <f>"07 - B - 107 - Lytrell T Dixon"</f>
        <v>07 - B - 107 - Lytrell T Dixon</v>
      </c>
      <c r="F3539" t="str">
        <f>"BIOLOGY 1"</f>
        <v>BIOLOGY 1</v>
      </c>
      <c r="G3539" t="str">
        <f>"08-808"</f>
        <v>08-808</v>
      </c>
      <c r="H3539" t="str">
        <f>"B"</f>
        <v>B</v>
      </c>
    </row>
    <row r="3540" spans="1:8" x14ac:dyDescent="0.2">
      <c r="A3540" t="str">
        <f t="shared" si="1292"/>
        <v>0622054439</v>
      </c>
      <c r="B3540" t="str">
        <f t="shared" si="1293"/>
        <v>NIVEK</v>
      </c>
      <c r="C3540" t="str">
        <f t="shared" si="1294"/>
        <v>CONLEY</v>
      </c>
      <c r="D3540">
        <f>10</f>
        <v>10</v>
      </c>
      <c r="E3540" t="str">
        <f>"05 - B - 106 - Milca  Exantus"</f>
        <v>05 - B - 106 - Milca  Exantus</v>
      </c>
      <c r="F3540" t="str">
        <f>"MATH COLLEGE LIB ART"</f>
        <v>MATH COLLEGE LIB ART</v>
      </c>
      <c r="G3540" t="str">
        <f>"21-2145"</f>
        <v>21-2145</v>
      </c>
      <c r="H3540" t="str">
        <f>"B"</f>
        <v>B</v>
      </c>
    </row>
    <row r="3541" spans="1:8" x14ac:dyDescent="0.2">
      <c r="A3541" t="str">
        <f t="shared" si="1292"/>
        <v>0622054439</v>
      </c>
      <c r="B3541" t="str">
        <f t="shared" si="1293"/>
        <v>NIVEK</v>
      </c>
      <c r="C3541" t="str">
        <f t="shared" si="1294"/>
        <v>CONLEY</v>
      </c>
      <c r="D3541">
        <f>10</f>
        <v>10</v>
      </c>
      <c r="E3541" t="str">
        <f>"01 - A - 101 - Adam Marcus  Drucker"</f>
        <v>01 - A - 101 - Adam Marcus  Drucker</v>
      </c>
      <c r="F3541" t="str">
        <f>"HOPE-PE V"</f>
        <v>HOPE-PE V</v>
      </c>
      <c r="G3541" t="str">
        <f>"04-254"</f>
        <v>04-254</v>
      </c>
      <c r="H3541" t="str">
        <f>"A"</f>
        <v>A</v>
      </c>
    </row>
    <row r="3542" spans="1:8" x14ac:dyDescent="0.2">
      <c r="A3542" t="str">
        <f t="shared" si="1292"/>
        <v>0622054439</v>
      </c>
      <c r="B3542" t="str">
        <f t="shared" si="1293"/>
        <v>NIVEK</v>
      </c>
      <c r="C3542" t="str">
        <f t="shared" si="1294"/>
        <v>CONLEY</v>
      </c>
      <c r="D3542">
        <f>10</f>
        <v>10</v>
      </c>
      <c r="E3542" t="str">
        <f>"08 - S1 - B - 102 - Kyle  Robbins"</f>
        <v>08 - S1 - B - 102 - Kyle  Robbins</v>
      </c>
      <c r="F3542" t="str">
        <f>"PERS FIN &amp; MON MGT H"</f>
        <v>PERS FIN &amp; MON MGT H</v>
      </c>
      <c r="G3542" t="str">
        <f>"17-1745"</f>
        <v>17-1745</v>
      </c>
      <c r="H3542" t="str">
        <f>"B"</f>
        <v>B</v>
      </c>
    </row>
    <row r="3543" spans="1:8" x14ac:dyDescent="0.2">
      <c r="A3543" t="str">
        <f t="shared" ref="A3543:A3550" si="1295">"0616110256"</f>
        <v>0616110256</v>
      </c>
      <c r="B3543" t="str">
        <f t="shared" ref="B3543:B3550" si="1296">"JOSEPH"</f>
        <v>JOSEPH</v>
      </c>
      <c r="C3543" t="str">
        <f t="shared" ref="C3543:C3550" si="1297">"CONNER"</f>
        <v>CONNER</v>
      </c>
      <c r="D3543" t="str">
        <f t="shared" ref="D3543:D3550" si="1298">"09"</f>
        <v>09</v>
      </c>
      <c r="E3543" t="str">
        <f>"04 - S1 - A - 104 - Richard E Dunbar Iii"</f>
        <v>04 - S1 - A - 104 - Richard E Dunbar Iii</v>
      </c>
      <c r="F3543" t="str">
        <f>"WEIGHT TRAIN 1"</f>
        <v>WEIGHT TRAIN 1</v>
      </c>
      <c r="G3543" t="str">
        <f>"05-501"</f>
        <v>05-501</v>
      </c>
      <c r="H3543" t="str">
        <f>"A"</f>
        <v>A</v>
      </c>
    </row>
    <row r="3544" spans="1:8" x14ac:dyDescent="0.2">
      <c r="A3544" t="str">
        <f t="shared" si="1295"/>
        <v>0616110256</v>
      </c>
      <c r="B3544" t="str">
        <f t="shared" si="1296"/>
        <v>JOSEPH</v>
      </c>
      <c r="C3544" t="str">
        <f t="shared" si="1297"/>
        <v>CONNER</v>
      </c>
      <c r="D3544" t="str">
        <f t="shared" si="1298"/>
        <v>09</v>
      </c>
      <c r="E3544" t="str">
        <f>"06 - B - 202 - Brian M Fitzgerald"</f>
        <v>06 - B - 202 - Brian M Fitzgerald</v>
      </c>
      <c r="F3544" t="str">
        <f>"DRAW 1"</f>
        <v>DRAW 1</v>
      </c>
      <c r="G3544" t="str">
        <f>"09-908"</f>
        <v>09-908</v>
      </c>
      <c r="H3544" t="str">
        <f>"B"</f>
        <v>B</v>
      </c>
    </row>
    <row r="3545" spans="1:8" x14ac:dyDescent="0.2">
      <c r="A3545" t="str">
        <f t="shared" si="1295"/>
        <v>0616110256</v>
      </c>
      <c r="B3545" t="str">
        <f t="shared" si="1296"/>
        <v>JOSEPH</v>
      </c>
      <c r="C3545" t="str">
        <f t="shared" si="1297"/>
        <v>CONNER</v>
      </c>
      <c r="D3545" t="str">
        <f t="shared" si="1298"/>
        <v>09</v>
      </c>
      <c r="E3545" t="str">
        <f>"03 - A - 101 - Brian M Fitzgerald"</f>
        <v>03 - A - 101 - Brian M Fitzgerald</v>
      </c>
      <c r="F3545" t="str">
        <f>"SCULPT 1"</f>
        <v>SCULPT 1</v>
      </c>
      <c r="G3545" t="str">
        <f>"09-908"</f>
        <v>09-908</v>
      </c>
      <c r="H3545" t="str">
        <f>"A"</f>
        <v>A</v>
      </c>
    </row>
    <row r="3546" spans="1:8" x14ac:dyDescent="0.2">
      <c r="A3546" t="str">
        <f t="shared" si="1295"/>
        <v>0616110256</v>
      </c>
      <c r="B3546" t="str">
        <f t="shared" si="1296"/>
        <v>JOSEPH</v>
      </c>
      <c r="C3546" t="str">
        <f t="shared" si="1297"/>
        <v>CONNER</v>
      </c>
      <c r="D3546" t="str">
        <f t="shared" si="1298"/>
        <v>09</v>
      </c>
      <c r="E3546" t="str">
        <f>"02 - A - 116 - Tina L Lovett"</f>
        <v>02 - A - 116 - Tina L Lovett</v>
      </c>
      <c r="F3546" t="str">
        <f>"NC STUDY HALL 1"</f>
        <v>NC STUDY HALL 1</v>
      </c>
      <c r="G3546" t="str">
        <f>"21-2153"</f>
        <v>21-2153</v>
      </c>
      <c r="H3546" t="str">
        <f>"A"</f>
        <v>A</v>
      </c>
    </row>
    <row r="3547" spans="1:8" x14ac:dyDescent="0.2">
      <c r="A3547" t="str">
        <f t="shared" si="1295"/>
        <v>0616110256</v>
      </c>
      <c r="B3547" t="str">
        <f t="shared" si="1296"/>
        <v>JOSEPH</v>
      </c>
      <c r="C3547" t="str">
        <f t="shared" si="1297"/>
        <v>CONNER</v>
      </c>
      <c r="D3547" t="str">
        <f t="shared" si="1298"/>
        <v>09</v>
      </c>
      <c r="E3547" t="str">
        <f>"07 - B - 207 - Krystal Marie  Beruty"</f>
        <v>07 - B - 207 - Krystal Marie  Beruty</v>
      </c>
      <c r="F3547" t="str">
        <f>"AICE GLBL PERSP 1 AS"</f>
        <v>AICE GLBL PERSP 1 AS</v>
      </c>
      <c r="G3547" t="str">
        <f>"17-1721"</f>
        <v>17-1721</v>
      </c>
      <c r="H3547" t="str">
        <f>"B"</f>
        <v>B</v>
      </c>
    </row>
    <row r="3548" spans="1:8" x14ac:dyDescent="0.2">
      <c r="A3548" t="str">
        <f t="shared" si="1295"/>
        <v>0616110256</v>
      </c>
      <c r="B3548" t="str">
        <f t="shared" si="1296"/>
        <v>JOSEPH</v>
      </c>
      <c r="C3548" t="str">
        <f t="shared" si="1297"/>
        <v>CONNER</v>
      </c>
      <c r="D3548" t="str">
        <f t="shared" si="1298"/>
        <v>09</v>
      </c>
      <c r="E3548" t="str">
        <f>"05 - B - 103 - Byron G Montenegro"</f>
        <v>05 - B - 103 - Byron G Montenegro</v>
      </c>
      <c r="F3548" t="str">
        <f>"AICE MARINE SCI 1 AS"</f>
        <v>AICE MARINE SCI 1 AS</v>
      </c>
      <c r="G3548" t="str">
        <f>"21-2144"</f>
        <v>21-2144</v>
      </c>
      <c r="H3548" t="str">
        <f>"B"</f>
        <v>B</v>
      </c>
    </row>
    <row r="3549" spans="1:8" x14ac:dyDescent="0.2">
      <c r="A3549" t="str">
        <f t="shared" si="1295"/>
        <v>0616110256</v>
      </c>
      <c r="B3549" t="str">
        <f t="shared" si="1296"/>
        <v>JOSEPH</v>
      </c>
      <c r="C3549" t="str">
        <f t="shared" si="1297"/>
        <v>CONNER</v>
      </c>
      <c r="D3549" t="str">
        <f t="shared" si="1298"/>
        <v>09</v>
      </c>
      <c r="E3549" t="str">
        <f>"01 - A - 101 - Maried P Ramos"</f>
        <v>01 - A - 101 - Maried P Ramos</v>
      </c>
      <c r="F3549" t="str">
        <f>"ALGEBRA 2 HON"</f>
        <v>ALGEBRA 2 HON</v>
      </c>
      <c r="G3549" t="str">
        <f>"21-2159"</f>
        <v>21-2159</v>
      </c>
      <c r="H3549" t="str">
        <f>"A"</f>
        <v>A</v>
      </c>
    </row>
    <row r="3550" spans="1:8" x14ac:dyDescent="0.2">
      <c r="A3550" t="str">
        <f t="shared" si="1295"/>
        <v>0616110256</v>
      </c>
      <c r="B3550" t="str">
        <f t="shared" si="1296"/>
        <v>JOSEPH</v>
      </c>
      <c r="C3550" t="str">
        <f t="shared" si="1297"/>
        <v>CONNER</v>
      </c>
      <c r="D3550" t="str">
        <f t="shared" si="1298"/>
        <v>09</v>
      </c>
      <c r="E3550" t="str">
        <f>"08 - B - 201 - Elizabeth R Walker"</f>
        <v>08 - B - 201 - Elizabeth R Walker</v>
      </c>
      <c r="F3550" t="str">
        <f>"AICE ENG GEN PAPER 1"</f>
        <v>AICE ENG GEN PAPER 1</v>
      </c>
      <c r="G3550" t="str">
        <f>"17-1703"</f>
        <v>17-1703</v>
      </c>
      <c r="H3550" t="str">
        <f>"B"</f>
        <v>B</v>
      </c>
    </row>
    <row r="3551" spans="1:8" x14ac:dyDescent="0.2">
      <c r="A3551" t="str">
        <f t="shared" ref="A3551:A3558" si="1299">"0615016319"</f>
        <v>0615016319</v>
      </c>
      <c r="B3551" t="str">
        <f t="shared" ref="B3551:B3558" si="1300">"ABIGAELLE"</f>
        <v>ABIGAELLE</v>
      </c>
      <c r="C3551" t="str">
        <f t="shared" ref="C3551:C3558" si="1301">"CONSTANT"</f>
        <v>CONSTANT</v>
      </c>
      <c r="D3551">
        <f>11</f>
        <v>11</v>
      </c>
      <c r="E3551" t="str">
        <f>"04 - A - 201 - Arthur  Kulawik"</f>
        <v>04 - A - 201 - Arthur  Kulawik</v>
      </c>
      <c r="F3551" t="str">
        <f>"DEBATE 4 HON"</f>
        <v>DEBATE 4 HON</v>
      </c>
      <c r="G3551" t="str">
        <f>"05-506"</f>
        <v>05-506</v>
      </c>
      <c r="H3551" t="str">
        <f>"A"</f>
        <v>A</v>
      </c>
    </row>
    <row r="3552" spans="1:8" x14ac:dyDescent="0.2">
      <c r="A3552" t="str">
        <f t="shared" si="1299"/>
        <v>0615016319</v>
      </c>
      <c r="B3552" t="str">
        <f t="shared" si="1300"/>
        <v>ABIGAELLE</v>
      </c>
      <c r="C3552" t="str">
        <f t="shared" si="1301"/>
        <v>CONSTANT</v>
      </c>
      <c r="D3552">
        <f>11</f>
        <v>11</v>
      </c>
      <c r="E3552" t="str">
        <f>"06 - B - 105 - Elizabeth Ellen  Moran"</f>
        <v>06 - B - 105 - Elizabeth Ellen  Moran</v>
      </c>
      <c r="F3552" t="str">
        <f>"US HISTORY"</f>
        <v>US HISTORY</v>
      </c>
      <c r="G3552" t="str">
        <f>"17-1752"</f>
        <v>17-1752</v>
      </c>
      <c r="H3552" t="str">
        <f>"B"</f>
        <v>B</v>
      </c>
    </row>
    <row r="3553" spans="1:8" x14ac:dyDescent="0.2">
      <c r="A3553" t="str">
        <f t="shared" si="1299"/>
        <v>0615016319</v>
      </c>
      <c r="B3553" t="str">
        <f t="shared" si="1300"/>
        <v>ABIGAELLE</v>
      </c>
      <c r="C3553" t="str">
        <f t="shared" si="1301"/>
        <v>CONSTANT</v>
      </c>
      <c r="D3553">
        <f>11</f>
        <v>11</v>
      </c>
      <c r="E3553" t="str">
        <f>"03 - A - 103 - Jordana K Hass"</f>
        <v>03 - A - 103 - Jordana K Hass</v>
      </c>
      <c r="F3553" t="str">
        <f>"CHEMISTRY 1"</f>
        <v>CHEMISTRY 1</v>
      </c>
      <c r="G3553" t="str">
        <f>"08-807"</f>
        <v>08-807</v>
      </c>
      <c r="H3553" t="str">
        <f>"A"</f>
        <v>A</v>
      </c>
    </row>
    <row r="3554" spans="1:8" x14ac:dyDescent="0.2">
      <c r="A3554" t="str">
        <f t="shared" si="1299"/>
        <v>0615016319</v>
      </c>
      <c r="B3554" t="str">
        <f t="shared" si="1300"/>
        <v>ABIGAELLE</v>
      </c>
      <c r="C3554" t="str">
        <f t="shared" si="1301"/>
        <v>CONSTANT</v>
      </c>
      <c r="D3554">
        <f>11</f>
        <v>11</v>
      </c>
      <c r="E3554" t="str">
        <f>"02 - A - 113 - Byron G Montenegro"</f>
        <v>02 - A - 113 - Byron G Montenegro</v>
      </c>
      <c r="F3554" t="str">
        <f>"NC STUDY HALL 1"</f>
        <v>NC STUDY HALL 1</v>
      </c>
      <c r="G3554" t="str">
        <f>"21-2144"</f>
        <v>21-2144</v>
      </c>
      <c r="H3554" t="str">
        <f>"A"</f>
        <v>A</v>
      </c>
    </row>
    <row r="3555" spans="1:8" x14ac:dyDescent="0.2">
      <c r="A3555" t="str">
        <f t="shared" si="1299"/>
        <v>0615016319</v>
      </c>
      <c r="B3555" t="str">
        <f t="shared" si="1300"/>
        <v>ABIGAELLE</v>
      </c>
      <c r="C3555" t="str">
        <f t="shared" si="1301"/>
        <v>CONSTANT</v>
      </c>
      <c r="D3555">
        <f>11</f>
        <v>11</v>
      </c>
      <c r="E3555" t="str">
        <f>"07 - B - 107 - Semra  Bahadir"</f>
        <v>07 - B - 107 - Semra  Bahadir</v>
      </c>
      <c r="F3555" t="str">
        <f>"MATH COLL ALGEBRA"</f>
        <v>MATH COLL ALGEBRA</v>
      </c>
      <c r="G3555" t="str">
        <f>"21-2107"</f>
        <v>21-2107</v>
      </c>
      <c r="H3555" t="str">
        <f>"B"</f>
        <v>B</v>
      </c>
    </row>
    <row r="3556" spans="1:8" x14ac:dyDescent="0.2">
      <c r="A3556" t="str">
        <f t="shared" si="1299"/>
        <v>0615016319</v>
      </c>
      <c r="B3556" t="str">
        <f t="shared" si="1300"/>
        <v>ABIGAELLE</v>
      </c>
      <c r="C3556" t="str">
        <f t="shared" si="1301"/>
        <v>CONSTANT</v>
      </c>
      <c r="D3556">
        <f>11</f>
        <v>11</v>
      </c>
      <c r="E3556" t="str">
        <f>"05 - B - 103 - Vanessa J Liburd"</f>
        <v>05 - B - 103 - Vanessa J Liburd</v>
      </c>
      <c r="F3556" t="str">
        <f>"PRE-AICE FRENCH 2 IG"</f>
        <v>PRE-AICE FRENCH 2 IG</v>
      </c>
      <c r="G3556" t="str">
        <f>"05-519"</f>
        <v>05-519</v>
      </c>
      <c r="H3556" t="str">
        <f>"B"</f>
        <v>B</v>
      </c>
    </row>
    <row r="3557" spans="1:8" x14ac:dyDescent="0.2">
      <c r="A3557" t="str">
        <f t="shared" si="1299"/>
        <v>0615016319</v>
      </c>
      <c r="B3557" t="str">
        <f t="shared" si="1300"/>
        <v>ABIGAELLE</v>
      </c>
      <c r="C3557" t="str">
        <f t="shared" si="1301"/>
        <v>CONSTANT</v>
      </c>
      <c r="D3557">
        <f>11</f>
        <v>11</v>
      </c>
      <c r="E3557" t="str">
        <f>"01 - A - 101 - Heidi M Knopp"</f>
        <v>01 - A - 101 - Heidi M Knopp</v>
      </c>
      <c r="F3557" t="str">
        <f>"ENG HON 3"</f>
        <v>ENG HON 3</v>
      </c>
      <c r="G3557" t="str">
        <f>"17-1752"</f>
        <v>17-1752</v>
      </c>
      <c r="H3557" t="str">
        <f>"A"</f>
        <v>A</v>
      </c>
    </row>
    <row r="3558" spans="1:8" x14ac:dyDescent="0.2">
      <c r="A3558" t="str">
        <f t="shared" si="1299"/>
        <v>0615016319</v>
      </c>
      <c r="B3558" t="str">
        <f t="shared" si="1300"/>
        <v>ABIGAELLE</v>
      </c>
      <c r="C3558" t="str">
        <f t="shared" si="1301"/>
        <v>CONSTANT</v>
      </c>
      <c r="D3558">
        <f>11</f>
        <v>11</v>
      </c>
      <c r="E3558" t="str">
        <f>"08 - S1 - B - 102 - Nahum  Saint-Preux"</f>
        <v>08 - S1 - B - 102 - Nahum  Saint-Preux</v>
      </c>
      <c r="F3558" t="str">
        <f>"CRIT THINK ST SKLS"</f>
        <v>CRIT THINK ST SKLS</v>
      </c>
      <c r="G3558" t="str">
        <f>"17-1712"</f>
        <v>17-1712</v>
      </c>
      <c r="H3558" t="str">
        <f>"B"</f>
        <v>B</v>
      </c>
    </row>
    <row r="3559" spans="1:8" x14ac:dyDescent="0.2">
      <c r="A3559" t="str">
        <f t="shared" ref="A3559:A3566" si="1302">"0616031483"</f>
        <v>0616031483</v>
      </c>
      <c r="B3559" t="str">
        <f t="shared" ref="B3559:B3566" si="1303">"DASHA"</f>
        <v>DASHA</v>
      </c>
      <c r="C3559" t="str">
        <f t="shared" ref="C3559:C3574" si="1304">"CONTRERAS"</f>
        <v>CONTRERAS</v>
      </c>
      <c r="D3559">
        <f>10</f>
        <v>10</v>
      </c>
      <c r="E3559" t="str">
        <f>"04 - A - 101 - Arthur  Kulawik"</f>
        <v>04 - A - 101 - Arthur  Kulawik</v>
      </c>
      <c r="F3559" t="str">
        <f>"DEBATE 3 HON"</f>
        <v>DEBATE 3 HON</v>
      </c>
      <c r="G3559" t="str">
        <f>"05-506"</f>
        <v>05-506</v>
      </c>
      <c r="H3559" t="str">
        <f>"A"</f>
        <v>A</v>
      </c>
    </row>
    <row r="3560" spans="1:8" x14ac:dyDescent="0.2">
      <c r="A3560" t="str">
        <f t="shared" si="1302"/>
        <v>0616031483</v>
      </c>
      <c r="B3560" t="str">
        <f t="shared" si="1303"/>
        <v>DASHA</v>
      </c>
      <c r="C3560" t="str">
        <f t="shared" si="1304"/>
        <v>CONTRERAS</v>
      </c>
      <c r="D3560">
        <f>10</f>
        <v>10</v>
      </c>
      <c r="E3560" t="str">
        <f>"06 - B - 110 - Jerry S Jiampetti"</f>
        <v>06 - B - 110 - Jerry S Jiampetti</v>
      </c>
      <c r="F3560" t="str">
        <f>"NC STUDY HALL 1"</f>
        <v>NC STUDY HALL 1</v>
      </c>
      <c r="G3560" t="str">
        <f>"17-1751"</f>
        <v>17-1751</v>
      </c>
      <c r="H3560" t="str">
        <f>"B"</f>
        <v>B</v>
      </c>
    </row>
    <row r="3561" spans="1:8" x14ac:dyDescent="0.2">
      <c r="A3561" t="str">
        <f t="shared" si="1302"/>
        <v>0616031483</v>
      </c>
      <c r="B3561" t="str">
        <f t="shared" si="1303"/>
        <v>DASHA</v>
      </c>
      <c r="C3561" t="str">
        <f t="shared" si="1304"/>
        <v>CONTRERAS</v>
      </c>
      <c r="D3561">
        <f>10</f>
        <v>10</v>
      </c>
      <c r="E3561" t="str">
        <f>"03 - A - 101 - Scott A Dethloff"</f>
        <v>03 - A - 101 - Scott A Dethloff</v>
      </c>
      <c r="F3561" t="str">
        <f>"CHEMISTRY 1 HON"</f>
        <v>CHEMISTRY 1 HON</v>
      </c>
      <c r="G3561" t="str">
        <f>"08-812"</f>
        <v>08-812</v>
      </c>
      <c r="H3561" t="str">
        <f>"A"</f>
        <v>A</v>
      </c>
    </row>
    <row r="3562" spans="1:8" x14ac:dyDescent="0.2">
      <c r="A3562" t="str">
        <f t="shared" si="1302"/>
        <v>0616031483</v>
      </c>
      <c r="B3562" t="str">
        <f t="shared" si="1303"/>
        <v>DASHA</v>
      </c>
      <c r="C3562" t="str">
        <f t="shared" si="1304"/>
        <v>CONTRERAS</v>
      </c>
      <c r="D3562">
        <f>10</f>
        <v>10</v>
      </c>
      <c r="E3562" t="str">
        <f>"02 - A - 103 - Lenecy  Nodarse"</f>
        <v>02 - A - 103 - Lenecy  Nodarse</v>
      </c>
      <c r="F3562" t="str">
        <f>"AICE EURO HIST 1 AS"</f>
        <v>AICE EURO HIST 1 AS</v>
      </c>
      <c r="G3562" t="str">
        <f>"17-1741"</f>
        <v>17-1741</v>
      </c>
      <c r="H3562" t="str">
        <f>"A"</f>
        <v>A</v>
      </c>
    </row>
    <row r="3563" spans="1:8" x14ac:dyDescent="0.2">
      <c r="A3563" t="str">
        <f t="shared" si="1302"/>
        <v>0616031483</v>
      </c>
      <c r="B3563" t="str">
        <f t="shared" si="1303"/>
        <v>DASHA</v>
      </c>
      <c r="C3563" t="str">
        <f t="shared" si="1304"/>
        <v>CONTRERAS</v>
      </c>
      <c r="D3563">
        <f>10</f>
        <v>10</v>
      </c>
      <c r="E3563" t="str">
        <f>"07 - B - 204 - Stefanie S Scher"</f>
        <v>07 - B - 204 - Stefanie S Scher</v>
      </c>
      <c r="F3563" t="str">
        <f>"AP PSYCH"</f>
        <v>AP PSYCH</v>
      </c>
      <c r="G3563" t="str">
        <f>"17-1735"</f>
        <v>17-1735</v>
      </c>
      <c r="H3563" t="str">
        <f>"B"</f>
        <v>B</v>
      </c>
    </row>
    <row r="3564" spans="1:8" x14ac:dyDescent="0.2">
      <c r="A3564" t="str">
        <f t="shared" si="1302"/>
        <v>0616031483</v>
      </c>
      <c r="B3564" t="str">
        <f t="shared" si="1303"/>
        <v>DASHA</v>
      </c>
      <c r="C3564" t="str">
        <f t="shared" si="1304"/>
        <v>CONTRERAS</v>
      </c>
      <c r="D3564">
        <f>10</f>
        <v>10</v>
      </c>
      <c r="E3564" t="str">
        <f>"05 - B - 105 - Marius D Orsolini"</f>
        <v>05 - B - 105 - Marius D Orsolini</v>
      </c>
      <c r="F3564" t="str">
        <f>"CULINARY ARTS 1"</f>
        <v>CULINARY ARTS 1</v>
      </c>
      <c r="G3564" t="str">
        <f>"21-2115"</f>
        <v>21-2115</v>
      </c>
      <c r="H3564" t="str">
        <f>"B"</f>
        <v>B</v>
      </c>
    </row>
    <row r="3565" spans="1:8" x14ac:dyDescent="0.2">
      <c r="A3565" t="str">
        <f t="shared" si="1302"/>
        <v>0616031483</v>
      </c>
      <c r="B3565" t="str">
        <f t="shared" si="1303"/>
        <v>DASHA</v>
      </c>
      <c r="C3565" t="str">
        <f t="shared" si="1304"/>
        <v>CONTRERAS</v>
      </c>
      <c r="D3565">
        <f>10</f>
        <v>10</v>
      </c>
      <c r="E3565" t="str">
        <f>"01 - A - 201 - Chrystina M Marchionne"</f>
        <v>01 - A - 201 - Chrystina M Marchionne</v>
      </c>
      <c r="F3565" t="str">
        <f>"AICE MEDIASTUDIES AS"</f>
        <v>AICE MEDIASTUDIES AS</v>
      </c>
      <c r="G3565" t="str">
        <f>"05-520"</f>
        <v>05-520</v>
      </c>
      <c r="H3565" t="str">
        <f>"A"</f>
        <v>A</v>
      </c>
    </row>
    <row r="3566" spans="1:8" x14ac:dyDescent="0.2">
      <c r="A3566" t="str">
        <f t="shared" si="1302"/>
        <v>0616031483</v>
      </c>
      <c r="B3566" t="str">
        <f t="shared" si="1303"/>
        <v>DASHA</v>
      </c>
      <c r="C3566" t="str">
        <f t="shared" si="1304"/>
        <v>CONTRERAS</v>
      </c>
      <c r="D3566">
        <f>10</f>
        <v>10</v>
      </c>
      <c r="E3566" t="str">
        <f>"08 - B - 001 - Jacklyn M James"</f>
        <v>08 - B - 001 - Jacklyn M James</v>
      </c>
      <c r="F3566" t="str">
        <f>"AICE ENG LANG AS"</f>
        <v>AICE ENG LANG AS</v>
      </c>
      <c r="G3566" t="str">
        <f>"17-1731"</f>
        <v>17-1731</v>
      </c>
      <c r="H3566" t="str">
        <f>"B"</f>
        <v>B</v>
      </c>
    </row>
    <row r="3567" spans="1:8" x14ac:dyDescent="0.2">
      <c r="A3567" t="str">
        <f t="shared" ref="A3567:A3574" si="1305">"0617047658"</f>
        <v>0617047658</v>
      </c>
      <c r="B3567" t="str">
        <f t="shared" ref="B3567:B3574" si="1306">"VANESSA"</f>
        <v>VANESSA</v>
      </c>
      <c r="C3567" t="str">
        <f t="shared" si="1304"/>
        <v>CONTRERAS</v>
      </c>
      <c r="D3567" t="str">
        <f t="shared" ref="D3567:D3574" si="1307">"09"</f>
        <v>09</v>
      </c>
      <c r="E3567" t="str">
        <f>"04 - A - 108 - Maried P Ramos"</f>
        <v>04 - A - 108 - Maried P Ramos</v>
      </c>
      <c r="F3567" t="str">
        <f>"GEOMETRY"</f>
        <v>GEOMETRY</v>
      </c>
      <c r="G3567" t="str">
        <f>"21-2159"</f>
        <v>21-2159</v>
      </c>
      <c r="H3567" t="str">
        <f>"A"</f>
        <v>A</v>
      </c>
    </row>
    <row r="3568" spans="1:8" x14ac:dyDescent="0.2">
      <c r="A3568" t="str">
        <f t="shared" si="1305"/>
        <v>0617047658</v>
      </c>
      <c r="B3568" t="str">
        <f t="shared" si="1306"/>
        <v>VANESSA</v>
      </c>
      <c r="C3568" t="str">
        <f t="shared" si="1304"/>
        <v>CONTRERAS</v>
      </c>
      <c r="D3568" t="str">
        <f t="shared" si="1307"/>
        <v>09</v>
      </c>
      <c r="E3568" t="str">
        <f>"06 - B - 002 - Amy Beth  Broyles"</f>
        <v>06 - B - 002 - Amy Beth  Broyles</v>
      </c>
      <c r="F3568" t="str">
        <f>"ENV SCI"</f>
        <v>ENV SCI</v>
      </c>
      <c r="G3568" t="str">
        <f>"08-802"</f>
        <v>08-802</v>
      </c>
      <c r="H3568" t="str">
        <f>"B"</f>
        <v>B</v>
      </c>
    </row>
    <row r="3569" spans="1:8" x14ac:dyDescent="0.2">
      <c r="A3569" t="str">
        <f t="shared" si="1305"/>
        <v>0617047658</v>
      </c>
      <c r="B3569" t="str">
        <f t="shared" si="1306"/>
        <v>VANESSA</v>
      </c>
      <c r="C3569" t="str">
        <f t="shared" si="1304"/>
        <v>CONTRERAS</v>
      </c>
      <c r="D3569" t="str">
        <f t="shared" si="1307"/>
        <v>09</v>
      </c>
      <c r="E3569" t="str">
        <f>"03 - A - 109 - Lissa C Frederique"</f>
        <v>03 - A - 109 - Lissa C Frederique</v>
      </c>
      <c r="F3569" t="str">
        <f>"WORLD HISTORY"</f>
        <v>WORLD HISTORY</v>
      </c>
      <c r="G3569" t="str">
        <f>"17-1754"</f>
        <v>17-1754</v>
      </c>
      <c r="H3569" t="str">
        <f>"A"</f>
        <v>A</v>
      </c>
    </row>
    <row r="3570" spans="1:8" x14ac:dyDescent="0.2">
      <c r="A3570" t="str">
        <f t="shared" si="1305"/>
        <v>0617047658</v>
      </c>
      <c r="B3570" t="str">
        <f t="shared" si="1306"/>
        <v>VANESSA</v>
      </c>
      <c r="C3570" t="str">
        <f t="shared" si="1304"/>
        <v>CONTRERAS</v>
      </c>
      <c r="D3570" t="str">
        <f t="shared" si="1307"/>
        <v>09</v>
      </c>
      <c r="E3570" t="str">
        <f>"02 - A - 107 - Cerine S Stewart"</f>
        <v>02 - A - 107 - Cerine S Stewart</v>
      </c>
      <c r="F3570" t="str">
        <f>"NC STUDY HALL 1"</f>
        <v>NC STUDY HALL 1</v>
      </c>
      <c r="G3570" t="str">
        <f>"17-1720"</f>
        <v>17-1720</v>
      </c>
      <c r="H3570" t="str">
        <f>"A"</f>
        <v>A</v>
      </c>
    </row>
    <row r="3571" spans="1:8" x14ac:dyDescent="0.2">
      <c r="A3571" t="str">
        <f t="shared" si="1305"/>
        <v>0617047658</v>
      </c>
      <c r="B3571" t="str">
        <f t="shared" si="1306"/>
        <v>VANESSA</v>
      </c>
      <c r="C3571" t="str">
        <f t="shared" si="1304"/>
        <v>CONTRERAS</v>
      </c>
      <c r="D3571" t="str">
        <f t="shared" si="1307"/>
        <v>09</v>
      </c>
      <c r="E3571" t="str">
        <f>"07 - B - 105 - Laselleda D Shaw"</f>
        <v>07 - B - 105 - Laselleda D Shaw</v>
      </c>
      <c r="F3571" t="str">
        <f>"INTENS READ 1"</f>
        <v>INTENS READ 1</v>
      </c>
      <c r="G3571" t="str">
        <f>"17-1723"</f>
        <v>17-1723</v>
      </c>
      <c r="H3571" t="str">
        <f>"B"</f>
        <v>B</v>
      </c>
    </row>
    <row r="3572" spans="1:8" x14ac:dyDescent="0.2">
      <c r="A3572" t="str">
        <f t="shared" si="1305"/>
        <v>0617047658</v>
      </c>
      <c r="B3572" t="str">
        <f t="shared" si="1306"/>
        <v>VANESSA</v>
      </c>
      <c r="C3572" t="str">
        <f t="shared" si="1304"/>
        <v>CONTRERAS</v>
      </c>
      <c r="D3572" t="str">
        <f t="shared" si="1307"/>
        <v>09</v>
      </c>
      <c r="E3572" t="str">
        <f>"05 - B - 102 - Emmily A Sarmiento"</f>
        <v>05 - B - 102 - Emmily A Sarmiento</v>
      </c>
      <c r="F3572" t="str">
        <f>"LEAD SKLS DEV LH"</f>
        <v>LEAD SKLS DEV LH</v>
      </c>
      <c r="G3572" t="str">
        <f>"17-1743"</f>
        <v>17-1743</v>
      </c>
      <c r="H3572" t="str">
        <f>"B"</f>
        <v>B</v>
      </c>
    </row>
    <row r="3573" spans="1:8" x14ac:dyDescent="0.2">
      <c r="A3573" t="str">
        <f t="shared" si="1305"/>
        <v>0617047658</v>
      </c>
      <c r="B3573" t="str">
        <f t="shared" si="1306"/>
        <v>VANESSA</v>
      </c>
      <c r="C3573" t="str">
        <f t="shared" si="1304"/>
        <v>CONTRERAS</v>
      </c>
      <c r="D3573" t="str">
        <f t="shared" si="1307"/>
        <v>09</v>
      </c>
      <c r="E3573" t="str">
        <f>"01 - S1 - A - 101 - Leslie J Barton"</f>
        <v>01 - S1 - A - 101 - Leslie J Barton</v>
      </c>
      <c r="F3573" t="str">
        <f>"FIRST AID SAFETY"</f>
        <v>FIRST AID SAFETY</v>
      </c>
      <c r="G3573" t="str">
        <f>"05-521"</f>
        <v>05-521</v>
      </c>
      <c r="H3573" t="str">
        <f>"A"</f>
        <v>A</v>
      </c>
    </row>
    <row r="3574" spans="1:8" x14ac:dyDescent="0.2">
      <c r="A3574" t="str">
        <f t="shared" si="1305"/>
        <v>0617047658</v>
      </c>
      <c r="B3574" t="str">
        <f t="shared" si="1306"/>
        <v>VANESSA</v>
      </c>
      <c r="C3574" t="str">
        <f t="shared" si="1304"/>
        <v>CONTRERAS</v>
      </c>
      <c r="D3574" t="str">
        <f t="shared" si="1307"/>
        <v>09</v>
      </c>
      <c r="E3574" t="str">
        <f>"08 - B - 108 - Cerine S Stewart"</f>
        <v>08 - B - 108 - Cerine S Stewart</v>
      </c>
      <c r="F3574" t="str">
        <f>"ENG 1"</f>
        <v>ENG 1</v>
      </c>
      <c r="G3574" t="str">
        <f>"17-1720"</f>
        <v>17-1720</v>
      </c>
      <c r="H3574" t="str">
        <f>"B"</f>
        <v>B</v>
      </c>
    </row>
    <row r="3575" spans="1:8" x14ac:dyDescent="0.2">
      <c r="A3575" t="str">
        <f t="shared" ref="A3575:A3582" si="1308">"0615012078"</f>
        <v>0615012078</v>
      </c>
      <c r="B3575" t="str">
        <f t="shared" ref="B3575:B3582" si="1309">"NODIN"</f>
        <v>NODIN</v>
      </c>
      <c r="C3575" t="str">
        <f t="shared" ref="C3575:C3582" si="1310">"CONYERS"</f>
        <v>CONYERS</v>
      </c>
      <c r="D3575">
        <f>10</f>
        <v>10</v>
      </c>
      <c r="E3575" t="str">
        <f>"04 - S1 - A - 101 - Leslie J Barton"</f>
        <v>04 - S1 - A - 101 - Leslie J Barton</v>
      </c>
      <c r="F3575" t="str">
        <f>"TEAM SPORTS 1"</f>
        <v>TEAM SPORTS 1</v>
      </c>
      <c r="G3575" t="str">
        <f>"04-254"</f>
        <v>04-254</v>
      </c>
      <c r="H3575" t="str">
        <f>"A"</f>
        <v>A</v>
      </c>
    </row>
    <row r="3576" spans="1:8" x14ac:dyDescent="0.2">
      <c r="A3576" t="str">
        <f t="shared" si="1308"/>
        <v>0615012078</v>
      </c>
      <c r="B3576" t="str">
        <f t="shared" si="1309"/>
        <v>NODIN</v>
      </c>
      <c r="C3576" t="str">
        <f t="shared" si="1310"/>
        <v>CONYERS</v>
      </c>
      <c r="D3576">
        <f>10</f>
        <v>10</v>
      </c>
      <c r="E3576" t="str">
        <f>"06 - B - 003 - Emmily A Sarmiento"</f>
        <v>06 - B - 003 - Emmily A Sarmiento</v>
      </c>
      <c r="F3576" t="str">
        <f>"NC STUDY HALL 1"</f>
        <v>NC STUDY HALL 1</v>
      </c>
      <c r="G3576" t="str">
        <f>"17-1743"</f>
        <v>17-1743</v>
      </c>
      <c r="H3576" t="str">
        <f>"B"</f>
        <v>B</v>
      </c>
    </row>
    <row r="3577" spans="1:8" x14ac:dyDescent="0.2">
      <c r="A3577" t="str">
        <f t="shared" si="1308"/>
        <v>0615012078</v>
      </c>
      <c r="B3577" t="str">
        <f t="shared" si="1309"/>
        <v>NODIN</v>
      </c>
      <c r="C3577" t="str">
        <f t="shared" si="1310"/>
        <v>CONYERS</v>
      </c>
      <c r="D3577">
        <f>10</f>
        <v>10</v>
      </c>
      <c r="E3577" t="str">
        <f>"03 - A - 002 - Ferrie J Arostique"</f>
        <v>03 - A - 002 - Ferrie J Arostique</v>
      </c>
      <c r="F3577" t="str">
        <f>"GEOMETRY"</f>
        <v>GEOMETRY</v>
      </c>
      <c r="G3577" t="str">
        <f>"21-2139"</f>
        <v>21-2139</v>
      </c>
      <c r="H3577" t="str">
        <f>"A"</f>
        <v>A</v>
      </c>
    </row>
    <row r="3578" spans="1:8" x14ac:dyDescent="0.2">
      <c r="A3578" t="str">
        <f t="shared" si="1308"/>
        <v>0615012078</v>
      </c>
      <c r="B3578" t="str">
        <f t="shared" si="1309"/>
        <v>NODIN</v>
      </c>
      <c r="C3578" t="str">
        <f t="shared" si="1310"/>
        <v>CONYERS</v>
      </c>
      <c r="D3578">
        <f>10</f>
        <v>10</v>
      </c>
      <c r="E3578" t="str">
        <f>"02 - A - 102 - Taraneh C Abreu"</f>
        <v>02 - A - 102 - Taraneh C Abreu</v>
      </c>
      <c r="F3578" t="str">
        <f>"INTENS READ 2"</f>
        <v>INTENS READ 2</v>
      </c>
      <c r="G3578" t="str">
        <f>"17-1713"</f>
        <v>17-1713</v>
      </c>
      <c r="H3578" t="str">
        <f>"A"</f>
        <v>A</v>
      </c>
    </row>
    <row r="3579" spans="1:8" x14ac:dyDescent="0.2">
      <c r="A3579" t="str">
        <f t="shared" si="1308"/>
        <v>0615012078</v>
      </c>
      <c r="B3579" t="str">
        <f t="shared" si="1309"/>
        <v>NODIN</v>
      </c>
      <c r="C3579" t="str">
        <f t="shared" si="1310"/>
        <v>CONYERS</v>
      </c>
      <c r="D3579">
        <f>10</f>
        <v>10</v>
      </c>
      <c r="E3579" t="str">
        <f>"07 - B - 108 - Jacquelyn M Neeson"</f>
        <v>07 - B - 108 - Jacquelyn M Neeson</v>
      </c>
      <c r="F3579" t="str">
        <f>"ENG 2"</f>
        <v>ENG 2</v>
      </c>
      <c r="G3579" t="str">
        <f>"17-1715"</f>
        <v>17-1715</v>
      </c>
      <c r="H3579" t="str">
        <f>"B"</f>
        <v>B</v>
      </c>
    </row>
    <row r="3580" spans="1:8" x14ac:dyDescent="0.2">
      <c r="A3580" t="str">
        <f t="shared" si="1308"/>
        <v>0615012078</v>
      </c>
      <c r="B3580" t="str">
        <f t="shared" si="1309"/>
        <v>NODIN</v>
      </c>
      <c r="C3580" t="str">
        <f t="shared" si="1310"/>
        <v>CONYERS</v>
      </c>
      <c r="D3580">
        <f>10</f>
        <v>10</v>
      </c>
      <c r="E3580" t="str">
        <f>"05 - B - 102 - Jeanne M Bermudez"</f>
        <v>05 - B - 102 - Jeanne M Bermudez</v>
      </c>
      <c r="F3580" t="str">
        <f>"ADVANCED IT HON"</f>
        <v>ADVANCED IT HON</v>
      </c>
      <c r="G3580" t="str">
        <f>"21-2141"</f>
        <v>21-2141</v>
      </c>
      <c r="H3580" t="str">
        <f>"B"</f>
        <v>B</v>
      </c>
    </row>
    <row r="3581" spans="1:8" x14ac:dyDescent="0.2">
      <c r="A3581" t="str">
        <f t="shared" si="1308"/>
        <v>0615012078</v>
      </c>
      <c r="B3581" t="str">
        <f t="shared" si="1309"/>
        <v>NODIN</v>
      </c>
      <c r="C3581" t="str">
        <f t="shared" si="1310"/>
        <v>CONYERS</v>
      </c>
      <c r="D3581">
        <f>10</f>
        <v>10</v>
      </c>
      <c r="E3581" t="str">
        <f>"01 - S1 - A - 101 - Carol S Moore"</f>
        <v>01 - S1 - A - 101 - Carol S Moore</v>
      </c>
      <c r="F3581" t="str">
        <f>"PERS FIN &amp; MON MGT H"</f>
        <v>PERS FIN &amp; MON MGT H</v>
      </c>
      <c r="G3581" t="str">
        <f>"17-1733"</f>
        <v>17-1733</v>
      </c>
      <c r="H3581" t="str">
        <f>"A"</f>
        <v>A</v>
      </c>
    </row>
    <row r="3582" spans="1:8" x14ac:dyDescent="0.2">
      <c r="A3582" t="str">
        <f t="shared" si="1308"/>
        <v>0615012078</v>
      </c>
      <c r="B3582" t="str">
        <f t="shared" si="1309"/>
        <v>NODIN</v>
      </c>
      <c r="C3582" t="str">
        <f t="shared" si="1310"/>
        <v>CONYERS</v>
      </c>
      <c r="D3582">
        <f>10</f>
        <v>10</v>
      </c>
      <c r="E3582" t="str">
        <f>"08 - B - 108 - Paige Lauren  Brochu"</f>
        <v>08 - B - 108 - Paige Lauren  Brochu</v>
      </c>
      <c r="F3582" t="str">
        <f>"BIOLOGY 1"</f>
        <v>BIOLOGY 1</v>
      </c>
      <c r="G3582" t="str">
        <f>"21-2134"</f>
        <v>21-2134</v>
      </c>
      <c r="H3582" t="str">
        <f>"B"</f>
        <v>B</v>
      </c>
    </row>
    <row r="3583" spans="1:8" x14ac:dyDescent="0.2">
      <c r="A3583" t="str">
        <f t="shared" ref="A3583:A3590" si="1311">"0625046804"</f>
        <v>0625046804</v>
      </c>
      <c r="B3583" t="str">
        <f t="shared" ref="B3583:B3590" si="1312">"Porter"</f>
        <v>Porter</v>
      </c>
      <c r="C3583" t="str">
        <f t="shared" ref="C3583:C3590" si="1313">"Cook"</f>
        <v>Cook</v>
      </c>
      <c r="D3583">
        <f>11</f>
        <v>11</v>
      </c>
      <c r="E3583" t="str">
        <f>"04 - S1 - A - 104 - Richard E Dunbar Iii"</f>
        <v>04 - S1 - A - 104 - Richard E Dunbar Iii</v>
      </c>
      <c r="F3583" t="str">
        <f>"WEIGHT TRAIN 1"</f>
        <v>WEIGHT TRAIN 1</v>
      </c>
      <c r="G3583" t="str">
        <f>"05-501"</f>
        <v>05-501</v>
      </c>
      <c r="H3583" t="str">
        <f>"A"</f>
        <v>A</v>
      </c>
    </row>
    <row r="3584" spans="1:8" x14ac:dyDescent="0.2">
      <c r="A3584" t="str">
        <f t="shared" si="1311"/>
        <v>0625046804</v>
      </c>
      <c r="B3584" t="str">
        <f t="shared" si="1312"/>
        <v>Porter</v>
      </c>
      <c r="C3584" t="str">
        <f t="shared" si="1313"/>
        <v>Cook</v>
      </c>
      <c r="D3584">
        <f>11</f>
        <v>11</v>
      </c>
      <c r="E3584" t="str">
        <f>"06 - B - 105 - Elizabeth Ellen  Moran"</f>
        <v>06 - B - 105 - Elizabeth Ellen  Moran</v>
      </c>
      <c r="F3584" t="str">
        <f>"US HISTORY"</f>
        <v>US HISTORY</v>
      </c>
      <c r="G3584" t="str">
        <f>"17-1752"</f>
        <v>17-1752</v>
      </c>
      <c r="H3584" t="str">
        <f>"B"</f>
        <v>B</v>
      </c>
    </row>
    <row r="3585" spans="1:8" x14ac:dyDescent="0.2">
      <c r="A3585" t="str">
        <f t="shared" si="1311"/>
        <v>0625046804</v>
      </c>
      <c r="B3585" t="str">
        <f t="shared" si="1312"/>
        <v>Porter</v>
      </c>
      <c r="C3585" t="str">
        <f t="shared" si="1313"/>
        <v>Cook</v>
      </c>
      <c r="D3585">
        <f>11</f>
        <v>11</v>
      </c>
      <c r="E3585" t="str">
        <f>"03 - S1 - A - 101 - Arthur  Kulawik"</f>
        <v>03 - S1 - A - 101 - Arthur  Kulawik</v>
      </c>
      <c r="F3585" t="str">
        <f>"PERS FIN &amp; MON MGT H"</f>
        <v>PERS FIN &amp; MON MGT H</v>
      </c>
      <c r="G3585" t="str">
        <f>"05-506"</f>
        <v>05-506</v>
      </c>
      <c r="H3585" t="str">
        <f>"A"</f>
        <v>A</v>
      </c>
    </row>
    <row r="3586" spans="1:8" x14ac:dyDescent="0.2">
      <c r="A3586" t="str">
        <f t="shared" si="1311"/>
        <v>0625046804</v>
      </c>
      <c r="B3586" t="str">
        <f t="shared" si="1312"/>
        <v>Porter</v>
      </c>
      <c r="C3586" t="str">
        <f t="shared" si="1313"/>
        <v>Cook</v>
      </c>
      <c r="D3586">
        <f>11</f>
        <v>11</v>
      </c>
      <c r="E3586" t="str">
        <f>"02 - A - 107 - Elizabeth Ellen  Moran"</f>
        <v>02 - A - 107 - Elizabeth Ellen  Moran</v>
      </c>
      <c r="F3586" t="str">
        <f>"NC STUDY HALL 1"</f>
        <v>NC STUDY HALL 1</v>
      </c>
      <c r="G3586" t="str">
        <f>"17-1752"</f>
        <v>17-1752</v>
      </c>
      <c r="H3586" t="str">
        <f>"A"</f>
        <v>A</v>
      </c>
    </row>
    <row r="3587" spans="1:8" x14ac:dyDescent="0.2">
      <c r="A3587" t="str">
        <f t="shared" si="1311"/>
        <v>0625046804</v>
      </c>
      <c r="B3587" t="str">
        <f t="shared" si="1312"/>
        <v>Porter</v>
      </c>
      <c r="C3587" t="str">
        <f t="shared" si="1313"/>
        <v>Cook</v>
      </c>
      <c r="D3587">
        <f>11</f>
        <v>11</v>
      </c>
      <c r="E3587" t="str">
        <f>"07 - B - 101 - Samantha L Martinez"</f>
        <v>07 - B - 101 - Samantha L Martinez</v>
      </c>
      <c r="F3587" t="str">
        <f>"KEYBD 1"</f>
        <v>KEYBD 1</v>
      </c>
      <c r="G3587" t="str">
        <f>"05-505"</f>
        <v>05-505</v>
      </c>
      <c r="H3587" t="str">
        <f>"B"</f>
        <v>B</v>
      </c>
    </row>
    <row r="3588" spans="1:8" x14ac:dyDescent="0.2">
      <c r="A3588" t="str">
        <f t="shared" si="1311"/>
        <v>0625046804</v>
      </c>
      <c r="B3588" t="str">
        <f t="shared" si="1312"/>
        <v>Porter</v>
      </c>
      <c r="C3588" t="str">
        <f t="shared" si="1313"/>
        <v>Cook</v>
      </c>
      <c r="D3588">
        <f>11</f>
        <v>11</v>
      </c>
      <c r="E3588" t="str">
        <f>"05 - B - 108 - James H Mccann"</f>
        <v>05 - B - 108 - James H Mccann</v>
      </c>
      <c r="F3588" t="str">
        <f>"ALGEBRA 2"</f>
        <v>ALGEBRA 2</v>
      </c>
      <c r="G3588" t="str">
        <f>"17-1716"</f>
        <v>17-1716</v>
      </c>
      <c r="H3588" t="str">
        <f>"B"</f>
        <v>B</v>
      </c>
    </row>
    <row r="3589" spans="1:8" x14ac:dyDescent="0.2">
      <c r="A3589" t="str">
        <f t="shared" si="1311"/>
        <v>0625046804</v>
      </c>
      <c r="B3589" t="str">
        <f t="shared" si="1312"/>
        <v>Porter</v>
      </c>
      <c r="C3589" t="str">
        <f t="shared" si="1313"/>
        <v>Cook</v>
      </c>
      <c r="D3589">
        <f>11</f>
        <v>11</v>
      </c>
      <c r="E3589" t="str">
        <f>"01 - S1 - A - 101 - Leslie J Barton"</f>
        <v>01 - S1 - A - 101 - Leslie J Barton</v>
      </c>
      <c r="F3589" t="str">
        <f>"FIRST AID SAFETY"</f>
        <v>FIRST AID SAFETY</v>
      </c>
      <c r="G3589" t="str">
        <f>"05-521"</f>
        <v>05-521</v>
      </c>
      <c r="H3589" t="str">
        <f>"A"</f>
        <v>A</v>
      </c>
    </row>
    <row r="3590" spans="1:8" x14ac:dyDescent="0.2">
      <c r="A3590" t="str">
        <f t="shared" si="1311"/>
        <v>0625046804</v>
      </c>
      <c r="B3590" t="str">
        <f t="shared" si="1312"/>
        <v>Porter</v>
      </c>
      <c r="C3590" t="str">
        <f t="shared" si="1313"/>
        <v>Cook</v>
      </c>
      <c r="D3590">
        <f>11</f>
        <v>11</v>
      </c>
      <c r="E3590" t="str">
        <f>"08 - B - 106 - Lisa  Quinn"</f>
        <v>08 - B - 106 - Lisa  Quinn</v>
      </c>
      <c r="F3590" t="str">
        <f>"ENG 3"</f>
        <v>ENG 3</v>
      </c>
      <c r="G3590" t="str">
        <f>"17-1725"</f>
        <v>17-1725</v>
      </c>
      <c r="H3590" t="str">
        <f>"B"</f>
        <v>B</v>
      </c>
    </row>
    <row r="3591" spans="1:8" x14ac:dyDescent="0.2">
      <c r="A3591" t="str">
        <f t="shared" ref="A3591:A3598" si="1314">"0613105666"</f>
        <v>0613105666</v>
      </c>
      <c r="B3591" t="str">
        <f t="shared" ref="B3591:B3598" si="1315">"CHRISTIAN"</f>
        <v>CHRISTIAN</v>
      </c>
      <c r="C3591" t="str">
        <f t="shared" ref="C3591:C3606" si="1316">"COOK"</f>
        <v>COOK</v>
      </c>
      <c r="D3591">
        <f>11</f>
        <v>11</v>
      </c>
      <c r="E3591" t="str">
        <f>"04 - A - 201 - Scott A Dethloff"</f>
        <v>04 - A - 201 - Scott A Dethloff</v>
      </c>
      <c r="F3591" t="str">
        <f>"AICE THINK SKLS 1 AS"</f>
        <v>AICE THINK SKLS 1 AS</v>
      </c>
      <c r="G3591" t="str">
        <f>"08-812"</f>
        <v>08-812</v>
      </c>
      <c r="H3591" t="str">
        <f>"A"</f>
        <v>A</v>
      </c>
    </row>
    <row r="3592" spans="1:8" x14ac:dyDescent="0.2">
      <c r="A3592" t="str">
        <f t="shared" si="1314"/>
        <v>0613105666</v>
      </c>
      <c r="B3592" t="str">
        <f t="shared" si="1315"/>
        <v>CHRISTIAN</v>
      </c>
      <c r="C3592" t="str">
        <f t="shared" si="1316"/>
        <v>COOK</v>
      </c>
      <c r="D3592">
        <f>11</f>
        <v>11</v>
      </c>
      <c r="E3592" t="str">
        <f>"06 - B - 106 - Adam Marcus  Drucker"</f>
        <v>06 - B - 106 - Adam Marcus  Drucker</v>
      </c>
      <c r="F3592" t="str">
        <f>"HOPE-PE V"</f>
        <v>HOPE-PE V</v>
      </c>
      <c r="G3592" t="str">
        <f>"04-254"</f>
        <v>04-254</v>
      </c>
      <c r="H3592" t="str">
        <f>"B"</f>
        <v>B</v>
      </c>
    </row>
    <row r="3593" spans="1:8" x14ac:dyDescent="0.2">
      <c r="A3593" t="str">
        <f t="shared" si="1314"/>
        <v>0613105666</v>
      </c>
      <c r="B3593" t="str">
        <f t="shared" si="1315"/>
        <v>CHRISTIAN</v>
      </c>
      <c r="C3593" t="str">
        <f t="shared" si="1316"/>
        <v>COOK</v>
      </c>
      <c r="D3593">
        <f>11</f>
        <v>11</v>
      </c>
      <c r="E3593" t="str">
        <f>"03 - A - 103 - Jordana K Hass"</f>
        <v>03 - A - 103 - Jordana K Hass</v>
      </c>
      <c r="F3593" t="str">
        <f>"CHEMISTRY 1"</f>
        <v>CHEMISTRY 1</v>
      </c>
      <c r="G3593" t="str">
        <f>"08-807"</f>
        <v>08-807</v>
      </c>
      <c r="H3593" t="str">
        <f>"A"</f>
        <v>A</v>
      </c>
    </row>
    <row r="3594" spans="1:8" x14ac:dyDescent="0.2">
      <c r="A3594" t="str">
        <f t="shared" si="1314"/>
        <v>0613105666</v>
      </c>
      <c r="B3594" t="str">
        <f t="shared" si="1315"/>
        <v>CHRISTIAN</v>
      </c>
      <c r="C3594" t="str">
        <f t="shared" si="1316"/>
        <v>COOK</v>
      </c>
      <c r="D3594">
        <f>11</f>
        <v>11</v>
      </c>
      <c r="E3594" t="str">
        <f>"02 - A - 101 - Timothy J Lawrence"</f>
        <v>02 - A - 101 - Timothy J Lawrence</v>
      </c>
      <c r="F3594" t="str">
        <f>"NC STUDY HALL 1"</f>
        <v>NC STUDY HALL 1</v>
      </c>
      <c r="G3594" t="str">
        <f>"05-522"</f>
        <v>05-522</v>
      </c>
      <c r="H3594" t="str">
        <f>"A"</f>
        <v>A</v>
      </c>
    </row>
    <row r="3595" spans="1:8" x14ac:dyDescent="0.2">
      <c r="A3595" t="str">
        <f t="shared" si="1314"/>
        <v>0613105666</v>
      </c>
      <c r="B3595" t="str">
        <f t="shared" si="1315"/>
        <v>CHRISTIAN</v>
      </c>
      <c r="C3595" t="str">
        <f t="shared" si="1316"/>
        <v>COOK</v>
      </c>
      <c r="D3595">
        <f>11</f>
        <v>11</v>
      </c>
      <c r="E3595" t="str">
        <f>"07 - B - 104 - Jerry S Jiampetti"</f>
        <v>07 - B - 104 - Jerry S Jiampetti</v>
      </c>
      <c r="F3595" t="str">
        <f>"AICE U.S. HIST 1 AS"</f>
        <v>AICE U.S. HIST 1 AS</v>
      </c>
      <c r="G3595" t="str">
        <f>"17-1751"</f>
        <v>17-1751</v>
      </c>
      <c r="H3595" t="str">
        <f>"B"</f>
        <v>B</v>
      </c>
    </row>
    <row r="3596" spans="1:8" x14ac:dyDescent="0.2">
      <c r="A3596" t="str">
        <f t="shared" si="1314"/>
        <v>0613105666</v>
      </c>
      <c r="B3596" t="str">
        <f t="shared" si="1315"/>
        <v>CHRISTIAN</v>
      </c>
      <c r="C3596" t="str">
        <f t="shared" si="1316"/>
        <v>COOK</v>
      </c>
      <c r="D3596">
        <f>11</f>
        <v>11</v>
      </c>
      <c r="E3596" t="str">
        <f>"05 - B - 201 - Lisa J London"</f>
        <v>05 - B - 201 - Lisa J London</v>
      </c>
      <c r="F3596" t="str">
        <f>"COMPRE LAW HON"</f>
        <v>COMPRE LAW HON</v>
      </c>
      <c r="G3596" t="str">
        <f>"17-1714"</f>
        <v>17-1714</v>
      </c>
      <c r="H3596" t="str">
        <f>"B"</f>
        <v>B</v>
      </c>
    </row>
    <row r="3597" spans="1:8" x14ac:dyDescent="0.2">
      <c r="A3597" t="str">
        <f t="shared" si="1314"/>
        <v>0613105666</v>
      </c>
      <c r="B3597" t="str">
        <f t="shared" si="1315"/>
        <v>CHRISTIAN</v>
      </c>
      <c r="C3597" t="str">
        <f t="shared" si="1316"/>
        <v>COOK</v>
      </c>
      <c r="D3597">
        <f>11</f>
        <v>11</v>
      </c>
      <c r="E3597" t="str">
        <f>"01 - A - 101 - Jacklyn M James"</f>
        <v>01 - A - 101 - Jacklyn M James</v>
      </c>
      <c r="F3597" t="str">
        <f>"AICE ENG LANG AS"</f>
        <v>AICE ENG LANG AS</v>
      </c>
      <c r="G3597" t="str">
        <f>"17-1731"</f>
        <v>17-1731</v>
      </c>
      <c r="H3597" t="str">
        <f>"A"</f>
        <v>A</v>
      </c>
    </row>
    <row r="3598" spans="1:8" x14ac:dyDescent="0.2">
      <c r="A3598" t="str">
        <f t="shared" si="1314"/>
        <v>0613105666</v>
      </c>
      <c r="B3598" t="str">
        <f t="shared" si="1315"/>
        <v>CHRISTIAN</v>
      </c>
      <c r="C3598" t="str">
        <f t="shared" si="1316"/>
        <v>COOK</v>
      </c>
      <c r="D3598">
        <f>11</f>
        <v>11</v>
      </c>
      <c r="E3598" t="str">
        <f>"08 - B - 105 - Semra  Bahadir"</f>
        <v>08 - B - 105 - Semra  Bahadir</v>
      </c>
      <c r="F3598" t="str">
        <f>"MATH COLL ALGEBRA"</f>
        <v>MATH COLL ALGEBRA</v>
      </c>
      <c r="G3598" t="str">
        <f>"21-2107"</f>
        <v>21-2107</v>
      </c>
      <c r="H3598" t="str">
        <f>"B"</f>
        <v>B</v>
      </c>
    </row>
    <row r="3599" spans="1:8" x14ac:dyDescent="0.2">
      <c r="A3599" t="str">
        <f t="shared" ref="A3599:A3606" si="1317">"0616067469"</f>
        <v>0616067469</v>
      </c>
      <c r="B3599" t="str">
        <f t="shared" ref="B3599:B3606" si="1318">"DEVEON"</f>
        <v>DEVEON</v>
      </c>
      <c r="C3599" t="str">
        <f t="shared" si="1316"/>
        <v>COOK</v>
      </c>
      <c r="D3599" t="str">
        <f t="shared" ref="D3599:D3622" si="1319">"09"</f>
        <v>09</v>
      </c>
      <c r="E3599" t="str">
        <f>"04 - A - 201 - Norayda D Suarez"</f>
        <v>04 - A - 201 - Norayda D Suarez</v>
      </c>
      <c r="F3599" t="str">
        <f>"ANAT PHYSIO HON"</f>
        <v>ANAT PHYSIO HON</v>
      </c>
      <c r="G3599" t="str">
        <f>"21-2142"</f>
        <v>21-2142</v>
      </c>
      <c r="H3599" t="str">
        <f>"A"</f>
        <v>A</v>
      </c>
    </row>
    <row r="3600" spans="1:8" x14ac:dyDescent="0.2">
      <c r="A3600" t="str">
        <f t="shared" si="1317"/>
        <v>0616067469</v>
      </c>
      <c r="B3600" t="str">
        <f t="shared" si="1318"/>
        <v>DEVEON</v>
      </c>
      <c r="C3600" t="str">
        <f t="shared" si="1316"/>
        <v>COOK</v>
      </c>
      <c r="D3600" t="str">
        <f t="shared" si="1319"/>
        <v>09</v>
      </c>
      <c r="E3600" t="str">
        <f>"06 - B - 102 - Angela S Adeshina-Morrison"</f>
        <v>06 - B - 102 - Angela S Adeshina-Morrison</v>
      </c>
      <c r="F3600" t="str">
        <f>"MARKETING ESSENTIALS"</f>
        <v>MARKETING ESSENTIALS</v>
      </c>
      <c r="G3600" t="str">
        <f>"05-518"</f>
        <v>05-518</v>
      </c>
      <c r="H3600" t="str">
        <f>"B"</f>
        <v>B</v>
      </c>
    </row>
    <row r="3601" spans="1:8" x14ac:dyDescent="0.2">
      <c r="A3601" t="str">
        <f t="shared" si="1317"/>
        <v>0616067469</v>
      </c>
      <c r="B3601" t="str">
        <f t="shared" si="1318"/>
        <v>DEVEON</v>
      </c>
      <c r="C3601" t="str">
        <f t="shared" si="1316"/>
        <v>COOK</v>
      </c>
      <c r="D3601" t="str">
        <f t="shared" si="1319"/>
        <v>09</v>
      </c>
      <c r="E3601" t="str">
        <f>"03 - A - 102 - Rory T Sponsler"</f>
        <v>03 - A - 102 - Rory T Sponsler</v>
      </c>
      <c r="F3601" t="str">
        <f>"PRE-AICE WRLD HST IG"</f>
        <v>PRE-AICE WRLD HST IG</v>
      </c>
      <c r="G3601" t="str">
        <f>"17-1740"</f>
        <v>17-1740</v>
      </c>
      <c r="H3601" t="str">
        <f>"A"</f>
        <v>A</v>
      </c>
    </row>
    <row r="3602" spans="1:8" x14ac:dyDescent="0.2">
      <c r="A3602" t="str">
        <f t="shared" si="1317"/>
        <v>0616067469</v>
      </c>
      <c r="B3602" t="str">
        <f t="shared" si="1318"/>
        <v>DEVEON</v>
      </c>
      <c r="C3602" t="str">
        <f t="shared" si="1316"/>
        <v>COOK</v>
      </c>
      <c r="D3602" t="str">
        <f t="shared" si="1319"/>
        <v>09</v>
      </c>
      <c r="E3602" t="str">
        <f>"02 - A - 109 - Krystal Marie  Beruty"</f>
        <v>02 - A - 109 - Krystal Marie  Beruty</v>
      </c>
      <c r="F3602" t="str">
        <f>"NC STUDY HALL 1"</f>
        <v>NC STUDY HALL 1</v>
      </c>
      <c r="G3602" t="str">
        <f>"17-1721"</f>
        <v>17-1721</v>
      </c>
      <c r="H3602" t="str">
        <f>"A"</f>
        <v>A</v>
      </c>
    </row>
    <row r="3603" spans="1:8" x14ac:dyDescent="0.2">
      <c r="A3603" t="str">
        <f t="shared" si="1317"/>
        <v>0616067469</v>
      </c>
      <c r="B3603" t="str">
        <f t="shared" si="1318"/>
        <v>DEVEON</v>
      </c>
      <c r="C3603" t="str">
        <f t="shared" si="1316"/>
        <v>COOK</v>
      </c>
      <c r="D3603" t="str">
        <f t="shared" si="1319"/>
        <v>09</v>
      </c>
      <c r="E3603" t="str">
        <f>"07 - B - 001 - Cheryl Anne  Berman-Schechter"</f>
        <v>07 - B - 001 - Cheryl Anne  Berman-Schechter</v>
      </c>
      <c r="F3603" t="str">
        <f>"AICE ENG GEN PAPER 1"</f>
        <v>AICE ENG GEN PAPER 1</v>
      </c>
      <c r="G3603" t="str">
        <f>"17-1722"</f>
        <v>17-1722</v>
      </c>
      <c r="H3603" t="str">
        <f>"B"</f>
        <v>B</v>
      </c>
    </row>
    <row r="3604" spans="1:8" x14ac:dyDescent="0.2">
      <c r="A3604" t="str">
        <f t="shared" si="1317"/>
        <v>0616067469</v>
      </c>
      <c r="B3604" t="str">
        <f t="shared" si="1318"/>
        <v>DEVEON</v>
      </c>
      <c r="C3604" t="str">
        <f t="shared" si="1316"/>
        <v>COOK</v>
      </c>
      <c r="D3604" t="str">
        <f t="shared" si="1319"/>
        <v>09</v>
      </c>
      <c r="E3604" t="str">
        <f>"05 - B - 103 - Eva T Rimmer"</f>
        <v>05 - B - 103 - Eva T Rimmer</v>
      </c>
      <c r="F3604" t="str">
        <f>"CRIMINAL JUST OPS 1"</f>
        <v>CRIMINAL JUST OPS 1</v>
      </c>
      <c r="G3604" t="str">
        <f>"05-523"</f>
        <v>05-523</v>
      </c>
      <c r="H3604" t="str">
        <f>"B"</f>
        <v>B</v>
      </c>
    </row>
    <row r="3605" spans="1:8" x14ac:dyDescent="0.2">
      <c r="A3605" t="str">
        <f t="shared" si="1317"/>
        <v>0616067469</v>
      </c>
      <c r="B3605" t="str">
        <f t="shared" si="1318"/>
        <v>DEVEON</v>
      </c>
      <c r="C3605" t="str">
        <f t="shared" si="1316"/>
        <v>COOK</v>
      </c>
      <c r="D3605" t="str">
        <f t="shared" si="1319"/>
        <v>09</v>
      </c>
      <c r="E3605" t="str">
        <f>"01 - A - 101 - Arthur  Kulawik"</f>
        <v>01 - A - 101 - Arthur  Kulawik</v>
      </c>
      <c r="F3605" t="str">
        <f>"DEBATE 1 LH"</f>
        <v>DEBATE 1 LH</v>
      </c>
      <c r="G3605" t="str">
        <f>"05-506"</f>
        <v>05-506</v>
      </c>
      <c r="H3605" t="str">
        <f>"A"</f>
        <v>A</v>
      </c>
    </row>
    <row r="3606" spans="1:8" x14ac:dyDescent="0.2">
      <c r="A3606" t="str">
        <f t="shared" si="1317"/>
        <v>0616067469</v>
      </c>
      <c r="B3606" t="str">
        <f t="shared" si="1318"/>
        <v>DEVEON</v>
      </c>
      <c r="C3606" t="str">
        <f t="shared" si="1316"/>
        <v>COOK</v>
      </c>
      <c r="D3606" t="str">
        <f t="shared" si="1319"/>
        <v>09</v>
      </c>
      <c r="E3606" t="str">
        <f>"08 - B - 102 - Maried P Ramos"</f>
        <v>08 - B - 102 - Maried P Ramos</v>
      </c>
      <c r="F3606" t="str">
        <f>"ALGEBRA 2 HON"</f>
        <v>ALGEBRA 2 HON</v>
      </c>
      <c r="G3606" t="str">
        <f>"21-2159"</f>
        <v>21-2159</v>
      </c>
      <c r="H3606" t="str">
        <f>"B"</f>
        <v>B</v>
      </c>
    </row>
    <row r="3607" spans="1:8" x14ac:dyDescent="0.2">
      <c r="A3607" t="str">
        <f t="shared" ref="A3607:A3614" si="1320">"0616096728"</f>
        <v>0616096728</v>
      </c>
      <c r="B3607" t="str">
        <f t="shared" ref="B3607:B3614" si="1321">"DANIEL"</f>
        <v>DANIEL</v>
      </c>
      <c r="C3607" t="str">
        <f t="shared" ref="C3607:C3614" si="1322">"COOPER"</f>
        <v>COOPER</v>
      </c>
      <c r="D3607" t="str">
        <f t="shared" si="1319"/>
        <v>09</v>
      </c>
      <c r="E3607" t="str">
        <f>"04 - A - 104 - Brook E Goren"</f>
        <v>04 - A - 104 - Brook E Goren</v>
      </c>
      <c r="F3607" t="str">
        <f>"ALGEBRA 2 HON"</f>
        <v>ALGEBRA 2 HON</v>
      </c>
      <c r="G3607" t="str">
        <f>"21-2158"</f>
        <v>21-2158</v>
      </c>
      <c r="H3607" t="str">
        <f>"A"</f>
        <v>A</v>
      </c>
    </row>
    <row r="3608" spans="1:8" x14ac:dyDescent="0.2">
      <c r="A3608" t="str">
        <f t="shared" si="1320"/>
        <v>0616096728</v>
      </c>
      <c r="B3608" t="str">
        <f t="shared" si="1321"/>
        <v>DANIEL</v>
      </c>
      <c r="C3608" t="str">
        <f t="shared" si="1322"/>
        <v>COOPER</v>
      </c>
      <c r="D3608" t="str">
        <f t="shared" si="1319"/>
        <v>09</v>
      </c>
      <c r="E3608" t="str">
        <f>"06 - B - 110 - Krystal Marie  Beruty"</f>
        <v>06 - B - 110 - Krystal Marie  Beruty</v>
      </c>
      <c r="F3608" t="str">
        <f>"AICE GLBL PERSP 1 AS"</f>
        <v>AICE GLBL PERSP 1 AS</v>
      </c>
      <c r="G3608" t="str">
        <f>"17-1721"</f>
        <v>17-1721</v>
      </c>
      <c r="H3608" t="str">
        <f>"B"</f>
        <v>B</v>
      </c>
    </row>
    <row r="3609" spans="1:8" x14ac:dyDescent="0.2">
      <c r="A3609" t="str">
        <f t="shared" si="1320"/>
        <v>0616096728</v>
      </c>
      <c r="B3609" t="str">
        <f t="shared" si="1321"/>
        <v>DANIEL</v>
      </c>
      <c r="C3609" t="str">
        <f t="shared" si="1322"/>
        <v>COOPER</v>
      </c>
      <c r="D3609" t="str">
        <f t="shared" si="1319"/>
        <v>09</v>
      </c>
      <c r="E3609" t="str">
        <f>"03 - S1 - A - 101 - Daniel S Katz"</f>
        <v>03 - S1 - A - 101 - Daniel S Katz</v>
      </c>
      <c r="F3609" t="str">
        <f>"COURT PROCED"</f>
        <v>COURT PROCED</v>
      </c>
      <c r="G3609" t="str">
        <f>"21-2156"</f>
        <v>21-2156</v>
      </c>
      <c r="H3609" t="str">
        <f>"A"</f>
        <v>A</v>
      </c>
    </row>
    <row r="3610" spans="1:8" x14ac:dyDescent="0.2">
      <c r="A3610" t="str">
        <f t="shared" si="1320"/>
        <v>0616096728</v>
      </c>
      <c r="B3610" t="str">
        <f t="shared" si="1321"/>
        <v>DANIEL</v>
      </c>
      <c r="C3610" t="str">
        <f t="shared" si="1322"/>
        <v>COOPER</v>
      </c>
      <c r="D3610" t="str">
        <f t="shared" si="1319"/>
        <v>09</v>
      </c>
      <c r="E3610" t="str">
        <f>"02 - A - 109 - Krystal Marie  Beruty"</f>
        <v>02 - A - 109 - Krystal Marie  Beruty</v>
      </c>
      <c r="F3610" t="str">
        <f>"NC STUDY HALL 1"</f>
        <v>NC STUDY HALL 1</v>
      </c>
      <c r="G3610" t="str">
        <f>"17-1721"</f>
        <v>17-1721</v>
      </c>
      <c r="H3610" t="str">
        <f>"A"</f>
        <v>A</v>
      </c>
    </row>
    <row r="3611" spans="1:8" x14ac:dyDescent="0.2">
      <c r="A3611" t="str">
        <f t="shared" si="1320"/>
        <v>0616096728</v>
      </c>
      <c r="B3611" t="str">
        <f t="shared" si="1321"/>
        <v>DANIEL</v>
      </c>
      <c r="C3611" t="str">
        <f t="shared" si="1322"/>
        <v>COOPER</v>
      </c>
      <c r="D3611" t="str">
        <f t="shared" si="1319"/>
        <v>09</v>
      </c>
      <c r="E3611" t="str">
        <f>"07 - B - 105 - Byron G Montenegro"</f>
        <v>07 - B - 105 - Byron G Montenegro</v>
      </c>
      <c r="F3611" t="str">
        <f>"AICE MARINE SCI 1 AS"</f>
        <v>AICE MARINE SCI 1 AS</v>
      </c>
      <c r="G3611" t="str">
        <f>"21-2144"</f>
        <v>21-2144</v>
      </c>
      <c r="H3611" t="str">
        <f>"B"</f>
        <v>B</v>
      </c>
    </row>
    <row r="3612" spans="1:8" x14ac:dyDescent="0.2">
      <c r="A3612" t="str">
        <f t="shared" si="1320"/>
        <v>0616096728</v>
      </c>
      <c r="B3612" t="str">
        <f t="shared" si="1321"/>
        <v>DANIEL</v>
      </c>
      <c r="C3612" t="str">
        <f t="shared" si="1322"/>
        <v>COOPER</v>
      </c>
      <c r="D3612" t="str">
        <f t="shared" si="1319"/>
        <v>09</v>
      </c>
      <c r="E3612" t="str">
        <f>"05 - B - 002 - Cheryl Anne  Berman-Schechter"</f>
        <v>05 - B - 002 - Cheryl Anne  Berman-Schechter</v>
      </c>
      <c r="F3612" t="str">
        <f>"AICE ENG GEN PAPER 1"</f>
        <v>AICE ENG GEN PAPER 1</v>
      </c>
      <c r="G3612" t="str">
        <f>"17-1722"</f>
        <v>17-1722</v>
      </c>
      <c r="H3612" t="str">
        <f>"B"</f>
        <v>B</v>
      </c>
    </row>
    <row r="3613" spans="1:8" x14ac:dyDescent="0.2">
      <c r="A3613" t="str">
        <f t="shared" si="1320"/>
        <v>0616096728</v>
      </c>
      <c r="B3613" t="str">
        <f t="shared" si="1321"/>
        <v>DANIEL</v>
      </c>
      <c r="C3613" t="str">
        <f t="shared" si="1322"/>
        <v>COOPER</v>
      </c>
      <c r="D3613" t="str">
        <f t="shared" si="1319"/>
        <v>09</v>
      </c>
      <c r="E3613" t="str">
        <f>"01 - A - 504 - Alejandro  Navarro"</f>
        <v>01 - A - 504 - Alejandro  Navarro</v>
      </c>
      <c r="F3613" t="str">
        <f>"BAND 1"</f>
        <v>BAND 1</v>
      </c>
      <c r="G3613" t="str">
        <f>"05-504"</f>
        <v>05-504</v>
      </c>
      <c r="H3613" t="str">
        <f>"A"</f>
        <v>A</v>
      </c>
    </row>
    <row r="3614" spans="1:8" x14ac:dyDescent="0.2">
      <c r="A3614" t="str">
        <f t="shared" si="1320"/>
        <v>0616096728</v>
      </c>
      <c r="B3614" t="str">
        <f t="shared" si="1321"/>
        <v>DANIEL</v>
      </c>
      <c r="C3614" t="str">
        <f t="shared" si="1322"/>
        <v>COOPER</v>
      </c>
      <c r="D3614" t="str">
        <f t="shared" si="1319"/>
        <v>09</v>
      </c>
      <c r="E3614" t="str">
        <f>"08 - B - 108 - Adam Marcus  Drucker"</f>
        <v>08 - B - 108 - Adam Marcus  Drucker</v>
      </c>
      <c r="F3614" t="str">
        <f>"HOPE-PE V"</f>
        <v>HOPE-PE V</v>
      </c>
      <c r="G3614" t="str">
        <f>"04-254"</f>
        <v>04-254</v>
      </c>
      <c r="H3614" t="str">
        <f>"B"</f>
        <v>B</v>
      </c>
    </row>
    <row r="3615" spans="1:8" x14ac:dyDescent="0.2">
      <c r="A3615" t="str">
        <f t="shared" ref="A3615:A3622" si="1323">"0616158440"</f>
        <v>0616158440</v>
      </c>
      <c r="B3615" t="str">
        <f t="shared" ref="B3615:B3622" si="1324">"JAHSIAH"</f>
        <v>JAHSIAH</v>
      </c>
      <c r="C3615" t="str">
        <f t="shared" ref="C3615:C3622" si="1325">"COOTE"</f>
        <v>COOTE</v>
      </c>
      <c r="D3615" t="str">
        <f t="shared" si="1319"/>
        <v>09</v>
      </c>
      <c r="E3615" t="str">
        <f>"04 - A - 103 - Cerine S Stewart"</f>
        <v>04 - A - 103 - Cerine S Stewart</v>
      </c>
      <c r="F3615" t="str">
        <f>"ENG 1"</f>
        <v>ENG 1</v>
      </c>
      <c r="G3615" t="str">
        <f>"17-1720"</f>
        <v>17-1720</v>
      </c>
      <c r="H3615" t="str">
        <f>"A"</f>
        <v>A</v>
      </c>
    </row>
    <row r="3616" spans="1:8" x14ac:dyDescent="0.2">
      <c r="A3616" t="str">
        <f t="shared" si="1323"/>
        <v>0616158440</v>
      </c>
      <c r="B3616" t="str">
        <f t="shared" si="1324"/>
        <v>JAHSIAH</v>
      </c>
      <c r="C3616" t="str">
        <f t="shared" si="1325"/>
        <v>COOTE</v>
      </c>
      <c r="D3616" t="str">
        <f t="shared" si="1319"/>
        <v>09</v>
      </c>
      <c r="E3616" t="str">
        <f>"06 - B - 105 - Tina L Lovett"</f>
        <v>06 - B - 105 - Tina L Lovett</v>
      </c>
      <c r="F3616" t="str">
        <f>"FDN SKLS MATH 9-12"</f>
        <v>FDN SKLS MATH 9-12</v>
      </c>
      <c r="G3616" t="str">
        <f>"21-2153"</f>
        <v>21-2153</v>
      </c>
      <c r="H3616" t="str">
        <f>"B"</f>
        <v>B</v>
      </c>
    </row>
    <row r="3617" spans="1:8" x14ac:dyDescent="0.2">
      <c r="A3617" t="str">
        <f t="shared" si="1323"/>
        <v>0616158440</v>
      </c>
      <c r="B3617" t="str">
        <f t="shared" si="1324"/>
        <v>JAHSIAH</v>
      </c>
      <c r="C3617" t="str">
        <f t="shared" si="1325"/>
        <v>COOTE</v>
      </c>
      <c r="D3617" t="str">
        <f t="shared" si="1319"/>
        <v>09</v>
      </c>
      <c r="E3617" t="str">
        <f>"03 - A - 105 - Elizabeth Ellen  Moran"</f>
        <v>03 - A - 105 - Elizabeth Ellen  Moran</v>
      </c>
      <c r="F3617" t="str">
        <f>"WORLD HISTORY"</f>
        <v>WORLD HISTORY</v>
      </c>
      <c r="G3617" t="str">
        <f>"17-1752"</f>
        <v>17-1752</v>
      </c>
      <c r="H3617" t="str">
        <f>"A"</f>
        <v>A</v>
      </c>
    </row>
    <row r="3618" spans="1:8" x14ac:dyDescent="0.2">
      <c r="A3618" t="str">
        <f t="shared" si="1323"/>
        <v>0616158440</v>
      </c>
      <c r="B3618" t="str">
        <f t="shared" si="1324"/>
        <v>JAHSIAH</v>
      </c>
      <c r="C3618" t="str">
        <f t="shared" si="1325"/>
        <v>COOTE</v>
      </c>
      <c r="D3618" t="str">
        <f t="shared" si="1319"/>
        <v>09</v>
      </c>
      <c r="E3618" t="str">
        <f>"02 - A - 104 - Jazmin S Fletcher"</f>
        <v>02 - A - 104 - Jazmin S Fletcher</v>
      </c>
      <c r="F3618" t="str">
        <f>"NC STUDY HALL 1"</f>
        <v>NC STUDY HALL 1</v>
      </c>
      <c r="G3618" t="str">
        <f>"09-909"</f>
        <v>09-909</v>
      </c>
      <c r="H3618" t="str">
        <f>"A"</f>
        <v>A</v>
      </c>
    </row>
    <row r="3619" spans="1:8" x14ac:dyDescent="0.2">
      <c r="A3619" t="str">
        <f t="shared" si="1323"/>
        <v>0616158440</v>
      </c>
      <c r="B3619" t="str">
        <f t="shared" si="1324"/>
        <v>JAHSIAH</v>
      </c>
      <c r="C3619" t="str">
        <f t="shared" si="1325"/>
        <v>COOTE</v>
      </c>
      <c r="D3619" t="str">
        <f t="shared" si="1319"/>
        <v>09</v>
      </c>
      <c r="E3619" t="str">
        <f>"07 - B - 105 - Laselleda D Shaw"</f>
        <v>07 - B - 105 - Laselleda D Shaw</v>
      </c>
      <c r="F3619" t="str">
        <f>"INTENS READ 1"</f>
        <v>INTENS READ 1</v>
      </c>
      <c r="G3619" t="str">
        <f>"17-1723"</f>
        <v>17-1723</v>
      </c>
      <c r="H3619" t="str">
        <f>"B"</f>
        <v>B</v>
      </c>
    </row>
    <row r="3620" spans="1:8" x14ac:dyDescent="0.2">
      <c r="A3620" t="str">
        <f t="shared" si="1323"/>
        <v>0616158440</v>
      </c>
      <c r="B3620" t="str">
        <f t="shared" si="1324"/>
        <v>JAHSIAH</v>
      </c>
      <c r="C3620" t="str">
        <f t="shared" si="1325"/>
        <v>COOTE</v>
      </c>
      <c r="D3620" t="str">
        <f t="shared" si="1319"/>
        <v>09</v>
      </c>
      <c r="E3620" t="str">
        <f>"05 - B - 105 - Adam Marcus  Drucker"</f>
        <v>05 - B - 105 - Adam Marcus  Drucker</v>
      </c>
      <c r="F3620" t="str">
        <f>"HOPE-PE V"</f>
        <v>HOPE-PE V</v>
      </c>
      <c r="G3620" t="str">
        <f>"04-254"</f>
        <v>04-254</v>
      </c>
      <c r="H3620" t="str">
        <f>"B"</f>
        <v>B</v>
      </c>
    </row>
    <row r="3621" spans="1:8" x14ac:dyDescent="0.2">
      <c r="A3621" t="str">
        <f t="shared" si="1323"/>
        <v>0616158440</v>
      </c>
      <c r="B3621" t="str">
        <f t="shared" si="1324"/>
        <v>JAHSIAH</v>
      </c>
      <c r="C3621" t="str">
        <f t="shared" si="1325"/>
        <v>COOTE</v>
      </c>
      <c r="D3621" t="str">
        <f t="shared" si="1319"/>
        <v>09</v>
      </c>
      <c r="E3621" t="str">
        <f>"01 - A - 101 - Tina L Lovett"</f>
        <v>01 - A - 101 - Tina L Lovett</v>
      </c>
      <c r="F3621" t="str">
        <f>"ALGEBRA 1"</f>
        <v>ALGEBRA 1</v>
      </c>
      <c r="G3621" t="str">
        <f>"21-2153"</f>
        <v>21-2153</v>
      </c>
      <c r="H3621" t="str">
        <f>"A"</f>
        <v>A</v>
      </c>
    </row>
    <row r="3622" spans="1:8" x14ac:dyDescent="0.2">
      <c r="A3622" t="str">
        <f t="shared" si="1323"/>
        <v>0616158440</v>
      </c>
      <c r="B3622" t="str">
        <f t="shared" si="1324"/>
        <v>JAHSIAH</v>
      </c>
      <c r="C3622" t="str">
        <f t="shared" si="1325"/>
        <v>COOTE</v>
      </c>
      <c r="D3622" t="str">
        <f t="shared" si="1319"/>
        <v>09</v>
      </c>
      <c r="E3622" t="str">
        <f>"08 - B - 105 - Samantha J Headley"</f>
        <v>08 - B - 105 - Samantha J Headley</v>
      </c>
      <c r="F3622" t="str">
        <f>"ENV SCI"</f>
        <v>ENV SCI</v>
      </c>
      <c r="G3622" t="str">
        <f>"08-802"</f>
        <v>08-802</v>
      </c>
      <c r="H3622" t="str">
        <f>"B"</f>
        <v>B</v>
      </c>
    </row>
    <row r="3623" spans="1:8" x14ac:dyDescent="0.2">
      <c r="A3623" t="str">
        <f t="shared" ref="A3623:A3631" si="1326">"0615122629"</f>
        <v>0615122629</v>
      </c>
      <c r="B3623" t="str">
        <f t="shared" ref="B3623:B3631" si="1327">"KEVIN"</f>
        <v>KEVIN</v>
      </c>
      <c r="C3623" t="str">
        <f t="shared" ref="C3623:C3631" si="1328">"COPPOLELLA"</f>
        <v>COPPOLELLA</v>
      </c>
      <c r="D3623">
        <f>10</f>
        <v>10</v>
      </c>
      <c r="E3623" t="str">
        <f>"04 - A - 102 - Byron G Montenegro"</f>
        <v>04 - A - 102 - Byron G Montenegro</v>
      </c>
      <c r="F3623" t="str">
        <f>"AICE MARINE SCI 1 AS"</f>
        <v>AICE MARINE SCI 1 AS</v>
      </c>
      <c r="G3623" t="str">
        <f>"21-2144"</f>
        <v>21-2144</v>
      </c>
      <c r="H3623" t="str">
        <f>"A"</f>
        <v>A</v>
      </c>
    </row>
    <row r="3624" spans="1:8" x14ac:dyDescent="0.2">
      <c r="A3624" t="str">
        <f t="shared" si="1326"/>
        <v>0615122629</v>
      </c>
      <c r="B3624" t="str">
        <f t="shared" si="1327"/>
        <v>KEVIN</v>
      </c>
      <c r="C3624" t="str">
        <f t="shared" si="1328"/>
        <v>COPPOLELLA</v>
      </c>
      <c r="D3624">
        <f>10</f>
        <v>10</v>
      </c>
      <c r="E3624" t="str">
        <f>"06 - B - 115 - Scott A Dethloff"</f>
        <v>06 - B - 115 - Scott A Dethloff</v>
      </c>
      <c r="F3624" t="str">
        <f>"NC STUDY HALL 1"</f>
        <v>NC STUDY HALL 1</v>
      </c>
      <c r="G3624" t="str">
        <f>"08-812"</f>
        <v>08-812</v>
      </c>
      <c r="H3624" t="str">
        <f>"B"</f>
        <v>B</v>
      </c>
    </row>
    <row r="3625" spans="1:8" x14ac:dyDescent="0.2">
      <c r="A3625" t="str">
        <f t="shared" si="1326"/>
        <v>0615122629</v>
      </c>
      <c r="B3625" t="str">
        <f t="shared" si="1327"/>
        <v>KEVIN</v>
      </c>
      <c r="C3625" t="str">
        <f t="shared" si="1328"/>
        <v>COPPOLELLA</v>
      </c>
      <c r="D3625">
        <f>10</f>
        <v>10</v>
      </c>
      <c r="E3625" t="str">
        <f>"06 - B - 106 - Eric  Lopapa"</f>
        <v>06 - B - 106 - Eric  Lopapa</v>
      </c>
      <c r="F3625" t="str">
        <f>"LANG THERAPY"</f>
        <v>LANG THERAPY</v>
      </c>
      <c r="G3625" t="str">
        <f>"21-2110"</f>
        <v>21-2110</v>
      </c>
      <c r="H3625" t="str">
        <f>"B"</f>
        <v>B</v>
      </c>
    </row>
    <row r="3626" spans="1:8" x14ac:dyDescent="0.2">
      <c r="A3626" t="str">
        <f t="shared" si="1326"/>
        <v>0615122629</v>
      </c>
      <c r="B3626" t="str">
        <f t="shared" si="1327"/>
        <v>KEVIN</v>
      </c>
      <c r="C3626" t="str">
        <f t="shared" si="1328"/>
        <v>COPPOLELLA</v>
      </c>
      <c r="D3626">
        <f>10</f>
        <v>10</v>
      </c>
      <c r="E3626" t="str">
        <f>"03 - A - 103 - Pamela M Corzo"</f>
        <v>03 - A - 103 - Pamela M Corzo</v>
      </c>
      <c r="F3626" t="str">
        <f>"ALGEBRA 2 HON"</f>
        <v>ALGEBRA 2 HON</v>
      </c>
      <c r="G3626" t="str">
        <f>"21-2133"</f>
        <v>21-2133</v>
      </c>
      <c r="H3626" t="str">
        <f>"A"</f>
        <v>A</v>
      </c>
    </row>
    <row r="3627" spans="1:8" x14ac:dyDescent="0.2">
      <c r="A3627" t="str">
        <f t="shared" si="1326"/>
        <v>0615122629</v>
      </c>
      <c r="B3627" t="str">
        <f t="shared" si="1327"/>
        <v>KEVIN</v>
      </c>
      <c r="C3627" t="str">
        <f t="shared" si="1328"/>
        <v>COPPOLELLA</v>
      </c>
      <c r="D3627">
        <f>10</f>
        <v>10</v>
      </c>
      <c r="E3627" t="str">
        <f>"02 - A - 102 - Jacklyn M James"</f>
        <v>02 - A - 102 - Jacklyn M James</v>
      </c>
      <c r="F3627" t="str">
        <f>"AICE ENG LANG AS"</f>
        <v>AICE ENG LANG AS</v>
      </c>
      <c r="G3627" t="str">
        <f>"17-1731"</f>
        <v>17-1731</v>
      </c>
      <c r="H3627" t="str">
        <f>"A"</f>
        <v>A</v>
      </c>
    </row>
    <row r="3628" spans="1:8" x14ac:dyDescent="0.2">
      <c r="A3628" t="str">
        <f t="shared" si="1326"/>
        <v>0615122629</v>
      </c>
      <c r="B3628" t="str">
        <f t="shared" si="1327"/>
        <v>KEVIN</v>
      </c>
      <c r="C3628" t="str">
        <f t="shared" si="1328"/>
        <v>COPPOLELLA</v>
      </c>
      <c r="D3628">
        <f>10</f>
        <v>10</v>
      </c>
      <c r="E3628" t="str">
        <f>"07 - S1 - B - 102 - Arthur  Kulawik"</f>
        <v>07 - S1 - B - 102 - Arthur  Kulawik</v>
      </c>
      <c r="F3628" t="str">
        <f>"PERS FIN &amp; MON MGT H"</f>
        <v>PERS FIN &amp; MON MGT H</v>
      </c>
      <c r="G3628" t="str">
        <f>"05-506"</f>
        <v>05-506</v>
      </c>
      <c r="H3628" t="str">
        <f>"B"</f>
        <v>B</v>
      </c>
    </row>
    <row r="3629" spans="1:8" x14ac:dyDescent="0.2">
      <c r="A3629" t="str">
        <f t="shared" si="1326"/>
        <v>0615122629</v>
      </c>
      <c r="B3629" t="str">
        <f t="shared" si="1327"/>
        <v>KEVIN</v>
      </c>
      <c r="C3629" t="str">
        <f t="shared" si="1328"/>
        <v>COPPOLELLA</v>
      </c>
      <c r="D3629">
        <f>10</f>
        <v>10</v>
      </c>
      <c r="E3629" t="str">
        <f>"05 - B - 003 - Krystal Marie  Beruty"</f>
        <v>05 - B - 003 - Krystal Marie  Beruty</v>
      </c>
      <c r="F3629" t="str">
        <f>"AICE GLBL PERSP 1 AS"</f>
        <v>AICE GLBL PERSP 1 AS</v>
      </c>
      <c r="G3629" t="str">
        <f>"17-1721"</f>
        <v>17-1721</v>
      </c>
      <c r="H3629" t="str">
        <f>"B"</f>
        <v>B</v>
      </c>
    </row>
    <row r="3630" spans="1:8" x14ac:dyDescent="0.2">
      <c r="A3630" t="str">
        <f t="shared" si="1326"/>
        <v>0615122629</v>
      </c>
      <c r="B3630" t="str">
        <f t="shared" si="1327"/>
        <v>KEVIN</v>
      </c>
      <c r="C3630" t="str">
        <f t="shared" si="1328"/>
        <v>COPPOLELLA</v>
      </c>
      <c r="D3630">
        <f>10</f>
        <v>10</v>
      </c>
      <c r="E3630" t="str">
        <f>"01 - S1 - A - 101 - Leslie J Barton"</f>
        <v>01 - S1 - A - 101 - Leslie J Barton</v>
      </c>
      <c r="F3630" t="str">
        <f>"FIRST AID SAFETY"</f>
        <v>FIRST AID SAFETY</v>
      </c>
      <c r="G3630" t="str">
        <f>"05-521"</f>
        <v>05-521</v>
      </c>
      <c r="H3630" t="str">
        <f>"A"</f>
        <v>A</v>
      </c>
    </row>
    <row r="3631" spans="1:8" x14ac:dyDescent="0.2">
      <c r="A3631" t="str">
        <f t="shared" si="1326"/>
        <v>0615122629</v>
      </c>
      <c r="B3631" t="str">
        <f t="shared" si="1327"/>
        <v>KEVIN</v>
      </c>
      <c r="C3631" t="str">
        <f t="shared" si="1328"/>
        <v>COPPOLELLA</v>
      </c>
      <c r="D3631">
        <f>10</f>
        <v>10</v>
      </c>
      <c r="E3631" t="str">
        <f>"08 - B - 103 - Joe  Kilpatrick Jr"</f>
        <v>08 - B - 103 - Joe  Kilpatrick Jr</v>
      </c>
      <c r="F3631" t="str">
        <f>"PRE-AICE SPAN 2 IG"</f>
        <v>PRE-AICE SPAN 2 IG</v>
      </c>
      <c r="G3631" t="str">
        <f>"09-912"</f>
        <v>09-912</v>
      </c>
      <c r="H3631" t="str">
        <f>"B"</f>
        <v>B</v>
      </c>
    </row>
    <row r="3632" spans="1:8" x14ac:dyDescent="0.2">
      <c r="A3632" t="str">
        <f t="shared" ref="A3632:A3640" si="1329">"0616121508"</f>
        <v>0616121508</v>
      </c>
      <c r="B3632" t="str">
        <f t="shared" ref="B3632:B3640" si="1330">"CARMELO"</f>
        <v>CARMELO</v>
      </c>
      <c r="C3632" t="str">
        <f t="shared" ref="C3632:C3640" si="1331">"CORA"</f>
        <v>CORA</v>
      </c>
      <c r="D3632" t="str">
        <f t="shared" ref="D3632:D3640" si="1332">"09"</f>
        <v>09</v>
      </c>
      <c r="E3632" t="str">
        <f>"04 - A - 103 - Joe  Kilpatrick Jr"</f>
        <v>04 - A - 103 - Joe  Kilpatrick Jr</v>
      </c>
      <c r="F3632" t="str">
        <f>"PRE-AICE SPAN 1 IG"</f>
        <v>PRE-AICE SPAN 1 IG</v>
      </c>
      <c r="G3632" t="str">
        <f>"09-912"</f>
        <v>09-912</v>
      </c>
      <c r="H3632" t="str">
        <f>"A"</f>
        <v>A</v>
      </c>
    </row>
    <row r="3633" spans="1:8" x14ac:dyDescent="0.2">
      <c r="A3633" t="str">
        <f t="shared" si="1329"/>
        <v>0616121508</v>
      </c>
      <c r="B3633" t="str">
        <f t="shared" si="1330"/>
        <v>CARMELO</v>
      </c>
      <c r="C3633" t="str">
        <f t="shared" si="1331"/>
        <v>CORA</v>
      </c>
      <c r="D3633" t="str">
        <f t="shared" si="1332"/>
        <v>09</v>
      </c>
      <c r="E3633" t="str">
        <f>"06 - B - 102 - Angela S Adeshina-Morrison"</f>
        <v>06 - B - 102 - Angela S Adeshina-Morrison</v>
      </c>
      <c r="F3633" t="str">
        <f>"MARKETING ESSENTIALS"</f>
        <v>MARKETING ESSENTIALS</v>
      </c>
      <c r="G3633" t="str">
        <f>"05-518"</f>
        <v>05-518</v>
      </c>
      <c r="H3633" t="str">
        <f>"B"</f>
        <v>B</v>
      </c>
    </row>
    <row r="3634" spans="1:8" x14ac:dyDescent="0.2">
      <c r="A3634" t="str">
        <f t="shared" si="1329"/>
        <v>0616121508</v>
      </c>
      <c r="B3634" t="str">
        <f t="shared" si="1330"/>
        <v>CARMELO</v>
      </c>
      <c r="C3634" t="str">
        <f t="shared" si="1331"/>
        <v>CORA</v>
      </c>
      <c r="D3634" t="str">
        <f t="shared" si="1332"/>
        <v>09</v>
      </c>
      <c r="E3634" t="str">
        <f>"03 - S1 - A - 102 - Leslie J Barton"</f>
        <v>03 - S1 - A - 102 - Leslie J Barton</v>
      </c>
      <c r="F3634" t="str">
        <f>"FIRST AID SAFETY"</f>
        <v>FIRST AID SAFETY</v>
      </c>
      <c r="G3634" t="str">
        <f>"05-521"</f>
        <v>05-521</v>
      </c>
      <c r="H3634" t="str">
        <f>"A"</f>
        <v>A</v>
      </c>
    </row>
    <row r="3635" spans="1:8" x14ac:dyDescent="0.2">
      <c r="A3635" t="str">
        <f t="shared" si="1329"/>
        <v>0616121508</v>
      </c>
      <c r="B3635" t="str">
        <f t="shared" si="1330"/>
        <v>CARMELO</v>
      </c>
      <c r="C3635" t="str">
        <f t="shared" si="1331"/>
        <v>CORA</v>
      </c>
      <c r="D3635" t="str">
        <f t="shared" si="1332"/>
        <v>09</v>
      </c>
      <c r="E3635" t="str">
        <f>"02 - A - 105 - Elizabeth R Walker"</f>
        <v>02 - A - 105 - Elizabeth R Walker</v>
      </c>
      <c r="F3635" t="str">
        <f>"NC STUDY HALL 1"</f>
        <v>NC STUDY HALL 1</v>
      </c>
      <c r="G3635" t="str">
        <f>"17-1703"</f>
        <v>17-1703</v>
      </c>
      <c r="H3635" t="str">
        <f>"A"</f>
        <v>A</v>
      </c>
    </row>
    <row r="3636" spans="1:8" x14ac:dyDescent="0.2">
      <c r="A3636" t="str">
        <f t="shared" si="1329"/>
        <v>0616121508</v>
      </c>
      <c r="B3636" t="str">
        <f t="shared" si="1330"/>
        <v>CARMELO</v>
      </c>
      <c r="C3636" t="str">
        <f t="shared" si="1331"/>
        <v>CORA</v>
      </c>
      <c r="D3636" t="str">
        <f t="shared" si="1332"/>
        <v>09</v>
      </c>
      <c r="E3636" t="str">
        <f>"07 - B - 107 - Brook E Goren"</f>
        <v>07 - B - 107 - Brook E Goren</v>
      </c>
      <c r="F3636" t="str">
        <f>"PRE-AICE MATH 2 IG"</f>
        <v>PRE-AICE MATH 2 IG</v>
      </c>
      <c r="G3636" t="str">
        <f>"21-2158"</f>
        <v>21-2158</v>
      </c>
      <c r="H3636" t="str">
        <f>"B"</f>
        <v>B</v>
      </c>
    </row>
    <row r="3637" spans="1:8" x14ac:dyDescent="0.2">
      <c r="A3637" t="str">
        <f t="shared" si="1329"/>
        <v>0616121508</v>
      </c>
      <c r="B3637" t="str">
        <f t="shared" si="1330"/>
        <v>CARMELO</v>
      </c>
      <c r="C3637" t="str">
        <f t="shared" si="1331"/>
        <v>CORA</v>
      </c>
      <c r="D3637" t="str">
        <f t="shared" si="1332"/>
        <v>09</v>
      </c>
      <c r="E3637" t="str">
        <f>"05 - B - 204 - Elizabeth R Walker"</f>
        <v>05 - B - 204 - Elizabeth R Walker</v>
      </c>
      <c r="F3637" t="str">
        <f>"AICE ENG GEN PAPER 1"</f>
        <v>AICE ENG GEN PAPER 1</v>
      </c>
      <c r="G3637" t="str">
        <f>"17-1703"</f>
        <v>17-1703</v>
      </c>
      <c r="H3637" t="str">
        <f>"B"</f>
        <v>B</v>
      </c>
    </row>
    <row r="3638" spans="1:8" x14ac:dyDescent="0.2">
      <c r="A3638" t="str">
        <f t="shared" si="1329"/>
        <v>0616121508</v>
      </c>
      <c r="B3638" t="str">
        <f t="shared" si="1330"/>
        <v>CARMELO</v>
      </c>
      <c r="C3638" t="str">
        <f t="shared" si="1331"/>
        <v>CORA</v>
      </c>
      <c r="D3638" t="str">
        <f t="shared" si="1332"/>
        <v>09</v>
      </c>
      <c r="E3638" t="str">
        <f>"01 - A - 101 - Josiah I Lacy"</f>
        <v>01 - A - 101 - Josiah I Lacy</v>
      </c>
      <c r="F3638" t="str">
        <f>"PRE-AICE BIO IG"</f>
        <v>PRE-AICE BIO IG</v>
      </c>
      <c r="G3638" t="str">
        <f>"08-801"</f>
        <v>08-801</v>
      </c>
      <c r="H3638" t="str">
        <f>"A"</f>
        <v>A</v>
      </c>
    </row>
    <row r="3639" spans="1:8" x14ac:dyDescent="0.2">
      <c r="A3639" t="str">
        <f t="shared" si="1329"/>
        <v>0616121508</v>
      </c>
      <c r="B3639" t="str">
        <f t="shared" si="1330"/>
        <v>CARMELO</v>
      </c>
      <c r="C3639" t="str">
        <f t="shared" si="1331"/>
        <v>CORA</v>
      </c>
      <c r="D3639" t="str">
        <f t="shared" si="1332"/>
        <v>09</v>
      </c>
      <c r="E3639" t="str">
        <f>"01 - A - 001 - Dorothy D Moore"</f>
        <v>01 - A - 001 - Dorothy D Moore</v>
      </c>
      <c r="F3639" t="str">
        <f>"ANAT PHYSIO HON"</f>
        <v>ANAT PHYSIO HON</v>
      </c>
      <c r="G3639" t="str">
        <f>"08-803"</f>
        <v>08-803</v>
      </c>
      <c r="H3639" t="str">
        <f>"A"</f>
        <v>A</v>
      </c>
    </row>
    <row r="3640" spans="1:8" x14ac:dyDescent="0.2">
      <c r="A3640" t="str">
        <f t="shared" si="1329"/>
        <v>0616121508</v>
      </c>
      <c r="B3640" t="str">
        <f t="shared" si="1330"/>
        <v>CARMELO</v>
      </c>
      <c r="C3640" t="str">
        <f t="shared" si="1331"/>
        <v>CORA</v>
      </c>
      <c r="D3640" t="str">
        <f t="shared" si="1332"/>
        <v>09</v>
      </c>
      <c r="E3640" t="str">
        <f>"08 - B - 109 - Rory T Sponsler"</f>
        <v>08 - B - 109 - Rory T Sponsler</v>
      </c>
      <c r="F3640" t="str">
        <f>"PRE-AICE WRLD HST IG"</f>
        <v>PRE-AICE WRLD HST IG</v>
      </c>
      <c r="G3640" t="str">
        <f>"17-1740"</f>
        <v>17-1740</v>
      </c>
      <c r="H3640" t="str">
        <f>"B"</f>
        <v>B</v>
      </c>
    </row>
    <row r="3641" spans="1:8" x14ac:dyDescent="0.2">
      <c r="A3641" t="str">
        <f t="shared" ref="A3641:A3648" si="1333">"0624095394"</f>
        <v>0624095394</v>
      </c>
      <c r="B3641" t="str">
        <f t="shared" ref="B3641:B3648" si="1334">"ERIN"</f>
        <v>ERIN</v>
      </c>
      <c r="C3641" t="str">
        <f t="shared" ref="C3641:C3648" si="1335">"CORNEAIL"</f>
        <v>CORNEAIL</v>
      </c>
      <c r="D3641">
        <f>10</f>
        <v>10</v>
      </c>
      <c r="E3641" t="str">
        <f>"04 - A - 106 - Marielle A Witting"</f>
        <v>04 - A - 106 - Marielle A Witting</v>
      </c>
      <c r="F3641" t="str">
        <f>"ANAT PHYSIO"</f>
        <v>ANAT PHYSIO</v>
      </c>
      <c r="G3641" t="str">
        <f>"08-805"</f>
        <v>08-805</v>
      </c>
      <c r="H3641" t="str">
        <f>"A"</f>
        <v>A</v>
      </c>
    </row>
    <row r="3642" spans="1:8" x14ac:dyDescent="0.2">
      <c r="A3642" t="str">
        <f t="shared" si="1333"/>
        <v>0624095394</v>
      </c>
      <c r="B3642" t="str">
        <f t="shared" si="1334"/>
        <v>ERIN</v>
      </c>
      <c r="C3642" t="str">
        <f t="shared" si="1335"/>
        <v>CORNEAIL</v>
      </c>
      <c r="D3642">
        <f>10</f>
        <v>10</v>
      </c>
      <c r="E3642" t="str">
        <f>"06 - B - 119 - Nikiel  Nesbeth"</f>
        <v>06 - B - 119 - Nikiel  Nesbeth</v>
      </c>
      <c r="F3642" t="str">
        <f>"NC STUDY HALL 1"</f>
        <v>NC STUDY HALL 1</v>
      </c>
      <c r="G3642" t="str">
        <f>"17-1705"</f>
        <v>17-1705</v>
      </c>
      <c r="H3642" t="str">
        <f>"B"</f>
        <v>B</v>
      </c>
    </row>
    <row r="3643" spans="1:8" x14ac:dyDescent="0.2">
      <c r="A3643" t="str">
        <f t="shared" si="1333"/>
        <v>0624095394</v>
      </c>
      <c r="B3643" t="str">
        <f t="shared" si="1334"/>
        <v>ERIN</v>
      </c>
      <c r="C3643" t="str">
        <f t="shared" si="1335"/>
        <v>CORNEAIL</v>
      </c>
      <c r="D3643">
        <f>10</f>
        <v>10</v>
      </c>
      <c r="E3643" t="str">
        <f>"03 - A - 103 - Adam Marcus  Drucker"</f>
        <v>03 - A - 103 - Adam Marcus  Drucker</v>
      </c>
      <c r="F3643" t="str">
        <f>"HOPE-PE V"</f>
        <v>HOPE-PE V</v>
      </c>
      <c r="G3643" t="str">
        <f>"04-254"</f>
        <v>04-254</v>
      </c>
      <c r="H3643" t="str">
        <f>"A"</f>
        <v>A</v>
      </c>
    </row>
    <row r="3644" spans="1:8" x14ac:dyDescent="0.2">
      <c r="A3644" t="str">
        <f t="shared" si="1333"/>
        <v>0624095394</v>
      </c>
      <c r="B3644" t="str">
        <f t="shared" si="1334"/>
        <v>ERIN</v>
      </c>
      <c r="C3644" t="str">
        <f t="shared" si="1335"/>
        <v>CORNEAIL</v>
      </c>
      <c r="D3644">
        <f>10</f>
        <v>10</v>
      </c>
      <c r="E3644" t="str">
        <f>"02 - A - 102 - Marius D Orsolini"</f>
        <v>02 - A - 102 - Marius D Orsolini</v>
      </c>
      <c r="F3644" t="str">
        <f>"CULINARY ARTS 1"</f>
        <v>CULINARY ARTS 1</v>
      </c>
      <c r="G3644" t="str">
        <f>"21-2115"</f>
        <v>21-2115</v>
      </c>
      <c r="H3644" t="str">
        <f>"A"</f>
        <v>A</v>
      </c>
    </row>
    <row r="3645" spans="1:8" x14ac:dyDescent="0.2">
      <c r="A3645" t="str">
        <f t="shared" si="1333"/>
        <v>0624095394</v>
      </c>
      <c r="B3645" t="str">
        <f t="shared" si="1334"/>
        <v>ERIN</v>
      </c>
      <c r="C3645" t="str">
        <f t="shared" si="1335"/>
        <v>CORNEAIL</v>
      </c>
      <c r="D3645">
        <f>10</f>
        <v>10</v>
      </c>
      <c r="E3645" t="str">
        <f>"07 - B - 108 - Jacquelyn M Neeson"</f>
        <v>07 - B - 108 - Jacquelyn M Neeson</v>
      </c>
      <c r="F3645" t="str">
        <f>"ENG 2"</f>
        <v>ENG 2</v>
      </c>
      <c r="G3645" t="str">
        <f>"17-1715"</f>
        <v>17-1715</v>
      </c>
      <c r="H3645" t="str">
        <f>"B"</f>
        <v>B</v>
      </c>
    </row>
    <row r="3646" spans="1:8" x14ac:dyDescent="0.2">
      <c r="A3646" t="str">
        <f t="shared" si="1333"/>
        <v>0624095394</v>
      </c>
      <c r="B3646" t="str">
        <f t="shared" si="1334"/>
        <v>ERIN</v>
      </c>
      <c r="C3646" t="str">
        <f t="shared" si="1335"/>
        <v>CORNEAIL</v>
      </c>
      <c r="D3646">
        <f>10</f>
        <v>10</v>
      </c>
      <c r="E3646" t="str">
        <f>"05 - S1 - B - 102 - Lissa C Frederique"</f>
        <v>05 - S1 - B - 102 - Lissa C Frederique</v>
      </c>
      <c r="F3646" t="str">
        <f>"PERS FIN &amp; MON MGT H"</f>
        <v>PERS FIN &amp; MON MGT H</v>
      </c>
      <c r="G3646" t="str">
        <f>"17-1754"</f>
        <v>17-1754</v>
      </c>
      <c r="H3646" t="str">
        <f>"B"</f>
        <v>B</v>
      </c>
    </row>
    <row r="3647" spans="1:8" x14ac:dyDescent="0.2">
      <c r="A3647" t="str">
        <f t="shared" si="1333"/>
        <v>0624095394</v>
      </c>
      <c r="B3647" t="str">
        <f t="shared" si="1334"/>
        <v>ERIN</v>
      </c>
      <c r="C3647" t="str">
        <f t="shared" si="1335"/>
        <v>CORNEAIL</v>
      </c>
      <c r="D3647">
        <f>10</f>
        <v>10</v>
      </c>
      <c r="E3647" t="str">
        <f>"01 - A - 104 - Milca  Exantus"</f>
        <v>01 - A - 104 - Milca  Exantus</v>
      </c>
      <c r="F3647" t="str">
        <f>"MATH COLLEGE LIB ART"</f>
        <v>MATH COLLEGE LIB ART</v>
      </c>
      <c r="G3647" t="str">
        <f>"21-2145"</f>
        <v>21-2145</v>
      </c>
      <c r="H3647" t="str">
        <f>"A"</f>
        <v>A</v>
      </c>
    </row>
    <row r="3648" spans="1:8" x14ac:dyDescent="0.2">
      <c r="A3648" t="str">
        <f t="shared" si="1333"/>
        <v>0624095394</v>
      </c>
      <c r="B3648" t="str">
        <f t="shared" si="1334"/>
        <v>ERIN</v>
      </c>
      <c r="C3648" t="str">
        <f t="shared" si="1335"/>
        <v>CORNEAIL</v>
      </c>
      <c r="D3648">
        <f>10</f>
        <v>10</v>
      </c>
      <c r="E3648" t="str">
        <f>"08 - B - 001 - Brian M Fitzgerald"</f>
        <v>08 - B - 001 - Brian M Fitzgerald</v>
      </c>
      <c r="F3648" t="str">
        <f>"CERAM/POT 1"</f>
        <v>CERAM/POT 1</v>
      </c>
      <c r="G3648" t="str">
        <f>"09-908"</f>
        <v>09-908</v>
      </c>
      <c r="H3648" t="str">
        <f>"B"</f>
        <v>B</v>
      </c>
    </row>
    <row r="3649" spans="1:8" x14ac:dyDescent="0.2">
      <c r="A3649" t="str">
        <f t="shared" ref="A3649:A3656" si="1336">"0615011243"</f>
        <v>0615011243</v>
      </c>
      <c r="B3649" t="str">
        <f t="shared" ref="B3649:B3656" si="1337">"FRANCESCO"</f>
        <v>FRANCESCO</v>
      </c>
      <c r="C3649" t="str">
        <f t="shared" ref="C3649:C3664" si="1338">"CORRALES"</f>
        <v>CORRALES</v>
      </c>
      <c r="D3649">
        <f>11</f>
        <v>11</v>
      </c>
      <c r="E3649" t="str">
        <f>"04 - A - 102 - Lisa J London"</f>
        <v>04 - A - 102 - Lisa J London</v>
      </c>
      <c r="F3649" t="str">
        <f>"AP CAPSTONE SEMINAR"</f>
        <v>AP CAPSTONE SEMINAR</v>
      </c>
      <c r="G3649" t="str">
        <f>"17-1714"</f>
        <v>17-1714</v>
      </c>
      <c r="H3649" t="str">
        <f>"A"</f>
        <v>A</v>
      </c>
    </row>
    <row r="3650" spans="1:8" x14ac:dyDescent="0.2">
      <c r="A3650" t="str">
        <f t="shared" si="1336"/>
        <v>0615011243</v>
      </c>
      <c r="B3650" t="str">
        <f t="shared" si="1337"/>
        <v>FRANCESCO</v>
      </c>
      <c r="C3650" t="str">
        <f t="shared" si="1338"/>
        <v>CORRALES</v>
      </c>
      <c r="D3650">
        <f>11</f>
        <v>11</v>
      </c>
      <c r="E3650" t="str">
        <f>"06 - B - 102 - Stephen T Ripp"</f>
        <v>06 - B - 102 - Stephen T Ripp</v>
      </c>
      <c r="F3650" t="str">
        <f>"AP U.S. HIST"</f>
        <v>AP U.S. HIST</v>
      </c>
      <c r="G3650" t="str">
        <f>"17-1744"</f>
        <v>17-1744</v>
      </c>
      <c r="H3650" t="str">
        <f>"B"</f>
        <v>B</v>
      </c>
    </row>
    <row r="3651" spans="1:8" x14ac:dyDescent="0.2">
      <c r="A3651" t="str">
        <f t="shared" si="1336"/>
        <v>0615011243</v>
      </c>
      <c r="B3651" t="str">
        <f t="shared" si="1337"/>
        <v>FRANCESCO</v>
      </c>
      <c r="C3651" t="str">
        <f t="shared" si="1338"/>
        <v>CORRALES</v>
      </c>
      <c r="D3651">
        <f>11</f>
        <v>11</v>
      </c>
      <c r="E3651" t="str">
        <f>"03 - A - 101 - Jacqueline R Morphet"</f>
        <v>03 - A - 101 - Jacqueline R Morphet</v>
      </c>
      <c r="F3651" t="str">
        <f>"AP PHYSICS 1"</f>
        <v>AP PHYSICS 1</v>
      </c>
      <c r="G3651" t="str">
        <f>"21-2138"</f>
        <v>21-2138</v>
      </c>
      <c r="H3651" t="str">
        <f>"A"</f>
        <v>A</v>
      </c>
    </row>
    <row r="3652" spans="1:8" x14ac:dyDescent="0.2">
      <c r="A3652" t="str">
        <f t="shared" si="1336"/>
        <v>0615011243</v>
      </c>
      <c r="B3652" t="str">
        <f t="shared" si="1337"/>
        <v>FRANCESCO</v>
      </c>
      <c r="C3652" t="str">
        <f t="shared" si="1338"/>
        <v>CORRALES</v>
      </c>
      <c r="D3652">
        <f>11</f>
        <v>11</v>
      </c>
      <c r="E3652" t="str">
        <f>"02 - A - 114 - Eva T Rimmer"</f>
        <v>02 - A - 114 - Eva T Rimmer</v>
      </c>
      <c r="F3652" t="str">
        <f>"NC STUDY HALL 1"</f>
        <v>NC STUDY HALL 1</v>
      </c>
      <c r="G3652" t="str">
        <f>"05-523"</f>
        <v>05-523</v>
      </c>
      <c r="H3652" t="str">
        <f>"A"</f>
        <v>A</v>
      </c>
    </row>
    <row r="3653" spans="1:8" x14ac:dyDescent="0.2">
      <c r="A3653" t="str">
        <f t="shared" si="1336"/>
        <v>0615011243</v>
      </c>
      <c r="B3653" t="str">
        <f t="shared" si="1337"/>
        <v>FRANCESCO</v>
      </c>
      <c r="C3653" t="str">
        <f t="shared" si="1338"/>
        <v>CORRALES</v>
      </c>
      <c r="D3653">
        <f>11</f>
        <v>11</v>
      </c>
      <c r="E3653" t="str">
        <f>"07 - B - 102 - Pamela M Corzo"</f>
        <v>07 - B - 102 - Pamela M Corzo</v>
      </c>
      <c r="F3653" t="str">
        <f>"AP CALCULUS AB"</f>
        <v>AP CALCULUS AB</v>
      </c>
      <c r="G3653" t="str">
        <f>"21-2133"</f>
        <v>21-2133</v>
      </c>
      <c r="H3653" t="str">
        <f>"B"</f>
        <v>B</v>
      </c>
    </row>
    <row r="3654" spans="1:8" x14ac:dyDescent="0.2">
      <c r="A3654" t="str">
        <f t="shared" si="1336"/>
        <v>0615011243</v>
      </c>
      <c r="B3654" t="str">
        <f t="shared" si="1337"/>
        <v>FRANCESCO</v>
      </c>
      <c r="C3654" t="str">
        <f t="shared" si="1338"/>
        <v>CORRALES</v>
      </c>
      <c r="D3654">
        <f>11</f>
        <v>11</v>
      </c>
      <c r="E3654" t="str">
        <f>"05 - B - 103 - Tina M Jaramillo"</f>
        <v>05 - B - 103 - Tina M Jaramillo</v>
      </c>
      <c r="F3654" t="str">
        <f>"AP ENG COMPO"</f>
        <v>AP ENG COMPO</v>
      </c>
      <c r="G3654" t="str">
        <f>"17-1706"</f>
        <v>17-1706</v>
      </c>
      <c r="H3654" t="str">
        <f>"B"</f>
        <v>B</v>
      </c>
    </row>
    <row r="3655" spans="1:8" x14ac:dyDescent="0.2">
      <c r="A3655" t="str">
        <f t="shared" si="1336"/>
        <v>0615011243</v>
      </c>
      <c r="B3655" t="str">
        <f t="shared" si="1337"/>
        <v>FRANCESCO</v>
      </c>
      <c r="C3655" t="str">
        <f t="shared" si="1338"/>
        <v>CORRALES</v>
      </c>
      <c r="D3655">
        <f>11</f>
        <v>11</v>
      </c>
      <c r="E3655" t="str">
        <f>"01 - A - 101 - Kelly N Panza"</f>
        <v>01 - A - 101 - Kelly N Panza</v>
      </c>
      <c r="F3655" t="str">
        <f>"AP HUMAN GEOG"</f>
        <v>AP HUMAN GEOG</v>
      </c>
      <c r="G3655" t="str">
        <f>"17-1753"</f>
        <v>17-1753</v>
      </c>
      <c r="H3655" t="str">
        <f>"A"</f>
        <v>A</v>
      </c>
    </row>
    <row r="3656" spans="1:8" x14ac:dyDescent="0.2">
      <c r="A3656" t="str">
        <f t="shared" si="1336"/>
        <v>0615011243</v>
      </c>
      <c r="B3656" t="str">
        <f t="shared" si="1337"/>
        <v>FRANCESCO</v>
      </c>
      <c r="C3656" t="str">
        <f t="shared" si="1338"/>
        <v>CORRALES</v>
      </c>
      <c r="D3656">
        <f>11</f>
        <v>11</v>
      </c>
      <c r="E3656" t="str">
        <f>"08 - B - 101 - Jordana K Hass"</f>
        <v>08 - B - 101 - Jordana K Hass</v>
      </c>
      <c r="F3656" t="str">
        <f>"AICE INFO TECH 1 AS"</f>
        <v>AICE INFO TECH 1 AS</v>
      </c>
      <c r="G3656" t="str">
        <f>"08-807"</f>
        <v>08-807</v>
      </c>
      <c r="H3656" t="str">
        <f>"B"</f>
        <v>B</v>
      </c>
    </row>
    <row r="3657" spans="1:8" x14ac:dyDescent="0.2">
      <c r="A3657" t="str">
        <f t="shared" ref="A3657:A3664" si="1339">"0613109340"</f>
        <v>0613109340</v>
      </c>
      <c r="B3657" t="str">
        <f t="shared" ref="B3657:B3664" si="1340">"RENATO"</f>
        <v>RENATO</v>
      </c>
      <c r="C3657" t="str">
        <f t="shared" si="1338"/>
        <v>CORRALES</v>
      </c>
      <c r="D3657">
        <f>12</f>
        <v>12</v>
      </c>
      <c r="E3657" t="str">
        <f>"04 - A - 202 - Daniel S Katz"</f>
        <v>04 - A - 202 - Daniel S Katz</v>
      </c>
      <c r="F3657" t="str">
        <f>"AICE DRAMA 2 A LEVEL"</f>
        <v>AICE DRAMA 2 A LEVEL</v>
      </c>
      <c r="G3657" t="str">
        <f>"05-521"</f>
        <v>05-521</v>
      </c>
      <c r="H3657" t="str">
        <f>"A"</f>
        <v>A</v>
      </c>
    </row>
    <row r="3658" spans="1:8" x14ac:dyDescent="0.2">
      <c r="A3658" t="str">
        <f t="shared" si="1339"/>
        <v>0613109340</v>
      </c>
      <c r="B3658" t="str">
        <f t="shared" si="1340"/>
        <v>RENATO</v>
      </c>
      <c r="C3658" t="str">
        <f t="shared" si="1338"/>
        <v>CORRALES</v>
      </c>
      <c r="D3658">
        <f>12</f>
        <v>12</v>
      </c>
      <c r="E3658" t="str">
        <f>"06 - B - 112 - Lisa  Quinn"</f>
        <v>06 - B - 112 - Lisa  Quinn</v>
      </c>
      <c r="F3658" t="str">
        <f>"NC STUDY HALL 1"</f>
        <v>NC STUDY HALL 1</v>
      </c>
      <c r="G3658" t="str">
        <f>"17-1725"</f>
        <v>17-1725</v>
      </c>
      <c r="H3658" t="str">
        <f>"B"</f>
        <v>B</v>
      </c>
    </row>
    <row r="3659" spans="1:8" x14ac:dyDescent="0.2">
      <c r="A3659" t="str">
        <f t="shared" si="1339"/>
        <v>0613109340</v>
      </c>
      <c r="B3659" t="str">
        <f t="shared" si="1340"/>
        <v>RENATO</v>
      </c>
      <c r="C3659" t="str">
        <f t="shared" si="1338"/>
        <v>CORRALES</v>
      </c>
      <c r="D3659">
        <f>12</f>
        <v>12</v>
      </c>
      <c r="E3659" t="str">
        <f>"03 - A - 101 - Jacqueline R Morphet"</f>
        <v>03 - A - 101 - Jacqueline R Morphet</v>
      </c>
      <c r="F3659" t="str">
        <f>"AP PHYSICS 1"</f>
        <v>AP PHYSICS 1</v>
      </c>
      <c r="G3659" t="str">
        <f>"21-2138"</f>
        <v>21-2138</v>
      </c>
      <c r="H3659" t="str">
        <f>"A"</f>
        <v>A</v>
      </c>
    </row>
    <row r="3660" spans="1:8" x14ac:dyDescent="0.2">
      <c r="A3660" t="str">
        <f t="shared" si="1339"/>
        <v>0613109340</v>
      </c>
      <c r="B3660" t="str">
        <f t="shared" si="1340"/>
        <v>RENATO</v>
      </c>
      <c r="C3660" t="str">
        <f t="shared" si="1338"/>
        <v>CORRALES</v>
      </c>
      <c r="D3660">
        <f>12</f>
        <v>12</v>
      </c>
      <c r="E3660" t="str">
        <f>"02 - A - 107 - Tina M Jaramillo"</f>
        <v>02 - A - 107 - Tina M Jaramillo</v>
      </c>
      <c r="F3660" t="str">
        <f>"AP ENG LIT COMPO"</f>
        <v>AP ENG LIT COMPO</v>
      </c>
      <c r="G3660" t="str">
        <f>"17-1706"</f>
        <v>17-1706</v>
      </c>
      <c r="H3660" t="str">
        <f>"A"</f>
        <v>A</v>
      </c>
    </row>
    <row r="3661" spans="1:8" x14ac:dyDescent="0.2">
      <c r="A3661" t="str">
        <f t="shared" si="1339"/>
        <v>0613109340</v>
      </c>
      <c r="B3661" t="str">
        <f t="shared" si="1340"/>
        <v>RENATO</v>
      </c>
      <c r="C3661" t="str">
        <f t="shared" si="1338"/>
        <v>CORRALES</v>
      </c>
      <c r="D3661">
        <f>12</f>
        <v>12</v>
      </c>
      <c r="E3661" t="str">
        <f>"07 - S1 - B - 101 - Stephen T Ripp"</f>
        <v>07 - S1 - B - 101 - Stephen T Ripp</v>
      </c>
      <c r="F3661" t="str">
        <f>"AP US GOVT/POL"</f>
        <v>AP US GOVT/POL</v>
      </c>
      <c r="G3661" t="str">
        <f>"17-1744"</f>
        <v>17-1744</v>
      </c>
      <c r="H3661" t="str">
        <f>"B"</f>
        <v>B</v>
      </c>
    </row>
    <row r="3662" spans="1:8" x14ac:dyDescent="0.2">
      <c r="A3662" t="str">
        <f t="shared" si="1339"/>
        <v>0613109340</v>
      </c>
      <c r="B3662" t="str">
        <f t="shared" si="1340"/>
        <v>RENATO</v>
      </c>
      <c r="C3662" t="str">
        <f t="shared" si="1338"/>
        <v>CORRALES</v>
      </c>
      <c r="D3662">
        <f>12</f>
        <v>12</v>
      </c>
      <c r="E3662" t="str">
        <f>"05 - B - 103 - Chrystina M Marchionne"</f>
        <v>05 - B - 103 - Chrystina M Marchionne</v>
      </c>
      <c r="F3662" t="str">
        <f>"AICE MEDIA STUDIES A"</f>
        <v>AICE MEDIA STUDIES A</v>
      </c>
      <c r="G3662" t="str">
        <f>"05-520"</f>
        <v>05-520</v>
      </c>
      <c r="H3662" t="str">
        <f>"B"</f>
        <v>B</v>
      </c>
    </row>
    <row r="3663" spans="1:8" x14ac:dyDescent="0.2">
      <c r="A3663" t="str">
        <f t="shared" si="1339"/>
        <v>0613109340</v>
      </c>
      <c r="B3663" t="str">
        <f t="shared" si="1340"/>
        <v>RENATO</v>
      </c>
      <c r="C3663" t="str">
        <f t="shared" si="1338"/>
        <v>CORRALES</v>
      </c>
      <c r="D3663">
        <f>12</f>
        <v>12</v>
      </c>
      <c r="E3663" t="str">
        <f>"01 - A - 201 - Pamela M Corzo"</f>
        <v>01 - A - 201 - Pamela M Corzo</v>
      </c>
      <c r="F3663" t="str">
        <f>"AP CALCULUS BC"</f>
        <v>AP CALCULUS BC</v>
      </c>
      <c r="G3663" t="str">
        <f>"21-2133"</f>
        <v>21-2133</v>
      </c>
      <c r="H3663" t="str">
        <f>"A"</f>
        <v>A</v>
      </c>
    </row>
    <row r="3664" spans="1:8" x14ac:dyDescent="0.2">
      <c r="A3664" t="str">
        <f t="shared" si="1339"/>
        <v>0613109340</v>
      </c>
      <c r="B3664" t="str">
        <f t="shared" si="1340"/>
        <v>RENATO</v>
      </c>
      <c r="C3664" t="str">
        <f t="shared" si="1338"/>
        <v>CORRALES</v>
      </c>
      <c r="D3664">
        <f>12</f>
        <v>12</v>
      </c>
      <c r="E3664" t="str">
        <f>"08 - B - 102 - Lisa J London"</f>
        <v>08 - B - 102 - Lisa J London</v>
      </c>
      <c r="F3664" t="str">
        <f>"AP CAPSTONE RESEARCH"</f>
        <v>AP CAPSTONE RESEARCH</v>
      </c>
      <c r="G3664" t="str">
        <f>"17-1714"</f>
        <v>17-1714</v>
      </c>
      <c r="H3664" t="str">
        <f>"B"</f>
        <v>B</v>
      </c>
    </row>
    <row r="3665" spans="1:8" x14ac:dyDescent="0.2">
      <c r="A3665" t="str">
        <f t="shared" ref="A3665:A3672" si="1341">"0616068825"</f>
        <v>0616068825</v>
      </c>
      <c r="B3665" t="str">
        <f t="shared" ref="B3665:B3672" si="1342">"MAXAMILLION"</f>
        <v>MAXAMILLION</v>
      </c>
      <c r="C3665" t="str">
        <f t="shared" ref="C3665:C3672" si="1343">"CORSO-KELLY"</f>
        <v>CORSO-KELLY</v>
      </c>
      <c r="D3665">
        <f>10</f>
        <v>10</v>
      </c>
      <c r="E3665" t="str">
        <f>"04 - S1 - A - 107 - Richard E Dunbar Iii"</f>
        <v>04 - S1 - A - 107 - Richard E Dunbar Iii</v>
      </c>
      <c r="F3665" t="str">
        <f>"WEIGHT TRAIN 3"</f>
        <v>WEIGHT TRAIN 3</v>
      </c>
      <c r="G3665" t="str">
        <f>"05-501"</f>
        <v>05-501</v>
      </c>
      <c r="H3665" t="str">
        <f>"A"</f>
        <v>A</v>
      </c>
    </row>
    <row r="3666" spans="1:8" x14ac:dyDescent="0.2">
      <c r="A3666" t="str">
        <f t="shared" si="1341"/>
        <v>0616068825</v>
      </c>
      <c r="B3666" t="str">
        <f t="shared" si="1342"/>
        <v>MAXAMILLION</v>
      </c>
      <c r="C3666" t="str">
        <f t="shared" si="1343"/>
        <v>CORSO-KELLY</v>
      </c>
      <c r="D3666">
        <f>10</f>
        <v>10</v>
      </c>
      <c r="E3666" t="str">
        <f>"06 - B - 105 - Jeffrey S Gallagher"</f>
        <v>06 - B - 105 - Jeffrey S Gallagher</v>
      </c>
      <c r="F3666" t="str">
        <f>"NC STUDY HALL 1"</f>
        <v>NC STUDY HALL 1</v>
      </c>
      <c r="G3666" t="str">
        <f>"17-1724"</f>
        <v>17-1724</v>
      </c>
      <c r="H3666" t="str">
        <f>"B"</f>
        <v>B</v>
      </c>
    </row>
    <row r="3667" spans="1:8" x14ac:dyDescent="0.2">
      <c r="A3667" t="str">
        <f t="shared" si="1341"/>
        <v>0616068825</v>
      </c>
      <c r="B3667" t="str">
        <f t="shared" si="1342"/>
        <v>MAXAMILLION</v>
      </c>
      <c r="C3667" t="str">
        <f t="shared" si="1343"/>
        <v>CORSO-KELLY</v>
      </c>
      <c r="D3667">
        <f>10</f>
        <v>10</v>
      </c>
      <c r="E3667" t="str">
        <f>"03 - A - 208 - Marielle A Witting"</f>
        <v>03 - A - 208 - Marielle A Witting</v>
      </c>
      <c r="F3667" t="str">
        <f>"ANAT PHYSIO"</f>
        <v>ANAT PHYSIO</v>
      </c>
      <c r="G3667" t="str">
        <f>"08-805"</f>
        <v>08-805</v>
      </c>
      <c r="H3667" t="str">
        <f>"A"</f>
        <v>A</v>
      </c>
    </row>
    <row r="3668" spans="1:8" x14ac:dyDescent="0.2">
      <c r="A3668" t="str">
        <f t="shared" si="1341"/>
        <v>0616068825</v>
      </c>
      <c r="B3668" t="str">
        <f t="shared" si="1342"/>
        <v>MAXAMILLION</v>
      </c>
      <c r="C3668" t="str">
        <f t="shared" si="1343"/>
        <v>CORSO-KELLY</v>
      </c>
      <c r="D3668">
        <f>10</f>
        <v>10</v>
      </c>
      <c r="E3668" t="str">
        <f>"02 - A - 101 - Brian M Fitzgerald"</f>
        <v>02 - A - 101 - Brian M Fitzgerald</v>
      </c>
      <c r="F3668" t="str">
        <f>"DRAW 1"</f>
        <v>DRAW 1</v>
      </c>
      <c r="G3668" t="str">
        <f>"09-908"</f>
        <v>09-908</v>
      </c>
      <c r="H3668" t="str">
        <f>"A"</f>
        <v>A</v>
      </c>
    </row>
    <row r="3669" spans="1:8" x14ac:dyDescent="0.2">
      <c r="A3669" t="str">
        <f t="shared" si="1341"/>
        <v>0616068825</v>
      </c>
      <c r="B3669" t="str">
        <f t="shared" si="1342"/>
        <v>MAXAMILLION</v>
      </c>
      <c r="C3669" t="str">
        <f t="shared" si="1343"/>
        <v>CORSO-KELLY</v>
      </c>
      <c r="D3669">
        <f>10</f>
        <v>10</v>
      </c>
      <c r="E3669" t="str">
        <f>"07 - S1 - B - 102 - Arthur  Kulawik"</f>
        <v>07 - S1 - B - 102 - Arthur  Kulawik</v>
      </c>
      <c r="F3669" t="str">
        <f>"PERS FIN &amp; MON MGT H"</f>
        <v>PERS FIN &amp; MON MGT H</v>
      </c>
      <c r="G3669" t="str">
        <f>"05-506"</f>
        <v>05-506</v>
      </c>
      <c r="H3669" t="str">
        <f>"B"</f>
        <v>B</v>
      </c>
    </row>
    <row r="3670" spans="1:8" x14ac:dyDescent="0.2">
      <c r="A3670" t="str">
        <f t="shared" si="1341"/>
        <v>0616068825</v>
      </c>
      <c r="B3670" t="str">
        <f t="shared" si="1342"/>
        <v>MAXAMILLION</v>
      </c>
      <c r="C3670" t="str">
        <f t="shared" si="1343"/>
        <v>CORSO-KELLY</v>
      </c>
      <c r="D3670">
        <f>10</f>
        <v>10</v>
      </c>
      <c r="E3670" t="str">
        <f>"05 - B - 106 - Jacquelyn M Neeson"</f>
        <v>05 - B - 106 - Jacquelyn M Neeson</v>
      </c>
      <c r="F3670" t="str">
        <f>"ENG 2"</f>
        <v>ENG 2</v>
      </c>
      <c r="G3670" t="str">
        <f>"17-1715"</f>
        <v>17-1715</v>
      </c>
      <c r="H3670" t="str">
        <f>"B"</f>
        <v>B</v>
      </c>
    </row>
    <row r="3671" spans="1:8" x14ac:dyDescent="0.2">
      <c r="A3671" t="str">
        <f t="shared" si="1341"/>
        <v>0616068825</v>
      </c>
      <c r="B3671" t="str">
        <f t="shared" si="1342"/>
        <v>MAXAMILLION</v>
      </c>
      <c r="C3671" t="str">
        <f t="shared" si="1343"/>
        <v>CORSO-KELLY</v>
      </c>
      <c r="D3671">
        <f>10</f>
        <v>10</v>
      </c>
      <c r="E3671" t="str">
        <f>"01 - A - 101 - Eva T Rimmer"</f>
        <v>01 - A - 101 - Eva T Rimmer</v>
      </c>
      <c r="F3671" t="str">
        <f>"CRIMINAL JUST OPS 2"</f>
        <v>CRIMINAL JUST OPS 2</v>
      </c>
      <c r="G3671" t="str">
        <f>"05-523"</f>
        <v>05-523</v>
      </c>
      <c r="H3671" t="str">
        <f>"A"</f>
        <v>A</v>
      </c>
    </row>
    <row r="3672" spans="1:8" x14ac:dyDescent="0.2">
      <c r="A3672" t="str">
        <f t="shared" si="1341"/>
        <v>0616068825</v>
      </c>
      <c r="B3672" t="str">
        <f t="shared" si="1342"/>
        <v>MAXAMILLION</v>
      </c>
      <c r="C3672" t="str">
        <f t="shared" si="1343"/>
        <v>CORSO-KELLY</v>
      </c>
      <c r="D3672">
        <f>10</f>
        <v>10</v>
      </c>
      <c r="E3672" t="str">
        <f>"08 - B - 107 - Dayna M Foster"</f>
        <v>08 - B - 107 - Dayna M Foster</v>
      </c>
      <c r="F3672" t="str">
        <f>"ALGEBRA 2"</f>
        <v>ALGEBRA 2</v>
      </c>
      <c r="G3672" t="str">
        <f>"21-2109"</f>
        <v>21-2109</v>
      </c>
      <c r="H3672" t="str">
        <f>"B"</f>
        <v>B</v>
      </c>
    </row>
    <row r="3673" spans="1:8" x14ac:dyDescent="0.2">
      <c r="A3673" t="str">
        <f t="shared" ref="A3673:A3680" si="1344">"0622061822"</f>
        <v>0622061822</v>
      </c>
      <c r="B3673" t="str">
        <f t="shared" ref="B3673:B3680" si="1345">"KEYLA"</f>
        <v>KEYLA</v>
      </c>
      <c r="C3673" t="str">
        <f t="shared" ref="C3673:C3680" si="1346">"CORTADA MACHADO"</f>
        <v>CORTADA MACHADO</v>
      </c>
      <c r="D3673" t="str">
        <f t="shared" ref="D3673:D3680" si="1347">"09"</f>
        <v>09</v>
      </c>
      <c r="E3673" t="str">
        <f>"04 - A - 102 - Eva T Rimmer"</f>
        <v>04 - A - 102 - Eva T Rimmer</v>
      </c>
      <c r="F3673" t="str">
        <f>"CRIMINAL JUST OPS 1"</f>
        <v>CRIMINAL JUST OPS 1</v>
      </c>
      <c r="G3673" t="str">
        <f>"05-523"</f>
        <v>05-523</v>
      </c>
      <c r="H3673" t="str">
        <f>"A"</f>
        <v>A</v>
      </c>
    </row>
    <row r="3674" spans="1:8" x14ac:dyDescent="0.2">
      <c r="A3674" t="str">
        <f t="shared" si="1344"/>
        <v>0622061822</v>
      </c>
      <c r="B3674" t="str">
        <f t="shared" si="1345"/>
        <v>KEYLA</v>
      </c>
      <c r="C3674" t="str">
        <f t="shared" si="1346"/>
        <v>CORTADA MACHADO</v>
      </c>
      <c r="D3674" t="str">
        <f t="shared" si="1347"/>
        <v>09</v>
      </c>
      <c r="E3674" t="str">
        <f>"06 - B - 110 - Krystal Marie  Beruty"</f>
        <v>06 - B - 110 - Krystal Marie  Beruty</v>
      </c>
      <c r="F3674" t="str">
        <f>"AICE GLBL PERSP 1 AS"</f>
        <v>AICE GLBL PERSP 1 AS</v>
      </c>
      <c r="G3674" t="str">
        <f>"17-1721"</f>
        <v>17-1721</v>
      </c>
      <c r="H3674" t="str">
        <f>"B"</f>
        <v>B</v>
      </c>
    </row>
    <row r="3675" spans="1:8" x14ac:dyDescent="0.2">
      <c r="A3675" t="str">
        <f t="shared" si="1344"/>
        <v>0622061822</v>
      </c>
      <c r="B3675" t="str">
        <f t="shared" si="1345"/>
        <v>KEYLA</v>
      </c>
      <c r="C3675" t="str">
        <f t="shared" si="1346"/>
        <v>CORTADA MACHADO</v>
      </c>
      <c r="D3675" t="str">
        <f t="shared" si="1347"/>
        <v>09</v>
      </c>
      <c r="E3675" t="str">
        <f>"03 - A - 101 - Alejandro  Navarro"</f>
        <v>03 - A - 101 - Alejandro  Navarro</v>
      </c>
      <c r="F3675" t="str">
        <f>"BAND 3"</f>
        <v>BAND 3</v>
      </c>
      <c r="G3675" t="str">
        <f>"05-504"</f>
        <v>05-504</v>
      </c>
      <c r="H3675" t="str">
        <f>"A"</f>
        <v>A</v>
      </c>
    </row>
    <row r="3676" spans="1:8" x14ac:dyDescent="0.2">
      <c r="A3676" t="str">
        <f t="shared" si="1344"/>
        <v>0622061822</v>
      </c>
      <c r="B3676" t="str">
        <f t="shared" si="1345"/>
        <v>KEYLA</v>
      </c>
      <c r="C3676" t="str">
        <f t="shared" si="1346"/>
        <v>CORTADA MACHADO</v>
      </c>
      <c r="D3676" t="str">
        <f t="shared" si="1347"/>
        <v>09</v>
      </c>
      <c r="E3676" t="str">
        <f>"02 - A - 110 - Maried P Ramos"</f>
        <v>02 - A - 110 - Maried P Ramos</v>
      </c>
      <c r="F3676" t="str">
        <f>"NC STUDY HALL 1"</f>
        <v>NC STUDY HALL 1</v>
      </c>
      <c r="G3676" t="str">
        <f>"21-2159"</f>
        <v>21-2159</v>
      </c>
      <c r="H3676" t="str">
        <f>"A"</f>
        <v>A</v>
      </c>
    </row>
    <row r="3677" spans="1:8" x14ac:dyDescent="0.2">
      <c r="A3677" t="str">
        <f t="shared" si="1344"/>
        <v>0622061822</v>
      </c>
      <c r="B3677" t="str">
        <f t="shared" si="1345"/>
        <v>KEYLA</v>
      </c>
      <c r="C3677" t="str">
        <f t="shared" si="1346"/>
        <v>CORTADA MACHADO</v>
      </c>
      <c r="D3677" t="str">
        <f t="shared" si="1347"/>
        <v>09</v>
      </c>
      <c r="E3677" t="str">
        <f>"07 - B - 107 - Brook E Goren"</f>
        <v>07 - B - 107 - Brook E Goren</v>
      </c>
      <c r="F3677" t="str">
        <f>"PRE-AICE MATH 2 IG"</f>
        <v>PRE-AICE MATH 2 IG</v>
      </c>
      <c r="G3677" t="str">
        <f>"21-2158"</f>
        <v>21-2158</v>
      </c>
      <c r="H3677" t="str">
        <f>"B"</f>
        <v>B</v>
      </c>
    </row>
    <row r="3678" spans="1:8" x14ac:dyDescent="0.2">
      <c r="A3678" t="str">
        <f t="shared" si="1344"/>
        <v>0622061822</v>
      </c>
      <c r="B3678" t="str">
        <f t="shared" si="1345"/>
        <v>KEYLA</v>
      </c>
      <c r="C3678" t="str">
        <f t="shared" si="1346"/>
        <v>CORTADA MACHADO</v>
      </c>
      <c r="D3678" t="str">
        <f t="shared" si="1347"/>
        <v>09</v>
      </c>
      <c r="E3678" t="str">
        <f>"05 - B - 101 - Arthur  Kulawik"</f>
        <v>05 - B - 101 - Arthur  Kulawik</v>
      </c>
      <c r="F3678" t="str">
        <f>"DEBATE 2 LH"</f>
        <v>DEBATE 2 LH</v>
      </c>
      <c r="G3678" t="str">
        <f>"05-506"</f>
        <v>05-506</v>
      </c>
      <c r="H3678" t="str">
        <f>"B"</f>
        <v>B</v>
      </c>
    </row>
    <row r="3679" spans="1:8" x14ac:dyDescent="0.2">
      <c r="A3679" t="str">
        <f t="shared" si="1344"/>
        <v>0622061822</v>
      </c>
      <c r="B3679" t="str">
        <f t="shared" si="1345"/>
        <v>KEYLA</v>
      </c>
      <c r="C3679" t="str">
        <f t="shared" si="1346"/>
        <v>CORTADA MACHADO</v>
      </c>
      <c r="D3679" t="str">
        <f t="shared" si="1347"/>
        <v>09</v>
      </c>
      <c r="E3679" t="str">
        <f>"01 - A - 101 - Byron G Montenegro"</f>
        <v>01 - A - 101 - Byron G Montenegro</v>
      </c>
      <c r="F3679" t="str">
        <f>"AICE MARINE SCI 1 AS"</f>
        <v>AICE MARINE SCI 1 AS</v>
      </c>
      <c r="G3679" t="str">
        <f>"21-2144"</f>
        <v>21-2144</v>
      </c>
      <c r="H3679" t="str">
        <f>"A"</f>
        <v>A</v>
      </c>
    </row>
    <row r="3680" spans="1:8" x14ac:dyDescent="0.2">
      <c r="A3680" t="str">
        <f t="shared" si="1344"/>
        <v>0622061822</v>
      </c>
      <c r="B3680" t="str">
        <f t="shared" si="1345"/>
        <v>KEYLA</v>
      </c>
      <c r="C3680" t="str">
        <f t="shared" si="1346"/>
        <v>CORTADA MACHADO</v>
      </c>
      <c r="D3680" t="str">
        <f t="shared" si="1347"/>
        <v>09</v>
      </c>
      <c r="E3680" t="str">
        <f>"08 - B - 004 - Cheryl Anne  Berman-Schechter"</f>
        <v>08 - B - 004 - Cheryl Anne  Berman-Schechter</v>
      </c>
      <c r="F3680" t="str">
        <f>"AICE ENG GEN PAPER 1"</f>
        <v>AICE ENG GEN PAPER 1</v>
      </c>
      <c r="G3680" t="str">
        <f>"17-1722"</f>
        <v>17-1722</v>
      </c>
      <c r="H3680" t="str">
        <f>"B"</f>
        <v>B</v>
      </c>
    </row>
    <row r="3681" spans="1:8" x14ac:dyDescent="0.2">
      <c r="A3681" t="str">
        <f t="shared" ref="A3681:A3688" si="1348">"0616047348"</f>
        <v>0616047348</v>
      </c>
      <c r="B3681" t="str">
        <f t="shared" ref="B3681:B3688" si="1349">"CHARLOTTE"</f>
        <v>CHARLOTTE</v>
      </c>
      <c r="C3681" t="str">
        <f t="shared" ref="C3681:C3696" si="1350">"CORTES"</f>
        <v>CORTES</v>
      </c>
      <c r="D3681">
        <f>10</f>
        <v>10</v>
      </c>
      <c r="E3681" t="str">
        <f>"04 - A - 104 - Courtney E Hambright"</f>
        <v>04 - A - 104 - Courtney E Hambright</v>
      </c>
      <c r="F3681" t="str">
        <f>"AICE ENG LANG AS"</f>
        <v>AICE ENG LANG AS</v>
      </c>
      <c r="G3681" t="str">
        <f>"17-1711"</f>
        <v>17-1711</v>
      </c>
      <c r="H3681" t="str">
        <f>"A"</f>
        <v>A</v>
      </c>
    </row>
    <row r="3682" spans="1:8" x14ac:dyDescent="0.2">
      <c r="A3682" t="str">
        <f t="shared" si="1348"/>
        <v>0616047348</v>
      </c>
      <c r="B3682" t="str">
        <f t="shared" si="1349"/>
        <v>CHARLOTTE</v>
      </c>
      <c r="C3682" t="str">
        <f t="shared" si="1350"/>
        <v>CORTES</v>
      </c>
      <c r="D3682">
        <f>10</f>
        <v>10</v>
      </c>
      <c r="E3682" t="str">
        <f>"06 - B - 107 - Dorothy D Moore"</f>
        <v>06 - B - 107 - Dorothy D Moore</v>
      </c>
      <c r="F3682" t="str">
        <f>"NC STUDY HALL 1"</f>
        <v>NC STUDY HALL 1</v>
      </c>
      <c r="G3682" t="str">
        <f>"08-803"</f>
        <v>08-803</v>
      </c>
      <c r="H3682" t="str">
        <f>"B"</f>
        <v>B</v>
      </c>
    </row>
    <row r="3683" spans="1:8" x14ac:dyDescent="0.2">
      <c r="A3683" t="str">
        <f t="shared" si="1348"/>
        <v>0616047348</v>
      </c>
      <c r="B3683" t="str">
        <f t="shared" si="1349"/>
        <v>CHARLOTTE</v>
      </c>
      <c r="C3683" t="str">
        <f t="shared" si="1350"/>
        <v>CORTES</v>
      </c>
      <c r="D3683">
        <f>10</f>
        <v>10</v>
      </c>
      <c r="E3683" t="str">
        <f>"03 - A - 002 - Lenecy  Nodarse"</f>
        <v>03 - A - 002 - Lenecy  Nodarse</v>
      </c>
      <c r="F3683" t="str">
        <f>"AICE EURO HIST 1 AS"</f>
        <v>AICE EURO HIST 1 AS</v>
      </c>
      <c r="G3683" t="str">
        <f>"17-1741"</f>
        <v>17-1741</v>
      </c>
      <c r="H3683" t="str">
        <f>"A"</f>
        <v>A</v>
      </c>
    </row>
    <row r="3684" spans="1:8" x14ac:dyDescent="0.2">
      <c r="A3684" t="str">
        <f t="shared" si="1348"/>
        <v>0616047348</v>
      </c>
      <c r="B3684" t="str">
        <f t="shared" si="1349"/>
        <v>CHARLOTTE</v>
      </c>
      <c r="C3684" t="str">
        <f t="shared" si="1350"/>
        <v>CORTES</v>
      </c>
      <c r="D3684">
        <f>10</f>
        <v>10</v>
      </c>
      <c r="E3684" t="str">
        <f>"02 - A - 102 - Marius D Orsolini"</f>
        <v>02 - A - 102 - Marius D Orsolini</v>
      </c>
      <c r="F3684" t="str">
        <f>"CULINARY ARTS 1"</f>
        <v>CULINARY ARTS 1</v>
      </c>
      <c r="G3684" t="str">
        <f>"21-2115"</f>
        <v>21-2115</v>
      </c>
      <c r="H3684" t="str">
        <f>"A"</f>
        <v>A</v>
      </c>
    </row>
    <row r="3685" spans="1:8" x14ac:dyDescent="0.2">
      <c r="A3685" t="str">
        <f t="shared" si="1348"/>
        <v>0616047348</v>
      </c>
      <c r="B3685" t="str">
        <f t="shared" si="1349"/>
        <v>CHARLOTTE</v>
      </c>
      <c r="C3685" t="str">
        <f t="shared" si="1350"/>
        <v>CORTES</v>
      </c>
      <c r="D3685">
        <f>10</f>
        <v>10</v>
      </c>
      <c r="E3685" t="str">
        <f>"07 - B - 102 - Lourivaldo  Da Silva"</f>
        <v>07 - B - 102 - Lourivaldo  Da Silva</v>
      </c>
      <c r="F3685" t="str">
        <f>"ALGEBRA 2 HON"</f>
        <v>ALGEBRA 2 HON</v>
      </c>
      <c r="G3685" t="str">
        <f>"20-2079"</f>
        <v>20-2079</v>
      </c>
      <c r="H3685" t="str">
        <f>"B"</f>
        <v>B</v>
      </c>
    </row>
    <row r="3686" spans="1:8" x14ac:dyDescent="0.2">
      <c r="A3686" t="str">
        <f t="shared" si="1348"/>
        <v>0616047348</v>
      </c>
      <c r="B3686" t="str">
        <f t="shared" si="1349"/>
        <v>CHARLOTTE</v>
      </c>
      <c r="C3686" t="str">
        <f t="shared" si="1350"/>
        <v>CORTES</v>
      </c>
      <c r="D3686">
        <f>10</f>
        <v>10</v>
      </c>
      <c r="E3686" t="str">
        <f>"05 - B - 108 - Valerie J Ruwe"</f>
        <v>05 - B - 108 - Valerie J Ruwe</v>
      </c>
      <c r="F3686" t="str">
        <f>"CHEMISTRY 1 HON"</f>
        <v>CHEMISTRY 1 HON</v>
      </c>
      <c r="G3686" t="str">
        <f>"21-2138"</f>
        <v>21-2138</v>
      </c>
      <c r="H3686" t="str">
        <f>"B"</f>
        <v>B</v>
      </c>
    </row>
    <row r="3687" spans="1:8" x14ac:dyDescent="0.2">
      <c r="A3687" t="str">
        <f t="shared" si="1348"/>
        <v>0616047348</v>
      </c>
      <c r="B3687" t="str">
        <f t="shared" si="1349"/>
        <v>CHARLOTTE</v>
      </c>
      <c r="C3687" t="str">
        <f t="shared" si="1350"/>
        <v>CORTES</v>
      </c>
      <c r="D3687">
        <f>10</f>
        <v>10</v>
      </c>
      <c r="E3687" t="str">
        <f>"01 - S1 - A - 101 - Leslie J Barton"</f>
        <v>01 - S1 - A - 101 - Leslie J Barton</v>
      </c>
      <c r="F3687" t="str">
        <f>"FIRST AID SAFETY"</f>
        <v>FIRST AID SAFETY</v>
      </c>
      <c r="G3687" t="str">
        <f>"05-521"</f>
        <v>05-521</v>
      </c>
      <c r="H3687" t="str">
        <f>"A"</f>
        <v>A</v>
      </c>
    </row>
    <row r="3688" spans="1:8" x14ac:dyDescent="0.2">
      <c r="A3688" t="str">
        <f t="shared" si="1348"/>
        <v>0616047348</v>
      </c>
      <c r="B3688" t="str">
        <f t="shared" si="1349"/>
        <v>CHARLOTTE</v>
      </c>
      <c r="C3688" t="str">
        <f t="shared" si="1350"/>
        <v>CORTES</v>
      </c>
      <c r="D3688">
        <f>10</f>
        <v>10</v>
      </c>
      <c r="E3688" t="str">
        <f>"08 - B - 101 - Jordana K Hass"</f>
        <v>08 - B - 101 - Jordana K Hass</v>
      </c>
      <c r="F3688" t="str">
        <f>"AICE INFO TECH 1 AS"</f>
        <v>AICE INFO TECH 1 AS</v>
      </c>
      <c r="G3688" t="str">
        <f>"08-807"</f>
        <v>08-807</v>
      </c>
      <c r="H3688" t="str">
        <f>"B"</f>
        <v>B</v>
      </c>
    </row>
    <row r="3689" spans="1:8" x14ac:dyDescent="0.2">
      <c r="A3689" t="str">
        <f t="shared" ref="A3689:A3696" si="1351">"0615096052"</f>
        <v>0615096052</v>
      </c>
      <c r="B3689" t="str">
        <f t="shared" ref="B3689:B3696" si="1352">"ELIJAH"</f>
        <v>ELIJAH</v>
      </c>
      <c r="C3689" t="str">
        <f t="shared" si="1350"/>
        <v>CORTES</v>
      </c>
      <c r="D3689">
        <f>10</f>
        <v>10</v>
      </c>
      <c r="E3689" t="str">
        <f>"04 - A - 102 - Byron G Montenegro"</f>
        <v>04 - A - 102 - Byron G Montenegro</v>
      </c>
      <c r="F3689" t="str">
        <f>"AICE MARINE SCI 1 AS"</f>
        <v>AICE MARINE SCI 1 AS</v>
      </c>
      <c r="G3689" t="str">
        <f>"21-2144"</f>
        <v>21-2144</v>
      </c>
      <c r="H3689" t="str">
        <f>"A"</f>
        <v>A</v>
      </c>
    </row>
    <row r="3690" spans="1:8" x14ac:dyDescent="0.2">
      <c r="A3690" t="str">
        <f t="shared" si="1351"/>
        <v>0615096052</v>
      </c>
      <c r="B3690" t="str">
        <f t="shared" si="1352"/>
        <v>ELIJAH</v>
      </c>
      <c r="C3690" t="str">
        <f t="shared" si="1350"/>
        <v>CORTES</v>
      </c>
      <c r="D3690">
        <f>10</f>
        <v>10</v>
      </c>
      <c r="E3690" t="str">
        <f>"06 - B - 119 - Nikiel  Nesbeth"</f>
        <v>06 - B - 119 - Nikiel  Nesbeth</v>
      </c>
      <c r="F3690" t="str">
        <f>"NC STUDY HALL 1"</f>
        <v>NC STUDY HALL 1</v>
      </c>
      <c r="G3690" t="str">
        <f>"17-1705"</f>
        <v>17-1705</v>
      </c>
      <c r="H3690" t="str">
        <f>"B"</f>
        <v>B</v>
      </c>
    </row>
    <row r="3691" spans="1:8" x14ac:dyDescent="0.2">
      <c r="A3691" t="str">
        <f t="shared" si="1351"/>
        <v>0615096052</v>
      </c>
      <c r="B3691" t="str">
        <f t="shared" si="1352"/>
        <v>ELIJAH</v>
      </c>
      <c r="C3691" t="str">
        <f t="shared" si="1350"/>
        <v>CORTES</v>
      </c>
      <c r="D3691">
        <f>10</f>
        <v>10</v>
      </c>
      <c r="E3691" t="str">
        <f>"03 - A - 103 - Kelly N Panza"</f>
        <v>03 - A - 103 - Kelly N Panza</v>
      </c>
      <c r="F3691" t="str">
        <f>"AICE GLBL PERSP 1 AS"</f>
        <v>AICE GLBL PERSP 1 AS</v>
      </c>
      <c r="G3691" t="str">
        <f>"17-1753"</f>
        <v>17-1753</v>
      </c>
      <c r="H3691" t="str">
        <f>"A"</f>
        <v>A</v>
      </c>
    </row>
    <row r="3692" spans="1:8" x14ac:dyDescent="0.2">
      <c r="A3692" t="str">
        <f t="shared" si="1351"/>
        <v>0615096052</v>
      </c>
      <c r="B3692" t="str">
        <f t="shared" si="1352"/>
        <v>ELIJAH</v>
      </c>
      <c r="C3692" t="str">
        <f t="shared" si="1350"/>
        <v>CORTES</v>
      </c>
      <c r="D3692">
        <f>10</f>
        <v>10</v>
      </c>
      <c r="E3692" t="str">
        <f>"02 - A - 202 - Daniel S Tyson"</f>
        <v>02 - A - 202 - Daniel S Tyson</v>
      </c>
      <c r="F3692" t="str">
        <f>"JROTC NAVAL SCI 2"</f>
        <v>JROTC NAVAL SCI 2</v>
      </c>
      <c r="G3692" t="str">
        <f>"05-510"</f>
        <v>05-510</v>
      </c>
      <c r="H3692" t="str">
        <f>"A"</f>
        <v>A</v>
      </c>
    </row>
    <row r="3693" spans="1:8" x14ac:dyDescent="0.2">
      <c r="A3693" t="str">
        <f t="shared" si="1351"/>
        <v>0615096052</v>
      </c>
      <c r="B3693" t="str">
        <f t="shared" si="1352"/>
        <v>ELIJAH</v>
      </c>
      <c r="C3693" t="str">
        <f t="shared" si="1350"/>
        <v>CORTES</v>
      </c>
      <c r="D3693">
        <f>10</f>
        <v>10</v>
      </c>
      <c r="E3693" t="str">
        <f>"07 - B - 107 - Lytrell T Dixon"</f>
        <v>07 - B - 107 - Lytrell T Dixon</v>
      </c>
      <c r="F3693" t="str">
        <f>"BIOLOGY 1"</f>
        <v>BIOLOGY 1</v>
      </c>
      <c r="G3693" t="str">
        <f>"08-808"</f>
        <v>08-808</v>
      </c>
      <c r="H3693" t="str">
        <f>"B"</f>
        <v>B</v>
      </c>
    </row>
    <row r="3694" spans="1:8" x14ac:dyDescent="0.2">
      <c r="A3694" t="str">
        <f t="shared" si="1351"/>
        <v>0615096052</v>
      </c>
      <c r="B3694" t="str">
        <f t="shared" si="1352"/>
        <v>ELIJAH</v>
      </c>
      <c r="C3694" t="str">
        <f t="shared" si="1350"/>
        <v>CORTES</v>
      </c>
      <c r="D3694">
        <f>10</f>
        <v>10</v>
      </c>
      <c r="E3694" t="str">
        <f>"05 - B - 104 - Maried P Ramos"</f>
        <v>05 - B - 104 - Maried P Ramos</v>
      </c>
      <c r="F3694" t="str">
        <f>"PRE-AICE MATH 2 IG"</f>
        <v>PRE-AICE MATH 2 IG</v>
      </c>
      <c r="G3694" t="str">
        <f>"21-2159"</f>
        <v>21-2159</v>
      </c>
      <c r="H3694" t="str">
        <f>"B"</f>
        <v>B</v>
      </c>
    </row>
    <row r="3695" spans="1:8" x14ac:dyDescent="0.2">
      <c r="A3695" t="str">
        <f t="shared" si="1351"/>
        <v>0615096052</v>
      </c>
      <c r="B3695" t="str">
        <f t="shared" si="1352"/>
        <v>ELIJAH</v>
      </c>
      <c r="C3695" t="str">
        <f t="shared" si="1350"/>
        <v>CORTES</v>
      </c>
      <c r="D3695">
        <f>10</f>
        <v>10</v>
      </c>
      <c r="E3695" t="str">
        <f>"01 - S1 - A - 101 - Carol S Moore"</f>
        <v>01 - S1 - A - 101 - Carol S Moore</v>
      </c>
      <c r="F3695" t="str">
        <f>"PERS FIN &amp; MON MGT H"</f>
        <v>PERS FIN &amp; MON MGT H</v>
      </c>
      <c r="G3695" t="str">
        <f>"17-1733"</f>
        <v>17-1733</v>
      </c>
      <c r="H3695" t="str">
        <f>"A"</f>
        <v>A</v>
      </c>
    </row>
    <row r="3696" spans="1:8" x14ac:dyDescent="0.2">
      <c r="A3696" t="str">
        <f t="shared" si="1351"/>
        <v>0615096052</v>
      </c>
      <c r="B3696" t="str">
        <f t="shared" si="1352"/>
        <v>ELIJAH</v>
      </c>
      <c r="C3696" t="str">
        <f t="shared" si="1350"/>
        <v>CORTES</v>
      </c>
      <c r="D3696">
        <f>10</f>
        <v>10</v>
      </c>
      <c r="E3696" t="str">
        <f>"08 - B - 102 - Jacquelyn M Neeson"</f>
        <v>08 - B - 102 - Jacquelyn M Neeson</v>
      </c>
      <c r="F3696" t="str">
        <f>"AICE ENG GEN PAPER 1"</f>
        <v>AICE ENG GEN PAPER 1</v>
      </c>
      <c r="G3696" t="str">
        <f>"17-1715"</f>
        <v>17-1715</v>
      </c>
      <c r="H3696" t="str">
        <f>"B"</f>
        <v>B</v>
      </c>
    </row>
    <row r="3697" spans="1:8" x14ac:dyDescent="0.2">
      <c r="A3697" t="str">
        <f t="shared" ref="A3697:A3704" si="1353">"0616031366"</f>
        <v>0616031366</v>
      </c>
      <c r="B3697" t="str">
        <f t="shared" ref="B3697:B3704" si="1354">"VENUS"</f>
        <v>VENUS</v>
      </c>
      <c r="C3697" t="str">
        <f t="shared" ref="C3697:C3704" si="1355">"CORTEZ"</f>
        <v>CORTEZ</v>
      </c>
      <c r="D3697">
        <f>10</f>
        <v>10</v>
      </c>
      <c r="E3697" t="str">
        <f>"04 - A - 203 - Cheryl L Beach"</f>
        <v>04 - A - 203 - Cheryl L Beach</v>
      </c>
      <c r="F3697" t="str">
        <f>"AICE ENV MGMNT AS"</f>
        <v>AICE ENV MGMNT AS</v>
      </c>
      <c r="G3697" t="str">
        <f>"08-811"</f>
        <v>08-811</v>
      </c>
      <c r="H3697" t="str">
        <f>"A"</f>
        <v>A</v>
      </c>
    </row>
    <row r="3698" spans="1:8" x14ac:dyDescent="0.2">
      <c r="A3698" t="str">
        <f t="shared" si="1353"/>
        <v>0616031366</v>
      </c>
      <c r="B3698" t="str">
        <f t="shared" si="1354"/>
        <v>VENUS</v>
      </c>
      <c r="C3698" t="str">
        <f t="shared" si="1355"/>
        <v>CORTEZ</v>
      </c>
      <c r="D3698">
        <f>10</f>
        <v>10</v>
      </c>
      <c r="E3698" t="str">
        <f>"06 - B - 117 - Daniel S Tyson"</f>
        <v>06 - B - 117 - Daniel S Tyson</v>
      </c>
      <c r="F3698" t="str">
        <f>"NC STUDY HALL 1"</f>
        <v>NC STUDY HALL 1</v>
      </c>
      <c r="G3698" t="str">
        <f>"05-510"</f>
        <v>05-510</v>
      </c>
      <c r="H3698" t="str">
        <f>"B"</f>
        <v>B</v>
      </c>
    </row>
    <row r="3699" spans="1:8" x14ac:dyDescent="0.2">
      <c r="A3699" t="str">
        <f t="shared" si="1353"/>
        <v>0616031366</v>
      </c>
      <c r="B3699" t="str">
        <f t="shared" si="1354"/>
        <v>VENUS</v>
      </c>
      <c r="C3699" t="str">
        <f t="shared" si="1355"/>
        <v>CORTEZ</v>
      </c>
      <c r="D3699">
        <f>10</f>
        <v>10</v>
      </c>
      <c r="E3699" t="str">
        <f>"03 - A - 002 - Brandy N Zdenek"</f>
        <v>03 - A - 002 - Brandy N Zdenek</v>
      </c>
      <c r="F3699" t="str">
        <f>"AICE ENG LANG AS"</f>
        <v>AICE ENG LANG AS</v>
      </c>
      <c r="G3699" t="str">
        <f>"17-1704"</f>
        <v>17-1704</v>
      </c>
      <c r="H3699" t="str">
        <f>"A"</f>
        <v>A</v>
      </c>
    </row>
    <row r="3700" spans="1:8" x14ac:dyDescent="0.2">
      <c r="A3700" t="str">
        <f t="shared" si="1353"/>
        <v>0616031366</v>
      </c>
      <c r="B3700" t="str">
        <f t="shared" si="1354"/>
        <v>VENUS</v>
      </c>
      <c r="C3700" t="str">
        <f t="shared" si="1355"/>
        <v>CORTEZ</v>
      </c>
      <c r="D3700">
        <f>10</f>
        <v>10</v>
      </c>
      <c r="E3700" t="str">
        <f>"02 - A - 105 - Semra  Bahadir"</f>
        <v>02 - A - 105 - Semra  Bahadir</v>
      </c>
      <c r="F3700" t="str">
        <f>"ALGEBRA 2"</f>
        <v>ALGEBRA 2</v>
      </c>
      <c r="G3700" t="str">
        <f>"21-2107"</f>
        <v>21-2107</v>
      </c>
      <c r="H3700" t="str">
        <f>"A"</f>
        <v>A</v>
      </c>
    </row>
    <row r="3701" spans="1:8" x14ac:dyDescent="0.2">
      <c r="A3701" t="str">
        <f t="shared" si="1353"/>
        <v>0616031366</v>
      </c>
      <c r="B3701" t="str">
        <f t="shared" si="1354"/>
        <v>VENUS</v>
      </c>
      <c r="C3701" t="str">
        <f t="shared" si="1355"/>
        <v>CORTEZ</v>
      </c>
      <c r="D3701">
        <f>10</f>
        <v>10</v>
      </c>
      <c r="E3701" t="str">
        <f>"07 - B - 204 - Elizabeth Ellen  Moran"</f>
        <v>07 - B - 204 - Elizabeth Ellen  Moran</v>
      </c>
      <c r="F3701" t="str">
        <f>"AICE EURO HIST 1 AS"</f>
        <v>AICE EURO HIST 1 AS</v>
      </c>
      <c r="G3701" t="str">
        <f>"17-1752"</f>
        <v>17-1752</v>
      </c>
      <c r="H3701" t="str">
        <f>"B"</f>
        <v>B</v>
      </c>
    </row>
    <row r="3702" spans="1:8" x14ac:dyDescent="0.2">
      <c r="A3702" t="str">
        <f t="shared" si="1353"/>
        <v>0616031366</v>
      </c>
      <c r="B3702" t="str">
        <f t="shared" si="1354"/>
        <v>VENUS</v>
      </c>
      <c r="C3702" t="str">
        <f t="shared" si="1355"/>
        <v>CORTEZ</v>
      </c>
      <c r="D3702">
        <f>10</f>
        <v>10</v>
      </c>
      <c r="E3702" t="str">
        <f>"05 - B - 105 - Marius D Orsolini"</f>
        <v>05 - B - 105 - Marius D Orsolini</v>
      </c>
      <c r="F3702" t="str">
        <f>"CULINARY ARTS 1"</f>
        <v>CULINARY ARTS 1</v>
      </c>
      <c r="G3702" t="str">
        <f>"21-2115"</f>
        <v>21-2115</v>
      </c>
      <c r="H3702" t="str">
        <f>"B"</f>
        <v>B</v>
      </c>
    </row>
    <row r="3703" spans="1:8" x14ac:dyDescent="0.2">
      <c r="A3703" t="str">
        <f t="shared" si="1353"/>
        <v>0616031366</v>
      </c>
      <c r="B3703" t="str">
        <f t="shared" si="1354"/>
        <v>VENUS</v>
      </c>
      <c r="C3703" t="str">
        <f t="shared" si="1355"/>
        <v>CORTEZ</v>
      </c>
      <c r="D3703">
        <f>10</f>
        <v>10</v>
      </c>
      <c r="E3703" t="str">
        <f>"01 - A - 101 - Eva T Rimmer"</f>
        <v>01 - A - 101 - Eva T Rimmer</v>
      </c>
      <c r="F3703" t="str">
        <f>"CRIMINAL JUST OPS 2"</f>
        <v>CRIMINAL JUST OPS 2</v>
      </c>
      <c r="G3703" t="str">
        <f>"05-523"</f>
        <v>05-523</v>
      </c>
      <c r="H3703" t="str">
        <f>"A"</f>
        <v>A</v>
      </c>
    </row>
    <row r="3704" spans="1:8" x14ac:dyDescent="0.2">
      <c r="A3704" t="str">
        <f t="shared" si="1353"/>
        <v>0616031366</v>
      </c>
      <c r="B3704" t="str">
        <f t="shared" si="1354"/>
        <v>VENUS</v>
      </c>
      <c r="C3704" t="str">
        <f t="shared" si="1355"/>
        <v>CORTEZ</v>
      </c>
      <c r="D3704">
        <f>10</f>
        <v>10</v>
      </c>
      <c r="E3704" t="str">
        <f>"08 - B - 202 - Krystal Marie  Beruty"</f>
        <v>08 - B - 202 - Krystal Marie  Beruty</v>
      </c>
      <c r="F3704" t="str">
        <f>"AICE PSYCH 1 AS"</f>
        <v>AICE PSYCH 1 AS</v>
      </c>
      <c r="G3704" t="str">
        <f>"17-1721"</f>
        <v>17-1721</v>
      </c>
      <c r="H3704" t="str">
        <f>"B"</f>
        <v>B</v>
      </c>
    </row>
    <row r="3705" spans="1:8" x14ac:dyDescent="0.2">
      <c r="A3705" t="str">
        <f t="shared" ref="A3705:A3712" si="1356">"0617029888"</f>
        <v>0617029888</v>
      </c>
      <c r="B3705" t="str">
        <f t="shared" ref="B3705:B3712" si="1357">"AVA"</f>
        <v>AVA</v>
      </c>
      <c r="C3705" t="str">
        <f t="shared" ref="C3705:C3712" si="1358">"CORWIN"</f>
        <v>CORWIN</v>
      </c>
      <c r="D3705" t="str">
        <f t="shared" ref="D3705:D3712" si="1359">"09"</f>
        <v>09</v>
      </c>
      <c r="E3705" t="str">
        <f>"04 - A - 108 - Maried P Ramos"</f>
        <v>04 - A - 108 - Maried P Ramos</v>
      </c>
      <c r="F3705" t="str">
        <f>"GEOMETRY"</f>
        <v>GEOMETRY</v>
      </c>
      <c r="G3705" t="str">
        <f>"21-2159"</f>
        <v>21-2159</v>
      </c>
      <c r="H3705" t="str">
        <f>"A"</f>
        <v>A</v>
      </c>
    </row>
    <row r="3706" spans="1:8" x14ac:dyDescent="0.2">
      <c r="A3706" t="str">
        <f t="shared" si="1356"/>
        <v>0617029888</v>
      </c>
      <c r="B3706" t="str">
        <f t="shared" si="1357"/>
        <v>AVA</v>
      </c>
      <c r="C3706" t="str">
        <f t="shared" si="1358"/>
        <v>CORWIN</v>
      </c>
      <c r="D3706" t="str">
        <f t="shared" si="1359"/>
        <v>09</v>
      </c>
      <c r="E3706" t="str">
        <f>"06 - B - 202 - Samantha L Martinez"</f>
        <v>06 - B - 202 - Samantha L Martinez</v>
      </c>
      <c r="F3706" t="str">
        <f>"GUITAR 1"</f>
        <v>GUITAR 1</v>
      </c>
      <c r="G3706" t="str">
        <f>"05-505"</f>
        <v>05-505</v>
      </c>
      <c r="H3706" t="str">
        <f>"B"</f>
        <v>B</v>
      </c>
    </row>
    <row r="3707" spans="1:8" x14ac:dyDescent="0.2">
      <c r="A3707" t="str">
        <f t="shared" si="1356"/>
        <v>0617029888</v>
      </c>
      <c r="B3707" t="str">
        <f t="shared" si="1357"/>
        <v>AVA</v>
      </c>
      <c r="C3707" t="str">
        <f t="shared" si="1358"/>
        <v>CORWIN</v>
      </c>
      <c r="D3707" t="str">
        <f t="shared" si="1359"/>
        <v>09</v>
      </c>
      <c r="E3707" t="str">
        <f>"03 - S1 - A - 102 - Leslie J Barton"</f>
        <v>03 - S1 - A - 102 - Leslie J Barton</v>
      </c>
      <c r="F3707" t="str">
        <f>"FIRST AID SAFETY"</f>
        <v>FIRST AID SAFETY</v>
      </c>
      <c r="G3707" t="str">
        <f>"05-521"</f>
        <v>05-521</v>
      </c>
      <c r="H3707" t="str">
        <f>"A"</f>
        <v>A</v>
      </c>
    </row>
    <row r="3708" spans="1:8" x14ac:dyDescent="0.2">
      <c r="A3708" t="str">
        <f t="shared" si="1356"/>
        <v>0617029888</v>
      </c>
      <c r="B3708" t="str">
        <f t="shared" si="1357"/>
        <v>AVA</v>
      </c>
      <c r="C3708" t="str">
        <f t="shared" si="1358"/>
        <v>CORWIN</v>
      </c>
      <c r="D3708" t="str">
        <f t="shared" si="1359"/>
        <v>09</v>
      </c>
      <c r="E3708" t="str">
        <f>"02 - A - 116 - Tina L Lovett"</f>
        <v>02 - A - 116 - Tina L Lovett</v>
      </c>
      <c r="F3708" t="str">
        <f>"NC STUDY HALL 1"</f>
        <v>NC STUDY HALL 1</v>
      </c>
      <c r="G3708" t="str">
        <f>"21-2153"</f>
        <v>21-2153</v>
      </c>
      <c r="H3708" t="str">
        <f>"A"</f>
        <v>A</v>
      </c>
    </row>
    <row r="3709" spans="1:8" x14ac:dyDescent="0.2">
      <c r="A3709" t="str">
        <f t="shared" si="1356"/>
        <v>0617029888</v>
      </c>
      <c r="B3709" t="str">
        <f t="shared" si="1357"/>
        <v>AVA</v>
      </c>
      <c r="C3709" t="str">
        <f t="shared" si="1358"/>
        <v>CORWIN</v>
      </c>
      <c r="D3709" t="str">
        <f t="shared" si="1359"/>
        <v>09</v>
      </c>
      <c r="E3709" t="str">
        <f>"07 - B - 001 - Carol S Moore"</f>
        <v>07 - B - 001 - Carol S Moore</v>
      </c>
      <c r="F3709" t="str">
        <f>"PRE-AICE WRLD HST IG"</f>
        <v>PRE-AICE WRLD HST IG</v>
      </c>
      <c r="G3709" t="str">
        <f>"17-1733"</f>
        <v>17-1733</v>
      </c>
      <c r="H3709" t="str">
        <f>"B"</f>
        <v>B</v>
      </c>
    </row>
    <row r="3710" spans="1:8" x14ac:dyDescent="0.2">
      <c r="A3710" t="str">
        <f t="shared" si="1356"/>
        <v>0617029888</v>
      </c>
      <c r="B3710" t="str">
        <f t="shared" si="1357"/>
        <v>AVA</v>
      </c>
      <c r="C3710" t="str">
        <f t="shared" si="1358"/>
        <v>CORWIN</v>
      </c>
      <c r="D3710" t="str">
        <f t="shared" si="1359"/>
        <v>09</v>
      </c>
      <c r="E3710" t="str">
        <f>"05 - B - 105 - Marius D Orsolini"</f>
        <v>05 - B - 105 - Marius D Orsolini</v>
      </c>
      <c r="F3710" t="str">
        <f>"CULINARY ARTS 1"</f>
        <v>CULINARY ARTS 1</v>
      </c>
      <c r="G3710" t="str">
        <f>"21-2115"</f>
        <v>21-2115</v>
      </c>
      <c r="H3710" t="str">
        <f>"B"</f>
        <v>B</v>
      </c>
    </row>
    <row r="3711" spans="1:8" x14ac:dyDescent="0.2">
      <c r="A3711" t="str">
        <f t="shared" si="1356"/>
        <v>0617029888</v>
      </c>
      <c r="B3711" t="str">
        <f t="shared" si="1357"/>
        <v>AVA</v>
      </c>
      <c r="C3711" t="str">
        <f t="shared" si="1358"/>
        <v>CORWIN</v>
      </c>
      <c r="D3711" t="str">
        <f t="shared" si="1359"/>
        <v>09</v>
      </c>
      <c r="E3711" t="str">
        <f>"01 - A - 101 - Josiah I Lacy"</f>
        <v>01 - A - 101 - Josiah I Lacy</v>
      </c>
      <c r="F3711" t="str">
        <f>"PRE-AICE BIO IG"</f>
        <v>PRE-AICE BIO IG</v>
      </c>
      <c r="G3711" t="str">
        <f>"08-801"</f>
        <v>08-801</v>
      </c>
      <c r="H3711" t="str">
        <f>"A"</f>
        <v>A</v>
      </c>
    </row>
    <row r="3712" spans="1:8" x14ac:dyDescent="0.2">
      <c r="A3712" t="str">
        <f t="shared" si="1356"/>
        <v>0617029888</v>
      </c>
      <c r="B3712" t="str">
        <f t="shared" si="1357"/>
        <v>AVA</v>
      </c>
      <c r="C3712" t="str">
        <f t="shared" si="1358"/>
        <v>CORWIN</v>
      </c>
      <c r="D3712" t="str">
        <f t="shared" si="1359"/>
        <v>09</v>
      </c>
      <c r="E3712" t="str">
        <f>"08 - B - 201 - Elizabeth R Walker"</f>
        <v>08 - B - 201 - Elizabeth R Walker</v>
      </c>
      <c r="F3712" t="str">
        <f>"AICE ENG GEN PAPER 1"</f>
        <v>AICE ENG GEN PAPER 1</v>
      </c>
      <c r="G3712" t="str">
        <f>"17-1703"</f>
        <v>17-1703</v>
      </c>
      <c r="H3712" t="str">
        <f>"B"</f>
        <v>B</v>
      </c>
    </row>
    <row r="3713" spans="1:8" x14ac:dyDescent="0.2">
      <c r="A3713" t="str">
        <f t="shared" ref="A3713:A3720" si="1360">"0620077044"</f>
        <v>0620077044</v>
      </c>
      <c r="B3713" t="str">
        <f t="shared" ref="B3713:B3720" si="1361">"YONMI"</f>
        <v>YONMI</v>
      </c>
      <c r="C3713" t="str">
        <f t="shared" ref="C3713:C3720" si="1362">"CORZO BRUNO"</f>
        <v>CORZO BRUNO</v>
      </c>
      <c r="D3713">
        <f>11</f>
        <v>11</v>
      </c>
      <c r="E3713" t="str">
        <f>"04 - S1 - A - 101 - Leslie J Barton"</f>
        <v>04 - S1 - A - 101 - Leslie J Barton</v>
      </c>
      <c r="F3713" t="str">
        <f>"TEAM SPORTS 1"</f>
        <v>TEAM SPORTS 1</v>
      </c>
      <c r="G3713" t="str">
        <f>"04-254"</f>
        <v>04-254</v>
      </c>
      <c r="H3713" t="str">
        <f>"A"</f>
        <v>A</v>
      </c>
    </row>
    <row r="3714" spans="1:8" x14ac:dyDescent="0.2">
      <c r="A3714" t="str">
        <f t="shared" si="1360"/>
        <v>0620077044</v>
      </c>
      <c r="B3714" t="str">
        <f t="shared" si="1361"/>
        <v>YONMI</v>
      </c>
      <c r="C3714" t="str">
        <f t="shared" si="1362"/>
        <v>CORZO BRUNO</v>
      </c>
      <c r="D3714">
        <f>11</f>
        <v>11</v>
      </c>
      <c r="E3714" t="str">
        <f>"06 - B - 104 - Nahum  Saint-Preux"</f>
        <v>06 - B - 104 - Nahum  Saint-Preux</v>
      </c>
      <c r="F3714" t="str">
        <f>"INTENS READ 3"</f>
        <v>INTENS READ 3</v>
      </c>
      <c r="G3714" t="str">
        <f>"17-1712"</f>
        <v>17-1712</v>
      </c>
      <c r="H3714" t="str">
        <f>"B"</f>
        <v>B</v>
      </c>
    </row>
    <row r="3715" spans="1:8" x14ac:dyDescent="0.2">
      <c r="A3715" t="str">
        <f t="shared" si="1360"/>
        <v>0620077044</v>
      </c>
      <c r="B3715" t="str">
        <f t="shared" si="1361"/>
        <v>YONMI</v>
      </c>
      <c r="C3715" t="str">
        <f t="shared" si="1362"/>
        <v>CORZO BRUNO</v>
      </c>
      <c r="D3715">
        <f>11</f>
        <v>11</v>
      </c>
      <c r="E3715" t="str">
        <f>"03 - A - 201 - Emmily A Sarmiento"</f>
        <v>03 - A - 201 - Emmily A Sarmiento</v>
      </c>
      <c r="F3715" t="str">
        <f>"LEAD SKLS DEV LH"</f>
        <v>LEAD SKLS DEV LH</v>
      </c>
      <c r="G3715" t="str">
        <f>"17-1743"</f>
        <v>17-1743</v>
      </c>
      <c r="H3715" t="str">
        <f>"A"</f>
        <v>A</v>
      </c>
    </row>
    <row r="3716" spans="1:8" x14ac:dyDescent="0.2">
      <c r="A3716" t="str">
        <f t="shared" si="1360"/>
        <v>0620077044</v>
      </c>
      <c r="B3716" t="str">
        <f t="shared" si="1361"/>
        <v>YONMI</v>
      </c>
      <c r="C3716" t="str">
        <f t="shared" si="1362"/>
        <v>CORZO BRUNO</v>
      </c>
      <c r="D3716">
        <f>11</f>
        <v>11</v>
      </c>
      <c r="E3716" t="str">
        <f>"02 - A - 112 - Brandy N Zdenek"</f>
        <v>02 - A - 112 - Brandy N Zdenek</v>
      </c>
      <c r="F3716" t="str">
        <f>"NC STUDY HALL 1"</f>
        <v>NC STUDY HALL 1</v>
      </c>
      <c r="G3716" t="str">
        <f>"17-1704"</f>
        <v>17-1704</v>
      </c>
      <c r="H3716" t="str">
        <f>"A"</f>
        <v>A</v>
      </c>
    </row>
    <row r="3717" spans="1:8" x14ac:dyDescent="0.2">
      <c r="A3717" t="str">
        <f t="shared" si="1360"/>
        <v>0620077044</v>
      </c>
      <c r="B3717" t="str">
        <f t="shared" si="1361"/>
        <v>YONMI</v>
      </c>
      <c r="C3717" t="str">
        <f t="shared" si="1362"/>
        <v>CORZO BRUNO</v>
      </c>
      <c r="D3717">
        <f>11</f>
        <v>11</v>
      </c>
      <c r="E3717" t="str">
        <f>"07 - B - 110 - Ferrie J Arostique"</f>
        <v>07 - B - 110 - Ferrie J Arostique</v>
      </c>
      <c r="F3717" t="str">
        <f>"GEOMETRY"</f>
        <v>GEOMETRY</v>
      </c>
      <c r="G3717" t="str">
        <f>"21-2139"</f>
        <v>21-2139</v>
      </c>
      <c r="H3717" t="str">
        <f>"B"</f>
        <v>B</v>
      </c>
    </row>
    <row r="3718" spans="1:8" x14ac:dyDescent="0.2">
      <c r="A3718" t="str">
        <f t="shared" si="1360"/>
        <v>0620077044</v>
      </c>
      <c r="B3718" t="str">
        <f t="shared" si="1361"/>
        <v>YONMI</v>
      </c>
      <c r="C3718" t="str">
        <f t="shared" si="1362"/>
        <v>CORZO BRUNO</v>
      </c>
      <c r="D3718">
        <f>11</f>
        <v>11</v>
      </c>
      <c r="E3718" t="str">
        <f>"05 - B - 107 - Elizabeth Ellen  Moran"</f>
        <v>05 - B - 107 - Elizabeth Ellen  Moran</v>
      </c>
      <c r="F3718" t="str">
        <f>"US HISTORY"</f>
        <v>US HISTORY</v>
      </c>
      <c r="G3718" t="str">
        <f>"17-1752"</f>
        <v>17-1752</v>
      </c>
      <c r="H3718" t="str">
        <f>"B"</f>
        <v>B</v>
      </c>
    </row>
    <row r="3719" spans="1:8" x14ac:dyDescent="0.2">
      <c r="A3719" t="str">
        <f t="shared" si="1360"/>
        <v>0620077044</v>
      </c>
      <c r="B3719" t="str">
        <f t="shared" si="1361"/>
        <v>YONMI</v>
      </c>
      <c r="C3719" t="str">
        <f t="shared" si="1362"/>
        <v>CORZO BRUNO</v>
      </c>
      <c r="D3719">
        <f>11</f>
        <v>11</v>
      </c>
      <c r="E3719" t="str">
        <f>"01 - A - 101 - Lisa  Quinn"</f>
        <v>01 - A - 101 - Lisa  Quinn</v>
      </c>
      <c r="F3719" t="str">
        <f>"ENG 3"</f>
        <v>ENG 3</v>
      </c>
      <c r="G3719" t="str">
        <f>"17-1725"</f>
        <v>17-1725</v>
      </c>
      <c r="H3719" t="str">
        <f>"A"</f>
        <v>A</v>
      </c>
    </row>
    <row r="3720" spans="1:8" x14ac:dyDescent="0.2">
      <c r="A3720" t="str">
        <f t="shared" si="1360"/>
        <v>0620077044</v>
      </c>
      <c r="B3720" t="str">
        <f t="shared" si="1361"/>
        <v>YONMI</v>
      </c>
      <c r="C3720" t="str">
        <f t="shared" si="1362"/>
        <v>CORZO BRUNO</v>
      </c>
      <c r="D3720">
        <f>11</f>
        <v>11</v>
      </c>
      <c r="E3720" t="str">
        <f>"08 - B - 001 - Lytrell T Dixon"</f>
        <v>08 - B - 001 - Lytrell T Dixon</v>
      </c>
      <c r="F3720" t="str">
        <f>"BIOLOGY 1"</f>
        <v>BIOLOGY 1</v>
      </c>
      <c r="G3720" t="str">
        <f>"08-808"</f>
        <v>08-808</v>
      </c>
      <c r="H3720" t="str">
        <f>"B"</f>
        <v>B</v>
      </c>
    </row>
    <row r="3721" spans="1:8" x14ac:dyDescent="0.2">
      <c r="A3721" t="str">
        <f t="shared" ref="A3721:A3728" si="1363">"0616045512"</f>
        <v>0616045512</v>
      </c>
      <c r="B3721" t="str">
        <f t="shared" ref="B3721:B3728" si="1364">"ISABELLA"</f>
        <v>ISABELLA</v>
      </c>
      <c r="C3721" t="str">
        <f t="shared" ref="C3721:C3728" si="1365">"COTES PEDROZA"</f>
        <v>COTES PEDROZA</v>
      </c>
      <c r="D3721">
        <f>12</f>
        <v>12</v>
      </c>
      <c r="E3721" t="str">
        <f>"04 - A - 102 - Tiffany L Colon"</f>
        <v>04 - A - 102 - Tiffany L Colon</v>
      </c>
      <c r="F3721" t="str">
        <f>"U SKLS: SOC&amp;EMO 9-12"</f>
        <v>U SKLS: SOC&amp;EMO 9-12</v>
      </c>
      <c r="G3721">
        <f>2044</f>
        <v>2044</v>
      </c>
      <c r="H3721" t="str">
        <f>"A"</f>
        <v>A</v>
      </c>
    </row>
    <row r="3722" spans="1:8" x14ac:dyDescent="0.2">
      <c r="A3722" t="str">
        <f t="shared" si="1363"/>
        <v>0616045512</v>
      </c>
      <c r="B3722" t="str">
        <f t="shared" si="1364"/>
        <v>ISABELLA</v>
      </c>
      <c r="C3722" t="str">
        <f t="shared" si="1365"/>
        <v>COTES PEDROZA</v>
      </c>
      <c r="D3722">
        <f>12</f>
        <v>12</v>
      </c>
      <c r="E3722" t="str">
        <f>"06 - B - 101 - Gail S Markowitz"</f>
        <v>06 - B - 101 - Gail S Markowitz</v>
      </c>
      <c r="F3722" t="str">
        <f>"CAR EXERIENCES: 9-12"</f>
        <v>CAR EXERIENCES: 9-12</v>
      </c>
      <c r="G3722">
        <f>1730</f>
        <v>1730</v>
      </c>
      <c r="H3722" t="str">
        <f>"B"</f>
        <v>B</v>
      </c>
    </row>
    <row r="3723" spans="1:8" x14ac:dyDescent="0.2">
      <c r="A3723" t="str">
        <f t="shared" si="1363"/>
        <v>0616045512</v>
      </c>
      <c r="B3723" t="str">
        <f t="shared" si="1364"/>
        <v>ISABELLA</v>
      </c>
      <c r="C3723" t="str">
        <f t="shared" si="1365"/>
        <v>COTES PEDROZA</v>
      </c>
      <c r="D3723">
        <f>12</f>
        <v>12</v>
      </c>
      <c r="E3723" t="str">
        <f>"03 - A - 101 - Gail S Markowitz"</f>
        <v>03 - A - 101 - Gail S Markowitz</v>
      </c>
      <c r="F3723" t="str">
        <f>"SELF-DETERMINATION"</f>
        <v>SELF-DETERMINATION</v>
      </c>
      <c r="G3723">
        <f>1730</f>
        <v>1730</v>
      </c>
      <c r="H3723" t="str">
        <f>"A"</f>
        <v>A</v>
      </c>
    </row>
    <row r="3724" spans="1:8" x14ac:dyDescent="0.2">
      <c r="A3724" t="str">
        <f t="shared" si="1363"/>
        <v>0616045512</v>
      </c>
      <c r="B3724" t="str">
        <f t="shared" si="1364"/>
        <v>ISABELLA</v>
      </c>
      <c r="C3724" t="str">
        <f t="shared" si="1365"/>
        <v>COTES PEDROZA</v>
      </c>
      <c r="D3724">
        <f>12</f>
        <v>12</v>
      </c>
      <c r="E3724" t="str">
        <f>"02 - A - 101 - Gail S Markowitz"</f>
        <v>02 - A - 101 - Gail S Markowitz</v>
      </c>
      <c r="F3724" t="str">
        <f>"CAREER ED: 9-12"</f>
        <v>CAREER ED: 9-12</v>
      </c>
      <c r="G3724">
        <f>1730</f>
        <v>1730</v>
      </c>
      <c r="H3724" t="str">
        <f>"A"</f>
        <v>A</v>
      </c>
    </row>
    <row r="3725" spans="1:8" x14ac:dyDescent="0.2">
      <c r="A3725" t="str">
        <f t="shared" si="1363"/>
        <v>0616045512</v>
      </c>
      <c r="B3725" t="str">
        <f t="shared" si="1364"/>
        <v>ISABELLA</v>
      </c>
      <c r="C3725" t="str">
        <f t="shared" si="1365"/>
        <v>COTES PEDROZA</v>
      </c>
      <c r="D3725">
        <f>12</f>
        <v>12</v>
      </c>
      <c r="E3725" t="str">
        <f>"07 - B - 101 - Gail S Markowitz"</f>
        <v>07 - B - 101 - Gail S Markowitz</v>
      </c>
      <c r="F3725" t="str">
        <f>"CAR PLACEMENT: 9-12"</f>
        <v>CAR PLACEMENT: 9-12</v>
      </c>
      <c r="G3725">
        <f>1730</f>
        <v>1730</v>
      </c>
      <c r="H3725" t="str">
        <f>"B"</f>
        <v>B</v>
      </c>
    </row>
    <row r="3726" spans="1:8" x14ac:dyDescent="0.2">
      <c r="A3726" t="str">
        <f t="shared" si="1363"/>
        <v>0616045512</v>
      </c>
      <c r="B3726" t="str">
        <f t="shared" si="1364"/>
        <v>ISABELLA</v>
      </c>
      <c r="C3726" t="str">
        <f t="shared" si="1365"/>
        <v>COTES PEDROZA</v>
      </c>
      <c r="D3726">
        <f>12</f>
        <v>12</v>
      </c>
      <c r="E3726" t="str">
        <f>"05 - B - 101 - Gail S Markowitz"</f>
        <v>05 - B - 101 - Gail S Markowitz</v>
      </c>
      <c r="F3726" t="str">
        <f>"U SKLS: 9-12"</f>
        <v>U SKLS: 9-12</v>
      </c>
      <c r="G3726">
        <f>1730</f>
        <v>1730</v>
      </c>
      <c r="H3726" t="str">
        <f>"B"</f>
        <v>B</v>
      </c>
    </row>
    <row r="3727" spans="1:8" x14ac:dyDescent="0.2">
      <c r="A3727" t="str">
        <f t="shared" si="1363"/>
        <v>0616045512</v>
      </c>
      <c r="B3727" t="str">
        <f t="shared" si="1364"/>
        <v>ISABELLA</v>
      </c>
      <c r="C3727" t="str">
        <f t="shared" si="1365"/>
        <v>COTES PEDROZA</v>
      </c>
      <c r="D3727">
        <f>12</f>
        <v>12</v>
      </c>
      <c r="E3727" t="str">
        <f>"01 - A - 101 - Gail S Markowitz"</f>
        <v>01 - A - 101 - Gail S Markowitz</v>
      </c>
      <c r="F3727" t="str">
        <f>"PREP AD LIV"</f>
        <v>PREP AD LIV</v>
      </c>
      <c r="G3727">
        <f>1730</f>
        <v>1730</v>
      </c>
      <c r="H3727" t="str">
        <f>"A"</f>
        <v>A</v>
      </c>
    </row>
    <row r="3728" spans="1:8" x14ac:dyDescent="0.2">
      <c r="A3728" t="str">
        <f t="shared" si="1363"/>
        <v>0616045512</v>
      </c>
      <c r="B3728" t="str">
        <f t="shared" si="1364"/>
        <v>ISABELLA</v>
      </c>
      <c r="C3728" t="str">
        <f t="shared" si="1365"/>
        <v>COTES PEDROZA</v>
      </c>
      <c r="D3728">
        <f>12</f>
        <v>12</v>
      </c>
      <c r="E3728" t="str">
        <f>"08 - B - 101 - Gail S Markowitz"</f>
        <v>08 - B - 101 - Gail S Markowitz</v>
      </c>
      <c r="F3728" t="str">
        <f>"U SKLS: SOC&amp;EMO 9-12"</f>
        <v>U SKLS: SOC&amp;EMO 9-12</v>
      </c>
      <c r="G3728">
        <f>1730</f>
        <v>1730</v>
      </c>
      <c r="H3728" t="str">
        <f>"B"</f>
        <v>B</v>
      </c>
    </row>
    <row r="3729" spans="1:8" x14ac:dyDescent="0.2">
      <c r="A3729" t="str">
        <f t="shared" ref="A3729:A3736" si="1366">"0616008102"</f>
        <v>0616008102</v>
      </c>
      <c r="B3729" t="str">
        <f t="shared" ref="B3729:B3736" si="1367">"AVA"</f>
        <v>AVA</v>
      </c>
      <c r="C3729" t="str">
        <f t="shared" ref="C3729:C3736" si="1368">"COTTRELL"</f>
        <v>COTTRELL</v>
      </c>
      <c r="D3729">
        <f>10</f>
        <v>10</v>
      </c>
      <c r="E3729" t="str">
        <f>"04 - A - 103 - Lourivaldo  Da Silva"</f>
        <v>04 - A - 103 - Lourivaldo  Da Silva</v>
      </c>
      <c r="F3729" t="str">
        <f>"PRE-CALCULUS HON"</f>
        <v>PRE-CALCULUS HON</v>
      </c>
      <c r="G3729" t="str">
        <f>"20-2079"</f>
        <v>20-2079</v>
      </c>
      <c r="H3729" t="str">
        <f>"A"</f>
        <v>A</v>
      </c>
    </row>
    <row r="3730" spans="1:8" x14ac:dyDescent="0.2">
      <c r="A3730" t="str">
        <f t="shared" si="1366"/>
        <v>0616008102</v>
      </c>
      <c r="B3730" t="str">
        <f t="shared" si="1367"/>
        <v>AVA</v>
      </c>
      <c r="C3730" t="str">
        <f t="shared" si="1368"/>
        <v>COTTRELL</v>
      </c>
      <c r="D3730">
        <f>10</f>
        <v>10</v>
      </c>
      <c r="E3730" t="str">
        <f>"06 - B - 117 - Daniel S Tyson"</f>
        <v>06 - B - 117 - Daniel S Tyson</v>
      </c>
      <c r="F3730" t="str">
        <f>"NC STUDY HALL 1"</f>
        <v>NC STUDY HALL 1</v>
      </c>
      <c r="G3730" t="str">
        <f>"05-510"</f>
        <v>05-510</v>
      </c>
      <c r="H3730" t="str">
        <f>"B"</f>
        <v>B</v>
      </c>
    </row>
    <row r="3731" spans="1:8" x14ac:dyDescent="0.2">
      <c r="A3731" t="str">
        <f t="shared" si="1366"/>
        <v>0616008102</v>
      </c>
      <c r="B3731" t="str">
        <f t="shared" si="1367"/>
        <v>AVA</v>
      </c>
      <c r="C3731" t="str">
        <f t="shared" si="1368"/>
        <v>COTTRELL</v>
      </c>
      <c r="D3731">
        <f>10</f>
        <v>10</v>
      </c>
      <c r="E3731" t="str">
        <f>"03 - A - 201 - Joe  Kilpatrick Jr"</f>
        <v>03 - A - 201 - Joe  Kilpatrick Jr</v>
      </c>
      <c r="F3731" t="str">
        <f>"PRE-AICE SPAN 2 IG"</f>
        <v>PRE-AICE SPAN 2 IG</v>
      </c>
      <c r="G3731" t="str">
        <f>"09-912"</f>
        <v>09-912</v>
      </c>
      <c r="H3731" t="str">
        <f>"A"</f>
        <v>A</v>
      </c>
    </row>
    <row r="3732" spans="1:8" x14ac:dyDescent="0.2">
      <c r="A3732" t="str">
        <f t="shared" si="1366"/>
        <v>0616008102</v>
      </c>
      <c r="B3732" t="str">
        <f t="shared" si="1367"/>
        <v>AVA</v>
      </c>
      <c r="C3732" t="str">
        <f t="shared" si="1368"/>
        <v>COTTRELL</v>
      </c>
      <c r="D3732">
        <f>10</f>
        <v>10</v>
      </c>
      <c r="E3732" t="str">
        <f>"02 - A - 103 - Lenecy  Nodarse"</f>
        <v>02 - A - 103 - Lenecy  Nodarse</v>
      </c>
      <c r="F3732" t="str">
        <f>"AICE EURO HIST 1 AS"</f>
        <v>AICE EURO HIST 1 AS</v>
      </c>
      <c r="G3732" t="str">
        <f>"17-1741"</f>
        <v>17-1741</v>
      </c>
      <c r="H3732" t="str">
        <f>"A"</f>
        <v>A</v>
      </c>
    </row>
    <row r="3733" spans="1:8" x14ac:dyDescent="0.2">
      <c r="A3733" t="str">
        <f t="shared" si="1366"/>
        <v>0616008102</v>
      </c>
      <c r="B3733" t="str">
        <f t="shared" si="1367"/>
        <v>AVA</v>
      </c>
      <c r="C3733" t="str">
        <f t="shared" si="1368"/>
        <v>COTTRELL</v>
      </c>
      <c r="D3733">
        <f>10</f>
        <v>10</v>
      </c>
      <c r="E3733" t="str">
        <f>"07 - B - 002 - Jordana K Hass"</f>
        <v>07 - B - 002 - Jordana K Hass</v>
      </c>
      <c r="F3733" t="str">
        <f>"CHEMISTRY 1 HON"</f>
        <v>CHEMISTRY 1 HON</v>
      </c>
      <c r="G3733" t="str">
        <f>"08-807"</f>
        <v>08-807</v>
      </c>
      <c r="H3733" t="str">
        <f>"B"</f>
        <v>B</v>
      </c>
    </row>
    <row r="3734" spans="1:8" x14ac:dyDescent="0.2">
      <c r="A3734" t="str">
        <f t="shared" si="1366"/>
        <v>0616008102</v>
      </c>
      <c r="B3734" t="str">
        <f t="shared" si="1367"/>
        <v>AVA</v>
      </c>
      <c r="C3734" t="str">
        <f t="shared" si="1368"/>
        <v>COTTRELL</v>
      </c>
      <c r="D3734">
        <f>10</f>
        <v>10</v>
      </c>
      <c r="E3734" t="str">
        <f>"05 - B - 106 - Courtney E Hambright"</f>
        <v>05 - B - 106 - Courtney E Hambright</v>
      </c>
      <c r="F3734" t="str">
        <f>"AICE ENG LANG AS"</f>
        <v>AICE ENG LANG AS</v>
      </c>
      <c r="G3734" t="str">
        <f>"17-1711"</f>
        <v>17-1711</v>
      </c>
      <c r="H3734" t="str">
        <f>"B"</f>
        <v>B</v>
      </c>
    </row>
    <row r="3735" spans="1:8" x14ac:dyDescent="0.2">
      <c r="A3735" t="str">
        <f t="shared" si="1366"/>
        <v>0616008102</v>
      </c>
      <c r="B3735" t="str">
        <f t="shared" si="1367"/>
        <v>AVA</v>
      </c>
      <c r="C3735" t="str">
        <f t="shared" si="1368"/>
        <v>COTTRELL</v>
      </c>
      <c r="D3735">
        <f>10</f>
        <v>10</v>
      </c>
      <c r="E3735" t="str">
        <f>"01 - A - 201 - Chrystina M Marchionne"</f>
        <v>01 - A - 201 - Chrystina M Marchionne</v>
      </c>
      <c r="F3735" t="str">
        <f>"AICE MEDIASTUDIES AS"</f>
        <v>AICE MEDIASTUDIES AS</v>
      </c>
      <c r="G3735" t="str">
        <f>"05-520"</f>
        <v>05-520</v>
      </c>
      <c r="H3735" t="str">
        <f>"A"</f>
        <v>A</v>
      </c>
    </row>
    <row r="3736" spans="1:8" x14ac:dyDescent="0.2">
      <c r="A3736" t="str">
        <f t="shared" si="1366"/>
        <v>0616008102</v>
      </c>
      <c r="B3736" t="str">
        <f t="shared" si="1367"/>
        <v>AVA</v>
      </c>
      <c r="C3736" t="str">
        <f t="shared" si="1368"/>
        <v>COTTRELL</v>
      </c>
      <c r="D3736">
        <f>10</f>
        <v>10</v>
      </c>
      <c r="E3736" t="str">
        <f>"08 - B - 202 - Dorothy D Moore"</f>
        <v>08 - B - 202 - Dorothy D Moore</v>
      </c>
      <c r="F3736" t="str">
        <f>"HEALTH SCI 1/A&amp;P HON"</f>
        <v>HEALTH SCI 1/A&amp;P HON</v>
      </c>
      <c r="G3736" t="str">
        <f>"08-803"</f>
        <v>08-803</v>
      </c>
      <c r="H3736" t="str">
        <f>"B"</f>
        <v>B</v>
      </c>
    </row>
    <row r="3737" spans="1:8" x14ac:dyDescent="0.2">
      <c r="A3737" t="str">
        <f t="shared" ref="A3737:A3744" si="1369">"0616047750"</f>
        <v>0616047750</v>
      </c>
      <c r="B3737" t="str">
        <f t="shared" ref="B3737:B3744" si="1370">"MYLES"</f>
        <v>MYLES</v>
      </c>
      <c r="C3737" t="str">
        <f t="shared" ref="C3737:C3744" si="1371">"COUDRIET"</f>
        <v>COUDRIET</v>
      </c>
      <c r="D3737">
        <f>10</f>
        <v>10</v>
      </c>
      <c r="E3737" t="str">
        <f>"04 - A - 104 - Dayna M Foster"</f>
        <v>04 - A - 104 - Dayna M Foster</v>
      </c>
      <c r="F3737" t="str">
        <f>"ALGEBRA 2"</f>
        <v>ALGEBRA 2</v>
      </c>
      <c r="G3737" t="str">
        <f>"21-2109"</f>
        <v>21-2109</v>
      </c>
      <c r="H3737" t="str">
        <f>"A"</f>
        <v>A</v>
      </c>
    </row>
    <row r="3738" spans="1:8" x14ac:dyDescent="0.2">
      <c r="A3738" t="str">
        <f t="shared" si="1369"/>
        <v>0616047750</v>
      </c>
      <c r="B3738" t="str">
        <f t="shared" si="1370"/>
        <v>MYLES</v>
      </c>
      <c r="C3738" t="str">
        <f t="shared" si="1371"/>
        <v>COUDRIET</v>
      </c>
      <c r="D3738">
        <f>10</f>
        <v>10</v>
      </c>
      <c r="E3738" t="str">
        <f>"06 - B - 104 - Robert H Rindner"</f>
        <v>06 - B - 104 - Robert H Rindner</v>
      </c>
      <c r="F3738" t="str">
        <f>"NC STUDY HALL 1"</f>
        <v>NC STUDY HALL 1</v>
      </c>
      <c r="G3738" t="str">
        <f>"21-2160"</f>
        <v>21-2160</v>
      </c>
      <c r="H3738" t="str">
        <f>"B"</f>
        <v>B</v>
      </c>
    </row>
    <row r="3739" spans="1:8" x14ac:dyDescent="0.2">
      <c r="A3739" t="str">
        <f t="shared" si="1369"/>
        <v>0616047750</v>
      </c>
      <c r="B3739" t="str">
        <f t="shared" si="1370"/>
        <v>MYLES</v>
      </c>
      <c r="C3739" t="str">
        <f t="shared" si="1371"/>
        <v>COUDRIET</v>
      </c>
      <c r="D3739">
        <f>10</f>
        <v>10</v>
      </c>
      <c r="E3739" t="str">
        <f>"03 - A - 103 - Adam Marcus  Drucker"</f>
        <v>03 - A - 103 - Adam Marcus  Drucker</v>
      </c>
      <c r="F3739" t="str">
        <f>"HOPE-PE V"</f>
        <v>HOPE-PE V</v>
      </c>
      <c r="G3739" t="str">
        <f>"04-254"</f>
        <v>04-254</v>
      </c>
      <c r="H3739" t="str">
        <f>"A"</f>
        <v>A</v>
      </c>
    </row>
    <row r="3740" spans="1:8" x14ac:dyDescent="0.2">
      <c r="A3740" t="str">
        <f t="shared" si="1369"/>
        <v>0616047750</v>
      </c>
      <c r="B3740" t="str">
        <f t="shared" si="1370"/>
        <v>MYLES</v>
      </c>
      <c r="C3740" t="str">
        <f t="shared" si="1371"/>
        <v>COUDRIET</v>
      </c>
      <c r="D3740">
        <f>10</f>
        <v>10</v>
      </c>
      <c r="E3740" t="str">
        <f>"02 - A - 201 - Jordana K Hass"</f>
        <v>02 - A - 201 - Jordana K Hass</v>
      </c>
      <c r="F3740" t="str">
        <f>"CHEMISTRY 1"</f>
        <v>CHEMISTRY 1</v>
      </c>
      <c r="G3740" t="str">
        <f>"08-807"</f>
        <v>08-807</v>
      </c>
      <c r="H3740" t="str">
        <f>"A"</f>
        <v>A</v>
      </c>
    </row>
    <row r="3741" spans="1:8" x14ac:dyDescent="0.2">
      <c r="A3741" t="str">
        <f t="shared" si="1369"/>
        <v>0616047750</v>
      </c>
      <c r="B3741" t="str">
        <f t="shared" si="1370"/>
        <v>MYLES</v>
      </c>
      <c r="C3741" t="str">
        <f t="shared" si="1371"/>
        <v>COUDRIET</v>
      </c>
      <c r="D3741">
        <f>10</f>
        <v>10</v>
      </c>
      <c r="E3741" t="str">
        <f>"07 - B - 107 - Jacklyn M James"</f>
        <v>07 - B - 107 - Jacklyn M James</v>
      </c>
      <c r="F3741" t="str">
        <f>"AICE ENG LANG AS"</f>
        <v>AICE ENG LANG AS</v>
      </c>
      <c r="G3741" t="str">
        <f>"17-1731"</f>
        <v>17-1731</v>
      </c>
      <c r="H3741" t="str">
        <f>"B"</f>
        <v>B</v>
      </c>
    </row>
    <row r="3742" spans="1:8" x14ac:dyDescent="0.2">
      <c r="A3742" t="str">
        <f t="shared" si="1369"/>
        <v>0616047750</v>
      </c>
      <c r="B3742" t="str">
        <f t="shared" si="1370"/>
        <v>MYLES</v>
      </c>
      <c r="C3742" t="str">
        <f t="shared" si="1371"/>
        <v>COUDRIET</v>
      </c>
      <c r="D3742">
        <f>10</f>
        <v>10</v>
      </c>
      <c r="E3742" t="str">
        <f>"05 - B - 001 - Kelly N Panza"</f>
        <v>05 - B - 001 - Kelly N Panza</v>
      </c>
      <c r="F3742" t="str">
        <f>"AICE GLBL PERSP 1 AS"</f>
        <v>AICE GLBL PERSP 1 AS</v>
      </c>
      <c r="G3742" t="str">
        <f>"17-1753"</f>
        <v>17-1753</v>
      </c>
      <c r="H3742" t="str">
        <f>"B"</f>
        <v>B</v>
      </c>
    </row>
    <row r="3743" spans="1:8" x14ac:dyDescent="0.2">
      <c r="A3743" t="str">
        <f t="shared" si="1369"/>
        <v>0616047750</v>
      </c>
      <c r="B3743" t="str">
        <f t="shared" si="1370"/>
        <v>MYLES</v>
      </c>
      <c r="C3743" t="str">
        <f t="shared" si="1371"/>
        <v>COUDRIET</v>
      </c>
      <c r="D3743">
        <f>10</f>
        <v>10</v>
      </c>
      <c r="E3743" t="str">
        <f>"01 - A - 101 - Daniel S Katz"</f>
        <v>01 - A - 101 - Daniel S Katz</v>
      </c>
      <c r="F3743" t="str">
        <f>"EXEC INTERN 3 LH"</f>
        <v>EXEC INTERN 3 LH</v>
      </c>
      <c r="G3743" t="str">
        <f>"21-2156"</f>
        <v>21-2156</v>
      </c>
      <c r="H3743" t="str">
        <f>"A"</f>
        <v>A</v>
      </c>
    </row>
    <row r="3744" spans="1:8" x14ac:dyDescent="0.2">
      <c r="A3744" t="str">
        <f t="shared" si="1369"/>
        <v>0616047750</v>
      </c>
      <c r="B3744" t="str">
        <f t="shared" si="1370"/>
        <v>MYLES</v>
      </c>
      <c r="C3744" t="str">
        <f t="shared" si="1371"/>
        <v>COUDRIET</v>
      </c>
      <c r="D3744">
        <f>10</f>
        <v>10</v>
      </c>
      <c r="E3744" t="str">
        <f>"08 - B - 206 - Daniel S Katz"</f>
        <v>08 - B - 206 - Daniel S Katz</v>
      </c>
      <c r="F3744" t="str">
        <f>"AICE MEDIASTUDIES AS"</f>
        <v>AICE MEDIASTUDIES AS</v>
      </c>
      <c r="G3744" t="str">
        <f>"05-521"</f>
        <v>05-521</v>
      </c>
      <c r="H3744" t="str">
        <f>"B"</f>
        <v>B</v>
      </c>
    </row>
    <row r="3745" spans="1:8" x14ac:dyDescent="0.2">
      <c r="A3745" t="str">
        <f t="shared" ref="A3745:A3752" si="1372">"0616074349"</f>
        <v>0616074349</v>
      </c>
      <c r="B3745" t="str">
        <f t="shared" ref="B3745:B3752" si="1373">"KYLE"</f>
        <v>KYLE</v>
      </c>
      <c r="C3745" t="str">
        <f t="shared" ref="C3745:C3752" si="1374">"COUSINO"</f>
        <v>COUSINO</v>
      </c>
      <c r="D3745">
        <f>10</f>
        <v>10</v>
      </c>
      <c r="E3745" t="str">
        <f>"04 - A - 205 - Lytrell T Dixon"</f>
        <v>04 - A - 205 - Lytrell T Dixon</v>
      </c>
      <c r="F3745" t="str">
        <f>"BIOLOGY 1"</f>
        <v>BIOLOGY 1</v>
      </c>
      <c r="G3745" t="str">
        <f>"08-808"</f>
        <v>08-808</v>
      </c>
      <c r="H3745" t="str">
        <f>"A"</f>
        <v>A</v>
      </c>
    </row>
    <row r="3746" spans="1:8" x14ac:dyDescent="0.2">
      <c r="A3746" t="str">
        <f t="shared" si="1372"/>
        <v>0616074349</v>
      </c>
      <c r="B3746" t="str">
        <f t="shared" si="1373"/>
        <v>KYLE</v>
      </c>
      <c r="C3746" t="str">
        <f t="shared" si="1374"/>
        <v>COUSINO</v>
      </c>
      <c r="D3746">
        <f>10</f>
        <v>10</v>
      </c>
      <c r="E3746" t="str">
        <f>"06 - B - 116 - Jordana K Hass"</f>
        <v>06 - B - 116 - Jordana K Hass</v>
      </c>
      <c r="F3746" t="str">
        <f>"NC STUDY HALL 1"</f>
        <v>NC STUDY HALL 1</v>
      </c>
      <c r="G3746" t="str">
        <f>"08-807"</f>
        <v>08-807</v>
      </c>
      <c r="H3746" t="str">
        <f>"B"</f>
        <v>B</v>
      </c>
    </row>
    <row r="3747" spans="1:8" x14ac:dyDescent="0.2">
      <c r="A3747" t="str">
        <f t="shared" si="1372"/>
        <v>0616074349</v>
      </c>
      <c r="B3747" t="str">
        <f t="shared" si="1373"/>
        <v>KYLE</v>
      </c>
      <c r="C3747" t="str">
        <f t="shared" si="1374"/>
        <v>COUSINO</v>
      </c>
      <c r="D3747">
        <f>10</f>
        <v>10</v>
      </c>
      <c r="E3747" t="str">
        <f>"03 - A - 103 - Taraneh C Abreu"</f>
        <v>03 - A - 103 - Taraneh C Abreu</v>
      </c>
      <c r="F3747" t="str">
        <f>"INTENS READ 2"</f>
        <v>INTENS READ 2</v>
      </c>
      <c r="G3747" t="str">
        <f>"17-1713"</f>
        <v>17-1713</v>
      </c>
      <c r="H3747" t="str">
        <f>"A"</f>
        <v>A</v>
      </c>
    </row>
    <row r="3748" spans="1:8" x14ac:dyDescent="0.2">
      <c r="A3748" t="str">
        <f t="shared" si="1372"/>
        <v>0616074349</v>
      </c>
      <c r="B3748" t="str">
        <f t="shared" si="1373"/>
        <v>KYLE</v>
      </c>
      <c r="C3748" t="str">
        <f t="shared" si="1374"/>
        <v>COUSINO</v>
      </c>
      <c r="D3748">
        <f>10</f>
        <v>10</v>
      </c>
      <c r="E3748" t="str">
        <f>"02 - A - 102 - Adam Marcus  Drucker"</f>
        <v>02 - A - 102 - Adam Marcus  Drucker</v>
      </c>
      <c r="F3748" t="str">
        <f>"HOPE-PE V"</f>
        <v>HOPE-PE V</v>
      </c>
      <c r="G3748" t="str">
        <f>"04-254"</f>
        <v>04-254</v>
      </c>
      <c r="H3748" t="str">
        <f>"A"</f>
        <v>A</v>
      </c>
    </row>
    <row r="3749" spans="1:8" x14ac:dyDescent="0.2">
      <c r="A3749" t="str">
        <f t="shared" si="1372"/>
        <v>0616074349</v>
      </c>
      <c r="B3749" t="str">
        <f t="shared" si="1373"/>
        <v>KYLE</v>
      </c>
      <c r="C3749" t="str">
        <f t="shared" si="1374"/>
        <v>COUSINO</v>
      </c>
      <c r="D3749">
        <f>10</f>
        <v>10</v>
      </c>
      <c r="E3749" t="str">
        <f>"07 - B - 107 - Helen A Flores"</f>
        <v>07 - B - 107 - Helen A Flores</v>
      </c>
      <c r="F3749" t="str">
        <f>"ALGEBRA 1"</f>
        <v>ALGEBRA 1</v>
      </c>
      <c r="G3749" t="str">
        <f>"21-2101"</f>
        <v>21-2101</v>
      </c>
      <c r="H3749" t="str">
        <f>"B"</f>
        <v>B</v>
      </c>
    </row>
    <row r="3750" spans="1:8" x14ac:dyDescent="0.2">
      <c r="A3750" t="str">
        <f t="shared" si="1372"/>
        <v>0616074349</v>
      </c>
      <c r="B3750" t="str">
        <f t="shared" si="1373"/>
        <v>KYLE</v>
      </c>
      <c r="C3750" t="str">
        <f t="shared" si="1374"/>
        <v>COUSINO</v>
      </c>
      <c r="D3750">
        <f>10</f>
        <v>10</v>
      </c>
      <c r="E3750" t="str">
        <f>"05 - B - 205 - Lenecy  Nodarse"</f>
        <v>05 - B - 205 - Lenecy  Nodarse</v>
      </c>
      <c r="F3750" t="str">
        <f>"WORLD HISTORY"</f>
        <v>WORLD HISTORY</v>
      </c>
      <c r="G3750" t="str">
        <f>"17-1741"</f>
        <v>17-1741</v>
      </c>
      <c r="H3750" t="str">
        <f>"B"</f>
        <v>B</v>
      </c>
    </row>
    <row r="3751" spans="1:8" x14ac:dyDescent="0.2">
      <c r="A3751" t="str">
        <f t="shared" si="1372"/>
        <v>0616074349</v>
      </c>
      <c r="B3751" t="str">
        <f t="shared" si="1373"/>
        <v>KYLE</v>
      </c>
      <c r="C3751" t="str">
        <f t="shared" si="1374"/>
        <v>COUSINO</v>
      </c>
      <c r="D3751">
        <f>10</f>
        <v>10</v>
      </c>
      <c r="E3751" t="str">
        <f>"01 - A - 102 - Helen A Flores"</f>
        <v>01 - A - 102 - Helen A Flores</v>
      </c>
      <c r="F3751" t="str">
        <f>"FDN SKLS MATH 9-12"</f>
        <v>FDN SKLS MATH 9-12</v>
      </c>
      <c r="G3751" t="str">
        <f>"21-2101"</f>
        <v>21-2101</v>
      </c>
      <c r="H3751" t="str">
        <f>"A"</f>
        <v>A</v>
      </c>
    </row>
    <row r="3752" spans="1:8" x14ac:dyDescent="0.2">
      <c r="A3752" t="str">
        <f t="shared" si="1372"/>
        <v>0616074349</v>
      </c>
      <c r="B3752" t="str">
        <f t="shared" si="1373"/>
        <v>KYLE</v>
      </c>
      <c r="C3752" t="str">
        <f t="shared" si="1374"/>
        <v>COUSINO</v>
      </c>
      <c r="D3752">
        <f>10</f>
        <v>10</v>
      </c>
      <c r="E3752" t="str">
        <f>"08 - B - 109 - Nikiel  Nesbeth"</f>
        <v>08 - B - 109 - Nikiel  Nesbeth</v>
      </c>
      <c r="F3752" t="str">
        <f>"ENG 2"</f>
        <v>ENG 2</v>
      </c>
      <c r="G3752" t="str">
        <f>"17-1705"</f>
        <v>17-1705</v>
      </c>
      <c r="H3752" t="str">
        <f>"B"</f>
        <v>B</v>
      </c>
    </row>
    <row r="3753" spans="1:8" x14ac:dyDescent="0.2">
      <c r="A3753" t="str">
        <f t="shared" ref="A3753:A3760" si="1375">"0616121766"</f>
        <v>0616121766</v>
      </c>
      <c r="B3753" t="str">
        <f t="shared" ref="B3753:B3760" si="1376">"SERENITY"</f>
        <v>SERENITY</v>
      </c>
      <c r="C3753" t="str">
        <f t="shared" ref="C3753:C3760" si="1377">"COX"</f>
        <v>COX</v>
      </c>
      <c r="D3753">
        <f>10</f>
        <v>10</v>
      </c>
      <c r="E3753" t="str">
        <f>"04 - A - 104 - Brook E Goren"</f>
        <v>04 - A - 104 - Brook E Goren</v>
      </c>
      <c r="F3753" t="str">
        <f>"ALGEBRA 2 HON"</f>
        <v>ALGEBRA 2 HON</v>
      </c>
      <c r="G3753" t="str">
        <f>"21-2158"</f>
        <v>21-2158</v>
      </c>
      <c r="H3753" t="str">
        <f>"A"</f>
        <v>A</v>
      </c>
    </row>
    <row r="3754" spans="1:8" x14ac:dyDescent="0.2">
      <c r="A3754" t="str">
        <f t="shared" si="1375"/>
        <v>0616121766</v>
      </c>
      <c r="B3754" t="str">
        <f t="shared" si="1376"/>
        <v>SERENITY</v>
      </c>
      <c r="C3754" t="str">
        <f t="shared" si="1377"/>
        <v>COX</v>
      </c>
      <c r="D3754">
        <f>10</f>
        <v>10</v>
      </c>
      <c r="E3754" t="str">
        <f>"06 - B - 116 - Jordana K Hass"</f>
        <v>06 - B - 116 - Jordana K Hass</v>
      </c>
      <c r="F3754" t="str">
        <f>"NC STUDY HALL 1"</f>
        <v>NC STUDY HALL 1</v>
      </c>
      <c r="G3754" t="str">
        <f>"08-807"</f>
        <v>08-807</v>
      </c>
      <c r="H3754" t="str">
        <f>"B"</f>
        <v>B</v>
      </c>
    </row>
    <row r="3755" spans="1:8" x14ac:dyDescent="0.2">
      <c r="A3755" t="str">
        <f t="shared" si="1375"/>
        <v>0616121766</v>
      </c>
      <c r="B3755" t="str">
        <f t="shared" si="1376"/>
        <v>SERENITY</v>
      </c>
      <c r="C3755" t="str">
        <f t="shared" si="1377"/>
        <v>COX</v>
      </c>
      <c r="D3755">
        <f>10</f>
        <v>10</v>
      </c>
      <c r="E3755" t="str">
        <f>"03 - A - 201 - Alejandro  Navarro"</f>
        <v>03 - A - 201 - Alejandro  Navarro</v>
      </c>
      <c r="F3755" t="str">
        <f>"BAND 2"</f>
        <v>BAND 2</v>
      </c>
      <c r="G3755" t="str">
        <f>"05-504"</f>
        <v>05-504</v>
      </c>
      <c r="H3755" t="str">
        <f>"A"</f>
        <v>A</v>
      </c>
    </row>
    <row r="3756" spans="1:8" x14ac:dyDescent="0.2">
      <c r="A3756" t="str">
        <f t="shared" si="1375"/>
        <v>0616121766</v>
      </c>
      <c r="B3756" t="str">
        <f t="shared" si="1376"/>
        <v>SERENITY</v>
      </c>
      <c r="C3756" t="str">
        <f t="shared" si="1377"/>
        <v>COX</v>
      </c>
      <c r="D3756">
        <f>10</f>
        <v>10</v>
      </c>
      <c r="E3756" t="str">
        <f>"02 - A - 104 - Scott A Dethloff"</f>
        <v>02 - A - 104 - Scott A Dethloff</v>
      </c>
      <c r="F3756" t="str">
        <f>"CHEMISTRY 1 HON"</f>
        <v>CHEMISTRY 1 HON</v>
      </c>
      <c r="G3756" t="str">
        <f>"08-812"</f>
        <v>08-812</v>
      </c>
      <c r="H3756" t="str">
        <f>"A"</f>
        <v>A</v>
      </c>
    </row>
    <row r="3757" spans="1:8" x14ac:dyDescent="0.2">
      <c r="A3757" t="str">
        <f t="shared" si="1375"/>
        <v>0616121766</v>
      </c>
      <c r="B3757" t="str">
        <f t="shared" si="1376"/>
        <v>SERENITY</v>
      </c>
      <c r="C3757" t="str">
        <f t="shared" si="1377"/>
        <v>COX</v>
      </c>
      <c r="D3757">
        <f>10</f>
        <v>10</v>
      </c>
      <c r="E3757" t="str">
        <f>"07 - B - 102 - Nikiel  Nesbeth"</f>
        <v>07 - B - 102 - Nikiel  Nesbeth</v>
      </c>
      <c r="F3757" t="str">
        <f>"PRE-AICE ENG LIT IG"</f>
        <v>PRE-AICE ENG LIT IG</v>
      </c>
      <c r="G3757" t="str">
        <f>"17-1705"</f>
        <v>17-1705</v>
      </c>
      <c r="H3757" t="str">
        <f>"B"</f>
        <v>B</v>
      </c>
    </row>
    <row r="3758" spans="1:8" x14ac:dyDescent="0.2">
      <c r="A3758" t="str">
        <f t="shared" si="1375"/>
        <v>0616121766</v>
      </c>
      <c r="B3758" t="str">
        <f t="shared" si="1376"/>
        <v>SERENITY</v>
      </c>
      <c r="C3758" t="str">
        <f t="shared" si="1377"/>
        <v>COX</v>
      </c>
      <c r="D3758">
        <f>10</f>
        <v>10</v>
      </c>
      <c r="E3758" t="str">
        <f>"05 - B - 101 - Jordana K Hass"</f>
        <v>05 - B - 101 - Jordana K Hass</v>
      </c>
      <c r="F3758" t="str">
        <f>"AP COMP SCI PRIN"</f>
        <v>AP COMP SCI PRIN</v>
      </c>
      <c r="G3758" t="str">
        <f>"08-807"</f>
        <v>08-807</v>
      </c>
      <c r="H3758" t="str">
        <f>"B"</f>
        <v>B</v>
      </c>
    </row>
    <row r="3759" spans="1:8" x14ac:dyDescent="0.2">
      <c r="A3759" t="str">
        <f t="shared" si="1375"/>
        <v>0616121766</v>
      </c>
      <c r="B3759" t="str">
        <f t="shared" si="1376"/>
        <v>SERENITY</v>
      </c>
      <c r="C3759" t="str">
        <f t="shared" si="1377"/>
        <v>COX</v>
      </c>
      <c r="D3759">
        <f>10</f>
        <v>10</v>
      </c>
      <c r="E3759" t="str">
        <f>"01 - A - 101 - Josiah I Lacy"</f>
        <v>01 - A - 101 - Josiah I Lacy</v>
      </c>
      <c r="F3759" t="str">
        <f>"PRE-AICE BIO IG"</f>
        <v>PRE-AICE BIO IG</v>
      </c>
      <c r="G3759" t="str">
        <f>"08-801"</f>
        <v>08-801</v>
      </c>
      <c r="H3759" t="str">
        <f>"A"</f>
        <v>A</v>
      </c>
    </row>
    <row r="3760" spans="1:8" x14ac:dyDescent="0.2">
      <c r="A3760" t="str">
        <f t="shared" si="1375"/>
        <v>0616121766</v>
      </c>
      <c r="B3760" t="str">
        <f t="shared" si="1376"/>
        <v>SERENITY</v>
      </c>
      <c r="C3760" t="str">
        <f t="shared" si="1377"/>
        <v>COX</v>
      </c>
      <c r="D3760">
        <f>10</f>
        <v>10</v>
      </c>
      <c r="E3760" t="str">
        <f>"08 - B - 101 - Jordana K Hass"</f>
        <v>08 - B - 101 - Jordana K Hass</v>
      </c>
      <c r="F3760" t="str">
        <f>"AICE INFO TECH 1 AS"</f>
        <v>AICE INFO TECH 1 AS</v>
      </c>
      <c r="G3760" t="str">
        <f>"08-807"</f>
        <v>08-807</v>
      </c>
      <c r="H3760" t="str">
        <f>"B"</f>
        <v>B</v>
      </c>
    </row>
    <row r="3761" spans="1:8" x14ac:dyDescent="0.2">
      <c r="A3761" t="str">
        <f t="shared" ref="A3761:A3768" si="1378">"0622020110"</f>
        <v>0622020110</v>
      </c>
      <c r="B3761" t="str">
        <f t="shared" ref="B3761:B3768" si="1379">"KHAMARI"</f>
        <v>KHAMARI</v>
      </c>
      <c r="C3761" t="str">
        <f t="shared" ref="C3761:C3776" si="1380">"CRAIG"</f>
        <v>CRAIG</v>
      </c>
      <c r="D3761">
        <f>10</f>
        <v>10</v>
      </c>
      <c r="E3761" t="str">
        <f>"04 - A - 102 - Fernando  Vega-Cid"</f>
        <v>04 - A - 102 - Fernando  Vega-Cid</v>
      </c>
      <c r="F3761" t="str">
        <f>"PRE-CALCULUS HON"</f>
        <v>PRE-CALCULUS HON</v>
      </c>
      <c r="G3761" t="str">
        <f>"21-2163"</f>
        <v>21-2163</v>
      </c>
      <c r="H3761" t="str">
        <f>"A"</f>
        <v>A</v>
      </c>
    </row>
    <row r="3762" spans="1:8" x14ac:dyDescent="0.2">
      <c r="A3762" t="str">
        <f t="shared" si="1378"/>
        <v>0622020110</v>
      </c>
      <c r="B3762" t="str">
        <f t="shared" si="1379"/>
        <v>KHAMARI</v>
      </c>
      <c r="C3762" t="str">
        <f t="shared" si="1380"/>
        <v>CRAIG</v>
      </c>
      <c r="D3762">
        <f>10</f>
        <v>10</v>
      </c>
      <c r="E3762" t="str">
        <f>"06 - B - 103 - Thomas G Handwerg"</f>
        <v>06 - B - 103 - Thomas G Handwerg</v>
      </c>
      <c r="F3762" t="str">
        <f>"NC STUDY HALL 1"</f>
        <v>NC STUDY HALL 1</v>
      </c>
      <c r="G3762" t="str">
        <f>"21-2146"</f>
        <v>21-2146</v>
      </c>
      <c r="H3762" t="str">
        <f>"B"</f>
        <v>B</v>
      </c>
    </row>
    <row r="3763" spans="1:8" x14ac:dyDescent="0.2">
      <c r="A3763" t="str">
        <f t="shared" si="1378"/>
        <v>0622020110</v>
      </c>
      <c r="B3763" t="str">
        <f t="shared" si="1379"/>
        <v>KHAMARI</v>
      </c>
      <c r="C3763" t="str">
        <f t="shared" si="1380"/>
        <v>CRAIG</v>
      </c>
      <c r="D3763">
        <f>10</f>
        <v>10</v>
      </c>
      <c r="E3763" t="str">
        <f>"03 - A - 002 - Brandy N Zdenek"</f>
        <v>03 - A - 002 - Brandy N Zdenek</v>
      </c>
      <c r="F3763" t="str">
        <f>"AICE ENG LANG AS"</f>
        <v>AICE ENG LANG AS</v>
      </c>
      <c r="G3763" t="str">
        <f>"17-1704"</f>
        <v>17-1704</v>
      </c>
      <c r="H3763" t="str">
        <f>"A"</f>
        <v>A</v>
      </c>
    </row>
    <row r="3764" spans="1:8" x14ac:dyDescent="0.2">
      <c r="A3764" t="str">
        <f t="shared" si="1378"/>
        <v>0622020110</v>
      </c>
      <c r="B3764" t="str">
        <f t="shared" si="1379"/>
        <v>KHAMARI</v>
      </c>
      <c r="C3764" t="str">
        <f t="shared" si="1380"/>
        <v>CRAIG</v>
      </c>
      <c r="D3764">
        <f>10</f>
        <v>10</v>
      </c>
      <c r="E3764" t="str">
        <f>"02 - A - 104 - Joe  Kilpatrick Jr"</f>
        <v>02 - A - 104 - Joe  Kilpatrick Jr</v>
      </c>
      <c r="F3764" t="str">
        <f>"PRE-AICE SPAN 2 IG"</f>
        <v>PRE-AICE SPAN 2 IG</v>
      </c>
      <c r="G3764" t="str">
        <f>"09-912"</f>
        <v>09-912</v>
      </c>
      <c r="H3764" t="str">
        <f>"A"</f>
        <v>A</v>
      </c>
    </row>
    <row r="3765" spans="1:8" x14ac:dyDescent="0.2">
      <c r="A3765" t="str">
        <f t="shared" si="1378"/>
        <v>0622020110</v>
      </c>
      <c r="B3765" t="str">
        <f t="shared" si="1379"/>
        <v>KHAMARI</v>
      </c>
      <c r="C3765" t="str">
        <f t="shared" si="1380"/>
        <v>CRAIG</v>
      </c>
      <c r="D3765">
        <f>10</f>
        <v>10</v>
      </c>
      <c r="E3765" t="str">
        <f>"07 - S1 - B - 107 - Richard E Dunbar Iii"</f>
        <v>07 - S1 - B - 107 - Richard E Dunbar Iii</v>
      </c>
      <c r="F3765" t="str">
        <f>"WEIGHT TRAIN 1"</f>
        <v>WEIGHT TRAIN 1</v>
      </c>
      <c r="G3765" t="str">
        <f>"05-501"</f>
        <v>05-501</v>
      </c>
      <c r="H3765" t="str">
        <f>"B"</f>
        <v>B</v>
      </c>
    </row>
    <row r="3766" spans="1:8" x14ac:dyDescent="0.2">
      <c r="A3766" t="str">
        <f t="shared" si="1378"/>
        <v>0622020110</v>
      </c>
      <c r="B3766" t="str">
        <f t="shared" si="1379"/>
        <v>KHAMARI</v>
      </c>
      <c r="C3766" t="str">
        <f t="shared" si="1380"/>
        <v>CRAIG</v>
      </c>
      <c r="D3766">
        <f>10</f>
        <v>10</v>
      </c>
      <c r="E3766" t="str">
        <f>"05 - B - 204 - Cheryl L Beach"</f>
        <v>05 - B - 204 - Cheryl L Beach</v>
      </c>
      <c r="F3766" t="str">
        <f>"AICE ENV MGMNT AS"</f>
        <v>AICE ENV MGMNT AS</v>
      </c>
      <c r="G3766" t="str">
        <f>"08-811"</f>
        <v>08-811</v>
      </c>
      <c r="H3766" t="str">
        <f>"B"</f>
        <v>B</v>
      </c>
    </row>
    <row r="3767" spans="1:8" x14ac:dyDescent="0.2">
      <c r="A3767" t="str">
        <f t="shared" si="1378"/>
        <v>0622020110</v>
      </c>
      <c r="B3767" t="str">
        <f t="shared" si="1379"/>
        <v>KHAMARI</v>
      </c>
      <c r="C3767" t="str">
        <f t="shared" si="1380"/>
        <v>CRAIG</v>
      </c>
      <c r="D3767">
        <f>10</f>
        <v>10</v>
      </c>
      <c r="E3767" t="str">
        <f>"01 - A - 002 - Krystal Marie  Beruty"</f>
        <v>01 - A - 002 - Krystal Marie  Beruty</v>
      </c>
      <c r="F3767" t="str">
        <f>"AICE GLBL PERSP 1 AS"</f>
        <v>AICE GLBL PERSP 1 AS</v>
      </c>
      <c r="G3767" t="str">
        <f>"17-1721"</f>
        <v>17-1721</v>
      </c>
      <c r="H3767" t="str">
        <f>"A"</f>
        <v>A</v>
      </c>
    </row>
    <row r="3768" spans="1:8" x14ac:dyDescent="0.2">
      <c r="A3768" t="str">
        <f t="shared" si="1378"/>
        <v>0622020110</v>
      </c>
      <c r="B3768" t="str">
        <f t="shared" si="1379"/>
        <v>KHAMARI</v>
      </c>
      <c r="C3768" t="str">
        <f t="shared" si="1380"/>
        <v>CRAIG</v>
      </c>
      <c r="D3768">
        <f>10</f>
        <v>10</v>
      </c>
      <c r="E3768" t="str">
        <f>"08 - S1 - B - 102 - Kyle  Robbins"</f>
        <v>08 - S1 - B - 102 - Kyle  Robbins</v>
      </c>
      <c r="F3768" t="str">
        <f>"PERS FIN &amp; MON MGT H"</f>
        <v>PERS FIN &amp; MON MGT H</v>
      </c>
      <c r="G3768" t="str">
        <f>"17-1745"</f>
        <v>17-1745</v>
      </c>
      <c r="H3768" t="str">
        <f>"B"</f>
        <v>B</v>
      </c>
    </row>
    <row r="3769" spans="1:8" x14ac:dyDescent="0.2">
      <c r="A3769" t="str">
        <f t="shared" ref="A3769:A3776" si="1381">"0615080054"</f>
        <v>0615080054</v>
      </c>
      <c r="B3769" t="str">
        <f t="shared" ref="B3769:B3776" si="1382">"KYMANI"</f>
        <v>KYMANI</v>
      </c>
      <c r="C3769" t="str">
        <f t="shared" si="1380"/>
        <v>CRAIG</v>
      </c>
      <c r="D3769">
        <f>10</f>
        <v>10</v>
      </c>
      <c r="E3769" t="str">
        <f>"04 - A - 105 - Jacklyn M James"</f>
        <v>04 - A - 105 - Jacklyn M James</v>
      </c>
      <c r="F3769" t="str">
        <f>"AICE ENG LANG AS"</f>
        <v>AICE ENG LANG AS</v>
      </c>
      <c r="G3769" t="str">
        <f>"17-1731"</f>
        <v>17-1731</v>
      </c>
      <c r="H3769" t="str">
        <f>"A"</f>
        <v>A</v>
      </c>
    </row>
    <row r="3770" spans="1:8" x14ac:dyDescent="0.2">
      <c r="A3770" t="str">
        <f t="shared" si="1381"/>
        <v>0615080054</v>
      </c>
      <c r="B3770" t="str">
        <f t="shared" si="1382"/>
        <v>KYMANI</v>
      </c>
      <c r="C3770" t="str">
        <f t="shared" si="1380"/>
        <v>CRAIG</v>
      </c>
      <c r="D3770">
        <f>10</f>
        <v>10</v>
      </c>
      <c r="E3770" t="str">
        <f>"06 - B - 116 - Jordana K Hass"</f>
        <v>06 - B - 116 - Jordana K Hass</v>
      </c>
      <c r="F3770" t="str">
        <f>"NC STUDY HALL 1"</f>
        <v>NC STUDY HALL 1</v>
      </c>
      <c r="G3770" t="str">
        <f>"08-807"</f>
        <v>08-807</v>
      </c>
      <c r="H3770" t="str">
        <f>"B"</f>
        <v>B</v>
      </c>
    </row>
    <row r="3771" spans="1:8" x14ac:dyDescent="0.2">
      <c r="A3771" t="str">
        <f t="shared" si="1381"/>
        <v>0615080054</v>
      </c>
      <c r="B3771" t="str">
        <f t="shared" si="1382"/>
        <v>KYMANI</v>
      </c>
      <c r="C3771" t="str">
        <f t="shared" si="1380"/>
        <v>CRAIG</v>
      </c>
      <c r="D3771">
        <f>10</f>
        <v>10</v>
      </c>
      <c r="E3771" t="str">
        <f>"03 - A - 103 - Pamela M Corzo"</f>
        <v>03 - A - 103 - Pamela M Corzo</v>
      </c>
      <c r="F3771" t="str">
        <f>"ALGEBRA 2 HON"</f>
        <v>ALGEBRA 2 HON</v>
      </c>
      <c r="G3771" t="str">
        <f>"21-2133"</f>
        <v>21-2133</v>
      </c>
      <c r="H3771" t="str">
        <f>"A"</f>
        <v>A</v>
      </c>
    </row>
    <row r="3772" spans="1:8" x14ac:dyDescent="0.2">
      <c r="A3772" t="str">
        <f t="shared" si="1381"/>
        <v>0615080054</v>
      </c>
      <c r="B3772" t="str">
        <f t="shared" si="1382"/>
        <v>KYMANI</v>
      </c>
      <c r="C3772" t="str">
        <f t="shared" si="1380"/>
        <v>CRAIG</v>
      </c>
      <c r="D3772">
        <f>10</f>
        <v>10</v>
      </c>
      <c r="E3772" t="str">
        <f>"02 - A - 104 - Joe  Kilpatrick Jr"</f>
        <v>02 - A - 104 - Joe  Kilpatrick Jr</v>
      </c>
      <c r="F3772" t="str">
        <f>"PRE-AICE SPAN 2 IG"</f>
        <v>PRE-AICE SPAN 2 IG</v>
      </c>
      <c r="G3772" t="str">
        <f>"09-912"</f>
        <v>09-912</v>
      </c>
      <c r="H3772" t="str">
        <f>"A"</f>
        <v>A</v>
      </c>
    </row>
    <row r="3773" spans="1:8" x14ac:dyDescent="0.2">
      <c r="A3773" t="str">
        <f t="shared" si="1381"/>
        <v>0615080054</v>
      </c>
      <c r="B3773" t="str">
        <f t="shared" si="1382"/>
        <v>KYMANI</v>
      </c>
      <c r="C3773" t="str">
        <f t="shared" si="1380"/>
        <v>CRAIG</v>
      </c>
      <c r="D3773">
        <f>10</f>
        <v>10</v>
      </c>
      <c r="E3773" t="str">
        <f>"07 - B - 206 - Cheryl L Beach"</f>
        <v>07 - B - 206 - Cheryl L Beach</v>
      </c>
      <c r="F3773" t="str">
        <f>"AICE ENV MGMNT AS"</f>
        <v>AICE ENV MGMNT AS</v>
      </c>
      <c r="G3773" t="str">
        <f>"08-811"</f>
        <v>08-811</v>
      </c>
      <c r="H3773" t="str">
        <f>"B"</f>
        <v>B</v>
      </c>
    </row>
    <row r="3774" spans="1:8" x14ac:dyDescent="0.2">
      <c r="A3774" t="str">
        <f t="shared" si="1381"/>
        <v>0615080054</v>
      </c>
      <c r="B3774" t="str">
        <f t="shared" si="1382"/>
        <v>KYMANI</v>
      </c>
      <c r="C3774" t="str">
        <f t="shared" si="1380"/>
        <v>CRAIG</v>
      </c>
      <c r="D3774">
        <f>10</f>
        <v>10</v>
      </c>
      <c r="E3774" t="str">
        <f>"05 - S1 - B - 102 - Carol S Moore"</f>
        <v>05 - S1 - B - 102 - Carol S Moore</v>
      </c>
      <c r="F3774" t="str">
        <f>"PERS FIN &amp; MON MGT H"</f>
        <v>PERS FIN &amp; MON MGT H</v>
      </c>
      <c r="G3774" t="str">
        <f>"17-1733"</f>
        <v>17-1733</v>
      </c>
      <c r="H3774" t="str">
        <f>"B"</f>
        <v>B</v>
      </c>
    </row>
    <row r="3775" spans="1:8" x14ac:dyDescent="0.2">
      <c r="A3775" t="str">
        <f t="shared" si="1381"/>
        <v>0615080054</v>
      </c>
      <c r="B3775" t="str">
        <f t="shared" si="1382"/>
        <v>KYMANI</v>
      </c>
      <c r="C3775" t="str">
        <f t="shared" si="1380"/>
        <v>CRAIG</v>
      </c>
      <c r="D3775">
        <f>10</f>
        <v>10</v>
      </c>
      <c r="E3775" t="str">
        <f>"01 - A - 101 - Marius D Orsolini"</f>
        <v>01 - A - 101 - Marius D Orsolini</v>
      </c>
      <c r="F3775" t="str">
        <f>"CULINARY ARTS 1"</f>
        <v>CULINARY ARTS 1</v>
      </c>
      <c r="G3775" t="str">
        <f>"21-2115"</f>
        <v>21-2115</v>
      </c>
      <c r="H3775" t="str">
        <f>"A"</f>
        <v>A</v>
      </c>
    </row>
    <row r="3776" spans="1:8" x14ac:dyDescent="0.2">
      <c r="A3776" t="str">
        <f t="shared" si="1381"/>
        <v>0615080054</v>
      </c>
      <c r="B3776" t="str">
        <f t="shared" si="1382"/>
        <v>KYMANI</v>
      </c>
      <c r="C3776" t="str">
        <f t="shared" si="1380"/>
        <v>CRAIG</v>
      </c>
      <c r="D3776">
        <f>10</f>
        <v>10</v>
      </c>
      <c r="E3776" t="str">
        <f>"08 - B - 109 - Emmily A Sarmiento"</f>
        <v>08 - B - 109 - Emmily A Sarmiento</v>
      </c>
      <c r="F3776" t="str">
        <f>"AICE GLBL PERSP 1 AS"</f>
        <v>AICE GLBL PERSP 1 AS</v>
      </c>
      <c r="G3776" t="str">
        <f>"17-1743"</f>
        <v>17-1743</v>
      </c>
      <c r="H3776" t="str">
        <f>"B"</f>
        <v>B</v>
      </c>
    </row>
    <row r="3777" spans="1:8" x14ac:dyDescent="0.2">
      <c r="A3777" t="str">
        <f t="shared" ref="A3777:A3784" si="1383">"0615002068"</f>
        <v>0615002068</v>
      </c>
      <c r="B3777" t="str">
        <f t="shared" ref="B3777:B3784" si="1384">"PRECIOUS"</f>
        <v>PRECIOUS</v>
      </c>
      <c r="C3777" t="str">
        <f t="shared" ref="C3777:C3784" si="1385">"CRAYTON"</f>
        <v>CRAYTON</v>
      </c>
      <c r="D3777">
        <f>10</f>
        <v>10</v>
      </c>
      <c r="E3777" t="str">
        <f>"04 - A - 104 - Nikiel  Nesbeth"</f>
        <v>04 - A - 104 - Nikiel  Nesbeth</v>
      </c>
      <c r="F3777" t="str">
        <f>"ENG 2"</f>
        <v>ENG 2</v>
      </c>
      <c r="G3777" t="str">
        <f>"17-1705"</f>
        <v>17-1705</v>
      </c>
      <c r="H3777" t="str">
        <f>"A"</f>
        <v>A</v>
      </c>
    </row>
    <row r="3778" spans="1:8" x14ac:dyDescent="0.2">
      <c r="A3778" t="str">
        <f t="shared" si="1383"/>
        <v>0615002068</v>
      </c>
      <c r="B3778" t="str">
        <f t="shared" si="1384"/>
        <v>PRECIOUS</v>
      </c>
      <c r="C3778" t="str">
        <f t="shared" si="1385"/>
        <v>CRAYTON</v>
      </c>
      <c r="D3778">
        <f>10</f>
        <v>10</v>
      </c>
      <c r="E3778" t="str">
        <f>"06 - B - 107 - Dorothy D Moore"</f>
        <v>06 - B - 107 - Dorothy D Moore</v>
      </c>
      <c r="F3778" t="str">
        <f>"NC STUDY HALL 1"</f>
        <v>NC STUDY HALL 1</v>
      </c>
      <c r="G3778" t="str">
        <f>"08-803"</f>
        <v>08-803</v>
      </c>
      <c r="H3778" t="str">
        <f>"B"</f>
        <v>B</v>
      </c>
    </row>
    <row r="3779" spans="1:8" x14ac:dyDescent="0.2">
      <c r="A3779" t="str">
        <f t="shared" si="1383"/>
        <v>0615002068</v>
      </c>
      <c r="B3779" t="str">
        <f t="shared" si="1384"/>
        <v>PRECIOUS</v>
      </c>
      <c r="C3779" t="str">
        <f t="shared" si="1385"/>
        <v>CRAYTON</v>
      </c>
      <c r="D3779">
        <f>10</f>
        <v>10</v>
      </c>
      <c r="E3779" t="str">
        <f>"03 - A - 002 - Ferrie J Arostique"</f>
        <v>03 - A - 002 - Ferrie J Arostique</v>
      </c>
      <c r="F3779" t="str">
        <f>"GEOMETRY"</f>
        <v>GEOMETRY</v>
      </c>
      <c r="G3779" t="str">
        <f>"21-2139"</f>
        <v>21-2139</v>
      </c>
      <c r="H3779" t="str">
        <f>"A"</f>
        <v>A</v>
      </c>
    </row>
    <row r="3780" spans="1:8" x14ac:dyDescent="0.2">
      <c r="A3780" t="str">
        <f t="shared" si="1383"/>
        <v>0615002068</v>
      </c>
      <c r="B3780" t="str">
        <f t="shared" si="1384"/>
        <v>PRECIOUS</v>
      </c>
      <c r="C3780" t="str">
        <f t="shared" si="1385"/>
        <v>CRAYTON</v>
      </c>
      <c r="D3780">
        <f>10</f>
        <v>10</v>
      </c>
      <c r="E3780" t="str">
        <f>"02 - A - 102 - Adam Marcus  Drucker"</f>
        <v>02 - A - 102 - Adam Marcus  Drucker</v>
      </c>
      <c r="F3780" t="str">
        <f>"HOPE-PE V"</f>
        <v>HOPE-PE V</v>
      </c>
      <c r="G3780" t="str">
        <f>"04-254"</f>
        <v>04-254</v>
      </c>
      <c r="H3780" t="str">
        <f>"A"</f>
        <v>A</v>
      </c>
    </row>
    <row r="3781" spans="1:8" x14ac:dyDescent="0.2">
      <c r="A3781" t="str">
        <f t="shared" si="1383"/>
        <v>0615002068</v>
      </c>
      <c r="B3781" t="str">
        <f t="shared" si="1384"/>
        <v>PRECIOUS</v>
      </c>
      <c r="C3781" t="str">
        <f t="shared" si="1385"/>
        <v>CRAYTON</v>
      </c>
      <c r="D3781">
        <f>10</f>
        <v>10</v>
      </c>
      <c r="E3781" t="str">
        <f>"07 - B - 002 - Jazmin S Fletcher"</f>
        <v>07 - B - 002 - Jazmin S Fletcher</v>
      </c>
      <c r="F3781" t="str">
        <f>"THEATRE 1"</f>
        <v>THEATRE 1</v>
      </c>
      <c r="G3781" t="str">
        <f>"09-909"</f>
        <v>09-909</v>
      </c>
      <c r="H3781" t="str">
        <f>"B"</f>
        <v>B</v>
      </c>
    </row>
    <row r="3782" spans="1:8" x14ac:dyDescent="0.2">
      <c r="A3782" t="str">
        <f t="shared" si="1383"/>
        <v>0615002068</v>
      </c>
      <c r="B3782" t="str">
        <f t="shared" si="1384"/>
        <v>PRECIOUS</v>
      </c>
      <c r="C3782" t="str">
        <f t="shared" si="1385"/>
        <v>CRAYTON</v>
      </c>
      <c r="D3782">
        <f>10</f>
        <v>10</v>
      </c>
      <c r="E3782" t="str">
        <f>"05 - B - 105 - Taraneh C Abreu"</f>
        <v>05 - B - 105 - Taraneh C Abreu</v>
      </c>
      <c r="F3782" t="str">
        <f>"INTENS READ 2"</f>
        <v>INTENS READ 2</v>
      </c>
      <c r="G3782" t="str">
        <f>"17-1713"</f>
        <v>17-1713</v>
      </c>
      <c r="H3782" t="str">
        <f>"B"</f>
        <v>B</v>
      </c>
    </row>
    <row r="3783" spans="1:8" x14ac:dyDescent="0.2">
      <c r="A3783" t="str">
        <f t="shared" si="1383"/>
        <v>0615002068</v>
      </c>
      <c r="B3783" t="str">
        <f t="shared" si="1384"/>
        <v>PRECIOUS</v>
      </c>
      <c r="C3783" t="str">
        <f t="shared" si="1385"/>
        <v>CRAYTON</v>
      </c>
      <c r="D3783">
        <f>10</f>
        <v>10</v>
      </c>
      <c r="E3783" t="str">
        <f>"01 - S1 - A - 101 - Lissa C Frederique"</f>
        <v>01 - S1 - A - 101 - Lissa C Frederique</v>
      </c>
      <c r="F3783" t="str">
        <f>"PERS FIN &amp; MON MGT H"</f>
        <v>PERS FIN &amp; MON MGT H</v>
      </c>
      <c r="G3783" t="str">
        <f>"17-1754"</f>
        <v>17-1754</v>
      </c>
      <c r="H3783" t="str">
        <f>"A"</f>
        <v>A</v>
      </c>
    </row>
    <row r="3784" spans="1:8" x14ac:dyDescent="0.2">
      <c r="A3784" t="str">
        <f t="shared" si="1383"/>
        <v>0615002068</v>
      </c>
      <c r="B3784" t="str">
        <f t="shared" si="1384"/>
        <v>PRECIOUS</v>
      </c>
      <c r="C3784" t="str">
        <f t="shared" si="1385"/>
        <v>CRAYTON</v>
      </c>
      <c r="D3784">
        <f>10</f>
        <v>10</v>
      </c>
      <c r="E3784" t="str">
        <f>"08 - B - 001 - Lytrell T Dixon"</f>
        <v>08 - B - 001 - Lytrell T Dixon</v>
      </c>
      <c r="F3784" t="str">
        <f>"BIOLOGY 1"</f>
        <v>BIOLOGY 1</v>
      </c>
      <c r="G3784" t="str">
        <f>"08-808"</f>
        <v>08-808</v>
      </c>
      <c r="H3784" t="str">
        <f>"B"</f>
        <v>B</v>
      </c>
    </row>
    <row r="3785" spans="1:8" x14ac:dyDescent="0.2">
      <c r="A3785" t="str">
        <f t="shared" ref="A3785:A3792" si="1386">"0617044337"</f>
        <v>0617044337</v>
      </c>
      <c r="B3785" t="str">
        <f t="shared" ref="B3785:B3792" si="1387">"ANNALISA"</f>
        <v>ANNALISA</v>
      </c>
      <c r="C3785" t="str">
        <f t="shared" ref="C3785:C3792" si="1388">"CROISSY"</f>
        <v>CROISSY</v>
      </c>
      <c r="D3785" t="str">
        <f t="shared" ref="D3785:D3792" si="1389">"09"</f>
        <v>09</v>
      </c>
      <c r="E3785" t="str">
        <f>"04 - A - 102 - Elizabeth R Walker"</f>
        <v>04 - A - 102 - Elizabeth R Walker</v>
      </c>
      <c r="F3785" t="str">
        <f>"AICE ENG GEN PAPER 1"</f>
        <v>AICE ENG GEN PAPER 1</v>
      </c>
      <c r="G3785" t="str">
        <f>"17-1703"</f>
        <v>17-1703</v>
      </c>
      <c r="H3785" t="str">
        <f>"A"</f>
        <v>A</v>
      </c>
    </row>
    <row r="3786" spans="1:8" x14ac:dyDescent="0.2">
      <c r="A3786" t="str">
        <f t="shared" si="1386"/>
        <v>0617044337</v>
      </c>
      <c r="B3786" t="str">
        <f t="shared" si="1387"/>
        <v>ANNALISA</v>
      </c>
      <c r="C3786" t="str">
        <f t="shared" si="1388"/>
        <v>CROISSY</v>
      </c>
      <c r="D3786" t="str">
        <f t="shared" si="1389"/>
        <v>09</v>
      </c>
      <c r="E3786" t="str">
        <f>"06 - B - 104 - Eva T Rimmer"</f>
        <v>06 - B - 104 - Eva T Rimmer</v>
      </c>
      <c r="F3786" t="str">
        <f>"CRIMINAL JUST OPS 1"</f>
        <v>CRIMINAL JUST OPS 1</v>
      </c>
      <c r="G3786" t="str">
        <f>"05-523"</f>
        <v>05-523</v>
      </c>
      <c r="H3786" t="str">
        <f>"B"</f>
        <v>B</v>
      </c>
    </row>
    <row r="3787" spans="1:8" x14ac:dyDescent="0.2">
      <c r="A3787" t="str">
        <f t="shared" si="1386"/>
        <v>0617044337</v>
      </c>
      <c r="B3787" t="str">
        <f t="shared" si="1387"/>
        <v>ANNALISA</v>
      </c>
      <c r="C3787" t="str">
        <f t="shared" si="1388"/>
        <v>CROISSY</v>
      </c>
      <c r="D3787" t="str">
        <f t="shared" si="1389"/>
        <v>09</v>
      </c>
      <c r="E3787" t="str">
        <f>"03 - S1 - A - 101 - Daniel S Katz"</f>
        <v>03 - S1 - A - 101 - Daniel S Katz</v>
      </c>
      <c r="F3787" t="str">
        <f>"COURT PROCED"</f>
        <v>COURT PROCED</v>
      </c>
      <c r="G3787" t="str">
        <f>"21-2156"</f>
        <v>21-2156</v>
      </c>
      <c r="H3787" t="str">
        <f>"A"</f>
        <v>A</v>
      </c>
    </row>
    <row r="3788" spans="1:8" x14ac:dyDescent="0.2">
      <c r="A3788" t="str">
        <f t="shared" si="1386"/>
        <v>0617044337</v>
      </c>
      <c r="B3788" t="str">
        <f t="shared" si="1387"/>
        <v>ANNALISA</v>
      </c>
      <c r="C3788" t="str">
        <f t="shared" si="1388"/>
        <v>CROISSY</v>
      </c>
      <c r="D3788" t="str">
        <f t="shared" si="1389"/>
        <v>09</v>
      </c>
      <c r="E3788" t="str">
        <f>"02 - A - 116 - Tina L Lovett"</f>
        <v>02 - A - 116 - Tina L Lovett</v>
      </c>
      <c r="F3788" t="str">
        <f>"NC STUDY HALL 1"</f>
        <v>NC STUDY HALL 1</v>
      </c>
      <c r="G3788" t="str">
        <f>"21-2153"</f>
        <v>21-2153</v>
      </c>
      <c r="H3788" t="str">
        <f>"A"</f>
        <v>A</v>
      </c>
    </row>
    <row r="3789" spans="1:8" x14ac:dyDescent="0.2">
      <c r="A3789" t="str">
        <f t="shared" si="1386"/>
        <v>0617044337</v>
      </c>
      <c r="B3789" t="str">
        <f t="shared" si="1387"/>
        <v>ANNALISA</v>
      </c>
      <c r="C3789" t="str">
        <f t="shared" si="1388"/>
        <v>CROISSY</v>
      </c>
      <c r="D3789" t="str">
        <f t="shared" si="1389"/>
        <v>09</v>
      </c>
      <c r="E3789" t="str">
        <f>"07 - B - 107 - Brook E Goren"</f>
        <v>07 - B - 107 - Brook E Goren</v>
      </c>
      <c r="F3789" t="str">
        <f>"PRE-AICE MATH 2 IG"</f>
        <v>PRE-AICE MATH 2 IG</v>
      </c>
      <c r="G3789" t="str">
        <f>"21-2158"</f>
        <v>21-2158</v>
      </c>
      <c r="H3789" t="str">
        <f>"B"</f>
        <v>B</v>
      </c>
    </row>
    <row r="3790" spans="1:8" x14ac:dyDescent="0.2">
      <c r="A3790" t="str">
        <f t="shared" si="1386"/>
        <v>0617044337</v>
      </c>
      <c r="B3790" t="str">
        <f t="shared" si="1387"/>
        <v>ANNALISA</v>
      </c>
      <c r="C3790" t="str">
        <f t="shared" si="1388"/>
        <v>CROISSY</v>
      </c>
      <c r="D3790" t="str">
        <f t="shared" si="1389"/>
        <v>09</v>
      </c>
      <c r="E3790" t="str">
        <f>"05 - B - 003 - Krystal Marie  Beruty"</f>
        <v>05 - B - 003 - Krystal Marie  Beruty</v>
      </c>
      <c r="F3790" t="str">
        <f>"AICE GLBL PERSP 1 AS"</f>
        <v>AICE GLBL PERSP 1 AS</v>
      </c>
      <c r="G3790" t="str">
        <f>"17-1721"</f>
        <v>17-1721</v>
      </c>
      <c r="H3790" t="str">
        <f>"B"</f>
        <v>B</v>
      </c>
    </row>
    <row r="3791" spans="1:8" x14ac:dyDescent="0.2">
      <c r="A3791" t="str">
        <f t="shared" si="1386"/>
        <v>0617044337</v>
      </c>
      <c r="B3791" t="str">
        <f t="shared" si="1387"/>
        <v>ANNALISA</v>
      </c>
      <c r="C3791" t="str">
        <f t="shared" si="1388"/>
        <v>CROISSY</v>
      </c>
      <c r="D3791" t="str">
        <f t="shared" si="1389"/>
        <v>09</v>
      </c>
      <c r="E3791" t="str">
        <f>"01 - A - 101 - Byron G Montenegro"</f>
        <v>01 - A - 101 - Byron G Montenegro</v>
      </c>
      <c r="F3791" t="str">
        <f>"AICE MARINE SCI 1 AS"</f>
        <v>AICE MARINE SCI 1 AS</v>
      </c>
      <c r="G3791" t="str">
        <f>"21-2144"</f>
        <v>21-2144</v>
      </c>
      <c r="H3791" t="str">
        <f>"A"</f>
        <v>A</v>
      </c>
    </row>
    <row r="3792" spans="1:8" x14ac:dyDescent="0.2">
      <c r="A3792" t="str">
        <f t="shared" si="1386"/>
        <v>0617044337</v>
      </c>
      <c r="B3792" t="str">
        <f t="shared" si="1387"/>
        <v>ANNALISA</v>
      </c>
      <c r="C3792" t="str">
        <f t="shared" si="1388"/>
        <v>CROISSY</v>
      </c>
      <c r="D3792" t="str">
        <f t="shared" si="1389"/>
        <v>09</v>
      </c>
      <c r="E3792" t="str">
        <f>"08 - B - 101 - Alejandro  Navarro"</f>
        <v>08 - B - 101 - Alejandro  Navarro</v>
      </c>
      <c r="F3792" t="str">
        <f>"GUITAR 1"</f>
        <v>GUITAR 1</v>
      </c>
      <c r="G3792" t="str">
        <f>"05-504"</f>
        <v>05-504</v>
      </c>
      <c r="H3792" t="str">
        <f>"B"</f>
        <v>B</v>
      </c>
    </row>
    <row r="3793" spans="1:8" x14ac:dyDescent="0.2">
      <c r="A3793" t="str">
        <f>"0613131046"</f>
        <v>0613131046</v>
      </c>
      <c r="B3793" t="str">
        <f>"ASHLEY"</f>
        <v>ASHLEY</v>
      </c>
      <c r="C3793" t="str">
        <f>"CROYLE"</f>
        <v>CROYLE</v>
      </c>
      <c r="D3793">
        <f>12</f>
        <v>12</v>
      </c>
      <c r="E3793" t="str">
        <f>"19 - S1 - MTWHF - BCC - Instructor BC"</f>
        <v>19 - S1 - MTWHF - BCC - Instructor BC</v>
      </c>
      <c r="F3793" t="str">
        <f>"COLLEGE ALGEBRA"</f>
        <v>COLLEGE ALGEBRA</v>
      </c>
      <c r="G3793" t="str">
        <f>"60-DE"</f>
        <v>60-DE</v>
      </c>
      <c r="H3793" t="str">
        <f>"-"</f>
        <v>-</v>
      </c>
    </row>
    <row r="3794" spans="1:8" x14ac:dyDescent="0.2">
      <c r="A3794" t="str">
        <f>"0613131046"</f>
        <v>0613131046</v>
      </c>
      <c r="B3794" t="str">
        <f>"ASHLEY"</f>
        <v>ASHLEY</v>
      </c>
      <c r="C3794" t="str">
        <f>"CROYLE"</f>
        <v>CROYLE</v>
      </c>
      <c r="D3794">
        <f>12</f>
        <v>12</v>
      </c>
      <c r="E3794" t="str">
        <f>"19 - S1 - MTWHF - BCC - Instructor BC"</f>
        <v>19 - S1 - MTWHF - BCC - Instructor BC</v>
      </c>
      <c r="F3794" t="str">
        <f>"COMPOSITION I"</f>
        <v>COMPOSITION I</v>
      </c>
      <c r="G3794" t="str">
        <f>"60-DE"</f>
        <v>60-DE</v>
      </c>
      <c r="H3794" t="str">
        <f>"-"</f>
        <v>-</v>
      </c>
    </row>
    <row r="3795" spans="1:8" x14ac:dyDescent="0.2">
      <c r="A3795" t="str">
        <f>"0613131046"</f>
        <v>0613131046</v>
      </c>
      <c r="B3795" t="str">
        <f>"ASHLEY"</f>
        <v>ASHLEY</v>
      </c>
      <c r="C3795" t="str">
        <f>"CROYLE"</f>
        <v>CROYLE</v>
      </c>
      <c r="D3795">
        <f>12</f>
        <v>12</v>
      </c>
      <c r="E3795" t="str">
        <f>"19 - S1 - MTWHF - BCC - Instructor BC"</f>
        <v>19 - S1 - MTWHF - BCC - Instructor BC</v>
      </c>
      <c r="F3795" t="str">
        <f>"DEVELOPMENTAL PSYCH"</f>
        <v>DEVELOPMENTAL PSYCH</v>
      </c>
      <c r="G3795" t="str">
        <f>"60-DE"</f>
        <v>60-DE</v>
      </c>
      <c r="H3795" t="str">
        <f>"-"</f>
        <v>-</v>
      </c>
    </row>
    <row r="3796" spans="1:8" x14ac:dyDescent="0.2">
      <c r="A3796" t="str">
        <f>"0613131046"</f>
        <v>0613131046</v>
      </c>
      <c r="B3796" t="str">
        <f>"ASHLEY"</f>
        <v>ASHLEY</v>
      </c>
      <c r="C3796" t="str">
        <f>"CROYLE"</f>
        <v>CROYLE</v>
      </c>
      <c r="D3796">
        <f>12</f>
        <v>12</v>
      </c>
      <c r="E3796" t="str">
        <f>"19 - S1 - MTWHF - B18 - Instructor BC"</f>
        <v>19 - S1 - MTWHF - B18 - Instructor BC</v>
      </c>
      <c r="F3796" t="str">
        <f>"INTRO TO CRIMINO"</f>
        <v>INTRO TO CRIMINO</v>
      </c>
      <c r="G3796" t="str">
        <f>"60-DE"</f>
        <v>60-DE</v>
      </c>
      <c r="H3796" t="str">
        <f>"-"</f>
        <v>-</v>
      </c>
    </row>
    <row r="3797" spans="1:8" x14ac:dyDescent="0.2">
      <c r="A3797" t="str">
        <f t="shared" ref="A3797:A3804" si="1390">"0614019557"</f>
        <v>0614019557</v>
      </c>
      <c r="B3797" t="str">
        <f t="shared" ref="B3797:B3804" si="1391">"ANGELICA"</f>
        <v>ANGELICA</v>
      </c>
      <c r="C3797" t="str">
        <f t="shared" ref="C3797:C3828" si="1392">"CRUZ"</f>
        <v>CRUZ</v>
      </c>
      <c r="D3797">
        <f>12</f>
        <v>12</v>
      </c>
      <c r="E3797" t="str">
        <f>"04 - A - 101 - Thomas G Handwerg"</f>
        <v>04 - A - 101 - Thomas G Handwerg</v>
      </c>
      <c r="F3797" t="str">
        <f>"MATH COLL ALGEBRA"</f>
        <v>MATH COLL ALGEBRA</v>
      </c>
      <c r="G3797" t="str">
        <f>"21-2146"</f>
        <v>21-2146</v>
      </c>
      <c r="H3797" t="str">
        <f>"A"</f>
        <v>A</v>
      </c>
    </row>
    <row r="3798" spans="1:8" x14ac:dyDescent="0.2">
      <c r="A3798" t="str">
        <f t="shared" si="1390"/>
        <v>0614019557</v>
      </c>
      <c r="B3798" t="str">
        <f t="shared" si="1391"/>
        <v>ANGELICA</v>
      </c>
      <c r="C3798" t="str">
        <f t="shared" si="1392"/>
        <v>CRUZ</v>
      </c>
      <c r="D3798">
        <f>12</f>
        <v>12</v>
      </c>
      <c r="E3798" t="str">
        <f>"06 - B - 104 - Lissa C Frederique"</f>
        <v>06 - B - 104 - Lissa C Frederique</v>
      </c>
      <c r="F3798" t="str">
        <f>"NC STUDY HALL 1"</f>
        <v>NC STUDY HALL 1</v>
      </c>
      <c r="G3798" t="str">
        <f>"17-1754"</f>
        <v>17-1754</v>
      </c>
      <c r="H3798" t="str">
        <f>"B"</f>
        <v>B</v>
      </c>
    </row>
    <row r="3799" spans="1:8" x14ac:dyDescent="0.2">
      <c r="A3799" t="str">
        <f t="shared" si="1390"/>
        <v>0614019557</v>
      </c>
      <c r="B3799" t="str">
        <f t="shared" si="1391"/>
        <v>ANGELICA</v>
      </c>
      <c r="C3799" t="str">
        <f t="shared" si="1392"/>
        <v>CRUZ</v>
      </c>
      <c r="D3799">
        <f>12</f>
        <v>12</v>
      </c>
      <c r="E3799" t="str">
        <f>"03 - A - 101 - Dorothy D Moore"</f>
        <v>03 - A - 101 - Dorothy D Moore</v>
      </c>
      <c r="F3799" t="str">
        <f>"FORC SCI 1 LH"</f>
        <v>FORC SCI 1 LH</v>
      </c>
      <c r="G3799" t="str">
        <f>"08-803"</f>
        <v>08-803</v>
      </c>
      <c r="H3799" t="str">
        <f>"A"</f>
        <v>A</v>
      </c>
    </row>
    <row r="3800" spans="1:8" x14ac:dyDescent="0.2">
      <c r="A3800" t="str">
        <f t="shared" si="1390"/>
        <v>0614019557</v>
      </c>
      <c r="B3800" t="str">
        <f t="shared" si="1391"/>
        <v>ANGELICA</v>
      </c>
      <c r="C3800" t="str">
        <f t="shared" si="1392"/>
        <v>CRUZ</v>
      </c>
      <c r="D3800">
        <f>12</f>
        <v>12</v>
      </c>
      <c r="E3800" t="str">
        <f>"02 - S1 - A - 104 - Robert O Burger"</f>
        <v>02 - S1 - A - 104 - Robert O Burger</v>
      </c>
      <c r="F3800" t="str">
        <f>"US GOVT"</f>
        <v>US GOVT</v>
      </c>
      <c r="G3800" t="str">
        <f>"17-1755"</f>
        <v>17-1755</v>
      </c>
      <c r="H3800" t="str">
        <f>"A"</f>
        <v>A</v>
      </c>
    </row>
    <row r="3801" spans="1:8" x14ac:dyDescent="0.2">
      <c r="A3801" t="str">
        <f t="shared" si="1390"/>
        <v>0614019557</v>
      </c>
      <c r="B3801" t="str">
        <f t="shared" si="1391"/>
        <v>ANGELICA</v>
      </c>
      <c r="C3801" t="str">
        <f t="shared" si="1392"/>
        <v>CRUZ</v>
      </c>
      <c r="D3801">
        <f>12</f>
        <v>12</v>
      </c>
      <c r="E3801" t="str">
        <f>"07 - B - 001 - Rachel M Montrose"</f>
        <v>07 - B - 001 - Rachel M Montrose</v>
      </c>
      <c r="F3801" t="str">
        <f>"JOURN 2 (NP) LH"</f>
        <v>JOURN 2 (NP) LH</v>
      </c>
      <c r="G3801" t="str">
        <f>"05-521"</f>
        <v>05-521</v>
      </c>
      <c r="H3801" t="str">
        <f>"B"</f>
        <v>B</v>
      </c>
    </row>
    <row r="3802" spans="1:8" x14ac:dyDescent="0.2">
      <c r="A3802" t="str">
        <f t="shared" si="1390"/>
        <v>0614019557</v>
      </c>
      <c r="B3802" t="str">
        <f t="shared" si="1391"/>
        <v>ANGELICA</v>
      </c>
      <c r="C3802" t="str">
        <f t="shared" si="1392"/>
        <v>CRUZ</v>
      </c>
      <c r="D3802">
        <f>12</f>
        <v>12</v>
      </c>
      <c r="E3802" t="str">
        <f>"05 - B - 104 - Daniel S Tyson"</f>
        <v>05 - B - 104 - Daniel S Tyson</v>
      </c>
      <c r="F3802" t="str">
        <f>"JROTC NAVAL SCI 4"</f>
        <v>JROTC NAVAL SCI 4</v>
      </c>
      <c r="G3802" t="str">
        <f>"05-510"</f>
        <v>05-510</v>
      </c>
      <c r="H3802" t="str">
        <f>"B"</f>
        <v>B</v>
      </c>
    </row>
    <row r="3803" spans="1:8" x14ac:dyDescent="0.2">
      <c r="A3803" t="str">
        <f t="shared" si="1390"/>
        <v>0614019557</v>
      </c>
      <c r="B3803" t="str">
        <f t="shared" si="1391"/>
        <v>ANGELICA</v>
      </c>
      <c r="C3803" t="str">
        <f t="shared" si="1392"/>
        <v>CRUZ</v>
      </c>
      <c r="D3803">
        <f>12</f>
        <v>12</v>
      </c>
      <c r="E3803" t="str">
        <f>"01 - A - 103 - Jeffrey S Gallagher"</f>
        <v>01 - A - 103 - Jeffrey S Gallagher</v>
      </c>
      <c r="F3803" t="str">
        <f>"ENG HON 4"</f>
        <v>ENG HON 4</v>
      </c>
      <c r="G3803" t="str">
        <f>"17-1724"</f>
        <v>17-1724</v>
      </c>
      <c r="H3803" t="str">
        <f>"A"</f>
        <v>A</v>
      </c>
    </row>
    <row r="3804" spans="1:8" x14ac:dyDescent="0.2">
      <c r="A3804" t="str">
        <f t="shared" si="1390"/>
        <v>0614019557</v>
      </c>
      <c r="B3804" t="str">
        <f t="shared" si="1391"/>
        <v>ANGELICA</v>
      </c>
      <c r="C3804" t="str">
        <f t="shared" si="1392"/>
        <v>CRUZ</v>
      </c>
      <c r="D3804">
        <f>12</f>
        <v>12</v>
      </c>
      <c r="E3804" t="str">
        <f>"08 - B - 101 - Jazmin S Fletcher"</f>
        <v>08 - B - 101 - Jazmin S Fletcher</v>
      </c>
      <c r="F3804" t="str">
        <f>"PRE-AICE DRAMA 1G"</f>
        <v>PRE-AICE DRAMA 1G</v>
      </c>
      <c r="G3804" t="str">
        <f>"09-909"</f>
        <v>09-909</v>
      </c>
      <c r="H3804" t="str">
        <f>"B"</f>
        <v>B</v>
      </c>
    </row>
    <row r="3805" spans="1:8" x14ac:dyDescent="0.2">
      <c r="A3805" t="str">
        <f t="shared" ref="A3805:A3812" si="1393">"0613083090"</f>
        <v>0613083090</v>
      </c>
      <c r="B3805" t="str">
        <f t="shared" ref="B3805:B3812" si="1394">"BRIAN"</f>
        <v>BRIAN</v>
      </c>
      <c r="C3805" t="str">
        <f t="shared" si="1392"/>
        <v>CRUZ</v>
      </c>
      <c r="D3805">
        <f>12</f>
        <v>12</v>
      </c>
      <c r="E3805" t="str">
        <f>"04 - A - 103 - Joe  Kilpatrick Jr"</f>
        <v>04 - A - 103 - Joe  Kilpatrick Jr</v>
      </c>
      <c r="F3805" t="str">
        <f>"PRE-AICE SPAN 1 IG"</f>
        <v>PRE-AICE SPAN 1 IG</v>
      </c>
      <c r="G3805" t="str">
        <f>"09-912"</f>
        <v>09-912</v>
      </c>
      <c r="H3805" t="str">
        <f>"A"</f>
        <v>A</v>
      </c>
    </row>
    <row r="3806" spans="1:8" x14ac:dyDescent="0.2">
      <c r="A3806" t="str">
        <f t="shared" si="1393"/>
        <v>0613083090</v>
      </c>
      <c r="B3806" t="str">
        <f t="shared" si="1394"/>
        <v>BRIAN</v>
      </c>
      <c r="C3806" t="str">
        <f t="shared" si="1392"/>
        <v>CRUZ</v>
      </c>
      <c r="D3806">
        <f>12</f>
        <v>12</v>
      </c>
      <c r="E3806" t="str">
        <f>"06 - B - 105 - Robyn L Trainer"</f>
        <v>06 - B - 105 - Robyn L Trainer</v>
      </c>
      <c r="F3806" t="str">
        <f>"NC STUDY HALL 1"</f>
        <v>NC STUDY HALL 1</v>
      </c>
      <c r="G3806" t="str">
        <f>"17-1734"</f>
        <v>17-1734</v>
      </c>
      <c r="H3806" t="str">
        <f>"B"</f>
        <v>B</v>
      </c>
    </row>
    <row r="3807" spans="1:8" x14ac:dyDescent="0.2">
      <c r="A3807" t="str">
        <f t="shared" si="1393"/>
        <v>0613083090</v>
      </c>
      <c r="B3807" t="str">
        <f t="shared" si="1394"/>
        <v>BRIAN</v>
      </c>
      <c r="C3807" t="str">
        <f t="shared" si="1392"/>
        <v>CRUZ</v>
      </c>
      <c r="D3807">
        <f>12</f>
        <v>12</v>
      </c>
      <c r="E3807" t="str">
        <f>"03 - A - 201 - Emmily A Sarmiento"</f>
        <v>03 - A - 201 - Emmily A Sarmiento</v>
      </c>
      <c r="F3807" t="str">
        <f>"LEAD TECHQS HONORS"</f>
        <v>LEAD TECHQS HONORS</v>
      </c>
      <c r="G3807" t="str">
        <f>"17-1743"</f>
        <v>17-1743</v>
      </c>
      <c r="H3807" t="str">
        <f>"A"</f>
        <v>A</v>
      </c>
    </row>
    <row r="3808" spans="1:8" x14ac:dyDescent="0.2">
      <c r="A3808" t="str">
        <f t="shared" si="1393"/>
        <v>0613083090</v>
      </c>
      <c r="B3808" t="str">
        <f t="shared" si="1394"/>
        <v>BRIAN</v>
      </c>
      <c r="C3808" t="str">
        <f t="shared" si="1392"/>
        <v>CRUZ</v>
      </c>
      <c r="D3808">
        <f>12</f>
        <v>12</v>
      </c>
      <c r="E3808" t="str">
        <f>"02 - A - 101 - Robyn L Trainer"</f>
        <v>02 - A - 101 - Robyn L Trainer</v>
      </c>
      <c r="F3808" t="str">
        <f>"ENG 4"</f>
        <v>ENG 4</v>
      </c>
      <c r="G3808" t="str">
        <f>"17-1734"</f>
        <v>17-1734</v>
      </c>
      <c r="H3808" t="str">
        <f>"A"</f>
        <v>A</v>
      </c>
    </row>
    <row r="3809" spans="1:8" x14ac:dyDescent="0.2">
      <c r="A3809" t="str">
        <f t="shared" si="1393"/>
        <v>0613083090</v>
      </c>
      <c r="B3809" t="str">
        <f t="shared" si="1394"/>
        <v>BRIAN</v>
      </c>
      <c r="C3809" t="str">
        <f t="shared" si="1392"/>
        <v>CRUZ</v>
      </c>
      <c r="D3809">
        <f>12</f>
        <v>12</v>
      </c>
      <c r="E3809" t="str">
        <f>"07 - S1 - B - 103 - Robert O Burger"</f>
        <v>07 - S1 - B - 103 - Robert O Burger</v>
      </c>
      <c r="F3809" t="str">
        <f>"US GOVT"</f>
        <v>US GOVT</v>
      </c>
      <c r="G3809" t="str">
        <f>"17-1755"</f>
        <v>17-1755</v>
      </c>
      <c r="H3809" t="str">
        <f>"B"</f>
        <v>B</v>
      </c>
    </row>
    <row r="3810" spans="1:8" x14ac:dyDescent="0.2">
      <c r="A3810" t="str">
        <f t="shared" si="1393"/>
        <v>0613083090</v>
      </c>
      <c r="B3810" t="str">
        <f t="shared" si="1394"/>
        <v>BRIAN</v>
      </c>
      <c r="C3810" t="str">
        <f t="shared" si="1392"/>
        <v>CRUZ</v>
      </c>
      <c r="D3810">
        <f>12</f>
        <v>12</v>
      </c>
      <c r="E3810" t="str">
        <f>"05 - B - 204 - Cliffon  Saurel"</f>
        <v>05 - B - 204 - Cliffon  Saurel</v>
      </c>
      <c r="F3810" t="str">
        <f>"PHYSICAL SCI"</f>
        <v>PHYSICAL SCI</v>
      </c>
      <c r="G3810" t="str">
        <f>"05-522"</f>
        <v>05-522</v>
      </c>
      <c r="H3810" t="str">
        <f>"B"</f>
        <v>B</v>
      </c>
    </row>
    <row r="3811" spans="1:8" x14ac:dyDescent="0.2">
      <c r="A3811" t="str">
        <f t="shared" si="1393"/>
        <v>0613083090</v>
      </c>
      <c r="B3811" t="str">
        <f t="shared" si="1394"/>
        <v>BRIAN</v>
      </c>
      <c r="C3811" t="str">
        <f t="shared" si="1392"/>
        <v>CRUZ</v>
      </c>
      <c r="D3811">
        <f>12</f>
        <v>12</v>
      </c>
      <c r="E3811" t="str">
        <f>"01 - A - 101 - James H Mccann"</f>
        <v>01 - A - 101 - James H Mccann</v>
      </c>
      <c r="F3811" t="str">
        <f>"ALGEBRA 2"</f>
        <v>ALGEBRA 2</v>
      </c>
      <c r="G3811" t="str">
        <f>"17-1716"</f>
        <v>17-1716</v>
      </c>
      <c r="H3811" t="str">
        <f>"A"</f>
        <v>A</v>
      </c>
    </row>
    <row r="3812" spans="1:8" x14ac:dyDescent="0.2">
      <c r="A3812" t="str">
        <f t="shared" si="1393"/>
        <v>0613083090</v>
      </c>
      <c r="B3812" t="str">
        <f t="shared" si="1394"/>
        <v>BRIAN</v>
      </c>
      <c r="C3812" t="str">
        <f t="shared" si="1392"/>
        <v>CRUZ</v>
      </c>
      <c r="D3812">
        <f>12</f>
        <v>12</v>
      </c>
      <c r="E3812" t="str">
        <f>"08 - S1 - B - 104 - Leslie J Barton"</f>
        <v>08 - S1 - B - 104 - Leslie J Barton</v>
      </c>
      <c r="F3812" t="str">
        <f>"TEAM SPORTS 1"</f>
        <v>TEAM SPORTS 1</v>
      </c>
      <c r="G3812" t="str">
        <f>"04-254"</f>
        <v>04-254</v>
      </c>
      <c r="H3812" t="str">
        <f>"B"</f>
        <v>B</v>
      </c>
    </row>
    <row r="3813" spans="1:8" x14ac:dyDescent="0.2">
      <c r="A3813" t="str">
        <f t="shared" ref="A3813:A3820" si="1395">"0616031714"</f>
        <v>0616031714</v>
      </c>
      <c r="B3813" t="str">
        <f t="shared" ref="B3813:B3820" si="1396">"JEFFERSON"</f>
        <v>JEFFERSON</v>
      </c>
      <c r="C3813" t="str">
        <f t="shared" si="1392"/>
        <v>CRUZ</v>
      </c>
      <c r="D3813">
        <f>10</f>
        <v>10</v>
      </c>
      <c r="E3813" t="str">
        <f>"04 - A - 104 - Adam Marcus  Drucker"</f>
        <v>04 - A - 104 - Adam Marcus  Drucker</v>
      </c>
      <c r="F3813" t="str">
        <f>"HOPE-PE V"</f>
        <v>HOPE-PE V</v>
      </c>
      <c r="G3813" t="str">
        <f>"04-254"</f>
        <v>04-254</v>
      </c>
      <c r="H3813" t="str">
        <f>"A"</f>
        <v>A</v>
      </c>
    </row>
    <row r="3814" spans="1:8" x14ac:dyDescent="0.2">
      <c r="A3814" t="str">
        <f t="shared" si="1395"/>
        <v>0616031714</v>
      </c>
      <c r="B3814" t="str">
        <f t="shared" si="1396"/>
        <v>JEFFERSON</v>
      </c>
      <c r="C3814" t="str">
        <f t="shared" si="1392"/>
        <v>CRUZ</v>
      </c>
      <c r="D3814">
        <f>10</f>
        <v>10</v>
      </c>
      <c r="E3814" t="str">
        <f>"06 - B - 119 - Nikiel  Nesbeth"</f>
        <v>06 - B - 119 - Nikiel  Nesbeth</v>
      </c>
      <c r="F3814" t="str">
        <f>"NC STUDY HALL 1"</f>
        <v>NC STUDY HALL 1</v>
      </c>
      <c r="G3814" t="str">
        <f>"17-1705"</f>
        <v>17-1705</v>
      </c>
      <c r="H3814" t="str">
        <f>"B"</f>
        <v>B</v>
      </c>
    </row>
    <row r="3815" spans="1:8" x14ac:dyDescent="0.2">
      <c r="A3815" t="str">
        <f t="shared" si="1395"/>
        <v>0616031714</v>
      </c>
      <c r="B3815" t="str">
        <f t="shared" si="1396"/>
        <v>JEFFERSON</v>
      </c>
      <c r="C3815" t="str">
        <f t="shared" si="1392"/>
        <v>CRUZ</v>
      </c>
      <c r="D3815">
        <f>10</f>
        <v>10</v>
      </c>
      <c r="E3815" t="str">
        <f>"03 - A - 206 - Josiah I Lacy"</f>
        <v>03 - A - 206 - Josiah I Lacy</v>
      </c>
      <c r="F3815" t="str">
        <f>"BIOLOGY 1"</f>
        <v>BIOLOGY 1</v>
      </c>
      <c r="G3815" t="str">
        <f>"08-801"</f>
        <v>08-801</v>
      </c>
      <c r="H3815" t="str">
        <f>"A"</f>
        <v>A</v>
      </c>
    </row>
    <row r="3816" spans="1:8" x14ac:dyDescent="0.2">
      <c r="A3816" t="str">
        <f t="shared" si="1395"/>
        <v>0616031714</v>
      </c>
      <c r="B3816" t="str">
        <f t="shared" si="1396"/>
        <v>JEFFERSON</v>
      </c>
      <c r="C3816" t="str">
        <f t="shared" si="1392"/>
        <v>CRUZ</v>
      </c>
      <c r="D3816">
        <f>10</f>
        <v>10</v>
      </c>
      <c r="E3816" t="str">
        <f>"02 - A - 101 - Brian M Fitzgerald"</f>
        <v>02 - A - 101 - Brian M Fitzgerald</v>
      </c>
      <c r="F3816" t="str">
        <f>"DRAW 1"</f>
        <v>DRAW 1</v>
      </c>
      <c r="G3816" t="str">
        <f>"09-908"</f>
        <v>09-908</v>
      </c>
      <c r="H3816" t="str">
        <f>"A"</f>
        <v>A</v>
      </c>
    </row>
    <row r="3817" spans="1:8" x14ac:dyDescent="0.2">
      <c r="A3817" t="str">
        <f t="shared" si="1395"/>
        <v>0616031714</v>
      </c>
      <c r="B3817" t="str">
        <f t="shared" si="1396"/>
        <v>JEFFERSON</v>
      </c>
      <c r="C3817" t="str">
        <f t="shared" si="1392"/>
        <v>CRUZ</v>
      </c>
      <c r="D3817">
        <f>10</f>
        <v>10</v>
      </c>
      <c r="E3817" t="str">
        <f>"07 - B - 108 - Jacquelyn M Neeson"</f>
        <v>07 - B - 108 - Jacquelyn M Neeson</v>
      </c>
      <c r="F3817" t="str">
        <f>"ENG 2"</f>
        <v>ENG 2</v>
      </c>
      <c r="G3817" t="str">
        <f>"17-1715"</f>
        <v>17-1715</v>
      </c>
      <c r="H3817" t="str">
        <f>"B"</f>
        <v>B</v>
      </c>
    </row>
    <row r="3818" spans="1:8" x14ac:dyDescent="0.2">
      <c r="A3818" t="str">
        <f t="shared" si="1395"/>
        <v>0616031714</v>
      </c>
      <c r="B3818" t="str">
        <f t="shared" si="1396"/>
        <v>JEFFERSON</v>
      </c>
      <c r="C3818" t="str">
        <f t="shared" si="1392"/>
        <v>CRUZ</v>
      </c>
      <c r="D3818">
        <f>10</f>
        <v>10</v>
      </c>
      <c r="E3818" t="str">
        <f>"05 - S1 - B - 102 - Carol S Moore"</f>
        <v>05 - S1 - B - 102 - Carol S Moore</v>
      </c>
      <c r="F3818" t="str">
        <f>"PERS FIN &amp; MON MGT H"</f>
        <v>PERS FIN &amp; MON MGT H</v>
      </c>
      <c r="G3818" t="str">
        <f>"17-1733"</f>
        <v>17-1733</v>
      </c>
      <c r="H3818" t="str">
        <f>"B"</f>
        <v>B</v>
      </c>
    </row>
    <row r="3819" spans="1:8" x14ac:dyDescent="0.2">
      <c r="A3819" t="str">
        <f t="shared" si="1395"/>
        <v>0616031714</v>
      </c>
      <c r="B3819" t="str">
        <f t="shared" si="1396"/>
        <v>JEFFERSON</v>
      </c>
      <c r="C3819" t="str">
        <f t="shared" si="1392"/>
        <v>CRUZ</v>
      </c>
      <c r="D3819">
        <f>10</f>
        <v>10</v>
      </c>
      <c r="E3819" t="str">
        <f>"01 - A - 104 - Milca  Exantus"</f>
        <v>01 - A - 104 - Milca  Exantus</v>
      </c>
      <c r="F3819" t="str">
        <f>"MATH COLLEGE LIB ART"</f>
        <v>MATH COLLEGE LIB ART</v>
      </c>
      <c r="G3819" t="str">
        <f>"21-2145"</f>
        <v>21-2145</v>
      </c>
      <c r="H3819" t="str">
        <f>"A"</f>
        <v>A</v>
      </c>
    </row>
    <row r="3820" spans="1:8" x14ac:dyDescent="0.2">
      <c r="A3820" t="str">
        <f t="shared" si="1395"/>
        <v>0616031714</v>
      </c>
      <c r="B3820" t="str">
        <f t="shared" si="1396"/>
        <v>JEFFERSON</v>
      </c>
      <c r="C3820" t="str">
        <f t="shared" si="1392"/>
        <v>CRUZ</v>
      </c>
      <c r="D3820">
        <f>10</f>
        <v>10</v>
      </c>
      <c r="E3820" t="str">
        <f>"08 - B - 001 - Chrystina M Marchionne"</f>
        <v>08 - B - 001 - Chrystina M Marchionne</v>
      </c>
      <c r="F3820" t="str">
        <f>"JOURN 1 (YB) LH"</f>
        <v>JOURN 1 (YB) LH</v>
      </c>
      <c r="G3820" t="str">
        <f>"05-520"</f>
        <v>05-520</v>
      </c>
      <c r="H3820" t="str">
        <f>"B"</f>
        <v>B</v>
      </c>
    </row>
    <row r="3821" spans="1:8" x14ac:dyDescent="0.2">
      <c r="A3821" t="str">
        <f t="shared" ref="A3821:A3828" si="1397">"0614000198"</f>
        <v>0614000198</v>
      </c>
      <c r="B3821" t="str">
        <f t="shared" ref="B3821:B3828" si="1398">"JULIO"</f>
        <v>JULIO</v>
      </c>
      <c r="C3821" t="str">
        <f t="shared" si="1392"/>
        <v>CRUZ</v>
      </c>
      <c r="D3821">
        <f>12</f>
        <v>12</v>
      </c>
      <c r="E3821" t="str">
        <f>"04 - A - 102 - Samantha J Headley"</f>
        <v>04 - A - 102 - Samantha J Headley</v>
      </c>
      <c r="F3821" t="str">
        <f>"MARINE SCI 1 HON"</f>
        <v>MARINE SCI 1 HON</v>
      </c>
      <c r="G3821" t="str">
        <f>"21-2134"</f>
        <v>21-2134</v>
      </c>
      <c r="H3821" t="str">
        <f>"A"</f>
        <v>A</v>
      </c>
    </row>
    <row r="3822" spans="1:8" x14ac:dyDescent="0.2">
      <c r="A3822" t="str">
        <f t="shared" si="1397"/>
        <v>0614000198</v>
      </c>
      <c r="B3822" t="str">
        <f t="shared" si="1398"/>
        <v>JULIO</v>
      </c>
      <c r="C3822" t="str">
        <f t="shared" si="1392"/>
        <v>CRUZ</v>
      </c>
      <c r="D3822">
        <f>12</f>
        <v>12</v>
      </c>
      <c r="E3822" t="str">
        <f>"06 - B - 114 - Lisa J London"</f>
        <v>06 - B - 114 - Lisa J London</v>
      </c>
      <c r="F3822" t="str">
        <f>"NC STUDY HALL 1"</f>
        <v>NC STUDY HALL 1</v>
      </c>
      <c r="G3822" t="str">
        <f>"17-1714"</f>
        <v>17-1714</v>
      </c>
      <c r="H3822" t="str">
        <f>"B"</f>
        <v>B</v>
      </c>
    </row>
    <row r="3823" spans="1:8" x14ac:dyDescent="0.2">
      <c r="A3823" t="str">
        <f t="shared" si="1397"/>
        <v>0614000198</v>
      </c>
      <c r="B3823" t="str">
        <f t="shared" si="1398"/>
        <v>JULIO</v>
      </c>
      <c r="C3823" t="str">
        <f t="shared" si="1392"/>
        <v>CRUZ</v>
      </c>
      <c r="D3823">
        <f>12</f>
        <v>12</v>
      </c>
      <c r="E3823" t="str">
        <f>"03 - A - 101 - Jeffrey S Gallagher"</f>
        <v>03 - A - 101 - Jeffrey S Gallagher</v>
      </c>
      <c r="F3823" t="str">
        <f>"ENG HON 4"</f>
        <v>ENG HON 4</v>
      </c>
      <c r="G3823" t="str">
        <f>"17-1724"</f>
        <v>17-1724</v>
      </c>
      <c r="H3823" t="str">
        <f>"A"</f>
        <v>A</v>
      </c>
    </row>
    <row r="3824" spans="1:8" x14ac:dyDescent="0.2">
      <c r="A3824" t="str">
        <f t="shared" si="1397"/>
        <v>0614000198</v>
      </c>
      <c r="B3824" t="str">
        <f t="shared" si="1398"/>
        <v>JULIO</v>
      </c>
      <c r="C3824" t="str">
        <f t="shared" si="1392"/>
        <v>CRUZ</v>
      </c>
      <c r="D3824">
        <f>12</f>
        <v>12</v>
      </c>
      <c r="E3824" t="str">
        <f>"02 - A - 101 - Robert H Rindner"</f>
        <v>02 - A - 101 - Robert H Rindner</v>
      </c>
      <c r="F3824" t="str">
        <f>"MATH DATA&amp;FIN LIT H"</f>
        <v>MATH DATA&amp;FIN LIT H</v>
      </c>
      <c r="G3824" t="str">
        <f>"21-2160"</f>
        <v>21-2160</v>
      </c>
      <c r="H3824" t="str">
        <f>"A"</f>
        <v>A</v>
      </c>
    </row>
    <row r="3825" spans="1:8" x14ac:dyDescent="0.2">
      <c r="A3825" t="str">
        <f t="shared" si="1397"/>
        <v>0614000198</v>
      </c>
      <c r="B3825" t="str">
        <f t="shared" si="1398"/>
        <v>JULIO</v>
      </c>
      <c r="C3825" t="str">
        <f t="shared" si="1392"/>
        <v>CRUZ</v>
      </c>
      <c r="D3825">
        <f>12</f>
        <v>12</v>
      </c>
      <c r="E3825" t="str">
        <f>"07 - B - 101 - Bruce A Evans"</f>
        <v>07 - B - 101 - Bruce A Evans</v>
      </c>
      <c r="F3825" t="str">
        <f>"FIREFIGHTING 1 LH"</f>
        <v>FIREFIGHTING 1 LH</v>
      </c>
      <c r="G3825" t="str">
        <f>"21-2142"</f>
        <v>21-2142</v>
      </c>
      <c r="H3825" t="str">
        <f>"B"</f>
        <v>B</v>
      </c>
    </row>
    <row r="3826" spans="1:8" x14ac:dyDescent="0.2">
      <c r="A3826" t="str">
        <f t="shared" si="1397"/>
        <v>0614000198</v>
      </c>
      <c r="B3826" t="str">
        <f t="shared" si="1398"/>
        <v>JULIO</v>
      </c>
      <c r="C3826" t="str">
        <f t="shared" si="1392"/>
        <v>CRUZ</v>
      </c>
      <c r="D3826">
        <f>12</f>
        <v>12</v>
      </c>
      <c r="E3826" t="str">
        <f>"05 - B - 105 - Adam Marcus  Drucker"</f>
        <v>05 - B - 105 - Adam Marcus  Drucker</v>
      </c>
      <c r="F3826" t="str">
        <f>"HOPE-PE V"</f>
        <v>HOPE-PE V</v>
      </c>
      <c r="G3826" t="str">
        <f>"04-254"</f>
        <v>04-254</v>
      </c>
      <c r="H3826" t="str">
        <f>"B"</f>
        <v>B</v>
      </c>
    </row>
    <row r="3827" spans="1:8" x14ac:dyDescent="0.2">
      <c r="A3827" t="str">
        <f t="shared" si="1397"/>
        <v>0614000198</v>
      </c>
      <c r="B3827" t="str">
        <f t="shared" si="1398"/>
        <v>JULIO</v>
      </c>
      <c r="C3827" t="str">
        <f t="shared" si="1392"/>
        <v>CRUZ</v>
      </c>
      <c r="D3827">
        <f>12</f>
        <v>12</v>
      </c>
      <c r="E3827" t="str">
        <f>"01 - S1 - A - 101 - Leslie J Barton"</f>
        <v>01 - S1 - A - 101 - Leslie J Barton</v>
      </c>
      <c r="F3827" t="str">
        <f>"FIRST AID SAFETY"</f>
        <v>FIRST AID SAFETY</v>
      </c>
      <c r="G3827" t="str">
        <f>"05-521"</f>
        <v>05-521</v>
      </c>
      <c r="H3827" t="str">
        <f>"A"</f>
        <v>A</v>
      </c>
    </row>
    <row r="3828" spans="1:8" x14ac:dyDescent="0.2">
      <c r="A3828" t="str">
        <f t="shared" si="1397"/>
        <v>0614000198</v>
      </c>
      <c r="B3828" t="str">
        <f t="shared" si="1398"/>
        <v>JULIO</v>
      </c>
      <c r="C3828" t="str">
        <f t="shared" si="1392"/>
        <v>CRUZ</v>
      </c>
      <c r="D3828">
        <f>12</f>
        <v>12</v>
      </c>
      <c r="E3828" t="str">
        <f>"08 - S1 - B - 105 - Kelly N Panza"</f>
        <v>08 - S1 - B - 105 - Kelly N Panza</v>
      </c>
      <c r="F3828" t="str">
        <f>"US GOVT HON"</f>
        <v>US GOVT HON</v>
      </c>
      <c r="G3828" t="str">
        <f>"17-1753"</f>
        <v>17-1753</v>
      </c>
      <c r="H3828" t="str">
        <f>"B"</f>
        <v>B</v>
      </c>
    </row>
    <row r="3829" spans="1:8" x14ac:dyDescent="0.2">
      <c r="A3829" t="str">
        <f t="shared" ref="A3829:A3836" si="1399">"0615061661"</f>
        <v>0615061661</v>
      </c>
      <c r="B3829" t="str">
        <f t="shared" ref="B3829:B3836" si="1400">"ADRIANA"</f>
        <v>ADRIANA</v>
      </c>
      <c r="C3829" t="str">
        <f t="shared" ref="C3829:C3844" si="1401">"CRUZ HERNANDEZ"</f>
        <v>CRUZ HERNANDEZ</v>
      </c>
      <c r="D3829">
        <f>10</f>
        <v>10</v>
      </c>
      <c r="E3829" t="str">
        <f>"04 - A - 108 - Maried P Ramos"</f>
        <v>04 - A - 108 - Maried P Ramos</v>
      </c>
      <c r="F3829" t="str">
        <f>"GEOMETRY"</f>
        <v>GEOMETRY</v>
      </c>
      <c r="G3829" t="str">
        <f>"21-2159"</f>
        <v>21-2159</v>
      </c>
      <c r="H3829" t="str">
        <f>"A"</f>
        <v>A</v>
      </c>
    </row>
    <row r="3830" spans="1:8" x14ac:dyDescent="0.2">
      <c r="A3830" t="str">
        <f t="shared" si="1399"/>
        <v>0615061661</v>
      </c>
      <c r="B3830" t="str">
        <f t="shared" si="1400"/>
        <v>ADRIANA</v>
      </c>
      <c r="C3830" t="str">
        <f t="shared" si="1401"/>
        <v>CRUZ HERNANDEZ</v>
      </c>
      <c r="D3830">
        <f>10</f>
        <v>10</v>
      </c>
      <c r="E3830" t="str">
        <f>"06 - B - 104 - Robert H Rindner"</f>
        <v>06 - B - 104 - Robert H Rindner</v>
      </c>
      <c r="F3830" t="str">
        <f>"NC STUDY HALL 1"</f>
        <v>NC STUDY HALL 1</v>
      </c>
      <c r="G3830" t="str">
        <f>"21-2160"</f>
        <v>21-2160</v>
      </c>
      <c r="H3830" t="str">
        <f>"B"</f>
        <v>B</v>
      </c>
    </row>
    <row r="3831" spans="1:8" x14ac:dyDescent="0.2">
      <c r="A3831" t="str">
        <f t="shared" si="1399"/>
        <v>0615061661</v>
      </c>
      <c r="B3831" t="str">
        <f t="shared" si="1400"/>
        <v>ADRIANA</v>
      </c>
      <c r="C3831" t="str">
        <f t="shared" si="1401"/>
        <v>CRUZ HERNANDEZ</v>
      </c>
      <c r="D3831">
        <f>10</f>
        <v>10</v>
      </c>
      <c r="E3831" t="str">
        <f>"03 - A - 103 - Jacquelyn M Neeson"</f>
        <v>03 - A - 103 - Jacquelyn M Neeson</v>
      </c>
      <c r="F3831" t="str">
        <f>"ENG 2"</f>
        <v>ENG 2</v>
      </c>
      <c r="G3831" t="str">
        <f>"17-1715"</f>
        <v>17-1715</v>
      </c>
      <c r="H3831" t="str">
        <f>"A"</f>
        <v>A</v>
      </c>
    </row>
    <row r="3832" spans="1:8" x14ac:dyDescent="0.2">
      <c r="A3832" t="str">
        <f t="shared" si="1399"/>
        <v>0615061661</v>
      </c>
      <c r="B3832" t="str">
        <f t="shared" si="1400"/>
        <v>ADRIANA</v>
      </c>
      <c r="C3832" t="str">
        <f t="shared" si="1401"/>
        <v>CRUZ HERNANDEZ</v>
      </c>
      <c r="D3832">
        <f>10</f>
        <v>10</v>
      </c>
      <c r="E3832" t="str">
        <f>"02 - A - 102 - Daniel S Tyson"</f>
        <v>02 - A - 102 - Daniel S Tyson</v>
      </c>
      <c r="F3832" t="str">
        <f>"JROTC NAVAL SCI 1"</f>
        <v>JROTC NAVAL SCI 1</v>
      </c>
      <c r="G3832" t="str">
        <f>"05-510"</f>
        <v>05-510</v>
      </c>
      <c r="H3832" t="str">
        <f>"A"</f>
        <v>A</v>
      </c>
    </row>
    <row r="3833" spans="1:8" x14ac:dyDescent="0.2">
      <c r="A3833" t="str">
        <f t="shared" si="1399"/>
        <v>0615061661</v>
      </c>
      <c r="B3833" t="str">
        <f t="shared" si="1400"/>
        <v>ADRIANA</v>
      </c>
      <c r="C3833" t="str">
        <f t="shared" si="1401"/>
        <v>CRUZ HERNANDEZ</v>
      </c>
      <c r="D3833">
        <f>10</f>
        <v>10</v>
      </c>
      <c r="E3833" t="str">
        <f>"07 - B - 104 - Marielle A Witting"</f>
        <v>07 - B - 104 - Marielle A Witting</v>
      </c>
      <c r="F3833" t="str">
        <f>"ANAT PHYSIO"</f>
        <v>ANAT PHYSIO</v>
      </c>
      <c r="G3833" t="str">
        <f>"08-805"</f>
        <v>08-805</v>
      </c>
      <c r="H3833" t="str">
        <f>"B"</f>
        <v>B</v>
      </c>
    </row>
    <row r="3834" spans="1:8" x14ac:dyDescent="0.2">
      <c r="A3834" t="str">
        <f t="shared" si="1399"/>
        <v>0615061661</v>
      </c>
      <c r="B3834" t="str">
        <f t="shared" si="1400"/>
        <v>ADRIANA</v>
      </c>
      <c r="C3834" t="str">
        <f t="shared" si="1401"/>
        <v>CRUZ HERNANDEZ</v>
      </c>
      <c r="D3834">
        <f>10</f>
        <v>10</v>
      </c>
      <c r="E3834" t="str">
        <f>"05 - B - 205 - Lenecy  Nodarse"</f>
        <v>05 - B - 205 - Lenecy  Nodarse</v>
      </c>
      <c r="F3834" t="str">
        <f>"WORLD HISTORY"</f>
        <v>WORLD HISTORY</v>
      </c>
      <c r="G3834" t="str">
        <f>"17-1741"</f>
        <v>17-1741</v>
      </c>
      <c r="H3834" t="str">
        <f>"B"</f>
        <v>B</v>
      </c>
    </row>
    <row r="3835" spans="1:8" x14ac:dyDescent="0.2">
      <c r="A3835" t="str">
        <f t="shared" si="1399"/>
        <v>0615061661</v>
      </c>
      <c r="B3835" t="str">
        <f t="shared" si="1400"/>
        <v>ADRIANA</v>
      </c>
      <c r="C3835" t="str">
        <f t="shared" si="1401"/>
        <v>CRUZ HERNANDEZ</v>
      </c>
      <c r="D3835">
        <f>10</f>
        <v>10</v>
      </c>
      <c r="E3835" t="str">
        <f>"01 - A - 101 - Adam Marcus  Drucker"</f>
        <v>01 - A - 101 - Adam Marcus  Drucker</v>
      </c>
      <c r="F3835" t="str">
        <f>"HOPE-PE V"</f>
        <v>HOPE-PE V</v>
      </c>
      <c r="G3835" t="str">
        <f>"04-254"</f>
        <v>04-254</v>
      </c>
      <c r="H3835" t="str">
        <f>"A"</f>
        <v>A</v>
      </c>
    </row>
    <row r="3836" spans="1:8" x14ac:dyDescent="0.2">
      <c r="A3836" t="str">
        <f t="shared" si="1399"/>
        <v>0615061661</v>
      </c>
      <c r="B3836" t="str">
        <f t="shared" si="1400"/>
        <v>ADRIANA</v>
      </c>
      <c r="C3836" t="str">
        <f t="shared" si="1401"/>
        <v>CRUZ HERNANDEZ</v>
      </c>
      <c r="D3836">
        <f>10</f>
        <v>10</v>
      </c>
      <c r="E3836" t="str">
        <f>"08 - B - 103 - Chrystina M Marchionne"</f>
        <v>08 - B - 103 - Chrystina M Marchionne</v>
      </c>
      <c r="F3836" t="str">
        <f>"JOURN 2 (YB) LH"</f>
        <v>JOURN 2 (YB) LH</v>
      </c>
      <c r="G3836" t="str">
        <f>"05-520"</f>
        <v>05-520</v>
      </c>
      <c r="H3836" t="str">
        <f>"B"</f>
        <v>B</v>
      </c>
    </row>
    <row r="3837" spans="1:8" x14ac:dyDescent="0.2">
      <c r="A3837" t="str">
        <f t="shared" ref="A3837:A3844" si="1402">"0613138092"</f>
        <v>0613138092</v>
      </c>
      <c r="B3837" t="str">
        <f t="shared" ref="B3837:B3844" si="1403">"AURY"</f>
        <v>AURY</v>
      </c>
      <c r="C3837" t="str">
        <f t="shared" si="1401"/>
        <v>CRUZ HERNANDEZ</v>
      </c>
      <c r="D3837">
        <f>12</f>
        <v>12</v>
      </c>
      <c r="E3837" t="str">
        <f>"04 - A - 106 - Tina M Jaramillo"</f>
        <v>04 - A - 106 - Tina M Jaramillo</v>
      </c>
      <c r="F3837" t="str">
        <f>"AP ENG LIT COMPO"</f>
        <v>AP ENG LIT COMPO</v>
      </c>
      <c r="G3837" t="str">
        <f>"17-1706"</f>
        <v>17-1706</v>
      </c>
      <c r="H3837" t="str">
        <f>"A"</f>
        <v>A</v>
      </c>
    </row>
    <row r="3838" spans="1:8" x14ac:dyDescent="0.2">
      <c r="A3838" t="str">
        <f t="shared" si="1402"/>
        <v>0613138092</v>
      </c>
      <c r="B3838" t="str">
        <f t="shared" si="1403"/>
        <v>AURY</v>
      </c>
      <c r="C3838" t="str">
        <f t="shared" si="1401"/>
        <v>CRUZ HERNANDEZ</v>
      </c>
      <c r="D3838">
        <f>12</f>
        <v>12</v>
      </c>
      <c r="E3838" t="str">
        <f>"06 - B - 106 - Taraneh C Abreu"</f>
        <v>06 - B - 106 - Taraneh C Abreu</v>
      </c>
      <c r="F3838" t="str">
        <f>"NC STUDY HALL 1"</f>
        <v>NC STUDY HALL 1</v>
      </c>
      <c r="G3838" t="str">
        <f>"17-1713"</f>
        <v>17-1713</v>
      </c>
      <c r="H3838" t="str">
        <f>"B"</f>
        <v>B</v>
      </c>
    </row>
    <row r="3839" spans="1:8" x14ac:dyDescent="0.2">
      <c r="A3839" t="str">
        <f t="shared" si="1402"/>
        <v>0613138092</v>
      </c>
      <c r="B3839" t="str">
        <f t="shared" si="1403"/>
        <v>AURY</v>
      </c>
      <c r="C3839" t="str">
        <f t="shared" si="1401"/>
        <v>CRUZ HERNANDEZ</v>
      </c>
      <c r="D3839">
        <f>12</f>
        <v>12</v>
      </c>
      <c r="E3839" t="str">
        <f>"03 - A - 203 - Stefanie S Scher"</f>
        <v>03 - A - 203 - Stefanie S Scher</v>
      </c>
      <c r="F3839" t="str">
        <f>"AP PSYCH"</f>
        <v>AP PSYCH</v>
      </c>
      <c r="G3839" t="str">
        <f>"17-1735"</f>
        <v>17-1735</v>
      </c>
      <c r="H3839" t="str">
        <f>"A"</f>
        <v>A</v>
      </c>
    </row>
    <row r="3840" spans="1:8" x14ac:dyDescent="0.2">
      <c r="A3840" t="str">
        <f t="shared" si="1402"/>
        <v>0613138092</v>
      </c>
      <c r="B3840" t="str">
        <f t="shared" si="1403"/>
        <v>AURY</v>
      </c>
      <c r="C3840" t="str">
        <f t="shared" si="1401"/>
        <v>CRUZ HERNANDEZ</v>
      </c>
      <c r="D3840">
        <f>12</f>
        <v>12</v>
      </c>
      <c r="E3840" t="str">
        <f>"02 - A - 202 - Daniel S Tyson"</f>
        <v>02 - A - 202 - Daniel S Tyson</v>
      </c>
      <c r="F3840" t="str">
        <f>"JROTC NAVAL SCI 2"</f>
        <v>JROTC NAVAL SCI 2</v>
      </c>
      <c r="G3840" t="str">
        <f>"05-510"</f>
        <v>05-510</v>
      </c>
      <c r="H3840" t="str">
        <f>"A"</f>
        <v>A</v>
      </c>
    </row>
    <row r="3841" spans="1:8" x14ac:dyDescent="0.2">
      <c r="A3841" t="str">
        <f t="shared" si="1402"/>
        <v>0613138092</v>
      </c>
      <c r="B3841" t="str">
        <f t="shared" si="1403"/>
        <v>AURY</v>
      </c>
      <c r="C3841" t="str">
        <f t="shared" si="1401"/>
        <v>CRUZ HERNANDEZ</v>
      </c>
      <c r="D3841">
        <f>12</f>
        <v>12</v>
      </c>
      <c r="E3841" t="str">
        <f>"07 - B - 102 - Thomas G Handwerg"</f>
        <v>07 - B - 102 - Thomas G Handwerg</v>
      </c>
      <c r="F3841" t="str">
        <f>"PROB STAT W/APPS HON"</f>
        <v>PROB STAT W/APPS HON</v>
      </c>
      <c r="G3841" t="str">
        <f>"21-2146"</f>
        <v>21-2146</v>
      </c>
      <c r="H3841" t="str">
        <f>"B"</f>
        <v>B</v>
      </c>
    </row>
    <row r="3842" spans="1:8" x14ac:dyDescent="0.2">
      <c r="A3842" t="str">
        <f t="shared" si="1402"/>
        <v>0613138092</v>
      </c>
      <c r="B3842" t="str">
        <f t="shared" si="1403"/>
        <v>AURY</v>
      </c>
      <c r="C3842" t="str">
        <f t="shared" si="1401"/>
        <v>CRUZ HERNANDEZ</v>
      </c>
      <c r="D3842">
        <f>12</f>
        <v>12</v>
      </c>
      <c r="E3842" t="str">
        <f>"05 - B - 102 - Dorothy D Moore"</f>
        <v>05 - B - 102 - Dorothy D Moore</v>
      </c>
      <c r="F3842" t="str">
        <f>"FORC SCI 1 LH"</f>
        <v>FORC SCI 1 LH</v>
      </c>
      <c r="G3842" t="str">
        <f>"08-803"</f>
        <v>08-803</v>
      </c>
      <c r="H3842" t="str">
        <f>"B"</f>
        <v>B</v>
      </c>
    </row>
    <row r="3843" spans="1:8" x14ac:dyDescent="0.2">
      <c r="A3843" t="str">
        <f t="shared" si="1402"/>
        <v>0613138092</v>
      </c>
      <c r="B3843" t="str">
        <f t="shared" si="1403"/>
        <v>AURY</v>
      </c>
      <c r="C3843" t="str">
        <f t="shared" si="1401"/>
        <v>CRUZ HERNANDEZ</v>
      </c>
      <c r="D3843">
        <f>12</f>
        <v>12</v>
      </c>
      <c r="E3843" t="str">
        <f>"01 - A - 107 - Valerie J Ruwe"</f>
        <v>01 - A - 107 - Valerie J Ruwe</v>
      </c>
      <c r="F3843" t="str">
        <f>"CHEMISTRY 1 HON"</f>
        <v>CHEMISTRY 1 HON</v>
      </c>
      <c r="G3843" t="str">
        <f>"21-2134"</f>
        <v>21-2134</v>
      </c>
      <c r="H3843" t="str">
        <f>"A"</f>
        <v>A</v>
      </c>
    </row>
    <row r="3844" spans="1:8" x14ac:dyDescent="0.2">
      <c r="A3844" t="str">
        <f t="shared" si="1402"/>
        <v>0613138092</v>
      </c>
      <c r="B3844" t="str">
        <f t="shared" si="1403"/>
        <v>AURY</v>
      </c>
      <c r="C3844" t="str">
        <f t="shared" si="1401"/>
        <v>CRUZ HERNANDEZ</v>
      </c>
      <c r="D3844">
        <f>12</f>
        <v>12</v>
      </c>
      <c r="E3844" t="str">
        <f>"08 - S1 - B - 102 - Stephen T Ripp"</f>
        <v>08 - S1 - B - 102 - Stephen T Ripp</v>
      </c>
      <c r="F3844" t="str">
        <f>"AP US GOVT/POL"</f>
        <v>AP US GOVT/POL</v>
      </c>
      <c r="G3844" t="str">
        <f>"17-1744"</f>
        <v>17-1744</v>
      </c>
      <c r="H3844" t="str">
        <f>"B"</f>
        <v>B</v>
      </c>
    </row>
    <row r="3845" spans="1:8" x14ac:dyDescent="0.2">
      <c r="A3845" t="str">
        <f t="shared" ref="A3845:A3852" si="1404">"0617019438"</f>
        <v>0617019438</v>
      </c>
      <c r="B3845" t="str">
        <f t="shared" ref="B3845:B3852" si="1405">"MIA"</f>
        <v>MIA</v>
      </c>
      <c r="C3845" t="str">
        <f t="shared" ref="C3845:C3852" si="1406">"CUARESMA"</f>
        <v>CUARESMA</v>
      </c>
      <c r="D3845" t="str">
        <f t="shared" ref="D3845:D3860" si="1407">"09"</f>
        <v>09</v>
      </c>
      <c r="E3845" t="str">
        <f>"04 - A - 104 - Brook E Goren"</f>
        <v>04 - A - 104 - Brook E Goren</v>
      </c>
      <c r="F3845" t="str">
        <f>"ALGEBRA 2 HON"</f>
        <v>ALGEBRA 2 HON</v>
      </c>
      <c r="G3845" t="str">
        <f>"21-2158"</f>
        <v>21-2158</v>
      </c>
      <c r="H3845" t="str">
        <f>"A"</f>
        <v>A</v>
      </c>
    </row>
    <row r="3846" spans="1:8" x14ac:dyDescent="0.2">
      <c r="A3846" t="str">
        <f t="shared" si="1404"/>
        <v>0617019438</v>
      </c>
      <c r="B3846" t="str">
        <f t="shared" si="1405"/>
        <v>MIA</v>
      </c>
      <c r="C3846" t="str">
        <f t="shared" si="1406"/>
        <v>CUARESMA</v>
      </c>
      <c r="D3846" t="str">
        <f t="shared" si="1407"/>
        <v>09</v>
      </c>
      <c r="E3846" t="str">
        <f>"06 - B - 105 - Cerine S Stewart"</f>
        <v>06 - B - 105 - Cerine S Stewart</v>
      </c>
      <c r="F3846" t="str">
        <f>"AICE ENG GEN PAPER 1"</f>
        <v>AICE ENG GEN PAPER 1</v>
      </c>
      <c r="G3846" t="str">
        <f>"17-1720"</f>
        <v>17-1720</v>
      </c>
      <c r="H3846" t="str">
        <f>"B"</f>
        <v>B</v>
      </c>
    </row>
    <row r="3847" spans="1:8" x14ac:dyDescent="0.2">
      <c r="A3847" t="str">
        <f t="shared" si="1404"/>
        <v>0617019438</v>
      </c>
      <c r="B3847" t="str">
        <f t="shared" si="1405"/>
        <v>MIA</v>
      </c>
      <c r="C3847" t="str">
        <f t="shared" si="1406"/>
        <v>CUARESMA</v>
      </c>
      <c r="D3847" t="str">
        <f t="shared" si="1407"/>
        <v>09</v>
      </c>
      <c r="E3847" t="str">
        <f>"03 - A - 201 - Chrystina M Marchionne"</f>
        <v>03 - A - 201 - Chrystina M Marchionne</v>
      </c>
      <c r="F3847" t="str">
        <f>"JOURN 1 (YB) LH"</f>
        <v>JOURN 1 (YB) LH</v>
      </c>
      <c r="G3847" t="str">
        <f>"05-520"</f>
        <v>05-520</v>
      </c>
      <c r="H3847" t="str">
        <f>"A"</f>
        <v>A</v>
      </c>
    </row>
    <row r="3848" spans="1:8" x14ac:dyDescent="0.2">
      <c r="A3848" t="str">
        <f t="shared" si="1404"/>
        <v>0617019438</v>
      </c>
      <c r="B3848" t="str">
        <f t="shared" si="1405"/>
        <v>MIA</v>
      </c>
      <c r="C3848" t="str">
        <f t="shared" si="1406"/>
        <v>CUARESMA</v>
      </c>
      <c r="D3848" t="str">
        <f t="shared" si="1407"/>
        <v>09</v>
      </c>
      <c r="E3848" t="str">
        <f>"02 - A - 110 - Maried P Ramos"</f>
        <v>02 - A - 110 - Maried P Ramos</v>
      </c>
      <c r="F3848" t="str">
        <f>"NC STUDY HALL 1"</f>
        <v>NC STUDY HALL 1</v>
      </c>
      <c r="G3848" t="str">
        <f>"21-2159"</f>
        <v>21-2159</v>
      </c>
      <c r="H3848" t="str">
        <f>"A"</f>
        <v>A</v>
      </c>
    </row>
    <row r="3849" spans="1:8" x14ac:dyDescent="0.2">
      <c r="A3849" t="str">
        <f t="shared" si="1404"/>
        <v>0617019438</v>
      </c>
      <c r="B3849" t="str">
        <f t="shared" si="1405"/>
        <v>MIA</v>
      </c>
      <c r="C3849" t="str">
        <f t="shared" si="1406"/>
        <v>CUARESMA</v>
      </c>
      <c r="D3849" t="str">
        <f t="shared" si="1407"/>
        <v>09</v>
      </c>
      <c r="E3849" t="str">
        <f>"07 - B - 105 - Joe  Kilpatrick Jr"</f>
        <v>07 - B - 105 - Joe  Kilpatrick Jr</v>
      </c>
      <c r="F3849" t="str">
        <f>"PRE-AICE SPAN 1 IG"</f>
        <v>PRE-AICE SPAN 1 IG</v>
      </c>
      <c r="G3849" t="str">
        <f>"09-912"</f>
        <v>09-912</v>
      </c>
      <c r="H3849" t="str">
        <f>"B"</f>
        <v>B</v>
      </c>
    </row>
    <row r="3850" spans="1:8" x14ac:dyDescent="0.2">
      <c r="A3850" t="str">
        <f t="shared" si="1404"/>
        <v>0617019438</v>
      </c>
      <c r="B3850" t="str">
        <f t="shared" si="1405"/>
        <v>MIA</v>
      </c>
      <c r="C3850" t="str">
        <f t="shared" si="1406"/>
        <v>CUARESMA</v>
      </c>
      <c r="D3850" t="str">
        <f t="shared" si="1407"/>
        <v>09</v>
      </c>
      <c r="E3850" t="str">
        <f>"05 - B - 003 - Krystal Marie  Beruty"</f>
        <v>05 - B - 003 - Krystal Marie  Beruty</v>
      </c>
      <c r="F3850" t="str">
        <f>"AICE GLBL PERSP 1 AS"</f>
        <v>AICE GLBL PERSP 1 AS</v>
      </c>
      <c r="G3850" t="str">
        <f>"17-1721"</f>
        <v>17-1721</v>
      </c>
      <c r="H3850" t="str">
        <f>"B"</f>
        <v>B</v>
      </c>
    </row>
    <row r="3851" spans="1:8" x14ac:dyDescent="0.2">
      <c r="A3851" t="str">
        <f t="shared" si="1404"/>
        <v>0617019438</v>
      </c>
      <c r="B3851" t="str">
        <f t="shared" si="1405"/>
        <v>MIA</v>
      </c>
      <c r="C3851" t="str">
        <f t="shared" si="1406"/>
        <v>CUARESMA</v>
      </c>
      <c r="D3851" t="str">
        <f t="shared" si="1407"/>
        <v>09</v>
      </c>
      <c r="E3851" t="str">
        <f>"01 - A - 201 - Cheryl L Beach"</f>
        <v>01 - A - 201 - Cheryl L Beach</v>
      </c>
      <c r="F3851" t="str">
        <f>"AICE ENV MGMNT AS"</f>
        <v>AICE ENV MGMNT AS</v>
      </c>
      <c r="G3851" t="str">
        <f>"08-811"</f>
        <v>08-811</v>
      </c>
      <c r="H3851" t="str">
        <f>"A"</f>
        <v>A</v>
      </c>
    </row>
    <row r="3852" spans="1:8" x14ac:dyDescent="0.2">
      <c r="A3852" t="str">
        <f t="shared" si="1404"/>
        <v>0617019438</v>
      </c>
      <c r="B3852" t="str">
        <f t="shared" si="1405"/>
        <v>MIA</v>
      </c>
      <c r="C3852" t="str">
        <f t="shared" si="1406"/>
        <v>CUARESMA</v>
      </c>
      <c r="D3852" t="str">
        <f t="shared" si="1407"/>
        <v>09</v>
      </c>
      <c r="E3852" t="str">
        <f>"08 - B - 105 - Daniel S Tyson"</f>
        <v>08 - B - 105 - Daniel S Tyson</v>
      </c>
      <c r="F3852" t="str">
        <f>"JROTC NAVAL SCI 1"</f>
        <v>JROTC NAVAL SCI 1</v>
      </c>
      <c r="G3852" t="str">
        <f>"05-510"</f>
        <v>05-510</v>
      </c>
      <c r="H3852" t="str">
        <f>"B"</f>
        <v>B</v>
      </c>
    </row>
    <row r="3853" spans="1:8" x14ac:dyDescent="0.2">
      <c r="A3853" t="str">
        <f t="shared" ref="A3853:A3860" si="1408">"0616148625"</f>
        <v>0616148625</v>
      </c>
      <c r="B3853" t="str">
        <f t="shared" ref="B3853:B3860" si="1409">"DANNA"</f>
        <v>DANNA</v>
      </c>
      <c r="C3853" t="str">
        <f t="shared" ref="C3853:C3860" si="1410">"CUBAS"</f>
        <v>CUBAS</v>
      </c>
      <c r="D3853" t="str">
        <f t="shared" si="1407"/>
        <v>09</v>
      </c>
      <c r="E3853" t="str">
        <f>"04 - A - 201 - Dorothy D Moore"</f>
        <v>04 - A - 201 - Dorothy D Moore</v>
      </c>
      <c r="F3853" t="str">
        <f>"HEALTH SCI 1/A&amp;P HON"</f>
        <v>HEALTH SCI 1/A&amp;P HON</v>
      </c>
      <c r="G3853" t="str">
        <f>"08-803"</f>
        <v>08-803</v>
      </c>
      <c r="H3853" t="str">
        <f>"A"</f>
        <v>A</v>
      </c>
    </row>
    <row r="3854" spans="1:8" x14ac:dyDescent="0.2">
      <c r="A3854" t="str">
        <f t="shared" si="1408"/>
        <v>0616148625</v>
      </c>
      <c r="B3854" t="str">
        <f t="shared" si="1409"/>
        <v>DANNA</v>
      </c>
      <c r="C3854" t="str">
        <f t="shared" si="1410"/>
        <v>CUBAS</v>
      </c>
      <c r="D3854" t="str">
        <f t="shared" si="1407"/>
        <v>09</v>
      </c>
      <c r="E3854" t="str">
        <f>"06 - S1 - B - 102 - Daniel S Katz"</f>
        <v>06 - S1 - B - 102 - Daniel S Katz</v>
      </c>
      <c r="F3854" t="str">
        <f>"COURT PROCED"</f>
        <v>COURT PROCED</v>
      </c>
      <c r="G3854" t="str">
        <f>"21-2156"</f>
        <v>21-2156</v>
      </c>
      <c r="H3854" t="str">
        <f>"B"</f>
        <v>B</v>
      </c>
    </row>
    <row r="3855" spans="1:8" x14ac:dyDescent="0.2">
      <c r="A3855" t="str">
        <f t="shared" si="1408"/>
        <v>0616148625</v>
      </c>
      <c r="B3855" t="str">
        <f t="shared" si="1409"/>
        <v>DANNA</v>
      </c>
      <c r="C3855" t="str">
        <f t="shared" si="1410"/>
        <v>CUBAS</v>
      </c>
      <c r="D3855" t="str">
        <f t="shared" si="1407"/>
        <v>09</v>
      </c>
      <c r="E3855" t="str">
        <f>"03 - A - 101 - Rosa Elaine  Collado-Duff"</f>
        <v>03 - A - 101 - Rosa Elaine  Collado-Duff</v>
      </c>
      <c r="F3855" t="str">
        <f>"SPANISH 3 HON"</f>
        <v>SPANISH 3 HON</v>
      </c>
      <c r="G3855" t="str">
        <f>"09-913"</f>
        <v>09-913</v>
      </c>
      <c r="H3855" t="str">
        <f>"A"</f>
        <v>A</v>
      </c>
    </row>
    <row r="3856" spans="1:8" x14ac:dyDescent="0.2">
      <c r="A3856" t="str">
        <f t="shared" si="1408"/>
        <v>0616148625</v>
      </c>
      <c r="B3856" t="str">
        <f t="shared" si="1409"/>
        <v>DANNA</v>
      </c>
      <c r="C3856" t="str">
        <f t="shared" si="1410"/>
        <v>CUBAS</v>
      </c>
      <c r="D3856" t="str">
        <f t="shared" si="1407"/>
        <v>09</v>
      </c>
      <c r="E3856" t="str">
        <f>"02 - A - 109 - Krystal Marie  Beruty"</f>
        <v>02 - A - 109 - Krystal Marie  Beruty</v>
      </c>
      <c r="F3856" t="str">
        <f>"NC STUDY HALL 1"</f>
        <v>NC STUDY HALL 1</v>
      </c>
      <c r="G3856" t="str">
        <f>"17-1721"</f>
        <v>17-1721</v>
      </c>
      <c r="H3856" t="str">
        <f>"A"</f>
        <v>A</v>
      </c>
    </row>
    <row r="3857" spans="1:8" x14ac:dyDescent="0.2">
      <c r="A3857" t="str">
        <f t="shared" si="1408"/>
        <v>0616148625</v>
      </c>
      <c r="B3857" t="str">
        <f t="shared" si="1409"/>
        <v>DANNA</v>
      </c>
      <c r="C3857" t="str">
        <f t="shared" si="1410"/>
        <v>CUBAS</v>
      </c>
      <c r="D3857" t="str">
        <f t="shared" si="1407"/>
        <v>09</v>
      </c>
      <c r="E3857" t="str">
        <f>"07 - B - 207 - Krystal Marie  Beruty"</f>
        <v>07 - B - 207 - Krystal Marie  Beruty</v>
      </c>
      <c r="F3857" t="str">
        <f>"AICE GLBL PERSP 1 AS"</f>
        <v>AICE GLBL PERSP 1 AS</v>
      </c>
      <c r="G3857" t="str">
        <f>"17-1721"</f>
        <v>17-1721</v>
      </c>
      <c r="H3857" t="str">
        <f>"B"</f>
        <v>B</v>
      </c>
    </row>
    <row r="3858" spans="1:8" x14ac:dyDescent="0.2">
      <c r="A3858" t="str">
        <f t="shared" si="1408"/>
        <v>0616148625</v>
      </c>
      <c r="B3858" t="str">
        <f t="shared" si="1409"/>
        <v>DANNA</v>
      </c>
      <c r="C3858" t="str">
        <f t="shared" si="1410"/>
        <v>CUBAS</v>
      </c>
      <c r="D3858" t="str">
        <f t="shared" si="1407"/>
        <v>09</v>
      </c>
      <c r="E3858" t="str">
        <f>"05 - B - 204 - Cheryl L Beach"</f>
        <v>05 - B - 204 - Cheryl L Beach</v>
      </c>
      <c r="F3858" t="str">
        <f>"AICE ENV MGMNT AS"</f>
        <v>AICE ENV MGMNT AS</v>
      </c>
      <c r="G3858" t="str">
        <f>"08-811"</f>
        <v>08-811</v>
      </c>
      <c r="H3858" t="str">
        <f>"B"</f>
        <v>B</v>
      </c>
    </row>
    <row r="3859" spans="1:8" x14ac:dyDescent="0.2">
      <c r="A3859" t="str">
        <f t="shared" si="1408"/>
        <v>0616148625</v>
      </c>
      <c r="B3859" t="str">
        <f t="shared" si="1409"/>
        <v>DANNA</v>
      </c>
      <c r="C3859" t="str">
        <f t="shared" si="1410"/>
        <v>CUBAS</v>
      </c>
      <c r="D3859" t="str">
        <f t="shared" si="1407"/>
        <v>09</v>
      </c>
      <c r="E3859" t="str">
        <f>"01 - A - 101 - Elizabeth R Walker"</f>
        <v>01 - A - 101 - Elizabeth R Walker</v>
      </c>
      <c r="F3859" t="str">
        <f>"AICE ENG GEN PAPER 1"</f>
        <v>AICE ENG GEN PAPER 1</v>
      </c>
      <c r="G3859" t="str">
        <f>"17-1703"</f>
        <v>17-1703</v>
      </c>
      <c r="H3859" t="str">
        <f>"A"</f>
        <v>A</v>
      </c>
    </row>
    <row r="3860" spans="1:8" x14ac:dyDescent="0.2">
      <c r="A3860" t="str">
        <f t="shared" si="1408"/>
        <v>0616148625</v>
      </c>
      <c r="B3860" t="str">
        <f t="shared" si="1409"/>
        <v>DANNA</v>
      </c>
      <c r="C3860" t="str">
        <f t="shared" si="1410"/>
        <v>CUBAS</v>
      </c>
      <c r="D3860" t="str">
        <f t="shared" si="1407"/>
        <v>09</v>
      </c>
      <c r="E3860" t="str">
        <f>"08 - B - 102 - Maried P Ramos"</f>
        <v>08 - B - 102 - Maried P Ramos</v>
      </c>
      <c r="F3860" t="str">
        <f>"ALGEBRA 2 HON"</f>
        <v>ALGEBRA 2 HON</v>
      </c>
      <c r="G3860" t="str">
        <f>"21-2159"</f>
        <v>21-2159</v>
      </c>
      <c r="H3860" t="str">
        <f>"B"</f>
        <v>B</v>
      </c>
    </row>
    <row r="3861" spans="1:8" x14ac:dyDescent="0.2">
      <c r="A3861" t="str">
        <f t="shared" ref="A3861:A3868" si="1411">"0623098044"</f>
        <v>0623098044</v>
      </c>
      <c r="B3861" t="str">
        <f t="shared" ref="B3861:B3868" si="1412">"ISABELLA"</f>
        <v>ISABELLA</v>
      </c>
      <c r="C3861" t="str">
        <f t="shared" ref="C3861:C3868" si="1413">"CUBILLAS"</f>
        <v>CUBILLAS</v>
      </c>
      <c r="D3861">
        <f>11</f>
        <v>11</v>
      </c>
      <c r="E3861" t="str">
        <f>"04 - A - 103 - Lourivaldo  Da Silva"</f>
        <v>04 - A - 103 - Lourivaldo  Da Silva</v>
      </c>
      <c r="F3861" t="str">
        <f>"PRE-CALCULUS HON"</f>
        <v>PRE-CALCULUS HON</v>
      </c>
      <c r="G3861" t="str">
        <f>"20-2079"</f>
        <v>20-2079</v>
      </c>
      <c r="H3861" t="str">
        <f>"A"</f>
        <v>A</v>
      </c>
    </row>
    <row r="3862" spans="1:8" x14ac:dyDescent="0.2">
      <c r="A3862" t="str">
        <f t="shared" si="1411"/>
        <v>0623098044</v>
      </c>
      <c r="B3862" t="str">
        <f t="shared" si="1412"/>
        <v>ISABELLA</v>
      </c>
      <c r="C3862" t="str">
        <f t="shared" si="1413"/>
        <v>CUBILLAS</v>
      </c>
      <c r="D3862">
        <f>11</f>
        <v>11</v>
      </c>
      <c r="E3862" t="str">
        <f>"06 - B - 101 - Bruce A Evans"</f>
        <v>06 - B - 101 - Bruce A Evans</v>
      </c>
      <c r="F3862" t="str">
        <f>"EMERG MED RESP 3 HON"</f>
        <v>EMERG MED RESP 3 HON</v>
      </c>
      <c r="G3862" t="str">
        <f>"21-2142"</f>
        <v>21-2142</v>
      </c>
      <c r="H3862" t="str">
        <f>"B"</f>
        <v>B</v>
      </c>
    </row>
    <row r="3863" spans="1:8" x14ac:dyDescent="0.2">
      <c r="A3863" t="str">
        <f t="shared" si="1411"/>
        <v>0623098044</v>
      </c>
      <c r="B3863" t="str">
        <f t="shared" si="1412"/>
        <v>ISABELLA</v>
      </c>
      <c r="C3863" t="str">
        <f t="shared" si="1413"/>
        <v>CUBILLAS</v>
      </c>
      <c r="D3863">
        <f>11</f>
        <v>11</v>
      </c>
      <c r="E3863" t="str">
        <f>"03 - A - 202 - Bruce A Evans"</f>
        <v>03 - A - 202 - Bruce A Evans</v>
      </c>
      <c r="F3863" t="str">
        <f>"HEALTH SCI FOUND HON"</f>
        <v>HEALTH SCI FOUND HON</v>
      </c>
      <c r="G3863" t="str">
        <f>"21-2142"</f>
        <v>21-2142</v>
      </c>
      <c r="H3863" t="str">
        <f>"A"</f>
        <v>A</v>
      </c>
    </row>
    <row r="3864" spans="1:8" x14ac:dyDescent="0.2">
      <c r="A3864" t="str">
        <f t="shared" si="1411"/>
        <v>0623098044</v>
      </c>
      <c r="B3864" t="str">
        <f t="shared" si="1412"/>
        <v>ISABELLA</v>
      </c>
      <c r="C3864" t="str">
        <f t="shared" si="1413"/>
        <v>CUBILLAS</v>
      </c>
      <c r="D3864">
        <f>11</f>
        <v>11</v>
      </c>
      <c r="E3864" t="str">
        <f>"02 - A - 113 - Byron G Montenegro"</f>
        <v>02 - A - 113 - Byron G Montenegro</v>
      </c>
      <c r="F3864" t="str">
        <f>"NC STUDY HALL 1"</f>
        <v>NC STUDY HALL 1</v>
      </c>
      <c r="G3864" t="str">
        <f>"21-2144"</f>
        <v>21-2144</v>
      </c>
      <c r="H3864" t="str">
        <f>"A"</f>
        <v>A</v>
      </c>
    </row>
    <row r="3865" spans="1:8" x14ac:dyDescent="0.2">
      <c r="A3865" t="str">
        <f t="shared" si="1411"/>
        <v>0623098044</v>
      </c>
      <c r="B3865" t="str">
        <f t="shared" si="1412"/>
        <v>ISABELLA</v>
      </c>
      <c r="C3865" t="str">
        <f t="shared" si="1413"/>
        <v>CUBILLAS</v>
      </c>
      <c r="D3865">
        <f>11</f>
        <v>11</v>
      </c>
      <c r="E3865" t="str">
        <f>"07 - B - 103 - Lisa J London"</f>
        <v>07 - B - 103 - Lisa J London</v>
      </c>
      <c r="F3865" t="str">
        <f>"AP CAPSTONE SEMINAR"</f>
        <v>AP CAPSTONE SEMINAR</v>
      </c>
      <c r="G3865" t="str">
        <f>"17-1714"</f>
        <v>17-1714</v>
      </c>
      <c r="H3865" t="str">
        <f>"B"</f>
        <v>B</v>
      </c>
    </row>
    <row r="3866" spans="1:8" x14ac:dyDescent="0.2">
      <c r="A3866" t="str">
        <f t="shared" si="1411"/>
        <v>0623098044</v>
      </c>
      <c r="B3866" t="str">
        <f t="shared" si="1412"/>
        <v>ISABELLA</v>
      </c>
      <c r="C3866" t="str">
        <f t="shared" si="1413"/>
        <v>CUBILLAS</v>
      </c>
      <c r="D3866">
        <f>11</f>
        <v>11</v>
      </c>
      <c r="E3866" t="str">
        <f>"05 - B - 103 - Tina M Jaramillo"</f>
        <v>05 - B - 103 - Tina M Jaramillo</v>
      </c>
      <c r="F3866" t="str">
        <f>"AP ENG COMPO"</f>
        <v>AP ENG COMPO</v>
      </c>
      <c r="G3866" t="str">
        <f>"17-1706"</f>
        <v>17-1706</v>
      </c>
      <c r="H3866" t="str">
        <f>"B"</f>
        <v>B</v>
      </c>
    </row>
    <row r="3867" spans="1:8" x14ac:dyDescent="0.2">
      <c r="A3867" t="str">
        <f t="shared" si="1411"/>
        <v>0623098044</v>
      </c>
      <c r="B3867" t="str">
        <f t="shared" si="1412"/>
        <v>ISABELLA</v>
      </c>
      <c r="C3867" t="str">
        <f t="shared" si="1413"/>
        <v>CUBILLAS</v>
      </c>
      <c r="D3867">
        <f>11</f>
        <v>11</v>
      </c>
      <c r="E3867" t="str">
        <f>"01 - A - 001 - Stephen T Ripp"</f>
        <v>01 - A - 001 - Stephen T Ripp</v>
      </c>
      <c r="F3867" t="str">
        <f>"AP U.S. HIST"</f>
        <v>AP U.S. HIST</v>
      </c>
      <c r="G3867" t="str">
        <f>"17-1744"</f>
        <v>17-1744</v>
      </c>
      <c r="H3867" t="str">
        <f>"A"</f>
        <v>A</v>
      </c>
    </row>
    <row r="3868" spans="1:8" x14ac:dyDescent="0.2">
      <c r="A3868" t="str">
        <f t="shared" si="1411"/>
        <v>0623098044</v>
      </c>
      <c r="B3868" t="str">
        <f t="shared" si="1412"/>
        <v>ISABELLA</v>
      </c>
      <c r="C3868" t="str">
        <f t="shared" si="1413"/>
        <v>CUBILLAS</v>
      </c>
      <c r="D3868">
        <f>11</f>
        <v>11</v>
      </c>
      <c r="E3868" t="str">
        <f>"08 - B - 102 - Jacqueline R Morphet"</f>
        <v>08 - B - 102 - Jacqueline R Morphet</v>
      </c>
      <c r="F3868" t="str">
        <f>"AP PHYSICS 1"</f>
        <v>AP PHYSICS 1</v>
      </c>
      <c r="G3868" t="str">
        <f>"21-2138"</f>
        <v>21-2138</v>
      </c>
      <c r="H3868" t="str">
        <f>"B"</f>
        <v>B</v>
      </c>
    </row>
    <row r="3869" spans="1:8" x14ac:dyDescent="0.2">
      <c r="A3869" t="str">
        <f t="shared" ref="A3869:A3876" si="1414">"0616069317"</f>
        <v>0616069317</v>
      </c>
      <c r="B3869" t="str">
        <f t="shared" ref="B3869:B3876" si="1415">"NIOMI"</f>
        <v>NIOMI</v>
      </c>
      <c r="C3869" t="str">
        <f t="shared" ref="C3869:C3876" si="1416">"CUDDON"</f>
        <v>CUDDON</v>
      </c>
      <c r="D3869">
        <f>10</f>
        <v>10</v>
      </c>
      <c r="E3869" t="str">
        <f>"04 - A - 103 - Joe  Kilpatrick Jr"</f>
        <v>04 - A - 103 - Joe  Kilpatrick Jr</v>
      </c>
      <c r="F3869" t="str">
        <f>"PRE-AICE SPAN 1 IG"</f>
        <v>PRE-AICE SPAN 1 IG</v>
      </c>
      <c r="G3869" t="str">
        <f>"09-912"</f>
        <v>09-912</v>
      </c>
      <c r="H3869" t="str">
        <f>"A"</f>
        <v>A</v>
      </c>
    </row>
    <row r="3870" spans="1:8" x14ac:dyDescent="0.2">
      <c r="A3870" t="str">
        <f t="shared" si="1414"/>
        <v>0616069317</v>
      </c>
      <c r="B3870" t="str">
        <f t="shared" si="1415"/>
        <v>NIOMI</v>
      </c>
      <c r="C3870" t="str">
        <f t="shared" si="1416"/>
        <v>CUDDON</v>
      </c>
      <c r="D3870">
        <f>10</f>
        <v>10</v>
      </c>
      <c r="E3870" t="str">
        <f>"06 - B - 002 - Lenecy  Nodarse"</f>
        <v>06 - B - 002 - Lenecy  Nodarse</v>
      </c>
      <c r="F3870" t="str">
        <f>"NC STUDY HALL 1"</f>
        <v>NC STUDY HALL 1</v>
      </c>
      <c r="G3870" t="str">
        <f>"17-1741"</f>
        <v>17-1741</v>
      </c>
      <c r="H3870" t="str">
        <f>"B"</f>
        <v>B</v>
      </c>
    </row>
    <row r="3871" spans="1:8" x14ac:dyDescent="0.2">
      <c r="A3871" t="str">
        <f t="shared" si="1414"/>
        <v>0616069317</v>
      </c>
      <c r="B3871" t="str">
        <f t="shared" si="1415"/>
        <v>NIOMI</v>
      </c>
      <c r="C3871" t="str">
        <f t="shared" si="1416"/>
        <v>CUDDON</v>
      </c>
      <c r="D3871">
        <f>10</f>
        <v>10</v>
      </c>
      <c r="E3871" t="str">
        <f>"03 - A - 103 - Taraneh C Abreu"</f>
        <v>03 - A - 103 - Taraneh C Abreu</v>
      </c>
      <c r="F3871" t="str">
        <f>"INTENS READ 2"</f>
        <v>INTENS READ 2</v>
      </c>
      <c r="G3871" t="str">
        <f>"17-1713"</f>
        <v>17-1713</v>
      </c>
      <c r="H3871" t="str">
        <f>"A"</f>
        <v>A</v>
      </c>
    </row>
    <row r="3872" spans="1:8" x14ac:dyDescent="0.2">
      <c r="A3872" t="str">
        <f t="shared" si="1414"/>
        <v>0616069317</v>
      </c>
      <c r="B3872" t="str">
        <f t="shared" si="1415"/>
        <v>NIOMI</v>
      </c>
      <c r="C3872" t="str">
        <f t="shared" si="1416"/>
        <v>CUDDON</v>
      </c>
      <c r="D3872">
        <f>10</f>
        <v>10</v>
      </c>
      <c r="E3872" t="str">
        <f>"02 - A - 101 - Brian M Fitzgerald"</f>
        <v>02 - A - 101 - Brian M Fitzgerald</v>
      </c>
      <c r="F3872" t="str">
        <f>"DRAW 1"</f>
        <v>DRAW 1</v>
      </c>
      <c r="G3872" t="str">
        <f>"09-908"</f>
        <v>09-908</v>
      </c>
      <c r="H3872" t="str">
        <f>"A"</f>
        <v>A</v>
      </c>
    </row>
    <row r="3873" spans="1:8" x14ac:dyDescent="0.2">
      <c r="A3873" t="str">
        <f t="shared" si="1414"/>
        <v>0616069317</v>
      </c>
      <c r="B3873" t="str">
        <f t="shared" si="1415"/>
        <v>NIOMI</v>
      </c>
      <c r="C3873" t="str">
        <f t="shared" si="1416"/>
        <v>CUDDON</v>
      </c>
      <c r="D3873">
        <f>10</f>
        <v>10</v>
      </c>
      <c r="E3873" t="str">
        <f>"07 - B - 107 - Milca  Exantus"</f>
        <v>07 - B - 107 - Milca  Exantus</v>
      </c>
      <c r="F3873" t="str">
        <f>"MATH COLLEGE LIB ART"</f>
        <v>MATH COLLEGE LIB ART</v>
      </c>
      <c r="G3873" t="str">
        <f>"21-2145"</f>
        <v>21-2145</v>
      </c>
      <c r="H3873" t="str">
        <f>"B"</f>
        <v>B</v>
      </c>
    </row>
    <row r="3874" spans="1:8" x14ac:dyDescent="0.2">
      <c r="A3874" t="str">
        <f t="shared" si="1414"/>
        <v>0616069317</v>
      </c>
      <c r="B3874" t="str">
        <f t="shared" si="1415"/>
        <v>NIOMI</v>
      </c>
      <c r="C3874" t="str">
        <f t="shared" si="1416"/>
        <v>CUDDON</v>
      </c>
      <c r="D3874">
        <f>10</f>
        <v>10</v>
      </c>
      <c r="E3874" t="str">
        <f>"05 - B - 106 - Jacquelyn M Neeson"</f>
        <v>05 - B - 106 - Jacquelyn M Neeson</v>
      </c>
      <c r="F3874" t="str">
        <f>"ENG 2"</f>
        <v>ENG 2</v>
      </c>
      <c r="G3874" t="str">
        <f>"17-1715"</f>
        <v>17-1715</v>
      </c>
      <c r="H3874" t="str">
        <f>"B"</f>
        <v>B</v>
      </c>
    </row>
    <row r="3875" spans="1:8" x14ac:dyDescent="0.2">
      <c r="A3875" t="str">
        <f t="shared" si="1414"/>
        <v>0616069317</v>
      </c>
      <c r="B3875" t="str">
        <f t="shared" si="1415"/>
        <v>NIOMI</v>
      </c>
      <c r="C3875" t="str">
        <f t="shared" si="1416"/>
        <v>CUDDON</v>
      </c>
      <c r="D3875">
        <f>10</f>
        <v>10</v>
      </c>
      <c r="E3875" t="str">
        <f>"01 - A - 102 - Lytrell T Dixon"</f>
        <v>01 - A - 102 - Lytrell T Dixon</v>
      </c>
      <c r="F3875" t="str">
        <f>"BIOLOGY 1"</f>
        <v>BIOLOGY 1</v>
      </c>
      <c r="G3875" t="str">
        <f>"08-808"</f>
        <v>08-808</v>
      </c>
      <c r="H3875" t="str">
        <f>"A"</f>
        <v>A</v>
      </c>
    </row>
    <row r="3876" spans="1:8" x14ac:dyDescent="0.2">
      <c r="A3876" t="str">
        <f t="shared" si="1414"/>
        <v>0616069317</v>
      </c>
      <c r="B3876" t="str">
        <f t="shared" si="1415"/>
        <v>NIOMI</v>
      </c>
      <c r="C3876" t="str">
        <f t="shared" si="1416"/>
        <v>CUDDON</v>
      </c>
      <c r="D3876">
        <f>10</f>
        <v>10</v>
      </c>
      <c r="E3876" t="str">
        <f>"08 - S1 - B - 102 - Kyle  Robbins"</f>
        <v>08 - S1 - B - 102 - Kyle  Robbins</v>
      </c>
      <c r="F3876" t="str">
        <f>"PERS FIN &amp; MON MGT H"</f>
        <v>PERS FIN &amp; MON MGT H</v>
      </c>
      <c r="G3876" t="str">
        <f>"17-1745"</f>
        <v>17-1745</v>
      </c>
      <c r="H3876" t="str">
        <f>"B"</f>
        <v>B</v>
      </c>
    </row>
    <row r="3877" spans="1:8" x14ac:dyDescent="0.2">
      <c r="A3877" t="str">
        <f t="shared" ref="A3877:A3884" si="1417">"0617030696"</f>
        <v>0617030696</v>
      </c>
      <c r="B3877" t="str">
        <f t="shared" ref="B3877:B3884" si="1418">"NICOLAS"</f>
        <v>NICOLAS</v>
      </c>
      <c r="C3877" t="str">
        <f t="shared" ref="C3877:C3884" si="1419">"CUFFE"</f>
        <v>CUFFE</v>
      </c>
      <c r="D3877" t="str">
        <f t="shared" ref="D3877:D3884" si="1420">"09"</f>
        <v>09</v>
      </c>
      <c r="E3877" t="str">
        <f>"04 - A - 104 - Brook E Goren"</f>
        <v>04 - A - 104 - Brook E Goren</v>
      </c>
      <c r="F3877" t="str">
        <f>"ALGEBRA 2 HON"</f>
        <v>ALGEBRA 2 HON</v>
      </c>
      <c r="G3877" t="str">
        <f>"21-2158"</f>
        <v>21-2158</v>
      </c>
      <c r="H3877" t="str">
        <f>"A"</f>
        <v>A</v>
      </c>
    </row>
    <row r="3878" spans="1:8" x14ac:dyDescent="0.2">
      <c r="A3878" t="str">
        <f t="shared" si="1417"/>
        <v>0617030696</v>
      </c>
      <c r="B3878" t="str">
        <f t="shared" si="1418"/>
        <v>NICOLAS</v>
      </c>
      <c r="C3878" t="str">
        <f t="shared" si="1419"/>
        <v>CUFFE</v>
      </c>
      <c r="D3878" t="str">
        <f t="shared" si="1420"/>
        <v>09</v>
      </c>
      <c r="E3878" t="str">
        <f>"06 - S1 - B - 102 - Daniel S Katz"</f>
        <v>06 - S1 - B - 102 - Daniel S Katz</v>
      </c>
      <c r="F3878" t="str">
        <f>"COURT PROCED"</f>
        <v>COURT PROCED</v>
      </c>
      <c r="G3878" t="str">
        <f>"21-2156"</f>
        <v>21-2156</v>
      </c>
      <c r="H3878" t="str">
        <f>"B"</f>
        <v>B</v>
      </c>
    </row>
    <row r="3879" spans="1:8" x14ac:dyDescent="0.2">
      <c r="A3879" t="str">
        <f t="shared" si="1417"/>
        <v>0617030696</v>
      </c>
      <c r="B3879" t="str">
        <f t="shared" si="1418"/>
        <v>NICOLAS</v>
      </c>
      <c r="C3879" t="str">
        <f t="shared" si="1419"/>
        <v>CUFFE</v>
      </c>
      <c r="D3879" t="str">
        <f t="shared" si="1420"/>
        <v>09</v>
      </c>
      <c r="E3879" t="str">
        <f>"03 - A - 102 - Rory T Sponsler"</f>
        <v>03 - A - 102 - Rory T Sponsler</v>
      </c>
      <c r="F3879" t="str">
        <f>"PRE-AICE WRLD HST IG"</f>
        <v>PRE-AICE WRLD HST IG</v>
      </c>
      <c r="G3879" t="str">
        <f>"17-1740"</f>
        <v>17-1740</v>
      </c>
      <c r="H3879" t="str">
        <f>"A"</f>
        <v>A</v>
      </c>
    </row>
    <row r="3880" spans="1:8" x14ac:dyDescent="0.2">
      <c r="A3880" t="str">
        <f t="shared" si="1417"/>
        <v>0617030696</v>
      </c>
      <c r="B3880" t="str">
        <f t="shared" si="1418"/>
        <v>NICOLAS</v>
      </c>
      <c r="C3880" t="str">
        <f t="shared" si="1419"/>
        <v>CUFFE</v>
      </c>
      <c r="D3880" t="str">
        <f t="shared" si="1420"/>
        <v>09</v>
      </c>
      <c r="E3880" t="str">
        <f>"02 - A - 105 - Elizabeth R Walker"</f>
        <v>02 - A - 105 - Elizabeth R Walker</v>
      </c>
      <c r="F3880" t="str">
        <f>"NC STUDY HALL 1"</f>
        <v>NC STUDY HALL 1</v>
      </c>
      <c r="G3880" t="str">
        <f>"17-1703"</f>
        <v>17-1703</v>
      </c>
      <c r="H3880" t="str">
        <f>"A"</f>
        <v>A</v>
      </c>
    </row>
    <row r="3881" spans="1:8" x14ac:dyDescent="0.2">
      <c r="A3881" t="str">
        <f t="shared" si="1417"/>
        <v>0617030696</v>
      </c>
      <c r="B3881" t="str">
        <f t="shared" si="1418"/>
        <v>NICOLAS</v>
      </c>
      <c r="C3881" t="str">
        <f t="shared" si="1419"/>
        <v>CUFFE</v>
      </c>
      <c r="D3881" t="str">
        <f t="shared" si="1420"/>
        <v>09</v>
      </c>
      <c r="E3881" t="str">
        <f>"07 - B - 001 - Cheryl Anne  Berman-Schechter"</f>
        <v>07 - B - 001 - Cheryl Anne  Berman-Schechter</v>
      </c>
      <c r="F3881" t="str">
        <f>"AICE ENG GEN PAPER 1"</f>
        <v>AICE ENG GEN PAPER 1</v>
      </c>
      <c r="G3881" t="str">
        <f>"17-1722"</f>
        <v>17-1722</v>
      </c>
      <c r="H3881" t="str">
        <f>"B"</f>
        <v>B</v>
      </c>
    </row>
    <row r="3882" spans="1:8" x14ac:dyDescent="0.2">
      <c r="A3882" t="str">
        <f t="shared" si="1417"/>
        <v>0617030696</v>
      </c>
      <c r="B3882" t="str">
        <f t="shared" si="1418"/>
        <v>NICOLAS</v>
      </c>
      <c r="C3882" t="str">
        <f t="shared" si="1419"/>
        <v>CUFFE</v>
      </c>
      <c r="D3882" t="str">
        <f t="shared" si="1420"/>
        <v>09</v>
      </c>
      <c r="E3882" t="str">
        <f>"05 - B - 201 - Jazmin S Fletcher"</f>
        <v>05 - B - 201 - Jazmin S Fletcher</v>
      </c>
      <c r="F3882" t="str">
        <f>"THEATRE 1"</f>
        <v>THEATRE 1</v>
      </c>
      <c r="G3882" t="str">
        <f>"09-909"</f>
        <v>09-909</v>
      </c>
      <c r="H3882" t="str">
        <f>"B"</f>
        <v>B</v>
      </c>
    </row>
    <row r="3883" spans="1:8" x14ac:dyDescent="0.2">
      <c r="A3883" t="str">
        <f t="shared" si="1417"/>
        <v>0617030696</v>
      </c>
      <c r="B3883" t="str">
        <f t="shared" si="1418"/>
        <v>NICOLAS</v>
      </c>
      <c r="C3883" t="str">
        <f t="shared" si="1419"/>
        <v>CUFFE</v>
      </c>
      <c r="D3883" t="str">
        <f t="shared" si="1420"/>
        <v>09</v>
      </c>
      <c r="E3883" t="str">
        <f>"01 - A - 107 - Valerie J Ruwe"</f>
        <v>01 - A - 107 - Valerie J Ruwe</v>
      </c>
      <c r="F3883" t="str">
        <f>"CHEMISTRY 1 HON"</f>
        <v>CHEMISTRY 1 HON</v>
      </c>
      <c r="G3883" t="str">
        <f>"21-2134"</f>
        <v>21-2134</v>
      </c>
      <c r="H3883" t="str">
        <f>"A"</f>
        <v>A</v>
      </c>
    </row>
    <row r="3884" spans="1:8" x14ac:dyDescent="0.2">
      <c r="A3884" t="str">
        <f t="shared" si="1417"/>
        <v>0617030696</v>
      </c>
      <c r="B3884" t="str">
        <f t="shared" si="1418"/>
        <v>NICOLAS</v>
      </c>
      <c r="C3884" t="str">
        <f t="shared" si="1419"/>
        <v>CUFFE</v>
      </c>
      <c r="D3884" t="str">
        <f t="shared" si="1420"/>
        <v>09</v>
      </c>
      <c r="E3884" t="str">
        <f>"08 - B - 101 - Alejandro  Navarro"</f>
        <v>08 - B - 101 - Alejandro  Navarro</v>
      </c>
      <c r="F3884" t="str">
        <f>"GUITAR 1"</f>
        <v>GUITAR 1</v>
      </c>
      <c r="G3884" t="str">
        <f>"05-504"</f>
        <v>05-504</v>
      </c>
      <c r="H3884" t="str">
        <f>"B"</f>
        <v>B</v>
      </c>
    </row>
    <row r="3885" spans="1:8" x14ac:dyDescent="0.2">
      <c r="A3885" t="str">
        <f t="shared" ref="A3885:A3892" si="1421">"0616044069"</f>
        <v>0616044069</v>
      </c>
      <c r="B3885" t="str">
        <f t="shared" ref="B3885:B3892" si="1422">"TRISTAN"</f>
        <v>TRISTAN</v>
      </c>
      <c r="C3885" t="str">
        <f t="shared" ref="C3885:C3892" si="1423">"CULBERSON"</f>
        <v>CULBERSON</v>
      </c>
      <c r="D3885">
        <f>10</f>
        <v>10</v>
      </c>
      <c r="E3885" t="str">
        <f>"04 - A - 102 - Jordana K Hass"</f>
        <v>04 - A - 102 - Jordana K Hass</v>
      </c>
      <c r="F3885" t="str">
        <f>"CHEMISTRY 1"</f>
        <v>CHEMISTRY 1</v>
      </c>
      <c r="G3885" t="str">
        <f>"08-807"</f>
        <v>08-807</v>
      </c>
      <c r="H3885" t="str">
        <f>"A"</f>
        <v>A</v>
      </c>
    </row>
    <row r="3886" spans="1:8" x14ac:dyDescent="0.2">
      <c r="A3886" t="str">
        <f t="shared" si="1421"/>
        <v>0616044069</v>
      </c>
      <c r="B3886" t="str">
        <f t="shared" si="1422"/>
        <v>TRISTAN</v>
      </c>
      <c r="C3886" t="str">
        <f t="shared" si="1423"/>
        <v>CULBERSON</v>
      </c>
      <c r="D3886">
        <f>10</f>
        <v>10</v>
      </c>
      <c r="E3886" t="str">
        <f>"06 - B - 118 - Jeanne M Bermudez"</f>
        <v>06 - B - 118 - Jeanne M Bermudez</v>
      </c>
      <c r="F3886" t="str">
        <f>"NC STUDY HALL 1"</f>
        <v>NC STUDY HALL 1</v>
      </c>
      <c r="G3886" t="str">
        <f>"21-2141"</f>
        <v>21-2141</v>
      </c>
      <c r="H3886" t="str">
        <f>"B"</f>
        <v>B</v>
      </c>
    </row>
    <row r="3887" spans="1:8" x14ac:dyDescent="0.2">
      <c r="A3887" t="str">
        <f t="shared" si="1421"/>
        <v>0616044069</v>
      </c>
      <c r="B3887" t="str">
        <f t="shared" si="1422"/>
        <v>TRISTAN</v>
      </c>
      <c r="C3887" t="str">
        <f t="shared" si="1423"/>
        <v>CULBERSON</v>
      </c>
      <c r="D3887">
        <f>10</f>
        <v>10</v>
      </c>
      <c r="E3887" t="str">
        <f>"03 - A - 002 - Nikiel  Nesbeth"</f>
        <v>03 - A - 002 - Nikiel  Nesbeth</v>
      </c>
      <c r="F3887" t="str">
        <f>"PRE-AICE ENG LIT IG"</f>
        <v>PRE-AICE ENG LIT IG</v>
      </c>
      <c r="G3887" t="str">
        <f>"17-1705"</f>
        <v>17-1705</v>
      </c>
      <c r="H3887" t="str">
        <f>"A"</f>
        <v>A</v>
      </c>
    </row>
    <row r="3888" spans="1:8" x14ac:dyDescent="0.2">
      <c r="A3888" t="str">
        <f t="shared" si="1421"/>
        <v>0616044069</v>
      </c>
      <c r="B3888" t="str">
        <f t="shared" si="1422"/>
        <v>TRISTAN</v>
      </c>
      <c r="C3888" t="str">
        <f t="shared" si="1423"/>
        <v>CULBERSON</v>
      </c>
      <c r="D3888">
        <f>10</f>
        <v>10</v>
      </c>
      <c r="E3888" t="str">
        <f>"02 - A - 102 - Bruce A Evans"</f>
        <v>02 - A - 102 - Bruce A Evans</v>
      </c>
      <c r="F3888" t="str">
        <f>"EMERG MED RESP 3 HON"</f>
        <v>EMERG MED RESP 3 HON</v>
      </c>
      <c r="G3888" t="str">
        <f>"21-2142"</f>
        <v>21-2142</v>
      </c>
      <c r="H3888" t="str">
        <f>"A"</f>
        <v>A</v>
      </c>
    </row>
    <row r="3889" spans="1:8" x14ac:dyDescent="0.2">
      <c r="A3889" t="str">
        <f t="shared" si="1421"/>
        <v>0616044069</v>
      </c>
      <c r="B3889" t="str">
        <f t="shared" si="1422"/>
        <v>TRISTAN</v>
      </c>
      <c r="C3889" t="str">
        <f t="shared" si="1423"/>
        <v>CULBERSON</v>
      </c>
      <c r="D3889">
        <f>10</f>
        <v>10</v>
      </c>
      <c r="E3889" t="str">
        <f>"07 - S1 - B - 102 - Arthur  Kulawik"</f>
        <v>07 - S1 - B - 102 - Arthur  Kulawik</v>
      </c>
      <c r="F3889" t="str">
        <f>"PERS FIN &amp; MON MGT H"</f>
        <v>PERS FIN &amp; MON MGT H</v>
      </c>
      <c r="G3889" t="str">
        <f>"05-506"</f>
        <v>05-506</v>
      </c>
      <c r="H3889" t="str">
        <f>"B"</f>
        <v>B</v>
      </c>
    </row>
    <row r="3890" spans="1:8" x14ac:dyDescent="0.2">
      <c r="A3890" t="str">
        <f t="shared" si="1421"/>
        <v>0616044069</v>
      </c>
      <c r="B3890" t="str">
        <f t="shared" si="1422"/>
        <v>TRISTAN</v>
      </c>
      <c r="C3890" t="str">
        <f t="shared" si="1423"/>
        <v>CULBERSON</v>
      </c>
      <c r="D3890">
        <f>10</f>
        <v>10</v>
      </c>
      <c r="E3890" t="str">
        <f>"05 - B - 201 - Bruce A Evans"</f>
        <v>05 - B - 201 - Bruce A Evans</v>
      </c>
      <c r="F3890" t="str">
        <f>"HEALTH SCI FOUND HON"</f>
        <v>HEALTH SCI FOUND HON</v>
      </c>
      <c r="G3890" t="str">
        <f>"21-2142"</f>
        <v>21-2142</v>
      </c>
      <c r="H3890" t="str">
        <f>"B"</f>
        <v>B</v>
      </c>
    </row>
    <row r="3891" spans="1:8" x14ac:dyDescent="0.2">
      <c r="A3891" t="str">
        <f t="shared" si="1421"/>
        <v>0616044069</v>
      </c>
      <c r="B3891" t="str">
        <f t="shared" si="1422"/>
        <v>TRISTAN</v>
      </c>
      <c r="C3891" t="str">
        <f t="shared" si="1423"/>
        <v>CULBERSON</v>
      </c>
      <c r="D3891">
        <f>10</f>
        <v>10</v>
      </c>
      <c r="E3891" t="str">
        <f>"01 - A - 101 - Marius D Orsolini"</f>
        <v>01 - A - 101 - Marius D Orsolini</v>
      </c>
      <c r="F3891" t="str">
        <f>"CULINARY ARTS 1"</f>
        <v>CULINARY ARTS 1</v>
      </c>
      <c r="G3891" t="str">
        <f>"21-2115"</f>
        <v>21-2115</v>
      </c>
      <c r="H3891" t="str">
        <f>"A"</f>
        <v>A</v>
      </c>
    </row>
    <row r="3892" spans="1:8" x14ac:dyDescent="0.2">
      <c r="A3892" t="str">
        <f t="shared" si="1421"/>
        <v>0616044069</v>
      </c>
      <c r="B3892" t="str">
        <f t="shared" si="1422"/>
        <v>TRISTAN</v>
      </c>
      <c r="C3892" t="str">
        <f t="shared" si="1423"/>
        <v>CULBERSON</v>
      </c>
      <c r="D3892">
        <f>10</f>
        <v>10</v>
      </c>
      <c r="E3892" t="str">
        <f>"08 - B - 107 - Dayna M Foster"</f>
        <v>08 - B - 107 - Dayna M Foster</v>
      </c>
      <c r="F3892" t="str">
        <f>"ALGEBRA 2"</f>
        <v>ALGEBRA 2</v>
      </c>
      <c r="G3892" t="str">
        <f>"21-2109"</f>
        <v>21-2109</v>
      </c>
      <c r="H3892" t="str">
        <f>"B"</f>
        <v>B</v>
      </c>
    </row>
    <row r="3893" spans="1:8" x14ac:dyDescent="0.2">
      <c r="A3893" t="str">
        <f t="shared" ref="A3893:A3900" si="1424">"0614102211"</f>
        <v>0614102211</v>
      </c>
      <c r="B3893" t="str">
        <f t="shared" ref="B3893:B3900" si="1425">"JUSTIN"</f>
        <v>JUSTIN</v>
      </c>
      <c r="C3893" t="str">
        <f t="shared" ref="C3893:C3900" si="1426">"CULBERTSON"</f>
        <v>CULBERTSON</v>
      </c>
      <c r="D3893">
        <f>11</f>
        <v>11</v>
      </c>
      <c r="E3893" t="str">
        <f>"04 - A - 103 - Lisa  Quinn"</f>
        <v>04 - A - 103 - Lisa  Quinn</v>
      </c>
      <c r="F3893" t="str">
        <f>"ENG 3"</f>
        <v>ENG 3</v>
      </c>
      <c r="G3893" t="str">
        <f>"17-1725"</f>
        <v>17-1725</v>
      </c>
      <c r="H3893" t="str">
        <f>"A"</f>
        <v>A</v>
      </c>
    </row>
    <row r="3894" spans="1:8" x14ac:dyDescent="0.2">
      <c r="A3894" t="str">
        <f t="shared" si="1424"/>
        <v>0614102211</v>
      </c>
      <c r="B3894" t="str">
        <f t="shared" si="1425"/>
        <v>JUSTIN</v>
      </c>
      <c r="C3894" t="str">
        <f t="shared" si="1426"/>
        <v>CULBERTSON</v>
      </c>
      <c r="D3894">
        <f>11</f>
        <v>11</v>
      </c>
      <c r="E3894" t="str">
        <f>"06 - B - 103 - Helen A Flores"</f>
        <v>06 - B - 103 - Helen A Flores</v>
      </c>
      <c r="F3894" t="str">
        <f>"ALGEBRA 2"</f>
        <v>ALGEBRA 2</v>
      </c>
      <c r="G3894" t="str">
        <f>"21-2101"</f>
        <v>21-2101</v>
      </c>
      <c r="H3894" t="str">
        <f>"B"</f>
        <v>B</v>
      </c>
    </row>
    <row r="3895" spans="1:8" x14ac:dyDescent="0.2">
      <c r="A3895" t="str">
        <f t="shared" si="1424"/>
        <v>0614102211</v>
      </c>
      <c r="B3895" t="str">
        <f t="shared" si="1425"/>
        <v>JUSTIN</v>
      </c>
      <c r="C3895" t="str">
        <f t="shared" si="1426"/>
        <v>CULBERTSON</v>
      </c>
      <c r="D3895">
        <f>11</f>
        <v>11</v>
      </c>
      <c r="E3895" t="str">
        <f>"03 - A - 201 - Chrystina M Marchionne"</f>
        <v>03 - A - 201 - Chrystina M Marchionne</v>
      </c>
      <c r="F3895" t="str">
        <f>"JOURN 1 (YB) LH"</f>
        <v>JOURN 1 (YB) LH</v>
      </c>
      <c r="G3895" t="str">
        <f>"05-520"</f>
        <v>05-520</v>
      </c>
      <c r="H3895" t="str">
        <f>"A"</f>
        <v>A</v>
      </c>
    </row>
    <row r="3896" spans="1:8" x14ac:dyDescent="0.2">
      <c r="A3896" t="str">
        <f t="shared" si="1424"/>
        <v>0614102211</v>
      </c>
      <c r="B3896" t="str">
        <f t="shared" si="1425"/>
        <v>JUSTIN</v>
      </c>
      <c r="C3896" t="str">
        <f t="shared" si="1426"/>
        <v>CULBERTSON</v>
      </c>
      <c r="D3896">
        <f>11</f>
        <v>11</v>
      </c>
      <c r="E3896" t="str">
        <f>"02 - A - 109 - Daniel S Katz"</f>
        <v>02 - A - 109 - Daniel S Katz</v>
      </c>
      <c r="F3896" t="str">
        <f>"NC STUDY HALL 1"</f>
        <v>NC STUDY HALL 1</v>
      </c>
      <c r="G3896" t="str">
        <f>"21-2156"</f>
        <v>21-2156</v>
      </c>
      <c r="H3896" t="str">
        <f>"A"</f>
        <v>A</v>
      </c>
    </row>
    <row r="3897" spans="1:8" x14ac:dyDescent="0.2">
      <c r="A3897" t="str">
        <f t="shared" si="1424"/>
        <v>0614102211</v>
      </c>
      <c r="B3897" t="str">
        <f t="shared" si="1425"/>
        <v>JUSTIN</v>
      </c>
      <c r="C3897" t="str">
        <f t="shared" si="1426"/>
        <v>CULBERTSON</v>
      </c>
      <c r="D3897">
        <f>11</f>
        <v>11</v>
      </c>
      <c r="E3897" t="str">
        <f>"07 - B - 108 - Lauren N Logan"</f>
        <v>07 - B - 108 - Lauren N Logan</v>
      </c>
      <c r="F3897" t="str">
        <f>"US HISTORY"</f>
        <v>US HISTORY</v>
      </c>
      <c r="G3897" t="str">
        <f>"17-1745"</f>
        <v>17-1745</v>
      </c>
      <c r="H3897" t="str">
        <f>"B"</f>
        <v>B</v>
      </c>
    </row>
    <row r="3898" spans="1:8" x14ac:dyDescent="0.2">
      <c r="A3898" t="str">
        <f t="shared" si="1424"/>
        <v>0614102211</v>
      </c>
      <c r="B3898" t="str">
        <f t="shared" si="1425"/>
        <v>JUSTIN</v>
      </c>
      <c r="C3898" t="str">
        <f t="shared" si="1426"/>
        <v>CULBERTSON</v>
      </c>
      <c r="D3898">
        <f>11</f>
        <v>11</v>
      </c>
      <c r="E3898" t="str">
        <f>"05 - B - 104 - Joe  Kilpatrick Jr"</f>
        <v>05 - B - 104 - Joe  Kilpatrick Jr</v>
      </c>
      <c r="F3898" t="str">
        <f>"PRE-AICE SPAN 1 IG"</f>
        <v>PRE-AICE SPAN 1 IG</v>
      </c>
      <c r="G3898" t="str">
        <f>"09-912"</f>
        <v>09-912</v>
      </c>
      <c r="H3898" t="str">
        <f>"B"</f>
        <v>B</v>
      </c>
    </row>
    <row r="3899" spans="1:8" x14ac:dyDescent="0.2">
      <c r="A3899" t="str">
        <f t="shared" si="1424"/>
        <v>0614102211</v>
      </c>
      <c r="B3899" t="str">
        <f t="shared" si="1425"/>
        <v>JUSTIN</v>
      </c>
      <c r="C3899" t="str">
        <f t="shared" si="1426"/>
        <v>CULBERTSON</v>
      </c>
      <c r="D3899">
        <f>11</f>
        <v>11</v>
      </c>
      <c r="E3899" t="str">
        <f>"01 - A - 201 - Jeanne M Bermudez"</f>
        <v>01 - A - 201 - Jeanne M Bermudez</v>
      </c>
      <c r="F3899" t="str">
        <f>"PHYSICS 1 HON"</f>
        <v>PHYSICS 1 HON</v>
      </c>
      <c r="G3899" t="str">
        <f>"21-2141"</f>
        <v>21-2141</v>
      </c>
      <c r="H3899" t="str">
        <f>"A"</f>
        <v>A</v>
      </c>
    </row>
    <row r="3900" spans="1:8" x14ac:dyDescent="0.2">
      <c r="A3900" t="str">
        <f t="shared" si="1424"/>
        <v>0614102211</v>
      </c>
      <c r="B3900" t="str">
        <f t="shared" si="1425"/>
        <v>JUSTIN</v>
      </c>
      <c r="C3900" t="str">
        <f t="shared" si="1426"/>
        <v>CULBERTSON</v>
      </c>
      <c r="D3900">
        <f>11</f>
        <v>11</v>
      </c>
      <c r="E3900" t="str">
        <f>"08 - B - 105 - Daniel S Katz"</f>
        <v>08 - B - 105 - Daniel S Katz</v>
      </c>
      <c r="F3900" t="str">
        <f>"AICE MEDIA STUDIES A"</f>
        <v>AICE MEDIA STUDIES A</v>
      </c>
      <c r="G3900" t="str">
        <f>"05-521"</f>
        <v>05-521</v>
      </c>
      <c r="H3900" t="str">
        <f>"B"</f>
        <v>B</v>
      </c>
    </row>
    <row r="3901" spans="1:8" x14ac:dyDescent="0.2">
      <c r="A3901" t="str">
        <f t="shared" ref="A3901:A3908" si="1427">"0616026335"</f>
        <v>0616026335</v>
      </c>
      <c r="B3901" t="str">
        <f t="shared" ref="B3901:B3908" si="1428">"LUIZ"</f>
        <v>LUIZ</v>
      </c>
      <c r="C3901" t="str">
        <f t="shared" ref="C3901:C3908" si="1429">"CUNHA"</f>
        <v>CUNHA</v>
      </c>
      <c r="D3901">
        <f>11</f>
        <v>11</v>
      </c>
      <c r="E3901" t="str">
        <f>"04 - S1 - A - 101 - Nahum  Saint-Preux"</f>
        <v>04 - S1 - A - 101 - Nahum  Saint-Preux</v>
      </c>
      <c r="F3901" t="str">
        <f>"CRIT THINK ST SKLS"</f>
        <v>CRIT THINK ST SKLS</v>
      </c>
      <c r="G3901" t="str">
        <f>"17-1712"</f>
        <v>17-1712</v>
      </c>
      <c r="H3901" t="str">
        <f>"A"</f>
        <v>A</v>
      </c>
    </row>
    <row r="3902" spans="1:8" x14ac:dyDescent="0.2">
      <c r="A3902" t="str">
        <f t="shared" si="1427"/>
        <v>0616026335</v>
      </c>
      <c r="B3902" t="str">
        <f t="shared" si="1428"/>
        <v>LUIZ</v>
      </c>
      <c r="C3902" t="str">
        <f t="shared" si="1429"/>
        <v>CUNHA</v>
      </c>
      <c r="D3902">
        <f>11</f>
        <v>11</v>
      </c>
      <c r="E3902" t="str">
        <f>"06 - B - 105 - Arthur  Kulawik"</f>
        <v>06 - B - 105 - Arthur  Kulawik</v>
      </c>
      <c r="F3902" t="str">
        <f>"ENG 3"</f>
        <v>ENG 3</v>
      </c>
      <c r="G3902" t="str">
        <f>"05-506"</f>
        <v>05-506</v>
      </c>
      <c r="H3902" t="str">
        <f>"B"</f>
        <v>B</v>
      </c>
    </row>
    <row r="3903" spans="1:8" x14ac:dyDescent="0.2">
      <c r="A3903" t="str">
        <f t="shared" si="1427"/>
        <v>0616026335</v>
      </c>
      <c r="B3903" t="str">
        <f t="shared" si="1428"/>
        <v>LUIZ</v>
      </c>
      <c r="C3903" t="str">
        <f t="shared" si="1429"/>
        <v>CUNHA</v>
      </c>
      <c r="D3903">
        <f>11</f>
        <v>11</v>
      </c>
      <c r="E3903" t="str">
        <f>"03 - A - 103 - Jordana K Hass"</f>
        <v>03 - A - 103 - Jordana K Hass</v>
      </c>
      <c r="F3903" t="str">
        <f>"CHEMISTRY 1"</f>
        <v>CHEMISTRY 1</v>
      </c>
      <c r="G3903" t="str">
        <f>"08-807"</f>
        <v>08-807</v>
      </c>
      <c r="H3903" t="str">
        <f>"A"</f>
        <v>A</v>
      </c>
    </row>
    <row r="3904" spans="1:8" x14ac:dyDescent="0.2">
      <c r="A3904" t="str">
        <f t="shared" si="1427"/>
        <v>0616026335</v>
      </c>
      <c r="B3904" t="str">
        <f t="shared" si="1428"/>
        <v>LUIZ</v>
      </c>
      <c r="C3904" t="str">
        <f t="shared" si="1429"/>
        <v>CUNHA</v>
      </c>
      <c r="D3904">
        <f>11</f>
        <v>11</v>
      </c>
      <c r="E3904" t="str">
        <f>"02 - A - 001 - Courtney E Hambright"</f>
        <v>02 - A - 001 - Courtney E Hambright</v>
      </c>
      <c r="F3904" t="str">
        <f>"NC STUDY HALL 1"</f>
        <v>NC STUDY HALL 1</v>
      </c>
      <c r="G3904" t="str">
        <f>"17-1711"</f>
        <v>17-1711</v>
      </c>
      <c r="H3904" t="str">
        <f>"A"</f>
        <v>A</v>
      </c>
    </row>
    <row r="3905" spans="1:8" x14ac:dyDescent="0.2">
      <c r="A3905" t="str">
        <f t="shared" si="1427"/>
        <v>0616026335</v>
      </c>
      <c r="B3905" t="str">
        <f t="shared" si="1428"/>
        <v>LUIZ</v>
      </c>
      <c r="C3905" t="str">
        <f t="shared" si="1429"/>
        <v>CUNHA</v>
      </c>
      <c r="D3905">
        <f>11</f>
        <v>11</v>
      </c>
      <c r="E3905" t="str">
        <f>"07 - B - 106 - James H Mccann"</f>
        <v>07 - B - 106 - James H Mccann</v>
      </c>
      <c r="F3905" t="str">
        <f>"ALGEBRA 2"</f>
        <v>ALGEBRA 2</v>
      </c>
      <c r="G3905" t="str">
        <f>"17-1716"</f>
        <v>17-1716</v>
      </c>
      <c r="H3905" t="str">
        <f>"B"</f>
        <v>B</v>
      </c>
    </row>
    <row r="3906" spans="1:8" x14ac:dyDescent="0.2">
      <c r="A3906" t="str">
        <f t="shared" si="1427"/>
        <v>0616026335</v>
      </c>
      <c r="B3906" t="str">
        <f t="shared" si="1428"/>
        <v>LUIZ</v>
      </c>
      <c r="C3906" t="str">
        <f t="shared" si="1429"/>
        <v>CUNHA</v>
      </c>
      <c r="D3906">
        <f>11</f>
        <v>11</v>
      </c>
      <c r="E3906" t="str">
        <f>"05 - S1 - B - 102 - Richard E Dunbar Iii"</f>
        <v>05 - S1 - B - 102 - Richard E Dunbar Iii</v>
      </c>
      <c r="F3906" t="str">
        <f>"TEAM SPORTS 1"</f>
        <v>TEAM SPORTS 1</v>
      </c>
      <c r="G3906" t="str">
        <f>"04-254"</f>
        <v>04-254</v>
      </c>
      <c r="H3906" t="str">
        <f>"B"</f>
        <v>B</v>
      </c>
    </row>
    <row r="3907" spans="1:8" x14ac:dyDescent="0.2">
      <c r="A3907" t="str">
        <f t="shared" si="1427"/>
        <v>0616026335</v>
      </c>
      <c r="B3907" t="str">
        <f t="shared" si="1428"/>
        <v>LUIZ</v>
      </c>
      <c r="C3907" t="str">
        <f t="shared" si="1429"/>
        <v>CUNHA</v>
      </c>
      <c r="D3907">
        <f>11</f>
        <v>11</v>
      </c>
      <c r="E3907" t="str">
        <f>"01 - A - 101 - Kyle  Robbins"</f>
        <v>01 - A - 101 - Kyle  Robbins</v>
      </c>
      <c r="F3907" t="str">
        <f>"US HISTORY"</f>
        <v>US HISTORY</v>
      </c>
      <c r="G3907" t="str">
        <f>"17-1745"</f>
        <v>17-1745</v>
      </c>
      <c r="H3907" t="str">
        <f>"A"</f>
        <v>A</v>
      </c>
    </row>
    <row r="3908" spans="1:8" x14ac:dyDescent="0.2">
      <c r="A3908" t="str">
        <f t="shared" si="1427"/>
        <v>0616026335</v>
      </c>
      <c r="B3908" t="str">
        <f t="shared" si="1428"/>
        <v>LUIZ</v>
      </c>
      <c r="C3908" t="str">
        <f t="shared" si="1429"/>
        <v>CUNHA</v>
      </c>
      <c r="D3908">
        <f>11</f>
        <v>11</v>
      </c>
      <c r="E3908" t="str">
        <f>"08 - B - 103 - Joe  Kilpatrick Jr"</f>
        <v>08 - B - 103 - Joe  Kilpatrick Jr</v>
      </c>
      <c r="F3908" t="str">
        <f>"PRE-AICE SPAN 2 IG"</f>
        <v>PRE-AICE SPAN 2 IG</v>
      </c>
      <c r="G3908" t="str">
        <f>"09-912"</f>
        <v>09-912</v>
      </c>
      <c r="H3908" t="str">
        <f>"B"</f>
        <v>B</v>
      </c>
    </row>
    <row r="3909" spans="1:8" x14ac:dyDescent="0.2">
      <c r="A3909" t="str">
        <f t="shared" ref="A3909:A3916" si="1430">"0617036306"</f>
        <v>0617036306</v>
      </c>
      <c r="B3909" t="str">
        <f t="shared" ref="B3909:B3916" si="1431">"CAMERON"</f>
        <v>CAMERON</v>
      </c>
      <c r="C3909" t="str">
        <f t="shared" ref="C3909:C3924" si="1432">"CUNNINGHAM"</f>
        <v>CUNNINGHAM</v>
      </c>
      <c r="D3909" t="str">
        <f t="shared" ref="D3909:D3916" si="1433">"09"</f>
        <v>09</v>
      </c>
      <c r="E3909" t="str">
        <f>"04 - A - 104 - Adam Marcus  Drucker"</f>
        <v>04 - A - 104 - Adam Marcus  Drucker</v>
      </c>
      <c r="F3909" t="str">
        <f>"HOPE-PE V"</f>
        <v>HOPE-PE V</v>
      </c>
      <c r="G3909" t="str">
        <f>"04-254"</f>
        <v>04-254</v>
      </c>
      <c r="H3909" t="str">
        <f>"A"</f>
        <v>A</v>
      </c>
    </row>
    <row r="3910" spans="1:8" x14ac:dyDescent="0.2">
      <c r="A3910" t="str">
        <f t="shared" si="1430"/>
        <v>0617036306</v>
      </c>
      <c r="B3910" t="str">
        <f t="shared" si="1431"/>
        <v>CAMERON</v>
      </c>
      <c r="C3910" t="str">
        <f t="shared" si="1432"/>
        <v>CUNNINGHAM</v>
      </c>
      <c r="D3910" t="str">
        <f t="shared" si="1433"/>
        <v>09</v>
      </c>
      <c r="E3910" t="str">
        <f>"06 - B - 104 - Lytrell T Dixon"</f>
        <v>06 - B - 104 - Lytrell T Dixon</v>
      </c>
      <c r="F3910" t="str">
        <f>"PRE-AICE BIO IG"</f>
        <v>PRE-AICE BIO IG</v>
      </c>
      <c r="G3910" t="str">
        <f>"08-808"</f>
        <v>08-808</v>
      </c>
      <c r="H3910" t="str">
        <f>"B"</f>
        <v>B</v>
      </c>
    </row>
    <row r="3911" spans="1:8" x14ac:dyDescent="0.2">
      <c r="A3911" t="str">
        <f t="shared" si="1430"/>
        <v>0617036306</v>
      </c>
      <c r="B3911" t="str">
        <f t="shared" si="1431"/>
        <v>CAMERON</v>
      </c>
      <c r="C3911" t="str">
        <f t="shared" si="1432"/>
        <v>CUNNINGHAM</v>
      </c>
      <c r="D3911" t="str">
        <f t="shared" si="1433"/>
        <v>09</v>
      </c>
      <c r="E3911" t="str">
        <f>"03 - A - 101 - Eva T Rimmer"</f>
        <v>03 - A - 101 - Eva T Rimmer</v>
      </c>
      <c r="F3911" t="str">
        <f>"CRIMINAL JUST OPS 1"</f>
        <v>CRIMINAL JUST OPS 1</v>
      </c>
      <c r="G3911" t="str">
        <f>"05-523"</f>
        <v>05-523</v>
      </c>
      <c r="H3911" t="str">
        <f>"A"</f>
        <v>A</v>
      </c>
    </row>
    <row r="3912" spans="1:8" x14ac:dyDescent="0.2">
      <c r="A3912" t="str">
        <f t="shared" si="1430"/>
        <v>0617036306</v>
      </c>
      <c r="B3912" t="str">
        <f t="shared" si="1431"/>
        <v>CAMERON</v>
      </c>
      <c r="C3912" t="str">
        <f t="shared" si="1432"/>
        <v>CUNNINGHAM</v>
      </c>
      <c r="D3912" t="str">
        <f t="shared" si="1433"/>
        <v>09</v>
      </c>
      <c r="E3912" t="str">
        <f>"02 - A - 101 - Josiah I Lacy"</f>
        <v>02 - A - 101 - Josiah I Lacy</v>
      </c>
      <c r="F3912" t="str">
        <f>"NC STUDY HALL 1"</f>
        <v>NC STUDY HALL 1</v>
      </c>
      <c r="G3912" t="str">
        <f>"08-801"</f>
        <v>08-801</v>
      </c>
      <c r="H3912" t="str">
        <f>"A"</f>
        <v>A</v>
      </c>
    </row>
    <row r="3913" spans="1:8" x14ac:dyDescent="0.2">
      <c r="A3913" t="str">
        <f t="shared" si="1430"/>
        <v>0617036306</v>
      </c>
      <c r="B3913" t="str">
        <f t="shared" si="1431"/>
        <v>CAMERON</v>
      </c>
      <c r="C3913" t="str">
        <f t="shared" si="1432"/>
        <v>CUNNINGHAM</v>
      </c>
      <c r="D3913" t="str">
        <f t="shared" si="1433"/>
        <v>09</v>
      </c>
      <c r="E3913" t="str">
        <f>"07 - B - 107 - Brook E Goren"</f>
        <v>07 - B - 107 - Brook E Goren</v>
      </c>
      <c r="F3913" t="str">
        <f>"PRE-AICE MATH 2 IG"</f>
        <v>PRE-AICE MATH 2 IG</v>
      </c>
      <c r="G3913" t="str">
        <f>"21-2158"</f>
        <v>21-2158</v>
      </c>
      <c r="H3913" t="str">
        <f>"B"</f>
        <v>B</v>
      </c>
    </row>
    <row r="3914" spans="1:8" x14ac:dyDescent="0.2">
      <c r="A3914" t="str">
        <f t="shared" si="1430"/>
        <v>0617036306</v>
      </c>
      <c r="B3914" t="str">
        <f t="shared" si="1431"/>
        <v>CAMERON</v>
      </c>
      <c r="C3914" t="str">
        <f t="shared" si="1432"/>
        <v>CUNNINGHAM</v>
      </c>
      <c r="D3914" t="str">
        <f t="shared" si="1433"/>
        <v>09</v>
      </c>
      <c r="E3914" t="str">
        <f>"05 - B - 204 - Elizabeth R Walker"</f>
        <v>05 - B - 204 - Elizabeth R Walker</v>
      </c>
      <c r="F3914" t="str">
        <f>"AICE ENG GEN PAPER 1"</f>
        <v>AICE ENG GEN PAPER 1</v>
      </c>
      <c r="G3914" t="str">
        <f>"17-1703"</f>
        <v>17-1703</v>
      </c>
      <c r="H3914" t="str">
        <f>"B"</f>
        <v>B</v>
      </c>
    </row>
    <row r="3915" spans="1:8" x14ac:dyDescent="0.2">
      <c r="A3915" t="str">
        <f t="shared" si="1430"/>
        <v>0617036306</v>
      </c>
      <c r="B3915" t="str">
        <f t="shared" si="1431"/>
        <v>CAMERON</v>
      </c>
      <c r="C3915" t="str">
        <f t="shared" si="1432"/>
        <v>CUNNINGHAM</v>
      </c>
      <c r="D3915" t="str">
        <f t="shared" si="1433"/>
        <v>09</v>
      </c>
      <c r="E3915" t="str">
        <f>"01 - A - 101 - Marius D Orsolini"</f>
        <v>01 - A - 101 - Marius D Orsolini</v>
      </c>
      <c r="F3915" t="str">
        <f>"CULINARY ARTS 1"</f>
        <v>CULINARY ARTS 1</v>
      </c>
      <c r="G3915" t="str">
        <f>"21-2115"</f>
        <v>21-2115</v>
      </c>
      <c r="H3915" t="str">
        <f>"A"</f>
        <v>A</v>
      </c>
    </row>
    <row r="3916" spans="1:8" x14ac:dyDescent="0.2">
      <c r="A3916" t="str">
        <f t="shared" si="1430"/>
        <v>0617036306</v>
      </c>
      <c r="B3916" t="str">
        <f t="shared" si="1431"/>
        <v>CAMERON</v>
      </c>
      <c r="C3916" t="str">
        <f t="shared" si="1432"/>
        <v>CUNNINGHAM</v>
      </c>
      <c r="D3916" t="str">
        <f t="shared" si="1433"/>
        <v>09</v>
      </c>
      <c r="E3916" t="str">
        <f>"08 - B - 109 - Rory T Sponsler"</f>
        <v>08 - B - 109 - Rory T Sponsler</v>
      </c>
      <c r="F3916" t="str">
        <f>"PRE-AICE WRLD HST IG"</f>
        <v>PRE-AICE WRLD HST IG</v>
      </c>
      <c r="G3916" t="str">
        <f>"17-1740"</f>
        <v>17-1740</v>
      </c>
      <c r="H3916" t="str">
        <f>"B"</f>
        <v>B</v>
      </c>
    </row>
    <row r="3917" spans="1:8" x14ac:dyDescent="0.2">
      <c r="A3917" t="str">
        <f t="shared" ref="A3917:A3924" si="1434">"0615147027"</f>
        <v>0615147027</v>
      </c>
      <c r="B3917" t="str">
        <f t="shared" ref="B3917:B3924" si="1435">"GABRIELLE"</f>
        <v>GABRIELLE</v>
      </c>
      <c r="C3917" t="str">
        <f t="shared" si="1432"/>
        <v>CUNNINGHAM</v>
      </c>
      <c r="D3917">
        <f>12</f>
        <v>12</v>
      </c>
      <c r="E3917" t="str">
        <f>"04 - S1 - A - 105 - Robert O Burger"</f>
        <v>04 - S1 - A - 105 - Robert O Burger</v>
      </c>
      <c r="F3917" t="str">
        <f>"US GOVT"</f>
        <v>US GOVT</v>
      </c>
      <c r="G3917" t="str">
        <f>"17-1755"</f>
        <v>17-1755</v>
      </c>
      <c r="H3917" t="str">
        <f>"A"</f>
        <v>A</v>
      </c>
    </row>
    <row r="3918" spans="1:8" x14ac:dyDescent="0.2">
      <c r="A3918" t="str">
        <f t="shared" si="1434"/>
        <v>0615147027</v>
      </c>
      <c r="B3918" t="str">
        <f t="shared" si="1435"/>
        <v>GABRIELLE</v>
      </c>
      <c r="C3918" t="str">
        <f t="shared" si="1432"/>
        <v>CUNNINGHAM</v>
      </c>
      <c r="D3918">
        <f>12</f>
        <v>12</v>
      </c>
      <c r="E3918" t="str">
        <f>"06 - B - 101 - Cliffon  Saurel"</f>
        <v>06 - B - 101 - Cliffon  Saurel</v>
      </c>
      <c r="F3918" t="str">
        <f>"NC STUDY HALL 1"</f>
        <v>NC STUDY HALL 1</v>
      </c>
      <c r="G3918" t="str">
        <f>"05-522"</f>
        <v>05-522</v>
      </c>
      <c r="H3918" t="str">
        <f>"B"</f>
        <v>B</v>
      </c>
    </row>
    <row r="3919" spans="1:8" x14ac:dyDescent="0.2">
      <c r="A3919" t="str">
        <f t="shared" si="1434"/>
        <v>0615147027</v>
      </c>
      <c r="B3919" t="str">
        <f t="shared" si="1435"/>
        <v>GABRIELLE</v>
      </c>
      <c r="C3919" t="str">
        <f t="shared" si="1432"/>
        <v>CUNNINGHAM</v>
      </c>
      <c r="D3919">
        <f>12</f>
        <v>12</v>
      </c>
      <c r="E3919" t="str">
        <f>"03 - A - 101 - Tina L Lovett"</f>
        <v>03 - A - 101 - Tina L Lovett</v>
      </c>
      <c r="F3919" t="str">
        <f>"MATH DATA &amp; FIN LIT"</f>
        <v>MATH DATA &amp; FIN LIT</v>
      </c>
      <c r="G3919" t="str">
        <f>"21-2153"</f>
        <v>21-2153</v>
      </c>
      <c r="H3919" t="str">
        <f>"A"</f>
        <v>A</v>
      </c>
    </row>
    <row r="3920" spans="1:8" x14ac:dyDescent="0.2">
      <c r="A3920" t="str">
        <f t="shared" si="1434"/>
        <v>0615147027</v>
      </c>
      <c r="B3920" t="str">
        <f t="shared" si="1435"/>
        <v>GABRIELLE</v>
      </c>
      <c r="C3920" t="str">
        <f t="shared" si="1432"/>
        <v>CUNNINGHAM</v>
      </c>
      <c r="D3920">
        <f>12</f>
        <v>12</v>
      </c>
      <c r="E3920" t="str">
        <f>"02 - A - 103 - Dorothy D Moore"</f>
        <v>02 - A - 103 - Dorothy D Moore</v>
      </c>
      <c r="F3920" t="str">
        <f>"ANAT PHYSIO HON"</f>
        <v>ANAT PHYSIO HON</v>
      </c>
      <c r="G3920" t="str">
        <f>"08-803"</f>
        <v>08-803</v>
      </c>
      <c r="H3920" t="str">
        <f>"A"</f>
        <v>A</v>
      </c>
    </row>
    <row r="3921" spans="1:8" x14ac:dyDescent="0.2">
      <c r="A3921" t="str">
        <f t="shared" si="1434"/>
        <v>0615147027</v>
      </c>
      <c r="B3921" t="str">
        <f t="shared" si="1435"/>
        <v>GABRIELLE</v>
      </c>
      <c r="C3921" t="str">
        <f t="shared" si="1432"/>
        <v>CUNNINGHAM</v>
      </c>
      <c r="D3921">
        <f>12</f>
        <v>12</v>
      </c>
      <c r="E3921" t="str">
        <f>"07 - B - 101 - Alejandro  Navarro"</f>
        <v>07 - B - 101 - Alejandro  Navarro</v>
      </c>
      <c r="F3921" t="str">
        <f>"EURHY 4"</f>
        <v>EURHY 4</v>
      </c>
      <c r="G3921" t="str">
        <f>"05-504"</f>
        <v>05-504</v>
      </c>
      <c r="H3921" t="str">
        <f>"B"</f>
        <v>B</v>
      </c>
    </row>
    <row r="3922" spans="1:8" x14ac:dyDescent="0.2">
      <c r="A3922" t="str">
        <f t="shared" si="1434"/>
        <v>0615147027</v>
      </c>
      <c r="B3922" t="str">
        <f t="shared" si="1435"/>
        <v>GABRIELLE</v>
      </c>
      <c r="C3922" t="str">
        <f t="shared" si="1432"/>
        <v>CUNNINGHAM</v>
      </c>
      <c r="D3922">
        <f>12</f>
        <v>12</v>
      </c>
      <c r="E3922" t="str">
        <f>"05 - B - 102 - Robyn L Trainer"</f>
        <v>05 - B - 102 - Robyn L Trainer</v>
      </c>
      <c r="F3922" t="str">
        <f>"ENG 4"</f>
        <v>ENG 4</v>
      </c>
      <c r="G3922" t="str">
        <f>"17-1734"</f>
        <v>17-1734</v>
      </c>
      <c r="H3922" t="str">
        <f>"B"</f>
        <v>B</v>
      </c>
    </row>
    <row r="3923" spans="1:8" x14ac:dyDescent="0.2">
      <c r="A3923" t="str">
        <f t="shared" si="1434"/>
        <v>0615147027</v>
      </c>
      <c r="B3923" t="str">
        <f t="shared" si="1435"/>
        <v>GABRIELLE</v>
      </c>
      <c r="C3923" t="str">
        <f t="shared" si="1432"/>
        <v>CUNNINGHAM</v>
      </c>
      <c r="D3923">
        <f>12</f>
        <v>12</v>
      </c>
      <c r="E3923" t="str">
        <f>"01 - A - 101 - Nikiel  Nesbeth"</f>
        <v>01 - A - 101 - Nikiel  Nesbeth</v>
      </c>
      <c r="F3923" t="str">
        <f>"CONST LAW HON"</f>
        <v>CONST LAW HON</v>
      </c>
      <c r="G3923" t="str">
        <f>"17-1705"</f>
        <v>17-1705</v>
      </c>
      <c r="H3923" t="str">
        <f>"A"</f>
        <v>A</v>
      </c>
    </row>
    <row r="3924" spans="1:8" x14ac:dyDescent="0.2">
      <c r="A3924" t="str">
        <f t="shared" si="1434"/>
        <v>0615147027</v>
      </c>
      <c r="B3924" t="str">
        <f t="shared" si="1435"/>
        <v>GABRIELLE</v>
      </c>
      <c r="C3924" t="str">
        <f t="shared" si="1432"/>
        <v>CUNNINGHAM</v>
      </c>
      <c r="D3924">
        <f>12</f>
        <v>12</v>
      </c>
      <c r="E3924" t="str">
        <f>"08 - B - 108 - Adam Marcus  Drucker"</f>
        <v>08 - B - 108 - Adam Marcus  Drucker</v>
      </c>
      <c r="F3924" t="str">
        <f>"HOPE-PE V"</f>
        <v>HOPE-PE V</v>
      </c>
      <c r="G3924" t="str">
        <f>"04-254"</f>
        <v>04-254</v>
      </c>
      <c r="H3924" t="str">
        <f>"B"</f>
        <v>B</v>
      </c>
    </row>
    <row r="3925" spans="1:8" x14ac:dyDescent="0.2">
      <c r="A3925" t="str">
        <f t="shared" ref="A3925:A3932" si="1436">"0615007521"</f>
        <v>0615007521</v>
      </c>
      <c r="B3925" t="str">
        <f t="shared" ref="B3925:B3932" si="1437">"DEON"</f>
        <v>DEON</v>
      </c>
      <c r="C3925" t="str">
        <f t="shared" ref="C3925:C3932" si="1438">"CUNNINGHAM JR."</f>
        <v>CUNNINGHAM JR.</v>
      </c>
      <c r="D3925">
        <f>10</f>
        <v>10</v>
      </c>
      <c r="E3925" t="str">
        <f>"04 - A - 104 - Marius D Orsolini"</f>
        <v>04 - A - 104 - Marius D Orsolini</v>
      </c>
      <c r="F3925" t="str">
        <f>"CULINARY ARTS 1"</f>
        <v>CULINARY ARTS 1</v>
      </c>
      <c r="G3925" t="str">
        <f>"21-2115"</f>
        <v>21-2115</v>
      </c>
      <c r="H3925" t="str">
        <f>"A"</f>
        <v>A</v>
      </c>
    </row>
    <row r="3926" spans="1:8" x14ac:dyDescent="0.2">
      <c r="A3926" t="str">
        <f t="shared" si="1436"/>
        <v>0615007521</v>
      </c>
      <c r="B3926" t="str">
        <f t="shared" si="1437"/>
        <v>DEON</v>
      </c>
      <c r="C3926" t="str">
        <f t="shared" si="1438"/>
        <v>CUNNINGHAM JR.</v>
      </c>
      <c r="D3926">
        <f>10</f>
        <v>10</v>
      </c>
      <c r="E3926" t="str">
        <f>"06 - B - 110 - Jerry S Jiampetti"</f>
        <v>06 - B - 110 - Jerry S Jiampetti</v>
      </c>
      <c r="F3926" t="str">
        <f>"NC STUDY HALL 1"</f>
        <v>NC STUDY HALL 1</v>
      </c>
      <c r="G3926" t="str">
        <f>"17-1751"</f>
        <v>17-1751</v>
      </c>
      <c r="H3926" t="str">
        <f>"B"</f>
        <v>B</v>
      </c>
    </row>
    <row r="3927" spans="1:8" x14ac:dyDescent="0.2">
      <c r="A3927" t="str">
        <f t="shared" si="1436"/>
        <v>0615007521</v>
      </c>
      <c r="B3927" t="str">
        <f t="shared" si="1437"/>
        <v>DEON</v>
      </c>
      <c r="C3927" t="str">
        <f t="shared" si="1438"/>
        <v>CUNNINGHAM JR.</v>
      </c>
      <c r="D3927">
        <f>10</f>
        <v>10</v>
      </c>
      <c r="E3927" t="str">
        <f>"03 - A - 002 - Nikiel  Nesbeth"</f>
        <v>03 - A - 002 - Nikiel  Nesbeth</v>
      </c>
      <c r="F3927" t="str">
        <f>"PRE-AICE ENG LIT IG"</f>
        <v>PRE-AICE ENG LIT IG</v>
      </c>
      <c r="G3927" t="str">
        <f>"17-1705"</f>
        <v>17-1705</v>
      </c>
      <c r="H3927" t="str">
        <f>"A"</f>
        <v>A</v>
      </c>
    </row>
    <row r="3928" spans="1:8" x14ac:dyDescent="0.2">
      <c r="A3928" t="str">
        <f t="shared" si="1436"/>
        <v>0615007521</v>
      </c>
      <c r="B3928" t="str">
        <f t="shared" si="1437"/>
        <v>DEON</v>
      </c>
      <c r="C3928" t="str">
        <f t="shared" si="1438"/>
        <v>CUNNINGHAM JR.</v>
      </c>
      <c r="D3928">
        <f>10</f>
        <v>10</v>
      </c>
      <c r="E3928" t="str">
        <f>"02 - A - 201 - Jordana K Hass"</f>
        <v>02 - A - 201 - Jordana K Hass</v>
      </c>
      <c r="F3928" t="str">
        <f>"CHEMISTRY 1"</f>
        <v>CHEMISTRY 1</v>
      </c>
      <c r="G3928" t="str">
        <f>"08-807"</f>
        <v>08-807</v>
      </c>
      <c r="H3928" t="str">
        <f>"A"</f>
        <v>A</v>
      </c>
    </row>
    <row r="3929" spans="1:8" x14ac:dyDescent="0.2">
      <c r="A3929" t="str">
        <f t="shared" si="1436"/>
        <v>0615007521</v>
      </c>
      <c r="B3929" t="str">
        <f t="shared" si="1437"/>
        <v>DEON</v>
      </c>
      <c r="C3929" t="str">
        <f t="shared" si="1438"/>
        <v>CUNNINGHAM JR.</v>
      </c>
      <c r="D3929">
        <f>10</f>
        <v>10</v>
      </c>
      <c r="E3929" t="str">
        <f>"07 - B - 107 - Adam Marcus  Drucker"</f>
        <v>07 - B - 107 - Adam Marcus  Drucker</v>
      </c>
      <c r="F3929" t="str">
        <f>"HOPE-PE V"</f>
        <v>HOPE-PE V</v>
      </c>
      <c r="G3929" t="str">
        <f>"04-254"</f>
        <v>04-254</v>
      </c>
      <c r="H3929" t="str">
        <f>"B"</f>
        <v>B</v>
      </c>
    </row>
    <row r="3930" spans="1:8" x14ac:dyDescent="0.2">
      <c r="A3930" t="str">
        <f t="shared" si="1436"/>
        <v>0615007521</v>
      </c>
      <c r="B3930" t="str">
        <f t="shared" si="1437"/>
        <v>DEON</v>
      </c>
      <c r="C3930" t="str">
        <f t="shared" si="1438"/>
        <v>CUNNINGHAM JR.</v>
      </c>
      <c r="D3930">
        <f>10</f>
        <v>10</v>
      </c>
      <c r="E3930" t="str">
        <f>"05 - B - 205 - Rosa Elaine  Collado-Duff"</f>
        <v>05 - B - 205 - Rosa Elaine  Collado-Duff</v>
      </c>
      <c r="F3930" t="str">
        <f>"PRE-AICE SPAN 2 IG"</f>
        <v>PRE-AICE SPAN 2 IG</v>
      </c>
      <c r="G3930" t="str">
        <f>"09-913"</f>
        <v>09-913</v>
      </c>
      <c r="H3930" t="str">
        <f>"B"</f>
        <v>B</v>
      </c>
    </row>
    <row r="3931" spans="1:8" x14ac:dyDescent="0.2">
      <c r="A3931" t="str">
        <f t="shared" si="1436"/>
        <v>0615007521</v>
      </c>
      <c r="B3931" t="str">
        <f t="shared" si="1437"/>
        <v>DEON</v>
      </c>
      <c r="C3931" t="str">
        <f t="shared" si="1438"/>
        <v>CUNNINGHAM JR.</v>
      </c>
      <c r="D3931">
        <f>10</f>
        <v>10</v>
      </c>
      <c r="E3931" t="str">
        <f>"01 - A - 101 - Lourivaldo  Da Silva"</f>
        <v>01 - A - 101 - Lourivaldo  Da Silva</v>
      </c>
      <c r="F3931" t="str">
        <f>"ALGEBRA 2 HON"</f>
        <v>ALGEBRA 2 HON</v>
      </c>
      <c r="G3931" t="str">
        <f>"20-2079"</f>
        <v>20-2079</v>
      </c>
      <c r="H3931" t="str">
        <f>"A"</f>
        <v>A</v>
      </c>
    </row>
    <row r="3932" spans="1:8" x14ac:dyDescent="0.2">
      <c r="A3932" t="str">
        <f t="shared" si="1436"/>
        <v>0615007521</v>
      </c>
      <c r="B3932" t="str">
        <f t="shared" si="1437"/>
        <v>DEON</v>
      </c>
      <c r="C3932" t="str">
        <f t="shared" si="1438"/>
        <v>CUNNINGHAM JR.</v>
      </c>
      <c r="D3932">
        <f>10</f>
        <v>10</v>
      </c>
      <c r="E3932" t="str">
        <f>"08 - S1 - B - 102 - Kyle  Robbins"</f>
        <v>08 - S1 - B - 102 - Kyle  Robbins</v>
      </c>
      <c r="F3932" t="str">
        <f>"PERS FIN &amp; MON MGT H"</f>
        <v>PERS FIN &amp; MON MGT H</v>
      </c>
      <c r="G3932" t="str">
        <f>"17-1745"</f>
        <v>17-1745</v>
      </c>
      <c r="H3932" t="str">
        <f>"B"</f>
        <v>B</v>
      </c>
    </row>
    <row r="3933" spans="1:8" x14ac:dyDescent="0.2">
      <c r="A3933" t="str">
        <f t="shared" ref="A3933:A3940" si="1439">"0615011032"</f>
        <v>0615011032</v>
      </c>
      <c r="B3933" t="str">
        <f t="shared" ref="B3933:B3940" si="1440">"DANZYA"</f>
        <v>DANZYA</v>
      </c>
      <c r="C3933" t="str">
        <f t="shared" ref="C3933:C3940" si="1441">"CURRY"</f>
        <v>CURRY</v>
      </c>
      <c r="D3933">
        <f>11</f>
        <v>11</v>
      </c>
      <c r="E3933" t="str">
        <f>"04 - A - 101 - Stephen T Ripp"</f>
        <v>04 - A - 101 - Stephen T Ripp</v>
      </c>
      <c r="F3933" t="str">
        <f>"AP U.S. HIST"</f>
        <v>AP U.S. HIST</v>
      </c>
      <c r="G3933" t="str">
        <f>"17-1744"</f>
        <v>17-1744</v>
      </c>
      <c r="H3933" t="str">
        <f>"A"</f>
        <v>A</v>
      </c>
    </row>
    <row r="3934" spans="1:8" x14ac:dyDescent="0.2">
      <c r="A3934" t="str">
        <f t="shared" si="1439"/>
        <v>0615011032</v>
      </c>
      <c r="B3934" t="str">
        <f t="shared" si="1440"/>
        <v>DANZYA</v>
      </c>
      <c r="C3934" t="str">
        <f t="shared" si="1441"/>
        <v>CURRY</v>
      </c>
      <c r="D3934">
        <f>11</f>
        <v>11</v>
      </c>
      <c r="E3934" t="str">
        <f>"06 - B - 104 - Brandy N Zdenek"</f>
        <v>06 - B - 104 - Brandy N Zdenek</v>
      </c>
      <c r="F3934" t="str">
        <f>"AICE ENG LANG 2 AL"</f>
        <v>AICE ENG LANG 2 AL</v>
      </c>
      <c r="G3934" t="str">
        <f>"17-1704"</f>
        <v>17-1704</v>
      </c>
      <c r="H3934" t="str">
        <f>"B"</f>
        <v>B</v>
      </c>
    </row>
    <row r="3935" spans="1:8" x14ac:dyDescent="0.2">
      <c r="A3935" t="str">
        <f t="shared" si="1439"/>
        <v>0615011032</v>
      </c>
      <c r="B3935" t="str">
        <f t="shared" si="1440"/>
        <v>DANZYA</v>
      </c>
      <c r="C3935" t="str">
        <f t="shared" si="1441"/>
        <v>CURRY</v>
      </c>
      <c r="D3935">
        <f>11</f>
        <v>11</v>
      </c>
      <c r="E3935" t="str">
        <f>"03 - A - 101 - Jacqueline R Morphet"</f>
        <v>03 - A - 101 - Jacqueline R Morphet</v>
      </c>
      <c r="F3935" t="str">
        <f>"AP PHYSICS 1"</f>
        <v>AP PHYSICS 1</v>
      </c>
      <c r="G3935" t="str">
        <f>"21-2138"</f>
        <v>21-2138</v>
      </c>
      <c r="H3935" t="str">
        <f>"A"</f>
        <v>A</v>
      </c>
    </row>
    <row r="3936" spans="1:8" x14ac:dyDescent="0.2">
      <c r="A3936" t="str">
        <f t="shared" si="1439"/>
        <v>0615011032</v>
      </c>
      <c r="B3936" t="str">
        <f t="shared" si="1440"/>
        <v>DANZYA</v>
      </c>
      <c r="C3936" t="str">
        <f t="shared" si="1441"/>
        <v>CURRY</v>
      </c>
      <c r="D3936">
        <f>11</f>
        <v>11</v>
      </c>
      <c r="E3936" t="str">
        <f>"02 - A - 109 - Daniel S Katz"</f>
        <v>02 - A - 109 - Daniel S Katz</v>
      </c>
      <c r="F3936" t="str">
        <f>"NC STUDY HALL 1"</f>
        <v>NC STUDY HALL 1</v>
      </c>
      <c r="G3936" t="str">
        <f>"21-2156"</f>
        <v>21-2156</v>
      </c>
      <c r="H3936" t="str">
        <f>"A"</f>
        <v>A</v>
      </c>
    </row>
    <row r="3937" spans="1:8" x14ac:dyDescent="0.2">
      <c r="A3937" t="str">
        <f t="shared" si="1439"/>
        <v>0615011032</v>
      </c>
      <c r="B3937" t="str">
        <f t="shared" si="1440"/>
        <v>DANZYA</v>
      </c>
      <c r="C3937" t="str">
        <f t="shared" si="1441"/>
        <v>CURRY</v>
      </c>
      <c r="D3937">
        <f>11</f>
        <v>11</v>
      </c>
      <c r="E3937" t="str">
        <f>"07 - B - 102 - Pamela M Corzo"</f>
        <v>07 - B - 102 - Pamela M Corzo</v>
      </c>
      <c r="F3937" t="str">
        <f>"AP CALCULUS AB"</f>
        <v>AP CALCULUS AB</v>
      </c>
      <c r="G3937" t="str">
        <f>"21-2133"</f>
        <v>21-2133</v>
      </c>
      <c r="H3937" t="str">
        <f>"B"</f>
        <v>B</v>
      </c>
    </row>
    <row r="3938" spans="1:8" x14ac:dyDescent="0.2">
      <c r="A3938" t="str">
        <f t="shared" si="1439"/>
        <v>0615011032</v>
      </c>
      <c r="B3938" t="str">
        <f t="shared" si="1440"/>
        <v>DANZYA</v>
      </c>
      <c r="C3938" t="str">
        <f t="shared" si="1441"/>
        <v>CURRY</v>
      </c>
      <c r="D3938">
        <f>11</f>
        <v>11</v>
      </c>
      <c r="E3938" t="str">
        <f>"05 - B - 102 - Daniel S Katz"</f>
        <v>05 - B - 102 - Daniel S Katz</v>
      </c>
      <c r="F3938" t="str">
        <f>"EXEC INTERN 4 LH"</f>
        <v>EXEC INTERN 4 LH</v>
      </c>
      <c r="G3938" t="str">
        <f>"21-2156"</f>
        <v>21-2156</v>
      </c>
      <c r="H3938" t="str">
        <f>"B"</f>
        <v>B</v>
      </c>
    </row>
    <row r="3939" spans="1:8" x14ac:dyDescent="0.2">
      <c r="A3939" t="str">
        <f t="shared" si="1439"/>
        <v>0615011032</v>
      </c>
      <c r="B3939" t="str">
        <f t="shared" si="1440"/>
        <v>DANZYA</v>
      </c>
      <c r="C3939" t="str">
        <f t="shared" si="1441"/>
        <v>CURRY</v>
      </c>
      <c r="D3939">
        <f>11</f>
        <v>11</v>
      </c>
      <c r="E3939" t="str">
        <f>"01 - A - 101 - Lisa J London"</f>
        <v>01 - A - 101 - Lisa J London</v>
      </c>
      <c r="F3939" t="str">
        <f>"AP CAPSTONE SEMINAR"</f>
        <v>AP CAPSTONE SEMINAR</v>
      </c>
      <c r="G3939" t="str">
        <f>"17-1714"</f>
        <v>17-1714</v>
      </c>
      <c r="H3939" t="str">
        <f>"A"</f>
        <v>A</v>
      </c>
    </row>
    <row r="3940" spans="1:8" x14ac:dyDescent="0.2">
      <c r="A3940" t="str">
        <f t="shared" si="1439"/>
        <v>0615011032</v>
      </c>
      <c r="B3940" t="str">
        <f t="shared" si="1440"/>
        <v>DANZYA</v>
      </c>
      <c r="C3940" t="str">
        <f t="shared" si="1441"/>
        <v>CURRY</v>
      </c>
      <c r="D3940">
        <f>11</f>
        <v>11</v>
      </c>
      <c r="E3940" t="str">
        <f>"08 - B - 206 - Daniel S Katz"</f>
        <v>08 - B - 206 - Daniel S Katz</v>
      </c>
      <c r="F3940" t="str">
        <f>"AICE MEDIASTUDIES AS"</f>
        <v>AICE MEDIASTUDIES AS</v>
      </c>
      <c r="G3940" t="str">
        <f>"05-521"</f>
        <v>05-521</v>
      </c>
      <c r="H3940" t="str">
        <f>"B"</f>
        <v>B</v>
      </c>
    </row>
    <row r="3941" spans="1:8" x14ac:dyDescent="0.2">
      <c r="A3941" t="str">
        <f t="shared" ref="A3941:A3949" si="1442">"0612125896"</f>
        <v>0612125896</v>
      </c>
      <c r="B3941" t="str">
        <f t="shared" ref="B3941:B3949" si="1443">"HAILEY"</f>
        <v>HAILEY</v>
      </c>
      <c r="C3941" t="str">
        <f t="shared" ref="C3941:C3957" si="1444">"CURTIS"</f>
        <v>CURTIS</v>
      </c>
      <c r="D3941">
        <f>11</f>
        <v>11</v>
      </c>
      <c r="E3941" t="str">
        <f>"04 - A - 102 - Lisa J London"</f>
        <v>04 - A - 102 - Lisa J London</v>
      </c>
      <c r="F3941" t="str">
        <f>"AP CAPSTONE SEMINAR"</f>
        <v>AP CAPSTONE SEMINAR</v>
      </c>
      <c r="G3941" t="str">
        <f>"17-1714"</f>
        <v>17-1714</v>
      </c>
      <c r="H3941" t="str">
        <f>"A"</f>
        <v>A</v>
      </c>
    </row>
    <row r="3942" spans="1:8" x14ac:dyDescent="0.2">
      <c r="A3942" t="str">
        <f t="shared" si="1442"/>
        <v>0612125896</v>
      </c>
      <c r="B3942" t="str">
        <f t="shared" si="1443"/>
        <v>HAILEY</v>
      </c>
      <c r="C3942" t="str">
        <f t="shared" si="1444"/>
        <v>CURTIS</v>
      </c>
      <c r="D3942">
        <f>11</f>
        <v>11</v>
      </c>
      <c r="E3942" t="str">
        <f>"06 - B - 102 - Stephen T Ripp"</f>
        <v>06 - B - 102 - Stephen T Ripp</v>
      </c>
      <c r="F3942" t="str">
        <f>"AP U.S. HIST"</f>
        <v>AP U.S. HIST</v>
      </c>
      <c r="G3942" t="str">
        <f>"17-1744"</f>
        <v>17-1744</v>
      </c>
      <c r="H3942" t="str">
        <f>"B"</f>
        <v>B</v>
      </c>
    </row>
    <row r="3943" spans="1:8" x14ac:dyDescent="0.2">
      <c r="A3943" t="str">
        <f t="shared" si="1442"/>
        <v>0612125896</v>
      </c>
      <c r="B3943" t="str">
        <f t="shared" si="1443"/>
        <v>HAILEY</v>
      </c>
      <c r="C3943" t="str">
        <f t="shared" si="1444"/>
        <v>CURTIS</v>
      </c>
      <c r="D3943">
        <f>11</f>
        <v>11</v>
      </c>
      <c r="E3943" t="str">
        <f>"06 - B - 116 - Karen A Toomer"</f>
        <v>06 - B - 116 - Karen A Toomer</v>
      </c>
      <c r="F3943" t="str">
        <f>"SPEECH THRPY"</f>
        <v>SPEECH THRPY</v>
      </c>
      <c r="G3943" t="str">
        <f>"21-2110"</f>
        <v>21-2110</v>
      </c>
      <c r="H3943" t="str">
        <f>"B"</f>
        <v>B</v>
      </c>
    </row>
    <row r="3944" spans="1:8" x14ac:dyDescent="0.2">
      <c r="A3944" t="str">
        <f t="shared" si="1442"/>
        <v>0612125896</v>
      </c>
      <c r="B3944" t="str">
        <f t="shared" si="1443"/>
        <v>HAILEY</v>
      </c>
      <c r="C3944" t="str">
        <f t="shared" si="1444"/>
        <v>CURTIS</v>
      </c>
      <c r="D3944">
        <f>11</f>
        <v>11</v>
      </c>
      <c r="E3944" t="str">
        <f>"03 - A - 104 - Brook E Goren"</f>
        <v>03 - A - 104 - Brook E Goren</v>
      </c>
      <c r="F3944" t="str">
        <f>"ALGEBRA 2 HON"</f>
        <v>ALGEBRA 2 HON</v>
      </c>
      <c r="G3944" t="str">
        <f>"21-2158"</f>
        <v>21-2158</v>
      </c>
      <c r="H3944" t="str">
        <f>"A"</f>
        <v>A</v>
      </c>
    </row>
    <row r="3945" spans="1:8" x14ac:dyDescent="0.2">
      <c r="A3945" t="str">
        <f t="shared" si="1442"/>
        <v>0612125896</v>
      </c>
      <c r="B3945" t="str">
        <f t="shared" si="1443"/>
        <v>HAILEY</v>
      </c>
      <c r="C3945" t="str">
        <f t="shared" si="1444"/>
        <v>CURTIS</v>
      </c>
      <c r="D3945">
        <f>11</f>
        <v>11</v>
      </c>
      <c r="E3945" t="str">
        <f>"02 - A - 108 - Stephen T Ripp"</f>
        <v>02 - A - 108 - Stephen T Ripp</v>
      </c>
      <c r="F3945" t="str">
        <f>"NC STUDY HALL 1"</f>
        <v>NC STUDY HALL 1</v>
      </c>
      <c r="G3945" t="str">
        <f>"17-1744"</f>
        <v>17-1744</v>
      </c>
      <c r="H3945" t="str">
        <f>"A"</f>
        <v>A</v>
      </c>
    </row>
    <row r="3946" spans="1:8" x14ac:dyDescent="0.2">
      <c r="A3946" t="str">
        <f t="shared" si="1442"/>
        <v>0612125896</v>
      </c>
      <c r="B3946" t="str">
        <f t="shared" si="1443"/>
        <v>HAILEY</v>
      </c>
      <c r="C3946" t="str">
        <f t="shared" si="1444"/>
        <v>CURTIS</v>
      </c>
      <c r="D3946">
        <f>11</f>
        <v>11</v>
      </c>
      <c r="E3946" t="str">
        <f>"07 - B - 101 - Bruce A Evans"</f>
        <v>07 - B - 101 - Bruce A Evans</v>
      </c>
      <c r="F3946" t="str">
        <f>"FIREFIGHTING 1 LH"</f>
        <v>FIREFIGHTING 1 LH</v>
      </c>
      <c r="G3946" t="str">
        <f>"21-2142"</f>
        <v>21-2142</v>
      </c>
      <c r="H3946" t="str">
        <f>"B"</f>
        <v>B</v>
      </c>
    </row>
    <row r="3947" spans="1:8" x14ac:dyDescent="0.2">
      <c r="A3947" t="str">
        <f t="shared" si="1442"/>
        <v>0612125896</v>
      </c>
      <c r="B3947" t="str">
        <f t="shared" si="1443"/>
        <v>HAILEY</v>
      </c>
      <c r="C3947" t="str">
        <f t="shared" si="1444"/>
        <v>CURTIS</v>
      </c>
      <c r="D3947">
        <f>11</f>
        <v>11</v>
      </c>
      <c r="E3947" t="str">
        <f>"05 - B - 102 - Jacklyn M James"</f>
        <v>05 - B - 102 - Jacklyn M James</v>
      </c>
      <c r="F3947" t="str">
        <f>"AICE ENG LANG AS"</f>
        <v>AICE ENG LANG AS</v>
      </c>
      <c r="G3947" t="str">
        <f>"17-1731"</f>
        <v>17-1731</v>
      </c>
      <c r="H3947" t="str">
        <f>"B"</f>
        <v>B</v>
      </c>
    </row>
    <row r="3948" spans="1:8" x14ac:dyDescent="0.2">
      <c r="A3948" t="str">
        <f t="shared" si="1442"/>
        <v>0612125896</v>
      </c>
      <c r="B3948" t="str">
        <f t="shared" si="1443"/>
        <v>HAILEY</v>
      </c>
      <c r="C3948" t="str">
        <f t="shared" si="1444"/>
        <v>CURTIS</v>
      </c>
      <c r="D3948">
        <f>11</f>
        <v>11</v>
      </c>
      <c r="E3948" t="str">
        <f>"01 - S1 - A - 101 - Bruce A Evans"</f>
        <v>01 - S1 - A - 101 - Bruce A Evans</v>
      </c>
      <c r="F3948" t="str">
        <f>"ELECTROCARD TECH 3HN"</f>
        <v>ELECTROCARD TECH 3HN</v>
      </c>
      <c r="G3948" t="str">
        <f>"21-2142"</f>
        <v>21-2142</v>
      </c>
      <c r="H3948" t="str">
        <f>"A"</f>
        <v>A</v>
      </c>
    </row>
    <row r="3949" spans="1:8" x14ac:dyDescent="0.2">
      <c r="A3949" t="str">
        <f t="shared" si="1442"/>
        <v>0612125896</v>
      </c>
      <c r="B3949" t="str">
        <f t="shared" si="1443"/>
        <v>HAILEY</v>
      </c>
      <c r="C3949" t="str">
        <f t="shared" si="1444"/>
        <v>CURTIS</v>
      </c>
      <c r="D3949">
        <f>11</f>
        <v>11</v>
      </c>
      <c r="E3949" t="str">
        <f>"08 - B - 103 - Marielle A Witting"</f>
        <v>08 - B - 103 - Marielle A Witting</v>
      </c>
      <c r="F3949" t="str">
        <f>"AP BIO"</f>
        <v>AP BIO</v>
      </c>
      <c r="G3949" t="str">
        <f>"08-805"</f>
        <v>08-805</v>
      </c>
      <c r="H3949" t="str">
        <f>"B"</f>
        <v>B</v>
      </c>
    </row>
    <row r="3950" spans="1:8" x14ac:dyDescent="0.2">
      <c r="A3950" t="str">
        <f t="shared" ref="A3950:A3957" si="1445">"0613134573"</f>
        <v>0613134573</v>
      </c>
      <c r="B3950" t="str">
        <f t="shared" ref="B3950:B3957" si="1446">"JULIAN"</f>
        <v>JULIAN</v>
      </c>
      <c r="C3950" t="str">
        <f t="shared" si="1444"/>
        <v>CURTIS</v>
      </c>
      <c r="D3950">
        <f>10</f>
        <v>10</v>
      </c>
      <c r="E3950" t="str">
        <f>"04 - S1 - A - 101 - Leslie J Barton"</f>
        <v>04 - S1 - A - 101 - Leslie J Barton</v>
      </c>
      <c r="F3950" t="str">
        <f>"TEAM SPORTS 1"</f>
        <v>TEAM SPORTS 1</v>
      </c>
      <c r="G3950" t="str">
        <f>"04-254"</f>
        <v>04-254</v>
      </c>
      <c r="H3950" t="str">
        <f>"A"</f>
        <v>A</v>
      </c>
    </row>
    <row r="3951" spans="1:8" x14ac:dyDescent="0.2">
      <c r="A3951" t="str">
        <f t="shared" si="1445"/>
        <v>0613134573</v>
      </c>
      <c r="B3951" t="str">
        <f t="shared" si="1446"/>
        <v>JULIAN</v>
      </c>
      <c r="C3951" t="str">
        <f t="shared" si="1444"/>
        <v>CURTIS</v>
      </c>
      <c r="D3951">
        <f>10</f>
        <v>10</v>
      </c>
      <c r="E3951" t="str">
        <f>"06 - B - 108 - Jacklyn M James"</f>
        <v>06 - B - 108 - Jacklyn M James</v>
      </c>
      <c r="F3951" t="str">
        <f>"NC STUDY HALL 1"</f>
        <v>NC STUDY HALL 1</v>
      </c>
      <c r="G3951" t="str">
        <f>"17-1731"</f>
        <v>17-1731</v>
      </c>
      <c r="H3951" t="str">
        <f>"B"</f>
        <v>B</v>
      </c>
    </row>
    <row r="3952" spans="1:8" x14ac:dyDescent="0.2">
      <c r="A3952" t="str">
        <f t="shared" si="1445"/>
        <v>0613134573</v>
      </c>
      <c r="B3952" t="str">
        <f t="shared" si="1446"/>
        <v>JULIAN</v>
      </c>
      <c r="C3952" t="str">
        <f t="shared" si="1444"/>
        <v>CURTIS</v>
      </c>
      <c r="D3952">
        <f>10</f>
        <v>10</v>
      </c>
      <c r="E3952" t="str">
        <f>"03 - A - 002 - Lenecy  Nodarse"</f>
        <v>03 - A - 002 - Lenecy  Nodarse</v>
      </c>
      <c r="F3952" t="str">
        <f>"AICE EURO HIST 1 AS"</f>
        <v>AICE EURO HIST 1 AS</v>
      </c>
      <c r="G3952" t="str">
        <f>"17-1741"</f>
        <v>17-1741</v>
      </c>
      <c r="H3952" t="str">
        <f>"A"</f>
        <v>A</v>
      </c>
    </row>
    <row r="3953" spans="1:8" x14ac:dyDescent="0.2">
      <c r="A3953" t="str">
        <f t="shared" si="1445"/>
        <v>0613134573</v>
      </c>
      <c r="B3953" t="str">
        <f t="shared" si="1446"/>
        <v>JULIAN</v>
      </c>
      <c r="C3953" t="str">
        <f t="shared" si="1444"/>
        <v>CURTIS</v>
      </c>
      <c r="D3953">
        <f>10</f>
        <v>10</v>
      </c>
      <c r="E3953" t="str">
        <f>"02 - A - 102 - Jacklyn M James"</f>
        <v>02 - A - 102 - Jacklyn M James</v>
      </c>
      <c r="F3953" t="str">
        <f>"AICE ENG LANG AS"</f>
        <v>AICE ENG LANG AS</v>
      </c>
      <c r="G3953" t="str">
        <f>"17-1731"</f>
        <v>17-1731</v>
      </c>
      <c r="H3953" t="str">
        <f>"A"</f>
        <v>A</v>
      </c>
    </row>
    <row r="3954" spans="1:8" x14ac:dyDescent="0.2">
      <c r="A3954" t="str">
        <f t="shared" si="1445"/>
        <v>0613134573</v>
      </c>
      <c r="B3954" t="str">
        <f t="shared" si="1446"/>
        <v>JULIAN</v>
      </c>
      <c r="C3954" t="str">
        <f t="shared" si="1444"/>
        <v>CURTIS</v>
      </c>
      <c r="D3954">
        <f>10</f>
        <v>10</v>
      </c>
      <c r="E3954" t="str">
        <f>"07 - B - 102 - Lourivaldo  Da Silva"</f>
        <v>07 - B - 102 - Lourivaldo  Da Silva</v>
      </c>
      <c r="F3954" t="str">
        <f>"ALGEBRA 2 HON"</f>
        <v>ALGEBRA 2 HON</v>
      </c>
      <c r="G3954" t="str">
        <f>"20-2079"</f>
        <v>20-2079</v>
      </c>
      <c r="H3954" t="str">
        <f>"B"</f>
        <v>B</v>
      </c>
    </row>
    <row r="3955" spans="1:8" x14ac:dyDescent="0.2">
      <c r="A3955" t="str">
        <f t="shared" si="1445"/>
        <v>0613134573</v>
      </c>
      <c r="B3955" t="str">
        <f t="shared" si="1446"/>
        <v>JULIAN</v>
      </c>
      <c r="C3955" t="str">
        <f t="shared" si="1444"/>
        <v>CURTIS</v>
      </c>
      <c r="D3955">
        <f>10</f>
        <v>10</v>
      </c>
      <c r="E3955" t="str">
        <f>"05 - B - 108 - Valerie J Ruwe"</f>
        <v>05 - B - 108 - Valerie J Ruwe</v>
      </c>
      <c r="F3955" t="str">
        <f>"CHEMISTRY 1 HON"</f>
        <v>CHEMISTRY 1 HON</v>
      </c>
      <c r="G3955" t="str">
        <f>"21-2138"</f>
        <v>21-2138</v>
      </c>
      <c r="H3955" t="str">
        <f>"B"</f>
        <v>B</v>
      </c>
    </row>
    <row r="3956" spans="1:8" x14ac:dyDescent="0.2">
      <c r="A3956" t="str">
        <f t="shared" si="1445"/>
        <v>0613134573</v>
      </c>
      <c r="B3956" t="str">
        <f t="shared" si="1446"/>
        <v>JULIAN</v>
      </c>
      <c r="C3956" t="str">
        <f t="shared" si="1444"/>
        <v>CURTIS</v>
      </c>
      <c r="D3956">
        <f>10</f>
        <v>10</v>
      </c>
      <c r="E3956" t="str">
        <f>"01 - A - 201 - Chrystina M Marchionne"</f>
        <v>01 - A - 201 - Chrystina M Marchionne</v>
      </c>
      <c r="F3956" t="str">
        <f>"AICE MEDIASTUDIES AS"</f>
        <v>AICE MEDIASTUDIES AS</v>
      </c>
      <c r="G3956" t="str">
        <f>"05-520"</f>
        <v>05-520</v>
      </c>
      <c r="H3956" t="str">
        <f>"A"</f>
        <v>A</v>
      </c>
    </row>
    <row r="3957" spans="1:8" x14ac:dyDescent="0.2">
      <c r="A3957" t="str">
        <f t="shared" si="1445"/>
        <v>0613134573</v>
      </c>
      <c r="B3957" t="str">
        <f t="shared" si="1446"/>
        <v>JULIAN</v>
      </c>
      <c r="C3957" t="str">
        <f t="shared" si="1444"/>
        <v>CURTIS</v>
      </c>
      <c r="D3957">
        <f>10</f>
        <v>10</v>
      </c>
      <c r="E3957" t="str">
        <f>"08 - B - 103 - Joe  Kilpatrick Jr"</f>
        <v>08 - B - 103 - Joe  Kilpatrick Jr</v>
      </c>
      <c r="F3957" t="str">
        <f>"PRE-AICE SPAN 2 IG"</f>
        <v>PRE-AICE SPAN 2 IG</v>
      </c>
      <c r="G3957" t="str">
        <f>"09-912"</f>
        <v>09-912</v>
      </c>
      <c r="H3957" t="str">
        <f>"B"</f>
        <v>B</v>
      </c>
    </row>
    <row r="3958" spans="1:8" x14ac:dyDescent="0.2">
      <c r="A3958" t="str">
        <f t="shared" ref="A3958:A3965" si="1447">"0616017694"</f>
        <v>0616017694</v>
      </c>
      <c r="B3958" t="str">
        <f t="shared" ref="B3958:B3965" si="1448">"BYRISH"</f>
        <v>BYRISH</v>
      </c>
      <c r="C3958" t="str">
        <f t="shared" ref="C3958:C3965" si="1449">"CUTTER"</f>
        <v>CUTTER</v>
      </c>
      <c r="D3958" t="str">
        <f t="shared" ref="D3958:D3973" si="1450">"09"</f>
        <v>09</v>
      </c>
      <c r="E3958" t="str">
        <f>"04 - A - 103 - Cerine S Stewart"</f>
        <v>04 - A - 103 - Cerine S Stewart</v>
      </c>
      <c r="F3958" t="str">
        <f>"ENG 1"</f>
        <v>ENG 1</v>
      </c>
      <c r="G3958" t="str">
        <f>"17-1720"</f>
        <v>17-1720</v>
      </c>
      <c r="H3958" t="str">
        <f>"A"</f>
        <v>A</v>
      </c>
    </row>
    <row r="3959" spans="1:8" x14ac:dyDescent="0.2">
      <c r="A3959" t="str">
        <f t="shared" si="1447"/>
        <v>0616017694</v>
      </c>
      <c r="B3959" t="str">
        <f t="shared" si="1448"/>
        <v>BYRISH</v>
      </c>
      <c r="C3959" t="str">
        <f t="shared" si="1449"/>
        <v>CUTTER</v>
      </c>
      <c r="D3959" t="str">
        <f t="shared" si="1450"/>
        <v>09</v>
      </c>
      <c r="E3959" t="str">
        <f>"06 - B - 105 - Dayna M Foster"</f>
        <v>06 - B - 105 - Dayna M Foster</v>
      </c>
      <c r="F3959" t="str">
        <f>"ALGEBRA 1"</f>
        <v>ALGEBRA 1</v>
      </c>
      <c r="G3959" t="str">
        <f>"21-2109"</f>
        <v>21-2109</v>
      </c>
      <c r="H3959" t="str">
        <f>"B"</f>
        <v>B</v>
      </c>
    </row>
    <row r="3960" spans="1:8" x14ac:dyDescent="0.2">
      <c r="A3960" t="str">
        <f t="shared" si="1447"/>
        <v>0616017694</v>
      </c>
      <c r="B3960" t="str">
        <f t="shared" si="1448"/>
        <v>BYRISH</v>
      </c>
      <c r="C3960" t="str">
        <f t="shared" si="1449"/>
        <v>CUTTER</v>
      </c>
      <c r="D3960" t="str">
        <f t="shared" si="1450"/>
        <v>09</v>
      </c>
      <c r="E3960" t="str">
        <f>"03 - A - 101 - Dayna M Foster"</f>
        <v>03 - A - 101 - Dayna M Foster</v>
      </c>
      <c r="F3960" t="str">
        <f>"FDN SKLS MATH 9-12"</f>
        <v>FDN SKLS MATH 9-12</v>
      </c>
      <c r="G3960" t="str">
        <f>"21-2109"</f>
        <v>21-2109</v>
      </c>
      <c r="H3960" t="str">
        <f>"A"</f>
        <v>A</v>
      </c>
    </row>
    <row r="3961" spans="1:8" x14ac:dyDescent="0.2">
      <c r="A3961" t="str">
        <f t="shared" si="1447"/>
        <v>0616017694</v>
      </c>
      <c r="B3961" t="str">
        <f t="shared" si="1448"/>
        <v>BYRISH</v>
      </c>
      <c r="C3961" t="str">
        <f t="shared" si="1449"/>
        <v>CUTTER</v>
      </c>
      <c r="D3961" t="str">
        <f t="shared" si="1450"/>
        <v>09</v>
      </c>
      <c r="E3961" t="str">
        <f>"02 - A - 101 - Milca  Exantus"</f>
        <v>02 - A - 101 - Milca  Exantus</v>
      </c>
      <c r="F3961" t="str">
        <f>"NC STUDY HALL 1"</f>
        <v>NC STUDY HALL 1</v>
      </c>
      <c r="G3961" t="str">
        <f>"21-2145"</f>
        <v>21-2145</v>
      </c>
      <c r="H3961" t="str">
        <f>"A"</f>
        <v>A</v>
      </c>
    </row>
    <row r="3962" spans="1:8" x14ac:dyDescent="0.2">
      <c r="A3962" t="str">
        <f t="shared" si="1447"/>
        <v>0616017694</v>
      </c>
      <c r="B3962" t="str">
        <f t="shared" si="1448"/>
        <v>BYRISH</v>
      </c>
      <c r="C3962" t="str">
        <f t="shared" si="1449"/>
        <v>CUTTER</v>
      </c>
      <c r="D3962" t="str">
        <f t="shared" si="1450"/>
        <v>09</v>
      </c>
      <c r="E3962" t="str">
        <f>"07 - B - 107 - Adam Marcus  Drucker"</f>
        <v>07 - B - 107 - Adam Marcus  Drucker</v>
      </c>
      <c r="F3962" t="str">
        <f>"HOPE-PE V"</f>
        <v>HOPE-PE V</v>
      </c>
      <c r="G3962" t="str">
        <f>"04-254"</f>
        <v>04-254</v>
      </c>
      <c r="H3962" t="str">
        <f>"B"</f>
        <v>B</v>
      </c>
    </row>
    <row r="3963" spans="1:8" x14ac:dyDescent="0.2">
      <c r="A3963" t="str">
        <f t="shared" si="1447"/>
        <v>0616017694</v>
      </c>
      <c r="B3963" t="str">
        <f t="shared" si="1448"/>
        <v>BYRISH</v>
      </c>
      <c r="C3963" t="str">
        <f t="shared" si="1449"/>
        <v>CUTTER</v>
      </c>
      <c r="D3963" t="str">
        <f t="shared" si="1450"/>
        <v>09</v>
      </c>
      <c r="E3963" t="str">
        <f>"05 - B - 202 - Amy Beth  Broyles"</f>
        <v>05 - B - 202 - Amy Beth  Broyles</v>
      </c>
      <c r="F3963" t="str">
        <f>"ENV SCI"</f>
        <v>ENV SCI</v>
      </c>
      <c r="G3963" t="str">
        <f>"08-802"</f>
        <v>08-802</v>
      </c>
      <c r="H3963" t="str">
        <f>"B"</f>
        <v>B</v>
      </c>
    </row>
    <row r="3964" spans="1:8" x14ac:dyDescent="0.2">
      <c r="A3964" t="str">
        <f t="shared" si="1447"/>
        <v>0616017694</v>
      </c>
      <c r="B3964" t="str">
        <f t="shared" si="1448"/>
        <v>BYRISH</v>
      </c>
      <c r="C3964" t="str">
        <f t="shared" si="1449"/>
        <v>CUTTER</v>
      </c>
      <c r="D3964" t="str">
        <f t="shared" si="1450"/>
        <v>09</v>
      </c>
      <c r="E3964" t="str">
        <f>"01 - A - 107 - Jazmin S Fletcher"</f>
        <v>01 - A - 107 - Jazmin S Fletcher</v>
      </c>
      <c r="F3964" t="str">
        <f>"WORLD HISTORY"</f>
        <v>WORLD HISTORY</v>
      </c>
      <c r="G3964" t="str">
        <f>"09-909"</f>
        <v>09-909</v>
      </c>
      <c r="H3964" t="str">
        <f>"A"</f>
        <v>A</v>
      </c>
    </row>
    <row r="3965" spans="1:8" x14ac:dyDescent="0.2">
      <c r="A3965" t="str">
        <f t="shared" si="1447"/>
        <v>0616017694</v>
      </c>
      <c r="B3965" t="str">
        <f t="shared" si="1448"/>
        <v>BYRISH</v>
      </c>
      <c r="C3965" t="str">
        <f t="shared" si="1449"/>
        <v>CUTTER</v>
      </c>
      <c r="D3965" t="str">
        <f t="shared" si="1450"/>
        <v>09</v>
      </c>
      <c r="E3965" t="str">
        <f>"08 - B - 106 - Laselleda D Shaw"</f>
        <v>08 - B - 106 - Laselleda D Shaw</v>
      </c>
      <c r="F3965" t="str">
        <f>"INTENS READ 1"</f>
        <v>INTENS READ 1</v>
      </c>
      <c r="G3965" t="str">
        <f>"17-1723"</f>
        <v>17-1723</v>
      </c>
      <c r="H3965" t="str">
        <f>"B"</f>
        <v>B</v>
      </c>
    </row>
    <row r="3966" spans="1:8" x14ac:dyDescent="0.2">
      <c r="A3966" t="str">
        <f t="shared" ref="A3966:A3973" si="1451">"0617005248"</f>
        <v>0617005248</v>
      </c>
      <c r="B3966" t="str">
        <f t="shared" ref="B3966:B3973" si="1452">"IZABELA"</f>
        <v>IZABELA</v>
      </c>
      <c r="C3966" t="str">
        <f t="shared" ref="C3966:C3973" si="1453">"CVETKOVSKI"</f>
        <v>CVETKOVSKI</v>
      </c>
      <c r="D3966" t="str">
        <f t="shared" si="1450"/>
        <v>09</v>
      </c>
      <c r="E3966" t="str">
        <f>"04 - A - 201 - Dorothy D Moore"</f>
        <v>04 - A - 201 - Dorothy D Moore</v>
      </c>
      <c r="F3966" t="str">
        <f>"HEALTH SCI 1/A&amp;P HON"</f>
        <v>HEALTH SCI 1/A&amp;P HON</v>
      </c>
      <c r="G3966" t="str">
        <f>"08-803"</f>
        <v>08-803</v>
      </c>
      <c r="H3966" t="str">
        <f>"A"</f>
        <v>A</v>
      </c>
    </row>
    <row r="3967" spans="1:8" x14ac:dyDescent="0.2">
      <c r="A3967" t="str">
        <f t="shared" si="1451"/>
        <v>0617005248</v>
      </c>
      <c r="B3967" t="str">
        <f t="shared" si="1452"/>
        <v>IZABELA</v>
      </c>
      <c r="C3967" t="str">
        <f t="shared" si="1453"/>
        <v>CVETKOVSKI</v>
      </c>
      <c r="D3967" t="str">
        <f t="shared" si="1450"/>
        <v>09</v>
      </c>
      <c r="E3967" t="str">
        <f>"06 - B - 110 - Krystal Marie  Beruty"</f>
        <v>06 - B - 110 - Krystal Marie  Beruty</v>
      </c>
      <c r="F3967" t="str">
        <f>"AICE GLBL PERSP 1 AS"</f>
        <v>AICE GLBL PERSP 1 AS</v>
      </c>
      <c r="G3967" t="str">
        <f>"17-1721"</f>
        <v>17-1721</v>
      </c>
      <c r="H3967" t="str">
        <f>"B"</f>
        <v>B</v>
      </c>
    </row>
    <row r="3968" spans="1:8" x14ac:dyDescent="0.2">
      <c r="A3968" t="str">
        <f t="shared" si="1451"/>
        <v>0617005248</v>
      </c>
      <c r="B3968" t="str">
        <f t="shared" si="1452"/>
        <v>IZABELA</v>
      </c>
      <c r="C3968" t="str">
        <f t="shared" si="1453"/>
        <v>CVETKOVSKI</v>
      </c>
      <c r="D3968" t="str">
        <f t="shared" si="1450"/>
        <v>09</v>
      </c>
      <c r="E3968" t="str">
        <f>"03 - A - 103 - Marius D Orsolini"</f>
        <v>03 - A - 103 - Marius D Orsolini</v>
      </c>
      <c r="F3968" t="str">
        <f>"CULINARY ARTS 1"</f>
        <v>CULINARY ARTS 1</v>
      </c>
      <c r="G3968" t="str">
        <f>"21-2115"</f>
        <v>21-2115</v>
      </c>
      <c r="H3968" t="str">
        <f>"A"</f>
        <v>A</v>
      </c>
    </row>
    <row r="3969" spans="1:8" x14ac:dyDescent="0.2">
      <c r="A3969" t="str">
        <f t="shared" si="1451"/>
        <v>0617005248</v>
      </c>
      <c r="B3969" t="str">
        <f t="shared" si="1452"/>
        <v>IZABELA</v>
      </c>
      <c r="C3969" t="str">
        <f t="shared" si="1453"/>
        <v>CVETKOVSKI</v>
      </c>
      <c r="D3969" t="str">
        <f t="shared" si="1450"/>
        <v>09</v>
      </c>
      <c r="E3969" t="str">
        <f>"02 - A - 104 - Lytrell T Dixon"</f>
        <v>02 - A - 104 - Lytrell T Dixon</v>
      </c>
      <c r="F3969" t="str">
        <f>"NC STUDY HALL 1"</f>
        <v>NC STUDY HALL 1</v>
      </c>
      <c r="G3969" t="str">
        <f>"08-808"</f>
        <v>08-808</v>
      </c>
      <c r="H3969" t="str">
        <f>"A"</f>
        <v>A</v>
      </c>
    </row>
    <row r="3970" spans="1:8" x14ac:dyDescent="0.2">
      <c r="A3970" t="str">
        <f t="shared" si="1451"/>
        <v>0617005248</v>
      </c>
      <c r="B3970" t="str">
        <f t="shared" si="1452"/>
        <v>IZABELA</v>
      </c>
      <c r="C3970" t="str">
        <f t="shared" si="1453"/>
        <v>CVETKOVSKI</v>
      </c>
      <c r="D3970" t="str">
        <f t="shared" si="1450"/>
        <v>09</v>
      </c>
      <c r="E3970" t="str">
        <f>"07 - B - 202 - Chrystina M Marchionne"</f>
        <v>07 - B - 202 - Chrystina M Marchionne</v>
      </c>
      <c r="F3970" t="str">
        <f>"JOURN 1 (YB) LH"</f>
        <v>JOURN 1 (YB) LH</v>
      </c>
      <c r="G3970" t="str">
        <f>"05-520"</f>
        <v>05-520</v>
      </c>
      <c r="H3970" t="str">
        <f>"B"</f>
        <v>B</v>
      </c>
    </row>
    <row r="3971" spans="1:8" x14ac:dyDescent="0.2">
      <c r="A3971" t="str">
        <f t="shared" si="1451"/>
        <v>0617005248</v>
      </c>
      <c r="B3971" t="str">
        <f t="shared" si="1452"/>
        <v>IZABELA</v>
      </c>
      <c r="C3971" t="str">
        <f t="shared" si="1453"/>
        <v>CVETKOVSKI</v>
      </c>
      <c r="D3971" t="str">
        <f t="shared" si="1450"/>
        <v>09</v>
      </c>
      <c r="E3971" t="str">
        <f>"05 - B - 103 - Brook E Goren"</f>
        <v>05 - B - 103 - Brook E Goren</v>
      </c>
      <c r="F3971" t="str">
        <f>"PRE-AICE MATH 2 IG"</f>
        <v>PRE-AICE MATH 2 IG</v>
      </c>
      <c r="G3971" t="str">
        <f>"21-2158"</f>
        <v>21-2158</v>
      </c>
      <c r="H3971" t="str">
        <f>"B"</f>
        <v>B</v>
      </c>
    </row>
    <row r="3972" spans="1:8" x14ac:dyDescent="0.2">
      <c r="A3972" t="str">
        <f t="shared" si="1451"/>
        <v>0617005248</v>
      </c>
      <c r="B3972" t="str">
        <f t="shared" si="1452"/>
        <v>IZABELA</v>
      </c>
      <c r="C3972" t="str">
        <f t="shared" si="1453"/>
        <v>CVETKOVSKI</v>
      </c>
      <c r="D3972" t="str">
        <f t="shared" si="1450"/>
        <v>09</v>
      </c>
      <c r="E3972" t="str">
        <f>"01 - A - 201 - Cheryl L Beach"</f>
        <v>01 - A - 201 - Cheryl L Beach</v>
      </c>
      <c r="F3972" t="str">
        <f>"AICE ENV MGMNT AS"</f>
        <v>AICE ENV MGMNT AS</v>
      </c>
      <c r="G3972" t="str">
        <f>"08-811"</f>
        <v>08-811</v>
      </c>
      <c r="H3972" t="str">
        <f>"A"</f>
        <v>A</v>
      </c>
    </row>
    <row r="3973" spans="1:8" x14ac:dyDescent="0.2">
      <c r="A3973" t="str">
        <f t="shared" si="1451"/>
        <v>0617005248</v>
      </c>
      <c r="B3973" t="str">
        <f t="shared" si="1452"/>
        <v>IZABELA</v>
      </c>
      <c r="C3973" t="str">
        <f t="shared" si="1453"/>
        <v>CVETKOVSKI</v>
      </c>
      <c r="D3973" t="str">
        <f t="shared" si="1450"/>
        <v>09</v>
      </c>
      <c r="E3973" t="str">
        <f>"08 - B - 004 - Cheryl Anne  Berman-Schechter"</f>
        <v>08 - B - 004 - Cheryl Anne  Berman-Schechter</v>
      </c>
      <c r="F3973" t="str">
        <f>"AICE ENG GEN PAPER 1"</f>
        <v>AICE ENG GEN PAPER 1</v>
      </c>
      <c r="G3973" t="str">
        <f>"17-1722"</f>
        <v>17-1722</v>
      </c>
      <c r="H3973" t="str">
        <f>"B"</f>
        <v>B</v>
      </c>
    </row>
    <row r="3974" spans="1:8" x14ac:dyDescent="0.2">
      <c r="A3974" t="str">
        <f t="shared" ref="A3974:A3982" si="1454">"0612010374"</f>
        <v>0612010374</v>
      </c>
      <c r="B3974" t="str">
        <f t="shared" ref="B3974:B3982" si="1455">"SEAN"</f>
        <v>SEAN</v>
      </c>
      <c r="C3974" t="str">
        <f t="shared" ref="C3974:C3982" si="1456">"DACIUS"</f>
        <v>DACIUS</v>
      </c>
      <c r="D3974">
        <f>12</f>
        <v>12</v>
      </c>
      <c r="E3974" t="str">
        <f>"04 - A - 103 - Daniel S Tyson"</f>
        <v>04 - A - 103 - Daniel S Tyson</v>
      </c>
      <c r="F3974" t="str">
        <f>"JROTC NAVAL SCI 4"</f>
        <v>JROTC NAVAL SCI 4</v>
      </c>
      <c r="G3974" t="str">
        <f>"05-510"</f>
        <v>05-510</v>
      </c>
      <c r="H3974" t="str">
        <f>"A"</f>
        <v>A</v>
      </c>
    </row>
    <row r="3975" spans="1:8" x14ac:dyDescent="0.2">
      <c r="A3975" t="str">
        <f t="shared" si="1454"/>
        <v>0612010374</v>
      </c>
      <c r="B3975" t="str">
        <f t="shared" si="1455"/>
        <v>SEAN</v>
      </c>
      <c r="C3975" t="str">
        <f t="shared" si="1456"/>
        <v>DACIUS</v>
      </c>
      <c r="D3975">
        <f>12</f>
        <v>12</v>
      </c>
      <c r="E3975" t="str">
        <f>"06 - B - 101 - Justin D Willard"</f>
        <v>06 - B - 101 - Justin D Willard</v>
      </c>
      <c r="F3975" t="str">
        <f>"CAR EXERIENCES: 9-12"</f>
        <v>CAR EXERIENCES: 9-12</v>
      </c>
      <c r="G3975" t="str">
        <f>"21-2111"</f>
        <v>21-2111</v>
      </c>
      <c r="H3975" t="str">
        <f>"B"</f>
        <v>B</v>
      </c>
    </row>
    <row r="3976" spans="1:8" x14ac:dyDescent="0.2">
      <c r="A3976" t="str">
        <f t="shared" si="1454"/>
        <v>0612010374</v>
      </c>
      <c r="B3976" t="str">
        <f t="shared" si="1455"/>
        <v>SEAN</v>
      </c>
      <c r="C3976" t="str">
        <f t="shared" si="1456"/>
        <v>DACIUS</v>
      </c>
      <c r="D3976">
        <f>12</f>
        <v>12</v>
      </c>
      <c r="E3976" t="str">
        <f>"03 - A - 101 - Justin D Willard"</f>
        <v>03 - A - 101 - Justin D Willard</v>
      </c>
      <c r="F3976" t="str">
        <f>"SELF-DETERMINATION"</f>
        <v>SELF-DETERMINATION</v>
      </c>
      <c r="G3976" t="str">
        <f>"21-2111"</f>
        <v>21-2111</v>
      </c>
      <c r="H3976" t="str">
        <f>"A"</f>
        <v>A</v>
      </c>
    </row>
    <row r="3977" spans="1:8" x14ac:dyDescent="0.2">
      <c r="A3977" t="str">
        <f t="shared" si="1454"/>
        <v>0612010374</v>
      </c>
      <c r="B3977" t="str">
        <f t="shared" si="1455"/>
        <v>SEAN</v>
      </c>
      <c r="C3977" t="str">
        <f t="shared" si="1456"/>
        <v>DACIUS</v>
      </c>
      <c r="D3977">
        <f>12</f>
        <v>12</v>
      </c>
      <c r="E3977" t="str">
        <f>"02 - A - 101 - Justin D Willard"</f>
        <v>02 - A - 101 - Justin D Willard</v>
      </c>
      <c r="F3977" t="str">
        <f>"CAREER ED: 9-12"</f>
        <v>CAREER ED: 9-12</v>
      </c>
      <c r="G3977" t="str">
        <f>"21-2111"</f>
        <v>21-2111</v>
      </c>
      <c r="H3977" t="str">
        <f>"A"</f>
        <v>A</v>
      </c>
    </row>
    <row r="3978" spans="1:8" x14ac:dyDescent="0.2">
      <c r="A3978" t="str">
        <f t="shared" si="1454"/>
        <v>0612010374</v>
      </c>
      <c r="B3978" t="str">
        <f t="shared" si="1455"/>
        <v>SEAN</v>
      </c>
      <c r="C3978" t="str">
        <f t="shared" si="1456"/>
        <v>DACIUS</v>
      </c>
      <c r="D3978">
        <f>12</f>
        <v>12</v>
      </c>
      <c r="E3978" t="str">
        <f>"07 - B - 101 - Justin D Willard"</f>
        <v>07 - B - 101 - Justin D Willard</v>
      </c>
      <c r="F3978" t="str">
        <f>"CAR PLACEMENT: 9-12"</f>
        <v>CAR PLACEMENT: 9-12</v>
      </c>
      <c r="G3978" t="str">
        <f>"21-2111"</f>
        <v>21-2111</v>
      </c>
      <c r="H3978" t="str">
        <f>"B"</f>
        <v>B</v>
      </c>
    </row>
    <row r="3979" spans="1:8" x14ac:dyDescent="0.2">
      <c r="A3979" t="str">
        <f t="shared" si="1454"/>
        <v>0612010374</v>
      </c>
      <c r="B3979" t="str">
        <f t="shared" si="1455"/>
        <v>SEAN</v>
      </c>
      <c r="C3979" t="str">
        <f t="shared" si="1456"/>
        <v>DACIUS</v>
      </c>
      <c r="D3979">
        <f>12</f>
        <v>12</v>
      </c>
      <c r="E3979" t="str">
        <f>"05 - B - 103 - Justin D Willard"</f>
        <v>05 - B - 103 - Justin D Willard</v>
      </c>
      <c r="F3979" t="str">
        <f>"U SKLS: 9-12"</f>
        <v>U SKLS: 9-12</v>
      </c>
      <c r="G3979" t="str">
        <f>"21-2111"</f>
        <v>21-2111</v>
      </c>
      <c r="H3979" t="str">
        <f>"B"</f>
        <v>B</v>
      </c>
    </row>
    <row r="3980" spans="1:8" x14ac:dyDescent="0.2">
      <c r="A3980" t="str">
        <f t="shared" si="1454"/>
        <v>0612010374</v>
      </c>
      <c r="B3980" t="str">
        <f t="shared" si="1455"/>
        <v>SEAN</v>
      </c>
      <c r="C3980" t="str">
        <f t="shared" si="1456"/>
        <v>DACIUS</v>
      </c>
      <c r="D3980">
        <f>12</f>
        <v>12</v>
      </c>
      <c r="E3980" t="str">
        <f>"05 - B - 115 - Karen A Toomer"</f>
        <v>05 - B - 115 - Karen A Toomer</v>
      </c>
      <c r="F3980" t="str">
        <f>"LANG THERAPY"</f>
        <v>LANG THERAPY</v>
      </c>
      <c r="G3980" t="str">
        <f>"21-2110"</f>
        <v>21-2110</v>
      </c>
      <c r="H3980" t="str">
        <f>"B"</f>
        <v>B</v>
      </c>
    </row>
    <row r="3981" spans="1:8" x14ac:dyDescent="0.2">
      <c r="A3981" t="str">
        <f t="shared" si="1454"/>
        <v>0612010374</v>
      </c>
      <c r="B3981" t="str">
        <f t="shared" si="1455"/>
        <v>SEAN</v>
      </c>
      <c r="C3981" t="str">
        <f t="shared" si="1456"/>
        <v>DACIUS</v>
      </c>
      <c r="D3981">
        <f>12</f>
        <v>12</v>
      </c>
      <c r="E3981" t="str">
        <f>"01 - A - 101 - Justin D Willard"</f>
        <v>01 - A - 101 - Justin D Willard</v>
      </c>
      <c r="F3981" t="str">
        <f>"PREP AD LIV"</f>
        <v>PREP AD LIV</v>
      </c>
      <c r="G3981" t="str">
        <f>"21-2111"</f>
        <v>21-2111</v>
      </c>
      <c r="H3981" t="str">
        <f>"A"</f>
        <v>A</v>
      </c>
    </row>
    <row r="3982" spans="1:8" x14ac:dyDescent="0.2">
      <c r="A3982" t="str">
        <f t="shared" si="1454"/>
        <v>0612010374</v>
      </c>
      <c r="B3982" t="str">
        <f t="shared" si="1455"/>
        <v>SEAN</v>
      </c>
      <c r="C3982" t="str">
        <f t="shared" si="1456"/>
        <v>DACIUS</v>
      </c>
      <c r="D3982">
        <f>12</f>
        <v>12</v>
      </c>
      <c r="E3982" t="str">
        <f>"08 - B - 101 - Justin D Willard"</f>
        <v>08 - B - 101 - Justin D Willard</v>
      </c>
      <c r="F3982" t="str">
        <f>"U SKLS: SOC&amp;EMO 9-12"</f>
        <v>U SKLS: SOC&amp;EMO 9-12</v>
      </c>
      <c r="G3982" t="str">
        <f>"21-2111"</f>
        <v>21-2111</v>
      </c>
      <c r="H3982" t="str">
        <f>"B"</f>
        <v>B</v>
      </c>
    </row>
    <row r="3983" spans="1:8" x14ac:dyDescent="0.2">
      <c r="A3983" t="str">
        <f t="shared" ref="A3983:A3990" si="1457">"0615033351"</f>
        <v>0615033351</v>
      </c>
      <c r="B3983" t="str">
        <f t="shared" ref="B3983:B3990" si="1458">"SAMANTHA"</f>
        <v>SAMANTHA</v>
      </c>
      <c r="C3983" t="str">
        <f t="shared" ref="C3983:C3990" si="1459">"DADAILLE"</f>
        <v>DADAILLE</v>
      </c>
      <c r="D3983">
        <f>10</f>
        <v>10</v>
      </c>
      <c r="E3983" t="str">
        <f>"04 - A - 105 - Jacklyn M James"</f>
        <v>04 - A - 105 - Jacklyn M James</v>
      </c>
      <c r="F3983" t="str">
        <f>"AICE ENG LANG AS"</f>
        <v>AICE ENG LANG AS</v>
      </c>
      <c r="G3983" t="str">
        <f>"17-1731"</f>
        <v>17-1731</v>
      </c>
      <c r="H3983" t="str">
        <f>"A"</f>
        <v>A</v>
      </c>
    </row>
    <row r="3984" spans="1:8" x14ac:dyDescent="0.2">
      <c r="A3984" t="str">
        <f t="shared" si="1457"/>
        <v>0615033351</v>
      </c>
      <c r="B3984" t="str">
        <f t="shared" si="1458"/>
        <v>SAMANTHA</v>
      </c>
      <c r="C3984" t="str">
        <f t="shared" si="1459"/>
        <v>DADAILLE</v>
      </c>
      <c r="D3984">
        <f>10</f>
        <v>10</v>
      </c>
      <c r="E3984" t="str">
        <f>"06 - B - 115 - Scott A Dethloff"</f>
        <v>06 - B - 115 - Scott A Dethloff</v>
      </c>
      <c r="F3984" t="str">
        <f>"NC STUDY HALL 1"</f>
        <v>NC STUDY HALL 1</v>
      </c>
      <c r="G3984" t="str">
        <f>"08-812"</f>
        <v>08-812</v>
      </c>
      <c r="H3984" t="str">
        <f>"B"</f>
        <v>B</v>
      </c>
    </row>
    <row r="3985" spans="1:8" x14ac:dyDescent="0.2">
      <c r="A3985" t="str">
        <f t="shared" si="1457"/>
        <v>0615033351</v>
      </c>
      <c r="B3985" t="str">
        <f t="shared" si="1458"/>
        <v>SAMANTHA</v>
      </c>
      <c r="C3985" t="str">
        <f t="shared" si="1459"/>
        <v>DADAILLE</v>
      </c>
      <c r="D3985">
        <f>10</f>
        <v>10</v>
      </c>
      <c r="E3985" t="str">
        <f>"03 - A - 202 - Cheryl L Beach"</f>
        <v>03 - A - 202 - Cheryl L Beach</v>
      </c>
      <c r="F3985" t="str">
        <f>"AICE ENV MGMNT AS"</f>
        <v>AICE ENV MGMNT AS</v>
      </c>
      <c r="G3985" t="str">
        <f>"08-811"</f>
        <v>08-811</v>
      </c>
      <c r="H3985" t="str">
        <f>"A"</f>
        <v>A</v>
      </c>
    </row>
    <row r="3986" spans="1:8" x14ac:dyDescent="0.2">
      <c r="A3986" t="str">
        <f t="shared" si="1457"/>
        <v>0615033351</v>
      </c>
      <c r="B3986" t="str">
        <f t="shared" si="1458"/>
        <v>SAMANTHA</v>
      </c>
      <c r="C3986" t="str">
        <f t="shared" si="1459"/>
        <v>DADAILLE</v>
      </c>
      <c r="D3986">
        <f>10</f>
        <v>10</v>
      </c>
      <c r="E3986" t="str">
        <f>"02 - A - 205 - Emmily A Sarmiento"</f>
        <v>02 - A - 205 - Emmily A Sarmiento</v>
      </c>
      <c r="F3986" t="str">
        <f>"AICE GLBL PERSP 1 AS"</f>
        <v>AICE GLBL PERSP 1 AS</v>
      </c>
      <c r="G3986" t="str">
        <f>"17-1743"</f>
        <v>17-1743</v>
      </c>
      <c r="H3986" t="str">
        <f>"A"</f>
        <v>A</v>
      </c>
    </row>
    <row r="3987" spans="1:8" x14ac:dyDescent="0.2">
      <c r="A3987" t="str">
        <f t="shared" si="1457"/>
        <v>0615033351</v>
      </c>
      <c r="B3987" t="str">
        <f t="shared" si="1458"/>
        <v>SAMANTHA</v>
      </c>
      <c r="C3987" t="str">
        <f t="shared" si="1459"/>
        <v>DADAILLE</v>
      </c>
      <c r="D3987">
        <f>10</f>
        <v>10</v>
      </c>
      <c r="E3987" t="str">
        <f>"07 - B - 102 - Lourivaldo  Da Silva"</f>
        <v>07 - B - 102 - Lourivaldo  Da Silva</v>
      </c>
      <c r="F3987" t="str">
        <f>"ALGEBRA 2 HON"</f>
        <v>ALGEBRA 2 HON</v>
      </c>
      <c r="G3987" t="str">
        <f>"20-2079"</f>
        <v>20-2079</v>
      </c>
      <c r="H3987" t="str">
        <f>"B"</f>
        <v>B</v>
      </c>
    </row>
    <row r="3988" spans="1:8" x14ac:dyDescent="0.2">
      <c r="A3988" t="str">
        <f t="shared" si="1457"/>
        <v>0615033351</v>
      </c>
      <c r="B3988" t="str">
        <f t="shared" si="1458"/>
        <v>SAMANTHA</v>
      </c>
      <c r="C3988" t="str">
        <f t="shared" si="1459"/>
        <v>DADAILLE</v>
      </c>
      <c r="D3988">
        <f>10</f>
        <v>10</v>
      </c>
      <c r="E3988" t="str">
        <f>"05 - B - 205 - Rosa Elaine  Collado-Duff"</f>
        <v>05 - B - 205 - Rosa Elaine  Collado-Duff</v>
      </c>
      <c r="F3988" t="str">
        <f>"PRE-AICE SPAN 2 IG"</f>
        <v>PRE-AICE SPAN 2 IG</v>
      </c>
      <c r="G3988" t="str">
        <f>"09-913"</f>
        <v>09-913</v>
      </c>
      <c r="H3988" t="str">
        <f>"B"</f>
        <v>B</v>
      </c>
    </row>
    <row r="3989" spans="1:8" x14ac:dyDescent="0.2">
      <c r="A3989" t="str">
        <f t="shared" si="1457"/>
        <v>0615033351</v>
      </c>
      <c r="B3989" t="str">
        <f t="shared" si="1458"/>
        <v>SAMANTHA</v>
      </c>
      <c r="C3989" t="str">
        <f t="shared" si="1459"/>
        <v>DADAILLE</v>
      </c>
      <c r="D3989">
        <f>10</f>
        <v>10</v>
      </c>
      <c r="E3989" t="str">
        <f>"01 - A - 101 - Brian M Fitzgerald"</f>
        <v>01 - A - 101 - Brian M Fitzgerald</v>
      </c>
      <c r="F3989" t="str">
        <f>"CERAM/POT 1"</f>
        <v>CERAM/POT 1</v>
      </c>
      <c r="G3989" t="str">
        <f>"09-908"</f>
        <v>09-908</v>
      </c>
      <c r="H3989" t="str">
        <f>"A"</f>
        <v>A</v>
      </c>
    </row>
    <row r="3990" spans="1:8" x14ac:dyDescent="0.2">
      <c r="A3990" t="str">
        <f t="shared" si="1457"/>
        <v>0615033351</v>
      </c>
      <c r="B3990" t="str">
        <f t="shared" si="1458"/>
        <v>SAMANTHA</v>
      </c>
      <c r="C3990" t="str">
        <f t="shared" si="1459"/>
        <v>DADAILLE</v>
      </c>
      <c r="D3990">
        <f>10</f>
        <v>10</v>
      </c>
      <c r="E3990" t="str">
        <f>"08 - S1 - B - 102 - Kyle  Robbins"</f>
        <v>08 - S1 - B - 102 - Kyle  Robbins</v>
      </c>
      <c r="F3990" t="str">
        <f>"PERS FIN &amp; MON MGT H"</f>
        <v>PERS FIN &amp; MON MGT H</v>
      </c>
      <c r="G3990" t="str">
        <f>"17-1745"</f>
        <v>17-1745</v>
      </c>
      <c r="H3990" t="str">
        <f>"B"</f>
        <v>B</v>
      </c>
    </row>
    <row r="3991" spans="1:8" x14ac:dyDescent="0.2">
      <c r="A3991" t="str">
        <f t="shared" ref="A3991:A3998" si="1460">"0625013731"</f>
        <v>0625013731</v>
      </c>
      <c r="B3991" t="str">
        <f t="shared" ref="B3991:B3998" si="1461">"Bihendie"</f>
        <v>Bihendie</v>
      </c>
      <c r="C3991" t="str">
        <f t="shared" ref="C3991:C3998" si="1462">"Dagain"</f>
        <v>Dagain</v>
      </c>
      <c r="D3991">
        <f>11</f>
        <v>11</v>
      </c>
      <c r="E3991" t="str">
        <f>"04 - A - 103 - Cliffon  Saurel"</f>
        <v>04 - A - 103 - Cliffon  Saurel</v>
      </c>
      <c r="F3991" t="str">
        <f>"PHYSICAL SCI"</f>
        <v>PHYSICAL SCI</v>
      </c>
      <c r="G3991" t="str">
        <f>"05-522"</f>
        <v>05-522</v>
      </c>
      <c r="H3991" t="str">
        <f>"A"</f>
        <v>A</v>
      </c>
    </row>
    <row r="3992" spans="1:8" x14ac:dyDescent="0.2">
      <c r="A3992" t="str">
        <f t="shared" si="1460"/>
        <v>0625013731</v>
      </c>
      <c r="B3992" t="str">
        <f t="shared" si="1461"/>
        <v>Bihendie</v>
      </c>
      <c r="C3992" t="str">
        <f t="shared" si="1462"/>
        <v>Dagain</v>
      </c>
      <c r="D3992">
        <f>11</f>
        <v>11</v>
      </c>
      <c r="E3992" t="str">
        <f>"06 - B - 105 - Elizabeth Ellen  Moran"</f>
        <v>06 - B - 105 - Elizabeth Ellen  Moran</v>
      </c>
      <c r="F3992" t="str">
        <f>"US HISTORY"</f>
        <v>US HISTORY</v>
      </c>
      <c r="G3992" t="str">
        <f>"17-1752"</f>
        <v>17-1752</v>
      </c>
      <c r="H3992" t="str">
        <f>"B"</f>
        <v>B</v>
      </c>
    </row>
    <row r="3993" spans="1:8" x14ac:dyDescent="0.2">
      <c r="A3993" t="str">
        <f t="shared" si="1460"/>
        <v>0625013731</v>
      </c>
      <c r="B3993" t="str">
        <f t="shared" si="1461"/>
        <v>Bihendie</v>
      </c>
      <c r="C3993" t="str">
        <f t="shared" si="1462"/>
        <v>Dagain</v>
      </c>
      <c r="D3993">
        <f>11</f>
        <v>11</v>
      </c>
      <c r="E3993" t="str">
        <f>"03 - A - 102 - Lisa  Quinn"</f>
        <v>03 - A - 102 - Lisa  Quinn</v>
      </c>
      <c r="F3993" t="str">
        <f>"ENG 3"</f>
        <v>ENG 3</v>
      </c>
      <c r="G3993" t="str">
        <f>"17-1725"</f>
        <v>17-1725</v>
      </c>
      <c r="H3993" t="str">
        <f>"A"</f>
        <v>A</v>
      </c>
    </row>
    <row r="3994" spans="1:8" x14ac:dyDescent="0.2">
      <c r="A3994" t="str">
        <f t="shared" si="1460"/>
        <v>0625013731</v>
      </c>
      <c r="B3994" t="str">
        <f t="shared" si="1461"/>
        <v>Bihendie</v>
      </c>
      <c r="C3994" t="str">
        <f t="shared" si="1462"/>
        <v>Dagain</v>
      </c>
      <c r="D3994">
        <f>11</f>
        <v>11</v>
      </c>
      <c r="E3994" t="str">
        <f>"02 - A - 103 - Kelly N Panza"</f>
        <v>02 - A - 103 - Kelly N Panza</v>
      </c>
      <c r="F3994" t="str">
        <f>"NC STUDY HALL 1"</f>
        <v>NC STUDY HALL 1</v>
      </c>
      <c r="G3994" t="str">
        <f>"17-1753"</f>
        <v>17-1753</v>
      </c>
      <c r="H3994" t="str">
        <f>"A"</f>
        <v>A</v>
      </c>
    </row>
    <row r="3995" spans="1:8" x14ac:dyDescent="0.2">
      <c r="A3995" t="str">
        <f t="shared" si="1460"/>
        <v>0625013731</v>
      </c>
      <c r="B3995" t="str">
        <f t="shared" si="1461"/>
        <v>Bihendie</v>
      </c>
      <c r="C3995" t="str">
        <f t="shared" si="1462"/>
        <v>Dagain</v>
      </c>
      <c r="D3995">
        <f>11</f>
        <v>11</v>
      </c>
      <c r="E3995" t="str">
        <f>"07 - B - 110 - Ferrie J Arostique"</f>
        <v>07 - B - 110 - Ferrie J Arostique</v>
      </c>
      <c r="F3995" t="str">
        <f>"GEOMETRY"</f>
        <v>GEOMETRY</v>
      </c>
      <c r="G3995" t="str">
        <f>"21-2139"</f>
        <v>21-2139</v>
      </c>
      <c r="H3995" t="str">
        <f>"B"</f>
        <v>B</v>
      </c>
    </row>
    <row r="3996" spans="1:8" x14ac:dyDescent="0.2">
      <c r="A3996" t="str">
        <f t="shared" si="1460"/>
        <v>0625013731</v>
      </c>
      <c r="B3996" t="str">
        <f t="shared" si="1461"/>
        <v>Bihendie</v>
      </c>
      <c r="C3996" t="str">
        <f t="shared" si="1462"/>
        <v>Dagain</v>
      </c>
      <c r="D3996">
        <f>11</f>
        <v>11</v>
      </c>
      <c r="E3996" t="str">
        <f>"05 - B - 103 - Vanessa J Liburd"</f>
        <v>05 - B - 103 - Vanessa J Liburd</v>
      </c>
      <c r="F3996" t="str">
        <f>"PRE-AICE FRENCH 2 IG"</f>
        <v>PRE-AICE FRENCH 2 IG</v>
      </c>
      <c r="G3996" t="str">
        <f>"05-519"</f>
        <v>05-519</v>
      </c>
      <c r="H3996" t="str">
        <f>"B"</f>
        <v>B</v>
      </c>
    </row>
    <row r="3997" spans="1:8" x14ac:dyDescent="0.2">
      <c r="A3997" t="str">
        <f t="shared" si="1460"/>
        <v>0625013731</v>
      </c>
      <c r="B3997" t="str">
        <f t="shared" si="1461"/>
        <v>Bihendie</v>
      </c>
      <c r="C3997" t="str">
        <f t="shared" si="1462"/>
        <v>Dagain</v>
      </c>
      <c r="D3997">
        <f>11</f>
        <v>11</v>
      </c>
      <c r="E3997" t="str">
        <f>"01 - A - 101 - Vanessa J Pena"</f>
        <v>01 - A - 101 - Vanessa J Pena</v>
      </c>
      <c r="F3997" t="str">
        <f>"DEV LANG ARTS ESOL-R"</f>
        <v>DEV LANG ARTS ESOL-R</v>
      </c>
      <c r="G3997" t="str">
        <f>"09-926"</f>
        <v>09-926</v>
      </c>
      <c r="H3997" t="str">
        <f>"A"</f>
        <v>A</v>
      </c>
    </row>
    <row r="3998" spans="1:8" x14ac:dyDescent="0.2">
      <c r="A3998" t="str">
        <f t="shared" si="1460"/>
        <v>0625013731</v>
      </c>
      <c r="B3998" t="str">
        <f t="shared" si="1461"/>
        <v>Bihendie</v>
      </c>
      <c r="C3998" t="str">
        <f t="shared" si="1462"/>
        <v>Dagain</v>
      </c>
      <c r="D3998">
        <f>11</f>
        <v>11</v>
      </c>
      <c r="E3998" t="str">
        <f>"08 - B - 105 - Daniel S Tyson"</f>
        <v>08 - B - 105 - Daniel S Tyson</v>
      </c>
      <c r="F3998" t="str">
        <f>"JROTC NAVAL SCI 1"</f>
        <v>JROTC NAVAL SCI 1</v>
      </c>
      <c r="G3998" t="str">
        <f>"05-510"</f>
        <v>05-510</v>
      </c>
      <c r="H3998" t="str">
        <f>"B"</f>
        <v>B</v>
      </c>
    </row>
    <row r="3999" spans="1:8" x14ac:dyDescent="0.2">
      <c r="A3999" t="str">
        <f t="shared" ref="A3999:A4006" si="1463">"0612125131"</f>
        <v>0612125131</v>
      </c>
      <c r="B3999" t="str">
        <f t="shared" ref="B3999:B4006" si="1464">"KAITLYNN"</f>
        <v>KAITLYNN</v>
      </c>
      <c r="C3999" t="str">
        <f t="shared" ref="C3999:C4006" si="1465">"DALBERISTE"</f>
        <v>DALBERISTE</v>
      </c>
      <c r="D3999">
        <f>12</f>
        <v>12</v>
      </c>
      <c r="E3999" t="str">
        <f>"04 - S1 - A - 101 - Barbara L Segal"</f>
        <v>04 - S1 - A - 101 - Barbara L Segal</v>
      </c>
      <c r="F3999" t="str">
        <f>"AP US GOVT/POL"</f>
        <v>AP US GOVT/POL</v>
      </c>
      <c r="G3999" t="str">
        <f>"17-1742"</f>
        <v>17-1742</v>
      </c>
      <c r="H3999" t="str">
        <f>"A"</f>
        <v>A</v>
      </c>
    </row>
    <row r="4000" spans="1:8" x14ac:dyDescent="0.2">
      <c r="A4000" t="str">
        <f t="shared" si="1463"/>
        <v>0612125131</v>
      </c>
      <c r="B4000" t="str">
        <f t="shared" si="1464"/>
        <v>KAITLYNN</v>
      </c>
      <c r="C4000" t="str">
        <f t="shared" si="1465"/>
        <v>DALBERISTE</v>
      </c>
      <c r="D4000">
        <f>12</f>
        <v>12</v>
      </c>
      <c r="E4000" t="str">
        <f>"06 - B - 102 - Ferrie J Arostique"</f>
        <v>06 - B - 102 - Ferrie J Arostique</v>
      </c>
      <c r="F4000" t="str">
        <f>"NC STUDY HALL 1"</f>
        <v>NC STUDY HALL 1</v>
      </c>
      <c r="G4000" t="str">
        <f>"21-2139"</f>
        <v>21-2139</v>
      </c>
      <c r="H4000" t="str">
        <f>"B"</f>
        <v>B</v>
      </c>
    </row>
    <row r="4001" spans="1:8" x14ac:dyDescent="0.2">
      <c r="A4001" t="str">
        <f t="shared" si="1463"/>
        <v>0612125131</v>
      </c>
      <c r="B4001" t="str">
        <f t="shared" si="1464"/>
        <v>KAITLYNN</v>
      </c>
      <c r="C4001" t="str">
        <f t="shared" si="1465"/>
        <v>DALBERISTE</v>
      </c>
      <c r="D4001">
        <f>12</f>
        <v>12</v>
      </c>
      <c r="E4001" t="str">
        <f>"03 - A - 101 - Carleigh R Carmichael"</f>
        <v>03 - A - 101 - Carleigh R Carmichael</v>
      </c>
      <c r="F4001" t="str">
        <f>"LEAD SKLS DEV LH"</f>
        <v>LEAD SKLS DEV LH</v>
      </c>
      <c r="G4001" t="str">
        <f>"20-2072"</f>
        <v>20-2072</v>
      </c>
      <c r="H4001" t="str">
        <f>"A"</f>
        <v>A</v>
      </c>
    </row>
    <row r="4002" spans="1:8" x14ac:dyDescent="0.2">
      <c r="A4002" t="str">
        <f t="shared" si="1463"/>
        <v>0612125131</v>
      </c>
      <c r="B4002" t="str">
        <f t="shared" si="1464"/>
        <v>KAITLYNN</v>
      </c>
      <c r="C4002" t="str">
        <f t="shared" si="1465"/>
        <v>DALBERISTE</v>
      </c>
      <c r="D4002">
        <f>12</f>
        <v>12</v>
      </c>
      <c r="E4002" t="str">
        <f>"02 - A - 102 - Marielle A Witting"</f>
        <v>02 - A - 102 - Marielle A Witting</v>
      </c>
      <c r="F4002" t="str">
        <f>"AP BIO"</f>
        <v>AP BIO</v>
      </c>
      <c r="G4002" t="str">
        <f>"08-805"</f>
        <v>08-805</v>
      </c>
      <c r="H4002" t="str">
        <f>"A"</f>
        <v>A</v>
      </c>
    </row>
    <row r="4003" spans="1:8" x14ac:dyDescent="0.2">
      <c r="A4003" t="str">
        <f t="shared" si="1463"/>
        <v>0612125131</v>
      </c>
      <c r="B4003" t="str">
        <f t="shared" si="1464"/>
        <v>KAITLYNN</v>
      </c>
      <c r="C4003" t="str">
        <f t="shared" si="1465"/>
        <v>DALBERISTE</v>
      </c>
      <c r="D4003">
        <f>12</f>
        <v>12</v>
      </c>
      <c r="E4003" t="str">
        <f>"07 - B - 102 - Courtney E Hambright"</f>
        <v>07 - B - 102 - Courtney E Hambright</v>
      </c>
      <c r="F4003" t="str">
        <f>"AP ENG LIT COMPO"</f>
        <v>AP ENG LIT COMPO</v>
      </c>
      <c r="G4003" t="str">
        <f>"17-1711"</f>
        <v>17-1711</v>
      </c>
      <c r="H4003" t="str">
        <f>"B"</f>
        <v>B</v>
      </c>
    </row>
    <row r="4004" spans="1:8" x14ac:dyDescent="0.2">
      <c r="A4004" t="str">
        <f t="shared" si="1463"/>
        <v>0612125131</v>
      </c>
      <c r="B4004" t="str">
        <f t="shared" si="1464"/>
        <v>KAITLYNN</v>
      </c>
      <c r="C4004" t="str">
        <f t="shared" si="1465"/>
        <v>DALBERISTE</v>
      </c>
      <c r="D4004">
        <f>12</f>
        <v>12</v>
      </c>
      <c r="E4004" t="str">
        <f>"05 - B - 101 - Jordana K Hass"</f>
        <v>05 - B - 101 - Jordana K Hass</v>
      </c>
      <c r="F4004" t="str">
        <f>"AP COMP SCI PRIN"</f>
        <v>AP COMP SCI PRIN</v>
      </c>
      <c r="G4004" t="str">
        <f>"08-807"</f>
        <v>08-807</v>
      </c>
      <c r="H4004" t="str">
        <f>"B"</f>
        <v>B</v>
      </c>
    </row>
    <row r="4005" spans="1:8" x14ac:dyDescent="0.2">
      <c r="A4005" t="str">
        <f t="shared" si="1463"/>
        <v>0612125131</v>
      </c>
      <c r="B4005" t="str">
        <f t="shared" si="1464"/>
        <v>KAITLYNN</v>
      </c>
      <c r="C4005" t="str">
        <f t="shared" si="1465"/>
        <v>DALBERISTE</v>
      </c>
      <c r="D4005">
        <f>12</f>
        <v>12</v>
      </c>
      <c r="E4005" t="str">
        <f>"01 - A - 101 - Norayda D Suarez"</f>
        <v>01 - A - 101 - Norayda D Suarez</v>
      </c>
      <c r="F4005" t="str">
        <f>"RESEARCH 1 LH"</f>
        <v>RESEARCH 1 LH</v>
      </c>
      <c r="G4005">
        <f>2041</f>
        <v>2041</v>
      </c>
      <c r="H4005" t="str">
        <f>"A"</f>
        <v>A</v>
      </c>
    </row>
    <row r="4006" spans="1:8" x14ac:dyDescent="0.2">
      <c r="A4006" t="str">
        <f t="shared" si="1463"/>
        <v>0612125131</v>
      </c>
      <c r="B4006" t="str">
        <f t="shared" si="1464"/>
        <v>KAITLYNN</v>
      </c>
      <c r="C4006" t="str">
        <f t="shared" si="1465"/>
        <v>DALBERISTE</v>
      </c>
      <c r="D4006">
        <f>12</f>
        <v>12</v>
      </c>
      <c r="E4006" t="str">
        <f>"08 - B - 102 - Pamela M Corzo"</f>
        <v>08 - B - 102 - Pamela M Corzo</v>
      </c>
      <c r="F4006" t="str">
        <f>"AP STAT"</f>
        <v>AP STAT</v>
      </c>
      <c r="G4006" t="str">
        <f>"21-2133"</f>
        <v>21-2133</v>
      </c>
      <c r="H4006" t="str">
        <f>"B"</f>
        <v>B</v>
      </c>
    </row>
    <row r="4007" spans="1:8" x14ac:dyDescent="0.2">
      <c r="A4007" t="str">
        <f t="shared" ref="A4007:A4014" si="1466">"0615026822"</f>
        <v>0615026822</v>
      </c>
      <c r="B4007" t="str">
        <f t="shared" ref="B4007:B4014" si="1467">"JUSTIN"</f>
        <v>JUSTIN</v>
      </c>
      <c r="C4007" t="str">
        <f t="shared" ref="C4007:C4014" si="1468">"DALMASI"</f>
        <v>DALMASI</v>
      </c>
      <c r="D4007">
        <f>11</f>
        <v>11</v>
      </c>
      <c r="E4007" t="str">
        <f>"04 - A - 101 - Thomas G Handwerg"</f>
        <v>04 - A - 101 - Thomas G Handwerg</v>
      </c>
      <c r="F4007" t="str">
        <f>"MATH COLL ALGEBRA"</f>
        <v>MATH COLL ALGEBRA</v>
      </c>
      <c r="G4007" t="str">
        <f>"21-2146"</f>
        <v>21-2146</v>
      </c>
      <c r="H4007" t="str">
        <f>"A"</f>
        <v>A</v>
      </c>
    </row>
    <row r="4008" spans="1:8" x14ac:dyDescent="0.2">
      <c r="A4008" t="str">
        <f t="shared" si="1466"/>
        <v>0615026822</v>
      </c>
      <c r="B4008" t="str">
        <f t="shared" si="1467"/>
        <v>JUSTIN</v>
      </c>
      <c r="C4008" t="str">
        <f t="shared" si="1468"/>
        <v>DALMASI</v>
      </c>
      <c r="D4008">
        <f>11</f>
        <v>11</v>
      </c>
      <c r="E4008" t="str">
        <f>"06 - S1 - B - 104 - Leslie J Barton"</f>
        <v>06 - S1 - B - 104 - Leslie J Barton</v>
      </c>
      <c r="F4008" t="str">
        <f>"FIRST AID SAFETY"</f>
        <v>FIRST AID SAFETY</v>
      </c>
      <c r="G4008" t="str">
        <f>"05-521"</f>
        <v>05-521</v>
      </c>
      <c r="H4008" t="str">
        <f>"B"</f>
        <v>B</v>
      </c>
    </row>
    <row r="4009" spans="1:8" x14ac:dyDescent="0.2">
      <c r="A4009" t="str">
        <f t="shared" si="1466"/>
        <v>0615026822</v>
      </c>
      <c r="B4009" t="str">
        <f t="shared" si="1467"/>
        <v>JUSTIN</v>
      </c>
      <c r="C4009" t="str">
        <f t="shared" si="1468"/>
        <v>DALMASI</v>
      </c>
      <c r="D4009">
        <f>11</f>
        <v>11</v>
      </c>
      <c r="E4009" t="str">
        <f>"03 - A - 103 - Jordana K Hass"</f>
        <v>03 - A - 103 - Jordana K Hass</v>
      </c>
      <c r="F4009" t="str">
        <f>"CHEMISTRY 1"</f>
        <v>CHEMISTRY 1</v>
      </c>
      <c r="G4009" t="str">
        <f>"08-807"</f>
        <v>08-807</v>
      </c>
      <c r="H4009" t="str">
        <f>"A"</f>
        <v>A</v>
      </c>
    </row>
    <row r="4010" spans="1:8" x14ac:dyDescent="0.2">
      <c r="A4010" t="str">
        <f t="shared" si="1466"/>
        <v>0615026822</v>
      </c>
      <c r="B4010" t="str">
        <f t="shared" si="1467"/>
        <v>JUSTIN</v>
      </c>
      <c r="C4010" t="str">
        <f t="shared" si="1468"/>
        <v>DALMASI</v>
      </c>
      <c r="D4010">
        <f>11</f>
        <v>11</v>
      </c>
      <c r="E4010" t="str">
        <f>"02 - A - 102 - Brook E Goren"</f>
        <v>02 - A - 102 - Brook E Goren</v>
      </c>
      <c r="F4010" t="str">
        <f>"NC STUDY HALL 1"</f>
        <v>NC STUDY HALL 1</v>
      </c>
      <c r="G4010" t="str">
        <f>"21-2158"</f>
        <v>21-2158</v>
      </c>
      <c r="H4010" t="str">
        <f>"A"</f>
        <v>A</v>
      </c>
    </row>
    <row r="4011" spans="1:8" x14ac:dyDescent="0.2">
      <c r="A4011" t="str">
        <f t="shared" si="1466"/>
        <v>0615026822</v>
      </c>
      <c r="B4011" t="str">
        <f t="shared" si="1467"/>
        <v>JUSTIN</v>
      </c>
      <c r="C4011" t="str">
        <f t="shared" si="1468"/>
        <v>DALMASI</v>
      </c>
      <c r="D4011">
        <f>11</f>
        <v>11</v>
      </c>
      <c r="E4011" t="str">
        <f>"07 - B - 107 - Adam Marcus  Drucker"</f>
        <v>07 - B - 107 - Adam Marcus  Drucker</v>
      </c>
      <c r="F4011" t="str">
        <f>"HOPE-PE V"</f>
        <v>HOPE-PE V</v>
      </c>
      <c r="G4011" t="str">
        <f>"04-254"</f>
        <v>04-254</v>
      </c>
      <c r="H4011" t="str">
        <f>"B"</f>
        <v>B</v>
      </c>
    </row>
    <row r="4012" spans="1:8" x14ac:dyDescent="0.2">
      <c r="A4012" t="str">
        <f t="shared" si="1466"/>
        <v>0615026822</v>
      </c>
      <c r="B4012" t="str">
        <f t="shared" si="1467"/>
        <v>JUSTIN</v>
      </c>
      <c r="C4012" t="str">
        <f t="shared" si="1468"/>
        <v>DALMASI</v>
      </c>
      <c r="D4012">
        <f>11</f>
        <v>11</v>
      </c>
      <c r="E4012" t="str">
        <f>"05 - B - 205 - Rosa Elaine  Collado-Duff"</f>
        <v>05 - B - 205 - Rosa Elaine  Collado-Duff</v>
      </c>
      <c r="F4012" t="str">
        <f>"PRE-AICE SPAN 2 IG"</f>
        <v>PRE-AICE SPAN 2 IG</v>
      </c>
      <c r="G4012" t="str">
        <f>"09-913"</f>
        <v>09-913</v>
      </c>
      <c r="H4012" t="str">
        <f>"B"</f>
        <v>B</v>
      </c>
    </row>
    <row r="4013" spans="1:8" x14ac:dyDescent="0.2">
      <c r="A4013" t="str">
        <f t="shared" si="1466"/>
        <v>0615026822</v>
      </c>
      <c r="B4013" t="str">
        <f t="shared" si="1467"/>
        <v>JUSTIN</v>
      </c>
      <c r="C4013" t="str">
        <f t="shared" si="1468"/>
        <v>DALMASI</v>
      </c>
      <c r="D4013">
        <f>11</f>
        <v>11</v>
      </c>
      <c r="E4013" t="str">
        <f>"01 - A - 101 - Kyle  Robbins"</f>
        <v>01 - A - 101 - Kyle  Robbins</v>
      </c>
      <c r="F4013" t="str">
        <f>"US HISTORY"</f>
        <v>US HISTORY</v>
      </c>
      <c r="G4013" t="str">
        <f>"17-1745"</f>
        <v>17-1745</v>
      </c>
      <c r="H4013" t="str">
        <f>"A"</f>
        <v>A</v>
      </c>
    </row>
    <row r="4014" spans="1:8" x14ac:dyDescent="0.2">
      <c r="A4014" t="str">
        <f t="shared" si="1466"/>
        <v>0615026822</v>
      </c>
      <c r="B4014" t="str">
        <f t="shared" si="1467"/>
        <v>JUSTIN</v>
      </c>
      <c r="C4014" t="str">
        <f t="shared" si="1468"/>
        <v>DALMASI</v>
      </c>
      <c r="D4014">
        <f>11</f>
        <v>11</v>
      </c>
      <c r="E4014" t="str">
        <f>"08 - B - 106 - Lisa  Quinn"</f>
        <v>08 - B - 106 - Lisa  Quinn</v>
      </c>
      <c r="F4014" t="str">
        <f>"ENG 3"</f>
        <v>ENG 3</v>
      </c>
      <c r="G4014" t="str">
        <f>"17-1725"</f>
        <v>17-1725</v>
      </c>
      <c r="H4014" t="str">
        <f>"B"</f>
        <v>B</v>
      </c>
    </row>
    <row r="4015" spans="1:8" x14ac:dyDescent="0.2">
      <c r="A4015" t="str">
        <f>"0624049047"</f>
        <v>0624049047</v>
      </c>
      <c r="B4015" t="str">
        <f>"SHANELL"</f>
        <v>SHANELL</v>
      </c>
      <c r="C4015" t="str">
        <f>"D'ALMEIDA"</f>
        <v>D'ALMEIDA</v>
      </c>
      <c r="D4015">
        <f>12</f>
        <v>12</v>
      </c>
      <c r="E4015" t="str">
        <f>"19 - S1 - MTWHF - BCC - Instructor BC"</f>
        <v>19 - S1 - MTWHF - BCC - Instructor BC</v>
      </c>
      <c r="F4015" t="str">
        <f>"INTRO SPE COMM"</f>
        <v>INTRO SPE COMM</v>
      </c>
      <c r="G4015" t="str">
        <f>"60-DE"</f>
        <v>60-DE</v>
      </c>
      <c r="H4015" t="str">
        <f>"-"</f>
        <v>-</v>
      </c>
    </row>
    <row r="4016" spans="1:8" x14ac:dyDescent="0.2">
      <c r="A4016" t="str">
        <f>"0624049047"</f>
        <v>0624049047</v>
      </c>
      <c r="B4016" t="str">
        <f>"SHANELL"</f>
        <v>SHANELL</v>
      </c>
      <c r="C4016" t="str">
        <f>"D'ALMEIDA"</f>
        <v>D'ALMEIDA</v>
      </c>
      <c r="D4016">
        <f>12</f>
        <v>12</v>
      </c>
      <c r="E4016" t="str">
        <f>"19 - S1 - MTWHF - BCC - Instructor BC"</f>
        <v>19 - S1 - MTWHF - BCC - Instructor BC</v>
      </c>
      <c r="F4016" t="str">
        <f>"INTRO TO LITERATURE"</f>
        <v>INTRO TO LITERATURE</v>
      </c>
      <c r="G4016" t="str">
        <f>"60-DE"</f>
        <v>60-DE</v>
      </c>
      <c r="H4016" t="str">
        <f>"-"</f>
        <v>-</v>
      </c>
    </row>
    <row r="4017" spans="1:8" x14ac:dyDescent="0.2">
      <c r="A4017" t="str">
        <f>"0624049047"</f>
        <v>0624049047</v>
      </c>
      <c r="B4017" t="str">
        <f>"SHANELL"</f>
        <v>SHANELL</v>
      </c>
      <c r="C4017" t="str">
        <f>"D'ALMEIDA"</f>
        <v>D'ALMEIDA</v>
      </c>
      <c r="D4017">
        <f>12</f>
        <v>12</v>
      </c>
      <c r="E4017" t="str">
        <f>"19 - S1 - MTWHF - BCC - Instructor BC"</f>
        <v>19 - S1 - MTWHF - BCC - Instructor BC</v>
      </c>
      <c r="F4017" t="str">
        <f>"NATIONAL GOVERNMENT"</f>
        <v>NATIONAL GOVERNMENT</v>
      </c>
      <c r="G4017" t="str">
        <f>"60-DE"</f>
        <v>60-DE</v>
      </c>
      <c r="H4017" t="str">
        <f>"-"</f>
        <v>-</v>
      </c>
    </row>
    <row r="4018" spans="1:8" x14ac:dyDescent="0.2">
      <c r="A4018" t="str">
        <f>"0624049047"</f>
        <v>0624049047</v>
      </c>
      <c r="B4018" t="str">
        <f>"SHANELL"</f>
        <v>SHANELL</v>
      </c>
      <c r="C4018" t="str">
        <f>"D'ALMEIDA"</f>
        <v>D'ALMEIDA</v>
      </c>
      <c r="D4018">
        <f>12</f>
        <v>12</v>
      </c>
      <c r="E4018" t="str">
        <f>"19 - S1 - MTWHF - BCC - Instructor BC"</f>
        <v>19 - S1 - MTWHF - BCC - Instructor BC</v>
      </c>
      <c r="F4018" t="str">
        <f>"PRIN ECONOMICS I"</f>
        <v>PRIN ECONOMICS I</v>
      </c>
      <c r="G4018" t="str">
        <f>"60-DE"</f>
        <v>60-DE</v>
      </c>
      <c r="H4018" t="str">
        <f>"-"</f>
        <v>-</v>
      </c>
    </row>
    <row r="4019" spans="1:8" x14ac:dyDescent="0.2">
      <c r="A4019" t="str">
        <f>"0624049047"</f>
        <v>0624049047</v>
      </c>
      <c r="B4019" t="str">
        <f>"SHANELL"</f>
        <v>SHANELL</v>
      </c>
      <c r="C4019" t="str">
        <f>"D'ALMEIDA"</f>
        <v>D'ALMEIDA</v>
      </c>
      <c r="D4019">
        <f>12</f>
        <v>12</v>
      </c>
      <c r="E4019" t="str">
        <f>"19 - S1 - MTWHF - B18 - Instructor BC"</f>
        <v>19 - S1 - MTWHF - B18 - Instructor BC</v>
      </c>
      <c r="F4019" t="str">
        <f>"MATH THINKING IN CONTEXT"</f>
        <v>MATH THINKING IN CONTEXT</v>
      </c>
      <c r="G4019" t="str">
        <f>"60-DE"</f>
        <v>60-DE</v>
      </c>
      <c r="H4019" t="str">
        <f>"-"</f>
        <v>-</v>
      </c>
    </row>
    <row r="4020" spans="1:8" x14ac:dyDescent="0.2">
      <c r="A4020" t="str">
        <f t="shared" ref="A4020:A4027" si="1469">"0617017371"</f>
        <v>0617017371</v>
      </c>
      <c r="B4020" t="str">
        <f t="shared" ref="B4020:B4027" si="1470">"MARIO"</f>
        <v>MARIO</v>
      </c>
      <c r="C4020" t="str">
        <f t="shared" ref="C4020:C4035" si="1471">"DAMAS"</f>
        <v>DAMAS</v>
      </c>
      <c r="D4020" t="str">
        <f t="shared" ref="D4020:D4027" si="1472">"09"</f>
        <v>09</v>
      </c>
      <c r="E4020" t="str">
        <f>"04 - A - 103 - Joe  Kilpatrick Jr"</f>
        <v>04 - A - 103 - Joe  Kilpatrick Jr</v>
      </c>
      <c r="F4020" t="str">
        <f>"PRE-AICE SPAN 1 IG"</f>
        <v>PRE-AICE SPAN 1 IG</v>
      </c>
      <c r="G4020" t="str">
        <f>"09-912"</f>
        <v>09-912</v>
      </c>
      <c r="H4020" t="str">
        <f>"A"</f>
        <v>A</v>
      </c>
    </row>
    <row r="4021" spans="1:8" x14ac:dyDescent="0.2">
      <c r="A4021" t="str">
        <f t="shared" si="1469"/>
        <v>0617017371</v>
      </c>
      <c r="B4021" t="str">
        <f t="shared" si="1470"/>
        <v>MARIO</v>
      </c>
      <c r="C4021" t="str">
        <f t="shared" si="1471"/>
        <v>DAMAS</v>
      </c>
      <c r="D4021" t="str">
        <f t="shared" si="1472"/>
        <v>09</v>
      </c>
      <c r="E4021" t="str">
        <f>"06 - B - 105 - Cerine S Stewart"</f>
        <v>06 - B - 105 - Cerine S Stewart</v>
      </c>
      <c r="F4021" t="str">
        <f>"AICE ENG GEN PAPER 1"</f>
        <v>AICE ENG GEN PAPER 1</v>
      </c>
      <c r="G4021" t="str">
        <f>"17-1720"</f>
        <v>17-1720</v>
      </c>
      <c r="H4021" t="str">
        <f>"B"</f>
        <v>B</v>
      </c>
    </row>
    <row r="4022" spans="1:8" x14ac:dyDescent="0.2">
      <c r="A4022" t="str">
        <f t="shared" si="1469"/>
        <v>0617017371</v>
      </c>
      <c r="B4022" t="str">
        <f t="shared" si="1470"/>
        <v>MARIO</v>
      </c>
      <c r="C4022" t="str">
        <f t="shared" si="1471"/>
        <v>DAMAS</v>
      </c>
      <c r="D4022" t="str">
        <f t="shared" si="1472"/>
        <v>09</v>
      </c>
      <c r="E4022" t="str">
        <f>"03 - A - 103 - Adam Marcus  Drucker"</f>
        <v>03 - A - 103 - Adam Marcus  Drucker</v>
      </c>
      <c r="F4022" t="str">
        <f>"HOPE-PE V"</f>
        <v>HOPE-PE V</v>
      </c>
      <c r="G4022" t="str">
        <f>"04-254"</f>
        <v>04-254</v>
      </c>
      <c r="H4022" t="str">
        <f>"A"</f>
        <v>A</v>
      </c>
    </row>
    <row r="4023" spans="1:8" x14ac:dyDescent="0.2">
      <c r="A4023" t="str">
        <f t="shared" si="1469"/>
        <v>0617017371</v>
      </c>
      <c r="B4023" t="str">
        <f t="shared" si="1470"/>
        <v>MARIO</v>
      </c>
      <c r="C4023" t="str">
        <f t="shared" si="1471"/>
        <v>DAMAS</v>
      </c>
      <c r="D4023" t="str">
        <f t="shared" si="1472"/>
        <v>09</v>
      </c>
      <c r="E4023" t="str">
        <f>"02 - A - 106 - Helen A Flores"</f>
        <v>02 - A - 106 - Helen A Flores</v>
      </c>
      <c r="F4023" t="str">
        <f>"NC STUDY HALL 1"</f>
        <v>NC STUDY HALL 1</v>
      </c>
      <c r="G4023" t="str">
        <f>"21-2101"</f>
        <v>21-2101</v>
      </c>
      <c r="H4023" t="str">
        <f>"A"</f>
        <v>A</v>
      </c>
    </row>
    <row r="4024" spans="1:8" x14ac:dyDescent="0.2">
      <c r="A4024" t="str">
        <f t="shared" si="1469"/>
        <v>0617017371</v>
      </c>
      <c r="B4024" t="str">
        <f t="shared" si="1470"/>
        <v>MARIO</v>
      </c>
      <c r="C4024" t="str">
        <f t="shared" si="1471"/>
        <v>DAMAS</v>
      </c>
      <c r="D4024" t="str">
        <f t="shared" si="1472"/>
        <v>09</v>
      </c>
      <c r="E4024" t="str">
        <f>"07 - B - 105 - Paige Lauren  Brochu"</f>
        <v>07 - B - 105 - Paige Lauren  Brochu</v>
      </c>
      <c r="F4024" t="str">
        <f>"PRE-AICE BIO IG"</f>
        <v>PRE-AICE BIO IG</v>
      </c>
      <c r="G4024" t="str">
        <f>"21-2134"</f>
        <v>21-2134</v>
      </c>
      <c r="H4024" t="str">
        <f>"B"</f>
        <v>B</v>
      </c>
    </row>
    <row r="4025" spans="1:8" x14ac:dyDescent="0.2">
      <c r="A4025" t="str">
        <f t="shared" si="1469"/>
        <v>0617017371</v>
      </c>
      <c r="B4025" t="str">
        <f t="shared" si="1470"/>
        <v>MARIO</v>
      </c>
      <c r="C4025" t="str">
        <f t="shared" si="1471"/>
        <v>DAMAS</v>
      </c>
      <c r="D4025" t="str">
        <f t="shared" si="1472"/>
        <v>09</v>
      </c>
      <c r="E4025" t="str">
        <f>"05 - B - 102 - Jeanne M Bermudez"</f>
        <v>05 - B - 102 - Jeanne M Bermudez</v>
      </c>
      <c r="F4025" t="str">
        <f>"ADVANCED IT HON"</f>
        <v>ADVANCED IT HON</v>
      </c>
      <c r="G4025" t="str">
        <f>"21-2141"</f>
        <v>21-2141</v>
      </c>
      <c r="H4025" t="str">
        <f>"B"</f>
        <v>B</v>
      </c>
    </row>
    <row r="4026" spans="1:8" x14ac:dyDescent="0.2">
      <c r="A4026" t="str">
        <f t="shared" si="1469"/>
        <v>0617017371</v>
      </c>
      <c r="B4026" t="str">
        <f t="shared" si="1470"/>
        <v>MARIO</v>
      </c>
      <c r="C4026" t="str">
        <f t="shared" si="1471"/>
        <v>DAMAS</v>
      </c>
      <c r="D4026" t="str">
        <f t="shared" si="1472"/>
        <v>09</v>
      </c>
      <c r="E4026" t="str">
        <f>"01 - A - 102 - Brook E Goren"</f>
        <v>01 - A - 102 - Brook E Goren</v>
      </c>
      <c r="F4026" t="str">
        <f>"PRE-AICE MATH 2 IG"</f>
        <v>PRE-AICE MATH 2 IG</v>
      </c>
      <c r="G4026" t="str">
        <f>"21-2158"</f>
        <v>21-2158</v>
      </c>
      <c r="H4026" t="str">
        <f>"A"</f>
        <v>A</v>
      </c>
    </row>
    <row r="4027" spans="1:8" x14ac:dyDescent="0.2">
      <c r="A4027" t="str">
        <f t="shared" si="1469"/>
        <v>0617017371</v>
      </c>
      <c r="B4027" t="str">
        <f t="shared" si="1470"/>
        <v>MARIO</v>
      </c>
      <c r="C4027" t="str">
        <f t="shared" si="1471"/>
        <v>DAMAS</v>
      </c>
      <c r="D4027" t="str">
        <f t="shared" si="1472"/>
        <v>09</v>
      </c>
      <c r="E4027" t="str">
        <f>"08 - B - 109 - Rory T Sponsler"</f>
        <v>08 - B - 109 - Rory T Sponsler</v>
      </c>
      <c r="F4027" t="str">
        <f>"PRE-AICE WRLD HST IG"</f>
        <v>PRE-AICE WRLD HST IG</v>
      </c>
      <c r="G4027" t="str">
        <f>"17-1740"</f>
        <v>17-1740</v>
      </c>
      <c r="H4027" t="str">
        <f>"B"</f>
        <v>B</v>
      </c>
    </row>
    <row r="4028" spans="1:8" x14ac:dyDescent="0.2">
      <c r="A4028" t="str">
        <f t="shared" ref="A4028:A4035" si="1473">"0615025435"</f>
        <v>0615025435</v>
      </c>
      <c r="B4028" t="str">
        <f t="shared" ref="B4028:B4035" si="1474">"SARAH-LISE"</f>
        <v>SARAH-LISE</v>
      </c>
      <c r="C4028" t="str">
        <f t="shared" si="1471"/>
        <v>DAMAS</v>
      </c>
      <c r="D4028">
        <f>11</f>
        <v>11</v>
      </c>
      <c r="E4028" t="str">
        <f>"04 - A - 102 - Byron G Montenegro"</f>
        <v>04 - A - 102 - Byron G Montenegro</v>
      </c>
      <c r="F4028" t="str">
        <f>"AICE MARINE SCI 1 AS"</f>
        <v>AICE MARINE SCI 1 AS</v>
      </c>
      <c r="G4028" t="str">
        <f>"21-2144"</f>
        <v>21-2144</v>
      </c>
      <c r="H4028" t="str">
        <f>"A"</f>
        <v>A</v>
      </c>
    </row>
    <row r="4029" spans="1:8" x14ac:dyDescent="0.2">
      <c r="A4029" t="str">
        <f t="shared" si="1473"/>
        <v>0615025435</v>
      </c>
      <c r="B4029" t="str">
        <f t="shared" si="1474"/>
        <v>SARAH-LISE</v>
      </c>
      <c r="C4029" t="str">
        <f t="shared" si="1471"/>
        <v>DAMAS</v>
      </c>
      <c r="D4029">
        <f>11</f>
        <v>11</v>
      </c>
      <c r="E4029" t="str">
        <f>"06 - B - 101 - Bruce A Evans"</f>
        <v>06 - B - 101 - Bruce A Evans</v>
      </c>
      <c r="F4029" t="str">
        <f>"EMERG MED RESP 3 HON"</f>
        <v>EMERG MED RESP 3 HON</v>
      </c>
      <c r="G4029" t="str">
        <f>"21-2142"</f>
        <v>21-2142</v>
      </c>
      <c r="H4029" t="str">
        <f>"B"</f>
        <v>B</v>
      </c>
    </row>
    <row r="4030" spans="1:8" x14ac:dyDescent="0.2">
      <c r="A4030" t="str">
        <f t="shared" si="1473"/>
        <v>0615025435</v>
      </c>
      <c r="B4030" t="str">
        <f t="shared" si="1474"/>
        <v>SARAH-LISE</v>
      </c>
      <c r="C4030" t="str">
        <f t="shared" si="1471"/>
        <v>DAMAS</v>
      </c>
      <c r="D4030">
        <f>11</f>
        <v>11</v>
      </c>
      <c r="E4030" t="str">
        <f>"03 - A - 202 - Bruce A Evans"</f>
        <v>03 - A - 202 - Bruce A Evans</v>
      </c>
      <c r="F4030" t="str">
        <f>"HEALTH SCI FOUND HON"</f>
        <v>HEALTH SCI FOUND HON</v>
      </c>
      <c r="G4030" t="str">
        <f>"21-2142"</f>
        <v>21-2142</v>
      </c>
      <c r="H4030" t="str">
        <f>"A"</f>
        <v>A</v>
      </c>
    </row>
    <row r="4031" spans="1:8" x14ac:dyDescent="0.2">
      <c r="A4031" t="str">
        <f t="shared" si="1473"/>
        <v>0615025435</v>
      </c>
      <c r="B4031" t="str">
        <f t="shared" si="1474"/>
        <v>SARAH-LISE</v>
      </c>
      <c r="C4031" t="str">
        <f t="shared" si="1471"/>
        <v>DAMAS</v>
      </c>
      <c r="D4031">
        <f>11</f>
        <v>11</v>
      </c>
      <c r="E4031" t="str">
        <f>"02 - A - 102 - Fernando  Vega-Cid"</f>
        <v>02 - A - 102 - Fernando  Vega-Cid</v>
      </c>
      <c r="F4031" t="str">
        <f>"NC STUDY HALL 1"</f>
        <v>NC STUDY HALL 1</v>
      </c>
      <c r="G4031" t="str">
        <f>"21-2163"</f>
        <v>21-2163</v>
      </c>
      <c r="H4031" t="str">
        <f>"A"</f>
        <v>A</v>
      </c>
    </row>
    <row r="4032" spans="1:8" x14ac:dyDescent="0.2">
      <c r="A4032" t="str">
        <f t="shared" si="1473"/>
        <v>0615025435</v>
      </c>
      <c r="B4032" t="str">
        <f t="shared" si="1474"/>
        <v>SARAH-LISE</v>
      </c>
      <c r="C4032" t="str">
        <f t="shared" si="1471"/>
        <v>DAMAS</v>
      </c>
      <c r="D4032">
        <f>11</f>
        <v>11</v>
      </c>
      <c r="E4032" t="str">
        <f>"07 - B - 105 - Robert H Rindner"</f>
        <v>07 - B - 105 - Robert H Rindner</v>
      </c>
      <c r="F4032" t="str">
        <f>"MATH DATA&amp;FIN LIT H"</f>
        <v>MATH DATA&amp;FIN LIT H</v>
      </c>
      <c r="G4032" t="str">
        <f>"21-2160"</f>
        <v>21-2160</v>
      </c>
      <c r="H4032" t="str">
        <f>"B"</f>
        <v>B</v>
      </c>
    </row>
    <row r="4033" spans="1:8" x14ac:dyDescent="0.2">
      <c r="A4033" t="str">
        <f t="shared" si="1473"/>
        <v>0615025435</v>
      </c>
      <c r="B4033" t="str">
        <f t="shared" si="1474"/>
        <v>SARAH-LISE</v>
      </c>
      <c r="C4033" t="str">
        <f t="shared" si="1471"/>
        <v>DAMAS</v>
      </c>
      <c r="D4033">
        <f>11</f>
        <v>11</v>
      </c>
      <c r="E4033" t="str">
        <f>"05 - B - 102 - Jerry S Jiampetti"</f>
        <v>05 - B - 102 - Jerry S Jiampetti</v>
      </c>
      <c r="F4033" t="str">
        <f>"AICE U.S. HIST 1 AS"</f>
        <v>AICE U.S. HIST 1 AS</v>
      </c>
      <c r="G4033" t="str">
        <f>"17-1751"</f>
        <v>17-1751</v>
      </c>
      <c r="H4033" t="str">
        <f>"B"</f>
        <v>B</v>
      </c>
    </row>
    <row r="4034" spans="1:8" x14ac:dyDescent="0.2">
      <c r="A4034" t="str">
        <f t="shared" si="1473"/>
        <v>0615025435</v>
      </c>
      <c r="B4034" t="str">
        <f t="shared" si="1474"/>
        <v>SARAH-LISE</v>
      </c>
      <c r="C4034" t="str">
        <f t="shared" si="1471"/>
        <v>DAMAS</v>
      </c>
      <c r="D4034">
        <f>11</f>
        <v>11</v>
      </c>
      <c r="E4034" t="str">
        <f>"01 - A - 504 - Alejandro  Navarro"</f>
        <v>01 - A - 504 - Alejandro  Navarro</v>
      </c>
      <c r="F4034" t="str">
        <f>"BAND 1"</f>
        <v>BAND 1</v>
      </c>
      <c r="G4034" t="str">
        <f>"05-504"</f>
        <v>05-504</v>
      </c>
      <c r="H4034" t="str">
        <f>"A"</f>
        <v>A</v>
      </c>
    </row>
    <row r="4035" spans="1:8" x14ac:dyDescent="0.2">
      <c r="A4035" t="str">
        <f t="shared" si="1473"/>
        <v>0615025435</v>
      </c>
      <c r="B4035" t="str">
        <f t="shared" si="1474"/>
        <v>SARAH-LISE</v>
      </c>
      <c r="C4035" t="str">
        <f t="shared" si="1471"/>
        <v>DAMAS</v>
      </c>
      <c r="D4035">
        <f>11</f>
        <v>11</v>
      </c>
      <c r="E4035" t="str">
        <f>"08 - B - 105 - Brandy N Zdenek"</f>
        <v>08 - B - 105 - Brandy N Zdenek</v>
      </c>
      <c r="F4035" t="str">
        <f>"AICE ENG LANG 2 AL"</f>
        <v>AICE ENG LANG 2 AL</v>
      </c>
      <c r="G4035" t="str">
        <f>"17-1704"</f>
        <v>17-1704</v>
      </c>
      <c r="H4035" t="str">
        <f>"B"</f>
        <v>B</v>
      </c>
    </row>
    <row r="4036" spans="1:8" x14ac:dyDescent="0.2">
      <c r="A4036" t="str">
        <f t="shared" ref="A4036:A4043" si="1475">"0615003043"</f>
        <v>0615003043</v>
      </c>
      <c r="B4036" t="str">
        <f t="shared" ref="B4036:B4043" si="1476">"DYME-DEMARCO"</f>
        <v>DYME-DEMARCO</v>
      </c>
      <c r="C4036" t="str">
        <f t="shared" ref="C4036:C4043" si="1477">"DAMES"</f>
        <v>DAMES</v>
      </c>
      <c r="D4036">
        <f>11</f>
        <v>11</v>
      </c>
      <c r="E4036" t="str">
        <f>"04 - S1 - A - 103 - James H Mccann"</f>
        <v>04 - S1 - A - 103 - James H Mccann</v>
      </c>
      <c r="F4036" t="str">
        <f>"PERS FIN &amp; MON MGT H"</f>
        <v>PERS FIN &amp; MON MGT H</v>
      </c>
      <c r="G4036" t="str">
        <f>"17-1716"</f>
        <v>17-1716</v>
      </c>
      <c r="H4036" t="str">
        <f>"A"</f>
        <v>A</v>
      </c>
    </row>
    <row r="4037" spans="1:8" x14ac:dyDescent="0.2">
      <c r="A4037" t="str">
        <f t="shared" si="1475"/>
        <v>0615003043</v>
      </c>
      <c r="B4037" t="str">
        <f t="shared" si="1476"/>
        <v>DYME-DEMARCO</v>
      </c>
      <c r="C4037" t="str">
        <f t="shared" si="1477"/>
        <v>DAMES</v>
      </c>
      <c r="D4037">
        <f>11</f>
        <v>11</v>
      </c>
      <c r="E4037" t="str">
        <f>"06 - B - 108 - Milca  Exantus"</f>
        <v>06 - B - 108 - Milca  Exantus</v>
      </c>
      <c r="F4037" t="str">
        <f>"MATH COLLEGE LIB ART"</f>
        <v>MATH COLLEGE LIB ART</v>
      </c>
      <c r="G4037" t="str">
        <f>"21-2145"</f>
        <v>21-2145</v>
      </c>
      <c r="H4037" t="str">
        <f>"B"</f>
        <v>B</v>
      </c>
    </row>
    <row r="4038" spans="1:8" x14ac:dyDescent="0.2">
      <c r="A4038" t="str">
        <f t="shared" si="1475"/>
        <v>0615003043</v>
      </c>
      <c r="B4038" t="str">
        <f t="shared" si="1476"/>
        <v>DYME-DEMARCO</v>
      </c>
      <c r="C4038" t="str">
        <f t="shared" si="1477"/>
        <v>DAMES</v>
      </c>
      <c r="D4038">
        <f>11</f>
        <v>11</v>
      </c>
      <c r="E4038" t="str">
        <f>"03 - A - 208 - Marielle A Witting"</f>
        <v>03 - A - 208 - Marielle A Witting</v>
      </c>
      <c r="F4038" t="str">
        <f>"ANAT PHYSIO"</f>
        <v>ANAT PHYSIO</v>
      </c>
      <c r="G4038" t="str">
        <f>"08-805"</f>
        <v>08-805</v>
      </c>
      <c r="H4038" t="str">
        <f>"A"</f>
        <v>A</v>
      </c>
    </row>
    <row r="4039" spans="1:8" x14ac:dyDescent="0.2">
      <c r="A4039" t="str">
        <f t="shared" si="1475"/>
        <v>0615003043</v>
      </c>
      <c r="B4039" t="str">
        <f t="shared" si="1476"/>
        <v>DYME-DEMARCO</v>
      </c>
      <c r="C4039" t="str">
        <f t="shared" si="1477"/>
        <v>DAMES</v>
      </c>
      <c r="D4039">
        <f>11</f>
        <v>11</v>
      </c>
      <c r="E4039" t="str">
        <f>"02 - A - 117 - Kyle  Robbins"</f>
        <v>02 - A - 117 - Kyle  Robbins</v>
      </c>
      <c r="F4039" t="str">
        <f>"NC STUDY HALL 1"</f>
        <v>NC STUDY HALL 1</v>
      </c>
      <c r="G4039" t="str">
        <f>"17-1745"</f>
        <v>17-1745</v>
      </c>
      <c r="H4039" t="str">
        <f>"A"</f>
        <v>A</v>
      </c>
    </row>
    <row r="4040" spans="1:8" x14ac:dyDescent="0.2">
      <c r="A4040" t="str">
        <f t="shared" si="1475"/>
        <v>0615003043</v>
      </c>
      <c r="B4040" t="str">
        <f t="shared" si="1476"/>
        <v>DYME-DEMARCO</v>
      </c>
      <c r="C4040" t="str">
        <f t="shared" si="1477"/>
        <v>DAMES</v>
      </c>
      <c r="D4040">
        <f>11</f>
        <v>11</v>
      </c>
      <c r="E4040" t="str">
        <f>"07 - B - 002 - Jazmin S Fletcher"</f>
        <v>07 - B - 002 - Jazmin S Fletcher</v>
      </c>
      <c r="F4040" t="str">
        <f>"THEATRE 1"</f>
        <v>THEATRE 1</v>
      </c>
      <c r="G4040" t="str">
        <f>"09-909"</f>
        <v>09-909</v>
      </c>
      <c r="H4040" t="str">
        <f>"B"</f>
        <v>B</v>
      </c>
    </row>
    <row r="4041" spans="1:8" x14ac:dyDescent="0.2">
      <c r="A4041" t="str">
        <f t="shared" si="1475"/>
        <v>0615003043</v>
      </c>
      <c r="B4041" t="str">
        <f t="shared" si="1476"/>
        <v>DYME-DEMARCO</v>
      </c>
      <c r="C4041" t="str">
        <f t="shared" si="1477"/>
        <v>DAMES</v>
      </c>
      <c r="D4041">
        <f>11</f>
        <v>11</v>
      </c>
      <c r="E4041" t="str">
        <f>"05 - B - 104 - Lisa  Quinn"</f>
        <v>05 - B - 104 - Lisa  Quinn</v>
      </c>
      <c r="F4041" t="str">
        <f>"ENG 3"</f>
        <v>ENG 3</v>
      </c>
      <c r="G4041" t="str">
        <f>"17-1725"</f>
        <v>17-1725</v>
      </c>
      <c r="H4041" t="str">
        <f>"B"</f>
        <v>B</v>
      </c>
    </row>
    <row r="4042" spans="1:8" x14ac:dyDescent="0.2">
      <c r="A4042" t="str">
        <f t="shared" si="1475"/>
        <v>0615003043</v>
      </c>
      <c r="B4042" t="str">
        <f t="shared" si="1476"/>
        <v>DYME-DEMARCO</v>
      </c>
      <c r="C4042" t="str">
        <f t="shared" si="1477"/>
        <v>DAMES</v>
      </c>
      <c r="D4042">
        <f>11</f>
        <v>11</v>
      </c>
      <c r="E4042" t="str">
        <f>"01 - A - 101 - Nahum  Saint-Preux"</f>
        <v>01 - A - 101 - Nahum  Saint-Preux</v>
      </c>
      <c r="F4042" t="str">
        <f>"INTENS READ 3"</f>
        <v>INTENS READ 3</v>
      </c>
      <c r="G4042" t="str">
        <f>"17-1712"</f>
        <v>17-1712</v>
      </c>
      <c r="H4042" t="str">
        <f>"A"</f>
        <v>A</v>
      </c>
    </row>
    <row r="4043" spans="1:8" x14ac:dyDescent="0.2">
      <c r="A4043" t="str">
        <f t="shared" si="1475"/>
        <v>0615003043</v>
      </c>
      <c r="B4043" t="str">
        <f t="shared" si="1476"/>
        <v>DYME-DEMARCO</v>
      </c>
      <c r="C4043" t="str">
        <f t="shared" si="1477"/>
        <v>DAMES</v>
      </c>
      <c r="D4043">
        <f>11</f>
        <v>11</v>
      </c>
      <c r="E4043" t="str">
        <f>"08 - B - 109 - Lauren N Logan"</f>
        <v>08 - B - 109 - Lauren N Logan</v>
      </c>
      <c r="F4043" t="str">
        <f>"US HISTORY"</f>
        <v>US HISTORY</v>
      </c>
      <c r="G4043" t="str">
        <f>"17-1754"</f>
        <v>17-1754</v>
      </c>
      <c r="H4043" t="str">
        <f>"B"</f>
        <v>B</v>
      </c>
    </row>
    <row r="4044" spans="1:8" x14ac:dyDescent="0.2">
      <c r="A4044" t="str">
        <f t="shared" ref="A4044:A4051" si="1478">"0609112716"</f>
        <v>0609112716</v>
      </c>
      <c r="B4044" t="str">
        <f t="shared" ref="B4044:B4051" si="1479">"TATYANA"</f>
        <v>TATYANA</v>
      </c>
      <c r="C4044" t="str">
        <f t="shared" ref="C4044:C4059" si="1480">"DANIELS"</f>
        <v>DANIELS</v>
      </c>
      <c r="D4044">
        <f>11</f>
        <v>11</v>
      </c>
      <c r="E4044" t="str">
        <f>"04 - S1 - A - 101 - Nahum  Saint-Preux"</f>
        <v>04 - S1 - A - 101 - Nahum  Saint-Preux</v>
      </c>
      <c r="F4044" t="str">
        <f>"CRIT THINK ST SKLS"</f>
        <v>CRIT THINK ST SKLS</v>
      </c>
      <c r="G4044" t="str">
        <f>"17-1712"</f>
        <v>17-1712</v>
      </c>
      <c r="H4044" t="str">
        <f>"A"</f>
        <v>A</v>
      </c>
    </row>
    <row r="4045" spans="1:8" x14ac:dyDescent="0.2">
      <c r="A4045" t="str">
        <f t="shared" si="1478"/>
        <v>0609112716</v>
      </c>
      <c r="B4045" t="str">
        <f t="shared" si="1479"/>
        <v>TATYANA</v>
      </c>
      <c r="C4045" t="str">
        <f t="shared" si="1480"/>
        <v>DANIELS</v>
      </c>
      <c r="D4045">
        <f>11</f>
        <v>11</v>
      </c>
      <c r="E4045" t="str">
        <f>"06 - B - 105 - Elizabeth Ellen  Moran"</f>
        <v>06 - B - 105 - Elizabeth Ellen  Moran</v>
      </c>
      <c r="F4045" t="str">
        <f>"US HISTORY"</f>
        <v>US HISTORY</v>
      </c>
      <c r="G4045" t="str">
        <f>"17-1752"</f>
        <v>17-1752</v>
      </c>
      <c r="H4045" t="str">
        <f>"B"</f>
        <v>B</v>
      </c>
    </row>
    <row r="4046" spans="1:8" x14ac:dyDescent="0.2">
      <c r="A4046" t="str">
        <f t="shared" si="1478"/>
        <v>0609112716</v>
      </c>
      <c r="B4046" t="str">
        <f t="shared" si="1479"/>
        <v>TATYANA</v>
      </c>
      <c r="C4046" t="str">
        <f t="shared" si="1480"/>
        <v>DANIELS</v>
      </c>
      <c r="D4046">
        <f>11</f>
        <v>11</v>
      </c>
      <c r="E4046" t="str">
        <f>"03 - A - 101 - Brian M Fitzgerald"</f>
        <v>03 - A - 101 - Brian M Fitzgerald</v>
      </c>
      <c r="F4046" t="str">
        <f>"SCULPT 1"</f>
        <v>SCULPT 1</v>
      </c>
      <c r="G4046" t="str">
        <f>"09-908"</f>
        <v>09-908</v>
      </c>
      <c r="H4046" t="str">
        <f>"A"</f>
        <v>A</v>
      </c>
    </row>
    <row r="4047" spans="1:8" x14ac:dyDescent="0.2">
      <c r="A4047" t="str">
        <f t="shared" si="1478"/>
        <v>0609112716</v>
      </c>
      <c r="B4047" t="str">
        <f t="shared" si="1479"/>
        <v>TATYANA</v>
      </c>
      <c r="C4047" t="str">
        <f t="shared" si="1480"/>
        <v>DANIELS</v>
      </c>
      <c r="D4047">
        <f>11</f>
        <v>11</v>
      </c>
      <c r="E4047" t="str">
        <f>"02 - A - 102 - Brook E Goren"</f>
        <v>02 - A - 102 - Brook E Goren</v>
      </c>
      <c r="F4047" t="str">
        <f>"NC STUDY HALL 1"</f>
        <v>NC STUDY HALL 1</v>
      </c>
      <c r="G4047" t="str">
        <f>"21-2158"</f>
        <v>21-2158</v>
      </c>
      <c r="H4047" t="str">
        <f>"A"</f>
        <v>A</v>
      </c>
    </row>
    <row r="4048" spans="1:8" x14ac:dyDescent="0.2">
      <c r="A4048" t="str">
        <f t="shared" si="1478"/>
        <v>0609112716</v>
      </c>
      <c r="B4048" t="str">
        <f t="shared" si="1479"/>
        <v>TATYANA</v>
      </c>
      <c r="C4048" t="str">
        <f t="shared" si="1480"/>
        <v>DANIELS</v>
      </c>
      <c r="D4048">
        <f>11</f>
        <v>11</v>
      </c>
      <c r="E4048" t="str">
        <f>"07 - B - 105 - Cliffon  Saurel"</f>
        <v>07 - B - 105 - Cliffon  Saurel</v>
      </c>
      <c r="F4048" t="str">
        <f>"PHYSICAL SCI"</f>
        <v>PHYSICAL SCI</v>
      </c>
      <c r="G4048" t="str">
        <f>"05-522"</f>
        <v>05-522</v>
      </c>
      <c r="H4048" t="str">
        <f>"B"</f>
        <v>B</v>
      </c>
    </row>
    <row r="4049" spans="1:8" x14ac:dyDescent="0.2">
      <c r="A4049" t="str">
        <f t="shared" si="1478"/>
        <v>0609112716</v>
      </c>
      <c r="B4049" t="str">
        <f t="shared" si="1479"/>
        <v>TATYANA</v>
      </c>
      <c r="C4049" t="str">
        <f t="shared" si="1480"/>
        <v>DANIELS</v>
      </c>
      <c r="D4049">
        <f>11</f>
        <v>11</v>
      </c>
      <c r="E4049" t="str">
        <f>"05 - B - 104 - Lisa  Quinn"</f>
        <v>05 - B - 104 - Lisa  Quinn</v>
      </c>
      <c r="F4049" t="str">
        <f>"ENG 3"</f>
        <v>ENG 3</v>
      </c>
      <c r="G4049" t="str">
        <f>"17-1725"</f>
        <v>17-1725</v>
      </c>
      <c r="H4049" t="str">
        <f>"B"</f>
        <v>B</v>
      </c>
    </row>
    <row r="4050" spans="1:8" x14ac:dyDescent="0.2">
      <c r="A4050" t="str">
        <f t="shared" si="1478"/>
        <v>0609112716</v>
      </c>
      <c r="B4050" t="str">
        <f t="shared" si="1479"/>
        <v>TATYANA</v>
      </c>
      <c r="C4050" t="str">
        <f t="shared" si="1480"/>
        <v>DANIELS</v>
      </c>
      <c r="D4050">
        <f>11</f>
        <v>11</v>
      </c>
      <c r="E4050" t="str">
        <f>"01 - A - 102 - Fernando  Vega-Cid"</f>
        <v>01 - A - 102 - Fernando  Vega-Cid</v>
      </c>
      <c r="F4050" t="str">
        <f>"GEOMETRY"</f>
        <v>GEOMETRY</v>
      </c>
      <c r="G4050" t="str">
        <f>"21-2163"</f>
        <v>21-2163</v>
      </c>
      <c r="H4050" t="str">
        <f>"A"</f>
        <v>A</v>
      </c>
    </row>
    <row r="4051" spans="1:8" x14ac:dyDescent="0.2">
      <c r="A4051" t="str">
        <f t="shared" si="1478"/>
        <v>0609112716</v>
      </c>
      <c r="B4051" t="str">
        <f t="shared" si="1479"/>
        <v>TATYANA</v>
      </c>
      <c r="C4051" t="str">
        <f t="shared" si="1480"/>
        <v>DANIELS</v>
      </c>
      <c r="D4051">
        <f>11</f>
        <v>11</v>
      </c>
      <c r="E4051" t="str">
        <f>"08 - B - 103 - Chrystina M Marchionne"</f>
        <v>08 - B - 103 - Chrystina M Marchionne</v>
      </c>
      <c r="F4051" t="str">
        <f>"JOURN 2 (YB) LH"</f>
        <v>JOURN 2 (YB) LH</v>
      </c>
      <c r="G4051" t="str">
        <f>"05-520"</f>
        <v>05-520</v>
      </c>
      <c r="H4051" t="str">
        <f>"B"</f>
        <v>B</v>
      </c>
    </row>
    <row r="4052" spans="1:8" x14ac:dyDescent="0.2">
      <c r="A4052" t="str">
        <f t="shared" ref="A4052:A4059" si="1481">"0616068900"</f>
        <v>0616068900</v>
      </c>
      <c r="B4052" t="str">
        <f t="shared" ref="B4052:B4059" si="1482">"WILLIE"</f>
        <v>WILLIE</v>
      </c>
      <c r="C4052" t="str">
        <f t="shared" si="1480"/>
        <v>DANIELS</v>
      </c>
      <c r="D4052" t="str">
        <f t="shared" ref="D4052:D4059" si="1483">"09"</f>
        <v>09</v>
      </c>
      <c r="E4052" t="str">
        <f>"04 - A - 102 - Tina L Lovett"</f>
        <v>04 - A - 102 - Tina L Lovett</v>
      </c>
      <c r="F4052" t="str">
        <f>"ALGEBRA 1"</f>
        <v>ALGEBRA 1</v>
      </c>
      <c r="G4052" t="str">
        <f>"21-2153"</f>
        <v>21-2153</v>
      </c>
      <c r="H4052" t="str">
        <f>"A"</f>
        <v>A</v>
      </c>
    </row>
    <row r="4053" spans="1:8" x14ac:dyDescent="0.2">
      <c r="A4053" t="str">
        <f t="shared" si="1481"/>
        <v>0616068900</v>
      </c>
      <c r="B4053" t="str">
        <f t="shared" si="1482"/>
        <v>WILLIE</v>
      </c>
      <c r="C4053" t="str">
        <f t="shared" si="1480"/>
        <v>DANIELS</v>
      </c>
      <c r="D4053" t="str">
        <f t="shared" si="1483"/>
        <v>09</v>
      </c>
      <c r="E4053" t="str">
        <f>"06 - B - 202 - Alejandro  Navarro"</f>
        <v>06 - B - 202 - Alejandro  Navarro</v>
      </c>
      <c r="F4053" t="str">
        <f>"BAND 1"</f>
        <v>BAND 1</v>
      </c>
      <c r="G4053" t="str">
        <f>"05-504"</f>
        <v>05-504</v>
      </c>
      <c r="H4053" t="str">
        <f>"B"</f>
        <v>B</v>
      </c>
    </row>
    <row r="4054" spans="1:8" x14ac:dyDescent="0.2">
      <c r="A4054" t="str">
        <f t="shared" si="1481"/>
        <v>0616068900</v>
      </c>
      <c r="B4054" t="str">
        <f t="shared" si="1482"/>
        <v>WILLIE</v>
      </c>
      <c r="C4054" t="str">
        <f t="shared" si="1480"/>
        <v>DANIELS</v>
      </c>
      <c r="D4054" t="str">
        <f t="shared" si="1483"/>
        <v>09</v>
      </c>
      <c r="E4054" t="str">
        <f>"03 - A - 105 - Cheryl Anne  Berman-Schechter"</f>
        <v>03 - A - 105 - Cheryl Anne  Berman-Schechter</v>
      </c>
      <c r="F4054" t="str">
        <f>"ENG 1"</f>
        <v>ENG 1</v>
      </c>
      <c r="G4054" t="str">
        <f>"17-1722"</f>
        <v>17-1722</v>
      </c>
      <c r="H4054" t="str">
        <f>"A"</f>
        <v>A</v>
      </c>
    </row>
    <row r="4055" spans="1:8" x14ac:dyDescent="0.2">
      <c r="A4055" t="str">
        <f t="shared" si="1481"/>
        <v>0616068900</v>
      </c>
      <c r="B4055" t="str">
        <f t="shared" si="1482"/>
        <v>WILLIE</v>
      </c>
      <c r="C4055" t="str">
        <f t="shared" si="1480"/>
        <v>DANIELS</v>
      </c>
      <c r="D4055" t="str">
        <f t="shared" si="1483"/>
        <v>09</v>
      </c>
      <c r="E4055" t="str">
        <f>"02 - A - 104 - Jazmin S Fletcher"</f>
        <v>02 - A - 104 - Jazmin S Fletcher</v>
      </c>
      <c r="F4055" t="str">
        <f>"NC STUDY HALL 1"</f>
        <v>NC STUDY HALL 1</v>
      </c>
      <c r="G4055" t="str">
        <f>"09-909"</f>
        <v>09-909</v>
      </c>
      <c r="H4055" t="str">
        <f>"A"</f>
        <v>A</v>
      </c>
    </row>
    <row r="4056" spans="1:8" x14ac:dyDescent="0.2">
      <c r="A4056" t="str">
        <f t="shared" si="1481"/>
        <v>0616068900</v>
      </c>
      <c r="B4056" t="str">
        <f t="shared" si="1482"/>
        <v>WILLIE</v>
      </c>
      <c r="C4056" t="str">
        <f t="shared" si="1480"/>
        <v>DANIELS</v>
      </c>
      <c r="D4056" t="str">
        <f t="shared" si="1483"/>
        <v>09</v>
      </c>
      <c r="E4056" t="str">
        <f>"07 - S1 - B - 103 - Leslie J Barton"</f>
        <v>07 - S1 - B - 103 - Leslie J Barton</v>
      </c>
      <c r="F4056" t="str">
        <f>"TEAM SPORTS 1"</f>
        <v>TEAM SPORTS 1</v>
      </c>
      <c r="G4056" t="str">
        <f>"04-254"</f>
        <v>04-254</v>
      </c>
      <c r="H4056" t="str">
        <f>"B"</f>
        <v>B</v>
      </c>
    </row>
    <row r="4057" spans="1:8" x14ac:dyDescent="0.2">
      <c r="A4057" t="str">
        <f t="shared" si="1481"/>
        <v>0616068900</v>
      </c>
      <c r="B4057" t="str">
        <f t="shared" si="1482"/>
        <v>WILLIE</v>
      </c>
      <c r="C4057" t="str">
        <f t="shared" si="1480"/>
        <v>DANIELS</v>
      </c>
      <c r="D4057" t="str">
        <f t="shared" si="1483"/>
        <v>09</v>
      </c>
      <c r="E4057" t="str">
        <f>"05 - B - 001 - Laselleda D Shaw"</f>
        <v>05 - B - 001 - Laselleda D Shaw</v>
      </c>
      <c r="F4057" t="str">
        <f>"INTENS READ 1"</f>
        <v>INTENS READ 1</v>
      </c>
      <c r="G4057" t="str">
        <f>"17-1723"</f>
        <v>17-1723</v>
      </c>
      <c r="H4057" t="str">
        <f>"B"</f>
        <v>B</v>
      </c>
    </row>
    <row r="4058" spans="1:8" x14ac:dyDescent="0.2">
      <c r="A4058" t="str">
        <f t="shared" si="1481"/>
        <v>0616068900</v>
      </c>
      <c r="B4058" t="str">
        <f t="shared" si="1482"/>
        <v>WILLIE</v>
      </c>
      <c r="C4058" t="str">
        <f t="shared" si="1480"/>
        <v>DANIELS</v>
      </c>
      <c r="D4058" t="str">
        <f t="shared" si="1483"/>
        <v>09</v>
      </c>
      <c r="E4058" t="str">
        <f>"01 - A - 103 - Amy Beth  Broyles"</f>
        <v>01 - A - 103 - Amy Beth  Broyles</v>
      </c>
      <c r="F4058" t="str">
        <f>"ENV SCI"</f>
        <v>ENV SCI</v>
      </c>
      <c r="G4058" t="str">
        <f>"08-802"</f>
        <v>08-802</v>
      </c>
      <c r="H4058" t="str">
        <f>"A"</f>
        <v>A</v>
      </c>
    </row>
    <row r="4059" spans="1:8" x14ac:dyDescent="0.2">
      <c r="A4059" t="str">
        <f t="shared" si="1481"/>
        <v>0616068900</v>
      </c>
      <c r="B4059" t="str">
        <f t="shared" si="1482"/>
        <v>WILLIE</v>
      </c>
      <c r="C4059" t="str">
        <f t="shared" si="1480"/>
        <v>DANIELS</v>
      </c>
      <c r="D4059" t="str">
        <f t="shared" si="1483"/>
        <v>09</v>
      </c>
      <c r="E4059" t="str">
        <f>"08 - B - 108 - Tina L Lovett"</f>
        <v>08 - B - 108 - Tina L Lovett</v>
      </c>
      <c r="F4059" t="str">
        <f>"FDN SKLS MATH 9-12"</f>
        <v>FDN SKLS MATH 9-12</v>
      </c>
      <c r="G4059" t="str">
        <f>"21-2153"</f>
        <v>21-2153</v>
      </c>
      <c r="H4059" t="str">
        <f>"B"</f>
        <v>B</v>
      </c>
    </row>
    <row r="4060" spans="1:8" x14ac:dyDescent="0.2">
      <c r="A4060" t="str">
        <f t="shared" ref="A4060:A4067" si="1484">"0616083956"</f>
        <v>0616083956</v>
      </c>
      <c r="B4060" t="str">
        <f t="shared" ref="B4060:B4067" si="1485">"VY"</f>
        <v>VY</v>
      </c>
      <c r="C4060" t="str">
        <f t="shared" ref="C4060:C4067" si="1486">"DAO"</f>
        <v>DAO</v>
      </c>
      <c r="D4060">
        <f>10</f>
        <v>10</v>
      </c>
      <c r="E4060" t="str">
        <f>"04 - A - 102 - Daniel S Katz"</f>
        <v>04 - A - 102 - Daniel S Katz</v>
      </c>
      <c r="F4060" t="str">
        <f>"AICE DRAMA 1 AS LEV"</f>
        <v>AICE DRAMA 1 AS LEV</v>
      </c>
      <c r="G4060" t="str">
        <f>"05-521"</f>
        <v>05-521</v>
      </c>
      <c r="H4060" t="str">
        <f>"A"</f>
        <v>A</v>
      </c>
    </row>
    <row r="4061" spans="1:8" x14ac:dyDescent="0.2">
      <c r="A4061" t="str">
        <f t="shared" si="1484"/>
        <v>0616083956</v>
      </c>
      <c r="B4061" t="str">
        <f t="shared" si="1485"/>
        <v>VY</v>
      </c>
      <c r="C4061" t="str">
        <f t="shared" si="1486"/>
        <v>DAO</v>
      </c>
      <c r="D4061">
        <f>10</f>
        <v>10</v>
      </c>
      <c r="E4061" t="str">
        <f>"06 - B - 114 - Richard E Dunbar Iii"</f>
        <v>06 - B - 114 - Richard E Dunbar Iii</v>
      </c>
      <c r="F4061" t="str">
        <f>"NC STUDY HALL 1"</f>
        <v>NC STUDY HALL 1</v>
      </c>
      <c r="G4061" t="str">
        <f>"17-1703"</f>
        <v>17-1703</v>
      </c>
      <c r="H4061" t="str">
        <f>"B"</f>
        <v>B</v>
      </c>
    </row>
    <row r="4062" spans="1:8" x14ac:dyDescent="0.2">
      <c r="A4062" t="str">
        <f t="shared" si="1484"/>
        <v>0616083956</v>
      </c>
      <c r="B4062" t="str">
        <f t="shared" si="1485"/>
        <v>VY</v>
      </c>
      <c r="C4062" t="str">
        <f t="shared" si="1486"/>
        <v>DAO</v>
      </c>
      <c r="D4062">
        <f>10</f>
        <v>10</v>
      </c>
      <c r="E4062" t="str">
        <f>"03 - A - 208 - Marielle A Witting"</f>
        <v>03 - A - 208 - Marielle A Witting</v>
      </c>
      <c r="F4062" t="str">
        <f>"ANAT PHYSIO"</f>
        <v>ANAT PHYSIO</v>
      </c>
      <c r="G4062" t="str">
        <f>"08-805"</f>
        <v>08-805</v>
      </c>
      <c r="H4062" t="str">
        <f>"A"</f>
        <v>A</v>
      </c>
    </row>
    <row r="4063" spans="1:8" x14ac:dyDescent="0.2">
      <c r="A4063" t="str">
        <f t="shared" si="1484"/>
        <v>0616083956</v>
      </c>
      <c r="B4063" t="str">
        <f t="shared" si="1485"/>
        <v>VY</v>
      </c>
      <c r="C4063" t="str">
        <f t="shared" si="1486"/>
        <v>DAO</v>
      </c>
      <c r="D4063">
        <f>10</f>
        <v>10</v>
      </c>
      <c r="E4063" t="str">
        <f>"02 - A - 102 - Chrystina M Marchionne"</f>
        <v>02 - A - 102 - Chrystina M Marchionne</v>
      </c>
      <c r="F4063" t="str">
        <f>"AICE MEDIASTUDIES AS"</f>
        <v>AICE MEDIASTUDIES AS</v>
      </c>
      <c r="G4063" t="str">
        <f>"05-520"</f>
        <v>05-520</v>
      </c>
      <c r="H4063" t="str">
        <f>"A"</f>
        <v>A</v>
      </c>
    </row>
    <row r="4064" spans="1:8" x14ac:dyDescent="0.2">
      <c r="A4064" t="str">
        <f t="shared" si="1484"/>
        <v>0616083956</v>
      </c>
      <c r="B4064" t="str">
        <f t="shared" si="1485"/>
        <v>VY</v>
      </c>
      <c r="C4064" t="str">
        <f t="shared" si="1486"/>
        <v>DAO</v>
      </c>
      <c r="D4064">
        <f>10</f>
        <v>10</v>
      </c>
      <c r="E4064" t="str">
        <f>"07 - B - 102 - Lourivaldo  Da Silva"</f>
        <v>07 - B - 102 - Lourivaldo  Da Silva</v>
      </c>
      <c r="F4064" t="str">
        <f>"ALGEBRA 2 HON"</f>
        <v>ALGEBRA 2 HON</v>
      </c>
      <c r="G4064" t="str">
        <f>"20-2079"</f>
        <v>20-2079</v>
      </c>
      <c r="H4064" t="str">
        <f>"B"</f>
        <v>B</v>
      </c>
    </row>
    <row r="4065" spans="1:8" x14ac:dyDescent="0.2">
      <c r="A4065" t="str">
        <f t="shared" si="1484"/>
        <v>0616083956</v>
      </c>
      <c r="B4065" t="str">
        <f t="shared" si="1485"/>
        <v>VY</v>
      </c>
      <c r="C4065" t="str">
        <f t="shared" si="1486"/>
        <v>DAO</v>
      </c>
      <c r="D4065">
        <f>10</f>
        <v>10</v>
      </c>
      <c r="E4065" t="str">
        <f>"05 - B - 103 - Vanessa J Liburd"</f>
        <v>05 - B - 103 - Vanessa J Liburd</v>
      </c>
      <c r="F4065" t="str">
        <f>"PRE-AICE FRENCH 2 IG"</f>
        <v>PRE-AICE FRENCH 2 IG</v>
      </c>
      <c r="G4065" t="str">
        <f>"05-519"</f>
        <v>05-519</v>
      </c>
      <c r="H4065" t="str">
        <f>"B"</f>
        <v>B</v>
      </c>
    </row>
    <row r="4066" spans="1:8" x14ac:dyDescent="0.2">
      <c r="A4066" t="str">
        <f t="shared" si="1484"/>
        <v>0616083956</v>
      </c>
      <c r="B4066" t="str">
        <f t="shared" si="1485"/>
        <v>VY</v>
      </c>
      <c r="C4066" t="str">
        <f t="shared" si="1486"/>
        <v>DAO</v>
      </c>
      <c r="D4066">
        <f>10</f>
        <v>10</v>
      </c>
      <c r="E4066" t="str">
        <f>"01 - A - 001 - Lenecy  Nodarse"</f>
        <v>01 - A - 001 - Lenecy  Nodarse</v>
      </c>
      <c r="F4066" t="str">
        <f>"AICE EURO HIST 1 AS"</f>
        <v>AICE EURO HIST 1 AS</v>
      </c>
      <c r="G4066" t="str">
        <f>"17-1741"</f>
        <v>17-1741</v>
      </c>
      <c r="H4066" t="str">
        <f>"A"</f>
        <v>A</v>
      </c>
    </row>
    <row r="4067" spans="1:8" x14ac:dyDescent="0.2">
      <c r="A4067" t="str">
        <f t="shared" si="1484"/>
        <v>0616083956</v>
      </c>
      <c r="B4067" t="str">
        <f t="shared" si="1485"/>
        <v>VY</v>
      </c>
      <c r="C4067" t="str">
        <f t="shared" si="1486"/>
        <v>DAO</v>
      </c>
      <c r="D4067">
        <f>10</f>
        <v>10</v>
      </c>
      <c r="E4067" t="str">
        <f>"08 - B - 001 - Jacklyn M James"</f>
        <v>08 - B - 001 - Jacklyn M James</v>
      </c>
      <c r="F4067" t="str">
        <f>"AICE ENG LANG AS"</f>
        <v>AICE ENG LANG AS</v>
      </c>
      <c r="G4067" t="str">
        <f>"17-1731"</f>
        <v>17-1731</v>
      </c>
      <c r="H4067" t="str">
        <f>"B"</f>
        <v>B</v>
      </c>
    </row>
    <row r="4068" spans="1:8" x14ac:dyDescent="0.2">
      <c r="A4068" t="str">
        <f t="shared" ref="A4068:A4075" si="1487">"0614032705"</f>
        <v>0614032705</v>
      </c>
      <c r="B4068" t="str">
        <f t="shared" ref="B4068:B4075" si="1488">"BLAKE"</f>
        <v>BLAKE</v>
      </c>
      <c r="C4068" t="str">
        <f t="shared" ref="C4068:C4075" si="1489">"DASHNAW"</f>
        <v>DASHNAW</v>
      </c>
      <c r="D4068">
        <f>12</f>
        <v>12</v>
      </c>
      <c r="E4068" t="str">
        <f>"04 - S1 - A - 101 - Barbara L Segal"</f>
        <v>04 - S1 - A - 101 - Barbara L Segal</v>
      </c>
      <c r="F4068" t="str">
        <f>"AP US GOVT/POL"</f>
        <v>AP US GOVT/POL</v>
      </c>
      <c r="G4068" t="str">
        <f>"17-1742"</f>
        <v>17-1742</v>
      </c>
      <c r="H4068" t="str">
        <f>"A"</f>
        <v>A</v>
      </c>
    </row>
    <row r="4069" spans="1:8" x14ac:dyDescent="0.2">
      <c r="A4069" t="str">
        <f t="shared" si="1487"/>
        <v>0614032705</v>
      </c>
      <c r="B4069" t="str">
        <f t="shared" si="1488"/>
        <v>BLAKE</v>
      </c>
      <c r="C4069" t="str">
        <f t="shared" si="1489"/>
        <v>DASHNAW</v>
      </c>
      <c r="D4069">
        <f>12</f>
        <v>12</v>
      </c>
      <c r="E4069" t="str">
        <f>"06 - B - 107 - Pamela M Corzo"</f>
        <v>06 - B - 107 - Pamela M Corzo</v>
      </c>
      <c r="F4069" t="str">
        <f>"NC STUDY HALL 1"</f>
        <v>NC STUDY HALL 1</v>
      </c>
      <c r="G4069" t="str">
        <f>"21-2133"</f>
        <v>21-2133</v>
      </c>
      <c r="H4069" t="str">
        <f>"B"</f>
        <v>B</v>
      </c>
    </row>
    <row r="4070" spans="1:8" x14ac:dyDescent="0.2">
      <c r="A4070" t="str">
        <f t="shared" si="1487"/>
        <v>0614032705</v>
      </c>
      <c r="B4070" t="str">
        <f t="shared" si="1488"/>
        <v>BLAKE</v>
      </c>
      <c r="C4070" t="str">
        <f t="shared" si="1489"/>
        <v>DASHNAW</v>
      </c>
      <c r="D4070">
        <f>12</f>
        <v>12</v>
      </c>
      <c r="E4070" t="str">
        <f>"03 - A - 101 - Jeffrey S Gallagher"</f>
        <v>03 - A - 101 - Jeffrey S Gallagher</v>
      </c>
      <c r="F4070" t="str">
        <f>"ENG HON 4"</f>
        <v>ENG HON 4</v>
      </c>
      <c r="G4070" t="str">
        <f>"17-1724"</f>
        <v>17-1724</v>
      </c>
      <c r="H4070" t="str">
        <f>"A"</f>
        <v>A</v>
      </c>
    </row>
    <row r="4071" spans="1:8" x14ac:dyDescent="0.2">
      <c r="A4071" t="str">
        <f t="shared" si="1487"/>
        <v>0614032705</v>
      </c>
      <c r="B4071" t="str">
        <f t="shared" si="1488"/>
        <v>BLAKE</v>
      </c>
      <c r="C4071" t="str">
        <f t="shared" si="1489"/>
        <v>DASHNAW</v>
      </c>
      <c r="D4071">
        <f>12</f>
        <v>12</v>
      </c>
      <c r="E4071" t="str">
        <f>"02 - A - 201 - Jeanne M Bermudez"</f>
        <v>02 - A - 201 - Jeanne M Bermudez</v>
      </c>
      <c r="F4071" t="str">
        <f>"AP ENV SCI"</f>
        <v>AP ENV SCI</v>
      </c>
      <c r="G4071" t="str">
        <f>"21-2141"</f>
        <v>21-2141</v>
      </c>
      <c r="H4071" t="str">
        <f>"A"</f>
        <v>A</v>
      </c>
    </row>
    <row r="4072" spans="1:8" x14ac:dyDescent="0.2">
      <c r="A4072" t="str">
        <f t="shared" si="1487"/>
        <v>0614032705</v>
      </c>
      <c r="B4072" t="str">
        <f t="shared" si="1488"/>
        <v>BLAKE</v>
      </c>
      <c r="C4072" t="str">
        <f t="shared" si="1489"/>
        <v>DASHNAW</v>
      </c>
      <c r="D4072">
        <f>12</f>
        <v>12</v>
      </c>
      <c r="E4072" t="str">
        <f>"07 - B - 101 - Fernando  Vega-Cid"</f>
        <v>07 - B - 101 - Fernando  Vega-Cid</v>
      </c>
      <c r="F4072" t="str">
        <f>"AP PRECALCULUS"</f>
        <v>AP PRECALCULUS</v>
      </c>
      <c r="G4072" t="str">
        <f>"21-2163"</f>
        <v>21-2163</v>
      </c>
      <c r="H4072" t="str">
        <f>"B"</f>
        <v>B</v>
      </c>
    </row>
    <row r="4073" spans="1:8" x14ac:dyDescent="0.2">
      <c r="A4073" t="str">
        <f t="shared" si="1487"/>
        <v>0614032705</v>
      </c>
      <c r="B4073" t="str">
        <f t="shared" si="1488"/>
        <v>BLAKE</v>
      </c>
      <c r="C4073" t="str">
        <f t="shared" si="1489"/>
        <v>DASHNAW</v>
      </c>
      <c r="D4073">
        <f>12</f>
        <v>12</v>
      </c>
      <c r="E4073" t="str">
        <f>"05 - B - 103 - Eva T Rimmer"</f>
        <v>05 - B - 103 - Eva T Rimmer</v>
      </c>
      <c r="F4073" t="str">
        <f>"CRIMINAL JUST OPS 1"</f>
        <v>CRIMINAL JUST OPS 1</v>
      </c>
      <c r="G4073" t="str">
        <f>"05-523"</f>
        <v>05-523</v>
      </c>
      <c r="H4073" t="str">
        <f>"B"</f>
        <v>B</v>
      </c>
    </row>
    <row r="4074" spans="1:8" x14ac:dyDescent="0.2">
      <c r="A4074" t="str">
        <f t="shared" si="1487"/>
        <v>0614032705</v>
      </c>
      <c r="B4074" t="str">
        <f t="shared" si="1488"/>
        <v>BLAKE</v>
      </c>
      <c r="C4074" t="str">
        <f t="shared" si="1489"/>
        <v>DASHNAW</v>
      </c>
      <c r="D4074">
        <f>12</f>
        <v>12</v>
      </c>
      <c r="E4074" t="str">
        <f>"01 - A - 101 - Brian M Fitzgerald"</f>
        <v>01 - A - 101 - Brian M Fitzgerald</v>
      </c>
      <c r="F4074" t="str">
        <f>"CERAM/POT 1"</f>
        <v>CERAM/POT 1</v>
      </c>
      <c r="G4074" t="str">
        <f>"09-908"</f>
        <v>09-908</v>
      </c>
      <c r="H4074" t="str">
        <f>"A"</f>
        <v>A</v>
      </c>
    </row>
    <row r="4075" spans="1:8" x14ac:dyDescent="0.2">
      <c r="A4075" t="str">
        <f t="shared" si="1487"/>
        <v>0614032705</v>
      </c>
      <c r="B4075" t="str">
        <f t="shared" si="1488"/>
        <v>BLAKE</v>
      </c>
      <c r="C4075" t="str">
        <f t="shared" si="1489"/>
        <v>DASHNAW</v>
      </c>
      <c r="D4075">
        <f>12</f>
        <v>12</v>
      </c>
      <c r="E4075" t="str">
        <f>"08 - B - 101 - Alejandro  Navarro"</f>
        <v>08 - B - 101 - Alejandro  Navarro</v>
      </c>
      <c r="F4075" t="str">
        <f>"GUITAR 1"</f>
        <v>GUITAR 1</v>
      </c>
      <c r="G4075" t="str">
        <f>"05-504"</f>
        <v>05-504</v>
      </c>
      <c r="H4075" t="str">
        <f>"B"</f>
        <v>B</v>
      </c>
    </row>
    <row r="4076" spans="1:8" x14ac:dyDescent="0.2">
      <c r="A4076" t="str">
        <f t="shared" ref="A4076:A4083" si="1490">"0616031894"</f>
        <v>0616031894</v>
      </c>
      <c r="B4076" t="str">
        <f t="shared" ref="B4076:B4083" si="1491">"NA'HANII"</f>
        <v>NA'HANII</v>
      </c>
      <c r="C4076" t="str">
        <f t="shared" ref="C4076:C4083" si="1492">"DAVILA"</f>
        <v>DAVILA</v>
      </c>
      <c r="D4076">
        <f>10</f>
        <v>10</v>
      </c>
      <c r="E4076" t="str">
        <f>"04 - A - 201 - Samantha L Martinez"</f>
        <v>04 - A - 201 - Samantha L Martinez</v>
      </c>
      <c r="F4076" t="str">
        <f>"KEYBD 2"</f>
        <v>KEYBD 2</v>
      </c>
      <c r="G4076" t="str">
        <f>"05-505"</f>
        <v>05-505</v>
      </c>
      <c r="H4076" t="str">
        <f>"A"</f>
        <v>A</v>
      </c>
    </row>
    <row r="4077" spans="1:8" x14ac:dyDescent="0.2">
      <c r="A4077" t="str">
        <f t="shared" si="1490"/>
        <v>0616031894</v>
      </c>
      <c r="B4077" t="str">
        <f t="shared" si="1491"/>
        <v>NA'HANII</v>
      </c>
      <c r="C4077" t="str">
        <f t="shared" si="1492"/>
        <v>DAVILA</v>
      </c>
      <c r="D4077">
        <f>10</f>
        <v>10</v>
      </c>
      <c r="E4077" t="str">
        <f>"06 - B - 115 - Scott A Dethloff"</f>
        <v>06 - B - 115 - Scott A Dethloff</v>
      </c>
      <c r="F4077" t="str">
        <f>"NC STUDY HALL 1"</f>
        <v>NC STUDY HALL 1</v>
      </c>
      <c r="G4077" t="str">
        <f>"08-812"</f>
        <v>08-812</v>
      </c>
      <c r="H4077" t="str">
        <f>"B"</f>
        <v>B</v>
      </c>
    </row>
    <row r="4078" spans="1:8" x14ac:dyDescent="0.2">
      <c r="A4078" t="str">
        <f t="shared" si="1490"/>
        <v>0616031894</v>
      </c>
      <c r="B4078" t="str">
        <f t="shared" si="1491"/>
        <v>NA'HANII</v>
      </c>
      <c r="C4078" t="str">
        <f t="shared" si="1492"/>
        <v>DAVILA</v>
      </c>
      <c r="D4078">
        <f>10</f>
        <v>10</v>
      </c>
      <c r="E4078" t="str">
        <f>"03 - A - 001 - Maried P Ramos"</f>
        <v>03 - A - 001 - Maried P Ramos</v>
      </c>
      <c r="F4078" t="str">
        <f>"PRE-AICE MATH 2 IG"</f>
        <v>PRE-AICE MATH 2 IG</v>
      </c>
      <c r="G4078" t="str">
        <f>"21-2159"</f>
        <v>21-2159</v>
      </c>
      <c r="H4078" t="str">
        <f>"A"</f>
        <v>A</v>
      </c>
    </row>
    <row r="4079" spans="1:8" x14ac:dyDescent="0.2">
      <c r="A4079" t="str">
        <f t="shared" si="1490"/>
        <v>0616031894</v>
      </c>
      <c r="B4079" t="str">
        <f t="shared" si="1491"/>
        <v>NA'HANII</v>
      </c>
      <c r="C4079" t="str">
        <f t="shared" si="1492"/>
        <v>DAVILA</v>
      </c>
      <c r="D4079">
        <f>10</f>
        <v>10</v>
      </c>
      <c r="E4079" t="str">
        <f>"02 - A - 102 - Jacklyn M James"</f>
        <v>02 - A - 102 - Jacklyn M James</v>
      </c>
      <c r="F4079" t="str">
        <f>"AICE ENG LANG AS"</f>
        <v>AICE ENG LANG AS</v>
      </c>
      <c r="G4079" t="str">
        <f>"17-1731"</f>
        <v>17-1731</v>
      </c>
      <c r="H4079" t="str">
        <f>"A"</f>
        <v>A</v>
      </c>
    </row>
    <row r="4080" spans="1:8" x14ac:dyDescent="0.2">
      <c r="A4080" t="str">
        <f t="shared" si="1490"/>
        <v>0616031894</v>
      </c>
      <c r="B4080" t="str">
        <f t="shared" si="1491"/>
        <v>NA'HANII</v>
      </c>
      <c r="C4080" t="str">
        <f t="shared" si="1492"/>
        <v>DAVILA</v>
      </c>
      <c r="D4080">
        <f>10</f>
        <v>10</v>
      </c>
      <c r="E4080" t="str">
        <f>"07 - B - 206 - Cheryl L Beach"</f>
        <v>07 - B - 206 - Cheryl L Beach</v>
      </c>
      <c r="F4080" t="str">
        <f>"AICE ENV MGMNT AS"</f>
        <v>AICE ENV MGMNT AS</v>
      </c>
      <c r="G4080" t="str">
        <f>"08-811"</f>
        <v>08-811</v>
      </c>
      <c r="H4080" t="str">
        <f>"B"</f>
        <v>B</v>
      </c>
    </row>
    <row r="4081" spans="1:8" x14ac:dyDescent="0.2">
      <c r="A4081" t="str">
        <f t="shared" si="1490"/>
        <v>0616031894</v>
      </c>
      <c r="B4081" t="str">
        <f t="shared" si="1491"/>
        <v>NA'HANII</v>
      </c>
      <c r="C4081" t="str">
        <f t="shared" si="1492"/>
        <v>DAVILA</v>
      </c>
      <c r="D4081">
        <f>10</f>
        <v>10</v>
      </c>
      <c r="E4081" t="str">
        <f>"05 - S1 - B - 102 - Lissa C Frederique"</f>
        <v>05 - S1 - B - 102 - Lissa C Frederique</v>
      </c>
      <c r="F4081" t="str">
        <f>"PERS FIN &amp; MON MGT H"</f>
        <v>PERS FIN &amp; MON MGT H</v>
      </c>
      <c r="G4081" t="str">
        <f>"17-1754"</f>
        <v>17-1754</v>
      </c>
      <c r="H4081" t="str">
        <f>"B"</f>
        <v>B</v>
      </c>
    </row>
    <row r="4082" spans="1:8" x14ac:dyDescent="0.2">
      <c r="A4082" t="str">
        <f t="shared" si="1490"/>
        <v>0616031894</v>
      </c>
      <c r="B4082" t="str">
        <f t="shared" si="1491"/>
        <v>NA'HANII</v>
      </c>
      <c r="C4082" t="str">
        <f t="shared" si="1492"/>
        <v>DAVILA</v>
      </c>
      <c r="D4082">
        <f>10</f>
        <v>10</v>
      </c>
      <c r="E4082" t="str">
        <f>"01 - A - 108 - Rosa Elaine  Collado-Duff"</f>
        <v>01 - A - 108 - Rosa Elaine  Collado-Duff</v>
      </c>
      <c r="F4082" t="str">
        <f>"PRE-AICE SPAN 2 IG"</f>
        <v>PRE-AICE SPAN 2 IG</v>
      </c>
      <c r="G4082" t="str">
        <f>"09-913"</f>
        <v>09-913</v>
      </c>
      <c r="H4082" t="str">
        <f>"A"</f>
        <v>A</v>
      </c>
    </row>
    <row r="4083" spans="1:8" x14ac:dyDescent="0.2">
      <c r="A4083" t="str">
        <f t="shared" si="1490"/>
        <v>0616031894</v>
      </c>
      <c r="B4083" t="str">
        <f t="shared" si="1491"/>
        <v>NA'HANII</v>
      </c>
      <c r="C4083" t="str">
        <f t="shared" si="1492"/>
        <v>DAVILA</v>
      </c>
      <c r="D4083">
        <f>10</f>
        <v>10</v>
      </c>
      <c r="E4083" t="str">
        <f>"08 - B - 109 - Emmily A Sarmiento"</f>
        <v>08 - B - 109 - Emmily A Sarmiento</v>
      </c>
      <c r="F4083" t="str">
        <f>"AICE GLBL PERSP 1 AS"</f>
        <v>AICE GLBL PERSP 1 AS</v>
      </c>
      <c r="G4083" t="str">
        <f>"17-1743"</f>
        <v>17-1743</v>
      </c>
      <c r="H4083" t="str">
        <f>"B"</f>
        <v>B</v>
      </c>
    </row>
    <row r="4084" spans="1:8" x14ac:dyDescent="0.2">
      <c r="A4084" t="str">
        <f t="shared" ref="A4084:A4091" si="1493">"0623064633"</f>
        <v>0623064633</v>
      </c>
      <c r="B4084" t="str">
        <f t="shared" ref="B4084:B4091" si="1494">"ASHAWNEY"</f>
        <v>ASHAWNEY</v>
      </c>
      <c r="C4084" t="str">
        <f t="shared" ref="C4084:C4107" si="1495">"DAVIS"</f>
        <v>DAVIS</v>
      </c>
      <c r="D4084">
        <f>10</f>
        <v>10</v>
      </c>
      <c r="E4084" t="str">
        <f>"04 - A - 203 - Cheryl L Beach"</f>
        <v>04 - A - 203 - Cheryl L Beach</v>
      </c>
      <c r="F4084" t="str">
        <f>"AICE ENV MGMNT AS"</f>
        <v>AICE ENV MGMNT AS</v>
      </c>
      <c r="G4084" t="str">
        <f>"08-811"</f>
        <v>08-811</v>
      </c>
      <c r="H4084" t="str">
        <f>"A"</f>
        <v>A</v>
      </c>
    </row>
    <row r="4085" spans="1:8" x14ac:dyDescent="0.2">
      <c r="A4085" t="str">
        <f t="shared" si="1493"/>
        <v>0623064633</v>
      </c>
      <c r="B4085" t="str">
        <f t="shared" si="1494"/>
        <v>ASHAWNEY</v>
      </c>
      <c r="C4085" t="str">
        <f t="shared" si="1495"/>
        <v>DAVIS</v>
      </c>
      <c r="D4085">
        <f>10</f>
        <v>10</v>
      </c>
      <c r="E4085" t="str">
        <f>"06 - B - 118 - Jeanne M Bermudez"</f>
        <v>06 - B - 118 - Jeanne M Bermudez</v>
      </c>
      <c r="F4085" t="str">
        <f>"NC STUDY HALL 1"</f>
        <v>NC STUDY HALL 1</v>
      </c>
      <c r="G4085" t="str">
        <f>"21-2141"</f>
        <v>21-2141</v>
      </c>
      <c r="H4085" t="str">
        <f>"B"</f>
        <v>B</v>
      </c>
    </row>
    <row r="4086" spans="1:8" x14ac:dyDescent="0.2">
      <c r="A4086" t="str">
        <f t="shared" si="1493"/>
        <v>0623064633</v>
      </c>
      <c r="B4086" t="str">
        <f t="shared" si="1494"/>
        <v>ASHAWNEY</v>
      </c>
      <c r="C4086" t="str">
        <f t="shared" si="1495"/>
        <v>DAVIS</v>
      </c>
      <c r="D4086">
        <f>10</f>
        <v>10</v>
      </c>
      <c r="E4086" t="str">
        <f>"03 - A - 103 - Kelly N Panza"</f>
        <v>03 - A - 103 - Kelly N Panza</v>
      </c>
      <c r="F4086" t="str">
        <f>"AICE GLBL PERSP 1 AS"</f>
        <v>AICE GLBL PERSP 1 AS</v>
      </c>
      <c r="G4086" t="str">
        <f>"17-1753"</f>
        <v>17-1753</v>
      </c>
      <c r="H4086" t="str">
        <f>"A"</f>
        <v>A</v>
      </c>
    </row>
    <row r="4087" spans="1:8" x14ac:dyDescent="0.2">
      <c r="A4087" t="str">
        <f t="shared" si="1493"/>
        <v>0623064633</v>
      </c>
      <c r="B4087" t="str">
        <f t="shared" si="1494"/>
        <v>ASHAWNEY</v>
      </c>
      <c r="C4087" t="str">
        <f t="shared" si="1495"/>
        <v>DAVIS</v>
      </c>
      <c r="D4087">
        <f>10</f>
        <v>10</v>
      </c>
      <c r="E4087" t="str">
        <f>"02 - A - 102 - Taraneh C Abreu"</f>
        <v>02 - A - 102 - Taraneh C Abreu</v>
      </c>
      <c r="F4087" t="str">
        <f>"INTENS READ 2"</f>
        <v>INTENS READ 2</v>
      </c>
      <c r="G4087" t="str">
        <f>"17-1713"</f>
        <v>17-1713</v>
      </c>
      <c r="H4087" t="str">
        <f>"A"</f>
        <v>A</v>
      </c>
    </row>
    <row r="4088" spans="1:8" x14ac:dyDescent="0.2">
      <c r="A4088" t="str">
        <f t="shared" si="1493"/>
        <v>0623064633</v>
      </c>
      <c r="B4088" t="str">
        <f t="shared" si="1494"/>
        <v>ASHAWNEY</v>
      </c>
      <c r="C4088" t="str">
        <f t="shared" si="1495"/>
        <v>DAVIS</v>
      </c>
      <c r="D4088">
        <f>10</f>
        <v>10</v>
      </c>
      <c r="E4088" t="str">
        <f>"07 - B - 107 - Milca  Exantus"</f>
        <v>07 - B - 107 - Milca  Exantus</v>
      </c>
      <c r="F4088" t="str">
        <f>"MATH COLLEGE LIB ART"</f>
        <v>MATH COLLEGE LIB ART</v>
      </c>
      <c r="G4088" t="str">
        <f>"21-2145"</f>
        <v>21-2145</v>
      </c>
      <c r="H4088" t="str">
        <f>"B"</f>
        <v>B</v>
      </c>
    </row>
    <row r="4089" spans="1:8" x14ac:dyDescent="0.2">
      <c r="A4089" t="str">
        <f t="shared" si="1493"/>
        <v>0623064633</v>
      </c>
      <c r="B4089" t="str">
        <f t="shared" si="1494"/>
        <v>ASHAWNEY</v>
      </c>
      <c r="C4089" t="str">
        <f t="shared" si="1495"/>
        <v>DAVIS</v>
      </c>
      <c r="D4089">
        <f>10</f>
        <v>10</v>
      </c>
      <c r="E4089" t="str">
        <f>"05 - S1 - B - 102 - Carol S Moore"</f>
        <v>05 - S1 - B - 102 - Carol S Moore</v>
      </c>
      <c r="F4089" t="str">
        <f>"PERS FIN &amp; MON MGT H"</f>
        <v>PERS FIN &amp; MON MGT H</v>
      </c>
      <c r="G4089" t="str">
        <f>"17-1733"</f>
        <v>17-1733</v>
      </c>
      <c r="H4089" t="str">
        <f>"B"</f>
        <v>B</v>
      </c>
    </row>
    <row r="4090" spans="1:8" x14ac:dyDescent="0.2">
      <c r="A4090" t="str">
        <f t="shared" si="1493"/>
        <v>0623064633</v>
      </c>
      <c r="B4090" t="str">
        <f t="shared" si="1494"/>
        <v>ASHAWNEY</v>
      </c>
      <c r="C4090" t="str">
        <f t="shared" si="1495"/>
        <v>DAVIS</v>
      </c>
      <c r="D4090">
        <f>10</f>
        <v>10</v>
      </c>
      <c r="E4090" t="str">
        <f>"01 - A - 101 - Jacquelyn M Neeson"</f>
        <v>01 - A - 101 - Jacquelyn M Neeson</v>
      </c>
      <c r="F4090" t="str">
        <f>"AICE ENG GEN PAPER 1"</f>
        <v>AICE ENG GEN PAPER 1</v>
      </c>
      <c r="G4090" t="str">
        <f>"17-1715"</f>
        <v>17-1715</v>
      </c>
      <c r="H4090" t="str">
        <f>"A"</f>
        <v>A</v>
      </c>
    </row>
    <row r="4091" spans="1:8" x14ac:dyDescent="0.2">
      <c r="A4091" t="str">
        <f t="shared" si="1493"/>
        <v>0623064633</v>
      </c>
      <c r="B4091" t="str">
        <f t="shared" si="1494"/>
        <v>ASHAWNEY</v>
      </c>
      <c r="C4091" t="str">
        <f t="shared" si="1495"/>
        <v>DAVIS</v>
      </c>
      <c r="D4091">
        <f>10</f>
        <v>10</v>
      </c>
      <c r="E4091" t="str">
        <f>"08 - B - 001 - Lytrell T Dixon"</f>
        <v>08 - B - 001 - Lytrell T Dixon</v>
      </c>
      <c r="F4091" t="str">
        <f>"BIOLOGY 1"</f>
        <v>BIOLOGY 1</v>
      </c>
      <c r="G4091" t="str">
        <f>"08-808"</f>
        <v>08-808</v>
      </c>
      <c r="H4091" t="str">
        <f>"B"</f>
        <v>B</v>
      </c>
    </row>
    <row r="4092" spans="1:8" x14ac:dyDescent="0.2">
      <c r="A4092" t="str">
        <f t="shared" ref="A4092:A4099" si="1496">"0616072645"</f>
        <v>0616072645</v>
      </c>
      <c r="B4092" t="str">
        <f t="shared" ref="B4092:B4099" si="1497">"ERIC"</f>
        <v>ERIC</v>
      </c>
      <c r="C4092" t="str">
        <f t="shared" si="1495"/>
        <v>DAVIS</v>
      </c>
      <c r="D4092" t="str">
        <f t="shared" ref="D4092:D4099" si="1498">"09"</f>
        <v>09</v>
      </c>
      <c r="E4092" t="str">
        <f>"04 - S1 - A - 103 - James H Mccann"</f>
        <v>04 - S1 - A - 103 - James H Mccann</v>
      </c>
      <c r="F4092" t="str">
        <f>"PERS FIN &amp; MON MGT H"</f>
        <v>PERS FIN &amp; MON MGT H</v>
      </c>
      <c r="G4092" t="str">
        <f>"17-1716"</f>
        <v>17-1716</v>
      </c>
      <c r="H4092" t="str">
        <f>"A"</f>
        <v>A</v>
      </c>
    </row>
    <row r="4093" spans="1:8" x14ac:dyDescent="0.2">
      <c r="A4093" t="str">
        <f t="shared" si="1496"/>
        <v>0616072645</v>
      </c>
      <c r="B4093" t="str">
        <f t="shared" si="1497"/>
        <v>ERIC</v>
      </c>
      <c r="C4093" t="str">
        <f t="shared" si="1495"/>
        <v>DAVIS</v>
      </c>
      <c r="D4093" t="str">
        <f t="shared" si="1498"/>
        <v>09</v>
      </c>
      <c r="E4093" t="str">
        <f>"06 - B - 105 - Dayna M Foster"</f>
        <v>06 - B - 105 - Dayna M Foster</v>
      </c>
      <c r="F4093" t="str">
        <f>"ALGEBRA 1"</f>
        <v>ALGEBRA 1</v>
      </c>
      <c r="G4093" t="str">
        <f>"21-2109"</f>
        <v>21-2109</v>
      </c>
      <c r="H4093" t="str">
        <f>"B"</f>
        <v>B</v>
      </c>
    </row>
    <row r="4094" spans="1:8" x14ac:dyDescent="0.2">
      <c r="A4094" t="str">
        <f t="shared" si="1496"/>
        <v>0616072645</v>
      </c>
      <c r="B4094" t="str">
        <f t="shared" si="1497"/>
        <v>ERIC</v>
      </c>
      <c r="C4094" t="str">
        <f t="shared" si="1495"/>
        <v>DAVIS</v>
      </c>
      <c r="D4094" t="str">
        <f t="shared" si="1498"/>
        <v>09</v>
      </c>
      <c r="E4094" t="str">
        <f>"03 - A - 101 - Dayna M Foster"</f>
        <v>03 - A - 101 - Dayna M Foster</v>
      </c>
      <c r="F4094" t="str">
        <f>"FDN SKLS MATH 9-12"</f>
        <v>FDN SKLS MATH 9-12</v>
      </c>
      <c r="G4094" t="str">
        <f>"21-2109"</f>
        <v>21-2109</v>
      </c>
      <c r="H4094" t="str">
        <f>"A"</f>
        <v>A</v>
      </c>
    </row>
    <row r="4095" spans="1:8" x14ac:dyDescent="0.2">
      <c r="A4095" t="str">
        <f t="shared" si="1496"/>
        <v>0616072645</v>
      </c>
      <c r="B4095" t="str">
        <f t="shared" si="1497"/>
        <v>ERIC</v>
      </c>
      <c r="C4095" t="str">
        <f t="shared" si="1495"/>
        <v>DAVIS</v>
      </c>
      <c r="D4095" t="str">
        <f t="shared" si="1498"/>
        <v>09</v>
      </c>
      <c r="E4095" t="str">
        <f>"02 - A - 101 - Josiah I Lacy"</f>
        <v>02 - A - 101 - Josiah I Lacy</v>
      </c>
      <c r="F4095" t="str">
        <f>"NC STUDY HALL 1"</f>
        <v>NC STUDY HALL 1</v>
      </c>
      <c r="G4095" t="str">
        <f>"08-801"</f>
        <v>08-801</v>
      </c>
      <c r="H4095" t="str">
        <f>"A"</f>
        <v>A</v>
      </c>
    </row>
    <row r="4096" spans="1:8" x14ac:dyDescent="0.2">
      <c r="A4096" t="str">
        <f t="shared" si="1496"/>
        <v>0616072645</v>
      </c>
      <c r="B4096" t="str">
        <f t="shared" si="1497"/>
        <v>ERIC</v>
      </c>
      <c r="C4096" t="str">
        <f t="shared" si="1495"/>
        <v>DAVIS</v>
      </c>
      <c r="D4096" t="str">
        <f t="shared" si="1498"/>
        <v>09</v>
      </c>
      <c r="E4096" t="str">
        <f>"07 - B - 105 - Josiah I Lacy"</f>
        <v>07 - B - 105 - Josiah I Lacy</v>
      </c>
      <c r="F4096" t="str">
        <f>"ANAT PHYSIO HON"</f>
        <v>ANAT PHYSIO HON</v>
      </c>
      <c r="G4096" t="str">
        <f>"08-801"</f>
        <v>08-801</v>
      </c>
      <c r="H4096" t="str">
        <f>"B"</f>
        <v>B</v>
      </c>
    </row>
    <row r="4097" spans="1:8" x14ac:dyDescent="0.2">
      <c r="A4097" t="str">
        <f t="shared" si="1496"/>
        <v>0616072645</v>
      </c>
      <c r="B4097" t="str">
        <f t="shared" si="1497"/>
        <v>ERIC</v>
      </c>
      <c r="C4097" t="str">
        <f t="shared" si="1495"/>
        <v>DAVIS</v>
      </c>
      <c r="D4097" t="str">
        <f t="shared" si="1498"/>
        <v>09</v>
      </c>
      <c r="E4097" t="str">
        <f>"05 - S1 - B - 102 - Richard E Dunbar Iii"</f>
        <v>05 - S1 - B - 102 - Richard E Dunbar Iii</v>
      </c>
      <c r="F4097" t="str">
        <f>"TEAM SPORTS 1"</f>
        <v>TEAM SPORTS 1</v>
      </c>
      <c r="G4097" t="str">
        <f>"04-254"</f>
        <v>04-254</v>
      </c>
      <c r="H4097" t="str">
        <f>"B"</f>
        <v>B</v>
      </c>
    </row>
    <row r="4098" spans="1:8" x14ac:dyDescent="0.2">
      <c r="A4098" t="str">
        <f t="shared" si="1496"/>
        <v>0616072645</v>
      </c>
      <c r="B4098" t="str">
        <f t="shared" si="1497"/>
        <v>ERIC</v>
      </c>
      <c r="C4098" t="str">
        <f t="shared" si="1495"/>
        <v>DAVIS</v>
      </c>
      <c r="D4098" t="str">
        <f t="shared" si="1498"/>
        <v>09</v>
      </c>
      <c r="E4098" t="str">
        <f>"01 - A - 101 - Cheryl Anne  Berman-Schechter"</f>
        <v>01 - A - 101 - Cheryl Anne  Berman-Schechter</v>
      </c>
      <c r="F4098" t="str">
        <f>"PRE-AICE ENG LANG IG"</f>
        <v>PRE-AICE ENG LANG IG</v>
      </c>
      <c r="G4098" t="str">
        <f>"17-1722"</f>
        <v>17-1722</v>
      </c>
      <c r="H4098" t="str">
        <f>"A"</f>
        <v>A</v>
      </c>
    </row>
    <row r="4099" spans="1:8" x14ac:dyDescent="0.2">
      <c r="A4099" t="str">
        <f t="shared" si="1496"/>
        <v>0616072645</v>
      </c>
      <c r="B4099" t="str">
        <f t="shared" si="1497"/>
        <v>ERIC</v>
      </c>
      <c r="C4099" t="str">
        <f t="shared" si="1495"/>
        <v>DAVIS</v>
      </c>
      <c r="D4099" t="str">
        <f t="shared" si="1498"/>
        <v>09</v>
      </c>
      <c r="E4099" t="str">
        <f>"08 - B - 105 - Daniel S Tyson"</f>
        <v>08 - B - 105 - Daniel S Tyson</v>
      </c>
      <c r="F4099" t="str">
        <f>"JROTC NAVAL SCI 1"</f>
        <v>JROTC NAVAL SCI 1</v>
      </c>
      <c r="G4099" t="str">
        <f>"05-510"</f>
        <v>05-510</v>
      </c>
      <c r="H4099" t="str">
        <f>"B"</f>
        <v>B</v>
      </c>
    </row>
    <row r="4100" spans="1:8" x14ac:dyDescent="0.2">
      <c r="A4100" t="str">
        <f t="shared" ref="A4100:A4107" si="1499">"0614140044"</f>
        <v>0614140044</v>
      </c>
      <c r="B4100" t="str">
        <f t="shared" ref="B4100:B4107" si="1500">"TRINITY"</f>
        <v>TRINITY</v>
      </c>
      <c r="C4100" t="str">
        <f t="shared" si="1495"/>
        <v>DAVIS</v>
      </c>
      <c r="D4100">
        <f>11</f>
        <v>11</v>
      </c>
      <c r="E4100" t="str">
        <f>"04 - A - 201 - Brian M Fitzgerald"</f>
        <v>04 - A - 201 - Brian M Fitzgerald</v>
      </c>
      <c r="F4100" t="str">
        <f>"PAINT 2"</f>
        <v>PAINT 2</v>
      </c>
      <c r="G4100" t="str">
        <f>"09-908"</f>
        <v>09-908</v>
      </c>
      <c r="H4100" t="str">
        <f>"A"</f>
        <v>A</v>
      </c>
    </row>
    <row r="4101" spans="1:8" x14ac:dyDescent="0.2">
      <c r="A4101" t="str">
        <f t="shared" si="1499"/>
        <v>0614140044</v>
      </c>
      <c r="B4101" t="str">
        <f t="shared" si="1500"/>
        <v>TRINITY</v>
      </c>
      <c r="C4101" t="str">
        <f t="shared" si="1495"/>
        <v>DAVIS</v>
      </c>
      <c r="D4101">
        <f>11</f>
        <v>11</v>
      </c>
      <c r="E4101" t="str">
        <f>"06 - B - 104 - Brandy N Zdenek"</f>
        <v>06 - B - 104 - Brandy N Zdenek</v>
      </c>
      <c r="F4101" t="str">
        <f>"AICE ENG LANG 2 AL"</f>
        <v>AICE ENG LANG 2 AL</v>
      </c>
      <c r="G4101" t="str">
        <f>"17-1704"</f>
        <v>17-1704</v>
      </c>
      <c r="H4101" t="str">
        <f>"B"</f>
        <v>B</v>
      </c>
    </row>
    <row r="4102" spans="1:8" x14ac:dyDescent="0.2">
      <c r="A4102" t="str">
        <f t="shared" si="1499"/>
        <v>0614140044</v>
      </c>
      <c r="B4102" t="str">
        <f t="shared" si="1500"/>
        <v>TRINITY</v>
      </c>
      <c r="C4102" t="str">
        <f t="shared" si="1495"/>
        <v>DAVIS</v>
      </c>
      <c r="D4102">
        <f>11</f>
        <v>11</v>
      </c>
      <c r="E4102" t="str">
        <f>"03 - A - 101 - Rosa Elaine  Collado-Duff"</f>
        <v>03 - A - 101 - Rosa Elaine  Collado-Duff</v>
      </c>
      <c r="F4102" t="str">
        <f>"SPANISH 3 HON"</f>
        <v>SPANISH 3 HON</v>
      </c>
      <c r="G4102" t="str">
        <f>"09-913"</f>
        <v>09-913</v>
      </c>
      <c r="H4102" t="str">
        <f>"A"</f>
        <v>A</v>
      </c>
    </row>
    <row r="4103" spans="1:8" x14ac:dyDescent="0.2">
      <c r="A4103" t="str">
        <f t="shared" si="1499"/>
        <v>0614140044</v>
      </c>
      <c r="B4103" t="str">
        <f t="shared" si="1500"/>
        <v>TRINITY</v>
      </c>
      <c r="C4103" t="str">
        <f t="shared" si="1495"/>
        <v>DAVIS</v>
      </c>
      <c r="D4103">
        <f>11</f>
        <v>11</v>
      </c>
      <c r="E4103" t="str">
        <f>"02 - A - 107 - Elizabeth Ellen  Moran"</f>
        <v>02 - A - 107 - Elizabeth Ellen  Moran</v>
      </c>
      <c r="F4103" t="str">
        <f>"NC STUDY HALL 1"</f>
        <v>NC STUDY HALL 1</v>
      </c>
      <c r="G4103" t="str">
        <f>"17-1752"</f>
        <v>17-1752</v>
      </c>
      <c r="H4103" t="str">
        <f>"A"</f>
        <v>A</v>
      </c>
    </row>
    <row r="4104" spans="1:8" x14ac:dyDescent="0.2">
      <c r="A4104" t="str">
        <f t="shared" si="1499"/>
        <v>0614140044</v>
      </c>
      <c r="B4104" t="str">
        <f t="shared" si="1500"/>
        <v>TRINITY</v>
      </c>
      <c r="C4104" t="str">
        <f t="shared" si="1495"/>
        <v>DAVIS</v>
      </c>
      <c r="D4104">
        <f>11</f>
        <v>11</v>
      </c>
      <c r="E4104" t="str">
        <f>"07 - B - 101 - Fernando  Vega-Cid"</f>
        <v>07 - B - 101 - Fernando  Vega-Cid</v>
      </c>
      <c r="F4104" t="str">
        <f>"AP PRECALCULUS"</f>
        <v>AP PRECALCULUS</v>
      </c>
      <c r="G4104" t="str">
        <f>"21-2163"</f>
        <v>21-2163</v>
      </c>
      <c r="H4104" t="str">
        <f>"B"</f>
        <v>B</v>
      </c>
    </row>
    <row r="4105" spans="1:8" x14ac:dyDescent="0.2">
      <c r="A4105" t="str">
        <f t="shared" si="1499"/>
        <v>0614140044</v>
      </c>
      <c r="B4105" t="str">
        <f t="shared" si="1500"/>
        <v>TRINITY</v>
      </c>
      <c r="C4105" t="str">
        <f t="shared" si="1495"/>
        <v>DAVIS</v>
      </c>
      <c r="D4105">
        <f>11</f>
        <v>11</v>
      </c>
      <c r="E4105" t="str">
        <f>"05 - B - 102 - Jeanne M Bermudez"</f>
        <v>05 - B - 102 - Jeanne M Bermudez</v>
      </c>
      <c r="F4105" t="str">
        <f>"ADVANCED IT HON"</f>
        <v>ADVANCED IT HON</v>
      </c>
      <c r="G4105" t="str">
        <f>"21-2141"</f>
        <v>21-2141</v>
      </c>
      <c r="H4105" t="str">
        <f>"B"</f>
        <v>B</v>
      </c>
    </row>
    <row r="4106" spans="1:8" x14ac:dyDescent="0.2">
      <c r="A4106" t="str">
        <f t="shared" si="1499"/>
        <v>0614140044</v>
      </c>
      <c r="B4106" t="str">
        <f t="shared" si="1500"/>
        <v>TRINITY</v>
      </c>
      <c r="C4106" t="str">
        <f t="shared" si="1495"/>
        <v>DAVIS</v>
      </c>
      <c r="D4106">
        <f>11</f>
        <v>11</v>
      </c>
      <c r="E4106" t="str">
        <f>"01 - A - 201 - Jeanne M Bermudez"</f>
        <v>01 - A - 201 - Jeanne M Bermudez</v>
      </c>
      <c r="F4106" t="str">
        <f>"PHYSICS 1 HON"</f>
        <v>PHYSICS 1 HON</v>
      </c>
      <c r="G4106" t="str">
        <f>"21-2141"</f>
        <v>21-2141</v>
      </c>
      <c r="H4106" t="str">
        <f>"A"</f>
        <v>A</v>
      </c>
    </row>
    <row r="4107" spans="1:8" x14ac:dyDescent="0.2">
      <c r="A4107" t="str">
        <f t="shared" si="1499"/>
        <v>0614140044</v>
      </c>
      <c r="B4107" t="str">
        <f t="shared" si="1500"/>
        <v>TRINITY</v>
      </c>
      <c r="C4107" t="str">
        <f t="shared" si="1495"/>
        <v>DAVIS</v>
      </c>
      <c r="D4107">
        <f>11</f>
        <v>11</v>
      </c>
      <c r="E4107" t="str">
        <f>"08 - B - 001 - Jerry S Jiampetti"</f>
        <v>08 - B - 001 - Jerry S Jiampetti</v>
      </c>
      <c r="F4107" t="str">
        <f>"AICE U.S. HIST 1 AS"</f>
        <v>AICE U.S. HIST 1 AS</v>
      </c>
      <c r="G4107" t="str">
        <f>"17-1751"</f>
        <v>17-1751</v>
      </c>
      <c r="H4107" t="str">
        <f>"B"</f>
        <v>B</v>
      </c>
    </row>
    <row r="4108" spans="1:8" x14ac:dyDescent="0.2">
      <c r="A4108" t="str">
        <f t="shared" ref="A4108:A4115" si="1501">"0617048099"</f>
        <v>0617048099</v>
      </c>
      <c r="B4108" t="str">
        <f t="shared" ref="B4108:B4115" si="1502">"CEEJAY"</f>
        <v>CEEJAY</v>
      </c>
      <c r="C4108" t="str">
        <f t="shared" ref="C4108:C4123" si="1503">"DAWKINS"</f>
        <v>DAWKINS</v>
      </c>
      <c r="D4108" t="str">
        <f t="shared" ref="D4108:D4123" si="1504">"09"</f>
        <v>09</v>
      </c>
      <c r="E4108" t="str">
        <f>"04 - A - 105 - Carol S Moore"</f>
        <v>04 - A - 105 - Carol S Moore</v>
      </c>
      <c r="F4108" t="str">
        <f>"PRE-AICE WRLD HST IG"</f>
        <v>PRE-AICE WRLD HST IG</v>
      </c>
      <c r="G4108" t="str">
        <f>"17-1733"</f>
        <v>17-1733</v>
      </c>
      <c r="H4108" t="str">
        <f>"A"</f>
        <v>A</v>
      </c>
    </row>
    <row r="4109" spans="1:8" x14ac:dyDescent="0.2">
      <c r="A4109" t="str">
        <f t="shared" si="1501"/>
        <v>0617048099</v>
      </c>
      <c r="B4109" t="str">
        <f t="shared" si="1502"/>
        <v>CEEJAY</v>
      </c>
      <c r="C4109" t="str">
        <f t="shared" si="1503"/>
        <v>DAWKINS</v>
      </c>
      <c r="D4109" t="str">
        <f t="shared" si="1504"/>
        <v>09</v>
      </c>
      <c r="E4109" t="str">
        <f>"06 - B - 102 - Rosa Elaine  Collado-Duff"</f>
        <v>06 - B - 102 - Rosa Elaine  Collado-Duff</v>
      </c>
      <c r="F4109" t="str">
        <f>"SPANISH 3 HON"</f>
        <v>SPANISH 3 HON</v>
      </c>
      <c r="G4109" t="str">
        <f>"09-913"</f>
        <v>09-913</v>
      </c>
      <c r="H4109" t="str">
        <f>"B"</f>
        <v>B</v>
      </c>
    </row>
    <row r="4110" spans="1:8" x14ac:dyDescent="0.2">
      <c r="A4110" t="str">
        <f t="shared" si="1501"/>
        <v>0617048099</v>
      </c>
      <c r="B4110" t="str">
        <f t="shared" si="1502"/>
        <v>CEEJAY</v>
      </c>
      <c r="C4110" t="str">
        <f t="shared" si="1503"/>
        <v>DAWKINS</v>
      </c>
      <c r="D4110" t="str">
        <f t="shared" si="1504"/>
        <v>09</v>
      </c>
      <c r="E4110" t="str">
        <f>"03 - A - 005 - Cerine S Stewart"</f>
        <v>03 - A - 005 - Cerine S Stewart</v>
      </c>
      <c r="F4110" t="str">
        <f>"AICE ENG GEN PAPER 1"</f>
        <v>AICE ENG GEN PAPER 1</v>
      </c>
      <c r="G4110" t="str">
        <f>"17-1720"</f>
        <v>17-1720</v>
      </c>
      <c r="H4110" t="str">
        <f>"A"</f>
        <v>A</v>
      </c>
    </row>
    <row r="4111" spans="1:8" x14ac:dyDescent="0.2">
      <c r="A4111" t="str">
        <f t="shared" si="1501"/>
        <v>0617048099</v>
      </c>
      <c r="B4111" t="str">
        <f t="shared" si="1502"/>
        <v>CEEJAY</v>
      </c>
      <c r="C4111" t="str">
        <f t="shared" si="1503"/>
        <v>DAWKINS</v>
      </c>
      <c r="D4111" t="str">
        <f t="shared" si="1504"/>
        <v>09</v>
      </c>
      <c r="E4111" t="str">
        <f>"02 - A - 103 - Arthur  Kulawik"</f>
        <v>02 - A - 103 - Arthur  Kulawik</v>
      </c>
      <c r="F4111" t="str">
        <f>"NC STUDY HALL 1"</f>
        <v>NC STUDY HALL 1</v>
      </c>
      <c r="G4111" t="str">
        <f>"05-506"</f>
        <v>05-506</v>
      </c>
      <c r="H4111" t="str">
        <f>"A"</f>
        <v>A</v>
      </c>
    </row>
    <row r="4112" spans="1:8" x14ac:dyDescent="0.2">
      <c r="A4112" t="str">
        <f t="shared" si="1501"/>
        <v>0617048099</v>
      </c>
      <c r="B4112" t="str">
        <f t="shared" si="1502"/>
        <v>CEEJAY</v>
      </c>
      <c r="C4112" t="str">
        <f t="shared" si="1503"/>
        <v>DAWKINS</v>
      </c>
      <c r="D4112" t="str">
        <f t="shared" si="1504"/>
        <v>09</v>
      </c>
      <c r="E4112" t="str">
        <f>"07 - B - 002 - Rachel M Montrose"</f>
        <v>07 - B - 002 - Rachel M Montrose</v>
      </c>
      <c r="F4112" t="str">
        <f>"JOURN 1 (NP) LH"</f>
        <v>JOURN 1 (NP) LH</v>
      </c>
      <c r="G4112" t="str">
        <f>"05-521"</f>
        <v>05-521</v>
      </c>
      <c r="H4112" t="str">
        <f>"B"</f>
        <v>B</v>
      </c>
    </row>
    <row r="4113" spans="1:8" x14ac:dyDescent="0.2">
      <c r="A4113" t="str">
        <f t="shared" si="1501"/>
        <v>0617048099</v>
      </c>
      <c r="B4113" t="str">
        <f t="shared" si="1502"/>
        <v>CEEJAY</v>
      </c>
      <c r="C4113" t="str">
        <f t="shared" si="1503"/>
        <v>DAWKINS</v>
      </c>
      <c r="D4113" t="str">
        <f t="shared" si="1504"/>
        <v>09</v>
      </c>
      <c r="E4113" t="str">
        <f>"05 - B - 105 - Adam Marcus  Drucker"</f>
        <v>05 - B - 105 - Adam Marcus  Drucker</v>
      </c>
      <c r="F4113" t="str">
        <f>"HOPE-PE V"</f>
        <v>HOPE-PE V</v>
      </c>
      <c r="G4113" t="str">
        <f>"04-254"</f>
        <v>04-254</v>
      </c>
      <c r="H4113" t="str">
        <f>"B"</f>
        <v>B</v>
      </c>
    </row>
    <row r="4114" spans="1:8" x14ac:dyDescent="0.2">
      <c r="A4114" t="str">
        <f t="shared" si="1501"/>
        <v>0617048099</v>
      </c>
      <c r="B4114" t="str">
        <f t="shared" si="1502"/>
        <v>CEEJAY</v>
      </c>
      <c r="C4114" t="str">
        <f t="shared" si="1503"/>
        <v>DAWKINS</v>
      </c>
      <c r="D4114" t="str">
        <f t="shared" si="1504"/>
        <v>09</v>
      </c>
      <c r="E4114" t="str">
        <f>"01 - A - 101 - Josiah I Lacy"</f>
        <v>01 - A - 101 - Josiah I Lacy</v>
      </c>
      <c r="F4114" t="str">
        <f>"PRE-AICE BIO IG"</f>
        <v>PRE-AICE BIO IG</v>
      </c>
      <c r="G4114" t="str">
        <f>"08-801"</f>
        <v>08-801</v>
      </c>
      <c r="H4114" t="str">
        <f>"A"</f>
        <v>A</v>
      </c>
    </row>
    <row r="4115" spans="1:8" x14ac:dyDescent="0.2">
      <c r="A4115" t="str">
        <f t="shared" si="1501"/>
        <v>0617048099</v>
      </c>
      <c r="B4115" t="str">
        <f t="shared" si="1502"/>
        <v>CEEJAY</v>
      </c>
      <c r="C4115" t="str">
        <f t="shared" si="1503"/>
        <v>DAWKINS</v>
      </c>
      <c r="D4115" t="str">
        <f t="shared" si="1504"/>
        <v>09</v>
      </c>
      <c r="E4115" t="str">
        <f>"08 - B - 102 - Maried P Ramos"</f>
        <v>08 - B - 102 - Maried P Ramos</v>
      </c>
      <c r="F4115" t="str">
        <f>"ALGEBRA 2 HON"</f>
        <v>ALGEBRA 2 HON</v>
      </c>
      <c r="G4115" t="str">
        <f>"21-2159"</f>
        <v>21-2159</v>
      </c>
      <c r="H4115" t="str">
        <f>"B"</f>
        <v>B</v>
      </c>
    </row>
    <row r="4116" spans="1:8" x14ac:dyDescent="0.2">
      <c r="A4116" t="str">
        <f t="shared" ref="A4116:A4123" si="1505">"0615014816"</f>
        <v>0615014816</v>
      </c>
      <c r="B4116" t="str">
        <f t="shared" ref="B4116:B4123" si="1506">"JERRY"</f>
        <v>JERRY</v>
      </c>
      <c r="C4116" t="str">
        <f t="shared" si="1503"/>
        <v>DAWKINS</v>
      </c>
      <c r="D4116" t="str">
        <f t="shared" si="1504"/>
        <v>09</v>
      </c>
      <c r="E4116" t="str">
        <f>"04 - A - 103 - Cerine S Stewart"</f>
        <v>04 - A - 103 - Cerine S Stewart</v>
      </c>
      <c r="F4116" t="str">
        <f>"ENG 1"</f>
        <v>ENG 1</v>
      </c>
      <c r="G4116" t="str">
        <f>"17-1720"</f>
        <v>17-1720</v>
      </c>
      <c r="H4116" t="str">
        <f>"A"</f>
        <v>A</v>
      </c>
    </row>
    <row r="4117" spans="1:8" x14ac:dyDescent="0.2">
      <c r="A4117" t="str">
        <f t="shared" si="1505"/>
        <v>0615014816</v>
      </c>
      <c r="B4117" t="str">
        <f t="shared" si="1506"/>
        <v>JERRY</v>
      </c>
      <c r="C4117" t="str">
        <f t="shared" si="1503"/>
        <v>DAWKINS</v>
      </c>
      <c r="D4117" t="str">
        <f t="shared" si="1504"/>
        <v>09</v>
      </c>
      <c r="E4117" t="str">
        <f>"06 - B - 105 - Dayna M Foster"</f>
        <v>06 - B - 105 - Dayna M Foster</v>
      </c>
      <c r="F4117" t="str">
        <f>"ALGEBRA 1"</f>
        <v>ALGEBRA 1</v>
      </c>
      <c r="G4117" t="str">
        <f>"21-2109"</f>
        <v>21-2109</v>
      </c>
      <c r="H4117" t="str">
        <f>"B"</f>
        <v>B</v>
      </c>
    </row>
    <row r="4118" spans="1:8" x14ac:dyDescent="0.2">
      <c r="A4118" t="str">
        <f t="shared" si="1505"/>
        <v>0615014816</v>
      </c>
      <c r="B4118" t="str">
        <f t="shared" si="1506"/>
        <v>JERRY</v>
      </c>
      <c r="C4118" t="str">
        <f t="shared" si="1503"/>
        <v>DAWKINS</v>
      </c>
      <c r="D4118" t="str">
        <f t="shared" si="1504"/>
        <v>09</v>
      </c>
      <c r="E4118" t="str">
        <f>"03 - A - 101 - Dayna M Foster"</f>
        <v>03 - A - 101 - Dayna M Foster</v>
      </c>
      <c r="F4118" t="str">
        <f>"FDN SKLS MATH 9-12"</f>
        <v>FDN SKLS MATH 9-12</v>
      </c>
      <c r="G4118" t="str">
        <f>"21-2109"</f>
        <v>21-2109</v>
      </c>
      <c r="H4118" t="str">
        <f>"A"</f>
        <v>A</v>
      </c>
    </row>
    <row r="4119" spans="1:8" x14ac:dyDescent="0.2">
      <c r="A4119" t="str">
        <f t="shared" si="1505"/>
        <v>0615014816</v>
      </c>
      <c r="B4119" t="str">
        <f t="shared" si="1506"/>
        <v>JERRY</v>
      </c>
      <c r="C4119" t="str">
        <f t="shared" si="1503"/>
        <v>DAWKINS</v>
      </c>
      <c r="D4119" t="str">
        <f t="shared" si="1504"/>
        <v>09</v>
      </c>
      <c r="E4119" t="str">
        <f>"02 - A - 105 - Elizabeth R Walker"</f>
        <v>02 - A - 105 - Elizabeth R Walker</v>
      </c>
      <c r="F4119" t="str">
        <f>"NC STUDY HALL 1"</f>
        <v>NC STUDY HALL 1</v>
      </c>
      <c r="G4119" t="str">
        <f>"17-1703"</f>
        <v>17-1703</v>
      </c>
      <c r="H4119" t="str">
        <f>"A"</f>
        <v>A</v>
      </c>
    </row>
    <row r="4120" spans="1:8" x14ac:dyDescent="0.2">
      <c r="A4120" t="str">
        <f t="shared" si="1505"/>
        <v>0615014816</v>
      </c>
      <c r="B4120" t="str">
        <f t="shared" si="1506"/>
        <v>JERRY</v>
      </c>
      <c r="C4120" t="str">
        <f t="shared" si="1503"/>
        <v>DAWKINS</v>
      </c>
      <c r="D4120" t="str">
        <f t="shared" si="1504"/>
        <v>09</v>
      </c>
      <c r="E4120" t="str">
        <f>"07 - B - 002 - Jazmin S Fletcher"</f>
        <v>07 - B - 002 - Jazmin S Fletcher</v>
      </c>
      <c r="F4120" t="str">
        <f>"THEATRE 1"</f>
        <v>THEATRE 1</v>
      </c>
      <c r="G4120" t="str">
        <f>"09-909"</f>
        <v>09-909</v>
      </c>
      <c r="H4120" t="str">
        <f>"B"</f>
        <v>B</v>
      </c>
    </row>
    <row r="4121" spans="1:8" x14ac:dyDescent="0.2">
      <c r="A4121" t="str">
        <f t="shared" si="1505"/>
        <v>0615014816</v>
      </c>
      <c r="B4121" t="str">
        <f t="shared" si="1506"/>
        <v>JERRY</v>
      </c>
      <c r="C4121" t="str">
        <f t="shared" si="1503"/>
        <v>DAWKINS</v>
      </c>
      <c r="D4121" t="str">
        <f t="shared" si="1504"/>
        <v>09</v>
      </c>
      <c r="E4121" t="str">
        <f>"05 - S1 - B - 102 - Richard E Dunbar Iii"</f>
        <v>05 - S1 - B - 102 - Richard E Dunbar Iii</v>
      </c>
      <c r="F4121" t="str">
        <f>"TEAM SPORTS 1"</f>
        <v>TEAM SPORTS 1</v>
      </c>
      <c r="G4121" t="str">
        <f>"04-254"</f>
        <v>04-254</v>
      </c>
      <c r="H4121" t="str">
        <f>"B"</f>
        <v>B</v>
      </c>
    </row>
    <row r="4122" spans="1:8" x14ac:dyDescent="0.2">
      <c r="A4122" t="str">
        <f t="shared" si="1505"/>
        <v>0615014816</v>
      </c>
      <c r="B4122" t="str">
        <f t="shared" si="1506"/>
        <v>JERRY</v>
      </c>
      <c r="C4122" t="str">
        <f t="shared" si="1503"/>
        <v>DAWKINS</v>
      </c>
      <c r="D4122" t="str">
        <f t="shared" si="1504"/>
        <v>09</v>
      </c>
      <c r="E4122" t="str">
        <f>"01 - A - 103 - Amy Beth  Broyles"</f>
        <v>01 - A - 103 - Amy Beth  Broyles</v>
      </c>
      <c r="F4122" t="str">
        <f>"ENV SCI"</f>
        <v>ENV SCI</v>
      </c>
      <c r="G4122" t="str">
        <f>"08-802"</f>
        <v>08-802</v>
      </c>
      <c r="H4122" t="str">
        <f>"A"</f>
        <v>A</v>
      </c>
    </row>
    <row r="4123" spans="1:8" x14ac:dyDescent="0.2">
      <c r="A4123" t="str">
        <f t="shared" si="1505"/>
        <v>0615014816</v>
      </c>
      <c r="B4123" t="str">
        <f t="shared" si="1506"/>
        <v>JERRY</v>
      </c>
      <c r="C4123" t="str">
        <f t="shared" si="1503"/>
        <v>DAWKINS</v>
      </c>
      <c r="D4123" t="str">
        <f t="shared" si="1504"/>
        <v>09</v>
      </c>
      <c r="E4123" t="str">
        <f>"08 - B - 106 - Laselleda D Shaw"</f>
        <v>08 - B - 106 - Laselleda D Shaw</v>
      </c>
      <c r="F4123" t="str">
        <f>"INTENS READ 1"</f>
        <v>INTENS READ 1</v>
      </c>
      <c r="G4123" t="str">
        <f>"17-1723"</f>
        <v>17-1723</v>
      </c>
      <c r="H4123" t="str">
        <f>"B"</f>
        <v>B</v>
      </c>
    </row>
    <row r="4124" spans="1:8" x14ac:dyDescent="0.2">
      <c r="A4124" t="str">
        <f t="shared" ref="A4124:A4131" si="1507">"0615054246"</f>
        <v>0615054246</v>
      </c>
      <c r="B4124" t="str">
        <f t="shared" ref="B4124:B4131" si="1508">"LUIZA"</f>
        <v>LUIZA</v>
      </c>
      <c r="C4124" t="str">
        <f t="shared" ref="C4124:C4131" si="1509">"DE ALMEIDA"</f>
        <v>DE ALMEIDA</v>
      </c>
      <c r="D4124">
        <f>11</f>
        <v>11</v>
      </c>
      <c r="E4124" t="str">
        <f>"04 - A - 101 - Pamela M Corzo"</f>
        <v>04 - A - 101 - Pamela M Corzo</v>
      </c>
      <c r="F4124" t="str">
        <f>"CALCULUS HON"</f>
        <v>CALCULUS HON</v>
      </c>
      <c r="G4124" t="str">
        <f>"21-2133"</f>
        <v>21-2133</v>
      </c>
      <c r="H4124" t="str">
        <f>"A"</f>
        <v>A</v>
      </c>
    </row>
    <row r="4125" spans="1:8" x14ac:dyDescent="0.2">
      <c r="A4125" t="str">
        <f t="shared" si="1507"/>
        <v>0615054246</v>
      </c>
      <c r="B4125" t="str">
        <f t="shared" si="1508"/>
        <v>LUIZA</v>
      </c>
      <c r="C4125" t="str">
        <f t="shared" si="1509"/>
        <v>DE ALMEIDA</v>
      </c>
      <c r="D4125">
        <f>11</f>
        <v>11</v>
      </c>
      <c r="E4125" t="str">
        <f>"06 - B - 102 - Stephen T Ripp"</f>
        <v>06 - B - 102 - Stephen T Ripp</v>
      </c>
      <c r="F4125" t="str">
        <f>"AP U.S. HIST"</f>
        <v>AP U.S. HIST</v>
      </c>
      <c r="G4125" t="str">
        <f>"17-1744"</f>
        <v>17-1744</v>
      </c>
      <c r="H4125" t="str">
        <f>"B"</f>
        <v>B</v>
      </c>
    </row>
    <row r="4126" spans="1:8" x14ac:dyDescent="0.2">
      <c r="A4126" t="str">
        <f t="shared" si="1507"/>
        <v>0615054246</v>
      </c>
      <c r="B4126" t="str">
        <f t="shared" si="1508"/>
        <v>LUIZA</v>
      </c>
      <c r="C4126" t="str">
        <f t="shared" si="1509"/>
        <v>DE ALMEIDA</v>
      </c>
      <c r="D4126">
        <f>11</f>
        <v>11</v>
      </c>
      <c r="E4126" t="str">
        <f>"03 - S1 - A - 101 - Arthur  Kulawik"</f>
        <v>03 - S1 - A - 101 - Arthur  Kulawik</v>
      </c>
      <c r="F4126" t="str">
        <f>"PERS FIN &amp; MON MGT H"</f>
        <v>PERS FIN &amp; MON MGT H</v>
      </c>
      <c r="G4126" t="str">
        <f>"05-506"</f>
        <v>05-506</v>
      </c>
      <c r="H4126" t="str">
        <f>"A"</f>
        <v>A</v>
      </c>
    </row>
    <row r="4127" spans="1:8" x14ac:dyDescent="0.2">
      <c r="A4127" t="str">
        <f t="shared" si="1507"/>
        <v>0615054246</v>
      </c>
      <c r="B4127" t="str">
        <f t="shared" si="1508"/>
        <v>LUIZA</v>
      </c>
      <c r="C4127" t="str">
        <f t="shared" si="1509"/>
        <v>DE ALMEIDA</v>
      </c>
      <c r="D4127">
        <f>11</f>
        <v>11</v>
      </c>
      <c r="E4127" t="str">
        <f>"02 - A - 105 - Leslie J Barton"</f>
        <v>02 - A - 105 - Leslie J Barton</v>
      </c>
      <c r="F4127" t="str">
        <f>"NC STUDY HALL 1"</f>
        <v>NC STUDY HALL 1</v>
      </c>
      <c r="G4127" t="str">
        <f>"05-521"</f>
        <v>05-521</v>
      </c>
      <c r="H4127" t="str">
        <f>"A"</f>
        <v>A</v>
      </c>
    </row>
    <row r="4128" spans="1:8" x14ac:dyDescent="0.2">
      <c r="A4128" t="str">
        <f t="shared" si="1507"/>
        <v>0615054246</v>
      </c>
      <c r="B4128" t="str">
        <f t="shared" si="1508"/>
        <v>LUIZA</v>
      </c>
      <c r="C4128" t="str">
        <f t="shared" si="1509"/>
        <v>DE ALMEIDA</v>
      </c>
      <c r="D4128">
        <f>11</f>
        <v>11</v>
      </c>
      <c r="E4128" t="str">
        <f>"07 - B - 103 - Lisa J London"</f>
        <v>07 - B - 103 - Lisa J London</v>
      </c>
      <c r="F4128" t="str">
        <f>"AP CAPSTONE SEMINAR"</f>
        <v>AP CAPSTONE SEMINAR</v>
      </c>
      <c r="G4128" t="str">
        <f>"17-1714"</f>
        <v>17-1714</v>
      </c>
      <c r="H4128" t="str">
        <f>"B"</f>
        <v>B</v>
      </c>
    </row>
    <row r="4129" spans="1:8" x14ac:dyDescent="0.2">
      <c r="A4129" t="str">
        <f t="shared" si="1507"/>
        <v>0615054246</v>
      </c>
      <c r="B4129" t="str">
        <f t="shared" si="1508"/>
        <v>LUIZA</v>
      </c>
      <c r="C4129" t="str">
        <f t="shared" si="1509"/>
        <v>DE ALMEIDA</v>
      </c>
      <c r="D4129">
        <f>11</f>
        <v>11</v>
      </c>
      <c r="E4129" t="str">
        <f>"05 - B - 102 - Daniel S Katz"</f>
        <v>05 - B - 102 - Daniel S Katz</v>
      </c>
      <c r="F4129" t="str">
        <f>"EXEC INTERN 4 LH"</f>
        <v>EXEC INTERN 4 LH</v>
      </c>
      <c r="G4129" t="str">
        <f>"21-2156"</f>
        <v>21-2156</v>
      </c>
      <c r="H4129" t="str">
        <f>"B"</f>
        <v>B</v>
      </c>
    </row>
    <row r="4130" spans="1:8" x14ac:dyDescent="0.2">
      <c r="A4130" t="str">
        <f t="shared" si="1507"/>
        <v>0615054246</v>
      </c>
      <c r="B4130" t="str">
        <f t="shared" si="1508"/>
        <v>LUIZA</v>
      </c>
      <c r="C4130" t="str">
        <f t="shared" si="1509"/>
        <v>DE ALMEIDA</v>
      </c>
      <c r="D4130">
        <f>11</f>
        <v>11</v>
      </c>
      <c r="E4130" t="str">
        <f>"01 - A - 101 - Brandy N Zdenek"</f>
        <v>01 - A - 101 - Brandy N Zdenek</v>
      </c>
      <c r="F4130" t="str">
        <f>"AICE ENG LANG 2 AL"</f>
        <v>AICE ENG LANG 2 AL</v>
      </c>
      <c r="G4130" t="str">
        <f>"17-1704"</f>
        <v>17-1704</v>
      </c>
      <c r="H4130" t="str">
        <f>"A"</f>
        <v>A</v>
      </c>
    </row>
    <row r="4131" spans="1:8" x14ac:dyDescent="0.2">
      <c r="A4131" t="str">
        <f t="shared" si="1507"/>
        <v>0615054246</v>
      </c>
      <c r="B4131" t="str">
        <f t="shared" si="1508"/>
        <v>LUIZA</v>
      </c>
      <c r="C4131" t="str">
        <f t="shared" si="1509"/>
        <v>DE ALMEIDA</v>
      </c>
      <c r="D4131">
        <f>11</f>
        <v>11</v>
      </c>
      <c r="E4131" t="str">
        <f>"08 - B - 103 - Marielle A Witting"</f>
        <v>08 - B - 103 - Marielle A Witting</v>
      </c>
      <c r="F4131" t="str">
        <f>"AP BIO"</f>
        <v>AP BIO</v>
      </c>
      <c r="G4131" t="str">
        <f>"08-805"</f>
        <v>08-805</v>
      </c>
      <c r="H4131" t="str">
        <f>"B"</f>
        <v>B</v>
      </c>
    </row>
    <row r="4132" spans="1:8" x14ac:dyDescent="0.2">
      <c r="A4132" t="str">
        <f t="shared" ref="A4132:A4140" si="1510">"0617006988"</f>
        <v>0617006988</v>
      </c>
      <c r="B4132" t="str">
        <f t="shared" ref="B4132:B4140" si="1511">"BREYANNAH"</f>
        <v>BREYANNAH</v>
      </c>
      <c r="C4132" t="str">
        <f t="shared" ref="C4132:C4140" si="1512">"DECEUS"</f>
        <v>DECEUS</v>
      </c>
      <c r="D4132">
        <f>11</f>
        <v>11</v>
      </c>
      <c r="E4132" t="str">
        <f>"19 - S1 - MTWHF - BCC - Instructor BC"</f>
        <v>19 - S1 - MTWHF - BCC - Instructor BC</v>
      </c>
      <c r="F4132" t="str">
        <f>"GENERAL PSYCHOLOGY"</f>
        <v>GENERAL PSYCHOLOGY</v>
      </c>
      <c r="G4132" t="str">
        <f>"60-DE"</f>
        <v>60-DE</v>
      </c>
      <c r="H4132" t="str">
        <f>"-"</f>
        <v>-</v>
      </c>
    </row>
    <row r="4133" spans="1:8" x14ac:dyDescent="0.2">
      <c r="A4133" t="str">
        <f t="shared" si="1510"/>
        <v>0617006988</v>
      </c>
      <c r="B4133" t="str">
        <f t="shared" si="1511"/>
        <v>BREYANNAH</v>
      </c>
      <c r="C4133" t="str">
        <f t="shared" si="1512"/>
        <v>DECEUS</v>
      </c>
      <c r="D4133">
        <f>11</f>
        <v>11</v>
      </c>
      <c r="E4133" t="str">
        <f>"04 - A - 102 - Fernando  Vega-Cid"</f>
        <v>04 - A - 102 - Fernando  Vega-Cid</v>
      </c>
      <c r="F4133" t="str">
        <f>"PRE-CALCULUS HON"</f>
        <v>PRE-CALCULUS HON</v>
      </c>
      <c r="G4133" t="str">
        <f>"21-2163"</f>
        <v>21-2163</v>
      </c>
      <c r="H4133" t="str">
        <f>"A"</f>
        <v>A</v>
      </c>
    </row>
    <row r="4134" spans="1:8" x14ac:dyDescent="0.2">
      <c r="A4134" t="str">
        <f t="shared" si="1510"/>
        <v>0617006988</v>
      </c>
      <c r="B4134" t="str">
        <f t="shared" si="1511"/>
        <v>BREYANNAH</v>
      </c>
      <c r="C4134" t="str">
        <f t="shared" si="1512"/>
        <v>DECEUS</v>
      </c>
      <c r="D4134">
        <f>11</f>
        <v>11</v>
      </c>
      <c r="E4134" t="str">
        <f>"06 - B - 104 - Chrystina M Marchionne"</f>
        <v>06 - B - 104 - Chrystina M Marchionne</v>
      </c>
      <c r="F4134" t="str">
        <f>"AICE MEDIA STUDIES A"</f>
        <v>AICE MEDIA STUDIES A</v>
      </c>
      <c r="G4134" t="str">
        <f>"05-520"</f>
        <v>05-520</v>
      </c>
      <c r="H4134" t="str">
        <f>"B"</f>
        <v>B</v>
      </c>
    </row>
    <row r="4135" spans="1:8" x14ac:dyDescent="0.2">
      <c r="A4135" t="str">
        <f t="shared" si="1510"/>
        <v>0617006988</v>
      </c>
      <c r="B4135" t="str">
        <f t="shared" si="1511"/>
        <v>BREYANNAH</v>
      </c>
      <c r="C4135" t="str">
        <f t="shared" si="1512"/>
        <v>DECEUS</v>
      </c>
      <c r="D4135">
        <f>11</f>
        <v>11</v>
      </c>
      <c r="E4135" t="str">
        <f>"03 - A - 101 - Jacqueline R Morphet"</f>
        <v>03 - A - 101 - Jacqueline R Morphet</v>
      </c>
      <c r="F4135" t="str">
        <f>"AP PHYSICS 1"</f>
        <v>AP PHYSICS 1</v>
      </c>
      <c r="G4135" t="str">
        <f>"21-2138"</f>
        <v>21-2138</v>
      </c>
      <c r="H4135" t="str">
        <f>"A"</f>
        <v>A</v>
      </c>
    </row>
    <row r="4136" spans="1:8" x14ac:dyDescent="0.2">
      <c r="A4136" t="str">
        <f t="shared" si="1510"/>
        <v>0617006988</v>
      </c>
      <c r="B4136" t="str">
        <f t="shared" si="1511"/>
        <v>BREYANNAH</v>
      </c>
      <c r="C4136" t="str">
        <f t="shared" si="1512"/>
        <v>DECEUS</v>
      </c>
      <c r="D4136">
        <f>11</f>
        <v>11</v>
      </c>
      <c r="E4136" t="str">
        <f>"02 - A - 001 - Jazmin S Fletcher"</f>
        <v>02 - A - 001 - Jazmin S Fletcher</v>
      </c>
      <c r="F4136" t="str">
        <f>"NC STUDY HALL 1"</f>
        <v>NC STUDY HALL 1</v>
      </c>
      <c r="G4136" t="str">
        <f>"09-909"</f>
        <v>09-909</v>
      </c>
      <c r="H4136" t="str">
        <f>"A"</f>
        <v>A</v>
      </c>
    </row>
    <row r="4137" spans="1:8" x14ac:dyDescent="0.2">
      <c r="A4137" t="str">
        <f t="shared" si="1510"/>
        <v>0617006988</v>
      </c>
      <c r="B4137" t="str">
        <f t="shared" si="1511"/>
        <v>BREYANNAH</v>
      </c>
      <c r="C4137" t="str">
        <f t="shared" si="1512"/>
        <v>DECEUS</v>
      </c>
      <c r="D4137">
        <f>11</f>
        <v>11</v>
      </c>
      <c r="E4137" t="str">
        <f>"07 - B - 103 - Lisa J London"</f>
        <v>07 - B - 103 - Lisa J London</v>
      </c>
      <c r="F4137" t="str">
        <f>"AP CAPSTONE SEMINAR"</f>
        <v>AP CAPSTONE SEMINAR</v>
      </c>
      <c r="G4137" t="str">
        <f>"17-1714"</f>
        <v>17-1714</v>
      </c>
      <c r="H4137" t="str">
        <f>"B"</f>
        <v>B</v>
      </c>
    </row>
    <row r="4138" spans="1:8" x14ac:dyDescent="0.2">
      <c r="A4138" t="str">
        <f t="shared" si="1510"/>
        <v>0617006988</v>
      </c>
      <c r="B4138" t="str">
        <f t="shared" si="1511"/>
        <v>BREYANNAH</v>
      </c>
      <c r="C4138" t="str">
        <f t="shared" si="1512"/>
        <v>DECEUS</v>
      </c>
      <c r="D4138">
        <f>11</f>
        <v>11</v>
      </c>
      <c r="E4138" t="str">
        <f>"05 - B - 102 - Daniel S Katz"</f>
        <v>05 - B - 102 - Daniel S Katz</v>
      </c>
      <c r="F4138" t="str">
        <f>"EXEC INTERN 4 LH"</f>
        <v>EXEC INTERN 4 LH</v>
      </c>
      <c r="G4138" t="str">
        <f>"21-2156"</f>
        <v>21-2156</v>
      </c>
      <c r="H4138" t="str">
        <f>"B"</f>
        <v>B</v>
      </c>
    </row>
    <row r="4139" spans="1:8" x14ac:dyDescent="0.2">
      <c r="A4139" t="str">
        <f t="shared" si="1510"/>
        <v>0617006988</v>
      </c>
      <c r="B4139" t="str">
        <f t="shared" si="1511"/>
        <v>BREYANNAH</v>
      </c>
      <c r="C4139" t="str">
        <f t="shared" si="1512"/>
        <v>DECEUS</v>
      </c>
      <c r="D4139">
        <f>11</f>
        <v>11</v>
      </c>
      <c r="E4139" t="str">
        <f>"01 - A - 001 - Stephen T Ripp"</f>
        <v>01 - A - 001 - Stephen T Ripp</v>
      </c>
      <c r="F4139" t="str">
        <f>"AP U.S. HIST"</f>
        <v>AP U.S. HIST</v>
      </c>
      <c r="G4139" t="str">
        <f>"17-1744"</f>
        <v>17-1744</v>
      </c>
      <c r="H4139" t="str">
        <f>"A"</f>
        <v>A</v>
      </c>
    </row>
    <row r="4140" spans="1:8" x14ac:dyDescent="0.2">
      <c r="A4140" t="str">
        <f t="shared" si="1510"/>
        <v>0617006988</v>
      </c>
      <c r="B4140" t="str">
        <f t="shared" si="1511"/>
        <v>BREYANNAH</v>
      </c>
      <c r="C4140" t="str">
        <f t="shared" si="1512"/>
        <v>DECEUS</v>
      </c>
      <c r="D4140">
        <f>11</f>
        <v>11</v>
      </c>
      <c r="E4140" t="str">
        <f>"08 - B - 105 - Brandy N Zdenek"</f>
        <v>08 - B - 105 - Brandy N Zdenek</v>
      </c>
      <c r="F4140" t="str">
        <f>"AICE ENG LANG 2 AL"</f>
        <v>AICE ENG LANG 2 AL</v>
      </c>
      <c r="G4140" t="str">
        <f>"17-1704"</f>
        <v>17-1704</v>
      </c>
      <c r="H4140" t="str">
        <f>"B"</f>
        <v>B</v>
      </c>
    </row>
    <row r="4141" spans="1:8" x14ac:dyDescent="0.2">
      <c r="A4141" t="str">
        <f t="shared" ref="A4141:A4148" si="1513">"0613117688"</f>
        <v>0613117688</v>
      </c>
      <c r="B4141" t="str">
        <f t="shared" ref="B4141:B4148" si="1514">"JAHZIAH"</f>
        <v>JAHZIAH</v>
      </c>
      <c r="C4141" t="str">
        <f t="shared" ref="C4141:C4148" si="1515">"DEFOE GLOVER"</f>
        <v>DEFOE GLOVER</v>
      </c>
      <c r="D4141">
        <f>12</f>
        <v>12</v>
      </c>
      <c r="E4141" t="str">
        <f>"04 - A - 205 - Jacqueline R Morphet"</f>
        <v>04 - A - 205 - Jacqueline R Morphet</v>
      </c>
      <c r="F4141" t="str">
        <f>"PHYSICS 1 HON"</f>
        <v>PHYSICS 1 HON</v>
      </c>
      <c r="G4141" t="str">
        <f>"21-2138"</f>
        <v>21-2138</v>
      </c>
      <c r="H4141" t="str">
        <f>"A"</f>
        <v>A</v>
      </c>
    </row>
    <row r="4142" spans="1:8" x14ac:dyDescent="0.2">
      <c r="A4142" t="str">
        <f t="shared" si="1513"/>
        <v>0613117688</v>
      </c>
      <c r="B4142" t="str">
        <f t="shared" si="1514"/>
        <v>JAHZIAH</v>
      </c>
      <c r="C4142" t="str">
        <f t="shared" si="1515"/>
        <v>DEFOE GLOVER</v>
      </c>
      <c r="D4142">
        <f>12</f>
        <v>12</v>
      </c>
      <c r="E4142" t="str">
        <f>"06 - B - 112 - Lisa  Quinn"</f>
        <v>06 - B - 112 - Lisa  Quinn</v>
      </c>
      <c r="F4142" t="str">
        <f>"NC STUDY HALL 1"</f>
        <v>NC STUDY HALL 1</v>
      </c>
      <c r="G4142" t="str">
        <f>"17-1725"</f>
        <v>17-1725</v>
      </c>
      <c r="H4142" t="str">
        <f>"B"</f>
        <v>B</v>
      </c>
    </row>
    <row r="4143" spans="1:8" x14ac:dyDescent="0.2">
      <c r="A4143" t="str">
        <f t="shared" si="1513"/>
        <v>0613117688</v>
      </c>
      <c r="B4143" t="str">
        <f t="shared" si="1514"/>
        <v>JAHZIAH</v>
      </c>
      <c r="C4143" t="str">
        <f t="shared" si="1515"/>
        <v>DEFOE GLOVER</v>
      </c>
      <c r="D4143">
        <f>12</f>
        <v>12</v>
      </c>
      <c r="E4143" t="str">
        <f>"03 - A - 201 - Chrystina M Marchionne"</f>
        <v>03 - A - 201 - Chrystina M Marchionne</v>
      </c>
      <c r="F4143" t="str">
        <f>"JOURN 1 (YB) LH"</f>
        <v>JOURN 1 (YB) LH</v>
      </c>
      <c r="G4143" t="str">
        <f>"05-520"</f>
        <v>05-520</v>
      </c>
      <c r="H4143" t="str">
        <f>"A"</f>
        <v>A</v>
      </c>
    </row>
    <row r="4144" spans="1:8" x14ac:dyDescent="0.2">
      <c r="A4144" t="str">
        <f t="shared" si="1513"/>
        <v>0613117688</v>
      </c>
      <c r="B4144" t="str">
        <f t="shared" si="1514"/>
        <v>JAHZIAH</v>
      </c>
      <c r="C4144" t="str">
        <f t="shared" si="1515"/>
        <v>DEFOE GLOVER</v>
      </c>
      <c r="D4144">
        <f>12</f>
        <v>12</v>
      </c>
      <c r="E4144" t="str">
        <f>"02 - A - 102 - Marielle A Witting"</f>
        <v>02 - A - 102 - Marielle A Witting</v>
      </c>
      <c r="F4144" t="str">
        <f>"AP BIO"</f>
        <v>AP BIO</v>
      </c>
      <c r="G4144" t="str">
        <f>"08-805"</f>
        <v>08-805</v>
      </c>
      <c r="H4144" t="str">
        <f>"A"</f>
        <v>A</v>
      </c>
    </row>
    <row r="4145" spans="1:8" x14ac:dyDescent="0.2">
      <c r="A4145" t="str">
        <f t="shared" si="1513"/>
        <v>0613117688</v>
      </c>
      <c r="B4145" t="str">
        <f t="shared" si="1514"/>
        <v>JAHZIAH</v>
      </c>
      <c r="C4145" t="str">
        <f t="shared" si="1515"/>
        <v>DEFOE GLOVER</v>
      </c>
      <c r="D4145">
        <f>12</f>
        <v>12</v>
      </c>
      <c r="E4145" t="str">
        <f>"07 - S1 - B - 101 - Daniel S Katz"</f>
        <v>07 - S1 - B - 101 - Daniel S Katz</v>
      </c>
      <c r="F4145" t="str">
        <f>"CRIMINAL LAW"</f>
        <v>CRIMINAL LAW</v>
      </c>
      <c r="G4145" t="str">
        <f>"21-2156"</f>
        <v>21-2156</v>
      </c>
      <c r="H4145" t="str">
        <f>"B"</f>
        <v>B</v>
      </c>
    </row>
    <row r="4146" spans="1:8" x14ac:dyDescent="0.2">
      <c r="A4146" t="str">
        <f t="shared" si="1513"/>
        <v>0613117688</v>
      </c>
      <c r="B4146" t="str">
        <f t="shared" si="1514"/>
        <v>JAHZIAH</v>
      </c>
      <c r="C4146" t="str">
        <f t="shared" si="1515"/>
        <v>DEFOE GLOVER</v>
      </c>
      <c r="D4146">
        <f>12</f>
        <v>12</v>
      </c>
      <c r="E4146" t="str">
        <f>"05 - S1 - B - 103 - Stephen T Ripp"</f>
        <v>05 - S1 - B - 103 - Stephen T Ripp</v>
      </c>
      <c r="F4146" t="str">
        <f>"AP US GOVT/POL"</f>
        <v>AP US GOVT/POL</v>
      </c>
      <c r="G4146" t="str">
        <f>"17-1744"</f>
        <v>17-1744</v>
      </c>
      <c r="H4146" t="str">
        <f>"B"</f>
        <v>B</v>
      </c>
    </row>
    <row r="4147" spans="1:8" x14ac:dyDescent="0.2">
      <c r="A4147" t="str">
        <f t="shared" si="1513"/>
        <v>0613117688</v>
      </c>
      <c r="B4147" t="str">
        <f t="shared" si="1514"/>
        <v>JAHZIAH</v>
      </c>
      <c r="C4147" t="str">
        <f t="shared" si="1515"/>
        <v>DEFOE GLOVER</v>
      </c>
      <c r="D4147">
        <f>12</f>
        <v>12</v>
      </c>
      <c r="E4147" t="str">
        <f>"01 - A - 201 - Pamela M Corzo"</f>
        <v>01 - A - 201 - Pamela M Corzo</v>
      </c>
      <c r="F4147" t="str">
        <f>"AP CALCULUS BC"</f>
        <v>AP CALCULUS BC</v>
      </c>
      <c r="G4147" t="str">
        <f>"21-2133"</f>
        <v>21-2133</v>
      </c>
      <c r="H4147" t="str">
        <f>"A"</f>
        <v>A</v>
      </c>
    </row>
    <row r="4148" spans="1:8" x14ac:dyDescent="0.2">
      <c r="A4148" t="str">
        <f t="shared" si="1513"/>
        <v>0613117688</v>
      </c>
      <c r="B4148" t="str">
        <f t="shared" si="1514"/>
        <v>JAHZIAH</v>
      </c>
      <c r="C4148" t="str">
        <f t="shared" si="1515"/>
        <v>DEFOE GLOVER</v>
      </c>
      <c r="D4148">
        <f>12</f>
        <v>12</v>
      </c>
      <c r="E4148" t="str">
        <f>"08 - B - 203 - Courtney E Hambright"</f>
        <v>08 - B - 203 - Courtney E Hambright</v>
      </c>
      <c r="F4148" t="str">
        <f>"AP ENG LIT COMPO"</f>
        <v>AP ENG LIT COMPO</v>
      </c>
      <c r="G4148" t="str">
        <f>"17-1711"</f>
        <v>17-1711</v>
      </c>
      <c r="H4148" t="str">
        <f>"B"</f>
        <v>B</v>
      </c>
    </row>
    <row r="4149" spans="1:8" x14ac:dyDescent="0.2">
      <c r="A4149" t="str">
        <f t="shared" ref="A4149:A4156" si="1516">"0614073606"</f>
        <v>0614073606</v>
      </c>
      <c r="B4149" t="str">
        <f t="shared" ref="B4149:B4156" si="1517">"KATIANNA"</f>
        <v>KATIANNA</v>
      </c>
      <c r="C4149" t="str">
        <f t="shared" ref="C4149:C4156" si="1518">"DEGAND"</f>
        <v>DEGAND</v>
      </c>
      <c r="D4149">
        <f>12</f>
        <v>12</v>
      </c>
      <c r="E4149" t="str">
        <f>"04 - A - 101 - Thomas G Handwerg"</f>
        <v>04 - A - 101 - Thomas G Handwerg</v>
      </c>
      <c r="F4149" t="str">
        <f>"MATH COLL ALGEBRA"</f>
        <v>MATH COLL ALGEBRA</v>
      </c>
      <c r="G4149" t="str">
        <f>"21-2146"</f>
        <v>21-2146</v>
      </c>
      <c r="H4149" t="str">
        <f>"A"</f>
        <v>A</v>
      </c>
    </row>
    <row r="4150" spans="1:8" x14ac:dyDescent="0.2">
      <c r="A4150" t="str">
        <f t="shared" si="1516"/>
        <v>0614073606</v>
      </c>
      <c r="B4150" t="str">
        <f t="shared" si="1517"/>
        <v>KATIANNA</v>
      </c>
      <c r="C4150" t="str">
        <f t="shared" si="1518"/>
        <v>DEGAND</v>
      </c>
      <c r="D4150">
        <f>12</f>
        <v>12</v>
      </c>
      <c r="E4150" t="str">
        <f>"06 - B - 102 - Andrea A Amison"</f>
        <v>06 - B - 102 - Andrea A Amison</v>
      </c>
      <c r="F4150" t="str">
        <f>"NC STUDY HALL 1"</f>
        <v>NC STUDY HALL 1</v>
      </c>
      <c r="G4150" t="str">
        <f>"09-922C"</f>
        <v>09-922C</v>
      </c>
      <c r="H4150" t="str">
        <f>"B"</f>
        <v>B</v>
      </c>
    </row>
    <row r="4151" spans="1:8" x14ac:dyDescent="0.2">
      <c r="A4151" t="str">
        <f t="shared" si="1516"/>
        <v>0614073606</v>
      </c>
      <c r="B4151" t="str">
        <f t="shared" si="1517"/>
        <v>KATIANNA</v>
      </c>
      <c r="C4151" t="str">
        <f t="shared" si="1518"/>
        <v>DEGAND</v>
      </c>
      <c r="D4151">
        <f>12</f>
        <v>12</v>
      </c>
      <c r="E4151" t="str">
        <f>"03 - A - 101 - Jeffrey S Gallagher"</f>
        <v>03 - A - 101 - Jeffrey S Gallagher</v>
      </c>
      <c r="F4151" t="str">
        <f>"ENG HON 4"</f>
        <v>ENG HON 4</v>
      </c>
      <c r="G4151" t="str">
        <f>"17-1724"</f>
        <v>17-1724</v>
      </c>
      <c r="H4151" t="str">
        <f>"A"</f>
        <v>A</v>
      </c>
    </row>
    <row r="4152" spans="1:8" x14ac:dyDescent="0.2">
      <c r="A4152" t="str">
        <f t="shared" si="1516"/>
        <v>0614073606</v>
      </c>
      <c r="B4152" t="str">
        <f t="shared" si="1517"/>
        <v>KATIANNA</v>
      </c>
      <c r="C4152" t="str">
        <f t="shared" si="1518"/>
        <v>DEGAND</v>
      </c>
      <c r="D4152">
        <f>12</f>
        <v>12</v>
      </c>
      <c r="E4152" t="str">
        <f>"02 - A - 102 - Vanessa J Liburd"</f>
        <v>02 - A - 102 - Vanessa J Liburd</v>
      </c>
      <c r="F4152" t="str">
        <f>"PRE-AICE FRENCH 2 IG"</f>
        <v>PRE-AICE FRENCH 2 IG</v>
      </c>
      <c r="G4152" t="str">
        <f>"05-519"</f>
        <v>05-519</v>
      </c>
      <c r="H4152" t="str">
        <f>"A"</f>
        <v>A</v>
      </c>
    </row>
    <row r="4153" spans="1:8" x14ac:dyDescent="0.2">
      <c r="A4153" t="str">
        <f t="shared" si="1516"/>
        <v>0614073606</v>
      </c>
      <c r="B4153" t="str">
        <f t="shared" si="1517"/>
        <v>KATIANNA</v>
      </c>
      <c r="C4153" t="str">
        <f t="shared" si="1518"/>
        <v>DEGAND</v>
      </c>
      <c r="D4153">
        <f>12</f>
        <v>12</v>
      </c>
      <c r="E4153" t="str">
        <f>"07 - B - 105 - Cliffon  Saurel"</f>
        <v>07 - B - 105 - Cliffon  Saurel</v>
      </c>
      <c r="F4153" t="str">
        <f>"PHYSICAL SCI"</f>
        <v>PHYSICAL SCI</v>
      </c>
      <c r="G4153" t="str">
        <f>"05-522"</f>
        <v>05-522</v>
      </c>
      <c r="H4153" t="str">
        <f>"B"</f>
        <v>B</v>
      </c>
    </row>
    <row r="4154" spans="1:8" x14ac:dyDescent="0.2">
      <c r="A4154" t="str">
        <f t="shared" si="1516"/>
        <v>0614073606</v>
      </c>
      <c r="B4154" t="str">
        <f t="shared" si="1517"/>
        <v>KATIANNA</v>
      </c>
      <c r="C4154" t="str">
        <f t="shared" si="1518"/>
        <v>DEGAND</v>
      </c>
      <c r="D4154">
        <f>12</f>
        <v>12</v>
      </c>
      <c r="E4154" t="str">
        <f>"05 - B - 102 - Jeanne M Bermudez"</f>
        <v>05 - B - 102 - Jeanne M Bermudez</v>
      </c>
      <c r="F4154" t="str">
        <f>"ADVANCED IT HON"</f>
        <v>ADVANCED IT HON</v>
      </c>
      <c r="G4154" t="str">
        <f>"21-2141"</f>
        <v>21-2141</v>
      </c>
      <c r="H4154" t="str">
        <f>"B"</f>
        <v>B</v>
      </c>
    </row>
    <row r="4155" spans="1:8" x14ac:dyDescent="0.2">
      <c r="A4155" t="str">
        <f t="shared" si="1516"/>
        <v>0614073606</v>
      </c>
      <c r="B4155" t="str">
        <f t="shared" si="1517"/>
        <v>KATIANNA</v>
      </c>
      <c r="C4155" t="str">
        <f t="shared" si="1518"/>
        <v>DEGAND</v>
      </c>
      <c r="D4155">
        <f>12</f>
        <v>12</v>
      </c>
      <c r="E4155" t="str">
        <f>"01 - S1 - A - 101 - Barbara L Segal"</f>
        <v>01 - S1 - A - 101 - Barbara L Segal</v>
      </c>
      <c r="F4155" t="str">
        <f>"US GOVT HON"</f>
        <v>US GOVT HON</v>
      </c>
      <c r="G4155" t="str">
        <f>"17-1742"</f>
        <v>17-1742</v>
      </c>
      <c r="H4155" t="str">
        <f>"A"</f>
        <v>A</v>
      </c>
    </row>
    <row r="4156" spans="1:8" x14ac:dyDescent="0.2">
      <c r="A4156" t="str">
        <f t="shared" si="1516"/>
        <v>0614073606</v>
      </c>
      <c r="B4156" t="str">
        <f t="shared" si="1517"/>
        <v>KATIANNA</v>
      </c>
      <c r="C4156" t="str">
        <f t="shared" si="1518"/>
        <v>DEGAND</v>
      </c>
      <c r="D4156">
        <f>12</f>
        <v>12</v>
      </c>
      <c r="E4156" t="str">
        <f>"08 - S1 - B - 104 - Richard E Dunbar Iii"</f>
        <v>08 - S1 - B - 104 - Richard E Dunbar Iii</v>
      </c>
      <c r="F4156" t="str">
        <f>"WEIGHT TRAIN 3"</f>
        <v>WEIGHT TRAIN 3</v>
      </c>
      <c r="G4156" t="str">
        <f>"05-501"</f>
        <v>05-501</v>
      </c>
      <c r="H4156" t="str">
        <f>"B"</f>
        <v>B</v>
      </c>
    </row>
    <row r="4157" spans="1:8" x14ac:dyDescent="0.2">
      <c r="A4157" t="str">
        <f t="shared" ref="A4157:A4164" si="1519">"0616155118"</f>
        <v>0616155118</v>
      </c>
      <c r="B4157" t="str">
        <f t="shared" ref="B4157:B4164" si="1520">"KENNETH"</f>
        <v>KENNETH</v>
      </c>
      <c r="C4157" t="str">
        <f t="shared" ref="C4157:C4164" si="1521">"DEITRICK"</f>
        <v>DEITRICK</v>
      </c>
      <c r="D4157" t="str">
        <f t="shared" ref="D4157:D4164" si="1522">"09"</f>
        <v>09</v>
      </c>
      <c r="E4157" t="str">
        <f>"04 - A - 103 - Lenecy  Nodarse"</f>
        <v>04 - A - 103 - Lenecy  Nodarse</v>
      </c>
      <c r="F4157" t="str">
        <f>"WORLD HISTORY"</f>
        <v>WORLD HISTORY</v>
      </c>
      <c r="G4157" t="str">
        <f>"17-1741"</f>
        <v>17-1741</v>
      </c>
      <c r="H4157" t="str">
        <f>"A"</f>
        <v>A</v>
      </c>
    </row>
    <row r="4158" spans="1:8" x14ac:dyDescent="0.2">
      <c r="A4158" t="str">
        <f t="shared" si="1519"/>
        <v>0616155118</v>
      </c>
      <c r="B4158" t="str">
        <f t="shared" si="1520"/>
        <v>KENNETH</v>
      </c>
      <c r="C4158" t="str">
        <f t="shared" si="1521"/>
        <v>DEITRICK</v>
      </c>
      <c r="D4158" t="str">
        <f t="shared" si="1522"/>
        <v>09</v>
      </c>
      <c r="E4158" t="str">
        <f>"06 - B - 106 - Marius D Orsolini"</f>
        <v>06 - B - 106 - Marius D Orsolini</v>
      </c>
      <c r="F4158" t="str">
        <f>"CULINARY ARTS 1"</f>
        <v>CULINARY ARTS 1</v>
      </c>
      <c r="G4158" t="str">
        <f>"21-2115"</f>
        <v>21-2115</v>
      </c>
      <c r="H4158" t="str">
        <f>"B"</f>
        <v>B</v>
      </c>
    </row>
    <row r="4159" spans="1:8" x14ac:dyDescent="0.2">
      <c r="A4159" t="str">
        <f t="shared" si="1519"/>
        <v>0616155118</v>
      </c>
      <c r="B4159" t="str">
        <f t="shared" si="1520"/>
        <v>KENNETH</v>
      </c>
      <c r="C4159" t="str">
        <f t="shared" si="1521"/>
        <v>DEITRICK</v>
      </c>
      <c r="D4159" t="str">
        <f t="shared" si="1522"/>
        <v>09</v>
      </c>
      <c r="E4159" t="str">
        <f>"03 - A - 102 - Laselleda D Shaw"</f>
        <v>03 - A - 102 - Laselleda D Shaw</v>
      </c>
      <c r="F4159" t="str">
        <f>"INTENS READ 1"</f>
        <v>INTENS READ 1</v>
      </c>
      <c r="G4159" t="str">
        <f>"17-1723"</f>
        <v>17-1723</v>
      </c>
      <c r="H4159" t="str">
        <f>"A"</f>
        <v>A</v>
      </c>
    </row>
    <row r="4160" spans="1:8" x14ac:dyDescent="0.2">
      <c r="A4160" t="str">
        <f t="shared" si="1519"/>
        <v>0616155118</v>
      </c>
      <c r="B4160" t="str">
        <f t="shared" si="1520"/>
        <v>KENNETH</v>
      </c>
      <c r="C4160" t="str">
        <f t="shared" si="1521"/>
        <v>DEITRICK</v>
      </c>
      <c r="D4160" t="str">
        <f t="shared" si="1522"/>
        <v>09</v>
      </c>
      <c r="E4160" t="str">
        <f>"02 - A - 106 - Helen A Flores"</f>
        <v>02 - A - 106 - Helen A Flores</v>
      </c>
      <c r="F4160" t="str">
        <f>"NC STUDY HALL 1"</f>
        <v>NC STUDY HALL 1</v>
      </c>
      <c r="G4160" t="str">
        <f>"21-2101"</f>
        <v>21-2101</v>
      </c>
      <c r="H4160" t="str">
        <f>"A"</f>
        <v>A</v>
      </c>
    </row>
    <row r="4161" spans="1:8" x14ac:dyDescent="0.2">
      <c r="A4161" t="str">
        <f t="shared" si="1519"/>
        <v>0616155118</v>
      </c>
      <c r="B4161" t="str">
        <f t="shared" si="1520"/>
        <v>KENNETH</v>
      </c>
      <c r="C4161" t="str">
        <f t="shared" si="1521"/>
        <v>DEITRICK</v>
      </c>
      <c r="D4161" t="str">
        <f t="shared" si="1522"/>
        <v>09</v>
      </c>
      <c r="E4161" t="str">
        <f>"07 - B - 107 - Cerine S Stewart"</f>
        <v>07 - B - 107 - Cerine S Stewart</v>
      </c>
      <c r="F4161" t="str">
        <f>"ENG 1"</f>
        <v>ENG 1</v>
      </c>
      <c r="G4161" t="str">
        <f>"17-1720"</f>
        <v>17-1720</v>
      </c>
      <c r="H4161" t="str">
        <f>"B"</f>
        <v>B</v>
      </c>
    </row>
    <row r="4162" spans="1:8" x14ac:dyDescent="0.2">
      <c r="A4162" t="str">
        <f t="shared" si="1519"/>
        <v>0616155118</v>
      </c>
      <c r="B4162" t="str">
        <f t="shared" si="1520"/>
        <v>KENNETH</v>
      </c>
      <c r="C4162" t="str">
        <f t="shared" si="1521"/>
        <v>DEITRICK</v>
      </c>
      <c r="D4162" t="str">
        <f t="shared" si="1522"/>
        <v>09</v>
      </c>
      <c r="E4162" t="str">
        <f>"05 - B - 105 - Adam Marcus  Drucker"</f>
        <v>05 - B - 105 - Adam Marcus  Drucker</v>
      </c>
      <c r="F4162" t="str">
        <f>"HOPE-PE V"</f>
        <v>HOPE-PE V</v>
      </c>
      <c r="G4162" t="str">
        <f>"04-254"</f>
        <v>04-254</v>
      </c>
      <c r="H4162" t="str">
        <f>"B"</f>
        <v>B</v>
      </c>
    </row>
    <row r="4163" spans="1:8" x14ac:dyDescent="0.2">
      <c r="A4163" t="str">
        <f t="shared" si="1519"/>
        <v>0616155118</v>
      </c>
      <c r="B4163" t="str">
        <f t="shared" si="1520"/>
        <v>KENNETH</v>
      </c>
      <c r="C4163" t="str">
        <f t="shared" si="1521"/>
        <v>DEITRICK</v>
      </c>
      <c r="D4163" t="str">
        <f t="shared" si="1522"/>
        <v>09</v>
      </c>
      <c r="E4163" t="str">
        <f>"01 - A - 103 - Amy Beth  Broyles"</f>
        <v>01 - A - 103 - Amy Beth  Broyles</v>
      </c>
      <c r="F4163" t="str">
        <f>"ENV SCI"</f>
        <v>ENV SCI</v>
      </c>
      <c r="G4163" t="str">
        <f>"08-802"</f>
        <v>08-802</v>
      </c>
      <c r="H4163" t="str">
        <f>"A"</f>
        <v>A</v>
      </c>
    </row>
    <row r="4164" spans="1:8" x14ac:dyDescent="0.2">
      <c r="A4164" t="str">
        <f t="shared" si="1519"/>
        <v>0616155118</v>
      </c>
      <c r="B4164" t="str">
        <f t="shared" si="1520"/>
        <v>KENNETH</v>
      </c>
      <c r="C4164" t="str">
        <f t="shared" si="1521"/>
        <v>DEITRICK</v>
      </c>
      <c r="D4164" t="str">
        <f t="shared" si="1522"/>
        <v>09</v>
      </c>
      <c r="E4164" t="str">
        <f>"08 - B - 105 - Ferrie J Arostique"</f>
        <v>08 - B - 105 - Ferrie J Arostique</v>
      </c>
      <c r="F4164" t="str">
        <f>"PRE-AICE MATH 2 IG"</f>
        <v>PRE-AICE MATH 2 IG</v>
      </c>
      <c r="G4164" t="str">
        <f>"21-2139"</f>
        <v>21-2139</v>
      </c>
      <c r="H4164" t="str">
        <f>"B"</f>
        <v>B</v>
      </c>
    </row>
    <row r="4165" spans="1:8" x14ac:dyDescent="0.2">
      <c r="A4165" t="str">
        <f t="shared" ref="A4165:A4172" si="1523">"0614092176"</f>
        <v>0614092176</v>
      </c>
      <c r="B4165" t="str">
        <f t="shared" ref="B4165:B4172" si="1524">"AMELIE"</f>
        <v>AMELIE</v>
      </c>
      <c r="C4165" t="str">
        <f t="shared" ref="C4165:C4172" si="1525">"DE KEGEL"</f>
        <v>DE KEGEL</v>
      </c>
      <c r="D4165">
        <f>12</f>
        <v>12</v>
      </c>
      <c r="E4165" t="str">
        <f>"04 - A - 202 - Daniel S Katz"</f>
        <v>04 - A - 202 - Daniel S Katz</v>
      </c>
      <c r="F4165" t="str">
        <f>"AICE DRAMA 2 A LEVEL"</f>
        <v>AICE DRAMA 2 A LEVEL</v>
      </c>
      <c r="G4165" t="str">
        <f>"05-521"</f>
        <v>05-521</v>
      </c>
      <c r="H4165" t="str">
        <f>"A"</f>
        <v>A</v>
      </c>
    </row>
    <row r="4166" spans="1:8" x14ac:dyDescent="0.2">
      <c r="A4166" t="str">
        <f t="shared" si="1523"/>
        <v>0614092176</v>
      </c>
      <c r="B4166" t="str">
        <f t="shared" si="1524"/>
        <v>AMELIE</v>
      </c>
      <c r="C4166" t="str">
        <f t="shared" si="1525"/>
        <v>DE KEGEL</v>
      </c>
      <c r="D4166">
        <f>12</f>
        <v>12</v>
      </c>
      <c r="E4166" t="str">
        <f>"06 - B - 112 - Lisa  Quinn"</f>
        <v>06 - B - 112 - Lisa  Quinn</v>
      </c>
      <c r="F4166" t="str">
        <f>"NC STUDY HALL 1"</f>
        <v>NC STUDY HALL 1</v>
      </c>
      <c r="G4166" t="str">
        <f>"17-1725"</f>
        <v>17-1725</v>
      </c>
      <c r="H4166" t="str">
        <f>"B"</f>
        <v>B</v>
      </c>
    </row>
    <row r="4167" spans="1:8" x14ac:dyDescent="0.2">
      <c r="A4167" t="str">
        <f t="shared" si="1523"/>
        <v>0614092176</v>
      </c>
      <c r="B4167" t="str">
        <f t="shared" si="1524"/>
        <v>AMELIE</v>
      </c>
      <c r="C4167" t="str">
        <f t="shared" si="1525"/>
        <v>DE KEGEL</v>
      </c>
      <c r="D4167">
        <f>12</f>
        <v>12</v>
      </c>
      <c r="E4167" t="str">
        <f>"03 - A - 203 - Stefanie S Scher"</f>
        <v>03 - A - 203 - Stefanie S Scher</v>
      </c>
      <c r="F4167" t="str">
        <f>"AP PSYCH"</f>
        <v>AP PSYCH</v>
      </c>
      <c r="G4167" t="str">
        <f>"17-1735"</f>
        <v>17-1735</v>
      </c>
      <c r="H4167" t="str">
        <f>"A"</f>
        <v>A</v>
      </c>
    </row>
    <row r="4168" spans="1:8" x14ac:dyDescent="0.2">
      <c r="A4168" t="str">
        <f t="shared" si="1523"/>
        <v>0614092176</v>
      </c>
      <c r="B4168" t="str">
        <f t="shared" si="1524"/>
        <v>AMELIE</v>
      </c>
      <c r="C4168" t="str">
        <f t="shared" si="1525"/>
        <v>DE KEGEL</v>
      </c>
      <c r="D4168">
        <f>12</f>
        <v>12</v>
      </c>
      <c r="E4168" t="str">
        <f>"02 - A - 107 - Tina M Jaramillo"</f>
        <v>02 - A - 107 - Tina M Jaramillo</v>
      </c>
      <c r="F4168" t="str">
        <f>"AP ENG LIT COMPO"</f>
        <v>AP ENG LIT COMPO</v>
      </c>
      <c r="G4168" t="str">
        <f>"17-1706"</f>
        <v>17-1706</v>
      </c>
      <c r="H4168" t="str">
        <f>"A"</f>
        <v>A</v>
      </c>
    </row>
    <row r="4169" spans="1:8" x14ac:dyDescent="0.2">
      <c r="A4169" t="str">
        <f t="shared" si="1523"/>
        <v>0614092176</v>
      </c>
      <c r="B4169" t="str">
        <f t="shared" si="1524"/>
        <v>AMELIE</v>
      </c>
      <c r="C4169" t="str">
        <f t="shared" si="1525"/>
        <v>DE KEGEL</v>
      </c>
      <c r="D4169">
        <f>12</f>
        <v>12</v>
      </c>
      <c r="E4169" t="str">
        <f>"07 - S1 - B - 101 - Stephen T Ripp"</f>
        <v>07 - S1 - B - 101 - Stephen T Ripp</v>
      </c>
      <c r="F4169" t="str">
        <f>"AP US GOVT/POL"</f>
        <v>AP US GOVT/POL</v>
      </c>
      <c r="G4169" t="str">
        <f>"17-1744"</f>
        <v>17-1744</v>
      </c>
      <c r="H4169" t="str">
        <f>"B"</f>
        <v>B</v>
      </c>
    </row>
    <row r="4170" spans="1:8" x14ac:dyDescent="0.2">
      <c r="A4170" t="str">
        <f t="shared" si="1523"/>
        <v>0614092176</v>
      </c>
      <c r="B4170" t="str">
        <f t="shared" si="1524"/>
        <v>AMELIE</v>
      </c>
      <c r="C4170" t="str">
        <f t="shared" si="1525"/>
        <v>DE KEGEL</v>
      </c>
      <c r="D4170">
        <f>12</f>
        <v>12</v>
      </c>
      <c r="E4170" t="str">
        <f>"05 - B - 104 - Lourivaldo  Da Silva"</f>
        <v>05 - B - 104 - Lourivaldo  Da Silva</v>
      </c>
      <c r="F4170" t="str">
        <f>"PRE-CALCULUS HON"</f>
        <v>PRE-CALCULUS HON</v>
      </c>
      <c r="G4170" t="str">
        <f>"20-2079"</f>
        <v>20-2079</v>
      </c>
      <c r="H4170" t="str">
        <f>"B"</f>
        <v>B</v>
      </c>
    </row>
    <row r="4171" spans="1:8" x14ac:dyDescent="0.2">
      <c r="A4171" t="str">
        <f t="shared" si="1523"/>
        <v>0614092176</v>
      </c>
      <c r="B4171" t="str">
        <f t="shared" si="1524"/>
        <v>AMELIE</v>
      </c>
      <c r="C4171" t="str">
        <f t="shared" si="1525"/>
        <v>DE KEGEL</v>
      </c>
      <c r="D4171">
        <f>12</f>
        <v>12</v>
      </c>
      <c r="E4171" t="str">
        <f>"01 - A - 108 - Rosa Elaine  Collado-Duff"</f>
        <v>01 - A - 108 - Rosa Elaine  Collado-Duff</v>
      </c>
      <c r="F4171" t="str">
        <f>"PRE-AICE SPAN 2 IG"</f>
        <v>PRE-AICE SPAN 2 IG</v>
      </c>
      <c r="G4171" t="str">
        <f>"09-913"</f>
        <v>09-913</v>
      </c>
      <c r="H4171" t="str">
        <f>"A"</f>
        <v>A</v>
      </c>
    </row>
    <row r="4172" spans="1:8" x14ac:dyDescent="0.2">
      <c r="A4172" t="str">
        <f t="shared" si="1523"/>
        <v>0614092176</v>
      </c>
      <c r="B4172" t="str">
        <f t="shared" si="1524"/>
        <v>AMELIE</v>
      </c>
      <c r="C4172" t="str">
        <f t="shared" si="1525"/>
        <v>DE KEGEL</v>
      </c>
      <c r="D4172">
        <f>12</f>
        <v>12</v>
      </c>
      <c r="E4172" t="str">
        <f>"08 - B - 001 - Samantha L Martinez"</f>
        <v>08 - B - 001 - Samantha L Martinez</v>
      </c>
      <c r="F4172" t="str">
        <f>"VOCAL ENS 2"</f>
        <v>VOCAL ENS 2</v>
      </c>
      <c r="G4172" t="str">
        <f>"05-505"</f>
        <v>05-505</v>
      </c>
      <c r="H4172" t="str">
        <f>"B"</f>
        <v>B</v>
      </c>
    </row>
    <row r="4173" spans="1:8" x14ac:dyDescent="0.2">
      <c r="A4173" t="str">
        <f t="shared" ref="A4173:A4180" si="1526">"0613096526"</f>
        <v>0613096526</v>
      </c>
      <c r="B4173" t="str">
        <f t="shared" ref="B4173:B4180" si="1527">"MICAH"</f>
        <v>MICAH</v>
      </c>
      <c r="C4173" t="str">
        <f t="shared" ref="C4173:C4180" si="1528">"DELANEY"</f>
        <v>DELANEY</v>
      </c>
      <c r="D4173">
        <f>10</f>
        <v>10</v>
      </c>
      <c r="E4173" t="str">
        <f>"04 - A - 005 - Emmily A Sarmiento"</f>
        <v>04 - A - 005 - Emmily A Sarmiento</v>
      </c>
      <c r="F4173" t="str">
        <f>"AICE GLBL PERSP 1 AS"</f>
        <v>AICE GLBL PERSP 1 AS</v>
      </c>
      <c r="G4173" t="str">
        <f>"17-1743"</f>
        <v>17-1743</v>
      </c>
      <c r="H4173" t="str">
        <f>"A"</f>
        <v>A</v>
      </c>
    </row>
    <row r="4174" spans="1:8" x14ac:dyDescent="0.2">
      <c r="A4174" t="str">
        <f t="shared" si="1526"/>
        <v>0613096526</v>
      </c>
      <c r="B4174" t="str">
        <f t="shared" si="1527"/>
        <v>MICAH</v>
      </c>
      <c r="C4174" t="str">
        <f t="shared" si="1528"/>
        <v>DELANEY</v>
      </c>
      <c r="D4174">
        <f>10</f>
        <v>10</v>
      </c>
      <c r="E4174" t="str">
        <f>"06 - B - 112 - Tina M Jaramillo"</f>
        <v>06 - B - 112 - Tina M Jaramillo</v>
      </c>
      <c r="F4174" t="str">
        <f>"NC STUDY HALL 1"</f>
        <v>NC STUDY HALL 1</v>
      </c>
      <c r="G4174" t="str">
        <f>"17-1706"</f>
        <v>17-1706</v>
      </c>
      <c r="H4174" t="str">
        <f>"B"</f>
        <v>B</v>
      </c>
    </row>
    <row r="4175" spans="1:8" x14ac:dyDescent="0.2">
      <c r="A4175" t="str">
        <f t="shared" si="1526"/>
        <v>0613096526</v>
      </c>
      <c r="B4175" t="str">
        <f t="shared" si="1527"/>
        <v>MICAH</v>
      </c>
      <c r="C4175" t="str">
        <f t="shared" si="1528"/>
        <v>DELANEY</v>
      </c>
      <c r="D4175">
        <f>10</f>
        <v>10</v>
      </c>
      <c r="E4175" t="str">
        <f>"03 - A - 104 - Brook E Goren"</f>
        <v>03 - A - 104 - Brook E Goren</v>
      </c>
      <c r="F4175" t="str">
        <f>"ALGEBRA 2 HON"</f>
        <v>ALGEBRA 2 HON</v>
      </c>
      <c r="G4175" t="str">
        <f>"21-2158"</f>
        <v>21-2158</v>
      </c>
      <c r="H4175" t="str">
        <f>"A"</f>
        <v>A</v>
      </c>
    </row>
    <row r="4176" spans="1:8" x14ac:dyDescent="0.2">
      <c r="A4176" t="str">
        <f t="shared" si="1526"/>
        <v>0613096526</v>
      </c>
      <c r="B4176" t="str">
        <f t="shared" si="1527"/>
        <v>MICAH</v>
      </c>
      <c r="C4176" t="str">
        <f t="shared" si="1528"/>
        <v>DELANEY</v>
      </c>
      <c r="D4176">
        <f>10</f>
        <v>10</v>
      </c>
      <c r="E4176" t="str">
        <f>"02 - A - 102 - Jacklyn M James"</f>
        <v>02 - A - 102 - Jacklyn M James</v>
      </c>
      <c r="F4176" t="str">
        <f>"AICE ENG LANG AS"</f>
        <v>AICE ENG LANG AS</v>
      </c>
      <c r="G4176" t="str">
        <f>"17-1731"</f>
        <v>17-1731</v>
      </c>
      <c r="H4176" t="str">
        <f>"A"</f>
        <v>A</v>
      </c>
    </row>
    <row r="4177" spans="1:8" x14ac:dyDescent="0.2">
      <c r="A4177" t="str">
        <f t="shared" si="1526"/>
        <v>0613096526</v>
      </c>
      <c r="B4177" t="str">
        <f t="shared" si="1527"/>
        <v>MICAH</v>
      </c>
      <c r="C4177" t="str">
        <f t="shared" si="1528"/>
        <v>DELANEY</v>
      </c>
      <c r="D4177">
        <f>10</f>
        <v>10</v>
      </c>
      <c r="E4177" t="str">
        <f>"07 - B - 107 - Rosa Elaine  Collado-Duff"</f>
        <v>07 - B - 107 - Rosa Elaine  Collado-Duff</v>
      </c>
      <c r="F4177" t="str">
        <f>"PRE-AICE SPAN 2 IG"</f>
        <v>PRE-AICE SPAN 2 IG</v>
      </c>
      <c r="G4177" t="str">
        <f>"09-913"</f>
        <v>09-913</v>
      </c>
      <c r="H4177" t="str">
        <f>"B"</f>
        <v>B</v>
      </c>
    </row>
    <row r="4178" spans="1:8" x14ac:dyDescent="0.2">
      <c r="A4178" t="str">
        <f t="shared" si="1526"/>
        <v>0613096526</v>
      </c>
      <c r="B4178" t="str">
        <f t="shared" si="1527"/>
        <v>MICAH</v>
      </c>
      <c r="C4178" t="str">
        <f t="shared" si="1528"/>
        <v>DELANEY</v>
      </c>
      <c r="D4178">
        <f>10</f>
        <v>10</v>
      </c>
      <c r="E4178" t="str">
        <f>"05 - B - 204 - Cheryl L Beach"</f>
        <v>05 - B - 204 - Cheryl L Beach</v>
      </c>
      <c r="F4178" t="str">
        <f>"AICE ENV MGMNT AS"</f>
        <v>AICE ENV MGMNT AS</v>
      </c>
      <c r="G4178" t="str">
        <f>"08-811"</f>
        <v>08-811</v>
      </c>
      <c r="H4178" t="str">
        <f>"B"</f>
        <v>B</v>
      </c>
    </row>
    <row r="4179" spans="1:8" x14ac:dyDescent="0.2">
      <c r="A4179" t="str">
        <f t="shared" si="1526"/>
        <v>0613096526</v>
      </c>
      <c r="B4179" t="str">
        <f t="shared" si="1527"/>
        <v>MICAH</v>
      </c>
      <c r="C4179" t="str">
        <f t="shared" si="1528"/>
        <v>DELANEY</v>
      </c>
      <c r="D4179">
        <f>10</f>
        <v>10</v>
      </c>
      <c r="E4179" t="str">
        <f>"01 - A - 101 - Nikiel  Nesbeth"</f>
        <v>01 - A - 101 - Nikiel  Nesbeth</v>
      </c>
      <c r="F4179" t="str">
        <f>"CONST LAW HON"</f>
        <v>CONST LAW HON</v>
      </c>
      <c r="G4179" t="str">
        <f>"17-1705"</f>
        <v>17-1705</v>
      </c>
      <c r="H4179" t="str">
        <f>"A"</f>
        <v>A</v>
      </c>
    </row>
    <row r="4180" spans="1:8" x14ac:dyDescent="0.2">
      <c r="A4180" t="str">
        <f t="shared" si="1526"/>
        <v>0613096526</v>
      </c>
      <c r="B4180" t="str">
        <f t="shared" si="1527"/>
        <v>MICAH</v>
      </c>
      <c r="C4180" t="str">
        <f t="shared" si="1528"/>
        <v>DELANEY</v>
      </c>
      <c r="D4180">
        <f>10</f>
        <v>10</v>
      </c>
      <c r="E4180" t="str">
        <f>"08 - S1 - B - 102 - Kyle  Robbins"</f>
        <v>08 - S1 - B - 102 - Kyle  Robbins</v>
      </c>
      <c r="F4180" t="str">
        <f>"PERS FIN &amp; MON MGT H"</f>
        <v>PERS FIN &amp; MON MGT H</v>
      </c>
      <c r="G4180" t="str">
        <f>"17-1745"</f>
        <v>17-1745</v>
      </c>
      <c r="H4180" t="str">
        <f>"B"</f>
        <v>B</v>
      </c>
    </row>
    <row r="4181" spans="1:8" x14ac:dyDescent="0.2">
      <c r="A4181" t="str">
        <f t="shared" ref="A4181:A4188" si="1529">"0615068050"</f>
        <v>0615068050</v>
      </c>
      <c r="B4181" t="str">
        <f t="shared" ref="B4181:B4188" si="1530">"JACOBO"</f>
        <v>JACOBO</v>
      </c>
      <c r="C4181" t="str">
        <f t="shared" ref="C4181:C4188" si="1531">"DELGADO-TAMAYO"</f>
        <v>DELGADO-TAMAYO</v>
      </c>
      <c r="D4181">
        <f>12</f>
        <v>12</v>
      </c>
      <c r="E4181" t="str">
        <f>"04 - A - 101 - Thomas G Handwerg"</f>
        <v>04 - A - 101 - Thomas G Handwerg</v>
      </c>
      <c r="F4181" t="str">
        <f>"MATH COLL ALGEBRA"</f>
        <v>MATH COLL ALGEBRA</v>
      </c>
      <c r="G4181" t="str">
        <f>"21-2146"</f>
        <v>21-2146</v>
      </c>
      <c r="H4181" t="str">
        <f>"A"</f>
        <v>A</v>
      </c>
    </row>
    <row r="4182" spans="1:8" x14ac:dyDescent="0.2">
      <c r="A4182" t="str">
        <f t="shared" si="1529"/>
        <v>0615068050</v>
      </c>
      <c r="B4182" t="str">
        <f t="shared" si="1530"/>
        <v>JACOBO</v>
      </c>
      <c r="C4182" t="str">
        <f t="shared" si="1531"/>
        <v>DELGADO-TAMAYO</v>
      </c>
      <c r="D4182">
        <f>12</f>
        <v>12</v>
      </c>
      <c r="E4182" t="str">
        <f>"06 - B - 113 - Marielle A Witting"</f>
        <v>06 - B - 113 - Marielle A Witting</v>
      </c>
      <c r="F4182" t="str">
        <f>"NC STUDY HALL 1"</f>
        <v>NC STUDY HALL 1</v>
      </c>
      <c r="G4182" t="str">
        <f>"08-805"</f>
        <v>08-805</v>
      </c>
      <c r="H4182" t="str">
        <f>"B"</f>
        <v>B</v>
      </c>
    </row>
    <row r="4183" spans="1:8" x14ac:dyDescent="0.2">
      <c r="A4183" t="str">
        <f t="shared" si="1529"/>
        <v>0615068050</v>
      </c>
      <c r="B4183" t="str">
        <f t="shared" si="1530"/>
        <v>JACOBO</v>
      </c>
      <c r="C4183" t="str">
        <f t="shared" si="1531"/>
        <v>DELGADO-TAMAYO</v>
      </c>
      <c r="D4183">
        <f>12</f>
        <v>12</v>
      </c>
      <c r="E4183" t="str">
        <f>"03 - A - 103 - Samantha J Headley"</f>
        <v>03 - A - 103 - Samantha J Headley</v>
      </c>
      <c r="F4183" t="str">
        <f>"MARINE SCI 1 HON"</f>
        <v>MARINE SCI 1 HON</v>
      </c>
      <c r="G4183" t="str">
        <f>"21-2134"</f>
        <v>21-2134</v>
      </c>
      <c r="H4183" t="str">
        <f>"A"</f>
        <v>A</v>
      </c>
    </row>
    <row r="4184" spans="1:8" x14ac:dyDescent="0.2">
      <c r="A4184" t="str">
        <f t="shared" si="1529"/>
        <v>0615068050</v>
      </c>
      <c r="B4184" t="str">
        <f t="shared" si="1530"/>
        <v>JACOBO</v>
      </c>
      <c r="C4184" t="str">
        <f t="shared" si="1531"/>
        <v>DELGADO-TAMAYO</v>
      </c>
      <c r="D4184">
        <f>12</f>
        <v>12</v>
      </c>
      <c r="E4184" t="str">
        <f>"02 - A - 104 - Joe  Kilpatrick Jr"</f>
        <v>02 - A - 104 - Joe  Kilpatrick Jr</v>
      </c>
      <c r="F4184" t="str">
        <f>"PRE-AICE SPAN 2 IG"</f>
        <v>PRE-AICE SPAN 2 IG</v>
      </c>
      <c r="G4184" t="str">
        <f>"09-912"</f>
        <v>09-912</v>
      </c>
      <c r="H4184" t="str">
        <f>"A"</f>
        <v>A</v>
      </c>
    </row>
    <row r="4185" spans="1:8" x14ac:dyDescent="0.2">
      <c r="A4185" t="str">
        <f t="shared" si="1529"/>
        <v>0615068050</v>
      </c>
      <c r="B4185" t="str">
        <f t="shared" si="1530"/>
        <v>JACOBO</v>
      </c>
      <c r="C4185" t="str">
        <f t="shared" si="1531"/>
        <v>DELGADO-TAMAYO</v>
      </c>
      <c r="D4185">
        <f>12</f>
        <v>12</v>
      </c>
      <c r="E4185" t="str">
        <f>"07 - B - 101 - Bruce A Evans"</f>
        <v>07 - B - 101 - Bruce A Evans</v>
      </c>
      <c r="F4185" t="str">
        <f>"FIREFIGHTING 1 LH"</f>
        <v>FIREFIGHTING 1 LH</v>
      </c>
      <c r="G4185" t="str">
        <f>"21-2142"</f>
        <v>21-2142</v>
      </c>
      <c r="H4185" t="str">
        <f>"B"</f>
        <v>B</v>
      </c>
    </row>
    <row r="4186" spans="1:8" x14ac:dyDescent="0.2">
      <c r="A4186" t="str">
        <f t="shared" si="1529"/>
        <v>0615068050</v>
      </c>
      <c r="B4186" t="str">
        <f t="shared" si="1530"/>
        <v>JACOBO</v>
      </c>
      <c r="C4186" t="str">
        <f t="shared" si="1531"/>
        <v>DELGADO-TAMAYO</v>
      </c>
      <c r="D4186">
        <f>12</f>
        <v>12</v>
      </c>
      <c r="E4186" t="str">
        <f>"05 - B - 104 - Jeffrey S Gallagher"</f>
        <v>05 - B - 104 - Jeffrey S Gallagher</v>
      </c>
      <c r="F4186" t="str">
        <f>"ENG HON 4"</f>
        <v>ENG HON 4</v>
      </c>
      <c r="G4186" t="str">
        <f>"17-1724"</f>
        <v>17-1724</v>
      </c>
      <c r="H4186" t="str">
        <f>"B"</f>
        <v>B</v>
      </c>
    </row>
    <row r="4187" spans="1:8" x14ac:dyDescent="0.2">
      <c r="A4187" t="str">
        <f t="shared" si="1529"/>
        <v>0615068050</v>
      </c>
      <c r="B4187" t="str">
        <f t="shared" si="1530"/>
        <v>JACOBO</v>
      </c>
      <c r="C4187" t="str">
        <f t="shared" si="1531"/>
        <v>DELGADO-TAMAYO</v>
      </c>
      <c r="D4187">
        <f>12</f>
        <v>12</v>
      </c>
      <c r="E4187" t="str">
        <f>"01 - S1 - A - 101 - Barbara L Segal"</f>
        <v>01 - S1 - A - 101 - Barbara L Segal</v>
      </c>
      <c r="F4187" t="str">
        <f>"US GOVT HON"</f>
        <v>US GOVT HON</v>
      </c>
      <c r="G4187" t="str">
        <f>"17-1742"</f>
        <v>17-1742</v>
      </c>
      <c r="H4187" t="str">
        <f>"A"</f>
        <v>A</v>
      </c>
    </row>
    <row r="4188" spans="1:8" x14ac:dyDescent="0.2">
      <c r="A4188" t="str">
        <f t="shared" si="1529"/>
        <v>0615068050</v>
      </c>
      <c r="B4188" t="str">
        <f t="shared" si="1530"/>
        <v>JACOBO</v>
      </c>
      <c r="C4188" t="str">
        <f t="shared" si="1531"/>
        <v>DELGADO-TAMAYO</v>
      </c>
      <c r="D4188">
        <f>12</f>
        <v>12</v>
      </c>
      <c r="E4188" t="str">
        <f>"08 - B - 001 - Chrystina M Marchionne"</f>
        <v>08 - B - 001 - Chrystina M Marchionne</v>
      </c>
      <c r="F4188" t="str">
        <f>"JOURN 1 (YB) LH"</f>
        <v>JOURN 1 (YB) LH</v>
      </c>
      <c r="G4188" t="str">
        <f>"05-520"</f>
        <v>05-520</v>
      </c>
      <c r="H4188" t="str">
        <f>"B"</f>
        <v>B</v>
      </c>
    </row>
    <row r="4189" spans="1:8" x14ac:dyDescent="0.2">
      <c r="A4189" t="str">
        <f t="shared" ref="A4189:A4196" si="1532">"0616135649"</f>
        <v>0616135649</v>
      </c>
      <c r="B4189" t="str">
        <f t="shared" ref="B4189:B4196" si="1533">"JUNIOR"</f>
        <v>JUNIOR</v>
      </c>
      <c r="C4189" t="str">
        <f t="shared" ref="C4189:C4196" si="1534">"DELHOMME"</f>
        <v>DELHOMME</v>
      </c>
      <c r="D4189">
        <f>11</f>
        <v>11</v>
      </c>
      <c r="E4189" t="str">
        <f>"04 - A - 108 - Maried P Ramos"</f>
        <v>04 - A - 108 - Maried P Ramos</v>
      </c>
      <c r="F4189" t="str">
        <f>"GEOMETRY"</f>
        <v>GEOMETRY</v>
      </c>
      <c r="G4189" t="str">
        <f>"21-2159"</f>
        <v>21-2159</v>
      </c>
      <c r="H4189" t="str">
        <f>"A"</f>
        <v>A</v>
      </c>
    </row>
    <row r="4190" spans="1:8" x14ac:dyDescent="0.2">
      <c r="A4190" t="str">
        <f t="shared" si="1532"/>
        <v>0616135649</v>
      </c>
      <c r="B4190" t="str">
        <f t="shared" si="1533"/>
        <v>JUNIOR</v>
      </c>
      <c r="C4190" t="str">
        <f t="shared" si="1534"/>
        <v>DELHOMME</v>
      </c>
      <c r="D4190">
        <f>11</f>
        <v>11</v>
      </c>
      <c r="E4190" t="str">
        <f>"06 - B - 105 - Arthur  Kulawik"</f>
        <v>06 - B - 105 - Arthur  Kulawik</v>
      </c>
      <c r="F4190" t="str">
        <f>"ENG 3"</f>
        <v>ENG 3</v>
      </c>
      <c r="G4190" t="str">
        <f>"05-506"</f>
        <v>05-506</v>
      </c>
      <c r="H4190" t="str">
        <f>"B"</f>
        <v>B</v>
      </c>
    </row>
    <row r="4191" spans="1:8" x14ac:dyDescent="0.2">
      <c r="A4191" t="str">
        <f t="shared" si="1532"/>
        <v>0616135649</v>
      </c>
      <c r="B4191" t="str">
        <f t="shared" si="1533"/>
        <v>JUNIOR</v>
      </c>
      <c r="C4191" t="str">
        <f t="shared" si="1534"/>
        <v>DELHOMME</v>
      </c>
      <c r="D4191">
        <f>11</f>
        <v>11</v>
      </c>
      <c r="E4191" t="str">
        <f>"03 - A - 104 - Kyle  Robbins"</f>
        <v>03 - A - 104 - Kyle  Robbins</v>
      </c>
      <c r="F4191" t="str">
        <f>"US HISTORY"</f>
        <v>US HISTORY</v>
      </c>
      <c r="G4191" t="str">
        <f>"17-1745"</f>
        <v>17-1745</v>
      </c>
      <c r="H4191" t="str">
        <f>"A"</f>
        <v>A</v>
      </c>
    </row>
    <row r="4192" spans="1:8" x14ac:dyDescent="0.2">
      <c r="A4192" t="str">
        <f t="shared" si="1532"/>
        <v>0616135649</v>
      </c>
      <c r="B4192" t="str">
        <f t="shared" si="1533"/>
        <v>JUNIOR</v>
      </c>
      <c r="C4192" t="str">
        <f t="shared" si="1534"/>
        <v>DELHOMME</v>
      </c>
      <c r="D4192">
        <f>11</f>
        <v>11</v>
      </c>
      <c r="E4192" t="str">
        <f>"02 - A - 001 - Courtney E Hambright"</f>
        <v>02 - A - 001 - Courtney E Hambright</v>
      </c>
      <c r="F4192" t="str">
        <f>"NC STUDY HALL 1"</f>
        <v>NC STUDY HALL 1</v>
      </c>
      <c r="G4192" t="str">
        <f>"17-1711"</f>
        <v>17-1711</v>
      </c>
      <c r="H4192" t="str">
        <f>"A"</f>
        <v>A</v>
      </c>
    </row>
    <row r="4193" spans="1:8" x14ac:dyDescent="0.2">
      <c r="A4193" t="str">
        <f t="shared" si="1532"/>
        <v>0616135649</v>
      </c>
      <c r="B4193" t="str">
        <f t="shared" si="1533"/>
        <v>JUNIOR</v>
      </c>
      <c r="C4193" t="str">
        <f t="shared" si="1534"/>
        <v>DELHOMME</v>
      </c>
      <c r="D4193">
        <f>11</f>
        <v>11</v>
      </c>
      <c r="E4193" t="str">
        <f>"07 - B - 204 - Scott A Dethloff"</f>
        <v>07 - B - 204 - Scott A Dethloff</v>
      </c>
      <c r="F4193" t="str">
        <f>"CHEMISTRY 1"</f>
        <v>CHEMISTRY 1</v>
      </c>
      <c r="G4193" t="str">
        <f>"08-812"</f>
        <v>08-812</v>
      </c>
      <c r="H4193" t="str">
        <f>"B"</f>
        <v>B</v>
      </c>
    </row>
    <row r="4194" spans="1:8" x14ac:dyDescent="0.2">
      <c r="A4194" t="str">
        <f t="shared" si="1532"/>
        <v>0616135649</v>
      </c>
      <c r="B4194" t="str">
        <f t="shared" si="1533"/>
        <v>JUNIOR</v>
      </c>
      <c r="C4194" t="str">
        <f t="shared" si="1534"/>
        <v>DELHOMME</v>
      </c>
      <c r="D4194">
        <f>11</f>
        <v>11</v>
      </c>
      <c r="E4194" t="str">
        <f>"05 - B - 102 - Jeanne M Bermudez"</f>
        <v>05 - B - 102 - Jeanne M Bermudez</v>
      </c>
      <c r="F4194" t="str">
        <f>"ADVANCED IT HON"</f>
        <v>ADVANCED IT HON</v>
      </c>
      <c r="G4194" t="str">
        <f>"21-2141"</f>
        <v>21-2141</v>
      </c>
      <c r="H4194" t="str">
        <f>"B"</f>
        <v>B</v>
      </c>
    </row>
    <row r="4195" spans="1:8" x14ac:dyDescent="0.2">
      <c r="A4195" t="str">
        <f t="shared" si="1532"/>
        <v>0616135649</v>
      </c>
      <c r="B4195" t="str">
        <f t="shared" si="1533"/>
        <v>JUNIOR</v>
      </c>
      <c r="C4195" t="str">
        <f t="shared" si="1534"/>
        <v>DELHOMME</v>
      </c>
      <c r="D4195">
        <f>11</f>
        <v>11</v>
      </c>
      <c r="E4195" t="str">
        <f>"01 - A - 101 - Vanessa J Liburd"</f>
        <v>01 - A - 101 - Vanessa J Liburd</v>
      </c>
      <c r="F4195" t="str">
        <f>"PRE-AICE FRENCH 1 IG"</f>
        <v>PRE-AICE FRENCH 1 IG</v>
      </c>
      <c r="G4195" t="str">
        <f>"05-519"</f>
        <v>05-519</v>
      </c>
      <c r="H4195" t="str">
        <f>"A"</f>
        <v>A</v>
      </c>
    </row>
    <row r="4196" spans="1:8" x14ac:dyDescent="0.2">
      <c r="A4196" t="str">
        <f t="shared" si="1532"/>
        <v>0616135649</v>
      </c>
      <c r="B4196" t="str">
        <f t="shared" si="1533"/>
        <v>JUNIOR</v>
      </c>
      <c r="C4196" t="str">
        <f t="shared" si="1534"/>
        <v>DELHOMME</v>
      </c>
      <c r="D4196">
        <f>11</f>
        <v>11</v>
      </c>
      <c r="E4196" t="str">
        <f>"08 - S1 - B - 104 - Leslie J Barton"</f>
        <v>08 - S1 - B - 104 - Leslie J Barton</v>
      </c>
      <c r="F4196" t="str">
        <f>"TEAM SPORTS 1"</f>
        <v>TEAM SPORTS 1</v>
      </c>
      <c r="G4196" t="str">
        <f>"04-254"</f>
        <v>04-254</v>
      </c>
      <c r="H4196" t="str">
        <f>"B"</f>
        <v>B</v>
      </c>
    </row>
    <row r="4197" spans="1:8" x14ac:dyDescent="0.2">
      <c r="A4197" t="str">
        <f t="shared" ref="A4197:A4204" si="1535">"0613096625"</f>
        <v>0613096625</v>
      </c>
      <c r="B4197" t="str">
        <f t="shared" ref="B4197:B4204" si="1536">"JAKE"</f>
        <v>JAKE</v>
      </c>
      <c r="C4197" t="str">
        <f t="shared" ref="C4197:C4204" si="1537">"DELNEGRI"</f>
        <v>DELNEGRI</v>
      </c>
      <c r="D4197">
        <f>12</f>
        <v>12</v>
      </c>
      <c r="E4197" t="str">
        <f>"04 - A - 102 - Daniel S Katz"</f>
        <v>04 - A - 102 - Daniel S Katz</v>
      </c>
      <c r="F4197" t="str">
        <f>"AICE DRAMA 1 AS LEV"</f>
        <v>AICE DRAMA 1 AS LEV</v>
      </c>
      <c r="G4197" t="str">
        <f>"05-521"</f>
        <v>05-521</v>
      </c>
      <c r="H4197" t="str">
        <f>"A"</f>
        <v>A</v>
      </c>
    </row>
    <row r="4198" spans="1:8" x14ac:dyDescent="0.2">
      <c r="A4198" t="str">
        <f t="shared" si="1535"/>
        <v>0613096625</v>
      </c>
      <c r="B4198" t="str">
        <f t="shared" si="1536"/>
        <v>JAKE</v>
      </c>
      <c r="C4198" t="str">
        <f t="shared" si="1537"/>
        <v>DELNEGRI</v>
      </c>
      <c r="D4198">
        <f>12</f>
        <v>12</v>
      </c>
      <c r="E4198" t="str">
        <f>"06 - B - 111 - James H Mccann"</f>
        <v>06 - B - 111 - James H Mccann</v>
      </c>
      <c r="F4198" t="str">
        <f>"NC STUDY HALL 1"</f>
        <v>NC STUDY HALL 1</v>
      </c>
      <c r="G4198" t="str">
        <f>"17-1716"</f>
        <v>17-1716</v>
      </c>
      <c r="H4198" t="str">
        <f>"B"</f>
        <v>B</v>
      </c>
    </row>
    <row r="4199" spans="1:8" x14ac:dyDescent="0.2">
      <c r="A4199" t="str">
        <f t="shared" si="1535"/>
        <v>0613096625</v>
      </c>
      <c r="B4199" t="str">
        <f t="shared" si="1536"/>
        <v>JAKE</v>
      </c>
      <c r="C4199" t="str">
        <f t="shared" si="1537"/>
        <v>DELNEGRI</v>
      </c>
      <c r="D4199">
        <f>12</f>
        <v>12</v>
      </c>
      <c r="E4199" t="str">
        <f>"03 - A - 201 - Chrystina M Marchionne"</f>
        <v>03 - A - 201 - Chrystina M Marchionne</v>
      </c>
      <c r="F4199" t="str">
        <f>"JOURN 1 (YB) LH"</f>
        <v>JOURN 1 (YB) LH</v>
      </c>
      <c r="G4199" t="str">
        <f>"05-520"</f>
        <v>05-520</v>
      </c>
      <c r="H4199" t="str">
        <f>"A"</f>
        <v>A</v>
      </c>
    </row>
    <row r="4200" spans="1:8" x14ac:dyDescent="0.2">
      <c r="A4200" t="str">
        <f t="shared" si="1535"/>
        <v>0613096625</v>
      </c>
      <c r="B4200" t="str">
        <f t="shared" si="1536"/>
        <v>JAKE</v>
      </c>
      <c r="C4200" t="str">
        <f t="shared" si="1537"/>
        <v>DELNEGRI</v>
      </c>
      <c r="D4200">
        <f>12</f>
        <v>12</v>
      </c>
      <c r="E4200" t="str">
        <f>"02 - A - 107 - Tina M Jaramillo"</f>
        <v>02 - A - 107 - Tina M Jaramillo</v>
      </c>
      <c r="F4200" t="str">
        <f>"AP ENG LIT COMPO"</f>
        <v>AP ENG LIT COMPO</v>
      </c>
      <c r="G4200" t="str">
        <f>"17-1706"</f>
        <v>17-1706</v>
      </c>
      <c r="H4200" t="str">
        <f>"A"</f>
        <v>A</v>
      </c>
    </row>
    <row r="4201" spans="1:8" x14ac:dyDescent="0.2">
      <c r="A4201" t="str">
        <f t="shared" si="1535"/>
        <v>0613096625</v>
      </c>
      <c r="B4201" t="str">
        <f t="shared" si="1536"/>
        <v>JAKE</v>
      </c>
      <c r="C4201" t="str">
        <f t="shared" si="1537"/>
        <v>DELNEGRI</v>
      </c>
      <c r="D4201">
        <f>12</f>
        <v>12</v>
      </c>
      <c r="E4201" t="str">
        <f>"07 - S1 - B - 107 - Kelly N Panza"</f>
        <v>07 - S1 - B - 107 - Kelly N Panza</v>
      </c>
      <c r="F4201" t="str">
        <f>"US GOVT HON"</f>
        <v>US GOVT HON</v>
      </c>
      <c r="G4201" t="str">
        <f>"17-1753"</f>
        <v>17-1753</v>
      </c>
      <c r="H4201" t="str">
        <f>"B"</f>
        <v>B</v>
      </c>
    </row>
    <row r="4202" spans="1:8" x14ac:dyDescent="0.2">
      <c r="A4202" t="str">
        <f t="shared" si="1535"/>
        <v>0613096625</v>
      </c>
      <c r="B4202" t="str">
        <f t="shared" si="1536"/>
        <v>JAKE</v>
      </c>
      <c r="C4202" t="str">
        <f t="shared" si="1537"/>
        <v>DELNEGRI</v>
      </c>
      <c r="D4202">
        <f>12</f>
        <v>12</v>
      </c>
      <c r="E4202" t="str">
        <f>"05 - B - 101 - Jordana K Hass"</f>
        <v>05 - B - 101 - Jordana K Hass</v>
      </c>
      <c r="F4202" t="str">
        <f>"AP COMP SCI PRIN"</f>
        <v>AP COMP SCI PRIN</v>
      </c>
      <c r="G4202" t="str">
        <f>"08-807"</f>
        <v>08-807</v>
      </c>
      <c r="H4202" t="str">
        <f>"B"</f>
        <v>B</v>
      </c>
    </row>
    <row r="4203" spans="1:8" x14ac:dyDescent="0.2">
      <c r="A4203" t="str">
        <f t="shared" si="1535"/>
        <v>0613096625</v>
      </c>
      <c r="B4203" t="str">
        <f t="shared" si="1536"/>
        <v>JAKE</v>
      </c>
      <c r="C4203" t="str">
        <f t="shared" si="1537"/>
        <v>DELNEGRI</v>
      </c>
      <c r="D4203">
        <f>12</f>
        <v>12</v>
      </c>
      <c r="E4203" t="str">
        <f>"01 - A - 101 - Kelly N Panza"</f>
        <v>01 - A - 101 - Kelly N Panza</v>
      </c>
      <c r="F4203" t="str">
        <f>"AP HUMAN GEOG"</f>
        <v>AP HUMAN GEOG</v>
      </c>
      <c r="G4203" t="str">
        <f>"17-1753"</f>
        <v>17-1753</v>
      </c>
      <c r="H4203" t="str">
        <f>"A"</f>
        <v>A</v>
      </c>
    </row>
    <row r="4204" spans="1:8" x14ac:dyDescent="0.2">
      <c r="A4204" t="str">
        <f t="shared" si="1535"/>
        <v>0613096625</v>
      </c>
      <c r="B4204" t="str">
        <f t="shared" si="1536"/>
        <v>JAKE</v>
      </c>
      <c r="C4204" t="str">
        <f t="shared" si="1537"/>
        <v>DELNEGRI</v>
      </c>
      <c r="D4204">
        <f>12</f>
        <v>12</v>
      </c>
      <c r="E4204" t="str">
        <f>"08 - B - 101 - Marius D Orsolini"</f>
        <v>08 - B - 101 - Marius D Orsolini</v>
      </c>
      <c r="F4204" t="str">
        <f>"CULINARY ARTS 3 HON"</f>
        <v>CULINARY ARTS 3 HON</v>
      </c>
      <c r="G4204" t="str">
        <f>"21-2115"</f>
        <v>21-2115</v>
      </c>
      <c r="H4204" t="str">
        <f>"B"</f>
        <v>B</v>
      </c>
    </row>
    <row r="4205" spans="1:8" x14ac:dyDescent="0.2">
      <c r="A4205" t="str">
        <f t="shared" ref="A4205:A4213" si="1538">"0615099744"</f>
        <v>0615099744</v>
      </c>
      <c r="B4205" t="str">
        <f t="shared" ref="B4205:B4213" si="1539">"SEBASTIAN"</f>
        <v>SEBASTIAN</v>
      </c>
      <c r="C4205" t="str">
        <f t="shared" ref="C4205:C4213" si="1540">"DELSOL"</f>
        <v>DELSOL</v>
      </c>
      <c r="D4205">
        <f>10</f>
        <v>10</v>
      </c>
      <c r="E4205" t="str">
        <f>"04 - A - 104 - Courtney E Hambright"</f>
        <v>04 - A - 104 - Courtney E Hambright</v>
      </c>
      <c r="F4205" t="str">
        <f>"AICE ENG LANG AS"</f>
        <v>AICE ENG LANG AS</v>
      </c>
      <c r="G4205" t="str">
        <f>"17-1711"</f>
        <v>17-1711</v>
      </c>
      <c r="H4205" t="str">
        <f>"A"</f>
        <v>A</v>
      </c>
    </row>
    <row r="4206" spans="1:8" x14ac:dyDescent="0.2">
      <c r="A4206" t="str">
        <f t="shared" si="1538"/>
        <v>0615099744</v>
      </c>
      <c r="B4206" t="str">
        <f t="shared" si="1539"/>
        <v>SEBASTIAN</v>
      </c>
      <c r="C4206" t="str">
        <f t="shared" si="1540"/>
        <v>DELSOL</v>
      </c>
      <c r="D4206">
        <f>10</f>
        <v>10</v>
      </c>
      <c r="E4206" t="str">
        <f>"06 - B - 112 - Lisa  Quinn"</f>
        <v>06 - B - 112 - Lisa  Quinn</v>
      </c>
      <c r="F4206" t="str">
        <f>"NC STUDY HALL 1"</f>
        <v>NC STUDY HALL 1</v>
      </c>
      <c r="G4206" t="str">
        <f>"17-1725"</f>
        <v>17-1725</v>
      </c>
      <c r="H4206" t="str">
        <f>"B"</f>
        <v>B</v>
      </c>
    </row>
    <row r="4207" spans="1:8" x14ac:dyDescent="0.2">
      <c r="A4207" t="str">
        <f t="shared" si="1538"/>
        <v>0615099744</v>
      </c>
      <c r="B4207" t="str">
        <f t="shared" si="1539"/>
        <v>SEBASTIAN</v>
      </c>
      <c r="C4207" t="str">
        <f t="shared" si="1540"/>
        <v>DELSOL</v>
      </c>
      <c r="D4207">
        <f>10</f>
        <v>10</v>
      </c>
      <c r="E4207" t="str">
        <f>"06 - B - 106 - Eric  Lopapa"</f>
        <v>06 - B - 106 - Eric  Lopapa</v>
      </c>
      <c r="F4207" t="str">
        <f>"LANG THERAPY"</f>
        <v>LANG THERAPY</v>
      </c>
      <c r="G4207" t="str">
        <f>"21-2110"</f>
        <v>21-2110</v>
      </c>
      <c r="H4207" t="str">
        <f>"B"</f>
        <v>B</v>
      </c>
    </row>
    <row r="4208" spans="1:8" x14ac:dyDescent="0.2">
      <c r="A4208" t="str">
        <f t="shared" si="1538"/>
        <v>0615099744</v>
      </c>
      <c r="B4208" t="str">
        <f t="shared" si="1539"/>
        <v>SEBASTIAN</v>
      </c>
      <c r="C4208" t="str">
        <f t="shared" si="1540"/>
        <v>DELSOL</v>
      </c>
      <c r="D4208">
        <f>10</f>
        <v>10</v>
      </c>
      <c r="E4208" t="str">
        <f>"03 - A - 104 - Brook E Goren"</f>
        <v>03 - A - 104 - Brook E Goren</v>
      </c>
      <c r="F4208" t="str">
        <f>"ALGEBRA 2 HON"</f>
        <v>ALGEBRA 2 HON</v>
      </c>
      <c r="G4208" t="str">
        <f>"21-2158"</f>
        <v>21-2158</v>
      </c>
      <c r="H4208" t="str">
        <f>"A"</f>
        <v>A</v>
      </c>
    </row>
    <row r="4209" spans="1:8" x14ac:dyDescent="0.2">
      <c r="A4209" t="str">
        <f t="shared" si="1538"/>
        <v>0615099744</v>
      </c>
      <c r="B4209" t="str">
        <f t="shared" si="1539"/>
        <v>SEBASTIAN</v>
      </c>
      <c r="C4209" t="str">
        <f t="shared" si="1540"/>
        <v>DELSOL</v>
      </c>
      <c r="D4209">
        <f>10</f>
        <v>10</v>
      </c>
      <c r="E4209" t="str">
        <f>"02 - A - 102 - Vanessa J Liburd"</f>
        <v>02 - A - 102 - Vanessa J Liburd</v>
      </c>
      <c r="F4209" t="str">
        <f>"PRE-AICE FRENCH 2 IG"</f>
        <v>PRE-AICE FRENCH 2 IG</v>
      </c>
      <c r="G4209" t="str">
        <f>"05-519"</f>
        <v>05-519</v>
      </c>
      <c r="H4209" t="str">
        <f>"A"</f>
        <v>A</v>
      </c>
    </row>
    <row r="4210" spans="1:8" x14ac:dyDescent="0.2">
      <c r="A4210" t="str">
        <f t="shared" si="1538"/>
        <v>0615099744</v>
      </c>
      <c r="B4210" t="str">
        <f t="shared" si="1539"/>
        <v>SEBASTIAN</v>
      </c>
      <c r="C4210" t="str">
        <f t="shared" si="1540"/>
        <v>DELSOL</v>
      </c>
      <c r="D4210">
        <f>10</f>
        <v>10</v>
      </c>
      <c r="E4210" t="str">
        <f>"07 - S1 - B - 107 - Richard E Dunbar Iii"</f>
        <v>07 - S1 - B - 107 - Richard E Dunbar Iii</v>
      </c>
      <c r="F4210" t="str">
        <f>"WEIGHT TRAIN 1"</f>
        <v>WEIGHT TRAIN 1</v>
      </c>
      <c r="G4210" t="str">
        <f>"05-501"</f>
        <v>05-501</v>
      </c>
      <c r="H4210" t="str">
        <f>"B"</f>
        <v>B</v>
      </c>
    </row>
    <row r="4211" spans="1:8" x14ac:dyDescent="0.2">
      <c r="A4211" t="str">
        <f t="shared" si="1538"/>
        <v>0615099744</v>
      </c>
      <c r="B4211" t="str">
        <f t="shared" si="1539"/>
        <v>SEBASTIAN</v>
      </c>
      <c r="C4211" t="str">
        <f t="shared" si="1540"/>
        <v>DELSOL</v>
      </c>
      <c r="D4211">
        <f>10</f>
        <v>10</v>
      </c>
      <c r="E4211" t="str">
        <f>"05 - B - 001 - Kelly N Panza"</f>
        <v>05 - B - 001 - Kelly N Panza</v>
      </c>
      <c r="F4211" t="str">
        <f>"AICE GLBL PERSP 1 AS"</f>
        <v>AICE GLBL PERSP 1 AS</v>
      </c>
      <c r="G4211" t="str">
        <f>"17-1753"</f>
        <v>17-1753</v>
      </c>
      <c r="H4211" t="str">
        <f>"B"</f>
        <v>B</v>
      </c>
    </row>
    <row r="4212" spans="1:8" x14ac:dyDescent="0.2">
      <c r="A4212" t="str">
        <f t="shared" si="1538"/>
        <v>0615099744</v>
      </c>
      <c r="B4212" t="str">
        <f t="shared" si="1539"/>
        <v>SEBASTIAN</v>
      </c>
      <c r="C4212" t="str">
        <f t="shared" si="1540"/>
        <v>DELSOL</v>
      </c>
      <c r="D4212">
        <f>10</f>
        <v>10</v>
      </c>
      <c r="E4212" t="str">
        <f>"01 - A - 201 - Cheryl L Beach"</f>
        <v>01 - A - 201 - Cheryl L Beach</v>
      </c>
      <c r="F4212" t="str">
        <f>"AICE ENV MGMNT AS"</f>
        <v>AICE ENV MGMNT AS</v>
      </c>
      <c r="G4212" t="str">
        <f>"08-811"</f>
        <v>08-811</v>
      </c>
      <c r="H4212" t="str">
        <f>"A"</f>
        <v>A</v>
      </c>
    </row>
    <row r="4213" spans="1:8" x14ac:dyDescent="0.2">
      <c r="A4213" t="str">
        <f t="shared" si="1538"/>
        <v>0615099744</v>
      </c>
      <c r="B4213" t="str">
        <f t="shared" si="1539"/>
        <v>SEBASTIAN</v>
      </c>
      <c r="C4213" t="str">
        <f t="shared" si="1540"/>
        <v>DELSOL</v>
      </c>
      <c r="D4213">
        <f>10</f>
        <v>10</v>
      </c>
      <c r="E4213" t="str">
        <f>"08 - B - 206 - Daniel S Katz"</f>
        <v>08 - B - 206 - Daniel S Katz</v>
      </c>
      <c r="F4213" t="str">
        <f>"AICE MEDIASTUDIES AS"</f>
        <v>AICE MEDIASTUDIES AS</v>
      </c>
      <c r="G4213" t="str">
        <f>"05-521"</f>
        <v>05-521</v>
      </c>
      <c r="H4213" t="str">
        <f>"B"</f>
        <v>B</v>
      </c>
    </row>
    <row r="4214" spans="1:8" x14ac:dyDescent="0.2">
      <c r="A4214" t="str">
        <f t="shared" ref="A4214:A4221" si="1541">"0615097613"</f>
        <v>0615097613</v>
      </c>
      <c r="B4214" t="str">
        <f t="shared" ref="B4214:B4221" si="1542">"ANTHONY"</f>
        <v>ANTHONY</v>
      </c>
      <c r="C4214" t="str">
        <f t="shared" ref="C4214:C4221" si="1543">"DEL SPINA"</f>
        <v>DEL SPINA</v>
      </c>
      <c r="D4214">
        <f>10</f>
        <v>10</v>
      </c>
      <c r="E4214" t="str">
        <f>"04 - A - 105 - Milca  Exantus"</f>
        <v>04 - A - 105 - Milca  Exantus</v>
      </c>
      <c r="F4214" t="str">
        <f>"MATH COLLEGE LIB ART"</f>
        <v>MATH COLLEGE LIB ART</v>
      </c>
      <c r="G4214" t="str">
        <f>"21-2145"</f>
        <v>21-2145</v>
      </c>
      <c r="H4214" t="str">
        <f>"A"</f>
        <v>A</v>
      </c>
    </row>
    <row r="4215" spans="1:8" x14ac:dyDescent="0.2">
      <c r="A4215" t="str">
        <f t="shared" si="1541"/>
        <v>0615097613</v>
      </c>
      <c r="B4215" t="str">
        <f t="shared" si="1542"/>
        <v>ANTHONY</v>
      </c>
      <c r="C4215" t="str">
        <f t="shared" si="1543"/>
        <v>DEL SPINA</v>
      </c>
      <c r="D4215">
        <f>10</f>
        <v>10</v>
      </c>
      <c r="E4215" t="str">
        <f>"06 - B - 117 - Daniel S Tyson"</f>
        <v>06 - B - 117 - Daniel S Tyson</v>
      </c>
      <c r="F4215" t="str">
        <f>"NC STUDY HALL 1"</f>
        <v>NC STUDY HALL 1</v>
      </c>
      <c r="G4215" t="str">
        <f>"05-510"</f>
        <v>05-510</v>
      </c>
      <c r="H4215" t="str">
        <f>"B"</f>
        <v>B</v>
      </c>
    </row>
    <row r="4216" spans="1:8" x14ac:dyDescent="0.2">
      <c r="A4216" t="str">
        <f t="shared" si="1541"/>
        <v>0615097613</v>
      </c>
      <c r="B4216" t="str">
        <f t="shared" si="1542"/>
        <v>ANTHONY</v>
      </c>
      <c r="C4216" t="str">
        <f t="shared" si="1543"/>
        <v>DEL SPINA</v>
      </c>
      <c r="D4216">
        <f>10</f>
        <v>10</v>
      </c>
      <c r="E4216" t="str">
        <f>"03 - S1 - A - 101 - Arthur  Kulawik"</f>
        <v>03 - S1 - A - 101 - Arthur  Kulawik</v>
      </c>
      <c r="F4216" t="str">
        <f>"PERS FIN &amp; MON MGT H"</f>
        <v>PERS FIN &amp; MON MGT H</v>
      </c>
      <c r="G4216" t="str">
        <f>"05-506"</f>
        <v>05-506</v>
      </c>
      <c r="H4216" t="str">
        <f>"A"</f>
        <v>A</v>
      </c>
    </row>
    <row r="4217" spans="1:8" x14ac:dyDescent="0.2">
      <c r="A4217" t="str">
        <f t="shared" si="1541"/>
        <v>0615097613</v>
      </c>
      <c r="B4217" t="str">
        <f t="shared" si="1542"/>
        <v>ANTHONY</v>
      </c>
      <c r="C4217" t="str">
        <f t="shared" si="1543"/>
        <v>DEL SPINA</v>
      </c>
      <c r="D4217">
        <f>10</f>
        <v>10</v>
      </c>
      <c r="E4217" t="str">
        <f>"02 - A - 101 - Brian M Fitzgerald"</f>
        <v>02 - A - 101 - Brian M Fitzgerald</v>
      </c>
      <c r="F4217" t="str">
        <f>"DRAW 1"</f>
        <v>DRAW 1</v>
      </c>
      <c r="G4217" t="str">
        <f>"09-908"</f>
        <v>09-908</v>
      </c>
      <c r="H4217" t="str">
        <f>"A"</f>
        <v>A</v>
      </c>
    </row>
    <row r="4218" spans="1:8" x14ac:dyDescent="0.2">
      <c r="A4218" t="str">
        <f t="shared" si="1541"/>
        <v>0615097613</v>
      </c>
      <c r="B4218" t="str">
        <f t="shared" si="1542"/>
        <v>ANTHONY</v>
      </c>
      <c r="C4218" t="str">
        <f t="shared" si="1543"/>
        <v>DEL SPINA</v>
      </c>
      <c r="D4218">
        <f>10</f>
        <v>10</v>
      </c>
      <c r="E4218" t="str">
        <f>"07 - S1 - B - 103 - Leslie J Barton"</f>
        <v>07 - S1 - B - 103 - Leslie J Barton</v>
      </c>
      <c r="F4218" t="str">
        <f>"TEAM SPORTS 1"</f>
        <v>TEAM SPORTS 1</v>
      </c>
      <c r="G4218" t="str">
        <f>"04-254"</f>
        <v>04-254</v>
      </c>
      <c r="H4218" t="str">
        <f>"B"</f>
        <v>B</v>
      </c>
    </row>
    <row r="4219" spans="1:8" x14ac:dyDescent="0.2">
      <c r="A4219" t="str">
        <f t="shared" si="1541"/>
        <v>0615097613</v>
      </c>
      <c r="B4219" t="str">
        <f t="shared" si="1542"/>
        <v>ANTHONY</v>
      </c>
      <c r="C4219" t="str">
        <f t="shared" si="1543"/>
        <v>DEL SPINA</v>
      </c>
      <c r="D4219">
        <f>10</f>
        <v>10</v>
      </c>
      <c r="E4219" t="str">
        <f>"05 - B - 105 - Taraneh C Abreu"</f>
        <v>05 - B - 105 - Taraneh C Abreu</v>
      </c>
      <c r="F4219" t="str">
        <f>"INTENS READ 2"</f>
        <v>INTENS READ 2</v>
      </c>
      <c r="G4219" t="str">
        <f>"17-1713"</f>
        <v>17-1713</v>
      </c>
      <c r="H4219" t="str">
        <f>"B"</f>
        <v>B</v>
      </c>
    </row>
    <row r="4220" spans="1:8" x14ac:dyDescent="0.2">
      <c r="A4220" t="str">
        <f t="shared" si="1541"/>
        <v>0615097613</v>
      </c>
      <c r="B4220" t="str">
        <f t="shared" si="1542"/>
        <v>ANTHONY</v>
      </c>
      <c r="C4220" t="str">
        <f t="shared" si="1543"/>
        <v>DEL SPINA</v>
      </c>
      <c r="D4220">
        <f>10</f>
        <v>10</v>
      </c>
      <c r="E4220" t="str">
        <f>"01 - A - 102 - Lytrell T Dixon"</f>
        <v>01 - A - 102 - Lytrell T Dixon</v>
      </c>
      <c r="F4220" t="str">
        <f>"BIOLOGY 1"</f>
        <v>BIOLOGY 1</v>
      </c>
      <c r="G4220" t="str">
        <f>"08-808"</f>
        <v>08-808</v>
      </c>
      <c r="H4220" t="str">
        <f>"A"</f>
        <v>A</v>
      </c>
    </row>
    <row r="4221" spans="1:8" x14ac:dyDescent="0.2">
      <c r="A4221" t="str">
        <f t="shared" si="1541"/>
        <v>0615097613</v>
      </c>
      <c r="B4221" t="str">
        <f t="shared" si="1542"/>
        <v>ANTHONY</v>
      </c>
      <c r="C4221" t="str">
        <f t="shared" si="1543"/>
        <v>DEL SPINA</v>
      </c>
      <c r="D4221">
        <f>10</f>
        <v>10</v>
      </c>
      <c r="E4221" t="str">
        <f>"08 - B - 109 - Nikiel  Nesbeth"</f>
        <v>08 - B - 109 - Nikiel  Nesbeth</v>
      </c>
      <c r="F4221" t="str">
        <f>"ENG 2"</f>
        <v>ENG 2</v>
      </c>
      <c r="G4221" t="str">
        <f>"17-1705"</f>
        <v>17-1705</v>
      </c>
      <c r="H4221" t="str">
        <f>"B"</f>
        <v>B</v>
      </c>
    </row>
    <row r="4222" spans="1:8" x14ac:dyDescent="0.2">
      <c r="A4222" t="str">
        <f t="shared" ref="A4222:A4229" si="1544">"0623007998"</f>
        <v>0623007998</v>
      </c>
      <c r="B4222" t="str">
        <f t="shared" ref="B4222:B4229" si="1545">"ANNE"</f>
        <v>ANNE</v>
      </c>
      <c r="C4222" t="str">
        <f t="shared" ref="C4222:C4229" si="1546">"DELVA"</f>
        <v>DELVA</v>
      </c>
      <c r="D4222" t="str">
        <f t="shared" ref="D4222:D4229" si="1547">"09"</f>
        <v>09</v>
      </c>
      <c r="E4222" t="str">
        <f>"04 - A - 201 - Dorothy D Moore"</f>
        <v>04 - A - 201 - Dorothy D Moore</v>
      </c>
      <c r="F4222" t="str">
        <f>"HEALTH SCI 1/A&amp;P HON"</f>
        <v>HEALTH SCI 1/A&amp;P HON</v>
      </c>
      <c r="G4222" t="str">
        <f>"08-803"</f>
        <v>08-803</v>
      </c>
      <c r="H4222" t="str">
        <f>"A"</f>
        <v>A</v>
      </c>
    </row>
    <row r="4223" spans="1:8" x14ac:dyDescent="0.2">
      <c r="A4223" t="str">
        <f t="shared" si="1544"/>
        <v>0623007998</v>
      </c>
      <c r="B4223" t="str">
        <f t="shared" si="1545"/>
        <v>ANNE</v>
      </c>
      <c r="C4223" t="str">
        <f t="shared" si="1546"/>
        <v>DELVA</v>
      </c>
      <c r="D4223" t="str">
        <f t="shared" si="1547"/>
        <v>09</v>
      </c>
      <c r="E4223" t="str">
        <f>"06 - B - 104 - Byron G Montenegro"</f>
        <v>06 - B - 104 - Byron G Montenegro</v>
      </c>
      <c r="F4223" t="str">
        <f>"AICE MARINE SCI 1 AS"</f>
        <v>AICE MARINE SCI 1 AS</v>
      </c>
      <c r="G4223" t="str">
        <f>"21-2144"</f>
        <v>21-2144</v>
      </c>
      <c r="H4223" t="str">
        <f>"B"</f>
        <v>B</v>
      </c>
    </row>
    <row r="4224" spans="1:8" x14ac:dyDescent="0.2">
      <c r="A4224" t="str">
        <f t="shared" si="1544"/>
        <v>0623007998</v>
      </c>
      <c r="B4224" t="str">
        <f t="shared" si="1545"/>
        <v>ANNE</v>
      </c>
      <c r="C4224" t="str">
        <f t="shared" si="1546"/>
        <v>DELVA</v>
      </c>
      <c r="D4224" t="str">
        <f t="shared" si="1547"/>
        <v>09</v>
      </c>
      <c r="E4224" t="str">
        <f>"03 - A - 005 - Cerine S Stewart"</f>
        <v>03 - A - 005 - Cerine S Stewart</v>
      </c>
      <c r="F4224" t="str">
        <f>"AICE ENG GEN PAPER 1"</f>
        <v>AICE ENG GEN PAPER 1</v>
      </c>
      <c r="G4224" t="str">
        <f>"17-1720"</f>
        <v>17-1720</v>
      </c>
      <c r="H4224" t="str">
        <f>"A"</f>
        <v>A</v>
      </c>
    </row>
    <row r="4225" spans="1:8" x14ac:dyDescent="0.2">
      <c r="A4225" t="str">
        <f t="shared" si="1544"/>
        <v>0623007998</v>
      </c>
      <c r="B4225" t="str">
        <f t="shared" si="1545"/>
        <v>ANNE</v>
      </c>
      <c r="C4225" t="str">
        <f t="shared" si="1546"/>
        <v>DELVA</v>
      </c>
      <c r="D4225" t="str">
        <f t="shared" si="1547"/>
        <v>09</v>
      </c>
      <c r="E4225" t="str">
        <f>"02 - A - 115 - Lourivaldo  Da Silva"</f>
        <v>02 - A - 115 - Lourivaldo  Da Silva</v>
      </c>
      <c r="F4225" t="str">
        <f>"NC STUDY HALL 1"</f>
        <v>NC STUDY HALL 1</v>
      </c>
      <c r="G4225" t="str">
        <f>"20-2079"</f>
        <v>20-2079</v>
      </c>
      <c r="H4225" t="str">
        <f>"A"</f>
        <v>A</v>
      </c>
    </row>
    <row r="4226" spans="1:8" x14ac:dyDescent="0.2">
      <c r="A4226" t="str">
        <f t="shared" si="1544"/>
        <v>0623007998</v>
      </c>
      <c r="B4226" t="str">
        <f t="shared" si="1545"/>
        <v>ANNE</v>
      </c>
      <c r="C4226" t="str">
        <f t="shared" si="1546"/>
        <v>DELVA</v>
      </c>
      <c r="D4226" t="str">
        <f t="shared" si="1547"/>
        <v>09</v>
      </c>
      <c r="E4226" t="str">
        <f>"07 - B - 107 - Rosa Elaine  Collado-Duff"</f>
        <v>07 - B - 107 - Rosa Elaine  Collado-Duff</v>
      </c>
      <c r="F4226" t="str">
        <f>"PRE-AICE SPAN 2 IG"</f>
        <v>PRE-AICE SPAN 2 IG</v>
      </c>
      <c r="G4226" t="str">
        <f>"09-913"</f>
        <v>09-913</v>
      </c>
      <c r="H4226" t="str">
        <f>"B"</f>
        <v>B</v>
      </c>
    </row>
    <row r="4227" spans="1:8" x14ac:dyDescent="0.2">
      <c r="A4227" t="str">
        <f t="shared" si="1544"/>
        <v>0623007998</v>
      </c>
      <c r="B4227" t="str">
        <f t="shared" si="1545"/>
        <v>ANNE</v>
      </c>
      <c r="C4227" t="str">
        <f t="shared" si="1546"/>
        <v>DELVA</v>
      </c>
      <c r="D4227" t="str">
        <f t="shared" si="1547"/>
        <v>09</v>
      </c>
      <c r="E4227" t="str">
        <f>"05 - B - 104 - Maried P Ramos"</f>
        <v>05 - B - 104 - Maried P Ramos</v>
      </c>
      <c r="F4227" t="str">
        <f>"PRE-AICE MATH 2 IG"</f>
        <v>PRE-AICE MATH 2 IG</v>
      </c>
      <c r="G4227" t="str">
        <f>"21-2159"</f>
        <v>21-2159</v>
      </c>
      <c r="H4227" t="str">
        <f>"B"</f>
        <v>B</v>
      </c>
    </row>
    <row r="4228" spans="1:8" x14ac:dyDescent="0.2">
      <c r="A4228" t="str">
        <f t="shared" si="1544"/>
        <v>0623007998</v>
      </c>
      <c r="B4228" t="str">
        <f t="shared" si="1545"/>
        <v>ANNE</v>
      </c>
      <c r="C4228" t="str">
        <f t="shared" si="1546"/>
        <v>DELVA</v>
      </c>
      <c r="D4228" t="str">
        <f t="shared" si="1547"/>
        <v>09</v>
      </c>
      <c r="E4228" t="str">
        <f>"01 - A - 002 - Krystal Marie  Beruty"</f>
        <v>01 - A - 002 - Krystal Marie  Beruty</v>
      </c>
      <c r="F4228" t="str">
        <f>"AICE GLBL PERSP 1 AS"</f>
        <v>AICE GLBL PERSP 1 AS</v>
      </c>
      <c r="G4228" t="str">
        <f>"17-1721"</f>
        <v>17-1721</v>
      </c>
      <c r="H4228" t="str">
        <f>"A"</f>
        <v>A</v>
      </c>
    </row>
    <row r="4229" spans="1:8" x14ac:dyDescent="0.2">
      <c r="A4229" t="str">
        <f t="shared" si="1544"/>
        <v>0623007998</v>
      </c>
      <c r="B4229" t="str">
        <f t="shared" si="1545"/>
        <v>ANNE</v>
      </c>
      <c r="C4229" t="str">
        <f t="shared" si="1546"/>
        <v>DELVA</v>
      </c>
      <c r="D4229" t="str">
        <f t="shared" si="1547"/>
        <v>09</v>
      </c>
      <c r="E4229" t="str">
        <f>"08 - B - 105 - Daniel S Tyson"</f>
        <v>08 - B - 105 - Daniel S Tyson</v>
      </c>
      <c r="F4229" t="str">
        <f>"JROTC NAVAL SCI 1"</f>
        <v>JROTC NAVAL SCI 1</v>
      </c>
      <c r="G4229" t="str">
        <f>"05-510"</f>
        <v>05-510</v>
      </c>
      <c r="H4229" t="str">
        <f>"B"</f>
        <v>B</v>
      </c>
    </row>
    <row r="4230" spans="1:8" x14ac:dyDescent="0.2">
      <c r="A4230" t="str">
        <f t="shared" ref="A4230:A4237" si="1548">"0619013111"</f>
        <v>0619013111</v>
      </c>
      <c r="B4230" t="str">
        <f t="shared" ref="B4230:B4237" si="1549">"MILO"</f>
        <v>MILO</v>
      </c>
      <c r="C4230" t="str">
        <f t="shared" ref="C4230:C4237" si="1550">"DEMETRUS"</f>
        <v>DEMETRUS</v>
      </c>
      <c r="D4230">
        <f>10</f>
        <v>10</v>
      </c>
      <c r="E4230" t="str">
        <f>"04 - A - 105 - Carol S Moore"</f>
        <v>04 - A - 105 - Carol S Moore</v>
      </c>
      <c r="F4230" t="str">
        <f>"PRE-AICE WRLD HST IG"</f>
        <v>PRE-AICE WRLD HST IG</v>
      </c>
      <c r="G4230" t="str">
        <f>"17-1733"</f>
        <v>17-1733</v>
      </c>
      <c r="H4230" t="str">
        <f>"A"</f>
        <v>A</v>
      </c>
    </row>
    <row r="4231" spans="1:8" x14ac:dyDescent="0.2">
      <c r="A4231" t="str">
        <f t="shared" si="1548"/>
        <v>0619013111</v>
      </c>
      <c r="B4231" t="str">
        <f t="shared" si="1549"/>
        <v>MILO</v>
      </c>
      <c r="C4231" t="str">
        <f t="shared" si="1550"/>
        <v>DEMETRUS</v>
      </c>
      <c r="D4231">
        <f>10</f>
        <v>10</v>
      </c>
      <c r="E4231" t="str">
        <f>"06 - B - 116 - Jordana K Hass"</f>
        <v>06 - B - 116 - Jordana K Hass</v>
      </c>
      <c r="F4231" t="str">
        <f>"NC STUDY HALL 1"</f>
        <v>NC STUDY HALL 1</v>
      </c>
      <c r="G4231" t="str">
        <f>"08-807"</f>
        <v>08-807</v>
      </c>
      <c r="H4231" t="str">
        <f>"B"</f>
        <v>B</v>
      </c>
    </row>
    <row r="4232" spans="1:8" x14ac:dyDescent="0.2">
      <c r="A4232" t="str">
        <f t="shared" si="1548"/>
        <v>0619013111</v>
      </c>
      <c r="B4232" t="str">
        <f t="shared" si="1549"/>
        <v>MILO</v>
      </c>
      <c r="C4232" t="str">
        <f t="shared" si="1550"/>
        <v>DEMETRUS</v>
      </c>
      <c r="D4232">
        <f>10</f>
        <v>10</v>
      </c>
      <c r="E4232" t="str">
        <f>"03 - A - 103 - Pamela M Corzo"</f>
        <v>03 - A - 103 - Pamela M Corzo</v>
      </c>
      <c r="F4232" t="str">
        <f>"ALGEBRA 2 HON"</f>
        <v>ALGEBRA 2 HON</v>
      </c>
      <c r="G4232" t="str">
        <f>"21-2133"</f>
        <v>21-2133</v>
      </c>
      <c r="H4232" t="str">
        <f>"A"</f>
        <v>A</v>
      </c>
    </row>
    <row r="4233" spans="1:8" x14ac:dyDescent="0.2">
      <c r="A4233" t="str">
        <f t="shared" si="1548"/>
        <v>0619013111</v>
      </c>
      <c r="B4233" t="str">
        <f t="shared" si="1549"/>
        <v>MILO</v>
      </c>
      <c r="C4233" t="str">
        <f t="shared" si="1550"/>
        <v>DEMETRUS</v>
      </c>
      <c r="D4233">
        <f>10</f>
        <v>10</v>
      </c>
      <c r="E4233" t="str">
        <f>"02 - A - 104 - Scott A Dethloff"</f>
        <v>02 - A - 104 - Scott A Dethloff</v>
      </c>
      <c r="F4233" t="str">
        <f>"CHEMISTRY 1 HON"</f>
        <v>CHEMISTRY 1 HON</v>
      </c>
      <c r="G4233" t="str">
        <f>"08-812"</f>
        <v>08-812</v>
      </c>
      <c r="H4233" t="str">
        <f>"A"</f>
        <v>A</v>
      </c>
    </row>
    <row r="4234" spans="1:8" x14ac:dyDescent="0.2">
      <c r="A4234" t="str">
        <f t="shared" si="1548"/>
        <v>0619013111</v>
      </c>
      <c r="B4234" t="str">
        <f t="shared" si="1549"/>
        <v>MILO</v>
      </c>
      <c r="C4234" t="str">
        <f t="shared" si="1550"/>
        <v>DEMETRUS</v>
      </c>
      <c r="D4234">
        <f>10</f>
        <v>10</v>
      </c>
      <c r="E4234" t="str">
        <f>"07 - S1 - B - 102 - Arthur  Kulawik"</f>
        <v>07 - S1 - B - 102 - Arthur  Kulawik</v>
      </c>
      <c r="F4234" t="str">
        <f>"PERS FIN &amp; MON MGT H"</f>
        <v>PERS FIN &amp; MON MGT H</v>
      </c>
      <c r="G4234" t="str">
        <f>"05-506"</f>
        <v>05-506</v>
      </c>
      <c r="H4234" t="str">
        <f>"B"</f>
        <v>B</v>
      </c>
    </row>
    <row r="4235" spans="1:8" x14ac:dyDescent="0.2">
      <c r="A4235" t="str">
        <f t="shared" si="1548"/>
        <v>0619013111</v>
      </c>
      <c r="B4235" t="str">
        <f t="shared" si="1549"/>
        <v>MILO</v>
      </c>
      <c r="C4235" t="str">
        <f t="shared" si="1550"/>
        <v>DEMETRUS</v>
      </c>
      <c r="D4235">
        <f>10</f>
        <v>10</v>
      </c>
      <c r="E4235" t="str">
        <f>"05 - B - 205 - Rosa Elaine  Collado-Duff"</f>
        <v>05 - B - 205 - Rosa Elaine  Collado-Duff</v>
      </c>
      <c r="F4235" t="str">
        <f>"PRE-AICE SPAN 2 IG"</f>
        <v>PRE-AICE SPAN 2 IG</v>
      </c>
      <c r="G4235" t="str">
        <f>"09-913"</f>
        <v>09-913</v>
      </c>
      <c r="H4235" t="str">
        <f>"B"</f>
        <v>B</v>
      </c>
    </row>
    <row r="4236" spans="1:8" x14ac:dyDescent="0.2">
      <c r="A4236" t="str">
        <f t="shared" si="1548"/>
        <v>0619013111</v>
      </c>
      <c r="B4236" t="str">
        <f t="shared" si="1549"/>
        <v>MILO</v>
      </c>
      <c r="C4236" t="str">
        <f t="shared" si="1550"/>
        <v>DEMETRUS</v>
      </c>
      <c r="D4236">
        <f>10</f>
        <v>10</v>
      </c>
      <c r="E4236" t="str">
        <f>"01 - A - 101 - Courtney E Hambright"</f>
        <v>01 - A - 101 - Courtney E Hambright</v>
      </c>
      <c r="F4236" t="str">
        <f>"AICE ENG LANG AS"</f>
        <v>AICE ENG LANG AS</v>
      </c>
      <c r="G4236" t="str">
        <f>"17-1711"</f>
        <v>17-1711</v>
      </c>
      <c r="H4236" t="str">
        <f>"A"</f>
        <v>A</v>
      </c>
    </row>
    <row r="4237" spans="1:8" x14ac:dyDescent="0.2">
      <c r="A4237" t="str">
        <f t="shared" si="1548"/>
        <v>0619013111</v>
      </c>
      <c r="B4237" t="str">
        <f t="shared" si="1549"/>
        <v>MILO</v>
      </c>
      <c r="C4237" t="str">
        <f t="shared" si="1550"/>
        <v>DEMETRUS</v>
      </c>
      <c r="D4237">
        <f>10</f>
        <v>10</v>
      </c>
      <c r="E4237" t="str">
        <f>"08 - B - 202 - Krystal Marie  Beruty"</f>
        <v>08 - B - 202 - Krystal Marie  Beruty</v>
      </c>
      <c r="F4237" t="str">
        <f>"AICE PSYCH 1 AS"</f>
        <v>AICE PSYCH 1 AS</v>
      </c>
      <c r="G4237" t="str">
        <f>"17-1721"</f>
        <v>17-1721</v>
      </c>
      <c r="H4237" t="str">
        <f>"B"</f>
        <v>B</v>
      </c>
    </row>
    <row r="4238" spans="1:8" x14ac:dyDescent="0.2">
      <c r="A4238" t="str">
        <f t="shared" ref="A4238:A4245" si="1551">"0616124931"</f>
        <v>0616124931</v>
      </c>
      <c r="B4238" t="str">
        <f t="shared" ref="B4238:B4245" si="1552">"XAVIER"</f>
        <v>XAVIER</v>
      </c>
      <c r="C4238" t="str">
        <f t="shared" ref="C4238:C4245" si="1553">"DEMPSTER"</f>
        <v>DEMPSTER</v>
      </c>
      <c r="D4238" t="str">
        <f t="shared" ref="D4238:D4245" si="1554">"09"</f>
        <v>09</v>
      </c>
      <c r="E4238" t="str">
        <f>"04 - A - 101 - Chrystina M Marchionne"</f>
        <v>04 - A - 101 - Chrystina M Marchionne</v>
      </c>
      <c r="F4238" t="str">
        <f>"THEA CIN &amp; FILM LH"</f>
        <v>THEA CIN &amp; FILM LH</v>
      </c>
      <c r="G4238" t="str">
        <f>"05-520"</f>
        <v>05-520</v>
      </c>
      <c r="H4238" t="str">
        <f>"A"</f>
        <v>A</v>
      </c>
    </row>
    <row r="4239" spans="1:8" x14ac:dyDescent="0.2">
      <c r="A4239" t="str">
        <f t="shared" si="1551"/>
        <v>0616124931</v>
      </c>
      <c r="B4239" t="str">
        <f t="shared" si="1552"/>
        <v>XAVIER</v>
      </c>
      <c r="C4239" t="str">
        <f t="shared" si="1553"/>
        <v>DEMPSTER</v>
      </c>
      <c r="D4239" t="str">
        <f t="shared" si="1554"/>
        <v>09</v>
      </c>
      <c r="E4239" t="str">
        <f>"06 - S1 - B - 102 - Daniel S Katz"</f>
        <v>06 - S1 - B - 102 - Daniel S Katz</v>
      </c>
      <c r="F4239" t="str">
        <f>"COURT PROCED"</f>
        <v>COURT PROCED</v>
      </c>
      <c r="G4239" t="str">
        <f>"21-2156"</f>
        <v>21-2156</v>
      </c>
      <c r="H4239" t="str">
        <f>"B"</f>
        <v>B</v>
      </c>
    </row>
    <row r="4240" spans="1:8" x14ac:dyDescent="0.2">
      <c r="A4240" t="str">
        <f t="shared" si="1551"/>
        <v>0616124931</v>
      </c>
      <c r="B4240" t="str">
        <f t="shared" si="1552"/>
        <v>XAVIER</v>
      </c>
      <c r="C4240" t="str">
        <f t="shared" si="1553"/>
        <v>DEMPSTER</v>
      </c>
      <c r="D4240" t="str">
        <f t="shared" si="1554"/>
        <v>09</v>
      </c>
      <c r="E4240" t="str">
        <f>"03 - A - 101 - Helen A Flores"</f>
        <v>03 - A - 101 - Helen A Flores</v>
      </c>
      <c r="F4240" t="str">
        <f>"PRE-AICE MATH 1 IG"</f>
        <v>PRE-AICE MATH 1 IG</v>
      </c>
      <c r="G4240" t="str">
        <f>"21-2101"</f>
        <v>21-2101</v>
      </c>
      <c r="H4240" t="str">
        <f>"A"</f>
        <v>A</v>
      </c>
    </row>
    <row r="4241" spans="1:8" x14ac:dyDescent="0.2">
      <c r="A4241" t="str">
        <f t="shared" si="1551"/>
        <v>0616124931</v>
      </c>
      <c r="B4241" t="str">
        <f t="shared" si="1552"/>
        <v>XAVIER</v>
      </c>
      <c r="C4241" t="str">
        <f t="shared" si="1553"/>
        <v>DEMPSTER</v>
      </c>
      <c r="D4241" t="str">
        <f t="shared" si="1554"/>
        <v>09</v>
      </c>
      <c r="E4241" t="str">
        <f>"02 - A - 111 - Cheryl L Beach"</f>
        <v>02 - A - 111 - Cheryl L Beach</v>
      </c>
      <c r="F4241" t="str">
        <f>"NC STUDY HALL 1"</f>
        <v>NC STUDY HALL 1</v>
      </c>
      <c r="G4241" t="str">
        <f>"08-811"</f>
        <v>08-811</v>
      </c>
      <c r="H4241" t="str">
        <f>"A"</f>
        <v>A</v>
      </c>
    </row>
    <row r="4242" spans="1:8" x14ac:dyDescent="0.2">
      <c r="A4242" t="str">
        <f t="shared" si="1551"/>
        <v>0616124931</v>
      </c>
      <c r="B4242" t="str">
        <f t="shared" si="1552"/>
        <v>XAVIER</v>
      </c>
      <c r="C4242" t="str">
        <f t="shared" si="1553"/>
        <v>DEMPSTER</v>
      </c>
      <c r="D4242" t="str">
        <f t="shared" si="1554"/>
        <v>09</v>
      </c>
      <c r="E4242" t="str">
        <f>"07 - B - 207 - Krystal Marie  Beruty"</f>
        <v>07 - B - 207 - Krystal Marie  Beruty</v>
      </c>
      <c r="F4242" t="str">
        <f>"AICE GLBL PERSP 1 AS"</f>
        <v>AICE GLBL PERSP 1 AS</v>
      </c>
      <c r="G4242" t="str">
        <f>"17-1721"</f>
        <v>17-1721</v>
      </c>
      <c r="H4242" t="str">
        <f>"B"</f>
        <v>B</v>
      </c>
    </row>
    <row r="4243" spans="1:8" x14ac:dyDescent="0.2">
      <c r="A4243" t="str">
        <f t="shared" si="1551"/>
        <v>0616124931</v>
      </c>
      <c r="B4243" t="str">
        <f t="shared" si="1552"/>
        <v>XAVIER</v>
      </c>
      <c r="C4243" t="str">
        <f t="shared" si="1553"/>
        <v>DEMPSTER</v>
      </c>
      <c r="D4243" t="str">
        <f t="shared" si="1554"/>
        <v>09</v>
      </c>
      <c r="E4243" t="str">
        <f>"05 - B - 103 - Byron G Montenegro"</f>
        <v>05 - B - 103 - Byron G Montenegro</v>
      </c>
      <c r="F4243" t="str">
        <f>"AICE MARINE SCI 1 AS"</f>
        <v>AICE MARINE SCI 1 AS</v>
      </c>
      <c r="G4243" t="str">
        <f>"21-2144"</f>
        <v>21-2144</v>
      </c>
      <c r="H4243" t="str">
        <f>"B"</f>
        <v>B</v>
      </c>
    </row>
    <row r="4244" spans="1:8" x14ac:dyDescent="0.2">
      <c r="A4244" t="str">
        <f t="shared" si="1551"/>
        <v>0616124931</v>
      </c>
      <c r="B4244" t="str">
        <f t="shared" si="1552"/>
        <v>XAVIER</v>
      </c>
      <c r="C4244" t="str">
        <f t="shared" si="1553"/>
        <v>DEMPSTER</v>
      </c>
      <c r="D4244" t="str">
        <f t="shared" si="1554"/>
        <v>09</v>
      </c>
      <c r="E4244" t="str">
        <f>"01 - A - 108 - Rosa Elaine  Collado-Duff"</f>
        <v>01 - A - 108 - Rosa Elaine  Collado-Duff</v>
      </c>
      <c r="F4244" t="str">
        <f>"PRE-AICE SPAN 2 IG"</f>
        <v>PRE-AICE SPAN 2 IG</v>
      </c>
      <c r="G4244" t="str">
        <f>"09-913"</f>
        <v>09-913</v>
      </c>
      <c r="H4244" t="str">
        <f>"A"</f>
        <v>A</v>
      </c>
    </row>
    <row r="4245" spans="1:8" x14ac:dyDescent="0.2">
      <c r="A4245" t="str">
        <f t="shared" si="1551"/>
        <v>0616124931</v>
      </c>
      <c r="B4245" t="str">
        <f t="shared" si="1552"/>
        <v>XAVIER</v>
      </c>
      <c r="C4245" t="str">
        <f t="shared" si="1553"/>
        <v>DEMPSTER</v>
      </c>
      <c r="D4245" t="str">
        <f t="shared" si="1554"/>
        <v>09</v>
      </c>
      <c r="E4245" t="str">
        <f>"08 - B - 004 - Cheryl Anne  Berman-Schechter"</f>
        <v>08 - B - 004 - Cheryl Anne  Berman-Schechter</v>
      </c>
      <c r="F4245" t="str">
        <f>"AICE ENG GEN PAPER 1"</f>
        <v>AICE ENG GEN PAPER 1</v>
      </c>
      <c r="G4245" t="str">
        <f>"17-1722"</f>
        <v>17-1722</v>
      </c>
      <c r="H4245" t="str">
        <f>"B"</f>
        <v>B</v>
      </c>
    </row>
    <row r="4246" spans="1:8" x14ac:dyDescent="0.2">
      <c r="A4246" t="str">
        <f t="shared" ref="A4246:A4254" si="1555">"0616007892"</f>
        <v>0616007892</v>
      </c>
      <c r="B4246" t="str">
        <f t="shared" ref="B4246:B4254" si="1556">"SHAMONI"</f>
        <v>SHAMONI</v>
      </c>
      <c r="C4246" t="str">
        <f t="shared" ref="C4246:C4254" si="1557">"DENNIS"</f>
        <v>DENNIS</v>
      </c>
      <c r="D4246">
        <f>12</f>
        <v>12</v>
      </c>
      <c r="E4246" t="str">
        <f>"04 - A - 102 - Samantha J Headley"</f>
        <v>04 - A - 102 - Samantha J Headley</v>
      </c>
      <c r="F4246" t="str">
        <f>"MARINE SCI 1 HON"</f>
        <v>MARINE SCI 1 HON</v>
      </c>
      <c r="G4246" t="str">
        <f>"21-2134"</f>
        <v>21-2134</v>
      </c>
      <c r="H4246" t="str">
        <f>"A"</f>
        <v>A</v>
      </c>
    </row>
    <row r="4247" spans="1:8" x14ac:dyDescent="0.2">
      <c r="A4247" t="str">
        <f t="shared" si="1555"/>
        <v>0616007892</v>
      </c>
      <c r="B4247" t="str">
        <f t="shared" si="1556"/>
        <v>SHAMONI</v>
      </c>
      <c r="C4247" t="str">
        <f t="shared" si="1557"/>
        <v>DENNIS</v>
      </c>
      <c r="D4247">
        <f>12</f>
        <v>12</v>
      </c>
      <c r="E4247" t="str">
        <f>"06 - B - 109 - Carol S Moore"</f>
        <v>06 - B - 109 - Carol S Moore</v>
      </c>
      <c r="F4247" t="str">
        <f>"NC STUDY HALL 1"</f>
        <v>NC STUDY HALL 1</v>
      </c>
      <c r="G4247" t="str">
        <f>"17-1733"</f>
        <v>17-1733</v>
      </c>
      <c r="H4247" t="str">
        <f>"B"</f>
        <v>B</v>
      </c>
    </row>
    <row r="4248" spans="1:8" x14ac:dyDescent="0.2">
      <c r="A4248" t="str">
        <f t="shared" si="1555"/>
        <v>0616007892</v>
      </c>
      <c r="B4248" t="str">
        <f t="shared" si="1556"/>
        <v>SHAMONI</v>
      </c>
      <c r="C4248" t="str">
        <f t="shared" si="1557"/>
        <v>DENNIS</v>
      </c>
      <c r="D4248">
        <f>12</f>
        <v>12</v>
      </c>
      <c r="E4248" t="str">
        <f>"06 - B - 116 - Karen A Toomer"</f>
        <v>06 - B - 116 - Karen A Toomer</v>
      </c>
      <c r="F4248" t="str">
        <f>"SPEECH THRPY"</f>
        <v>SPEECH THRPY</v>
      </c>
      <c r="G4248" t="str">
        <f>"21-2110"</f>
        <v>21-2110</v>
      </c>
      <c r="H4248" t="str">
        <f>"B"</f>
        <v>B</v>
      </c>
    </row>
    <row r="4249" spans="1:8" x14ac:dyDescent="0.2">
      <c r="A4249" t="str">
        <f t="shared" si="1555"/>
        <v>0616007892</v>
      </c>
      <c r="B4249" t="str">
        <f t="shared" si="1556"/>
        <v>SHAMONI</v>
      </c>
      <c r="C4249" t="str">
        <f t="shared" si="1557"/>
        <v>DENNIS</v>
      </c>
      <c r="D4249">
        <f>12</f>
        <v>12</v>
      </c>
      <c r="E4249" t="str">
        <f>"03 - A - 101 - Alejandro  Navarro"</f>
        <v>03 - A - 101 - Alejandro  Navarro</v>
      </c>
      <c r="F4249" t="str">
        <f>"BAND 3"</f>
        <v>BAND 3</v>
      </c>
      <c r="G4249" t="str">
        <f>"05-504"</f>
        <v>05-504</v>
      </c>
      <c r="H4249" t="str">
        <f>"A"</f>
        <v>A</v>
      </c>
    </row>
    <row r="4250" spans="1:8" x14ac:dyDescent="0.2">
      <c r="A4250" t="str">
        <f t="shared" si="1555"/>
        <v>0616007892</v>
      </c>
      <c r="B4250" t="str">
        <f t="shared" si="1556"/>
        <v>SHAMONI</v>
      </c>
      <c r="C4250" t="str">
        <f t="shared" si="1557"/>
        <v>DENNIS</v>
      </c>
      <c r="D4250">
        <f>12</f>
        <v>12</v>
      </c>
      <c r="E4250" t="str">
        <f>"02 - A - 101 - Robyn L Trainer"</f>
        <v>02 - A - 101 - Robyn L Trainer</v>
      </c>
      <c r="F4250" t="str">
        <f>"ENG 4"</f>
        <v>ENG 4</v>
      </c>
      <c r="G4250" t="str">
        <f>"17-1734"</f>
        <v>17-1734</v>
      </c>
      <c r="H4250" t="str">
        <f>"A"</f>
        <v>A</v>
      </c>
    </row>
    <row r="4251" spans="1:8" x14ac:dyDescent="0.2">
      <c r="A4251" t="str">
        <f t="shared" si="1555"/>
        <v>0616007892</v>
      </c>
      <c r="B4251" t="str">
        <f t="shared" si="1556"/>
        <v>SHAMONI</v>
      </c>
      <c r="C4251" t="str">
        <f t="shared" si="1557"/>
        <v>DENNIS</v>
      </c>
      <c r="D4251">
        <f>12</f>
        <v>12</v>
      </c>
      <c r="E4251" t="str">
        <f>"07 - B - 201 - Angela S Adeshina-Morrison"</f>
        <v>07 - B - 201 - Angela S Adeshina-Morrison</v>
      </c>
      <c r="F4251" t="str">
        <f>"BUSINESS OWNER HON"</f>
        <v>BUSINESS OWNER HON</v>
      </c>
      <c r="G4251" t="str">
        <f>"05-518"</f>
        <v>05-518</v>
      </c>
      <c r="H4251" t="str">
        <f>"B"</f>
        <v>B</v>
      </c>
    </row>
    <row r="4252" spans="1:8" x14ac:dyDescent="0.2">
      <c r="A4252" t="str">
        <f t="shared" si="1555"/>
        <v>0616007892</v>
      </c>
      <c r="B4252" t="str">
        <f t="shared" si="1556"/>
        <v>SHAMONI</v>
      </c>
      <c r="C4252" t="str">
        <f t="shared" si="1557"/>
        <v>DENNIS</v>
      </c>
      <c r="D4252">
        <f>12</f>
        <v>12</v>
      </c>
      <c r="E4252" t="str">
        <f>"05 - S1 - B - 102 - Robert O Burger"</f>
        <v>05 - S1 - B - 102 - Robert O Burger</v>
      </c>
      <c r="F4252" t="str">
        <f>"US GOVT"</f>
        <v>US GOVT</v>
      </c>
      <c r="G4252" t="str">
        <f>"17-1755"</f>
        <v>17-1755</v>
      </c>
      <c r="H4252" t="str">
        <f>"B"</f>
        <v>B</v>
      </c>
    </row>
    <row r="4253" spans="1:8" x14ac:dyDescent="0.2">
      <c r="A4253" t="str">
        <f t="shared" si="1555"/>
        <v>0616007892</v>
      </c>
      <c r="B4253" t="str">
        <f t="shared" si="1556"/>
        <v>SHAMONI</v>
      </c>
      <c r="C4253" t="str">
        <f t="shared" si="1557"/>
        <v>DENNIS</v>
      </c>
      <c r="D4253">
        <f>12</f>
        <v>12</v>
      </c>
      <c r="E4253" t="str">
        <f>"01 - A - 102 - Robert H Rindner"</f>
        <v>01 - A - 102 - Robert H Rindner</v>
      </c>
      <c r="F4253" t="str">
        <f>"MATH DATA&amp;FIN LIT H"</f>
        <v>MATH DATA&amp;FIN LIT H</v>
      </c>
      <c r="G4253" t="str">
        <f>"21-2160"</f>
        <v>21-2160</v>
      </c>
      <c r="H4253" t="str">
        <f>"A"</f>
        <v>A</v>
      </c>
    </row>
    <row r="4254" spans="1:8" x14ac:dyDescent="0.2">
      <c r="A4254" t="str">
        <f t="shared" si="1555"/>
        <v>0616007892</v>
      </c>
      <c r="B4254" t="str">
        <f t="shared" si="1556"/>
        <v>SHAMONI</v>
      </c>
      <c r="C4254" t="str">
        <f t="shared" si="1557"/>
        <v>DENNIS</v>
      </c>
      <c r="D4254">
        <f>12</f>
        <v>12</v>
      </c>
      <c r="E4254" t="str">
        <f>"08 - B - 103 - Chrystina M Marchionne"</f>
        <v>08 - B - 103 - Chrystina M Marchionne</v>
      </c>
      <c r="F4254" t="str">
        <f>"JOURN 2 (YB) LH"</f>
        <v>JOURN 2 (YB) LH</v>
      </c>
      <c r="G4254" t="str">
        <f>"05-520"</f>
        <v>05-520</v>
      </c>
      <c r="H4254" t="str">
        <f>"B"</f>
        <v>B</v>
      </c>
    </row>
    <row r="4255" spans="1:8" x14ac:dyDescent="0.2">
      <c r="A4255" t="str">
        <f t="shared" ref="A4255:A4262" si="1558">"0615057358"</f>
        <v>0615057358</v>
      </c>
      <c r="B4255" t="str">
        <f t="shared" ref="B4255:B4262" si="1559">"PRISCILLA"</f>
        <v>PRISCILLA</v>
      </c>
      <c r="C4255" t="str">
        <f t="shared" ref="C4255:C4262" si="1560">"DEODAT"</f>
        <v>DEODAT</v>
      </c>
      <c r="D4255">
        <f>11</f>
        <v>11</v>
      </c>
      <c r="E4255" t="str">
        <f>"04 - A - 102 - Lisa J London"</f>
        <v>04 - A - 102 - Lisa J London</v>
      </c>
      <c r="F4255" t="str">
        <f>"AP CAPSTONE SEMINAR"</f>
        <v>AP CAPSTONE SEMINAR</v>
      </c>
      <c r="G4255" t="str">
        <f>"17-1714"</f>
        <v>17-1714</v>
      </c>
      <c r="H4255" t="str">
        <f>"A"</f>
        <v>A</v>
      </c>
    </row>
    <row r="4256" spans="1:8" x14ac:dyDescent="0.2">
      <c r="A4256" t="str">
        <f t="shared" si="1558"/>
        <v>0615057358</v>
      </c>
      <c r="B4256" t="str">
        <f t="shared" si="1559"/>
        <v>PRISCILLA</v>
      </c>
      <c r="C4256" t="str">
        <f t="shared" si="1560"/>
        <v>DEODAT</v>
      </c>
      <c r="D4256">
        <f>11</f>
        <v>11</v>
      </c>
      <c r="E4256" t="str">
        <f>"06 - B - 204 - Chrystina M Marchionne"</f>
        <v>06 - B - 204 - Chrystina M Marchionne</v>
      </c>
      <c r="F4256" t="str">
        <f>"AICE MEDIASTUDIES AS"</f>
        <v>AICE MEDIASTUDIES AS</v>
      </c>
      <c r="G4256" t="str">
        <f>"05-520"</f>
        <v>05-520</v>
      </c>
      <c r="H4256" t="str">
        <f>"B"</f>
        <v>B</v>
      </c>
    </row>
    <row r="4257" spans="1:8" x14ac:dyDescent="0.2">
      <c r="A4257" t="str">
        <f t="shared" si="1558"/>
        <v>0615057358</v>
      </c>
      <c r="B4257" t="str">
        <f t="shared" si="1559"/>
        <v>PRISCILLA</v>
      </c>
      <c r="C4257" t="str">
        <f t="shared" si="1560"/>
        <v>DEODAT</v>
      </c>
      <c r="D4257">
        <f>11</f>
        <v>11</v>
      </c>
      <c r="E4257" t="str">
        <f>"03 - A - 102 - Thomas G Handwerg"</f>
        <v>03 - A - 102 - Thomas G Handwerg</v>
      </c>
      <c r="F4257" t="str">
        <f>"MATH COLL ALGEBRA"</f>
        <v>MATH COLL ALGEBRA</v>
      </c>
      <c r="G4257" t="str">
        <f>"21-2146"</f>
        <v>21-2146</v>
      </c>
      <c r="H4257" t="str">
        <f>"A"</f>
        <v>A</v>
      </c>
    </row>
    <row r="4258" spans="1:8" x14ac:dyDescent="0.2">
      <c r="A4258" t="str">
        <f t="shared" si="1558"/>
        <v>0615057358</v>
      </c>
      <c r="B4258" t="str">
        <f t="shared" si="1559"/>
        <v>PRISCILLA</v>
      </c>
      <c r="C4258" t="str">
        <f t="shared" si="1560"/>
        <v>DEODAT</v>
      </c>
      <c r="D4258">
        <f>11</f>
        <v>11</v>
      </c>
      <c r="E4258" t="str">
        <f>"02 - A - 112 - Brandy N Zdenek"</f>
        <v>02 - A - 112 - Brandy N Zdenek</v>
      </c>
      <c r="F4258" t="str">
        <f>"NC STUDY HALL 1"</f>
        <v>NC STUDY HALL 1</v>
      </c>
      <c r="G4258" t="str">
        <f>"17-1704"</f>
        <v>17-1704</v>
      </c>
      <c r="H4258" t="str">
        <f>"A"</f>
        <v>A</v>
      </c>
    </row>
    <row r="4259" spans="1:8" x14ac:dyDescent="0.2">
      <c r="A4259" t="str">
        <f t="shared" si="1558"/>
        <v>0615057358</v>
      </c>
      <c r="B4259" t="str">
        <f t="shared" si="1559"/>
        <v>PRISCILLA</v>
      </c>
      <c r="C4259" t="str">
        <f t="shared" si="1560"/>
        <v>DEODAT</v>
      </c>
      <c r="D4259">
        <f>11</f>
        <v>11</v>
      </c>
      <c r="E4259" t="str">
        <f>"07 - B - 105 - Josiah I Lacy"</f>
        <v>07 - B - 105 - Josiah I Lacy</v>
      </c>
      <c r="F4259" t="str">
        <f>"ANAT PHYSIO HON"</f>
        <v>ANAT PHYSIO HON</v>
      </c>
      <c r="G4259" t="str">
        <f>"08-801"</f>
        <v>08-801</v>
      </c>
      <c r="H4259" t="str">
        <f>"B"</f>
        <v>B</v>
      </c>
    </row>
    <row r="4260" spans="1:8" x14ac:dyDescent="0.2">
      <c r="A4260" t="str">
        <f t="shared" si="1558"/>
        <v>0615057358</v>
      </c>
      <c r="B4260" t="str">
        <f t="shared" si="1559"/>
        <v>PRISCILLA</v>
      </c>
      <c r="C4260" t="str">
        <f t="shared" si="1560"/>
        <v>DEODAT</v>
      </c>
      <c r="D4260">
        <f>11</f>
        <v>11</v>
      </c>
      <c r="E4260" t="str">
        <f>"05 - B - 103 - Tina M Jaramillo"</f>
        <v>05 - B - 103 - Tina M Jaramillo</v>
      </c>
      <c r="F4260" t="str">
        <f>"AP ENG COMPO"</f>
        <v>AP ENG COMPO</v>
      </c>
      <c r="G4260" t="str">
        <f>"17-1706"</f>
        <v>17-1706</v>
      </c>
      <c r="H4260" t="str">
        <f>"B"</f>
        <v>B</v>
      </c>
    </row>
    <row r="4261" spans="1:8" x14ac:dyDescent="0.2">
      <c r="A4261" t="str">
        <f t="shared" si="1558"/>
        <v>0615057358</v>
      </c>
      <c r="B4261" t="str">
        <f t="shared" si="1559"/>
        <v>PRISCILLA</v>
      </c>
      <c r="C4261" t="str">
        <f t="shared" si="1560"/>
        <v>DEODAT</v>
      </c>
      <c r="D4261">
        <f>11</f>
        <v>11</v>
      </c>
      <c r="E4261" t="str">
        <f>"01 - A - 104 - Jerry S Jiampetti"</f>
        <v>01 - A - 104 - Jerry S Jiampetti</v>
      </c>
      <c r="F4261" t="str">
        <f>"US HISTORY HON"</f>
        <v>US HISTORY HON</v>
      </c>
      <c r="G4261" t="str">
        <f>"17-1751"</f>
        <v>17-1751</v>
      </c>
      <c r="H4261" t="str">
        <f>"A"</f>
        <v>A</v>
      </c>
    </row>
    <row r="4262" spans="1:8" x14ac:dyDescent="0.2">
      <c r="A4262" t="str">
        <f t="shared" si="1558"/>
        <v>0615057358</v>
      </c>
      <c r="B4262" t="str">
        <f t="shared" si="1559"/>
        <v>PRISCILLA</v>
      </c>
      <c r="C4262" t="str">
        <f t="shared" si="1560"/>
        <v>DEODAT</v>
      </c>
      <c r="D4262">
        <f>11</f>
        <v>11</v>
      </c>
      <c r="E4262" t="str">
        <f>"08 - B - 101 - Eva T Rimmer"</f>
        <v>08 - B - 101 - Eva T Rimmer</v>
      </c>
      <c r="F4262" t="str">
        <f>"CRIM JUST OPS 3 HON"</f>
        <v>CRIM JUST OPS 3 HON</v>
      </c>
      <c r="G4262" t="str">
        <f>"05-523"</f>
        <v>05-523</v>
      </c>
      <c r="H4262" t="str">
        <f>"B"</f>
        <v>B</v>
      </c>
    </row>
    <row r="4263" spans="1:8" x14ac:dyDescent="0.2">
      <c r="A4263" t="str">
        <f t="shared" ref="A4263:A4272" si="1561">"0614004383"</f>
        <v>0614004383</v>
      </c>
      <c r="B4263" t="str">
        <f t="shared" ref="B4263:B4272" si="1562">"JOSEPH"</f>
        <v>JOSEPH</v>
      </c>
      <c r="C4263" t="str">
        <f t="shared" ref="C4263:C4272" si="1563">"DEPAZ RIVAS"</f>
        <v>DEPAZ RIVAS</v>
      </c>
      <c r="D4263">
        <f>11</f>
        <v>11</v>
      </c>
      <c r="E4263" t="str">
        <f>"04 - S1 - A - 101 - Reggie L Nixon"</f>
        <v>04 - S1 - A - 101 - Reggie L Nixon</v>
      </c>
      <c r="F4263" t="str">
        <f>"ACCESS US GOVT"</f>
        <v>ACCESS US GOVT</v>
      </c>
      <c r="G4263" t="str">
        <f>"21-2119"</f>
        <v>21-2119</v>
      </c>
      <c r="H4263" t="str">
        <f>"A"</f>
        <v>A</v>
      </c>
    </row>
    <row r="4264" spans="1:8" x14ac:dyDescent="0.2">
      <c r="A4264" t="str">
        <f t="shared" si="1561"/>
        <v>0614004383</v>
      </c>
      <c r="B4264" t="str">
        <f t="shared" si="1562"/>
        <v>JOSEPH</v>
      </c>
      <c r="C4264" t="str">
        <f t="shared" si="1563"/>
        <v>DEPAZ RIVAS</v>
      </c>
      <c r="D4264">
        <f>11</f>
        <v>11</v>
      </c>
      <c r="E4264" t="str">
        <f>"06 - B - 103 - Thomas G Handwerg"</f>
        <v>06 - B - 103 - Thomas G Handwerg</v>
      </c>
      <c r="F4264" t="str">
        <f>"NC STUDY HALL 1"</f>
        <v>NC STUDY HALL 1</v>
      </c>
      <c r="G4264" t="str">
        <f>"21-2146"</f>
        <v>21-2146</v>
      </c>
      <c r="H4264" t="str">
        <f>"B"</f>
        <v>B</v>
      </c>
    </row>
    <row r="4265" spans="1:8" x14ac:dyDescent="0.2">
      <c r="A4265" t="str">
        <f t="shared" si="1561"/>
        <v>0614004383</v>
      </c>
      <c r="B4265" t="str">
        <f t="shared" si="1562"/>
        <v>JOSEPH</v>
      </c>
      <c r="C4265" t="str">
        <f t="shared" si="1563"/>
        <v>DEPAZ RIVAS</v>
      </c>
      <c r="D4265">
        <f>11</f>
        <v>11</v>
      </c>
      <c r="E4265" t="str">
        <f>"03 - A - 101 - Reggie L Nixon"</f>
        <v>03 - A - 101 - Reggie L Nixon</v>
      </c>
      <c r="F4265" t="str">
        <f>"ACCESS INTEG SCI 1"</f>
        <v>ACCESS INTEG SCI 1</v>
      </c>
      <c r="G4265" t="str">
        <f>"21-2119"</f>
        <v>21-2119</v>
      </c>
      <c r="H4265" t="str">
        <f>"A"</f>
        <v>A</v>
      </c>
    </row>
    <row r="4266" spans="1:8" x14ac:dyDescent="0.2">
      <c r="A4266" t="str">
        <f t="shared" si="1561"/>
        <v>0614004383</v>
      </c>
      <c r="B4266" t="str">
        <f t="shared" si="1562"/>
        <v>JOSEPH</v>
      </c>
      <c r="C4266" t="str">
        <f t="shared" si="1563"/>
        <v>DEPAZ RIVAS</v>
      </c>
      <c r="D4266">
        <f>11</f>
        <v>11</v>
      </c>
      <c r="E4266" t="str">
        <f>"02 - A - 102 - Adam Marcus  Drucker"</f>
        <v>02 - A - 102 - Adam Marcus  Drucker</v>
      </c>
      <c r="F4266" t="str">
        <f>"HOPE-PE V"</f>
        <v>HOPE-PE V</v>
      </c>
      <c r="G4266" t="str">
        <f>"04-254"</f>
        <v>04-254</v>
      </c>
      <c r="H4266" t="str">
        <f>"A"</f>
        <v>A</v>
      </c>
    </row>
    <row r="4267" spans="1:8" x14ac:dyDescent="0.2">
      <c r="A4267" t="str">
        <f t="shared" si="1561"/>
        <v>0614004383</v>
      </c>
      <c r="B4267" t="str">
        <f t="shared" si="1562"/>
        <v>JOSEPH</v>
      </c>
      <c r="C4267" t="str">
        <f t="shared" si="1563"/>
        <v>DEPAZ RIVAS</v>
      </c>
      <c r="D4267">
        <f>11</f>
        <v>11</v>
      </c>
      <c r="E4267" t="str">
        <f>"07 - B - 101 - Reggie L Nixon"</f>
        <v>07 - B - 101 - Reggie L Nixon</v>
      </c>
      <c r="F4267" t="str">
        <f>"CAREER ED: 9-12"</f>
        <v>CAREER ED: 9-12</v>
      </c>
      <c r="G4267" t="str">
        <f>"21-2119"</f>
        <v>21-2119</v>
      </c>
      <c r="H4267" t="str">
        <f>"B"</f>
        <v>B</v>
      </c>
    </row>
    <row r="4268" spans="1:8" x14ac:dyDescent="0.2">
      <c r="A4268" t="str">
        <f t="shared" si="1561"/>
        <v>0614004383</v>
      </c>
      <c r="B4268" t="str">
        <f t="shared" si="1562"/>
        <v>JOSEPH</v>
      </c>
      <c r="C4268" t="str">
        <f t="shared" si="1563"/>
        <v>DEPAZ RIVAS</v>
      </c>
      <c r="D4268">
        <f>11</f>
        <v>11</v>
      </c>
      <c r="E4268" t="str">
        <f>"07 - B - 107 - Eric  Lopapa"</f>
        <v>07 - B - 107 - Eric  Lopapa</v>
      </c>
      <c r="F4268" t="str">
        <f>"LANG THERAPY"</f>
        <v>LANG THERAPY</v>
      </c>
      <c r="G4268" t="str">
        <f>"21-2110"</f>
        <v>21-2110</v>
      </c>
      <c r="H4268" t="str">
        <f>"B"</f>
        <v>B</v>
      </c>
    </row>
    <row r="4269" spans="1:8" x14ac:dyDescent="0.2">
      <c r="A4269" t="str">
        <f t="shared" si="1561"/>
        <v>0614004383</v>
      </c>
      <c r="B4269" t="str">
        <f t="shared" si="1562"/>
        <v>JOSEPH</v>
      </c>
      <c r="C4269" t="str">
        <f t="shared" si="1563"/>
        <v>DEPAZ RIVAS</v>
      </c>
      <c r="D4269">
        <f>11</f>
        <v>11</v>
      </c>
      <c r="E4269" t="str">
        <f>"05 - B - 001 - Reggie L Nixon"</f>
        <v>05 - B - 001 - Reggie L Nixon</v>
      </c>
      <c r="F4269" t="str">
        <f>"U SKLS: 9-12"</f>
        <v>U SKLS: 9-12</v>
      </c>
      <c r="G4269" t="str">
        <f>"21-2119"</f>
        <v>21-2119</v>
      </c>
      <c r="H4269" t="str">
        <f>"B"</f>
        <v>B</v>
      </c>
    </row>
    <row r="4270" spans="1:8" x14ac:dyDescent="0.2">
      <c r="A4270" t="str">
        <f t="shared" si="1561"/>
        <v>0614004383</v>
      </c>
      <c r="B4270" t="str">
        <f t="shared" si="1562"/>
        <v>JOSEPH</v>
      </c>
      <c r="C4270" t="str">
        <f t="shared" si="1563"/>
        <v>DEPAZ RIVAS</v>
      </c>
      <c r="D4270">
        <f>11</f>
        <v>11</v>
      </c>
      <c r="E4270" t="str">
        <f>"01 - A - 101 - Reggie L Nixon"</f>
        <v>01 - A - 101 - Reggie L Nixon</v>
      </c>
      <c r="F4270" t="str">
        <f>"ACCESS ENGLISH 3"</f>
        <v>ACCESS ENGLISH 3</v>
      </c>
      <c r="G4270" t="str">
        <f>"21-2119"</f>
        <v>21-2119</v>
      </c>
      <c r="H4270" t="str">
        <f>"A"</f>
        <v>A</v>
      </c>
    </row>
    <row r="4271" spans="1:8" x14ac:dyDescent="0.2">
      <c r="A4271" t="str">
        <f t="shared" si="1561"/>
        <v>0614004383</v>
      </c>
      <c r="B4271" t="str">
        <f t="shared" si="1562"/>
        <v>JOSEPH</v>
      </c>
      <c r="C4271" t="str">
        <f t="shared" si="1563"/>
        <v>DEPAZ RIVAS</v>
      </c>
      <c r="D4271">
        <f>11</f>
        <v>11</v>
      </c>
      <c r="E4271" t="str">
        <f>"08 - B - 101 - Reggie L Nixon"</f>
        <v>08 - B - 101 - Reggie L Nixon</v>
      </c>
      <c r="F4271" t="str">
        <f>"ACCESS GEOMETRY"</f>
        <v>ACCESS GEOMETRY</v>
      </c>
      <c r="G4271" t="str">
        <f>"21-2119"</f>
        <v>21-2119</v>
      </c>
      <c r="H4271" t="str">
        <f>"B"</f>
        <v>B</v>
      </c>
    </row>
    <row r="4272" spans="1:8" x14ac:dyDescent="0.2">
      <c r="A4272" t="str">
        <f t="shared" si="1561"/>
        <v>0614004383</v>
      </c>
      <c r="B4272" t="str">
        <f t="shared" si="1562"/>
        <v>JOSEPH</v>
      </c>
      <c r="C4272" t="str">
        <f t="shared" si="1563"/>
        <v>DEPAZ RIVAS</v>
      </c>
      <c r="D4272">
        <f>11</f>
        <v>11</v>
      </c>
      <c r="E4272" t="str">
        <f>"08 - B - 118 - Karen A Toomer"</f>
        <v>08 - B - 118 - Karen A Toomer</v>
      </c>
      <c r="F4272" t="str">
        <f>"LANG THERAPY"</f>
        <v>LANG THERAPY</v>
      </c>
      <c r="G4272" t="str">
        <f>"21-2110"</f>
        <v>21-2110</v>
      </c>
      <c r="H4272" t="str">
        <f>"B"</f>
        <v>B</v>
      </c>
    </row>
    <row r="4273" spans="1:8" x14ac:dyDescent="0.2">
      <c r="A4273" t="str">
        <f t="shared" ref="A4273:A4280" si="1564">"0620102024"</f>
        <v>0620102024</v>
      </c>
      <c r="B4273" t="str">
        <f t="shared" ref="B4273:B4280" si="1565">"LEA"</f>
        <v>LEA</v>
      </c>
      <c r="C4273" t="str">
        <f t="shared" ref="C4273:C4280" si="1566">"DERILUS"</f>
        <v>DERILUS</v>
      </c>
      <c r="D4273" t="str">
        <f t="shared" ref="D4273:D4288" si="1567">"09"</f>
        <v>09</v>
      </c>
      <c r="E4273" t="str">
        <f>"04 - A - 104 - Marius D Orsolini"</f>
        <v>04 - A - 104 - Marius D Orsolini</v>
      </c>
      <c r="F4273" t="str">
        <f>"CULINARY ARTS 1"</f>
        <v>CULINARY ARTS 1</v>
      </c>
      <c r="G4273" t="str">
        <f>"21-2115"</f>
        <v>21-2115</v>
      </c>
      <c r="H4273" t="str">
        <f>"A"</f>
        <v>A</v>
      </c>
    </row>
    <row r="4274" spans="1:8" x14ac:dyDescent="0.2">
      <c r="A4274" t="str">
        <f t="shared" si="1564"/>
        <v>0620102024</v>
      </c>
      <c r="B4274" t="str">
        <f t="shared" si="1565"/>
        <v>LEA</v>
      </c>
      <c r="C4274" t="str">
        <f t="shared" si="1566"/>
        <v>DERILUS</v>
      </c>
      <c r="D4274" t="str">
        <f t="shared" si="1567"/>
        <v>09</v>
      </c>
      <c r="E4274" t="str">
        <f>"06 - B - 104 - Lytrell T Dixon"</f>
        <v>06 - B - 104 - Lytrell T Dixon</v>
      </c>
      <c r="F4274" t="str">
        <f>"PRE-AICE BIO IG"</f>
        <v>PRE-AICE BIO IG</v>
      </c>
      <c r="G4274" t="str">
        <f>"08-808"</f>
        <v>08-808</v>
      </c>
      <c r="H4274" t="str">
        <f>"B"</f>
        <v>B</v>
      </c>
    </row>
    <row r="4275" spans="1:8" x14ac:dyDescent="0.2">
      <c r="A4275" t="str">
        <f t="shared" si="1564"/>
        <v>0620102024</v>
      </c>
      <c r="B4275" t="str">
        <f t="shared" si="1565"/>
        <v>LEA</v>
      </c>
      <c r="C4275" t="str">
        <f t="shared" si="1566"/>
        <v>DERILUS</v>
      </c>
      <c r="D4275" t="str">
        <f t="shared" si="1567"/>
        <v>09</v>
      </c>
      <c r="E4275" t="str">
        <f>"03 - A - 203 - Elizabeth R Walker"</f>
        <v>03 - A - 203 - Elizabeth R Walker</v>
      </c>
      <c r="F4275" t="str">
        <f>"AICE ENG GEN PAPER 1"</f>
        <v>AICE ENG GEN PAPER 1</v>
      </c>
      <c r="G4275" t="str">
        <f>"17-1703"</f>
        <v>17-1703</v>
      </c>
      <c r="H4275" t="str">
        <f>"A"</f>
        <v>A</v>
      </c>
    </row>
    <row r="4276" spans="1:8" x14ac:dyDescent="0.2">
      <c r="A4276" t="str">
        <f t="shared" si="1564"/>
        <v>0620102024</v>
      </c>
      <c r="B4276" t="str">
        <f t="shared" si="1565"/>
        <v>LEA</v>
      </c>
      <c r="C4276" t="str">
        <f t="shared" si="1566"/>
        <v>DERILUS</v>
      </c>
      <c r="D4276" t="str">
        <f t="shared" si="1567"/>
        <v>09</v>
      </c>
      <c r="E4276" t="str">
        <f>"02 - A - 104 - Lytrell T Dixon"</f>
        <v>02 - A - 104 - Lytrell T Dixon</v>
      </c>
      <c r="F4276" t="str">
        <f>"NC STUDY HALL 1"</f>
        <v>NC STUDY HALL 1</v>
      </c>
      <c r="G4276" t="str">
        <f>"08-808"</f>
        <v>08-808</v>
      </c>
      <c r="H4276" t="str">
        <f>"A"</f>
        <v>A</v>
      </c>
    </row>
    <row r="4277" spans="1:8" x14ac:dyDescent="0.2">
      <c r="A4277" t="str">
        <f t="shared" si="1564"/>
        <v>0620102024</v>
      </c>
      <c r="B4277" t="str">
        <f t="shared" si="1565"/>
        <v>LEA</v>
      </c>
      <c r="C4277" t="str">
        <f t="shared" si="1566"/>
        <v>DERILUS</v>
      </c>
      <c r="D4277" t="str">
        <f t="shared" si="1567"/>
        <v>09</v>
      </c>
      <c r="E4277" t="str">
        <f>"07 - B - 206 - Cheryl L Beach"</f>
        <v>07 - B - 206 - Cheryl L Beach</v>
      </c>
      <c r="F4277" t="str">
        <f>"AICE ENV MGMNT AS"</f>
        <v>AICE ENV MGMNT AS</v>
      </c>
      <c r="G4277" t="str">
        <f>"08-811"</f>
        <v>08-811</v>
      </c>
      <c r="H4277" t="str">
        <f>"B"</f>
        <v>B</v>
      </c>
    </row>
    <row r="4278" spans="1:8" x14ac:dyDescent="0.2">
      <c r="A4278" t="str">
        <f t="shared" si="1564"/>
        <v>0620102024</v>
      </c>
      <c r="B4278" t="str">
        <f t="shared" si="1565"/>
        <v>LEA</v>
      </c>
      <c r="C4278" t="str">
        <f t="shared" si="1566"/>
        <v>DERILUS</v>
      </c>
      <c r="D4278" t="str">
        <f t="shared" si="1567"/>
        <v>09</v>
      </c>
      <c r="E4278" t="str">
        <f>"05 - B - 001 - Kelly N Panza"</f>
        <v>05 - B - 001 - Kelly N Panza</v>
      </c>
      <c r="F4278" t="str">
        <f>"AICE GLBL PERSP 1 AS"</f>
        <v>AICE GLBL PERSP 1 AS</v>
      </c>
      <c r="G4278" t="str">
        <f>"17-1753"</f>
        <v>17-1753</v>
      </c>
      <c r="H4278" t="str">
        <f>"B"</f>
        <v>B</v>
      </c>
    </row>
    <row r="4279" spans="1:8" x14ac:dyDescent="0.2">
      <c r="A4279" t="str">
        <f t="shared" si="1564"/>
        <v>0620102024</v>
      </c>
      <c r="B4279" t="str">
        <f t="shared" si="1565"/>
        <v>LEA</v>
      </c>
      <c r="C4279" t="str">
        <f t="shared" si="1566"/>
        <v>DERILUS</v>
      </c>
      <c r="D4279" t="str">
        <f t="shared" si="1567"/>
        <v>09</v>
      </c>
      <c r="E4279" t="str">
        <f>"01 - S1 - A - 101 - Leslie J Barton"</f>
        <v>01 - S1 - A - 101 - Leslie J Barton</v>
      </c>
      <c r="F4279" t="str">
        <f>"FIRST AID SAFETY"</f>
        <v>FIRST AID SAFETY</v>
      </c>
      <c r="G4279" t="str">
        <f>"05-521"</f>
        <v>05-521</v>
      </c>
      <c r="H4279" t="str">
        <f>"A"</f>
        <v>A</v>
      </c>
    </row>
    <row r="4280" spans="1:8" x14ac:dyDescent="0.2">
      <c r="A4280" t="str">
        <f t="shared" si="1564"/>
        <v>0620102024</v>
      </c>
      <c r="B4280" t="str">
        <f t="shared" si="1565"/>
        <v>LEA</v>
      </c>
      <c r="C4280" t="str">
        <f t="shared" si="1566"/>
        <v>DERILUS</v>
      </c>
      <c r="D4280" t="str">
        <f t="shared" si="1567"/>
        <v>09</v>
      </c>
      <c r="E4280" t="str">
        <f>"08 - B - 105 - Ferrie J Arostique"</f>
        <v>08 - B - 105 - Ferrie J Arostique</v>
      </c>
      <c r="F4280" t="str">
        <f>"PRE-AICE MATH 2 IG"</f>
        <v>PRE-AICE MATH 2 IG</v>
      </c>
      <c r="G4280" t="str">
        <f>"21-2139"</f>
        <v>21-2139</v>
      </c>
      <c r="H4280" t="str">
        <f>"B"</f>
        <v>B</v>
      </c>
    </row>
    <row r="4281" spans="1:8" x14ac:dyDescent="0.2">
      <c r="A4281" t="str">
        <f t="shared" ref="A4281:A4288" si="1568">"0616142012"</f>
        <v>0616142012</v>
      </c>
      <c r="B4281" t="str">
        <f t="shared" ref="B4281:B4288" si="1569">"CALEB"</f>
        <v>CALEB</v>
      </c>
      <c r="C4281" t="str">
        <f t="shared" ref="C4281:C4288" si="1570">"DERVISTE"</f>
        <v>DERVISTE</v>
      </c>
      <c r="D4281" t="str">
        <f t="shared" si="1567"/>
        <v>09</v>
      </c>
      <c r="E4281" t="str">
        <f>"04 - A - 104 - Adam Marcus  Drucker"</f>
        <v>04 - A - 104 - Adam Marcus  Drucker</v>
      </c>
      <c r="F4281" t="str">
        <f>"HOPE-PE V"</f>
        <v>HOPE-PE V</v>
      </c>
      <c r="G4281" t="str">
        <f>"04-254"</f>
        <v>04-254</v>
      </c>
      <c r="H4281" t="str">
        <f>"A"</f>
        <v>A</v>
      </c>
    </row>
    <row r="4282" spans="1:8" x14ac:dyDescent="0.2">
      <c r="A4282" t="str">
        <f t="shared" si="1568"/>
        <v>0616142012</v>
      </c>
      <c r="B4282" t="str">
        <f t="shared" si="1569"/>
        <v>CALEB</v>
      </c>
      <c r="C4282" t="str">
        <f t="shared" si="1570"/>
        <v>DERVISTE</v>
      </c>
      <c r="D4282" t="str">
        <f t="shared" si="1567"/>
        <v>09</v>
      </c>
      <c r="E4282" t="str">
        <f>"06 - B - 202 - Alejandro  Navarro"</f>
        <v>06 - B - 202 - Alejandro  Navarro</v>
      </c>
      <c r="F4282" t="str">
        <f>"BAND 1"</f>
        <v>BAND 1</v>
      </c>
      <c r="G4282" t="str">
        <f>"05-504"</f>
        <v>05-504</v>
      </c>
      <c r="H4282" t="str">
        <f>"B"</f>
        <v>B</v>
      </c>
    </row>
    <row r="4283" spans="1:8" x14ac:dyDescent="0.2">
      <c r="A4283" t="str">
        <f t="shared" si="1568"/>
        <v>0616142012</v>
      </c>
      <c r="B4283" t="str">
        <f t="shared" si="1569"/>
        <v>CALEB</v>
      </c>
      <c r="C4283" t="str">
        <f t="shared" si="1570"/>
        <v>DERVISTE</v>
      </c>
      <c r="D4283" t="str">
        <f t="shared" si="1567"/>
        <v>09</v>
      </c>
      <c r="E4283" t="str">
        <f>"03 - A - 102 - Rory T Sponsler"</f>
        <v>03 - A - 102 - Rory T Sponsler</v>
      </c>
      <c r="F4283" t="str">
        <f>"PRE-AICE WRLD HST IG"</f>
        <v>PRE-AICE WRLD HST IG</v>
      </c>
      <c r="G4283" t="str">
        <f>"17-1740"</f>
        <v>17-1740</v>
      </c>
      <c r="H4283" t="str">
        <f>"A"</f>
        <v>A</v>
      </c>
    </row>
    <row r="4284" spans="1:8" x14ac:dyDescent="0.2">
      <c r="A4284" t="str">
        <f t="shared" si="1568"/>
        <v>0616142012</v>
      </c>
      <c r="B4284" t="str">
        <f t="shared" si="1569"/>
        <v>CALEB</v>
      </c>
      <c r="C4284" t="str">
        <f t="shared" si="1570"/>
        <v>DERVISTE</v>
      </c>
      <c r="D4284" t="str">
        <f t="shared" si="1567"/>
        <v>09</v>
      </c>
      <c r="E4284" t="str">
        <f>"02 - A - 116 - Tina L Lovett"</f>
        <v>02 - A - 116 - Tina L Lovett</v>
      </c>
      <c r="F4284" t="str">
        <f>"NC STUDY HALL 1"</f>
        <v>NC STUDY HALL 1</v>
      </c>
      <c r="G4284" t="str">
        <f>"21-2153"</f>
        <v>21-2153</v>
      </c>
      <c r="H4284" t="str">
        <f>"A"</f>
        <v>A</v>
      </c>
    </row>
    <row r="4285" spans="1:8" x14ac:dyDescent="0.2">
      <c r="A4285" t="str">
        <f t="shared" si="1568"/>
        <v>0616142012</v>
      </c>
      <c r="B4285" t="str">
        <f t="shared" si="1569"/>
        <v>CALEB</v>
      </c>
      <c r="C4285" t="str">
        <f t="shared" si="1570"/>
        <v>DERVISTE</v>
      </c>
      <c r="D4285" t="str">
        <f t="shared" si="1567"/>
        <v>09</v>
      </c>
      <c r="E4285" t="str">
        <f>"07 - B - 105 - Joe  Kilpatrick Jr"</f>
        <v>07 - B - 105 - Joe  Kilpatrick Jr</v>
      </c>
      <c r="F4285" t="str">
        <f>"PRE-AICE SPAN 1 IG"</f>
        <v>PRE-AICE SPAN 1 IG</v>
      </c>
      <c r="G4285" t="str">
        <f>"09-912"</f>
        <v>09-912</v>
      </c>
      <c r="H4285" t="str">
        <f>"B"</f>
        <v>B</v>
      </c>
    </row>
    <row r="4286" spans="1:8" x14ac:dyDescent="0.2">
      <c r="A4286" t="str">
        <f t="shared" si="1568"/>
        <v>0616142012</v>
      </c>
      <c r="B4286" t="str">
        <f t="shared" si="1569"/>
        <v>CALEB</v>
      </c>
      <c r="C4286" t="str">
        <f t="shared" si="1570"/>
        <v>DERVISTE</v>
      </c>
      <c r="D4286" t="str">
        <f t="shared" si="1567"/>
        <v>09</v>
      </c>
      <c r="E4286" t="str">
        <f>"05 - B - 103 - Brook E Goren"</f>
        <v>05 - B - 103 - Brook E Goren</v>
      </c>
      <c r="F4286" t="str">
        <f>"PRE-AICE MATH 2 IG"</f>
        <v>PRE-AICE MATH 2 IG</v>
      </c>
      <c r="G4286" t="str">
        <f>"21-2158"</f>
        <v>21-2158</v>
      </c>
      <c r="H4286" t="str">
        <f>"B"</f>
        <v>B</v>
      </c>
    </row>
    <row r="4287" spans="1:8" x14ac:dyDescent="0.2">
      <c r="A4287" t="str">
        <f t="shared" si="1568"/>
        <v>0616142012</v>
      </c>
      <c r="B4287" t="str">
        <f t="shared" si="1569"/>
        <v>CALEB</v>
      </c>
      <c r="C4287" t="str">
        <f t="shared" si="1570"/>
        <v>DERVISTE</v>
      </c>
      <c r="D4287" t="str">
        <f t="shared" si="1567"/>
        <v>09</v>
      </c>
      <c r="E4287" t="str">
        <f>"01 - A - 101 - Elizabeth R Walker"</f>
        <v>01 - A - 101 - Elizabeth R Walker</v>
      </c>
      <c r="F4287" t="str">
        <f>"AICE ENG GEN PAPER 1"</f>
        <v>AICE ENG GEN PAPER 1</v>
      </c>
      <c r="G4287" t="str">
        <f>"17-1703"</f>
        <v>17-1703</v>
      </c>
      <c r="H4287" t="str">
        <f>"A"</f>
        <v>A</v>
      </c>
    </row>
    <row r="4288" spans="1:8" x14ac:dyDescent="0.2">
      <c r="A4288" t="str">
        <f t="shared" si="1568"/>
        <v>0616142012</v>
      </c>
      <c r="B4288" t="str">
        <f t="shared" si="1569"/>
        <v>CALEB</v>
      </c>
      <c r="C4288" t="str">
        <f t="shared" si="1570"/>
        <v>DERVISTE</v>
      </c>
      <c r="D4288" t="str">
        <f t="shared" si="1567"/>
        <v>09</v>
      </c>
      <c r="E4288" t="str">
        <f>"08 - B - 102 - Josiah I Lacy"</f>
        <v>08 - B - 102 - Josiah I Lacy</v>
      </c>
      <c r="F4288" t="str">
        <f>"ANAT PHYSIO HON"</f>
        <v>ANAT PHYSIO HON</v>
      </c>
      <c r="G4288" t="str">
        <f>"08-801"</f>
        <v>08-801</v>
      </c>
      <c r="H4288" t="str">
        <f>"B"</f>
        <v>B</v>
      </c>
    </row>
    <row r="4289" spans="1:8" x14ac:dyDescent="0.2">
      <c r="A4289" t="str">
        <f t="shared" ref="A4289:A4296" si="1571">"0613078559"</f>
        <v>0613078559</v>
      </c>
      <c r="B4289" t="str">
        <f t="shared" ref="B4289:B4296" si="1572">"GRIFFINN"</f>
        <v>GRIFFINN</v>
      </c>
      <c r="C4289" t="str">
        <f t="shared" ref="C4289:C4304" si="1573">"DESHIELDS"</f>
        <v>DESHIELDS</v>
      </c>
      <c r="D4289">
        <f>11</f>
        <v>11</v>
      </c>
      <c r="E4289" t="str">
        <f>"04 - S1 - A - 104 - Richard E Dunbar Iii"</f>
        <v>04 - S1 - A - 104 - Richard E Dunbar Iii</v>
      </c>
      <c r="F4289" t="str">
        <f>"WEIGHT TRAIN 1"</f>
        <v>WEIGHT TRAIN 1</v>
      </c>
      <c r="G4289" t="str">
        <f>"05-501"</f>
        <v>05-501</v>
      </c>
      <c r="H4289" t="str">
        <f>"A"</f>
        <v>A</v>
      </c>
    </row>
    <row r="4290" spans="1:8" x14ac:dyDescent="0.2">
      <c r="A4290" t="str">
        <f t="shared" si="1571"/>
        <v>0613078559</v>
      </c>
      <c r="B4290" t="str">
        <f t="shared" si="1572"/>
        <v>GRIFFINN</v>
      </c>
      <c r="C4290" t="str">
        <f t="shared" si="1573"/>
        <v>DESHIELDS</v>
      </c>
      <c r="D4290">
        <f>11</f>
        <v>11</v>
      </c>
      <c r="E4290" t="str">
        <f>"06 - B - 206 - Jacqueline R Morphet"</f>
        <v>06 - B - 206 - Jacqueline R Morphet</v>
      </c>
      <c r="F4290" t="str">
        <f>"PHYSICS 1 HON"</f>
        <v>PHYSICS 1 HON</v>
      </c>
      <c r="G4290" t="str">
        <f>"21-2138"</f>
        <v>21-2138</v>
      </c>
      <c r="H4290" t="str">
        <f>"B"</f>
        <v>B</v>
      </c>
    </row>
    <row r="4291" spans="1:8" x14ac:dyDescent="0.2">
      <c r="A4291" t="str">
        <f t="shared" si="1571"/>
        <v>0613078559</v>
      </c>
      <c r="B4291" t="str">
        <f t="shared" si="1572"/>
        <v>GRIFFINN</v>
      </c>
      <c r="C4291" t="str">
        <f t="shared" si="1573"/>
        <v>DESHIELDS</v>
      </c>
      <c r="D4291">
        <f>11</f>
        <v>11</v>
      </c>
      <c r="E4291" t="str">
        <f>"03 - A - 102 - Thomas G Handwerg"</f>
        <v>03 - A - 102 - Thomas G Handwerg</v>
      </c>
      <c r="F4291" t="str">
        <f>"MATH COLL ALGEBRA"</f>
        <v>MATH COLL ALGEBRA</v>
      </c>
      <c r="G4291" t="str">
        <f>"21-2146"</f>
        <v>21-2146</v>
      </c>
      <c r="H4291" t="str">
        <f>"A"</f>
        <v>A</v>
      </c>
    </row>
    <row r="4292" spans="1:8" x14ac:dyDescent="0.2">
      <c r="A4292" t="str">
        <f t="shared" si="1571"/>
        <v>0613078559</v>
      </c>
      <c r="B4292" t="str">
        <f t="shared" si="1572"/>
        <v>GRIFFINN</v>
      </c>
      <c r="C4292" t="str">
        <f t="shared" si="1573"/>
        <v>DESHIELDS</v>
      </c>
      <c r="D4292">
        <f>11</f>
        <v>11</v>
      </c>
      <c r="E4292" t="str">
        <f>"02 - A - 114 - Eva T Rimmer"</f>
        <v>02 - A - 114 - Eva T Rimmer</v>
      </c>
      <c r="F4292" t="str">
        <f>"NC STUDY HALL 1"</f>
        <v>NC STUDY HALL 1</v>
      </c>
      <c r="G4292" t="str">
        <f>"05-523"</f>
        <v>05-523</v>
      </c>
      <c r="H4292" t="str">
        <f>"A"</f>
        <v>A</v>
      </c>
    </row>
    <row r="4293" spans="1:8" x14ac:dyDescent="0.2">
      <c r="A4293" t="str">
        <f t="shared" si="1571"/>
        <v>0613078559</v>
      </c>
      <c r="B4293" t="str">
        <f t="shared" si="1572"/>
        <v>GRIFFINN</v>
      </c>
      <c r="C4293" t="str">
        <f t="shared" si="1573"/>
        <v>DESHIELDS</v>
      </c>
      <c r="D4293">
        <f>11</f>
        <v>11</v>
      </c>
      <c r="E4293" t="str">
        <f>"07 - B - 102 - Timothy J Lawrence"</f>
        <v>07 - B - 102 - Timothy J Lawrence</v>
      </c>
      <c r="F4293" t="str">
        <f>"AICE PHYS ED 1 AS"</f>
        <v>AICE PHYS ED 1 AS</v>
      </c>
      <c r="G4293" t="str">
        <f>"05-523"</f>
        <v>05-523</v>
      </c>
      <c r="H4293" t="str">
        <f>"B"</f>
        <v>B</v>
      </c>
    </row>
    <row r="4294" spans="1:8" x14ac:dyDescent="0.2">
      <c r="A4294" t="str">
        <f t="shared" si="1571"/>
        <v>0613078559</v>
      </c>
      <c r="B4294" t="str">
        <f t="shared" si="1572"/>
        <v>GRIFFINN</v>
      </c>
      <c r="C4294" t="str">
        <f t="shared" si="1573"/>
        <v>DESHIELDS</v>
      </c>
      <c r="D4294">
        <f>11</f>
        <v>11</v>
      </c>
      <c r="E4294" t="str">
        <f>"05 - B - 203 - Chrystina M Marchionne"</f>
        <v>05 - B - 203 - Chrystina M Marchionne</v>
      </c>
      <c r="F4294" t="str">
        <f>"AICE MEDIASTUDIES AS"</f>
        <v>AICE MEDIASTUDIES AS</v>
      </c>
      <c r="G4294" t="str">
        <f>"05-520"</f>
        <v>05-520</v>
      </c>
      <c r="H4294" t="str">
        <f>"B"</f>
        <v>B</v>
      </c>
    </row>
    <row r="4295" spans="1:8" x14ac:dyDescent="0.2">
      <c r="A4295" t="str">
        <f t="shared" si="1571"/>
        <v>0613078559</v>
      </c>
      <c r="B4295" t="str">
        <f t="shared" si="1572"/>
        <v>GRIFFINN</v>
      </c>
      <c r="C4295" t="str">
        <f t="shared" si="1573"/>
        <v>DESHIELDS</v>
      </c>
      <c r="D4295">
        <f>11</f>
        <v>11</v>
      </c>
      <c r="E4295" t="str">
        <f>"01 - A - 101 - Brandy N Zdenek"</f>
        <v>01 - A - 101 - Brandy N Zdenek</v>
      </c>
      <c r="F4295" t="str">
        <f>"AICE ENG LANG 2 AL"</f>
        <v>AICE ENG LANG 2 AL</v>
      </c>
      <c r="G4295" t="str">
        <f>"17-1704"</f>
        <v>17-1704</v>
      </c>
      <c r="H4295" t="str">
        <f>"A"</f>
        <v>A</v>
      </c>
    </row>
    <row r="4296" spans="1:8" x14ac:dyDescent="0.2">
      <c r="A4296" t="str">
        <f t="shared" si="1571"/>
        <v>0613078559</v>
      </c>
      <c r="B4296" t="str">
        <f t="shared" si="1572"/>
        <v>GRIFFINN</v>
      </c>
      <c r="C4296" t="str">
        <f t="shared" si="1573"/>
        <v>DESHIELDS</v>
      </c>
      <c r="D4296">
        <f>11</f>
        <v>11</v>
      </c>
      <c r="E4296" t="str">
        <f>"08 - B - 001 - Jerry S Jiampetti"</f>
        <v>08 - B - 001 - Jerry S Jiampetti</v>
      </c>
      <c r="F4296" t="str">
        <f>"AICE U.S. HIST 1 AS"</f>
        <v>AICE U.S. HIST 1 AS</v>
      </c>
      <c r="G4296" t="str">
        <f>"17-1751"</f>
        <v>17-1751</v>
      </c>
      <c r="H4296" t="str">
        <f>"B"</f>
        <v>B</v>
      </c>
    </row>
    <row r="4297" spans="1:8" x14ac:dyDescent="0.2">
      <c r="A4297" t="str">
        <f t="shared" ref="A4297:A4304" si="1574">"0615147778"</f>
        <v>0615147778</v>
      </c>
      <c r="B4297" t="str">
        <f t="shared" ref="B4297:B4304" si="1575">"SAWYER"</f>
        <v>SAWYER</v>
      </c>
      <c r="C4297" t="str">
        <f t="shared" si="1573"/>
        <v>DESHIELDS</v>
      </c>
      <c r="D4297" t="str">
        <f t="shared" ref="D4297:D4304" si="1576">"09"</f>
        <v>09</v>
      </c>
      <c r="E4297" t="str">
        <f>"04 - A - 102 - Elizabeth R Walker"</f>
        <v>04 - A - 102 - Elizabeth R Walker</v>
      </c>
      <c r="F4297" t="str">
        <f>"AICE ENG GEN PAPER 1"</f>
        <v>AICE ENG GEN PAPER 1</v>
      </c>
      <c r="G4297" t="str">
        <f>"17-1703"</f>
        <v>17-1703</v>
      </c>
      <c r="H4297" t="str">
        <f>"A"</f>
        <v>A</v>
      </c>
    </row>
    <row r="4298" spans="1:8" x14ac:dyDescent="0.2">
      <c r="A4298" t="str">
        <f t="shared" si="1574"/>
        <v>0615147778</v>
      </c>
      <c r="B4298" t="str">
        <f t="shared" si="1575"/>
        <v>SAWYER</v>
      </c>
      <c r="C4298" t="str">
        <f t="shared" si="1573"/>
        <v>DESHIELDS</v>
      </c>
      <c r="D4298" t="str">
        <f t="shared" si="1576"/>
        <v>09</v>
      </c>
      <c r="E4298" t="str">
        <f>"06 - B - 104 - Lytrell T Dixon"</f>
        <v>06 - B - 104 - Lytrell T Dixon</v>
      </c>
      <c r="F4298" t="str">
        <f>"PRE-AICE BIO IG"</f>
        <v>PRE-AICE BIO IG</v>
      </c>
      <c r="G4298" t="str">
        <f>"08-808"</f>
        <v>08-808</v>
      </c>
      <c r="H4298" t="str">
        <f>"B"</f>
        <v>B</v>
      </c>
    </row>
    <row r="4299" spans="1:8" x14ac:dyDescent="0.2">
      <c r="A4299" t="str">
        <f t="shared" si="1574"/>
        <v>0615147778</v>
      </c>
      <c r="B4299" t="str">
        <f t="shared" si="1575"/>
        <v>SAWYER</v>
      </c>
      <c r="C4299" t="str">
        <f t="shared" si="1573"/>
        <v>DESHIELDS</v>
      </c>
      <c r="D4299" t="str">
        <f t="shared" si="1576"/>
        <v>09</v>
      </c>
      <c r="E4299" t="str">
        <f>"03 - A - 001 - Maried P Ramos"</f>
        <v>03 - A - 001 - Maried P Ramos</v>
      </c>
      <c r="F4299" t="str">
        <f>"PRE-AICE MATH 2 IG"</f>
        <v>PRE-AICE MATH 2 IG</v>
      </c>
      <c r="G4299" t="str">
        <f>"21-2159"</f>
        <v>21-2159</v>
      </c>
      <c r="H4299" t="str">
        <f>"A"</f>
        <v>A</v>
      </c>
    </row>
    <row r="4300" spans="1:8" x14ac:dyDescent="0.2">
      <c r="A4300" t="str">
        <f t="shared" si="1574"/>
        <v>0615147778</v>
      </c>
      <c r="B4300" t="str">
        <f t="shared" si="1575"/>
        <v>SAWYER</v>
      </c>
      <c r="C4300" t="str">
        <f t="shared" si="1573"/>
        <v>DESHIELDS</v>
      </c>
      <c r="D4300" t="str">
        <f t="shared" si="1576"/>
        <v>09</v>
      </c>
      <c r="E4300" t="str">
        <f>"02 - A - 113 - Amy Beth  Broyles"</f>
        <v>02 - A - 113 - Amy Beth  Broyles</v>
      </c>
      <c r="F4300" t="str">
        <f>"NC STUDY HALL 1"</f>
        <v>NC STUDY HALL 1</v>
      </c>
      <c r="G4300" t="str">
        <f>"08-802"</f>
        <v>08-802</v>
      </c>
      <c r="H4300" t="str">
        <f>"A"</f>
        <v>A</v>
      </c>
    </row>
    <row r="4301" spans="1:8" x14ac:dyDescent="0.2">
      <c r="A4301" t="str">
        <f t="shared" si="1574"/>
        <v>0615147778</v>
      </c>
      <c r="B4301" t="str">
        <f t="shared" si="1575"/>
        <v>SAWYER</v>
      </c>
      <c r="C4301" t="str">
        <f t="shared" si="1573"/>
        <v>DESHIELDS</v>
      </c>
      <c r="D4301" t="str">
        <f t="shared" si="1576"/>
        <v>09</v>
      </c>
      <c r="E4301" t="str">
        <f>"07 - B - 101 - Jeanne M Bermudez"</f>
        <v>07 - B - 101 - Jeanne M Bermudez</v>
      </c>
      <c r="F4301" t="str">
        <f>"FOUND OF PROGRAM HON"</f>
        <v>FOUND OF PROGRAM HON</v>
      </c>
      <c r="G4301" t="str">
        <f>"21-2141"</f>
        <v>21-2141</v>
      </c>
      <c r="H4301" t="str">
        <f>"B"</f>
        <v>B</v>
      </c>
    </row>
    <row r="4302" spans="1:8" x14ac:dyDescent="0.2">
      <c r="A4302" t="str">
        <f t="shared" si="1574"/>
        <v>0615147778</v>
      </c>
      <c r="B4302" t="str">
        <f t="shared" si="1575"/>
        <v>SAWYER</v>
      </c>
      <c r="C4302" t="str">
        <f t="shared" si="1573"/>
        <v>DESHIELDS</v>
      </c>
      <c r="D4302" t="str">
        <f t="shared" si="1576"/>
        <v>09</v>
      </c>
      <c r="E4302" t="str">
        <f>"05 - B - 001 - Kelly N Panza"</f>
        <v>05 - B - 001 - Kelly N Panza</v>
      </c>
      <c r="F4302" t="str">
        <f>"AICE GLBL PERSP 1 AS"</f>
        <v>AICE GLBL PERSP 1 AS</v>
      </c>
      <c r="G4302" t="str">
        <f>"17-1753"</f>
        <v>17-1753</v>
      </c>
      <c r="H4302" t="str">
        <f>"B"</f>
        <v>B</v>
      </c>
    </row>
    <row r="4303" spans="1:8" x14ac:dyDescent="0.2">
      <c r="A4303" t="str">
        <f t="shared" si="1574"/>
        <v>0615147778</v>
      </c>
      <c r="B4303" t="str">
        <f t="shared" si="1575"/>
        <v>SAWYER</v>
      </c>
      <c r="C4303" t="str">
        <f t="shared" si="1573"/>
        <v>DESHIELDS</v>
      </c>
      <c r="D4303" t="str">
        <f t="shared" si="1576"/>
        <v>09</v>
      </c>
      <c r="E4303" t="str">
        <f>"01 - A - 101 - Byron G Montenegro"</f>
        <v>01 - A - 101 - Byron G Montenegro</v>
      </c>
      <c r="F4303" t="str">
        <f>"AICE MARINE SCI 1 AS"</f>
        <v>AICE MARINE SCI 1 AS</v>
      </c>
      <c r="G4303" t="str">
        <f>"21-2144"</f>
        <v>21-2144</v>
      </c>
      <c r="H4303" t="str">
        <f>"A"</f>
        <v>A</v>
      </c>
    </row>
    <row r="4304" spans="1:8" x14ac:dyDescent="0.2">
      <c r="A4304" t="str">
        <f t="shared" si="1574"/>
        <v>0615147778</v>
      </c>
      <c r="B4304" t="str">
        <f t="shared" si="1575"/>
        <v>SAWYER</v>
      </c>
      <c r="C4304" t="str">
        <f t="shared" si="1573"/>
        <v>DESHIELDS</v>
      </c>
      <c r="D4304" t="str">
        <f t="shared" si="1576"/>
        <v>09</v>
      </c>
      <c r="E4304" t="str">
        <f>"08 - B - 001 - Chrystina M Marchionne"</f>
        <v>08 - B - 001 - Chrystina M Marchionne</v>
      </c>
      <c r="F4304" t="str">
        <f>"JOURN 1 (YB) LH"</f>
        <v>JOURN 1 (YB) LH</v>
      </c>
      <c r="G4304" t="str">
        <f>"05-520"</f>
        <v>05-520</v>
      </c>
      <c r="H4304" t="str">
        <f>"B"</f>
        <v>B</v>
      </c>
    </row>
    <row r="4305" spans="1:8" x14ac:dyDescent="0.2">
      <c r="A4305" t="str">
        <f t="shared" ref="A4305:A4312" si="1577">"0615015274"</f>
        <v>0615015274</v>
      </c>
      <c r="B4305" t="str">
        <f t="shared" ref="B4305:B4312" si="1578">"OCEANO"</f>
        <v>OCEANO</v>
      </c>
      <c r="C4305" t="str">
        <f t="shared" ref="C4305:C4312" si="1579">"DESIDERIO"</f>
        <v>DESIDERIO</v>
      </c>
      <c r="D4305">
        <f>11</f>
        <v>11</v>
      </c>
      <c r="E4305" t="str">
        <f>"04 - A - 102 - Jordana K Hass"</f>
        <v>04 - A - 102 - Jordana K Hass</v>
      </c>
      <c r="F4305" t="str">
        <f>"CHEMISTRY 1"</f>
        <v>CHEMISTRY 1</v>
      </c>
      <c r="G4305" t="str">
        <f>"08-807"</f>
        <v>08-807</v>
      </c>
      <c r="H4305" t="str">
        <f>"A"</f>
        <v>A</v>
      </c>
    </row>
    <row r="4306" spans="1:8" x14ac:dyDescent="0.2">
      <c r="A4306" t="str">
        <f t="shared" si="1577"/>
        <v>0615015274</v>
      </c>
      <c r="B4306" t="str">
        <f t="shared" si="1578"/>
        <v>OCEANO</v>
      </c>
      <c r="C4306" t="str">
        <f t="shared" si="1579"/>
        <v>DESIDERIO</v>
      </c>
      <c r="D4306">
        <f>11</f>
        <v>11</v>
      </c>
      <c r="E4306" t="str">
        <f>"06 - B - 202 - Brian M Fitzgerald"</f>
        <v>06 - B - 202 - Brian M Fitzgerald</v>
      </c>
      <c r="F4306" t="str">
        <f>"DRAW 1"</f>
        <v>DRAW 1</v>
      </c>
      <c r="G4306" t="str">
        <f>"09-908"</f>
        <v>09-908</v>
      </c>
      <c r="H4306" t="str">
        <f>"B"</f>
        <v>B</v>
      </c>
    </row>
    <row r="4307" spans="1:8" x14ac:dyDescent="0.2">
      <c r="A4307" t="str">
        <f t="shared" si="1577"/>
        <v>0615015274</v>
      </c>
      <c r="B4307" t="str">
        <f t="shared" si="1578"/>
        <v>OCEANO</v>
      </c>
      <c r="C4307" t="str">
        <f t="shared" si="1579"/>
        <v>DESIDERIO</v>
      </c>
      <c r="D4307">
        <f>11</f>
        <v>11</v>
      </c>
      <c r="E4307" t="str">
        <f>"03 - A - 102 - Nahum  Saint-Preux"</f>
        <v>03 - A - 102 - Nahum  Saint-Preux</v>
      </c>
      <c r="F4307" t="str">
        <f>"INTENS READ 3"</f>
        <v>INTENS READ 3</v>
      </c>
      <c r="G4307" t="str">
        <f>"17-1712"</f>
        <v>17-1712</v>
      </c>
      <c r="H4307" t="str">
        <f>"A"</f>
        <v>A</v>
      </c>
    </row>
    <row r="4308" spans="1:8" x14ac:dyDescent="0.2">
      <c r="A4308" t="str">
        <f t="shared" si="1577"/>
        <v>0615015274</v>
      </c>
      <c r="B4308" t="str">
        <f t="shared" si="1578"/>
        <v>OCEANO</v>
      </c>
      <c r="C4308" t="str">
        <f t="shared" si="1579"/>
        <v>DESIDERIO</v>
      </c>
      <c r="D4308">
        <f>11</f>
        <v>11</v>
      </c>
      <c r="E4308" t="str">
        <f>"02 - A - 112 - Brandy N Zdenek"</f>
        <v>02 - A - 112 - Brandy N Zdenek</v>
      </c>
      <c r="F4308" t="str">
        <f>"NC STUDY HALL 1"</f>
        <v>NC STUDY HALL 1</v>
      </c>
      <c r="G4308" t="str">
        <f>"17-1704"</f>
        <v>17-1704</v>
      </c>
      <c r="H4308" t="str">
        <f>"A"</f>
        <v>A</v>
      </c>
    </row>
    <row r="4309" spans="1:8" x14ac:dyDescent="0.2">
      <c r="A4309" t="str">
        <f t="shared" si="1577"/>
        <v>0615015274</v>
      </c>
      <c r="B4309" t="str">
        <f t="shared" si="1578"/>
        <v>OCEANO</v>
      </c>
      <c r="C4309" t="str">
        <f t="shared" si="1579"/>
        <v>DESIDERIO</v>
      </c>
      <c r="D4309">
        <f>11</f>
        <v>11</v>
      </c>
      <c r="E4309" t="str">
        <f>"07 - B - 108 - Lauren N Logan"</f>
        <v>07 - B - 108 - Lauren N Logan</v>
      </c>
      <c r="F4309" t="str">
        <f>"US HISTORY"</f>
        <v>US HISTORY</v>
      </c>
      <c r="G4309" t="str">
        <f>"17-1745"</f>
        <v>17-1745</v>
      </c>
      <c r="H4309" t="str">
        <f>"B"</f>
        <v>B</v>
      </c>
    </row>
    <row r="4310" spans="1:8" x14ac:dyDescent="0.2">
      <c r="A4310" t="str">
        <f t="shared" si="1577"/>
        <v>0615015274</v>
      </c>
      <c r="B4310" t="str">
        <f t="shared" si="1578"/>
        <v>OCEANO</v>
      </c>
      <c r="C4310" t="str">
        <f t="shared" si="1579"/>
        <v>DESIDERIO</v>
      </c>
      <c r="D4310">
        <f>11</f>
        <v>11</v>
      </c>
      <c r="E4310" t="str">
        <f>"05 - B - 103 - Heidi M Knopp"</f>
        <v>05 - B - 103 - Heidi M Knopp</v>
      </c>
      <c r="F4310" t="str">
        <f>"ENG HON 3"</f>
        <v>ENG HON 3</v>
      </c>
      <c r="G4310" t="str">
        <f>"17-1723"</f>
        <v>17-1723</v>
      </c>
      <c r="H4310" t="str">
        <f>"B"</f>
        <v>B</v>
      </c>
    </row>
    <row r="4311" spans="1:8" x14ac:dyDescent="0.2">
      <c r="A4311" t="str">
        <f t="shared" si="1577"/>
        <v>0615015274</v>
      </c>
      <c r="B4311" t="str">
        <f t="shared" si="1578"/>
        <v>OCEANO</v>
      </c>
      <c r="C4311" t="str">
        <f t="shared" si="1579"/>
        <v>DESIDERIO</v>
      </c>
      <c r="D4311">
        <f>11</f>
        <v>11</v>
      </c>
      <c r="E4311" t="str">
        <f>"01 - A - 108 - Rosa Elaine  Collado-Duff"</f>
        <v>01 - A - 108 - Rosa Elaine  Collado-Duff</v>
      </c>
      <c r="F4311" t="str">
        <f>"PRE-AICE SPAN 2 IG"</f>
        <v>PRE-AICE SPAN 2 IG</v>
      </c>
      <c r="G4311" t="str">
        <f>"09-913"</f>
        <v>09-913</v>
      </c>
      <c r="H4311" t="str">
        <f>"A"</f>
        <v>A</v>
      </c>
    </row>
    <row r="4312" spans="1:8" x14ac:dyDescent="0.2">
      <c r="A4312" t="str">
        <f t="shared" si="1577"/>
        <v>0615015274</v>
      </c>
      <c r="B4312" t="str">
        <f t="shared" si="1578"/>
        <v>OCEANO</v>
      </c>
      <c r="C4312" t="str">
        <f t="shared" si="1579"/>
        <v>DESIDERIO</v>
      </c>
      <c r="D4312">
        <f>11</f>
        <v>11</v>
      </c>
      <c r="E4312" t="str">
        <f>"08 - B - 107 - Dayna M Foster"</f>
        <v>08 - B - 107 - Dayna M Foster</v>
      </c>
      <c r="F4312" t="str">
        <f>"ALGEBRA 2"</f>
        <v>ALGEBRA 2</v>
      </c>
      <c r="G4312" t="str">
        <f>"21-2109"</f>
        <v>21-2109</v>
      </c>
      <c r="H4312" t="str">
        <f>"B"</f>
        <v>B</v>
      </c>
    </row>
    <row r="4313" spans="1:8" x14ac:dyDescent="0.2">
      <c r="A4313" t="str">
        <f t="shared" ref="A4313:A4320" si="1580">"0624074373"</f>
        <v>0624074373</v>
      </c>
      <c r="B4313" t="str">
        <f t="shared" ref="B4313:B4320" si="1581">"ALBERTH"</f>
        <v>ALBERTH</v>
      </c>
      <c r="C4313" t="str">
        <f t="shared" ref="C4313:C4320" si="1582">"DE SOUSA"</f>
        <v>DE SOUSA</v>
      </c>
      <c r="D4313">
        <f>10</f>
        <v>10</v>
      </c>
      <c r="E4313" t="str">
        <f>"04 - A - 104 - Nikiel  Nesbeth"</f>
        <v>04 - A - 104 - Nikiel  Nesbeth</v>
      </c>
      <c r="F4313" t="str">
        <f>"ENG 2"</f>
        <v>ENG 2</v>
      </c>
      <c r="G4313" t="str">
        <f>"17-1705"</f>
        <v>17-1705</v>
      </c>
      <c r="H4313" t="str">
        <f>"A"</f>
        <v>A</v>
      </c>
    </row>
    <row r="4314" spans="1:8" x14ac:dyDescent="0.2">
      <c r="A4314" t="str">
        <f t="shared" si="1580"/>
        <v>0624074373</v>
      </c>
      <c r="B4314" t="str">
        <f t="shared" si="1581"/>
        <v>ALBERTH</v>
      </c>
      <c r="C4314" t="str">
        <f t="shared" si="1582"/>
        <v>DE SOUSA</v>
      </c>
      <c r="D4314">
        <f>10</f>
        <v>10</v>
      </c>
      <c r="E4314" t="str">
        <f>"06 - B - 103 - Vanessa J Liburd"</f>
        <v>06 - B - 103 - Vanessa J Liburd</v>
      </c>
      <c r="F4314" t="str">
        <f>"NC STUDY HALL 1"</f>
        <v>NC STUDY HALL 1</v>
      </c>
      <c r="G4314" t="str">
        <f>"05-519"</f>
        <v>05-519</v>
      </c>
      <c r="H4314" t="str">
        <f>"B"</f>
        <v>B</v>
      </c>
    </row>
    <row r="4315" spans="1:8" x14ac:dyDescent="0.2">
      <c r="A4315" t="str">
        <f t="shared" si="1580"/>
        <v>0624074373</v>
      </c>
      <c r="B4315" t="str">
        <f t="shared" si="1581"/>
        <v>ALBERTH</v>
      </c>
      <c r="C4315" t="str">
        <f t="shared" si="1582"/>
        <v>DE SOUSA</v>
      </c>
      <c r="D4315">
        <f>10</f>
        <v>10</v>
      </c>
      <c r="E4315" t="str">
        <f>"03 - A - 105 - Elizabeth Ellen  Moran"</f>
        <v>03 - A - 105 - Elizabeth Ellen  Moran</v>
      </c>
      <c r="F4315" t="str">
        <f>"WORLD HISTORY"</f>
        <v>WORLD HISTORY</v>
      </c>
      <c r="G4315" t="str">
        <f>"17-1752"</f>
        <v>17-1752</v>
      </c>
      <c r="H4315" t="str">
        <f>"A"</f>
        <v>A</v>
      </c>
    </row>
    <row r="4316" spans="1:8" x14ac:dyDescent="0.2">
      <c r="A4316" t="str">
        <f t="shared" si="1580"/>
        <v>0624074373</v>
      </c>
      <c r="B4316" t="str">
        <f t="shared" si="1581"/>
        <v>ALBERTH</v>
      </c>
      <c r="C4316" t="str">
        <f t="shared" si="1582"/>
        <v>DE SOUSA</v>
      </c>
      <c r="D4316">
        <f>10</f>
        <v>10</v>
      </c>
      <c r="E4316" t="str">
        <f>"02 - A - 202 - Daniel S Tyson"</f>
        <v>02 - A - 202 - Daniel S Tyson</v>
      </c>
      <c r="F4316" t="str">
        <f>"JROTC NAVAL SCI 2"</f>
        <v>JROTC NAVAL SCI 2</v>
      </c>
      <c r="G4316" t="str">
        <f>"05-510"</f>
        <v>05-510</v>
      </c>
      <c r="H4316" t="str">
        <f>"A"</f>
        <v>A</v>
      </c>
    </row>
    <row r="4317" spans="1:8" x14ac:dyDescent="0.2">
      <c r="A4317" t="str">
        <f t="shared" si="1580"/>
        <v>0624074373</v>
      </c>
      <c r="B4317" t="str">
        <f t="shared" si="1581"/>
        <v>ALBERTH</v>
      </c>
      <c r="C4317" t="str">
        <f t="shared" si="1582"/>
        <v>DE SOUSA</v>
      </c>
      <c r="D4317">
        <f>10</f>
        <v>10</v>
      </c>
      <c r="E4317" t="str">
        <f>"07 - B - 106 - Dayna M Foster"</f>
        <v>07 - B - 106 - Dayna M Foster</v>
      </c>
      <c r="F4317" t="str">
        <f>"FDN SKLS MATH 9-12"</f>
        <v>FDN SKLS MATH 9-12</v>
      </c>
      <c r="G4317" t="str">
        <f>"21-2109"</f>
        <v>21-2109</v>
      </c>
      <c r="H4317" t="str">
        <f>"B"</f>
        <v>B</v>
      </c>
    </row>
    <row r="4318" spans="1:8" x14ac:dyDescent="0.2">
      <c r="A4318" t="str">
        <f t="shared" si="1580"/>
        <v>0624074373</v>
      </c>
      <c r="B4318" t="str">
        <f t="shared" si="1581"/>
        <v>ALBERTH</v>
      </c>
      <c r="C4318" t="str">
        <f t="shared" si="1582"/>
        <v>DE SOUSA</v>
      </c>
      <c r="D4318">
        <f>10</f>
        <v>10</v>
      </c>
      <c r="E4318" t="str">
        <f>"05 - B - 102 - Vanessa J Pena"</f>
        <v>05 - B - 102 - Vanessa J Pena</v>
      </c>
      <c r="F4318" t="str">
        <f>"DEV LANG ARTS ESOL-R"</f>
        <v>DEV LANG ARTS ESOL-R</v>
      </c>
      <c r="G4318" t="str">
        <f>"09-926"</f>
        <v>09-926</v>
      </c>
      <c r="H4318" t="str">
        <f>"B"</f>
        <v>B</v>
      </c>
    </row>
    <row r="4319" spans="1:8" x14ac:dyDescent="0.2">
      <c r="A4319" t="str">
        <f t="shared" si="1580"/>
        <v>0624074373</v>
      </c>
      <c r="B4319" t="str">
        <f t="shared" si="1581"/>
        <v>ALBERTH</v>
      </c>
      <c r="C4319" t="str">
        <f t="shared" si="1582"/>
        <v>DE SOUSA</v>
      </c>
      <c r="D4319">
        <f>10</f>
        <v>10</v>
      </c>
      <c r="E4319" t="str">
        <f>"01 - A - 108 - Dayna M Foster"</f>
        <v>01 - A - 108 - Dayna M Foster</v>
      </c>
      <c r="F4319" t="str">
        <f>"ALGEBRA 1"</f>
        <v>ALGEBRA 1</v>
      </c>
      <c r="G4319" t="str">
        <f>"21-2109"</f>
        <v>21-2109</v>
      </c>
      <c r="H4319" t="str">
        <f>"A"</f>
        <v>A</v>
      </c>
    </row>
    <row r="4320" spans="1:8" x14ac:dyDescent="0.2">
      <c r="A4320" t="str">
        <f t="shared" si="1580"/>
        <v>0624074373</v>
      </c>
      <c r="B4320" t="str">
        <f t="shared" si="1581"/>
        <v>ALBERTH</v>
      </c>
      <c r="C4320" t="str">
        <f t="shared" si="1582"/>
        <v>DE SOUSA</v>
      </c>
      <c r="D4320">
        <f>10</f>
        <v>10</v>
      </c>
      <c r="E4320" t="str">
        <f>"08 - B - 001 - Lytrell T Dixon"</f>
        <v>08 - B - 001 - Lytrell T Dixon</v>
      </c>
      <c r="F4320" t="str">
        <f>"BIOLOGY 1"</f>
        <v>BIOLOGY 1</v>
      </c>
      <c r="G4320" t="str">
        <f>"08-808"</f>
        <v>08-808</v>
      </c>
      <c r="H4320" t="str">
        <f>"B"</f>
        <v>B</v>
      </c>
    </row>
    <row r="4321" spans="1:8" x14ac:dyDescent="0.2">
      <c r="A4321" t="str">
        <f t="shared" ref="A4321:A4328" si="1583">"0616087550"</f>
        <v>0616087550</v>
      </c>
      <c r="B4321" t="str">
        <f t="shared" ref="B4321:B4328" si="1584">"BRANDON"</f>
        <v>BRANDON</v>
      </c>
      <c r="C4321" t="str">
        <f t="shared" ref="C4321:C4328" si="1585">"DESTIN"</f>
        <v>DESTIN</v>
      </c>
      <c r="D4321">
        <f>10</f>
        <v>10</v>
      </c>
      <c r="E4321" t="str">
        <f>"04 - S1 - A - 101 - Kyle  Robbins"</f>
        <v>04 - S1 - A - 101 - Kyle  Robbins</v>
      </c>
      <c r="F4321" t="str">
        <f>"PERS FIN &amp; MON MGT H"</f>
        <v>PERS FIN &amp; MON MGT H</v>
      </c>
      <c r="G4321" t="str">
        <f>"17-1745"</f>
        <v>17-1745</v>
      </c>
      <c r="H4321" t="str">
        <f>"A"</f>
        <v>A</v>
      </c>
    </row>
    <row r="4322" spans="1:8" x14ac:dyDescent="0.2">
      <c r="A4322" t="str">
        <f t="shared" si="1583"/>
        <v>0616087550</v>
      </c>
      <c r="B4322" t="str">
        <f t="shared" si="1584"/>
        <v>BRANDON</v>
      </c>
      <c r="C4322" t="str">
        <f t="shared" si="1585"/>
        <v>DESTIN</v>
      </c>
      <c r="D4322">
        <f>10</f>
        <v>10</v>
      </c>
      <c r="E4322" t="str">
        <f>"06 - B - 118 - Jeanne M Bermudez"</f>
        <v>06 - B - 118 - Jeanne M Bermudez</v>
      </c>
      <c r="F4322" t="str">
        <f>"NC STUDY HALL 1"</f>
        <v>NC STUDY HALL 1</v>
      </c>
      <c r="G4322" t="str">
        <f>"21-2141"</f>
        <v>21-2141</v>
      </c>
      <c r="H4322" t="str">
        <f>"B"</f>
        <v>B</v>
      </c>
    </row>
    <row r="4323" spans="1:8" x14ac:dyDescent="0.2">
      <c r="A4323" t="str">
        <f t="shared" si="1583"/>
        <v>0616087550</v>
      </c>
      <c r="B4323" t="str">
        <f t="shared" si="1584"/>
        <v>BRANDON</v>
      </c>
      <c r="C4323" t="str">
        <f t="shared" si="1585"/>
        <v>DESTIN</v>
      </c>
      <c r="D4323">
        <f>10</f>
        <v>10</v>
      </c>
      <c r="E4323" t="str">
        <f>"03 - A - 103 - Taraneh C Abreu"</f>
        <v>03 - A - 103 - Taraneh C Abreu</v>
      </c>
      <c r="F4323" t="str">
        <f>"INTENS READ 2"</f>
        <v>INTENS READ 2</v>
      </c>
      <c r="G4323" t="str">
        <f>"17-1713"</f>
        <v>17-1713</v>
      </c>
      <c r="H4323" t="str">
        <f>"A"</f>
        <v>A</v>
      </c>
    </row>
    <row r="4324" spans="1:8" x14ac:dyDescent="0.2">
      <c r="A4324" t="str">
        <f t="shared" si="1583"/>
        <v>0616087550</v>
      </c>
      <c r="B4324" t="str">
        <f t="shared" si="1584"/>
        <v>BRANDON</v>
      </c>
      <c r="C4324" t="str">
        <f t="shared" si="1585"/>
        <v>DESTIN</v>
      </c>
      <c r="D4324">
        <f>10</f>
        <v>10</v>
      </c>
      <c r="E4324" t="str">
        <f>"02 - A - 102 - Marius D Orsolini"</f>
        <v>02 - A - 102 - Marius D Orsolini</v>
      </c>
      <c r="F4324" t="str">
        <f>"CULINARY ARTS 1"</f>
        <v>CULINARY ARTS 1</v>
      </c>
      <c r="G4324" t="str">
        <f>"21-2115"</f>
        <v>21-2115</v>
      </c>
      <c r="H4324" t="str">
        <f>"A"</f>
        <v>A</v>
      </c>
    </row>
    <row r="4325" spans="1:8" x14ac:dyDescent="0.2">
      <c r="A4325" t="str">
        <f t="shared" si="1583"/>
        <v>0616087550</v>
      </c>
      <c r="B4325" t="str">
        <f t="shared" si="1584"/>
        <v>BRANDON</v>
      </c>
      <c r="C4325" t="str">
        <f t="shared" si="1585"/>
        <v>DESTIN</v>
      </c>
      <c r="D4325">
        <f>10</f>
        <v>10</v>
      </c>
      <c r="E4325" t="str">
        <f>"07 - B - 107 - Milca  Exantus"</f>
        <v>07 - B - 107 - Milca  Exantus</v>
      </c>
      <c r="F4325" t="str">
        <f>"MATH COLLEGE LIB ART"</f>
        <v>MATH COLLEGE LIB ART</v>
      </c>
      <c r="G4325" t="str">
        <f>"21-2145"</f>
        <v>21-2145</v>
      </c>
      <c r="H4325" t="str">
        <f>"B"</f>
        <v>B</v>
      </c>
    </row>
    <row r="4326" spans="1:8" x14ac:dyDescent="0.2">
      <c r="A4326" t="str">
        <f t="shared" si="1583"/>
        <v>0616087550</v>
      </c>
      <c r="B4326" t="str">
        <f t="shared" si="1584"/>
        <v>BRANDON</v>
      </c>
      <c r="C4326" t="str">
        <f t="shared" si="1585"/>
        <v>DESTIN</v>
      </c>
      <c r="D4326">
        <f>10</f>
        <v>10</v>
      </c>
      <c r="E4326" t="str">
        <f>"05 - B - 106 - Jacquelyn M Neeson"</f>
        <v>05 - B - 106 - Jacquelyn M Neeson</v>
      </c>
      <c r="F4326" t="str">
        <f>"ENG 2"</f>
        <v>ENG 2</v>
      </c>
      <c r="G4326" t="str">
        <f>"17-1715"</f>
        <v>17-1715</v>
      </c>
      <c r="H4326" t="str">
        <f>"B"</f>
        <v>B</v>
      </c>
    </row>
    <row r="4327" spans="1:8" x14ac:dyDescent="0.2">
      <c r="A4327" t="str">
        <f t="shared" si="1583"/>
        <v>0616087550</v>
      </c>
      <c r="B4327" t="str">
        <f t="shared" si="1584"/>
        <v>BRANDON</v>
      </c>
      <c r="C4327" t="str">
        <f t="shared" si="1585"/>
        <v>DESTIN</v>
      </c>
      <c r="D4327">
        <f>10</f>
        <v>10</v>
      </c>
      <c r="E4327" t="str">
        <f>"01 - A - 101 - Adam Marcus  Drucker"</f>
        <v>01 - A - 101 - Adam Marcus  Drucker</v>
      </c>
      <c r="F4327" t="str">
        <f>"HOPE-PE V"</f>
        <v>HOPE-PE V</v>
      </c>
      <c r="G4327" t="str">
        <f>"04-254"</f>
        <v>04-254</v>
      </c>
      <c r="H4327" t="str">
        <f>"A"</f>
        <v>A</v>
      </c>
    </row>
    <row r="4328" spans="1:8" x14ac:dyDescent="0.2">
      <c r="A4328" t="str">
        <f t="shared" si="1583"/>
        <v>0616087550</v>
      </c>
      <c r="B4328" t="str">
        <f t="shared" si="1584"/>
        <v>BRANDON</v>
      </c>
      <c r="C4328" t="str">
        <f t="shared" si="1585"/>
        <v>DESTIN</v>
      </c>
      <c r="D4328">
        <f>10</f>
        <v>10</v>
      </c>
      <c r="E4328" t="str">
        <f>"08 - B - 001 - Lytrell T Dixon"</f>
        <v>08 - B - 001 - Lytrell T Dixon</v>
      </c>
      <c r="F4328" t="str">
        <f>"BIOLOGY 1"</f>
        <v>BIOLOGY 1</v>
      </c>
      <c r="G4328" t="str">
        <f>"08-808"</f>
        <v>08-808</v>
      </c>
      <c r="H4328" t="str">
        <f>"B"</f>
        <v>B</v>
      </c>
    </row>
    <row r="4329" spans="1:8" x14ac:dyDescent="0.2">
      <c r="A4329" t="str">
        <f t="shared" ref="A4329:A4336" si="1586">"0616120491"</f>
        <v>0616120491</v>
      </c>
      <c r="B4329" t="str">
        <f t="shared" ref="B4329:B4336" si="1587">"DAHANA"</f>
        <v>DAHANA</v>
      </c>
      <c r="C4329" t="str">
        <f t="shared" ref="C4329:C4336" si="1588">"DESTINOBLE"</f>
        <v>DESTINOBLE</v>
      </c>
      <c r="D4329" t="str">
        <f t="shared" ref="D4329:D4336" si="1589">"09"</f>
        <v>09</v>
      </c>
      <c r="E4329" t="str">
        <f>"04 - A - 102 - Byron G Montenegro"</f>
        <v>04 - A - 102 - Byron G Montenegro</v>
      </c>
      <c r="F4329" t="str">
        <f>"AICE MARINE SCI 1 AS"</f>
        <v>AICE MARINE SCI 1 AS</v>
      </c>
      <c r="G4329" t="str">
        <f>"21-2144"</f>
        <v>21-2144</v>
      </c>
      <c r="H4329" t="str">
        <f>"A"</f>
        <v>A</v>
      </c>
    </row>
    <row r="4330" spans="1:8" x14ac:dyDescent="0.2">
      <c r="A4330" t="str">
        <f t="shared" si="1586"/>
        <v>0616120491</v>
      </c>
      <c r="B4330" t="str">
        <f t="shared" si="1587"/>
        <v>DAHANA</v>
      </c>
      <c r="C4330" t="str">
        <f t="shared" si="1588"/>
        <v>DESTINOBLE</v>
      </c>
      <c r="D4330" t="str">
        <f t="shared" si="1589"/>
        <v>09</v>
      </c>
      <c r="E4330" t="str">
        <f>"06 - B - 202 - Brian M Fitzgerald"</f>
        <v>06 - B - 202 - Brian M Fitzgerald</v>
      </c>
      <c r="F4330" t="str">
        <f>"DRAW 1"</f>
        <v>DRAW 1</v>
      </c>
      <c r="G4330" t="str">
        <f>"09-908"</f>
        <v>09-908</v>
      </c>
      <c r="H4330" t="str">
        <f>"B"</f>
        <v>B</v>
      </c>
    </row>
    <row r="4331" spans="1:8" x14ac:dyDescent="0.2">
      <c r="A4331" t="str">
        <f t="shared" si="1586"/>
        <v>0616120491</v>
      </c>
      <c r="B4331" t="str">
        <f t="shared" si="1587"/>
        <v>DAHANA</v>
      </c>
      <c r="C4331" t="str">
        <f t="shared" si="1588"/>
        <v>DESTINOBLE</v>
      </c>
      <c r="D4331" t="str">
        <f t="shared" si="1589"/>
        <v>09</v>
      </c>
      <c r="E4331" t="str">
        <f>"03 - S1 - A - 102 - Leslie J Barton"</f>
        <v>03 - S1 - A - 102 - Leslie J Barton</v>
      </c>
      <c r="F4331" t="str">
        <f>"FIRST AID SAFETY"</f>
        <v>FIRST AID SAFETY</v>
      </c>
      <c r="G4331" t="str">
        <f>"05-521"</f>
        <v>05-521</v>
      </c>
      <c r="H4331" t="str">
        <f>"A"</f>
        <v>A</v>
      </c>
    </row>
    <row r="4332" spans="1:8" x14ac:dyDescent="0.2">
      <c r="A4332" t="str">
        <f t="shared" si="1586"/>
        <v>0616120491</v>
      </c>
      <c r="B4332" t="str">
        <f t="shared" si="1587"/>
        <v>DAHANA</v>
      </c>
      <c r="C4332" t="str">
        <f t="shared" si="1588"/>
        <v>DESTINOBLE</v>
      </c>
      <c r="D4332" t="str">
        <f t="shared" si="1589"/>
        <v>09</v>
      </c>
      <c r="E4332" t="str">
        <f>"02 - A - 102 - Samantha J Headley"</f>
        <v>02 - A - 102 - Samantha J Headley</v>
      </c>
      <c r="F4332" t="str">
        <f>"NC STUDY HALL 1"</f>
        <v>NC STUDY HALL 1</v>
      </c>
      <c r="G4332" t="str">
        <f>"21-2134"</f>
        <v>21-2134</v>
      </c>
      <c r="H4332" t="str">
        <f>"A"</f>
        <v>A</v>
      </c>
    </row>
    <row r="4333" spans="1:8" x14ac:dyDescent="0.2">
      <c r="A4333" t="str">
        <f t="shared" si="1586"/>
        <v>0616120491</v>
      </c>
      <c r="B4333" t="str">
        <f t="shared" si="1587"/>
        <v>DAHANA</v>
      </c>
      <c r="C4333" t="str">
        <f t="shared" si="1588"/>
        <v>DESTINOBLE</v>
      </c>
      <c r="D4333" t="str">
        <f t="shared" si="1589"/>
        <v>09</v>
      </c>
      <c r="E4333" t="str">
        <f>"07 - B - 207 - Krystal Marie  Beruty"</f>
        <v>07 - B - 207 - Krystal Marie  Beruty</v>
      </c>
      <c r="F4333" t="str">
        <f>"AICE GLBL PERSP 1 AS"</f>
        <v>AICE GLBL PERSP 1 AS</v>
      </c>
      <c r="G4333" t="str">
        <f>"17-1721"</f>
        <v>17-1721</v>
      </c>
      <c r="H4333" t="str">
        <f>"B"</f>
        <v>B</v>
      </c>
    </row>
    <row r="4334" spans="1:8" x14ac:dyDescent="0.2">
      <c r="A4334" t="str">
        <f t="shared" si="1586"/>
        <v>0616120491</v>
      </c>
      <c r="B4334" t="str">
        <f t="shared" si="1587"/>
        <v>DAHANA</v>
      </c>
      <c r="C4334" t="str">
        <f t="shared" si="1588"/>
        <v>DESTINOBLE</v>
      </c>
      <c r="D4334" t="str">
        <f t="shared" si="1589"/>
        <v>09</v>
      </c>
      <c r="E4334" t="str">
        <f>"05 - B - 103 - Brook E Goren"</f>
        <v>05 - B - 103 - Brook E Goren</v>
      </c>
      <c r="F4334" t="str">
        <f>"PRE-AICE MATH 2 IG"</f>
        <v>PRE-AICE MATH 2 IG</v>
      </c>
      <c r="G4334" t="str">
        <f>"21-2158"</f>
        <v>21-2158</v>
      </c>
      <c r="H4334" t="str">
        <f>"B"</f>
        <v>B</v>
      </c>
    </row>
    <row r="4335" spans="1:8" x14ac:dyDescent="0.2">
      <c r="A4335" t="str">
        <f t="shared" si="1586"/>
        <v>0616120491</v>
      </c>
      <c r="B4335" t="str">
        <f t="shared" si="1587"/>
        <v>DAHANA</v>
      </c>
      <c r="C4335" t="str">
        <f t="shared" si="1588"/>
        <v>DESTINOBLE</v>
      </c>
      <c r="D4335" t="str">
        <f t="shared" si="1589"/>
        <v>09</v>
      </c>
      <c r="E4335" t="str">
        <f>"01 - A - 101 - Joe  Kilpatrick Jr"</f>
        <v>01 - A - 101 - Joe  Kilpatrick Jr</v>
      </c>
      <c r="F4335" t="str">
        <f>"PRE-AICE SPAN 1 IG"</f>
        <v>PRE-AICE SPAN 1 IG</v>
      </c>
      <c r="G4335" t="str">
        <f>"09-912"</f>
        <v>09-912</v>
      </c>
      <c r="H4335" t="str">
        <f>"A"</f>
        <v>A</v>
      </c>
    </row>
    <row r="4336" spans="1:8" x14ac:dyDescent="0.2">
      <c r="A4336" t="str">
        <f t="shared" si="1586"/>
        <v>0616120491</v>
      </c>
      <c r="B4336" t="str">
        <f t="shared" si="1587"/>
        <v>DAHANA</v>
      </c>
      <c r="C4336" t="str">
        <f t="shared" si="1588"/>
        <v>DESTINOBLE</v>
      </c>
      <c r="D4336" t="str">
        <f t="shared" si="1589"/>
        <v>09</v>
      </c>
      <c r="E4336" t="str">
        <f>"08 - B - 004 - Cheryl Anne  Berman-Schechter"</f>
        <v>08 - B - 004 - Cheryl Anne  Berman-Schechter</v>
      </c>
      <c r="F4336" t="str">
        <f>"AICE ENG GEN PAPER 1"</f>
        <v>AICE ENG GEN PAPER 1</v>
      </c>
      <c r="G4336" t="str">
        <f>"17-1722"</f>
        <v>17-1722</v>
      </c>
      <c r="H4336" t="str">
        <f>"B"</f>
        <v>B</v>
      </c>
    </row>
    <row r="4337" spans="1:8" x14ac:dyDescent="0.2">
      <c r="A4337" t="str">
        <f t="shared" ref="A4337:A4344" si="1590">"0621059631"</f>
        <v>0621059631</v>
      </c>
      <c r="B4337" t="str">
        <f t="shared" ref="B4337:B4344" si="1591">"CHEYENNE"</f>
        <v>CHEYENNE</v>
      </c>
      <c r="C4337" t="str">
        <f t="shared" ref="C4337:C4352" si="1592">"DEWAR"</f>
        <v>DEWAR</v>
      </c>
      <c r="D4337">
        <f>11</f>
        <v>11</v>
      </c>
      <c r="E4337" t="str">
        <f>"04 - A - 102 - Daniel S Katz"</f>
        <v>04 - A - 102 - Daniel S Katz</v>
      </c>
      <c r="F4337" t="str">
        <f>"AICE DRAMA 1 AS LEV"</f>
        <v>AICE DRAMA 1 AS LEV</v>
      </c>
      <c r="G4337" t="str">
        <f>"05-521"</f>
        <v>05-521</v>
      </c>
      <c r="H4337" t="str">
        <f>"A"</f>
        <v>A</v>
      </c>
    </row>
    <row r="4338" spans="1:8" x14ac:dyDescent="0.2">
      <c r="A4338" t="str">
        <f t="shared" si="1590"/>
        <v>0621059631</v>
      </c>
      <c r="B4338" t="str">
        <f t="shared" si="1591"/>
        <v>CHEYENNE</v>
      </c>
      <c r="C4338" t="str">
        <f t="shared" si="1592"/>
        <v>DEWAR</v>
      </c>
      <c r="D4338">
        <f>11</f>
        <v>11</v>
      </c>
      <c r="E4338" t="str">
        <f>"06 - B - 204 - Chrystina M Marchionne"</f>
        <v>06 - B - 204 - Chrystina M Marchionne</v>
      </c>
      <c r="F4338" t="str">
        <f>"AICE MEDIASTUDIES AS"</f>
        <v>AICE MEDIASTUDIES AS</v>
      </c>
      <c r="G4338" t="str">
        <f>"05-520"</f>
        <v>05-520</v>
      </c>
      <c r="H4338" t="str">
        <f>"B"</f>
        <v>B</v>
      </c>
    </row>
    <row r="4339" spans="1:8" x14ac:dyDescent="0.2">
      <c r="A4339" t="str">
        <f t="shared" si="1590"/>
        <v>0621059631</v>
      </c>
      <c r="B4339" t="str">
        <f t="shared" si="1591"/>
        <v>CHEYENNE</v>
      </c>
      <c r="C4339" t="str">
        <f t="shared" si="1592"/>
        <v>DEWAR</v>
      </c>
      <c r="D4339">
        <f>11</f>
        <v>11</v>
      </c>
      <c r="E4339" t="str">
        <f>"03 - A - 102 - Thomas G Handwerg"</f>
        <v>03 - A - 102 - Thomas G Handwerg</v>
      </c>
      <c r="F4339" t="str">
        <f>"MATH COLL ALGEBRA"</f>
        <v>MATH COLL ALGEBRA</v>
      </c>
      <c r="G4339" t="str">
        <f>"21-2146"</f>
        <v>21-2146</v>
      </c>
      <c r="H4339" t="str">
        <f>"A"</f>
        <v>A</v>
      </c>
    </row>
    <row r="4340" spans="1:8" x14ac:dyDescent="0.2">
      <c r="A4340" t="str">
        <f t="shared" si="1590"/>
        <v>0621059631</v>
      </c>
      <c r="B4340" t="str">
        <f t="shared" si="1591"/>
        <v>CHEYENNE</v>
      </c>
      <c r="C4340" t="str">
        <f t="shared" si="1592"/>
        <v>DEWAR</v>
      </c>
      <c r="D4340">
        <f>11</f>
        <v>11</v>
      </c>
      <c r="E4340" t="str">
        <f>"02 - A - 001 - Jazmin S Fletcher"</f>
        <v>02 - A - 001 - Jazmin S Fletcher</v>
      </c>
      <c r="F4340" t="str">
        <f>"NC STUDY HALL 1"</f>
        <v>NC STUDY HALL 1</v>
      </c>
      <c r="G4340" t="str">
        <f>"09-909"</f>
        <v>09-909</v>
      </c>
      <c r="H4340" t="str">
        <f>"A"</f>
        <v>A</v>
      </c>
    </row>
    <row r="4341" spans="1:8" x14ac:dyDescent="0.2">
      <c r="A4341" t="str">
        <f t="shared" si="1590"/>
        <v>0621059631</v>
      </c>
      <c r="B4341" t="str">
        <f t="shared" si="1591"/>
        <v>CHEYENNE</v>
      </c>
      <c r="C4341" t="str">
        <f t="shared" si="1592"/>
        <v>DEWAR</v>
      </c>
      <c r="D4341">
        <f>11</f>
        <v>11</v>
      </c>
      <c r="E4341" t="str">
        <f>"07 - B - 102 - Carleigh R Carmichael"</f>
        <v>07 - B - 102 - Carleigh R Carmichael</v>
      </c>
      <c r="F4341" t="str">
        <f>"LEAD SKLS DEV LH"</f>
        <v>LEAD SKLS DEV LH</v>
      </c>
      <c r="G4341" t="str">
        <f>"20-2072"</f>
        <v>20-2072</v>
      </c>
      <c r="H4341" t="str">
        <f>"B"</f>
        <v>B</v>
      </c>
    </row>
    <row r="4342" spans="1:8" x14ac:dyDescent="0.2">
      <c r="A4342" t="str">
        <f t="shared" si="1590"/>
        <v>0621059631</v>
      </c>
      <c r="B4342" t="str">
        <f t="shared" si="1591"/>
        <v>CHEYENNE</v>
      </c>
      <c r="C4342" t="str">
        <f t="shared" si="1592"/>
        <v>DEWAR</v>
      </c>
      <c r="D4342">
        <f>11</f>
        <v>11</v>
      </c>
      <c r="E4342" t="str">
        <f>"05 - B - 102 - Jacklyn M James"</f>
        <v>05 - B - 102 - Jacklyn M James</v>
      </c>
      <c r="F4342" t="str">
        <f>"AICE ENG LANG AS"</f>
        <v>AICE ENG LANG AS</v>
      </c>
      <c r="G4342" t="str">
        <f>"17-1731"</f>
        <v>17-1731</v>
      </c>
      <c r="H4342" t="str">
        <f>"B"</f>
        <v>B</v>
      </c>
    </row>
    <row r="4343" spans="1:8" x14ac:dyDescent="0.2">
      <c r="A4343" t="str">
        <f t="shared" si="1590"/>
        <v>0621059631</v>
      </c>
      <c r="B4343" t="str">
        <f t="shared" si="1591"/>
        <v>CHEYENNE</v>
      </c>
      <c r="C4343" t="str">
        <f t="shared" si="1592"/>
        <v>DEWAR</v>
      </c>
      <c r="D4343">
        <f>11</f>
        <v>11</v>
      </c>
      <c r="E4343" t="str">
        <f>"01 - A - 101 - Daniel S Katz"</f>
        <v>01 - A - 101 - Daniel S Katz</v>
      </c>
      <c r="F4343" t="str">
        <f>"EXEC INTERN 4 LH"</f>
        <v>EXEC INTERN 4 LH</v>
      </c>
      <c r="G4343" t="str">
        <f>"21-2156"</f>
        <v>21-2156</v>
      </c>
      <c r="H4343" t="str">
        <f>"A"</f>
        <v>A</v>
      </c>
    </row>
    <row r="4344" spans="1:8" x14ac:dyDescent="0.2">
      <c r="A4344" t="str">
        <f t="shared" si="1590"/>
        <v>0621059631</v>
      </c>
      <c r="B4344" t="str">
        <f t="shared" si="1591"/>
        <v>CHEYENNE</v>
      </c>
      <c r="C4344" t="str">
        <f t="shared" si="1592"/>
        <v>DEWAR</v>
      </c>
      <c r="D4344">
        <f>11</f>
        <v>11</v>
      </c>
      <c r="E4344" t="str">
        <f>"08 - B - 001 - Jerry S Jiampetti"</f>
        <v>08 - B - 001 - Jerry S Jiampetti</v>
      </c>
      <c r="F4344" t="str">
        <f>"AICE U.S. HIST 1 AS"</f>
        <v>AICE U.S. HIST 1 AS</v>
      </c>
      <c r="G4344" t="str">
        <f>"17-1751"</f>
        <v>17-1751</v>
      </c>
      <c r="H4344" t="str">
        <f>"B"</f>
        <v>B</v>
      </c>
    </row>
    <row r="4345" spans="1:8" x14ac:dyDescent="0.2">
      <c r="A4345" t="str">
        <f t="shared" ref="A4345:A4352" si="1593">"0613111331"</f>
        <v>0613111331</v>
      </c>
      <c r="B4345" t="str">
        <f t="shared" ref="B4345:B4352" si="1594">"TAYLOR"</f>
        <v>TAYLOR</v>
      </c>
      <c r="C4345" t="str">
        <f t="shared" si="1592"/>
        <v>DEWAR</v>
      </c>
      <c r="D4345">
        <f>12</f>
        <v>12</v>
      </c>
      <c r="E4345" t="str">
        <f>"04 - A - 201 - Scott A Dethloff"</f>
        <v>04 - A - 201 - Scott A Dethloff</v>
      </c>
      <c r="F4345" t="str">
        <f>"AICE THINK SKLS 1 AS"</f>
        <v>AICE THINK SKLS 1 AS</v>
      </c>
      <c r="G4345" t="str">
        <f>"08-812"</f>
        <v>08-812</v>
      </c>
      <c r="H4345" t="str">
        <f>"A"</f>
        <v>A</v>
      </c>
    </row>
    <row r="4346" spans="1:8" x14ac:dyDescent="0.2">
      <c r="A4346" t="str">
        <f t="shared" si="1593"/>
        <v>0613111331</v>
      </c>
      <c r="B4346" t="str">
        <f t="shared" si="1594"/>
        <v>TAYLOR</v>
      </c>
      <c r="C4346" t="str">
        <f t="shared" si="1592"/>
        <v>DEWAR</v>
      </c>
      <c r="D4346">
        <f>12</f>
        <v>12</v>
      </c>
      <c r="E4346" t="str">
        <f>"06 - B - 103 - Stefanie S Scher"</f>
        <v>06 - B - 103 - Stefanie S Scher</v>
      </c>
      <c r="F4346" t="str">
        <f>"NC STUDY HALL 1"</f>
        <v>NC STUDY HALL 1</v>
      </c>
      <c r="G4346" t="str">
        <f>"17-1735"</f>
        <v>17-1735</v>
      </c>
      <c r="H4346" t="str">
        <f>"B"</f>
        <v>B</v>
      </c>
    </row>
    <row r="4347" spans="1:8" x14ac:dyDescent="0.2">
      <c r="A4347" t="str">
        <f t="shared" si="1593"/>
        <v>0613111331</v>
      </c>
      <c r="B4347" t="str">
        <f t="shared" si="1594"/>
        <v>TAYLOR</v>
      </c>
      <c r="C4347" t="str">
        <f t="shared" si="1592"/>
        <v>DEWAR</v>
      </c>
      <c r="D4347">
        <f>12</f>
        <v>12</v>
      </c>
      <c r="E4347" t="str">
        <f>"03 - A - 101 - Timothy J Lawrence"</f>
        <v>03 - A - 101 - Timothy J Lawrence</v>
      </c>
      <c r="F4347" t="str">
        <f>"AICE PHYS ED 1 AS"</f>
        <v>AICE PHYS ED 1 AS</v>
      </c>
      <c r="G4347" t="str">
        <f>"05-519"</f>
        <v>05-519</v>
      </c>
      <c r="H4347" t="str">
        <f>"A"</f>
        <v>A</v>
      </c>
    </row>
    <row r="4348" spans="1:8" x14ac:dyDescent="0.2">
      <c r="A4348" t="str">
        <f t="shared" si="1593"/>
        <v>0613111331</v>
      </c>
      <c r="B4348" t="str">
        <f t="shared" si="1594"/>
        <v>TAYLOR</v>
      </c>
      <c r="C4348" t="str">
        <f t="shared" si="1592"/>
        <v>DEWAR</v>
      </c>
      <c r="D4348">
        <f>12</f>
        <v>12</v>
      </c>
      <c r="E4348" t="str">
        <f>"02 - A - 204 - Jacqueline R Morphet"</f>
        <v>02 - A - 204 - Jacqueline R Morphet</v>
      </c>
      <c r="F4348" t="str">
        <f>"PHYSICS 1 HON"</f>
        <v>PHYSICS 1 HON</v>
      </c>
      <c r="G4348" t="str">
        <f>"21-2138"</f>
        <v>21-2138</v>
      </c>
      <c r="H4348" t="str">
        <f>"A"</f>
        <v>A</v>
      </c>
    </row>
    <row r="4349" spans="1:8" x14ac:dyDescent="0.2">
      <c r="A4349" t="str">
        <f t="shared" si="1593"/>
        <v>0613111331</v>
      </c>
      <c r="B4349" t="str">
        <f t="shared" si="1594"/>
        <v>TAYLOR</v>
      </c>
      <c r="C4349" t="str">
        <f t="shared" si="1592"/>
        <v>DEWAR</v>
      </c>
      <c r="D4349">
        <f>12</f>
        <v>12</v>
      </c>
      <c r="E4349" t="str">
        <f>"07 - B - 101 - Bruce A Evans"</f>
        <v>07 - B - 101 - Bruce A Evans</v>
      </c>
      <c r="F4349" t="str">
        <f>"FIREFIGHTING 1 LH"</f>
        <v>FIREFIGHTING 1 LH</v>
      </c>
      <c r="G4349" t="str">
        <f>"21-2142"</f>
        <v>21-2142</v>
      </c>
      <c r="H4349" t="str">
        <f>"B"</f>
        <v>B</v>
      </c>
    </row>
    <row r="4350" spans="1:8" x14ac:dyDescent="0.2">
      <c r="A4350" t="str">
        <f t="shared" si="1593"/>
        <v>0613111331</v>
      </c>
      <c r="B4350" t="str">
        <f t="shared" si="1594"/>
        <v>TAYLOR</v>
      </c>
      <c r="C4350" t="str">
        <f t="shared" si="1592"/>
        <v>DEWAR</v>
      </c>
      <c r="D4350">
        <f>12</f>
        <v>12</v>
      </c>
      <c r="E4350" t="str">
        <f>"05 - S1 - B - 102 - Barbara L Segal"</f>
        <v>05 - S1 - B - 102 - Barbara L Segal</v>
      </c>
      <c r="F4350" t="str">
        <f>"US GOVT HON"</f>
        <v>US GOVT HON</v>
      </c>
      <c r="G4350" t="str">
        <f>"17-1742"</f>
        <v>17-1742</v>
      </c>
      <c r="H4350" t="str">
        <f>"B"</f>
        <v>B</v>
      </c>
    </row>
    <row r="4351" spans="1:8" x14ac:dyDescent="0.2">
      <c r="A4351" t="str">
        <f t="shared" si="1593"/>
        <v>0613111331</v>
      </c>
      <c r="B4351" t="str">
        <f t="shared" si="1594"/>
        <v>TAYLOR</v>
      </c>
      <c r="C4351" t="str">
        <f t="shared" si="1592"/>
        <v>DEWAR</v>
      </c>
      <c r="D4351">
        <f>12</f>
        <v>12</v>
      </c>
      <c r="E4351" t="str">
        <f>"01 - A - 101 - Thomas G Handwerg"</f>
        <v>01 - A - 101 - Thomas G Handwerg</v>
      </c>
      <c r="F4351" t="str">
        <f>"PROB STAT W/APPS HON"</f>
        <v>PROB STAT W/APPS HON</v>
      </c>
      <c r="G4351" t="str">
        <f>"21-2146"</f>
        <v>21-2146</v>
      </c>
      <c r="H4351" t="str">
        <f>"A"</f>
        <v>A</v>
      </c>
    </row>
    <row r="4352" spans="1:8" x14ac:dyDescent="0.2">
      <c r="A4352" t="str">
        <f t="shared" si="1593"/>
        <v>0613111331</v>
      </c>
      <c r="B4352" t="str">
        <f t="shared" si="1594"/>
        <v>TAYLOR</v>
      </c>
      <c r="C4352" t="str">
        <f t="shared" si="1592"/>
        <v>DEWAR</v>
      </c>
      <c r="D4352">
        <f>12</f>
        <v>12</v>
      </c>
      <c r="E4352" t="str">
        <f>"08 - B - 203 - Courtney E Hambright"</f>
        <v>08 - B - 203 - Courtney E Hambright</v>
      </c>
      <c r="F4352" t="str">
        <f>"AP ENG LIT COMPO"</f>
        <v>AP ENG LIT COMPO</v>
      </c>
      <c r="G4352" t="str">
        <f>"17-1711"</f>
        <v>17-1711</v>
      </c>
      <c r="H4352" t="str">
        <f>"B"</f>
        <v>B</v>
      </c>
    </row>
    <row r="4353" spans="1:8" x14ac:dyDescent="0.2">
      <c r="A4353" t="str">
        <f t="shared" ref="A4353:A4360" si="1595">"0622151497"</f>
        <v>0622151497</v>
      </c>
      <c r="B4353" t="str">
        <f t="shared" ref="B4353:B4360" si="1596">"KALYAAN"</f>
        <v>KALYAAN</v>
      </c>
      <c r="C4353" t="str">
        <f t="shared" ref="C4353:C4360" si="1597">"DHALLA"</f>
        <v>DHALLA</v>
      </c>
      <c r="D4353" t="str">
        <f t="shared" ref="D4353:D4360" si="1598">"09"</f>
        <v>09</v>
      </c>
      <c r="E4353" t="str">
        <f>"04 - A - 005 - Emmily A Sarmiento"</f>
        <v>04 - A - 005 - Emmily A Sarmiento</v>
      </c>
      <c r="F4353" t="str">
        <f>"AICE GLBL PERSP 1 AS"</f>
        <v>AICE GLBL PERSP 1 AS</v>
      </c>
      <c r="G4353" t="str">
        <f>"17-1743"</f>
        <v>17-1743</v>
      </c>
      <c r="H4353" t="str">
        <f>"A"</f>
        <v>A</v>
      </c>
    </row>
    <row r="4354" spans="1:8" x14ac:dyDescent="0.2">
      <c r="A4354" t="str">
        <f t="shared" si="1595"/>
        <v>0622151497</v>
      </c>
      <c r="B4354" t="str">
        <f t="shared" si="1596"/>
        <v>KALYAAN</v>
      </c>
      <c r="C4354" t="str">
        <f t="shared" si="1597"/>
        <v>DHALLA</v>
      </c>
      <c r="D4354" t="str">
        <f t="shared" si="1598"/>
        <v>09</v>
      </c>
      <c r="E4354" t="str">
        <f>"06 - B - 102 - Rosa Elaine  Collado-Duff"</f>
        <v>06 - B - 102 - Rosa Elaine  Collado-Duff</v>
      </c>
      <c r="F4354" t="str">
        <f>"SPANISH 3 HON"</f>
        <v>SPANISH 3 HON</v>
      </c>
      <c r="G4354" t="str">
        <f>"09-913"</f>
        <v>09-913</v>
      </c>
      <c r="H4354" t="str">
        <f>"B"</f>
        <v>B</v>
      </c>
    </row>
    <row r="4355" spans="1:8" x14ac:dyDescent="0.2">
      <c r="A4355" t="str">
        <f t="shared" si="1595"/>
        <v>0622151497</v>
      </c>
      <c r="B4355" t="str">
        <f t="shared" si="1596"/>
        <v>KALYAAN</v>
      </c>
      <c r="C4355" t="str">
        <f t="shared" si="1597"/>
        <v>DHALLA</v>
      </c>
      <c r="D4355" t="str">
        <f t="shared" si="1598"/>
        <v>09</v>
      </c>
      <c r="E4355" t="str">
        <f>"03 - A - 203 - Elizabeth R Walker"</f>
        <v>03 - A - 203 - Elizabeth R Walker</v>
      </c>
      <c r="F4355" t="str">
        <f>"AICE ENG GEN PAPER 1"</f>
        <v>AICE ENG GEN PAPER 1</v>
      </c>
      <c r="G4355" t="str">
        <f>"17-1703"</f>
        <v>17-1703</v>
      </c>
      <c r="H4355" t="str">
        <f>"A"</f>
        <v>A</v>
      </c>
    </row>
    <row r="4356" spans="1:8" x14ac:dyDescent="0.2">
      <c r="A4356" t="str">
        <f t="shared" si="1595"/>
        <v>0622151497</v>
      </c>
      <c r="B4356" t="str">
        <f t="shared" si="1596"/>
        <v>KALYAAN</v>
      </c>
      <c r="C4356" t="str">
        <f t="shared" si="1597"/>
        <v>DHALLA</v>
      </c>
      <c r="D4356" t="str">
        <f t="shared" si="1598"/>
        <v>09</v>
      </c>
      <c r="E4356" t="str">
        <f>"02 - A - 112 - Cheryl Anne  Berman-Schechter"</f>
        <v>02 - A - 112 - Cheryl Anne  Berman-Schechter</v>
      </c>
      <c r="F4356" t="str">
        <f>"NC STUDY HALL 1"</f>
        <v>NC STUDY HALL 1</v>
      </c>
      <c r="G4356" t="str">
        <f>"17-1722"</f>
        <v>17-1722</v>
      </c>
      <c r="H4356" t="str">
        <f>"A"</f>
        <v>A</v>
      </c>
    </row>
    <row r="4357" spans="1:8" x14ac:dyDescent="0.2">
      <c r="A4357" t="str">
        <f t="shared" si="1595"/>
        <v>0622151497</v>
      </c>
      <c r="B4357" t="str">
        <f t="shared" si="1596"/>
        <v>KALYAAN</v>
      </c>
      <c r="C4357" t="str">
        <f t="shared" si="1597"/>
        <v>DHALLA</v>
      </c>
      <c r="D4357" t="str">
        <f t="shared" si="1598"/>
        <v>09</v>
      </c>
      <c r="E4357" t="str">
        <f>"07 - B - 105 - Byron G Montenegro"</f>
        <v>07 - B - 105 - Byron G Montenegro</v>
      </c>
      <c r="F4357" t="str">
        <f>"AICE MARINE SCI 1 AS"</f>
        <v>AICE MARINE SCI 1 AS</v>
      </c>
      <c r="G4357" t="str">
        <f>"21-2144"</f>
        <v>21-2144</v>
      </c>
      <c r="H4357" t="str">
        <f>"B"</f>
        <v>B</v>
      </c>
    </row>
    <row r="4358" spans="1:8" x14ac:dyDescent="0.2">
      <c r="A4358" t="str">
        <f t="shared" si="1595"/>
        <v>0622151497</v>
      </c>
      <c r="B4358" t="str">
        <f t="shared" si="1596"/>
        <v>KALYAAN</v>
      </c>
      <c r="C4358" t="str">
        <f t="shared" si="1597"/>
        <v>DHALLA</v>
      </c>
      <c r="D4358" t="str">
        <f t="shared" si="1598"/>
        <v>09</v>
      </c>
      <c r="E4358" t="str">
        <f>"05 - B - 103 - Brook E Goren"</f>
        <v>05 - B - 103 - Brook E Goren</v>
      </c>
      <c r="F4358" t="str">
        <f>"PRE-AICE MATH 2 IG"</f>
        <v>PRE-AICE MATH 2 IG</v>
      </c>
      <c r="G4358" t="str">
        <f>"21-2158"</f>
        <v>21-2158</v>
      </c>
      <c r="H4358" t="str">
        <f>"B"</f>
        <v>B</v>
      </c>
    </row>
    <row r="4359" spans="1:8" x14ac:dyDescent="0.2">
      <c r="A4359" t="str">
        <f t="shared" si="1595"/>
        <v>0622151497</v>
      </c>
      <c r="B4359" t="str">
        <f t="shared" si="1596"/>
        <v>KALYAAN</v>
      </c>
      <c r="C4359" t="str">
        <f t="shared" si="1597"/>
        <v>DHALLA</v>
      </c>
      <c r="D4359" t="str">
        <f t="shared" si="1598"/>
        <v>09</v>
      </c>
      <c r="E4359" t="str">
        <f>"01 - A - 101 - Arthur  Kulawik"</f>
        <v>01 - A - 101 - Arthur  Kulawik</v>
      </c>
      <c r="F4359" t="str">
        <f>"DEBATE 1 LH"</f>
        <v>DEBATE 1 LH</v>
      </c>
      <c r="G4359" t="str">
        <f>"05-506"</f>
        <v>05-506</v>
      </c>
      <c r="H4359" t="str">
        <f>"A"</f>
        <v>A</v>
      </c>
    </row>
    <row r="4360" spans="1:8" x14ac:dyDescent="0.2">
      <c r="A4360" t="str">
        <f t="shared" si="1595"/>
        <v>0622151497</v>
      </c>
      <c r="B4360" t="str">
        <f t="shared" si="1596"/>
        <v>KALYAAN</v>
      </c>
      <c r="C4360" t="str">
        <f t="shared" si="1597"/>
        <v>DHALLA</v>
      </c>
      <c r="D4360" t="str">
        <f t="shared" si="1598"/>
        <v>09</v>
      </c>
      <c r="E4360" t="str">
        <f>"08 - B - 201 - Tina M Jaramillo"</f>
        <v>08 - B - 201 - Tina M Jaramillo</v>
      </c>
      <c r="F4360" t="str">
        <f>"CREATIVE WRIT 3 HON"</f>
        <v>CREATIVE WRIT 3 HON</v>
      </c>
      <c r="G4360" t="str">
        <f>"17-1706"</f>
        <v>17-1706</v>
      </c>
      <c r="H4360" t="str">
        <f>"B"</f>
        <v>B</v>
      </c>
    </row>
    <row r="4361" spans="1:8" x14ac:dyDescent="0.2">
      <c r="A4361" t="str">
        <f t="shared" ref="A4361:A4368" si="1599">"0615053862"</f>
        <v>0615053862</v>
      </c>
      <c r="B4361" t="str">
        <f t="shared" ref="B4361:B4368" si="1600">"NICHOLAS"</f>
        <v>NICHOLAS</v>
      </c>
      <c r="C4361" t="str">
        <f t="shared" ref="C4361:C4368" si="1601">"DIALBERTO"</f>
        <v>DIALBERTO</v>
      </c>
      <c r="D4361">
        <f>11</f>
        <v>11</v>
      </c>
      <c r="E4361" t="str">
        <f>"04 - A - 101 - Jerry S Jiampetti"</f>
        <v>04 - A - 101 - Jerry S Jiampetti</v>
      </c>
      <c r="F4361" t="str">
        <f>"AICE U.S. HIST 1 AS"</f>
        <v>AICE U.S. HIST 1 AS</v>
      </c>
      <c r="G4361" t="str">
        <f>"17-1751"</f>
        <v>17-1751</v>
      </c>
      <c r="H4361" t="str">
        <f>"A"</f>
        <v>A</v>
      </c>
    </row>
    <row r="4362" spans="1:8" x14ac:dyDescent="0.2">
      <c r="A4362" t="str">
        <f t="shared" si="1599"/>
        <v>0615053862</v>
      </c>
      <c r="B4362" t="str">
        <f t="shared" si="1600"/>
        <v>NICHOLAS</v>
      </c>
      <c r="C4362" t="str">
        <f t="shared" si="1601"/>
        <v>DIALBERTO</v>
      </c>
      <c r="D4362">
        <f>11</f>
        <v>11</v>
      </c>
      <c r="E4362" t="str">
        <f>"06 - S1 - B - 102 - Daniel S Katz"</f>
        <v>06 - S1 - B - 102 - Daniel S Katz</v>
      </c>
      <c r="F4362" t="str">
        <f>"COURT PROCED"</f>
        <v>COURT PROCED</v>
      </c>
      <c r="G4362" t="str">
        <f>"21-2156"</f>
        <v>21-2156</v>
      </c>
      <c r="H4362" t="str">
        <f>"B"</f>
        <v>B</v>
      </c>
    </row>
    <row r="4363" spans="1:8" x14ac:dyDescent="0.2">
      <c r="A4363" t="str">
        <f t="shared" si="1599"/>
        <v>0615053862</v>
      </c>
      <c r="B4363" t="str">
        <f t="shared" si="1600"/>
        <v>NICHOLAS</v>
      </c>
      <c r="C4363" t="str">
        <f t="shared" si="1601"/>
        <v>DIALBERTO</v>
      </c>
      <c r="D4363">
        <f>11</f>
        <v>11</v>
      </c>
      <c r="E4363" t="str">
        <f>"03 - A - 101 - Timothy J Lawrence"</f>
        <v>03 - A - 101 - Timothy J Lawrence</v>
      </c>
      <c r="F4363" t="str">
        <f>"AICE PHYS ED 1 AS"</f>
        <v>AICE PHYS ED 1 AS</v>
      </c>
      <c r="G4363" t="str">
        <f>"05-519"</f>
        <v>05-519</v>
      </c>
      <c r="H4363" t="str">
        <f>"A"</f>
        <v>A</v>
      </c>
    </row>
    <row r="4364" spans="1:8" x14ac:dyDescent="0.2">
      <c r="A4364" t="str">
        <f t="shared" si="1599"/>
        <v>0615053862</v>
      </c>
      <c r="B4364" t="str">
        <f t="shared" si="1600"/>
        <v>NICHOLAS</v>
      </c>
      <c r="C4364" t="str">
        <f t="shared" si="1601"/>
        <v>DIALBERTO</v>
      </c>
      <c r="D4364">
        <f>11</f>
        <v>11</v>
      </c>
      <c r="E4364" t="str">
        <f>"02 - A - 101 - Milca  Exantus"</f>
        <v>02 - A - 101 - Milca  Exantus</v>
      </c>
      <c r="F4364" t="str">
        <f>"NC STUDY HALL 1"</f>
        <v>NC STUDY HALL 1</v>
      </c>
      <c r="G4364" t="str">
        <f>"21-2145"</f>
        <v>21-2145</v>
      </c>
      <c r="H4364" t="str">
        <f>"A"</f>
        <v>A</v>
      </c>
    </row>
    <row r="4365" spans="1:8" x14ac:dyDescent="0.2">
      <c r="A4365" t="str">
        <f t="shared" si="1599"/>
        <v>0615053862</v>
      </c>
      <c r="B4365" t="str">
        <f t="shared" si="1600"/>
        <v>NICHOLAS</v>
      </c>
      <c r="C4365" t="str">
        <f t="shared" si="1601"/>
        <v>DIALBERTO</v>
      </c>
      <c r="D4365">
        <f>11</f>
        <v>11</v>
      </c>
      <c r="E4365" t="str">
        <f>"07 - B - 105 - Robert H Rindner"</f>
        <v>07 - B - 105 - Robert H Rindner</v>
      </c>
      <c r="F4365" t="str">
        <f>"MATH DATA&amp;FIN LIT H"</f>
        <v>MATH DATA&amp;FIN LIT H</v>
      </c>
      <c r="G4365" t="str">
        <f>"21-2160"</f>
        <v>21-2160</v>
      </c>
      <c r="H4365" t="str">
        <f>"B"</f>
        <v>B</v>
      </c>
    </row>
    <row r="4366" spans="1:8" x14ac:dyDescent="0.2">
      <c r="A4366" t="str">
        <f t="shared" si="1599"/>
        <v>0615053862</v>
      </c>
      <c r="B4366" t="str">
        <f t="shared" si="1600"/>
        <v>NICHOLAS</v>
      </c>
      <c r="C4366" t="str">
        <f t="shared" si="1601"/>
        <v>DIALBERTO</v>
      </c>
      <c r="D4366">
        <f>11</f>
        <v>11</v>
      </c>
      <c r="E4366" t="str">
        <f>"05 - B - 103 - Tina M Jaramillo"</f>
        <v>05 - B - 103 - Tina M Jaramillo</v>
      </c>
      <c r="F4366" t="str">
        <f>"AP ENG COMPO"</f>
        <v>AP ENG COMPO</v>
      </c>
      <c r="G4366" t="str">
        <f>"17-1706"</f>
        <v>17-1706</v>
      </c>
      <c r="H4366" t="str">
        <f>"B"</f>
        <v>B</v>
      </c>
    </row>
    <row r="4367" spans="1:8" x14ac:dyDescent="0.2">
      <c r="A4367" t="str">
        <f t="shared" si="1599"/>
        <v>0615053862</v>
      </c>
      <c r="B4367" t="str">
        <f t="shared" si="1600"/>
        <v>NICHOLAS</v>
      </c>
      <c r="C4367" t="str">
        <f t="shared" si="1601"/>
        <v>DIALBERTO</v>
      </c>
      <c r="D4367">
        <f>11</f>
        <v>11</v>
      </c>
      <c r="E4367" t="str">
        <f>"01 - A - 201 - Chrystina M Marchionne"</f>
        <v>01 - A - 201 - Chrystina M Marchionne</v>
      </c>
      <c r="F4367" t="str">
        <f>"AICE MEDIASTUDIES AS"</f>
        <v>AICE MEDIASTUDIES AS</v>
      </c>
      <c r="G4367" t="str">
        <f>"05-520"</f>
        <v>05-520</v>
      </c>
      <c r="H4367" t="str">
        <f>"A"</f>
        <v>A</v>
      </c>
    </row>
    <row r="4368" spans="1:8" x14ac:dyDescent="0.2">
      <c r="A4368" t="str">
        <f t="shared" si="1599"/>
        <v>0615053862</v>
      </c>
      <c r="B4368" t="str">
        <f t="shared" si="1600"/>
        <v>NICHOLAS</v>
      </c>
      <c r="C4368" t="str">
        <f t="shared" si="1601"/>
        <v>DIALBERTO</v>
      </c>
      <c r="D4368">
        <f>11</f>
        <v>11</v>
      </c>
      <c r="E4368" t="str">
        <f>"08 - B - 103 - Marielle A Witting"</f>
        <v>08 - B - 103 - Marielle A Witting</v>
      </c>
      <c r="F4368" t="str">
        <f>"AP BIO"</f>
        <v>AP BIO</v>
      </c>
      <c r="G4368" t="str">
        <f>"08-805"</f>
        <v>08-805</v>
      </c>
      <c r="H4368" t="str">
        <f>"B"</f>
        <v>B</v>
      </c>
    </row>
    <row r="4369" spans="1:8" x14ac:dyDescent="0.2">
      <c r="A4369" t="str">
        <f t="shared" ref="A4369:A4376" si="1602">"0616070749"</f>
        <v>0616070749</v>
      </c>
      <c r="B4369" t="str">
        <f t="shared" ref="B4369:B4376" si="1603">"LUIZA"</f>
        <v>LUIZA</v>
      </c>
      <c r="C4369" t="str">
        <f t="shared" ref="C4369:C4376" si="1604">"DIAS"</f>
        <v>DIAS</v>
      </c>
      <c r="D4369">
        <f>10</f>
        <v>10</v>
      </c>
      <c r="E4369" t="str">
        <f>"04 - S1 - A - 103 - James H Mccann"</f>
        <v>04 - S1 - A - 103 - James H Mccann</v>
      </c>
      <c r="F4369" t="str">
        <f>"PERS FIN &amp; MON MGT H"</f>
        <v>PERS FIN &amp; MON MGT H</v>
      </c>
      <c r="G4369" t="str">
        <f>"17-1716"</f>
        <v>17-1716</v>
      </c>
      <c r="H4369" t="str">
        <f>"A"</f>
        <v>A</v>
      </c>
    </row>
    <row r="4370" spans="1:8" x14ac:dyDescent="0.2">
      <c r="A4370" t="str">
        <f t="shared" si="1602"/>
        <v>0616070749</v>
      </c>
      <c r="B4370" t="str">
        <f t="shared" si="1603"/>
        <v>LUIZA</v>
      </c>
      <c r="C4370" t="str">
        <f t="shared" si="1604"/>
        <v>DIAS</v>
      </c>
      <c r="D4370">
        <f>10</f>
        <v>10</v>
      </c>
      <c r="E4370" t="str">
        <f>"06 - B - 117 - Daniel S Tyson"</f>
        <v>06 - B - 117 - Daniel S Tyson</v>
      </c>
      <c r="F4370" t="str">
        <f>"NC STUDY HALL 1"</f>
        <v>NC STUDY HALL 1</v>
      </c>
      <c r="G4370" t="str">
        <f>"05-510"</f>
        <v>05-510</v>
      </c>
      <c r="H4370" t="str">
        <f>"B"</f>
        <v>B</v>
      </c>
    </row>
    <row r="4371" spans="1:8" x14ac:dyDescent="0.2">
      <c r="A4371" t="str">
        <f t="shared" si="1602"/>
        <v>0616070749</v>
      </c>
      <c r="B4371" t="str">
        <f t="shared" si="1603"/>
        <v>LUIZA</v>
      </c>
      <c r="C4371" t="str">
        <f t="shared" si="1604"/>
        <v>DIAS</v>
      </c>
      <c r="D4371">
        <f>10</f>
        <v>10</v>
      </c>
      <c r="E4371" t="str">
        <f>"03 - A - 002 - Brandy N Zdenek"</f>
        <v>03 - A - 002 - Brandy N Zdenek</v>
      </c>
      <c r="F4371" t="str">
        <f>"AICE ENG LANG AS"</f>
        <v>AICE ENG LANG AS</v>
      </c>
      <c r="G4371" t="str">
        <f>"17-1704"</f>
        <v>17-1704</v>
      </c>
      <c r="H4371" t="str">
        <f>"A"</f>
        <v>A</v>
      </c>
    </row>
    <row r="4372" spans="1:8" x14ac:dyDescent="0.2">
      <c r="A4372" t="str">
        <f t="shared" si="1602"/>
        <v>0616070749</v>
      </c>
      <c r="B4372" t="str">
        <f t="shared" si="1603"/>
        <v>LUIZA</v>
      </c>
      <c r="C4372" t="str">
        <f t="shared" si="1604"/>
        <v>DIAS</v>
      </c>
      <c r="D4372">
        <f>10</f>
        <v>10</v>
      </c>
      <c r="E4372" t="str">
        <f>"02 - A - 101 - Brian M Fitzgerald"</f>
        <v>02 - A - 101 - Brian M Fitzgerald</v>
      </c>
      <c r="F4372" t="str">
        <f>"DRAW 1"</f>
        <v>DRAW 1</v>
      </c>
      <c r="G4372" t="str">
        <f>"09-908"</f>
        <v>09-908</v>
      </c>
      <c r="H4372" t="str">
        <f>"A"</f>
        <v>A</v>
      </c>
    </row>
    <row r="4373" spans="1:8" x14ac:dyDescent="0.2">
      <c r="A4373" t="str">
        <f t="shared" si="1602"/>
        <v>0616070749</v>
      </c>
      <c r="B4373" t="str">
        <f t="shared" si="1603"/>
        <v>LUIZA</v>
      </c>
      <c r="C4373" t="str">
        <f t="shared" si="1604"/>
        <v>DIAS</v>
      </c>
      <c r="D4373">
        <f>10</f>
        <v>10</v>
      </c>
      <c r="E4373" t="str">
        <f>"07 - B - 103 - Vanessa J Liburd"</f>
        <v>07 - B - 103 - Vanessa J Liburd</v>
      </c>
      <c r="F4373" t="str">
        <f>"PRE-AICE FRENCH 1 IG"</f>
        <v>PRE-AICE FRENCH 1 IG</v>
      </c>
      <c r="G4373" t="str">
        <f>"05-519"</f>
        <v>05-519</v>
      </c>
      <c r="H4373" t="str">
        <f>"B"</f>
        <v>B</v>
      </c>
    </row>
    <row r="4374" spans="1:8" x14ac:dyDescent="0.2">
      <c r="A4374" t="str">
        <f t="shared" si="1602"/>
        <v>0616070749</v>
      </c>
      <c r="B4374" t="str">
        <f t="shared" si="1603"/>
        <v>LUIZA</v>
      </c>
      <c r="C4374" t="str">
        <f t="shared" si="1604"/>
        <v>DIAS</v>
      </c>
      <c r="D4374">
        <f>10</f>
        <v>10</v>
      </c>
      <c r="E4374" t="str">
        <f>"05 - B - 106 - Thomas G Handwerg"</f>
        <v>05 - B - 106 - Thomas G Handwerg</v>
      </c>
      <c r="F4374" t="str">
        <f>"MATH COLL ALGEBRA"</f>
        <v>MATH COLL ALGEBRA</v>
      </c>
      <c r="G4374" t="str">
        <f>"21-2146"</f>
        <v>21-2146</v>
      </c>
      <c r="H4374" t="str">
        <f>"B"</f>
        <v>B</v>
      </c>
    </row>
    <row r="4375" spans="1:8" x14ac:dyDescent="0.2">
      <c r="A4375" t="str">
        <f t="shared" si="1602"/>
        <v>0616070749</v>
      </c>
      <c r="B4375" t="str">
        <f t="shared" si="1603"/>
        <v>LUIZA</v>
      </c>
      <c r="C4375" t="str">
        <f t="shared" si="1604"/>
        <v>DIAS</v>
      </c>
      <c r="D4375">
        <f>10</f>
        <v>10</v>
      </c>
      <c r="E4375" t="str">
        <f>"01 - A - 001 - Dorothy D Moore"</f>
        <v>01 - A - 001 - Dorothy D Moore</v>
      </c>
      <c r="F4375" t="str">
        <f>"ANAT PHYSIO HON"</f>
        <v>ANAT PHYSIO HON</v>
      </c>
      <c r="G4375" t="str">
        <f>"08-803"</f>
        <v>08-803</v>
      </c>
      <c r="H4375" t="str">
        <f>"A"</f>
        <v>A</v>
      </c>
    </row>
    <row r="4376" spans="1:8" x14ac:dyDescent="0.2">
      <c r="A4376" t="str">
        <f t="shared" si="1602"/>
        <v>0616070749</v>
      </c>
      <c r="B4376" t="str">
        <f t="shared" si="1603"/>
        <v>LUIZA</v>
      </c>
      <c r="C4376" t="str">
        <f t="shared" si="1604"/>
        <v>DIAS</v>
      </c>
      <c r="D4376">
        <f>10</f>
        <v>10</v>
      </c>
      <c r="E4376" t="str">
        <f>"08 - B - 109 - Rory T Sponsler"</f>
        <v>08 - B - 109 - Rory T Sponsler</v>
      </c>
      <c r="F4376" t="str">
        <f>"PRE-AICE WRLD HST IG"</f>
        <v>PRE-AICE WRLD HST IG</v>
      </c>
      <c r="G4376" t="str">
        <f>"17-1740"</f>
        <v>17-1740</v>
      </c>
      <c r="H4376" t="str">
        <f>"B"</f>
        <v>B</v>
      </c>
    </row>
    <row r="4377" spans="1:8" x14ac:dyDescent="0.2">
      <c r="A4377" t="str">
        <f t="shared" ref="A4377:A4384" si="1605">"0616157849"</f>
        <v>0616157849</v>
      </c>
      <c r="B4377" t="str">
        <f t="shared" ref="B4377:B4384" si="1606">"ALAINA"</f>
        <v>ALAINA</v>
      </c>
      <c r="C4377" t="str">
        <f t="shared" ref="C4377:C4419" si="1607">"DIAZ"</f>
        <v>DIAZ</v>
      </c>
      <c r="D4377" t="str">
        <f t="shared" ref="D4377:D4384" si="1608">"09"</f>
        <v>09</v>
      </c>
      <c r="E4377" t="str">
        <f>"04 - A - 203 - Cheryl L Beach"</f>
        <v>04 - A - 203 - Cheryl L Beach</v>
      </c>
      <c r="F4377" t="str">
        <f>"AICE ENV MGMNT AS"</f>
        <v>AICE ENV MGMNT AS</v>
      </c>
      <c r="G4377" t="str">
        <f>"08-811"</f>
        <v>08-811</v>
      </c>
      <c r="H4377" t="str">
        <f>"A"</f>
        <v>A</v>
      </c>
    </row>
    <row r="4378" spans="1:8" x14ac:dyDescent="0.2">
      <c r="A4378" t="str">
        <f t="shared" si="1605"/>
        <v>0616157849</v>
      </c>
      <c r="B4378" t="str">
        <f t="shared" si="1606"/>
        <v>ALAINA</v>
      </c>
      <c r="C4378" t="str">
        <f t="shared" si="1607"/>
        <v>DIAZ</v>
      </c>
      <c r="D4378" t="str">
        <f t="shared" si="1608"/>
        <v>09</v>
      </c>
      <c r="E4378" t="str">
        <f>"06 - B - 104 - Lytrell T Dixon"</f>
        <v>06 - B - 104 - Lytrell T Dixon</v>
      </c>
      <c r="F4378" t="str">
        <f>"PRE-AICE BIO IG"</f>
        <v>PRE-AICE BIO IG</v>
      </c>
      <c r="G4378" t="str">
        <f>"08-808"</f>
        <v>08-808</v>
      </c>
      <c r="H4378" t="str">
        <f>"B"</f>
        <v>B</v>
      </c>
    </row>
    <row r="4379" spans="1:8" x14ac:dyDescent="0.2">
      <c r="A4379" t="str">
        <f t="shared" si="1605"/>
        <v>0616157849</v>
      </c>
      <c r="B4379" t="str">
        <f t="shared" si="1606"/>
        <v>ALAINA</v>
      </c>
      <c r="C4379" t="str">
        <f t="shared" si="1607"/>
        <v>DIAZ</v>
      </c>
      <c r="D4379" t="str">
        <f t="shared" si="1608"/>
        <v>09</v>
      </c>
      <c r="E4379" t="str">
        <f>"03 - S1 - A - 101 - Daniel S Katz"</f>
        <v>03 - S1 - A - 101 - Daniel S Katz</v>
      </c>
      <c r="F4379" t="str">
        <f>"COURT PROCED"</f>
        <v>COURT PROCED</v>
      </c>
      <c r="G4379" t="str">
        <f>"21-2156"</f>
        <v>21-2156</v>
      </c>
      <c r="H4379" t="str">
        <f>"A"</f>
        <v>A</v>
      </c>
    </row>
    <row r="4380" spans="1:8" x14ac:dyDescent="0.2">
      <c r="A4380" t="str">
        <f t="shared" si="1605"/>
        <v>0616157849</v>
      </c>
      <c r="B4380" t="str">
        <f t="shared" si="1606"/>
        <v>ALAINA</v>
      </c>
      <c r="C4380" t="str">
        <f t="shared" si="1607"/>
        <v>DIAZ</v>
      </c>
      <c r="D4380" t="str">
        <f t="shared" si="1608"/>
        <v>09</v>
      </c>
      <c r="E4380" t="str">
        <f>"02 - A - 101 - Josiah I Lacy"</f>
        <v>02 - A - 101 - Josiah I Lacy</v>
      </c>
      <c r="F4380" t="str">
        <f>"NC STUDY HALL 1"</f>
        <v>NC STUDY HALL 1</v>
      </c>
      <c r="G4380" t="str">
        <f>"08-801"</f>
        <v>08-801</v>
      </c>
      <c r="H4380" t="str">
        <f>"A"</f>
        <v>A</v>
      </c>
    </row>
    <row r="4381" spans="1:8" x14ac:dyDescent="0.2">
      <c r="A4381" t="str">
        <f t="shared" si="1605"/>
        <v>0616157849</v>
      </c>
      <c r="B4381" t="str">
        <f t="shared" si="1606"/>
        <v>ALAINA</v>
      </c>
      <c r="C4381" t="str">
        <f t="shared" si="1607"/>
        <v>DIAZ</v>
      </c>
      <c r="D4381" t="str">
        <f t="shared" si="1608"/>
        <v>09</v>
      </c>
      <c r="E4381" t="str">
        <f>"07 - B - 107 - Brook E Goren"</f>
        <v>07 - B - 107 - Brook E Goren</v>
      </c>
      <c r="F4381" t="str">
        <f>"PRE-AICE MATH 2 IG"</f>
        <v>PRE-AICE MATH 2 IG</v>
      </c>
      <c r="G4381" t="str">
        <f>"21-2158"</f>
        <v>21-2158</v>
      </c>
      <c r="H4381" t="str">
        <f>"B"</f>
        <v>B</v>
      </c>
    </row>
    <row r="4382" spans="1:8" x14ac:dyDescent="0.2">
      <c r="A4382" t="str">
        <f t="shared" si="1605"/>
        <v>0616157849</v>
      </c>
      <c r="B4382" t="str">
        <f t="shared" si="1606"/>
        <v>ALAINA</v>
      </c>
      <c r="C4382" t="str">
        <f t="shared" si="1607"/>
        <v>DIAZ</v>
      </c>
      <c r="D4382" t="str">
        <f t="shared" si="1608"/>
        <v>09</v>
      </c>
      <c r="E4382" t="str">
        <f>"05 - B - 204 - Elizabeth R Walker"</f>
        <v>05 - B - 204 - Elizabeth R Walker</v>
      </c>
      <c r="F4382" t="str">
        <f>"AICE ENG GEN PAPER 1"</f>
        <v>AICE ENG GEN PAPER 1</v>
      </c>
      <c r="G4382" t="str">
        <f>"17-1703"</f>
        <v>17-1703</v>
      </c>
      <c r="H4382" t="str">
        <f>"B"</f>
        <v>B</v>
      </c>
    </row>
    <row r="4383" spans="1:8" x14ac:dyDescent="0.2">
      <c r="A4383" t="str">
        <f t="shared" si="1605"/>
        <v>0616157849</v>
      </c>
      <c r="B4383" t="str">
        <f t="shared" si="1606"/>
        <v>ALAINA</v>
      </c>
      <c r="C4383" t="str">
        <f t="shared" si="1607"/>
        <v>DIAZ</v>
      </c>
      <c r="D4383" t="str">
        <f t="shared" si="1608"/>
        <v>09</v>
      </c>
      <c r="E4383" t="str">
        <f>"01 - A - 002 - Krystal Marie  Beruty"</f>
        <v>01 - A - 002 - Krystal Marie  Beruty</v>
      </c>
      <c r="F4383" t="str">
        <f>"AICE GLBL PERSP 1 AS"</f>
        <v>AICE GLBL PERSP 1 AS</v>
      </c>
      <c r="G4383" t="str">
        <f>"17-1721"</f>
        <v>17-1721</v>
      </c>
      <c r="H4383" t="str">
        <f>"A"</f>
        <v>A</v>
      </c>
    </row>
    <row r="4384" spans="1:8" x14ac:dyDescent="0.2">
      <c r="A4384" t="str">
        <f t="shared" si="1605"/>
        <v>0616157849</v>
      </c>
      <c r="B4384" t="str">
        <f t="shared" si="1606"/>
        <v>ALAINA</v>
      </c>
      <c r="C4384" t="str">
        <f t="shared" si="1607"/>
        <v>DIAZ</v>
      </c>
      <c r="D4384" t="str">
        <f t="shared" si="1608"/>
        <v>09</v>
      </c>
      <c r="E4384" t="str">
        <f>"08 - B - 101 - Alejandro  Navarro"</f>
        <v>08 - B - 101 - Alejandro  Navarro</v>
      </c>
      <c r="F4384" t="str">
        <f>"GUITAR 1"</f>
        <v>GUITAR 1</v>
      </c>
      <c r="G4384" t="str">
        <f>"05-504"</f>
        <v>05-504</v>
      </c>
      <c r="H4384" t="str">
        <f>"B"</f>
        <v>B</v>
      </c>
    </row>
    <row r="4385" spans="1:8" x14ac:dyDescent="0.2">
      <c r="A4385" t="str">
        <f t="shared" ref="A4385:A4393" si="1609">"0613054349"</f>
        <v>0613054349</v>
      </c>
      <c r="B4385" t="str">
        <f t="shared" ref="B4385:B4393" si="1610">"CARLOS"</f>
        <v>CARLOS</v>
      </c>
      <c r="C4385" t="str">
        <f t="shared" si="1607"/>
        <v>DIAZ</v>
      </c>
      <c r="D4385">
        <f>12</f>
        <v>12</v>
      </c>
      <c r="E4385" t="str">
        <f>"04 - S1 - A - 106 - Kelly N Panza"</f>
        <v>04 - S1 - A - 106 - Kelly N Panza</v>
      </c>
      <c r="F4385" t="str">
        <f>"US GOVT HON"</f>
        <v>US GOVT HON</v>
      </c>
      <c r="G4385" t="str">
        <f>"17-1753"</f>
        <v>17-1753</v>
      </c>
      <c r="H4385" t="str">
        <f>"A"</f>
        <v>A</v>
      </c>
    </row>
    <row r="4386" spans="1:8" x14ac:dyDescent="0.2">
      <c r="A4386" t="str">
        <f t="shared" si="1609"/>
        <v>0613054349</v>
      </c>
      <c r="B4386" t="str">
        <f t="shared" si="1610"/>
        <v>CARLOS</v>
      </c>
      <c r="C4386" t="str">
        <f t="shared" si="1607"/>
        <v>DIAZ</v>
      </c>
      <c r="D4386">
        <f>12</f>
        <v>12</v>
      </c>
      <c r="E4386" t="str">
        <f>"06 - B - 105 - Robyn L Trainer"</f>
        <v>06 - B - 105 - Robyn L Trainer</v>
      </c>
      <c r="F4386" t="str">
        <f>"NC STUDY HALL 1"</f>
        <v>NC STUDY HALL 1</v>
      </c>
      <c r="G4386" t="str">
        <f>"17-1734"</f>
        <v>17-1734</v>
      </c>
      <c r="H4386" t="str">
        <f>"B"</f>
        <v>B</v>
      </c>
    </row>
    <row r="4387" spans="1:8" x14ac:dyDescent="0.2">
      <c r="A4387" t="str">
        <f t="shared" si="1609"/>
        <v>0613054349</v>
      </c>
      <c r="B4387" t="str">
        <f t="shared" si="1610"/>
        <v>CARLOS</v>
      </c>
      <c r="C4387" t="str">
        <f t="shared" si="1607"/>
        <v>DIAZ</v>
      </c>
      <c r="D4387">
        <f>12</f>
        <v>12</v>
      </c>
      <c r="E4387" t="str">
        <f>"06 - B - 116 - Karen A Toomer"</f>
        <v>06 - B - 116 - Karen A Toomer</v>
      </c>
      <c r="F4387" t="str">
        <f>"LANG THERAPY"</f>
        <v>LANG THERAPY</v>
      </c>
      <c r="G4387" t="str">
        <f>"21-2110"</f>
        <v>21-2110</v>
      </c>
      <c r="H4387" t="str">
        <f>"B"</f>
        <v>B</v>
      </c>
    </row>
    <row r="4388" spans="1:8" x14ac:dyDescent="0.2">
      <c r="A4388" t="str">
        <f t="shared" si="1609"/>
        <v>0613054349</v>
      </c>
      <c r="B4388" t="str">
        <f t="shared" si="1610"/>
        <v>CARLOS</v>
      </c>
      <c r="C4388" t="str">
        <f t="shared" si="1607"/>
        <v>DIAZ</v>
      </c>
      <c r="D4388">
        <f>12</f>
        <v>12</v>
      </c>
      <c r="E4388" t="str">
        <f>"03 - A - 201 - Emmily A Sarmiento"</f>
        <v>03 - A - 201 - Emmily A Sarmiento</v>
      </c>
      <c r="F4388" t="str">
        <f>"LEAD SKLS DEV LH"</f>
        <v>LEAD SKLS DEV LH</v>
      </c>
      <c r="G4388" t="str">
        <f>"17-1743"</f>
        <v>17-1743</v>
      </c>
      <c r="H4388" t="str">
        <f>"A"</f>
        <v>A</v>
      </c>
    </row>
    <row r="4389" spans="1:8" x14ac:dyDescent="0.2">
      <c r="A4389" t="str">
        <f t="shared" si="1609"/>
        <v>0613054349</v>
      </c>
      <c r="B4389" t="str">
        <f t="shared" si="1610"/>
        <v>CARLOS</v>
      </c>
      <c r="C4389" t="str">
        <f t="shared" si="1607"/>
        <v>DIAZ</v>
      </c>
      <c r="D4389">
        <f>12</f>
        <v>12</v>
      </c>
      <c r="E4389" t="str">
        <f>"02 - A - 204 - Jacqueline R Morphet"</f>
        <v>02 - A - 204 - Jacqueline R Morphet</v>
      </c>
      <c r="F4389" t="str">
        <f>"PHYSICS 1 HON"</f>
        <v>PHYSICS 1 HON</v>
      </c>
      <c r="G4389" t="str">
        <f>"21-2138"</f>
        <v>21-2138</v>
      </c>
      <c r="H4389" t="str">
        <f>"A"</f>
        <v>A</v>
      </c>
    </row>
    <row r="4390" spans="1:8" x14ac:dyDescent="0.2">
      <c r="A4390" t="str">
        <f t="shared" si="1609"/>
        <v>0613054349</v>
      </c>
      <c r="B4390" t="str">
        <f t="shared" si="1610"/>
        <v>CARLOS</v>
      </c>
      <c r="C4390" t="str">
        <f t="shared" si="1607"/>
        <v>DIAZ</v>
      </c>
      <c r="D4390">
        <f>12</f>
        <v>12</v>
      </c>
      <c r="E4390" t="str">
        <f>"07 - B - 102 - Pamela M Corzo"</f>
        <v>07 - B - 102 - Pamela M Corzo</v>
      </c>
      <c r="F4390" t="str">
        <f>"AP CALCULUS AB"</f>
        <v>AP CALCULUS AB</v>
      </c>
      <c r="G4390" t="str">
        <f>"21-2133"</f>
        <v>21-2133</v>
      </c>
      <c r="H4390" t="str">
        <f>"B"</f>
        <v>B</v>
      </c>
    </row>
    <row r="4391" spans="1:8" x14ac:dyDescent="0.2">
      <c r="A4391" t="str">
        <f t="shared" si="1609"/>
        <v>0613054349</v>
      </c>
      <c r="B4391" t="str">
        <f t="shared" si="1610"/>
        <v>CARLOS</v>
      </c>
      <c r="C4391" t="str">
        <f t="shared" si="1607"/>
        <v>DIAZ</v>
      </c>
      <c r="D4391">
        <f>12</f>
        <v>12</v>
      </c>
      <c r="E4391" t="str">
        <f>"05 - S1 - B - 102 - Richard E Dunbar Iii"</f>
        <v>05 - S1 - B - 102 - Richard E Dunbar Iii</v>
      </c>
      <c r="F4391" t="str">
        <f>"TEAM SPORTS 1"</f>
        <v>TEAM SPORTS 1</v>
      </c>
      <c r="G4391" t="str">
        <f>"04-254"</f>
        <v>04-254</v>
      </c>
      <c r="H4391" t="str">
        <f>"B"</f>
        <v>B</v>
      </c>
    </row>
    <row r="4392" spans="1:8" x14ac:dyDescent="0.2">
      <c r="A4392" t="str">
        <f t="shared" si="1609"/>
        <v>0613054349</v>
      </c>
      <c r="B4392" t="str">
        <f t="shared" si="1610"/>
        <v>CARLOS</v>
      </c>
      <c r="C4392" t="str">
        <f t="shared" si="1607"/>
        <v>DIAZ</v>
      </c>
      <c r="D4392">
        <f>12</f>
        <v>12</v>
      </c>
      <c r="E4392" t="str">
        <f>"01 - A - 103 - Jeffrey S Gallagher"</f>
        <v>01 - A - 103 - Jeffrey S Gallagher</v>
      </c>
      <c r="F4392" t="str">
        <f>"ENG HON 4"</f>
        <v>ENG HON 4</v>
      </c>
      <c r="G4392" t="str">
        <f>"17-1724"</f>
        <v>17-1724</v>
      </c>
      <c r="H4392" t="str">
        <f>"A"</f>
        <v>A</v>
      </c>
    </row>
    <row r="4393" spans="1:8" x14ac:dyDescent="0.2">
      <c r="A4393" t="str">
        <f t="shared" si="1609"/>
        <v>0613054349</v>
      </c>
      <c r="B4393" t="str">
        <f t="shared" si="1610"/>
        <v>CARLOS</v>
      </c>
      <c r="C4393" t="str">
        <f t="shared" si="1607"/>
        <v>DIAZ</v>
      </c>
      <c r="D4393">
        <f>12</f>
        <v>12</v>
      </c>
      <c r="E4393" t="str">
        <f>"08 - B - 001 - Chrystina M Marchionne"</f>
        <v>08 - B - 001 - Chrystina M Marchionne</v>
      </c>
      <c r="F4393" t="str">
        <f>"JOURN 1 (YB) LH"</f>
        <v>JOURN 1 (YB) LH</v>
      </c>
      <c r="G4393" t="str">
        <f>"05-520"</f>
        <v>05-520</v>
      </c>
      <c r="H4393" t="str">
        <f>"B"</f>
        <v>B</v>
      </c>
    </row>
    <row r="4394" spans="1:8" x14ac:dyDescent="0.2">
      <c r="A4394" t="str">
        <f t="shared" ref="A4394:A4403" si="1611">"0613138735"</f>
        <v>0613138735</v>
      </c>
      <c r="B4394" t="str">
        <f t="shared" ref="B4394:B4403" si="1612">"EILEEN"</f>
        <v>EILEEN</v>
      </c>
      <c r="C4394" t="str">
        <f t="shared" si="1607"/>
        <v>DIAZ</v>
      </c>
      <c r="D4394">
        <f>12</f>
        <v>12</v>
      </c>
      <c r="E4394" t="str">
        <f>"19 - S1 - MTWHF - BCC - Instructor BC"</f>
        <v>19 - S1 - MTWHF - BCC - Instructor BC</v>
      </c>
      <c r="F4394" t="str">
        <f>"PRIN ECONOMICS I"</f>
        <v>PRIN ECONOMICS I</v>
      </c>
      <c r="G4394" t="str">
        <f>"60-DE"</f>
        <v>60-DE</v>
      </c>
      <c r="H4394" t="str">
        <f>"-"</f>
        <v>-</v>
      </c>
    </row>
    <row r="4395" spans="1:8" x14ac:dyDescent="0.2">
      <c r="A4395" t="str">
        <f t="shared" si="1611"/>
        <v>0613138735</v>
      </c>
      <c r="B4395" t="str">
        <f t="shared" si="1612"/>
        <v>EILEEN</v>
      </c>
      <c r="C4395" t="str">
        <f t="shared" si="1607"/>
        <v>DIAZ</v>
      </c>
      <c r="D4395">
        <f>12</f>
        <v>12</v>
      </c>
      <c r="E4395" t="str">
        <f>"19 - S1 - MTWHF - B18 - Instructor BC"</f>
        <v>19 - S1 - MTWHF - B18 - Instructor BC</v>
      </c>
      <c r="F4395" t="str">
        <f>"BEG SPANISH I"</f>
        <v>BEG SPANISH I</v>
      </c>
      <c r="G4395" t="str">
        <f>"60-DE"</f>
        <v>60-DE</v>
      </c>
      <c r="H4395" t="str">
        <f>"-"</f>
        <v>-</v>
      </c>
    </row>
    <row r="4396" spans="1:8" x14ac:dyDescent="0.2">
      <c r="A4396" t="str">
        <f t="shared" si="1611"/>
        <v>0613138735</v>
      </c>
      <c r="B4396" t="str">
        <f t="shared" si="1612"/>
        <v>EILEEN</v>
      </c>
      <c r="C4396" t="str">
        <f t="shared" si="1607"/>
        <v>DIAZ</v>
      </c>
      <c r="D4396">
        <f>12</f>
        <v>12</v>
      </c>
      <c r="E4396" t="str">
        <f>"04 - S1 - A - 101 - Barbara L Segal"</f>
        <v>04 - S1 - A - 101 - Barbara L Segal</v>
      </c>
      <c r="F4396" t="str">
        <f>"AP US GOVT/POL"</f>
        <v>AP US GOVT/POL</v>
      </c>
      <c r="G4396" t="str">
        <f>"17-1742"</f>
        <v>17-1742</v>
      </c>
      <c r="H4396" t="str">
        <f>"A"</f>
        <v>A</v>
      </c>
    </row>
    <row r="4397" spans="1:8" x14ac:dyDescent="0.2">
      <c r="A4397" t="str">
        <f t="shared" si="1611"/>
        <v>0613138735</v>
      </c>
      <c r="B4397" t="str">
        <f t="shared" si="1612"/>
        <v>EILEEN</v>
      </c>
      <c r="C4397" t="str">
        <f t="shared" si="1607"/>
        <v>DIAZ</v>
      </c>
      <c r="D4397">
        <f>12</f>
        <v>12</v>
      </c>
      <c r="E4397" t="str">
        <f>"06 - B - 104 - Vanessa J Liburd"</f>
        <v>06 - B - 104 - Vanessa J Liburd</v>
      </c>
      <c r="F4397" t="str">
        <f>"NC STUDY HALL 1"</f>
        <v>NC STUDY HALL 1</v>
      </c>
      <c r="G4397" t="str">
        <f>"05-519"</f>
        <v>05-519</v>
      </c>
      <c r="H4397" t="str">
        <f>"B"</f>
        <v>B</v>
      </c>
    </row>
    <row r="4398" spans="1:8" x14ac:dyDescent="0.2">
      <c r="A4398" t="str">
        <f t="shared" si="1611"/>
        <v>0613138735</v>
      </c>
      <c r="B4398" t="str">
        <f t="shared" si="1612"/>
        <v>EILEEN</v>
      </c>
      <c r="C4398" t="str">
        <f t="shared" si="1607"/>
        <v>DIAZ</v>
      </c>
      <c r="D4398">
        <f>12</f>
        <v>12</v>
      </c>
      <c r="E4398" t="str">
        <f>"03 - A - 203 - Stefanie S Scher"</f>
        <v>03 - A - 203 - Stefanie S Scher</v>
      </c>
      <c r="F4398" t="str">
        <f>"AP PSYCH"</f>
        <v>AP PSYCH</v>
      </c>
      <c r="G4398" t="str">
        <f>"17-1735"</f>
        <v>17-1735</v>
      </c>
      <c r="H4398" t="str">
        <f>"A"</f>
        <v>A</v>
      </c>
    </row>
    <row r="4399" spans="1:8" x14ac:dyDescent="0.2">
      <c r="A4399" t="str">
        <f t="shared" si="1611"/>
        <v>0613138735</v>
      </c>
      <c r="B4399" t="str">
        <f t="shared" si="1612"/>
        <v>EILEEN</v>
      </c>
      <c r="C4399" t="str">
        <f t="shared" si="1607"/>
        <v>DIAZ</v>
      </c>
      <c r="D4399">
        <f>12</f>
        <v>12</v>
      </c>
      <c r="E4399" t="str">
        <f>"02 - A - 204 - Jacqueline R Morphet"</f>
        <v>02 - A - 204 - Jacqueline R Morphet</v>
      </c>
      <c r="F4399" t="str">
        <f>"PHYSICS 1 HON"</f>
        <v>PHYSICS 1 HON</v>
      </c>
      <c r="G4399" t="str">
        <f>"21-2138"</f>
        <v>21-2138</v>
      </c>
      <c r="H4399" t="str">
        <f>"A"</f>
        <v>A</v>
      </c>
    </row>
    <row r="4400" spans="1:8" x14ac:dyDescent="0.2">
      <c r="A4400" t="str">
        <f t="shared" si="1611"/>
        <v>0613138735</v>
      </c>
      <c r="B4400" t="str">
        <f t="shared" si="1612"/>
        <v>EILEEN</v>
      </c>
      <c r="C4400" t="str">
        <f t="shared" si="1607"/>
        <v>DIAZ</v>
      </c>
      <c r="D4400">
        <f>12</f>
        <v>12</v>
      </c>
      <c r="E4400" t="str">
        <f>"07 - B - 102 - Courtney E Hambright"</f>
        <v>07 - B - 102 - Courtney E Hambright</v>
      </c>
      <c r="F4400" t="str">
        <f>"AP ENG LIT COMPO"</f>
        <v>AP ENG LIT COMPO</v>
      </c>
      <c r="G4400" t="str">
        <f>"17-1711"</f>
        <v>17-1711</v>
      </c>
      <c r="H4400" t="str">
        <f>"B"</f>
        <v>B</v>
      </c>
    </row>
    <row r="4401" spans="1:8" x14ac:dyDescent="0.2">
      <c r="A4401" t="str">
        <f t="shared" si="1611"/>
        <v>0613138735</v>
      </c>
      <c r="B4401" t="str">
        <f t="shared" si="1612"/>
        <v>EILEEN</v>
      </c>
      <c r="C4401" t="str">
        <f t="shared" si="1607"/>
        <v>DIAZ</v>
      </c>
      <c r="D4401">
        <f>12</f>
        <v>12</v>
      </c>
      <c r="E4401" t="str">
        <f>"05 - B - 104 - Semra  Bahadir"</f>
        <v>05 - B - 104 - Semra  Bahadir</v>
      </c>
      <c r="F4401" t="str">
        <f>"MATH COLL ALGEBRA"</f>
        <v>MATH COLL ALGEBRA</v>
      </c>
      <c r="G4401" t="str">
        <f>"21-2107"</f>
        <v>21-2107</v>
      </c>
      <c r="H4401" t="str">
        <f>"B"</f>
        <v>B</v>
      </c>
    </row>
    <row r="4402" spans="1:8" x14ac:dyDescent="0.2">
      <c r="A4402" t="str">
        <f t="shared" si="1611"/>
        <v>0613138735</v>
      </c>
      <c r="B4402" t="str">
        <f t="shared" si="1612"/>
        <v>EILEEN</v>
      </c>
      <c r="C4402" t="str">
        <f t="shared" si="1607"/>
        <v>DIAZ</v>
      </c>
      <c r="D4402">
        <f>12</f>
        <v>12</v>
      </c>
      <c r="E4402" t="str">
        <f>"01 - A - 101 - Kelly N Panza"</f>
        <v>01 - A - 101 - Kelly N Panza</v>
      </c>
      <c r="F4402" t="str">
        <f>"AP HUMAN GEOG"</f>
        <v>AP HUMAN GEOG</v>
      </c>
      <c r="G4402" t="str">
        <f>"17-1753"</f>
        <v>17-1753</v>
      </c>
      <c r="H4402" t="str">
        <f>"A"</f>
        <v>A</v>
      </c>
    </row>
    <row r="4403" spans="1:8" x14ac:dyDescent="0.2">
      <c r="A4403" t="str">
        <f t="shared" si="1611"/>
        <v>0613138735</v>
      </c>
      <c r="B4403" t="str">
        <f t="shared" si="1612"/>
        <v>EILEEN</v>
      </c>
      <c r="C4403" t="str">
        <f t="shared" si="1607"/>
        <v>DIAZ</v>
      </c>
      <c r="D4403">
        <f>12</f>
        <v>12</v>
      </c>
      <c r="E4403" t="str">
        <f>"08 - B - 001 - Chrystina M Marchionne"</f>
        <v>08 - B - 001 - Chrystina M Marchionne</v>
      </c>
      <c r="F4403" t="str">
        <f>"JOURN 1 (YB) LH"</f>
        <v>JOURN 1 (YB) LH</v>
      </c>
      <c r="G4403" t="str">
        <f>"05-520"</f>
        <v>05-520</v>
      </c>
      <c r="H4403" t="str">
        <f>"B"</f>
        <v>B</v>
      </c>
    </row>
    <row r="4404" spans="1:8" x14ac:dyDescent="0.2">
      <c r="A4404" t="str">
        <f t="shared" ref="A4404:A4411" si="1613">"0623021520"</f>
        <v>0623021520</v>
      </c>
      <c r="B4404" t="str">
        <f t="shared" ref="B4404:B4411" si="1614">"EMILIA"</f>
        <v>EMILIA</v>
      </c>
      <c r="C4404" t="str">
        <f t="shared" si="1607"/>
        <v>DIAZ</v>
      </c>
      <c r="D4404" t="str">
        <f t="shared" ref="D4404:D4411" si="1615">"09"</f>
        <v>09</v>
      </c>
      <c r="E4404" t="str">
        <f>"04 - A - 005 - Emmily A Sarmiento"</f>
        <v>04 - A - 005 - Emmily A Sarmiento</v>
      </c>
      <c r="F4404" t="str">
        <f>"AICE GLBL PERSP 1 AS"</f>
        <v>AICE GLBL PERSP 1 AS</v>
      </c>
      <c r="G4404" t="str">
        <f>"17-1743"</f>
        <v>17-1743</v>
      </c>
      <c r="H4404" t="str">
        <f>"A"</f>
        <v>A</v>
      </c>
    </row>
    <row r="4405" spans="1:8" x14ac:dyDescent="0.2">
      <c r="A4405" t="str">
        <f t="shared" si="1613"/>
        <v>0623021520</v>
      </c>
      <c r="B4405" t="str">
        <f t="shared" si="1614"/>
        <v>EMILIA</v>
      </c>
      <c r="C4405" t="str">
        <f t="shared" si="1607"/>
        <v>DIAZ</v>
      </c>
      <c r="D4405" t="str">
        <f t="shared" si="1615"/>
        <v>09</v>
      </c>
      <c r="E4405" t="str">
        <f>"06 - B - 104 - Lytrell T Dixon"</f>
        <v>06 - B - 104 - Lytrell T Dixon</v>
      </c>
      <c r="F4405" t="str">
        <f>"PRE-AICE BIO IG"</f>
        <v>PRE-AICE BIO IG</v>
      </c>
      <c r="G4405" t="str">
        <f>"08-808"</f>
        <v>08-808</v>
      </c>
      <c r="H4405" t="str">
        <f>"B"</f>
        <v>B</v>
      </c>
    </row>
    <row r="4406" spans="1:8" x14ac:dyDescent="0.2">
      <c r="A4406" t="str">
        <f t="shared" si="1613"/>
        <v>0623021520</v>
      </c>
      <c r="B4406" t="str">
        <f t="shared" si="1614"/>
        <v>EMILIA</v>
      </c>
      <c r="C4406" t="str">
        <f t="shared" si="1607"/>
        <v>DIAZ</v>
      </c>
      <c r="D4406" t="str">
        <f t="shared" si="1615"/>
        <v>09</v>
      </c>
      <c r="E4406" t="str">
        <f>"03 - A - 202 - Cheryl L Beach"</f>
        <v>03 - A - 202 - Cheryl L Beach</v>
      </c>
      <c r="F4406" t="str">
        <f>"AICE ENV MGMNT AS"</f>
        <v>AICE ENV MGMNT AS</v>
      </c>
      <c r="G4406" t="str">
        <f>"08-811"</f>
        <v>08-811</v>
      </c>
      <c r="H4406" t="str">
        <f>"A"</f>
        <v>A</v>
      </c>
    </row>
    <row r="4407" spans="1:8" x14ac:dyDescent="0.2">
      <c r="A4407" t="str">
        <f t="shared" si="1613"/>
        <v>0623021520</v>
      </c>
      <c r="B4407" t="str">
        <f t="shared" si="1614"/>
        <v>EMILIA</v>
      </c>
      <c r="C4407" t="str">
        <f t="shared" si="1607"/>
        <v>DIAZ</v>
      </c>
      <c r="D4407" t="str">
        <f t="shared" si="1615"/>
        <v>09</v>
      </c>
      <c r="E4407" t="str">
        <f>"02 - A - 107 - Cerine S Stewart"</f>
        <v>02 - A - 107 - Cerine S Stewart</v>
      </c>
      <c r="F4407" t="str">
        <f>"NC STUDY HALL 1"</f>
        <v>NC STUDY HALL 1</v>
      </c>
      <c r="G4407" t="str">
        <f>"17-1720"</f>
        <v>17-1720</v>
      </c>
      <c r="H4407" t="str">
        <f>"A"</f>
        <v>A</v>
      </c>
    </row>
    <row r="4408" spans="1:8" x14ac:dyDescent="0.2">
      <c r="A4408" t="str">
        <f t="shared" si="1613"/>
        <v>0623021520</v>
      </c>
      <c r="B4408" t="str">
        <f t="shared" si="1614"/>
        <v>EMILIA</v>
      </c>
      <c r="C4408" t="str">
        <f t="shared" si="1607"/>
        <v>DIAZ</v>
      </c>
      <c r="D4408" t="str">
        <f t="shared" si="1615"/>
        <v>09</v>
      </c>
      <c r="E4408" t="str">
        <f>"07 - B - 003 - Brandy N Zdenek"</f>
        <v>07 - B - 003 - Brandy N Zdenek</v>
      </c>
      <c r="F4408" t="str">
        <f>"AICE ENG GEN PAPER 1"</f>
        <v>AICE ENG GEN PAPER 1</v>
      </c>
      <c r="G4408" t="str">
        <f>"17-1704"</f>
        <v>17-1704</v>
      </c>
      <c r="H4408" t="str">
        <f>"B"</f>
        <v>B</v>
      </c>
    </row>
    <row r="4409" spans="1:8" x14ac:dyDescent="0.2">
      <c r="A4409" t="str">
        <f t="shared" si="1613"/>
        <v>0623021520</v>
      </c>
      <c r="B4409" t="str">
        <f t="shared" si="1614"/>
        <v>EMILIA</v>
      </c>
      <c r="C4409" t="str">
        <f t="shared" si="1607"/>
        <v>DIAZ</v>
      </c>
      <c r="D4409" t="str">
        <f t="shared" si="1615"/>
        <v>09</v>
      </c>
      <c r="E4409" t="str">
        <f>"05 - B - 104 - Maried P Ramos"</f>
        <v>05 - B - 104 - Maried P Ramos</v>
      </c>
      <c r="F4409" t="str">
        <f>"PRE-AICE MATH 2 IG"</f>
        <v>PRE-AICE MATH 2 IG</v>
      </c>
      <c r="G4409" t="str">
        <f>"21-2159"</f>
        <v>21-2159</v>
      </c>
      <c r="H4409" t="str">
        <f>"B"</f>
        <v>B</v>
      </c>
    </row>
    <row r="4410" spans="1:8" x14ac:dyDescent="0.2">
      <c r="A4410" t="str">
        <f t="shared" si="1613"/>
        <v>0623021520</v>
      </c>
      <c r="B4410" t="str">
        <f t="shared" si="1614"/>
        <v>EMILIA</v>
      </c>
      <c r="C4410" t="str">
        <f t="shared" si="1607"/>
        <v>DIAZ</v>
      </c>
      <c r="D4410" t="str">
        <f t="shared" si="1615"/>
        <v>09</v>
      </c>
      <c r="E4410" t="str">
        <f>"01 - A - 101 - Marius D Orsolini"</f>
        <v>01 - A - 101 - Marius D Orsolini</v>
      </c>
      <c r="F4410" t="str">
        <f>"CULINARY ARTS 1"</f>
        <v>CULINARY ARTS 1</v>
      </c>
      <c r="G4410" t="str">
        <f>"21-2115"</f>
        <v>21-2115</v>
      </c>
      <c r="H4410" t="str">
        <f>"A"</f>
        <v>A</v>
      </c>
    </row>
    <row r="4411" spans="1:8" x14ac:dyDescent="0.2">
      <c r="A4411" t="str">
        <f t="shared" si="1613"/>
        <v>0623021520</v>
      </c>
      <c r="B4411" t="str">
        <f t="shared" si="1614"/>
        <v>EMILIA</v>
      </c>
      <c r="C4411" t="str">
        <f t="shared" si="1607"/>
        <v>DIAZ</v>
      </c>
      <c r="D4411" t="str">
        <f t="shared" si="1615"/>
        <v>09</v>
      </c>
      <c r="E4411" t="str">
        <f>"08 - B - 202 - Dorothy D Moore"</f>
        <v>08 - B - 202 - Dorothy D Moore</v>
      </c>
      <c r="F4411" t="str">
        <f>"HEALTH SCI 1/A&amp;P HON"</f>
        <v>HEALTH SCI 1/A&amp;P HON</v>
      </c>
      <c r="G4411" t="str">
        <f>"08-803"</f>
        <v>08-803</v>
      </c>
      <c r="H4411" t="str">
        <f>"B"</f>
        <v>B</v>
      </c>
    </row>
    <row r="4412" spans="1:8" x14ac:dyDescent="0.2">
      <c r="A4412" t="str">
        <f t="shared" ref="A4412:A4419" si="1616">"0614123710"</f>
        <v>0614123710</v>
      </c>
      <c r="B4412" t="str">
        <f t="shared" ref="B4412:B4419" si="1617">"JAZMIN"</f>
        <v>JAZMIN</v>
      </c>
      <c r="C4412" t="str">
        <f t="shared" si="1607"/>
        <v>DIAZ</v>
      </c>
      <c r="D4412">
        <f>11</f>
        <v>11</v>
      </c>
      <c r="E4412" t="str">
        <f>"04 - A - 102 - Jeffrey S Gallagher"</f>
        <v>04 - A - 102 - Jeffrey S Gallagher</v>
      </c>
      <c r="F4412" t="str">
        <f>"ENG HON 3"</f>
        <v>ENG HON 3</v>
      </c>
      <c r="G4412" t="str">
        <f>"17-1724"</f>
        <v>17-1724</v>
      </c>
      <c r="H4412" t="str">
        <f>"A"</f>
        <v>A</v>
      </c>
    </row>
    <row r="4413" spans="1:8" x14ac:dyDescent="0.2">
      <c r="A4413" t="str">
        <f t="shared" si="1616"/>
        <v>0614123710</v>
      </c>
      <c r="B4413" t="str">
        <f t="shared" si="1617"/>
        <v>JAZMIN</v>
      </c>
      <c r="C4413" t="str">
        <f t="shared" si="1607"/>
        <v>DIAZ</v>
      </c>
      <c r="D4413">
        <f>11</f>
        <v>11</v>
      </c>
      <c r="E4413" t="str">
        <f>"06 - B - 202 - Alejandro  Navarro"</f>
        <v>06 - B - 202 - Alejandro  Navarro</v>
      </c>
      <c r="F4413" t="str">
        <f>"BAND 1"</f>
        <v>BAND 1</v>
      </c>
      <c r="G4413" t="str">
        <f>"05-504"</f>
        <v>05-504</v>
      </c>
      <c r="H4413" t="str">
        <f>"B"</f>
        <v>B</v>
      </c>
    </row>
    <row r="4414" spans="1:8" x14ac:dyDescent="0.2">
      <c r="A4414" t="str">
        <f t="shared" si="1616"/>
        <v>0614123710</v>
      </c>
      <c r="B4414" t="str">
        <f t="shared" si="1617"/>
        <v>JAZMIN</v>
      </c>
      <c r="C4414" t="str">
        <f t="shared" si="1607"/>
        <v>DIAZ</v>
      </c>
      <c r="D4414">
        <f>11</f>
        <v>11</v>
      </c>
      <c r="E4414" t="str">
        <f>"03 - A - 101 - Emmily A Sarmiento"</f>
        <v>03 - A - 101 - Emmily A Sarmiento</v>
      </c>
      <c r="F4414" t="str">
        <f>"LEADER STRATS HONORS"</f>
        <v>LEADER STRATS HONORS</v>
      </c>
      <c r="G4414" t="str">
        <f>"17-1743"</f>
        <v>17-1743</v>
      </c>
      <c r="H4414" t="str">
        <f>"A"</f>
        <v>A</v>
      </c>
    </row>
    <row r="4415" spans="1:8" x14ac:dyDescent="0.2">
      <c r="A4415" t="str">
        <f t="shared" si="1616"/>
        <v>0614123710</v>
      </c>
      <c r="B4415" t="str">
        <f t="shared" si="1617"/>
        <v>JAZMIN</v>
      </c>
      <c r="C4415" t="str">
        <f t="shared" si="1607"/>
        <v>DIAZ</v>
      </c>
      <c r="D4415">
        <f>11</f>
        <v>11</v>
      </c>
      <c r="E4415" t="str">
        <f>"02 - A - 112 - Brandy N Zdenek"</f>
        <v>02 - A - 112 - Brandy N Zdenek</v>
      </c>
      <c r="F4415" t="str">
        <f>"NC STUDY HALL 1"</f>
        <v>NC STUDY HALL 1</v>
      </c>
      <c r="G4415" t="str">
        <f>"17-1704"</f>
        <v>17-1704</v>
      </c>
      <c r="H4415" t="str">
        <f>"A"</f>
        <v>A</v>
      </c>
    </row>
    <row r="4416" spans="1:8" x14ac:dyDescent="0.2">
      <c r="A4416" t="str">
        <f t="shared" si="1616"/>
        <v>0614123710</v>
      </c>
      <c r="B4416" t="str">
        <f t="shared" si="1617"/>
        <v>JAZMIN</v>
      </c>
      <c r="C4416" t="str">
        <f t="shared" si="1607"/>
        <v>DIAZ</v>
      </c>
      <c r="D4416">
        <f>11</f>
        <v>11</v>
      </c>
      <c r="E4416" t="str">
        <f>"07 - B - 106 - James H Mccann"</f>
        <v>07 - B - 106 - James H Mccann</v>
      </c>
      <c r="F4416" t="str">
        <f>"ALGEBRA 2"</f>
        <v>ALGEBRA 2</v>
      </c>
      <c r="G4416" t="str">
        <f>"17-1716"</f>
        <v>17-1716</v>
      </c>
      <c r="H4416" t="str">
        <f>"B"</f>
        <v>B</v>
      </c>
    </row>
    <row r="4417" spans="1:8" x14ac:dyDescent="0.2">
      <c r="A4417" t="str">
        <f t="shared" si="1616"/>
        <v>0614123710</v>
      </c>
      <c r="B4417" t="str">
        <f t="shared" si="1617"/>
        <v>JAZMIN</v>
      </c>
      <c r="C4417" t="str">
        <f t="shared" si="1607"/>
        <v>DIAZ</v>
      </c>
      <c r="D4417">
        <f>11</f>
        <v>11</v>
      </c>
      <c r="E4417" t="str">
        <f>"05 - B - 001 - Kyle  Robbins"</f>
        <v>05 - B - 001 - Kyle  Robbins</v>
      </c>
      <c r="F4417" t="str">
        <f>"US HISTORY HON"</f>
        <v>US HISTORY HON</v>
      </c>
      <c r="G4417" t="str">
        <f>"17-1745"</f>
        <v>17-1745</v>
      </c>
      <c r="H4417" t="str">
        <f>"B"</f>
        <v>B</v>
      </c>
    </row>
    <row r="4418" spans="1:8" x14ac:dyDescent="0.2">
      <c r="A4418" t="str">
        <f t="shared" si="1616"/>
        <v>0614123710</v>
      </c>
      <c r="B4418" t="str">
        <f t="shared" si="1617"/>
        <v>JAZMIN</v>
      </c>
      <c r="C4418" t="str">
        <f t="shared" si="1607"/>
        <v>DIAZ</v>
      </c>
      <c r="D4418">
        <f>11</f>
        <v>11</v>
      </c>
      <c r="E4418" t="str">
        <f>"01 - A - 101 - Adam Marcus  Drucker"</f>
        <v>01 - A - 101 - Adam Marcus  Drucker</v>
      </c>
      <c r="F4418" t="str">
        <f>"HOPE-PE V"</f>
        <v>HOPE-PE V</v>
      </c>
      <c r="G4418" t="str">
        <f>"04-254"</f>
        <v>04-254</v>
      </c>
      <c r="H4418" t="str">
        <f>"A"</f>
        <v>A</v>
      </c>
    </row>
    <row r="4419" spans="1:8" x14ac:dyDescent="0.2">
      <c r="A4419" t="str">
        <f t="shared" si="1616"/>
        <v>0614123710</v>
      </c>
      <c r="B4419" t="str">
        <f t="shared" si="1617"/>
        <v>JAZMIN</v>
      </c>
      <c r="C4419" t="str">
        <f t="shared" si="1607"/>
        <v>DIAZ</v>
      </c>
      <c r="D4419">
        <f>11</f>
        <v>11</v>
      </c>
      <c r="E4419" t="str">
        <f>"08 - B - 101 - Eva T Rimmer"</f>
        <v>08 - B - 101 - Eva T Rimmer</v>
      </c>
      <c r="F4419" t="str">
        <f>"CRIM JUST OPS 3 HON"</f>
        <v>CRIM JUST OPS 3 HON</v>
      </c>
      <c r="G4419" t="str">
        <f>"05-523"</f>
        <v>05-523</v>
      </c>
      <c r="H4419" t="str">
        <f>"B"</f>
        <v>B</v>
      </c>
    </row>
    <row r="4420" spans="1:8" x14ac:dyDescent="0.2">
      <c r="A4420" t="str">
        <f t="shared" ref="A4420:A4427" si="1618">"0625030285"</f>
        <v>0625030285</v>
      </c>
      <c r="B4420" t="str">
        <f t="shared" ref="B4420:B4427" si="1619">"Sharay"</f>
        <v>Sharay</v>
      </c>
      <c r="C4420" t="str">
        <f t="shared" ref="C4420:C4427" si="1620">"Diaz Buitrago"</f>
        <v>Diaz Buitrago</v>
      </c>
      <c r="D4420">
        <f>10</f>
        <v>10</v>
      </c>
      <c r="E4420" t="str">
        <f>"04 - A - 104 - Helen A Flores"</f>
        <v>04 - A - 104 - Helen A Flores</v>
      </c>
      <c r="F4420" t="str">
        <f>"FDN SKLS MATH 9-12"</f>
        <v>FDN SKLS MATH 9-12</v>
      </c>
      <c r="G4420" t="str">
        <f>"21-2101"</f>
        <v>21-2101</v>
      </c>
      <c r="H4420" t="str">
        <f>"A"</f>
        <v>A</v>
      </c>
    </row>
    <row r="4421" spans="1:8" x14ac:dyDescent="0.2">
      <c r="A4421" t="str">
        <f t="shared" si="1618"/>
        <v>0625030285</v>
      </c>
      <c r="B4421" t="str">
        <f t="shared" si="1619"/>
        <v>Sharay</v>
      </c>
      <c r="C4421" t="str">
        <f t="shared" si="1620"/>
        <v>Diaz Buitrago</v>
      </c>
      <c r="D4421">
        <f>10</f>
        <v>10</v>
      </c>
      <c r="E4421" t="str">
        <f>"06 - B - 103 - Vanessa J Liburd"</f>
        <v>06 - B - 103 - Vanessa J Liburd</v>
      </c>
      <c r="F4421" t="str">
        <f>"NC STUDY HALL 1"</f>
        <v>NC STUDY HALL 1</v>
      </c>
      <c r="G4421" t="str">
        <f>"05-519"</f>
        <v>05-519</v>
      </c>
      <c r="H4421" t="str">
        <f>"B"</f>
        <v>B</v>
      </c>
    </row>
    <row r="4422" spans="1:8" x14ac:dyDescent="0.2">
      <c r="A4422" t="str">
        <f t="shared" si="1618"/>
        <v>0625030285</v>
      </c>
      <c r="B4422" t="str">
        <f t="shared" si="1619"/>
        <v>Sharay</v>
      </c>
      <c r="C4422" t="str">
        <f t="shared" si="1620"/>
        <v>Diaz Buitrago</v>
      </c>
      <c r="D4422">
        <f>10</f>
        <v>10</v>
      </c>
      <c r="E4422" t="str">
        <f>"03 - A - 103 - Jacquelyn M Neeson"</f>
        <v>03 - A - 103 - Jacquelyn M Neeson</v>
      </c>
      <c r="F4422" t="str">
        <f>"ENG 2"</f>
        <v>ENG 2</v>
      </c>
      <c r="G4422" t="str">
        <f>"17-1715"</f>
        <v>17-1715</v>
      </c>
      <c r="H4422" t="str">
        <f>"A"</f>
        <v>A</v>
      </c>
    </row>
    <row r="4423" spans="1:8" x14ac:dyDescent="0.2">
      <c r="A4423" t="str">
        <f t="shared" si="1618"/>
        <v>0625030285</v>
      </c>
      <c r="B4423" t="str">
        <f t="shared" si="1619"/>
        <v>Sharay</v>
      </c>
      <c r="C4423" t="str">
        <f t="shared" si="1620"/>
        <v>Diaz Buitrago</v>
      </c>
      <c r="D4423">
        <f>10</f>
        <v>10</v>
      </c>
      <c r="E4423" t="str">
        <f>"02 - A - 102 - Taraneh C Abreu"</f>
        <v>02 - A - 102 - Taraneh C Abreu</v>
      </c>
      <c r="F4423" t="str">
        <f>"INTENS READ 2"</f>
        <v>INTENS READ 2</v>
      </c>
      <c r="G4423" t="str">
        <f>"17-1713"</f>
        <v>17-1713</v>
      </c>
      <c r="H4423" t="str">
        <f>"A"</f>
        <v>A</v>
      </c>
    </row>
    <row r="4424" spans="1:8" x14ac:dyDescent="0.2">
      <c r="A4424" t="str">
        <f t="shared" si="1618"/>
        <v>0625030285</v>
      </c>
      <c r="B4424" t="str">
        <f t="shared" si="1619"/>
        <v>Sharay</v>
      </c>
      <c r="C4424" t="str">
        <f t="shared" si="1620"/>
        <v>Diaz Buitrago</v>
      </c>
      <c r="D4424">
        <f>10</f>
        <v>10</v>
      </c>
      <c r="E4424" t="str">
        <f>"07 - B - 107 - Lytrell T Dixon"</f>
        <v>07 - B - 107 - Lytrell T Dixon</v>
      </c>
      <c r="F4424" t="str">
        <f>"BIOLOGY 1"</f>
        <v>BIOLOGY 1</v>
      </c>
      <c r="G4424" t="str">
        <f>"08-808"</f>
        <v>08-808</v>
      </c>
      <c r="H4424" t="str">
        <f>"B"</f>
        <v>B</v>
      </c>
    </row>
    <row r="4425" spans="1:8" x14ac:dyDescent="0.2">
      <c r="A4425" t="str">
        <f t="shared" si="1618"/>
        <v>0625030285</v>
      </c>
      <c r="B4425" t="str">
        <f t="shared" si="1619"/>
        <v>Sharay</v>
      </c>
      <c r="C4425" t="str">
        <f t="shared" si="1620"/>
        <v>Diaz Buitrago</v>
      </c>
      <c r="D4425">
        <f>10</f>
        <v>10</v>
      </c>
      <c r="E4425" t="str">
        <f>"05 - B - 205 - Lenecy  Nodarse"</f>
        <v>05 - B - 205 - Lenecy  Nodarse</v>
      </c>
      <c r="F4425" t="str">
        <f>"WORLD HISTORY"</f>
        <v>WORLD HISTORY</v>
      </c>
      <c r="G4425" t="str">
        <f>"17-1741"</f>
        <v>17-1741</v>
      </c>
      <c r="H4425" t="str">
        <f>"B"</f>
        <v>B</v>
      </c>
    </row>
    <row r="4426" spans="1:8" x14ac:dyDescent="0.2">
      <c r="A4426" t="str">
        <f t="shared" si="1618"/>
        <v>0625030285</v>
      </c>
      <c r="B4426" t="str">
        <f t="shared" si="1619"/>
        <v>Sharay</v>
      </c>
      <c r="C4426" t="str">
        <f t="shared" si="1620"/>
        <v>Diaz Buitrago</v>
      </c>
      <c r="D4426">
        <f>10</f>
        <v>10</v>
      </c>
      <c r="E4426" t="str">
        <f>"01 - A - 101 - Vanessa J Pena"</f>
        <v>01 - A - 101 - Vanessa J Pena</v>
      </c>
      <c r="F4426" t="str">
        <f>"DEV LANG ARTS ESOL-R"</f>
        <v>DEV LANG ARTS ESOL-R</v>
      </c>
      <c r="G4426" t="str">
        <f>"09-926"</f>
        <v>09-926</v>
      </c>
      <c r="H4426" t="str">
        <f>"A"</f>
        <v>A</v>
      </c>
    </row>
    <row r="4427" spans="1:8" x14ac:dyDescent="0.2">
      <c r="A4427" t="str">
        <f t="shared" si="1618"/>
        <v>0625030285</v>
      </c>
      <c r="B4427" t="str">
        <f t="shared" si="1619"/>
        <v>Sharay</v>
      </c>
      <c r="C4427" t="str">
        <f t="shared" si="1620"/>
        <v>Diaz Buitrago</v>
      </c>
      <c r="D4427">
        <f>10</f>
        <v>10</v>
      </c>
      <c r="E4427" t="str">
        <f>"08 - B - 106 - Helen A Flores"</f>
        <v>08 - B - 106 - Helen A Flores</v>
      </c>
      <c r="F4427" t="str">
        <f>"ALGEBRA 1"</f>
        <v>ALGEBRA 1</v>
      </c>
      <c r="G4427" t="str">
        <f>"21-2101"</f>
        <v>21-2101</v>
      </c>
      <c r="H4427" t="str">
        <f>"B"</f>
        <v>B</v>
      </c>
    </row>
    <row r="4428" spans="1:8" x14ac:dyDescent="0.2">
      <c r="A4428" t="str">
        <f t="shared" ref="A4428:A4435" si="1621">"0623061600"</f>
        <v>0623061600</v>
      </c>
      <c r="B4428" t="str">
        <f t="shared" ref="B4428:B4435" si="1622">"SANTIAGO"</f>
        <v>SANTIAGO</v>
      </c>
      <c r="C4428" t="str">
        <f t="shared" ref="C4428:C4435" si="1623">"DIAZ CARLOS"</f>
        <v>DIAZ CARLOS</v>
      </c>
      <c r="D4428" t="str">
        <f t="shared" ref="D4428:D4435" si="1624">"09"</f>
        <v>09</v>
      </c>
      <c r="E4428" t="str">
        <f>"04 - A - 102 - Elizabeth R Walker"</f>
        <v>04 - A - 102 - Elizabeth R Walker</v>
      </c>
      <c r="F4428" t="str">
        <f>"AICE ENG GEN PAPER 1"</f>
        <v>AICE ENG GEN PAPER 1</v>
      </c>
      <c r="G4428" t="str">
        <f>"17-1703"</f>
        <v>17-1703</v>
      </c>
      <c r="H4428" t="str">
        <f>"A"</f>
        <v>A</v>
      </c>
    </row>
    <row r="4429" spans="1:8" x14ac:dyDescent="0.2">
      <c r="A4429" t="str">
        <f t="shared" si="1621"/>
        <v>0623061600</v>
      </c>
      <c r="B4429" t="str">
        <f t="shared" si="1622"/>
        <v>SANTIAGO</v>
      </c>
      <c r="C4429" t="str">
        <f t="shared" si="1623"/>
        <v>DIAZ CARLOS</v>
      </c>
      <c r="D4429" t="str">
        <f t="shared" si="1624"/>
        <v>09</v>
      </c>
      <c r="E4429" t="str">
        <f>"06 - B - 104 - Eva T Rimmer"</f>
        <v>06 - B - 104 - Eva T Rimmer</v>
      </c>
      <c r="F4429" t="str">
        <f>"CRIMINAL JUST OPS 1"</f>
        <v>CRIMINAL JUST OPS 1</v>
      </c>
      <c r="G4429" t="str">
        <f>"05-523"</f>
        <v>05-523</v>
      </c>
      <c r="H4429" t="str">
        <f>"B"</f>
        <v>B</v>
      </c>
    </row>
    <row r="4430" spans="1:8" x14ac:dyDescent="0.2">
      <c r="A4430" t="str">
        <f t="shared" si="1621"/>
        <v>0623061600</v>
      </c>
      <c r="B4430" t="str">
        <f t="shared" si="1622"/>
        <v>SANTIAGO</v>
      </c>
      <c r="C4430" t="str">
        <f t="shared" si="1623"/>
        <v>DIAZ CARLOS</v>
      </c>
      <c r="D4430" t="str">
        <f t="shared" si="1624"/>
        <v>09</v>
      </c>
      <c r="E4430" t="str">
        <f>"03 - A - 001 - Maried P Ramos"</f>
        <v>03 - A - 001 - Maried P Ramos</v>
      </c>
      <c r="F4430" t="str">
        <f>"PRE-AICE MATH 2 IG"</f>
        <v>PRE-AICE MATH 2 IG</v>
      </c>
      <c r="G4430" t="str">
        <f>"21-2159"</f>
        <v>21-2159</v>
      </c>
      <c r="H4430" t="str">
        <f>"A"</f>
        <v>A</v>
      </c>
    </row>
    <row r="4431" spans="1:8" x14ac:dyDescent="0.2">
      <c r="A4431" t="str">
        <f t="shared" si="1621"/>
        <v>0623061600</v>
      </c>
      <c r="B4431" t="str">
        <f t="shared" si="1622"/>
        <v>SANTIAGO</v>
      </c>
      <c r="C4431" t="str">
        <f t="shared" si="1623"/>
        <v>DIAZ CARLOS</v>
      </c>
      <c r="D4431" t="str">
        <f t="shared" si="1624"/>
        <v>09</v>
      </c>
      <c r="E4431" t="str">
        <f>"02 - A - 115 - Lourivaldo  Da Silva"</f>
        <v>02 - A - 115 - Lourivaldo  Da Silva</v>
      </c>
      <c r="F4431" t="str">
        <f>"NC STUDY HALL 1"</f>
        <v>NC STUDY HALL 1</v>
      </c>
      <c r="G4431" t="str">
        <f>"20-2079"</f>
        <v>20-2079</v>
      </c>
      <c r="H4431" t="str">
        <f>"A"</f>
        <v>A</v>
      </c>
    </row>
    <row r="4432" spans="1:8" x14ac:dyDescent="0.2">
      <c r="A4432" t="str">
        <f t="shared" si="1621"/>
        <v>0623061600</v>
      </c>
      <c r="B4432" t="str">
        <f t="shared" si="1622"/>
        <v>SANTIAGO</v>
      </c>
      <c r="C4432" t="str">
        <f t="shared" si="1623"/>
        <v>DIAZ CARLOS</v>
      </c>
      <c r="D4432" t="str">
        <f t="shared" si="1624"/>
        <v>09</v>
      </c>
      <c r="E4432" t="str">
        <f>"07 - B - 206 - Cheryl L Beach"</f>
        <v>07 - B - 206 - Cheryl L Beach</v>
      </c>
      <c r="F4432" t="str">
        <f>"AICE ENV MGMNT AS"</f>
        <v>AICE ENV MGMNT AS</v>
      </c>
      <c r="G4432" t="str">
        <f>"08-811"</f>
        <v>08-811</v>
      </c>
      <c r="H4432" t="str">
        <f>"B"</f>
        <v>B</v>
      </c>
    </row>
    <row r="4433" spans="1:8" x14ac:dyDescent="0.2">
      <c r="A4433" t="str">
        <f t="shared" si="1621"/>
        <v>0623061600</v>
      </c>
      <c r="B4433" t="str">
        <f t="shared" si="1622"/>
        <v>SANTIAGO</v>
      </c>
      <c r="C4433" t="str">
        <f t="shared" si="1623"/>
        <v>DIAZ CARLOS</v>
      </c>
      <c r="D4433" t="str">
        <f t="shared" si="1624"/>
        <v>09</v>
      </c>
      <c r="E4433" t="str">
        <f>"05 - B - 003 - Krystal Marie  Beruty"</f>
        <v>05 - B - 003 - Krystal Marie  Beruty</v>
      </c>
      <c r="F4433" t="str">
        <f>"AICE GLBL PERSP 1 AS"</f>
        <v>AICE GLBL PERSP 1 AS</v>
      </c>
      <c r="G4433" t="str">
        <f>"17-1721"</f>
        <v>17-1721</v>
      </c>
      <c r="H4433" t="str">
        <f>"B"</f>
        <v>B</v>
      </c>
    </row>
    <row r="4434" spans="1:8" x14ac:dyDescent="0.2">
      <c r="A4434" t="str">
        <f t="shared" si="1621"/>
        <v>0623061600</v>
      </c>
      <c r="B4434" t="str">
        <f t="shared" si="1622"/>
        <v>SANTIAGO</v>
      </c>
      <c r="C4434" t="str">
        <f t="shared" si="1623"/>
        <v>DIAZ CARLOS</v>
      </c>
      <c r="D4434" t="str">
        <f t="shared" si="1624"/>
        <v>09</v>
      </c>
      <c r="E4434" t="str">
        <f>"01 - A - 101 - Vanessa J Liburd"</f>
        <v>01 - A - 101 - Vanessa J Liburd</v>
      </c>
      <c r="F4434" t="str">
        <f>"PRE-AICE FRENCH 1 IG"</f>
        <v>PRE-AICE FRENCH 1 IG</v>
      </c>
      <c r="G4434" t="str">
        <f>"05-519"</f>
        <v>05-519</v>
      </c>
      <c r="H4434" t="str">
        <f>"A"</f>
        <v>A</v>
      </c>
    </row>
    <row r="4435" spans="1:8" x14ac:dyDescent="0.2">
      <c r="A4435" t="str">
        <f t="shared" si="1621"/>
        <v>0623061600</v>
      </c>
      <c r="B4435" t="str">
        <f t="shared" si="1622"/>
        <v>SANTIAGO</v>
      </c>
      <c r="C4435" t="str">
        <f t="shared" si="1623"/>
        <v>DIAZ CARLOS</v>
      </c>
      <c r="D4435" t="str">
        <f t="shared" si="1624"/>
        <v>09</v>
      </c>
      <c r="E4435" t="str">
        <f>"08 - B - 105 - Daniel S Tyson"</f>
        <v>08 - B - 105 - Daniel S Tyson</v>
      </c>
      <c r="F4435" t="str">
        <f>"JROTC NAVAL SCI 1"</f>
        <v>JROTC NAVAL SCI 1</v>
      </c>
      <c r="G4435" t="str">
        <f>"05-510"</f>
        <v>05-510</v>
      </c>
      <c r="H4435" t="str">
        <f>"B"</f>
        <v>B</v>
      </c>
    </row>
    <row r="4436" spans="1:8" x14ac:dyDescent="0.2">
      <c r="A4436" t="str">
        <f t="shared" ref="A4436:A4443" si="1625">"0614076491"</f>
        <v>0614076491</v>
      </c>
      <c r="B4436" t="str">
        <f t="shared" ref="B4436:B4443" si="1626">"BRANDON"</f>
        <v>BRANDON</v>
      </c>
      <c r="C4436" t="str">
        <f t="shared" ref="C4436:C4443" si="1627">"DIAZ-CORONA"</f>
        <v>DIAZ-CORONA</v>
      </c>
      <c r="D4436">
        <f>10</f>
        <v>10</v>
      </c>
      <c r="E4436" t="str">
        <f>"04 - A - 105 - Jacklyn M James"</f>
        <v>04 - A - 105 - Jacklyn M James</v>
      </c>
      <c r="F4436" t="str">
        <f>"AICE ENG LANG AS"</f>
        <v>AICE ENG LANG AS</v>
      </c>
      <c r="G4436" t="str">
        <f>"17-1731"</f>
        <v>17-1731</v>
      </c>
      <c r="H4436" t="str">
        <f>"A"</f>
        <v>A</v>
      </c>
    </row>
    <row r="4437" spans="1:8" x14ac:dyDescent="0.2">
      <c r="A4437" t="str">
        <f t="shared" si="1625"/>
        <v>0614076491</v>
      </c>
      <c r="B4437" t="str">
        <f t="shared" si="1626"/>
        <v>BRANDON</v>
      </c>
      <c r="C4437" t="str">
        <f t="shared" si="1627"/>
        <v>DIAZ-CORONA</v>
      </c>
      <c r="D4437">
        <f>10</f>
        <v>10</v>
      </c>
      <c r="E4437" t="str">
        <f>"06 - B - 114 - Richard E Dunbar Iii"</f>
        <v>06 - B - 114 - Richard E Dunbar Iii</v>
      </c>
      <c r="F4437" t="str">
        <f>"NC STUDY HALL 1"</f>
        <v>NC STUDY HALL 1</v>
      </c>
      <c r="G4437" t="str">
        <f>"17-1703"</f>
        <v>17-1703</v>
      </c>
      <c r="H4437" t="str">
        <f>"B"</f>
        <v>B</v>
      </c>
    </row>
    <row r="4438" spans="1:8" x14ac:dyDescent="0.2">
      <c r="A4438" t="str">
        <f t="shared" si="1625"/>
        <v>0614076491</v>
      </c>
      <c r="B4438" t="str">
        <f t="shared" si="1626"/>
        <v>BRANDON</v>
      </c>
      <c r="C4438" t="str">
        <f t="shared" si="1627"/>
        <v>DIAZ-CORONA</v>
      </c>
      <c r="D4438">
        <f>10</f>
        <v>10</v>
      </c>
      <c r="E4438" t="str">
        <f>"03 - S1 - A - 101 - Daniel S Katz"</f>
        <v>03 - S1 - A - 101 - Daniel S Katz</v>
      </c>
      <c r="F4438" t="str">
        <f>"COURT PROCED"</f>
        <v>COURT PROCED</v>
      </c>
      <c r="G4438" t="str">
        <f>"21-2156"</f>
        <v>21-2156</v>
      </c>
      <c r="H4438" t="str">
        <f>"A"</f>
        <v>A</v>
      </c>
    </row>
    <row r="4439" spans="1:8" x14ac:dyDescent="0.2">
      <c r="A4439" t="str">
        <f t="shared" si="1625"/>
        <v>0614076491</v>
      </c>
      <c r="B4439" t="str">
        <f t="shared" si="1626"/>
        <v>BRANDON</v>
      </c>
      <c r="C4439" t="str">
        <f t="shared" si="1627"/>
        <v>DIAZ-CORONA</v>
      </c>
      <c r="D4439">
        <f>10</f>
        <v>10</v>
      </c>
      <c r="E4439" t="str">
        <f>"02 - A - 205 - Emmily A Sarmiento"</f>
        <v>02 - A - 205 - Emmily A Sarmiento</v>
      </c>
      <c r="F4439" t="str">
        <f>"AICE GLBL PERSP 1 AS"</f>
        <v>AICE GLBL PERSP 1 AS</v>
      </c>
      <c r="G4439" t="str">
        <f>"17-1743"</f>
        <v>17-1743</v>
      </c>
      <c r="H4439" t="str">
        <f>"A"</f>
        <v>A</v>
      </c>
    </row>
    <row r="4440" spans="1:8" x14ac:dyDescent="0.2">
      <c r="A4440" t="str">
        <f t="shared" si="1625"/>
        <v>0614076491</v>
      </c>
      <c r="B4440" t="str">
        <f t="shared" si="1626"/>
        <v>BRANDON</v>
      </c>
      <c r="C4440" t="str">
        <f t="shared" si="1627"/>
        <v>DIAZ-CORONA</v>
      </c>
      <c r="D4440">
        <f>10</f>
        <v>10</v>
      </c>
      <c r="E4440" t="str">
        <f>"07 - B - 206 - Cheryl L Beach"</f>
        <v>07 - B - 206 - Cheryl L Beach</v>
      </c>
      <c r="F4440" t="str">
        <f>"AICE ENV MGMNT AS"</f>
        <v>AICE ENV MGMNT AS</v>
      </c>
      <c r="G4440" t="str">
        <f>"08-811"</f>
        <v>08-811</v>
      </c>
      <c r="H4440" t="str">
        <f>"B"</f>
        <v>B</v>
      </c>
    </row>
    <row r="4441" spans="1:8" x14ac:dyDescent="0.2">
      <c r="A4441" t="str">
        <f t="shared" si="1625"/>
        <v>0614076491</v>
      </c>
      <c r="B4441" t="str">
        <f t="shared" si="1626"/>
        <v>BRANDON</v>
      </c>
      <c r="C4441" t="str">
        <f t="shared" si="1627"/>
        <v>DIAZ-CORONA</v>
      </c>
      <c r="D4441">
        <f>10</f>
        <v>10</v>
      </c>
      <c r="E4441" t="str">
        <f>"05 - B - 108 - James H Mccann"</f>
        <v>05 - B - 108 - James H Mccann</v>
      </c>
      <c r="F4441" t="str">
        <f>"ALGEBRA 2"</f>
        <v>ALGEBRA 2</v>
      </c>
      <c r="G4441" t="str">
        <f>"17-1716"</f>
        <v>17-1716</v>
      </c>
      <c r="H4441" t="str">
        <f>"B"</f>
        <v>B</v>
      </c>
    </row>
    <row r="4442" spans="1:8" x14ac:dyDescent="0.2">
      <c r="A4442" t="str">
        <f t="shared" si="1625"/>
        <v>0614076491</v>
      </c>
      <c r="B4442" t="str">
        <f t="shared" si="1626"/>
        <v>BRANDON</v>
      </c>
      <c r="C4442" t="str">
        <f t="shared" si="1627"/>
        <v>DIAZ-CORONA</v>
      </c>
      <c r="D4442">
        <f>10</f>
        <v>10</v>
      </c>
      <c r="E4442" t="str">
        <f>"01 - A - 201 - Chrystina M Marchionne"</f>
        <v>01 - A - 201 - Chrystina M Marchionne</v>
      </c>
      <c r="F4442" t="str">
        <f>"AICE MEDIASTUDIES AS"</f>
        <v>AICE MEDIASTUDIES AS</v>
      </c>
      <c r="G4442" t="str">
        <f>"05-520"</f>
        <v>05-520</v>
      </c>
      <c r="H4442" t="str">
        <f>"A"</f>
        <v>A</v>
      </c>
    </row>
    <row r="4443" spans="1:8" x14ac:dyDescent="0.2">
      <c r="A4443" t="str">
        <f t="shared" si="1625"/>
        <v>0614076491</v>
      </c>
      <c r="B4443" t="str">
        <f t="shared" si="1626"/>
        <v>BRANDON</v>
      </c>
      <c r="C4443" t="str">
        <f t="shared" si="1627"/>
        <v>DIAZ-CORONA</v>
      </c>
      <c r="D4443">
        <f>10</f>
        <v>10</v>
      </c>
      <c r="E4443" t="str">
        <f>"08 - B - 103 - Joe  Kilpatrick Jr"</f>
        <v>08 - B - 103 - Joe  Kilpatrick Jr</v>
      </c>
      <c r="F4443" t="str">
        <f>"PRE-AICE SPAN 2 IG"</f>
        <v>PRE-AICE SPAN 2 IG</v>
      </c>
      <c r="G4443" t="str">
        <f>"09-912"</f>
        <v>09-912</v>
      </c>
      <c r="H4443" t="str">
        <f>"B"</f>
        <v>B</v>
      </c>
    </row>
    <row r="4444" spans="1:8" x14ac:dyDescent="0.2">
      <c r="A4444" t="str">
        <f t="shared" ref="A4444:A4451" si="1628">"0614076889"</f>
        <v>0614076889</v>
      </c>
      <c r="B4444" t="str">
        <f t="shared" ref="B4444:B4451" si="1629">"Isabella"</f>
        <v>Isabella</v>
      </c>
      <c r="C4444" t="str">
        <f t="shared" ref="C4444:C4451" si="1630">"Diaz Gonzalez Dominguez"</f>
        <v>Diaz Gonzalez Dominguez</v>
      </c>
      <c r="D4444">
        <f>10</f>
        <v>10</v>
      </c>
      <c r="E4444" t="str">
        <f>"04 - A - 105 - Jacklyn M James"</f>
        <v>04 - A - 105 - Jacklyn M James</v>
      </c>
      <c r="F4444" t="str">
        <f>"AICE ENG LANG AS"</f>
        <v>AICE ENG LANG AS</v>
      </c>
      <c r="G4444" t="str">
        <f>"17-1731"</f>
        <v>17-1731</v>
      </c>
      <c r="H4444" t="str">
        <f>"A"</f>
        <v>A</v>
      </c>
    </row>
    <row r="4445" spans="1:8" x14ac:dyDescent="0.2">
      <c r="A4445" t="str">
        <f t="shared" si="1628"/>
        <v>0614076889</v>
      </c>
      <c r="B4445" t="str">
        <f t="shared" si="1629"/>
        <v>Isabella</v>
      </c>
      <c r="C4445" t="str">
        <f t="shared" si="1630"/>
        <v>Diaz Gonzalez Dominguez</v>
      </c>
      <c r="D4445">
        <f>10</f>
        <v>10</v>
      </c>
      <c r="E4445" t="str">
        <f>"06 - B - 105 - Jeffrey S Gallagher"</f>
        <v>06 - B - 105 - Jeffrey S Gallagher</v>
      </c>
      <c r="F4445" t="str">
        <f>"NC STUDY HALL 1"</f>
        <v>NC STUDY HALL 1</v>
      </c>
      <c r="G4445" t="str">
        <f>"17-1724"</f>
        <v>17-1724</v>
      </c>
      <c r="H4445" t="str">
        <f>"B"</f>
        <v>B</v>
      </c>
    </row>
    <row r="4446" spans="1:8" x14ac:dyDescent="0.2">
      <c r="A4446" t="str">
        <f t="shared" si="1628"/>
        <v>0614076889</v>
      </c>
      <c r="B4446" t="str">
        <f t="shared" si="1629"/>
        <v>Isabella</v>
      </c>
      <c r="C4446" t="str">
        <f t="shared" si="1630"/>
        <v>Diaz Gonzalez Dominguez</v>
      </c>
      <c r="D4446">
        <f>10</f>
        <v>10</v>
      </c>
      <c r="E4446" t="str">
        <f>"03 - A - 201 - Christa T Parisi"</f>
        <v>03 - A - 201 - Christa T Parisi</v>
      </c>
      <c r="F4446" t="str">
        <f>"DANCE TECHNQS 1"</f>
        <v>DANCE TECHNQS 1</v>
      </c>
      <c r="G4446" t="str">
        <f>"05-503"</f>
        <v>05-503</v>
      </c>
      <c r="H4446" t="str">
        <f>"A"</f>
        <v>A</v>
      </c>
    </row>
    <row r="4447" spans="1:8" x14ac:dyDescent="0.2">
      <c r="A4447" t="str">
        <f t="shared" si="1628"/>
        <v>0614076889</v>
      </c>
      <c r="B4447" t="str">
        <f t="shared" si="1629"/>
        <v>Isabella</v>
      </c>
      <c r="C4447" t="str">
        <f t="shared" si="1630"/>
        <v>Diaz Gonzalez Dominguez</v>
      </c>
      <c r="D4447">
        <f>10</f>
        <v>10</v>
      </c>
      <c r="E4447" t="str">
        <f>"02 - A - 102 - Chrystina M Marchionne"</f>
        <v>02 - A - 102 - Chrystina M Marchionne</v>
      </c>
      <c r="F4447" t="str">
        <f>"AICE MEDIASTUDIES AS"</f>
        <v>AICE MEDIASTUDIES AS</v>
      </c>
      <c r="G4447" t="str">
        <f>"05-520"</f>
        <v>05-520</v>
      </c>
      <c r="H4447" t="str">
        <f>"A"</f>
        <v>A</v>
      </c>
    </row>
    <row r="4448" spans="1:8" x14ac:dyDescent="0.2">
      <c r="A4448" t="str">
        <f t="shared" si="1628"/>
        <v>0614076889</v>
      </c>
      <c r="B4448" t="str">
        <f t="shared" si="1629"/>
        <v>Isabella</v>
      </c>
      <c r="C4448" t="str">
        <f t="shared" si="1630"/>
        <v>Diaz Gonzalez Dominguez</v>
      </c>
      <c r="D4448">
        <f>10</f>
        <v>10</v>
      </c>
      <c r="E4448" t="str">
        <f>"07 - B - 105 - Paige Lauren  Brochu"</f>
        <v>07 - B - 105 - Paige Lauren  Brochu</v>
      </c>
      <c r="F4448" t="str">
        <f>"PRE-AICE BIO IG"</f>
        <v>PRE-AICE BIO IG</v>
      </c>
      <c r="G4448" t="str">
        <f>"21-2134"</f>
        <v>21-2134</v>
      </c>
      <c r="H4448" t="str">
        <f>"B"</f>
        <v>B</v>
      </c>
    </row>
    <row r="4449" spans="1:8" x14ac:dyDescent="0.2">
      <c r="A4449" t="str">
        <f t="shared" si="1628"/>
        <v>0614076889</v>
      </c>
      <c r="B4449" t="str">
        <f t="shared" si="1629"/>
        <v>Isabella</v>
      </c>
      <c r="C4449" t="str">
        <f t="shared" si="1630"/>
        <v>Diaz Gonzalez Dominguez</v>
      </c>
      <c r="D4449">
        <f>10</f>
        <v>10</v>
      </c>
      <c r="E4449" t="str">
        <f>"05 - B - 103 - Eva T Rimmer"</f>
        <v>05 - B - 103 - Eva T Rimmer</v>
      </c>
      <c r="F4449" t="str">
        <f>"CRIMINAL JUST OPS 1"</f>
        <v>CRIMINAL JUST OPS 1</v>
      </c>
      <c r="G4449" t="str">
        <f>"05-523"</f>
        <v>05-523</v>
      </c>
      <c r="H4449" t="str">
        <f>"B"</f>
        <v>B</v>
      </c>
    </row>
    <row r="4450" spans="1:8" x14ac:dyDescent="0.2">
      <c r="A4450" t="str">
        <f t="shared" si="1628"/>
        <v>0614076889</v>
      </c>
      <c r="B4450" t="str">
        <f t="shared" si="1629"/>
        <v>Isabella</v>
      </c>
      <c r="C4450" t="str">
        <f t="shared" si="1630"/>
        <v>Diaz Gonzalez Dominguez</v>
      </c>
      <c r="D4450">
        <f>10</f>
        <v>10</v>
      </c>
      <c r="E4450" t="str">
        <f>"01 - A - 101 - Lourivaldo  Da Silva"</f>
        <v>01 - A - 101 - Lourivaldo  Da Silva</v>
      </c>
      <c r="F4450" t="str">
        <f>"ALGEBRA 2 HON"</f>
        <v>ALGEBRA 2 HON</v>
      </c>
      <c r="G4450" t="str">
        <f>"20-2079"</f>
        <v>20-2079</v>
      </c>
      <c r="H4450" t="str">
        <f>"A"</f>
        <v>A</v>
      </c>
    </row>
    <row r="4451" spans="1:8" x14ac:dyDescent="0.2">
      <c r="A4451" t="str">
        <f t="shared" si="1628"/>
        <v>0614076889</v>
      </c>
      <c r="B4451" t="str">
        <f t="shared" si="1629"/>
        <v>Isabella</v>
      </c>
      <c r="C4451" t="str">
        <f t="shared" si="1630"/>
        <v>Diaz Gonzalez Dominguez</v>
      </c>
      <c r="D4451">
        <f>10</f>
        <v>10</v>
      </c>
      <c r="E4451" t="str">
        <f>"08 - B - 201 - Lenecy  Nodarse"</f>
        <v>08 - B - 201 - Lenecy  Nodarse</v>
      </c>
      <c r="F4451" t="str">
        <f>"AICE EURO HIST 1 AS"</f>
        <v>AICE EURO HIST 1 AS</v>
      </c>
      <c r="G4451" t="str">
        <f>"17-1741"</f>
        <v>17-1741</v>
      </c>
      <c r="H4451" t="str">
        <f>"B"</f>
        <v>B</v>
      </c>
    </row>
    <row r="4452" spans="1:8" x14ac:dyDescent="0.2">
      <c r="A4452" t="str">
        <f t="shared" ref="A4452:A4459" si="1631">"0615029408"</f>
        <v>0615029408</v>
      </c>
      <c r="B4452" t="str">
        <f t="shared" ref="B4452:B4459" si="1632">"NATALIA"</f>
        <v>NATALIA</v>
      </c>
      <c r="C4452" t="str">
        <f t="shared" ref="C4452:C4459" si="1633">"DIAZ MORENO"</f>
        <v>DIAZ MORENO</v>
      </c>
      <c r="D4452">
        <f>11</f>
        <v>11</v>
      </c>
      <c r="E4452" t="str">
        <f>"04 - A - 101 - Stephen T Ripp"</f>
        <v>04 - A - 101 - Stephen T Ripp</v>
      </c>
      <c r="F4452" t="str">
        <f>"AP U.S. HIST"</f>
        <v>AP U.S. HIST</v>
      </c>
      <c r="G4452" t="str">
        <f>"17-1744"</f>
        <v>17-1744</v>
      </c>
      <c r="H4452" t="str">
        <f>"A"</f>
        <v>A</v>
      </c>
    </row>
    <row r="4453" spans="1:8" x14ac:dyDescent="0.2">
      <c r="A4453" t="str">
        <f t="shared" si="1631"/>
        <v>0615029408</v>
      </c>
      <c r="B4453" t="str">
        <f t="shared" si="1632"/>
        <v>NATALIA</v>
      </c>
      <c r="C4453" t="str">
        <f t="shared" si="1633"/>
        <v>DIAZ MORENO</v>
      </c>
      <c r="D4453">
        <f>11</f>
        <v>11</v>
      </c>
      <c r="E4453" t="str">
        <f>"06 - B - 103 - Helen A Flores"</f>
        <v>06 - B - 103 - Helen A Flores</v>
      </c>
      <c r="F4453" t="str">
        <f>"ALGEBRA 2"</f>
        <v>ALGEBRA 2</v>
      </c>
      <c r="G4453" t="str">
        <f>"21-2101"</f>
        <v>21-2101</v>
      </c>
      <c r="H4453" t="str">
        <f>"B"</f>
        <v>B</v>
      </c>
    </row>
    <row r="4454" spans="1:8" x14ac:dyDescent="0.2">
      <c r="A4454" t="str">
        <f t="shared" si="1631"/>
        <v>0615029408</v>
      </c>
      <c r="B4454" t="str">
        <f t="shared" si="1632"/>
        <v>NATALIA</v>
      </c>
      <c r="C4454" t="str">
        <f t="shared" si="1633"/>
        <v>DIAZ MORENO</v>
      </c>
      <c r="D4454">
        <f>11</f>
        <v>11</v>
      </c>
      <c r="E4454" t="str">
        <f>"03 - A - 202 - Jeanne M Bermudez"</f>
        <v>03 - A - 202 - Jeanne M Bermudez</v>
      </c>
      <c r="F4454" t="str">
        <f>"PHYSICS 1 HON"</f>
        <v>PHYSICS 1 HON</v>
      </c>
      <c r="G4454" t="str">
        <f>"21-2141"</f>
        <v>21-2141</v>
      </c>
      <c r="H4454" t="str">
        <f>"A"</f>
        <v>A</v>
      </c>
    </row>
    <row r="4455" spans="1:8" x14ac:dyDescent="0.2">
      <c r="A4455" t="str">
        <f t="shared" si="1631"/>
        <v>0615029408</v>
      </c>
      <c r="B4455" t="str">
        <f t="shared" si="1632"/>
        <v>NATALIA</v>
      </c>
      <c r="C4455" t="str">
        <f t="shared" si="1633"/>
        <v>DIAZ MORENO</v>
      </c>
      <c r="D4455">
        <f>11</f>
        <v>11</v>
      </c>
      <c r="E4455" t="str">
        <f>"02 - A - 103 - Angela S Adeshina-Morrison"</f>
        <v>02 - A - 103 - Angela S Adeshina-Morrison</v>
      </c>
      <c r="F4455" t="str">
        <f>"NC STUDY HALL 1"</f>
        <v>NC STUDY HALL 1</v>
      </c>
      <c r="G4455" t="str">
        <f>"05-518"</f>
        <v>05-518</v>
      </c>
      <c r="H4455" t="str">
        <f>"A"</f>
        <v>A</v>
      </c>
    </row>
    <row r="4456" spans="1:8" x14ac:dyDescent="0.2">
      <c r="A4456" t="str">
        <f t="shared" si="1631"/>
        <v>0615029408</v>
      </c>
      <c r="B4456" t="str">
        <f t="shared" si="1632"/>
        <v>NATALIA</v>
      </c>
      <c r="C4456" t="str">
        <f t="shared" si="1633"/>
        <v>DIAZ MORENO</v>
      </c>
      <c r="D4456">
        <f>11</f>
        <v>11</v>
      </c>
      <c r="E4456" t="str">
        <f>"07 - B - 103 - Lisa J London"</f>
        <v>07 - B - 103 - Lisa J London</v>
      </c>
      <c r="F4456" t="str">
        <f>"AP CAPSTONE SEMINAR"</f>
        <v>AP CAPSTONE SEMINAR</v>
      </c>
      <c r="G4456" t="str">
        <f>"17-1714"</f>
        <v>17-1714</v>
      </c>
      <c r="H4456" t="str">
        <f>"B"</f>
        <v>B</v>
      </c>
    </row>
    <row r="4457" spans="1:8" x14ac:dyDescent="0.2">
      <c r="A4457" t="str">
        <f t="shared" si="1631"/>
        <v>0615029408</v>
      </c>
      <c r="B4457" t="str">
        <f t="shared" si="1632"/>
        <v>NATALIA</v>
      </c>
      <c r="C4457" t="str">
        <f t="shared" si="1633"/>
        <v>DIAZ MORENO</v>
      </c>
      <c r="D4457">
        <f>11</f>
        <v>11</v>
      </c>
      <c r="E4457" t="str">
        <f>"05 - B - 202 - Daniel S Katz"</f>
        <v>05 - B - 202 - Daniel S Katz</v>
      </c>
      <c r="F4457" t="str">
        <f>"EXEC INTERN 3 LH"</f>
        <v>EXEC INTERN 3 LH</v>
      </c>
      <c r="G4457" t="str">
        <f>"21-2156"</f>
        <v>21-2156</v>
      </c>
      <c r="H4457" t="str">
        <f>"B"</f>
        <v>B</v>
      </c>
    </row>
    <row r="4458" spans="1:8" x14ac:dyDescent="0.2">
      <c r="A4458" t="str">
        <f t="shared" si="1631"/>
        <v>0615029408</v>
      </c>
      <c r="B4458" t="str">
        <f t="shared" si="1632"/>
        <v>NATALIA</v>
      </c>
      <c r="C4458" t="str">
        <f t="shared" si="1633"/>
        <v>DIAZ MORENO</v>
      </c>
      <c r="D4458">
        <f>11</f>
        <v>11</v>
      </c>
      <c r="E4458" t="str">
        <f>"01 - A - 101 - Brandy N Zdenek"</f>
        <v>01 - A - 101 - Brandy N Zdenek</v>
      </c>
      <c r="F4458" t="str">
        <f>"AICE ENG LANG 2 AL"</f>
        <v>AICE ENG LANG 2 AL</v>
      </c>
      <c r="G4458" t="str">
        <f>"17-1704"</f>
        <v>17-1704</v>
      </c>
      <c r="H4458" t="str">
        <f>"A"</f>
        <v>A</v>
      </c>
    </row>
    <row r="4459" spans="1:8" x14ac:dyDescent="0.2">
      <c r="A4459" t="str">
        <f t="shared" si="1631"/>
        <v>0615029408</v>
      </c>
      <c r="B4459" t="str">
        <f t="shared" si="1632"/>
        <v>NATALIA</v>
      </c>
      <c r="C4459" t="str">
        <f t="shared" si="1633"/>
        <v>DIAZ MORENO</v>
      </c>
      <c r="D4459">
        <f>11</f>
        <v>11</v>
      </c>
      <c r="E4459" t="str">
        <f>"08 - B - 105 - Daniel S Katz"</f>
        <v>08 - B - 105 - Daniel S Katz</v>
      </c>
      <c r="F4459" t="str">
        <f>"AICE MEDIA STUDIES A"</f>
        <v>AICE MEDIA STUDIES A</v>
      </c>
      <c r="G4459" t="str">
        <f>"05-521"</f>
        <v>05-521</v>
      </c>
      <c r="H4459" t="str">
        <f>"B"</f>
        <v>B</v>
      </c>
    </row>
    <row r="4460" spans="1:8" x14ac:dyDescent="0.2">
      <c r="A4460" t="str">
        <f t="shared" ref="A4460:A4467" si="1634">"0624101259"</f>
        <v>0624101259</v>
      </c>
      <c r="B4460" t="str">
        <f t="shared" ref="B4460:B4467" si="1635">"GEORDANIA"</f>
        <v>GEORDANIA</v>
      </c>
      <c r="C4460" t="str">
        <f t="shared" ref="C4460:C4467" si="1636">"DIAZ RAMIREZ"</f>
        <v>DIAZ RAMIREZ</v>
      </c>
      <c r="D4460">
        <f>12</f>
        <v>12</v>
      </c>
      <c r="E4460" t="str">
        <f>"04 - A - 205 - Robyn L Trainer"</f>
        <v>04 - A - 205 - Robyn L Trainer</v>
      </c>
      <c r="F4460" t="str">
        <f>"ENG 4: FL COLL PREP"</f>
        <v>ENG 4: FL COLL PREP</v>
      </c>
      <c r="G4460" t="str">
        <f>"17-1734"</f>
        <v>17-1734</v>
      </c>
      <c r="H4460" t="str">
        <f>"A"</f>
        <v>A</v>
      </c>
    </row>
    <row r="4461" spans="1:8" x14ac:dyDescent="0.2">
      <c r="A4461" t="str">
        <f t="shared" si="1634"/>
        <v>0624101259</v>
      </c>
      <c r="B4461" t="str">
        <f t="shared" si="1635"/>
        <v>GEORDANIA</v>
      </c>
      <c r="C4461" t="str">
        <f t="shared" si="1636"/>
        <v>DIAZ RAMIREZ</v>
      </c>
      <c r="D4461">
        <f>12</f>
        <v>12</v>
      </c>
      <c r="E4461" t="str">
        <f>"06 - B - 106 - Taraneh C Abreu"</f>
        <v>06 - B - 106 - Taraneh C Abreu</v>
      </c>
      <c r="F4461" t="str">
        <f>"NC STUDY HALL 1"</f>
        <v>NC STUDY HALL 1</v>
      </c>
      <c r="G4461" t="str">
        <f>"17-1713"</f>
        <v>17-1713</v>
      </c>
      <c r="H4461" t="str">
        <f>"B"</f>
        <v>B</v>
      </c>
    </row>
    <row r="4462" spans="1:8" x14ac:dyDescent="0.2">
      <c r="A4462" t="str">
        <f t="shared" si="1634"/>
        <v>0624101259</v>
      </c>
      <c r="B4462" t="str">
        <f t="shared" si="1635"/>
        <v>GEORDANIA</v>
      </c>
      <c r="C4462" t="str">
        <f t="shared" si="1636"/>
        <v>DIAZ RAMIREZ</v>
      </c>
      <c r="D4462">
        <f>12</f>
        <v>12</v>
      </c>
      <c r="E4462" t="str">
        <f>"03 - A - 101 - Tina L Lovett"</f>
        <v>03 - A - 101 - Tina L Lovett</v>
      </c>
      <c r="F4462" t="str">
        <f>"MATH DATA &amp; FIN LIT"</f>
        <v>MATH DATA &amp; FIN LIT</v>
      </c>
      <c r="G4462" t="str">
        <f>"21-2153"</f>
        <v>21-2153</v>
      </c>
      <c r="H4462" t="str">
        <f>"A"</f>
        <v>A</v>
      </c>
    </row>
    <row r="4463" spans="1:8" x14ac:dyDescent="0.2">
      <c r="A4463" t="str">
        <f t="shared" si="1634"/>
        <v>0624101259</v>
      </c>
      <c r="B4463" t="str">
        <f t="shared" si="1635"/>
        <v>GEORDANIA</v>
      </c>
      <c r="C4463" t="str">
        <f t="shared" si="1636"/>
        <v>DIAZ RAMIREZ</v>
      </c>
      <c r="D4463">
        <f>12</f>
        <v>12</v>
      </c>
      <c r="E4463" t="str">
        <f>"02 - A - 101 - Nahum  Saint-Preux"</f>
        <v>02 - A - 101 - Nahum  Saint-Preux</v>
      </c>
      <c r="F4463" t="str">
        <f>"INTENS READ 4"</f>
        <v>INTENS READ 4</v>
      </c>
      <c r="G4463" t="str">
        <f>"17-1712"</f>
        <v>17-1712</v>
      </c>
      <c r="H4463" t="str">
        <f>"A"</f>
        <v>A</v>
      </c>
    </row>
    <row r="4464" spans="1:8" x14ac:dyDescent="0.2">
      <c r="A4464" t="str">
        <f t="shared" si="1634"/>
        <v>0624101259</v>
      </c>
      <c r="B4464" t="str">
        <f t="shared" si="1635"/>
        <v>GEORDANIA</v>
      </c>
      <c r="C4464" t="str">
        <f t="shared" si="1636"/>
        <v>DIAZ RAMIREZ</v>
      </c>
      <c r="D4464">
        <f>12</f>
        <v>12</v>
      </c>
      <c r="E4464" t="str">
        <f>"07 - S1 - B - 103 - Robert O Burger"</f>
        <v>07 - S1 - B - 103 - Robert O Burger</v>
      </c>
      <c r="F4464" t="str">
        <f>"US GOVT"</f>
        <v>US GOVT</v>
      </c>
      <c r="G4464" t="str">
        <f>"17-1755"</f>
        <v>17-1755</v>
      </c>
      <c r="H4464" t="str">
        <f>"B"</f>
        <v>B</v>
      </c>
    </row>
    <row r="4465" spans="1:8" x14ac:dyDescent="0.2">
      <c r="A4465" t="str">
        <f t="shared" si="1634"/>
        <v>0624101259</v>
      </c>
      <c r="B4465" t="str">
        <f t="shared" si="1635"/>
        <v>GEORDANIA</v>
      </c>
      <c r="C4465" t="str">
        <f t="shared" si="1636"/>
        <v>DIAZ RAMIREZ</v>
      </c>
      <c r="D4465">
        <f>12</f>
        <v>12</v>
      </c>
      <c r="E4465" t="str">
        <f>"05 - B - 102 - Emmily A Sarmiento"</f>
        <v>05 - B - 102 - Emmily A Sarmiento</v>
      </c>
      <c r="F4465" t="str">
        <f>"LEAD SKLS DEV LH"</f>
        <v>LEAD SKLS DEV LH</v>
      </c>
      <c r="G4465" t="str">
        <f>"17-1743"</f>
        <v>17-1743</v>
      </c>
      <c r="H4465" t="str">
        <f>"B"</f>
        <v>B</v>
      </c>
    </row>
    <row r="4466" spans="1:8" x14ac:dyDescent="0.2">
      <c r="A4466" t="str">
        <f t="shared" si="1634"/>
        <v>0624101259</v>
      </c>
      <c r="B4466" t="str">
        <f t="shared" si="1635"/>
        <v>GEORDANIA</v>
      </c>
      <c r="C4466" t="str">
        <f t="shared" si="1636"/>
        <v>DIAZ RAMIREZ</v>
      </c>
      <c r="D4466">
        <f>12</f>
        <v>12</v>
      </c>
      <c r="E4466" t="str">
        <f>"01 - A - 102 - Lytrell T Dixon"</f>
        <v>01 - A - 102 - Lytrell T Dixon</v>
      </c>
      <c r="F4466" t="str">
        <f>"BIOLOGY 1"</f>
        <v>BIOLOGY 1</v>
      </c>
      <c r="G4466" t="str">
        <f>"08-808"</f>
        <v>08-808</v>
      </c>
      <c r="H4466" t="str">
        <f>"A"</f>
        <v>A</v>
      </c>
    </row>
    <row r="4467" spans="1:8" x14ac:dyDescent="0.2">
      <c r="A4467" t="str">
        <f t="shared" si="1634"/>
        <v>0624101259</v>
      </c>
      <c r="B4467" t="str">
        <f t="shared" si="1635"/>
        <v>GEORDANIA</v>
      </c>
      <c r="C4467" t="str">
        <f t="shared" si="1636"/>
        <v>DIAZ RAMIREZ</v>
      </c>
      <c r="D4467">
        <f>12</f>
        <v>12</v>
      </c>
      <c r="E4467" t="str">
        <f>"08 - S1 - B - 102 - Nahum  Saint-Preux"</f>
        <v>08 - S1 - B - 102 - Nahum  Saint-Preux</v>
      </c>
      <c r="F4467" t="str">
        <f>"CRIT THINK ST SKLS"</f>
        <v>CRIT THINK ST SKLS</v>
      </c>
      <c r="G4467" t="str">
        <f>"17-1712"</f>
        <v>17-1712</v>
      </c>
      <c r="H4467" t="str">
        <f>"B"</f>
        <v>B</v>
      </c>
    </row>
    <row r="4468" spans="1:8" x14ac:dyDescent="0.2">
      <c r="A4468" t="str">
        <f t="shared" ref="A4468:A4475" si="1637">"0624085536"</f>
        <v>0624085536</v>
      </c>
      <c r="B4468" t="str">
        <f t="shared" ref="B4468:B4475" si="1638">"FANNY"</f>
        <v>FANNY</v>
      </c>
      <c r="C4468" t="str">
        <f t="shared" ref="C4468:C4475" si="1639">"DIAZ ROBLES"</f>
        <v>DIAZ ROBLES</v>
      </c>
      <c r="D4468" t="str">
        <f t="shared" ref="D4468:D4475" si="1640">"09"</f>
        <v>09</v>
      </c>
      <c r="E4468" t="str">
        <f>"04 - A - 106 - Lissa C Frederique"</f>
        <v>04 - A - 106 - Lissa C Frederique</v>
      </c>
      <c r="F4468" t="str">
        <f>"WORLD HISTORY"</f>
        <v>WORLD HISTORY</v>
      </c>
      <c r="G4468" t="str">
        <f>"17-1754"</f>
        <v>17-1754</v>
      </c>
      <c r="H4468" t="str">
        <f>"A"</f>
        <v>A</v>
      </c>
    </row>
    <row r="4469" spans="1:8" x14ac:dyDescent="0.2">
      <c r="A4469" t="str">
        <f t="shared" si="1637"/>
        <v>0624085536</v>
      </c>
      <c r="B4469" t="str">
        <f t="shared" si="1638"/>
        <v>FANNY</v>
      </c>
      <c r="C4469" t="str">
        <f t="shared" si="1639"/>
        <v>DIAZ ROBLES</v>
      </c>
      <c r="D4469" t="str">
        <f t="shared" si="1640"/>
        <v>09</v>
      </c>
      <c r="E4469" t="str">
        <f>"06 - B - 202 - Brian M Fitzgerald"</f>
        <v>06 - B - 202 - Brian M Fitzgerald</v>
      </c>
      <c r="F4469" t="str">
        <f>"DRAW 1"</f>
        <v>DRAW 1</v>
      </c>
      <c r="G4469" t="str">
        <f>"09-908"</f>
        <v>09-908</v>
      </c>
      <c r="H4469" t="str">
        <f>"B"</f>
        <v>B</v>
      </c>
    </row>
    <row r="4470" spans="1:8" x14ac:dyDescent="0.2">
      <c r="A4470" t="str">
        <f t="shared" si="1637"/>
        <v>0624085536</v>
      </c>
      <c r="B4470" t="str">
        <f t="shared" si="1638"/>
        <v>FANNY</v>
      </c>
      <c r="C4470" t="str">
        <f t="shared" si="1639"/>
        <v>DIAZ ROBLES</v>
      </c>
      <c r="D4470" t="str">
        <f t="shared" si="1640"/>
        <v>09</v>
      </c>
      <c r="E4470" t="str">
        <f>"03 - A - 101 - Milca  Exantus"</f>
        <v>03 - A - 101 - Milca  Exantus</v>
      </c>
      <c r="F4470" t="str">
        <f>"ALGEBRA 1-A"</f>
        <v>ALGEBRA 1-A</v>
      </c>
      <c r="G4470" t="str">
        <f>"21-2145"</f>
        <v>21-2145</v>
      </c>
      <c r="H4470" t="str">
        <f>"A"</f>
        <v>A</v>
      </c>
    </row>
    <row r="4471" spans="1:8" x14ac:dyDescent="0.2">
      <c r="A4471" t="str">
        <f t="shared" si="1637"/>
        <v>0624085536</v>
      </c>
      <c r="B4471" t="str">
        <f t="shared" si="1638"/>
        <v>FANNY</v>
      </c>
      <c r="C4471" t="str">
        <f t="shared" si="1639"/>
        <v>DIAZ ROBLES</v>
      </c>
      <c r="D4471" t="str">
        <f t="shared" si="1640"/>
        <v>09</v>
      </c>
      <c r="E4471" t="str">
        <f>"02 - A - 104 - Lytrell T Dixon"</f>
        <v>02 - A - 104 - Lytrell T Dixon</v>
      </c>
      <c r="F4471" t="str">
        <f>"NC STUDY HALL 1"</f>
        <v>NC STUDY HALL 1</v>
      </c>
      <c r="G4471" t="str">
        <f>"08-808"</f>
        <v>08-808</v>
      </c>
      <c r="H4471" t="str">
        <f>"A"</f>
        <v>A</v>
      </c>
    </row>
    <row r="4472" spans="1:8" x14ac:dyDescent="0.2">
      <c r="A4472" t="str">
        <f t="shared" si="1637"/>
        <v>0624085536</v>
      </c>
      <c r="B4472" t="str">
        <f t="shared" si="1638"/>
        <v>FANNY</v>
      </c>
      <c r="C4472" t="str">
        <f t="shared" si="1639"/>
        <v>DIAZ ROBLES</v>
      </c>
      <c r="D4472" t="str">
        <f t="shared" si="1640"/>
        <v>09</v>
      </c>
      <c r="E4472" t="str">
        <f>"07 - B - 107 - Cerine S Stewart"</f>
        <v>07 - B - 107 - Cerine S Stewart</v>
      </c>
      <c r="F4472" t="str">
        <f>"ENG 1"</f>
        <v>ENG 1</v>
      </c>
      <c r="G4472" t="str">
        <f>"17-1720"</f>
        <v>17-1720</v>
      </c>
      <c r="H4472" t="str">
        <f>"B"</f>
        <v>B</v>
      </c>
    </row>
    <row r="4473" spans="1:8" x14ac:dyDescent="0.2">
      <c r="A4473" t="str">
        <f t="shared" si="1637"/>
        <v>0624085536</v>
      </c>
      <c r="B4473" t="str">
        <f t="shared" si="1638"/>
        <v>FANNY</v>
      </c>
      <c r="C4473" t="str">
        <f t="shared" si="1639"/>
        <v>DIAZ ROBLES</v>
      </c>
      <c r="D4473" t="str">
        <f t="shared" si="1640"/>
        <v>09</v>
      </c>
      <c r="E4473" t="str">
        <f>"05 - B - 102 - Vanessa J Pena"</f>
        <v>05 - B - 102 - Vanessa J Pena</v>
      </c>
      <c r="F4473" t="str">
        <f>"DEV LANG ARTS ESOL-R"</f>
        <v>DEV LANG ARTS ESOL-R</v>
      </c>
      <c r="G4473" t="str">
        <f>"09-926"</f>
        <v>09-926</v>
      </c>
      <c r="H4473" t="str">
        <f>"B"</f>
        <v>B</v>
      </c>
    </row>
    <row r="4474" spans="1:8" x14ac:dyDescent="0.2">
      <c r="A4474" t="str">
        <f t="shared" si="1637"/>
        <v>0624085536</v>
      </c>
      <c r="B4474" t="str">
        <f t="shared" si="1638"/>
        <v>FANNY</v>
      </c>
      <c r="C4474" t="str">
        <f t="shared" si="1639"/>
        <v>DIAZ ROBLES</v>
      </c>
      <c r="D4474" t="str">
        <f t="shared" si="1640"/>
        <v>09</v>
      </c>
      <c r="E4474" t="str">
        <f>"01 - A - 103 - Amy Beth  Broyles"</f>
        <v>01 - A - 103 - Amy Beth  Broyles</v>
      </c>
      <c r="F4474" t="str">
        <f>"ENV SCI"</f>
        <v>ENV SCI</v>
      </c>
      <c r="G4474" t="str">
        <f>"08-802"</f>
        <v>08-802</v>
      </c>
      <c r="H4474" t="str">
        <f>"A"</f>
        <v>A</v>
      </c>
    </row>
    <row r="4475" spans="1:8" x14ac:dyDescent="0.2">
      <c r="A4475" t="str">
        <f t="shared" si="1637"/>
        <v>0624085536</v>
      </c>
      <c r="B4475" t="str">
        <f t="shared" si="1638"/>
        <v>FANNY</v>
      </c>
      <c r="C4475" t="str">
        <f t="shared" si="1639"/>
        <v>DIAZ ROBLES</v>
      </c>
      <c r="D4475" t="str">
        <f t="shared" si="1640"/>
        <v>09</v>
      </c>
      <c r="E4475" t="str">
        <f>"08 - B - 106 - Laselleda D Shaw"</f>
        <v>08 - B - 106 - Laselleda D Shaw</v>
      </c>
      <c r="F4475" t="str">
        <f>"INTENS READ 1"</f>
        <v>INTENS READ 1</v>
      </c>
      <c r="G4475" t="str">
        <f>"17-1723"</f>
        <v>17-1723</v>
      </c>
      <c r="H4475" t="str">
        <f>"B"</f>
        <v>B</v>
      </c>
    </row>
    <row r="4476" spans="1:8" x14ac:dyDescent="0.2">
      <c r="A4476" t="str">
        <f t="shared" ref="A4476:A4483" si="1641">"0616014205"</f>
        <v>0616014205</v>
      </c>
      <c r="B4476" t="str">
        <f t="shared" ref="B4476:B4483" si="1642">"CONNOR"</f>
        <v>CONNOR</v>
      </c>
      <c r="C4476" t="str">
        <f t="shared" ref="C4476:C4483" si="1643">"DICOWDEN"</f>
        <v>DICOWDEN</v>
      </c>
      <c r="D4476">
        <f>10</f>
        <v>10</v>
      </c>
      <c r="E4476" t="str">
        <f>"04 - A - 201 - Scott A Dethloff"</f>
        <v>04 - A - 201 - Scott A Dethloff</v>
      </c>
      <c r="F4476" t="str">
        <f>"AICE THINK SKLS 1 AS"</f>
        <v>AICE THINK SKLS 1 AS</v>
      </c>
      <c r="G4476" t="str">
        <f>"08-812"</f>
        <v>08-812</v>
      </c>
      <c r="H4476" t="str">
        <f>"A"</f>
        <v>A</v>
      </c>
    </row>
    <row r="4477" spans="1:8" x14ac:dyDescent="0.2">
      <c r="A4477" t="str">
        <f t="shared" si="1641"/>
        <v>0616014205</v>
      </c>
      <c r="B4477" t="str">
        <f t="shared" si="1642"/>
        <v>CONNOR</v>
      </c>
      <c r="C4477" t="str">
        <f t="shared" si="1643"/>
        <v>DICOWDEN</v>
      </c>
      <c r="D4477">
        <f>10</f>
        <v>10</v>
      </c>
      <c r="E4477" t="str">
        <f>"06 - B - 115 - Scott A Dethloff"</f>
        <v>06 - B - 115 - Scott A Dethloff</v>
      </c>
      <c r="F4477" t="str">
        <f>"NC STUDY HALL 1"</f>
        <v>NC STUDY HALL 1</v>
      </c>
      <c r="G4477" t="str">
        <f>"08-812"</f>
        <v>08-812</v>
      </c>
      <c r="H4477" t="str">
        <f>"B"</f>
        <v>B</v>
      </c>
    </row>
    <row r="4478" spans="1:8" x14ac:dyDescent="0.2">
      <c r="A4478" t="str">
        <f t="shared" si="1641"/>
        <v>0616014205</v>
      </c>
      <c r="B4478" t="str">
        <f t="shared" si="1642"/>
        <v>CONNOR</v>
      </c>
      <c r="C4478" t="str">
        <f t="shared" si="1643"/>
        <v>DICOWDEN</v>
      </c>
      <c r="D4478">
        <f>10</f>
        <v>10</v>
      </c>
      <c r="E4478" t="str">
        <f>"03 - A - 002 - Brandy N Zdenek"</f>
        <v>03 - A - 002 - Brandy N Zdenek</v>
      </c>
      <c r="F4478" t="str">
        <f>"AICE ENG LANG AS"</f>
        <v>AICE ENG LANG AS</v>
      </c>
      <c r="G4478" t="str">
        <f>"17-1704"</f>
        <v>17-1704</v>
      </c>
      <c r="H4478" t="str">
        <f>"A"</f>
        <v>A</v>
      </c>
    </row>
    <row r="4479" spans="1:8" x14ac:dyDescent="0.2">
      <c r="A4479" t="str">
        <f t="shared" si="1641"/>
        <v>0616014205</v>
      </c>
      <c r="B4479" t="str">
        <f t="shared" si="1642"/>
        <v>CONNOR</v>
      </c>
      <c r="C4479" t="str">
        <f t="shared" si="1643"/>
        <v>DICOWDEN</v>
      </c>
      <c r="D4479">
        <f>10</f>
        <v>10</v>
      </c>
      <c r="E4479" t="str">
        <f>"02 - A - 102 - Vanessa J Liburd"</f>
        <v>02 - A - 102 - Vanessa J Liburd</v>
      </c>
      <c r="F4479" t="str">
        <f>"PRE-AICE FRENCH 2 IG"</f>
        <v>PRE-AICE FRENCH 2 IG</v>
      </c>
      <c r="G4479" t="str">
        <f>"05-519"</f>
        <v>05-519</v>
      </c>
      <c r="H4479" t="str">
        <f>"A"</f>
        <v>A</v>
      </c>
    </row>
    <row r="4480" spans="1:8" x14ac:dyDescent="0.2">
      <c r="A4480" t="str">
        <f t="shared" si="1641"/>
        <v>0616014205</v>
      </c>
      <c r="B4480" t="str">
        <f t="shared" si="1642"/>
        <v>CONNOR</v>
      </c>
      <c r="C4480" t="str">
        <f t="shared" si="1643"/>
        <v>DICOWDEN</v>
      </c>
      <c r="D4480">
        <f>10</f>
        <v>10</v>
      </c>
      <c r="E4480" t="str">
        <f>"07 - B - 101 - Fernando  Vega-Cid"</f>
        <v>07 - B - 101 - Fernando  Vega-Cid</v>
      </c>
      <c r="F4480" t="str">
        <f>"AP PRECALCULUS"</f>
        <v>AP PRECALCULUS</v>
      </c>
      <c r="G4480" t="str">
        <f>"21-2163"</f>
        <v>21-2163</v>
      </c>
      <c r="H4480" t="str">
        <f>"B"</f>
        <v>B</v>
      </c>
    </row>
    <row r="4481" spans="1:8" x14ac:dyDescent="0.2">
      <c r="A4481" t="str">
        <f t="shared" si="1641"/>
        <v>0616014205</v>
      </c>
      <c r="B4481" t="str">
        <f t="shared" si="1642"/>
        <v>CONNOR</v>
      </c>
      <c r="C4481" t="str">
        <f t="shared" si="1643"/>
        <v>DICOWDEN</v>
      </c>
      <c r="D4481">
        <f>10</f>
        <v>10</v>
      </c>
      <c r="E4481" t="str">
        <f>"05 - B - 201 - Scott A Dethloff"</f>
        <v>05 - B - 201 - Scott A Dethloff</v>
      </c>
      <c r="F4481" t="str">
        <f>"AP CHEM"</f>
        <v>AP CHEM</v>
      </c>
      <c r="G4481" t="str">
        <f>"08-812"</f>
        <v>08-812</v>
      </c>
      <c r="H4481" t="str">
        <f>"B"</f>
        <v>B</v>
      </c>
    </row>
    <row r="4482" spans="1:8" x14ac:dyDescent="0.2">
      <c r="A4482" t="str">
        <f t="shared" si="1641"/>
        <v>0616014205</v>
      </c>
      <c r="B4482" t="str">
        <f t="shared" si="1642"/>
        <v>CONNOR</v>
      </c>
      <c r="C4482" t="str">
        <f t="shared" si="1643"/>
        <v>DICOWDEN</v>
      </c>
      <c r="D4482">
        <f>10</f>
        <v>10</v>
      </c>
      <c r="E4482" t="str">
        <f>"01 - A - 201 - Chrystina M Marchionne"</f>
        <v>01 - A - 201 - Chrystina M Marchionne</v>
      </c>
      <c r="F4482" t="str">
        <f>"AICE MEDIASTUDIES AS"</f>
        <v>AICE MEDIASTUDIES AS</v>
      </c>
      <c r="G4482" t="str">
        <f>"05-520"</f>
        <v>05-520</v>
      </c>
      <c r="H4482" t="str">
        <f>"A"</f>
        <v>A</v>
      </c>
    </row>
    <row r="4483" spans="1:8" x14ac:dyDescent="0.2">
      <c r="A4483" t="str">
        <f t="shared" si="1641"/>
        <v>0616014205</v>
      </c>
      <c r="B4483" t="str">
        <f t="shared" si="1642"/>
        <v>CONNOR</v>
      </c>
      <c r="C4483" t="str">
        <f t="shared" si="1643"/>
        <v>DICOWDEN</v>
      </c>
      <c r="D4483">
        <f>10</f>
        <v>10</v>
      </c>
      <c r="E4483" t="str">
        <f>"08 - B - 201 - Stacey A Blecker"</f>
        <v>08 - B - 201 - Stacey A Blecker</v>
      </c>
      <c r="F4483" t="str">
        <f>"AICE SOCIOLOGY 1 AS"</f>
        <v>AICE SOCIOLOGY 1 AS</v>
      </c>
      <c r="G4483" t="str">
        <f>"09-926"</f>
        <v>09-926</v>
      </c>
      <c r="H4483" t="str">
        <f>"B"</f>
        <v>B</v>
      </c>
    </row>
    <row r="4484" spans="1:8" x14ac:dyDescent="0.2">
      <c r="A4484" t="str">
        <f t="shared" ref="A4484:A4491" si="1644">"0616041525"</f>
        <v>0616041525</v>
      </c>
      <c r="B4484" t="str">
        <f t="shared" ref="B4484:B4491" si="1645">"SARAH"</f>
        <v>SARAH</v>
      </c>
      <c r="C4484" t="str">
        <f t="shared" ref="C4484:C4491" si="1646">"DILLON"</f>
        <v>DILLON</v>
      </c>
      <c r="D4484">
        <f>10</f>
        <v>10</v>
      </c>
      <c r="E4484" t="str">
        <f>"04 - A - 102 - Byron G Montenegro"</f>
        <v>04 - A - 102 - Byron G Montenegro</v>
      </c>
      <c r="F4484" t="str">
        <f>"AICE MARINE SCI 1 AS"</f>
        <v>AICE MARINE SCI 1 AS</v>
      </c>
      <c r="G4484" t="str">
        <f>"21-2144"</f>
        <v>21-2144</v>
      </c>
      <c r="H4484" t="str">
        <f>"A"</f>
        <v>A</v>
      </c>
    </row>
    <row r="4485" spans="1:8" x14ac:dyDescent="0.2">
      <c r="A4485" t="str">
        <f t="shared" si="1644"/>
        <v>0616041525</v>
      </c>
      <c r="B4485" t="str">
        <f t="shared" si="1645"/>
        <v>SARAH</v>
      </c>
      <c r="C4485" t="str">
        <f t="shared" si="1646"/>
        <v>DILLON</v>
      </c>
      <c r="D4485">
        <f>10</f>
        <v>10</v>
      </c>
      <c r="E4485" t="str">
        <f>"06 - B - 109 - Semra  Bahadir"</f>
        <v>06 - B - 109 - Semra  Bahadir</v>
      </c>
      <c r="F4485" t="str">
        <f>"NC STUDY HALL 1"</f>
        <v>NC STUDY HALL 1</v>
      </c>
      <c r="G4485" t="str">
        <f>"21-2107"</f>
        <v>21-2107</v>
      </c>
      <c r="H4485" t="str">
        <f>"B"</f>
        <v>B</v>
      </c>
    </row>
    <row r="4486" spans="1:8" x14ac:dyDescent="0.2">
      <c r="A4486" t="str">
        <f t="shared" si="1644"/>
        <v>0616041525</v>
      </c>
      <c r="B4486" t="str">
        <f t="shared" si="1645"/>
        <v>SARAH</v>
      </c>
      <c r="C4486" t="str">
        <f t="shared" si="1646"/>
        <v>DILLON</v>
      </c>
      <c r="D4486">
        <f>10</f>
        <v>10</v>
      </c>
      <c r="E4486" t="str">
        <f>"03 - A - 201 - Chrystina M Marchionne"</f>
        <v>03 - A - 201 - Chrystina M Marchionne</v>
      </c>
      <c r="F4486" t="str">
        <f>"JOURN 1 (YB) LH"</f>
        <v>JOURN 1 (YB) LH</v>
      </c>
      <c r="G4486" t="str">
        <f>"05-520"</f>
        <v>05-520</v>
      </c>
      <c r="H4486" t="str">
        <f>"A"</f>
        <v>A</v>
      </c>
    </row>
    <row r="4487" spans="1:8" x14ac:dyDescent="0.2">
      <c r="A4487" t="str">
        <f t="shared" si="1644"/>
        <v>0616041525</v>
      </c>
      <c r="B4487" t="str">
        <f t="shared" si="1645"/>
        <v>SARAH</v>
      </c>
      <c r="C4487" t="str">
        <f t="shared" si="1646"/>
        <v>DILLON</v>
      </c>
      <c r="D4487">
        <f>10</f>
        <v>10</v>
      </c>
      <c r="E4487" t="str">
        <f>"02 - A - 102 - Marius D Orsolini"</f>
        <v>02 - A - 102 - Marius D Orsolini</v>
      </c>
      <c r="F4487" t="str">
        <f>"CULINARY ARTS 1"</f>
        <v>CULINARY ARTS 1</v>
      </c>
      <c r="G4487" t="str">
        <f>"21-2115"</f>
        <v>21-2115</v>
      </c>
      <c r="H4487" t="str">
        <f>"A"</f>
        <v>A</v>
      </c>
    </row>
    <row r="4488" spans="1:8" x14ac:dyDescent="0.2">
      <c r="A4488" t="str">
        <f t="shared" si="1644"/>
        <v>0616041525</v>
      </c>
      <c r="B4488" t="str">
        <f t="shared" si="1645"/>
        <v>SARAH</v>
      </c>
      <c r="C4488" t="str">
        <f t="shared" si="1646"/>
        <v>DILLON</v>
      </c>
      <c r="D4488">
        <f>10</f>
        <v>10</v>
      </c>
      <c r="E4488" t="str">
        <f>"07 - B - 207 - Krystal Marie  Beruty"</f>
        <v>07 - B - 207 - Krystal Marie  Beruty</v>
      </c>
      <c r="F4488" t="str">
        <f>"AICE GLBL PERSP 1 AS"</f>
        <v>AICE GLBL PERSP 1 AS</v>
      </c>
      <c r="G4488" t="str">
        <f>"17-1721"</f>
        <v>17-1721</v>
      </c>
      <c r="H4488" t="str">
        <f>"B"</f>
        <v>B</v>
      </c>
    </row>
    <row r="4489" spans="1:8" x14ac:dyDescent="0.2">
      <c r="A4489" t="str">
        <f t="shared" si="1644"/>
        <v>0616041525</v>
      </c>
      <c r="B4489" t="str">
        <f t="shared" si="1645"/>
        <v>SARAH</v>
      </c>
      <c r="C4489" t="str">
        <f t="shared" si="1646"/>
        <v>DILLON</v>
      </c>
      <c r="D4489">
        <f>10</f>
        <v>10</v>
      </c>
      <c r="E4489" t="str">
        <f>"05 - B - 001 - Stefanie S Scher"</f>
        <v>05 - B - 001 - Stefanie S Scher</v>
      </c>
      <c r="F4489" t="str">
        <f>"AICE PSYCH 1 AS"</f>
        <v>AICE PSYCH 1 AS</v>
      </c>
      <c r="G4489" t="str">
        <f>"17-1735"</f>
        <v>17-1735</v>
      </c>
      <c r="H4489" t="str">
        <f>"B"</f>
        <v>B</v>
      </c>
    </row>
    <row r="4490" spans="1:8" x14ac:dyDescent="0.2">
      <c r="A4490" t="str">
        <f t="shared" si="1644"/>
        <v>0616041525</v>
      </c>
      <c r="B4490" t="str">
        <f t="shared" si="1645"/>
        <v>SARAH</v>
      </c>
      <c r="C4490" t="str">
        <f t="shared" si="1646"/>
        <v>DILLON</v>
      </c>
      <c r="D4490">
        <f>10</f>
        <v>10</v>
      </c>
      <c r="E4490" t="str">
        <f>"01 - A - 101 - Courtney E Hambright"</f>
        <v>01 - A - 101 - Courtney E Hambright</v>
      </c>
      <c r="F4490" t="str">
        <f>"AICE ENG LANG AS"</f>
        <v>AICE ENG LANG AS</v>
      </c>
      <c r="G4490" t="str">
        <f>"17-1711"</f>
        <v>17-1711</v>
      </c>
      <c r="H4490" t="str">
        <f>"A"</f>
        <v>A</v>
      </c>
    </row>
    <row r="4491" spans="1:8" x14ac:dyDescent="0.2">
      <c r="A4491" t="str">
        <f t="shared" si="1644"/>
        <v>0616041525</v>
      </c>
      <c r="B4491" t="str">
        <f t="shared" si="1645"/>
        <v>SARAH</v>
      </c>
      <c r="C4491" t="str">
        <f t="shared" si="1646"/>
        <v>DILLON</v>
      </c>
      <c r="D4491">
        <f>10</f>
        <v>10</v>
      </c>
      <c r="E4491" t="str">
        <f>"08 - B - 107 - Dayna M Foster"</f>
        <v>08 - B - 107 - Dayna M Foster</v>
      </c>
      <c r="F4491" t="str">
        <f>"ALGEBRA 2"</f>
        <v>ALGEBRA 2</v>
      </c>
      <c r="G4491" t="str">
        <f>"21-2109"</f>
        <v>21-2109</v>
      </c>
      <c r="H4491" t="str">
        <f>"B"</f>
        <v>B</v>
      </c>
    </row>
    <row r="4492" spans="1:8" x14ac:dyDescent="0.2">
      <c r="A4492" t="str">
        <f t="shared" ref="A4492:A4499" si="1647">"0614142023"</f>
        <v>0614142023</v>
      </c>
      <c r="B4492" t="str">
        <f t="shared" ref="B4492:B4499" si="1648">"AN"</f>
        <v>AN</v>
      </c>
      <c r="C4492" t="str">
        <f t="shared" ref="C4492:C4499" si="1649">"DINH"</f>
        <v>DINH</v>
      </c>
      <c r="D4492">
        <f>11</f>
        <v>11</v>
      </c>
      <c r="E4492" t="str">
        <f>"04 - A - 101 - Stephen T Ripp"</f>
        <v>04 - A - 101 - Stephen T Ripp</v>
      </c>
      <c r="F4492" t="str">
        <f>"AP U.S. HIST"</f>
        <v>AP U.S. HIST</v>
      </c>
      <c r="G4492" t="str">
        <f>"17-1744"</f>
        <v>17-1744</v>
      </c>
      <c r="H4492" t="str">
        <f>"A"</f>
        <v>A</v>
      </c>
    </row>
    <row r="4493" spans="1:8" x14ac:dyDescent="0.2">
      <c r="A4493" t="str">
        <f t="shared" si="1647"/>
        <v>0614142023</v>
      </c>
      <c r="B4493" t="str">
        <f t="shared" si="1648"/>
        <v>AN</v>
      </c>
      <c r="C4493" t="str">
        <f t="shared" si="1649"/>
        <v>DINH</v>
      </c>
      <c r="D4493">
        <f>11</f>
        <v>11</v>
      </c>
      <c r="E4493" t="str">
        <f>"06 - B - 001 - Lourivaldo  Da Silva"</f>
        <v>06 - B - 001 - Lourivaldo  Da Silva</v>
      </c>
      <c r="F4493" t="str">
        <f>"PRE-CALCULUS HON"</f>
        <v>PRE-CALCULUS HON</v>
      </c>
      <c r="G4493" t="str">
        <f>"20-2079"</f>
        <v>20-2079</v>
      </c>
      <c r="H4493" t="str">
        <f>"B"</f>
        <v>B</v>
      </c>
    </row>
    <row r="4494" spans="1:8" x14ac:dyDescent="0.2">
      <c r="A4494" t="str">
        <f t="shared" si="1647"/>
        <v>0614142023</v>
      </c>
      <c r="B4494" t="str">
        <f t="shared" si="1648"/>
        <v>AN</v>
      </c>
      <c r="C4494" t="str">
        <f t="shared" si="1649"/>
        <v>DINH</v>
      </c>
      <c r="D4494">
        <f>11</f>
        <v>11</v>
      </c>
      <c r="E4494" t="str">
        <f>"03 - A - 101 - Timothy J Lawrence"</f>
        <v>03 - A - 101 - Timothy J Lawrence</v>
      </c>
      <c r="F4494" t="str">
        <f>"AICE PHYS ED 1 AS"</f>
        <v>AICE PHYS ED 1 AS</v>
      </c>
      <c r="G4494" t="str">
        <f>"05-519"</f>
        <v>05-519</v>
      </c>
      <c r="H4494" t="str">
        <f>"A"</f>
        <v>A</v>
      </c>
    </row>
    <row r="4495" spans="1:8" x14ac:dyDescent="0.2">
      <c r="A4495" t="str">
        <f t="shared" si="1647"/>
        <v>0614142023</v>
      </c>
      <c r="B4495" t="str">
        <f t="shared" si="1648"/>
        <v>AN</v>
      </c>
      <c r="C4495" t="str">
        <f t="shared" si="1649"/>
        <v>DINH</v>
      </c>
      <c r="D4495">
        <f>11</f>
        <v>11</v>
      </c>
      <c r="E4495" t="str">
        <f>"02 - A - 102 - Brook E Goren"</f>
        <v>02 - A - 102 - Brook E Goren</v>
      </c>
      <c r="F4495" t="str">
        <f>"NC STUDY HALL 1"</f>
        <v>NC STUDY HALL 1</v>
      </c>
      <c r="G4495" t="str">
        <f>"21-2158"</f>
        <v>21-2158</v>
      </c>
      <c r="H4495" t="str">
        <f>"A"</f>
        <v>A</v>
      </c>
    </row>
    <row r="4496" spans="1:8" x14ac:dyDescent="0.2">
      <c r="A4496" t="str">
        <f t="shared" si="1647"/>
        <v>0614142023</v>
      </c>
      <c r="B4496" t="str">
        <f t="shared" si="1648"/>
        <v>AN</v>
      </c>
      <c r="C4496" t="str">
        <f t="shared" si="1649"/>
        <v>DINH</v>
      </c>
      <c r="D4496">
        <f>11</f>
        <v>11</v>
      </c>
      <c r="E4496" t="str">
        <f>"07 - B - 101 - Lisa  Quinn"</f>
        <v>07 - B - 101 - Lisa  Quinn</v>
      </c>
      <c r="F4496" t="str">
        <f>"RESEARCH 1"</f>
        <v>RESEARCH 1</v>
      </c>
      <c r="G4496" t="str">
        <f>"17-1725"</f>
        <v>17-1725</v>
      </c>
      <c r="H4496" t="str">
        <f>"B"</f>
        <v>B</v>
      </c>
    </row>
    <row r="4497" spans="1:8" x14ac:dyDescent="0.2">
      <c r="A4497" t="str">
        <f t="shared" si="1647"/>
        <v>0614142023</v>
      </c>
      <c r="B4497" t="str">
        <f t="shared" si="1648"/>
        <v>AN</v>
      </c>
      <c r="C4497" t="str">
        <f t="shared" si="1649"/>
        <v>DINH</v>
      </c>
      <c r="D4497">
        <f>11</f>
        <v>11</v>
      </c>
      <c r="E4497" t="str">
        <f>"05 - B - 103 - Tina M Jaramillo"</f>
        <v>05 - B - 103 - Tina M Jaramillo</v>
      </c>
      <c r="F4497" t="str">
        <f>"AP ENG COMPO"</f>
        <v>AP ENG COMPO</v>
      </c>
      <c r="G4497" t="str">
        <f>"17-1706"</f>
        <v>17-1706</v>
      </c>
      <c r="H4497" t="str">
        <f>"B"</f>
        <v>B</v>
      </c>
    </row>
    <row r="4498" spans="1:8" x14ac:dyDescent="0.2">
      <c r="A4498" t="str">
        <f t="shared" si="1647"/>
        <v>0614142023</v>
      </c>
      <c r="B4498" t="str">
        <f t="shared" si="1648"/>
        <v>AN</v>
      </c>
      <c r="C4498" t="str">
        <f t="shared" si="1649"/>
        <v>DINH</v>
      </c>
      <c r="D4498">
        <f>11</f>
        <v>11</v>
      </c>
      <c r="E4498" t="str">
        <f>"01 - A - 101 - Lisa J London"</f>
        <v>01 - A - 101 - Lisa J London</v>
      </c>
      <c r="F4498" t="str">
        <f>"AP CAPSTONE SEMINAR"</f>
        <v>AP CAPSTONE SEMINAR</v>
      </c>
      <c r="G4498" t="str">
        <f>"17-1714"</f>
        <v>17-1714</v>
      </c>
      <c r="H4498" t="str">
        <f>"A"</f>
        <v>A</v>
      </c>
    </row>
    <row r="4499" spans="1:8" x14ac:dyDescent="0.2">
      <c r="A4499" t="str">
        <f t="shared" si="1647"/>
        <v>0614142023</v>
      </c>
      <c r="B4499" t="str">
        <f t="shared" si="1648"/>
        <v>AN</v>
      </c>
      <c r="C4499" t="str">
        <f t="shared" si="1649"/>
        <v>DINH</v>
      </c>
      <c r="D4499">
        <f>11</f>
        <v>11</v>
      </c>
      <c r="E4499" t="str">
        <f>"08 - B - 001 - Scott A Dethloff"</f>
        <v>08 - B - 001 - Scott A Dethloff</v>
      </c>
      <c r="F4499" t="str">
        <f>"CHEMISTRY 1 HON"</f>
        <v>CHEMISTRY 1 HON</v>
      </c>
      <c r="G4499" t="str">
        <f>"08-812"</f>
        <v>08-812</v>
      </c>
      <c r="H4499" t="str">
        <f>"B"</f>
        <v>B</v>
      </c>
    </row>
    <row r="4500" spans="1:8" x14ac:dyDescent="0.2">
      <c r="A4500" t="str">
        <f t="shared" ref="A4500:A4507" si="1650">"0615130527"</f>
        <v>0615130527</v>
      </c>
      <c r="B4500" t="str">
        <f t="shared" ref="B4500:B4507" si="1651">"PAUL"</f>
        <v>PAUL</v>
      </c>
      <c r="C4500" t="str">
        <f t="shared" ref="C4500:C4507" si="1652">"DISILVESTRO"</f>
        <v>DISILVESTRO</v>
      </c>
      <c r="D4500">
        <f>10</f>
        <v>10</v>
      </c>
      <c r="E4500" t="str">
        <f>"04 - A - 103 - Daniel S Tyson"</f>
        <v>04 - A - 103 - Daniel S Tyson</v>
      </c>
      <c r="F4500" t="str">
        <f>"JROTC NAVAL SCI 1"</f>
        <v>JROTC NAVAL SCI 1</v>
      </c>
      <c r="G4500" t="str">
        <f>"05-510"</f>
        <v>05-510</v>
      </c>
      <c r="H4500" t="str">
        <f>"A"</f>
        <v>A</v>
      </c>
    </row>
    <row r="4501" spans="1:8" x14ac:dyDescent="0.2">
      <c r="A4501" t="str">
        <f t="shared" si="1650"/>
        <v>0615130527</v>
      </c>
      <c r="B4501" t="str">
        <f t="shared" si="1651"/>
        <v>PAUL</v>
      </c>
      <c r="C4501" t="str">
        <f t="shared" si="1652"/>
        <v>DISILVESTRO</v>
      </c>
      <c r="D4501">
        <f>10</f>
        <v>10</v>
      </c>
      <c r="E4501" t="str">
        <f>"06 - B - 104 - Robert H Rindner"</f>
        <v>06 - B - 104 - Robert H Rindner</v>
      </c>
      <c r="F4501" t="str">
        <f>"NC STUDY HALL 1"</f>
        <v>NC STUDY HALL 1</v>
      </c>
      <c r="G4501" t="str">
        <f>"21-2160"</f>
        <v>21-2160</v>
      </c>
      <c r="H4501" t="str">
        <f>"B"</f>
        <v>B</v>
      </c>
    </row>
    <row r="4502" spans="1:8" x14ac:dyDescent="0.2">
      <c r="A4502" t="str">
        <f t="shared" si="1650"/>
        <v>0615130527</v>
      </c>
      <c r="B4502" t="str">
        <f t="shared" si="1651"/>
        <v>PAUL</v>
      </c>
      <c r="C4502" t="str">
        <f t="shared" si="1652"/>
        <v>DISILVESTRO</v>
      </c>
      <c r="D4502">
        <f>10</f>
        <v>10</v>
      </c>
      <c r="E4502" t="str">
        <f>"03 - A - 002 - Nikiel  Nesbeth"</f>
        <v>03 - A - 002 - Nikiel  Nesbeth</v>
      </c>
      <c r="F4502" t="str">
        <f>"PRE-AICE ENG LIT IG"</f>
        <v>PRE-AICE ENG LIT IG</v>
      </c>
      <c r="G4502" t="str">
        <f>"17-1705"</f>
        <v>17-1705</v>
      </c>
      <c r="H4502" t="str">
        <f>"A"</f>
        <v>A</v>
      </c>
    </row>
    <row r="4503" spans="1:8" x14ac:dyDescent="0.2">
      <c r="A4503" t="str">
        <f t="shared" si="1650"/>
        <v>0615130527</v>
      </c>
      <c r="B4503" t="str">
        <f t="shared" si="1651"/>
        <v>PAUL</v>
      </c>
      <c r="C4503" t="str">
        <f t="shared" si="1652"/>
        <v>DISILVESTRO</v>
      </c>
      <c r="D4503">
        <f>10</f>
        <v>10</v>
      </c>
      <c r="E4503" t="str">
        <f>"02 - A - 105 - Semra  Bahadir"</f>
        <v>02 - A - 105 - Semra  Bahadir</v>
      </c>
      <c r="F4503" t="str">
        <f>"ALGEBRA 2"</f>
        <v>ALGEBRA 2</v>
      </c>
      <c r="G4503" t="str">
        <f>"21-2107"</f>
        <v>21-2107</v>
      </c>
      <c r="H4503" t="str">
        <f>"A"</f>
        <v>A</v>
      </c>
    </row>
    <row r="4504" spans="1:8" x14ac:dyDescent="0.2">
      <c r="A4504" t="str">
        <f t="shared" si="1650"/>
        <v>0615130527</v>
      </c>
      <c r="B4504" t="str">
        <f t="shared" si="1651"/>
        <v>PAUL</v>
      </c>
      <c r="C4504" t="str">
        <f t="shared" si="1652"/>
        <v>DISILVESTRO</v>
      </c>
      <c r="D4504">
        <f>10</f>
        <v>10</v>
      </c>
      <c r="E4504" t="str">
        <f>"07 - B - 104 - Marielle A Witting"</f>
        <v>07 - B - 104 - Marielle A Witting</v>
      </c>
      <c r="F4504" t="str">
        <f>"ANAT PHYSIO"</f>
        <v>ANAT PHYSIO</v>
      </c>
      <c r="G4504" t="str">
        <f>"08-805"</f>
        <v>08-805</v>
      </c>
      <c r="H4504" t="str">
        <f>"B"</f>
        <v>B</v>
      </c>
    </row>
    <row r="4505" spans="1:8" x14ac:dyDescent="0.2">
      <c r="A4505" t="str">
        <f t="shared" si="1650"/>
        <v>0615130527</v>
      </c>
      <c r="B4505" t="str">
        <f t="shared" si="1651"/>
        <v>PAUL</v>
      </c>
      <c r="C4505" t="str">
        <f t="shared" si="1652"/>
        <v>DISILVESTRO</v>
      </c>
      <c r="D4505">
        <f>10</f>
        <v>10</v>
      </c>
      <c r="E4505" t="str">
        <f>"05 - B - 202 - Daniel S Katz"</f>
        <v>05 - B - 202 - Daniel S Katz</v>
      </c>
      <c r="F4505" t="str">
        <f>"EXEC INTERN 3 LH"</f>
        <v>EXEC INTERN 3 LH</v>
      </c>
      <c r="G4505" t="str">
        <f>"21-2156"</f>
        <v>21-2156</v>
      </c>
      <c r="H4505" t="str">
        <f>"B"</f>
        <v>B</v>
      </c>
    </row>
    <row r="4506" spans="1:8" x14ac:dyDescent="0.2">
      <c r="A4506" t="str">
        <f t="shared" si="1650"/>
        <v>0615130527</v>
      </c>
      <c r="B4506" t="str">
        <f t="shared" si="1651"/>
        <v>PAUL</v>
      </c>
      <c r="C4506" t="str">
        <f t="shared" si="1652"/>
        <v>DISILVESTRO</v>
      </c>
      <c r="D4506">
        <f>10</f>
        <v>10</v>
      </c>
      <c r="E4506" t="str">
        <f>"01 - A - 504 - Alejandro  Navarro"</f>
        <v>01 - A - 504 - Alejandro  Navarro</v>
      </c>
      <c r="F4506" t="str">
        <f>"BAND 1"</f>
        <v>BAND 1</v>
      </c>
      <c r="G4506" t="str">
        <f>"05-504"</f>
        <v>05-504</v>
      </c>
      <c r="H4506" t="str">
        <f>"A"</f>
        <v>A</v>
      </c>
    </row>
    <row r="4507" spans="1:8" x14ac:dyDescent="0.2">
      <c r="A4507" t="str">
        <f t="shared" si="1650"/>
        <v>0615130527</v>
      </c>
      <c r="B4507" t="str">
        <f t="shared" si="1651"/>
        <v>PAUL</v>
      </c>
      <c r="C4507" t="str">
        <f t="shared" si="1652"/>
        <v>DISILVESTRO</v>
      </c>
      <c r="D4507">
        <f>10</f>
        <v>10</v>
      </c>
      <c r="E4507" t="str">
        <f>"08 - B - 103 - Joe  Kilpatrick Jr"</f>
        <v>08 - B - 103 - Joe  Kilpatrick Jr</v>
      </c>
      <c r="F4507" t="str">
        <f>"PRE-AICE SPAN 2 IG"</f>
        <v>PRE-AICE SPAN 2 IG</v>
      </c>
      <c r="G4507" t="str">
        <f>"09-912"</f>
        <v>09-912</v>
      </c>
      <c r="H4507" t="str">
        <f>"B"</f>
        <v>B</v>
      </c>
    </row>
    <row r="4508" spans="1:8" x14ac:dyDescent="0.2">
      <c r="A4508" t="str">
        <f t="shared" ref="A4508:A4515" si="1653">"0616072867"</f>
        <v>0616072867</v>
      </c>
      <c r="B4508" t="str">
        <f t="shared" ref="B4508:B4515" si="1654">"PRINCETODD"</f>
        <v>PRINCETODD</v>
      </c>
      <c r="C4508" t="str">
        <f t="shared" ref="C4508:C4515" si="1655">"DIXON"</f>
        <v>DIXON</v>
      </c>
      <c r="D4508">
        <f>10</f>
        <v>10</v>
      </c>
      <c r="E4508" t="str">
        <f>"04 - A - 105 - Jacquelyn M Neeson"</f>
        <v>04 - A - 105 - Jacquelyn M Neeson</v>
      </c>
      <c r="F4508" t="str">
        <f>"ENG 2"</f>
        <v>ENG 2</v>
      </c>
      <c r="G4508" t="str">
        <f>"17-1715"</f>
        <v>17-1715</v>
      </c>
      <c r="H4508" t="str">
        <f>"A"</f>
        <v>A</v>
      </c>
    </row>
    <row r="4509" spans="1:8" x14ac:dyDescent="0.2">
      <c r="A4509" t="str">
        <f t="shared" si="1653"/>
        <v>0616072867</v>
      </c>
      <c r="B4509" t="str">
        <f t="shared" si="1654"/>
        <v>PRINCETODD</v>
      </c>
      <c r="C4509" t="str">
        <f t="shared" si="1655"/>
        <v>DIXON</v>
      </c>
      <c r="D4509">
        <f>10</f>
        <v>10</v>
      </c>
      <c r="E4509" t="str">
        <f>"06 - B - 107 - Dorothy D Moore"</f>
        <v>06 - B - 107 - Dorothy D Moore</v>
      </c>
      <c r="F4509" t="str">
        <f>"NC STUDY HALL 1"</f>
        <v>NC STUDY HALL 1</v>
      </c>
      <c r="G4509" t="str">
        <f>"08-803"</f>
        <v>08-803</v>
      </c>
      <c r="H4509" t="str">
        <f>"B"</f>
        <v>B</v>
      </c>
    </row>
    <row r="4510" spans="1:8" x14ac:dyDescent="0.2">
      <c r="A4510" t="str">
        <f t="shared" si="1653"/>
        <v>0616072867</v>
      </c>
      <c r="B4510" t="str">
        <f t="shared" si="1654"/>
        <v>PRINCETODD</v>
      </c>
      <c r="C4510" t="str">
        <f t="shared" si="1655"/>
        <v>DIXON</v>
      </c>
      <c r="D4510">
        <f>10</f>
        <v>10</v>
      </c>
      <c r="E4510" t="str">
        <f>"03 - A - 103 - Taraneh C Abreu"</f>
        <v>03 - A - 103 - Taraneh C Abreu</v>
      </c>
      <c r="F4510" t="str">
        <f>"INTENS READ 2"</f>
        <v>INTENS READ 2</v>
      </c>
      <c r="G4510" t="str">
        <f>"17-1713"</f>
        <v>17-1713</v>
      </c>
      <c r="H4510" t="str">
        <f>"A"</f>
        <v>A</v>
      </c>
    </row>
    <row r="4511" spans="1:8" x14ac:dyDescent="0.2">
      <c r="A4511" t="str">
        <f t="shared" si="1653"/>
        <v>0616072867</v>
      </c>
      <c r="B4511" t="str">
        <f t="shared" si="1654"/>
        <v>PRINCETODD</v>
      </c>
      <c r="C4511" t="str">
        <f t="shared" si="1655"/>
        <v>DIXON</v>
      </c>
      <c r="D4511">
        <f>10</f>
        <v>10</v>
      </c>
      <c r="E4511" t="str">
        <f>"02 - A - 101 - Brian M Fitzgerald"</f>
        <v>02 - A - 101 - Brian M Fitzgerald</v>
      </c>
      <c r="F4511" t="str">
        <f>"DRAW 1"</f>
        <v>DRAW 1</v>
      </c>
      <c r="G4511" t="str">
        <f>"09-908"</f>
        <v>09-908</v>
      </c>
      <c r="H4511" t="str">
        <f>"A"</f>
        <v>A</v>
      </c>
    </row>
    <row r="4512" spans="1:8" x14ac:dyDescent="0.2">
      <c r="A4512" t="str">
        <f t="shared" si="1653"/>
        <v>0616072867</v>
      </c>
      <c r="B4512" t="str">
        <f t="shared" si="1654"/>
        <v>PRINCETODD</v>
      </c>
      <c r="C4512" t="str">
        <f t="shared" si="1655"/>
        <v>DIXON</v>
      </c>
      <c r="D4512">
        <f>10</f>
        <v>10</v>
      </c>
      <c r="E4512" t="str">
        <f>"07 - B - 107 - Adam Marcus  Drucker"</f>
        <v>07 - B - 107 - Adam Marcus  Drucker</v>
      </c>
      <c r="F4512" t="str">
        <f>"HOPE-PE V"</f>
        <v>HOPE-PE V</v>
      </c>
      <c r="G4512" t="str">
        <f>"04-254"</f>
        <v>04-254</v>
      </c>
      <c r="H4512" t="str">
        <f>"B"</f>
        <v>B</v>
      </c>
    </row>
    <row r="4513" spans="1:8" x14ac:dyDescent="0.2">
      <c r="A4513" t="str">
        <f t="shared" si="1653"/>
        <v>0616072867</v>
      </c>
      <c r="B4513" t="str">
        <f t="shared" si="1654"/>
        <v>PRINCETODD</v>
      </c>
      <c r="C4513" t="str">
        <f t="shared" si="1655"/>
        <v>DIXON</v>
      </c>
      <c r="D4513">
        <f>10</f>
        <v>10</v>
      </c>
      <c r="E4513" t="str">
        <f>"05 - B - 109 - Ferrie J Arostique"</f>
        <v>05 - B - 109 - Ferrie J Arostique</v>
      </c>
      <c r="F4513" t="str">
        <f>"GEOMETRY"</f>
        <v>GEOMETRY</v>
      </c>
      <c r="G4513" t="str">
        <f>"21-2139"</f>
        <v>21-2139</v>
      </c>
      <c r="H4513" t="str">
        <f>"B"</f>
        <v>B</v>
      </c>
    </row>
    <row r="4514" spans="1:8" x14ac:dyDescent="0.2">
      <c r="A4514" t="str">
        <f t="shared" si="1653"/>
        <v>0616072867</v>
      </c>
      <c r="B4514" t="str">
        <f t="shared" si="1654"/>
        <v>PRINCETODD</v>
      </c>
      <c r="C4514" t="str">
        <f t="shared" si="1655"/>
        <v>DIXON</v>
      </c>
      <c r="D4514">
        <f>10</f>
        <v>10</v>
      </c>
      <c r="E4514" t="str">
        <f>"01 - S1 - A - 101 - Carol S Moore"</f>
        <v>01 - S1 - A - 101 - Carol S Moore</v>
      </c>
      <c r="F4514" t="str">
        <f>"PERS FIN &amp; MON MGT H"</f>
        <v>PERS FIN &amp; MON MGT H</v>
      </c>
      <c r="G4514" t="str">
        <f>"17-1733"</f>
        <v>17-1733</v>
      </c>
      <c r="H4514" t="str">
        <f>"A"</f>
        <v>A</v>
      </c>
    </row>
    <row r="4515" spans="1:8" x14ac:dyDescent="0.2">
      <c r="A4515" t="str">
        <f t="shared" si="1653"/>
        <v>0616072867</v>
      </c>
      <c r="B4515" t="str">
        <f t="shared" si="1654"/>
        <v>PRINCETODD</v>
      </c>
      <c r="C4515" t="str">
        <f t="shared" si="1655"/>
        <v>DIXON</v>
      </c>
      <c r="D4515">
        <f>10</f>
        <v>10</v>
      </c>
      <c r="E4515" t="str">
        <f>"08 - B - 108 - Paige Lauren  Brochu"</f>
        <v>08 - B - 108 - Paige Lauren  Brochu</v>
      </c>
      <c r="F4515" t="str">
        <f>"BIOLOGY 1"</f>
        <v>BIOLOGY 1</v>
      </c>
      <c r="G4515" t="str">
        <f>"21-2134"</f>
        <v>21-2134</v>
      </c>
      <c r="H4515" t="str">
        <f>"B"</f>
        <v>B</v>
      </c>
    </row>
    <row r="4516" spans="1:8" x14ac:dyDescent="0.2">
      <c r="A4516" t="str">
        <f t="shared" ref="A4516:A4523" si="1656">"0620109528"</f>
        <v>0620109528</v>
      </c>
      <c r="B4516" t="str">
        <f t="shared" ref="B4516:B4523" si="1657">"HARRISON"</f>
        <v>HARRISON</v>
      </c>
      <c r="C4516" t="str">
        <f t="shared" ref="C4516:C4523" si="1658">"DOAN"</f>
        <v>DOAN</v>
      </c>
      <c r="D4516">
        <f>10</f>
        <v>10</v>
      </c>
      <c r="E4516" t="str">
        <f>"04 - A - 106 - Marielle A Witting"</f>
        <v>04 - A - 106 - Marielle A Witting</v>
      </c>
      <c r="F4516" t="str">
        <f>"ANAT PHYSIO"</f>
        <v>ANAT PHYSIO</v>
      </c>
      <c r="G4516" t="str">
        <f>"08-805"</f>
        <v>08-805</v>
      </c>
      <c r="H4516" t="str">
        <f>"A"</f>
        <v>A</v>
      </c>
    </row>
    <row r="4517" spans="1:8" x14ac:dyDescent="0.2">
      <c r="A4517" t="str">
        <f t="shared" si="1656"/>
        <v>0620109528</v>
      </c>
      <c r="B4517" t="str">
        <f t="shared" si="1657"/>
        <v>HARRISON</v>
      </c>
      <c r="C4517" t="str">
        <f t="shared" si="1658"/>
        <v>DOAN</v>
      </c>
      <c r="D4517">
        <f>10</f>
        <v>10</v>
      </c>
      <c r="E4517" t="str">
        <f>"06 - B - 113 - Joe  Kilpatrick Jr"</f>
        <v>06 - B - 113 - Joe  Kilpatrick Jr</v>
      </c>
      <c r="F4517" t="str">
        <f>"NC STUDY HALL 1"</f>
        <v>NC STUDY HALL 1</v>
      </c>
      <c r="G4517" t="str">
        <f>"09-912"</f>
        <v>09-912</v>
      </c>
      <c r="H4517" t="str">
        <f>"B"</f>
        <v>B</v>
      </c>
    </row>
    <row r="4518" spans="1:8" x14ac:dyDescent="0.2">
      <c r="A4518" t="str">
        <f t="shared" si="1656"/>
        <v>0620109528</v>
      </c>
      <c r="B4518" t="str">
        <f t="shared" si="1657"/>
        <v>HARRISON</v>
      </c>
      <c r="C4518" t="str">
        <f t="shared" si="1658"/>
        <v>DOAN</v>
      </c>
      <c r="D4518">
        <f>10</f>
        <v>10</v>
      </c>
      <c r="E4518" t="str">
        <f>"03 - S1 - A - 101 - Arthur  Kulawik"</f>
        <v>03 - S1 - A - 101 - Arthur  Kulawik</v>
      </c>
      <c r="F4518" t="str">
        <f>"PERS FIN &amp; MON MGT H"</f>
        <v>PERS FIN &amp; MON MGT H</v>
      </c>
      <c r="G4518" t="str">
        <f>"05-506"</f>
        <v>05-506</v>
      </c>
      <c r="H4518" t="str">
        <f>"A"</f>
        <v>A</v>
      </c>
    </row>
    <row r="4519" spans="1:8" x14ac:dyDescent="0.2">
      <c r="A4519" t="str">
        <f t="shared" si="1656"/>
        <v>0620109528</v>
      </c>
      <c r="B4519" t="str">
        <f t="shared" si="1657"/>
        <v>HARRISON</v>
      </c>
      <c r="C4519" t="str">
        <f t="shared" si="1658"/>
        <v>DOAN</v>
      </c>
      <c r="D4519">
        <f>10</f>
        <v>10</v>
      </c>
      <c r="E4519" t="str">
        <f>"02 - A - 102 - Marius D Orsolini"</f>
        <v>02 - A - 102 - Marius D Orsolini</v>
      </c>
      <c r="F4519" t="str">
        <f>"CULINARY ARTS 1"</f>
        <v>CULINARY ARTS 1</v>
      </c>
      <c r="G4519" t="str">
        <f>"21-2115"</f>
        <v>21-2115</v>
      </c>
      <c r="H4519" t="str">
        <f>"A"</f>
        <v>A</v>
      </c>
    </row>
    <row r="4520" spans="1:8" x14ac:dyDescent="0.2">
      <c r="A4520" t="str">
        <f t="shared" si="1656"/>
        <v>0620109528</v>
      </c>
      <c r="B4520" t="str">
        <f t="shared" si="1657"/>
        <v>HARRISON</v>
      </c>
      <c r="C4520" t="str">
        <f t="shared" si="1658"/>
        <v>DOAN</v>
      </c>
      <c r="D4520">
        <f>10</f>
        <v>10</v>
      </c>
      <c r="E4520" t="str">
        <f>"07 - B - 102 - Nikiel  Nesbeth"</f>
        <v>07 - B - 102 - Nikiel  Nesbeth</v>
      </c>
      <c r="F4520" t="str">
        <f>"PRE-AICE ENG LIT IG"</f>
        <v>PRE-AICE ENG LIT IG</v>
      </c>
      <c r="G4520" t="str">
        <f>"17-1705"</f>
        <v>17-1705</v>
      </c>
      <c r="H4520" t="str">
        <f>"B"</f>
        <v>B</v>
      </c>
    </row>
    <row r="4521" spans="1:8" x14ac:dyDescent="0.2">
      <c r="A4521" t="str">
        <f t="shared" si="1656"/>
        <v>0620109528</v>
      </c>
      <c r="B4521" t="str">
        <f t="shared" si="1657"/>
        <v>HARRISON</v>
      </c>
      <c r="C4521" t="str">
        <f t="shared" si="1658"/>
        <v>DOAN</v>
      </c>
      <c r="D4521">
        <f>10</f>
        <v>10</v>
      </c>
      <c r="E4521" t="str">
        <f>"05 - B - 202 - Daniel S Katz"</f>
        <v>05 - B - 202 - Daniel S Katz</v>
      </c>
      <c r="F4521" t="str">
        <f>"EXEC INTERN 3 LH"</f>
        <v>EXEC INTERN 3 LH</v>
      </c>
      <c r="G4521" t="str">
        <f>"21-2156"</f>
        <v>21-2156</v>
      </c>
      <c r="H4521" t="str">
        <f>"B"</f>
        <v>B</v>
      </c>
    </row>
    <row r="4522" spans="1:8" x14ac:dyDescent="0.2">
      <c r="A4522" t="str">
        <f t="shared" si="1656"/>
        <v>0620109528</v>
      </c>
      <c r="B4522" t="str">
        <f t="shared" si="1657"/>
        <v>HARRISON</v>
      </c>
      <c r="C4522" t="str">
        <f t="shared" si="1658"/>
        <v>DOAN</v>
      </c>
      <c r="D4522">
        <f>10</f>
        <v>10</v>
      </c>
      <c r="E4522" t="str">
        <f>"01 - A - 101 - James H Mccann"</f>
        <v>01 - A - 101 - James H Mccann</v>
      </c>
      <c r="F4522" t="str">
        <f>"ALGEBRA 2"</f>
        <v>ALGEBRA 2</v>
      </c>
      <c r="G4522" t="str">
        <f>"17-1716"</f>
        <v>17-1716</v>
      </c>
      <c r="H4522" t="str">
        <f>"A"</f>
        <v>A</v>
      </c>
    </row>
    <row r="4523" spans="1:8" x14ac:dyDescent="0.2">
      <c r="A4523" t="str">
        <f t="shared" si="1656"/>
        <v>0620109528</v>
      </c>
      <c r="B4523" t="str">
        <f t="shared" si="1657"/>
        <v>HARRISON</v>
      </c>
      <c r="C4523" t="str">
        <f t="shared" si="1658"/>
        <v>DOAN</v>
      </c>
      <c r="D4523">
        <f>10</f>
        <v>10</v>
      </c>
      <c r="E4523" t="str">
        <f>"08 - B - 108 - Adam Marcus  Drucker"</f>
        <v>08 - B - 108 - Adam Marcus  Drucker</v>
      </c>
      <c r="F4523" t="str">
        <f>"HOPE-PE V"</f>
        <v>HOPE-PE V</v>
      </c>
      <c r="G4523" t="str">
        <f>"04-254"</f>
        <v>04-254</v>
      </c>
      <c r="H4523" t="str">
        <f>"B"</f>
        <v>B</v>
      </c>
    </row>
    <row r="4524" spans="1:8" x14ac:dyDescent="0.2">
      <c r="A4524" t="str">
        <f t="shared" ref="A4524:A4531" si="1659">"0622006100"</f>
        <v>0622006100</v>
      </c>
      <c r="B4524" t="str">
        <f t="shared" ref="B4524:B4531" si="1660">"MAX"</f>
        <v>MAX</v>
      </c>
      <c r="C4524" t="str">
        <f t="shared" ref="C4524:C4531" si="1661">"DOBROVITSKI"</f>
        <v>DOBROVITSKI</v>
      </c>
      <c r="D4524">
        <f>11</f>
        <v>11</v>
      </c>
      <c r="E4524" t="str">
        <f>"04 - A - 102 - Lisa J London"</f>
        <v>04 - A - 102 - Lisa J London</v>
      </c>
      <c r="F4524" t="str">
        <f>"AP CAPSTONE SEMINAR"</f>
        <v>AP CAPSTONE SEMINAR</v>
      </c>
      <c r="G4524" t="str">
        <f>"17-1714"</f>
        <v>17-1714</v>
      </c>
      <c r="H4524" t="str">
        <f>"A"</f>
        <v>A</v>
      </c>
    </row>
    <row r="4525" spans="1:8" x14ac:dyDescent="0.2">
      <c r="A4525" t="str">
        <f t="shared" si="1659"/>
        <v>0622006100</v>
      </c>
      <c r="B4525" t="str">
        <f t="shared" si="1660"/>
        <v>MAX</v>
      </c>
      <c r="C4525" t="str">
        <f t="shared" si="1661"/>
        <v>DOBROVITSKI</v>
      </c>
      <c r="D4525">
        <f>11</f>
        <v>11</v>
      </c>
      <c r="E4525" t="str">
        <f>"06 - B - 102 - Stephen T Ripp"</f>
        <v>06 - B - 102 - Stephen T Ripp</v>
      </c>
      <c r="F4525" t="str">
        <f>"AP U.S. HIST"</f>
        <v>AP U.S. HIST</v>
      </c>
      <c r="G4525" t="str">
        <f>"17-1744"</f>
        <v>17-1744</v>
      </c>
      <c r="H4525" t="str">
        <f>"B"</f>
        <v>B</v>
      </c>
    </row>
    <row r="4526" spans="1:8" x14ac:dyDescent="0.2">
      <c r="A4526" t="str">
        <f t="shared" si="1659"/>
        <v>0622006100</v>
      </c>
      <c r="B4526" t="str">
        <f t="shared" si="1660"/>
        <v>MAX</v>
      </c>
      <c r="C4526" t="str">
        <f t="shared" si="1661"/>
        <v>DOBROVITSKI</v>
      </c>
      <c r="D4526">
        <f>11</f>
        <v>11</v>
      </c>
      <c r="E4526" t="str">
        <f>"03 - A - 101 - Lourivaldo  Da Silva"</f>
        <v>03 - A - 101 - Lourivaldo  Da Silva</v>
      </c>
      <c r="F4526" t="str">
        <f>"AP STAT"</f>
        <v>AP STAT</v>
      </c>
      <c r="G4526" t="str">
        <f>"20-2079"</f>
        <v>20-2079</v>
      </c>
      <c r="H4526" t="str">
        <f>"A"</f>
        <v>A</v>
      </c>
    </row>
    <row r="4527" spans="1:8" x14ac:dyDescent="0.2">
      <c r="A4527" t="str">
        <f t="shared" si="1659"/>
        <v>0622006100</v>
      </c>
      <c r="B4527" t="str">
        <f t="shared" si="1660"/>
        <v>MAX</v>
      </c>
      <c r="C4527" t="str">
        <f t="shared" si="1661"/>
        <v>DOBROVITSKI</v>
      </c>
      <c r="D4527">
        <f>11</f>
        <v>11</v>
      </c>
      <c r="E4527" t="str">
        <f>"02 - A - 101 - Timothy J Lawrence"</f>
        <v>02 - A - 101 - Timothy J Lawrence</v>
      </c>
      <c r="F4527" t="str">
        <f>"NC STUDY HALL 1"</f>
        <v>NC STUDY HALL 1</v>
      </c>
      <c r="G4527" t="str">
        <f>"05-522"</f>
        <v>05-522</v>
      </c>
      <c r="H4527" t="str">
        <f>"A"</f>
        <v>A</v>
      </c>
    </row>
    <row r="4528" spans="1:8" x14ac:dyDescent="0.2">
      <c r="A4528" t="str">
        <f t="shared" si="1659"/>
        <v>0622006100</v>
      </c>
      <c r="B4528" t="str">
        <f t="shared" si="1660"/>
        <v>MAX</v>
      </c>
      <c r="C4528" t="str">
        <f t="shared" si="1661"/>
        <v>DOBROVITSKI</v>
      </c>
      <c r="D4528">
        <f>11</f>
        <v>11</v>
      </c>
      <c r="E4528" t="str">
        <f>"07 - B - 204 - Stefanie S Scher"</f>
        <v>07 - B - 204 - Stefanie S Scher</v>
      </c>
      <c r="F4528" t="str">
        <f>"AP PSYCH"</f>
        <v>AP PSYCH</v>
      </c>
      <c r="G4528" t="str">
        <f>"17-1735"</f>
        <v>17-1735</v>
      </c>
      <c r="H4528" t="str">
        <f>"B"</f>
        <v>B</v>
      </c>
    </row>
    <row r="4529" spans="1:8" x14ac:dyDescent="0.2">
      <c r="A4529" t="str">
        <f t="shared" si="1659"/>
        <v>0622006100</v>
      </c>
      <c r="B4529" t="str">
        <f t="shared" si="1660"/>
        <v>MAX</v>
      </c>
      <c r="C4529" t="str">
        <f t="shared" si="1661"/>
        <v>DOBROVITSKI</v>
      </c>
      <c r="D4529">
        <f>11</f>
        <v>11</v>
      </c>
      <c r="E4529" t="str">
        <f>"05 - B - 103 - Tina M Jaramillo"</f>
        <v>05 - B - 103 - Tina M Jaramillo</v>
      </c>
      <c r="F4529" t="str">
        <f>"AP ENG COMPO"</f>
        <v>AP ENG COMPO</v>
      </c>
      <c r="G4529" t="str">
        <f>"17-1706"</f>
        <v>17-1706</v>
      </c>
      <c r="H4529" t="str">
        <f>"B"</f>
        <v>B</v>
      </c>
    </row>
    <row r="4530" spans="1:8" x14ac:dyDescent="0.2">
      <c r="A4530" t="str">
        <f t="shared" si="1659"/>
        <v>0622006100</v>
      </c>
      <c r="B4530" t="str">
        <f t="shared" si="1660"/>
        <v>MAX</v>
      </c>
      <c r="C4530" t="str">
        <f t="shared" si="1661"/>
        <v>DOBROVITSKI</v>
      </c>
      <c r="D4530">
        <f>11</f>
        <v>11</v>
      </c>
      <c r="E4530" t="str">
        <f>"01 - A - 201 - Pamela M Corzo"</f>
        <v>01 - A - 201 - Pamela M Corzo</v>
      </c>
      <c r="F4530" t="str">
        <f>"AP CALCULUS BC"</f>
        <v>AP CALCULUS BC</v>
      </c>
      <c r="G4530" t="str">
        <f>"21-2133"</f>
        <v>21-2133</v>
      </c>
      <c r="H4530" t="str">
        <f>"A"</f>
        <v>A</v>
      </c>
    </row>
    <row r="4531" spans="1:8" x14ac:dyDescent="0.2">
      <c r="A4531" t="str">
        <f t="shared" si="1659"/>
        <v>0622006100</v>
      </c>
      <c r="B4531" t="str">
        <f t="shared" si="1660"/>
        <v>MAX</v>
      </c>
      <c r="C4531" t="str">
        <f t="shared" si="1661"/>
        <v>DOBROVITSKI</v>
      </c>
      <c r="D4531">
        <f>11</f>
        <v>11</v>
      </c>
      <c r="E4531" t="str">
        <f>"08 - B - 102 - Jacqueline R Morphet"</f>
        <v>08 - B - 102 - Jacqueline R Morphet</v>
      </c>
      <c r="F4531" t="str">
        <f>"AP PHYSICS 1"</f>
        <v>AP PHYSICS 1</v>
      </c>
      <c r="G4531" t="str">
        <f>"21-2138"</f>
        <v>21-2138</v>
      </c>
      <c r="H4531" t="str">
        <f>"B"</f>
        <v>B</v>
      </c>
    </row>
    <row r="4532" spans="1:8" x14ac:dyDescent="0.2">
      <c r="A4532" t="str">
        <f t="shared" ref="A4532:A4539" si="1662">"0616014955"</f>
        <v>0616014955</v>
      </c>
      <c r="B4532" t="str">
        <f t="shared" ref="B4532:B4539" si="1663">"JAZETTE"</f>
        <v>JAZETTE</v>
      </c>
      <c r="C4532" t="str">
        <f t="shared" ref="C4532:C4539" si="1664">"DOLLAR"</f>
        <v>DOLLAR</v>
      </c>
      <c r="D4532">
        <f>10</f>
        <v>10</v>
      </c>
      <c r="E4532" t="str">
        <f>"04 - A - 104 - Dayna M Foster"</f>
        <v>04 - A - 104 - Dayna M Foster</v>
      </c>
      <c r="F4532" t="str">
        <f>"ALGEBRA 2"</f>
        <v>ALGEBRA 2</v>
      </c>
      <c r="G4532" t="str">
        <f>"21-2109"</f>
        <v>21-2109</v>
      </c>
      <c r="H4532" t="str">
        <f>"A"</f>
        <v>A</v>
      </c>
    </row>
    <row r="4533" spans="1:8" x14ac:dyDescent="0.2">
      <c r="A4533" t="str">
        <f t="shared" si="1662"/>
        <v>0616014955</v>
      </c>
      <c r="B4533" t="str">
        <f t="shared" si="1663"/>
        <v>JAZETTE</v>
      </c>
      <c r="C4533" t="str">
        <f t="shared" si="1664"/>
        <v>DOLLAR</v>
      </c>
      <c r="D4533">
        <f>10</f>
        <v>10</v>
      </c>
      <c r="E4533" t="str">
        <f>"06 - B - 118 - Jeanne M Bermudez"</f>
        <v>06 - B - 118 - Jeanne M Bermudez</v>
      </c>
      <c r="F4533" t="str">
        <f>"NC STUDY HALL 1"</f>
        <v>NC STUDY HALL 1</v>
      </c>
      <c r="G4533" t="str">
        <f>"21-2141"</f>
        <v>21-2141</v>
      </c>
      <c r="H4533" t="str">
        <f>"B"</f>
        <v>B</v>
      </c>
    </row>
    <row r="4534" spans="1:8" x14ac:dyDescent="0.2">
      <c r="A4534" t="str">
        <f t="shared" si="1662"/>
        <v>0616014955</v>
      </c>
      <c r="B4534" t="str">
        <f t="shared" si="1663"/>
        <v>JAZETTE</v>
      </c>
      <c r="C4534" t="str">
        <f t="shared" si="1664"/>
        <v>DOLLAR</v>
      </c>
      <c r="D4534">
        <f>10</f>
        <v>10</v>
      </c>
      <c r="E4534" t="str">
        <f>"03 - A - 002 - Lenecy  Nodarse"</f>
        <v>03 - A - 002 - Lenecy  Nodarse</v>
      </c>
      <c r="F4534" t="str">
        <f>"AICE EURO HIST 1 AS"</f>
        <v>AICE EURO HIST 1 AS</v>
      </c>
      <c r="G4534" t="str">
        <f>"17-1741"</f>
        <v>17-1741</v>
      </c>
      <c r="H4534" t="str">
        <f>"A"</f>
        <v>A</v>
      </c>
    </row>
    <row r="4535" spans="1:8" x14ac:dyDescent="0.2">
      <c r="A4535" t="str">
        <f t="shared" si="1662"/>
        <v>0616014955</v>
      </c>
      <c r="B4535" t="str">
        <f t="shared" si="1663"/>
        <v>JAZETTE</v>
      </c>
      <c r="C4535" t="str">
        <f t="shared" si="1664"/>
        <v>DOLLAR</v>
      </c>
      <c r="D4535">
        <f>10</f>
        <v>10</v>
      </c>
      <c r="E4535" t="str">
        <f>"02 - A - 102 - Chrystina M Marchionne"</f>
        <v>02 - A - 102 - Chrystina M Marchionne</v>
      </c>
      <c r="F4535" t="str">
        <f>"AICE MEDIASTUDIES AS"</f>
        <v>AICE MEDIASTUDIES AS</v>
      </c>
      <c r="G4535" t="str">
        <f>"05-520"</f>
        <v>05-520</v>
      </c>
      <c r="H4535" t="str">
        <f>"A"</f>
        <v>A</v>
      </c>
    </row>
    <row r="4536" spans="1:8" x14ac:dyDescent="0.2">
      <c r="A4536" t="str">
        <f t="shared" si="1662"/>
        <v>0616014955</v>
      </c>
      <c r="B4536" t="str">
        <f t="shared" si="1663"/>
        <v>JAZETTE</v>
      </c>
      <c r="C4536" t="str">
        <f t="shared" si="1664"/>
        <v>DOLLAR</v>
      </c>
      <c r="D4536">
        <f>10</f>
        <v>10</v>
      </c>
      <c r="E4536" t="str">
        <f>"07 - B - 107 - Jacklyn M James"</f>
        <v>07 - B - 107 - Jacklyn M James</v>
      </c>
      <c r="F4536" t="str">
        <f>"AICE ENG LANG AS"</f>
        <v>AICE ENG LANG AS</v>
      </c>
      <c r="G4536" t="str">
        <f>"17-1731"</f>
        <v>17-1731</v>
      </c>
      <c r="H4536" t="str">
        <f>"B"</f>
        <v>B</v>
      </c>
    </row>
    <row r="4537" spans="1:8" x14ac:dyDescent="0.2">
      <c r="A4537" t="str">
        <f t="shared" si="1662"/>
        <v>0616014955</v>
      </c>
      <c r="B4537" t="str">
        <f t="shared" si="1663"/>
        <v>JAZETTE</v>
      </c>
      <c r="C4537" t="str">
        <f t="shared" si="1664"/>
        <v>DOLLAR</v>
      </c>
      <c r="D4537">
        <f>10</f>
        <v>10</v>
      </c>
      <c r="E4537" t="str">
        <f>"05 - B - 108 - Valerie J Ruwe"</f>
        <v>05 - B - 108 - Valerie J Ruwe</v>
      </c>
      <c r="F4537" t="str">
        <f>"CHEMISTRY 1 HON"</f>
        <v>CHEMISTRY 1 HON</v>
      </c>
      <c r="G4537" t="str">
        <f>"21-2138"</f>
        <v>21-2138</v>
      </c>
      <c r="H4537" t="str">
        <f>"B"</f>
        <v>B</v>
      </c>
    </row>
    <row r="4538" spans="1:8" x14ac:dyDescent="0.2">
      <c r="A4538" t="str">
        <f t="shared" si="1662"/>
        <v>0616014955</v>
      </c>
      <c r="B4538" t="str">
        <f t="shared" si="1663"/>
        <v>JAZETTE</v>
      </c>
      <c r="C4538" t="str">
        <f t="shared" si="1664"/>
        <v>DOLLAR</v>
      </c>
      <c r="D4538">
        <f>10</f>
        <v>10</v>
      </c>
      <c r="E4538" t="str">
        <f>"01 - A - 101 - Daniel S Katz"</f>
        <v>01 - A - 101 - Daniel S Katz</v>
      </c>
      <c r="F4538" t="str">
        <f>"EXEC INTERN 3 LH"</f>
        <v>EXEC INTERN 3 LH</v>
      </c>
      <c r="G4538" t="str">
        <f>"21-2156"</f>
        <v>21-2156</v>
      </c>
      <c r="H4538" t="str">
        <f>"A"</f>
        <v>A</v>
      </c>
    </row>
    <row r="4539" spans="1:8" x14ac:dyDescent="0.2">
      <c r="A4539" t="str">
        <f t="shared" si="1662"/>
        <v>0616014955</v>
      </c>
      <c r="B4539" t="str">
        <f t="shared" si="1663"/>
        <v>JAZETTE</v>
      </c>
      <c r="C4539" t="str">
        <f t="shared" si="1664"/>
        <v>DOLLAR</v>
      </c>
      <c r="D4539">
        <f>10</f>
        <v>10</v>
      </c>
      <c r="E4539" t="str">
        <f>"08 - B - 201 - Stacey A Blecker"</f>
        <v>08 - B - 201 - Stacey A Blecker</v>
      </c>
      <c r="F4539" t="str">
        <f>"AICE SOCIOLOGY 1 AS"</f>
        <v>AICE SOCIOLOGY 1 AS</v>
      </c>
      <c r="G4539" t="str">
        <f>"09-926"</f>
        <v>09-926</v>
      </c>
      <c r="H4539" t="str">
        <f>"B"</f>
        <v>B</v>
      </c>
    </row>
    <row r="4540" spans="1:8" x14ac:dyDescent="0.2">
      <c r="A4540" t="str">
        <f t="shared" ref="A4540:A4547" si="1665">"0616076524"</f>
        <v>0616076524</v>
      </c>
      <c r="B4540" t="str">
        <f t="shared" ref="B4540:B4547" si="1666">"GABRIELLA"</f>
        <v>GABRIELLA</v>
      </c>
      <c r="C4540" t="str">
        <f t="shared" ref="C4540:C4547" si="1667">"DONACIENT"</f>
        <v>DONACIENT</v>
      </c>
      <c r="D4540" t="str">
        <f t="shared" ref="D4540:D4563" si="1668">"09"</f>
        <v>09</v>
      </c>
      <c r="E4540" t="str">
        <f>"04 - A - 101 - Chrystina M Marchionne"</f>
        <v>04 - A - 101 - Chrystina M Marchionne</v>
      </c>
      <c r="F4540" t="str">
        <f>"THEA CIN &amp; FILM LH"</f>
        <v>THEA CIN &amp; FILM LH</v>
      </c>
      <c r="G4540" t="str">
        <f>"05-520"</f>
        <v>05-520</v>
      </c>
      <c r="H4540" t="str">
        <f>"A"</f>
        <v>A</v>
      </c>
    </row>
    <row r="4541" spans="1:8" x14ac:dyDescent="0.2">
      <c r="A4541" t="str">
        <f t="shared" si="1665"/>
        <v>0616076524</v>
      </c>
      <c r="B4541" t="str">
        <f t="shared" si="1666"/>
        <v>GABRIELLA</v>
      </c>
      <c r="C4541" t="str">
        <f t="shared" si="1667"/>
        <v>DONACIENT</v>
      </c>
      <c r="D4541" t="str">
        <f t="shared" si="1668"/>
        <v>09</v>
      </c>
      <c r="E4541" t="str">
        <f>"06 - B - 106 - Adam Marcus  Drucker"</f>
        <v>06 - B - 106 - Adam Marcus  Drucker</v>
      </c>
      <c r="F4541" t="str">
        <f>"HOPE-PE V"</f>
        <v>HOPE-PE V</v>
      </c>
      <c r="G4541" t="str">
        <f>"04-254"</f>
        <v>04-254</v>
      </c>
      <c r="H4541" t="str">
        <f>"B"</f>
        <v>B</v>
      </c>
    </row>
    <row r="4542" spans="1:8" x14ac:dyDescent="0.2">
      <c r="A4542" t="str">
        <f t="shared" si="1665"/>
        <v>0616076524</v>
      </c>
      <c r="B4542" t="str">
        <f t="shared" si="1666"/>
        <v>GABRIELLA</v>
      </c>
      <c r="C4542" t="str">
        <f t="shared" si="1667"/>
        <v>DONACIENT</v>
      </c>
      <c r="D4542" t="str">
        <f t="shared" si="1668"/>
        <v>09</v>
      </c>
      <c r="E4542" t="str">
        <f>"03 - A - 005 - Cerine S Stewart"</f>
        <v>03 - A - 005 - Cerine S Stewart</v>
      </c>
      <c r="F4542" t="str">
        <f>"AICE ENG GEN PAPER 1"</f>
        <v>AICE ENG GEN PAPER 1</v>
      </c>
      <c r="G4542" t="str">
        <f>"17-1720"</f>
        <v>17-1720</v>
      </c>
      <c r="H4542" t="str">
        <f>"A"</f>
        <v>A</v>
      </c>
    </row>
    <row r="4543" spans="1:8" x14ac:dyDescent="0.2">
      <c r="A4543" t="str">
        <f t="shared" si="1665"/>
        <v>0616076524</v>
      </c>
      <c r="B4543" t="str">
        <f t="shared" si="1666"/>
        <v>GABRIELLA</v>
      </c>
      <c r="C4543" t="str">
        <f t="shared" si="1667"/>
        <v>DONACIENT</v>
      </c>
      <c r="D4543" t="str">
        <f t="shared" si="1668"/>
        <v>09</v>
      </c>
      <c r="E4543" t="str">
        <f>"02 - A - 102 - Samantha J Headley"</f>
        <v>02 - A - 102 - Samantha J Headley</v>
      </c>
      <c r="F4543" t="str">
        <f>"NC STUDY HALL 1"</f>
        <v>NC STUDY HALL 1</v>
      </c>
      <c r="G4543" t="str">
        <f>"21-2134"</f>
        <v>21-2134</v>
      </c>
      <c r="H4543" t="str">
        <f>"A"</f>
        <v>A</v>
      </c>
    </row>
    <row r="4544" spans="1:8" x14ac:dyDescent="0.2">
      <c r="A4544" t="str">
        <f t="shared" si="1665"/>
        <v>0616076524</v>
      </c>
      <c r="B4544" t="str">
        <f t="shared" si="1666"/>
        <v>GABRIELLA</v>
      </c>
      <c r="C4544" t="str">
        <f t="shared" si="1667"/>
        <v>DONACIENT</v>
      </c>
      <c r="D4544" t="str">
        <f t="shared" si="1668"/>
        <v>09</v>
      </c>
      <c r="E4544" t="str">
        <f>"07 - B - 001 - Carol S Moore"</f>
        <v>07 - B - 001 - Carol S Moore</v>
      </c>
      <c r="F4544" t="str">
        <f>"PRE-AICE WRLD HST IG"</f>
        <v>PRE-AICE WRLD HST IG</v>
      </c>
      <c r="G4544" t="str">
        <f>"17-1733"</f>
        <v>17-1733</v>
      </c>
      <c r="H4544" t="str">
        <f>"B"</f>
        <v>B</v>
      </c>
    </row>
    <row r="4545" spans="1:8" x14ac:dyDescent="0.2">
      <c r="A4545" t="str">
        <f t="shared" si="1665"/>
        <v>0616076524</v>
      </c>
      <c r="B4545" t="str">
        <f t="shared" si="1666"/>
        <v>GABRIELLA</v>
      </c>
      <c r="C4545" t="str">
        <f t="shared" si="1667"/>
        <v>DONACIENT</v>
      </c>
      <c r="D4545" t="str">
        <f t="shared" si="1668"/>
        <v>09</v>
      </c>
      <c r="E4545" t="str">
        <f>"05 - B - 102 - Tina L Lovett"</f>
        <v>05 - B - 102 - Tina L Lovett</v>
      </c>
      <c r="F4545" t="str">
        <f>"PRE-AICE MATH 1 IG"</f>
        <v>PRE-AICE MATH 1 IG</v>
      </c>
      <c r="G4545" t="str">
        <f>"21-2153"</f>
        <v>21-2153</v>
      </c>
      <c r="H4545" t="str">
        <f>"B"</f>
        <v>B</v>
      </c>
    </row>
    <row r="4546" spans="1:8" x14ac:dyDescent="0.2">
      <c r="A4546" t="str">
        <f t="shared" si="1665"/>
        <v>0616076524</v>
      </c>
      <c r="B4546" t="str">
        <f t="shared" si="1666"/>
        <v>GABRIELLA</v>
      </c>
      <c r="C4546" t="str">
        <f t="shared" si="1667"/>
        <v>DONACIENT</v>
      </c>
      <c r="D4546" t="str">
        <f t="shared" si="1668"/>
        <v>09</v>
      </c>
      <c r="E4546" t="str">
        <f>"01 - A - 101 - Marius D Orsolini"</f>
        <v>01 - A - 101 - Marius D Orsolini</v>
      </c>
      <c r="F4546" t="str">
        <f>"CULINARY ARTS 1"</f>
        <v>CULINARY ARTS 1</v>
      </c>
      <c r="G4546" t="str">
        <f>"21-2115"</f>
        <v>21-2115</v>
      </c>
      <c r="H4546" t="str">
        <f>"A"</f>
        <v>A</v>
      </c>
    </row>
    <row r="4547" spans="1:8" x14ac:dyDescent="0.2">
      <c r="A4547" t="str">
        <f t="shared" si="1665"/>
        <v>0616076524</v>
      </c>
      <c r="B4547" t="str">
        <f t="shared" si="1666"/>
        <v>GABRIELLA</v>
      </c>
      <c r="C4547" t="str">
        <f t="shared" si="1667"/>
        <v>DONACIENT</v>
      </c>
      <c r="D4547" t="str">
        <f t="shared" si="1668"/>
        <v>09</v>
      </c>
      <c r="E4547" t="str">
        <f>"08 - B - 102 - Josiah I Lacy"</f>
        <v>08 - B - 102 - Josiah I Lacy</v>
      </c>
      <c r="F4547" t="str">
        <f>"ANAT PHYSIO HON"</f>
        <v>ANAT PHYSIO HON</v>
      </c>
      <c r="G4547" t="str">
        <f>"08-801"</f>
        <v>08-801</v>
      </c>
      <c r="H4547" t="str">
        <f>"B"</f>
        <v>B</v>
      </c>
    </row>
    <row r="4548" spans="1:8" x14ac:dyDescent="0.2">
      <c r="A4548" t="str">
        <f t="shared" ref="A4548:A4555" si="1669">"0617081705"</f>
        <v>0617081705</v>
      </c>
      <c r="B4548" t="str">
        <f t="shared" ref="B4548:B4555" si="1670">"JAMARRION"</f>
        <v>JAMARRION</v>
      </c>
      <c r="C4548" t="str">
        <f t="shared" ref="C4548:C4555" si="1671">"DONALDSON"</f>
        <v>DONALDSON</v>
      </c>
      <c r="D4548" t="str">
        <f t="shared" si="1668"/>
        <v>09</v>
      </c>
      <c r="E4548" t="str">
        <f>"04 - A - 004 - Krystal Marie  Beruty"</f>
        <v>04 - A - 004 - Krystal Marie  Beruty</v>
      </c>
      <c r="F4548" t="str">
        <f>"AICE GLBL PERSP 1 AS"</f>
        <v>AICE GLBL PERSP 1 AS</v>
      </c>
      <c r="G4548" t="str">
        <f>"17-1721"</f>
        <v>17-1721</v>
      </c>
      <c r="H4548" t="str">
        <f>"A"</f>
        <v>A</v>
      </c>
    </row>
    <row r="4549" spans="1:8" x14ac:dyDescent="0.2">
      <c r="A4549" t="str">
        <f t="shared" si="1669"/>
        <v>0617081705</v>
      </c>
      <c r="B4549" t="str">
        <f t="shared" si="1670"/>
        <v>JAMARRION</v>
      </c>
      <c r="C4549" t="str">
        <f t="shared" si="1671"/>
        <v>DONALDSON</v>
      </c>
      <c r="D4549" t="str">
        <f t="shared" si="1668"/>
        <v>09</v>
      </c>
      <c r="E4549" t="str">
        <f>"06 - B - 105 - Cerine S Stewart"</f>
        <v>06 - B - 105 - Cerine S Stewart</v>
      </c>
      <c r="F4549" t="str">
        <f>"AICE ENG GEN PAPER 1"</f>
        <v>AICE ENG GEN PAPER 1</v>
      </c>
      <c r="G4549" t="str">
        <f>"17-1720"</f>
        <v>17-1720</v>
      </c>
      <c r="H4549" t="str">
        <f>"B"</f>
        <v>B</v>
      </c>
    </row>
    <row r="4550" spans="1:8" x14ac:dyDescent="0.2">
      <c r="A4550" t="str">
        <f t="shared" si="1669"/>
        <v>0617081705</v>
      </c>
      <c r="B4550" t="str">
        <f t="shared" si="1670"/>
        <v>JAMARRION</v>
      </c>
      <c r="C4550" t="str">
        <f t="shared" si="1671"/>
        <v>DONALDSON</v>
      </c>
      <c r="D4550" t="str">
        <f t="shared" si="1668"/>
        <v>09</v>
      </c>
      <c r="E4550" t="str">
        <f>"03 - A - 103 - Marius D Orsolini"</f>
        <v>03 - A - 103 - Marius D Orsolini</v>
      </c>
      <c r="F4550" t="str">
        <f>"CULINARY ARTS 1"</f>
        <v>CULINARY ARTS 1</v>
      </c>
      <c r="G4550" t="str">
        <f>"21-2115"</f>
        <v>21-2115</v>
      </c>
      <c r="H4550" t="str">
        <f>"A"</f>
        <v>A</v>
      </c>
    </row>
    <row r="4551" spans="1:8" x14ac:dyDescent="0.2">
      <c r="A4551" t="str">
        <f t="shared" si="1669"/>
        <v>0617081705</v>
      </c>
      <c r="B4551" t="str">
        <f t="shared" si="1670"/>
        <v>JAMARRION</v>
      </c>
      <c r="C4551" t="str">
        <f t="shared" si="1671"/>
        <v>DONALDSON</v>
      </c>
      <c r="D4551" t="str">
        <f t="shared" si="1668"/>
        <v>09</v>
      </c>
      <c r="E4551" t="str">
        <f>"02 - A - 113 - Amy Beth  Broyles"</f>
        <v>02 - A - 113 - Amy Beth  Broyles</v>
      </c>
      <c r="F4551" t="str">
        <f>"NC STUDY HALL 1"</f>
        <v>NC STUDY HALL 1</v>
      </c>
      <c r="G4551" t="str">
        <f>"08-802"</f>
        <v>08-802</v>
      </c>
      <c r="H4551" t="str">
        <f>"A"</f>
        <v>A</v>
      </c>
    </row>
    <row r="4552" spans="1:8" x14ac:dyDescent="0.2">
      <c r="A4552" t="str">
        <f t="shared" si="1669"/>
        <v>0617081705</v>
      </c>
      <c r="B4552" t="str">
        <f t="shared" si="1670"/>
        <v>JAMARRION</v>
      </c>
      <c r="C4552" t="str">
        <f t="shared" si="1671"/>
        <v>DONALDSON</v>
      </c>
      <c r="D4552" t="str">
        <f t="shared" si="1668"/>
        <v>09</v>
      </c>
      <c r="E4552" t="str">
        <f>"07 - B - 103 - Vanessa J Liburd"</f>
        <v>07 - B - 103 - Vanessa J Liburd</v>
      </c>
      <c r="F4552" t="str">
        <f>"PRE-AICE FRENCH 1 IG"</f>
        <v>PRE-AICE FRENCH 1 IG</v>
      </c>
      <c r="G4552" t="str">
        <f>"05-519"</f>
        <v>05-519</v>
      </c>
      <c r="H4552" t="str">
        <f>"B"</f>
        <v>B</v>
      </c>
    </row>
    <row r="4553" spans="1:8" x14ac:dyDescent="0.2">
      <c r="A4553" t="str">
        <f t="shared" si="1669"/>
        <v>0617081705</v>
      </c>
      <c r="B4553" t="str">
        <f t="shared" si="1670"/>
        <v>JAMARRION</v>
      </c>
      <c r="C4553" t="str">
        <f t="shared" si="1671"/>
        <v>DONALDSON</v>
      </c>
      <c r="D4553" t="str">
        <f t="shared" si="1668"/>
        <v>09</v>
      </c>
      <c r="E4553" t="str">
        <f>"05 - B - 204 - Cheryl L Beach"</f>
        <v>05 - B - 204 - Cheryl L Beach</v>
      </c>
      <c r="F4553" t="str">
        <f>"AICE ENV MGMNT AS"</f>
        <v>AICE ENV MGMNT AS</v>
      </c>
      <c r="G4553" t="str">
        <f>"08-811"</f>
        <v>08-811</v>
      </c>
      <c r="H4553" t="str">
        <f>"B"</f>
        <v>B</v>
      </c>
    </row>
    <row r="4554" spans="1:8" x14ac:dyDescent="0.2">
      <c r="A4554" t="str">
        <f t="shared" si="1669"/>
        <v>0617081705</v>
      </c>
      <c r="B4554" t="str">
        <f t="shared" si="1670"/>
        <v>JAMARRION</v>
      </c>
      <c r="C4554" t="str">
        <f t="shared" si="1671"/>
        <v>DONALDSON</v>
      </c>
      <c r="D4554" t="str">
        <f t="shared" si="1668"/>
        <v>09</v>
      </c>
      <c r="E4554" t="str">
        <f>"01 - A - 101 - Arthur  Kulawik"</f>
        <v>01 - A - 101 - Arthur  Kulawik</v>
      </c>
      <c r="F4554" t="str">
        <f>"DEBATE 1 LH"</f>
        <v>DEBATE 1 LH</v>
      </c>
      <c r="G4554" t="str">
        <f>"05-506"</f>
        <v>05-506</v>
      </c>
      <c r="H4554" t="str">
        <f>"A"</f>
        <v>A</v>
      </c>
    </row>
    <row r="4555" spans="1:8" x14ac:dyDescent="0.2">
      <c r="A4555" t="str">
        <f t="shared" si="1669"/>
        <v>0617081705</v>
      </c>
      <c r="B4555" t="str">
        <f t="shared" si="1670"/>
        <v>JAMARRION</v>
      </c>
      <c r="C4555" t="str">
        <f t="shared" si="1671"/>
        <v>DONALDSON</v>
      </c>
      <c r="D4555" t="str">
        <f t="shared" si="1668"/>
        <v>09</v>
      </c>
      <c r="E4555" t="str">
        <f>"08 - B - 105 - Ferrie J Arostique"</f>
        <v>08 - B - 105 - Ferrie J Arostique</v>
      </c>
      <c r="F4555" t="str">
        <f>"PRE-AICE MATH 2 IG"</f>
        <v>PRE-AICE MATH 2 IG</v>
      </c>
      <c r="G4555" t="str">
        <f>"21-2139"</f>
        <v>21-2139</v>
      </c>
      <c r="H4555" t="str">
        <f>"B"</f>
        <v>B</v>
      </c>
    </row>
    <row r="4556" spans="1:8" x14ac:dyDescent="0.2">
      <c r="A4556" t="str">
        <f t="shared" ref="A4556:A4563" si="1672">"0618076507"</f>
        <v>0618076507</v>
      </c>
      <c r="B4556" t="str">
        <f t="shared" ref="B4556:B4563" si="1673">"JOAQUIN"</f>
        <v>JOAQUIN</v>
      </c>
      <c r="C4556" t="str">
        <f t="shared" ref="C4556:C4563" si="1674">"DONIS DIAZ"</f>
        <v>DONIS DIAZ</v>
      </c>
      <c r="D4556" t="str">
        <f t="shared" si="1668"/>
        <v>09</v>
      </c>
      <c r="E4556" t="str">
        <f>"04 - A - 104 - Brook E Goren"</f>
        <v>04 - A - 104 - Brook E Goren</v>
      </c>
      <c r="F4556" t="str">
        <f>"ALGEBRA 2 HON"</f>
        <v>ALGEBRA 2 HON</v>
      </c>
      <c r="G4556" t="str">
        <f>"21-2158"</f>
        <v>21-2158</v>
      </c>
      <c r="H4556" t="str">
        <f>"A"</f>
        <v>A</v>
      </c>
    </row>
    <row r="4557" spans="1:8" x14ac:dyDescent="0.2">
      <c r="A4557" t="str">
        <f t="shared" si="1672"/>
        <v>0618076507</v>
      </c>
      <c r="B4557" t="str">
        <f t="shared" si="1673"/>
        <v>JOAQUIN</v>
      </c>
      <c r="C4557" t="str">
        <f t="shared" si="1674"/>
        <v>DONIS DIAZ</v>
      </c>
      <c r="D4557" t="str">
        <f t="shared" si="1668"/>
        <v>09</v>
      </c>
      <c r="E4557" t="str">
        <f>"06 - B - 105 - Cerine S Stewart"</f>
        <v>06 - B - 105 - Cerine S Stewart</v>
      </c>
      <c r="F4557" t="str">
        <f>"AICE ENG GEN PAPER 1"</f>
        <v>AICE ENG GEN PAPER 1</v>
      </c>
      <c r="G4557" t="str">
        <f>"17-1720"</f>
        <v>17-1720</v>
      </c>
      <c r="H4557" t="str">
        <f>"B"</f>
        <v>B</v>
      </c>
    </row>
    <row r="4558" spans="1:8" x14ac:dyDescent="0.2">
      <c r="A4558" t="str">
        <f t="shared" si="1672"/>
        <v>0618076507</v>
      </c>
      <c r="B4558" t="str">
        <f t="shared" si="1673"/>
        <v>JOAQUIN</v>
      </c>
      <c r="C4558" t="str">
        <f t="shared" si="1674"/>
        <v>DONIS DIAZ</v>
      </c>
      <c r="D4558" t="str">
        <f t="shared" si="1668"/>
        <v>09</v>
      </c>
      <c r="E4558" t="str">
        <f>"03 - A - 202 - Cheryl L Beach"</f>
        <v>03 - A - 202 - Cheryl L Beach</v>
      </c>
      <c r="F4558" t="str">
        <f>"AICE ENV MGMNT AS"</f>
        <v>AICE ENV MGMNT AS</v>
      </c>
      <c r="G4558" t="str">
        <f>"08-811"</f>
        <v>08-811</v>
      </c>
      <c r="H4558" t="str">
        <f>"A"</f>
        <v>A</v>
      </c>
    </row>
    <row r="4559" spans="1:8" x14ac:dyDescent="0.2">
      <c r="A4559" t="str">
        <f t="shared" si="1672"/>
        <v>0618076507</v>
      </c>
      <c r="B4559" t="str">
        <f t="shared" si="1673"/>
        <v>JOAQUIN</v>
      </c>
      <c r="C4559" t="str">
        <f t="shared" si="1674"/>
        <v>DONIS DIAZ</v>
      </c>
      <c r="D4559" t="str">
        <f t="shared" si="1668"/>
        <v>09</v>
      </c>
      <c r="E4559" t="str">
        <f>"02 - A - 111 - Cheryl L Beach"</f>
        <v>02 - A - 111 - Cheryl L Beach</v>
      </c>
      <c r="F4559" t="str">
        <f>"NC STUDY HALL 1"</f>
        <v>NC STUDY HALL 1</v>
      </c>
      <c r="G4559" t="str">
        <f>"08-811"</f>
        <v>08-811</v>
      </c>
      <c r="H4559" t="str">
        <f>"A"</f>
        <v>A</v>
      </c>
    </row>
    <row r="4560" spans="1:8" x14ac:dyDescent="0.2">
      <c r="A4560" t="str">
        <f t="shared" si="1672"/>
        <v>0618076507</v>
      </c>
      <c r="B4560" t="str">
        <f t="shared" si="1673"/>
        <v>JOAQUIN</v>
      </c>
      <c r="C4560" t="str">
        <f t="shared" si="1674"/>
        <v>DONIS DIAZ</v>
      </c>
      <c r="D4560" t="str">
        <f t="shared" si="1668"/>
        <v>09</v>
      </c>
      <c r="E4560" t="str">
        <f>"07 - B - 202 - Chrystina M Marchionne"</f>
        <v>07 - B - 202 - Chrystina M Marchionne</v>
      </c>
      <c r="F4560" t="str">
        <f>"JOURN 1 (YB) LH"</f>
        <v>JOURN 1 (YB) LH</v>
      </c>
      <c r="G4560" t="str">
        <f>"05-520"</f>
        <v>05-520</v>
      </c>
      <c r="H4560" t="str">
        <f>"B"</f>
        <v>B</v>
      </c>
    </row>
    <row r="4561" spans="1:8" x14ac:dyDescent="0.2">
      <c r="A4561" t="str">
        <f t="shared" si="1672"/>
        <v>0618076507</v>
      </c>
      <c r="B4561" t="str">
        <f t="shared" si="1673"/>
        <v>JOAQUIN</v>
      </c>
      <c r="C4561" t="str">
        <f t="shared" si="1674"/>
        <v>DONIS DIAZ</v>
      </c>
      <c r="D4561" t="str">
        <f t="shared" si="1668"/>
        <v>09</v>
      </c>
      <c r="E4561" t="str">
        <f>"05 - B - 003 - Krystal Marie  Beruty"</f>
        <v>05 - B - 003 - Krystal Marie  Beruty</v>
      </c>
      <c r="F4561" t="str">
        <f>"AICE GLBL PERSP 1 AS"</f>
        <v>AICE GLBL PERSP 1 AS</v>
      </c>
      <c r="G4561" t="str">
        <f>"17-1721"</f>
        <v>17-1721</v>
      </c>
      <c r="H4561" t="str">
        <f>"B"</f>
        <v>B</v>
      </c>
    </row>
    <row r="4562" spans="1:8" x14ac:dyDescent="0.2">
      <c r="A4562" t="str">
        <f t="shared" si="1672"/>
        <v>0618076507</v>
      </c>
      <c r="B4562" t="str">
        <f t="shared" si="1673"/>
        <v>JOAQUIN</v>
      </c>
      <c r="C4562" t="str">
        <f t="shared" si="1674"/>
        <v>DONIS DIAZ</v>
      </c>
      <c r="D4562" t="str">
        <f t="shared" si="1668"/>
        <v>09</v>
      </c>
      <c r="E4562" t="str">
        <f>"01 - A - 101 - Arthur  Kulawik"</f>
        <v>01 - A - 101 - Arthur  Kulawik</v>
      </c>
      <c r="F4562" t="str">
        <f>"DEBATE 1 LH"</f>
        <v>DEBATE 1 LH</v>
      </c>
      <c r="G4562" t="str">
        <f>"05-506"</f>
        <v>05-506</v>
      </c>
      <c r="H4562" t="str">
        <f>"A"</f>
        <v>A</v>
      </c>
    </row>
    <row r="4563" spans="1:8" x14ac:dyDescent="0.2">
      <c r="A4563" t="str">
        <f t="shared" si="1672"/>
        <v>0618076507</v>
      </c>
      <c r="B4563" t="str">
        <f t="shared" si="1673"/>
        <v>JOAQUIN</v>
      </c>
      <c r="C4563" t="str">
        <f t="shared" si="1674"/>
        <v>DONIS DIAZ</v>
      </c>
      <c r="D4563" t="str">
        <f t="shared" si="1668"/>
        <v>09</v>
      </c>
      <c r="E4563" t="str">
        <f>"08 - S1 - B - 104 - Angela S Adeshina-Morrison"</f>
        <v>08 - S1 - B - 104 - Angela S Adeshina-Morrison</v>
      </c>
      <c r="F4563" t="str">
        <f>"PEER COUN 1"</f>
        <v>PEER COUN 1</v>
      </c>
      <c r="G4563" t="str">
        <f>"05-518"</f>
        <v>05-518</v>
      </c>
      <c r="H4563" t="str">
        <f>"B"</f>
        <v>B</v>
      </c>
    </row>
    <row r="4564" spans="1:8" x14ac:dyDescent="0.2">
      <c r="A4564" t="str">
        <f t="shared" ref="A4564:A4571" si="1675">"0613121413"</f>
        <v>0613121413</v>
      </c>
      <c r="B4564" t="str">
        <f t="shared" ref="B4564:B4571" si="1676">"CALISTA"</f>
        <v>CALISTA</v>
      </c>
      <c r="C4564" t="str">
        <f t="shared" ref="C4564:C4571" si="1677">"D'ONOFRIO"</f>
        <v>D'ONOFRIO</v>
      </c>
      <c r="D4564">
        <f>12</f>
        <v>12</v>
      </c>
      <c r="E4564" t="str">
        <f>"04 - A - 101 - Stefanie S Scher"</f>
        <v>04 - A - 101 - Stefanie S Scher</v>
      </c>
      <c r="F4564" t="str">
        <f>"AP PSYCH"</f>
        <v>AP PSYCH</v>
      </c>
      <c r="G4564" t="str">
        <f>"17-1735"</f>
        <v>17-1735</v>
      </c>
      <c r="H4564" t="str">
        <f>"A"</f>
        <v>A</v>
      </c>
    </row>
    <row r="4565" spans="1:8" x14ac:dyDescent="0.2">
      <c r="A4565" t="str">
        <f t="shared" si="1675"/>
        <v>0613121413</v>
      </c>
      <c r="B4565" t="str">
        <f t="shared" si="1676"/>
        <v>CALISTA</v>
      </c>
      <c r="C4565" t="str">
        <f t="shared" si="1677"/>
        <v>D'ONOFRIO</v>
      </c>
      <c r="D4565">
        <f>12</f>
        <v>12</v>
      </c>
      <c r="E4565" t="str">
        <f>"06 - B - 101 - Cliffon  Saurel"</f>
        <v>06 - B - 101 - Cliffon  Saurel</v>
      </c>
      <c r="F4565" t="str">
        <f>"NC STUDY HALL 1"</f>
        <v>NC STUDY HALL 1</v>
      </c>
      <c r="G4565" t="str">
        <f>"05-522"</f>
        <v>05-522</v>
      </c>
      <c r="H4565" t="str">
        <f>"B"</f>
        <v>B</v>
      </c>
    </row>
    <row r="4566" spans="1:8" x14ac:dyDescent="0.2">
      <c r="A4566" t="str">
        <f t="shared" si="1675"/>
        <v>0613121413</v>
      </c>
      <c r="B4566" t="str">
        <f t="shared" si="1676"/>
        <v>CALISTA</v>
      </c>
      <c r="C4566" t="str">
        <f t="shared" si="1677"/>
        <v>D'ONOFRIO</v>
      </c>
      <c r="D4566">
        <f>12</f>
        <v>12</v>
      </c>
      <c r="E4566" t="str">
        <f>"03 - A - 101 - Carleigh R Carmichael"</f>
        <v>03 - A - 101 - Carleigh R Carmichael</v>
      </c>
      <c r="F4566" t="str">
        <f>"LEAD TECHQS HONORS"</f>
        <v>LEAD TECHQS HONORS</v>
      </c>
      <c r="G4566" t="str">
        <f>"20-2072"</f>
        <v>20-2072</v>
      </c>
      <c r="H4566" t="str">
        <f>"A"</f>
        <v>A</v>
      </c>
    </row>
    <row r="4567" spans="1:8" x14ac:dyDescent="0.2">
      <c r="A4567" t="str">
        <f t="shared" si="1675"/>
        <v>0613121413</v>
      </c>
      <c r="B4567" t="str">
        <f t="shared" si="1676"/>
        <v>CALISTA</v>
      </c>
      <c r="C4567" t="str">
        <f t="shared" si="1677"/>
        <v>D'ONOFRIO</v>
      </c>
      <c r="D4567">
        <f>12</f>
        <v>12</v>
      </c>
      <c r="E4567" t="str">
        <f>"02 - S1 - A - 101 - James H Mccann"</f>
        <v>02 - S1 - A - 101 - James H Mccann</v>
      </c>
      <c r="F4567" t="str">
        <f>"PERS FIN &amp; MON MGT H"</f>
        <v>PERS FIN &amp; MON MGT H</v>
      </c>
      <c r="G4567" t="str">
        <f>"17-1716"</f>
        <v>17-1716</v>
      </c>
      <c r="H4567" t="str">
        <f>"A"</f>
        <v>A</v>
      </c>
    </row>
    <row r="4568" spans="1:8" x14ac:dyDescent="0.2">
      <c r="A4568" t="str">
        <f t="shared" si="1675"/>
        <v>0613121413</v>
      </c>
      <c r="B4568" t="str">
        <f t="shared" si="1676"/>
        <v>CALISTA</v>
      </c>
      <c r="C4568" t="str">
        <f t="shared" si="1677"/>
        <v>D'ONOFRIO</v>
      </c>
      <c r="D4568">
        <f>12</f>
        <v>12</v>
      </c>
      <c r="E4568" t="str">
        <f>"07 - B - 102 - Courtney E Hambright"</f>
        <v>07 - B - 102 - Courtney E Hambright</v>
      </c>
      <c r="F4568" t="str">
        <f>"AP ENG LIT COMPO"</f>
        <v>AP ENG LIT COMPO</v>
      </c>
      <c r="G4568" t="str">
        <f>"17-1711"</f>
        <v>17-1711</v>
      </c>
      <c r="H4568" t="str">
        <f>"B"</f>
        <v>B</v>
      </c>
    </row>
    <row r="4569" spans="1:8" x14ac:dyDescent="0.2">
      <c r="A4569" t="str">
        <f t="shared" si="1675"/>
        <v>0613121413</v>
      </c>
      <c r="B4569" t="str">
        <f t="shared" si="1676"/>
        <v>CALISTA</v>
      </c>
      <c r="C4569" t="str">
        <f t="shared" si="1677"/>
        <v>D'ONOFRIO</v>
      </c>
      <c r="D4569">
        <f>12</f>
        <v>12</v>
      </c>
      <c r="E4569" t="str">
        <f>"05 - B - 104 - Daniel S Tyson"</f>
        <v>05 - B - 104 - Daniel S Tyson</v>
      </c>
      <c r="F4569" t="str">
        <f>"JROTC NAVAL SCI 4"</f>
        <v>JROTC NAVAL SCI 4</v>
      </c>
      <c r="G4569" t="str">
        <f>"05-510"</f>
        <v>05-510</v>
      </c>
      <c r="H4569" t="str">
        <f>"B"</f>
        <v>B</v>
      </c>
    </row>
    <row r="4570" spans="1:8" x14ac:dyDescent="0.2">
      <c r="A4570" t="str">
        <f t="shared" si="1675"/>
        <v>0613121413</v>
      </c>
      <c r="B4570" t="str">
        <f t="shared" si="1676"/>
        <v>CALISTA</v>
      </c>
      <c r="C4570" t="str">
        <f t="shared" si="1677"/>
        <v>D'ONOFRIO</v>
      </c>
      <c r="D4570">
        <f>12</f>
        <v>12</v>
      </c>
      <c r="E4570" t="str">
        <f>"01 - A - 101 - Thomas G Handwerg"</f>
        <v>01 - A - 101 - Thomas G Handwerg</v>
      </c>
      <c r="F4570" t="str">
        <f>"PROB STAT W/APPS HON"</f>
        <v>PROB STAT W/APPS HON</v>
      </c>
      <c r="G4570" t="str">
        <f>"21-2146"</f>
        <v>21-2146</v>
      </c>
      <c r="H4570" t="str">
        <f>"A"</f>
        <v>A</v>
      </c>
    </row>
    <row r="4571" spans="1:8" x14ac:dyDescent="0.2">
      <c r="A4571" t="str">
        <f t="shared" si="1675"/>
        <v>0613121413</v>
      </c>
      <c r="B4571" t="str">
        <f t="shared" si="1676"/>
        <v>CALISTA</v>
      </c>
      <c r="C4571" t="str">
        <f t="shared" si="1677"/>
        <v>D'ONOFRIO</v>
      </c>
      <c r="D4571">
        <f>12</f>
        <v>12</v>
      </c>
      <c r="E4571" t="str">
        <f>"08 - S1 - B - 102 - Stephen T Ripp"</f>
        <v>08 - S1 - B - 102 - Stephen T Ripp</v>
      </c>
      <c r="F4571" t="str">
        <f>"AP US GOVT/POL"</f>
        <v>AP US GOVT/POL</v>
      </c>
      <c r="G4571" t="str">
        <f>"17-1744"</f>
        <v>17-1744</v>
      </c>
      <c r="H4571" t="str">
        <f>"B"</f>
        <v>B</v>
      </c>
    </row>
    <row r="4572" spans="1:8" x14ac:dyDescent="0.2">
      <c r="A4572" t="str">
        <f t="shared" ref="A4572:A4579" si="1678">"0622045997"</f>
        <v>0622045997</v>
      </c>
      <c r="B4572" t="str">
        <f t="shared" ref="B4572:B4579" si="1679">"MARISKA"</f>
        <v>MARISKA</v>
      </c>
      <c r="C4572" t="str">
        <f t="shared" ref="C4572:C4579" si="1680">"DOOBAY"</f>
        <v>DOOBAY</v>
      </c>
      <c r="D4572" t="str">
        <f t="shared" ref="D4572:D4579" si="1681">"09"</f>
        <v>09</v>
      </c>
      <c r="E4572" t="str">
        <f>"04 - A - 102 - Byron G Montenegro"</f>
        <v>04 - A - 102 - Byron G Montenegro</v>
      </c>
      <c r="F4572" t="str">
        <f>"AICE MARINE SCI 1 AS"</f>
        <v>AICE MARINE SCI 1 AS</v>
      </c>
      <c r="G4572" t="str">
        <f>"21-2144"</f>
        <v>21-2144</v>
      </c>
      <c r="H4572" t="str">
        <f>"A"</f>
        <v>A</v>
      </c>
    </row>
    <row r="4573" spans="1:8" x14ac:dyDescent="0.2">
      <c r="A4573" t="str">
        <f t="shared" si="1678"/>
        <v>0622045997</v>
      </c>
      <c r="B4573" t="str">
        <f t="shared" si="1679"/>
        <v>MARISKA</v>
      </c>
      <c r="C4573" t="str">
        <f t="shared" si="1680"/>
        <v>DOOBAY</v>
      </c>
      <c r="D4573" t="str">
        <f t="shared" si="1681"/>
        <v>09</v>
      </c>
      <c r="E4573" t="str">
        <f>"06 - B - 104 - Lytrell T Dixon"</f>
        <v>06 - B - 104 - Lytrell T Dixon</v>
      </c>
      <c r="F4573" t="str">
        <f>"PRE-AICE BIO IG"</f>
        <v>PRE-AICE BIO IG</v>
      </c>
      <c r="G4573" t="str">
        <f>"08-808"</f>
        <v>08-808</v>
      </c>
      <c r="H4573" t="str">
        <f>"B"</f>
        <v>B</v>
      </c>
    </row>
    <row r="4574" spans="1:8" x14ac:dyDescent="0.2">
      <c r="A4574" t="str">
        <f t="shared" si="1678"/>
        <v>0622045997</v>
      </c>
      <c r="B4574" t="str">
        <f t="shared" si="1679"/>
        <v>MARISKA</v>
      </c>
      <c r="C4574" t="str">
        <f t="shared" si="1680"/>
        <v>DOOBAY</v>
      </c>
      <c r="D4574" t="str">
        <f t="shared" si="1681"/>
        <v>09</v>
      </c>
      <c r="E4574" t="str">
        <f>"03 - A - 101 - Helen A Flores"</f>
        <v>03 - A - 101 - Helen A Flores</v>
      </c>
      <c r="F4574" t="str">
        <f>"PRE-AICE MATH 1 IG"</f>
        <v>PRE-AICE MATH 1 IG</v>
      </c>
      <c r="G4574" t="str">
        <f>"21-2101"</f>
        <v>21-2101</v>
      </c>
      <c r="H4574" t="str">
        <f>"A"</f>
        <v>A</v>
      </c>
    </row>
    <row r="4575" spans="1:8" x14ac:dyDescent="0.2">
      <c r="A4575" t="str">
        <f t="shared" si="1678"/>
        <v>0622045997</v>
      </c>
      <c r="B4575" t="str">
        <f t="shared" si="1679"/>
        <v>MARISKA</v>
      </c>
      <c r="C4575" t="str">
        <f t="shared" si="1680"/>
        <v>DOOBAY</v>
      </c>
      <c r="D4575" t="str">
        <f t="shared" si="1681"/>
        <v>09</v>
      </c>
      <c r="E4575" t="str">
        <f>"02 - A - 116 - Tina L Lovett"</f>
        <v>02 - A - 116 - Tina L Lovett</v>
      </c>
      <c r="F4575" t="str">
        <f>"NC STUDY HALL 1"</f>
        <v>NC STUDY HALL 1</v>
      </c>
      <c r="G4575" t="str">
        <f>"21-2153"</f>
        <v>21-2153</v>
      </c>
      <c r="H4575" t="str">
        <f>"A"</f>
        <v>A</v>
      </c>
    </row>
    <row r="4576" spans="1:8" x14ac:dyDescent="0.2">
      <c r="A4576" t="str">
        <f t="shared" si="1678"/>
        <v>0622045997</v>
      </c>
      <c r="B4576" t="str">
        <f t="shared" si="1679"/>
        <v>MARISKA</v>
      </c>
      <c r="C4576" t="str">
        <f t="shared" si="1680"/>
        <v>DOOBAY</v>
      </c>
      <c r="D4576" t="str">
        <f t="shared" si="1681"/>
        <v>09</v>
      </c>
      <c r="E4576" t="str">
        <f>"07 - B - 101 - Samantha L Martinez"</f>
        <v>07 - B - 101 - Samantha L Martinez</v>
      </c>
      <c r="F4576" t="str">
        <f>"KEYBD 1"</f>
        <v>KEYBD 1</v>
      </c>
      <c r="G4576" t="str">
        <f>"05-505"</f>
        <v>05-505</v>
      </c>
      <c r="H4576" t="str">
        <f>"B"</f>
        <v>B</v>
      </c>
    </row>
    <row r="4577" spans="1:8" x14ac:dyDescent="0.2">
      <c r="A4577" t="str">
        <f t="shared" si="1678"/>
        <v>0622045997</v>
      </c>
      <c r="B4577" t="str">
        <f t="shared" si="1679"/>
        <v>MARISKA</v>
      </c>
      <c r="C4577" t="str">
        <f t="shared" si="1680"/>
        <v>DOOBAY</v>
      </c>
      <c r="D4577" t="str">
        <f t="shared" si="1681"/>
        <v>09</v>
      </c>
      <c r="E4577" t="str">
        <f>"05 - B - 002 - Cheryl Anne  Berman-Schechter"</f>
        <v>05 - B - 002 - Cheryl Anne  Berman-Schechter</v>
      </c>
      <c r="F4577" t="str">
        <f>"AICE ENG GEN PAPER 1"</f>
        <v>AICE ENG GEN PAPER 1</v>
      </c>
      <c r="G4577" t="str">
        <f>"17-1722"</f>
        <v>17-1722</v>
      </c>
      <c r="H4577" t="str">
        <f>"B"</f>
        <v>B</v>
      </c>
    </row>
    <row r="4578" spans="1:8" x14ac:dyDescent="0.2">
      <c r="A4578" t="str">
        <f t="shared" si="1678"/>
        <v>0622045997</v>
      </c>
      <c r="B4578" t="str">
        <f t="shared" si="1679"/>
        <v>MARISKA</v>
      </c>
      <c r="C4578" t="str">
        <f t="shared" si="1680"/>
        <v>DOOBAY</v>
      </c>
      <c r="D4578" t="str">
        <f t="shared" si="1681"/>
        <v>09</v>
      </c>
      <c r="E4578" t="str">
        <f>"01 - A - 002 - Krystal Marie  Beruty"</f>
        <v>01 - A - 002 - Krystal Marie  Beruty</v>
      </c>
      <c r="F4578" t="str">
        <f>"AICE GLBL PERSP 1 AS"</f>
        <v>AICE GLBL PERSP 1 AS</v>
      </c>
      <c r="G4578" t="str">
        <f>"17-1721"</f>
        <v>17-1721</v>
      </c>
      <c r="H4578" t="str">
        <f>"A"</f>
        <v>A</v>
      </c>
    </row>
    <row r="4579" spans="1:8" x14ac:dyDescent="0.2">
      <c r="A4579" t="str">
        <f t="shared" si="1678"/>
        <v>0622045997</v>
      </c>
      <c r="B4579" t="str">
        <f t="shared" si="1679"/>
        <v>MARISKA</v>
      </c>
      <c r="C4579" t="str">
        <f t="shared" si="1680"/>
        <v>DOOBAY</v>
      </c>
      <c r="D4579" t="str">
        <f t="shared" si="1681"/>
        <v>09</v>
      </c>
      <c r="E4579" t="str">
        <f>"08 - B - 103 - Jeanne M Bermudez"</f>
        <v>08 - B - 103 - Jeanne M Bermudez</v>
      </c>
      <c r="F4579" t="str">
        <f>"ADVANCED IT HON"</f>
        <v>ADVANCED IT HON</v>
      </c>
      <c r="G4579" t="str">
        <f>"21-2141"</f>
        <v>21-2141</v>
      </c>
      <c r="H4579" t="str">
        <f>"B"</f>
        <v>B</v>
      </c>
    </row>
    <row r="4580" spans="1:8" x14ac:dyDescent="0.2">
      <c r="A4580" t="str">
        <f t="shared" ref="A4580:A4587" si="1682">"0616024076"</f>
        <v>0616024076</v>
      </c>
      <c r="B4580" t="str">
        <f t="shared" ref="B4580:B4587" si="1683">"HEMA"</f>
        <v>HEMA</v>
      </c>
      <c r="C4580" t="str">
        <f t="shared" ref="C4580:C4587" si="1684">"DOODNAUTH"</f>
        <v>DOODNAUTH</v>
      </c>
      <c r="D4580">
        <f>10</f>
        <v>10</v>
      </c>
      <c r="E4580" t="str">
        <f>"04 - A - 104 - Courtney E Hambright"</f>
        <v>04 - A - 104 - Courtney E Hambright</v>
      </c>
      <c r="F4580" t="str">
        <f>"AICE ENG LANG AS"</f>
        <v>AICE ENG LANG AS</v>
      </c>
      <c r="G4580" t="str">
        <f>"17-1711"</f>
        <v>17-1711</v>
      </c>
      <c r="H4580" t="str">
        <f>"A"</f>
        <v>A</v>
      </c>
    </row>
    <row r="4581" spans="1:8" x14ac:dyDescent="0.2">
      <c r="A4581" t="str">
        <f t="shared" si="1682"/>
        <v>0616024076</v>
      </c>
      <c r="B4581" t="str">
        <f t="shared" si="1683"/>
        <v>HEMA</v>
      </c>
      <c r="C4581" t="str">
        <f t="shared" si="1684"/>
        <v>DOODNAUTH</v>
      </c>
      <c r="D4581">
        <f>10</f>
        <v>10</v>
      </c>
      <c r="E4581" t="str">
        <f>"06 - B - 110 - Jerry S Jiampetti"</f>
        <v>06 - B - 110 - Jerry S Jiampetti</v>
      </c>
      <c r="F4581" t="str">
        <f>"NC STUDY HALL 1"</f>
        <v>NC STUDY HALL 1</v>
      </c>
      <c r="G4581" t="str">
        <f>"17-1751"</f>
        <v>17-1751</v>
      </c>
      <c r="H4581" t="str">
        <f>"B"</f>
        <v>B</v>
      </c>
    </row>
    <row r="4582" spans="1:8" x14ac:dyDescent="0.2">
      <c r="A4582" t="str">
        <f t="shared" si="1682"/>
        <v>0616024076</v>
      </c>
      <c r="B4582" t="str">
        <f t="shared" si="1683"/>
        <v>HEMA</v>
      </c>
      <c r="C4582" t="str">
        <f t="shared" si="1684"/>
        <v>DOODNAUTH</v>
      </c>
      <c r="D4582">
        <f>10</f>
        <v>10</v>
      </c>
      <c r="E4582" t="str">
        <f>"03 - A - 201 - Emmily A Sarmiento"</f>
        <v>03 - A - 201 - Emmily A Sarmiento</v>
      </c>
      <c r="F4582" t="str">
        <f>"LEAD TECHQS HONORS"</f>
        <v>LEAD TECHQS HONORS</v>
      </c>
      <c r="G4582" t="str">
        <f>"17-1743"</f>
        <v>17-1743</v>
      </c>
      <c r="H4582" t="str">
        <f>"A"</f>
        <v>A</v>
      </c>
    </row>
    <row r="4583" spans="1:8" x14ac:dyDescent="0.2">
      <c r="A4583" t="str">
        <f t="shared" si="1682"/>
        <v>0616024076</v>
      </c>
      <c r="B4583" t="str">
        <f t="shared" si="1683"/>
        <v>HEMA</v>
      </c>
      <c r="C4583" t="str">
        <f t="shared" si="1684"/>
        <v>DOODNAUTH</v>
      </c>
      <c r="D4583">
        <f>10</f>
        <v>10</v>
      </c>
      <c r="E4583" t="str">
        <f>"02 - A - 103 - Lenecy  Nodarse"</f>
        <v>02 - A - 103 - Lenecy  Nodarse</v>
      </c>
      <c r="F4583" t="str">
        <f>"AICE EURO HIST 1 AS"</f>
        <v>AICE EURO HIST 1 AS</v>
      </c>
      <c r="G4583" t="str">
        <f>"17-1741"</f>
        <v>17-1741</v>
      </c>
      <c r="H4583" t="str">
        <f>"A"</f>
        <v>A</v>
      </c>
    </row>
    <row r="4584" spans="1:8" x14ac:dyDescent="0.2">
      <c r="A4584" t="str">
        <f t="shared" si="1682"/>
        <v>0616024076</v>
      </c>
      <c r="B4584" t="str">
        <f t="shared" si="1683"/>
        <v>HEMA</v>
      </c>
      <c r="C4584" t="str">
        <f t="shared" si="1684"/>
        <v>DOODNAUTH</v>
      </c>
      <c r="D4584">
        <f>10</f>
        <v>10</v>
      </c>
      <c r="E4584" t="str">
        <f>"07 - B - 102 - Lourivaldo  Da Silva"</f>
        <v>07 - B - 102 - Lourivaldo  Da Silva</v>
      </c>
      <c r="F4584" t="str">
        <f>"ALGEBRA 2 HON"</f>
        <v>ALGEBRA 2 HON</v>
      </c>
      <c r="G4584" t="str">
        <f>"20-2079"</f>
        <v>20-2079</v>
      </c>
      <c r="H4584" t="str">
        <f>"B"</f>
        <v>B</v>
      </c>
    </row>
    <row r="4585" spans="1:8" x14ac:dyDescent="0.2">
      <c r="A4585" t="str">
        <f t="shared" si="1682"/>
        <v>0616024076</v>
      </c>
      <c r="B4585" t="str">
        <f t="shared" si="1683"/>
        <v>HEMA</v>
      </c>
      <c r="C4585" t="str">
        <f t="shared" si="1684"/>
        <v>DOODNAUTH</v>
      </c>
      <c r="D4585">
        <f>10</f>
        <v>10</v>
      </c>
      <c r="E4585" t="str">
        <f>"05 - B - 105 - Marius D Orsolini"</f>
        <v>05 - B - 105 - Marius D Orsolini</v>
      </c>
      <c r="F4585" t="str">
        <f>"CULINARY ARTS 1"</f>
        <v>CULINARY ARTS 1</v>
      </c>
      <c r="G4585" t="str">
        <f>"21-2115"</f>
        <v>21-2115</v>
      </c>
      <c r="H4585" t="str">
        <f>"B"</f>
        <v>B</v>
      </c>
    </row>
    <row r="4586" spans="1:8" x14ac:dyDescent="0.2">
      <c r="A4586" t="str">
        <f t="shared" si="1682"/>
        <v>0616024076</v>
      </c>
      <c r="B4586" t="str">
        <f t="shared" si="1683"/>
        <v>HEMA</v>
      </c>
      <c r="C4586" t="str">
        <f t="shared" si="1684"/>
        <v>DOODNAUTH</v>
      </c>
      <c r="D4586">
        <f>10</f>
        <v>10</v>
      </c>
      <c r="E4586" t="str">
        <f>"01 - A - 201 - Chrystina M Marchionne"</f>
        <v>01 - A - 201 - Chrystina M Marchionne</v>
      </c>
      <c r="F4586" t="str">
        <f>"AICE MEDIASTUDIES AS"</f>
        <v>AICE MEDIASTUDIES AS</v>
      </c>
      <c r="G4586" t="str">
        <f>"05-520"</f>
        <v>05-520</v>
      </c>
      <c r="H4586" t="str">
        <f>"A"</f>
        <v>A</v>
      </c>
    </row>
    <row r="4587" spans="1:8" x14ac:dyDescent="0.2">
      <c r="A4587" t="str">
        <f t="shared" si="1682"/>
        <v>0616024076</v>
      </c>
      <c r="B4587" t="str">
        <f t="shared" si="1683"/>
        <v>HEMA</v>
      </c>
      <c r="C4587" t="str">
        <f t="shared" si="1684"/>
        <v>DOODNAUTH</v>
      </c>
      <c r="D4587">
        <f>10</f>
        <v>10</v>
      </c>
      <c r="E4587" t="str">
        <f>"08 - B - 001 - Scott A Dethloff"</f>
        <v>08 - B - 001 - Scott A Dethloff</v>
      </c>
      <c r="F4587" t="str">
        <f>"CHEMISTRY 1 HON"</f>
        <v>CHEMISTRY 1 HON</v>
      </c>
      <c r="G4587" t="str">
        <f>"08-812"</f>
        <v>08-812</v>
      </c>
      <c r="H4587" t="str">
        <f>"B"</f>
        <v>B</v>
      </c>
    </row>
    <row r="4588" spans="1:8" x14ac:dyDescent="0.2">
      <c r="A4588" t="str">
        <f t="shared" ref="A4588:A4595" si="1685">"0612122732"</f>
        <v>0612122732</v>
      </c>
      <c r="B4588" t="str">
        <f t="shared" ref="B4588:B4595" si="1686">"JAMISON"</f>
        <v>JAMISON</v>
      </c>
      <c r="C4588" t="str">
        <f t="shared" ref="C4588:C4595" si="1687">"DOR"</f>
        <v>DOR</v>
      </c>
      <c r="D4588">
        <f>12</f>
        <v>12</v>
      </c>
      <c r="E4588" t="str">
        <f>"04 - A - 101 - Brian M Fitzgerald"</f>
        <v>04 - A - 101 - Brian M Fitzgerald</v>
      </c>
      <c r="F4588" t="str">
        <f>"DRAW 2"</f>
        <v>DRAW 2</v>
      </c>
      <c r="G4588" t="str">
        <f>"09-908"</f>
        <v>09-908</v>
      </c>
      <c r="H4588" t="str">
        <f>"A"</f>
        <v>A</v>
      </c>
    </row>
    <row r="4589" spans="1:8" x14ac:dyDescent="0.2">
      <c r="A4589" t="str">
        <f t="shared" si="1685"/>
        <v>0612122732</v>
      </c>
      <c r="B4589" t="str">
        <f t="shared" si="1686"/>
        <v>JAMISON</v>
      </c>
      <c r="C4589" t="str">
        <f t="shared" si="1687"/>
        <v>DOR</v>
      </c>
      <c r="D4589">
        <f>12</f>
        <v>12</v>
      </c>
      <c r="E4589" t="str">
        <f>"06 - B - 102 - Andrea A Amison"</f>
        <v>06 - B - 102 - Andrea A Amison</v>
      </c>
      <c r="F4589" t="str">
        <f>"NC STUDY HALL 1"</f>
        <v>NC STUDY HALL 1</v>
      </c>
      <c r="G4589" t="str">
        <f>"09-922C"</f>
        <v>09-922C</v>
      </c>
      <c r="H4589" t="str">
        <f>"B"</f>
        <v>B</v>
      </c>
    </row>
    <row r="4590" spans="1:8" x14ac:dyDescent="0.2">
      <c r="A4590" t="str">
        <f t="shared" si="1685"/>
        <v>0612122732</v>
      </c>
      <c r="B4590" t="str">
        <f t="shared" si="1686"/>
        <v>JAMISON</v>
      </c>
      <c r="C4590" t="str">
        <f t="shared" si="1687"/>
        <v>DOR</v>
      </c>
      <c r="D4590">
        <f>12</f>
        <v>12</v>
      </c>
      <c r="E4590" t="str">
        <f>"03 - A - 102 - Cliffon  Saurel"</f>
        <v>03 - A - 102 - Cliffon  Saurel</v>
      </c>
      <c r="F4590" t="str">
        <f>"PHYSICAL SCI"</f>
        <v>PHYSICAL SCI</v>
      </c>
      <c r="G4590" t="str">
        <f>"05-522"</f>
        <v>05-522</v>
      </c>
      <c r="H4590" t="str">
        <f>"A"</f>
        <v>A</v>
      </c>
    </row>
    <row r="4591" spans="1:8" x14ac:dyDescent="0.2">
      <c r="A4591" t="str">
        <f t="shared" si="1685"/>
        <v>0612122732</v>
      </c>
      <c r="B4591" t="str">
        <f t="shared" si="1686"/>
        <v>JAMISON</v>
      </c>
      <c r="C4591" t="str">
        <f t="shared" si="1687"/>
        <v>DOR</v>
      </c>
      <c r="D4591">
        <f>12</f>
        <v>12</v>
      </c>
      <c r="E4591" t="str">
        <f>"02 - A - 101 - Robyn L Trainer"</f>
        <v>02 - A - 101 - Robyn L Trainer</v>
      </c>
      <c r="F4591" t="str">
        <f>"ENG 4"</f>
        <v>ENG 4</v>
      </c>
      <c r="G4591" t="str">
        <f>"17-1734"</f>
        <v>17-1734</v>
      </c>
      <c r="H4591" t="str">
        <f>"A"</f>
        <v>A</v>
      </c>
    </row>
    <row r="4592" spans="1:8" x14ac:dyDescent="0.2">
      <c r="A4592" t="str">
        <f t="shared" si="1685"/>
        <v>0612122732</v>
      </c>
      <c r="B4592" t="str">
        <f t="shared" si="1686"/>
        <v>JAMISON</v>
      </c>
      <c r="C4592" t="str">
        <f t="shared" si="1687"/>
        <v>DOR</v>
      </c>
      <c r="D4592">
        <f>12</f>
        <v>12</v>
      </c>
      <c r="E4592" t="str">
        <f>"07 - S1 - B - 103 - Leslie J Barton"</f>
        <v>07 - S1 - B - 103 - Leslie J Barton</v>
      </c>
      <c r="F4592" t="str">
        <f>"TEAM SPORTS 1"</f>
        <v>TEAM SPORTS 1</v>
      </c>
      <c r="G4592" t="str">
        <f>"04-254"</f>
        <v>04-254</v>
      </c>
      <c r="H4592" t="str">
        <f>"B"</f>
        <v>B</v>
      </c>
    </row>
    <row r="4593" spans="1:8" x14ac:dyDescent="0.2">
      <c r="A4593" t="str">
        <f t="shared" si="1685"/>
        <v>0612122732</v>
      </c>
      <c r="B4593" t="str">
        <f t="shared" si="1686"/>
        <v>JAMISON</v>
      </c>
      <c r="C4593" t="str">
        <f t="shared" si="1687"/>
        <v>DOR</v>
      </c>
      <c r="D4593">
        <f>12</f>
        <v>12</v>
      </c>
      <c r="E4593" t="str">
        <f>"05 - B - 106 - Thomas G Handwerg"</f>
        <v>05 - B - 106 - Thomas G Handwerg</v>
      </c>
      <c r="F4593" t="str">
        <f>"MATH COLL ALGEBRA"</f>
        <v>MATH COLL ALGEBRA</v>
      </c>
      <c r="G4593" t="str">
        <f>"21-2146"</f>
        <v>21-2146</v>
      </c>
      <c r="H4593" t="str">
        <f>"B"</f>
        <v>B</v>
      </c>
    </row>
    <row r="4594" spans="1:8" x14ac:dyDescent="0.2">
      <c r="A4594" t="str">
        <f t="shared" si="1685"/>
        <v>0612122732</v>
      </c>
      <c r="B4594" t="str">
        <f t="shared" si="1686"/>
        <v>JAMISON</v>
      </c>
      <c r="C4594" t="str">
        <f t="shared" si="1687"/>
        <v>DOR</v>
      </c>
      <c r="D4594">
        <f>12</f>
        <v>12</v>
      </c>
      <c r="E4594" t="str">
        <f>"01 - S1 - A - 101 - Robert O Burger"</f>
        <v>01 - S1 - A - 101 - Robert O Burger</v>
      </c>
      <c r="F4594" t="str">
        <f>"US GOVT"</f>
        <v>US GOVT</v>
      </c>
      <c r="G4594" t="str">
        <f>"17-1755"</f>
        <v>17-1755</v>
      </c>
      <c r="H4594" t="str">
        <f>"A"</f>
        <v>A</v>
      </c>
    </row>
    <row r="4595" spans="1:8" x14ac:dyDescent="0.2">
      <c r="A4595" t="str">
        <f t="shared" si="1685"/>
        <v>0612122732</v>
      </c>
      <c r="B4595" t="str">
        <f t="shared" si="1686"/>
        <v>JAMISON</v>
      </c>
      <c r="C4595" t="str">
        <f t="shared" si="1687"/>
        <v>DOR</v>
      </c>
      <c r="D4595">
        <f>12</f>
        <v>12</v>
      </c>
      <c r="E4595" t="str">
        <f>"08 - B - 101 - Marius D Orsolini"</f>
        <v>08 - B - 101 - Marius D Orsolini</v>
      </c>
      <c r="F4595" t="str">
        <f>"CULINARY ARTS 2"</f>
        <v>CULINARY ARTS 2</v>
      </c>
      <c r="G4595" t="str">
        <f>"21-2115"</f>
        <v>21-2115</v>
      </c>
      <c r="H4595" t="str">
        <f>"B"</f>
        <v>B</v>
      </c>
    </row>
    <row r="4596" spans="1:8" x14ac:dyDescent="0.2">
      <c r="A4596" t="str">
        <f t="shared" ref="A4596:A4604" si="1688">"0615041397"</f>
        <v>0615041397</v>
      </c>
      <c r="B4596" t="str">
        <f t="shared" ref="B4596:B4604" si="1689">"BRENDY"</f>
        <v>BRENDY</v>
      </c>
      <c r="C4596" t="str">
        <f t="shared" ref="C4596:C4604" si="1690">"DORCINVIL"</f>
        <v>DORCINVIL</v>
      </c>
      <c r="D4596">
        <f>10</f>
        <v>10</v>
      </c>
      <c r="E4596" t="str">
        <f>"04 - A - 104 - Nikiel  Nesbeth"</f>
        <v>04 - A - 104 - Nikiel  Nesbeth</v>
      </c>
      <c r="F4596" t="str">
        <f>"ENG 2"</f>
        <v>ENG 2</v>
      </c>
      <c r="G4596" t="str">
        <f>"17-1705"</f>
        <v>17-1705</v>
      </c>
      <c r="H4596" t="str">
        <f>"A"</f>
        <v>A</v>
      </c>
    </row>
    <row r="4597" spans="1:8" x14ac:dyDescent="0.2">
      <c r="A4597" t="str">
        <f t="shared" si="1688"/>
        <v>0615041397</v>
      </c>
      <c r="B4597" t="str">
        <f t="shared" si="1689"/>
        <v>BRENDY</v>
      </c>
      <c r="C4597" t="str">
        <f t="shared" si="1690"/>
        <v>DORCINVIL</v>
      </c>
      <c r="D4597">
        <f>10</f>
        <v>10</v>
      </c>
      <c r="E4597" t="str">
        <f>"06 - B - 003 - Emmily A Sarmiento"</f>
        <v>06 - B - 003 - Emmily A Sarmiento</v>
      </c>
      <c r="F4597" t="str">
        <f>"NC STUDY HALL 1"</f>
        <v>NC STUDY HALL 1</v>
      </c>
      <c r="G4597" t="str">
        <f>"17-1743"</f>
        <v>17-1743</v>
      </c>
      <c r="H4597" t="str">
        <f>"B"</f>
        <v>B</v>
      </c>
    </row>
    <row r="4598" spans="1:8" x14ac:dyDescent="0.2">
      <c r="A4598" t="str">
        <f t="shared" si="1688"/>
        <v>0615041397</v>
      </c>
      <c r="B4598" t="str">
        <f t="shared" si="1689"/>
        <v>BRENDY</v>
      </c>
      <c r="C4598" t="str">
        <f t="shared" si="1690"/>
        <v>DORCINVIL</v>
      </c>
      <c r="D4598">
        <f>10</f>
        <v>10</v>
      </c>
      <c r="E4598" t="str">
        <f>"06 - B - 106 - Eric  Lopapa"</f>
        <v>06 - B - 106 - Eric  Lopapa</v>
      </c>
      <c r="F4598" t="str">
        <f>"LANG THERAPY"</f>
        <v>LANG THERAPY</v>
      </c>
      <c r="G4598" t="str">
        <f>"21-2110"</f>
        <v>21-2110</v>
      </c>
      <c r="H4598" t="str">
        <f>"B"</f>
        <v>B</v>
      </c>
    </row>
    <row r="4599" spans="1:8" x14ac:dyDescent="0.2">
      <c r="A4599" t="str">
        <f t="shared" si="1688"/>
        <v>0615041397</v>
      </c>
      <c r="B4599" t="str">
        <f t="shared" si="1689"/>
        <v>BRENDY</v>
      </c>
      <c r="C4599" t="str">
        <f t="shared" si="1690"/>
        <v>DORCINVIL</v>
      </c>
      <c r="D4599">
        <f>10</f>
        <v>10</v>
      </c>
      <c r="E4599" t="str">
        <f>"03 - A - 206 - Josiah I Lacy"</f>
        <v>03 - A - 206 - Josiah I Lacy</v>
      </c>
      <c r="F4599" t="str">
        <f>"BIOLOGY 1"</f>
        <v>BIOLOGY 1</v>
      </c>
      <c r="G4599" t="str">
        <f>"08-801"</f>
        <v>08-801</v>
      </c>
      <c r="H4599" t="str">
        <f>"A"</f>
        <v>A</v>
      </c>
    </row>
    <row r="4600" spans="1:8" x14ac:dyDescent="0.2">
      <c r="A4600" t="str">
        <f t="shared" si="1688"/>
        <v>0615041397</v>
      </c>
      <c r="B4600" t="str">
        <f t="shared" si="1689"/>
        <v>BRENDY</v>
      </c>
      <c r="C4600" t="str">
        <f t="shared" si="1690"/>
        <v>DORCINVIL</v>
      </c>
      <c r="D4600">
        <f>10</f>
        <v>10</v>
      </c>
      <c r="E4600" t="str">
        <f>"02 - A - 101 - Christa T Parisi"</f>
        <v>02 - A - 101 - Christa T Parisi</v>
      </c>
      <c r="F4600" t="str">
        <f>"LRNG STRATEGIES 9-12"</f>
        <v>LRNG STRATEGIES 9-12</v>
      </c>
      <c r="G4600" t="str">
        <f>"20-2072"</f>
        <v>20-2072</v>
      </c>
      <c r="H4600" t="str">
        <f>"A"</f>
        <v>A</v>
      </c>
    </row>
    <row r="4601" spans="1:8" x14ac:dyDescent="0.2">
      <c r="A4601" t="str">
        <f t="shared" si="1688"/>
        <v>0615041397</v>
      </c>
      <c r="B4601" t="str">
        <f t="shared" si="1689"/>
        <v>BRENDY</v>
      </c>
      <c r="C4601" t="str">
        <f t="shared" si="1690"/>
        <v>DORCINVIL</v>
      </c>
      <c r="D4601">
        <f>10</f>
        <v>10</v>
      </c>
      <c r="E4601" t="str">
        <f>"07 - B - 107 - Marius D Orsolini"</f>
        <v>07 - B - 107 - Marius D Orsolini</v>
      </c>
      <c r="F4601" t="str">
        <f>"CULINARY ARTS 1"</f>
        <v>CULINARY ARTS 1</v>
      </c>
      <c r="G4601" t="str">
        <f>"21-2115"</f>
        <v>21-2115</v>
      </c>
      <c r="H4601" t="str">
        <f>"B"</f>
        <v>B</v>
      </c>
    </row>
    <row r="4602" spans="1:8" x14ac:dyDescent="0.2">
      <c r="A4602" t="str">
        <f t="shared" si="1688"/>
        <v>0615041397</v>
      </c>
      <c r="B4602" t="str">
        <f t="shared" si="1689"/>
        <v>BRENDY</v>
      </c>
      <c r="C4602" t="str">
        <f t="shared" si="1690"/>
        <v>DORCINVIL</v>
      </c>
      <c r="D4602">
        <f>10</f>
        <v>10</v>
      </c>
      <c r="E4602" t="str">
        <f>"05 - B - 106 - Milca  Exantus"</f>
        <v>05 - B - 106 - Milca  Exantus</v>
      </c>
      <c r="F4602" t="str">
        <f>"MATH COLLEGE LIB ART"</f>
        <v>MATH COLLEGE LIB ART</v>
      </c>
      <c r="G4602" t="str">
        <f>"21-2145"</f>
        <v>21-2145</v>
      </c>
      <c r="H4602" t="str">
        <f>"B"</f>
        <v>B</v>
      </c>
    </row>
    <row r="4603" spans="1:8" x14ac:dyDescent="0.2">
      <c r="A4603" t="str">
        <f t="shared" si="1688"/>
        <v>0615041397</v>
      </c>
      <c r="B4603" t="str">
        <f t="shared" si="1689"/>
        <v>BRENDY</v>
      </c>
      <c r="C4603" t="str">
        <f t="shared" si="1690"/>
        <v>DORCINVIL</v>
      </c>
      <c r="D4603">
        <f>10</f>
        <v>10</v>
      </c>
      <c r="E4603" t="str">
        <f>"01 - S1 - A - 101 - Lissa C Frederique"</f>
        <v>01 - S1 - A - 101 - Lissa C Frederique</v>
      </c>
      <c r="F4603" t="str">
        <f>"PERS FIN &amp; MON MGT H"</f>
        <v>PERS FIN &amp; MON MGT H</v>
      </c>
      <c r="G4603" t="str">
        <f>"17-1754"</f>
        <v>17-1754</v>
      </c>
      <c r="H4603" t="str">
        <f>"A"</f>
        <v>A</v>
      </c>
    </row>
    <row r="4604" spans="1:8" x14ac:dyDescent="0.2">
      <c r="A4604" t="str">
        <f t="shared" si="1688"/>
        <v>0615041397</v>
      </c>
      <c r="B4604" t="str">
        <f t="shared" si="1689"/>
        <v>BRENDY</v>
      </c>
      <c r="C4604" t="str">
        <f t="shared" si="1690"/>
        <v>DORCINVIL</v>
      </c>
      <c r="D4604">
        <f>10</f>
        <v>10</v>
      </c>
      <c r="E4604" t="str">
        <f>"08 - S1 - B - 104 - Leslie J Barton"</f>
        <v>08 - S1 - B - 104 - Leslie J Barton</v>
      </c>
      <c r="F4604" t="str">
        <f>"TEAM SPORTS 1"</f>
        <v>TEAM SPORTS 1</v>
      </c>
      <c r="G4604" t="str">
        <f>"04-254"</f>
        <v>04-254</v>
      </c>
      <c r="H4604" t="str">
        <f>"B"</f>
        <v>B</v>
      </c>
    </row>
    <row r="4605" spans="1:8" x14ac:dyDescent="0.2">
      <c r="A4605" t="str">
        <f t="shared" ref="A4605:A4612" si="1691">"0615022164"</f>
        <v>0615022164</v>
      </c>
      <c r="B4605" t="str">
        <f t="shared" ref="B4605:B4612" si="1692">"ZION"</f>
        <v>ZION</v>
      </c>
      <c r="C4605" t="str">
        <f t="shared" ref="C4605:C4612" si="1693">"DOREST"</f>
        <v>DOREST</v>
      </c>
      <c r="D4605">
        <f>10</f>
        <v>10</v>
      </c>
      <c r="E4605" t="str">
        <f>"04 - A - 105 - Jacklyn M James"</f>
        <v>04 - A - 105 - Jacklyn M James</v>
      </c>
      <c r="F4605" t="str">
        <f>"AICE ENG LANG AS"</f>
        <v>AICE ENG LANG AS</v>
      </c>
      <c r="G4605" t="str">
        <f>"17-1731"</f>
        <v>17-1731</v>
      </c>
      <c r="H4605" t="str">
        <f>"A"</f>
        <v>A</v>
      </c>
    </row>
    <row r="4606" spans="1:8" x14ac:dyDescent="0.2">
      <c r="A4606" t="str">
        <f t="shared" si="1691"/>
        <v>0615022164</v>
      </c>
      <c r="B4606" t="str">
        <f t="shared" si="1692"/>
        <v>ZION</v>
      </c>
      <c r="C4606" t="str">
        <f t="shared" si="1693"/>
        <v>DOREST</v>
      </c>
      <c r="D4606">
        <f>10</f>
        <v>10</v>
      </c>
      <c r="E4606" t="str">
        <f>"06 - B - 115 - Scott A Dethloff"</f>
        <v>06 - B - 115 - Scott A Dethloff</v>
      </c>
      <c r="F4606" t="str">
        <f>"NC STUDY HALL 1"</f>
        <v>NC STUDY HALL 1</v>
      </c>
      <c r="G4606" t="str">
        <f>"08-812"</f>
        <v>08-812</v>
      </c>
      <c r="H4606" t="str">
        <f>"B"</f>
        <v>B</v>
      </c>
    </row>
    <row r="4607" spans="1:8" x14ac:dyDescent="0.2">
      <c r="A4607" t="str">
        <f t="shared" si="1691"/>
        <v>0615022164</v>
      </c>
      <c r="B4607" t="str">
        <f t="shared" si="1692"/>
        <v>ZION</v>
      </c>
      <c r="C4607" t="str">
        <f t="shared" si="1693"/>
        <v>DOREST</v>
      </c>
      <c r="D4607">
        <f>10</f>
        <v>10</v>
      </c>
      <c r="E4607" t="str">
        <f>"03 - A - 002 - Ferrie J Arostique"</f>
        <v>03 - A - 002 - Ferrie J Arostique</v>
      </c>
      <c r="F4607" t="str">
        <f>"GEOMETRY"</f>
        <v>GEOMETRY</v>
      </c>
      <c r="G4607" t="str">
        <f>"21-2139"</f>
        <v>21-2139</v>
      </c>
      <c r="H4607" t="str">
        <f>"A"</f>
        <v>A</v>
      </c>
    </row>
    <row r="4608" spans="1:8" x14ac:dyDescent="0.2">
      <c r="A4608" t="str">
        <f t="shared" si="1691"/>
        <v>0615022164</v>
      </c>
      <c r="B4608" t="str">
        <f t="shared" si="1692"/>
        <v>ZION</v>
      </c>
      <c r="C4608" t="str">
        <f t="shared" si="1693"/>
        <v>DOREST</v>
      </c>
      <c r="D4608">
        <f>10</f>
        <v>10</v>
      </c>
      <c r="E4608" t="str">
        <f>"02 - S1 - A - 102 - Richard E Dunbar Iii"</f>
        <v>02 - S1 - A - 102 - Richard E Dunbar Iii</v>
      </c>
      <c r="F4608" t="str">
        <f>"WEIGHT TRAIN 1"</f>
        <v>WEIGHT TRAIN 1</v>
      </c>
      <c r="G4608" t="str">
        <f>"05-501"</f>
        <v>05-501</v>
      </c>
      <c r="H4608" t="str">
        <f>"A"</f>
        <v>A</v>
      </c>
    </row>
    <row r="4609" spans="1:8" x14ac:dyDescent="0.2">
      <c r="A4609" t="str">
        <f t="shared" si="1691"/>
        <v>0615022164</v>
      </c>
      <c r="B4609" t="str">
        <f t="shared" si="1692"/>
        <v>ZION</v>
      </c>
      <c r="C4609" t="str">
        <f t="shared" si="1693"/>
        <v>DOREST</v>
      </c>
      <c r="D4609">
        <f>10</f>
        <v>10</v>
      </c>
      <c r="E4609" t="str">
        <f>"07 - B - 107 - Marius D Orsolini"</f>
        <v>07 - B - 107 - Marius D Orsolini</v>
      </c>
      <c r="F4609" t="str">
        <f>"CULINARY ARTS 1"</f>
        <v>CULINARY ARTS 1</v>
      </c>
      <c r="G4609" t="str">
        <f>"21-2115"</f>
        <v>21-2115</v>
      </c>
      <c r="H4609" t="str">
        <f>"B"</f>
        <v>B</v>
      </c>
    </row>
    <row r="4610" spans="1:8" x14ac:dyDescent="0.2">
      <c r="A4610" t="str">
        <f t="shared" si="1691"/>
        <v>0615022164</v>
      </c>
      <c r="B4610" t="str">
        <f t="shared" si="1692"/>
        <v>ZION</v>
      </c>
      <c r="C4610" t="str">
        <f t="shared" si="1693"/>
        <v>DOREST</v>
      </c>
      <c r="D4610">
        <f>10</f>
        <v>10</v>
      </c>
      <c r="E4610" t="str">
        <f>"05 - B - 204 - Cheryl L Beach"</f>
        <v>05 - B - 204 - Cheryl L Beach</v>
      </c>
      <c r="F4610" t="str">
        <f>"AICE ENV MGMNT AS"</f>
        <v>AICE ENV MGMNT AS</v>
      </c>
      <c r="G4610" t="str">
        <f>"08-811"</f>
        <v>08-811</v>
      </c>
      <c r="H4610" t="str">
        <f>"B"</f>
        <v>B</v>
      </c>
    </row>
    <row r="4611" spans="1:8" x14ac:dyDescent="0.2">
      <c r="A4611" t="str">
        <f t="shared" si="1691"/>
        <v>0615022164</v>
      </c>
      <c r="B4611" t="str">
        <f t="shared" si="1692"/>
        <v>ZION</v>
      </c>
      <c r="C4611" t="str">
        <f t="shared" si="1693"/>
        <v>DOREST</v>
      </c>
      <c r="D4611">
        <f>10</f>
        <v>10</v>
      </c>
      <c r="E4611" t="str">
        <f>"01 - A - 002 - Krystal Marie  Beruty"</f>
        <v>01 - A - 002 - Krystal Marie  Beruty</v>
      </c>
      <c r="F4611" t="str">
        <f>"AICE GLBL PERSP 1 AS"</f>
        <v>AICE GLBL PERSP 1 AS</v>
      </c>
      <c r="G4611" t="str">
        <f>"17-1721"</f>
        <v>17-1721</v>
      </c>
      <c r="H4611" t="str">
        <f>"A"</f>
        <v>A</v>
      </c>
    </row>
    <row r="4612" spans="1:8" x14ac:dyDescent="0.2">
      <c r="A4612" t="str">
        <f t="shared" si="1691"/>
        <v>0615022164</v>
      </c>
      <c r="B4612" t="str">
        <f t="shared" si="1692"/>
        <v>ZION</v>
      </c>
      <c r="C4612" t="str">
        <f t="shared" si="1693"/>
        <v>DOREST</v>
      </c>
      <c r="D4612">
        <f>10</f>
        <v>10</v>
      </c>
      <c r="E4612" t="str">
        <f>"08 - S1 - B - 102 - Kyle  Robbins"</f>
        <v>08 - S1 - B - 102 - Kyle  Robbins</v>
      </c>
      <c r="F4612" t="str">
        <f>"PERS FIN &amp; MON MGT H"</f>
        <v>PERS FIN &amp; MON MGT H</v>
      </c>
      <c r="G4612" t="str">
        <f>"17-1745"</f>
        <v>17-1745</v>
      </c>
      <c r="H4612" t="str">
        <f>"B"</f>
        <v>B</v>
      </c>
    </row>
    <row r="4613" spans="1:8" x14ac:dyDescent="0.2">
      <c r="A4613" t="str">
        <f t="shared" ref="A4613:A4621" si="1694">"0617111573"</f>
        <v>0617111573</v>
      </c>
      <c r="B4613" t="str">
        <f t="shared" ref="B4613:B4621" si="1695">"SHAWN"</f>
        <v>SHAWN</v>
      </c>
      <c r="C4613" t="str">
        <f t="shared" ref="C4613:C4621" si="1696">"DORESTIN"</f>
        <v>DORESTIN</v>
      </c>
      <c r="D4613">
        <f>11</f>
        <v>11</v>
      </c>
      <c r="E4613" t="str">
        <f>"04 - A - 103 - Cliffon  Saurel"</f>
        <v>04 - A - 103 - Cliffon  Saurel</v>
      </c>
      <c r="F4613" t="str">
        <f>"PHYSICAL SCI"</f>
        <v>PHYSICAL SCI</v>
      </c>
      <c r="G4613" t="str">
        <f>"05-522"</f>
        <v>05-522</v>
      </c>
      <c r="H4613" t="str">
        <f>"A"</f>
        <v>A</v>
      </c>
    </row>
    <row r="4614" spans="1:8" x14ac:dyDescent="0.2">
      <c r="A4614" t="str">
        <f t="shared" si="1694"/>
        <v>0617111573</v>
      </c>
      <c r="B4614" t="str">
        <f t="shared" si="1695"/>
        <v>SHAWN</v>
      </c>
      <c r="C4614" t="str">
        <f t="shared" si="1696"/>
        <v>DORESTIN</v>
      </c>
      <c r="D4614">
        <f>11</f>
        <v>11</v>
      </c>
      <c r="E4614" t="str">
        <f>"06 - B - 202 - Brian M Fitzgerald"</f>
        <v>06 - B - 202 - Brian M Fitzgerald</v>
      </c>
      <c r="F4614" t="str">
        <f>"DRAW 1"</f>
        <v>DRAW 1</v>
      </c>
      <c r="G4614" t="str">
        <f>"09-908"</f>
        <v>09-908</v>
      </c>
      <c r="H4614" t="str">
        <f>"B"</f>
        <v>B</v>
      </c>
    </row>
    <row r="4615" spans="1:8" x14ac:dyDescent="0.2">
      <c r="A4615" t="str">
        <f t="shared" si="1694"/>
        <v>0617111573</v>
      </c>
      <c r="B4615" t="str">
        <f t="shared" si="1695"/>
        <v>SHAWN</v>
      </c>
      <c r="C4615" t="str">
        <f t="shared" si="1696"/>
        <v>DORESTIN</v>
      </c>
      <c r="D4615">
        <f>11</f>
        <v>11</v>
      </c>
      <c r="E4615" t="str">
        <f>"03 - A - 102 - Lisa  Quinn"</f>
        <v>03 - A - 102 - Lisa  Quinn</v>
      </c>
      <c r="F4615" t="str">
        <f>"ENG 3"</f>
        <v>ENG 3</v>
      </c>
      <c r="G4615" t="str">
        <f>"17-1725"</f>
        <v>17-1725</v>
      </c>
      <c r="H4615" t="str">
        <f>"A"</f>
        <v>A</v>
      </c>
    </row>
    <row r="4616" spans="1:8" x14ac:dyDescent="0.2">
      <c r="A4616" t="str">
        <f t="shared" si="1694"/>
        <v>0617111573</v>
      </c>
      <c r="B4616" t="str">
        <f t="shared" si="1695"/>
        <v>SHAWN</v>
      </c>
      <c r="C4616" t="str">
        <f t="shared" si="1696"/>
        <v>DORESTIN</v>
      </c>
      <c r="D4616">
        <f>11</f>
        <v>11</v>
      </c>
      <c r="E4616" t="str">
        <f>"02 - A - 117 - Kyle  Robbins"</f>
        <v>02 - A - 117 - Kyle  Robbins</v>
      </c>
      <c r="F4616" t="str">
        <f>"NC STUDY HALL 1"</f>
        <v>NC STUDY HALL 1</v>
      </c>
      <c r="G4616" t="str">
        <f>"17-1745"</f>
        <v>17-1745</v>
      </c>
      <c r="H4616" t="str">
        <f>"A"</f>
        <v>A</v>
      </c>
    </row>
    <row r="4617" spans="1:8" x14ac:dyDescent="0.2">
      <c r="A4617" t="str">
        <f t="shared" si="1694"/>
        <v>0617111573</v>
      </c>
      <c r="B4617" t="str">
        <f t="shared" si="1695"/>
        <v>SHAWN</v>
      </c>
      <c r="C4617" t="str">
        <f t="shared" si="1696"/>
        <v>DORESTIN</v>
      </c>
      <c r="D4617">
        <f>11</f>
        <v>11</v>
      </c>
      <c r="E4617" t="str">
        <f>"02 - A - 112 - Karen A Toomer"</f>
        <v>02 - A - 112 - Karen A Toomer</v>
      </c>
      <c r="F4617" t="str">
        <f>"LANG THERAPY"</f>
        <v>LANG THERAPY</v>
      </c>
      <c r="G4617" t="str">
        <f>"21-2110"</f>
        <v>21-2110</v>
      </c>
      <c r="H4617" t="str">
        <f>"A"</f>
        <v>A</v>
      </c>
    </row>
    <row r="4618" spans="1:8" x14ac:dyDescent="0.2">
      <c r="A4618" t="str">
        <f t="shared" si="1694"/>
        <v>0617111573</v>
      </c>
      <c r="B4618" t="str">
        <f t="shared" si="1695"/>
        <v>SHAWN</v>
      </c>
      <c r="C4618" t="str">
        <f t="shared" si="1696"/>
        <v>DORESTIN</v>
      </c>
      <c r="D4618">
        <f>11</f>
        <v>11</v>
      </c>
      <c r="E4618" t="str">
        <f>"07 - S1 - B - 103 - Leslie J Barton"</f>
        <v>07 - S1 - B - 103 - Leslie J Barton</v>
      </c>
      <c r="F4618" t="str">
        <f>"TEAM SPORTS 1"</f>
        <v>TEAM SPORTS 1</v>
      </c>
      <c r="G4618" t="str">
        <f>"04-254"</f>
        <v>04-254</v>
      </c>
      <c r="H4618" t="str">
        <f>"B"</f>
        <v>B</v>
      </c>
    </row>
    <row r="4619" spans="1:8" x14ac:dyDescent="0.2">
      <c r="A4619" t="str">
        <f t="shared" si="1694"/>
        <v>0617111573</v>
      </c>
      <c r="B4619" t="str">
        <f t="shared" si="1695"/>
        <v>SHAWN</v>
      </c>
      <c r="C4619" t="str">
        <f t="shared" si="1696"/>
        <v>DORESTIN</v>
      </c>
      <c r="D4619">
        <f>11</f>
        <v>11</v>
      </c>
      <c r="E4619" t="str">
        <f>"05 - B - 107 - Elizabeth Ellen  Moran"</f>
        <v>05 - B - 107 - Elizabeth Ellen  Moran</v>
      </c>
      <c r="F4619" t="str">
        <f>"US HISTORY"</f>
        <v>US HISTORY</v>
      </c>
      <c r="G4619" t="str">
        <f>"17-1752"</f>
        <v>17-1752</v>
      </c>
      <c r="H4619" t="str">
        <f>"B"</f>
        <v>B</v>
      </c>
    </row>
    <row r="4620" spans="1:8" x14ac:dyDescent="0.2">
      <c r="A4620" t="str">
        <f t="shared" si="1694"/>
        <v>0617111573</v>
      </c>
      <c r="B4620" t="str">
        <f t="shared" si="1695"/>
        <v>SHAWN</v>
      </c>
      <c r="C4620" t="str">
        <f t="shared" si="1696"/>
        <v>DORESTIN</v>
      </c>
      <c r="D4620">
        <f>11</f>
        <v>11</v>
      </c>
      <c r="E4620" t="str">
        <f>"01 - A - 101 - Ferrie J Arostique"</f>
        <v>01 - A - 101 - Ferrie J Arostique</v>
      </c>
      <c r="F4620" t="str">
        <f>"GEOMETRY"</f>
        <v>GEOMETRY</v>
      </c>
      <c r="G4620" t="str">
        <f>"21-2139"</f>
        <v>21-2139</v>
      </c>
      <c r="H4620" t="str">
        <f>"A"</f>
        <v>A</v>
      </c>
    </row>
    <row r="4621" spans="1:8" x14ac:dyDescent="0.2">
      <c r="A4621" t="str">
        <f t="shared" si="1694"/>
        <v>0617111573</v>
      </c>
      <c r="B4621" t="str">
        <f t="shared" si="1695"/>
        <v>SHAWN</v>
      </c>
      <c r="C4621" t="str">
        <f t="shared" si="1696"/>
        <v>DORESTIN</v>
      </c>
      <c r="D4621">
        <f>11</f>
        <v>11</v>
      </c>
      <c r="E4621" t="str">
        <f>"08 - B - 102 - Carleigh R Carmichael"</f>
        <v>08 - B - 102 - Carleigh R Carmichael</v>
      </c>
      <c r="F4621" t="str">
        <f>"LRNG STRATEGIES 9-12"</f>
        <v>LRNG STRATEGIES 9-12</v>
      </c>
      <c r="G4621" t="str">
        <f>"20-2072"</f>
        <v>20-2072</v>
      </c>
      <c r="H4621" t="str">
        <f>"B"</f>
        <v>B</v>
      </c>
    </row>
    <row r="4622" spans="1:8" x14ac:dyDescent="0.2">
      <c r="A4622" t="str">
        <f t="shared" ref="A4622:A4629" si="1697">"0614806190"</f>
        <v>0614806190</v>
      </c>
      <c r="B4622" t="str">
        <f t="shared" ref="B4622:B4629" si="1698">"MIAH"</f>
        <v>MIAH</v>
      </c>
      <c r="C4622" t="str">
        <f t="shared" ref="C4622:C4629" si="1699">"DORIAH-THOMPSON"</f>
        <v>DORIAH-THOMPSON</v>
      </c>
      <c r="D4622">
        <f>11</f>
        <v>11</v>
      </c>
      <c r="E4622" t="str">
        <f>"04 - A - 205 - Jacqueline R Morphet"</f>
        <v>04 - A - 205 - Jacqueline R Morphet</v>
      </c>
      <c r="F4622" t="str">
        <f>"PHYSICS 1 HON"</f>
        <v>PHYSICS 1 HON</v>
      </c>
      <c r="G4622" t="str">
        <f>"21-2138"</f>
        <v>21-2138</v>
      </c>
      <c r="H4622" t="str">
        <f>"A"</f>
        <v>A</v>
      </c>
    </row>
    <row r="4623" spans="1:8" x14ac:dyDescent="0.2">
      <c r="A4623" t="str">
        <f t="shared" si="1697"/>
        <v>0614806190</v>
      </c>
      <c r="B4623" t="str">
        <f t="shared" si="1698"/>
        <v>MIAH</v>
      </c>
      <c r="C4623" t="str">
        <f t="shared" si="1699"/>
        <v>DORIAH-THOMPSON</v>
      </c>
      <c r="D4623">
        <f>11</f>
        <v>11</v>
      </c>
      <c r="E4623" t="str">
        <f>"06 - B - 102 - Stephen T Ripp"</f>
        <v>06 - B - 102 - Stephen T Ripp</v>
      </c>
      <c r="F4623" t="str">
        <f>"AP U.S. HIST"</f>
        <v>AP U.S. HIST</v>
      </c>
      <c r="G4623" t="str">
        <f>"17-1744"</f>
        <v>17-1744</v>
      </c>
      <c r="H4623" t="str">
        <f>"B"</f>
        <v>B</v>
      </c>
    </row>
    <row r="4624" spans="1:8" x14ac:dyDescent="0.2">
      <c r="A4624" t="str">
        <f t="shared" si="1697"/>
        <v>0614806190</v>
      </c>
      <c r="B4624" t="str">
        <f t="shared" si="1698"/>
        <v>MIAH</v>
      </c>
      <c r="C4624" t="str">
        <f t="shared" si="1699"/>
        <v>DORIAH-THOMPSON</v>
      </c>
      <c r="D4624">
        <f>11</f>
        <v>11</v>
      </c>
      <c r="E4624" t="str">
        <f>"03 - A - 101 - Brian M Fitzgerald"</f>
        <v>03 - A - 101 - Brian M Fitzgerald</v>
      </c>
      <c r="F4624" t="str">
        <f>"SCULPT 1"</f>
        <v>SCULPT 1</v>
      </c>
      <c r="G4624" t="str">
        <f>"09-908"</f>
        <v>09-908</v>
      </c>
      <c r="H4624" t="str">
        <f>"A"</f>
        <v>A</v>
      </c>
    </row>
    <row r="4625" spans="1:8" x14ac:dyDescent="0.2">
      <c r="A4625" t="str">
        <f t="shared" si="1697"/>
        <v>0614806190</v>
      </c>
      <c r="B4625" t="str">
        <f t="shared" si="1698"/>
        <v>MIAH</v>
      </c>
      <c r="C4625" t="str">
        <f t="shared" si="1699"/>
        <v>DORIAH-THOMPSON</v>
      </c>
      <c r="D4625">
        <f>11</f>
        <v>11</v>
      </c>
      <c r="E4625" t="str">
        <f>"02 - A - 114 - Eva T Rimmer"</f>
        <v>02 - A - 114 - Eva T Rimmer</v>
      </c>
      <c r="F4625" t="str">
        <f>"NC STUDY HALL 1"</f>
        <v>NC STUDY HALL 1</v>
      </c>
      <c r="G4625" t="str">
        <f>"05-523"</f>
        <v>05-523</v>
      </c>
      <c r="H4625" t="str">
        <f>"A"</f>
        <v>A</v>
      </c>
    </row>
    <row r="4626" spans="1:8" x14ac:dyDescent="0.2">
      <c r="A4626" t="str">
        <f t="shared" si="1697"/>
        <v>0614806190</v>
      </c>
      <c r="B4626" t="str">
        <f t="shared" si="1698"/>
        <v>MIAH</v>
      </c>
      <c r="C4626" t="str">
        <f t="shared" si="1699"/>
        <v>DORIAH-THOMPSON</v>
      </c>
      <c r="D4626">
        <f>11</f>
        <v>11</v>
      </c>
      <c r="E4626" t="str">
        <f>"07 - B - 103 - Lisa J London"</f>
        <v>07 - B - 103 - Lisa J London</v>
      </c>
      <c r="F4626" t="str">
        <f>"AP CAPSTONE SEMINAR"</f>
        <v>AP CAPSTONE SEMINAR</v>
      </c>
      <c r="G4626" t="str">
        <f>"17-1714"</f>
        <v>17-1714</v>
      </c>
      <c r="H4626" t="str">
        <f>"B"</f>
        <v>B</v>
      </c>
    </row>
    <row r="4627" spans="1:8" x14ac:dyDescent="0.2">
      <c r="A4627" t="str">
        <f t="shared" si="1697"/>
        <v>0614806190</v>
      </c>
      <c r="B4627" t="str">
        <f t="shared" si="1698"/>
        <v>MIAH</v>
      </c>
      <c r="C4627" t="str">
        <f t="shared" si="1699"/>
        <v>DORIAH-THOMPSON</v>
      </c>
      <c r="D4627">
        <f>11</f>
        <v>11</v>
      </c>
      <c r="E4627" t="str">
        <f>"05 - B - 104 - Semra  Bahadir"</f>
        <v>05 - B - 104 - Semra  Bahadir</v>
      </c>
      <c r="F4627" t="str">
        <f>"MATH COLL ALGEBRA"</f>
        <v>MATH COLL ALGEBRA</v>
      </c>
      <c r="G4627" t="str">
        <f>"21-2107"</f>
        <v>21-2107</v>
      </c>
      <c r="H4627" t="str">
        <f>"B"</f>
        <v>B</v>
      </c>
    </row>
    <row r="4628" spans="1:8" x14ac:dyDescent="0.2">
      <c r="A4628" t="str">
        <f t="shared" si="1697"/>
        <v>0614806190</v>
      </c>
      <c r="B4628" t="str">
        <f t="shared" si="1698"/>
        <v>MIAH</v>
      </c>
      <c r="C4628" t="str">
        <f t="shared" si="1699"/>
        <v>DORIAH-THOMPSON</v>
      </c>
      <c r="D4628">
        <f>11</f>
        <v>11</v>
      </c>
      <c r="E4628" t="str">
        <f>"01 - A - 103 - Scott A Dethloff"</f>
        <v>01 - A - 103 - Scott A Dethloff</v>
      </c>
      <c r="F4628" t="str">
        <f>"AICE THINK SKLS 1 AS"</f>
        <v>AICE THINK SKLS 1 AS</v>
      </c>
      <c r="G4628" t="str">
        <f>"08-812"</f>
        <v>08-812</v>
      </c>
      <c r="H4628" t="str">
        <f>"A"</f>
        <v>A</v>
      </c>
    </row>
    <row r="4629" spans="1:8" x14ac:dyDescent="0.2">
      <c r="A4629" t="str">
        <f t="shared" si="1697"/>
        <v>0614806190</v>
      </c>
      <c r="B4629" t="str">
        <f t="shared" si="1698"/>
        <v>MIAH</v>
      </c>
      <c r="C4629" t="str">
        <f t="shared" si="1699"/>
        <v>DORIAH-THOMPSON</v>
      </c>
      <c r="D4629">
        <f>11</f>
        <v>11</v>
      </c>
      <c r="E4629" t="str">
        <f>"08 - B - 105 - Brandy N Zdenek"</f>
        <v>08 - B - 105 - Brandy N Zdenek</v>
      </c>
      <c r="F4629" t="str">
        <f>"AICE ENG LANG 2 AL"</f>
        <v>AICE ENG LANG 2 AL</v>
      </c>
      <c r="G4629" t="str">
        <f>"17-1704"</f>
        <v>17-1704</v>
      </c>
      <c r="H4629" t="str">
        <f>"B"</f>
        <v>B</v>
      </c>
    </row>
    <row r="4630" spans="1:8" x14ac:dyDescent="0.2">
      <c r="A4630" t="str">
        <f t="shared" ref="A4630:A4637" si="1700">"0616075207"</f>
        <v>0616075207</v>
      </c>
      <c r="B4630" t="str">
        <f t="shared" ref="B4630:B4637" si="1701">"AYANNA"</f>
        <v>AYANNA</v>
      </c>
      <c r="C4630" t="str">
        <f t="shared" ref="C4630:C4637" si="1702">"DORIVAL"</f>
        <v>DORIVAL</v>
      </c>
      <c r="D4630" t="str">
        <f t="shared" ref="D4630:D4637" si="1703">"09"</f>
        <v>09</v>
      </c>
      <c r="E4630" t="str">
        <f>"04 - A - 104 - Dayna M Foster"</f>
        <v>04 - A - 104 - Dayna M Foster</v>
      </c>
      <c r="F4630" t="str">
        <f>"ALGEBRA 2"</f>
        <v>ALGEBRA 2</v>
      </c>
      <c r="G4630" t="str">
        <f>"21-2109"</f>
        <v>21-2109</v>
      </c>
      <c r="H4630" t="str">
        <f>"A"</f>
        <v>A</v>
      </c>
    </row>
    <row r="4631" spans="1:8" x14ac:dyDescent="0.2">
      <c r="A4631" t="str">
        <f t="shared" si="1700"/>
        <v>0616075207</v>
      </c>
      <c r="B4631" t="str">
        <f t="shared" si="1701"/>
        <v>AYANNA</v>
      </c>
      <c r="C4631" t="str">
        <f t="shared" si="1702"/>
        <v>DORIVAL</v>
      </c>
      <c r="D4631" t="str">
        <f t="shared" si="1703"/>
        <v>09</v>
      </c>
      <c r="E4631" t="str">
        <f>"06 - B - 202 - Brian M Fitzgerald"</f>
        <v>06 - B - 202 - Brian M Fitzgerald</v>
      </c>
      <c r="F4631" t="str">
        <f>"DRAW 1"</f>
        <v>DRAW 1</v>
      </c>
      <c r="G4631" t="str">
        <f>"09-908"</f>
        <v>09-908</v>
      </c>
      <c r="H4631" t="str">
        <f>"B"</f>
        <v>B</v>
      </c>
    </row>
    <row r="4632" spans="1:8" x14ac:dyDescent="0.2">
      <c r="A4632" t="str">
        <f t="shared" si="1700"/>
        <v>0616075207</v>
      </c>
      <c r="B4632" t="str">
        <f t="shared" si="1701"/>
        <v>AYANNA</v>
      </c>
      <c r="C4632" t="str">
        <f t="shared" si="1702"/>
        <v>DORIVAL</v>
      </c>
      <c r="D4632" t="str">
        <f t="shared" si="1703"/>
        <v>09</v>
      </c>
      <c r="E4632" t="str">
        <f>"03 - A - 101 - Jazmin S Fletcher"</f>
        <v>03 - A - 101 - Jazmin S Fletcher</v>
      </c>
      <c r="F4632" t="str">
        <f>"THEATRE 3 HON"</f>
        <v>THEATRE 3 HON</v>
      </c>
      <c r="G4632" t="str">
        <f>"09-909"</f>
        <v>09-909</v>
      </c>
      <c r="H4632" t="str">
        <f>"A"</f>
        <v>A</v>
      </c>
    </row>
    <row r="4633" spans="1:8" x14ac:dyDescent="0.2">
      <c r="A4633" t="str">
        <f t="shared" si="1700"/>
        <v>0616075207</v>
      </c>
      <c r="B4633" t="str">
        <f t="shared" si="1701"/>
        <v>AYANNA</v>
      </c>
      <c r="C4633" t="str">
        <f t="shared" si="1702"/>
        <v>DORIVAL</v>
      </c>
      <c r="D4633" t="str">
        <f t="shared" si="1703"/>
        <v>09</v>
      </c>
      <c r="E4633" t="str">
        <f>"02 - A - 106 - Helen A Flores"</f>
        <v>02 - A - 106 - Helen A Flores</v>
      </c>
      <c r="F4633" t="str">
        <f>"NC STUDY HALL 1"</f>
        <v>NC STUDY HALL 1</v>
      </c>
      <c r="G4633" t="str">
        <f>"21-2101"</f>
        <v>21-2101</v>
      </c>
      <c r="H4633" t="str">
        <f>"A"</f>
        <v>A</v>
      </c>
    </row>
    <row r="4634" spans="1:8" x14ac:dyDescent="0.2">
      <c r="A4634" t="str">
        <f t="shared" si="1700"/>
        <v>0616075207</v>
      </c>
      <c r="B4634" t="str">
        <f t="shared" si="1701"/>
        <v>AYANNA</v>
      </c>
      <c r="C4634" t="str">
        <f t="shared" si="1702"/>
        <v>DORIVAL</v>
      </c>
      <c r="D4634" t="str">
        <f t="shared" si="1703"/>
        <v>09</v>
      </c>
      <c r="E4634" t="str">
        <f>"07 - B - 003 - Brandy N Zdenek"</f>
        <v>07 - B - 003 - Brandy N Zdenek</v>
      </c>
      <c r="F4634" t="str">
        <f>"AICE ENG GEN PAPER 1"</f>
        <v>AICE ENG GEN PAPER 1</v>
      </c>
      <c r="G4634" t="str">
        <f>"17-1704"</f>
        <v>17-1704</v>
      </c>
      <c r="H4634" t="str">
        <f>"B"</f>
        <v>B</v>
      </c>
    </row>
    <row r="4635" spans="1:8" x14ac:dyDescent="0.2">
      <c r="A4635" t="str">
        <f t="shared" si="1700"/>
        <v>0616075207</v>
      </c>
      <c r="B4635" t="str">
        <f t="shared" si="1701"/>
        <v>AYANNA</v>
      </c>
      <c r="C4635" t="str">
        <f t="shared" si="1702"/>
        <v>DORIVAL</v>
      </c>
      <c r="D4635" t="str">
        <f t="shared" si="1703"/>
        <v>09</v>
      </c>
      <c r="E4635" t="str">
        <f>"05 - B - 001 - Kelly N Panza"</f>
        <v>05 - B - 001 - Kelly N Panza</v>
      </c>
      <c r="F4635" t="str">
        <f>"AICE GLBL PERSP 1 AS"</f>
        <v>AICE GLBL PERSP 1 AS</v>
      </c>
      <c r="G4635" t="str">
        <f>"17-1753"</f>
        <v>17-1753</v>
      </c>
      <c r="H4635" t="str">
        <f>"B"</f>
        <v>B</v>
      </c>
    </row>
    <row r="4636" spans="1:8" x14ac:dyDescent="0.2">
      <c r="A4636" t="str">
        <f t="shared" si="1700"/>
        <v>0616075207</v>
      </c>
      <c r="B4636" t="str">
        <f t="shared" si="1701"/>
        <v>AYANNA</v>
      </c>
      <c r="C4636" t="str">
        <f t="shared" si="1702"/>
        <v>DORIVAL</v>
      </c>
      <c r="D4636" t="str">
        <f t="shared" si="1703"/>
        <v>09</v>
      </c>
      <c r="E4636" t="str">
        <f>"01 - A - 101 - Byron G Montenegro"</f>
        <v>01 - A - 101 - Byron G Montenegro</v>
      </c>
      <c r="F4636" t="str">
        <f>"AICE MARINE SCI 1 AS"</f>
        <v>AICE MARINE SCI 1 AS</v>
      </c>
      <c r="G4636" t="str">
        <f>"21-2144"</f>
        <v>21-2144</v>
      </c>
      <c r="H4636" t="str">
        <f>"A"</f>
        <v>A</v>
      </c>
    </row>
    <row r="4637" spans="1:8" x14ac:dyDescent="0.2">
      <c r="A4637" t="str">
        <f t="shared" si="1700"/>
        <v>0616075207</v>
      </c>
      <c r="B4637" t="str">
        <f t="shared" si="1701"/>
        <v>AYANNA</v>
      </c>
      <c r="C4637" t="str">
        <f t="shared" si="1702"/>
        <v>DORIVAL</v>
      </c>
      <c r="D4637" t="str">
        <f t="shared" si="1703"/>
        <v>09</v>
      </c>
      <c r="E4637" t="str">
        <f>"08 - B - 201 - Tina M Jaramillo"</f>
        <v>08 - B - 201 - Tina M Jaramillo</v>
      </c>
      <c r="F4637" t="str">
        <f>"CREATIVE WRIT 3 HON"</f>
        <v>CREATIVE WRIT 3 HON</v>
      </c>
      <c r="G4637" t="str">
        <f>"17-1706"</f>
        <v>17-1706</v>
      </c>
      <c r="H4637" t="str">
        <f>"B"</f>
        <v>B</v>
      </c>
    </row>
    <row r="4638" spans="1:8" x14ac:dyDescent="0.2">
      <c r="A4638" t="str">
        <f t="shared" ref="A4638:A4645" si="1704">"0614054793"</f>
        <v>0614054793</v>
      </c>
      <c r="B4638" t="str">
        <f t="shared" ref="B4638:B4645" si="1705">"HOVENS"</f>
        <v>HOVENS</v>
      </c>
      <c r="C4638" t="str">
        <f t="shared" ref="C4638:C4653" si="1706">"DORSAINT"</f>
        <v>DORSAINT</v>
      </c>
      <c r="D4638">
        <f>11</f>
        <v>11</v>
      </c>
      <c r="E4638" t="str">
        <f>"04 - A - 104 - Dayna M Foster"</f>
        <v>04 - A - 104 - Dayna M Foster</v>
      </c>
      <c r="F4638" t="str">
        <f>"ALGEBRA 2"</f>
        <v>ALGEBRA 2</v>
      </c>
      <c r="G4638" t="str">
        <f>"21-2109"</f>
        <v>21-2109</v>
      </c>
      <c r="H4638" t="str">
        <f>"A"</f>
        <v>A</v>
      </c>
    </row>
    <row r="4639" spans="1:8" x14ac:dyDescent="0.2">
      <c r="A4639" t="str">
        <f t="shared" si="1704"/>
        <v>0614054793</v>
      </c>
      <c r="B4639" t="str">
        <f t="shared" si="1705"/>
        <v>HOVENS</v>
      </c>
      <c r="C4639" t="str">
        <f t="shared" si="1706"/>
        <v>DORSAINT</v>
      </c>
      <c r="D4639">
        <f>11</f>
        <v>11</v>
      </c>
      <c r="E4639" t="str">
        <f>"06 - B - 104 - Nahum  Saint-Preux"</f>
        <v>06 - B - 104 - Nahum  Saint-Preux</v>
      </c>
      <c r="F4639" t="str">
        <f>"INTENS READ 3"</f>
        <v>INTENS READ 3</v>
      </c>
      <c r="G4639" t="str">
        <f>"17-1712"</f>
        <v>17-1712</v>
      </c>
      <c r="H4639" t="str">
        <f>"B"</f>
        <v>B</v>
      </c>
    </row>
    <row r="4640" spans="1:8" x14ac:dyDescent="0.2">
      <c r="A4640" t="str">
        <f t="shared" si="1704"/>
        <v>0614054793</v>
      </c>
      <c r="B4640" t="str">
        <f t="shared" si="1705"/>
        <v>HOVENS</v>
      </c>
      <c r="C4640" t="str">
        <f t="shared" si="1706"/>
        <v>DORSAINT</v>
      </c>
      <c r="D4640">
        <f>11</f>
        <v>11</v>
      </c>
      <c r="E4640" t="str">
        <f>"03 - A - 102 - Cliffon  Saurel"</f>
        <v>03 - A - 102 - Cliffon  Saurel</v>
      </c>
      <c r="F4640" t="str">
        <f>"PHYSICAL SCI"</f>
        <v>PHYSICAL SCI</v>
      </c>
      <c r="G4640" t="str">
        <f>"05-522"</f>
        <v>05-522</v>
      </c>
      <c r="H4640" t="str">
        <f>"A"</f>
        <v>A</v>
      </c>
    </row>
    <row r="4641" spans="1:8" x14ac:dyDescent="0.2">
      <c r="A4641" t="str">
        <f t="shared" si="1704"/>
        <v>0614054793</v>
      </c>
      <c r="B4641" t="str">
        <f t="shared" si="1705"/>
        <v>HOVENS</v>
      </c>
      <c r="C4641" t="str">
        <f t="shared" si="1706"/>
        <v>DORSAINT</v>
      </c>
      <c r="D4641">
        <f>11</f>
        <v>11</v>
      </c>
      <c r="E4641" t="str">
        <f>"02 - A - 117 - Kyle  Robbins"</f>
        <v>02 - A - 117 - Kyle  Robbins</v>
      </c>
      <c r="F4641" t="str">
        <f>"NC STUDY HALL 1"</f>
        <v>NC STUDY HALL 1</v>
      </c>
      <c r="G4641" t="str">
        <f>"17-1745"</f>
        <v>17-1745</v>
      </c>
      <c r="H4641" t="str">
        <f>"A"</f>
        <v>A</v>
      </c>
    </row>
    <row r="4642" spans="1:8" x14ac:dyDescent="0.2">
      <c r="A4642" t="str">
        <f t="shared" si="1704"/>
        <v>0614054793</v>
      </c>
      <c r="B4642" t="str">
        <f t="shared" si="1705"/>
        <v>HOVENS</v>
      </c>
      <c r="C4642" t="str">
        <f t="shared" si="1706"/>
        <v>DORSAINT</v>
      </c>
      <c r="D4642">
        <f>11</f>
        <v>11</v>
      </c>
      <c r="E4642" t="str">
        <f>"07 - B - 108 - Lauren N Logan"</f>
        <v>07 - B - 108 - Lauren N Logan</v>
      </c>
      <c r="F4642" t="str">
        <f>"US HISTORY"</f>
        <v>US HISTORY</v>
      </c>
      <c r="G4642" t="str">
        <f>"17-1745"</f>
        <v>17-1745</v>
      </c>
      <c r="H4642" t="str">
        <f>"B"</f>
        <v>B</v>
      </c>
    </row>
    <row r="4643" spans="1:8" x14ac:dyDescent="0.2">
      <c r="A4643" t="str">
        <f t="shared" si="1704"/>
        <v>0614054793</v>
      </c>
      <c r="B4643" t="str">
        <f t="shared" si="1705"/>
        <v>HOVENS</v>
      </c>
      <c r="C4643" t="str">
        <f t="shared" si="1706"/>
        <v>DORSAINT</v>
      </c>
      <c r="D4643">
        <f>11</f>
        <v>11</v>
      </c>
      <c r="E4643" t="str">
        <f>"05 - B - 104 - Lisa  Quinn"</f>
        <v>05 - B - 104 - Lisa  Quinn</v>
      </c>
      <c r="F4643" t="str">
        <f>"ENG 3"</f>
        <v>ENG 3</v>
      </c>
      <c r="G4643" t="str">
        <f>"17-1725"</f>
        <v>17-1725</v>
      </c>
      <c r="H4643" t="str">
        <f>"B"</f>
        <v>B</v>
      </c>
    </row>
    <row r="4644" spans="1:8" x14ac:dyDescent="0.2">
      <c r="A4644" t="str">
        <f t="shared" si="1704"/>
        <v>0614054793</v>
      </c>
      <c r="B4644" t="str">
        <f t="shared" si="1705"/>
        <v>HOVENS</v>
      </c>
      <c r="C4644" t="str">
        <f t="shared" si="1706"/>
        <v>DORSAINT</v>
      </c>
      <c r="D4644">
        <f>11</f>
        <v>11</v>
      </c>
      <c r="E4644" t="str">
        <f>"01 - A - 101 - Joe  Kilpatrick Jr"</f>
        <v>01 - A - 101 - Joe  Kilpatrick Jr</v>
      </c>
      <c r="F4644" t="str">
        <f>"PRE-AICE SPAN 1 IG"</f>
        <v>PRE-AICE SPAN 1 IG</v>
      </c>
      <c r="G4644" t="str">
        <f>"09-912"</f>
        <v>09-912</v>
      </c>
      <c r="H4644" t="str">
        <f>"A"</f>
        <v>A</v>
      </c>
    </row>
    <row r="4645" spans="1:8" x14ac:dyDescent="0.2">
      <c r="A4645" t="str">
        <f t="shared" si="1704"/>
        <v>0614054793</v>
      </c>
      <c r="B4645" t="str">
        <f t="shared" si="1705"/>
        <v>HOVENS</v>
      </c>
      <c r="C4645" t="str">
        <f t="shared" si="1706"/>
        <v>DORSAINT</v>
      </c>
      <c r="D4645">
        <f>11</f>
        <v>11</v>
      </c>
      <c r="E4645" t="str">
        <f>"08 - S1 - B - 104 - Richard E Dunbar Iii"</f>
        <v>08 - S1 - B - 104 - Richard E Dunbar Iii</v>
      </c>
      <c r="F4645" t="str">
        <f>"WEIGHT TRAIN 3"</f>
        <v>WEIGHT TRAIN 3</v>
      </c>
      <c r="G4645" t="str">
        <f>"05-501"</f>
        <v>05-501</v>
      </c>
      <c r="H4645" t="str">
        <f>"B"</f>
        <v>B</v>
      </c>
    </row>
    <row r="4646" spans="1:8" x14ac:dyDescent="0.2">
      <c r="A4646" t="str">
        <f t="shared" ref="A4646:A4653" si="1707">"0617009361"</f>
        <v>0617009361</v>
      </c>
      <c r="B4646" t="str">
        <f t="shared" ref="B4646:B4653" si="1708">"JULCIA"</f>
        <v>JULCIA</v>
      </c>
      <c r="C4646" t="str">
        <f t="shared" si="1706"/>
        <v>DORSAINT</v>
      </c>
      <c r="D4646" t="str">
        <f t="shared" ref="D4646:D4653" si="1709">"09"</f>
        <v>09</v>
      </c>
      <c r="E4646" t="str">
        <f>"04 - A - 105 - Carol S Moore"</f>
        <v>04 - A - 105 - Carol S Moore</v>
      </c>
      <c r="F4646" t="str">
        <f>"PRE-AICE WRLD HST IG"</f>
        <v>PRE-AICE WRLD HST IG</v>
      </c>
      <c r="G4646" t="str">
        <f>"17-1733"</f>
        <v>17-1733</v>
      </c>
      <c r="H4646" t="str">
        <f>"A"</f>
        <v>A</v>
      </c>
    </row>
    <row r="4647" spans="1:8" x14ac:dyDescent="0.2">
      <c r="A4647" t="str">
        <f t="shared" si="1707"/>
        <v>0617009361</v>
      </c>
      <c r="B4647" t="str">
        <f t="shared" si="1708"/>
        <v>JULCIA</v>
      </c>
      <c r="C4647" t="str">
        <f t="shared" si="1706"/>
        <v>DORSAINT</v>
      </c>
      <c r="D4647" t="str">
        <f t="shared" si="1709"/>
        <v>09</v>
      </c>
      <c r="E4647" t="str">
        <f>"06 - B - 102 - Angela S Adeshina-Morrison"</f>
        <v>06 - B - 102 - Angela S Adeshina-Morrison</v>
      </c>
      <c r="F4647" t="str">
        <f>"MARKETING ESSENTIALS"</f>
        <v>MARKETING ESSENTIALS</v>
      </c>
      <c r="G4647" t="str">
        <f>"05-518"</f>
        <v>05-518</v>
      </c>
      <c r="H4647" t="str">
        <f>"B"</f>
        <v>B</v>
      </c>
    </row>
    <row r="4648" spans="1:8" x14ac:dyDescent="0.2">
      <c r="A4648" t="str">
        <f t="shared" si="1707"/>
        <v>0617009361</v>
      </c>
      <c r="B4648" t="str">
        <f t="shared" si="1708"/>
        <v>JULCIA</v>
      </c>
      <c r="C4648" t="str">
        <f t="shared" si="1706"/>
        <v>DORSAINT</v>
      </c>
      <c r="D4648" t="str">
        <f t="shared" si="1709"/>
        <v>09</v>
      </c>
      <c r="E4648" t="str">
        <f>"03 - A - 001 - Maried P Ramos"</f>
        <v>03 - A - 001 - Maried P Ramos</v>
      </c>
      <c r="F4648" t="str">
        <f>"PRE-AICE MATH 2 IG"</f>
        <v>PRE-AICE MATH 2 IG</v>
      </c>
      <c r="G4648" t="str">
        <f>"21-2159"</f>
        <v>21-2159</v>
      </c>
      <c r="H4648" t="str">
        <f>"A"</f>
        <v>A</v>
      </c>
    </row>
    <row r="4649" spans="1:8" x14ac:dyDescent="0.2">
      <c r="A4649" t="str">
        <f t="shared" si="1707"/>
        <v>0617009361</v>
      </c>
      <c r="B4649" t="str">
        <f t="shared" si="1708"/>
        <v>JULCIA</v>
      </c>
      <c r="C4649" t="str">
        <f t="shared" si="1706"/>
        <v>DORSAINT</v>
      </c>
      <c r="D4649" t="str">
        <f t="shared" si="1709"/>
        <v>09</v>
      </c>
      <c r="E4649" t="str">
        <f>"02 - A - 106 - Helen A Flores"</f>
        <v>02 - A - 106 - Helen A Flores</v>
      </c>
      <c r="F4649" t="str">
        <f>"NC STUDY HALL 1"</f>
        <v>NC STUDY HALL 1</v>
      </c>
      <c r="G4649" t="str">
        <f>"21-2101"</f>
        <v>21-2101</v>
      </c>
      <c r="H4649" t="str">
        <f>"A"</f>
        <v>A</v>
      </c>
    </row>
    <row r="4650" spans="1:8" x14ac:dyDescent="0.2">
      <c r="A4650" t="str">
        <f t="shared" si="1707"/>
        <v>0617009361</v>
      </c>
      <c r="B4650" t="str">
        <f t="shared" si="1708"/>
        <v>JULCIA</v>
      </c>
      <c r="C4650" t="str">
        <f t="shared" si="1706"/>
        <v>DORSAINT</v>
      </c>
      <c r="D4650" t="str">
        <f t="shared" si="1709"/>
        <v>09</v>
      </c>
      <c r="E4650" t="str">
        <f>"07 - B - 101 - Samantha L Martinez"</f>
        <v>07 - B - 101 - Samantha L Martinez</v>
      </c>
      <c r="F4650" t="str">
        <f>"KEYBD 1"</f>
        <v>KEYBD 1</v>
      </c>
      <c r="G4650" t="str">
        <f>"05-505"</f>
        <v>05-505</v>
      </c>
      <c r="H4650" t="str">
        <f>"B"</f>
        <v>B</v>
      </c>
    </row>
    <row r="4651" spans="1:8" x14ac:dyDescent="0.2">
      <c r="A4651" t="str">
        <f t="shared" si="1707"/>
        <v>0617009361</v>
      </c>
      <c r="B4651" t="str">
        <f t="shared" si="1708"/>
        <v>JULCIA</v>
      </c>
      <c r="C4651" t="str">
        <f t="shared" si="1706"/>
        <v>DORSAINT</v>
      </c>
      <c r="D4651" t="str">
        <f t="shared" si="1709"/>
        <v>09</v>
      </c>
      <c r="E4651" t="str">
        <f>"05 - B - 002 - Cheryl Anne  Berman-Schechter"</f>
        <v>05 - B - 002 - Cheryl Anne  Berman-Schechter</v>
      </c>
      <c r="F4651" t="str">
        <f>"AICE ENG GEN PAPER 1"</f>
        <v>AICE ENG GEN PAPER 1</v>
      </c>
      <c r="G4651" t="str">
        <f>"17-1722"</f>
        <v>17-1722</v>
      </c>
      <c r="H4651" t="str">
        <f>"B"</f>
        <v>B</v>
      </c>
    </row>
    <row r="4652" spans="1:8" x14ac:dyDescent="0.2">
      <c r="A4652" t="str">
        <f t="shared" si="1707"/>
        <v>0617009361</v>
      </c>
      <c r="B4652" t="str">
        <f t="shared" si="1708"/>
        <v>JULCIA</v>
      </c>
      <c r="C4652" t="str">
        <f t="shared" si="1706"/>
        <v>DORSAINT</v>
      </c>
      <c r="D4652" t="str">
        <f t="shared" si="1709"/>
        <v>09</v>
      </c>
      <c r="E4652" t="str">
        <f>"01 - A - 101 - Marius D Orsolini"</f>
        <v>01 - A - 101 - Marius D Orsolini</v>
      </c>
      <c r="F4652" t="str">
        <f>"CULINARY ARTS 1"</f>
        <v>CULINARY ARTS 1</v>
      </c>
      <c r="G4652" t="str">
        <f>"21-2115"</f>
        <v>21-2115</v>
      </c>
      <c r="H4652" t="str">
        <f>"A"</f>
        <v>A</v>
      </c>
    </row>
    <row r="4653" spans="1:8" x14ac:dyDescent="0.2">
      <c r="A4653" t="str">
        <f t="shared" si="1707"/>
        <v>0617009361</v>
      </c>
      <c r="B4653" t="str">
        <f t="shared" si="1708"/>
        <v>JULCIA</v>
      </c>
      <c r="C4653" t="str">
        <f t="shared" si="1706"/>
        <v>DORSAINT</v>
      </c>
      <c r="D4653" t="str">
        <f t="shared" si="1709"/>
        <v>09</v>
      </c>
      <c r="E4653" t="str">
        <f>"08 - B - 103 - Jeanne M Bermudez"</f>
        <v>08 - B - 103 - Jeanne M Bermudez</v>
      </c>
      <c r="F4653" t="str">
        <f>"ADVANCED IT HON"</f>
        <v>ADVANCED IT HON</v>
      </c>
      <c r="G4653" t="str">
        <f>"21-2141"</f>
        <v>21-2141</v>
      </c>
      <c r="H4653" t="str">
        <f>"B"</f>
        <v>B</v>
      </c>
    </row>
    <row r="4654" spans="1:8" x14ac:dyDescent="0.2">
      <c r="A4654" t="str">
        <f t="shared" ref="A4654:A4661" si="1710">"0615031078"</f>
        <v>0615031078</v>
      </c>
      <c r="B4654" t="str">
        <f t="shared" ref="B4654:B4661" si="1711">"DARIUS"</f>
        <v>DARIUS</v>
      </c>
      <c r="C4654" t="str">
        <f t="shared" ref="C4654:C4661" si="1712">"DORVAL"</f>
        <v>DORVAL</v>
      </c>
      <c r="D4654">
        <f>11</f>
        <v>11</v>
      </c>
      <c r="E4654" t="str">
        <f>"04 - S1 - A - 101 - Leslie J Barton"</f>
        <v>04 - S1 - A - 101 - Leslie J Barton</v>
      </c>
      <c r="F4654" t="str">
        <f>"TEAM SPORTS 1"</f>
        <v>TEAM SPORTS 1</v>
      </c>
      <c r="G4654" t="str">
        <f>"04-254"</f>
        <v>04-254</v>
      </c>
      <c r="H4654" t="str">
        <f>"A"</f>
        <v>A</v>
      </c>
    </row>
    <row r="4655" spans="1:8" x14ac:dyDescent="0.2">
      <c r="A4655" t="str">
        <f t="shared" si="1710"/>
        <v>0615031078</v>
      </c>
      <c r="B4655" t="str">
        <f t="shared" si="1711"/>
        <v>DARIUS</v>
      </c>
      <c r="C4655" t="str">
        <f t="shared" si="1712"/>
        <v>DORVAL</v>
      </c>
      <c r="D4655">
        <f>11</f>
        <v>11</v>
      </c>
      <c r="E4655" t="str">
        <f>"06 - S1 - B - 104 - Leslie J Barton"</f>
        <v>06 - S1 - B - 104 - Leslie J Barton</v>
      </c>
      <c r="F4655" t="str">
        <f>"FIRST AID SAFETY"</f>
        <v>FIRST AID SAFETY</v>
      </c>
      <c r="G4655" t="str">
        <f>"05-521"</f>
        <v>05-521</v>
      </c>
      <c r="H4655" t="str">
        <f>"B"</f>
        <v>B</v>
      </c>
    </row>
    <row r="4656" spans="1:8" x14ac:dyDescent="0.2">
      <c r="A4656" t="str">
        <f t="shared" si="1710"/>
        <v>0615031078</v>
      </c>
      <c r="B4656" t="str">
        <f t="shared" si="1711"/>
        <v>DARIUS</v>
      </c>
      <c r="C4656" t="str">
        <f t="shared" si="1712"/>
        <v>DORVAL</v>
      </c>
      <c r="D4656">
        <f>11</f>
        <v>11</v>
      </c>
      <c r="E4656" t="str">
        <f>"03 - A - 208 - Marielle A Witting"</f>
        <v>03 - A - 208 - Marielle A Witting</v>
      </c>
      <c r="F4656" t="str">
        <f>"ANAT PHYSIO"</f>
        <v>ANAT PHYSIO</v>
      </c>
      <c r="G4656" t="str">
        <f>"08-805"</f>
        <v>08-805</v>
      </c>
      <c r="H4656" t="str">
        <f>"A"</f>
        <v>A</v>
      </c>
    </row>
    <row r="4657" spans="1:8" x14ac:dyDescent="0.2">
      <c r="A4657" t="str">
        <f t="shared" si="1710"/>
        <v>0615031078</v>
      </c>
      <c r="B4657" t="str">
        <f t="shared" si="1711"/>
        <v>DARIUS</v>
      </c>
      <c r="C4657" t="str">
        <f t="shared" si="1712"/>
        <v>DORVAL</v>
      </c>
      <c r="D4657">
        <f>11</f>
        <v>11</v>
      </c>
      <c r="E4657" t="str">
        <f>"02 - A - 106 - Heidi M Knopp"</f>
        <v>02 - A - 106 - Heidi M Knopp</v>
      </c>
      <c r="F4657" t="str">
        <f>"NC STUDY HALL 1"</f>
        <v>NC STUDY HALL 1</v>
      </c>
      <c r="G4657" t="str">
        <f>"17-1735"</f>
        <v>17-1735</v>
      </c>
      <c r="H4657" t="str">
        <f>"A"</f>
        <v>A</v>
      </c>
    </row>
    <row r="4658" spans="1:8" x14ac:dyDescent="0.2">
      <c r="A4658" t="str">
        <f t="shared" si="1710"/>
        <v>0615031078</v>
      </c>
      <c r="B4658" t="str">
        <f t="shared" si="1711"/>
        <v>DARIUS</v>
      </c>
      <c r="C4658" t="str">
        <f t="shared" si="1712"/>
        <v>DORVAL</v>
      </c>
      <c r="D4658">
        <f>11</f>
        <v>11</v>
      </c>
      <c r="E4658" t="str">
        <f>"07 - B - 202 - Chrystina M Marchionne"</f>
        <v>07 - B - 202 - Chrystina M Marchionne</v>
      </c>
      <c r="F4658" t="str">
        <f>"JOURN 1 (YB) LH"</f>
        <v>JOURN 1 (YB) LH</v>
      </c>
      <c r="G4658" t="str">
        <f>"05-520"</f>
        <v>05-520</v>
      </c>
      <c r="H4658" t="str">
        <f>"B"</f>
        <v>B</v>
      </c>
    </row>
    <row r="4659" spans="1:8" x14ac:dyDescent="0.2">
      <c r="A4659" t="str">
        <f t="shared" si="1710"/>
        <v>0615031078</v>
      </c>
      <c r="B4659" t="str">
        <f t="shared" si="1711"/>
        <v>DARIUS</v>
      </c>
      <c r="C4659" t="str">
        <f t="shared" si="1712"/>
        <v>DORVAL</v>
      </c>
      <c r="D4659">
        <f>11</f>
        <v>11</v>
      </c>
      <c r="E4659" t="str">
        <f>"05 - B - 109 - Ferrie J Arostique"</f>
        <v>05 - B - 109 - Ferrie J Arostique</v>
      </c>
      <c r="F4659" t="str">
        <f>"GEOMETRY"</f>
        <v>GEOMETRY</v>
      </c>
      <c r="G4659" t="str">
        <f>"21-2139"</f>
        <v>21-2139</v>
      </c>
      <c r="H4659" t="str">
        <f>"B"</f>
        <v>B</v>
      </c>
    </row>
    <row r="4660" spans="1:8" x14ac:dyDescent="0.2">
      <c r="A4660" t="str">
        <f t="shared" si="1710"/>
        <v>0615031078</v>
      </c>
      <c r="B4660" t="str">
        <f t="shared" si="1711"/>
        <v>DARIUS</v>
      </c>
      <c r="C4660" t="str">
        <f t="shared" si="1712"/>
        <v>DORVAL</v>
      </c>
      <c r="D4660">
        <f>11</f>
        <v>11</v>
      </c>
      <c r="E4660" t="str">
        <f>"01 - A - 101 - Lisa  Quinn"</f>
        <v>01 - A - 101 - Lisa  Quinn</v>
      </c>
      <c r="F4660" t="str">
        <f>"ENG 3"</f>
        <v>ENG 3</v>
      </c>
      <c r="G4660" t="str">
        <f>"17-1725"</f>
        <v>17-1725</v>
      </c>
      <c r="H4660" t="str">
        <f>"A"</f>
        <v>A</v>
      </c>
    </row>
    <row r="4661" spans="1:8" x14ac:dyDescent="0.2">
      <c r="A4661" t="str">
        <f t="shared" si="1710"/>
        <v>0615031078</v>
      </c>
      <c r="B4661" t="str">
        <f t="shared" si="1711"/>
        <v>DARIUS</v>
      </c>
      <c r="C4661" t="str">
        <f t="shared" si="1712"/>
        <v>DORVAL</v>
      </c>
      <c r="D4661">
        <f>11</f>
        <v>11</v>
      </c>
      <c r="E4661" t="str">
        <f>"08 - B - 109 - Lauren N Logan"</f>
        <v>08 - B - 109 - Lauren N Logan</v>
      </c>
      <c r="F4661" t="str">
        <f>"US HISTORY"</f>
        <v>US HISTORY</v>
      </c>
      <c r="G4661" t="str">
        <f>"17-1754"</f>
        <v>17-1754</v>
      </c>
      <c r="H4661" t="str">
        <f>"B"</f>
        <v>B</v>
      </c>
    </row>
    <row r="4662" spans="1:8" x14ac:dyDescent="0.2">
      <c r="A4662" t="str">
        <f t="shared" ref="A4662:A4669" si="1713">"0615115428"</f>
        <v>0615115428</v>
      </c>
      <c r="B4662" t="str">
        <f t="shared" ref="B4662:B4669" si="1714">"NYLA"</f>
        <v>NYLA</v>
      </c>
      <c r="C4662" t="str">
        <f t="shared" ref="C4662:C4669" si="1715">"DORWIN"</f>
        <v>DORWIN</v>
      </c>
      <c r="D4662" t="str">
        <f t="shared" ref="D4662:D4669" si="1716">"09"</f>
        <v>09</v>
      </c>
      <c r="E4662" t="str">
        <f>"04 - A - 101 - Chrystina M Marchionne"</f>
        <v>04 - A - 101 - Chrystina M Marchionne</v>
      </c>
      <c r="F4662" t="str">
        <f>"THEA CIN &amp; FILM LH"</f>
        <v>THEA CIN &amp; FILM LH</v>
      </c>
      <c r="G4662" t="str">
        <f>"05-520"</f>
        <v>05-520</v>
      </c>
      <c r="H4662" t="str">
        <f>"A"</f>
        <v>A</v>
      </c>
    </row>
    <row r="4663" spans="1:8" x14ac:dyDescent="0.2">
      <c r="A4663" t="str">
        <f t="shared" si="1713"/>
        <v>0615115428</v>
      </c>
      <c r="B4663" t="str">
        <f t="shared" si="1714"/>
        <v>NYLA</v>
      </c>
      <c r="C4663" t="str">
        <f t="shared" si="1715"/>
        <v>DORWIN</v>
      </c>
      <c r="D4663" t="str">
        <f t="shared" si="1716"/>
        <v>09</v>
      </c>
      <c r="E4663" t="str">
        <f>"06 - B - 105 - Cerine S Stewart"</f>
        <v>06 - B - 105 - Cerine S Stewart</v>
      </c>
      <c r="F4663" t="str">
        <f>"AICE ENG GEN PAPER 1"</f>
        <v>AICE ENG GEN PAPER 1</v>
      </c>
      <c r="G4663" t="str">
        <f>"17-1720"</f>
        <v>17-1720</v>
      </c>
      <c r="H4663" t="str">
        <f>"B"</f>
        <v>B</v>
      </c>
    </row>
    <row r="4664" spans="1:8" x14ac:dyDescent="0.2">
      <c r="A4664" t="str">
        <f t="shared" si="1713"/>
        <v>0615115428</v>
      </c>
      <c r="B4664" t="str">
        <f t="shared" si="1714"/>
        <v>NYLA</v>
      </c>
      <c r="C4664" t="str">
        <f t="shared" si="1715"/>
        <v>DORWIN</v>
      </c>
      <c r="D4664" t="str">
        <f t="shared" si="1716"/>
        <v>09</v>
      </c>
      <c r="E4664" t="str">
        <f>"03 - A - 201 - Joe  Kilpatrick Jr"</f>
        <v>03 - A - 201 - Joe  Kilpatrick Jr</v>
      </c>
      <c r="F4664" t="str">
        <f>"PRE-AICE SPAN 2 IG"</f>
        <v>PRE-AICE SPAN 2 IG</v>
      </c>
      <c r="G4664" t="str">
        <f>"09-912"</f>
        <v>09-912</v>
      </c>
      <c r="H4664" t="str">
        <f>"A"</f>
        <v>A</v>
      </c>
    </row>
    <row r="4665" spans="1:8" x14ac:dyDescent="0.2">
      <c r="A4665" t="str">
        <f t="shared" si="1713"/>
        <v>0615115428</v>
      </c>
      <c r="B4665" t="str">
        <f t="shared" si="1714"/>
        <v>NYLA</v>
      </c>
      <c r="C4665" t="str">
        <f t="shared" si="1715"/>
        <v>DORWIN</v>
      </c>
      <c r="D4665" t="str">
        <f t="shared" si="1716"/>
        <v>09</v>
      </c>
      <c r="E4665" t="str">
        <f>"02 - A - 115 - Lourivaldo  Da Silva"</f>
        <v>02 - A - 115 - Lourivaldo  Da Silva</v>
      </c>
      <c r="F4665" t="str">
        <f>"NC STUDY HALL 1"</f>
        <v>NC STUDY HALL 1</v>
      </c>
      <c r="G4665" t="str">
        <f>"20-2079"</f>
        <v>20-2079</v>
      </c>
      <c r="H4665" t="str">
        <f>"A"</f>
        <v>A</v>
      </c>
    </row>
    <row r="4666" spans="1:8" x14ac:dyDescent="0.2">
      <c r="A4666" t="str">
        <f t="shared" si="1713"/>
        <v>0615115428</v>
      </c>
      <c r="B4666" t="str">
        <f t="shared" si="1714"/>
        <v>NYLA</v>
      </c>
      <c r="C4666" t="str">
        <f t="shared" si="1715"/>
        <v>DORWIN</v>
      </c>
      <c r="D4666" t="str">
        <f t="shared" si="1716"/>
        <v>09</v>
      </c>
      <c r="E4666" t="str">
        <f>"07 - B - 105 - Paige Lauren  Brochu"</f>
        <v>07 - B - 105 - Paige Lauren  Brochu</v>
      </c>
      <c r="F4666" t="str">
        <f>"PRE-AICE BIO IG"</f>
        <v>PRE-AICE BIO IG</v>
      </c>
      <c r="G4666" t="str">
        <f>"21-2134"</f>
        <v>21-2134</v>
      </c>
      <c r="H4666" t="str">
        <f>"B"</f>
        <v>B</v>
      </c>
    </row>
    <row r="4667" spans="1:8" x14ac:dyDescent="0.2">
      <c r="A4667" t="str">
        <f t="shared" si="1713"/>
        <v>0615115428</v>
      </c>
      <c r="B4667" t="str">
        <f t="shared" si="1714"/>
        <v>NYLA</v>
      </c>
      <c r="C4667" t="str">
        <f t="shared" si="1715"/>
        <v>DORWIN</v>
      </c>
      <c r="D4667" t="str">
        <f t="shared" si="1716"/>
        <v>09</v>
      </c>
      <c r="E4667" t="str">
        <f>"05 - B - 103 - Brook E Goren"</f>
        <v>05 - B - 103 - Brook E Goren</v>
      </c>
      <c r="F4667" t="str">
        <f>"PRE-AICE MATH 2 IG"</f>
        <v>PRE-AICE MATH 2 IG</v>
      </c>
      <c r="G4667" t="str">
        <f>"21-2158"</f>
        <v>21-2158</v>
      </c>
      <c r="H4667" t="str">
        <f>"B"</f>
        <v>B</v>
      </c>
    </row>
    <row r="4668" spans="1:8" x14ac:dyDescent="0.2">
      <c r="A4668" t="str">
        <f t="shared" si="1713"/>
        <v>0615115428</v>
      </c>
      <c r="B4668" t="str">
        <f t="shared" si="1714"/>
        <v>NYLA</v>
      </c>
      <c r="C4668" t="str">
        <f t="shared" si="1715"/>
        <v>DORWIN</v>
      </c>
      <c r="D4668" t="str">
        <f t="shared" si="1716"/>
        <v>09</v>
      </c>
      <c r="E4668" t="str">
        <f>"01 - A - 101 - Rory T Sponsler"</f>
        <v>01 - A - 101 - Rory T Sponsler</v>
      </c>
      <c r="F4668" t="str">
        <f>"PRE-AICE WRLD HST IG"</f>
        <v>PRE-AICE WRLD HST IG</v>
      </c>
      <c r="G4668" t="str">
        <f>"17-1740"</f>
        <v>17-1740</v>
      </c>
      <c r="H4668" t="str">
        <f>"A"</f>
        <v>A</v>
      </c>
    </row>
    <row r="4669" spans="1:8" x14ac:dyDescent="0.2">
      <c r="A4669" t="str">
        <f t="shared" si="1713"/>
        <v>0615115428</v>
      </c>
      <c r="B4669" t="str">
        <f t="shared" si="1714"/>
        <v>NYLA</v>
      </c>
      <c r="C4669" t="str">
        <f t="shared" si="1715"/>
        <v>DORWIN</v>
      </c>
      <c r="D4669" t="str">
        <f t="shared" si="1716"/>
        <v>09</v>
      </c>
      <c r="E4669" t="str">
        <f>"08 - B - 001 - Chrystina M Marchionne"</f>
        <v>08 - B - 001 - Chrystina M Marchionne</v>
      </c>
      <c r="F4669" t="str">
        <f>"JOURN 1 (YB) LH"</f>
        <v>JOURN 1 (YB) LH</v>
      </c>
      <c r="G4669" t="str">
        <f>"05-520"</f>
        <v>05-520</v>
      </c>
      <c r="H4669" t="str">
        <f>"B"</f>
        <v>B</v>
      </c>
    </row>
    <row r="4670" spans="1:8" x14ac:dyDescent="0.2">
      <c r="A4670" t="str">
        <f t="shared" ref="A4670:A4677" si="1717">"0623102427"</f>
        <v>0623102427</v>
      </c>
      <c r="B4670" t="str">
        <f t="shared" ref="B4670:B4677" si="1718">"JOB"</f>
        <v>JOB</v>
      </c>
      <c r="C4670" t="str">
        <f t="shared" ref="C4670:C4677" si="1719">"DOWNS"</f>
        <v>DOWNS</v>
      </c>
      <c r="D4670">
        <f>10</f>
        <v>10</v>
      </c>
      <c r="E4670" t="str">
        <f>"04 - A - 106 - Marielle A Witting"</f>
        <v>04 - A - 106 - Marielle A Witting</v>
      </c>
      <c r="F4670" t="str">
        <f>"ANAT PHYSIO"</f>
        <v>ANAT PHYSIO</v>
      </c>
      <c r="G4670" t="str">
        <f>"08-805"</f>
        <v>08-805</v>
      </c>
      <c r="H4670" t="str">
        <f>"A"</f>
        <v>A</v>
      </c>
    </row>
    <row r="4671" spans="1:8" x14ac:dyDescent="0.2">
      <c r="A4671" t="str">
        <f t="shared" si="1717"/>
        <v>0623102427</v>
      </c>
      <c r="B4671" t="str">
        <f t="shared" si="1718"/>
        <v>JOB</v>
      </c>
      <c r="C4671" t="str">
        <f t="shared" si="1719"/>
        <v>DOWNS</v>
      </c>
      <c r="D4671">
        <f>10</f>
        <v>10</v>
      </c>
      <c r="E4671" t="str">
        <f>"06 - B - 114 - Richard E Dunbar Iii"</f>
        <v>06 - B - 114 - Richard E Dunbar Iii</v>
      </c>
      <c r="F4671" t="str">
        <f>"NC STUDY HALL 1"</f>
        <v>NC STUDY HALL 1</v>
      </c>
      <c r="G4671" t="str">
        <f>"17-1703"</f>
        <v>17-1703</v>
      </c>
      <c r="H4671" t="str">
        <f>"B"</f>
        <v>B</v>
      </c>
    </row>
    <row r="4672" spans="1:8" x14ac:dyDescent="0.2">
      <c r="A4672" t="str">
        <f t="shared" si="1717"/>
        <v>0623102427</v>
      </c>
      <c r="B4672" t="str">
        <f t="shared" si="1718"/>
        <v>JOB</v>
      </c>
      <c r="C4672" t="str">
        <f t="shared" si="1719"/>
        <v>DOWNS</v>
      </c>
      <c r="D4672">
        <f>10</f>
        <v>10</v>
      </c>
      <c r="E4672" t="str">
        <f>"03 - S1 - A - 101 - Arthur  Kulawik"</f>
        <v>03 - S1 - A - 101 - Arthur  Kulawik</v>
      </c>
      <c r="F4672" t="str">
        <f>"PERS FIN &amp; MON MGT H"</f>
        <v>PERS FIN &amp; MON MGT H</v>
      </c>
      <c r="G4672" t="str">
        <f>"05-506"</f>
        <v>05-506</v>
      </c>
      <c r="H4672" t="str">
        <f>"A"</f>
        <v>A</v>
      </c>
    </row>
    <row r="4673" spans="1:8" x14ac:dyDescent="0.2">
      <c r="A4673" t="str">
        <f t="shared" si="1717"/>
        <v>0623102427</v>
      </c>
      <c r="B4673" t="str">
        <f t="shared" si="1718"/>
        <v>JOB</v>
      </c>
      <c r="C4673" t="str">
        <f t="shared" si="1719"/>
        <v>DOWNS</v>
      </c>
      <c r="D4673">
        <f>10</f>
        <v>10</v>
      </c>
      <c r="E4673" t="str">
        <f>"02 - A - 001 - Alejandro  Navarro"</f>
        <v>02 - A - 001 - Alejandro  Navarro</v>
      </c>
      <c r="F4673" t="str">
        <f>"BAND 1"</f>
        <v>BAND 1</v>
      </c>
      <c r="G4673" t="str">
        <f>"05-504"</f>
        <v>05-504</v>
      </c>
      <c r="H4673" t="str">
        <f>"A"</f>
        <v>A</v>
      </c>
    </row>
    <row r="4674" spans="1:8" x14ac:dyDescent="0.2">
      <c r="A4674" t="str">
        <f t="shared" si="1717"/>
        <v>0623102427</v>
      </c>
      <c r="B4674" t="str">
        <f t="shared" si="1718"/>
        <v>JOB</v>
      </c>
      <c r="C4674" t="str">
        <f t="shared" si="1719"/>
        <v>DOWNS</v>
      </c>
      <c r="D4674">
        <f>10</f>
        <v>10</v>
      </c>
      <c r="E4674" t="str">
        <f>"07 - B - 102 - Nikiel  Nesbeth"</f>
        <v>07 - B - 102 - Nikiel  Nesbeth</v>
      </c>
      <c r="F4674" t="str">
        <f>"PRE-AICE ENG LIT IG"</f>
        <v>PRE-AICE ENG LIT IG</v>
      </c>
      <c r="G4674" t="str">
        <f>"17-1705"</f>
        <v>17-1705</v>
      </c>
      <c r="H4674" t="str">
        <f>"B"</f>
        <v>B</v>
      </c>
    </row>
    <row r="4675" spans="1:8" x14ac:dyDescent="0.2">
      <c r="A4675" t="str">
        <f t="shared" si="1717"/>
        <v>0623102427</v>
      </c>
      <c r="B4675" t="str">
        <f t="shared" si="1718"/>
        <v>JOB</v>
      </c>
      <c r="C4675" t="str">
        <f t="shared" si="1719"/>
        <v>DOWNS</v>
      </c>
      <c r="D4675">
        <f>10</f>
        <v>10</v>
      </c>
      <c r="E4675" t="str">
        <f>"05 - B - 103 - Rory T Sponsler"</f>
        <v>05 - B - 103 - Rory T Sponsler</v>
      </c>
      <c r="F4675" t="str">
        <f>"PRE-AICE WRLD HST IG"</f>
        <v>PRE-AICE WRLD HST IG</v>
      </c>
      <c r="G4675" t="str">
        <f>"17-1740"</f>
        <v>17-1740</v>
      </c>
      <c r="H4675" t="str">
        <f>"B"</f>
        <v>B</v>
      </c>
    </row>
    <row r="4676" spans="1:8" x14ac:dyDescent="0.2">
      <c r="A4676" t="str">
        <f t="shared" si="1717"/>
        <v>0623102427</v>
      </c>
      <c r="B4676" t="str">
        <f t="shared" si="1718"/>
        <v>JOB</v>
      </c>
      <c r="C4676" t="str">
        <f t="shared" si="1719"/>
        <v>DOWNS</v>
      </c>
      <c r="D4676">
        <f>10</f>
        <v>10</v>
      </c>
      <c r="E4676" t="str">
        <f>"01 - A - 101 - Lourivaldo  Da Silva"</f>
        <v>01 - A - 101 - Lourivaldo  Da Silva</v>
      </c>
      <c r="F4676" t="str">
        <f>"ALGEBRA 2 HON"</f>
        <v>ALGEBRA 2 HON</v>
      </c>
      <c r="G4676" t="str">
        <f>"20-2079"</f>
        <v>20-2079</v>
      </c>
      <c r="H4676" t="str">
        <f>"A"</f>
        <v>A</v>
      </c>
    </row>
    <row r="4677" spans="1:8" x14ac:dyDescent="0.2">
      <c r="A4677" t="str">
        <f t="shared" si="1717"/>
        <v>0623102427</v>
      </c>
      <c r="B4677" t="str">
        <f t="shared" si="1718"/>
        <v>JOB</v>
      </c>
      <c r="C4677" t="str">
        <f t="shared" si="1719"/>
        <v>DOWNS</v>
      </c>
      <c r="D4677">
        <f>10</f>
        <v>10</v>
      </c>
      <c r="E4677" t="str">
        <f>"08 - B - 102 - Robert H Rindner"</f>
        <v>08 - B - 102 - Robert H Rindner</v>
      </c>
      <c r="F4677" t="str">
        <f>"TV PRODUCTION TECH 1"</f>
        <v>TV PRODUCTION TECH 1</v>
      </c>
      <c r="G4677" t="str">
        <f>"21-2160"</f>
        <v>21-2160</v>
      </c>
      <c r="H4677" t="str">
        <f>"B"</f>
        <v>B</v>
      </c>
    </row>
    <row r="4678" spans="1:8" x14ac:dyDescent="0.2">
      <c r="A4678" t="str">
        <f t="shared" ref="A4678:A4685" si="1720">"0623118987"</f>
        <v>0623118987</v>
      </c>
      <c r="B4678" t="str">
        <f t="shared" ref="B4678:B4685" si="1721">"MARIAH CLARA"</f>
        <v>MARIAH CLARA</v>
      </c>
      <c r="C4678" t="str">
        <f t="shared" ref="C4678:C4685" si="1722">"DUARTE"</f>
        <v>DUARTE</v>
      </c>
      <c r="D4678">
        <f>12</f>
        <v>12</v>
      </c>
      <c r="E4678" t="str">
        <f>"04 - A - 101 - Stefanie S Scher"</f>
        <v>04 - A - 101 - Stefanie S Scher</v>
      </c>
      <c r="F4678" t="str">
        <f>"AP PSYCH"</f>
        <v>AP PSYCH</v>
      </c>
      <c r="G4678" t="str">
        <f>"17-1735"</f>
        <v>17-1735</v>
      </c>
      <c r="H4678" t="str">
        <f>"A"</f>
        <v>A</v>
      </c>
    </row>
    <row r="4679" spans="1:8" x14ac:dyDescent="0.2">
      <c r="A4679" t="str">
        <f t="shared" si="1720"/>
        <v>0623118987</v>
      </c>
      <c r="B4679" t="str">
        <f t="shared" si="1721"/>
        <v>MARIAH CLARA</v>
      </c>
      <c r="C4679" t="str">
        <f t="shared" si="1722"/>
        <v>DUARTE</v>
      </c>
      <c r="D4679">
        <f>12</f>
        <v>12</v>
      </c>
      <c r="E4679" t="str">
        <f>"06 - B - 107 - Pamela M Corzo"</f>
        <v>06 - B - 107 - Pamela M Corzo</v>
      </c>
      <c r="F4679" t="str">
        <f>"NC STUDY HALL 1"</f>
        <v>NC STUDY HALL 1</v>
      </c>
      <c r="G4679" t="str">
        <f>"21-2133"</f>
        <v>21-2133</v>
      </c>
      <c r="H4679" t="str">
        <f>"B"</f>
        <v>B</v>
      </c>
    </row>
    <row r="4680" spans="1:8" x14ac:dyDescent="0.2">
      <c r="A4680" t="str">
        <f t="shared" si="1720"/>
        <v>0623118987</v>
      </c>
      <c r="B4680" t="str">
        <f t="shared" si="1721"/>
        <v>MARIAH CLARA</v>
      </c>
      <c r="C4680" t="str">
        <f t="shared" si="1722"/>
        <v>DUARTE</v>
      </c>
      <c r="D4680">
        <f>12</f>
        <v>12</v>
      </c>
      <c r="E4680" t="str">
        <f>"03 - A - 101 - Lourivaldo  Da Silva"</f>
        <v>03 - A - 101 - Lourivaldo  Da Silva</v>
      </c>
      <c r="F4680" t="str">
        <f>"AP STAT"</f>
        <v>AP STAT</v>
      </c>
      <c r="G4680" t="str">
        <f>"20-2079"</f>
        <v>20-2079</v>
      </c>
      <c r="H4680" t="str">
        <f>"A"</f>
        <v>A</v>
      </c>
    </row>
    <row r="4681" spans="1:8" x14ac:dyDescent="0.2">
      <c r="A4681" t="str">
        <f t="shared" si="1720"/>
        <v>0623118987</v>
      </c>
      <c r="B4681" t="str">
        <f t="shared" si="1721"/>
        <v>MARIAH CLARA</v>
      </c>
      <c r="C4681" t="str">
        <f t="shared" si="1722"/>
        <v>DUARTE</v>
      </c>
      <c r="D4681">
        <f>12</f>
        <v>12</v>
      </c>
      <c r="E4681" t="str">
        <f>"02 - A - 102 - Jeffrey S Gallagher"</f>
        <v>02 - A - 102 - Jeffrey S Gallagher</v>
      </c>
      <c r="F4681" t="str">
        <f>"ENG HON 4"</f>
        <v>ENG HON 4</v>
      </c>
      <c r="G4681" t="str">
        <f>"17-1724"</f>
        <v>17-1724</v>
      </c>
      <c r="H4681" t="str">
        <f>"A"</f>
        <v>A</v>
      </c>
    </row>
    <row r="4682" spans="1:8" x14ac:dyDescent="0.2">
      <c r="A4682" t="str">
        <f t="shared" si="1720"/>
        <v>0623118987</v>
      </c>
      <c r="B4682" t="str">
        <f t="shared" si="1721"/>
        <v>MARIAH CLARA</v>
      </c>
      <c r="C4682" t="str">
        <f t="shared" si="1722"/>
        <v>DUARTE</v>
      </c>
      <c r="D4682">
        <f>12</f>
        <v>12</v>
      </c>
      <c r="E4682" t="str">
        <f>"07 - B - 101 - Fernando  Vega-Cid"</f>
        <v>07 - B - 101 - Fernando  Vega-Cid</v>
      </c>
      <c r="F4682" t="str">
        <f>"AP PRECALCULUS"</f>
        <v>AP PRECALCULUS</v>
      </c>
      <c r="G4682" t="str">
        <f>"21-2163"</f>
        <v>21-2163</v>
      </c>
      <c r="H4682" t="str">
        <f>"B"</f>
        <v>B</v>
      </c>
    </row>
    <row r="4683" spans="1:8" x14ac:dyDescent="0.2">
      <c r="A4683" t="str">
        <f t="shared" si="1720"/>
        <v>0623118987</v>
      </c>
      <c r="B4683" t="str">
        <f t="shared" si="1721"/>
        <v>MARIAH CLARA</v>
      </c>
      <c r="C4683" t="str">
        <f t="shared" si="1722"/>
        <v>DUARTE</v>
      </c>
      <c r="D4683">
        <f>12</f>
        <v>12</v>
      </c>
      <c r="E4683" t="str">
        <f>"05 - B - 201 - Lisa J London"</f>
        <v>05 - B - 201 - Lisa J London</v>
      </c>
      <c r="F4683" t="str">
        <f>"COMPRE LAW HON"</f>
        <v>COMPRE LAW HON</v>
      </c>
      <c r="G4683" t="str">
        <f>"17-1714"</f>
        <v>17-1714</v>
      </c>
      <c r="H4683" t="str">
        <f>"B"</f>
        <v>B</v>
      </c>
    </row>
    <row r="4684" spans="1:8" x14ac:dyDescent="0.2">
      <c r="A4684" t="str">
        <f t="shared" si="1720"/>
        <v>0623118987</v>
      </c>
      <c r="B4684" t="str">
        <f t="shared" si="1721"/>
        <v>MARIAH CLARA</v>
      </c>
      <c r="C4684" t="str">
        <f t="shared" si="1722"/>
        <v>DUARTE</v>
      </c>
      <c r="D4684">
        <f>12</f>
        <v>12</v>
      </c>
      <c r="E4684" t="str">
        <f>"01 - A - 201 - Jeanne M Bermudez"</f>
        <v>01 - A - 201 - Jeanne M Bermudez</v>
      </c>
      <c r="F4684" t="str">
        <f>"PHYSICS 1 HON"</f>
        <v>PHYSICS 1 HON</v>
      </c>
      <c r="G4684" t="str">
        <f>"21-2141"</f>
        <v>21-2141</v>
      </c>
      <c r="H4684" t="str">
        <f>"A"</f>
        <v>A</v>
      </c>
    </row>
    <row r="4685" spans="1:8" x14ac:dyDescent="0.2">
      <c r="A4685" t="str">
        <f t="shared" si="1720"/>
        <v>0623118987</v>
      </c>
      <c r="B4685" t="str">
        <f t="shared" si="1721"/>
        <v>MARIAH CLARA</v>
      </c>
      <c r="C4685" t="str">
        <f t="shared" si="1722"/>
        <v>DUARTE</v>
      </c>
      <c r="D4685">
        <f>12</f>
        <v>12</v>
      </c>
      <c r="E4685" t="str">
        <f>"08 - S1 - B - 102 - Stephen T Ripp"</f>
        <v>08 - S1 - B - 102 - Stephen T Ripp</v>
      </c>
      <c r="F4685" t="str">
        <f>"AP US GOVT/POL"</f>
        <v>AP US GOVT/POL</v>
      </c>
      <c r="G4685" t="str">
        <f>"17-1744"</f>
        <v>17-1744</v>
      </c>
      <c r="H4685" t="str">
        <f>"B"</f>
        <v>B</v>
      </c>
    </row>
    <row r="4686" spans="1:8" x14ac:dyDescent="0.2">
      <c r="A4686" t="str">
        <f t="shared" ref="A4686:A4693" si="1723">"0615062454"</f>
        <v>0615062454</v>
      </c>
      <c r="B4686" t="str">
        <f t="shared" ref="B4686:B4693" si="1724">"YOLANDE"</f>
        <v>YOLANDE</v>
      </c>
      <c r="C4686" t="str">
        <f t="shared" ref="C4686:C4693" si="1725">"DUCENORD"</f>
        <v>DUCENORD</v>
      </c>
      <c r="D4686">
        <f>10</f>
        <v>10</v>
      </c>
      <c r="E4686" t="str">
        <f>"04 - A - 103 - Joe  Kilpatrick Jr"</f>
        <v>04 - A - 103 - Joe  Kilpatrick Jr</v>
      </c>
      <c r="F4686" t="str">
        <f>"PRE-AICE SPAN 1 IG"</f>
        <v>PRE-AICE SPAN 1 IG</v>
      </c>
      <c r="G4686" t="str">
        <f>"09-912"</f>
        <v>09-912</v>
      </c>
      <c r="H4686" t="str">
        <f>"A"</f>
        <v>A</v>
      </c>
    </row>
    <row r="4687" spans="1:8" x14ac:dyDescent="0.2">
      <c r="A4687" t="str">
        <f t="shared" si="1723"/>
        <v>0615062454</v>
      </c>
      <c r="B4687" t="str">
        <f t="shared" si="1724"/>
        <v>YOLANDE</v>
      </c>
      <c r="C4687" t="str">
        <f t="shared" si="1725"/>
        <v>DUCENORD</v>
      </c>
      <c r="D4687">
        <f>10</f>
        <v>10</v>
      </c>
      <c r="E4687" t="str">
        <f>"06 - B - 103 - Thomas G Handwerg"</f>
        <v>06 - B - 103 - Thomas G Handwerg</v>
      </c>
      <c r="F4687" t="str">
        <f>"NC STUDY HALL 1"</f>
        <v>NC STUDY HALL 1</v>
      </c>
      <c r="G4687" t="str">
        <f>"21-2146"</f>
        <v>21-2146</v>
      </c>
      <c r="H4687" t="str">
        <f>"B"</f>
        <v>B</v>
      </c>
    </row>
    <row r="4688" spans="1:8" x14ac:dyDescent="0.2">
      <c r="A4688" t="str">
        <f t="shared" si="1723"/>
        <v>0615062454</v>
      </c>
      <c r="B4688" t="str">
        <f t="shared" si="1724"/>
        <v>YOLANDE</v>
      </c>
      <c r="C4688" t="str">
        <f t="shared" si="1725"/>
        <v>DUCENORD</v>
      </c>
      <c r="D4688">
        <f>10</f>
        <v>10</v>
      </c>
      <c r="E4688" t="str">
        <f>"03 - A - 103 - Taraneh C Abreu"</f>
        <v>03 - A - 103 - Taraneh C Abreu</v>
      </c>
      <c r="F4688" t="str">
        <f>"INTENS READ 2"</f>
        <v>INTENS READ 2</v>
      </c>
      <c r="G4688" t="str">
        <f>"17-1713"</f>
        <v>17-1713</v>
      </c>
      <c r="H4688" t="str">
        <f>"A"</f>
        <v>A</v>
      </c>
    </row>
    <row r="4689" spans="1:8" x14ac:dyDescent="0.2">
      <c r="A4689" t="str">
        <f t="shared" si="1723"/>
        <v>0615062454</v>
      </c>
      <c r="B4689" t="str">
        <f t="shared" si="1724"/>
        <v>YOLANDE</v>
      </c>
      <c r="C4689" t="str">
        <f t="shared" si="1725"/>
        <v>DUCENORD</v>
      </c>
      <c r="D4689">
        <f>10</f>
        <v>10</v>
      </c>
      <c r="E4689" t="str">
        <f>"02 - A - 102 - Marius D Orsolini"</f>
        <v>02 - A - 102 - Marius D Orsolini</v>
      </c>
      <c r="F4689" t="str">
        <f>"CULINARY ARTS 1"</f>
        <v>CULINARY ARTS 1</v>
      </c>
      <c r="G4689" t="str">
        <f>"21-2115"</f>
        <v>21-2115</v>
      </c>
      <c r="H4689" t="str">
        <f>"A"</f>
        <v>A</v>
      </c>
    </row>
    <row r="4690" spans="1:8" x14ac:dyDescent="0.2">
      <c r="A4690" t="str">
        <f t="shared" si="1723"/>
        <v>0615062454</v>
      </c>
      <c r="B4690" t="str">
        <f t="shared" si="1724"/>
        <v>YOLANDE</v>
      </c>
      <c r="C4690" t="str">
        <f t="shared" si="1725"/>
        <v>DUCENORD</v>
      </c>
      <c r="D4690">
        <f>10</f>
        <v>10</v>
      </c>
      <c r="E4690" t="str">
        <f>"07 - B - 107 - Milca  Exantus"</f>
        <v>07 - B - 107 - Milca  Exantus</v>
      </c>
      <c r="F4690" t="str">
        <f>"MATH COLLEGE LIB ART"</f>
        <v>MATH COLLEGE LIB ART</v>
      </c>
      <c r="G4690" t="str">
        <f>"21-2145"</f>
        <v>21-2145</v>
      </c>
      <c r="H4690" t="str">
        <f>"B"</f>
        <v>B</v>
      </c>
    </row>
    <row r="4691" spans="1:8" x14ac:dyDescent="0.2">
      <c r="A4691" t="str">
        <f t="shared" si="1723"/>
        <v>0615062454</v>
      </c>
      <c r="B4691" t="str">
        <f t="shared" si="1724"/>
        <v>YOLANDE</v>
      </c>
      <c r="C4691" t="str">
        <f t="shared" si="1725"/>
        <v>DUCENORD</v>
      </c>
      <c r="D4691">
        <f>10</f>
        <v>10</v>
      </c>
      <c r="E4691" t="str">
        <f>"05 - B - 106 - Jacquelyn M Neeson"</f>
        <v>05 - B - 106 - Jacquelyn M Neeson</v>
      </c>
      <c r="F4691" t="str">
        <f>"ENG 2"</f>
        <v>ENG 2</v>
      </c>
      <c r="G4691" t="str">
        <f>"17-1715"</f>
        <v>17-1715</v>
      </c>
      <c r="H4691" t="str">
        <f>"B"</f>
        <v>B</v>
      </c>
    </row>
    <row r="4692" spans="1:8" x14ac:dyDescent="0.2">
      <c r="A4692" t="str">
        <f t="shared" si="1723"/>
        <v>0615062454</v>
      </c>
      <c r="B4692" t="str">
        <f t="shared" si="1724"/>
        <v>YOLANDE</v>
      </c>
      <c r="C4692" t="str">
        <f t="shared" si="1725"/>
        <v>DUCENORD</v>
      </c>
      <c r="D4692">
        <f>10</f>
        <v>10</v>
      </c>
      <c r="E4692" t="str">
        <f>"01 - S1 - A - 101 - Lissa C Frederique"</f>
        <v>01 - S1 - A - 101 - Lissa C Frederique</v>
      </c>
      <c r="F4692" t="str">
        <f>"PERS FIN &amp; MON MGT H"</f>
        <v>PERS FIN &amp; MON MGT H</v>
      </c>
      <c r="G4692" t="str">
        <f>"17-1754"</f>
        <v>17-1754</v>
      </c>
      <c r="H4692" t="str">
        <f>"A"</f>
        <v>A</v>
      </c>
    </row>
    <row r="4693" spans="1:8" x14ac:dyDescent="0.2">
      <c r="A4693" t="str">
        <f t="shared" si="1723"/>
        <v>0615062454</v>
      </c>
      <c r="B4693" t="str">
        <f t="shared" si="1724"/>
        <v>YOLANDE</v>
      </c>
      <c r="C4693" t="str">
        <f t="shared" si="1725"/>
        <v>DUCENORD</v>
      </c>
      <c r="D4693">
        <f>10</f>
        <v>10</v>
      </c>
      <c r="E4693" t="str">
        <f>"08 - B - 108 - Paige Lauren  Brochu"</f>
        <v>08 - B - 108 - Paige Lauren  Brochu</v>
      </c>
      <c r="F4693" t="str">
        <f>"BIOLOGY 1"</f>
        <v>BIOLOGY 1</v>
      </c>
      <c r="G4693" t="str">
        <f>"21-2134"</f>
        <v>21-2134</v>
      </c>
      <c r="H4693" t="str">
        <f>"B"</f>
        <v>B</v>
      </c>
    </row>
    <row r="4694" spans="1:8" x14ac:dyDescent="0.2">
      <c r="A4694" t="str">
        <f t="shared" ref="A4694:A4701" si="1726">"0616000561"</f>
        <v>0616000561</v>
      </c>
      <c r="B4694" t="str">
        <f t="shared" ref="B4694:B4701" si="1727">"QETSIA"</f>
        <v>QETSIA</v>
      </c>
      <c r="C4694" t="str">
        <f t="shared" ref="C4694:C4701" si="1728">"DUCLOS"</f>
        <v>DUCLOS</v>
      </c>
      <c r="D4694">
        <f>10</f>
        <v>10</v>
      </c>
      <c r="E4694" t="str">
        <f>"04 - A - 106 - Marielle A Witting"</f>
        <v>04 - A - 106 - Marielle A Witting</v>
      </c>
      <c r="F4694" t="str">
        <f>"ANAT PHYSIO"</f>
        <v>ANAT PHYSIO</v>
      </c>
      <c r="G4694" t="str">
        <f>"08-805"</f>
        <v>08-805</v>
      </c>
      <c r="H4694" t="str">
        <f>"A"</f>
        <v>A</v>
      </c>
    </row>
    <row r="4695" spans="1:8" x14ac:dyDescent="0.2">
      <c r="A4695" t="str">
        <f t="shared" si="1726"/>
        <v>0616000561</v>
      </c>
      <c r="B4695" t="str">
        <f t="shared" si="1727"/>
        <v>QETSIA</v>
      </c>
      <c r="C4695" t="str">
        <f t="shared" si="1728"/>
        <v>DUCLOS</v>
      </c>
      <c r="D4695">
        <f>10</f>
        <v>10</v>
      </c>
      <c r="E4695" t="str">
        <f>"06 - B - 105 - Jeffrey S Gallagher"</f>
        <v>06 - B - 105 - Jeffrey S Gallagher</v>
      </c>
      <c r="F4695" t="str">
        <f>"NC STUDY HALL 1"</f>
        <v>NC STUDY HALL 1</v>
      </c>
      <c r="G4695" t="str">
        <f>"17-1724"</f>
        <v>17-1724</v>
      </c>
      <c r="H4695" t="str">
        <f>"B"</f>
        <v>B</v>
      </c>
    </row>
    <row r="4696" spans="1:8" x14ac:dyDescent="0.2">
      <c r="A4696" t="str">
        <f t="shared" si="1726"/>
        <v>0616000561</v>
      </c>
      <c r="B4696" t="str">
        <f t="shared" si="1727"/>
        <v>QETSIA</v>
      </c>
      <c r="C4696" t="str">
        <f t="shared" si="1728"/>
        <v>DUCLOS</v>
      </c>
      <c r="D4696">
        <f>10</f>
        <v>10</v>
      </c>
      <c r="E4696" t="str">
        <f>"03 - A - 103 - Pamela M Corzo"</f>
        <v>03 - A - 103 - Pamela M Corzo</v>
      </c>
      <c r="F4696" t="str">
        <f>"ALGEBRA 2 HON"</f>
        <v>ALGEBRA 2 HON</v>
      </c>
      <c r="G4696" t="str">
        <f>"21-2133"</f>
        <v>21-2133</v>
      </c>
      <c r="H4696" t="str">
        <f>"A"</f>
        <v>A</v>
      </c>
    </row>
    <row r="4697" spans="1:8" x14ac:dyDescent="0.2">
      <c r="A4697" t="str">
        <f t="shared" si="1726"/>
        <v>0616000561</v>
      </c>
      <c r="B4697" t="str">
        <f t="shared" si="1727"/>
        <v>QETSIA</v>
      </c>
      <c r="C4697" t="str">
        <f t="shared" si="1728"/>
        <v>DUCLOS</v>
      </c>
      <c r="D4697">
        <f>10</f>
        <v>10</v>
      </c>
      <c r="E4697" t="str">
        <f>"02 - A - 103 - Lenecy  Nodarse"</f>
        <v>02 - A - 103 - Lenecy  Nodarse</v>
      </c>
      <c r="F4697" t="str">
        <f>"AICE EURO HIST 1 AS"</f>
        <v>AICE EURO HIST 1 AS</v>
      </c>
      <c r="G4697" t="str">
        <f>"17-1741"</f>
        <v>17-1741</v>
      </c>
      <c r="H4697" t="str">
        <f>"A"</f>
        <v>A</v>
      </c>
    </row>
    <row r="4698" spans="1:8" x14ac:dyDescent="0.2">
      <c r="A4698" t="str">
        <f t="shared" si="1726"/>
        <v>0616000561</v>
      </c>
      <c r="B4698" t="str">
        <f t="shared" si="1727"/>
        <v>QETSIA</v>
      </c>
      <c r="C4698" t="str">
        <f t="shared" si="1728"/>
        <v>DUCLOS</v>
      </c>
      <c r="D4698">
        <f>10</f>
        <v>10</v>
      </c>
      <c r="E4698" t="str">
        <f>"07 - B - 107 - Jacklyn M James"</f>
        <v>07 - B - 107 - Jacklyn M James</v>
      </c>
      <c r="F4698" t="str">
        <f>"AICE ENG LANG AS"</f>
        <v>AICE ENG LANG AS</v>
      </c>
      <c r="G4698" t="str">
        <f>"17-1731"</f>
        <v>17-1731</v>
      </c>
      <c r="H4698" t="str">
        <f>"B"</f>
        <v>B</v>
      </c>
    </row>
    <row r="4699" spans="1:8" x14ac:dyDescent="0.2">
      <c r="A4699" t="str">
        <f t="shared" si="1726"/>
        <v>0616000561</v>
      </c>
      <c r="B4699" t="str">
        <f t="shared" si="1727"/>
        <v>QETSIA</v>
      </c>
      <c r="C4699" t="str">
        <f t="shared" si="1728"/>
        <v>DUCLOS</v>
      </c>
      <c r="D4699">
        <f>10</f>
        <v>10</v>
      </c>
      <c r="E4699" t="str">
        <f>"05 - B - 202 - Daniel S Katz"</f>
        <v>05 - B - 202 - Daniel S Katz</v>
      </c>
      <c r="F4699" t="str">
        <f>"EXEC INTERN 3 LH"</f>
        <v>EXEC INTERN 3 LH</v>
      </c>
      <c r="G4699" t="str">
        <f>"21-2156"</f>
        <v>21-2156</v>
      </c>
      <c r="H4699" t="str">
        <f>"B"</f>
        <v>B</v>
      </c>
    </row>
    <row r="4700" spans="1:8" x14ac:dyDescent="0.2">
      <c r="A4700" t="str">
        <f t="shared" si="1726"/>
        <v>0616000561</v>
      </c>
      <c r="B4700" t="str">
        <f t="shared" si="1727"/>
        <v>QETSIA</v>
      </c>
      <c r="C4700" t="str">
        <f t="shared" si="1728"/>
        <v>DUCLOS</v>
      </c>
      <c r="D4700">
        <f>10</f>
        <v>10</v>
      </c>
      <c r="E4700" t="str">
        <f>"01 - A - 201 - Chrystina M Marchionne"</f>
        <v>01 - A - 201 - Chrystina M Marchionne</v>
      </c>
      <c r="F4700" t="str">
        <f>"AICE MEDIASTUDIES AS"</f>
        <v>AICE MEDIASTUDIES AS</v>
      </c>
      <c r="G4700" t="str">
        <f>"05-520"</f>
        <v>05-520</v>
      </c>
      <c r="H4700" t="str">
        <f>"A"</f>
        <v>A</v>
      </c>
    </row>
    <row r="4701" spans="1:8" x14ac:dyDescent="0.2">
      <c r="A4701" t="str">
        <f t="shared" si="1726"/>
        <v>0616000561</v>
      </c>
      <c r="B4701" t="str">
        <f t="shared" si="1727"/>
        <v>QETSIA</v>
      </c>
      <c r="C4701" t="str">
        <f t="shared" si="1728"/>
        <v>DUCLOS</v>
      </c>
      <c r="D4701">
        <f>10</f>
        <v>10</v>
      </c>
      <c r="E4701" t="str">
        <f>"08 - B - 201 - Stacey A Blecker"</f>
        <v>08 - B - 201 - Stacey A Blecker</v>
      </c>
      <c r="F4701" t="str">
        <f>"AICE SOCIOLOGY 1 AS"</f>
        <v>AICE SOCIOLOGY 1 AS</v>
      </c>
      <c r="G4701" t="str">
        <f>"09-926"</f>
        <v>09-926</v>
      </c>
      <c r="H4701" t="str">
        <f>"B"</f>
        <v>B</v>
      </c>
    </row>
    <row r="4702" spans="1:8" x14ac:dyDescent="0.2">
      <c r="A4702" t="str">
        <f t="shared" ref="A4702:A4709" si="1729">"0616017781"</f>
        <v>0616017781</v>
      </c>
      <c r="B4702" t="str">
        <f t="shared" ref="B4702:B4709" si="1730">"JADEN"</f>
        <v>JADEN</v>
      </c>
      <c r="C4702" t="str">
        <f t="shared" ref="C4702:C4709" si="1731">"DUDLEY"</f>
        <v>DUDLEY</v>
      </c>
      <c r="D4702">
        <f>10</f>
        <v>10</v>
      </c>
      <c r="E4702" t="str">
        <f>"04 - A - 104 - Dayna M Foster"</f>
        <v>04 - A - 104 - Dayna M Foster</v>
      </c>
      <c r="F4702" t="str">
        <f>"ALGEBRA 2"</f>
        <v>ALGEBRA 2</v>
      </c>
      <c r="G4702" t="str">
        <f>"21-2109"</f>
        <v>21-2109</v>
      </c>
      <c r="H4702" t="str">
        <f>"A"</f>
        <v>A</v>
      </c>
    </row>
    <row r="4703" spans="1:8" x14ac:dyDescent="0.2">
      <c r="A4703" t="str">
        <f t="shared" si="1729"/>
        <v>0616017781</v>
      </c>
      <c r="B4703" t="str">
        <f t="shared" si="1730"/>
        <v>JADEN</v>
      </c>
      <c r="C4703" t="str">
        <f t="shared" si="1731"/>
        <v>DUDLEY</v>
      </c>
      <c r="D4703">
        <f>10</f>
        <v>10</v>
      </c>
      <c r="E4703" t="str">
        <f>"06 - B - 109 - Semra  Bahadir"</f>
        <v>06 - B - 109 - Semra  Bahadir</v>
      </c>
      <c r="F4703" t="str">
        <f>"NC STUDY HALL 1"</f>
        <v>NC STUDY HALL 1</v>
      </c>
      <c r="G4703" t="str">
        <f>"21-2107"</f>
        <v>21-2107</v>
      </c>
      <c r="H4703" t="str">
        <f>"B"</f>
        <v>B</v>
      </c>
    </row>
    <row r="4704" spans="1:8" x14ac:dyDescent="0.2">
      <c r="A4704" t="str">
        <f t="shared" si="1729"/>
        <v>0616017781</v>
      </c>
      <c r="B4704" t="str">
        <f t="shared" si="1730"/>
        <v>JADEN</v>
      </c>
      <c r="C4704" t="str">
        <f t="shared" si="1731"/>
        <v>DUDLEY</v>
      </c>
      <c r="D4704">
        <f>10</f>
        <v>10</v>
      </c>
      <c r="E4704" t="str">
        <f>"03 - A - 002 - Nikiel  Nesbeth"</f>
        <v>03 - A - 002 - Nikiel  Nesbeth</v>
      </c>
      <c r="F4704" t="str">
        <f>"PRE-AICE ENG LIT IG"</f>
        <v>PRE-AICE ENG LIT IG</v>
      </c>
      <c r="G4704" t="str">
        <f>"17-1705"</f>
        <v>17-1705</v>
      </c>
      <c r="H4704" t="str">
        <f>"A"</f>
        <v>A</v>
      </c>
    </row>
    <row r="4705" spans="1:8" x14ac:dyDescent="0.2">
      <c r="A4705" t="str">
        <f t="shared" si="1729"/>
        <v>0616017781</v>
      </c>
      <c r="B4705" t="str">
        <f t="shared" si="1730"/>
        <v>JADEN</v>
      </c>
      <c r="C4705" t="str">
        <f t="shared" si="1731"/>
        <v>DUDLEY</v>
      </c>
      <c r="D4705">
        <f>10</f>
        <v>10</v>
      </c>
      <c r="E4705" t="str">
        <f>"02 - A - 101 - Brian M Fitzgerald"</f>
        <v>02 - A - 101 - Brian M Fitzgerald</v>
      </c>
      <c r="F4705" t="str">
        <f>"DRAW 1"</f>
        <v>DRAW 1</v>
      </c>
      <c r="G4705" t="str">
        <f>"09-908"</f>
        <v>09-908</v>
      </c>
      <c r="H4705" t="str">
        <f>"A"</f>
        <v>A</v>
      </c>
    </row>
    <row r="4706" spans="1:8" x14ac:dyDescent="0.2">
      <c r="A4706" t="str">
        <f t="shared" si="1729"/>
        <v>0616017781</v>
      </c>
      <c r="B4706" t="str">
        <f t="shared" si="1730"/>
        <v>JADEN</v>
      </c>
      <c r="C4706" t="str">
        <f t="shared" si="1731"/>
        <v>DUDLEY</v>
      </c>
      <c r="D4706">
        <f>10</f>
        <v>10</v>
      </c>
      <c r="E4706" t="str">
        <f>"07 - B - 204 - Scott A Dethloff"</f>
        <v>07 - B - 204 - Scott A Dethloff</v>
      </c>
      <c r="F4706" t="str">
        <f>"CHEMISTRY 1"</f>
        <v>CHEMISTRY 1</v>
      </c>
      <c r="G4706" t="str">
        <f>"08-812"</f>
        <v>08-812</v>
      </c>
      <c r="H4706" t="str">
        <f>"B"</f>
        <v>B</v>
      </c>
    </row>
    <row r="4707" spans="1:8" x14ac:dyDescent="0.2">
      <c r="A4707" t="str">
        <f t="shared" si="1729"/>
        <v>0616017781</v>
      </c>
      <c r="B4707" t="str">
        <f t="shared" si="1730"/>
        <v>JADEN</v>
      </c>
      <c r="C4707" t="str">
        <f t="shared" si="1731"/>
        <v>DUDLEY</v>
      </c>
      <c r="D4707">
        <f>10</f>
        <v>10</v>
      </c>
      <c r="E4707" t="str">
        <f>"05 - B - 205 - Rosa Elaine  Collado-Duff"</f>
        <v>05 - B - 205 - Rosa Elaine  Collado-Duff</v>
      </c>
      <c r="F4707" t="str">
        <f>"PRE-AICE SPAN 2 IG"</f>
        <v>PRE-AICE SPAN 2 IG</v>
      </c>
      <c r="G4707" t="str">
        <f>"09-913"</f>
        <v>09-913</v>
      </c>
      <c r="H4707" t="str">
        <f>"B"</f>
        <v>B</v>
      </c>
    </row>
    <row r="4708" spans="1:8" x14ac:dyDescent="0.2">
      <c r="A4708" t="str">
        <f t="shared" si="1729"/>
        <v>0616017781</v>
      </c>
      <c r="B4708" t="str">
        <f t="shared" si="1730"/>
        <v>JADEN</v>
      </c>
      <c r="C4708" t="str">
        <f t="shared" si="1731"/>
        <v>DUDLEY</v>
      </c>
      <c r="D4708">
        <f>10</f>
        <v>10</v>
      </c>
      <c r="E4708" t="str">
        <f>"01 - A - 101 - Nikiel  Nesbeth"</f>
        <v>01 - A - 101 - Nikiel  Nesbeth</v>
      </c>
      <c r="F4708" t="str">
        <f>"CONST LAW HON"</f>
        <v>CONST LAW HON</v>
      </c>
      <c r="G4708" t="str">
        <f>"17-1705"</f>
        <v>17-1705</v>
      </c>
      <c r="H4708" t="str">
        <f>"A"</f>
        <v>A</v>
      </c>
    </row>
    <row r="4709" spans="1:8" x14ac:dyDescent="0.2">
      <c r="A4709" t="str">
        <f t="shared" si="1729"/>
        <v>0616017781</v>
      </c>
      <c r="B4709" t="str">
        <f t="shared" si="1730"/>
        <v>JADEN</v>
      </c>
      <c r="C4709" t="str">
        <f t="shared" si="1731"/>
        <v>DUDLEY</v>
      </c>
      <c r="D4709">
        <f>10</f>
        <v>10</v>
      </c>
      <c r="E4709" t="str">
        <f>"08 - B - 109 - Rory T Sponsler"</f>
        <v>08 - B - 109 - Rory T Sponsler</v>
      </c>
      <c r="F4709" t="str">
        <f>"PRE-AICE WRLD HST IG"</f>
        <v>PRE-AICE WRLD HST IG</v>
      </c>
      <c r="G4709" t="str">
        <f>"17-1740"</f>
        <v>17-1740</v>
      </c>
      <c r="H4709" t="str">
        <f>"B"</f>
        <v>B</v>
      </c>
    </row>
    <row r="4710" spans="1:8" x14ac:dyDescent="0.2">
      <c r="A4710" t="str">
        <f t="shared" ref="A4710:A4717" si="1732">"0617017284"</f>
        <v>0617017284</v>
      </c>
      <c r="B4710" t="str">
        <f t="shared" ref="B4710:B4717" si="1733">"SOPHIA"</f>
        <v>SOPHIA</v>
      </c>
      <c r="C4710" t="str">
        <f t="shared" ref="C4710:C4717" si="1734">"DUKE"</f>
        <v>DUKE</v>
      </c>
      <c r="D4710" t="str">
        <f t="shared" ref="D4710:D4717" si="1735">"09"</f>
        <v>09</v>
      </c>
      <c r="E4710" t="str">
        <f>"04 - A - 004 - Krystal Marie  Beruty"</f>
        <v>04 - A - 004 - Krystal Marie  Beruty</v>
      </c>
      <c r="F4710" t="str">
        <f>"AICE GLBL PERSP 1 AS"</f>
        <v>AICE GLBL PERSP 1 AS</v>
      </c>
      <c r="G4710" t="str">
        <f>"17-1721"</f>
        <v>17-1721</v>
      </c>
      <c r="H4710" t="str">
        <f>"A"</f>
        <v>A</v>
      </c>
    </row>
    <row r="4711" spans="1:8" x14ac:dyDescent="0.2">
      <c r="A4711" t="str">
        <f t="shared" si="1732"/>
        <v>0617017284</v>
      </c>
      <c r="B4711" t="str">
        <f t="shared" si="1733"/>
        <v>SOPHIA</v>
      </c>
      <c r="C4711" t="str">
        <f t="shared" si="1734"/>
        <v>DUKE</v>
      </c>
      <c r="D4711" t="str">
        <f t="shared" si="1735"/>
        <v>09</v>
      </c>
      <c r="E4711" t="str">
        <f>"06 - B - 202 - Brian M Fitzgerald"</f>
        <v>06 - B - 202 - Brian M Fitzgerald</v>
      </c>
      <c r="F4711" t="str">
        <f>"DRAW 1"</f>
        <v>DRAW 1</v>
      </c>
      <c r="G4711" t="str">
        <f>"09-908"</f>
        <v>09-908</v>
      </c>
      <c r="H4711" t="str">
        <f>"B"</f>
        <v>B</v>
      </c>
    </row>
    <row r="4712" spans="1:8" x14ac:dyDescent="0.2">
      <c r="A4712" t="str">
        <f t="shared" si="1732"/>
        <v>0617017284</v>
      </c>
      <c r="B4712" t="str">
        <f t="shared" si="1733"/>
        <v>SOPHIA</v>
      </c>
      <c r="C4712" t="str">
        <f t="shared" si="1734"/>
        <v>DUKE</v>
      </c>
      <c r="D4712" t="str">
        <f t="shared" si="1735"/>
        <v>09</v>
      </c>
      <c r="E4712" t="str">
        <f>"03 - A - 101 - Rosa Elaine  Collado-Duff"</f>
        <v>03 - A - 101 - Rosa Elaine  Collado-Duff</v>
      </c>
      <c r="F4712" t="str">
        <f>"SPANISH 3 HON"</f>
        <v>SPANISH 3 HON</v>
      </c>
      <c r="G4712" t="str">
        <f>"09-913"</f>
        <v>09-913</v>
      </c>
      <c r="H4712" t="str">
        <f>"A"</f>
        <v>A</v>
      </c>
    </row>
    <row r="4713" spans="1:8" x14ac:dyDescent="0.2">
      <c r="A4713" t="str">
        <f t="shared" si="1732"/>
        <v>0617017284</v>
      </c>
      <c r="B4713" t="str">
        <f t="shared" si="1733"/>
        <v>SOPHIA</v>
      </c>
      <c r="C4713" t="str">
        <f t="shared" si="1734"/>
        <v>DUKE</v>
      </c>
      <c r="D4713" t="str">
        <f t="shared" si="1735"/>
        <v>09</v>
      </c>
      <c r="E4713" t="str">
        <f>"02 - A - 103 - Arthur  Kulawik"</f>
        <v>02 - A - 103 - Arthur  Kulawik</v>
      </c>
      <c r="F4713" t="str">
        <f>"NC STUDY HALL 1"</f>
        <v>NC STUDY HALL 1</v>
      </c>
      <c r="G4713" t="str">
        <f>"05-506"</f>
        <v>05-506</v>
      </c>
      <c r="H4713" t="str">
        <f>"A"</f>
        <v>A</v>
      </c>
    </row>
    <row r="4714" spans="1:8" x14ac:dyDescent="0.2">
      <c r="A4714" t="str">
        <f t="shared" si="1732"/>
        <v>0617017284</v>
      </c>
      <c r="B4714" t="str">
        <f t="shared" si="1733"/>
        <v>SOPHIA</v>
      </c>
      <c r="C4714" t="str">
        <f t="shared" si="1734"/>
        <v>DUKE</v>
      </c>
      <c r="D4714" t="str">
        <f t="shared" si="1735"/>
        <v>09</v>
      </c>
      <c r="E4714" t="str">
        <f>"07 - B - 003 - Brandy N Zdenek"</f>
        <v>07 - B - 003 - Brandy N Zdenek</v>
      </c>
      <c r="F4714" t="str">
        <f>"AICE ENG GEN PAPER 1"</f>
        <v>AICE ENG GEN PAPER 1</v>
      </c>
      <c r="G4714" t="str">
        <f>"17-1704"</f>
        <v>17-1704</v>
      </c>
      <c r="H4714" t="str">
        <f>"B"</f>
        <v>B</v>
      </c>
    </row>
    <row r="4715" spans="1:8" x14ac:dyDescent="0.2">
      <c r="A4715" t="str">
        <f t="shared" si="1732"/>
        <v>0617017284</v>
      </c>
      <c r="B4715" t="str">
        <f t="shared" si="1733"/>
        <v>SOPHIA</v>
      </c>
      <c r="C4715" t="str">
        <f t="shared" si="1734"/>
        <v>DUKE</v>
      </c>
      <c r="D4715" t="str">
        <f t="shared" si="1735"/>
        <v>09</v>
      </c>
      <c r="E4715" t="str">
        <f>"05 - B - 105 - Marius D Orsolini"</f>
        <v>05 - B - 105 - Marius D Orsolini</v>
      </c>
      <c r="F4715" t="str">
        <f>"CULINARY ARTS 1"</f>
        <v>CULINARY ARTS 1</v>
      </c>
      <c r="G4715" t="str">
        <f>"21-2115"</f>
        <v>21-2115</v>
      </c>
      <c r="H4715" t="str">
        <f>"B"</f>
        <v>B</v>
      </c>
    </row>
    <row r="4716" spans="1:8" x14ac:dyDescent="0.2">
      <c r="A4716" t="str">
        <f t="shared" si="1732"/>
        <v>0617017284</v>
      </c>
      <c r="B4716" t="str">
        <f t="shared" si="1733"/>
        <v>SOPHIA</v>
      </c>
      <c r="C4716" t="str">
        <f t="shared" si="1734"/>
        <v>DUKE</v>
      </c>
      <c r="D4716" t="str">
        <f t="shared" si="1735"/>
        <v>09</v>
      </c>
      <c r="E4716" t="str">
        <f>"01 - A - 201 - Cheryl L Beach"</f>
        <v>01 - A - 201 - Cheryl L Beach</v>
      </c>
      <c r="F4716" t="str">
        <f>"AICE ENV MGMNT AS"</f>
        <v>AICE ENV MGMNT AS</v>
      </c>
      <c r="G4716" t="str">
        <f>"08-811"</f>
        <v>08-811</v>
      </c>
      <c r="H4716" t="str">
        <f>"A"</f>
        <v>A</v>
      </c>
    </row>
    <row r="4717" spans="1:8" x14ac:dyDescent="0.2">
      <c r="A4717" t="str">
        <f t="shared" si="1732"/>
        <v>0617017284</v>
      </c>
      <c r="B4717" t="str">
        <f t="shared" si="1733"/>
        <v>SOPHIA</v>
      </c>
      <c r="C4717" t="str">
        <f t="shared" si="1734"/>
        <v>DUKE</v>
      </c>
      <c r="D4717" t="str">
        <f t="shared" si="1735"/>
        <v>09</v>
      </c>
      <c r="E4717" t="str">
        <f>"08 - B - 102 - Maried P Ramos"</f>
        <v>08 - B - 102 - Maried P Ramos</v>
      </c>
      <c r="F4717" t="str">
        <f>"ALGEBRA 2 HON"</f>
        <v>ALGEBRA 2 HON</v>
      </c>
      <c r="G4717" t="str">
        <f>"21-2159"</f>
        <v>21-2159</v>
      </c>
      <c r="H4717" t="str">
        <f>"B"</f>
        <v>B</v>
      </c>
    </row>
    <row r="4718" spans="1:8" x14ac:dyDescent="0.2">
      <c r="A4718" t="str">
        <f t="shared" ref="A4718:A4725" si="1736">"0617047514"</f>
        <v>0617047514</v>
      </c>
      <c r="B4718" t="str">
        <f t="shared" ref="B4718:B4725" si="1737">"KEYANA"</f>
        <v>KEYANA</v>
      </c>
      <c r="C4718" t="str">
        <f t="shared" ref="C4718:C4725" si="1738">"DUMELLE"</f>
        <v>DUMELLE</v>
      </c>
      <c r="D4718">
        <f>10</f>
        <v>10</v>
      </c>
      <c r="E4718" t="str">
        <f>"04 - A - 102 - Fernando  Vega-Cid"</f>
        <v>04 - A - 102 - Fernando  Vega-Cid</v>
      </c>
      <c r="F4718" t="str">
        <f>"PRE-CALCULUS HON"</f>
        <v>PRE-CALCULUS HON</v>
      </c>
      <c r="G4718" t="str">
        <f>"21-2163"</f>
        <v>21-2163</v>
      </c>
      <c r="H4718" t="str">
        <f>"A"</f>
        <v>A</v>
      </c>
    </row>
    <row r="4719" spans="1:8" x14ac:dyDescent="0.2">
      <c r="A4719" t="str">
        <f t="shared" si="1736"/>
        <v>0617047514</v>
      </c>
      <c r="B4719" t="str">
        <f t="shared" si="1737"/>
        <v>KEYANA</v>
      </c>
      <c r="C4719" t="str">
        <f t="shared" si="1738"/>
        <v>DUMELLE</v>
      </c>
      <c r="D4719">
        <f>10</f>
        <v>10</v>
      </c>
      <c r="E4719" t="str">
        <f>"06 - B - 112 - Tina M Jaramillo"</f>
        <v>06 - B - 112 - Tina M Jaramillo</v>
      </c>
      <c r="F4719" t="str">
        <f>"NC STUDY HALL 1"</f>
        <v>NC STUDY HALL 1</v>
      </c>
      <c r="G4719" t="str">
        <f>"17-1706"</f>
        <v>17-1706</v>
      </c>
      <c r="H4719" t="str">
        <f>"B"</f>
        <v>B</v>
      </c>
    </row>
    <row r="4720" spans="1:8" x14ac:dyDescent="0.2">
      <c r="A4720" t="str">
        <f t="shared" si="1736"/>
        <v>0617047514</v>
      </c>
      <c r="B4720" t="str">
        <f t="shared" si="1737"/>
        <v>KEYANA</v>
      </c>
      <c r="C4720" t="str">
        <f t="shared" si="1738"/>
        <v>DUMELLE</v>
      </c>
      <c r="D4720">
        <f>10</f>
        <v>10</v>
      </c>
      <c r="E4720" t="str">
        <f>"03 - S1 - A - 102 - Angela S Adeshina-Morrison"</f>
        <v>03 - S1 - A - 102 - Angela S Adeshina-Morrison</v>
      </c>
      <c r="F4720" t="str">
        <f>"PEER COUN 1"</f>
        <v>PEER COUN 1</v>
      </c>
      <c r="G4720" t="str">
        <f>"05-518"</f>
        <v>05-518</v>
      </c>
      <c r="H4720" t="str">
        <f>"A"</f>
        <v>A</v>
      </c>
    </row>
    <row r="4721" spans="1:8" x14ac:dyDescent="0.2">
      <c r="A4721" t="str">
        <f t="shared" si="1736"/>
        <v>0617047514</v>
      </c>
      <c r="B4721" t="str">
        <f t="shared" si="1737"/>
        <v>KEYANA</v>
      </c>
      <c r="C4721" t="str">
        <f t="shared" si="1738"/>
        <v>DUMELLE</v>
      </c>
      <c r="D4721">
        <f>10</f>
        <v>10</v>
      </c>
      <c r="E4721" t="str">
        <f>"02 - A - 104 - Scott A Dethloff"</f>
        <v>02 - A - 104 - Scott A Dethloff</v>
      </c>
      <c r="F4721" t="str">
        <f>"CHEMISTRY 1 HON"</f>
        <v>CHEMISTRY 1 HON</v>
      </c>
      <c r="G4721" t="str">
        <f>"08-812"</f>
        <v>08-812</v>
      </c>
      <c r="H4721" t="str">
        <f>"A"</f>
        <v>A</v>
      </c>
    </row>
    <row r="4722" spans="1:8" x14ac:dyDescent="0.2">
      <c r="A4722" t="str">
        <f t="shared" si="1736"/>
        <v>0617047514</v>
      </c>
      <c r="B4722" t="str">
        <f t="shared" si="1737"/>
        <v>KEYANA</v>
      </c>
      <c r="C4722" t="str">
        <f t="shared" si="1738"/>
        <v>DUMELLE</v>
      </c>
      <c r="D4722">
        <f>10</f>
        <v>10</v>
      </c>
      <c r="E4722" t="str">
        <f>"07 - B - 204 - Elizabeth Ellen  Moran"</f>
        <v>07 - B - 204 - Elizabeth Ellen  Moran</v>
      </c>
      <c r="F4722" t="str">
        <f>"AICE EURO HIST 1 AS"</f>
        <v>AICE EURO HIST 1 AS</v>
      </c>
      <c r="G4722" t="str">
        <f>"17-1752"</f>
        <v>17-1752</v>
      </c>
      <c r="H4722" t="str">
        <f>"B"</f>
        <v>B</v>
      </c>
    </row>
    <row r="4723" spans="1:8" x14ac:dyDescent="0.2">
      <c r="A4723" t="str">
        <f t="shared" si="1736"/>
        <v>0617047514</v>
      </c>
      <c r="B4723" t="str">
        <f t="shared" si="1737"/>
        <v>KEYANA</v>
      </c>
      <c r="C4723" t="str">
        <f t="shared" si="1738"/>
        <v>DUMELLE</v>
      </c>
      <c r="D4723">
        <f>10</f>
        <v>10</v>
      </c>
      <c r="E4723" t="str">
        <f>"05 - B - 201 - Jazmin S Fletcher"</f>
        <v>05 - B - 201 - Jazmin S Fletcher</v>
      </c>
      <c r="F4723" t="str">
        <f>"THEATRE 1"</f>
        <v>THEATRE 1</v>
      </c>
      <c r="G4723" t="str">
        <f>"09-909"</f>
        <v>09-909</v>
      </c>
      <c r="H4723" t="str">
        <f>"B"</f>
        <v>B</v>
      </c>
    </row>
    <row r="4724" spans="1:8" x14ac:dyDescent="0.2">
      <c r="A4724" t="str">
        <f t="shared" si="1736"/>
        <v>0617047514</v>
      </c>
      <c r="B4724" t="str">
        <f t="shared" si="1737"/>
        <v>KEYANA</v>
      </c>
      <c r="C4724" t="str">
        <f t="shared" si="1738"/>
        <v>DUMELLE</v>
      </c>
      <c r="D4724">
        <f>10</f>
        <v>10</v>
      </c>
      <c r="E4724" t="str">
        <f>"01 - A - 101 - Courtney E Hambright"</f>
        <v>01 - A - 101 - Courtney E Hambright</v>
      </c>
      <c r="F4724" t="str">
        <f>"AICE ENG LANG AS"</f>
        <v>AICE ENG LANG AS</v>
      </c>
      <c r="G4724" t="str">
        <f>"17-1711"</f>
        <v>17-1711</v>
      </c>
      <c r="H4724" t="str">
        <f>"A"</f>
        <v>A</v>
      </c>
    </row>
    <row r="4725" spans="1:8" x14ac:dyDescent="0.2">
      <c r="A4725" t="str">
        <f t="shared" si="1736"/>
        <v>0617047514</v>
      </c>
      <c r="B4725" t="str">
        <f t="shared" si="1737"/>
        <v>KEYANA</v>
      </c>
      <c r="C4725" t="str">
        <f t="shared" si="1738"/>
        <v>DUMELLE</v>
      </c>
      <c r="D4725">
        <f>10</f>
        <v>10</v>
      </c>
      <c r="E4725" t="str">
        <f>"08 - B - 202 - Dorothy D Moore"</f>
        <v>08 - B - 202 - Dorothy D Moore</v>
      </c>
      <c r="F4725" t="str">
        <f>"HEALTH SCI 1/A&amp;P HON"</f>
        <v>HEALTH SCI 1/A&amp;P HON</v>
      </c>
      <c r="G4725" t="str">
        <f>"08-803"</f>
        <v>08-803</v>
      </c>
      <c r="H4725" t="str">
        <f>"B"</f>
        <v>B</v>
      </c>
    </row>
    <row r="4726" spans="1:8" x14ac:dyDescent="0.2">
      <c r="A4726" t="str">
        <f t="shared" ref="A4726:A4733" si="1739">"0616046739"</f>
        <v>0616046739</v>
      </c>
      <c r="B4726" t="str">
        <f t="shared" ref="B4726:B4733" si="1740">"KAYLA"</f>
        <v>KAYLA</v>
      </c>
      <c r="C4726" t="str">
        <f t="shared" ref="C4726:C4733" si="1741">"DUMERJEAN"</f>
        <v>DUMERJEAN</v>
      </c>
      <c r="D4726" t="str">
        <f t="shared" ref="D4726:D4733" si="1742">"09"</f>
        <v>09</v>
      </c>
      <c r="E4726" t="str">
        <f>"04 - A - 201 - Christa T Parisi"</f>
        <v>04 - A - 201 - Christa T Parisi</v>
      </c>
      <c r="F4726" t="str">
        <f>"DANCE TECHNQS 3 HON"</f>
        <v>DANCE TECHNQS 3 HON</v>
      </c>
      <c r="G4726" t="str">
        <f>"05-503"</f>
        <v>05-503</v>
      </c>
      <c r="H4726" t="str">
        <f>"A"</f>
        <v>A</v>
      </c>
    </row>
    <row r="4727" spans="1:8" x14ac:dyDescent="0.2">
      <c r="A4727" t="str">
        <f t="shared" si="1739"/>
        <v>0616046739</v>
      </c>
      <c r="B4727" t="str">
        <f t="shared" si="1740"/>
        <v>KAYLA</v>
      </c>
      <c r="C4727" t="str">
        <f t="shared" si="1741"/>
        <v>DUMERJEAN</v>
      </c>
      <c r="D4727" t="str">
        <f t="shared" si="1742"/>
        <v>09</v>
      </c>
      <c r="E4727" t="str">
        <f>"06 - B - 101 - Fernando  Vega-Cid"</f>
        <v>06 - B - 101 - Fernando  Vega-Cid</v>
      </c>
      <c r="F4727" t="str">
        <f>"PRE-AICE MATH 2 IG"</f>
        <v>PRE-AICE MATH 2 IG</v>
      </c>
      <c r="G4727" t="str">
        <f>"21-2163"</f>
        <v>21-2163</v>
      </c>
      <c r="H4727" t="str">
        <f>"B"</f>
        <v>B</v>
      </c>
    </row>
    <row r="4728" spans="1:8" x14ac:dyDescent="0.2">
      <c r="A4728" t="str">
        <f t="shared" si="1739"/>
        <v>0616046739</v>
      </c>
      <c r="B4728" t="str">
        <f t="shared" si="1740"/>
        <v>KAYLA</v>
      </c>
      <c r="C4728" t="str">
        <f t="shared" si="1741"/>
        <v>DUMERJEAN</v>
      </c>
      <c r="D4728" t="str">
        <f t="shared" si="1742"/>
        <v>09</v>
      </c>
      <c r="E4728" t="str">
        <f>"03 - A - 103 - Marius D Orsolini"</f>
        <v>03 - A - 103 - Marius D Orsolini</v>
      </c>
      <c r="F4728" t="str">
        <f>"CULINARY ARTS 1"</f>
        <v>CULINARY ARTS 1</v>
      </c>
      <c r="G4728" t="str">
        <f>"21-2115"</f>
        <v>21-2115</v>
      </c>
      <c r="H4728" t="str">
        <f>"A"</f>
        <v>A</v>
      </c>
    </row>
    <row r="4729" spans="1:8" x14ac:dyDescent="0.2">
      <c r="A4729" t="str">
        <f t="shared" si="1739"/>
        <v>0616046739</v>
      </c>
      <c r="B4729" t="str">
        <f t="shared" si="1740"/>
        <v>KAYLA</v>
      </c>
      <c r="C4729" t="str">
        <f t="shared" si="1741"/>
        <v>DUMERJEAN</v>
      </c>
      <c r="D4729" t="str">
        <f t="shared" si="1742"/>
        <v>09</v>
      </c>
      <c r="E4729" t="str">
        <f>"02 - A - 113 - Amy Beth  Broyles"</f>
        <v>02 - A - 113 - Amy Beth  Broyles</v>
      </c>
      <c r="F4729" t="str">
        <f>"NC STUDY HALL 1"</f>
        <v>NC STUDY HALL 1</v>
      </c>
      <c r="G4729" t="str">
        <f>"08-802"</f>
        <v>08-802</v>
      </c>
      <c r="H4729" t="str">
        <f>"A"</f>
        <v>A</v>
      </c>
    </row>
    <row r="4730" spans="1:8" x14ac:dyDescent="0.2">
      <c r="A4730" t="str">
        <f t="shared" si="1739"/>
        <v>0616046739</v>
      </c>
      <c r="B4730" t="str">
        <f t="shared" si="1740"/>
        <v>KAYLA</v>
      </c>
      <c r="C4730" t="str">
        <f t="shared" si="1741"/>
        <v>DUMERJEAN</v>
      </c>
      <c r="D4730" t="str">
        <f t="shared" si="1742"/>
        <v>09</v>
      </c>
      <c r="E4730" t="str">
        <f>"07 - B - 207 - Krystal Marie  Beruty"</f>
        <v>07 - B - 207 - Krystal Marie  Beruty</v>
      </c>
      <c r="F4730" t="str">
        <f>"AICE GLBL PERSP 1 AS"</f>
        <v>AICE GLBL PERSP 1 AS</v>
      </c>
      <c r="G4730" t="str">
        <f>"17-1721"</f>
        <v>17-1721</v>
      </c>
      <c r="H4730" t="str">
        <f>"B"</f>
        <v>B</v>
      </c>
    </row>
    <row r="4731" spans="1:8" x14ac:dyDescent="0.2">
      <c r="A4731" t="str">
        <f t="shared" si="1739"/>
        <v>0616046739</v>
      </c>
      <c r="B4731" t="str">
        <f t="shared" si="1740"/>
        <v>KAYLA</v>
      </c>
      <c r="C4731" t="str">
        <f t="shared" si="1741"/>
        <v>DUMERJEAN</v>
      </c>
      <c r="D4731" t="str">
        <f t="shared" si="1742"/>
        <v>09</v>
      </c>
      <c r="E4731" t="str">
        <f>"05 - B - 204 - Cheryl L Beach"</f>
        <v>05 - B - 204 - Cheryl L Beach</v>
      </c>
      <c r="F4731" t="str">
        <f>"AICE ENV MGMNT AS"</f>
        <v>AICE ENV MGMNT AS</v>
      </c>
      <c r="G4731" t="str">
        <f>"08-811"</f>
        <v>08-811</v>
      </c>
      <c r="H4731" t="str">
        <f>"B"</f>
        <v>B</v>
      </c>
    </row>
    <row r="4732" spans="1:8" x14ac:dyDescent="0.2">
      <c r="A4732" t="str">
        <f t="shared" si="1739"/>
        <v>0616046739</v>
      </c>
      <c r="B4732" t="str">
        <f t="shared" si="1740"/>
        <v>KAYLA</v>
      </c>
      <c r="C4732" t="str">
        <f t="shared" si="1741"/>
        <v>DUMERJEAN</v>
      </c>
      <c r="D4732" t="str">
        <f t="shared" si="1742"/>
        <v>09</v>
      </c>
      <c r="E4732" t="str">
        <f>"01 - A - 101 - Arthur  Kulawik"</f>
        <v>01 - A - 101 - Arthur  Kulawik</v>
      </c>
      <c r="F4732" t="str">
        <f>"DEBATE 1 LH"</f>
        <v>DEBATE 1 LH</v>
      </c>
      <c r="G4732" t="str">
        <f>"05-506"</f>
        <v>05-506</v>
      </c>
      <c r="H4732" t="str">
        <f>"A"</f>
        <v>A</v>
      </c>
    </row>
    <row r="4733" spans="1:8" x14ac:dyDescent="0.2">
      <c r="A4733" t="str">
        <f t="shared" si="1739"/>
        <v>0616046739</v>
      </c>
      <c r="B4733" t="str">
        <f t="shared" si="1740"/>
        <v>KAYLA</v>
      </c>
      <c r="C4733" t="str">
        <f t="shared" si="1741"/>
        <v>DUMERJEAN</v>
      </c>
      <c r="D4733" t="str">
        <f t="shared" si="1742"/>
        <v>09</v>
      </c>
      <c r="E4733" t="str">
        <f>"08 - B - 004 - Cheryl Anne  Berman-Schechter"</f>
        <v>08 - B - 004 - Cheryl Anne  Berman-Schechter</v>
      </c>
      <c r="F4733" t="str">
        <f>"AICE ENG GEN PAPER 1"</f>
        <v>AICE ENG GEN PAPER 1</v>
      </c>
      <c r="G4733" t="str">
        <f>"17-1722"</f>
        <v>17-1722</v>
      </c>
      <c r="H4733" t="str">
        <f>"B"</f>
        <v>B</v>
      </c>
    </row>
    <row r="4734" spans="1:8" x14ac:dyDescent="0.2">
      <c r="A4734" t="str">
        <f t="shared" ref="A4734:A4741" si="1743">"0616044990"</f>
        <v>0616044990</v>
      </c>
      <c r="B4734" t="str">
        <f t="shared" ref="B4734:B4741" si="1744">"RA'JAI"</f>
        <v>RA'JAI</v>
      </c>
      <c r="C4734" t="str">
        <f t="shared" ref="C4734:C4741" si="1745">"DUNBAR"</f>
        <v>DUNBAR</v>
      </c>
      <c r="D4734">
        <f>10</f>
        <v>10</v>
      </c>
      <c r="E4734" t="str">
        <f>"04 - A - 201 - Dorothy D Moore"</f>
        <v>04 - A - 201 - Dorothy D Moore</v>
      </c>
      <c r="F4734" t="str">
        <f>"HEALTH SCI 1/A&amp;P HON"</f>
        <v>HEALTH SCI 1/A&amp;P HON</v>
      </c>
      <c r="G4734" t="str">
        <f>"08-803"</f>
        <v>08-803</v>
      </c>
      <c r="H4734" t="str">
        <f>"A"</f>
        <v>A</v>
      </c>
    </row>
    <row r="4735" spans="1:8" x14ac:dyDescent="0.2">
      <c r="A4735" t="str">
        <f t="shared" si="1743"/>
        <v>0616044990</v>
      </c>
      <c r="B4735" t="str">
        <f t="shared" si="1744"/>
        <v>RA'JAI</v>
      </c>
      <c r="C4735" t="str">
        <f t="shared" si="1745"/>
        <v>DUNBAR</v>
      </c>
      <c r="D4735">
        <f>10</f>
        <v>10</v>
      </c>
      <c r="E4735" t="str">
        <f>"06 - B - 114 - Richard E Dunbar Iii"</f>
        <v>06 - B - 114 - Richard E Dunbar Iii</v>
      </c>
      <c r="F4735" t="str">
        <f>"NC STUDY HALL 1"</f>
        <v>NC STUDY HALL 1</v>
      </c>
      <c r="G4735" t="str">
        <f>"17-1703"</f>
        <v>17-1703</v>
      </c>
      <c r="H4735" t="str">
        <f>"B"</f>
        <v>B</v>
      </c>
    </row>
    <row r="4736" spans="1:8" x14ac:dyDescent="0.2">
      <c r="A4736" t="str">
        <f t="shared" si="1743"/>
        <v>0616044990</v>
      </c>
      <c r="B4736" t="str">
        <f t="shared" si="1744"/>
        <v>RA'JAI</v>
      </c>
      <c r="C4736" t="str">
        <f t="shared" si="1745"/>
        <v>DUNBAR</v>
      </c>
      <c r="D4736">
        <f>10</f>
        <v>10</v>
      </c>
      <c r="E4736" t="str">
        <f>"03 - A - 001 - Maried P Ramos"</f>
        <v>03 - A - 001 - Maried P Ramos</v>
      </c>
      <c r="F4736" t="str">
        <f>"PRE-AICE MATH 2 IG"</f>
        <v>PRE-AICE MATH 2 IG</v>
      </c>
      <c r="G4736" t="str">
        <f>"21-2159"</f>
        <v>21-2159</v>
      </c>
      <c r="H4736" t="str">
        <f>"A"</f>
        <v>A</v>
      </c>
    </row>
    <row r="4737" spans="1:8" x14ac:dyDescent="0.2">
      <c r="A4737" t="str">
        <f t="shared" si="1743"/>
        <v>0616044990</v>
      </c>
      <c r="B4737" t="str">
        <f t="shared" si="1744"/>
        <v>RA'JAI</v>
      </c>
      <c r="C4737" t="str">
        <f t="shared" si="1745"/>
        <v>DUNBAR</v>
      </c>
      <c r="D4737">
        <f>10</f>
        <v>10</v>
      </c>
      <c r="E4737" t="str">
        <f>"02 - A - 205 - Emmily A Sarmiento"</f>
        <v>02 - A - 205 - Emmily A Sarmiento</v>
      </c>
      <c r="F4737" t="str">
        <f>"AICE GLBL PERSP 1 AS"</f>
        <v>AICE GLBL PERSP 1 AS</v>
      </c>
      <c r="G4737" t="str">
        <f>"17-1743"</f>
        <v>17-1743</v>
      </c>
      <c r="H4737" t="str">
        <f>"A"</f>
        <v>A</v>
      </c>
    </row>
    <row r="4738" spans="1:8" x14ac:dyDescent="0.2">
      <c r="A4738" t="str">
        <f t="shared" si="1743"/>
        <v>0616044990</v>
      </c>
      <c r="B4738" t="str">
        <f t="shared" si="1744"/>
        <v>RA'JAI</v>
      </c>
      <c r="C4738" t="str">
        <f t="shared" si="1745"/>
        <v>DUNBAR</v>
      </c>
      <c r="D4738">
        <f>10</f>
        <v>10</v>
      </c>
      <c r="E4738" t="str">
        <f>"07 - B - 105 - Paige Lauren  Brochu"</f>
        <v>07 - B - 105 - Paige Lauren  Brochu</v>
      </c>
      <c r="F4738" t="str">
        <f>"PRE-AICE BIO IG"</f>
        <v>PRE-AICE BIO IG</v>
      </c>
      <c r="G4738" t="str">
        <f>"21-2134"</f>
        <v>21-2134</v>
      </c>
      <c r="H4738" t="str">
        <f>"B"</f>
        <v>B</v>
      </c>
    </row>
    <row r="4739" spans="1:8" x14ac:dyDescent="0.2">
      <c r="A4739" t="str">
        <f t="shared" si="1743"/>
        <v>0616044990</v>
      </c>
      <c r="B4739" t="str">
        <f t="shared" si="1744"/>
        <v>RA'JAI</v>
      </c>
      <c r="C4739" t="str">
        <f t="shared" si="1745"/>
        <v>DUNBAR</v>
      </c>
      <c r="D4739">
        <f>10</f>
        <v>10</v>
      </c>
      <c r="E4739" t="str">
        <f>"05 - B - 103 - Byron G Montenegro"</f>
        <v>05 - B - 103 - Byron G Montenegro</v>
      </c>
      <c r="F4739" t="str">
        <f>"AICE MARINE SCI 1 AS"</f>
        <v>AICE MARINE SCI 1 AS</v>
      </c>
      <c r="G4739" t="str">
        <f>"21-2144"</f>
        <v>21-2144</v>
      </c>
      <c r="H4739" t="str">
        <f>"B"</f>
        <v>B</v>
      </c>
    </row>
    <row r="4740" spans="1:8" x14ac:dyDescent="0.2">
      <c r="A4740" t="str">
        <f t="shared" si="1743"/>
        <v>0616044990</v>
      </c>
      <c r="B4740" t="str">
        <f t="shared" si="1744"/>
        <v>RA'JAI</v>
      </c>
      <c r="C4740" t="str">
        <f t="shared" si="1745"/>
        <v>DUNBAR</v>
      </c>
      <c r="D4740">
        <f>10</f>
        <v>10</v>
      </c>
      <c r="E4740" t="str">
        <f>"01 - A - 101 - Jacquelyn M Neeson"</f>
        <v>01 - A - 101 - Jacquelyn M Neeson</v>
      </c>
      <c r="F4740" t="str">
        <f>"AICE ENG GEN PAPER 1"</f>
        <v>AICE ENG GEN PAPER 1</v>
      </c>
      <c r="G4740" t="str">
        <f>"17-1715"</f>
        <v>17-1715</v>
      </c>
      <c r="H4740" t="str">
        <f>"A"</f>
        <v>A</v>
      </c>
    </row>
    <row r="4741" spans="1:8" x14ac:dyDescent="0.2">
      <c r="A4741" t="str">
        <f t="shared" si="1743"/>
        <v>0616044990</v>
      </c>
      <c r="B4741" t="str">
        <f t="shared" si="1744"/>
        <v>RA'JAI</v>
      </c>
      <c r="C4741" t="str">
        <f t="shared" si="1745"/>
        <v>DUNBAR</v>
      </c>
      <c r="D4741">
        <f>10</f>
        <v>10</v>
      </c>
      <c r="E4741" t="str">
        <f>"08 - S1 - B - 102 - Kyle  Robbins"</f>
        <v>08 - S1 - B - 102 - Kyle  Robbins</v>
      </c>
      <c r="F4741" t="str">
        <f>"PERS FIN &amp; MON MGT H"</f>
        <v>PERS FIN &amp; MON MGT H</v>
      </c>
      <c r="G4741" t="str">
        <f>"17-1745"</f>
        <v>17-1745</v>
      </c>
      <c r="H4741" t="str">
        <f>"B"</f>
        <v>B</v>
      </c>
    </row>
    <row r="4742" spans="1:8" x14ac:dyDescent="0.2">
      <c r="A4742" t="str">
        <f t="shared" ref="A4742:A4749" si="1746">"0617051423"</f>
        <v>0617051423</v>
      </c>
      <c r="B4742" t="str">
        <f t="shared" ref="B4742:B4749" si="1747">"HAVEN"</f>
        <v>HAVEN</v>
      </c>
      <c r="C4742" t="str">
        <f t="shared" ref="C4742:C4749" si="1748">"DUNN"</f>
        <v>DUNN</v>
      </c>
      <c r="D4742" t="str">
        <f t="shared" ref="D4742:D4749" si="1749">"09"</f>
        <v>09</v>
      </c>
      <c r="E4742" t="str">
        <f>"04 - A - 101 - Chrystina M Marchionne"</f>
        <v>04 - A - 101 - Chrystina M Marchionne</v>
      </c>
      <c r="F4742" t="str">
        <f>"THEA CIN &amp; FILM LH"</f>
        <v>THEA CIN &amp; FILM LH</v>
      </c>
      <c r="G4742" t="str">
        <f>"05-520"</f>
        <v>05-520</v>
      </c>
      <c r="H4742" t="str">
        <f>"A"</f>
        <v>A</v>
      </c>
    </row>
    <row r="4743" spans="1:8" x14ac:dyDescent="0.2">
      <c r="A4743" t="str">
        <f t="shared" si="1746"/>
        <v>0617051423</v>
      </c>
      <c r="B4743" t="str">
        <f t="shared" si="1747"/>
        <v>HAVEN</v>
      </c>
      <c r="C4743" t="str">
        <f t="shared" si="1748"/>
        <v>DUNN</v>
      </c>
      <c r="D4743" t="str">
        <f t="shared" si="1749"/>
        <v>09</v>
      </c>
      <c r="E4743" t="str">
        <f>"06 - B - 104 - Byron G Montenegro"</f>
        <v>06 - B - 104 - Byron G Montenegro</v>
      </c>
      <c r="F4743" t="str">
        <f>"AICE MARINE SCI 1 AS"</f>
        <v>AICE MARINE SCI 1 AS</v>
      </c>
      <c r="G4743" t="str">
        <f>"21-2144"</f>
        <v>21-2144</v>
      </c>
      <c r="H4743" t="str">
        <f>"B"</f>
        <v>B</v>
      </c>
    </row>
    <row r="4744" spans="1:8" x14ac:dyDescent="0.2">
      <c r="A4744" t="str">
        <f t="shared" si="1746"/>
        <v>0617051423</v>
      </c>
      <c r="B4744" t="str">
        <f t="shared" si="1747"/>
        <v>HAVEN</v>
      </c>
      <c r="C4744" t="str">
        <f t="shared" si="1748"/>
        <v>DUNN</v>
      </c>
      <c r="D4744" t="str">
        <f t="shared" si="1749"/>
        <v>09</v>
      </c>
      <c r="E4744" t="str">
        <f>"03 - A - 103 - Kelly N Panza"</f>
        <v>03 - A - 103 - Kelly N Panza</v>
      </c>
      <c r="F4744" t="str">
        <f>"AICE GLBL PERSP 1 AS"</f>
        <v>AICE GLBL PERSP 1 AS</v>
      </c>
      <c r="G4744" t="str">
        <f>"17-1753"</f>
        <v>17-1753</v>
      </c>
      <c r="H4744" t="str">
        <f>"A"</f>
        <v>A</v>
      </c>
    </row>
    <row r="4745" spans="1:8" x14ac:dyDescent="0.2">
      <c r="A4745" t="str">
        <f t="shared" si="1746"/>
        <v>0617051423</v>
      </c>
      <c r="B4745" t="str">
        <f t="shared" si="1747"/>
        <v>HAVEN</v>
      </c>
      <c r="C4745" t="str">
        <f t="shared" si="1748"/>
        <v>DUNN</v>
      </c>
      <c r="D4745" t="str">
        <f t="shared" si="1749"/>
        <v>09</v>
      </c>
      <c r="E4745" t="str">
        <f>"02 - A - 112 - Cheryl Anne  Berman-Schechter"</f>
        <v>02 - A - 112 - Cheryl Anne  Berman-Schechter</v>
      </c>
      <c r="F4745" t="str">
        <f>"NC STUDY HALL 1"</f>
        <v>NC STUDY HALL 1</v>
      </c>
      <c r="G4745" t="str">
        <f>"17-1722"</f>
        <v>17-1722</v>
      </c>
      <c r="H4745" t="str">
        <f>"A"</f>
        <v>A</v>
      </c>
    </row>
    <row r="4746" spans="1:8" x14ac:dyDescent="0.2">
      <c r="A4746" t="str">
        <f t="shared" si="1746"/>
        <v>0617051423</v>
      </c>
      <c r="B4746" t="str">
        <f t="shared" si="1747"/>
        <v>HAVEN</v>
      </c>
      <c r="C4746" t="str">
        <f t="shared" si="1748"/>
        <v>DUNN</v>
      </c>
      <c r="D4746" t="str">
        <f t="shared" si="1749"/>
        <v>09</v>
      </c>
      <c r="E4746" t="str">
        <f>"07 - B - 003 - Brandy N Zdenek"</f>
        <v>07 - B - 003 - Brandy N Zdenek</v>
      </c>
      <c r="F4746" t="str">
        <f>"AICE ENG GEN PAPER 1"</f>
        <v>AICE ENG GEN PAPER 1</v>
      </c>
      <c r="G4746" t="str">
        <f>"17-1704"</f>
        <v>17-1704</v>
      </c>
      <c r="H4746" t="str">
        <f>"B"</f>
        <v>B</v>
      </c>
    </row>
    <row r="4747" spans="1:8" x14ac:dyDescent="0.2">
      <c r="A4747" t="str">
        <f t="shared" si="1746"/>
        <v>0617051423</v>
      </c>
      <c r="B4747" t="str">
        <f t="shared" si="1747"/>
        <v>HAVEN</v>
      </c>
      <c r="C4747" t="str">
        <f t="shared" si="1748"/>
        <v>DUNN</v>
      </c>
      <c r="D4747" t="str">
        <f t="shared" si="1749"/>
        <v>09</v>
      </c>
      <c r="E4747" t="str">
        <f>"05 - B - 103 - Eva T Rimmer"</f>
        <v>05 - B - 103 - Eva T Rimmer</v>
      </c>
      <c r="F4747" t="str">
        <f>"CRIMINAL JUST OPS 1"</f>
        <v>CRIMINAL JUST OPS 1</v>
      </c>
      <c r="G4747" t="str">
        <f>"05-523"</f>
        <v>05-523</v>
      </c>
      <c r="H4747" t="str">
        <f>"B"</f>
        <v>B</v>
      </c>
    </row>
    <row r="4748" spans="1:8" x14ac:dyDescent="0.2">
      <c r="A4748" t="str">
        <f t="shared" si="1746"/>
        <v>0617051423</v>
      </c>
      <c r="B4748" t="str">
        <f t="shared" si="1747"/>
        <v>HAVEN</v>
      </c>
      <c r="C4748" t="str">
        <f t="shared" si="1748"/>
        <v>DUNN</v>
      </c>
      <c r="D4748" t="str">
        <f t="shared" si="1749"/>
        <v>09</v>
      </c>
      <c r="E4748" t="str">
        <f>"01 - A - 504 - Alejandro  Navarro"</f>
        <v>01 - A - 504 - Alejandro  Navarro</v>
      </c>
      <c r="F4748" t="str">
        <f>"BAND 1"</f>
        <v>BAND 1</v>
      </c>
      <c r="G4748" t="str">
        <f>"05-504"</f>
        <v>05-504</v>
      </c>
      <c r="H4748" t="str">
        <f>"A"</f>
        <v>A</v>
      </c>
    </row>
    <row r="4749" spans="1:8" x14ac:dyDescent="0.2">
      <c r="A4749" t="str">
        <f t="shared" si="1746"/>
        <v>0617051423</v>
      </c>
      <c r="B4749" t="str">
        <f t="shared" si="1747"/>
        <v>HAVEN</v>
      </c>
      <c r="C4749" t="str">
        <f t="shared" si="1748"/>
        <v>DUNN</v>
      </c>
      <c r="D4749" t="str">
        <f t="shared" si="1749"/>
        <v>09</v>
      </c>
      <c r="E4749" t="str">
        <f>"08 - B - 107 - Dayna M Foster"</f>
        <v>08 - B - 107 - Dayna M Foster</v>
      </c>
      <c r="F4749" t="str">
        <f>"ALGEBRA 2"</f>
        <v>ALGEBRA 2</v>
      </c>
      <c r="G4749" t="str">
        <f>"21-2109"</f>
        <v>21-2109</v>
      </c>
      <c r="H4749" t="str">
        <f>"B"</f>
        <v>B</v>
      </c>
    </row>
    <row r="4750" spans="1:8" x14ac:dyDescent="0.2">
      <c r="A4750" t="str">
        <f t="shared" ref="A4750:A4757" si="1750">"0615068095"</f>
        <v>0615068095</v>
      </c>
      <c r="B4750" t="str">
        <f t="shared" ref="B4750:B4757" si="1751">"BRIANNA"</f>
        <v>BRIANNA</v>
      </c>
      <c r="C4750" t="str">
        <f t="shared" ref="C4750:C4757" si="1752">"DUQUE"</f>
        <v>DUQUE</v>
      </c>
      <c r="D4750">
        <f>11</f>
        <v>11</v>
      </c>
      <c r="E4750" t="str">
        <f>"04 - A - 102 - Lisa J London"</f>
        <v>04 - A - 102 - Lisa J London</v>
      </c>
      <c r="F4750" t="str">
        <f>"AP CAPSTONE SEMINAR"</f>
        <v>AP CAPSTONE SEMINAR</v>
      </c>
      <c r="G4750" t="str">
        <f>"17-1714"</f>
        <v>17-1714</v>
      </c>
      <c r="H4750" t="str">
        <f>"A"</f>
        <v>A</v>
      </c>
    </row>
    <row r="4751" spans="1:8" x14ac:dyDescent="0.2">
      <c r="A4751" t="str">
        <f t="shared" si="1750"/>
        <v>0615068095</v>
      </c>
      <c r="B4751" t="str">
        <f t="shared" si="1751"/>
        <v>BRIANNA</v>
      </c>
      <c r="C4751" t="str">
        <f t="shared" si="1752"/>
        <v>DUQUE</v>
      </c>
      <c r="D4751">
        <f>11</f>
        <v>11</v>
      </c>
      <c r="E4751" t="str">
        <f>"06 - B - 001 - Lourivaldo  Da Silva"</f>
        <v>06 - B - 001 - Lourivaldo  Da Silva</v>
      </c>
      <c r="F4751" t="str">
        <f>"PRE-CALCULUS HON"</f>
        <v>PRE-CALCULUS HON</v>
      </c>
      <c r="G4751" t="str">
        <f>"20-2079"</f>
        <v>20-2079</v>
      </c>
      <c r="H4751" t="str">
        <f>"B"</f>
        <v>B</v>
      </c>
    </row>
    <row r="4752" spans="1:8" x14ac:dyDescent="0.2">
      <c r="A4752" t="str">
        <f t="shared" si="1750"/>
        <v>0615068095</v>
      </c>
      <c r="B4752" t="str">
        <f t="shared" si="1751"/>
        <v>BRIANNA</v>
      </c>
      <c r="C4752" t="str">
        <f t="shared" si="1752"/>
        <v>DUQUE</v>
      </c>
      <c r="D4752">
        <f>11</f>
        <v>11</v>
      </c>
      <c r="E4752" t="str">
        <f>"03 - A - 102 - Tina M Jaramillo"</f>
        <v>03 - A - 102 - Tina M Jaramillo</v>
      </c>
      <c r="F4752" t="str">
        <f>"AP ENG COMPO"</f>
        <v>AP ENG COMPO</v>
      </c>
      <c r="G4752" t="str">
        <f>"17-1706"</f>
        <v>17-1706</v>
      </c>
      <c r="H4752" t="str">
        <f>"A"</f>
        <v>A</v>
      </c>
    </row>
    <row r="4753" spans="1:8" x14ac:dyDescent="0.2">
      <c r="A4753" t="str">
        <f t="shared" si="1750"/>
        <v>0615068095</v>
      </c>
      <c r="B4753" t="str">
        <f t="shared" si="1751"/>
        <v>BRIANNA</v>
      </c>
      <c r="C4753" t="str">
        <f t="shared" si="1752"/>
        <v>DUQUE</v>
      </c>
      <c r="D4753">
        <f>11</f>
        <v>11</v>
      </c>
      <c r="E4753" t="str">
        <f>"02 - A - 102 - Brook E Goren"</f>
        <v>02 - A - 102 - Brook E Goren</v>
      </c>
      <c r="F4753" t="str">
        <f>"NC STUDY HALL 1"</f>
        <v>NC STUDY HALL 1</v>
      </c>
      <c r="G4753" t="str">
        <f>"21-2158"</f>
        <v>21-2158</v>
      </c>
      <c r="H4753" t="str">
        <f>"A"</f>
        <v>A</v>
      </c>
    </row>
    <row r="4754" spans="1:8" x14ac:dyDescent="0.2">
      <c r="A4754" t="str">
        <f t="shared" si="1750"/>
        <v>0615068095</v>
      </c>
      <c r="B4754" t="str">
        <f t="shared" si="1751"/>
        <v>BRIANNA</v>
      </c>
      <c r="C4754" t="str">
        <f t="shared" si="1752"/>
        <v>DUQUE</v>
      </c>
      <c r="D4754">
        <f>11</f>
        <v>11</v>
      </c>
      <c r="E4754" t="str">
        <f>"07 - B - 105 - Josiah I Lacy"</f>
        <v>07 - B - 105 - Josiah I Lacy</v>
      </c>
      <c r="F4754" t="str">
        <f>"ANAT PHYSIO HON"</f>
        <v>ANAT PHYSIO HON</v>
      </c>
      <c r="G4754" t="str">
        <f>"08-801"</f>
        <v>08-801</v>
      </c>
      <c r="H4754" t="str">
        <f>"B"</f>
        <v>B</v>
      </c>
    </row>
    <row r="4755" spans="1:8" x14ac:dyDescent="0.2">
      <c r="A4755" t="str">
        <f t="shared" si="1750"/>
        <v>0615068095</v>
      </c>
      <c r="B4755" t="str">
        <f t="shared" si="1751"/>
        <v>BRIANNA</v>
      </c>
      <c r="C4755" t="str">
        <f t="shared" si="1752"/>
        <v>DUQUE</v>
      </c>
      <c r="D4755">
        <f>11</f>
        <v>11</v>
      </c>
      <c r="E4755" t="str">
        <f>"05 - B - 001 - Kyle  Robbins"</f>
        <v>05 - B - 001 - Kyle  Robbins</v>
      </c>
      <c r="F4755" t="str">
        <f>"US HISTORY HON"</f>
        <v>US HISTORY HON</v>
      </c>
      <c r="G4755" t="str">
        <f>"17-1745"</f>
        <v>17-1745</v>
      </c>
      <c r="H4755" t="str">
        <f>"B"</f>
        <v>B</v>
      </c>
    </row>
    <row r="4756" spans="1:8" x14ac:dyDescent="0.2">
      <c r="A4756" t="str">
        <f t="shared" si="1750"/>
        <v>0615068095</v>
      </c>
      <c r="B4756" t="str">
        <f t="shared" si="1751"/>
        <v>BRIANNA</v>
      </c>
      <c r="C4756" t="str">
        <f t="shared" si="1752"/>
        <v>DUQUE</v>
      </c>
      <c r="D4756">
        <f>11</f>
        <v>11</v>
      </c>
      <c r="E4756" t="str">
        <f>"01 - A - 201 - Stefanie S Scher"</f>
        <v>01 - A - 201 - Stefanie S Scher</v>
      </c>
      <c r="F4756" t="str">
        <f>"AICE PSYCH 1 AS"</f>
        <v>AICE PSYCH 1 AS</v>
      </c>
      <c r="G4756" t="str">
        <f>"17-1735"</f>
        <v>17-1735</v>
      </c>
      <c r="H4756" t="str">
        <f>"A"</f>
        <v>A</v>
      </c>
    </row>
    <row r="4757" spans="1:8" x14ac:dyDescent="0.2">
      <c r="A4757" t="str">
        <f t="shared" si="1750"/>
        <v>0615068095</v>
      </c>
      <c r="B4757" t="str">
        <f t="shared" si="1751"/>
        <v>BRIANNA</v>
      </c>
      <c r="C4757" t="str">
        <f t="shared" si="1752"/>
        <v>DUQUE</v>
      </c>
      <c r="D4757">
        <f>11</f>
        <v>11</v>
      </c>
      <c r="E4757" t="str">
        <f>"08 - S1 - B - 101 - Amy Beth  Broyles"</f>
        <v>08 - S1 - B - 101 - Amy Beth  Broyles</v>
      </c>
      <c r="F4757" t="str">
        <f>"PEER COUN 3"</f>
        <v>PEER COUN 3</v>
      </c>
      <c r="G4757" t="str">
        <f>"17-1713"</f>
        <v>17-1713</v>
      </c>
      <c r="H4757" t="str">
        <f>"B"</f>
        <v>B</v>
      </c>
    </row>
    <row r="4758" spans="1:8" x14ac:dyDescent="0.2">
      <c r="A4758" t="str">
        <f t="shared" ref="A4758:A4766" si="1753">"0614035102"</f>
        <v>0614035102</v>
      </c>
      <c r="B4758" t="str">
        <f t="shared" ref="B4758:B4766" si="1754">"HANSEN"</f>
        <v>HANSEN</v>
      </c>
      <c r="C4758" t="str">
        <f t="shared" ref="C4758:C4766" si="1755">"DURAND"</f>
        <v>DURAND</v>
      </c>
      <c r="D4758">
        <f>12</f>
        <v>12</v>
      </c>
      <c r="E4758" t="str">
        <f>"19 - S1 - MTWHF - BCC - Instructor BC"</f>
        <v>19 - S1 - MTWHF - BCC - Instructor BC</v>
      </c>
      <c r="F4758" t="str">
        <f>"INTRO SPE COMM"</f>
        <v>INTRO SPE COMM</v>
      </c>
      <c r="G4758" t="str">
        <f>"60-DE"</f>
        <v>60-DE</v>
      </c>
      <c r="H4758" t="str">
        <f>"-"</f>
        <v>-</v>
      </c>
    </row>
    <row r="4759" spans="1:8" x14ac:dyDescent="0.2">
      <c r="A4759" t="str">
        <f t="shared" si="1753"/>
        <v>0614035102</v>
      </c>
      <c r="B4759" t="str">
        <f t="shared" si="1754"/>
        <v>HANSEN</v>
      </c>
      <c r="C4759" t="str">
        <f t="shared" si="1755"/>
        <v>DURAND</v>
      </c>
      <c r="D4759">
        <f>12</f>
        <v>12</v>
      </c>
      <c r="E4759" t="str">
        <f>"04 - A - 106 - Tina M Jaramillo"</f>
        <v>04 - A - 106 - Tina M Jaramillo</v>
      </c>
      <c r="F4759" t="str">
        <f>"AP ENG LIT COMPO"</f>
        <v>AP ENG LIT COMPO</v>
      </c>
      <c r="G4759" t="str">
        <f>"17-1706"</f>
        <v>17-1706</v>
      </c>
      <c r="H4759" t="str">
        <f>"A"</f>
        <v>A</v>
      </c>
    </row>
    <row r="4760" spans="1:8" x14ac:dyDescent="0.2">
      <c r="A4760" t="str">
        <f t="shared" si="1753"/>
        <v>0614035102</v>
      </c>
      <c r="B4760" t="str">
        <f t="shared" si="1754"/>
        <v>HANSEN</v>
      </c>
      <c r="C4760" t="str">
        <f t="shared" si="1755"/>
        <v>DURAND</v>
      </c>
      <c r="D4760">
        <f>12</f>
        <v>12</v>
      </c>
      <c r="E4760" t="str">
        <f>"06 - B - 112 - Lisa  Quinn"</f>
        <v>06 - B - 112 - Lisa  Quinn</v>
      </c>
      <c r="F4760" t="str">
        <f>"NC STUDY HALL 1"</f>
        <v>NC STUDY HALL 1</v>
      </c>
      <c r="G4760" t="str">
        <f>"17-1725"</f>
        <v>17-1725</v>
      </c>
      <c r="H4760" t="str">
        <f>"B"</f>
        <v>B</v>
      </c>
    </row>
    <row r="4761" spans="1:8" x14ac:dyDescent="0.2">
      <c r="A4761" t="str">
        <f t="shared" si="1753"/>
        <v>0614035102</v>
      </c>
      <c r="B4761" t="str">
        <f t="shared" si="1754"/>
        <v>HANSEN</v>
      </c>
      <c r="C4761" t="str">
        <f t="shared" si="1755"/>
        <v>DURAND</v>
      </c>
      <c r="D4761">
        <f>12</f>
        <v>12</v>
      </c>
      <c r="E4761" t="str">
        <f>"03 - A - 101 - Lisa J London"</f>
        <v>03 - A - 101 - Lisa J London</v>
      </c>
      <c r="F4761" t="str">
        <f>"AP CAPSTONE RESEARCH"</f>
        <v>AP CAPSTONE RESEARCH</v>
      </c>
      <c r="G4761" t="str">
        <f>"17-1714"</f>
        <v>17-1714</v>
      </c>
      <c r="H4761" t="str">
        <f>"A"</f>
        <v>A</v>
      </c>
    </row>
    <row r="4762" spans="1:8" x14ac:dyDescent="0.2">
      <c r="A4762" t="str">
        <f t="shared" si="1753"/>
        <v>0614035102</v>
      </c>
      <c r="B4762" t="str">
        <f t="shared" si="1754"/>
        <v>HANSEN</v>
      </c>
      <c r="C4762" t="str">
        <f t="shared" si="1755"/>
        <v>DURAND</v>
      </c>
      <c r="D4762">
        <f>12</f>
        <v>12</v>
      </c>
      <c r="E4762" t="str">
        <f>"02 - A - 102 - Marielle A Witting"</f>
        <v>02 - A - 102 - Marielle A Witting</v>
      </c>
      <c r="F4762" t="str">
        <f>"AP BIO"</f>
        <v>AP BIO</v>
      </c>
      <c r="G4762" t="str">
        <f>"08-805"</f>
        <v>08-805</v>
      </c>
      <c r="H4762" t="str">
        <f>"A"</f>
        <v>A</v>
      </c>
    </row>
    <row r="4763" spans="1:8" x14ac:dyDescent="0.2">
      <c r="A4763" t="str">
        <f t="shared" si="1753"/>
        <v>0614035102</v>
      </c>
      <c r="B4763" t="str">
        <f t="shared" si="1754"/>
        <v>HANSEN</v>
      </c>
      <c r="C4763" t="str">
        <f t="shared" si="1755"/>
        <v>DURAND</v>
      </c>
      <c r="D4763">
        <f>12</f>
        <v>12</v>
      </c>
      <c r="E4763" t="str">
        <f>"07 - B - 201 - Jacqueline R Morphet"</f>
        <v>07 - B - 201 - Jacqueline R Morphet</v>
      </c>
      <c r="F4763" t="str">
        <f>"AP PHYSICS C: ME"</f>
        <v>AP PHYSICS C: ME</v>
      </c>
      <c r="G4763" t="str">
        <f>"21-2138"</f>
        <v>21-2138</v>
      </c>
      <c r="H4763" t="str">
        <f>"B"</f>
        <v>B</v>
      </c>
    </row>
    <row r="4764" spans="1:8" x14ac:dyDescent="0.2">
      <c r="A4764" t="str">
        <f t="shared" si="1753"/>
        <v>0614035102</v>
      </c>
      <c r="B4764" t="str">
        <f t="shared" si="1754"/>
        <v>HANSEN</v>
      </c>
      <c r="C4764" t="str">
        <f t="shared" si="1755"/>
        <v>DURAND</v>
      </c>
      <c r="D4764">
        <f>12</f>
        <v>12</v>
      </c>
      <c r="E4764" t="str">
        <f>"05 - S1 - B - 103 - Stephen T Ripp"</f>
        <v>05 - S1 - B - 103 - Stephen T Ripp</v>
      </c>
      <c r="F4764" t="str">
        <f>"AP US GOVT/POL"</f>
        <v>AP US GOVT/POL</v>
      </c>
      <c r="G4764" t="str">
        <f>"17-1744"</f>
        <v>17-1744</v>
      </c>
      <c r="H4764" t="str">
        <f>"B"</f>
        <v>B</v>
      </c>
    </row>
    <row r="4765" spans="1:8" x14ac:dyDescent="0.2">
      <c r="A4765" t="str">
        <f t="shared" si="1753"/>
        <v>0614035102</v>
      </c>
      <c r="B4765" t="str">
        <f t="shared" si="1754"/>
        <v>HANSEN</v>
      </c>
      <c r="C4765" t="str">
        <f t="shared" si="1755"/>
        <v>DURAND</v>
      </c>
      <c r="D4765">
        <f>12</f>
        <v>12</v>
      </c>
      <c r="E4765" t="str">
        <f>"01 - A - 201 - Pamela M Corzo"</f>
        <v>01 - A - 201 - Pamela M Corzo</v>
      </c>
      <c r="F4765" t="str">
        <f>"AP CALCULUS BC"</f>
        <v>AP CALCULUS BC</v>
      </c>
      <c r="G4765" t="str">
        <f>"21-2133"</f>
        <v>21-2133</v>
      </c>
      <c r="H4765" t="str">
        <f>"A"</f>
        <v>A</v>
      </c>
    </row>
    <row r="4766" spans="1:8" x14ac:dyDescent="0.2">
      <c r="A4766" t="str">
        <f t="shared" si="1753"/>
        <v>0614035102</v>
      </c>
      <c r="B4766" t="str">
        <f t="shared" si="1754"/>
        <v>HANSEN</v>
      </c>
      <c r="C4766" t="str">
        <f t="shared" si="1755"/>
        <v>DURAND</v>
      </c>
      <c r="D4766">
        <f>12</f>
        <v>12</v>
      </c>
      <c r="E4766" t="str">
        <f>"08 - B - 102 - Pamela M Corzo"</f>
        <v>08 - B - 102 - Pamela M Corzo</v>
      </c>
      <c r="F4766" t="str">
        <f>"AP STAT"</f>
        <v>AP STAT</v>
      </c>
      <c r="G4766" t="str">
        <f>"21-2133"</f>
        <v>21-2133</v>
      </c>
      <c r="H4766" t="str">
        <f>"B"</f>
        <v>B</v>
      </c>
    </row>
    <row r="4767" spans="1:8" x14ac:dyDescent="0.2">
      <c r="A4767" t="str">
        <f t="shared" ref="A4767:A4774" si="1756">"0614142004"</f>
        <v>0614142004</v>
      </c>
      <c r="B4767" t="str">
        <f t="shared" ref="B4767:B4774" si="1757">"LOUINICHA"</f>
        <v>LOUINICHA</v>
      </c>
      <c r="C4767" t="str">
        <f t="shared" ref="C4767:C4774" si="1758">"DURANT"</f>
        <v>DURANT</v>
      </c>
      <c r="D4767">
        <f>11</f>
        <v>11</v>
      </c>
      <c r="E4767" t="str">
        <f>"04 - A - 103 - Lourivaldo  Da Silva"</f>
        <v>04 - A - 103 - Lourivaldo  Da Silva</v>
      </c>
      <c r="F4767" t="str">
        <f>"PRE-CALCULUS HON"</f>
        <v>PRE-CALCULUS HON</v>
      </c>
      <c r="G4767" t="str">
        <f>"20-2079"</f>
        <v>20-2079</v>
      </c>
      <c r="H4767" t="str">
        <f>"A"</f>
        <v>A</v>
      </c>
    </row>
    <row r="4768" spans="1:8" x14ac:dyDescent="0.2">
      <c r="A4768" t="str">
        <f t="shared" si="1756"/>
        <v>0614142004</v>
      </c>
      <c r="B4768" t="str">
        <f t="shared" si="1757"/>
        <v>LOUINICHA</v>
      </c>
      <c r="C4768" t="str">
        <f t="shared" si="1758"/>
        <v>DURANT</v>
      </c>
      <c r="D4768">
        <f>11</f>
        <v>11</v>
      </c>
      <c r="E4768" t="str">
        <f>"06 - S1 - B - 104 - Leslie J Barton"</f>
        <v>06 - S1 - B - 104 - Leslie J Barton</v>
      </c>
      <c r="F4768" t="str">
        <f>"FIRST AID SAFETY"</f>
        <v>FIRST AID SAFETY</v>
      </c>
      <c r="G4768" t="str">
        <f>"05-521"</f>
        <v>05-521</v>
      </c>
      <c r="H4768" t="str">
        <f>"B"</f>
        <v>B</v>
      </c>
    </row>
    <row r="4769" spans="1:8" x14ac:dyDescent="0.2">
      <c r="A4769" t="str">
        <f t="shared" si="1756"/>
        <v>0614142004</v>
      </c>
      <c r="B4769" t="str">
        <f t="shared" si="1757"/>
        <v>LOUINICHA</v>
      </c>
      <c r="C4769" t="str">
        <f t="shared" si="1758"/>
        <v>DURANT</v>
      </c>
      <c r="D4769">
        <f>11</f>
        <v>11</v>
      </c>
      <c r="E4769" t="str">
        <f>"03 - A - 106 - Krystal Marie  Beruty"</f>
        <v>03 - A - 106 - Krystal Marie  Beruty</v>
      </c>
      <c r="F4769" t="str">
        <f>"AICE PSYCH 1 AS"</f>
        <v>AICE PSYCH 1 AS</v>
      </c>
      <c r="G4769" t="str">
        <f>"17-1721"</f>
        <v>17-1721</v>
      </c>
      <c r="H4769" t="str">
        <f>"A"</f>
        <v>A</v>
      </c>
    </row>
    <row r="4770" spans="1:8" x14ac:dyDescent="0.2">
      <c r="A4770" t="str">
        <f t="shared" si="1756"/>
        <v>0614142004</v>
      </c>
      <c r="B4770" t="str">
        <f t="shared" si="1757"/>
        <v>LOUINICHA</v>
      </c>
      <c r="C4770" t="str">
        <f t="shared" si="1758"/>
        <v>DURANT</v>
      </c>
      <c r="D4770">
        <f>11</f>
        <v>11</v>
      </c>
      <c r="E4770" t="str">
        <f>"02 - A - 113 - Byron G Montenegro"</f>
        <v>02 - A - 113 - Byron G Montenegro</v>
      </c>
      <c r="F4770" t="str">
        <f>"NC STUDY HALL 1"</f>
        <v>NC STUDY HALL 1</v>
      </c>
      <c r="G4770" t="str">
        <f>"21-2144"</f>
        <v>21-2144</v>
      </c>
      <c r="H4770" t="str">
        <f>"A"</f>
        <v>A</v>
      </c>
    </row>
    <row r="4771" spans="1:8" x14ac:dyDescent="0.2">
      <c r="A4771" t="str">
        <f t="shared" si="1756"/>
        <v>0614142004</v>
      </c>
      <c r="B4771" t="str">
        <f t="shared" si="1757"/>
        <v>LOUINICHA</v>
      </c>
      <c r="C4771" t="str">
        <f t="shared" si="1758"/>
        <v>DURANT</v>
      </c>
      <c r="D4771">
        <f>11</f>
        <v>11</v>
      </c>
      <c r="E4771" t="str">
        <f>"07 - B - 002 - Jordana K Hass"</f>
        <v>07 - B - 002 - Jordana K Hass</v>
      </c>
      <c r="F4771" t="str">
        <f>"CHEMISTRY 1 HON"</f>
        <v>CHEMISTRY 1 HON</v>
      </c>
      <c r="G4771" t="str">
        <f>"08-807"</f>
        <v>08-807</v>
      </c>
      <c r="H4771" t="str">
        <f>"B"</f>
        <v>B</v>
      </c>
    </row>
    <row r="4772" spans="1:8" x14ac:dyDescent="0.2">
      <c r="A4772" t="str">
        <f t="shared" si="1756"/>
        <v>0614142004</v>
      </c>
      <c r="B4772" t="str">
        <f t="shared" si="1757"/>
        <v>LOUINICHA</v>
      </c>
      <c r="C4772" t="str">
        <f t="shared" si="1758"/>
        <v>DURANT</v>
      </c>
      <c r="D4772">
        <f>11</f>
        <v>11</v>
      </c>
      <c r="E4772" t="str">
        <f>"05 - B - 101 - Brian M Fitzgerald"</f>
        <v>05 - B - 101 - Brian M Fitzgerald</v>
      </c>
      <c r="F4772" t="str">
        <f>"PAINT 1"</f>
        <v>PAINT 1</v>
      </c>
      <c r="G4772" t="str">
        <f>"09-908"</f>
        <v>09-908</v>
      </c>
      <c r="H4772" t="str">
        <f>"B"</f>
        <v>B</v>
      </c>
    </row>
    <row r="4773" spans="1:8" x14ac:dyDescent="0.2">
      <c r="A4773" t="str">
        <f t="shared" si="1756"/>
        <v>0614142004</v>
      </c>
      <c r="B4773" t="str">
        <f t="shared" si="1757"/>
        <v>LOUINICHA</v>
      </c>
      <c r="C4773" t="str">
        <f t="shared" si="1758"/>
        <v>DURANT</v>
      </c>
      <c r="D4773">
        <f>11</f>
        <v>11</v>
      </c>
      <c r="E4773" t="str">
        <f>"01 - A - 101 - Jacklyn M James"</f>
        <v>01 - A - 101 - Jacklyn M James</v>
      </c>
      <c r="F4773" t="str">
        <f>"AICE ENG LANG AS"</f>
        <v>AICE ENG LANG AS</v>
      </c>
      <c r="G4773" t="str">
        <f>"17-1731"</f>
        <v>17-1731</v>
      </c>
      <c r="H4773" t="str">
        <f>"A"</f>
        <v>A</v>
      </c>
    </row>
    <row r="4774" spans="1:8" x14ac:dyDescent="0.2">
      <c r="A4774" t="str">
        <f t="shared" si="1756"/>
        <v>0614142004</v>
      </c>
      <c r="B4774" t="str">
        <f t="shared" si="1757"/>
        <v>LOUINICHA</v>
      </c>
      <c r="C4774" t="str">
        <f t="shared" si="1758"/>
        <v>DURANT</v>
      </c>
      <c r="D4774">
        <f>11</f>
        <v>11</v>
      </c>
      <c r="E4774" t="str">
        <f>"08 - B - 001 - Jerry S Jiampetti"</f>
        <v>08 - B - 001 - Jerry S Jiampetti</v>
      </c>
      <c r="F4774" t="str">
        <f>"AICE U.S. HIST 1 AS"</f>
        <v>AICE U.S. HIST 1 AS</v>
      </c>
      <c r="G4774" t="str">
        <f>"17-1751"</f>
        <v>17-1751</v>
      </c>
      <c r="H4774" t="str">
        <f>"B"</f>
        <v>B</v>
      </c>
    </row>
    <row r="4775" spans="1:8" x14ac:dyDescent="0.2">
      <c r="A4775" t="str">
        <f t="shared" ref="A4775:A4782" si="1759">"0614140175"</f>
        <v>0614140175</v>
      </c>
      <c r="B4775" t="str">
        <f t="shared" ref="B4775:B4782" si="1760">"JAIDEN"</f>
        <v>JAIDEN</v>
      </c>
      <c r="C4775" t="str">
        <f t="shared" ref="C4775:C4806" si="1761">"DUROSEAU"</f>
        <v>DUROSEAU</v>
      </c>
      <c r="D4775">
        <f>11</f>
        <v>11</v>
      </c>
      <c r="E4775" t="str">
        <f>"04 - A - 101 - Thomas G Handwerg"</f>
        <v>04 - A - 101 - Thomas G Handwerg</v>
      </c>
      <c r="F4775" t="str">
        <f>"MATH COLL ALGEBRA"</f>
        <v>MATH COLL ALGEBRA</v>
      </c>
      <c r="G4775" t="str">
        <f>"21-2146"</f>
        <v>21-2146</v>
      </c>
      <c r="H4775" t="str">
        <f>"A"</f>
        <v>A</v>
      </c>
    </row>
    <row r="4776" spans="1:8" x14ac:dyDescent="0.2">
      <c r="A4776" t="str">
        <f t="shared" si="1759"/>
        <v>0614140175</v>
      </c>
      <c r="B4776" t="str">
        <f t="shared" si="1760"/>
        <v>JAIDEN</v>
      </c>
      <c r="C4776" t="str">
        <f t="shared" si="1761"/>
        <v>DUROSEAU</v>
      </c>
      <c r="D4776">
        <f>11</f>
        <v>11</v>
      </c>
      <c r="E4776" t="str">
        <f>"06 - B - 104 - Brandy N Zdenek"</f>
        <v>06 - B - 104 - Brandy N Zdenek</v>
      </c>
      <c r="F4776" t="str">
        <f>"AICE ENG LANG 2 AL"</f>
        <v>AICE ENG LANG 2 AL</v>
      </c>
      <c r="G4776" t="str">
        <f>"17-1704"</f>
        <v>17-1704</v>
      </c>
      <c r="H4776" t="str">
        <f>"B"</f>
        <v>B</v>
      </c>
    </row>
    <row r="4777" spans="1:8" x14ac:dyDescent="0.2">
      <c r="A4777" t="str">
        <f t="shared" si="1759"/>
        <v>0614140175</v>
      </c>
      <c r="B4777" t="str">
        <f t="shared" si="1760"/>
        <v>JAIDEN</v>
      </c>
      <c r="C4777" t="str">
        <f t="shared" si="1761"/>
        <v>DUROSEAU</v>
      </c>
      <c r="D4777">
        <f>11</f>
        <v>11</v>
      </c>
      <c r="E4777" t="str">
        <f>"03 - A - 201 - Joe  Kilpatrick Jr"</f>
        <v>03 - A - 201 - Joe  Kilpatrick Jr</v>
      </c>
      <c r="F4777" t="str">
        <f>"PRE-AICE SPAN 2 IG"</f>
        <v>PRE-AICE SPAN 2 IG</v>
      </c>
      <c r="G4777" t="str">
        <f>"09-912"</f>
        <v>09-912</v>
      </c>
      <c r="H4777" t="str">
        <f>"A"</f>
        <v>A</v>
      </c>
    </row>
    <row r="4778" spans="1:8" x14ac:dyDescent="0.2">
      <c r="A4778" t="str">
        <f t="shared" si="1759"/>
        <v>0614140175</v>
      </c>
      <c r="B4778" t="str">
        <f t="shared" si="1760"/>
        <v>JAIDEN</v>
      </c>
      <c r="C4778" t="str">
        <f t="shared" si="1761"/>
        <v>DUROSEAU</v>
      </c>
      <c r="D4778">
        <f>11</f>
        <v>11</v>
      </c>
      <c r="E4778" t="str">
        <f>"02 - A - 104 - Dayna M Foster"</f>
        <v>02 - A - 104 - Dayna M Foster</v>
      </c>
      <c r="F4778" t="str">
        <f>"NC STUDY HALL 1"</f>
        <v>NC STUDY HALL 1</v>
      </c>
      <c r="G4778" t="str">
        <f>"21-2109"</f>
        <v>21-2109</v>
      </c>
      <c r="H4778" t="str">
        <f>"A"</f>
        <v>A</v>
      </c>
    </row>
    <row r="4779" spans="1:8" x14ac:dyDescent="0.2">
      <c r="A4779" t="str">
        <f t="shared" si="1759"/>
        <v>0614140175</v>
      </c>
      <c r="B4779" t="str">
        <f t="shared" si="1760"/>
        <v>JAIDEN</v>
      </c>
      <c r="C4779" t="str">
        <f t="shared" si="1761"/>
        <v>DUROSEAU</v>
      </c>
      <c r="D4779">
        <f>11</f>
        <v>11</v>
      </c>
      <c r="E4779" t="str">
        <f>"07 - B - 104 - Jerry S Jiampetti"</f>
        <v>07 - B - 104 - Jerry S Jiampetti</v>
      </c>
      <c r="F4779" t="str">
        <f>"AICE U.S. HIST 1 AS"</f>
        <v>AICE U.S. HIST 1 AS</v>
      </c>
      <c r="G4779" t="str">
        <f>"17-1751"</f>
        <v>17-1751</v>
      </c>
      <c r="H4779" t="str">
        <f>"B"</f>
        <v>B</v>
      </c>
    </row>
    <row r="4780" spans="1:8" x14ac:dyDescent="0.2">
      <c r="A4780" t="str">
        <f t="shared" si="1759"/>
        <v>0614140175</v>
      </c>
      <c r="B4780" t="str">
        <f t="shared" si="1760"/>
        <v>JAIDEN</v>
      </c>
      <c r="C4780" t="str">
        <f t="shared" si="1761"/>
        <v>DUROSEAU</v>
      </c>
      <c r="D4780">
        <f>11</f>
        <v>11</v>
      </c>
      <c r="E4780" t="str">
        <f>"05 - B - 102 - Jeanne M Bermudez"</f>
        <v>05 - B - 102 - Jeanne M Bermudez</v>
      </c>
      <c r="F4780" t="str">
        <f>"ADVANCED IT HON"</f>
        <v>ADVANCED IT HON</v>
      </c>
      <c r="G4780" t="str">
        <f>"21-2141"</f>
        <v>21-2141</v>
      </c>
      <c r="H4780" t="str">
        <f>"B"</f>
        <v>B</v>
      </c>
    </row>
    <row r="4781" spans="1:8" x14ac:dyDescent="0.2">
      <c r="A4781" t="str">
        <f t="shared" si="1759"/>
        <v>0614140175</v>
      </c>
      <c r="B4781" t="str">
        <f t="shared" si="1760"/>
        <v>JAIDEN</v>
      </c>
      <c r="C4781" t="str">
        <f t="shared" si="1761"/>
        <v>DUROSEAU</v>
      </c>
      <c r="D4781">
        <f>11</f>
        <v>11</v>
      </c>
      <c r="E4781" t="str">
        <f>"01 - S1 - A - 101 - Jordana K Hass"</f>
        <v>01 - S1 - A - 101 - Jordana K Hass</v>
      </c>
      <c r="F4781" t="str">
        <f>"PRIN OF AERO SCI"</f>
        <v>PRIN OF AERO SCI</v>
      </c>
      <c r="G4781" t="str">
        <f>"08-807"</f>
        <v>08-807</v>
      </c>
      <c r="H4781" t="str">
        <f>"A"</f>
        <v>A</v>
      </c>
    </row>
    <row r="4782" spans="1:8" x14ac:dyDescent="0.2">
      <c r="A4782" t="str">
        <f t="shared" si="1759"/>
        <v>0614140175</v>
      </c>
      <c r="B4782" t="str">
        <f t="shared" si="1760"/>
        <v>JAIDEN</v>
      </c>
      <c r="C4782" t="str">
        <f t="shared" si="1761"/>
        <v>DUROSEAU</v>
      </c>
      <c r="D4782">
        <f>11</f>
        <v>11</v>
      </c>
      <c r="E4782" t="str">
        <f>"08 - B - 001 - Scott A Dethloff"</f>
        <v>08 - B - 001 - Scott A Dethloff</v>
      </c>
      <c r="F4782" t="str">
        <f>"CHEMISTRY 1 HON"</f>
        <v>CHEMISTRY 1 HON</v>
      </c>
      <c r="G4782" t="str">
        <f>"08-812"</f>
        <v>08-812</v>
      </c>
      <c r="H4782" t="str">
        <f>"B"</f>
        <v>B</v>
      </c>
    </row>
    <row r="4783" spans="1:8" x14ac:dyDescent="0.2">
      <c r="A4783" t="str">
        <f t="shared" ref="A4783:A4790" si="1762">"0614141600"</f>
        <v>0614141600</v>
      </c>
      <c r="B4783" t="str">
        <f t="shared" ref="B4783:B4790" si="1763">"JAYLAH"</f>
        <v>JAYLAH</v>
      </c>
      <c r="C4783" t="str">
        <f t="shared" si="1761"/>
        <v>DUROSEAU</v>
      </c>
      <c r="D4783">
        <f>11</f>
        <v>11</v>
      </c>
      <c r="E4783" t="str">
        <f>"04 - A - 101 - Jerry S Jiampetti"</f>
        <v>04 - A - 101 - Jerry S Jiampetti</v>
      </c>
      <c r="F4783" t="str">
        <f>"AICE U.S. HIST 1 AS"</f>
        <v>AICE U.S. HIST 1 AS</v>
      </c>
      <c r="G4783" t="str">
        <f>"17-1751"</f>
        <v>17-1751</v>
      </c>
      <c r="H4783" t="str">
        <f>"A"</f>
        <v>A</v>
      </c>
    </row>
    <row r="4784" spans="1:8" x14ac:dyDescent="0.2">
      <c r="A4784" t="str">
        <f t="shared" si="1762"/>
        <v>0614141600</v>
      </c>
      <c r="B4784" t="str">
        <f t="shared" si="1763"/>
        <v>JAYLAH</v>
      </c>
      <c r="C4784" t="str">
        <f t="shared" si="1761"/>
        <v>DUROSEAU</v>
      </c>
      <c r="D4784">
        <f>11</f>
        <v>11</v>
      </c>
      <c r="E4784" t="str">
        <f>"06 - B - 001 - Lourivaldo  Da Silva"</f>
        <v>06 - B - 001 - Lourivaldo  Da Silva</v>
      </c>
      <c r="F4784" t="str">
        <f>"PRE-CALCULUS HON"</f>
        <v>PRE-CALCULUS HON</v>
      </c>
      <c r="G4784" t="str">
        <f>"20-2079"</f>
        <v>20-2079</v>
      </c>
      <c r="H4784" t="str">
        <f>"B"</f>
        <v>B</v>
      </c>
    </row>
    <row r="4785" spans="1:8" x14ac:dyDescent="0.2">
      <c r="A4785" t="str">
        <f t="shared" si="1762"/>
        <v>0614141600</v>
      </c>
      <c r="B4785" t="str">
        <f t="shared" si="1763"/>
        <v>JAYLAH</v>
      </c>
      <c r="C4785" t="str">
        <f t="shared" si="1761"/>
        <v>DUROSEAU</v>
      </c>
      <c r="D4785">
        <f>11</f>
        <v>11</v>
      </c>
      <c r="E4785" t="str">
        <f>"03 - A - 102 - Tina M Jaramillo"</f>
        <v>03 - A - 102 - Tina M Jaramillo</v>
      </c>
      <c r="F4785" t="str">
        <f>"AP ENG COMPO"</f>
        <v>AP ENG COMPO</v>
      </c>
      <c r="G4785" t="str">
        <f>"17-1706"</f>
        <v>17-1706</v>
      </c>
      <c r="H4785" t="str">
        <f>"A"</f>
        <v>A</v>
      </c>
    </row>
    <row r="4786" spans="1:8" x14ac:dyDescent="0.2">
      <c r="A4786" t="str">
        <f t="shared" si="1762"/>
        <v>0614141600</v>
      </c>
      <c r="B4786" t="str">
        <f t="shared" si="1763"/>
        <v>JAYLAH</v>
      </c>
      <c r="C4786" t="str">
        <f t="shared" si="1761"/>
        <v>DUROSEAU</v>
      </c>
      <c r="D4786">
        <f>11</f>
        <v>11</v>
      </c>
      <c r="E4786" t="str">
        <f>"02 - A - 001 - Jazmin S Fletcher"</f>
        <v>02 - A - 001 - Jazmin S Fletcher</v>
      </c>
      <c r="F4786" t="str">
        <f>"NC STUDY HALL 1"</f>
        <v>NC STUDY HALL 1</v>
      </c>
      <c r="G4786" t="str">
        <f>"09-909"</f>
        <v>09-909</v>
      </c>
      <c r="H4786" t="str">
        <f>"A"</f>
        <v>A</v>
      </c>
    </row>
    <row r="4787" spans="1:8" x14ac:dyDescent="0.2">
      <c r="A4787" t="str">
        <f t="shared" si="1762"/>
        <v>0614141600</v>
      </c>
      <c r="B4787" t="str">
        <f t="shared" si="1763"/>
        <v>JAYLAH</v>
      </c>
      <c r="C4787" t="str">
        <f t="shared" si="1761"/>
        <v>DUROSEAU</v>
      </c>
      <c r="D4787">
        <f>11</f>
        <v>11</v>
      </c>
      <c r="E4787" t="str">
        <f>"07 - B - 103 - Lisa J London"</f>
        <v>07 - B - 103 - Lisa J London</v>
      </c>
      <c r="F4787" t="str">
        <f>"AP CAPSTONE SEMINAR"</f>
        <v>AP CAPSTONE SEMINAR</v>
      </c>
      <c r="G4787" t="str">
        <f>"17-1714"</f>
        <v>17-1714</v>
      </c>
      <c r="H4787" t="str">
        <f>"B"</f>
        <v>B</v>
      </c>
    </row>
    <row r="4788" spans="1:8" x14ac:dyDescent="0.2">
      <c r="A4788" t="str">
        <f t="shared" si="1762"/>
        <v>0614141600</v>
      </c>
      <c r="B4788" t="str">
        <f t="shared" si="1763"/>
        <v>JAYLAH</v>
      </c>
      <c r="C4788" t="str">
        <f t="shared" si="1761"/>
        <v>DUROSEAU</v>
      </c>
      <c r="D4788">
        <f>11</f>
        <v>11</v>
      </c>
      <c r="E4788" t="str">
        <f>"05 - B - 203 - Chrystina M Marchionne"</f>
        <v>05 - B - 203 - Chrystina M Marchionne</v>
      </c>
      <c r="F4788" t="str">
        <f>"AICE MEDIASTUDIES AS"</f>
        <v>AICE MEDIASTUDIES AS</v>
      </c>
      <c r="G4788" t="str">
        <f>"05-520"</f>
        <v>05-520</v>
      </c>
      <c r="H4788" t="str">
        <f>"B"</f>
        <v>B</v>
      </c>
    </row>
    <row r="4789" spans="1:8" x14ac:dyDescent="0.2">
      <c r="A4789" t="str">
        <f t="shared" si="1762"/>
        <v>0614141600</v>
      </c>
      <c r="B4789" t="str">
        <f t="shared" si="1763"/>
        <v>JAYLAH</v>
      </c>
      <c r="C4789" t="str">
        <f t="shared" si="1761"/>
        <v>DUROSEAU</v>
      </c>
      <c r="D4789">
        <f>11</f>
        <v>11</v>
      </c>
      <c r="E4789" t="str">
        <f>"01 - A - 107 - Valerie J Ruwe"</f>
        <v>01 - A - 107 - Valerie J Ruwe</v>
      </c>
      <c r="F4789" t="str">
        <f>"CHEMISTRY 1 HON"</f>
        <v>CHEMISTRY 1 HON</v>
      </c>
      <c r="G4789" t="str">
        <f>"21-2134"</f>
        <v>21-2134</v>
      </c>
      <c r="H4789" t="str">
        <f>"A"</f>
        <v>A</v>
      </c>
    </row>
    <row r="4790" spans="1:8" x14ac:dyDescent="0.2">
      <c r="A4790" t="str">
        <f t="shared" si="1762"/>
        <v>0614141600</v>
      </c>
      <c r="B4790" t="str">
        <f t="shared" si="1763"/>
        <v>JAYLAH</v>
      </c>
      <c r="C4790" t="str">
        <f t="shared" si="1761"/>
        <v>DUROSEAU</v>
      </c>
      <c r="D4790">
        <f>11</f>
        <v>11</v>
      </c>
      <c r="E4790" t="str">
        <f>"08 - B - 101 - Jordana K Hass"</f>
        <v>08 - B - 101 - Jordana K Hass</v>
      </c>
      <c r="F4790" t="str">
        <f>"AICE INFO TECH 1 AS"</f>
        <v>AICE INFO TECH 1 AS</v>
      </c>
      <c r="G4790" t="str">
        <f>"08-807"</f>
        <v>08-807</v>
      </c>
      <c r="H4790" t="str">
        <f>"B"</f>
        <v>B</v>
      </c>
    </row>
    <row r="4791" spans="1:8" x14ac:dyDescent="0.2">
      <c r="A4791" t="str">
        <f t="shared" ref="A4791:A4798" si="1764">"0613069656"</f>
        <v>0613069656</v>
      </c>
      <c r="B4791" t="str">
        <f t="shared" ref="B4791:B4798" si="1765">"LOWMIR"</f>
        <v>LOWMIR</v>
      </c>
      <c r="C4791" t="str">
        <f t="shared" si="1761"/>
        <v>DUROSEAU</v>
      </c>
      <c r="D4791">
        <f>10</f>
        <v>10</v>
      </c>
      <c r="E4791" t="str">
        <f>"04 - A - 104 - Laselleda D Shaw"</f>
        <v>04 - A - 104 - Laselleda D Shaw</v>
      </c>
      <c r="F4791" t="str">
        <f>"INTENS READ 2"</f>
        <v>INTENS READ 2</v>
      </c>
      <c r="G4791" t="str">
        <f>"17-1723"</f>
        <v>17-1723</v>
      </c>
      <c r="H4791" t="str">
        <f>"A"</f>
        <v>A</v>
      </c>
    </row>
    <row r="4792" spans="1:8" x14ac:dyDescent="0.2">
      <c r="A4792" t="str">
        <f t="shared" si="1764"/>
        <v>0613069656</v>
      </c>
      <c r="B4792" t="str">
        <f t="shared" si="1765"/>
        <v>LOWMIR</v>
      </c>
      <c r="C4792" t="str">
        <f t="shared" si="1761"/>
        <v>DUROSEAU</v>
      </c>
      <c r="D4792">
        <f>10</f>
        <v>10</v>
      </c>
      <c r="E4792" t="str">
        <f>"06 - B - 103 - Thomas G Handwerg"</f>
        <v>06 - B - 103 - Thomas G Handwerg</v>
      </c>
      <c r="F4792" t="str">
        <f>"NC STUDY HALL 1"</f>
        <v>NC STUDY HALL 1</v>
      </c>
      <c r="G4792" t="str">
        <f>"21-2146"</f>
        <v>21-2146</v>
      </c>
      <c r="H4792" t="str">
        <f>"B"</f>
        <v>B</v>
      </c>
    </row>
    <row r="4793" spans="1:8" x14ac:dyDescent="0.2">
      <c r="A4793" t="str">
        <f t="shared" si="1764"/>
        <v>0613069656</v>
      </c>
      <c r="B4793" t="str">
        <f t="shared" si="1765"/>
        <v>LOWMIR</v>
      </c>
      <c r="C4793" t="str">
        <f t="shared" si="1761"/>
        <v>DUROSEAU</v>
      </c>
      <c r="D4793">
        <f>10</f>
        <v>10</v>
      </c>
      <c r="E4793" t="str">
        <f>"03 - A - 202 - Cheryl L Beach"</f>
        <v>03 - A - 202 - Cheryl L Beach</v>
      </c>
      <c r="F4793" t="str">
        <f>"AICE ENV MGMNT AS"</f>
        <v>AICE ENV MGMNT AS</v>
      </c>
      <c r="G4793" t="str">
        <f>"08-811"</f>
        <v>08-811</v>
      </c>
      <c r="H4793" t="str">
        <f>"A"</f>
        <v>A</v>
      </c>
    </row>
    <row r="4794" spans="1:8" x14ac:dyDescent="0.2">
      <c r="A4794" t="str">
        <f t="shared" si="1764"/>
        <v>0613069656</v>
      </c>
      <c r="B4794" t="str">
        <f t="shared" si="1765"/>
        <v>LOWMIR</v>
      </c>
      <c r="C4794" t="str">
        <f t="shared" si="1761"/>
        <v>DUROSEAU</v>
      </c>
      <c r="D4794">
        <f>10</f>
        <v>10</v>
      </c>
      <c r="E4794" t="str">
        <f>"02 - A - 105 - Semra  Bahadir"</f>
        <v>02 - A - 105 - Semra  Bahadir</v>
      </c>
      <c r="F4794" t="str">
        <f>"ALGEBRA 2"</f>
        <v>ALGEBRA 2</v>
      </c>
      <c r="G4794" t="str">
        <f>"21-2107"</f>
        <v>21-2107</v>
      </c>
      <c r="H4794" t="str">
        <f>"A"</f>
        <v>A</v>
      </c>
    </row>
    <row r="4795" spans="1:8" x14ac:dyDescent="0.2">
      <c r="A4795" t="str">
        <f t="shared" si="1764"/>
        <v>0613069656</v>
      </c>
      <c r="B4795" t="str">
        <f t="shared" si="1765"/>
        <v>LOWMIR</v>
      </c>
      <c r="C4795" t="str">
        <f t="shared" si="1761"/>
        <v>DUROSEAU</v>
      </c>
      <c r="D4795">
        <f>10</f>
        <v>10</v>
      </c>
      <c r="E4795" t="str">
        <f>"07 - B - 102 - Timothy J Lawrence"</f>
        <v>07 - B - 102 - Timothy J Lawrence</v>
      </c>
      <c r="F4795" t="str">
        <f>"AICE PHYS ED 1 AS"</f>
        <v>AICE PHYS ED 1 AS</v>
      </c>
      <c r="G4795" t="str">
        <f>"05-523"</f>
        <v>05-523</v>
      </c>
      <c r="H4795" t="str">
        <f>"B"</f>
        <v>B</v>
      </c>
    </row>
    <row r="4796" spans="1:8" x14ac:dyDescent="0.2">
      <c r="A4796" t="str">
        <f t="shared" si="1764"/>
        <v>0613069656</v>
      </c>
      <c r="B4796" t="str">
        <f t="shared" si="1765"/>
        <v>LOWMIR</v>
      </c>
      <c r="C4796" t="str">
        <f t="shared" si="1761"/>
        <v>DUROSEAU</v>
      </c>
      <c r="D4796">
        <f>10</f>
        <v>10</v>
      </c>
      <c r="E4796" t="str">
        <f>"05 - B - 205 - Rosa Elaine  Collado-Duff"</f>
        <v>05 - B - 205 - Rosa Elaine  Collado-Duff</v>
      </c>
      <c r="F4796" t="str">
        <f>"PRE-AICE SPAN 2 IG"</f>
        <v>PRE-AICE SPAN 2 IG</v>
      </c>
      <c r="G4796" t="str">
        <f>"09-913"</f>
        <v>09-913</v>
      </c>
      <c r="H4796" t="str">
        <f>"B"</f>
        <v>B</v>
      </c>
    </row>
    <row r="4797" spans="1:8" x14ac:dyDescent="0.2">
      <c r="A4797" t="str">
        <f t="shared" si="1764"/>
        <v>0613069656</v>
      </c>
      <c r="B4797" t="str">
        <f t="shared" si="1765"/>
        <v>LOWMIR</v>
      </c>
      <c r="C4797" t="str">
        <f t="shared" si="1761"/>
        <v>DUROSEAU</v>
      </c>
      <c r="D4797">
        <f>10</f>
        <v>10</v>
      </c>
      <c r="E4797" t="str">
        <f>"01 - A - 101 - Jacquelyn M Neeson"</f>
        <v>01 - A - 101 - Jacquelyn M Neeson</v>
      </c>
      <c r="F4797" t="str">
        <f>"AICE ENG GEN PAPER 1"</f>
        <v>AICE ENG GEN PAPER 1</v>
      </c>
      <c r="G4797" t="str">
        <f>"17-1715"</f>
        <v>17-1715</v>
      </c>
      <c r="H4797" t="str">
        <f>"A"</f>
        <v>A</v>
      </c>
    </row>
    <row r="4798" spans="1:8" x14ac:dyDescent="0.2">
      <c r="A4798" t="str">
        <f t="shared" si="1764"/>
        <v>0613069656</v>
      </c>
      <c r="B4798" t="str">
        <f t="shared" si="1765"/>
        <v>LOWMIR</v>
      </c>
      <c r="C4798" t="str">
        <f t="shared" si="1761"/>
        <v>DUROSEAU</v>
      </c>
      <c r="D4798">
        <f>10</f>
        <v>10</v>
      </c>
      <c r="E4798" t="str">
        <f>"08 - B - 109 - Emmily A Sarmiento"</f>
        <v>08 - B - 109 - Emmily A Sarmiento</v>
      </c>
      <c r="F4798" t="str">
        <f>"AICE GLBL PERSP 1 AS"</f>
        <v>AICE GLBL PERSP 1 AS</v>
      </c>
      <c r="G4798" t="str">
        <f>"17-1743"</f>
        <v>17-1743</v>
      </c>
      <c r="H4798" t="str">
        <f>"B"</f>
        <v>B</v>
      </c>
    </row>
    <row r="4799" spans="1:8" x14ac:dyDescent="0.2">
      <c r="A4799" t="str">
        <f t="shared" ref="A4799:A4806" si="1766">"0614115689"</f>
        <v>0614115689</v>
      </c>
      <c r="B4799" t="str">
        <f t="shared" ref="B4799:B4806" si="1767">"YASHANA"</f>
        <v>YASHANA</v>
      </c>
      <c r="C4799" t="str">
        <f t="shared" si="1761"/>
        <v>DUROSEAU</v>
      </c>
      <c r="D4799" t="str">
        <f t="shared" ref="D4799:D4806" si="1768">"09"</f>
        <v>09</v>
      </c>
      <c r="E4799" t="str">
        <f>"04 - A - 102 - Josiah I Lacy"</f>
        <v>04 - A - 102 - Josiah I Lacy</v>
      </c>
      <c r="F4799" t="str">
        <f>"PRE-AICE BIO IG"</f>
        <v>PRE-AICE BIO IG</v>
      </c>
      <c r="G4799" t="str">
        <f>"08-801"</f>
        <v>08-801</v>
      </c>
      <c r="H4799" t="str">
        <f>"A"</f>
        <v>A</v>
      </c>
    </row>
    <row r="4800" spans="1:8" x14ac:dyDescent="0.2">
      <c r="A4800" t="str">
        <f t="shared" si="1766"/>
        <v>0614115689</v>
      </c>
      <c r="B4800" t="str">
        <f t="shared" si="1767"/>
        <v>YASHANA</v>
      </c>
      <c r="C4800" t="str">
        <f t="shared" si="1761"/>
        <v>DUROSEAU</v>
      </c>
      <c r="D4800" t="str">
        <f t="shared" si="1768"/>
        <v>09</v>
      </c>
      <c r="E4800" t="str">
        <f>"06 - B - 202 - Alejandro  Navarro"</f>
        <v>06 - B - 202 - Alejandro  Navarro</v>
      </c>
      <c r="F4800" t="str">
        <f>"BAND 1"</f>
        <v>BAND 1</v>
      </c>
      <c r="G4800" t="str">
        <f>"05-504"</f>
        <v>05-504</v>
      </c>
      <c r="H4800" t="str">
        <f>"B"</f>
        <v>B</v>
      </c>
    </row>
    <row r="4801" spans="1:8" x14ac:dyDescent="0.2">
      <c r="A4801" t="str">
        <f t="shared" si="1766"/>
        <v>0614115689</v>
      </c>
      <c r="B4801" t="str">
        <f t="shared" si="1767"/>
        <v>YASHANA</v>
      </c>
      <c r="C4801" t="str">
        <f t="shared" si="1761"/>
        <v>DUROSEAU</v>
      </c>
      <c r="D4801" t="str">
        <f t="shared" si="1768"/>
        <v>09</v>
      </c>
      <c r="E4801" t="str">
        <f>"03 - A - 005 - Cerine S Stewart"</f>
        <v>03 - A - 005 - Cerine S Stewart</v>
      </c>
      <c r="F4801" t="str">
        <f>"AICE ENG GEN PAPER 1"</f>
        <v>AICE ENG GEN PAPER 1</v>
      </c>
      <c r="G4801" t="str">
        <f>"17-1720"</f>
        <v>17-1720</v>
      </c>
      <c r="H4801" t="str">
        <f>"A"</f>
        <v>A</v>
      </c>
    </row>
    <row r="4802" spans="1:8" x14ac:dyDescent="0.2">
      <c r="A4802" t="str">
        <f t="shared" si="1766"/>
        <v>0614115689</v>
      </c>
      <c r="B4802" t="str">
        <f t="shared" si="1767"/>
        <v>YASHANA</v>
      </c>
      <c r="C4802" t="str">
        <f t="shared" si="1761"/>
        <v>DUROSEAU</v>
      </c>
      <c r="D4802" t="str">
        <f t="shared" si="1768"/>
        <v>09</v>
      </c>
      <c r="E4802" t="str">
        <f>"02 - A - 104 - Lytrell T Dixon"</f>
        <v>02 - A - 104 - Lytrell T Dixon</v>
      </c>
      <c r="F4802" t="str">
        <f>"NC STUDY HALL 1"</f>
        <v>NC STUDY HALL 1</v>
      </c>
      <c r="G4802" t="str">
        <f>"08-808"</f>
        <v>08-808</v>
      </c>
      <c r="H4802" t="str">
        <f>"A"</f>
        <v>A</v>
      </c>
    </row>
    <row r="4803" spans="1:8" x14ac:dyDescent="0.2">
      <c r="A4803" t="str">
        <f t="shared" si="1766"/>
        <v>0614115689</v>
      </c>
      <c r="B4803" t="str">
        <f t="shared" si="1767"/>
        <v>YASHANA</v>
      </c>
      <c r="C4803" t="str">
        <f t="shared" si="1761"/>
        <v>DUROSEAU</v>
      </c>
      <c r="D4803" t="str">
        <f t="shared" si="1768"/>
        <v>09</v>
      </c>
      <c r="E4803" t="str">
        <f>"07 - B - 107 - Adam Marcus  Drucker"</f>
        <v>07 - B - 107 - Adam Marcus  Drucker</v>
      </c>
      <c r="F4803" t="str">
        <f>"HOPE-PE V"</f>
        <v>HOPE-PE V</v>
      </c>
      <c r="G4803" t="str">
        <f>"04-254"</f>
        <v>04-254</v>
      </c>
      <c r="H4803" t="str">
        <f>"B"</f>
        <v>B</v>
      </c>
    </row>
    <row r="4804" spans="1:8" x14ac:dyDescent="0.2">
      <c r="A4804" t="str">
        <f t="shared" si="1766"/>
        <v>0614115689</v>
      </c>
      <c r="B4804" t="str">
        <f t="shared" si="1767"/>
        <v>YASHANA</v>
      </c>
      <c r="C4804" t="str">
        <f t="shared" si="1761"/>
        <v>DUROSEAU</v>
      </c>
      <c r="D4804" t="str">
        <f t="shared" si="1768"/>
        <v>09</v>
      </c>
      <c r="E4804" t="str">
        <f>"05 - B - 102 - Tina L Lovett"</f>
        <v>05 - B - 102 - Tina L Lovett</v>
      </c>
      <c r="F4804" t="str">
        <f>"PRE-AICE MATH 1 IG"</f>
        <v>PRE-AICE MATH 1 IG</v>
      </c>
      <c r="G4804" t="str">
        <f>"21-2153"</f>
        <v>21-2153</v>
      </c>
      <c r="H4804" t="str">
        <f>"B"</f>
        <v>B</v>
      </c>
    </row>
    <row r="4805" spans="1:8" x14ac:dyDescent="0.2">
      <c r="A4805" t="str">
        <f t="shared" si="1766"/>
        <v>0614115689</v>
      </c>
      <c r="B4805" t="str">
        <f t="shared" si="1767"/>
        <v>YASHANA</v>
      </c>
      <c r="C4805" t="str">
        <f t="shared" si="1761"/>
        <v>DUROSEAU</v>
      </c>
      <c r="D4805" t="str">
        <f t="shared" si="1768"/>
        <v>09</v>
      </c>
      <c r="E4805" t="str">
        <f>"01 - A - 101 - Rory T Sponsler"</f>
        <v>01 - A - 101 - Rory T Sponsler</v>
      </c>
      <c r="F4805" t="str">
        <f>"PRE-AICE WRLD HST IG"</f>
        <v>PRE-AICE WRLD HST IG</v>
      </c>
      <c r="G4805" t="str">
        <f>"17-1740"</f>
        <v>17-1740</v>
      </c>
      <c r="H4805" t="str">
        <f>"A"</f>
        <v>A</v>
      </c>
    </row>
    <row r="4806" spans="1:8" x14ac:dyDescent="0.2">
      <c r="A4806" t="str">
        <f t="shared" si="1766"/>
        <v>0614115689</v>
      </c>
      <c r="B4806" t="str">
        <f t="shared" si="1767"/>
        <v>YASHANA</v>
      </c>
      <c r="C4806" t="str">
        <f t="shared" si="1761"/>
        <v>DUROSEAU</v>
      </c>
      <c r="D4806" t="str">
        <f t="shared" si="1768"/>
        <v>09</v>
      </c>
      <c r="E4806" t="str">
        <f>"08 - S1 - B - 104 - Angela S Adeshina-Morrison"</f>
        <v>08 - S1 - B - 104 - Angela S Adeshina-Morrison</v>
      </c>
      <c r="F4806" t="str">
        <f>"PEER COUN 1"</f>
        <v>PEER COUN 1</v>
      </c>
      <c r="G4806" t="str">
        <f>"05-518"</f>
        <v>05-518</v>
      </c>
      <c r="H4806" t="str">
        <f>"B"</f>
        <v>B</v>
      </c>
    </row>
    <row r="4807" spans="1:8" x14ac:dyDescent="0.2">
      <c r="A4807" t="str">
        <f t="shared" ref="A4807:A4814" si="1769">"0613119136"</f>
        <v>0613119136</v>
      </c>
      <c r="B4807" t="str">
        <f t="shared" ref="B4807:B4814" si="1770">"CAMERON"</f>
        <v>CAMERON</v>
      </c>
      <c r="C4807" t="str">
        <f t="shared" ref="C4807:C4814" si="1771">"DZICEK"</f>
        <v>DZICEK</v>
      </c>
      <c r="D4807">
        <f>12</f>
        <v>12</v>
      </c>
      <c r="E4807" t="str">
        <f>"04 - A - 104 - Robert H Rindner"</f>
        <v>04 - A - 104 - Robert H Rindner</v>
      </c>
      <c r="F4807" t="str">
        <f>"MATH DATA&amp;FIN LIT H"</f>
        <v>MATH DATA&amp;FIN LIT H</v>
      </c>
      <c r="G4807" t="str">
        <f>"21-2160"</f>
        <v>21-2160</v>
      </c>
      <c r="H4807" t="str">
        <f>"A"</f>
        <v>A</v>
      </c>
    </row>
    <row r="4808" spans="1:8" x14ac:dyDescent="0.2">
      <c r="A4808" t="str">
        <f t="shared" si="1769"/>
        <v>0613119136</v>
      </c>
      <c r="B4808" t="str">
        <f t="shared" si="1770"/>
        <v>CAMERON</v>
      </c>
      <c r="C4808" t="str">
        <f t="shared" si="1771"/>
        <v>DZICEK</v>
      </c>
      <c r="D4808">
        <f>12</f>
        <v>12</v>
      </c>
      <c r="E4808" t="str">
        <f>"06 - B - 107 - Pamela M Corzo"</f>
        <v>06 - B - 107 - Pamela M Corzo</v>
      </c>
      <c r="F4808" t="str">
        <f>"NC STUDY HALL 1"</f>
        <v>NC STUDY HALL 1</v>
      </c>
      <c r="G4808" t="str">
        <f>"21-2133"</f>
        <v>21-2133</v>
      </c>
      <c r="H4808" t="str">
        <f>"B"</f>
        <v>B</v>
      </c>
    </row>
    <row r="4809" spans="1:8" x14ac:dyDescent="0.2">
      <c r="A4809" t="str">
        <f t="shared" si="1769"/>
        <v>0613119136</v>
      </c>
      <c r="B4809" t="str">
        <f t="shared" si="1770"/>
        <v>CAMERON</v>
      </c>
      <c r="C4809" t="str">
        <f t="shared" si="1771"/>
        <v>DZICEK</v>
      </c>
      <c r="D4809">
        <f>12</f>
        <v>12</v>
      </c>
      <c r="E4809" t="str">
        <f>"03 - A - 102 - Cliffon  Saurel"</f>
        <v>03 - A - 102 - Cliffon  Saurel</v>
      </c>
      <c r="F4809" t="str">
        <f>"PHYSICAL SCI"</f>
        <v>PHYSICAL SCI</v>
      </c>
      <c r="G4809" t="str">
        <f>"05-522"</f>
        <v>05-522</v>
      </c>
      <c r="H4809" t="str">
        <f>"A"</f>
        <v>A</v>
      </c>
    </row>
    <row r="4810" spans="1:8" x14ac:dyDescent="0.2">
      <c r="A4810" t="str">
        <f t="shared" si="1769"/>
        <v>0613119136</v>
      </c>
      <c r="B4810" t="str">
        <f t="shared" si="1770"/>
        <v>CAMERON</v>
      </c>
      <c r="C4810" t="str">
        <f t="shared" si="1771"/>
        <v>DZICEK</v>
      </c>
      <c r="D4810">
        <f>12</f>
        <v>12</v>
      </c>
      <c r="E4810" t="str">
        <f>"02 - S1 - A - 104 - Robert O Burger"</f>
        <v>02 - S1 - A - 104 - Robert O Burger</v>
      </c>
      <c r="F4810" t="str">
        <f>"US GOVT"</f>
        <v>US GOVT</v>
      </c>
      <c r="G4810" t="str">
        <f>"17-1755"</f>
        <v>17-1755</v>
      </c>
      <c r="H4810" t="str">
        <f>"A"</f>
        <v>A</v>
      </c>
    </row>
    <row r="4811" spans="1:8" x14ac:dyDescent="0.2">
      <c r="A4811" t="str">
        <f t="shared" si="1769"/>
        <v>0613119136</v>
      </c>
      <c r="B4811" t="str">
        <f t="shared" si="1770"/>
        <v>CAMERON</v>
      </c>
      <c r="C4811" t="str">
        <f t="shared" si="1771"/>
        <v>DZICEK</v>
      </c>
      <c r="D4811">
        <f>12</f>
        <v>12</v>
      </c>
      <c r="E4811" t="str">
        <f>"07 - B - 101 - Samantha L Martinez"</f>
        <v>07 - B - 101 - Samantha L Martinez</v>
      </c>
      <c r="F4811" t="str">
        <f>"KEYBD 1"</f>
        <v>KEYBD 1</v>
      </c>
      <c r="G4811" t="str">
        <f>"05-505"</f>
        <v>05-505</v>
      </c>
      <c r="H4811" t="str">
        <f>"B"</f>
        <v>B</v>
      </c>
    </row>
    <row r="4812" spans="1:8" x14ac:dyDescent="0.2">
      <c r="A4812" t="str">
        <f t="shared" si="1769"/>
        <v>0613119136</v>
      </c>
      <c r="B4812" t="str">
        <f t="shared" si="1770"/>
        <v>CAMERON</v>
      </c>
      <c r="C4812" t="str">
        <f t="shared" si="1771"/>
        <v>DZICEK</v>
      </c>
      <c r="D4812">
        <f>12</f>
        <v>12</v>
      </c>
      <c r="E4812" t="str">
        <f>"05 - B - 102 - Robyn L Trainer"</f>
        <v>05 - B - 102 - Robyn L Trainer</v>
      </c>
      <c r="F4812" t="str">
        <f>"ENG 4"</f>
        <v>ENG 4</v>
      </c>
      <c r="G4812" t="str">
        <f>"17-1734"</f>
        <v>17-1734</v>
      </c>
      <c r="H4812" t="str">
        <f>"B"</f>
        <v>B</v>
      </c>
    </row>
    <row r="4813" spans="1:8" x14ac:dyDescent="0.2">
      <c r="A4813" t="str">
        <f t="shared" si="1769"/>
        <v>0613119136</v>
      </c>
      <c r="B4813" t="str">
        <f t="shared" si="1770"/>
        <v>CAMERON</v>
      </c>
      <c r="C4813" t="str">
        <f t="shared" si="1771"/>
        <v>DZICEK</v>
      </c>
      <c r="D4813">
        <f>12</f>
        <v>12</v>
      </c>
      <c r="E4813" t="str">
        <f>"01 - A - 101 - Samantha L Martinez"</f>
        <v>01 - A - 101 - Samantha L Martinez</v>
      </c>
      <c r="F4813" t="str">
        <f>"MUSIC WORLD"</f>
        <v>MUSIC WORLD</v>
      </c>
      <c r="G4813" t="str">
        <f>"05-505"</f>
        <v>05-505</v>
      </c>
      <c r="H4813" t="str">
        <f>"A"</f>
        <v>A</v>
      </c>
    </row>
    <row r="4814" spans="1:8" x14ac:dyDescent="0.2">
      <c r="A4814" t="str">
        <f t="shared" si="1769"/>
        <v>0613119136</v>
      </c>
      <c r="B4814" t="str">
        <f t="shared" si="1770"/>
        <v>CAMERON</v>
      </c>
      <c r="C4814" t="str">
        <f t="shared" si="1771"/>
        <v>DZICEK</v>
      </c>
      <c r="D4814">
        <f>12</f>
        <v>12</v>
      </c>
      <c r="E4814" t="str">
        <f>"08 - B - 103 - Jeanne M Bermudez"</f>
        <v>08 - B - 103 - Jeanne M Bermudez</v>
      </c>
      <c r="F4814" t="str">
        <f>"ADVANCED IT HON"</f>
        <v>ADVANCED IT HON</v>
      </c>
      <c r="G4814" t="str">
        <f>"21-2141"</f>
        <v>21-2141</v>
      </c>
      <c r="H4814" t="str">
        <f>"B"</f>
        <v>B</v>
      </c>
    </row>
    <row r="4815" spans="1:8" x14ac:dyDescent="0.2">
      <c r="A4815" t="str">
        <f t="shared" ref="A4815:A4822" si="1772">"0615012169"</f>
        <v>0615012169</v>
      </c>
      <c r="B4815" t="str">
        <f t="shared" ref="B4815:B4822" si="1773">"FELIPE"</f>
        <v>FELIPE</v>
      </c>
      <c r="C4815" t="str">
        <f t="shared" ref="C4815:C4830" si="1774">"ECHARTE"</f>
        <v>ECHARTE</v>
      </c>
      <c r="D4815">
        <f>11</f>
        <v>11</v>
      </c>
      <c r="E4815" t="str">
        <f>"04 - A - 103 - Lourivaldo  Da Silva"</f>
        <v>04 - A - 103 - Lourivaldo  Da Silva</v>
      </c>
      <c r="F4815" t="str">
        <f>"PRE-CALCULUS HON"</f>
        <v>PRE-CALCULUS HON</v>
      </c>
      <c r="G4815" t="str">
        <f>"20-2079"</f>
        <v>20-2079</v>
      </c>
      <c r="H4815" t="str">
        <f>"A"</f>
        <v>A</v>
      </c>
    </row>
    <row r="4816" spans="1:8" x14ac:dyDescent="0.2">
      <c r="A4816" t="str">
        <f t="shared" si="1772"/>
        <v>0615012169</v>
      </c>
      <c r="B4816" t="str">
        <f t="shared" si="1773"/>
        <v>FELIPE</v>
      </c>
      <c r="C4816" t="str">
        <f t="shared" si="1774"/>
        <v>ECHARTE</v>
      </c>
      <c r="D4816">
        <f>11</f>
        <v>11</v>
      </c>
      <c r="E4816" t="str">
        <f>"06 - B - 206 - Jacqueline R Morphet"</f>
        <v>06 - B - 206 - Jacqueline R Morphet</v>
      </c>
      <c r="F4816" t="str">
        <f>"PHYSICS 1 HON"</f>
        <v>PHYSICS 1 HON</v>
      </c>
      <c r="G4816" t="str">
        <f>"21-2138"</f>
        <v>21-2138</v>
      </c>
      <c r="H4816" t="str">
        <f>"B"</f>
        <v>B</v>
      </c>
    </row>
    <row r="4817" spans="1:8" x14ac:dyDescent="0.2">
      <c r="A4817" t="str">
        <f t="shared" si="1772"/>
        <v>0615012169</v>
      </c>
      <c r="B4817" t="str">
        <f t="shared" si="1773"/>
        <v>FELIPE</v>
      </c>
      <c r="C4817" t="str">
        <f t="shared" si="1774"/>
        <v>ECHARTE</v>
      </c>
      <c r="D4817">
        <f>11</f>
        <v>11</v>
      </c>
      <c r="E4817" t="str">
        <f>"03 - A - 203 - Stefanie S Scher"</f>
        <v>03 - A - 203 - Stefanie S Scher</v>
      </c>
      <c r="F4817" t="str">
        <f>"AP PSYCH"</f>
        <v>AP PSYCH</v>
      </c>
      <c r="G4817" t="str">
        <f>"17-1735"</f>
        <v>17-1735</v>
      </c>
      <c r="H4817" t="str">
        <f>"A"</f>
        <v>A</v>
      </c>
    </row>
    <row r="4818" spans="1:8" x14ac:dyDescent="0.2">
      <c r="A4818" t="str">
        <f t="shared" si="1772"/>
        <v>0615012169</v>
      </c>
      <c r="B4818" t="str">
        <f t="shared" si="1773"/>
        <v>FELIPE</v>
      </c>
      <c r="C4818" t="str">
        <f t="shared" si="1774"/>
        <v>ECHARTE</v>
      </c>
      <c r="D4818">
        <f>11</f>
        <v>11</v>
      </c>
      <c r="E4818" t="str">
        <f>"02 - A - 114 - Eva T Rimmer"</f>
        <v>02 - A - 114 - Eva T Rimmer</v>
      </c>
      <c r="F4818" t="str">
        <f>"NC STUDY HALL 1"</f>
        <v>NC STUDY HALL 1</v>
      </c>
      <c r="G4818" t="str">
        <f>"05-523"</f>
        <v>05-523</v>
      </c>
      <c r="H4818" t="str">
        <f>"A"</f>
        <v>A</v>
      </c>
    </row>
    <row r="4819" spans="1:8" x14ac:dyDescent="0.2">
      <c r="A4819" t="str">
        <f t="shared" si="1772"/>
        <v>0615012169</v>
      </c>
      <c r="B4819" t="str">
        <f t="shared" si="1773"/>
        <v>FELIPE</v>
      </c>
      <c r="C4819" t="str">
        <f t="shared" si="1774"/>
        <v>ECHARTE</v>
      </c>
      <c r="D4819">
        <f>11</f>
        <v>11</v>
      </c>
      <c r="E4819" t="str">
        <f>"07 - B - 103 - Lisa J London"</f>
        <v>07 - B - 103 - Lisa J London</v>
      </c>
      <c r="F4819" t="str">
        <f>"AP CAPSTONE SEMINAR"</f>
        <v>AP CAPSTONE SEMINAR</v>
      </c>
      <c r="G4819" t="str">
        <f>"17-1714"</f>
        <v>17-1714</v>
      </c>
      <c r="H4819" t="str">
        <f>"B"</f>
        <v>B</v>
      </c>
    </row>
    <row r="4820" spans="1:8" x14ac:dyDescent="0.2">
      <c r="A4820" t="str">
        <f t="shared" si="1772"/>
        <v>0615012169</v>
      </c>
      <c r="B4820" t="str">
        <f t="shared" si="1773"/>
        <v>FELIPE</v>
      </c>
      <c r="C4820" t="str">
        <f t="shared" si="1774"/>
        <v>ECHARTE</v>
      </c>
      <c r="D4820">
        <f>11</f>
        <v>11</v>
      </c>
      <c r="E4820" t="str">
        <f>"05 - B - 103 - Tina M Jaramillo"</f>
        <v>05 - B - 103 - Tina M Jaramillo</v>
      </c>
      <c r="F4820" t="str">
        <f>"AP ENG COMPO"</f>
        <v>AP ENG COMPO</v>
      </c>
      <c r="G4820" t="str">
        <f>"17-1706"</f>
        <v>17-1706</v>
      </c>
      <c r="H4820" t="str">
        <f>"B"</f>
        <v>B</v>
      </c>
    </row>
    <row r="4821" spans="1:8" x14ac:dyDescent="0.2">
      <c r="A4821" t="str">
        <f t="shared" si="1772"/>
        <v>0615012169</v>
      </c>
      <c r="B4821" t="str">
        <f t="shared" si="1773"/>
        <v>FELIPE</v>
      </c>
      <c r="C4821" t="str">
        <f t="shared" si="1774"/>
        <v>ECHARTE</v>
      </c>
      <c r="D4821">
        <f>11</f>
        <v>11</v>
      </c>
      <c r="E4821" t="str">
        <f>"01 - A - 103 - Scott A Dethloff"</f>
        <v>01 - A - 103 - Scott A Dethloff</v>
      </c>
      <c r="F4821" t="str">
        <f>"AICE THINK SKLS 1 AS"</f>
        <v>AICE THINK SKLS 1 AS</v>
      </c>
      <c r="G4821" t="str">
        <f>"08-812"</f>
        <v>08-812</v>
      </c>
      <c r="H4821" t="str">
        <f>"A"</f>
        <v>A</v>
      </c>
    </row>
    <row r="4822" spans="1:8" x14ac:dyDescent="0.2">
      <c r="A4822" t="str">
        <f t="shared" si="1772"/>
        <v>0615012169</v>
      </c>
      <c r="B4822" t="str">
        <f t="shared" si="1773"/>
        <v>FELIPE</v>
      </c>
      <c r="C4822" t="str">
        <f t="shared" si="1774"/>
        <v>ECHARTE</v>
      </c>
      <c r="D4822">
        <f>11</f>
        <v>11</v>
      </c>
      <c r="E4822" t="str">
        <f>"08 - B - 001 - Jerry S Jiampetti"</f>
        <v>08 - B - 001 - Jerry S Jiampetti</v>
      </c>
      <c r="F4822" t="str">
        <f>"AICE U.S. HIST 1 AS"</f>
        <v>AICE U.S. HIST 1 AS</v>
      </c>
      <c r="G4822" t="str">
        <f>"17-1751"</f>
        <v>17-1751</v>
      </c>
      <c r="H4822" t="str">
        <f>"B"</f>
        <v>B</v>
      </c>
    </row>
    <row r="4823" spans="1:8" x14ac:dyDescent="0.2">
      <c r="A4823" t="str">
        <f t="shared" ref="A4823:A4830" si="1775">"0617005848"</f>
        <v>0617005848</v>
      </c>
      <c r="B4823" t="str">
        <f t="shared" ref="B4823:B4830" si="1776">"SEBASTIAN"</f>
        <v>SEBASTIAN</v>
      </c>
      <c r="C4823" t="str">
        <f t="shared" si="1774"/>
        <v>ECHARTE</v>
      </c>
      <c r="D4823" t="str">
        <f t="shared" ref="D4823:D4838" si="1777">"09"</f>
        <v>09</v>
      </c>
      <c r="E4823" t="str">
        <f>"04 - A - 106 - Ferrie J Arostique"</f>
        <v>04 - A - 106 - Ferrie J Arostique</v>
      </c>
      <c r="F4823" t="str">
        <f>"PRE-AICE MATH 2 IG"</f>
        <v>PRE-AICE MATH 2 IG</v>
      </c>
      <c r="G4823" t="str">
        <f>"21-2139"</f>
        <v>21-2139</v>
      </c>
      <c r="H4823" t="str">
        <f>"A"</f>
        <v>A</v>
      </c>
    </row>
    <row r="4824" spans="1:8" x14ac:dyDescent="0.2">
      <c r="A4824" t="str">
        <f t="shared" si="1775"/>
        <v>0617005848</v>
      </c>
      <c r="B4824" t="str">
        <f t="shared" si="1776"/>
        <v>SEBASTIAN</v>
      </c>
      <c r="C4824" t="str">
        <f t="shared" si="1774"/>
        <v>ECHARTE</v>
      </c>
      <c r="D4824" t="str">
        <f t="shared" si="1777"/>
        <v>09</v>
      </c>
      <c r="E4824" t="str">
        <f>"06 - B - 110 - Krystal Marie  Beruty"</f>
        <v>06 - B - 110 - Krystal Marie  Beruty</v>
      </c>
      <c r="F4824" t="str">
        <f>"AICE GLBL PERSP 1 AS"</f>
        <v>AICE GLBL PERSP 1 AS</v>
      </c>
      <c r="G4824" t="str">
        <f>"17-1721"</f>
        <v>17-1721</v>
      </c>
      <c r="H4824" t="str">
        <f>"B"</f>
        <v>B</v>
      </c>
    </row>
    <row r="4825" spans="1:8" x14ac:dyDescent="0.2">
      <c r="A4825" t="str">
        <f t="shared" si="1775"/>
        <v>0617005848</v>
      </c>
      <c r="B4825" t="str">
        <f t="shared" si="1776"/>
        <v>SEBASTIAN</v>
      </c>
      <c r="C4825" t="str">
        <f t="shared" si="1774"/>
        <v>ECHARTE</v>
      </c>
      <c r="D4825" t="str">
        <f t="shared" si="1777"/>
        <v>09</v>
      </c>
      <c r="E4825" t="str">
        <f>"03 - A - 101 - Rosa Elaine  Collado-Duff"</f>
        <v>03 - A - 101 - Rosa Elaine  Collado-Duff</v>
      </c>
      <c r="F4825" t="str">
        <f>"SPANISH 3 HON"</f>
        <v>SPANISH 3 HON</v>
      </c>
      <c r="G4825" t="str">
        <f>"09-913"</f>
        <v>09-913</v>
      </c>
      <c r="H4825" t="str">
        <f>"A"</f>
        <v>A</v>
      </c>
    </row>
    <row r="4826" spans="1:8" x14ac:dyDescent="0.2">
      <c r="A4826" t="str">
        <f t="shared" si="1775"/>
        <v>0617005848</v>
      </c>
      <c r="B4826" t="str">
        <f t="shared" si="1776"/>
        <v>SEBASTIAN</v>
      </c>
      <c r="C4826" t="str">
        <f t="shared" si="1774"/>
        <v>ECHARTE</v>
      </c>
      <c r="D4826" t="str">
        <f t="shared" si="1777"/>
        <v>09</v>
      </c>
      <c r="E4826" t="str">
        <f>"02 - A - 107 - Cerine S Stewart"</f>
        <v>02 - A - 107 - Cerine S Stewart</v>
      </c>
      <c r="F4826" t="str">
        <f>"NC STUDY HALL 1"</f>
        <v>NC STUDY HALL 1</v>
      </c>
      <c r="G4826" t="str">
        <f>"17-1720"</f>
        <v>17-1720</v>
      </c>
      <c r="H4826" t="str">
        <f>"A"</f>
        <v>A</v>
      </c>
    </row>
    <row r="4827" spans="1:8" x14ac:dyDescent="0.2">
      <c r="A4827" t="str">
        <f t="shared" si="1775"/>
        <v>0617005848</v>
      </c>
      <c r="B4827" t="str">
        <f t="shared" si="1776"/>
        <v>SEBASTIAN</v>
      </c>
      <c r="C4827" t="str">
        <f t="shared" si="1774"/>
        <v>ECHARTE</v>
      </c>
      <c r="D4827" t="str">
        <f t="shared" si="1777"/>
        <v>09</v>
      </c>
      <c r="E4827" t="str">
        <f>"07 - B - 003 - Brandy N Zdenek"</f>
        <v>07 - B - 003 - Brandy N Zdenek</v>
      </c>
      <c r="F4827" t="str">
        <f>"AICE ENG GEN PAPER 1"</f>
        <v>AICE ENG GEN PAPER 1</v>
      </c>
      <c r="G4827" t="str">
        <f>"17-1704"</f>
        <v>17-1704</v>
      </c>
      <c r="H4827" t="str">
        <f>"B"</f>
        <v>B</v>
      </c>
    </row>
    <row r="4828" spans="1:8" x14ac:dyDescent="0.2">
      <c r="A4828" t="str">
        <f t="shared" si="1775"/>
        <v>0617005848</v>
      </c>
      <c r="B4828" t="str">
        <f t="shared" si="1776"/>
        <v>SEBASTIAN</v>
      </c>
      <c r="C4828" t="str">
        <f t="shared" si="1774"/>
        <v>ECHARTE</v>
      </c>
      <c r="D4828" t="str">
        <f t="shared" si="1777"/>
        <v>09</v>
      </c>
      <c r="E4828" t="str">
        <f>"05 - S1 - B - 103 - Leslie J Barton"</f>
        <v>05 - S1 - B - 103 - Leslie J Barton</v>
      </c>
      <c r="F4828" t="str">
        <f>"FIRST AID SAFETY"</f>
        <v>FIRST AID SAFETY</v>
      </c>
      <c r="G4828" t="str">
        <f>"05-521"</f>
        <v>05-521</v>
      </c>
      <c r="H4828" t="str">
        <f>"B"</f>
        <v>B</v>
      </c>
    </row>
    <row r="4829" spans="1:8" x14ac:dyDescent="0.2">
      <c r="A4829" t="str">
        <f t="shared" si="1775"/>
        <v>0617005848</v>
      </c>
      <c r="B4829" t="str">
        <f t="shared" si="1776"/>
        <v>SEBASTIAN</v>
      </c>
      <c r="C4829" t="str">
        <f t="shared" si="1774"/>
        <v>ECHARTE</v>
      </c>
      <c r="D4829" t="str">
        <f t="shared" si="1777"/>
        <v>09</v>
      </c>
      <c r="E4829" t="str">
        <f>"01 - A - 101 - Byron G Montenegro"</f>
        <v>01 - A - 101 - Byron G Montenegro</v>
      </c>
      <c r="F4829" t="str">
        <f>"AICE MARINE SCI 1 AS"</f>
        <v>AICE MARINE SCI 1 AS</v>
      </c>
      <c r="G4829" t="str">
        <f>"21-2144"</f>
        <v>21-2144</v>
      </c>
      <c r="H4829" t="str">
        <f>"A"</f>
        <v>A</v>
      </c>
    </row>
    <row r="4830" spans="1:8" x14ac:dyDescent="0.2">
      <c r="A4830" t="str">
        <f t="shared" si="1775"/>
        <v>0617005848</v>
      </c>
      <c r="B4830" t="str">
        <f t="shared" si="1776"/>
        <v>SEBASTIAN</v>
      </c>
      <c r="C4830" t="str">
        <f t="shared" si="1774"/>
        <v>ECHARTE</v>
      </c>
      <c r="D4830" t="str">
        <f t="shared" si="1777"/>
        <v>09</v>
      </c>
      <c r="E4830" t="str">
        <f>"08 - B - 108 - Adam Marcus  Drucker"</f>
        <v>08 - B - 108 - Adam Marcus  Drucker</v>
      </c>
      <c r="F4830" t="str">
        <f>"HOPE-PE V"</f>
        <v>HOPE-PE V</v>
      </c>
      <c r="G4830" t="str">
        <f>"04-254"</f>
        <v>04-254</v>
      </c>
      <c r="H4830" t="str">
        <f>"B"</f>
        <v>B</v>
      </c>
    </row>
    <row r="4831" spans="1:8" x14ac:dyDescent="0.2">
      <c r="A4831" t="str">
        <f t="shared" ref="A4831:A4838" si="1778">"0623009753"</f>
        <v>0623009753</v>
      </c>
      <c r="B4831" t="str">
        <f t="shared" ref="B4831:B4838" si="1779">"ALEJANDRO"</f>
        <v>ALEJANDRO</v>
      </c>
      <c r="C4831" t="str">
        <f t="shared" ref="C4831:C4838" si="1780">"ECHEVARRIA SALGAD"</f>
        <v>ECHEVARRIA SALGAD</v>
      </c>
      <c r="D4831" t="str">
        <f t="shared" si="1777"/>
        <v>09</v>
      </c>
      <c r="E4831" t="str">
        <f>"04 - A - 201 - Norayda D Suarez"</f>
        <v>04 - A - 201 - Norayda D Suarez</v>
      </c>
      <c r="F4831" t="str">
        <f>"ANAT PHYSIO HON"</f>
        <v>ANAT PHYSIO HON</v>
      </c>
      <c r="G4831" t="str">
        <f>"21-2142"</f>
        <v>21-2142</v>
      </c>
      <c r="H4831" t="str">
        <f>"A"</f>
        <v>A</v>
      </c>
    </row>
    <row r="4832" spans="1:8" x14ac:dyDescent="0.2">
      <c r="A4832" t="str">
        <f t="shared" si="1778"/>
        <v>0623009753</v>
      </c>
      <c r="B4832" t="str">
        <f t="shared" si="1779"/>
        <v>ALEJANDRO</v>
      </c>
      <c r="C4832" t="str">
        <f t="shared" si="1780"/>
        <v>ECHEVARRIA SALGAD</v>
      </c>
      <c r="D4832" t="str">
        <f t="shared" si="1777"/>
        <v>09</v>
      </c>
      <c r="E4832" t="str">
        <f>"06 - B - 106 - Adam Marcus  Drucker"</f>
        <v>06 - B - 106 - Adam Marcus  Drucker</v>
      </c>
      <c r="F4832" t="str">
        <f>"HOPE-PE V"</f>
        <v>HOPE-PE V</v>
      </c>
      <c r="G4832" t="str">
        <f>"04-254"</f>
        <v>04-254</v>
      </c>
      <c r="H4832" t="str">
        <f>"B"</f>
        <v>B</v>
      </c>
    </row>
    <row r="4833" spans="1:8" x14ac:dyDescent="0.2">
      <c r="A4833" t="str">
        <f t="shared" si="1778"/>
        <v>0623009753</v>
      </c>
      <c r="B4833" t="str">
        <f t="shared" si="1779"/>
        <v>ALEJANDRO</v>
      </c>
      <c r="C4833" t="str">
        <f t="shared" si="1780"/>
        <v>ECHEVARRIA SALGAD</v>
      </c>
      <c r="D4833" t="str">
        <f t="shared" si="1777"/>
        <v>09</v>
      </c>
      <c r="E4833" t="str">
        <f>"03 - S1 - A - 102 - Leslie J Barton"</f>
        <v>03 - S1 - A - 102 - Leslie J Barton</v>
      </c>
      <c r="F4833" t="str">
        <f>"FIRST AID SAFETY"</f>
        <v>FIRST AID SAFETY</v>
      </c>
      <c r="G4833" t="str">
        <f>"05-521"</f>
        <v>05-521</v>
      </c>
      <c r="H4833" t="str">
        <f>"A"</f>
        <v>A</v>
      </c>
    </row>
    <row r="4834" spans="1:8" x14ac:dyDescent="0.2">
      <c r="A4834" t="str">
        <f t="shared" si="1778"/>
        <v>0623009753</v>
      </c>
      <c r="B4834" t="str">
        <f t="shared" si="1779"/>
        <v>ALEJANDRO</v>
      </c>
      <c r="C4834" t="str">
        <f t="shared" si="1780"/>
        <v>ECHEVARRIA SALGAD</v>
      </c>
      <c r="D4834" t="str">
        <f t="shared" si="1777"/>
        <v>09</v>
      </c>
      <c r="E4834" t="str">
        <f>"02 - A - 116 - Tina L Lovett"</f>
        <v>02 - A - 116 - Tina L Lovett</v>
      </c>
      <c r="F4834" t="str">
        <f>"NC STUDY HALL 1"</f>
        <v>NC STUDY HALL 1</v>
      </c>
      <c r="G4834" t="str">
        <f>"21-2153"</f>
        <v>21-2153</v>
      </c>
      <c r="H4834" t="str">
        <f>"A"</f>
        <v>A</v>
      </c>
    </row>
    <row r="4835" spans="1:8" x14ac:dyDescent="0.2">
      <c r="A4835" t="str">
        <f t="shared" si="1778"/>
        <v>0623009753</v>
      </c>
      <c r="B4835" t="str">
        <f t="shared" si="1779"/>
        <v>ALEJANDRO</v>
      </c>
      <c r="C4835" t="str">
        <f t="shared" si="1780"/>
        <v>ECHEVARRIA SALGAD</v>
      </c>
      <c r="D4835" t="str">
        <f t="shared" si="1777"/>
        <v>09</v>
      </c>
      <c r="E4835" t="str">
        <f>"07 - B - 107 - Brook E Goren"</f>
        <v>07 - B - 107 - Brook E Goren</v>
      </c>
      <c r="F4835" t="str">
        <f>"PRE-AICE MATH 2 IG"</f>
        <v>PRE-AICE MATH 2 IG</v>
      </c>
      <c r="G4835" t="str">
        <f>"21-2158"</f>
        <v>21-2158</v>
      </c>
      <c r="H4835" t="str">
        <f>"B"</f>
        <v>B</v>
      </c>
    </row>
    <row r="4836" spans="1:8" x14ac:dyDescent="0.2">
      <c r="A4836" t="str">
        <f t="shared" si="1778"/>
        <v>0623009753</v>
      </c>
      <c r="B4836" t="str">
        <f t="shared" si="1779"/>
        <v>ALEJANDRO</v>
      </c>
      <c r="C4836" t="str">
        <f t="shared" si="1780"/>
        <v>ECHEVARRIA SALGAD</v>
      </c>
      <c r="D4836" t="str">
        <f t="shared" si="1777"/>
        <v>09</v>
      </c>
      <c r="E4836" t="str">
        <f>"05 - B - 104 - Joe  Kilpatrick Jr"</f>
        <v>05 - B - 104 - Joe  Kilpatrick Jr</v>
      </c>
      <c r="F4836" t="str">
        <f>"PRE-AICE SPAN 1 IG"</f>
        <v>PRE-AICE SPAN 1 IG</v>
      </c>
      <c r="G4836" t="str">
        <f>"09-912"</f>
        <v>09-912</v>
      </c>
      <c r="H4836" t="str">
        <f>"B"</f>
        <v>B</v>
      </c>
    </row>
    <row r="4837" spans="1:8" x14ac:dyDescent="0.2">
      <c r="A4837" t="str">
        <f t="shared" si="1778"/>
        <v>0623009753</v>
      </c>
      <c r="B4837" t="str">
        <f t="shared" si="1779"/>
        <v>ALEJANDRO</v>
      </c>
      <c r="C4837" t="str">
        <f t="shared" si="1780"/>
        <v>ECHEVARRIA SALGAD</v>
      </c>
      <c r="D4837" t="str">
        <f t="shared" si="1777"/>
        <v>09</v>
      </c>
      <c r="E4837" t="str">
        <f>"01 - A - 101 - Elizabeth R Walker"</f>
        <v>01 - A - 101 - Elizabeth R Walker</v>
      </c>
      <c r="F4837" t="str">
        <f>"AICE ENG GEN PAPER 1"</f>
        <v>AICE ENG GEN PAPER 1</v>
      </c>
      <c r="G4837" t="str">
        <f>"17-1703"</f>
        <v>17-1703</v>
      </c>
      <c r="H4837" t="str">
        <f>"A"</f>
        <v>A</v>
      </c>
    </row>
    <row r="4838" spans="1:8" x14ac:dyDescent="0.2">
      <c r="A4838" t="str">
        <f t="shared" si="1778"/>
        <v>0623009753</v>
      </c>
      <c r="B4838" t="str">
        <f t="shared" si="1779"/>
        <v>ALEJANDRO</v>
      </c>
      <c r="C4838" t="str">
        <f t="shared" si="1780"/>
        <v>ECHEVARRIA SALGAD</v>
      </c>
      <c r="D4838" t="str">
        <f t="shared" si="1777"/>
        <v>09</v>
      </c>
      <c r="E4838" t="str">
        <f>"08 - B - 109 - Rory T Sponsler"</f>
        <v>08 - B - 109 - Rory T Sponsler</v>
      </c>
      <c r="F4838" t="str">
        <f>"PRE-AICE WRLD HST IG"</f>
        <v>PRE-AICE WRLD HST IG</v>
      </c>
      <c r="G4838" t="str">
        <f>"17-1740"</f>
        <v>17-1740</v>
      </c>
      <c r="H4838" t="str">
        <f>"B"</f>
        <v>B</v>
      </c>
    </row>
    <row r="4839" spans="1:8" x14ac:dyDescent="0.2">
      <c r="A4839" t="str">
        <f t="shared" ref="A4839:A4846" si="1781">"0625014333"</f>
        <v>0625014333</v>
      </c>
      <c r="B4839" t="str">
        <f t="shared" ref="B4839:B4846" si="1782">"Elton"</f>
        <v>Elton</v>
      </c>
      <c r="C4839" t="str">
        <f t="shared" ref="C4839:C4846" si="1783">"Edden"</f>
        <v>Edden</v>
      </c>
      <c r="D4839">
        <f>10</f>
        <v>10</v>
      </c>
      <c r="E4839" t="str">
        <f>"04 - A - 105 - Milca  Exantus"</f>
        <v>04 - A - 105 - Milca  Exantus</v>
      </c>
      <c r="F4839" t="str">
        <f>"MATH COLLEGE LIB ART"</f>
        <v>MATH COLLEGE LIB ART</v>
      </c>
      <c r="G4839" t="str">
        <f>"21-2145"</f>
        <v>21-2145</v>
      </c>
      <c r="H4839" t="str">
        <f>"A"</f>
        <v>A</v>
      </c>
    </row>
    <row r="4840" spans="1:8" x14ac:dyDescent="0.2">
      <c r="A4840" t="str">
        <f t="shared" si="1781"/>
        <v>0625014333</v>
      </c>
      <c r="B4840" t="str">
        <f t="shared" si="1782"/>
        <v>Elton</v>
      </c>
      <c r="C4840" t="str">
        <f t="shared" si="1783"/>
        <v>Edden</v>
      </c>
      <c r="D4840">
        <f>10</f>
        <v>10</v>
      </c>
      <c r="E4840" t="str">
        <f>"06 - B - 004 - Robert O Burger"</f>
        <v>06 - B - 004 - Robert O Burger</v>
      </c>
      <c r="F4840" t="str">
        <f>"NC STUDY HALL 1"</f>
        <v>NC STUDY HALL 1</v>
      </c>
      <c r="G4840" t="str">
        <f>"17-1755"</f>
        <v>17-1755</v>
      </c>
      <c r="H4840" t="str">
        <f>"B"</f>
        <v>B</v>
      </c>
    </row>
    <row r="4841" spans="1:8" x14ac:dyDescent="0.2">
      <c r="A4841" t="str">
        <f t="shared" si="1781"/>
        <v>0625014333</v>
      </c>
      <c r="B4841" t="str">
        <f t="shared" si="1782"/>
        <v>Elton</v>
      </c>
      <c r="C4841" t="str">
        <f t="shared" si="1783"/>
        <v>Edden</v>
      </c>
      <c r="D4841">
        <f>10</f>
        <v>10</v>
      </c>
      <c r="E4841" t="str">
        <f>"03 - S1 - A - 101 - Arthur  Kulawik"</f>
        <v>03 - S1 - A - 101 - Arthur  Kulawik</v>
      </c>
      <c r="F4841" t="str">
        <f>"PERS FIN &amp; MON MGT H"</f>
        <v>PERS FIN &amp; MON MGT H</v>
      </c>
      <c r="G4841" t="str">
        <f>"05-506"</f>
        <v>05-506</v>
      </c>
      <c r="H4841" t="str">
        <f>"A"</f>
        <v>A</v>
      </c>
    </row>
    <row r="4842" spans="1:8" x14ac:dyDescent="0.2">
      <c r="A4842" t="str">
        <f t="shared" si="1781"/>
        <v>0625014333</v>
      </c>
      <c r="B4842" t="str">
        <f t="shared" si="1782"/>
        <v>Elton</v>
      </c>
      <c r="C4842" t="str">
        <f t="shared" si="1783"/>
        <v>Edden</v>
      </c>
      <c r="D4842">
        <f>10</f>
        <v>10</v>
      </c>
      <c r="E4842" t="str">
        <f>"02 - A - 102 - Taraneh C Abreu"</f>
        <v>02 - A - 102 - Taraneh C Abreu</v>
      </c>
      <c r="F4842" t="str">
        <f>"INTENS READ 2"</f>
        <v>INTENS READ 2</v>
      </c>
      <c r="G4842" t="str">
        <f>"17-1713"</f>
        <v>17-1713</v>
      </c>
      <c r="H4842" t="str">
        <f>"A"</f>
        <v>A</v>
      </c>
    </row>
    <row r="4843" spans="1:8" x14ac:dyDescent="0.2">
      <c r="A4843" t="str">
        <f t="shared" si="1781"/>
        <v>0625014333</v>
      </c>
      <c r="B4843" t="str">
        <f t="shared" si="1782"/>
        <v>Elton</v>
      </c>
      <c r="C4843" t="str">
        <f t="shared" si="1783"/>
        <v>Edden</v>
      </c>
      <c r="D4843">
        <f>10</f>
        <v>10</v>
      </c>
      <c r="E4843" t="str">
        <f>"07 - B - 104 - Lissa C Frederique"</f>
        <v>07 - B - 104 - Lissa C Frederique</v>
      </c>
      <c r="F4843" t="str">
        <f>"WORLD HISTORY"</f>
        <v>WORLD HISTORY</v>
      </c>
      <c r="G4843" t="str">
        <f>"17-1754"</f>
        <v>17-1754</v>
      </c>
      <c r="H4843" t="str">
        <f>"B"</f>
        <v>B</v>
      </c>
    </row>
    <row r="4844" spans="1:8" x14ac:dyDescent="0.2">
      <c r="A4844" t="str">
        <f t="shared" si="1781"/>
        <v>0625014333</v>
      </c>
      <c r="B4844" t="str">
        <f t="shared" si="1782"/>
        <v>Elton</v>
      </c>
      <c r="C4844" t="str">
        <f t="shared" si="1783"/>
        <v>Edden</v>
      </c>
      <c r="D4844">
        <f>10</f>
        <v>10</v>
      </c>
      <c r="E4844" t="str">
        <f>"05 - B - 106 - Jacquelyn M Neeson"</f>
        <v>05 - B - 106 - Jacquelyn M Neeson</v>
      </c>
      <c r="F4844" t="str">
        <f>"ENG 2"</f>
        <v>ENG 2</v>
      </c>
      <c r="G4844" t="str">
        <f>"17-1715"</f>
        <v>17-1715</v>
      </c>
      <c r="H4844" t="str">
        <f>"B"</f>
        <v>B</v>
      </c>
    </row>
    <row r="4845" spans="1:8" x14ac:dyDescent="0.2">
      <c r="A4845" t="str">
        <f t="shared" si="1781"/>
        <v>0625014333</v>
      </c>
      <c r="B4845" t="str">
        <f t="shared" si="1782"/>
        <v>Elton</v>
      </c>
      <c r="C4845" t="str">
        <f t="shared" si="1783"/>
        <v>Edden</v>
      </c>
      <c r="D4845">
        <f>10</f>
        <v>10</v>
      </c>
      <c r="E4845" t="str">
        <f>"01 - A - 102 - Lytrell T Dixon"</f>
        <v>01 - A - 102 - Lytrell T Dixon</v>
      </c>
      <c r="F4845" t="str">
        <f>"BIOLOGY 1"</f>
        <v>BIOLOGY 1</v>
      </c>
      <c r="G4845" t="str">
        <f>"08-808"</f>
        <v>08-808</v>
      </c>
      <c r="H4845" t="str">
        <f>"A"</f>
        <v>A</v>
      </c>
    </row>
    <row r="4846" spans="1:8" x14ac:dyDescent="0.2">
      <c r="A4846" t="str">
        <f t="shared" si="1781"/>
        <v>0625014333</v>
      </c>
      <c r="B4846" t="str">
        <f t="shared" si="1782"/>
        <v>Elton</v>
      </c>
      <c r="C4846" t="str">
        <f t="shared" si="1783"/>
        <v>Edden</v>
      </c>
      <c r="D4846">
        <f>10</f>
        <v>10</v>
      </c>
      <c r="E4846" t="str">
        <f>"08 - S1 - B - 105 - Richard E Dunbar Iii"</f>
        <v>08 - S1 - B - 105 - Richard E Dunbar Iii</v>
      </c>
      <c r="F4846" t="str">
        <f>"WEIGHT TRAIN 1"</f>
        <v>WEIGHT TRAIN 1</v>
      </c>
      <c r="G4846" t="str">
        <f>"05-501"</f>
        <v>05-501</v>
      </c>
      <c r="H4846" t="str">
        <f>"B"</f>
        <v>B</v>
      </c>
    </row>
    <row r="4847" spans="1:8" x14ac:dyDescent="0.2">
      <c r="A4847" t="str">
        <f t="shared" ref="A4847:A4854" si="1784">"0615140714"</f>
        <v>0615140714</v>
      </c>
      <c r="B4847" t="str">
        <f t="shared" ref="B4847:B4854" si="1785">"NAVEA"</f>
        <v>NAVEA</v>
      </c>
      <c r="C4847" t="str">
        <f t="shared" ref="C4847:C4854" si="1786">"EDEN"</f>
        <v>EDEN</v>
      </c>
      <c r="D4847">
        <f>10</f>
        <v>10</v>
      </c>
      <c r="E4847" t="str">
        <f>"04 - A - 102 - Eva T Rimmer"</f>
        <v>04 - A - 102 - Eva T Rimmer</v>
      </c>
      <c r="F4847" t="str">
        <f>"CRIMINAL JUST OPS 1"</f>
        <v>CRIMINAL JUST OPS 1</v>
      </c>
      <c r="G4847" t="str">
        <f>"05-523"</f>
        <v>05-523</v>
      </c>
      <c r="H4847" t="str">
        <f>"A"</f>
        <v>A</v>
      </c>
    </row>
    <row r="4848" spans="1:8" x14ac:dyDescent="0.2">
      <c r="A4848" t="str">
        <f t="shared" si="1784"/>
        <v>0615140714</v>
      </c>
      <c r="B4848" t="str">
        <f t="shared" si="1785"/>
        <v>NAVEA</v>
      </c>
      <c r="C4848" t="str">
        <f t="shared" si="1786"/>
        <v>EDEN</v>
      </c>
      <c r="D4848">
        <f>10</f>
        <v>10</v>
      </c>
      <c r="E4848" t="str">
        <f>"06 - B - 104 - Robert H Rindner"</f>
        <v>06 - B - 104 - Robert H Rindner</v>
      </c>
      <c r="F4848" t="str">
        <f>"NC STUDY HALL 1"</f>
        <v>NC STUDY HALL 1</v>
      </c>
      <c r="G4848" t="str">
        <f>"21-2160"</f>
        <v>21-2160</v>
      </c>
      <c r="H4848" t="str">
        <f>"B"</f>
        <v>B</v>
      </c>
    </row>
    <row r="4849" spans="1:8" x14ac:dyDescent="0.2">
      <c r="A4849" t="str">
        <f t="shared" si="1784"/>
        <v>0615140714</v>
      </c>
      <c r="B4849" t="str">
        <f t="shared" si="1785"/>
        <v>NAVEA</v>
      </c>
      <c r="C4849" t="str">
        <f t="shared" si="1786"/>
        <v>EDEN</v>
      </c>
      <c r="D4849">
        <f>10</f>
        <v>10</v>
      </c>
      <c r="E4849" t="str">
        <f>"03 - A - 104 - Brook E Goren"</f>
        <v>03 - A - 104 - Brook E Goren</v>
      </c>
      <c r="F4849" t="str">
        <f>"ALGEBRA 2 HON"</f>
        <v>ALGEBRA 2 HON</v>
      </c>
      <c r="G4849" t="str">
        <f>"21-2158"</f>
        <v>21-2158</v>
      </c>
      <c r="H4849" t="str">
        <f>"A"</f>
        <v>A</v>
      </c>
    </row>
    <row r="4850" spans="1:8" x14ac:dyDescent="0.2">
      <c r="A4850" t="str">
        <f t="shared" si="1784"/>
        <v>0615140714</v>
      </c>
      <c r="B4850" t="str">
        <f t="shared" si="1785"/>
        <v>NAVEA</v>
      </c>
      <c r="C4850" t="str">
        <f t="shared" si="1786"/>
        <v>EDEN</v>
      </c>
      <c r="D4850">
        <f>10</f>
        <v>10</v>
      </c>
      <c r="E4850" t="str">
        <f>"02 - A - 103 - Lenecy  Nodarse"</f>
        <v>02 - A - 103 - Lenecy  Nodarse</v>
      </c>
      <c r="F4850" t="str">
        <f>"AICE EURO HIST 1 AS"</f>
        <v>AICE EURO HIST 1 AS</v>
      </c>
      <c r="G4850" t="str">
        <f>"17-1741"</f>
        <v>17-1741</v>
      </c>
      <c r="H4850" t="str">
        <f>"A"</f>
        <v>A</v>
      </c>
    </row>
    <row r="4851" spans="1:8" x14ac:dyDescent="0.2">
      <c r="A4851" t="str">
        <f t="shared" si="1784"/>
        <v>0615140714</v>
      </c>
      <c r="B4851" t="str">
        <f t="shared" si="1785"/>
        <v>NAVEA</v>
      </c>
      <c r="C4851" t="str">
        <f t="shared" si="1786"/>
        <v>EDEN</v>
      </c>
      <c r="D4851">
        <f>10</f>
        <v>10</v>
      </c>
      <c r="E4851" t="str">
        <f>"07 - B - 002 - Jordana K Hass"</f>
        <v>07 - B - 002 - Jordana K Hass</v>
      </c>
      <c r="F4851" t="str">
        <f>"CHEMISTRY 1 HON"</f>
        <v>CHEMISTRY 1 HON</v>
      </c>
      <c r="G4851" t="str">
        <f>"08-807"</f>
        <v>08-807</v>
      </c>
      <c r="H4851" t="str">
        <f>"B"</f>
        <v>B</v>
      </c>
    </row>
    <row r="4852" spans="1:8" x14ac:dyDescent="0.2">
      <c r="A4852" t="str">
        <f t="shared" si="1784"/>
        <v>0615140714</v>
      </c>
      <c r="B4852" t="str">
        <f t="shared" si="1785"/>
        <v>NAVEA</v>
      </c>
      <c r="C4852" t="str">
        <f t="shared" si="1786"/>
        <v>EDEN</v>
      </c>
      <c r="D4852">
        <f>10</f>
        <v>10</v>
      </c>
      <c r="E4852" t="str">
        <f>"05 - S1 - B - 102 - Lissa C Frederique"</f>
        <v>05 - S1 - B - 102 - Lissa C Frederique</v>
      </c>
      <c r="F4852" t="str">
        <f>"PERS FIN &amp; MON MGT H"</f>
        <v>PERS FIN &amp; MON MGT H</v>
      </c>
      <c r="G4852" t="str">
        <f>"17-1754"</f>
        <v>17-1754</v>
      </c>
      <c r="H4852" t="str">
        <f>"B"</f>
        <v>B</v>
      </c>
    </row>
    <row r="4853" spans="1:8" x14ac:dyDescent="0.2">
      <c r="A4853" t="str">
        <f t="shared" si="1784"/>
        <v>0615140714</v>
      </c>
      <c r="B4853" t="str">
        <f t="shared" si="1785"/>
        <v>NAVEA</v>
      </c>
      <c r="C4853" t="str">
        <f t="shared" si="1786"/>
        <v>EDEN</v>
      </c>
      <c r="D4853">
        <f>10</f>
        <v>10</v>
      </c>
      <c r="E4853" t="str">
        <f>"01 - A - 101 - Courtney E Hambright"</f>
        <v>01 - A - 101 - Courtney E Hambright</v>
      </c>
      <c r="F4853" t="str">
        <f>"AICE ENG LANG AS"</f>
        <v>AICE ENG LANG AS</v>
      </c>
      <c r="G4853" t="str">
        <f>"17-1711"</f>
        <v>17-1711</v>
      </c>
      <c r="H4853" t="str">
        <f>"A"</f>
        <v>A</v>
      </c>
    </row>
    <row r="4854" spans="1:8" x14ac:dyDescent="0.2">
      <c r="A4854" t="str">
        <f t="shared" si="1784"/>
        <v>0615140714</v>
      </c>
      <c r="B4854" t="str">
        <f t="shared" si="1785"/>
        <v>NAVEA</v>
      </c>
      <c r="C4854" t="str">
        <f t="shared" si="1786"/>
        <v>EDEN</v>
      </c>
      <c r="D4854">
        <f>10</f>
        <v>10</v>
      </c>
      <c r="E4854" t="str">
        <f>"08 - B - 103 - Joe  Kilpatrick Jr"</f>
        <v>08 - B - 103 - Joe  Kilpatrick Jr</v>
      </c>
      <c r="F4854" t="str">
        <f>"PRE-AICE SPAN 2 IG"</f>
        <v>PRE-AICE SPAN 2 IG</v>
      </c>
      <c r="G4854" t="str">
        <f>"09-912"</f>
        <v>09-912</v>
      </c>
      <c r="H4854" t="str">
        <f>"B"</f>
        <v>B</v>
      </c>
    </row>
    <row r="4855" spans="1:8" x14ac:dyDescent="0.2">
      <c r="A4855" t="str">
        <f t="shared" ref="A4855:A4862" si="1787">"0615139123"</f>
        <v>0615139123</v>
      </c>
      <c r="B4855" t="str">
        <f t="shared" ref="B4855:B4862" si="1788">"GRIFFIN"</f>
        <v>GRIFFIN</v>
      </c>
      <c r="C4855" t="str">
        <f t="shared" ref="C4855:C4870" si="1789">"EDLER"</f>
        <v>EDLER</v>
      </c>
      <c r="D4855">
        <f>10</f>
        <v>10</v>
      </c>
      <c r="E4855" t="str">
        <f>"04 - A - 104 - Adam Marcus  Drucker"</f>
        <v>04 - A - 104 - Adam Marcus  Drucker</v>
      </c>
      <c r="F4855" t="str">
        <f>"HOPE-PE V"</f>
        <v>HOPE-PE V</v>
      </c>
      <c r="G4855" t="str">
        <f>"04-254"</f>
        <v>04-254</v>
      </c>
      <c r="H4855" t="str">
        <f>"A"</f>
        <v>A</v>
      </c>
    </row>
    <row r="4856" spans="1:8" x14ac:dyDescent="0.2">
      <c r="A4856" t="str">
        <f t="shared" si="1787"/>
        <v>0615139123</v>
      </c>
      <c r="B4856" t="str">
        <f t="shared" si="1788"/>
        <v>GRIFFIN</v>
      </c>
      <c r="C4856" t="str">
        <f t="shared" si="1789"/>
        <v>EDLER</v>
      </c>
      <c r="D4856">
        <f>10</f>
        <v>10</v>
      </c>
      <c r="E4856" t="str">
        <f>"06 - B - 002 - Lenecy  Nodarse"</f>
        <v>06 - B - 002 - Lenecy  Nodarse</v>
      </c>
      <c r="F4856" t="str">
        <f>"NC STUDY HALL 1"</f>
        <v>NC STUDY HALL 1</v>
      </c>
      <c r="G4856" t="str">
        <f>"17-1741"</f>
        <v>17-1741</v>
      </c>
      <c r="H4856" t="str">
        <f>"B"</f>
        <v>B</v>
      </c>
    </row>
    <row r="4857" spans="1:8" x14ac:dyDescent="0.2">
      <c r="A4857" t="str">
        <f t="shared" si="1787"/>
        <v>0615139123</v>
      </c>
      <c r="B4857" t="str">
        <f t="shared" si="1788"/>
        <v>GRIFFIN</v>
      </c>
      <c r="C4857" t="str">
        <f t="shared" si="1789"/>
        <v>EDLER</v>
      </c>
      <c r="D4857">
        <f>10</f>
        <v>10</v>
      </c>
      <c r="E4857" t="str">
        <f>"03 - A - 103 - Jacquelyn M Neeson"</f>
        <v>03 - A - 103 - Jacquelyn M Neeson</v>
      </c>
      <c r="F4857" t="str">
        <f>"ENG 2"</f>
        <v>ENG 2</v>
      </c>
      <c r="G4857" t="str">
        <f>"17-1715"</f>
        <v>17-1715</v>
      </c>
      <c r="H4857" t="str">
        <f>"A"</f>
        <v>A</v>
      </c>
    </row>
    <row r="4858" spans="1:8" x14ac:dyDescent="0.2">
      <c r="A4858" t="str">
        <f t="shared" si="1787"/>
        <v>0615139123</v>
      </c>
      <c r="B4858" t="str">
        <f t="shared" si="1788"/>
        <v>GRIFFIN</v>
      </c>
      <c r="C4858" t="str">
        <f t="shared" si="1789"/>
        <v>EDLER</v>
      </c>
      <c r="D4858">
        <f>10</f>
        <v>10</v>
      </c>
      <c r="E4858" t="str">
        <f>"02 - S1 - A - 101 - James H Mccann"</f>
        <v>02 - S1 - A - 101 - James H Mccann</v>
      </c>
      <c r="F4858" t="str">
        <f>"PERS FIN &amp; MON MGT H"</f>
        <v>PERS FIN &amp; MON MGT H</v>
      </c>
      <c r="G4858" t="str">
        <f>"17-1716"</f>
        <v>17-1716</v>
      </c>
      <c r="H4858" t="str">
        <f>"A"</f>
        <v>A</v>
      </c>
    </row>
    <row r="4859" spans="1:8" x14ac:dyDescent="0.2">
      <c r="A4859" t="str">
        <f t="shared" si="1787"/>
        <v>0615139123</v>
      </c>
      <c r="B4859" t="str">
        <f t="shared" si="1788"/>
        <v>GRIFFIN</v>
      </c>
      <c r="C4859" t="str">
        <f t="shared" si="1789"/>
        <v>EDLER</v>
      </c>
      <c r="D4859">
        <f>10</f>
        <v>10</v>
      </c>
      <c r="E4859" t="str">
        <f>"07 - B - 106 - Taraneh C Abreu"</f>
        <v>07 - B - 106 - Taraneh C Abreu</v>
      </c>
      <c r="F4859" t="str">
        <f>"INTENS READ 2"</f>
        <v>INTENS READ 2</v>
      </c>
      <c r="G4859" t="str">
        <f>"17-1713"</f>
        <v>17-1713</v>
      </c>
      <c r="H4859" t="str">
        <f>"B"</f>
        <v>B</v>
      </c>
    </row>
    <row r="4860" spans="1:8" x14ac:dyDescent="0.2">
      <c r="A4860" t="str">
        <f t="shared" si="1787"/>
        <v>0615139123</v>
      </c>
      <c r="B4860" t="str">
        <f t="shared" si="1788"/>
        <v>GRIFFIN</v>
      </c>
      <c r="C4860" t="str">
        <f t="shared" si="1789"/>
        <v>EDLER</v>
      </c>
      <c r="D4860">
        <f>10</f>
        <v>10</v>
      </c>
      <c r="E4860" t="str">
        <f>"05 - B - 104 - Joe  Kilpatrick Jr"</f>
        <v>05 - B - 104 - Joe  Kilpatrick Jr</v>
      </c>
      <c r="F4860" t="str">
        <f>"PRE-AICE SPAN 1 IG"</f>
        <v>PRE-AICE SPAN 1 IG</v>
      </c>
      <c r="G4860" t="str">
        <f>"09-912"</f>
        <v>09-912</v>
      </c>
      <c r="H4860" t="str">
        <f>"B"</f>
        <v>B</v>
      </c>
    </row>
    <row r="4861" spans="1:8" x14ac:dyDescent="0.2">
      <c r="A4861" t="str">
        <f t="shared" si="1787"/>
        <v>0615139123</v>
      </c>
      <c r="B4861" t="str">
        <f t="shared" si="1788"/>
        <v>GRIFFIN</v>
      </c>
      <c r="C4861" t="str">
        <f t="shared" si="1789"/>
        <v>EDLER</v>
      </c>
      <c r="D4861">
        <f>10</f>
        <v>10</v>
      </c>
      <c r="E4861" t="str">
        <f>"01 - A - 101 - Ferrie J Arostique"</f>
        <v>01 - A - 101 - Ferrie J Arostique</v>
      </c>
      <c r="F4861" t="str">
        <f>"GEOMETRY"</f>
        <v>GEOMETRY</v>
      </c>
      <c r="G4861" t="str">
        <f>"21-2139"</f>
        <v>21-2139</v>
      </c>
      <c r="H4861" t="str">
        <f>"A"</f>
        <v>A</v>
      </c>
    </row>
    <row r="4862" spans="1:8" x14ac:dyDescent="0.2">
      <c r="A4862" t="str">
        <f t="shared" si="1787"/>
        <v>0615139123</v>
      </c>
      <c r="B4862" t="str">
        <f t="shared" si="1788"/>
        <v>GRIFFIN</v>
      </c>
      <c r="C4862" t="str">
        <f t="shared" si="1789"/>
        <v>EDLER</v>
      </c>
      <c r="D4862">
        <f>10</f>
        <v>10</v>
      </c>
      <c r="E4862" t="str">
        <f>"08 - B - 001 - Lytrell T Dixon"</f>
        <v>08 - B - 001 - Lytrell T Dixon</v>
      </c>
      <c r="F4862" t="str">
        <f>"BIOLOGY 1"</f>
        <v>BIOLOGY 1</v>
      </c>
      <c r="G4862" t="str">
        <f>"08-808"</f>
        <v>08-808</v>
      </c>
      <c r="H4862" t="str">
        <f>"B"</f>
        <v>B</v>
      </c>
    </row>
    <row r="4863" spans="1:8" x14ac:dyDescent="0.2">
      <c r="A4863" t="str">
        <f t="shared" ref="A4863:A4870" si="1790">"0614030242"</f>
        <v>0614030242</v>
      </c>
      <c r="B4863" t="str">
        <f t="shared" ref="B4863:B4870" si="1791">"STELLA"</f>
        <v>STELLA</v>
      </c>
      <c r="C4863" t="str">
        <f t="shared" si="1789"/>
        <v>EDLER</v>
      </c>
      <c r="D4863">
        <f>12</f>
        <v>12</v>
      </c>
      <c r="E4863" t="str">
        <f>"04 - A - 103 - Cliffon  Saurel"</f>
        <v>04 - A - 103 - Cliffon  Saurel</v>
      </c>
      <c r="F4863" t="str">
        <f>"PHYSICAL SCI"</f>
        <v>PHYSICAL SCI</v>
      </c>
      <c r="G4863" t="str">
        <f>"05-522"</f>
        <v>05-522</v>
      </c>
      <c r="H4863" t="str">
        <f>"A"</f>
        <v>A</v>
      </c>
    </row>
    <row r="4864" spans="1:8" x14ac:dyDescent="0.2">
      <c r="A4864" t="str">
        <f t="shared" si="1790"/>
        <v>0614030242</v>
      </c>
      <c r="B4864" t="str">
        <f t="shared" si="1791"/>
        <v>STELLA</v>
      </c>
      <c r="C4864" t="str">
        <f t="shared" si="1789"/>
        <v>EDLER</v>
      </c>
      <c r="D4864">
        <f>12</f>
        <v>12</v>
      </c>
      <c r="E4864" t="str">
        <f>"06 - B - 110 - Barbara L Segal"</f>
        <v>06 - B - 110 - Barbara L Segal</v>
      </c>
      <c r="F4864" t="str">
        <f>"NC STUDY HALL 1"</f>
        <v>NC STUDY HALL 1</v>
      </c>
      <c r="G4864" t="str">
        <f>"17-1742"</f>
        <v>17-1742</v>
      </c>
      <c r="H4864" t="str">
        <f>"B"</f>
        <v>B</v>
      </c>
    </row>
    <row r="4865" spans="1:8" x14ac:dyDescent="0.2">
      <c r="A4865" t="str">
        <f t="shared" si="1790"/>
        <v>0614030242</v>
      </c>
      <c r="B4865" t="str">
        <f t="shared" si="1791"/>
        <v>STELLA</v>
      </c>
      <c r="C4865" t="str">
        <f t="shared" si="1789"/>
        <v>EDLER</v>
      </c>
      <c r="D4865">
        <f>12</f>
        <v>12</v>
      </c>
      <c r="E4865" t="str">
        <f>"03 - A - 103 - Adam Marcus  Drucker"</f>
        <v>03 - A - 103 - Adam Marcus  Drucker</v>
      </c>
      <c r="F4865" t="str">
        <f>"HOPE-PE V"</f>
        <v>HOPE-PE V</v>
      </c>
      <c r="G4865" t="str">
        <f>"04-254"</f>
        <v>04-254</v>
      </c>
      <c r="H4865" t="str">
        <f>"A"</f>
        <v>A</v>
      </c>
    </row>
    <row r="4866" spans="1:8" x14ac:dyDescent="0.2">
      <c r="A4866" t="str">
        <f t="shared" si="1790"/>
        <v>0614030242</v>
      </c>
      <c r="B4866" t="str">
        <f t="shared" si="1791"/>
        <v>STELLA</v>
      </c>
      <c r="C4866" t="str">
        <f t="shared" si="1789"/>
        <v>EDLER</v>
      </c>
      <c r="D4866">
        <f>12</f>
        <v>12</v>
      </c>
      <c r="E4866" t="str">
        <f>"02 - S1 - A - 103 - Barbara L Segal"</f>
        <v>02 - S1 - A - 103 - Barbara L Segal</v>
      </c>
      <c r="F4866" t="str">
        <f>"US GOVT HON"</f>
        <v>US GOVT HON</v>
      </c>
      <c r="G4866" t="str">
        <f>"17-1742"</f>
        <v>17-1742</v>
      </c>
      <c r="H4866" t="str">
        <f>"A"</f>
        <v>A</v>
      </c>
    </row>
    <row r="4867" spans="1:8" x14ac:dyDescent="0.2">
      <c r="A4867" t="str">
        <f t="shared" si="1790"/>
        <v>0614030242</v>
      </c>
      <c r="B4867" t="str">
        <f t="shared" si="1791"/>
        <v>STELLA</v>
      </c>
      <c r="C4867" t="str">
        <f t="shared" si="1789"/>
        <v>EDLER</v>
      </c>
      <c r="D4867">
        <f>12</f>
        <v>12</v>
      </c>
      <c r="E4867" t="str">
        <f>"07 - B - 105 - Robert H Rindner"</f>
        <v>07 - B - 105 - Robert H Rindner</v>
      </c>
      <c r="F4867" t="str">
        <f>"MATH DATA&amp;FIN LIT H"</f>
        <v>MATH DATA&amp;FIN LIT H</v>
      </c>
      <c r="G4867" t="str">
        <f>"21-2160"</f>
        <v>21-2160</v>
      </c>
      <c r="H4867" t="str">
        <f>"B"</f>
        <v>B</v>
      </c>
    </row>
    <row r="4868" spans="1:8" x14ac:dyDescent="0.2">
      <c r="A4868" t="str">
        <f t="shared" si="1790"/>
        <v>0614030242</v>
      </c>
      <c r="B4868" t="str">
        <f t="shared" si="1791"/>
        <v>STELLA</v>
      </c>
      <c r="C4868" t="str">
        <f t="shared" si="1789"/>
        <v>EDLER</v>
      </c>
      <c r="D4868">
        <f>12</f>
        <v>12</v>
      </c>
      <c r="E4868" t="str">
        <f>"05 - B - 103 - Brandy N Zdenek"</f>
        <v>05 - B - 103 - Brandy N Zdenek</v>
      </c>
      <c r="F4868" t="str">
        <f>"AICE ENG LANG 2 AL"</f>
        <v>AICE ENG LANG 2 AL</v>
      </c>
      <c r="G4868" t="str">
        <f>"17-1704"</f>
        <v>17-1704</v>
      </c>
      <c r="H4868" t="str">
        <f>"B"</f>
        <v>B</v>
      </c>
    </row>
    <row r="4869" spans="1:8" x14ac:dyDescent="0.2">
      <c r="A4869" t="str">
        <f t="shared" si="1790"/>
        <v>0614030242</v>
      </c>
      <c r="B4869" t="str">
        <f t="shared" si="1791"/>
        <v>STELLA</v>
      </c>
      <c r="C4869" t="str">
        <f t="shared" si="1789"/>
        <v>EDLER</v>
      </c>
      <c r="D4869">
        <f>12</f>
        <v>12</v>
      </c>
      <c r="E4869" t="str">
        <f>"01 - A - 103 - Scott A Dethloff"</f>
        <v>01 - A - 103 - Scott A Dethloff</v>
      </c>
      <c r="F4869" t="str">
        <f>"AICE THINK SKLS 1 AS"</f>
        <v>AICE THINK SKLS 1 AS</v>
      </c>
      <c r="G4869" t="str">
        <f>"08-812"</f>
        <v>08-812</v>
      </c>
      <c r="H4869" t="str">
        <f>"A"</f>
        <v>A</v>
      </c>
    </row>
    <row r="4870" spans="1:8" x14ac:dyDescent="0.2">
      <c r="A4870" t="str">
        <f t="shared" si="1790"/>
        <v>0614030242</v>
      </c>
      <c r="B4870" t="str">
        <f t="shared" si="1791"/>
        <v>STELLA</v>
      </c>
      <c r="C4870" t="str">
        <f t="shared" si="1789"/>
        <v>EDLER</v>
      </c>
      <c r="D4870">
        <f>12</f>
        <v>12</v>
      </c>
      <c r="E4870" t="str">
        <f>"08 - B - 201 - Stacey A Blecker"</f>
        <v>08 - B - 201 - Stacey A Blecker</v>
      </c>
      <c r="F4870" t="str">
        <f>"AICE SOCIOLOGY 1 AS"</f>
        <v>AICE SOCIOLOGY 1 AS</v>
      </c>
      <c r="G4870" t="str">
        <f>"09-926"</f>
        <v>09-926</v>
      </c>
      <c r="H4870" t="str">
        <f>"B"</f>
        <v>B</v>
      </c>
    </row>
    <row r="4871" spans="1:8" x14ac:dyDescent="0.2">
      <c r="A4871" t="str">
        <f t="shared" ref="A4871:A4878" si="1792">"0614087764"</f>
        <v>0614087764</v>
      </c>
      <c r="B4871" t="str">
        <f t="shared" ref="B4871:B4878" si="1793">"CANNON"</f>
        <v>CANNON</v>
      </c>
      <c r="C4871" t="str">
        <f t="shared" ref="C4871:C4878" si="1794">"EDMONDS"</f>
        <v>EDMONDS</v>
      </c>
      <c r="D4871">
        <f>11</f>
        <v>11</v>
      </c>
      <c r="E4871" t="str">
        <f>"04 - A - 102 - Jeffrey S Gallagher"</f>
        <v>04 - A - 102 - Jeffrey S Gallagher</v>
      </c>
      <c r="F4871" t="str">
        <f>"ENG HON 3"</f>
        <v>ENG HON 3</v>
      </c>
      <c r="G4871" t="str">
        <f>"17-1724"</f>
        <v>17-1724</v>
      </c>
      <c r="H4871" t="str">
        <f>"A"</f>
        <v>A</v>
      </c>
    </row>
    <row r="4872" spans="1:8" x14ac:dyDescent="0.2">
      <c r="A4872" t="str">
        <f t="shared" si="1792"/>
        <v>0614087764</v>
      </c>
      <c r="B4872" t="str">
        <f t="shared" si="1793"/>
        <v>CANNON</v>
      </c>
      <c r="C4872" t="str">
        <f t="shared" si="1794"/>
        <v>EDMONDS</v>
      </c>
      <c r="D4872">
        <f>11</f>
        <v>11</v>
      </c>
      <c r="E4872" t="str">
        <f>"06 - B - 001 - Lourivaldo  Da Silva"</f>
        <v>06 - B - 001 - Lourivaldo  Da Silva</v>
      </c>
      <c r="F4872" t="str">
        <f>"PRE-CALCULUS HON"</f>
        <v>PRE-CALCULUS HON</v>
      </c>
      <c r="G4872" t="str">
        <f>"20-2079"</f>
        <v>20-2079</v>
      </c>
      <c r="H4872" t="str">
        <f>"B"</f>
        <v>B</v>
      </c>
    </row>
    <row r="4873" spans="1:8" x14ac:dyDescent="0.2">
      <c r="A4873" t="str">
        <f t="shared" si="1792"/>
        <v>0614087764</v>
      </c>
      <c r="B4873" t="str">
        <f t="shared" si="1793"/>
        <v>CANNON</v>
      </c>
      <c r="C4873" t="str">
        <f t="shared" si="1794"/>
        <v>EDMONDS</v>
      </c>
      <c r="D4873">
        <f>11</f>
        <v>11</v>
      </c>
      <c r="E4873" t="str">
        <f>"03 - A - 106 - Jerry S Jiampetti"</f>
        <v>03 - A - 106 - Jerry S Jiampetti</v>
      </c>
      <c r="F4873" t="str">
        <f>"US HISTORY HON"</f>
        <v>US HISTORY HON</v>
      </c>
      <c r="G4873" t="str">
        <f>"17-1751"</f>
        <v>17-1751</v>
      </c>
      <c r="H4873" t="str">
        <f>"A"</f>
        <v>A</v>
      </c>
    </row>
    <row r="4874" spans="1:8" x14ac:dyDescent="0.2">
      <c r="A4874" t="str">
        <f t="shared" si="1792"/>
        <v>0614087764</v>
      </c>
      <c r="B4874" t="str">
        <f t="shared" si="1793"/>
        <v>CANNON</v>
      </c>
      <c r="C4874" t="str">
        <f t="shared" si="1794"/>
        <v>EDMONDS</v>
      </c>
      <c r="D4874">
        <f>11</f>
        <v>11</v>
      </c>
      <c r="E4874" t="str">
        <f>"02 - A - 113 - Byron G Montenegro"</f>
        <v>02 - A - 113 - Byron G Montenegro</v>
      </c>
      <c r="F4874" t="str">
        <f>"NC STUDY HALL 1"</f>
        <v>NC STUDY HALL 1</v>
      </c>
      <c r="G4874" t="str">
        <f>"21-2144"</f>
        <v>21-2144</v>
      </c>
      <c r="H4874" t="str">
        <f>"A"</f>
        <v>A</v>
      </c>
    </row>
    <row r="4875" spans="1:8" x14ac:dyDescent="0.2">
      <c r="A4875" t="str">
        <f t="shared" si="1792"/>
        <v>0614087764</v>
      </c>
      <c r="B4875" t="str">
        <f t="shared" si="1793"/>
        <v>CANNON</v>
      </c>
      <c r="C4875" t="str">
        <f t="shared" si="1794"/>
        <v>EDMONDS</v>
      </c>
      <c r="D4875">
        <f>11</f>
        <v>11</v>
      </c>
      <c r="E4875" t="str">
        <f>"07 - S1 - B - 103 - Leslie J Barton"</f>
        <v>07 - S1 - B - 103 - Leslie J Barton</v>
      </c>
      <c r="F4875" t="str">
        <f>"TEAM SPORTS 1"</f>
        <v>TEAM SPORTS 1</v>
      </c>
      <c r="G4875" t="str">
        <f>"04-254"</f>
        <v>04-254</v>
      </c>
      <c r="H4875" t="str">
        <f>"B"</f>
        <v>B</v>
      </c>
    </row>
    <row r="4876" spans="1:8" x14ac:dyDescent="0.2">
      <c r="A4876" t="str">
        <f t="shared" si="1792"/>
        <v>0614087764</v>
      </c>
      <c r="B4876" t="str">
        <f t="shared" si="1793"/>
        <v>CANNON</v>
      </c>
      <c r="C4876" t="str">
        <f t="shared" si="1794"/>
        <v>EDMONDS</v>
      </c>
      <c r="D4876">
        <f>11</f>
        <v>11</v>
      </c>
      <c r="E4876" t="str">
        <f>"05 - B - 205 - Rosa Elaine  Collado-Duff"</f>
        <v>05 - B - 205 - Rosa Elaine  Collado-Duff</v>
      </c>
      <c r="F4876" t="str">
        <f>"PRE-AICE SPAN 2 IG"</f>
        <v>PRE-AICE SPAN 2 IG</v>
      </c>
      <c r="G4876" t="str">
        <f>"09-913"</f>
        <v>09-913</v>
      </c>
      <c r="H4876" t="str">
        <f>"B"</f>
        <v>B</v>
      </c>
    </row>
    <row r="4877" spans="1:8" x14ac:dyDescent="0.2">
      <c r="A4877" t="str">
        <f t="shared" si="1792"/>
        <v>0614087764</v>
      </c>
      <c r="B4877" t="str">
        <f t="shared" si="1793"/>
        <v>CANNON</v>
      </c>
      <c r="C4877" t="str">
        <f t="shared" si="1794"/>
        <v>EDMONDS</v>
      </c>
      <c r="D4877">
        <f>11</f>
        <v>11</v>
      </c>
      <c r="E4877" t="str">
        <f>"01 - A - 101 - Chrystina M Marchionne"</f>
        <v>01 - A - 101 - Chrystina M Marchionne</v>
      </c>
      <c r="F4877" t="str">
        <f>"AICE MEDIA STUDIES A"</f>
        <v>AICE MEDIA STUDIES A</v>
      </c>
      <c r="G4877" t="str">
        <f>"05-520"</f>
        <v>05-520</v>
      </c>
      <c r="H4877" t="str">
        <f>"A"</f>
        <v>A</v>
      </c>
    </row>
    <row r="4878" spans="1:8" x14ac:dyDescent="0.2">
      <c r="A4878" t="str">
        <f t="shared" si="1792"/>
        <v>0614087764</v>
      </c>
      <c r="B4878" t="str">
        <f t="shared" si="1793"/>
        <v>CANNON</v>
      </c>
      <c r="C4878" t="str">
        <f t="shared" si="1794"/>
        <v>EDMONDS</v>
      </c>
      <c r="D4878">
        <f>11</f>
        <v>11</v>
      </c>
      <c r="E4878" t="str">
        <f>"08 - B - 102 - Josiah I Lacy"</f>
        <v>08 - B - 102 - Josiah I Lacy</v>
      </c>
      <c r="F4878" t="str">
        <f>"ANAT PHYSIO HON"</f>
        <v>ANAT PHYSIO HON</v>
      </c>
      <c r="G4878" t="str">
        <f>"08-801"</f>
        <v>08-801</v>
      </c>
      <c r="H4878" t="str">
        <f>"B"</f>
        <v>B</v>
      </c>
    </row>
    <row r="4879" spans="1:8" x14ac:dyDescent="0.2">
      <c r="A4879" t="str">
        <f t="shared" ref="A4879:A4886" si="1795">"0614137555"</f>
        <v>0614137555</v>
      </c>
      <c r="B4879" t="str">
        <f t="shared" ref="B4879:B4886" si="1796">"DARIUS"</f>
        <v>DARIUS</v>
      </c>
      <c r="C4879" t="str">
        <f t="shared" ref="C4879:C4894" si="1797">"EDWARDS"</f>
        <v>EDWARDS</v>
      </c>
      <c r="D4879">
        <f>11</f>
        <v>11</v>
      </c>
      <c r="E4879" t="str">
        <f>"04 - A - 101 - Alejandro  Navarro"</f>
        <v>04 - A - 101 - Alejandro  Navarro</v>
      </c>
      <c r="F4879" t="str">
        <f>"BAND 5 HON"</f>
        <v>BAND 5 HON</v>
      </c>
      <c r="G4879" t="str">
        <f>"05-504"</f>
        <v>05-504</v>
      </c>
      <c r="H4879" t="str">
        <f>"A"</f>
        <v>A</v>
      </c>
    </row>
    <row r="4880" spans="1:8" x14ac:dyDescent="0.2">
      <c r="A4880" t="str">
        <f t="shared" si="1795"/>
        <v>0614137555</v>
      </c>
      <c r="B4880" t="str">
        <f t="shared" si="1796"/>
        <v>DARIUS</v>
      </c>
      <c r="C4880" t="str">
        <f t="shared" si="1797"/>
        <v>EDWARDS</v>
      </c>
      <c r="D4880">
        <f>11</f>
        <v>11</v>
      </c>
      <c r="E4880" t="str">
        <f>"06 - B - 104 - Brandy N Zdenek"</f>
        <v>06 - B - 104 - Brandy N Zdenek</v>
      </c>
      <c r="F4880" t="str">
        <f>"AICE ENG LANG 2 AL"</f>
        <v>AICE ENG LANG 2 AL</v>
      </c>
      <c r="G4880" t="str">
        <f>"17-1704"</f>
        <v>17-1704</v>
      </c>
      <c r="H4880" t="str">
        <f>"B"</f>
        <v>B</v>
      </c>
    </row>
    <row r="4881" spans="1:8" x14ac:dyDescent="0.2">
      <c r="A4881" t="str">
        <f t="shared" si="1795"/>
        <v>0614137555</v>
      </c>
      <c r="B4881" t="str">
        <f t="shared" si="1796"/>
        <v>DARIUS</v>
      </c>
      <c r="C4881" t="str">
        <f t="shared" si="1797"/>
        <v>EDWARDS</v>
      </c>
      <c r="D4881">
        <f>11</f>
        <v>11</v>
      </c>
      <c r="E4881" t="str">
        <f>"03 - A - 101 - Timothy J Lawrence"</f>
        <v>03 - A - 101 - Timothy J Lawrence</v>
      </c>
      <c r="F4881" t="str">
        <f>"AICE PHYS ED 1 AS"</f>
        <v>AICE PHYS ED 1 AS</v>
      </c>
      <c r="G4881" t="str">
        <f>"05-519"</f>
        <v>05-519</v>
      </c>
      <c r="H4881" t="str">
        <f>"A"</f>
        <v>A</v>
      </c>
    </row>
    <row r="4882" spans="1:8" x14ac:dyDescent="0.2">
      <c r="A4882" t="str">
        <f t="shared" si="1795"/>
        <v>0614137555</v>
      </c>
      <c r="B4882" t="str">
        <f t="shared" si="1796"/>
        <v>DARIUS</v>
      </c>
      <c r="C4882" t="str">
        <f t="shared" si="1797"/>
        <v>EDWARDS</v>
      </c>
      <c r="D4882">
        <f>11</f>
        <v>11</v>
      </c>
      <c r="E4882" t="str">
        <f>"02 - A - 108 - Stephen T Ripp"</f>
        <v>02 - A - 108 - Stephen T Ripp</v>
      </c>
      <c r="F4882" t="str">
        <f>"NC STUDY HALL 1"</f>
        <v>NC STUDY HALL 1</v>
      </c>
      <c r="G4882" t="str">
        <f>"17-1744"</f>
        <v>17-1744</v>
      </c>
      <c r="H4882" t="str">
        <f>"A"</f>
        <v>A</v>
      </c>
    </row>
    <row r="4883" spans="1:8" x14ac:dyDescent="0.2">
      <c r="A4883" t="str">
        <f t="shared" si="1795"/>
        <v>0614137555</v>
      </c>
      <c r="B4883" t="str">
        <f t="shared" si="1796"/>
        <v>DARIUS</v>
      </c>
      <c r="C4883" t="str">
        <f t="shared" si="1797"/>
        <v>EDWARDS</v>
      </c>
      <c r="D4883">
        <f>11</f>
        <v>11</v>
      </c>
      <c r="E4883" t="str">
        <f>"07 - B - 104 - Jerry S Jiampetti"</f>
        <v>07 - B - 104 - Jerry S Jiampetti</v>
      </c>
      <c r="F4883" t="str">
        <f>"AICE U.S. HIST 1 AS"</f>
        <v>AICE U.S. HIST 1 AS</v>
      </c>
      <c r="G4883" t="str">
        <f>"17-1751"</f>
        <v>17-1751</v>
      </c>
      <c r="H4883" t="str">
        <f>"B"</f>
        <v>B</v>
      </c>
    </row>
    <row r="4884" spans="1:8" x14ac:dyDescent="0.2">
      <c r="A4884" t="str">
        <f t="shared" si="1795"/>
        <v>0614137555</v>
      </c>
      <c r="B4884" t="str">
        <f t="shared" si="1796"/>
        <v>DARIUS</v>
      </c>
      <c r="C4884" t="str">
        <f t="shared" si="1797"/>
        <v>EDWARDS</v>
      </c>
      <c r="D4884">
        <f>11</f>
        <v>11</v>
      </c>
      <c r="E4884" t="str">
        <f>"05 - B - 104 - Lourivaldo  Da Silva"</f>
        <v>05 - B - 104 - Lourivaldo  Da Silva</v>
      </c>
      <c r="F4884" t="str">
        <f>"PRE-CALCULUS HON"</f>
        <v>PRE-CALCULUS HON</v>
      </c>
      <c r="G4884" t="str">
        <f>"20-2079"</f>
        <v>20-2079</v>
      </c>
      <c r="H4884" t="str">
        <f>"B"</f>
        <v>B</v>
      </c>
    </row>
    <row r="4885" spans="1:8" x14ac:dyDescent="0.2">
      <c r="A4885" t="str">
        <f t="shared" si="1795"/>
        <v>0614137555</v>
      </c>
      <c r="B4885" t="str">
        <f t="shared" si="1796"/>
        <v>DARIUS</v>
      </c>
      <c r="C4885" t="str">
        <f t="shared" si="1797"/>
        <v>EDWARDS</v>
      </c>
      <c r="D4885">
        <f>11</f>
        <v>11</v>
      </c>
      <c r="E4885" t="str">
        <f>"01 - A - 101 - Marielle A Witting"</f>
        <v>01 - A - 101 - Marielle A Witting</v>
      </c>
      <c r="F4885" t="str">
        <f>"AP BIO"</f>
        <v>AP BIO</v>
      </c>
      <c r="G4885" t="str">
        <f>"08-805"</f>
        <v>08-805</v>
      </c>
      <c r="H4885" t="str">
        <f>"A"</f>
        <v>A</v>
      </c>
    </row>
    <row r="4886" spans="1:8" x14ac:dyDescent="0.2">
      <c r="A4886" t="str">
        <f t="shared" si="1795"/>
        <v>0614137555</v>
      </c>
      <c r="B4886" t="str">
        <f t="shared" si="1796"/>
        <v>DARIUS</v>
      </c>
      <c r="C4886" t="str">
        <f t="shared" si="1797"/>
        <v>EDWARDS</v>
      </c>
      <c r="D4886">
        <f>11</f>
        <v>11</v>
      </c>
      <c r="E4886" t="str">
        <f>"08 - B - 101 - Marius D Orsolini"</f>
        <v>08 - B - 101 - Marius D Orsolini</v>
      </c>
      <c r="F4886" t="str">
        <f>"CULINARY ARTS 2"</f>
        <v>CULINARY ARTS 2</v>
      </c>
      <c r="G4886" t="str">
        <f>"21-2115"</f>
        <v>21-2115</v>
      </c>
      <c r="H4886" t="str">
        <f>"B"</f>
        <v>B</v>
      </c>
    </row>
    <row r="4887" spans="1:8" x14ac:dyDescent="0.2">
      <c r="A4887" t="str">
        <f t="shared" ref="A4887:A4894" si="1798">"0614106845"</f>
        <v>0614106845</v>
      </c>
      <c r="B4887" t="str">
        <f t="shared" ref="B4887:B4894" si="1799">"VICTOR"</f>
        <v>VICTOR</v>
      </c>
      <c r="C4887" t="str">
        <f t="shared" si="1797"/>
        <v>EDWARDS</v>
      </c>
      <c r="D4887">
        <f>11</f>
        <v>11</v>
      </c>
      <c r="E4887" t="str">
        <f>"04 - A - 103 - Joe  Kilpatrick Jr"</f>
        <v>04 - A - 103 - Joe  Kilpatrick Jr</v>
      </c>
      <c r="F4887" t="str">
        <f>"PRE-AICE SPAN 1 IG"</f>
        <v>PRE-AICE SPAN 1 IG</v>
      </c>
      <c r="G4887" t="str">
        <f>"09-912"</f>
        <v>09-912</v>
      </c>
      <c r="H4887" t="str">
        <f>"A"</f>
        <v>A</v>
      </c>
    </row>
    <row r="4888" spans="1:8" x14ac:dyDescent="0.2">
      <c r="A4888" t="str">
        <f t="shared" si="1798"/>
        <v>0614106845</v>
      </c>
      <c r="B4888" t="str">
        <f t="shared" si="1799"/>
        <v>VICTOR</v>
      </c>
      <c r="C4888" t="str">
        <f t="shared" si="1797"/>
        <v>EDWARDS</v>
      </c>
      <c r="D4888">
        <f>11</f>
        <v>11</v>
      </c>
      <c r="E4888" t="str">
        <f>"06 - B - 105 - Elizabeth Ellen  Moran"</f>
        <v>06 - B - 105 - Elizabeth Ellen  Moran</v>
      </c>
      <c r="F4888" t="str">
        <f>"US HISTORY"</f>
        <v>US HISTORY</v>
      </c>
      <c r="G4888" t="str">
        <f>"17-1752"</f>
        <v>17-1752</v>
      </c>
      <c r="H4888" t="str">
        <f>"B"</f>
        <v>B</v>
      </c>
    </row>
    <row r="4889" spans="1:8" x14ac:dyDescent="0.2">
      <c r="A4889" t="str">
        <f t="shared" si="1798"/>
        <v>0614106845</v>
      </c>
      <c r="B4889" t="str">
        <f t="shared" si="1799"/>
        <v>VICTOR</v>
      </c>
      <c r="C4889" t="str">
        <f t="shared" si="1797"/>
        <v>EDWARDS</v>
      </c>
      <c r="D4889">
        <f>11</f>
        <v>11</v>
      </c>
      <c r="E4889" t="str">
        <f>"03 - A - 102 - Lisa  Quinn"</f>
        <v>03 - A - 102 - Lisa  Quinn</v>
      </c>
      <c r="F4889" t="str">
        <f>"ENG 3"</f>
        <v>ENG 3</v>
      </c>
      <c r="G4889" t="str">
        <f>"17-1725"</f>
        <v>17-1725</v>
      </c>
      <c r="H4889" t="str">
        <f>"A"</f>
        <v>A</v>
      </c>
    </row>
    <row r="4890" spans="1:8" x14ac:dyDescent="0.2">
      <c r="A4890" t="str">
        <f t="shared" si="1798"/>
        <v>0614106845</v>
      </c>
      <c r="B4890" t="str">
        <f t="shared" si="1799"/>
        <v>VICTOR</v>
      </c>
      <c r="C4890" t="str">
        <f t="shared" si="1797"/>
        <v>EDWARDS</v>
      </c>
      <c r="D4890">
        <f>11</f>
        <v>11</v>
      </c>
      <c r="E4890" t="str">
        <f>"02 - A - 103 - Kelly N Panza"</f>
        <v>02 - A - 103 - Kelly N Panza</v>
      </c>
      <c r="F4890" t="str">
        <f>"NC STUDY HALL 1"</f>
        <v>NC STUDY HALL 1</v>
      </c>
      <c r="G4890" t="str">
        <f>"17-1753"</f>
        <v>17-1753</v>
      </c>
      <c r="H4890" t="str">
        <f>"A"</f>
        <v>A</v>
      </c>
    </row>
    <row r="4891" spans="1:8" x14ac:dyDescent="0.2">
      <c r="A4891" t="str">
        <f t="shared" si="1798"/>
        <v>0614106845</v>
      </c>
      <c r="B4891" t="str">
        <f t="shared" si="1799"/>
        <v>VICTOR</v>
      </c>
      <c r="C4891" t="str">
        <f t="shared" si="1797"/>
        <v>EDWARDS</v>
      </c>
      <c r="D4891">
        <f>11</f>
        <v>11</v>
      </c>
      <c r="E4891" t="str">
        <f>"07 - B - 204 - Scott A Dethloff"</f>
        <v>07 - B - 204 - Scott A Dethloff</v>
      </c>
      <c r="F4891" t="str">
        <f>"CHEMISTRY 1"</f>
        <v>CHEMISTRY 1</v>
      </c>
      <c r="G4891" t="str">
        <f>"08-812"</f>
        <v>08-812</v>
      </c>
      <c r="H4891" t="str">
        <f>"B"</f>
        <v>B</v>
      </c>
    </row>
    <row r="4892" spans="1:8" x14ac:dyDescent="0.2">
      <c r="A4892" t="str">
        <f t="shared" si="1798"/>
        <v>0614106845</v>
      </c>
      <c r="B4892" t="str">
        <f t="shared" si="1799"/>
        <v>VICTOR</v>
      </c>
      <c r="C4892" t="str">
        <f t="shared" si="1797"/>
        <v>EDWARDS</v>
      </c>
      <c r="D4892">
        <f>11</f>
        <v>11</v>
      </c>
      <c r="E4892" t="str">
        <f>"05 - B - 105 - Adam Marcus  Drucker"</f>
        <v>05 - B - 105 - Adam Marcus  Drucker</v>
      </c>
      <c r="F4892" t="str">
        <f>"HOPE-PE V"</f>
        <v>HOPE-PE V</v>
      </c>
      <c r="G4892" t="str">
        <f>"04-254"</f>
        <v>04-254</v>
      </c>
      <c r="H4892" t="str">
        <f>"B"</f>
        <v>B</v>
      </c>
    </row>
    <row r="4893" spans="1:8" x14ac:dyDescent="0.2">
      <c r="A4893" t="str">
        <f t="shared" si="1798"/>
        <v>0614106845</v>
      </c>
      <c r="B4893" t="str">
        <f t="shared" si="1799"/>
        <v>VICTOR</v>
      </c>
      <c r="C4893" t="str">
        <f t="shared" si="1797"/>
        <v>EDWARDS</v>
      </c>
      <c r="D4893">
        <f>11</f>
        <v>11</v>
      </c>
      <c r="E4893" t="str">
        <f>"01 - A - 103 - Semra  Bahadir"</f>
        <v>01 - A - 103 - Semra  Bahadir</v>
      </c>
      <c r="F4893" t="str">
        <f>"MATH COLL ALGEBRA"</f>
        <v>MATH COLL ALGEBRA</v>
      </c>
      <c r="G4893" t="str">
        <f>"21-2107"</f>
        <v>21-2107</v>
      </c>
      <c r="H4893" t="str">
        <f>"A"</f>
        <v>A</v>
      </c>
    </row>
    <row r="4894" spans="1:8" x14ac:dyDescent="0.2">
      <c r="A4894" t="str">
        <f t="shared" si="1798"/>
        <v>0614106845</v>
      </c>
      <c r="B4894" t="str">
        <f t="shared" si="1799"/>
        <v>VICTOR</v>
      </c>
      <c r="C4894" t="str">
        <f t="shared" si="1797"/>
        <v>EDWARDS</v>
      </c>
      <c r="D4894">
        <f>11</f>
        <v>11</v>
      </c>
      <c r="E4894" t="str">
        <f>"08 - S1 - B - 102 - Nahum  Saint-Preux"</f>
        <v>08 - S1 - B - 102 - Nahum  Saint-Preux</v>
      </c>
      <c r="F4894" t="str">
        <f>"CRIT THINK ST SKLS"</f>
        <v>CRIT THINK ST SKLS</v>
      </c>
      <c r="G4894" t="str">
        <f>"17-1712"</f>
        <v>17-1712</v>
      </c>
      <c r="H4894" t="str">
        <f>"B"</f>
        <v>B</v>
      </c>
    </row>
    <row r="4895" spans="1:8" x14ac:dyDescent="0.2">
      <c r="A4895" t="str">
        <f t="shared" ref="A4895:A4902" si="1800">"0616103930"</f>
        <v>0616103930</v>
      </c>
      <c r="B4895" t="str">
        <f t="shared" ref="B4895:B4902" si="1801">"HAWKE"</f>
        <v>HAWKE</v>
      </c>
      <c r="C4895" t="str">
        <f t="shared" ref="C4895:C4902" si="1802">"EGORT"</f>
        <v>EGORT</v>
      </c>
      <c r="D4895" t="str">
        <f t="shared" ref="D4895:D4902" si="1803">"09"</f>
        <v>09</v>
      </c>
      <c r="E4895" t="str">
        <f>"04 - A - 101 - Jeanne M Bermudez"</f>
        <v>04 - A - 101 - Jeanne M Bermudez</v>
      </c>
      <c r="F4895" t="str">
        <f>"ADVANCED IT HON"</f>
        <v>ADVANCED IT HON</v>
      </c>
      <c r="G4895" t="str">
        <f>"21-2141"</f>
        <v>21-2141</v>
      </c>
      <c r="H4895" t="str">
        <f>"A"</f>
        <v>A</v>
      </c>
    </row>
    <row r="4896" spans="1:8" x14ac:dyDescent="0.2">
      <c r="A4896" t="str">
        <f t="shared" si="1800"/>
        <v>0616103930</v>
      </c>
      <c r="B4896" t="str">
        <f t="shared" si="1801"/>
        <v>HAWKE</v>
      </c>
      <c r="C4896" t="str">
        <f t="shared" si="1802"/>
        <v>EGORT</v>
      </c>
      <c r="D4896" t="str">
        <f t="shared" si="1803"/>
        <v>09</v>
      </c>
      <c r="E4896" t="str">
        <f>"06 - S1 - B - 104 - Leslie J Barton"</f>
        <v>06 - S1 - B - 104 - Leslie J Barton</v>
      </c>
      <c r="F4896" t="str">
        <f>"FIRST AID SAFETY"</f>
        <v>FIRST AID SAFETY</v>
      </c>
      <c r="G4896" t="str">
        <f>"05-521"</f>
        <v>05-521</v>
      </c>
      <c r="H4896" t="str">
        <f>"B"</f>
        <v>B</v>
      </c>
    </row>
    <row r="4897" spans="1:8" x14ac:dyDescent="0.2">
      <c r="A4897" t="str">
        <f t="shared" si="1800"/>
        <v>0616103930</v>
      </c>
      <c r="B4897" t="str">
        <f t="shared" si="1801"/>
        <v>HAWKE</v>
      </c>
      <c r="C4897" t="str">
        <f t="shared" si="1802"/>
        <v>EGORT</v>
      </c>
      <c r="D4897" t="str">
        <f t="shared" si="1803"/>
        <v>09</v>
      </c>
      <c r="E4897" t="str">
        <f>"03 - A - 005 - Cerine S Stewart"</f>
        <v>03 - A - 005 - Cerine S Stewart</v>
      </c>
      <c r="F4897" t="str">
        <f>"AICE ENG GEN PAPER 1"</f>
        <v>AICE ENG GEN PAPER 1</v>
      </c>
      <c r="G4897" t="str">
        <f>"17-1720"</f>
        <v>17-1720</v>
      </c>
      <c r="H4897" t="str">
        <f>"A"</f>
        <v>A</v>
      </c>
    </row>
    <row r="4898" spans="1:8" x14ac:dyDescent="0.2">
      <c r="A4898" t="str">
        <f t="shared" si="1800"/>
        <v>0616103930</v>
      </c>
      <c r="B4898" t="str">
        <f t="shared" si="1801"/>
        <v>HAWKE</v>
      </c>
      <c r="C4898" t="str">
        <f t="shared" si="1802"/>
        <v>EGORT</v>
      </c>
      <c r="D4898" t="str">
        <f t="shared" si="1803"/>
        <v>09</v>
      </c>
      <c r="E4898" t="str">
        <f>"02 - A - 109 - Krystal Marie  Beruty"</f>
        <v>02 - A - 109 - Krystal Marie  Beruty</v>
      </c>
      <c r="F4898" t="str">
        <f>"NC STUDY HALL 1"</f>
        <v>NC STUDY HALL 1</v>
      </c>
      <c r="G4898" t="str">
        <f>"17-1721"</f>
        <v>17-1721</v>
      </c>
      <c r="H4898" t="str">
        <f>"A"</f>
        <v>A</v>
      </c>
    </row>
    <row r="4899" spans="1:8" x14ac:dyDescent="0.2">
      <c r="A4899" t="str">
        <f t="shared" si="1800"/>
        <v>0616103930</v>
      </c>
      <c r="B4899" t="str">
        <f t="shared" si="1801"/>
        <v>HAWKE</v>
      </c>
      <c r="C4899" t="str">
        <f t="shared" si="1802"/>
        <v>EGORT</v>
      </c>
      <c r="D4899" t="str">
        <f t="shared" si="1803"/>
        <v>09</v>
      </c>
      <c r="E4899" t="str">
        <f>"07 - B - 207 - Krystal Marie  Beruty"</f>
        <v>07 - B - 207 - Krystal Marie  Beruty</v>
      </c>
      <c r="F4899" t="str">
        <f>"AICE GLBL PERSP 1 AS"</f>
        <v>AICE GLBL PERSP 1 AS</v>
      </c>
      <c r="G4899" t="str">
        <f>"17-1721"</f>
        <v>17-1721</v>
      </c>
      <c r="H4899" t="str">
        <f>"B"</f>
        <v>B</v>
      </c>
    </row>
    <row r="4900" spans="1:8" x14ac:dyDescent="0.2">
      <c r="A4900" t="str">
        <f t="shared" si="1800"/>
        <v>0616103930</v>
      </c>
      <c r="B4900" t="str">
        <f t="shared" si="1801"/>
        <v>HAWKE</v>
      </c>
      <c r="C4900" t="str">
        <f t="shared" si="1802"/>
        <v>EGORT</v>
      </c>
      <c r="D4900" t="str">
        <f t="shared" si="1803"/>
        <v>09</v>
      </c>
      <c r="E4900" t="str">
        <f>"05 - B - 204 - Cheryl L Beach"</f>
        <v>05 - B - 204 - Cheryl L Beach</v>
      </c>
      <c r="F4900" t="str">
        <f>"AICE ENV MGMNT AS"</f>
        <v>AICE ENV MGMNT AS</v>
      </c>
      <c r="G4900" t="str">
        <f>"08-811"</f>
        <v>08-811</v>
      </c>
      <c r="H4900" t="str">
        <f>"B"</f>
        <v>B</v>
      </c>
    </row>
    <row r="4901" spans="1:8" x14ac:dyDescent="0.2">
      <c r="A4901" t="str">
        <f t="shared" si="1800"/>
        <v>0616103930</v>
      </c>
      <c r="B4901" t="str">
        <f t="shared" si="1801"/>
        <v>HAWKE</v>
      </c>
      <c r="C4901" t="str">
        <f t="shared" si="1802"/>
        <v>EGORT</v>
      </c>
      <c r="D4901" t="str">
        <f t="shared" si="1803"/>
        <v>09</v>
      </c>
      <c r="E4901" t="str">
        <f>"01 - A - 101 - Marius D Orsolini"</f>
        <v>01 - A - 101 - Marius D Orsolini</v>
      </c>
      <c r="F4901" t="str">
        <f>"CULINARY ARTS 1"</f>
        <v>CULINARY ARTS 1</v>
      </c>
      <c r="G4901" t="str">
        <f>"21-2115"</f>
        <v>21-2115</v>
      </c>
      <c r="H4901" t="str">
        <f>"A"</f>
        <v>A</v>
      </c>
    </row>
    <row r="4902" spans="1:8" x14ac:dyDescent="0.2">
      <c r="A4902" t="str">
        <f t="shared" si="1800"/>
        <v>0616103930</v>
      </c>
      <c r="B4902" t="str">
        <f t="shared" si="1801"/>
        <v>HAWKE</v>
      </c>
      <c r="C4902" t="str">
        <f t="shared" si="1802"/>
        <v>EGORT</v>
      </c>
      <c r="D4902" t="str">
        <f t="shared" si="1803"/>
        <v>09</v>
      </c>
      <c r="E4902" t="str">
        <f>"08 - B - 105 - Ferrie J Arostique"</f>
        <v>08 - B - 105 - Ferrie J Arostique</v>
      </c>
      <c r="F4902" t="str">
        <f>"PRE-AICE MATH 2 IG"</f>
        <v>PRE-AICE MATH 2 IG</v>
      </c>
      <c r="G4902" t="str">
        <f>"21-2139"</f>
        <v>21-2139</v>
      </c>
      <c r="H4902" t="str">
        <f>"B"</f>
        <v>B</v>
      </c>
    </row>
    <row r="4903" spans="1:8" x14ac:dyDescent="0.2">
      <c r="A4903" t="str">
        <f t="shared" ref="A4903:A4910" si="1804">"0616041627"</f>
        <v>0616041627</v>
      </c>
      <c r="B4903" t="str">
        <f t="shared" ref="B4903:B4910" si="1805">"ROBERTO"</f>
        <v>ROBERTO</v>
      </c>
      <c r="C4903" t="str">
        <f t="shared" ref="C4903:C4910" si="1806">"EGUES"</f>
        <v>EGUES</v>
      </c>
      <c r="D4903">
        <f>10</f>
        <v>10</v>
      </c>
      <c r="E4903" t="str">
        <f>"04 - A - 201 - Scott A Dethloff"</f>
        <v>04 - A - 201 - Scott A Dethloff</v>
      </c>
      <c r="F4903" t="str">
        <f>"AICE THINK SKLS 1 AS"</f>
        <v>AICE THINK SKLS 1 AS</v>
      </c>
      <c r="G4903" t="str">
        <f>"08-812"</f>
        <v>08-812</v>
      </c>
      <c r="H4903" t="str">
        <f>"A"</f>
        <v>A</v>
      </c>
    </row>
    <row r="4904" spans="1:8" x14ac:dyDescent="0.2">
      <c r="A4904" t="str">
        <f t="shared" si="1804"/>
        <v>0616041627</v>
      </c>
      <c r="B4904" t="str">
        <f t="shared" si="1805"/>
        <v>ROBERTO</v>
      </c>
      <c r="C4904" t="str">
        <f t="shared" si="1806"/>
        <v>EGUES</v>
      </c>
      <c r="D4904">
        <f>10</f>
        <v>10</v>
      </c>
      <c r="E4904" t="str">
        <f>"06 - B - 103 - Thomas G Handwerg"</f>
        <v>06 - B - 103 - Thomas G Handwerg</v>
      </c>
      <c r="F4904" t="str">
        <f>"NC STUDY HALL 1"</f>
        <v>NC STUDY HALL 1</v>
      </c>
      <c r="G4904" t="str">
        <f>"21-2146"</f>
        <v>21-2146</v>
      </c>
      <c r="H4904" t="str">
        <f>"B"</f>
        <v>B</v>
      </c>
    </row>
    <row r="4905" spans="1:8" x14ac:dyDescent="0.2">
      <c r="A4905" t="str">
        <f t="shared" si="1804"/>
        <v>0616041627</v>
      </c>
      <c r="B4905" t="str">
        <f t="shared" si="1805"/>
        <v>ROBERTO</v>
      </c>
      <c r="C4905" t="str">
        <f t="shared" si="1806"/>
        <v>EGUES</v>
      </c>
      <c r="D4905">
        <f>10</f>
        <v>10</v>
      </c>
      <c r="E4905" t="str">
        <f>"03 - A - 002 - Brandy N Zdenek"</f>
        <v>03 - A - 002 - Brandy N Zdenek</v>
      </c>
      <c r="F4905" t="str">
        <f>"AICE ENG LANG AS"</f>
        <v>AICE ENG LANG AS</v>
      </c>
      <c r="G4905" t="str">
        <f>"17-1704"</f>
        <v>17-1704</v>
      </c>
      <c r="H4905" t="str">
        <f>"A"</f>
        <v>A</v>
      </c>
    </row>
    <row r="4906" spans="1:8" x14ac:dyDescent="0.2">
      <c r="A4906" t="str">
        <f t="shared" si="1804"/>
        <v>0616041627</v>
      </c>
      <c r="B4906" t="str">
        <f t="shared" si="1805"/>
        <v>ROBERTO</v>
      </c>
      <c r="C4906" t="str">
        <f t="shared" si="1806"/>
        <v>EGUES</v>
      </c>
      <c r="D4906">
        <f>10</f>
        <v>10</v>
      </c>
      <c r="E4906" t="str">
        <f>"02 - A - 102 - Chrystina M Marchionne"</f>
        <v>02 - A - 102 - Chrystina M Marchionne</v>
      </c>
      <c r="F4906" t="str">
        <f>"AICE MEDIASTUDIES AS"</f>
        <v>AICE MEDIASTUDIES AS</v>
      </c>
      <c r="G4906" t="str">
        <f>"05-520"</f>
        <v>05-520</v>
      </c>
      <c r="H4906" t="str">
        <f>"A"</f>
        <v>A</v>
      </c>
    </row>
    <row r="4907" spans="1:8" x14ac:dyDescent="0.2">
      <c r="A4907" t="str">
        <f t="shared" si="1804"/>
        <v>0616041627</v>
      </c>
      <c r="B4907" t="str">
        <f t="shared" si="1805"/>
        <v>ROBERTO</v>
      </c>
      <c r="C4907" t="str">
        <f t="shared" si="1806"/>
        <v>EGUES</v>
      </c>
      <c r="D4907">
        <f>10</f>
        <v>10</v>
      </c>
      <c r="E4907" t="str">
        <f>"07 - B - 002 - Jordana K Hass"</f>
        <v>07 - B - 002 - Jordana K Hass</v>
      </c>
      <c r="F4907" t="str">
        <f>"CHEMISTRY 1 HON"</f>
        <v>CHEMISTRY 1 HON</v>
      </c>
      <c r="G4907" t="str">
        <f>"08-807"</f>
        <v>08-807</v>
      </c>
      <c r="H4907" t="str">
        <f>"B"</f>
        <v>B</v>
      </c>
    </row>
    <row r="4908" spans="1:8" x14ac:dyDescent="0.2">
      <c r="A4908" t="str">
        <f t="shared" si="1804"/>
        <v>0616041627</v>
      </c>
      <c r="B4908" t="str">
        <f t="shared" si="1805"/>
        <v>ROBERTO</v>
      </c>
      <c r="C4908" t="str">
        <f t="shared" si="1806"/>
        <v>EGUES</v>
      </c>
      <c r="D4908">
        <f>10</f>
        <v>10</v>
      </c>
      <c r="E4908" t="str">
        <f>"05 - B - 102 - Emmily A Sarmiento"</f>
        <v>05 - B - 102 - Emmily A Sarmiento</v>
      </c>
      <c r="F4908" t="str">
        <f>"LEAD SKLS DEV LH"</f>
        <v>LEAD SKLS DEV LH</v>
      </c>
      <c r="G4908" t="str">
        <f>"17-1743"</f>
        <v>17-1743</v>
      </c>
      <c r="H4908" t="str">
        <f>"B"</f>
        <v>B</v>
      </c>
    </row>
    <row r="4909" spans="1:8" x14ac:dyDescent="0.2">
      <c r="A4909" t="str">
        <f t="shared" si="1804"/>
        <v>0616041627</v>
      </c>
      <c r="B4909" t="str">
        <f t="shared" si="1805"/>
        <v>ROBERTO</v>
      </c>
      <c r="C4909" t="str">
        <f t="shared" si="1806"/>
        <v>EGUES</v>
      </c>
      <c r="D4909">
        <f>10</f>
        <v>10</v>
      </c>
      <c r="E4909" t="str">
        <f>"01 - A - 101 - Lourivaldo  Da Silva"</f>
        <v>01 - A - 101 - Lourivaldo  Da Silva</v>
      </c>
      <c r="F4909" t="str">
        <f>"ALGEBRA 2 HON"</f>
        <v>ALGEBRA 2 HON</v>
      </c>
      <c r="G4909" t="str">
        <f>"20-2079"</f>
        <v>20-2079</v>
      </c>
      <c r="H4909" t="str">
        <f>"A"</f>
        <v>A</v>
      </c>
    </row>
    <row r="4910" spans="1:8" x14ac:dyDescent="0.2">
      <c r="A4910" t="str">
        <f t="shared" si="1804"/>
        <v>0616041627</v>
      </c>
      <c r="B4910" t="str">
        <f t="shared" si="1805"/>
        <v>ROBERTO</v>
      </c>
      <c r="C4910" t="str">
        <f t="shared" si="1806"/>
        <v>EGUES</v>
      </c>
      <c r="D4910">
        <f>10</f>
        <v>10</v>
      </c>
      <c r="E4910" t="str">
        <f>"08 - B - 109 - Rory T Sponsler"</f>
        <v>08 - B - 109 - Rory T Sponsler</v>
      </c>
      <c r="F4910" t="str">
        <f>"PRE-AICE WRLD HST IG"</f>
        <v>PRE-AICE WRLD HST IG</v>
      </c>
      <c r="G4910" t="str">
        <f>"17-1740"</f>
        <v>17-1740</v>
      </c>
      <c r="H4910" t="str">
        <f>"B"</f>
        <v>B</v>
      </c>
    </row>
    <row r="4911" spans="1:8" x14ac:dyDescent="0.2">
      <c r="A4911" t="str">
        <f t="shared" ref="A4911:A4918" si="1807">"0615060152"</f>
        <v>0615060152</v>
      </c>
      <c r="B4911" t="str">
        <f t="shared" ref="B4911:B4918" si="1808">"BRYAN"</f>
        <v>BRYAN</v>
      </c>
      <c r="C4911" t="str">
        <f t="shared" ref="C4911:C4918" si="1809">"EHNEY"</f>
        <v>EHNEY</v>
      </c>
      <c r="D4911">
        <f>10</f>
        <v>10</v>
      </c>
      <c r="E4911" t="str">
        <f>"04 - A - 104 - Courtney E Hambright"</f>
        <v>04 - A - 104 - Courtney E Hambright</v>
      </c>
      <c r="F4911" t="str">
        <f>"AICE ENG LANG AS"</f>
        <v>AICE ENG LANG AS</v>
      </c>
      <c r="G4911" t="str">
        <f>"17-1711"</f>
        <v>17-1711</v>
      </c>
      <c r="H4911" t="str">
        <f>"A"</f>
        <v>A</v>
      </c>
    </row>
    <row r="4912" spans="1:8" x14ac:dyDescent="0.2">
      <c r="A4912" t="str">
        <f t="shared" si="1807"/>
        <v>0615060152</v>
      </c>
      <c r="B4912" t="str">
        <f t="shared" si="1808"/>
        <v>BRYAN</v>
      </c>
      <c r="C4912" t="str">
        <f t="shared" si="1809"/>
        <v>EHNEY</v>
      </c>
      <c r="D4912">
        <f>10</f>
        <v>10</v>
      </c>
      <c r="E4912" t="str">
        <f>"06 - B - 113 - Joe  Kilpatrick Jr"</f>
        <v>06 - B - 113 - Joe  Kilpatrick Jr</v>
      </c>
      <c r="F4912" t="str">
        <f>"NC STUDY HALL 1"</f>
        <v>NC STUDY HALL 1</v>
      </c>
      <c r="G4912" t="str">
        <f>"09-912"</f>
        <v>09-912</v>
      </c>
      <c r="H4912" t="str">
        <f>"B"</f>
        <v>B</v>
      </c>
    </row>
    <row r="4913" spans="1:8" x14ac:dyDescent="0.2">
      <c r="A4913" t="str">
        <f t="shared" si="1807"/>
        <v>0615060152</v>
      </c>
      <c r="B4913" t="str">
        <f t="shared" si="1808"/>
        <v>BRYAN</v>
      </c>
      <c r="C4913" t="str">
        <f t="shared" si="1809"/>
        <v>EHNEY</v>
      </c>
      <c r="D4913">
        <f>10</f>
        <v>10</v>
      </c>
      <c r="E4913" t="str">
        <f>"03 - A - 101 - Timothy J Lawrence"</f>
        <v>03 - A - 101 - Timothy J Lawrence</v>
      </c>
      <c r="F4913" t="str">
        <f>"AICE PHYS ED 1 AS"</f>
        <v>AICE PHYS ED 1 AS</v>
      </c>
      <c r="G4913" t="str">
        <f>"05-519"</f>
        <v>05-519</v>
      </c>
      <c r="H4913" t="str">
        <f>"A"</f>
        <v>A</v>
      </c>
    </row>
    <row r="4914" spans="1:8" x14ac:dyDescent="0.2">
      <c r="A4914" t="str">
        <f t="shared" si="1807"/>
        <v>0615060152</v>
      </c>
      <c r="B4914" t="str">
        <f t="shared" si="1808"/>
        <v>BRYAN</v>
      </c>
      <c r="C4914" t="str">
        <f t="shared" si="1809"/>
        <v>EHNEY</v>
      </c>
      <c r="D4914">
        <f>10</f>
        <v>10</v>
      </c>
      <c r="E4914" t="str">
        <f>"02 - A - 104 - Scott A Dethloff"</f>
        <v>02 - A - 104 - Scott A Dethloff</v>
      </c>
      <c r="F4914" t="str">
        <f>"CHEMISTRY 1 HON"</f>
        <v>CHEMISTRY 1 HON</v>
      </c>
      <c r="G4914" t="str">
        <f>"08-812"</f>
        <v>08-812</v>
      </c>
      <c r="H4914" t="str">
        <f>"A"</f>
        <v>A</v>
      </c>
    </row>
    <row r="4915" spans="1:8" x14ac:dyDescent="0.2">
      <c r="A4915" t="str">
        <f t="shared" si="1807"/>
        <v>0615060152</v>
      </c>
      <c r="B4915" t="str">
        <f t="shared" si="1808"/>
        <v>BRYAN</v>
      </c>
      <c r="C4915" t="str">
        <f t="shared" si="1809"/>
        <v>EHNEY</v>
      </c>
      <c r="D4915">
        <f>10</f>
        <v>10</v>
      </c>
      <c r="E4915" t="str">
        <f>"07 - B - 102 - Lourivaldo  Da Silva"</f>
        <v>07 - B - 102 - Lourivaldo  Da Silva</v>
      </c>
      <c r="F4915" t="str">
        <f>"ALGEBRA 2 HON"</f>
        <v>ALGEBRA 2 HON</v>
      </c>
      <c r="G4915" t="str">
        <f>"20-2079"</f>
        <v>20-2079</v>
      </c>
      <c r="H4915" t="str">
        <f>"B"</f>
        <v>B</v>
      </c>
    </row>
    <row r="4916" spans="1:8" x14ac:dyDescent="0.2">
      <c r="A4916" t="str">
        <f t="shared" si="1807"/>
        <v>0615060152</v>
      </c>
      <c r="B4916" t="str">
        <f t="shared" si="1808"/>
        <v>BRYAN</v>
      </c>
      <c r="C4916" t="str">
        <f t="shared" si="1809"/>
        <v>EHNEY</v>
      </c>
      <c r="D4916">
        <f>10</f>
        <v>10</v>
      </c>
      <c r="E4916" t="str">
        <f>"05 - B - 203 - Chrystina M Marchionne"</f>
        <v>05 - B - 203 - Chrystina M Marchionne</v>
      </c>
      <c r="F4916" t="str">
        <f>"AICE MEDIASTUDIES AS"</f>
        <v>AICE MEDIASTUDIES AS</v>
      </c>
      <c r="G4916" t="str">
        <f>"05-520"</f>
        <v>05-520</v>
      </c>
      <c r="H4916" t="str">
        <f>"B"</f>
        <v>B</v>
      </c>
    </row>
    <row r="4917" spans="1:8" x14ac:dyDescent="0.2">
      <c r="A4917" t="str">
        <f t="shared" si="1807"/>
        <v>0615060152</v>
      </c>
      <c r="B4917" t="str">
        <f t="shared" si="1808"/>
        <v>BRYAN</v>
      </c>
      <c r="C4917" t="str">
        <f t="shared" si="1809"/>
        <v>EHNEY</v>
      </c>
      <c r="D4917">
        <f>10</f>
        <v>10</v>
      </c>
      <c r="E4917" t="str">
        <f>"01 - A - 001 - Lenecy  Nodarse"</f>
        <v>01 - A - 001 - Lenecy  Nodarse</v>
      </c>
      <c r="F4917" t="str">
        <f>"AICE EURO HIST 1 AS"</f>
        <v>AICE EURO HIST 1 AS</v>
      </c>
      <c r="G4917" t="str">
        <f>"17-1741"</f>
        <v>17-1741</v>
      </c>
      <c r="H4917" t="str">
        <f>"A"</f>
        <v>A</v>
      </c>
    </row>
    <row r="4918" spans="1:8" x14ac:dyDescent="0.2">
      <c r="A4918" t="str">
        <f t="shared" si="1807"/>
        <v>0615060152</v>
      </c>
      <c r="B4918" t="str">
        <f t="shared" si="1808"/>
        <v>BRYAN</v>
      </c>
      <c r="C4918" t="str">
        <f t="shared" si="1809"/>
        <v>EHNEY</v>
      </c>
      <c r="D4918">
        <f>10</f>
        <v>10</v>
      </c>
      <c r="E4918" t="str">
        <f>"08 - S1 - B - 104 - Angela S Adeshina-Morrison"</f>
        <v>08 - S1 - B - 104 - Angela S Adeshina-Morrison</v>
      </c>
      <c r="F4918" t="str">
        <f>"PEER COUN 1"</f>
        <v>PEER COUN 1</v>
      </c>
      <c r="G4918" t="str">
        <f>"05-518"</f>
        <v>05-518</v>
      </c>
      <c r="H4918" t="str">
        <f>"B"</f>
        <v>B</v>
      </c>
    </row>
    <row r="4919" spans="1:8" x14ac:dyDescent="0.2">
      <c r="A4919" t="str">
        <f t="shared" ref="A4919:A4927" si="1810">"0614009369"</f>
        <v>0614009369</v>
      </c>
      <c r="B4919" t="str">
        <f t="shared" ref="B4919:B4927" si="1811">"JOLLY"</f>
        <v>JOLLY</v>
      </c>
      <c r="C4919" t="str">
        <f t="shared" ref="C4919:C4927" si="1812">"EHRENFRIED"</f>
        <v>EHRENFRIED</v>
      </c>
      <c r="D4919">
        <f>12</f>
        <v>12</v>
      </c>
      <c r="E4919" t="str">
        <f>"04 - A - 101 - Chrystina M Marchionne"</f>
        <v>04 - A - 101 - Chrystina M Marchionne</v>
      </c>
      <c r="F4919" t="str">
        <f>"THEA CIN &amp; FILM LH"</f>
        <v>THEA CIN &amp; FILM LH</v>
      </c>
      <c r="G4919" t="str">
        <f>"05-520"</f>
        <v>05-520</v>
      </c>
      <c r="H4919" t="str">
        <f>"A"</f>
        <v>A</v>
      </c>
    </row>
    <row r="4920" spans="1:8" x14ac:dyDescent="0.2">
      <c r="A4920" t="str">
        <f t="shared" si="1810"/>
        <v>0614009369</v>
      </c>
      <c r="B4920" t="str">
        <f t="shared" si="1811"/>
        <v>JOLLY</v>
      </c>
      <c r="C4920" t="str">
        <f t="shared" si="1812"/>
        <v>EHRENFRIED</v>
      </c>
      <c r="D4920">
        <f>12</f>
        <v>12</v>
      </c>
      <c r="E4920" t="str">
        <f>"06 - B - 112 - Lisa  Quinn"</f>
        <v>06 - B - 112 - Lisa  Quinn</v>
      </c>
      <c r="F4920" t="str">
        <f>"NC STUDY HALL 1"</f>
        <v>NC STUDY HALL 1</v>
      </c>
      <c r="G4920" t="str">
        <f>"17-1725"</f>
        <v>17-1725</v>
      </c>
      <c r="H4920" t="str">
        <f>"B"</f>
        <v>B</v>
      </c>
    </row>
    <row r="4921" spans="1:8" x14ac:dyDescent="0.2">
      <c r="A4921" t="str">
        <f t="shared" si="1810"/>
        <v>0614009369</v>
      </c>
      <c r="B4921" t="str">
        <f t="shared" si="1811"/>
        <v>JOLLY</v>
      </c>
      <c r="C4921" t="str">
        <f t="shared" si="1812"/>
        <v>EHRENFRIED</v>
      </c>
      <c r="D4921">
        <f>12</f>
        <v>12</v>
      </c>
      <c r="E4921" t="str">
        <f>"06 - B - 116 - Karen A Toomer"</f>
        <v>06 - B - 116 - Karen A Toomer</v>
      </c>
      <c r="F4921" t="str">
        <f>"LANG THERAPY"</f>
        <v>LANG THERAPY</v>
      </c>
      <c r="G4921" t="str">
        <f>"21-2110"</f>
        <v>21-2110</v>
      </c>
      <c r="H4921" t="str">
        <f>"B"</f>
        <v>B</v>
      </c>
    </row>
    <row r="4922" spans="1:8" x14ac:dyDescent="0.2">
      <c r="A4922" t="str">
        <f t="shared" si="1810"/>
        <v>0614009369</v>
      </c>
      <c r="B4922" t="str">
        <f t="shared" si="1811"/>
        <v>JOLLY</v>
      </c>
      <c r="C4922" t="str">
        <f t="shared" si="1812"/>
        <v>EHRENFRIED</v>
      </c>
      <c r="D4922">
        <f>12</f>
        <v>12</v>
      </c>
      <c r="E4922" t="str">
        <f>"03 - S1 - A - 002 - Barbara L Segal"</f>
        <v>03 - S1 - A - 002 - Barbara L Segal</v>
      </c>
      <c r="F4922" t="str">
        <f>"US GOVT"</f>
        <v>US GOVT</v>
      </c>
      <c r="G4922" t="str">
        <f>"17-1742"</f>
        <v>17-1742</v>
      </c>
      <c r="H4922" t="str">
        <f>"A"</f>
        <v>A</v>
      </c>
    </row>
    <row r="4923" spans="1:8" x14ac:dyDescent="0.2">
      <c r="A4923" t="str">
        <f t="shared" si="1810"/>
        <v>0614009369</v>
      </c>
      <c r="B4923" t="str">
        <f t="shared" si="1811"/>
        <v>JOLLY</v>
      </c>
      <c r="C4923" t="str">
        <f t="shared" si="1812"/>
        <v>EHRENFRIED</v>
      </c>
      <c r="D4923">
        <f>12</f>
        <v>12</v>
      </c>
      <c r="E4923" t="str">
        <f>"02 - A - 104 - Joe  Kilpatrick Jr"</f>
        <v>02 - A - 104 - Joe  Kilpatrick Jr</v>
      </c>
      <c r="F4923" t="str">
        <f>"PRE-AICE SPAN 2 IG"</f>
        <v>PRE-AICE SPAN 2 IG</v>
      </c>
      <c r="G4923" t="str">
        <f>"09-912"</f>
        <v>09-912</v>
      </c>
      <c r="H4923" t="str">
        <f>"A"</f>
        <v>A</v>
      </c>
    </row>
    <row r="4924" spans="1:8" x14ac:dyDescent="0.2">
      <c r="A4924" t="str">
        <f t="shared" si="1810"/>
        <v>0614009369</v>
      </c>
      <c r="B4924" t="str">
        <f t="shared" si="1811"/>
        <v>JOLLY</v>
      </c>
      <c r="C4924" t="str">
        <f t="shared" si="1812"/>
        <v>EHRENFRIED</v>
      </c>
      <c r="D4924">
        <f>12</f>
        <v>12</v>
      </c>
      <c r="E4924" t="str">
        <f>"07 - B - 105 - Robert H Rindner"</f>
        <v>07 - B - 105 - Robert H Rindner</v>
      </c>
      <c r="F4924" t="str">
        <f>"MATH DATA&amp;FIN LIT H"</f>
        <v>MATH DATA&amp;FIN LIT H</v>
      </c>
      <c r="G4924" t="str">
        <f>"21-2160"</f>
        <v>21-2160</v>
      </c>
      <c r="H4924" t="str">
        <f>"B"</f>
        <v>B</v>
      </c>
    </row>
    <row r="4925" spans="1:8" x14ac:dyDescent="0.2">
      <c r="A4925" t="str">
        <f t="shared" si="1810"/>
        <v>0614009369</v>
      </c>
      <c r="B4925" t="str">
        <f t="shared" si="1811"/>
        <v>JOLLY</v>
      </c>
      <c r="C4925" t="str">
        <f t="shared" si="1812"/>
        <v>EHRENFRIED</v>
      </c>
      <c r="D4925">
        <f>12</f>
        <v>12</v>
      </c>
      <c r="E4925" t="str">
        <f>"05 - B - 204 - Cliffon  Saurel"</f>
        <v>05 - B - 204 - Cliffon  Saurel</v>
      </c>
      <c r="F4925" t="str">
        <f>"PHYSICAL SCI"</f>
        <v>PHYSICAL SCI</v>
      </c>
      <c r="G4925" t="str">
        <f>"05-522"</f>
        <v>05-522</v>
      </c>
      <c r="H4925" t="str">
        <f>"B"</f>
        <v>B</v>
      </c>
    </row>
    <row r="4926" spans="1:8" x14ac:dyDescent="0.2">
      <c r="A4926" t="str">
        <f t="shared" si="1810"/>
        <v>0614009369</v>
      </c>
      <c r="B4926" t="str">
        <f t="shared" si="1811"/>
        <v>JOLLY</v>
      </c>
      <c r="C4926" t="str">
        <f t="shared" si="1812"/>
        <v>EHRENFRIED</v>
      </c>
      <c r="D4926">
        <f>12</f>
        <v>12</v>
      </c>
      <c r="E4926" t="str">
        <f>"01 - A - 103 - Robyn L Trainer"</f>
        <v>01 - A - 103 - Robyn L Trainer</v>
      </c>
      <c r="F4926" t="str">
        <f>"ENG 4"</f>
        <v>ENG 4</v>
      </c>
      <c r="G4926" t="str">
        <f>"17-1734"</f>
        <v>17-1734</v>
      </c>
      <c r="H4926" t="str">
        <f>"A"</f>
        <v>A</v>
      </c>
    </row>
    <row r="4927" spans="1:8" x14ac:dyDescent="0.2">
      <c r="A4927" t="str">
        <f t="shared" si="1810"/>
        <v>0614009369</v>
      </c>
      <c r="B4927" t="str">
        <f t="shared" si="1811"/>
        <v>JOLLY</v>
      </c>
      <c r="C4927" t="str">
        <f t="shared" si="1812"/>
        <v>EHRENFRIED</v>
      </c>
      <c r="D4927">
        <f>12</f>
        <v>12</v>
      </c>
      <c r="E4927" t="str">
        <f>"08 - S1 - B - 104 - Leslie J Barton"</f>
        <v>08 - S1 - B - 104 - Leslie J Barton</v>
      </c>
      <c r="F4927" t="str">
        <f>"TEAM SPORTS 1"</f>
        <v>TEAM SPORTS 1</v>
      </c>
      <c r="G4927" t="str">
        <f>"04-254"</f>
        <v>04-254</v>
      </c>
      <c r="H4927" t="str">
        <f>"B"</f>
        <v>B</v>
      </c>
    </row>
    <row r="4928" spans="1:8" x14ac:dyDescent="0.2">
      <c r="A4928" t="str">
        <f t="shared" ref="A4928:A4935" si="1813">"0613119977"</f>
        <v>0613119977</v>
      </c>
      <c r="B4928" t="str">
        <f t="shared" ref="B4928:B4935" si="1814">"ZANDER"</f>
        <v>ZANDER</v>
      </c>
      <c r="C4928" t="str">
        <f t="shared" ref="C4928:C4935" si="1815">"EL-ALI"</f>
        <v>EL-ALI</v>
      </c>
      <c r="D4928">
        <f>10</f>
        <v>10</v>
      </c>
      <c r="E4928" t="str">
        <f>"04 - A - 201 - Scott A Dethloff"</f>
        <v>04 - A - 201 - Scott A Dethloff</v>
      </c>
      <c r="F4928" t="str">
        <f>"AICE THINK SKLS 1 AS"</f>
        <v>AICE THINK SKLS 1 AS</v>
      </c>
      <c r="G4928" t="str">
        <f>"08-812"</f>
        <v>08-812</v>
      </c>
      <c r="H4928" t="str">
        <f>"A"</f>
        <v>A</v>
      </c>
    </row>
    <row r="4929" spans="1:8" x14ac:dyDescent="0.2">
      <c r="A4929" t="str">
        <f t="shared" si="1813"/>
        <v>0613119977</v>
      </c>
      <c r="B4929" t="str">
        <f t="shared" si="1814"/>
        <v>ZANDER</v>
      </c>
      <c r="C4929" t="str">
        <f t="shared" si="1815"/>
        <v>EL-ALI</v>
      </c>
      <c r="D4929">
        <f>10</f>
        <v>10</v>
      </c>
      <c r="E4929" t="str">
        <f>"06 - B - 108 - Jacklyn M James"</f>
        <v>06 - B - 108 - Jacklyn M James</v>
      </c>
      <c r="F4929" t="str">
        <f>"NC STUDY HALL 1"</f>
        <v>NC STUDY HALL 1</v>
      </c>
      <c r="G4929" t="str">
        <f>"17-1731"</f>
        <v>17-1731</v>
      </c>
      <c r="H4929" t="str">
        <f>"B"</f>
        <v>B</v>
      </c>
    </row>
    <row r="4930" spans="1:8" x14ac:dyDescent="0.2">
      <c r="A4930" t="str">
        <f t="shared" si="1813"/>
        <v>0613119977</v>
      </c>
      <c r="B4930" t="str">
        <f t="shared" si="1814"/>
        <v>ZANDER</v>
      </c>
      <c r="C4930" t="str">
        <f t="shared" si="1815"/>
        <v>EL-ALI</v>
      </c>
      <c r="D4930">
        <f>10</f>
        <v>10</v>
      </c>
      <c r="E4930" t="str">
        <f>"03 - A - 002 - Brandy N Zdenek"</f>
        <v>03 - A - 002 - Brandy N Zdenek</v>
      </c>
      <c r="F4930" t="str">
        <f>"AICE ENG LANG AS"</f>
        <v>AICE ENG LANG AS</v>
      </c>
      <c r="G4930" t="str">
        <f>"17-1704"</f>
        <v>17-1704</v>
      </c>
      <c r="H4930" t="str">
        <f>"A"</f>
        <v>A</v>
      </c>
    </row>
    <row r="4931" spans="1:8" x14ac:dyDescent="0.2">
      <c r="A4931" t="str">
        <f t="shared" si="1813"/>
        <v>0613119977</v>
      </c>
      <c r="B4931" t="str">
        <f t="shared" si="1814"/>
        <v>ZANDER</v>
      </c>
      <c r="C4931" t="str">
        <f t="shared" si="1815"/>
        <v>EL-ALI</v>
      </c>
      <c r="D4931">
        <f>10</f>
        <v>10</v>
      </c>
      <c r="E4931" t="str">
        <f>"02 - A - 104 - Scott A Dethloff"</f>
        <v>02 - A - 104 - Scott A Dethloff</v>
      </c>
      <c r="F4931" t="str">
        <f>"CHEMISTRY 1 HON"</f>
        <v>CHEMISTRY 1 HON</v>
      </c>
      <c r="G4931" t="str">
        <f>"08-812"</f>
        <v>08-812</v>
      </c>
      <c r="H4931" t="str">
        <f>"A"</f>
        <v>A</v>
      </c>
    </row>
    <row r="4932" spans="1:8" x14ac:dyDescent="0.2">
      <c r="A4932" t="str">
        <f t="shared" si="1813"/>
        <v>0613119977</v>
      </c>
      <c r="B4932" t="str">
        <f t="shared" si="1814"/>
        <v>ZANDER</v>
      </c>
      <c r="C4932" t="str">
        <f t="shared" si="1815"/>
        <v>EL-ALI</v>
      </c>
      <c r="D4932">
        <f>10</f>
        <v>10</v>
      </c>
      <c r="E4932" t="str">
        <f>"07 - B - 101 - Fernando  Vega-Cid"</f>
        <v>07 - B - 101 - Fernando  Vega-Cid</v>
      </c>
      <c r="F4932" t="str">
        <f>"AP PRECALCULUS"</f>
        <v>AP PRECALCULUS</v>
      </c>
      <c r="G4932" t="str">
        <f>"21-2163"</f>
        <v>21-2163</v>
      </c>
      <c r="H4932" t="str">
        <f>"B"</f>
        <v>B</v>
      </c>
    </row>
    <row r="4933" spans="1:8" x14ac:dyDescent="0.2">
      <c r="A4933" t="str">
        <f t="shared" si="1813"/>
        <v>0613119977</v>
      </c>
      <c r="B4933" t="str">
        <f t="shared" si="1814"/>
        <v>ZANDER</v>
      </c>
      <c r="C4933" t="str">
        <f t="shared" si="1815"/>
        <v>EL-ALI</v>
      </c>
      <c r="D4933">
        <f>10</f>
        <v>10</v>
      </c>
      <c r="E4933" t="str">
        <f>"05 - B - 001 - Stefanie S Scher"</f>
        <v>05 - B - 001 - Stefanie S Scher</v>
      </c>
      <c r="F4933" t="str">
        <f>"AICE PSYCH 1 AS"</f>
        <v>AICE PSYCH 1 AS</v>
      </c>
      <c r="G4933" t="str">
        <f>"17-1735"</f>
        <v>17-1735</v>
      </c>
      <c r="H4933" t="str">
        <f>"B"</f>
        <v>B</v>
      </c>
    </row>
    <row r="4934" spans="1:8" x14ac:dyDescent="0.2">
      <c r="A4934" t="str">
        <f t="shared" si="1813"/>
        <v>0613119977</v>
      </c>
      <c r="B4934" t="str">
        <f t="shared" si="1814"/>
        <v>ZANDER</v>
      </c>
      <c r="C4934" t="str">
        <f t="shared" si="1815"/>
        <v>EL-ALI</v>
      </c>
      <c r="D4934">
        <f>10</f>
        <v>10</v>
      </c>
      <c r="E4934" t="str">
        <f>"01 - A - 108 - Rosa Elaine  Collado-Duff"</f>
        <v>01 - A - 108 - Rosa Elaine  Collado-Duff</v>
      </c>
      <c r="F4934" t="str">
        <f>"PRE-AICE SPAN 2 IG"</f>
        <v>PRE-AICE SPAN 2 IG</v>
      </c>
      <c r="G4934" t="str">
        <f>"09-913"</f>
        <v>09-913</v>
      </c>
      <c r="H4934" t="str">
        <f>"A"</f>
        <v>A</v>
      </c>
    </row>
    <row r="4935" spans="1:8" x14ac:dyDescent="0.2">
      <c r="A4935" t="str">
        <f t="shared" si="1813"/>
        <v>0613119977</v>
      </c>
      <c r="B4935" t="str">
        <f t="shared" si="1814"/>
        <v>ZANDER</v>
      </c>
      <c r="C4935" t="str">
        <f t="shared" si="1815"/>
        <v>EL-ALI</v>
      </c>
      <c r="D4935">
        <f>10</f>
        <v>10</v>
      </c>
      <c r="E4935" t="str">
        <f>"08 - B - 201 - Lenecy  Nodarse"</f>
        <v>08 - B - 201 - Lenecy  Nodarse</v>
      </c>
      <c r="F4935" t="str">
        <f>"AICE EURO HIST 1 AS"</f>
        <v>AICE EURO HIST 1 AS</v>
      </c>
      <c r="G4935" t="str">
        <f>"17-1741"</f>
        <v>17-1741</v>
      </c>
      <c r="H4935" t="str">
        <f>"B"</f>
        <v>B</v>
      </c>
    </row>
    <row r="4936" spans="1:8" x14ac:dyDescent="0.2">
      <c r="A4936" t="str">
        <f t="shared" ref="A4936:A4943" si="1816">"0623061237"</f>
        <v>0623061237</v>
      </c>
      <c r="B4936" t="str">
        <f t="shared" ref="B4936:B4943" si="1817">"ANTHONY"</f>
        <v>ANTHONY</v>
      </c>
      <c r="C4936" t="str">
        <f t="shared" ref="C4936:C4943" si="1818">"ELEBY"</f>
        <v>ELEBY</v>
      </c>
      <c r="D4936" t="str">
        <f t="shared" ref="D4936:D4943" si="1819">"09"</f>
        <v>09</v>
      </c>
      <c r="E4936" t="str">
        <f>"04 - A - 107 - Amy Beth  Broyles"</f>
        <v>04 - A - 107 - Amy Beth  Broyles</v>
      </c>
      <c r="F4936" t="str">
        <f>"ENV SCI"</f>
        <v>ENV SCI</v>
      </c>
      <c r="G4936" t="str">
        <f>"08-802"</f>
        <v>08-802</v>
      </c>
      <c r="H4936" t="str">
        <f>"A"</f>
        <v>A</v>
      </c>
    </row>
    <row r="4937" spans="1:8" x14ac:dyDescent="0.2">
      <c r="A4937" t="str">
        <f t="shared" si="1816"/>
        <v>0623061237</v>
      </c>
      <c r="B4937" t="str">
        <f t="shared" si="1817"/>
        <v>ANTHONY</v>
      </c>
      <c r="C4937" t="str">
        <f t="shared" si="1818"/>
        <v>ELEBY</v>
      </c>
      <c r="D4937" t="str">
        <f t="shared" si="1819"/>
        <v>09</v>
      </c>
      <c r="E4937" t="str">
        <f>"06 - B - 105 - Tina L Lovett"</f>
        <v>06 - B - 105 - Tina L Lovett</v>
      </c>
      <c r="F4937" t="str">
        <f>"FDN SKLS MATH 9-12"</f>
        <v>FDN SKLS MATH 9-12</v>
      </c>
      <c r="G4937" t="str">
        <f>"21-2153"</f>
        <v>21-2153</v>
      </c>
      <c r="H4937" t="str">
        <f>"B"</f>
        <v>B</v>
      </c>
    </row>
    <row r="4938" spans="1:8" x14ac:dyDescent="0.2">
      <c r="A4938" t="str">
        <f t="shared" si="1816"/>
        <v>0623061237</v>
      </c>
      <c r="B4938" t="str">
        <f t="shared" si="1817"/>
        <v>ANTHONY</v>
      </c>
      <c r="C4938" t="str">
        <f t="shared" si="1818"/>
        <v>ELEBY</v>
      </c>
      <c r="D4938" t="str">
        <f t="shared" si="1819"/>
        <v>09</v>
      </c>
      <c r="E4938" t="str">
        <f>"03 - A - 105 - Cheryl Anne  Berman-Schechter"</f>
        <v>03 - A - 105 - Cheryl Anne  Berman-Schechter</v>
      </c>
      <c r="F4938" t="str">
        <f>"ENG 1"</f>
        <v>ENG 1</v>
      </c>
      <c r="G4938" t="str">
        <f>"17-1722"</f>
        <v>17-1722</v>
      </c>
      <c r="H4938" t="str">
        <f>"A"</f>
        <v>A</v>
      </c>
    </row>
    <row r="4939" spans="1:8" x14ac:dyDescent="0.2">
      <c r="A4939" t="str">
        <f t="shared" si="1816"/>
        <v>0623061237</v>
      </c>
      <c r="B4939" t="str">
        <f t="shared" si="1817"/>
        <v>ANTHONY</v>
      </c>
      <c r="C4939" t="str">
        <f t="shared" si="1818"/>
        <v>ELEBY</v>
      </c>
      <c r="D4939" t="str">
        <f t="shared" si="1819"/>
        <v>09</v>
      </c>
      <c r="E4939" t="str">
        <f>"02 - A - 112 - Cheryl Anne  Berman-Schechter"</f>
        <v>02 - A - 112 - Cheryl Anne  Berman-Schechter</v>
      </c>
      <c r="F4939" t="str">
        <f>"NC STUDY HALL 1"</f>
        <v>NC STUDY HALL 1</v>
      </c>
      <c r="G4939" t="str">
        <f>"17-1722"</f>
        <v>17-1722</v>
      </c>
      <c r="H4939" t="str">
        <f>"A"</f>
        <v>A</v>
      </c>
    </row>
    <row r="4940" spans="1:8" x14ac:dyDescent="0.2">
      <c r="A4940" t="str">
        <f t="shared" si="1816"/>
        <v>0623061237</v>
      </c>
      <c r="B4940" t="str">
        <f t="shared" si="1817"/>
        <v>ANTHONY</v>
      </c>
      <c r="C4940" t="str">
        <f t="shared" si="1818"/>
        <v>ELEBY</v>
      </c>
      <c r="D4940" t="str">
        <f t="shared" si="1819"/>
        <v>09</v>
      </c>
      <c r="E4940" t="str">
        <f>"07 - B - 104 - Lissa C Frederique"</f>
        <v>07 - B - 104 - Lissa C Frederique</v>
      </c>
      <c r="F4940" t="str">
        <f>"WORLD HISTORY"</f>
        <v>WORLD HISTORY</v>
      </c>
      <c r="G4940" t="str">
        <f>"17-1754"</f>
        <v>17-1754</v>
      </c>
      <c r="H4940" t="str">
        <f>"B"</f>
        <v>B</v>
      </c>
    </row>
    <row r="4941" spans="1:8" x14ac:dyDescent="0.2">
      <c r="A4941" t="str">
        <f t="shared" si="1816"/>
        <v>0623061237</v>
      </c>
      <c r="B4941" t="str">
        <f t="shared" si="1817"/>
        <v>ANTHONY</v>
      </c>
      <c r="C4941" t="str">
        <f t="shared" si="1818"/>
        <v>ELEBY</v>
      </c>
      <c r="D4941" t="str">
        <f t="shared" si="1819"/>
        <v>09</v>
      </c>
      <c r="E4941" t="str">
        <f>"05 - B - 001 - Laselleda D Shaw"</f>
        <v>05 - B - 001 - Laselleda D Shaw</v>
      </c>
      <c r="F4941" t="str">
        <f>"INTENS READ 1"</f>
        <v>INTENS READ 1</v>
      </c>
      <c r="G4941" t="str">
        <f>"17-1723"</f>
        <v>17-1723</v>
      </c>
      <c r="H4941" t="str">
        <f>"B"</f>
        <v>B</v>
      </c>
    </row>
    <row r="4942" spans="1:8" x14ac:dyDescent="0.2">
      <c r="A4942" t="str">
        <f t="shared" si="1816"/>
        <v>0623061237</v>
      </c>
      <c r="B4942" t="str">
        <f t="shared" si="1817"/>
        <v>ANTHONY</v>
      </c>
      <c r="C4942" t="str">
        <f t="shared" si="1818"/>
        <v>ELEBY</v>
      </c>
      <c r="D4942" t="str">
        <f t="shared" si="1819"/>
        <v>09</v>
      </c>
      <c r="E4942" t="str">
        <f>"01 - A - 101 - Tina L Lovett"</f>
        <v>01 - A - 101 - Tina L Lovett</v>
      </c>
      <c r="F4942" t="str">
        <f>"ALGEBRA 1"</f>
        <v>ALGEBRA 1</v>
      </c>
      <c r="G4942" t="str">
        <f>"21-2153"</f>
        <v>21-2153</v>
      </c>
      <c r="H4942" t="str">
        <f>"A"</f>
        <v>A</v>
      </c>
    </row>
    <row r="4943" spans="1:8" x14ac:dyDescent="0.2">
      <c r="A4943" t="str">
        <f t="shared" si="1816"/>
        <v>0623061237</v>
      </c>
      <c r="B4943" t="str">
        <f t="shared" si="1817"/>
        <v>ANTHONY</v>
      </c>
      <c r="C4943" t="str">
        <f t="shared" si="1818"/>
        <v>ELEBY</v>
      </c>
      <c r="D4943" t="str">
        <f t="shared" si="1819"/>
        <v>09</v>
      </c>
      <c r="E4943" t="str">
        <f>"08 - B - 101 - Jazmin S Fletcher"</f>
        <v>08 - B - 101 - Jazmin S Fletcher</v>
      </c>
      <c r="F4943" t="str">
        <f>"PRE-AICE DRAMA 1G"</f>
        <v>PRE-AICE DRAMA 1G</v>
      </c>
      <c r="G4943" t="str">
        <f>"09-909"</f>
        <v>09-909</v>
      </c>
      <c r="H4943" t="str">
        <f>"B"</f>
        <v>B</v>
      </c>
    </row>
    <row r="4944" spans="1:8" x14ac:dyDescent="0.2">
      <c r="A4944" t="str">
        <f t="shared" ref="A4944:A4951" si="1820">"0614143577"</f>
        <v>0614143577</v>
      </c>
      <c r="B4944" t="str">
        <f t="shared" ref="B4944:B4951" si="1821">"MARCIELLA"</f>
        <v>MARCIELLA</v>
      </c>
      <c r="C4944" t="str">
        <f t="shared" ref="C4944:C4951" si="1822">"ELIACIN"</f>
        <v>ELIACIN</v>
      </c>
      <c r="D4944">
        <f>11</f>
        <v>11</v>
      </c>
      <c r="E4944" t="str">
        <f>"04 - A - 102 - Jeffrey S Gallagher"</f>
        <v>04 - A - 102 - Jeffrey S Gallagher</v>
      </c>
      <c r="F4944" t="str">
        <f>"ENG HON 3"</f>
        <v>ENG HON 3</v>
      </c>
      <c r="G4944" t="str">
        <f>"17-1724"</f>
        <v>17-1724</v>
      </c>
      <c r="H4944" t="str">
        <f>"A"</f>
        <v>A</v>
      </c>
    </row>
    <row r="4945" spans="1:8" x14ac:dyDescent="0.2">
      <c r="A4945" t="str">
        <f t="shared" si="1820"/>
        <v>0614143577</v>
      </c>
      <c r="B4945" t="str">
        <f t="shared" si="1821"/>
        <v>MARCIELLA</v>
      </c>
      <c r="C4945" t="str">
        <f t="shared" si="1822"/>
        <v>ELIACIN</v>
      </c>
      <c r="D4945">
        <f>11</f>
        <v>11</v>
      </c>
      <c r="E4945" t="str">
        <f>"06 - B - 206 - Jacqueline R Morphet"</f>
        <v>06 - B - 206 - Jacqueline R Morphet</v>
      </c>
      <c r="F4945" t="str">
        <f>"PHYSICS 1 HON"</f>
        <v>PHYSICS 1 HON</v>
      </c>
      <c r="G4945" t="str">
        <f>"21-2138"</f>
        <v>21-2138</v>
      </c>
      <c r="H4945" t="str">
        <f>"B"</f>
        <v>B</v>
      </c>
    </row>
    <row r="4946" spans="1:8" x14ac:dyDescent="0.2">
      <c r="A4946" t="str">
        <f t="shared" si="1820"/>
        <v>0614143577</v>
      </c>
      <c r="B4946" t="str">
        <f t="shared" si="1821"/>
        <v>MARCIELLA</v>
      </c>
      <c r="C4946" t="str">
        <f t="shared" si="1822"/>
        <v>ELIACIN</v>
      </c>
      <c r="D4946">
        <f>11</f>
        <v>11</v>
      </c>
      <c r="E4946" t="str">
        <f>"03 - A - 106 - Jerry S Jiampetti"</f>
        <v>03 - A - 106 - Jerry S Jiampetti</v>
      </c>
      <c r="F4946" t="str">
        <f>"US HISTORY HON"</f>
        <v>US HISTORY HON</v>
      </c>
      <c r="G4946" t="str">
        <f>"17-1751"</f>
        <v>17-1751</v>
      </c>
      <c r="H4946" t="str">
        <f>"A"</f>
        <v>A</v>
      </c>
    </row>
    <row r="4947" spans="1:8" x14ac:dyDescent="0.2">
      <c r="A4947" t="str">
        <f t="shared" si="1820"/>
        <v>0614143577</v>
      </c>
      <c r="B4947" t="str">
        <f t="shared" si="1821"/>
        <v>MARCIELLA</v>
      </c>
      <c r="C4947" t="str">
        <f t="shared" si="1822"/>
        <v>ELIACIN</v>
      </c>
      <c r="D4947">
        <f>11</f>
        <v>11</v>
      </c>
      <c r="E4947" t="str">
        <f>"02 - A - 102 - Brook E Goren"</f>
        <v>02 - A - 102 - Brook E Goren</v>
      </c>
      <c r="F4947" t="str">
        <f>"NC STUDY HALL 1"</f>
        <v>NC STUDY HALL 1</v>
      </c>
      <c r="G4947" t="str">
        <f>"21-2158"</f>
        <v>21-2158</v>
      </c>
      <c r="H4947" t="str">
        <f>"A"</f>
        <v>A</v>
      </c>
    </row>
    <row r="4948" spans="1:8" x14ac:dyDescent="0.2">
      <c r="A4948" t="str">
        <f t="shared" si="1820"/>
        <v>0614143577</v>
      </c>
      <c r="B4948" t="str">
        <f t="shared" si="1821"/>
        <v>MARCIELLA</v>
      </c>
      <c r="C4948" t="str">
        <f t="shared" si="1822"/>
        <v>ELIACIN</v>
      </c>
      <c r="D4948">
        <f>11</f>
        <v>11</v>
      </c>
      <c r="E4948" t="str">
        <f>"07 - B - 110 - Ferrie J Arostique"</f>
        <v>07 - B - 110 - Ferrie J Arostique</v>
      </c>
      <c r="F4948" t="str">
        <f>"GEOMETRY"</f>
        <v>GEOMETRY</v>
      </c>
      <c r="G4948" t="str">
        <f>"21-2139"</f>
        <v>21-2139</v>
      </c>
      <c r="H4948" t="str">
        <f>"B"</f>
        <v>B</v>
      </c>
    </row>
    <row r="4949" spans="1:8" x14ac:dyDescent="0.2">
      <c r="A4949" t="str">
        <f t="shared" si="1820"/>
        <v>0614143577</v>
      </c>
      <c r="B4949" t="str">
        <f t="shared" si="1821"/>
        <v>MARCIELLA</v>
      </c>
      <c r="C4949" t="str">
        <f t="shared" si="1822"/>
        <v>ELIACIN</v>
      </c>
      <c r="D4949">
        <f>11</f>
        <v>11</v>
      </c>
      <c r="E4949" t="str">
        <f>"05 - B - 103 - Nahum  Saint-Preux"</f>
        <v>05 - B - 103 - Nahum  Saint-Preux</v>
      </c>
      <c r="F4949" t="str">
        <f>"INTENS READ 3"</f>
        <v>INTENS READ 3</v>
      </c>
      <c r="G4949" t="str">
        <f>"17-1712"</f>
        <v>17-1712</v>
      </c>
      <c r="H4949" t="str">
        <f>"B"</f>
        <v>B</v>
      </c>
    </row>
    <row r="4950" spans="1:8" x14ac:dyDescent="0.2">
      <c r="A4950" t="str">
        <f t="shared" si="1820"/>
        <v>0614143577</v>
      </c>
      <c r="B4950" t="str">
        <f t="shared" si="1821"/>
        <v>MARCIELLA</v>
      </c>
      <c r="C4950" t="str">
        <f t="shared" si="1822"/>
        <v>ELIACIN</v>
      </c>
      <c r="D4950">
        <f>11</f>
        <v>11</v>
      </c>
      <c r="E4950" t="str">
        <f>"01 - S1 - A - 101 - Bruce A Evans"</f>
        <v>01 - S1 - A - 101 - Bruce A Evans</v>
      </c>
      <c r="F4950" t="str">
        <f>"ELECTROCARD TECH 3HN"</f>
        <v>ELECTROCARD TECH 3HN</v>
      </c>
      <c r="G4950" t="str">
        <f>"21-2142"</f>
        <v>21-2142</v>
      </c>
      <c r="H4950" t="str">
        <f>"A"</f>
        <v>A</v>
      </c>
    </row>
    <row r="4951" spans="1:8" x14ac:dyDescent="0.2">
      <c r="A4951" t="str">
        <f t="shared" si="1820"/>
        <v>0614143577</v>
      </c>
      <c r="B4951" t="str">
        <f t="shared" si="1821"/>
        <v>MARCIELLA</v>
      </c>
      <c r="C4951" t="str">
        <f t="shared" si="1822"/>
        <v>ELIACIN</v>
      </c>
      <c r="D4951">
        <f>11</f>
        <v>11</v>
      </c>
      <c r="E4951" t="str">
        <f>"08 - B - 108 - Adam Marcus  Drucker"</f>
        <v>08 - B - 108 - Adam Marcus  Drucker</v>
      </c>
      <c r="F4951" t="str">
        <f>"HOPE-PE V"</f>
        <v>HOPE-PE V</v>
      </c>
      <c r="G4951" t="str">
        <f>"04-254"</f>
        <v>04-254</v>
      </c>
      <c r="H4951" t="str">
        <f>"B"</f>
        <v>B</v>
      </c>
    </row>
    <row r="4952" spans="1:8" x14ac:dyDescent="0.2">
      <c r="A4952" t="str">
        <f t="shared" ref="A4952:A4959" si="1823">"0618071119"</f>
        <v>0618071119</v>
      </c>
      <c r="B4952" t="str">
        <f t="shared" ref="B4952:B4959" si="1824">"BORIS"</f>
        <v>BORIS</v>
      </c>
      <c r="C4952" t="str">
        <f t="shared" ref="C4952:C4959" si="1825">"ELIMELAKH"</f>
        <v>ELIMELAKH</v>
      </c>
      <c r="D4952" t="str">
        <f t="shared" ref="D4952:D4959" si="1826">"09"</f>
        <v>09</v>
      </c>
      <c r="E4952" t="str">
        <f>"04 - A - 102 - Josiah I Lacy"</f>
        <v>04 - A - 102 - Josiah I Lacy</v>
      </c>
      <c r="F4952" t="str">
        <f>"PRE-AICE BIO IG"</f>
        <v>PRE-AICE BIO IG</v>
      </c>
      <c r="G4952" t="str">
        <f>"08-801"</f>
        <v>08-801</v>
      </c>
      <c r="H4952" t="str">
        <f>"A"</f>
        <v>A</v>
      </c>
    </row>
    <row r="4953" spans="1:8" x14ac:dyDescent="0.2">
      <c r="A4953" t="str">
        <f t="shared" si="1823"/>
        <v>0618071119</v>
      </c>
      <c r="B4953" t="str">
        <f t="shared" si="1824"/>
        <v>BORIS</v>
      </c>
      <c r="C4953" t="str">
        <f t="shared" si="1825"/>
        <v>ELIMELAKH</v>
      </c>
      <c r="D4953" t="str">
        <f t="shared" si="1826"/>
        <v>09</v>
      </c>
      <c r="E4953" t="str">
        <f>"06 - B - 104 - Rory T Sponsler"</f>
        <v>06 - B - 104 - Rory T Sponsler</v>
      </c>
      <c r="F4953" t="str">
        <f>"PRE-AICE WRLD HST IG"</f>
        <v>PRE-AICE WRLD HST IG</v>
      </c>
      <c r="G4953" t="str">
        <f>"17-1740"</f>
        <v>17-1740</v>
      </c>
      <c r="H4953" t="str">
        <f>"B"</f>
        <v>B</v>
      </c>
    </row>
    <row r="4954" spans="1:8" x14ac:dyDescent="0.2">
      <c r="A4954" t="str">
        <f t="shared" si="1823"/>
        <v>0618071119</v>
      </c>
      <c r="B4954" t="str">
        <f t="shared" si="1824"/>
        <v>BORIS</v>
      </c>
      <c r="C4954" t="str">
        <f t="shared" si="1825"/>
        <v>ELIMELAKH</v>
      </c>
      <c r="D4954" t="str">
        <f t="shared" si="1826"/>
        <v>09</v>
      </c>
      <c r="E4954" t="str">
        <f>"03 - A - 103 - Adam Marcus  Drucker"</f>
        <v>03 - A - 103 - Adam Marcus  Drucker</v>
      </c>
      <c r="F4954" t="str">
        <f>"HOPE-PE V"</f>
        <v>HOPE-PE V</v>
      </c>
      <c r="G4954" t="str">
        <f>"04-254"</f>
        <v>04-254</v>
      </c>
      <c r="H4954" t="str">
        <f>"A"</f>
        <v>A</v>
      </c>
    </row>
    <row r="4955" spans="1:8" x14ac:dyDescent="0.2">
      <c r="A4955" t="str">
        <f t="shared" si="1823"/>
        <v>0618071119</v>
      </c>
      <c r="B4955" t="str">
        <f t="shared" si="1824"/>
        <v>BORIS</v>
      </c>
      <c r="C4955" t="str">
        <f t="shared" si="1825"/>
        <v>ELIMELAKH</v>
      </c>
      <c r="D4955" t="str">
        <f t="shared" si="1826"/>
        <v>09</v>
      </c>
      <c r="E4955" t="str">
        <f>"02 - A - 107 - Cerine S Stewart"</f>
        <v>02 - A - 107 - Cerine S Stewart</v>
      </c>
      <c r="F4955" t="str">
        <f>"NC STUDY HALL 1"</f>
        <v>NC STUDY HALL 1</v>
      </c>
      <c r="G4955" t="str">
        <f>"17-1720"</f>
        <v>17-1720</v>
      </c>
      <c r="H4955" t="str">
        <f>"A"</f>
        <v>A</v>
      </c>
    </row>
    <row r="4956" spans="1:8" x14ac:dyDescent="0.2">
      <c r="A4956" t="str">
        <f t="shared" si="1823"/>
        <v>0618071119</v>
      </c>
      <c r="B4956" t="str">
        <f t="shared" si="1824"/>
        <v>BORIS</v>
      </c>
      <c r="C4956" t="str">
        <f t="shared" si="1825"/>
        <v>ELIMELAKH</v>
      </c>
      <c r="D4956" t="str">
        <f t="shared" si="1826"/>
        <v>09</v>
      </c>
      <c r="E4956" t="str">
        <f>"07 - B - 101 - Jeanne M Bermudez"</f>
        <v>07 - B - 101 - Jeanne M Bermudez</v>
      </c>
      <c r="F4956" t="str">
        <f>"FOUND OF PROGRAM HON"</f>
        <v>FOUND OF PROGRAM HON</v>
      </c>
      <c r="G4956" t="str">
        <f>"21-2141"</f>
        <v>21-2141</v>
      </c>
      <c r="H4956" t="str">
        <f>"B"</f>
        <v>B</v>
      </c>
    </row>
    <row r="4957" spans="1:8" x14ac:dyDescent="0.2">
      <c r="A4957" t="str">
        <f t="shared" si="1823"/>
        <v>0618071119</v>
      </c>
      <c r="B4957" t="str">
        <f t="shared" si="1824"/>
        <v>BORIS</v>
      </c>
      <c r="C4957" t="str">
        <f t="shared" si="1825"/>
        <v>ELIMELAKH</v>
      </c>
      <c r="D4957" t="str">
        <f t="shared" si="1826"/>
        <v>09</v>
      </c>
      <c r="E4957" t="str">
        <f>"05 - B - 102 - Tina L Lovett"</f>
        <v>05 - B - 102 - Tina L Lovett</v>
      </c>
      <c r="F4957" t="str">
        <f>"PRE-AICE MATH 1 IG"</f>
        <v>PRE-AICE MATH 1 IG</v>
      </c>
      <c r="G4957" t="str">
        <f>"21-2153"</f>
        <v>21-2153</v>
      </c>
      <c r="H4957" t="str">
        <f>"B"</f>
        <v>B</v>
      </c>
    </row>
    <row r="4958" spans="1:8" x14ac:dyDescent="0.2">
      <c r="A4958" t="str">
        <f t="shared" si="1823"/>
        <v>0618071119</v>
      </c>
      <c r="B4958" t="str">
        <f t="shared" si="1824"/>
        <v>BORIS</v>
      </c>
      <c r="C4958" t="str">
        <f t="shared" si="1825"/>
        <v>ELIMELAKH</v>
      </c>
      <c r="D4958" t="str">
        <f t="shared" si="1826"/>
        <v>09</v>
      </c>
      <c r="E4958" t="str">
        <f>"01 - A - 101 - Cheryl Anne  Berman-Schechter"</f>
        <v>01 - A - 101 - Cheryl Anne  Berman-Schechter</v>
      </c>
      <c r="F4958" t="str">
        <f>"PRE-AICE ENG LANG IG"</f>
        <v>PRE-AICE ENG LANG IG</v>
      </c>
      <c r="G4958" t="str">
        <f>"17-1722"</f>
        <v>17-1722</v>
      </c>
      <c r="H4958" t="str">
        <f>"A"</f>
        <v>A</v>
      </c>
    </row>
    <row r="4959" spans="1:8" x14ac:dyDescent="0.2">
      <c r="A4959" t="str">
        <f t="shared" si="1823"/>
        <v>0618071119</v>
      </c>
      <c r="B4959" t="str">
        <f t="shared" si="1824"/>
        <v>BORIS</v>
      </c>
      <c r="C4959" t="str">
        <f t="shared" si="1825"/>
        <v>ELIMELAKH</v>
      </c>
      <c r="D4959" t="str">
        <f t="shared" si="1826"/>
        <v>09</v>
      </c>
      <c r="E4959" t="str">
        <f>"08 - B - 103 - Jeanne M Bermudez"</f>
        <v>08 - B - 103 - Jeanne M Bermudez</v>
      </c>
      <c r="F4959" t="str">
        <f>"ADVANCED IT HON"</f>
        <v>ADVANCED IT HON</v>
      </c>
      <c r="G4959" t="str">
        <f>"21-2141"</f>
        <v>21-2141</v>
      </c>
      <c r="H4959" t="str">
        <f>"B"</f>
        <v>B</v>
      </c>
    </row>
    <row r="4960" spans="1:8" x14ac:dyDescent="0.2">
      <c r="A4960" t="str">
        <f t="shared" ref="A4960:A4967" si="1827">"0616030193"</f>
        <v>0616030193</v>
      </c>
      <c r="B4960" t="str">
        <f t="shared" ref="B4960:B4967" si="1828">"VICTORIA"</f>
        <v>VICTORIA</v>
      </c>
      <c r="C4960" t="str">
        <f t="shared" ref="C4960:C4967" si="1829">"ELIUS"</f>
        <v>ELIUS</v>
      </c>
      <c r="D4960">
        <f>10</f>
        <v>10</v>
      </c>
      <c r="E4960" t="str">
        <f>"04 - A - 105 - Jacklyn M James"</f>
        <v>04 - A - 105 - Jacklyn M James</v>
      </c>
      <c r="F4960" t="str">
        <f>"AICE ENG LANG AS"</f>
        <v>AICE ENG LANG AS</v>
      </c>
      <c r="G4960" t="str">
        <f>"17-1731"</f>
        <v>17-1731</v>
      </c>
      <c r="H4960" t="str">
        <f>"A"</f>
        <v>A</v>
      </c>
    </row>
    <row r="4961" spans="1:8" x14ac:dyDescent="0.2">
      <c r="A4961" t="str">
        <f t="shared" si="1827"/>
        <v>0616030193</v>
      </c>
      <c r="B4961" t="str">
        <f t="shared" si="1828"/>
        <v>VICTORIA</v>
      </c>
      <c r="C4961" t="str">
        <f t="shared" si="1829"/>
        <v>ELIUS</v>
      </c>
      <c r="D4961">
        <f>10</f>
        <v>10</v>
      </c>
      <c r="E4961" t="str">
        <f>"06 - B - 109 - Semra  Bahadir"</f>
        <v>06 - B - 109 - Semra  Bahadir</v>
      </c>
      <c r="F4961" t="str">
        <f>"NC STUDY HALL 1"</f>
        <v>NC STUDY HALL 1</v>
      </c>
      <c r="G4961" t="str">
        <f>"21-2107"</f>
        <v>21-2107</v>
      </c>
      <c r="H4961" t="str">
        <f>"B"</f>
        <v>B</v>
      </c>
    </row>
    <row r="4962" spans="1:8" x14ac:dyDescent="0.2">
      <c r="A4962" t="str">
        <f t="shared" si="1827"/>
        <v>0616030193</v>
      </c>
      <c r="B4962" t="str">
        <f t="shared" si="1828"/>
        <v>VICTORIA</v>
      </c>
      <c r="C4962" t="str">
        <f t="shared" si="1829"/>
        <v>ELIUS</v>
      </c>
      <c r="D4962">
        <f>10</f>
        <v>10</v>
      </c>
      <c r="E4962" t="str">
        <f>"03 - A - 101 - Jazmin S Fletcher"</f>
        <v>03 - A - 101 - Jazmin S Fletcher</v>
      </c>
      <c r="F4962" t="str">
        <f>"TECH THEA DES&amp;PROD 1"</f>
        <v>TECH THEA DES&amp;PROD 1</v>
      </c>
      <c r="G4962" t="str">
        <f>"09-909"</f>
        <v>09-909</v>
      </c>
      <c r="H4962" t="str">
        <f>"A"</f>
        <v>A</v>
      </c>
    </row>
    <row r="4963" spans="1:8" x14ac:dyDescent="0.2">
      <c r="A4963" t="str">
        <f t="shared" si="1827"/>
        <v>0616030193</v>
      </c>
      <c r="B4963" t="str">
        <f t="shared" si="1828"/>
        <v>VICTORIA</v>
      </c>
      <c r="C4963" t="str">
        <f t="shared" si="1829"/>
        <v>ELIUS</v>
      </c>
      <c r="D4963">
        <f>10</f>
        <v>10</v>
      </c>
      <c r="E4963" t="str">
        <f>"02 - A - 102 - Marius D Orsolini"</f>
        <v>02 - A - 102 - Marius D Orsolini</v>
      </c>
      <c r="F4963" t="str">
        <f>"CULINARY ARTS 1"</f>
        <v>CULINARY ARTS 1</v>
      </c>
      <c r="G4963" t="str">
        <f>"21-2115"</f>
        <v>21-2115</v>
      </c>
      <c r="H4963" t="str">
        <f>"A"</f>
        <v>A</v>
      </c>
    </row>
    <row r="4964" spans="1:8" x14ac:dyDescent="0.2">
      <c r="A4964" t="str">
        <f t="shared" si="1827"/>
        <v>0616030193</v>
      </c>
      <c r="B4964" t="str">
        <f t="shared" si="1828"/>
        <v>VICTORIA</v>
      </c>
      <c r="C4964" t="str">
        <f t="shared" si="1829"/>
        <v>ELIUS</v>
      </c>
      <c r="D4964">
        <f>10</f>
        <v>10</v>
      </c>
      <c r="E4964" t="str">
        <f>"07 - B - 102 - Lourivaldo  Da Silva"</f>
        <v>07 - B - 102 - Lourivaldo  Da Silva</v>
      </c>
      <c r="F4964" t="str">
        <f>"ALGEBRA 2 HON"</f>
        <v>ALGEBRA 2 HON</v>
      </c>
      <c r="G4964" t="str">
        <f>"20-2079"</f>
        <v>20-2079</v>
      </c>
      <c r="H4964" t="str">
        <f>"B"</f>
        <v>B</v>
      </c>
    </row>
    <row r="4965" spans="1:8" x14ac:dyDescent="0.2">
      <c r="A4965" t="str">
        <f t="shared" si="1827"/>
        <v>0616030193</v>
      </c>
      <c r="B4965" t="str">
        <f t="shared" si="1828"/>
        <v>VICTORIA</v>
      </c>
      <c r="C4965" t="str">
        <f t="shared" si="1829"/>
        <v>ELIUS</v>
      </c>
      <c r="D4965">
        <f>10</f>
        <v>10</v>
      </c>
      <c r="E4965" t="str">
        <f>"05 - B - 207 - Marielle A Witting"</f>
        <v>05 - B - 207 - Marielle A Witting</v>
      </c>
      <c r="F4965" t="str">
        <f>"ANAT PHYSIO"</f>
        <v>ANAT PHYSIO</v>
      </c>
      <c r="G4965" t="str">
        <f>"08-805"</f>
        <v>08-805</v>
      </c>
      <c r="H4965" t="str">
        <f>"B"</f>
        <v>B</v>
      </c>
    </row>
    <row r="4966" spans="1:8" x14ac:dyDescent="0.2">
      <c r="A4966" t="str">
        <f t="shared" si="1827"/>
        <v>0616030193</v>
      </c>
      <c r="B4966" t="str">
        <f t="shared" si="1828"/>
        <v>VICTORIA</v>
      </c>
      <c r="C4966" t="str">
        <f t="shared" si="1829"/>
        <v>ELIUS</v>
      </c>
      <c r="D4966">
        <f>10</f>
        <v>10</v>
      </c>
      <c r="E4966" t="str">
        <f>"01 - S1 - A - 101 - Lissa C Frederique"</f>
        <v>01 - S1 - A - 101 - Lissa C Frederique</v>
      </c>
      <c r="F4966" t="str">
        <f>"PERS FIN &amp; MON MGT H"</f>
        <v>PERS FIN &amp; MON MGT H</v>
      </c>
      <c r="G4966" t="str">
        <f>"17-1754"</f>
        <v>17-1754</v>
      </c>
      <c r="H4966" t="str">
        <f>"A"</f>
        <v>A</v>
      </c>
    </row>
    <row r="4967" spans="1:8" x14ac:dyDescent="0.2">
      <c r="A4967" t="str">
        <f t="shared" si="1827"/>
        <v>0616030193</v>
      </c>
      <c r="B4967" t="str">
        <f t="shared" si="1828"/>
        <v>VICTORIA</v>
      </c>
      <c r="C4967" t="str">
        <f t="shared" si="1829"/>
        <v>ELIUS</v>
      </c>
      <c r="D4967">
        <f>10</f>
        <v>10</v>
      </c>
      <c r="E4967" t="str">
        <f>"08 - B - 201 - Lenecy  Nodarse"</f>
        <v>08 - B - 201 - Lenecy  Nodarse</v>
      </c>
      <c r="F4967" t="str">
        <f>"AICE EURO HIST 1 AS"</f>
        <v>AICE EURO HIST 1 AS</v>
      </c>
      <c r="G4967" t="str">
        <f>"17-1741"</f>
        <v>17-1741</v>
      </c>
      <c r="H4967" t="str">
        <f>"B"</f>
        <v>B</v>
      </c>
    </row>
    <row r="4968" spans="1:8" x14ac:dyDescent="0.2">
      <c r="A4968" t="str">
        <f t="shared" ref="A4968:A4975" si="1830">"0617015457"</f>
        <v>0617015457</v>
      </c>
      <c r="B4968" t="str">
        <f t="shared" ref="B4968:B4975" si="1831">"ANIYAH"</f>
        <v>ANIYAH</v>
      </c>
      <c r="C4968" t="str">
        <f t="shared" ref="C4968:C4975" si="1832">"ELIZEE"</f>
        <v>ELIZEE</v>
      </c>
      <c r="D4968" t="str">
        <f t="shared" ref="D4968:D4975" si="1833">"09"</f>
        <v>09</v>
      </c>
      <c r="E4968" t="str">
        <f>"04 - A - 102 - Elizabeth R Walker"</f>
        <v>04 - A - 102 - Elizabeth R Walker</v>
      </c>
      <c r="F4968" t="str">
        <f>"AICE ENG GEN PAPER 1"</f>
        <v>AICE ENG GEN PAPER 1</v>
      </c>
      <c r="G4968" t="str">
        <f>"17-1703"</f>
        <v>17-1703</v>
      </c>
      <c r="H4968" t="str">
        <f>"A"</f>
        <v>A</v>
      </c>
    </row>
    <row r="4969" spans="1:8" x14ac:dyDescent="0.2">
      <c r="A4969" t="str">
        <f t="shared" si="1830"/>
        <v>0617015457</v>
      </c>
      <c r="B4969" t="str">
        <f t="shared" si="1831"/>
        <v>ANIYAH</v>
      </c>
      <c r="C4969" t="str">
        <f t="shared" si="1832"/>
        <v>ELIZEE</v>
      </c>
      <c r="D4969" t="str">
        <f t="shared" si="1833"/>
        <v>09</v>
      </c>
      <c r="E4969" t="str">
        <f>"06 - B - 105 - Cheryl L Beach"</f>
        <v>06 - B - 105 - Cheryl L Beach</v>
      </c>
      <c r="F4969" t="str">
        <f>"AICE ENV MGMNT AS"</f>
        <v>AICE ENV MGMNT AS</v>
      </c>
      <c r="G4969" t="str">
        <f>"08-811"</f>
        <v>08-811</v>
      </c>
      <c r="H4969" t="str">
        <f>"B"</f>
        <v>B</v>
      </c>
    </row>
    <row r="4970" spans="1:8" x14ac:dyDescent="0.2">
      <c r="A4970" t="str">
        <f t="shared" si="1830"/>
        <v>0617015457</v>
      </c>
      <c r="B4970" t="str">
        <f t="shared" si="1831"/>
        <v>ANIYAH</v>
      </c>
      <c r="C4970" t="str">
        <f t="shared" si="1832"/>
        <v>ELIZEE</v>
      </c>
      <c r="D4970" t="str">
        <f t="shared" si="1833"/>
        <v>09</v>
      </c>
      <c r="E4970" t="str">
        <f>"03 - A - 101 - Jazmin S Fletcher"</f>
        <v>03 - A - 101 - Jazmin S Fletcher</v>
      </c>
      <c r="F4970" t="str">
        <f>"TECH THEA DES&amp;PROD 1"</f>
        <v>TECH THEA DES&amp;PROD 1</v>
      </c>
      <c r="G4970" t="str">
        <f>"09-909"</f>
        <v>09-909</v>
      </c>
      <c r="H4970" t="str">
        <f>"A"</f>
        <v>A</v>
      </c>
    </row>
    <row r="4971" spans="1:8" x14ac:dyDescent="0.2">
      <c r="A4971" t="str">
        <f t="shared" si="1830"/>
        <v>0617015457</v>
      </c>
      <c r="B4971" t="str">
        <f t="shared" si="1831"/>
        <v>ANIYAH</v>
      </c>
      <c r="C4971" t="str">
        <f t="shared" si="1832"/>
        <v>ELIZEE</v>
      </c>
      <c r="D4971" t="str">
        <f t="shared" si="1833"/>
        <v>09</v>
      </c>
      <c r="E4971" t="str">
        <f>"02 - A - 107 - Cerine S Stewart"</f>
        <v>02 - A - 107 - Cerine S Stewart</v>
      </c>
      <c r="F4971" t="str">
        <f>"NC STUDY HALL 1"</f>
        <v>NC STUDY HALL 1</v>
      </c>
      <c r="G4971" t="str">
        <f>"17-1720"</f>
        <v>17-1720</v>
      </c>
      <c r="H4971" t="str">
        <f>"A"</f>
        <v>A</v>
      </c>
    </row>
    <row r="4972" spans="1:8" x14ac:dyDescent="0.2">
      <c r="A4972" t="str">
        <f t="shared" si="1830"/>
        <v>0617015457</v>
      </c>
      <c r="B4972" t="str">
        <f t="shared" si="1831"/>
        <v>ANIYAH</v>
      </c>
      <c r="C4972" t="str">
        <f t="shared" si="1832"/>
        <v>ELIZEE</v>
      </c>
      <c r="D4972" t="str">
        <f t="shared" si="1833"/>
        <v>09</v>
      </c>
      <c r="E4972" t="str">
        <f>"07 - B - 202 - Chrystina M Marchionne"</f>
        <v>07 - B - 202 - Chrystina M Marchionne</v>
      </c>
      <c r="F4972" t="str">
        <f>"JOURN 1 (YB) LH"</f>
        <v>JOURN 1 (YB) LH</v>
      </c>
      <c r="G4972" t="str">
        <f>"05-520"</f>
        <v>05-520</v>
      </c>
      <c r="H4972" t="str">
        <f>"B"</f>
        <v>B</v>
      </c>
    </row>
    <row r="4973" spans="1:8" x14ac:dyDescent="0.2">
      <c r="A4973" t="str">
        <f t="shared" si="1830"/>
        <v>0617015457</v>
      </c>
      <c r="B4973" t="str">
        <f t="shared" si="1831"/>
        <v>ANIYAH</v>
      </c>
      <c r="C4973" t="str">
        <f t="shared" si="1832"/>
        <v>ELIZEE</v>
      </c>
      <c r="D4973" t="str">
        <f t="shared" si="1833"/>
        <v>09</v>
      </c>
      <c r="E4973" t="str">
        <f>"05 - B - 109 - Ferrie J Arostique"</f>
        <v>05 - B - 109 - Ferrie J Arostique</v>
      </c>
      <c r="F4973" t="str">
        <f>"GEOMETRY"</f>
        <v>GEOMETRY</v>
      </c>
      <c r="G4973" t="str">
        <f>"21-2139"</f>
        <v>21-2139</v>
      </c>
      <c r="H4973" t="str">
        <f>"B"</f>
        <v>B</v>
      </c>
    </row>
    <row r="4974" spans="1:8" x14ac:dyDescent="0.2">
      <c r="A4974" t="str">
        <f t="shared" si="1830"/>
        <v>0617015457</v>
      </c>
      <c r="B4974" t="str">
        <f t="shared" si="1831"/>
        <v>ANIYAH</v>
      </c>
      <c r="C4974" t="str">
        <f t="shared" si="1832"/>
        <v>ELIZEE</v>
      </c>
      <c r="D4974" t="str">
        <f t="shared" si="1833"/>
        <v>09</v>
      </c>
      <c r="E4974" t="str">
        <f>"01 - A - 006 - Emmily A Sarmiento"</f>
        <v>01 - A - 006 - Emmily A Sarmiento</v>
      </c>
      <c r="F4974" t="str">
        <f>"AICE GLBL PERSP 1 AS"</f>
        <v>AICE GLBL PERSP 1 AS</v>
      </c>
      <c r="G4974" t="str">
        <f>"17-1743"</f>
        <v>17-1743</v>
      </c>
      <c r="H4974" t="str">
        <f>"A"</f>
        <v>A</v>
      </c>
    </row>
    <row r="4975" spans="1:8" x14ac:dyDescent="0.2">
      <c r="A4975" t="str">
        <f t="shared" si="1830"/>
        <v>0617015457</v>
      </c>
      <c r="B4975" t="str">
        <f t="shared" si="1831"/>
        <v>ANIYAH</v>
      </c>
      <c r="C4975" t="str">
        <f t="shared" si="1832"/>
        <v>ELIZEE</v>
      </c>
      <c r="D4975" t="str">
        <f t="shared" si="1833"/>
        <v>09</v>
      </c>
      <c r="E4975" t="str">
        <f>"08 - B - 108 - Adam Marcus  Drucker"</f>
        <v>08 - B - 108 - Adam Marcus  Drucker</v>
      </c>
      <c r="F4975" t="str">
        <f>"HOPE-PE V"</f>
        <v>HOPE-PE V</v>
      </c>
      <c r="G4975" t="str">
        <f>"04-254"</f>
        <v>04-254</v>
      </c>
      <c r="H4975" t="str">
        <f>"B"</f>
        <v>B</v>
      </c>
    </row>
    <row r="4976" spans="1:8" x14ac:dyDescent="0.2">
      <c r="A4976" t="str">
        <f t="shared" ref="A4976:A4983" si="1834">"0618157119"</f>
        <v>0618157119</v>
      </c>
      <c r="B4976" t="str">
        <f t="shared" ref="B4976:B4983" si="1835">"DANIEL"</f>
        <v>DANIEL</v>
      </c>
      <c r="C4976" t="str">
        <f t="shared" ref="C4976:C4983" si="1836">"ELLA"</f>
        <v>ELLA</v>
      </c>
      <c r="D4976">
        <f>11</f>
        <v>11</v>
      </c>
      <c r="E4976" t="str">
        <f>"04 - A - 201 - Arthur  Kulawik"</f>
        <v>04 - A - 201 - Arthur  Kulawik</v>
      </c>
      <c r="F4976" t="str">
        <f>"DEBATE 4 HON"</f>
        <v>DEBATE 4 HON</v>
      </c>
      <c r="G4976" t="str">
        <f>"05-506"</f>
        <v>05-506</v>
      </c>
      <c r="H4976" t="str">
        <f>"A"</f>
        <v>A</v>
      </c>
    </row>
    <row r="4977" spans="1:8" x14ac:dyDescent="0.2">
      <c r="A4977" t="str">
        <f t="shared" si="1834"/>
        <v>0618157119</v>
      </c>
      <c r="B4977" t="str">
        <f t="shared" si="1835"/>
        <v>DANIEL</v>
      </c>
      <c r="C4977" t="str">
        <f t="shared" si="1836"/>
        <v>ELLA</v>
      </c>
      <c r="D4977">
        <f>11</f>
        <v>11</v>
      </c>
      <c r="E4977" t="str">
        <f>"06 - B - 104 - Brandy N Zdenek"</f>
        <v>06 - B - 104 - Brandy N Zdenek</v>
      </c>
      <c r="F4977" t="str">
        <f>"AICE ENG LANG 2 AL"</f>
        <v>AICE ENG LANG 2 AL</v>
      </c>
      <c r="G4977" t="str">
        <f>"17-1704"</f>
        <v>17-1704</v>
      </c>
      <c r="H4977" t="str">
        <f>"B"</f>
        <v>B</v>
      </c>
    </row>
    <row r="4978" spans="1:8" x14ac:dyDescent="0.2">
      <c r="A4978" t="str">
        <f t="shared" si="1834"/>
        <v>0618157119</v>
      </c>
      <c r="B4978" t="str">
        <f t="shared" si="1835"/>
        <v>DANIEL</v>
      </c>
      <c r="C4978" t="str">
        <f t="shared" si="1836"/>
        <v>ELLA</v>
      </c>
      <c r="D4978">
        <f>11</f>
        <v>11</v>
      </c>
      <c r="E4978" t="str">
        <f>"03 - A - 202 - Jeanne M Bermudez"</f>
        <v>03 - A - 202 - Jeanne M Bermudez</v>
      </c>
      <c r="F4978" t="str">
        <f>"PHYSICS 1 HON"</f>
        <v>PHYSICS 1 HON</v>
      </c>
      <c r="G4978" t="str">
        <f>"21-2141"</f>
        <v>21-2141</v>
      </c>
      <c r="H4978" t="str">
        <f>"A"</f>
        <v>A</v>
      </c>
    </row>
    <row r="4979" spans="1:8" x14ac:dyDescent="0.2">
      <c r="A4979" t="str">
        <f t="shared" si="1834"/>
        <v>0618157119</v>
      </c>
      <c r="B4979" t="str">
        <f t="shared" si="1835"/>
        <v>DANIEL</v>
      </c>
      <c r="C4979" t="str">
        <f t="shared" si="1836"/>
        <v>ELLA</v>
      </c>
      <c r="D4979">
        <f>11</f>
        <v>11</v>
      </c>
      <c r="E4979" t="str">
        <f>"02 - A - 117 - Kyle  Robbins"</f>
        <v>02 - A - 117 - Kyle  Robbins</v>
      </c>
      <c r="F4979" t="str">
        <f>"NC STUDY HALL 1"</f>
        <v>NC STUDY HALL 1</v>
      </c>
      <c r="G4979" t="str">
        <f>"17-1745"</f>
        <v>17-1745</v>
      </c>
      <c r="H4979" t="str">
        <f>"A"</f>
        <v>A</v>
      </c>
    </row>
    <row r="4980" spans="1:8" x14ac:dyDescent="0.2">
      <c r="A4980" t="str">
        <f t="shared" si="1834"/>
        <v>0618157119</v>
      </c>
      <c r="B4980" t="str">
        <f t="shared" si="1835"/>
        <v>DANIEL</v>
      </c>
      <c r="C4980" t="str">
        <f t="shared" si="1836"/>
        <v>ELLA</v>
      </c>
      <c r="D4980">
        <f>11</f>
        <v>11</v>
      </c>
      <c r="E4980" t="str">
        <f>"07 - B - 103 - Lisa J London"</f>
        <v>07 - B - 103 - Lisa J London</v>
      </c>
      <c r="F4980" t="str">
        <f>"AP CAPSTONE SEMINAR"</f>
        <v>AP CAPSTONE SEMINAR</v>
      </c>
      <c r="G4980" t="str">
        <f>"17-1714"</f>
        <v>17-1714</v>
      </c>
      <c r="H4980" t="str">
        <f>"B"</f>
        <v>B</v>
      </c>
    </row>
    <row r="4981" spans="1:8" x14ac:dyDescent="0.2">
      <c r="A4981" t="str">
        <f t="shared" si="1834"/>
        <v>0618157119</v>
      </c>
      <c r="B4981" t="str">
        <f t="shared" si="1835"/>
        <v>DANIEL</v>
      </c>
      <c r="C4981" t="str">
        <f t="shared" si="1836"/>
        <v>ELLA</v>
      </c>
      <c r="D4981">
        <f>11</f>
        <v>11</v>
      </c>
      <c r="E4981" t="str">
        <f>"05 - B - 101 - Pamela M Corzo"</f>
        <v>05 - B - 101 - Pamela M Corzo</v>
      </c>
      <c r="F4981" t="str">
        <f>"AP CALCULUS AB"</f>
        <v>AP CALCULUS AB</v>
      </c>
      <c r="G4981" t="str">
        <f>"21-2133"</f>
        <v>21-2133</v>
      </c>
      <c r="H4981" t="str">
        <f>"B"</f>
        <v>B</v>
      </c>
    </row>
    <row r="4982" spans="1:8" x14ac:dyDescent="0.2">
      <c r="A4982" t="str">
        <f t="shared" si="1834"/>
        <v>0618157119</v>
      </c>
      <c r="B4982" t="str">
        <f t="shared" si="1835"/>
        <v>DANIEL</v>
      </c>
      <c r="C4982" t="str">
        <f t="shared" si="1836"/>
        <v>ELLA</v>
      </c>
      <c r="D4982">
        <f>11</f>
        <v>11</v>
      </c>
      <c r="E4982" t="str">
        <f>"01 - A - 001 - Stephen T Ripp"</f>
        <v>01 - A - 001 - Stephen T Ripp</v>
      </c>
      <c r="F4982" t="str">
        <f>"AP U.S. HIST"</f>
        <v>AP U.S. HIST</v>
      </c>
      <c r="G4982" t="str">
        <f>"17-1744"</f>
        <v>17-1744</v>
      </c>
      <c r="H4982" t="str">
        <f>"A"</f>
        <v>A</v>
      </c>
    </row>
    <row r="4983" spans="1:8" x14ac:dyDescent="0.2">
      <c r="A4983" t="str">
        <f t="shared" si="1834"/>
        <v>0618157119</v>
      </c>
      <c r="B4983" t="str">
        <f t="shared" si="1835"/>
        <v>DANIEL</v>
      </c>
      <c r="C4983" t="str">
        <f t="shared" si="1836"/>
        <v>ELLA</v>
      </c>
      <c r="D4983">
        <f>11</f>
        <v>11</v>
      </c>
      <c r="E4983" t="str">
        <f>"08 - B - 202 - Krystal Marie  Beruty"</f>
        <v>08 - B - 202 - Krystal Marie  Beruty</v>
      </c>
      <c r="F4983" t="str">
        <f>"AICE PSYCH 1 AS"</f>
        <v>AICE PSYCH 1 AS</v>
      </c>
      <c r="G4983" t="str">
        <f>"17-1721"</f>
        <v>17-1721</v>
      </c>
      <c r="H4983" t="str">
        <f>"B"</f>
        <v>B</v>
      </c>
    </row>
    <row r="4984" spans="1:8" x14ac:dyDescent="0.2">
      <c r="A4984" t="str">
        <f t="shared" ref="A4984:A4992" si="1837">"0610075146"</f>
        <v>0610075146</v>
      </c>
      <c r="B4984" t="str">
        <f t="shared" ref="B4984:B4992" si="1838">"JAYDA"</f>
        <v>JAYDA</v>
      </c>
      <c r="C4984" t="str">
        <f t="shared" ref="C4984:C4992" si="1839">"ELLERBEE"</f>
        <v>ELLERBEE</v>
      </c>
      <c r="D4984">
        <f>11</f>
        <v>11</v>
      </c>
      <c r="E4984" t="str">
        <f>"04 - A - 108 - Maried P Ramos"</f>
        <v>04 - A - 108 - Maried P Ramos</v>
      </c>
      <c r="F4984" t="str">
        <f>"GEOMETRY"</f>
        <v>GEOMETRY</v>
      </c>
      <c r="G4984" t="str">
        <f>"21-2159"</f>
        <v>21-2159</v>
      </c>
      <c r="H4984" t="str">
        <f>"A"</f>
        <v>A</v>
      </c>
    </row>
    <row r="4985" spans="1:8" x14ac:dyDescent="0.2">
      <c r="A4985" t="str">
        <f t="shared" si="1837"/>
        <v>0610075146</v>
      </c>
      <c r="B4985" t="str">
        <f t="shared" si="1838"/>
        <v>JAYDA</v>
      </c>
      <c r="C4985" t="str">
        <f t="shared" si="1839"/>
        <v>ELLERBEE</v>
      </c>
      <c r="D4985">
        <f>11</f>
        <v>11</v>
      </c>
      <c r="E4985" t="str">
        <f>"06 - B - 002 - Kyle  Robbins"</f>
        <v>06 - B - 002 - Kyle  Robbins</v>
      </c>
      <c r="F4985" t="str">
        <f>"US HISTORY HON"</f>
        <v>US HISTORY HON</v>
      </c>
      <c r="G4985" t="str">
        <f>"17-1745"</f>
        <v>17-1745</v>
      </c>
      <c r="H4985" t="str">
        <f>"B"</f>
        <v>B</v>
      </c>
    </row>
    <row r="4986" spans="1:8" x14ac:dyDescent="0.2">
      <c r="A4986" t="str">
        <f t="shared" si="1837"/>
        <v>0610075146</v>
      </c>
      <c r="B4986" t="str">
        <f t="shared" si="1838"/>
        <v>JAYDA</v>
      </c>
      <c r="C4986" t="str">
        <f t="shared" si="1839"/>
        <v>ELLERBEE</v>
      </c>
      <c r="D4986">
        <f>11</f>
        <v>11</v>
      </c>
      <c r="E4986" t="str">
        <f>"03 - A - 103 - Jazmin S Fletcher"</f>
        <v>03 - A - 103 - Jazmin S Fletcher</v>
      </c>
      <c r="F4986" t="str">
        <f>"THEATRE 2"</f>
        <v>THEATRE 2</v>
      </c>
      <c r="G4986" t="str">
        <f>"09-909"</f>
        <v>09-909</v>
      </c>
      <c r="H4986" t="str">
        <f>"A"</f>
        <v>A</v>
      </c>
    </row>
    <row r="4987" spans="1:8" x14ac:dyDescent="0.2">
      <c r="A4987" t="str">
        <f t="shared" si="1837"/>
        <v>0610075146</v>
      </c>
      <c r="B4987" t="str">
        <f t="shared" si="1838"/>
        <v>JAYDA</v>
      </c>
      <c r="C4987" t="str">
        <f t="shared" si="1839"/>
        <v>ELLERBEE</v>
      </c>
      <c r="D4987">
        <f>11</f>
        <v>11</v>
      </c>
      <c r="E4987" t="str">
        <f>"02 - A - 103 - Angela S Adeshina-Morrison"</f>
        <v>02 - A - 103 - Angela S Adeshina-Morrison</v>
      </c>
      <c r="F4987" t="str">
        <f>"NC STUDY HALL 1"</f>
        <v>NC STUDY HALL 1</v>
      </c>
      <c r="G4987" t="str">
        <f>"05-518"</f>
        <v>05-518</v>
      </c>
      <c r="H4987" t="str">
        <f>"A"</f>
        <v>A</v>
      </c>
    </row>
    <row r="4988" spans="1:8" x14ac:dyDescent="0.2">
      <c r="A4988" t="str">
        <f t="shared" si="1837"/>
        <v>0610075146</v>
      </c>
      <c r="B4988" t="str">
        <f t="shared" si="1838"/>
        <v>JAYDA</v>
      </c>
      <c r="C4988" t="str">
        <f t="shared" si="1839"/>
        <v>ELLERBEE</v>
      </c>
      <c r="D4988">
        <f>11</f>
        <v>11</v>
      </c>
      <c r="E4988" t="str">
        <f>"02 - A - 112 - Karen A Toomer"</f>
        <v>02 - A - 112 - Karen A Toomer</v>
      </c>
      <c r="F4988" t="str">
        <f>"LANG THERAPY"</f>
        <v>LANG THERAPY</v>
      </c>
      <c r="G4988" t="str">
        <f>"21-2110"</f>
        <v>21-2110</v>
      </c>
      <c r="H4988" t="str">
        <f>"A"</f>
        <v>A</v>
      </c>
    </row>
    <row r="4989" spans="1:8" x14ac:dyDescent="0.2">
      <c r="A4989" t="str">
        <f t="shared" si="1837"/>
        <v>0610075146</v>
      </c>
      <c r="B4989" t="str">
        <f t="shared" si="1838"/>
        <v>JAYDA</v>
      </c>
      <c r="C4989" t="str">
        <f t="shared" si="1839"/>
        <v>ELLERBEE</v>
      </c>
      <c r="D4989">
        <f>11</f>
        <v>11</v>
      </c>
      <c r="E4989" t="str">
        <f>"07 - S1 - B - 103 - Leslie J Barton"</f>
        <v>07 - S1 - B - 103 - Leslie J Barton</v>
      </c>
      <c r="F4989" t="str">
        <f>"TEAM SPORTS 1"</f>
        <v>TEAM SPORTS 1</v>
      </c>
      <c r="G4989" t="str">
        <f>"04-254"</f>
        <v>04-254</v>
      </c>
      <c r="H4989" t="str">
        <f>"B"</f>
        <v>B</v>
      </c>
    </row>
    <row r="4990" spans="1:8" x14ac:dyDescent="0.2">
      <c r="A4990" t="str">
        <f t="shared" si="1837"/>
        <v>0610075146</v>
      </c>
      <c r="B4990" t="str">
        <f t="shared" si="1838"/>
        <v>JAYDA</v>
      </c>
      <c r="C4990" t="str">
        <f t="shared" si="1839"/>
        <v>ELLERBEE</v>
      </c>
      <c r="D4990">
        <f>11</f>
        <v>11</v>
      </c>
      <c r="E4990" t="str">
        <f>"05 - B - 205 - Rosa Elaine  Collado-Duff"</f>
        <v>05 - B - 205 - Rosa Elaine  Collado-Duff</v>
      </c>
      <c r="F4990" t="str">
        <f>"PRE-AICE SPAN 2 IG"</f>
        <v>PRE-AICE SPAN 2 IG</v>
      </c>
      <c r="G4990" t="str">
        <f>"09-913"</f>
        <v>09-913</v>
      </c>
      <c r="H4990" t="str">
        <f>"B"</f>
        <v>B</v>
      </c>
    </row>
    <row r="4991" spans="1:8" x14ac:dyDescent="0.2">
      <c r="A4991" t="str">
        <f t="shared" si="1837"/>
        <v>0610075146</v>
      </c>
      <c r="B4991" t="str">
        <f t="shared" si="1838"/>
        <v>JAYDA</v>
      </c>
      <c r="C4991" t="str">
        <f t="shared" si="1839"/>
        <v>ELLERBEE</v>
      </c>
      <c r="D4991">
        <f>11</f>
        <v>11</v>
      </c>
      <c r="E4991" t="str">
        <f>"01 - A - 103 - Robyn L Trainer"</f>
        <v>01 - A - 103 - Robyn L Trainer</v>
      </c>
      <c r="F4991" t="str">
        <f>"ENG 4"</f>
        <v>ENG 4</v>
      </c>
      <c r="G4991" t="str">
        <f>"17-1734"</f>
        <v>17-1734</v>
      </c>
      <c r="H4991" t="str">
        <f>"A"</f>
        <v>A</v>
      </c>
    </row>
    <row r="4992" spans="1:8" x14ac:dyDescent="0.2">
      <c r="A4992" t="str">
        <f t="shared" si="1837"/>
        <v>0610075146</v>
      </c>
      <c r="B4992" t="str">
        <f t="shared" si="1838"/>
        <v>JAYDA</v>
      </c>
      <c r="C4992" t="str">
        <f t="shared" si="1839"/>
        <v>ELLERBEE</v>
      </c>
      <c r="D4992">
        <f>11</f>
        <v>11</v>
      </c>
      <c r="E4992" t="str">
        <f>"08 - B - 102 - Josiah I Lacy"</f>
        <v>08 - B - 102 - Josiah I Lacy</v>
      </c>
      <c r="F4992" t="str">
        <f>"ANAT PHYSIO HON"</f>
        <v>ANAT PHYSIO HON</v>
      </c>
      <c r="G4992" t="str">
        <f>"08-801"</f>
        <v>08-801</v>
      </c>
      <c r="H4992" t="str">
        <f>"B"</f>
        <v>B</v>
      </c>
    </row>
    <row r="4993" spans="1:8" x14ac:dyDescent="0.2">
      <c r="A4993" t="str">
        <f t="shared" ref="A4993:A5000" si="1840">"0619114546"</f>
        <v>0619114546</v>
      </c>
      <c r="B4993" t="str">
        <f t="shared" ref="B4993:B5000" si="1841">"ANNVICTORIA"</f>
        <v>ANNVICTORIA</v>
      </c>
      <c r="C4993" t="str">
        <f t="shared" ref="C4993:C5000" si="1842">"ELLIOT"</f>
        <v>ELLIOT</v>
      </c>
      <c r="D4993">
        <f>10</f>
        <v>10</v>
      </c>
      <c r="E4993" t="str">
        <f>"04 - A - 105 - Milca  Exantus"</f>
        <v>04 - A - 105 - Milca  Exantus</v>
      </c>
      <c r="F4993" t="str">
        <f>"MATH COLLEGE LIB ART"</f>
        <v>MATH COLLEGE LIB ART</v>
      </c>
      <c r="G4993" t="str">
        <f>"21-2145"</f>
        <v>21-2145</v>
      </c>
      <c r="H4993" t="str">
        <f>"A"</f>
        <v>A</v>
      </c>
    </row>
    <row r="4994" spans="1:8" x14ac:dyDescent="0.2">
      <c r="A4994" t="str">
        <f t="shared" si="1840"/>
        <v>0619114546</v>
      </c>
      <c r="B4994" t="str">
        <f t="shared" si="1841"/>
        <v>ANNVICTORIA</v>
      </c>
      <c r="C4994" t="str">
        <f t="shared" si="1842"/>
        <v>ELLIOT</v>
      </c>
      <c r="D4994">
        <f>10</f>
        <v>10</v>
      </c>
      <c r="E4994" t="str">
        <f>"06 - B - 107 - Dorothy D Moore"</f>
        <v>06 - B - 107 - Dorothy D Moore</v>
      </c>
      <c r="F4994" t="str">
        <f>"NC STUDY HALL 1"</f>
        <v>NC STUDY HALL 1</v>
      </c>
      <c r="G4994" t="str">
        <f>"08-803"</f>
        <v>08-803</v>
      </c>
      <c r="H4994" t="str">
        <f>"B"</f>
        <v>B</v>
      </c>
    </row>
    <row r="4995" spans="1:8" x14ac:dyDescent="0.2">
      <c r="A4995" t="str">
        <f t="shared" si="1840"/>
        <v>0619114546</v>
      </c>
      <c r="B4995" t="str">
        <f t="shared" si="1841"/>
        <v>ANNVICTORIA</v>
      </c>
      <c r="C4995" t="str">
        <f t="shared" si="1842"/>
        <v>ELLIOT</v>
      </c>
      <c r="D4995">
        <f>10</f>
        <v>10</v>
      </c>
      <c r="E4995" t="str">
        <f>"03 - A - 103 - Jacquelyn M Neeson"</f>
        <v>03 - A - 103 - Jacquelyn M Neeson</v>
      </c>
      <c r="F4995" t="str">
        <f>"ENG 2"</f>
        <v>ENG 2</v>
      </c>
      <c r="G4995" t="str">
        <f>"17-1715"</f>
        <v>17-1715</v>
      </c>
      <c r="H4995" t="str">
        <f>"A"</f>
        <v>A</v>
      </c>
    </row>
    <row r="4996" spans="1:8" x14ac:dyDescent="0.2">
      <c r="A4996" t="str">
        <f t="shared" si="1840"/>
        <v>0619114546</v>
      </c>
      <c r="B4996" t="str">
        <f t="shared" si="1841"/>
        <v>ANNVICTORIA</v>
      </c>
      <c r="C4996" t="str">
        <f t="shared" si="1842"/>
        <v>ELLIOT</v>
      </c>
      <c r="D4996">
        <f>10</f>
        <v>10</v>
      </c>
      <c r="E4996" t="str">
        <f>"02 - A - 102 - Marius D Orsolini"</f>
        <v>02 - A - 102 - Marius D Orsolini</v>
      </c>
      <c r="F4996" t="str">
        <f>"CULINARY ARTS 1"</f>
        <v>CULINARY ARTS 1</v>
      </c>
      <c r="G4996" t="str">
        <f>"21-2115"</f>
        <v>21-2115</v>
      </c>
      <c r="H4996" t="str">
        <f>"A"</f>
        <v>A</v>
      </c>
    </row>
    <row r="4997" spans="1:8" x14ac:dyDescent="0.2">
      <c r="A4997" t="str">
        <f t="shared" si="1840"/>
        <v>0619114546</v>
      </c>
      <c r="B4997" t="str">
        <f t="shared" si="1841"/>
        <v>ANNVICTORIA</v>
      </c>
      <c r="C4997" t="str">
        <f t="shared" si="1842"/>
        <v>ELLIOT</v>
      </c>
      <c r="D4997">
        <f>10</f>
        <v>10</v>
      </c>
      <c r="E4997" t="str">
        <f>"07 - B - 105 - Joe  Kilpatrick Jr"</f>
        <v>07 - B - 105 - Joe  Kilpatrick Jr</v>
      </c>
      <c r="F4997" t="str">
        <f>"PRE-AICE SPAN 1 IG"</f>
        <v>PRE-AICE SPAN 1 IG</v>
      </c>
      <c r="G4997" t="str">
        <f>"09-912"</f>
        <v>09-912</v>
      </c>
      <c r="H4997" t="str">
        <f>"B"</f>
        <v>B</v>
      </c>
    </row>
    <row r="4998" spans="1:8" x14ac:dyDescent="0.2">
      <c r="A4998" t="str">
        <f t="shared" si="1840"/>
        <v>0619114546</v>
      </c>
      <c r="B4998" t="str">
        <f t="shared" si="1841"/>
        <v>ANNVICTORIA</v>
      </c>
      <c r="C4998" t="str">
        <f t="shared" si="1842"/>
        <v>ELLIOT</v>
      </c>
      <c r="D4998">
        <f>10</f>
        <v>10</v>
      </c>
      <c r="E4998" t="str">
        <f>"05 - S1 - B - 102 - Lissa C Frederique"</f>
        <v>05 - S1 - B - 102 - Lissa C Frederique</v>
      </c>
      <c r="F4998" t="str">
        <f>"PERS FIN &amp; MON MGT H"</f>
        <v>PERS FIN &amp; MON MGT H</v>
      </c>
      <c r="G4998" t="str">
        <f>"17-1754"</f>
        <v>17-1754</v>
      </c>
      <c r="H4998" t="str">
        <f>"B"</f>
        <v>B</v>
      </c>
    </row>
    <row r="4999" spans="1:8" x14ac:dyDescent="0.2">
      <c r="A4999" t="str">
        <f t="shared" si="1840"/>
        <v>0619114546</v>
      </c>
      <c r="B4999" t="str">
        <f t="shared" si="1841"/>
        <v>ANNVICTORIA</v>
      </c>
      <c r="C4999" t="str">
        <f t="shared" si="1842"/>
        <v>ELLIOT</v>
      </c>
      <c r="D4999">
        <f>10</f>
        <v>10</v>
      </c>
      <c r="E4999" t="str">
        <f>"01 - A - 101 - Samantha L Martinez"</f>
        <v>01 - A - 101 - Samantha L Martinez</v>
      </c>
      <c r="F4999" t="str">
        <f>"MUSIC WORLD"</f>
        <v>MUSIC WORLD</v>
      </c>
      <c r="G4999" t="str">
        <f>"05-505"</f>
        <v>05-505</v>
      </c>
      <c r="H4999" t="str">
        <f>"A"</f>
        <v>A</v>
      </c>
    </row>
    <row r="5000" spans="1:8" x14ac:dyDescent="0.2">
      <c r="A5000" t="str">
        <f t="shared" si="1840"/>
        <v>0619114546</v>
      </c>
      <c r="B5000" t="str">
        <f t="shared" si="1841"/>
        <v>ANNVICTORIA</v>
      </c>
      <c r="C5000" t="str">
        <f t="shared" si="1842"/>
        <v>ELLIOT</v>
      </c>
      <c r="D5000">
        <f>10</f>
        <v>10</v>
      </c>
      <c r="E5000" t="str">
        <f>"08 - B - 108 - Paige Lauren  Brochu"</f>
        <v>08 - B - 108 - Paige Lauren  Brochu</v>
      </c>
      <c r="F5000" t="str">
        <f>"BIOLOGY 1"</f>
        <v>BIOLOGY 1</v>
      </c>
      <c r="G5000" t="str">
        <f>"21-2134"</f>
        <v>21-2134</v>
      </c>
      <c r="H5000" t="str">
        <f>"B"</f>
        <v>B</v>
      </c>
    </row>
    <row r="5001" spans="1:8" x14ac:dyDescent="0.2">
      <c r="A5001" t="str">
        <f t="shared" ref="A5001:A5008" si="1843">"0615094912"</f>
        <v>0615094912</v>
      </c>
      <c r="B5001" t="str">
        <f t="shared" ref="B5001:B5008" si="1844">"KIMONI"</f>
        <v>KIMONI</v>
      </c>
      <c r="C5001" t="str">
        <f t="shared" ref="C5001:C5008" si="1845">"ELLIOTT"</f>
        <v>ELLIOTT</v>
      </c>
      <c r="D5001">
        <f>11</f>
        <v>11</v>
      </c>
      <c r="E5001" t="str">
        <f>"04 - A - 102 - Samantha J Headley"</f>
        <v>04 - A - 102 - Samantha J Headley</v>
      </c>
      <c r="F5001" t="str">
        <f>"MARINE SCI 1 HON"</f>
        <v>MARINE SCI 1 HON</v>
      </c>
      <c r="G5001" t="str">
        <f>"21-2134"</f>
        <v>21-2134</v>
      </c>
      <c r="H5001" t="str">
        <f>"A"</f>
        <v>A</v>
      </c>
    </row>
    <row r="5002" spans="1:8" x14ac:dyDescent="0.2">
      <c r="A5002" t="str">
        <f t="shared" si="1843"/>
        <v>0615094912</v>
      </c>
      <c r="B5002" t="str">
        <f t="shared" si="1844"/>
        <v>KIMONI</v>
      </c>
      <c r="C5002" t="str">
        <f t="shared" si="1845"/>
        <v>ELLIOTT</v>
      </c>
      <c r="D5002">
        <f>11</f>
        <v>11</v>
      </c>
      <c r="E5002" t="str">
        <f>"06 - B - 108 - Milca  Exantus"</f>
        <v>06 - B - 108 - Milca  Exantus</v>
      </c>
      <c r="F5002" t="str">
        <f>"MATH COLLEGE LIB ART"</f>
        <v>MATH COLLEGE LIB ART</v>
      </c>
      <c r="G5002" t="str">
        <f>"21-2145"</f>
        <v>21-2145</v>
      </c>
      <c r="H5002" t="str">
        <f>"B"</f>
        <v>B</v>
      </c>
    </row>
    <row r="5003" spans="1:8" x14ac:dyDescent="0.2">
      <c r="A5003" t="str">
        <f t="shared" si="1843"/>
        <v>0615094912</v>
      </c>
      <c r="B5003" t="str">
        <f t="shared" si="1844"/>
        <v>KIMONI</v>
      </c>
      <c r="C5003" t="str">
        <f t="shared" si="1845"/>
        <v>ELLIOTT</v>
      </c>
      <c r="D5003">
        <f>11</f>
        <v>11</v>
      </c>
      <c r="E5003" t="str">
        <f>"03 - A - 201 - Chrystina M Marchionne"</f>
        <v>03 - A - 201 - Chrystina M Marchionne</v>
      </c>
      <c r="F5003" t="str">
        <f>"JOURN 1 (YB) LH"</f>
        <v>JOURN 1 (YB) LH</v>
      </c>
      <c r="G5003" t="str">
        <f>"05-520"</f>
        <v>05-520</v>
      </c>
      <c r="H5003" t="str">
        <f>"A"</f>
        <v>A</v>
      </c>
    </row>
    <row r="5004" spans="1:8" x14ac:dyDescent="0.2">
      <c r="A5004" t="str">
        <f t="shared" si="1843"/>
        <v>0615094912</v>
      </c>
      <c r="B5004" t="str">
        <f t="shared" si="1844"/>
        <v>KIMONI</v>
      </c>
      <c r="C5004" t="str">
        <f t="shared" si="1845"/>
        <v>ELLIOTT</v>
      </c>
      <c r="D5004">
        <f>11</f>
        <v>11</v>
      </c>
      <c r="E5004" t="str">
        <f>"02 - A - 105 - Leslie J Barton"</f>
        <v>02 - A - 105 - Leslie J Barton</v>
      </c>
      <c r="F5004" t="str">
        <f>"NC STUDY HALL 1"</f>
        <v>NC STUDY HALL 1</v>
      </c>
      <c r="G5004" t="str">
        <f>"05-521"</f>
        <v>05-521</v>
      </c>
      <c r="H5004" t="str">
        <f>"A"</f>
        <v>A</v>
      </c>
    </row>
    <row r="5005" spans="1:8" x14ac:dyDescent="0.2">
      <c r="A5005" t="str">
        <f t="shared" si="1843"/>
        <v>0615094912</v>
      </c>
      <c r="B5005" t="str">
        <f t="shared" si="1844"/>
        <v>KIMONI</v>
      </c>
      <c r="C5005" t="str">
        <f t="shared" si="1845"/>
        <v>ELLIOTT</v>
      </c>
      <c r="D5005">
        <f>11</f>
        <v>11</v>
      </c>
      <c r="E5005" t="str">
        <f>"07 - B - 101 - Samantha L Martinez"</f>
        <v>07 - B - 101 - Samantha L Martinez</v>
      </c>
      <c r="F5005" t="str">
        <f>"KEYBD 1"</f>
        <v>KEYBD 1</v>
      </c>
      <c r="G5005" t="str">
        <f>"05-505"</f>
        <v>05-505</v>
      </c>
      <c r="H5005" t="str">
        <f>"B"</f>
        <v>B</v>
      </c>
    </row>
    <row r="5006" spans="1:8" x14ac:dyDescent="0.2">
      <c r="A5006" t="str">
        <f t="shared" si="1843"/>
        <v>0615094912</v>
      </c>
      <c r="B5006" t="str">
        <f t="shared" si="1844"/>
        <v>KIMONI</v>
      </c>
      <c r="C5006" t="str">
        <f t="shared" si="1845"/>
        <v>ELLIOTT</v>
      </c>
      <c r="D5006">
        <f>11</f>
        <v>11</v>
      </c>
      <c r="E5006" t="str">
        <f>"05 - B - 103 - Heidi M Knopp"</f>
        <v>05 - B - 103 - Heidi M Knopp</v>
      </c>
      <c r="F5006" t="str">
        <f>"ENG HON 3"</f>
        <v>ENG HON 3</v>
      </c>
      <c r="G5006" t="str">
        <f>"17-1723"</f>
        <v>17-1723</v>
      </c>
      <c r="H5006" t="str">
        <f>"B"</f>
        <v>B</v>
      </c>
    </row>
    <row r="5007" spans="1:8" x14ac:dyDescent="0.2">
      <c r="A5007" t="str">
        <f t="shared" si="1843"/>
        <v>0615094912</v>
      </c>
      <c r="B5007" t="str">
        <f t="shared" si="1844"/>
        <v>KIMONI</v>
      </c>
      <c r="C5007" t="str">
        <f t="shared" si="1845"/>
        <v>ELLIOTT</v>
      </c>
      <c r="D5007">
        <f>11</f>
        <v>11</v>
      </c>
      <c r="E5007" t="str">
        <f>"01 - S1 - A - 101 - Bruce A Evans"</f>
        <v>01 - S1 - A - 101 - Bruce A Evans</v>
      </c>
      <c r="F5007" t="str">
        <f>"ELECTROCARD TECH 3HN"</f>
        <v>ELECTROCARD TECH 3HN</v>
      </c>
      <c r="G5007" t="str">
        <f>"21-2142"</f>
        <v>21-2142</v>
      </c>
      <c r="H5007" t="str">
        <f>"A"</f>
        <v>A</v>
      </c>
    </row>
    <row r="5008" spans="1:8" x14ac:dyDescent="0.2">
      <c r="A5008" t="str">
        <f t="shared" si="1843"/>
        <v>0615094912</v>
      </c>
      <c r="B5008" t="str">
        <f t="shared" si="1844"/>
        <v>KIMONI</v>
      </c>
      <c r="C5008" t="str">
        <f t="shared" si="1845"/>
        <v>ELLIOTT</v>
      </c>
      <c r="D5008">
        <f>11</f>
        <v>11</v>
      </c>
      <c r="E5008" t="str">
        <f>"08 - B - 109 - Lauren N Logan"</f>
        <v>08 - B - 109 - Lauren N Logan</v>
      </c>
      <c r="F5008" t="str">
        <f>"US HISTORY"</f>
        <v>US HISTORY</v>
      </c>
      <c r="G5008" t="str">
        <f>"17-1754"</f>
        <v>17-1754</v>
      </c>
      <c r="H5008" t="str">
        <f>"B"</f>
        <v>B</v>
      </c>
    </row>
    <row r="5009" spans="1:8" x14ac:dyDescent="0.2">
      <c r="A5009" t="str">
        <f t="shared" ref="A5009:A5016" si="1846">"0616108510"</f>
        <v>0616108510</v>
      </c>
      <c r="B5009" t="str">
        <f t="shared" ref="B5009:B5016" si="1847">"AIDYNN"</f>
        <v>AIDYNN</v>
      </c>
      <c r="C5009" t="str">
        <f t="shared" ref="C5009:C5051" si="1848">"ELLIS"</f>
        <v>ELLIS</v>
      </c>
      <c r="D5009" t="str">
        <f t="shared" ref="D5009:D5016" si="1849">"09"</f>
        <v>09</v>
      </c>
      <c r="E5009" t="str">
        <f>"04 - A - 102 - Josiah I Lacy"</f>
        <v>04 - A - 102 - Josiah I Lacy</v>
      </c>
      <c r="F5009" t="str">
        <f>"PRE-AICE BIO IG"</f>
        <v>PRE-AICE BIO IG</v>
      </c>
      <c r="G5009" t="str">
        <f>"08-801"</f>
        <v>08-801</v>
      </c>
      <c r="H5009" t="str">
        <f>"A"</f>
        <v>A</v>
      </c>
    </row>
    <row r="5010" spans="1:8" x14ac:dyDescent="0.2">
      <c r="A5010" t="str">
        <f t="shared" si="1846"/>
        <v>0616108510</v>
      </c>
      <c r="B5010" t="str">
        <f t="shared" si="1847"/>
        <v>AIDYNN</v>
      </c>
      <c r="C5010" t="str">
        <f t="shared" si="1848"/>
        <v>ELLIS</v>
      </c>
      <c r="D5010" t="str">
        <f t="shared" si="1849"/>
        <v>09</v>
      </c>
      <c r="E5010" t="str">
        <f>"06 - B - 104 - Byron G Montenegro"</f>
        <v>06 - B - 104 - Byron G Montenegro</v>
      </c>
      <c r="F5010" t="str">
        <f>"AICE MARINE SCI 1 AS"</f>
        <v>AICE MARINE SCI 1 AS</v>
      </c>
      <c r="G5010" t="str">
        <f>"21-2144"</f>
        <v>21-2144</v>
      </c>
      <c r="H5010" t="str">
        <f>"B"</f>
        <v>B</v>
      </c>
    </row>
    <row r="5011" spans="1:8" x14ac:dyDescent="0.2">
      <c r="A5011" t="str">
        <f t="shared" si="1846"/>
        <v>0616108510</v>
      </c>
      <c r="B5011" t="str">
        <f t="shared" si="1847"/>
        <v>AIDYNN</v>
      </c>
      <c r="C5011" t="str">
        <f t="shared" si="1848"/>
        <v>ELLIS</v>
      </c>
      <c r="D5011" t="str">
        <f t="shared" si="1849"/>
        <v>09</v>
      </c>
      <c r="E5011" t="str">
        <f>"03 - S1 - A - 102 - Leslie J Barton"</f>
        <v>03 - S1 - A - 102 - Leslie J Barton</v>
      </c>
      <c r="F5011" t="str">
        <f>"FIRST AID SAFETY"</f>
        <v>FIRST AID SAFETY</v>
      </c>
      <c r="G5011" t="str">
        <f>"05-521"</f>
        <v>05-521</v>
      </c>
      <c r="H5011" t="str">
        <f>"A"</f>
        <v>A</v>
      </c>
    </row>
    <row r="5012" spans="1:8" x14ac:dyDescent="0.2">
      <c r="A5012" t="str">
        <f t="shared" si="1846"/>
        <v>0616108510</v>
      </c>
      <c r="B5012" t="str">
        <f t="shared" si="1847"/>
        <v>AIDYNN</v>
      </c>
      <c r="C5012" t="str">
        <f t="shared" si="1848"/>
        <v>ELLIS</v>
      </c>
      <c r="D5012" t="str">
        <f t="shared" si="1849"/>
        <v>09</v>
      </c>
      <c r="E5012" t="str">
        <f>"02 - A - 105 - Elizabeth R Walker"</f>
        <v>02 - A - 105 - Elizabeth R Walker</v>
      </c>
      <c r="F5012" t="str">
        <f>"NC STUDY HALL 1"</f>
        <v>NC STUDY HALL 1</v>
      </c>
      <c r="G5012" t="str">
        <f>"17-1703"</f>
        <v>17-1703</v>
      </c>
      <c r="H5012" t="str">
        <f>"A"</f>
        <v>A</v>
      </c>
    </row>
    <row r="5013" spans="1:8" x14ac:dyDescent="0.2">
      <c r="A5013" t="str">
        <f t="shared" si="1846"/>
        <v>0616108510</v>
      </c>
      <c r="B5013" t="str">
        <f t="shared" si="1847"/>
        <v>AIDYNN</v>
      </c>
      <c r="C5013" t="str">
        <f t="shared" si="1848"/>
        <v>ELLIS</v>
      </c>
      <c r="D5013" t="str">
        <f t="shared" si="1849"/>
        <v>09</v>
      </c>
      <c r="E5013" t="str">
        <f>"07 - B - 207 - Krystal Marie  Beruty"</f>
        <v>07 - B - 207 - Krystal Marie  Beruty</v>
      </c>
      <c r="F5013" t="str">
        <f>"AICE GLBL PERSP 1 AS"</f>
        <v>AICE GLBL PERSP 1 AS</v>
      </c>
      <c r="G5013" t="str">
        <f>"17-1721"</f>
        <v>17-1721</v>
      </c>
      <c r="H5013" t="str">
        <f>"B"</f>
        <v>B</v>
      </c>
    </row>
    <row r="5014" spans="1:8" x14ac:dyDescent="0.2">
      <c r="A5014" t="str">
        <f t="shared" si="1846"/>
        <v>0616108510</v>
      </c>
      <c r="B5014" t="str">
        <f t="shared" si="1847"/>
        <v>AIDYNN</v>
      </c>
      <c r="C5014" t="str">
        <f t="shared" si="1848"/>
        <v>ELLIS</v>
      </c>
      <c r="D5014" t="str">
        <f t="shared" si="1849"/>
        <v>09</v>
      </c>
      <c r="E5014" t="str">
        <f>"05 - B - 205 - Rosa Elaine  Collado-Duff"</f>
        <v>05 - B - 205 - Rosa Elaine  Collado-Duff</v>
      </c>
      <c r="F5014" t="str">
        <f>"PRE-AICE SPAN 2 IG"</f>
        <v>PRE-AICE SPAN 2 IG</v>
      </c>
      <c r="G5014" t="str">
        <f>"09-913"</f>
        <v>09-913</v>
      </c>
      <c r="H5014" t="str">
        <f>"B"</f>
        <v>B</v>
      </c>
    </row>
    <row r="5015" spans="1:8" x14ac:dyDescent="0.2">
      <c r="A5015" t="str">
        <f t="shared" si="1846"/>
        <v>0616108510</v>
      </c>
      <c r="B5015" t="str">
        <f t="shared" si="1847"/>
        <v>AIDYNN</v>
      </c>
      <c r="C5015" t="str">
        <f t="shared" si="1848"/>
        <v>ELLIS</v>
      </c>
      <c r="D5015" t="str">
        <f t="shared" si="1849"/>
        <v>09</v>
      </c>
      <c r="E5015" t="str">
        <f>"01 - A - 101 - Elizabeth R Walker"</f>
        <v>01 - A - 101 - Elizabeth R Walker</v>
      </c>
      <c r="F5015" t="str">
        <f>"AICE ENG GEN PAPER 1"</f>
        <v>AICE ENG GEN PAPER 1</v>
      </c>
      <c r="G5015" t="str">
        <f>"17-1703"</f>
        <v>17-1703</v>
      </c>
      <c r="H5015" t="str">
        <f>"A"</f>
        <v>A</v>
      </c>
    </row>
    <row r="5016" spans="1:8" x14ac:dyDescent="0.2">
      <c r="A5016" t="str">
        <f t="shared" si="1846"/>
        <v>0616108510</v>
      </c>
      <c r="B5016" t="str">
        <f t="shared" si="1847"/>
        <v>AIDYNN</v>
      </c>
      <c r="C5016" t="str">
        <f t="shared" si="1848"/>
        <v>ELLIS</v>
      </c>
      <c r="D5016" t="str">
        <f t="shared" si="1849"/>
        <v>09</v>
      </c>
      <c r="E5016" t="str">
        <f>"08 - B - 107 - Dayna M Foster"</f>
        <v>08 - B - 107 - Dayna M Foster</v>
      </c>
      <c r="F5016" t="str">
        <f>"ALGEBRA 2"</f>
        <v>ALGEBRA 2</v>
      </c>
      <c r="G5016" t="str">
        <f>"21-2109"</f>
        <v>21-2109</v>
      </c>
      <c r="H5016" t="str">
        <f>"B"</f>
        <v>B</v>
      </c>
    </row>
    <row r="5017" spans="1:8" x14ac:dyDescent="0.2">
      <c r="A5017" t="str">
        <f t="shared" ref="A5017:A5025" si="1850">"0623079450"</f>
        <v>0623079450</v>
      </c>
      <c r="B5017" t="str">
        <f t="shared" ref="B5017:B5025" si="1851">"JARIUS"</f>
        <v>JARIUS</v>
      </c>
      <c r="C5017" t="str">
        <f t="shared" si="1848"/>
        <v>ELLIS</v>
      </c>
      <c r="D5017">
        <f>10</f>
        <v>10</v>
      </c>
      <c r="E5017" t="str">
        <f>"19 - S1 - MTWHF - B18 - Instructor BC"</f>
        <v>19 - S1 - MTWHF - B18 - Instructor BC</v>
      </c>
      <c r="F5017" t="str">
        <f>"STATE &amp; LOCAL GOVT"</f>
        <v>STATE &amp; LOCAL GOVT</v>
      </c>
      <c r="G5017" t="str">
        <f>"60-DE"</f>
        <v>60-DE</v>
      </c>
      <c r="H5017" t="str">
        <f>"-"</f>
        <v>-</v>
      </c>
    </row>
    <row r="5018" spans="1:8" x14ac:dyDescent="0.2">
      <c r="A5018" t="str">
        <f t="shared" si="1850"/>
        <v>0623079450</v>
      </c>
      <c r="B5018" t="str">
        <f t="shared" si="1851"/>
        <v>JARIUS</v>
      </c>
      <c r="C5018" t="str">
        <f t="shared" si="1848"/>
        <v>ELLIS</v>
      </c>
      <c r="D5018">
        <f>10</f>
        <v>10</v>
      </c>
      <c r="E5018" t="str">
        <f>"04 - A - 103 - Lourivaldo  Da Silva"</f>
        <v>04 - A - 103 - Lourivaldo  Da Silva</v>
      </c>
      <c r="F5018" t="str">
        <f>"PRE-CALCULUS HON"</f>
        <v>PRE-CALCULUS HON</v>
      </c>
      <c r="G5018" t="str">
        <f>"20-2079"</f>
        <v>20-2079</v>
      </c>
      <c r="H5018" t="str">
        <f>"A"</f>
        <v>A</v>
      </c>
    </row>
    <row r="5019" spans="1:8" x14ac:dyDescent="0.2">
      <c r="A5019" t="str">
        <f t="shared" si="1850"/>
        <v>0623079450</v>
      </c>
      <c r="B5019" t="str">
        <f t="shared" si="1851"/>
        <v>JARIUS</v>
      </c>
      <c r="C5019" t="str">
        <f t="shared" si="1848"/>
        <v>ELLIS</v>
      </c>
      <c r="D5019">
        <f>10</f>
        <v>10</v>
      </c>
      <c r="E5019" t="str">
        <f>"06 - B - 117 - Daniel S Tyson"</f>
        <v>06 - B - 117 - Daniel S Tyson</v>
      </c>
      <c r="F5019" t="str">
        <f>"NC STUDY HALL 1"</f>
        <v>NC STUDY HALL 1</v>
      </c>
      <c r="G5019" t="str">
        <f>"05-510"</f>
        <v>05-510</v>
      </c>
      <c r="H5019" t="str">
        <f>"B"</f>
        <v>B</v>
      </c>
    </row>
    <row r="5020" spans="1:8" x14ac:dyDescent="0.2">
      <c r="A5020" t="str">
        <f t="shared" si="1850"/>
        <v>0623079450</v>
      </c>
      <c r="B5020" t="str">
        <f t="shared" si="1851"/>
        <v>JARIUS</v>
      </c>
      <c r="C5020" t="str">
        <f t="shared" si="1848"/>
        <v>ELLIS</v>
      </c>
      <c r="D5020">
        <f>10</f>
        <v>10</v>
      </c>
      <c r="E5020" t="str">
        <f>"03 - A - 002 - Lenecy  Nodarse"</f>
        <v>03 - A - 002 - Lenecy  Nodarse</v>
      </c>
      <c r="F5020" t="str">
        <f>"AICE EURO HIST 1 AS"</f>
        <v>AICE EURO HIST 1 AS</v>
      </c>
      <c r="G5020" t="str">
        <f>"17-1741"</f>
        <v>17-1741</v>
      </c>
      <c r="H5020" t="str">
        <f>"A"</f>
        <v>A</v>
      </c>
    </row>
    <row r="5021" spans="1:8" x14ac:dyDescent="0.2">
      <c r="A5021" t="str">
        <f t="shared" si="1850"/>
        <v>0623079450</v>
      </c>
      <c r="B5021" t="str">
        <f t="shared" si="1851"/>
        <v>JARIUS</v>
      </c>
      <c r="C5021" t="str">
        <f t="shared" si="1848"/>
        <v>ELLIS</v>
      </c>
      <c r="D5021">
        <f>10</f>
        <v>10</v>
      </c>
      <c r="E5021" t="str">
        <f>"02 - A - 204 - Jacqueline R Morphet"</f>
        <v>02 - A - 204 - Jacqueline R Morphet</v>
      </c>
      <c r="F5021" t="str">
        <f>"PHYSICS 1 HON"</f>
        <v>PHYSICS 1 HON</v>
      </c>
      <c r="G5021" t="str">
        <f>"21-2138"</f>
        <v>21-2138</v>
      </c>
      <c r="H5021" t="str">
        <f>"A"</f>
        <v>A</v>
      </c>
    </row>
    <row r="5022" spans="1:8" x14ac:dyDescent="0.2">
      <c r="A5022" t="str">
        <f t="shared" si="1850"/>
        <v>0623079450</v>
      </c>
      <c r="B5022" t="str">
        <f t="shared" si="1851"/>
        <v>JARIUS</v>
      </c>
      <c r="C5022" t="str">
        <f t="shared" si="1848"/>
        <v>ELLIS</v>
      </c>
      <c r="D5022">
        <f>10</f>
        <v>10</v>
      </c>
      <c r="E5022" t="str">
        <f>"07 - B - 102 - Timothy J Lawrence"</f>
        <v>07 - B - 102 - Timothy J Lawrence</v>
      </c>
      <c r="F5022" t="str">
        <f>"AICE PHYS ED 1 AS"</f>
        <v>AICE PHYS ED 1 AS</v>
      </c>
      <c r="G5022" t="str">
        <f>"05-523"</f>
        <v>05-523</v>
      </c>
      <c r="H5022" t="str">
        <f>"B"</f>
        <v>B</v>
      </c>
    </row>
    <row r="5023" spans="1:8" x14ac:dyDescent="0.2">
      <c r="A5023" t="str">
        <f t="shared" si="1850"/>
        <v>0623079450</v>
      </c>
      <c r="B5023" t="str">
        <f t="shared" si="1851"/>
        <v>JARIUS</v>
      </c>
      <c r="C5023" t="str">
        <f t="shared" si="1848"/>
        <v>ELLIS</v>
      </c>
      <c r="D5023">
        <f>10</f>
        <v>10</v>
      </c>
      <c r="E5023" t="str">
        <f>"05 - B - 106 - Courtney E Hambright"</f>
        <v>05 - B - 106 - Courtney E Hambright</v>
      </c>
      <c r="F5023" t="str">
        <f>"AICE ENG LANG AS"</f>
        <v>AICE ENG LANG AS</v>
      </c>
      <c r="G5023" t="str">
        <f>"17-1711"</f>
        <v>17-1711</v>
      </c>
      <c r="H5023" t="str">
        <f>"B"</f>
        <v>B</v>
      </c>
    </row>
    <row r="5024" spans="1:8" x14ac:dyDescent="0.2">
      <c r="A5024" t="str">
        <f t="shared" si="1850"/>
        <v>0623079450</v>
      </c>
      <c r="B5024" t="str">
        <f t="shared" si="1851"/>
        <v>JARIUS</v>
      </c>
      <c r="C5024" t="str">
        <f t="shared" si="1848"/>
        <v>ELLIS</v>
      </c>
      <c r="D5024">
        <f>10</f>
        <v>10</v>
      </c>
      <c r="E5024" t="str">
        <f>"01 - A - 101 - Nikiel  Nesbeth"</f>
        <v>01 - A - 101 - Nikiel  Nesbeth</v>
      </c>
      <c r="F5024" t="str">
        <f>"CONST LAW HON"</f>
        <v>CONST LAW HON</v>
      </c>
      <c r="G5024" t="str">
        <f>"17-1705"</f>
        <v>17-1705</v>
      </c>
      <c r="H5024" t="str">
        <f>"A"</f>
        <v>A</v>
      </c>
    </row>
    <row r="5025" spans="1:8" x14ac:dyDescent="0.2">
      <c r="A5025" t="str">
        <f t="shared" si="1850"/>
        <v>0623079450</v>
      </c>
      <c r="B5025" t="str">
        <f t="shared" si="1851"/>
        <v>JARIUS</v>
      </c>
      <c r="C5025" t="str">
        <f t="shared" si="1848"/>
        <v>ELLIS</v>
      </c>
      <c r="D5025">
        <f>10</f>
        <v>10</v>
      </c>
      <c r="E5025" t="str">
        <f>"08 - B - 201 - Stacey A Blecker"</f>
        <v>08 - B - 201 - Stacey A Blecker</v>
      </c>
      <c r="F5025" t="str">
        <f>"AICE SOCIOLOGY 1 AS"</f>
        <v>AICE SOCIOLOGY 1 AS</v>
      </c>
      <c r="G5025" t="str">
        <f>"09-926"</f>
        <v>09-926</v>
      </c>
      <c r="H5025" t="str">
        <f>"B"</f>
        <v>B</v>
      </c>
    </row>
    <row r="5026" spans="1:8" x14ac:dyDescent="0.2">
      <c r="A5026" t="str">
        <f t="shared" ref="A5026:A5034" si="1852">"0623079459"</f>
        <v>0623079459</v>
      </c>
      <c r="B5026" t="str">
        <f t="shared" ref="B5026:B5034" si="1853">"JEREMIAH"</f>
        <v>JEREMIAH</v>
      </c>
      <c r="C5026" t="str">
        <f t="shared" si="1848"/>
        <v>ELLIS</v>
      </c>
      <c r="D5026">
        <f>10</f>
        <v>10</v>
      </c>
      <c r="E5026" t="str">
        <f>"19 - S1 - MTWHF - B18 - Instructor BC"</f>
        <v>19 - S1 - MTWHF - B18 - Instructor BC</v>
      </c>
      <c r="F5026" t="str">
        <f>"CHEM FOR LIBERAL ARTS"</f>
        <v>CHEM FOR LIBERAL ARTS</v>
      </c>
      <c r="G5026" t="str">
        <f>"60-DE"</f>
        <v>60-DE</v>
      </c>
      <c r="H5026" t="str">
        <f>"-"</f>
        <v>-</v>
      </c>
    </row>
    <row r="5027" spans="1:8" x14ac:dyDescent="0.2">
      <c r="A5027" t="str">
        <f t="shared" si="1852"/>
        <v>0623079459</v>
      </c>
      <c r="B5027" t="str">
        <f t="shared" si="1853"/>
        <v>JEREMIAH</v>
      </c>
      <c r="C5027" t="str">
        <f t="shared" si="1848"/>
        <v>ELLIS</v>
      </c>
      <c r="D5027">
        <f>10</f>
        <v>10</v>
      </c>
      <c r="E5027" t="str">
        <f>"04 - A - 103 - Lourivaldo  Da Silva"</f>
        <v>04 - A - 103 - Lourivaldo  Da Silva</v>
      </c>
      <c r="F5027" t="str">
        <f>"PRE-CALCULUS HON"</f>
        <v>PRE-CALCULUS HON</v>
      </c>
      <c r="G5027" t="str">
        <f>"20-2079"</f>
        <v>20-2079</v>
      </c>
      <c r="H5027" t="str">
        <f>"A"</f>
        <v>A</v>
      </c>
    </row>
    <row r="5028" spans="1:8" x14ac:dyDescent="0.2">
      <c r="A5028" t="str">
        <f t="shared" si="1852"/>
        <v>0623079459</v>
      </c>
      <c r="B5028" t="str">
        <f t="shared" si="1853"/>
        <v>JEREMIAH</v>
      </c>
      <c r="C5028" t="str">
        <f t="shared" si="1848"/>
        <v>ELLIS</v>
      </c>
      <c r="D5028">
        <f>10</f>
        <v>10</v>
      </c>
      <c r="E5028" t="str">
        <f>"06 - B - 113 - Joe  Kilpatrick Jr"</f>
        <v>06 - B - 113 - Joe  Kilpatrick Jr</v>
      </c>
      <c r="F5028" t="str">
        <f>"NC STUDY HALL 1"</f>
        <v>NC STUDY HALL 1</v>
      </c>
      <c r="G5028" t="str">
        <f>"09-912"</f>
        <v>09-912</v>
      </c>
      <c r="H5028" t="str">
        <f>"B"</f>
        <v>B</v>
      </c>
    </row>
    <row r="5029" spans="1:8" x14ac:dyDescent="0.2">
      <c r="A5029" t="str">
        <f t="shared" si="1852"/>
        <v>0623079459</v>
      </c>
      <c r="B5029" t="str">
        <f t="shared" si="1853"/>
        <v>JEREMIAH</v>
      </c>
      <c r="C5029" t="str">
        <f t="shared" si="1848"/>
        <v>ELLIS</v>
      </c>
      <c r="D5029">
        <f>10</f>
        <v>10</v>
      </c>
      <c r="E5029" t="str">
        <f>"03 - A - 101 - Jazmin S Fletcher"</f>
        <v>03 - A - 101 - Jazmin S Fletcher</v>
      </c>
      <c r="F5029" t="str">
        <f>"TECH THEA DES&amp;PROD 1"</f>
        <v>TECH THEA DES&amp;PROD 1</v>
      </c>
      <c r="G5029" t="str">
        <f>"09-909"</f>
        <v>09-909</v>
      </c>
      <c r="H5029" t="str">
        <f>"A"</f>
        <v>A</v>
      </c>
    </row>
    <row r="5030" spans="1:8" x14ac:dyDescent="0.2">
      <c r="A5030" t="str">
        <f t="shared" si="1852"/>
        <v>0623079459</v>
      </c>
      <c r="B5030" t="str">
        <f t="shared" si="1853"/>
        <v>JEREMIAH</v>
      </c>
      <c r="C5030" t="str">
        <f t="shared" si="1848"/>
        <v>ELLIS</v>
      </c>
      <c r="D5030">
        <f>10</f>
        <v>10</v>
      </c>
      <c r="E5030" t="str">
        <f>"02 - A - 205 - Emmily A Sarmiento"</f>
        <v>02 - A - 205 - Emmily A Sarmiento</v>
      </c>
      <c r="F5030" t="str">
        <f>"AICE GLBL PERSP 1 AS"</f>
        <v>AICE GLBL PERSP 1 AS</v>
      </c>
      <c r="G5030" t="str">
        <f>"17-1743"</f>
        <v>17-1743</v>
      </c>
      <c r="H5030" t="str">
        <f>"A"</f>
        <v>A</v>
      </c>
    </row>
    <row r="5031" spans="1:8" x14ac:dyDescent="0.2">
      <c r="A5031" t="str">
        <f t="shared" si="1852"/>
        <v>0623079459</v>
      </c>
      <c r="B5031" t="str">
        <f t="shared" si="1853"/>
        <v>JEREMIAH</v>
      </c>
      <c r="C5031" t="str">
        <f t="shared" si="1848"/>
        <v>ELLIS</v>
      </c>
      <c r="D5031">
        <f>10</f>
        <v>10</v>
      </c>
      <c r="E5031" t="str">
        <f>"07 - B - 206 - Cheryl L Beach"</f>
        <v>07 - B - 206 - Cheryl L Beach</v>
      </c>
      <c r="F5031" t="str">
        <f>"AICE ENV MGMNT AS"</f>
        <v>AICE ENV MGMNT AS</v>
      </c>
      <c r="G5031" t="str">
        <f>"08-811"</f>
        <v>08-811</v>
      </c>
      <c r="H5031" t="str">
        <f>"B"</f>
        <v>B</v>
      </c>
    </row>
    <row r="5032" spans="1:8" x14ac:dyDescent="0.2">
      <c r="A5032" t="str">
        <f t="shared" si="1852"/>
        <v>0623079459</v>
      </c>
      <c r="B5032" t="str">
        <f t="shared" si="1853"/>
        <v>JEREMIAH</v>
      </c>
      <c r="C5032" t="str">
        <f t="shared" si="1848"/>
        <v>ELLIS</v>
      </c>
      <c r="D5032">
        <f>10</f>
        <v>10</v>
      </c>
      <c r="E5032" t="str">
        <f>"05 - B - 103 - Josiah I Lacy"</f>
        <v>05 - B - 103 - Josiah I Lacy</v>
      </c>
      <c r="F5032" t="str">
        <f>"PRE-AICE BIO IG"</f>
        <v>PRE-AICE BIO IG</v>
      </c>
      <c r="G5032" t="str">
        <f>"08-801"</f>
        <v>08-801</v>
      </c>
      <c r="H5032" t="str">
        <f>"B"</f>
        <v>B</v>
      </c>
    </row>
    <row r="5033" spans="1:8" x14ac:dyDescent="0.2">
      <c r="A5033" t="str">
        <f t="shared" si="1852"/>
        <v>0623079459</v>
      </c>
      <c r="B5033" t="str">
        <f t="shared" si="1853"/>
        <v>JEREMIAH</v>
      </c>
      <c r="C5033" t="str">
        <f t="shared" si="1848"/>
        <v>ELLIS</v>
      </c>
      <c r="D5033">
        <f>10</f>
        <v>10</v>
      </c>
      <c r="E5033" t="str">
        <f>"01 - A - 101 - Jacquelyn M Neeson"</f>
        <v>01 - A - 101 - Jacquelyn M Neeson</v>
      </c>
      <c r="F5033" t="str">
        <f>"AICE ENG GEN PAPER 1"</f>
        <v>AICE ENG GEN PAPER 1</v>
      </c>
      <c r="G5033" t="str">
        <f>"17-1715"</f>
        <v>17-1715</v>
      </c>
      <c r="H5033" t="str">
        <f>"A"</f>
        <v>A</v>
      </c>
    </row>
    <row r="5034" spans="1:8" x14ac:dyDescent="0.2">
      <c r="A5034" t="str">
        <f t="shared" si="1852"/>
        <v>0623079459</v>
      </c>
      <c r="B5034" t="str">
        <f t="shared" si="1853"/>
        <v>JEREMIAH</v>
      </c>
      <c r="C5034" t="str">
        <f t="shared" si="1848"/>
        <v>ELLIS</v>
      </c>
      <c r="D5034">
        <f>10</f>
        <v>10</v>
      </c>
      <c r="E5034" t="str">
        <f>"08 - B - 102 - Robert H Rindner"</f>
        <v>08 - B - 102 - Robert H Rindner</v>
      </c>
      <c r="F5034" t="str">
        <f>"TV PRODUCTION TECH 1"</f>
        <v>TV PRODUCTION TECH 1</v>
      </c>
      <c r="G5034" t="str">
        <f>"21-2160"</f>
        <v>21-2160</v>
      </c>
      <c r="H5034" t="str">
        <f>"B"</f>
        <v>B</v>
      </c>
    </row>
    <row r="5035" spans="1:8" x14ac:dyDescent="0.2">
      <c r="A5035" t="str">
        <f t="shared" ref="A5035:A5042" si="1854">"0616000594"</f>
        <v>0616000594</v>
      </c>
      <c r="B5035" t="str">
        <f t="shared" ref="B5035:B5042" si="1855">"TAMIA"</f>
        <v>TAMIA</v>
      </c>
      <c r="C5035" t="str">
        <f t="shared" si="1848"/>
        <v>ELLIS</v>
      </c>
      <c r="D5035">
        <f>10</f>
        <v>10</v>
      </c>
      <c r="E5035" t="str">
        <f>"04 - A - 105 - Jacklyn M James"</f>
        <v>04 - A - 105 - Jacklyn M James</v>
      </c>
      <c r="F5035" t="str">
        <f>"AICE ENG LANG AS"</f>
        <v>AICE ENG LANG AS</v>
      </c>
      <c r="G5035" t="str">
        <f>"17-1731"</f>
        <v>17-1731</v>
      </c>
      <c r="H5035" t="str">
        <f>"A"</f>
        <v>A</v>
      </c>
    </row>
    <row r="5036" spans="1:8" x14ac:dyDescent="0.2">
      <c r="A5036" t="str">
        <f t="shared" si="1854"/>
        <v>0616000594</v>
      </c>
      <c r="B5036" t="str">
        <f t="shared" si="1855"/>
        <v>TAMIA</v>
      </c>
      <c r="C5036" t="str">
        <f t="shared" si="1848"/>
        <v>ELLIS</v>
      </c>
      <c r="D5036">
        <f>10</f>
        <v>10</v>
      </c>
      <c r="E5036" t="str">
        <f>"06 - B - 118 - Jeanne M Bermudez"</f>
        <v>06 - B - 118 - Jeanne M Bermudez</v>
      </c>
      <c r="F5036" t="str">
        <f>"NC STUDY HALL 1"</f>
        <v>NC STUDY HALL 1</v>
      </c>
      <c r="G5036" t="str">
        <f>"21-2141"</f>
        <v>21-2141</v>
      </c>
      <c r="H5036" t="str">
        <f>"B"</f>
        <v>B</v>
      </c>
    </row>
    <row r="5037" spans="1:8" x14ac:dyDescent="0.2">
      <c r="A5037" t="str">
        <f t="shared" si="1854"/>
        <v>0616000594</v>
      </c>
      <c r="B5037" t="str">
        <f t="shared" si="1855"/>
        <v>TAMIA</v>
      </c>
      <c r="C5037" t="str">
        <f t="shared" si="1848"/>
        <v>ELLIS</v>
      </c>
      <c r="D5037">
        <f>10</f>
        <v>10</v>
      </c>
      <c r="E5037" t="str">
        <f>"03 - A - 101 - Scott A Dethloff"</f>
        <v>03 - A - 101 - Scott A Dethloff</v>
      </c>
      <c r="F5037" t="str">
        <f>"CHEMISTRY 1 HON"</f>
        <v>CHEMISTRY 1 HON</v>
      </c>
      <c r="G5037" t="str">
        <f>"08-812"</f>
        <v>08-812</v>
      </c>
      <c r="H5037" t="str">
        <f>"A"</f>
        <v>A</v>
      </c>
    </row>
    <row r="5038" spans="1:8" x14ac:dyDescent="0.2">
      <c r="A5038" t="str">
        <f t="shared" si="1854"/>
        <v>0616000594</v>
      </c>
      <c r="B5038" t="str">
        <f t="shared" si="1855"/>
        <v>TAMIA</v>
      </c>
      <c r="C5038" t="str">
        <f t="shared" si="1848"/>
        <v>ELLIS</v>
      </c>
      <c r="D5038">
        <f>10</f>
        <v>10</v>
      </c>
      <c r="E5038" t="str">
        <f>"02 - A - 103 - Lenecy  Nodarse"</f>
        <v>02 - A - 103 - Lenecy  Nodarse</v>
      </c>
      <c r="F5038" t="str">
        <f>"AICE EURO HIST 1 AS"</f>
        <v>AICE EURO HIST 1 AS</v>
      </c>
      <c r="G5038" t="str">
        <f>"17-1741"</f>
        <v>17-1741</v>
      </c>
      <c r="H5038" t="str">
        <f>"A"</f>
        <v>A</v>
      </c>
    </row>
    <row r="5039" spans="1:8" x14ac:dyDescent="0.2">
      <c r="A5039" t="str">
        <f t="shared" si="1854"/>
        <v>0616000594</v>
      </c>
      <c r="B5039" t="str">
        <f t="shared" si="1855"/>
        <v>TAMIA</v>
      </c>
      <c r="C5039" t="str">
        <f t="shared" si="1848"/>
        <v>ELLIS</v>
      </c>
      <c r="D5039">
        <f>10</f>
        <v>10</v>
      </c>
      <c r="E5039" t="str">
        <f>"07 - B - 102 - Lourivaldo  Da Silva"</f>
        <v>07 - B - 102 - Lourivaldo  Da Silva</v>
      </c>
      <c r="F5039" t="str">
        <f>"ALGEBRA 2 HON"</f>
        <v>ALGEBRA 2 HON</v>
      </c>
      <c r="G5039" t="str">
        <f>"20-2079"</f>
        <v>20-2079</v>
      </c>
      <c r="H5039" t="str">
        <f>"B"</f>
        <v>B</v>
      </c>
    </row>
    <row r="5040" spans="1:8" x14ac:dyDescent="0.2">
      <c r="A5040" t="str">
        <f t="shared" si="1854"/>
        <v>0616000594</v>
      </c>
      <c r="B5040" t="str">
        <f t="shared" si="1855"/>
        <v>TAMIA</v>
      </c>
      <c r="C5040" t="str">
        <f t="shared" si="1848"/>
        <v>ELLIS</v>
      </c>
      <c r="D5040">
        <f>10</f>
        <v>10</v>
      </c>
      <c r="E5040" t="str">
        <f>"05 - B - 202 - Daniel S Katz"</f>
        <v>05 - B - 202 - Daniel S Katz</v>
      </c>
      <c r="F5040" t="str">
        <f>"EXEC INTERN 3 LH"</f>
        <v>EXEC INTERN 3 LH</v>
      </c>
      <c r="G5040" t="str">
        <f>"21-2156"</f>
        <v>21-2156</v>
      </c>
      <c r="H5040" t="str">
        <f>"B"</f>
        <v>B</v>
      </c>
    </row>
    <row r="5041" spans="1:8" x14ac:dyDescent="0.2">
      <c r="A5041" t="str">
        <f t="shared" si="1854"/>
        <v>0616000594</v>
      </c>
      <c r="B5041" t="str">
        <f t="shared" si="1855"/>
        <v>TAMIA</v>
      </c>
      <c r="C5041" t="str">
        <f t="shared" si="1848"/>
        <v>ELLIS</v>
      </c>
      <c r="D5041">
        <f>10</f>
        <v>10</v>
      </c>
      <c r="E5041" t="str">
        <f>"01 - A - 101 - Arthur  Kulawik"</f>
        <v>01 - A - 101 - Arthur  Kulawik</v>
      </c>
      <c r="F5041" t="str">
        <f>"DEBATE 1 LH"</f>
        <v>DEBATE 1 LH</v>
      </c>
      <c r="G5041" t="str">
        <f>"05-506"</f>
        <v>05-506</v>
      </c>
      <c r="H5041" t="str">
        <f>"A"</f>
        <v>A</v>
      </c>
    </row>
    <row r="5042" spans="1:8" x14ac:dyDescent="0.2">
      <c r="A5042" t="str">
        <f t="shared" si="1854"/>
        <v>0616000594</v>
      </c>
      <c r="B5042" t="str">
        <f t="shared" si="1855"/>
        <v>TAMIA</v>
      </c>
      <c r="C5042" t="str">
        <f t="shared" si="1848"/>
        <v>ELLIS</v>
      </c>
      <c r="D5042">
        <f>10</f>
        <v>10</v>
      </c>
      <c r="E5042" t="str">
        <f>"08 - B - 206 - Daniel S Katz"</f>
        <v>08 - B - 206 - Daniel S Katz</v>
      </c>
      <c r="F5042" t="str">
        <f>"AICE MEDIASTUDIES AS"</f>
        <v>AICE MEDIASTUDIES AS</v>
      </c>
      <c r="G5042" t="str">
        <f>"05-521"</f>
        <v>05-521</v>
      </c>
      <c r="H5042" t="str">
        <f>"B"</f>
        <v>B</v>
      </c>
    </row>
    <row r="5043" spans="1:8" x14ac:dyDescent="0.2">
      <c r="A5043" t="str">
        <f t="shared" ref="A5043:A5051" si="1856">"0615084874"</f>
        <v>0615084874</v>
      </c>
      <c r="B5043" t="str">
        <f t="shared" ref="B5043:B5051" si="1857">"TATYANNA"</f>
        <v>TATYANNA</v>
      </c>
      <c r="C5043" t="str">
        <f t="shared" si="1848"/>
        <v>ELLIS</v>
      </c>
      <c r="D5043">
        <f>10</f>
        <v>10</v>
      </c>
      <c r="E5043" t="str">
        <f>"04 - A - 103 - Joe  Kilpatrick Jr"</f>
        <v>04 - A - 103 - Joe  Kilpatrick Jr</v>
      </c>
      <c r="F5043" t="str">
        <f>"PRE-AICE SPAN 1 IG"</f>
        <v>PRE-AICE SPAN 1 IG</v>
      </c>
      <c r="G5043" t="str">
        <f>"09-912"</f>
        <v>09-912</v>
      </c>
      <c r="H5043" t="str">
        <f>"A"</f>
        <v>A</v>
      </c>
    </row>
    <row r="5044" spans="1:8" x14ac:dyDescent="0.2">
      <c r="A5044" t="str">
        <f t="shared" si="1856"/>
        <v>0615084874</v>
      </c>
      <c r="B5044" t="str">
        <f t="shared" si="1857"/>
        <v>TATYANNA</v>
      </c>
      <c r="C5044" t="str">
        <f t="shared" si="1848"/>
        <v>ELLIS</v>
      </c>
      <c r="D5044">
        <f>10</f>
        <v>10</v>
      </c>
      <c r="E5044" t="str">
        <f>"06 - B - 107 - Dorothy D Moore"</f>
        <v>06 - B - 107 - Dorothy D Moore</v>
      </c>
      <c r="F5044" t="str">
        <f>"NC STUDY HALL 1"</f>
        <v>NC STUDY HALL 1</v>
      </c>
      <c r="G5044" t="str">
        <f>"08-803"</f>
        <v>08-803</v>
      </c>
      <c r="H5044" t="str">
        <f>"B"</f>
        <v>B</v>
      </c>
    </row>
    <row r="5045" spans="1:8" x14ac:dyDescent="0.2">
      <c r="A5045" t="str">
        <f t="shared" si="1856"/>
        <v>0615084874</v>
      </c>
      <c r="B5045" t="str">
        <f t="shared" si="1857"/>
        <v>TATYANNA</v>
      </c>
      <c r="C5045" t="str">
        <f t="shared" si="1848"/>
        <v>ELLIS</v>
      </c>
      <c r="D5045">
        <f>10</f>
        <v>10</v>
      </c>
      <c r="E5045" t="str">
        <f>"06 - B - 106 - Eric  Lopapa"</f>
        <v>06 - B - 106 - Eric  Lopapa</v>
      </c>
      <c r="F5045" t="str">
        <f>"SPEECH THRPY"</f>
        <v>SPEECH THRPY</v>
      </c>
      <c r="G5045" t="str">
        <f>"21-2110"</f>
        <v>21-2110</v>
      </c>
      <c r="H5045" t="str">
        <f>"B"</f>
        <v>B</v>
      </c>
    </row>
    <row r="5046" spans="1:8" x14ac:dyDescent="0.2">
      <c r="A5046" t="str">
        <f t="shared" si="1856"/>
        <v>0615084874</v>
      </c>
      <c r="B5046" t="str">
        <f t="shared" si="1857"/>
        <v>TATYANNA</v>
      </c>
      <c r="C5046" t="str">
        <f t="shared" si="1848"/>
        <v>ELLIS</v>
      </c>
      <c r="D5046">
        <f>10</f>
        <v>10</v>
      </c>
      <c r="E5046" t="str">
        <f>"03 - A - 105 - Elizabeth Ellen  Moran"</f>
        <v>03 - A - 105 - Elizabeth Ellen  Moran</v>
      </c>
      <c r="F5046" t="str">
        <f>"WORLD HISTORY"</f>
        <v>WORLD HISTORY</v>
      </c>
      <c r="G5046" t="str">
        <f>"17-1752"</f>
        <v>17-1752</v>
      </c>
      <c r="H5046" t="str">
        <f>"A"</f>
        <v>A</v>
      </c>
    </row>
    <row r="5047" spans="1:8" x14ac:dyDescent="0.2">
      <c r="A5047" t="str">
        <f t="shared" si="1856"/>
        <v>0615084874</v>
      </c>
      <c r="B5047" t="str">
        <f t="shared" si="1857"/>
        <v>TATYANNA</v>
      </c>
      <c r="C5047" t="str">
        <f t="shared" si="1848"/>
        <v>ELLIS</v>
      </c>
      <c r="D5047">
        <f>10</f>
        <v>10</v>
      </c>
      <c r="E5047" t="str">
        <f>"02 - A - 102 - Adam Marcus  Drucker"</f>
        <v>02 - A - 102 - Adam Marcus  Drucker</v>
      </c>
      <c r="F5047" t="str">
        <f>"HOPE-PE V"</f>
        <v>HOPE-PE V</v>
      </c>
      <c r="G5047" t="str">
        <f>"04-254"</f>
        <v>04-254</v>
      </c>
      <c r="H5047" t="str">
        <f>"A"</f>
        <v>A</v>
      </c>
    </row>
    <row r="5048" spans="1:8" x14ac:dyDescent="0.2">
      <c r="A5048" t="str">
        <f t="shared" si="1856"/>
        <v>0615084874</v>
      </c>
      <c r="B5048" t="str">
        <f t="shared" si="1857"/>
        <v>TATYANNA</v>
      </c>
      <c r="C5048" t="str">
        <f t="shared" si="1848"/>
        <v>ELLIS</v>
      </c>
      <c r="D5048">
        <f>10</f>
        <v>10</v>
      </c>
      <c r="E5048" t="str">
        <f>"07 - B - 107 - Marius D Orsolini"</f>
        <v>07 - B - 107 - Marius D Orsolini</v>
      </c>
      <c r="F5048" t="str">
        <f>"CULINARY ARTS 1"</f>
        <v>CULINARY ARTS 1</v>
      </c>
      <c r="G5048" t="str">
        <f>"21-2115"</f>
        <v>21-2115</v>
      </c>
      <c r="H5048" t="str">
        <f>"B"</f>
        <v>B</v>
      </c>
    </row>
    <row r="5049" spans="1:8" x14ac:dyDescent="0.2">
      <c r="A5049" t="str">
        <f t="shared" si="1856"/>
        <v>0615084874</v>
      </c>
      <c r="B5049" t="str">
        <f t="shared" si="1857"/>
        <v>TATYANNA</v>
      </c>
      <c r="C5049" t="str">
        <f t="shared" si="1848"/>
        <v>ELLIS</v>
      </c>
      <c r="D5049">
        <f>10</f>
        <v>10</v>
      </c>
      <c r="E5049" t="str">
        <f>"05 - B - 207 - Marielle A Witting"</f>
        <v>05 - B - 207 - Marielle A Witting</v>
      </c>
      <c r="F5049" t="str">
        <f>"ANAT PHYSIO"</f>
        <v>ANAT PHYSIO</v>
      </c>
      <c r="G5049" t="str">
        <f>"08-805"</f>
        <v>08-805</v>
      </c>
      <c r="H5049" t="str">
        <f>"B"</f>
        <v>B</v>
      </c>
    </row>
    <row r="5050" spans="1:8" x14ac:dyDescent="0.2">
      <c r="A5050" t="str">
        <f t="shared" si="1856"/>
        <v>0615084874</v>
      </c>
      <c r="B5050" t="str">
        <f t="shared" si="1857"/>
        <v>TATYANNA</v>
      </c>
      <c r="C5050" t="str">
        <f t="shared" si="1848"/>
        <v>ELLIS</v>
      </c>
      <c r="D5050">
        <f>10</f>
        <v>10</v>
      </c>
      <c r="E5050" t="str">
        <f>"01 - A - 104 - Milca  Exantus"</f>
        <v>01 - A - 104 - Milca  Exantus</v>
      </c>
      <c r="F5050" t="str">
        <f>"MATH COLLEGE LIB ART"</f>
        <v>MATH COLLEGE LIB ART</v>
      </c>
      <c r="G5050" t="str">
        <f>"21-2145"</f>
        <v>21-2145</v>
      </c>
      <c r="H5050" t="str">
        <f>"A"</f>
        <v>A</v>
      </c>
    </row>
    <row r="5051" spans="1:8" x14ac:dyDescent="0.2">
      <c r="A5051" t="str">
        <f t="shared" si="1856"/>
        <v>0615084874</v>
      </c>
      <c r="B5051" t="str">
        <f t="shared" si="1857"/>
        <v>TATYANNA</v>
      </c>
      <c r="C5051" t="str">
        <f t="shared" si="1848"/>
        <v>ELLIS</v>
      </c>
      <c r="D5051">
        <f>10</f>
        <v>10</v>
      </c>
      <c r="E5051" t="str">
        <f>"08 - B - 109 - Nikiel  Nesbeth"</f>
        <v>08 - B - 109 - Nikiel  Nesbeth</v>
      </c>
      <c r="F5051" t="str">
        <f>"ENG 2"</f>
        <v>ENG 2</v>
      </c>
      <c r="G5051" t="str">
        <f>"17-1705"</f>
        <v>17-1705</v>
      </c>
      <c r="H5051" t="str">
        <f>"B"</f>
        <v>B</v>
      </c>
    </row>
    <row r="5052" spans="1:8" x14ac:dyDescent="0.2">
      <c r="A5052" t="str">
        <f t="shared" ref="A5052:A5059" si="1858">"0623049915"</f>
        <v>0623049915</v>
      </c>
      <c r="B5052" t="str">
        <f t="shared" ref="B5052:B5059" si="1859">"COLE"</f>
        <v>COLE</v>
      </c>
      <c r="C5052" t="str">
        <f t="shared" ref="C5052:C5067" si="1860">"ELZEA"</f>
        <v>ELZEA</v>
      </c>
      <c r="D5052" t="str">
        <f t="shared" ref="D5052:D5059" si="1861">"09"</f>
        <v>09</v>
      </c>
      <c r="E5052" t="str">
        <f>"04 - A - 102 - Elizabeth R Walker"</f>
        <v>04 - A - 102 - Elizabeth R Walker</v>
      </c>
      <c r="F5052" t="str">
        <f>"AICE ENG GEN PAPER 1"</f>
        <v>AICE ENG GEN PAPER 1</v>
      </c>
      <c r="G5052" t="str">
        <f>"17-1703"</f>
        <v>17-1703</v>
      </c>
      <c r="H5052" t="str">
        <f>"A"</f>
        <v>A</v>
      </c>
    </row>
    <row r="5053" spans="1:8" x14ac:dyDescent="0.2">
      <c r="A5053" t="str">
        <f t="shared" si="1858"/>
        <v>0623049915</v>
      </c>
      <c r="B5053" t="str">
        <f t="shared" si="1859"/>
        <v>COLE</v>
      </c>
      <c r="C5053" t="str">
        <f t="shared" si="1860"/>
        <v>ELZEA</v>
      </c>
      <c r="D5053" t="str">
        <f t="shared" si="1861"/>
        <v>09</v>
      </c>
      <c r="E5053" t="str">
        <f>"06 - B - 106 - Marius D Orsolini"</f>
        <v>06 - B - 106 - Marius D Orsolini</v>
      </c>
      <c r="F5053" t="str">
        <f>"CULINARY ARTS 1"</f>
        <v>CULINARY ARTS 1</v>
      </c>
      <c r="G5053" t="str">
        <f>"21-2115"</f>
        <v>21-2115</v>
      </c>
      <c r="H5053" t="str">
        <f>"B"</f>
        <v>B</v>
      </c>
    </row>
    <row r="5054" spans="1:8" x14ac:dyDescent="0.2">
      <c r="A5054" t="str">
        <f t="shared" si="1858"/>
        <v>0623049915</v>
      </c>
      <c r="B5054" t="str">
        <f t="shared" si="1859"/>
        <v>COLE</v>
      </c>
      <c r="C5054" t="str">
        <f t="shared" si="1860"/>
        <v>ELZEA</v>
      </c>
      <c r="D5054" t="str">
        <f t="shared" si="1861"/>
        <v>09</v>
      </c>
      <c r="E5054" t="str">
        <f>"03 - A - 001 - Maried P Ramos"</f>
        <v>03 - A - 001 - Maried P Ramos</v>
      </c>
      <c r="F5054" t="str">
        <f>"PRE-AICE MATH 2 IG"</f>
        <v>PRE-AICE MATH 2 IG</v>
      </c>
      <c r="G5054" t="str">
        <f>"21-2159"</f>
        <v>21-2159</v>
      </c>
      <c r="H5054" t="str">
        <f>"A"</f>
        <v>A</v>
      </c>
    </row>
    <row r="5055" spans="1:8" x14ac:dyDescent="0.2">
      <c r="A5055" t="str">
        <f t="shared" si="1858"/>
        <v>0623049915</v>
      </c>
      <c r="B5055" t="str">
        <f t="shared" si="1859"/>
        <v>COLE</v>
      </c>
      <c r="C5055" t="str">
        <f t="shared" si="1860"/>
        <v>ELZEA</v>
      </c>
      <c r="D5055" t="str">
        <f t="shared" si="1861"/>
        <v>09</v>
      </c>
      <c r="E5055" t="str">
        <f>"02 - A - 111 - Cheryl L Beach"</f>
        <v>02 - A - 111 - Cheryl L Beach</v>
      </c>
      <c r="F5055" t="str">
        <f>"NC STUDY HALL 1"</f>
        <v>NC STUDY HALL 1</v>
      </c>
      <c r="G5055" t="str">
        <f>"08-811"</f>
        <v>08-811</v>
      </c>
      <c r="H5055" t="str">
        <f>"A"</f>
        <v>A</v>
      </c>
    </row>
    <row r="5056" spans="1:8" x14ac:dyDescent="0.2">
      <c r="A5056" t="str">
        <f t="shared" si="1858"/>
        <v>0623049915</v>
      </c>
      <c r="B5056" t="str">
        <f t="shared" si="1859"/>
        <v>COLE</v>
      </c>
      <c r="C5056" t="str">
        <f t="shared" si="1860"/>
        <v>ELZEA</v>
      </c>
      <c r="D5056" t="str">
        <f t="shared" si="1861"/>
        <v>09</v>
      </c>
      <c r="E5056" t="str">
        <f>"07 - B - 002 - Rachel M Montrose"</f>
        <v>07 - B - 002 - Rachel M Montrose</v>
      </c>
      <c r="F5056" t="str">
        <f>"JOURN 1 (NP) LH"</f>
        <v>JOURN 1 (NP) LH</v>
      </c>
      <c r="G5056" t="str">
        <f>"05-521"</f>
        <v>05-521</v>
      </c>
      <c r="H5056" t="str">
        <f>"B"</f>
        <v>B</v>
      </c>
    </row>
    <row r="5057" spans="1:8" x14ac:dyDescent="0.2">
      <c r="A5057" t="str">
        <f t="shared" si="1858"/>
        <v>0623049915</v>
      </c>
      <c r="B5057" t="str">
        <f t="shared" si="1859"/>
        <v>COLE</v>
      </c>
      <c r="C5057" t="str">
        <f t="shared" si="1860"/>
        <v>ELZEA</v>
      </c>
      <c r="D5057" t="str">
        <f t="shared" si="1861"/>
        <v>09</v>
      </c>
      <c r="E5057" t="str">
        <f>"05 - B - 103 - Rory T Sponsler"</f>
        <v>05 - B - 103 - Rory T Sponsler</v>
      </c>
      <c r="F5057" t="str">
        <f>"PRE-AICE WRLD HST IG"</f>
        <v>PRE-AICE WRLD HST IG</v>
      </c>
      <c r="G5057" t="str">
        <f>"17-1740"</f>
        <v>17-1740</v>
      </c>
      <c r="H5057" t="str">
        <f>"B"</f>
        <v>B</v>
      </c>
    </row>
    <row r="5058" spans="1:8" x14ac:dyDescent="0.2">
      <c r="A5058" t="str">
        <f t="shared" si="1858"/>
        <v>0623049915</v>
      </c>
      <c r="B5058" t="str">
        <f t="shared" si="1859"/>
        <v>COLE</v>
      </c>
      <c r="C5058" t="str">
        <f t="shared" si="1860"/>
        <v>ELZEA</v>
      </c>
      <c r="D5058" t="str">
        <f t="shared" si="1861"/>
        <v>09</v>
      </c>
      <c r="E5058" t="str">
        <f>"01 - A - 101 - Josiah I Lacy"</f>
        <v>01 - A - 101 - Josiah I Lacy</v>
      </c>
      <c r="F5058" t="str">
        <f>"PRE-AICE BIO IG"</f>
        <v>PRE-AICE BIO IG</v>
      </c>
      <c r="G5058" t="str">
        <f>"08-801"</f>
        <v>08-801</v>
      </c>
      <c r="H5058" t="str">
        <f>"A"</f>
        <v>A</v>
      </c>
    </row>
    <row r="5059" spans="1:8" x14ac:dyDescent="0.2">
      <c r="A5059" t="str">
        <f t="shared" si="1858"/>
        <v>0623049915</v>
      </c>
      <c r="B5059" t="str">
        <f t="shared" si="1859"/>
        <v>COLE</v>
      </c>
      <c r="C5059" t="str">
        <f t="shared" si="1860"/>
        <v>ELZEA</v>
      </c>
      <c r="D5059" t="str">
        <f t="shared" si="1861"/>
        <v>09</v>
      </c>
      <c r="E5059" t="str">
        <f>"08 - S1 - B - 104 - Leslie J Barton"</f>
        <v>08 - S1 - B - 104 - Leslie J Barton</v>
      </c>
      <c r="F5059" t="str">
        <f>"TEAM SPORTS 1"</f>
        <v>TEAM SPORTS 1</v>
      </c>
      <c r="G5059" t="str">
        <f>"04-254"</f>
        <v>04-254</v>
      </c>
      <c r="H5059" t="str">
        <f>"B"</f>
        <v>B</v>
      </c>
    </row>
    <row r="5060" spans="1:8" x14ac:dyDescent="0.2">
      <c r="A5060" t="str">
        <f t="shared" ref="A5060:A5067" si="1862">"0622125586"</f>
        <v>0622125586</v>
      </c>
      <c r="B5060" t="str">
        <f t="shared" ref="B5060:B5067" si="1863">"HAZEL"</f>
        <v>HAZEL</v>
      </c>
      <c r="C5060" t="str">
        <f t="shared" si="1860"/>
        <v>ELZEA</v>
      </c>
      <c r="D5060">
        <f>11</f>
        <v>11</v>
      </c>
      <c r="E5060" t="str">
        <f>"04 - A - 103 - Cliffon  Saurel"</f>
        <v>04 - A - 103 - Cliffon  Saurel</v>
      </c>
      <c r="F5060" t="str">
        <f>"PHYSICAL SCI"</f>
        <v>PHYSICAL SCI</v>
      </c>
      <c r="G5060" t="str">
        <f>"05-522"</f>
        <v>05-522</v>
      </c>
      <c r="H5060" t="str">
        <f>"A"</f>
        <v>A</v>
      </c>
    </row>
    <row r="5061" spans="1:8" x14ac:dyDescent="0.2">
      <c r="A5061" t="str">
        <f t="shared" si="1862"/>
        <v>0622125586</v>
      </c>
      <c r="B5061" t="str">
        <f t="shared" si="1863"/>
        <v>HAZEL</v>
      </c>
      <c r="C5061" t="str">
        <f t="shared" si="1860"/>
        <v>ELZEA</v>
      </c>
      <c r="D5061">
        <f>11</f>
        <v>11</v>
      </c>
      <c r="E5061" t="str">
        <f>"06 - B - 104 - Nahum  Saint-Preux"</f>
        <v>06 - B - 104 - Nahum  Saint-Preux</v>
      </c>
      <c r="F5061" t="str">
        <f>"INTENS READ 3"</f>
        <v>INTENS READ 3</v>
      </c>
      <c r="G5061" t="str">
        <f>"17-1712"</f>
        <v>17-1712</v>
      </c>
      <c r="H5061" t="str">
        <f>"B"</f>
        <v>B</v>
      </c>
    </row>
    <row r="5062" spans="1:8" x14ac:dyDescent="0.2">
      <c r="A5062" t="str">
        <f t="shared" si="1862"/>
        <v>0622125586</v>
      </c>
      <c r="B5062" t="str">
        <f t="shared" si="1863"/>
        <v>HAZEL</v>
      </c>
      <c r="C5062" t="str">
        <f t="shared" si="1860"/>
        <v>ELZEA</v>
      </c>
      <c r="D5062">
        <f>11</f>
        <v>11</v>
      </c>
      <c r="E5062" t="str">
        <f>"03 - A - 102 - Lisa  Quinn"</f>
        <v>03 - A - 102 - Lisa  Quinn</v>
      </c>
      <c r="F5062" t="str">
        <f>"ENG 3"</f>
        <v>ENG 3</v>
      </c>
      <c r="G5062" t="str">
        <f>"17-1725"</f>
        <v>17-1725</v>
      </c>
      <c r="H5062" t="str">
        <f>"A"</f>
        <v>A</v>
      </c>
    </row>
    <row r="5063" spans="1:8" x14ac:dyDescent="0.2">
      <c r="A5063" t="str">
        <f t="shared" si="1862"/>
        <v>0622125586</v>
      </c>
      <c r="B5063" t="str">
        <f t="shared" si="1863"/>
        <v>HAZEL</v>
      </c>
      <c r="C5063" t="str">
        <f t="shared" si="1860"/>
        <v>ELZEA</v>
      </c>
      <c r="D5063">
        <f>11</f>
        <v>11</v>
      </c>
      <c r="E5063" t="str">
        <f>"02 - A - 106 - Heidi M Knopp"</f>
        <v>02 - A - 106 - Heidi M Knopp</v>
      </c>
      <c r="F5063" t="str">
        <f>"NC STUDY HALL 1"</f>
        <v>NC STUDY HALL 1</v>
      </c>
      <c r="G5063" t="str">
        <f>"17-1735"</f>
        <v>17-1735</v>
      </c>
      <c r="H5063" t="str">
        <f>"A"</f>
        <v>A</v>
      </c>
    </row>
    <row r="5064" spans="1:8" x14ac:dyDescent="0.2">
      <c r="A5064" t="str">
        <f t="shared" si="1862"/>
        <v>0622125586</v>
      </c>
      <c r="B5064" t="str">
        <f t="shared" si="1863"/>
        <v>HAZEL</v>
      </c>
      <c r="C5064" t="str">
        <f t="shared" si="1860"/>
        <v>ELZEA</v>
      </c>
      <c r="D5064">
        <f>11</f>
        <v>11</v>
      </c>
      <c r="E5064" t="str">
        <f>"07 - B - 101 - Bruce A Evans"</f>
        <v>07 - B - 101 - Bruce A Evans</v>
      </c>
      <c r="F5064" t="str">
        <f>"FIREFIGHTING 1 LH"</f>
        <v>FIREFIGHTING 1 LH</v>
      </c>
      <c r="G5064" t="str">
        <f>"21-2142"</f>
        <v>21-2142</v>
      </c>
      <c r="H5064" t="str">
        <f>"B"</f>
        <v>B</v>
      </c>
    </row>
    <row r="5065" spans="1:8" x14ac:dyDescent="0.2">
      <c r="A5065" t="str">
        <f t="shared" si="1862"/>
        <v>0622125586</v>
      </c>
      <c r="B5065" t="str">
        <f t="shared" si="1863"/>
        <v>HAZEL</v>
      </c>
      <c r="C5065" t="str">
        <f t="shared" si="1860"/>
        <v>ELZEA</v>
      </c>
      <c r="D5065">
        <f>11</f>
        <v>11</v>
      </c>
      <c r="E5065" t="str">
        <f>"05 - B - 109 - Ferrie J Arostique"</f>
        <v>05 - B - 109 - Ferrie J Arostique</v>
      </c>
      <c r="F5065" t="str">
        <f>"GEOMETRY"</f>
        <v>GEOMETRY</v>
      </c>
      <c r="G5065" t="str">
        <f>"21-2139"</f>
        <v>21-2139</v>
      </c>
      <c r="H5065" t="str">
        <f>"B"</f>
        <v>B</v>
      </c>
    </row>
    <row r="5066" spans="1:8" x14ac:dyDescent="0.2">
      <c r="A5066" t="str">
        <f t="shared" si="1862"/>
        <v>0622125586</v>
      </c>
      <c r="B5066" t="str">
        <f t="shared" si="1863"/>
        <v>HAZEL</v>
      </c>
      <c r="C5066" t="str">
        <f t="shared" si="1860"/>
        <v>ELZEA</v>
      </c>
      <c r="D5066">
        <f>11</f>
        <v>11</v>
      </c>
      <c r="E5066" t="str">
        <f>"01 - A - 101 - Kyle  Robbins"</f>
        <v>01 - A - 101 - Kyle  Robbins</v>
      </c>
      <c r="F5066" t="str">
        <f>"US HISTORY"</f>
        <v>US HISTORY</v>
      </c>
      <c r="G5066" t="str">
        <f>"17-1745"</f>
        <v>17-1745</v>
      </c>
      <c r="H5066" t="str">
        <f>"A"</f>
        <v>A</v>
      </c>
    </row>
    <row r="5067" spans="1:8" x14ac:dyDescent="0.2">
      <c r="A5067" t="str">
        <f t="shared" si="1862"/>
        <v>0622125586</v>
      </c>
      <c r="B5067" t="str">
        <f t="shared" si="1863"/>
        <v>HAZEL</v>
      </c>
      <c r="C5067" t="str">
        <f t="shared" si="1860"/>
        <v>ELZEA</v>
      </c>
      <c r="D5067">
        <f>11</f>
        <v>11</v>
      </c>
      <c r="E5067" t="str">
        <f>"08 - B - 103 - Joe  Kilpatrick Jr"</f>
        <v>08 - B - 103 - Joe  Kilpatrick Jr</v>
      </c>
      <c r="F5067" t="str">
        <f>"PRE-AICE SPAN 2 IG"</f>
        <v>PRE-AICE SPAN 2 IG</v>
      </c>
      <c r="G5067" t="str">
        <f>"09-912"</f>
        <v>09-912</v>
      </c>
      <c r="H5067" t="str">
        <f>"B"</f>
        <v>B</v>
      </c>
    </row>
    <row r="5068" spans="1:8" x14ac:dyDescent="0.2">
      <c r="A5068" t="str">
        <f t="shared" ref="A5068:A5075" si="1864">"0614091523"</f>
        <v>0614091523</v>
      </c>
      <c r="B5068" t="str">
        <f t="shared" ref="B5068:B5075" si="1865">"CODY"</f>
        <v>CODY</v>
      </c>
      <c r="C5068" t="str">
        <f t="shared" ref="C5068:C5075" si="1866">"EMERSON"</f>
        <v>EMERSON</v>
      </c>
      <c r="D5068">
        <f>11</f>
        <v>11</v>
      </c>
      <c r="E5068" t="str">
        <f>"04 - A - 101 - Stephen T Ripp"</f>
        <v>04 - A - 101 - Stephen T Ripp</v>
      </c>
      <c r="F5068" t="str">
        <f>"AP U.S. HIST"</f>
        <v>AP U.S. HIST</v>
      </c>
      <c r="G5068" t="str">
        <f>"17-1744"</f>
        <v>17-1744</v>
      </c>
      <c r="H5068" t="str">
        <f>"A"</f>
        <v>A</v>
      </c>
    </row>
    <row r="5069" spans="1:8" x14ac:dyDescent="0.2">
      <c r="A5069" t="str">
        <f t="shared" si="1864"/>
        <v>0614091523</v>
      </c>
      <c r="B5069" t="str">
        <f t="shared" si="1865"/>
        <v>CODY</v>
      </c>
      <c r="C5069" t="str">
        <f t="shared" si="1866"/>
        <v>EMERSON</v>
      </c>
      <c r="D5069">
        <f>11</f>
        <v>11</v>
      </c>
      <c r="E5069" t="str">
        <f>"06 - B - 206 - Jacqueline R Morphet"</f>
        <v>06 - B - 206 - Jacqueline R Morphet</v>
      </c>
      <c r="F5069" t="str">
        <f>"PHYSICS 1 HON"</f>
        <v>PHYSICS 1 HON</v>
      </c>
      <c r="G5069" t="str">
        <f>"21-2138"</f>
        <v>21-2138</v>
      </c>
      <c r="H5069" t="str">
        <f>"B"</f>
        <v>B</v>
      </c>
    </row>
    <row r="5070" spans="1:8" x14ac:dyDescent="0.2">
      <c r="A5070" t="str">
        <f t="shared" si="1864"/>
        <v>0614091523</v>
      </c>
      <c r="B5070" t="str">
        <f t="shared" si="1865"/>
        <v>CODY</v>
      </c>
      <c r="C5070" t="str">
        <f t="shared" si="1866"/>
        <v>EMERSON</v>
      </c>
      <c r="D5070">
        <f>11</f>
        <v>11</v>
      </c>
      <c r="E5070" t="str">
        <f>"03 - A - 101 - Brian M Fitzgerald"</f>
        <v>03 - A - 101 - Brian M Fitzgerald</v>
      </c>
      <c r="F5070" t="str">
        <f>"SCULPT 1"</f>
        <v>SCULPT 1</v>
      </c>
      <c r="G5070" t="str">
        <f>"09-908"</f>
        <v>09-908</v>
      </c>
      <c r="H5070" t="str">
        <f>"A"</f>
        <v>A</v>
      </c>
    </row>
    <row r="5071" spans="1:8" x14ac:dyDescent="0.2">
      <c r="A5071" t="str">
        <f t="shared" si="1864"/>
        <v>0614091523</v>
      </c>
      <c r="B5071" t="str">
        <f t="shared" si="1865"/>
        <v>CODY</v>
      </c>
      <c r="C5071" t="str">
        <f t="shared" si="1866"/>
        <v>EMERSON</v>
      </c>
      <c r="D5071">
        <f>11</f>
        <v>11</v>
      </c>
      <c r="E5071" t="str">
        <f>"02 - A - 109 - Daniel S Katz"</f>
        <v>02 - A - 109 - Daniel S Katz</v>
      </c>
      <c r="F5071" t="str">
        <f>"NC STUDY HALL 1"</f>
        <v>NC STUDY HALL 1</v>
      </c>
      <c r="G5071" t="str">
        <f>"21-2156"</f>
        <v>21-2156</v>
      </c>
      <c r="H5071" t="str">
        <f>"A"</f>
        <v>A</v>
      </c>
    </row>
    <row r="5072" spans="1:8" x14ac:dyDescent="0.2">
      <c r="A5072" t="str">
        <f t="shared" si="1864"/>
        <v>0614091523</v>
      </c>
      <c r="B5072" t="str">
        <f t="shared" si="1865"/>
        <v>CODY</v>
      </c>
      <c r="C5072" t="str">
        <f t="shared" si="1866"/>
        <v>EMERSON</v>
      </c>
      <c r="D5072">
        <f>11</f>
        <v>11</v>
      </c>
      <c r="E5072" t="str">
        <f>"07 - B - 103 - Lisa J London"</f>
        <v>07 - B - 103 - Lisa J London</v>
      </c>
      <c r="F5072" t="str">
        <f>"AP CAPSTONE SEMINAR"</f>
        <v>AP CAPSTONE SEMINAR</v>
      </c>
      <c r="G5072" t="str">
        <f>"17-1714"</f>
        <v>17-1714</v>
      </c>
      <c r="H5072" t="str">
        <f>"B"</f>
        <v>B</v>
      </c>
    </row>
    <row r="5073" spans="1:8" x14ac:dyDescent="0.2">
      <c r="A5073" t="str">
        <f t="shared" si="1864"/>
        <v>0614091523</v>
      </c>
      <c r="B5073" t="str">
        <f t="shared" si="1865"/>
        <v>CODY</v>
      </c>
      <c r="C5073" t="str">
        <f t="shared" si="1866"/>
        <v>EMERSON</v>
      </c>
      <c r="D5073">
        <f>11</f>
        <v>11</v>
      </c>
      <c r="E5073" t="str">
        <f>"05 - B - 104 - Lourivaldo  Da Silva"</f>
        <v>05 - B - 104 - Lourivaldo  Da Silva</v>
      </c>
      <c r="F5073" t="str">
        <f>"PRE-CALCULUS HON"</f>
        <v>PRE-CALCULUS HON</v>
      </c>
      <c r="G5073" t="str">
        <f>"20-2079"</f>
        <v>20-2079</v>
      </c>
      <c r="H5073" t="str">
        <f>"B"</f>
        <v>B</v>
      </c>
    </row>
    <row r="5074" spans="1:8" x14ac:dyDescent="0.2">
      <c r="A5074" t="str">
        <f t="shared" si="1864"/>
        <v>0614091523</v>
      </c>
      <c r="B5074" t="str">
        <f t="shared" si="1865"/>
        <v>CODY</v>
      </c>
      <c r="C5074" t="str">
        <f t="shared" si="1866"/>
        <v>EMERSON</v>
      </c>
      <c r="D5074">
        <f>11</f>
        <v>11</v>
      </c>
      <c r="E5074" t="str">
        <f>"01 - A - 101 - Chrystina M Marchionne"</f>
        <v>01 - A - 101 - Chrystina M Marchionne</v>
      </c>
      <c r="F5074" t="str">
        <f>"AICE MEDIA STUDIES A"</f>
        <v>AICE MEDIA STUDIES A</v>
      </c>
      <c r="G5074" t="str">
        <f>"05-520"</f>
        <v>05-520</v>
      </c>
      <c r="H5074" t="str">
        <f>"A"</f>
        <v>A</v>
      </c>
    </row>
    <row r="5075" spans="1:8" x14ac:dyDescent="0.2">
      <c r="A5075" t="str">
        <f t="shared" si="1864"/>
        <v>0614091523</v>
      </c>
      <c r="B5075" t="str">
        <f t="shared" si="1865"/>
        <v>CODY</v>
      </c>
      <c r="C5075" t="str">
        <f t="shared" si="1866"/>
        <v>EMERSON</v>
      </c>
      <c r="D5075">
        <f>11</f>
        <v>11</v>
      </c>
      <c r="E5075" t="str">
        <f>"08 - B - 105 - Brandy N Zdenek"</f>
        <v>08 - B - 105 - Brandy N Zdenek</v>
      </c>
      <c r="F5075" t="str">
        <f>"AICE ENG LANG 2 AL"</f>
        <v>AICE ENG LANG 2 AL</v>
      </c>
      <c r="G5075" t="str">
        <f>"17-1704"</f>
        <v>17-1704</v>
      </c>
      <c r="H5075" t="str">
        <f>"B"</f>
        <v>B</v>
      </c>
    </row>
    <row r="5076" spans="1:8" x14ac:dyDescent="0.2">
      <c r="A5076" t="str">
        <f t="shared" ref="A5076:A5084" si="1867">"0617134285"</f>
        <v>0617134285</v>
      </c>
      <c r="B5076" t="str">
        <f t="shared" ref="B5076:B5084" si="1868">"CAMEREN"</f>
        <v>CAMEREN</v>
      </c>
      <c r="C5076" t="str">
        <f t="shared" ref="C5076:C5100" si="1869">"EMILE"</f>
        <v>EMILE</v>
      </c>
      <c r="D5076">
        <f>10</f>
        <v>10</v>
      </c>
      <c r="E5076" t="str">
        <f>"04 - A - 105 - Jacquelyn M Neeson"</f>
        <v>04 - A - 105 - Jacquelyn M Neeson</v>
      </c>
      <c r="F5076" t="str">
        <f>"ENG 2"</f>
        <v>ENG 2</v>
      </c>
      <c r="G5076" t="str">
        <f>"17-1715"</f>
        <v>17-1715</v>
      </c>
      <c r="H5076" t="str">
        <f>"A"</f>
        <v>A</v>
      </c>
    </row>
    <row r="5077" spans="1:8" x14ac:dyDescent="0.2">
      <c r="A5077" t="str">
        <f t="shared" si="1867"/>
        <v>0617134285</v>
      </c>
      <c r="B5077" t="str">
        <f t="shared" si="1868"/>
        <v>CAMEREN</v>
      </c>
      <c r="C5077" t="str">
        <f t="shared" si="1869"/>
        <v>EMILE</v>
      </c>
      <c r="D5077">
        <f>10</f>
        <v>10</v>
      </c>
      <c r="E5077" t="str">
        <f>"06 - B - 003 - Emmily A Sarmiento"</f>
        <v>06 - B - 003 - Emmily A Sarmiento</v>
      </c>
      <c r="F5077" t="str">
        <f>"NC STUDY HALL 1"</f>
        <v>NC STUDY HALL 1</v>
      </c>
      <c r="G5077" t="str">
        <f>"17-1743"</f>
        <v>17-1743</v>
      </c>
      <c r="H5077" t="str">
        <f>"B"</f>
        <v>B</v>
      </c>
    </row>
    <row r="5078" spans="1:8" x14ac:dyDescent="0.2">
      <c r="A5078" t="str">
        <f t="shared" si="1867"/>
        <v>0617134285</v>
      </c>
      <c r="B5078" t="str">
        <f t="shared" si="1868"/>
        <v>CAMEREN</v>
      </c>
      <c r="C5078" t="str">
        <f t="shared" si="1869"/>
        <v>EMILE</v>
      </c>
      <c r="D5078">
        <f>10</f>
        <v>10</v>
      </c>
      <c r="E5078" t="str">
        <f>"06 - B - 106 - Eric  Lopapa"</f>
        <v>06 - B - 106 - Eric  Lopapa</v>
      </c>
      <c r="F5078" t="str">
        <f>"LANG THERAPY"</f>
        <v>LANG THERAPY</v>
      </c>
      <c r="G5078" t="str">
        <f>"21-2110"</f>
        <v>21-2110</v>
      </c>
      <c r="H5078" t="str">
        <f>"B"</f>
        <v>B</v>
      </c>
    </row>
    <row r="5079" spans="1:8" x14ac:dyDescent="0.2">
      <c r="A5079" t="str">
        <f t="shared" si="1867"/>
        <v>0617134285</v>
      </c>
      <c r="B5079" t="str">
        <f t="shared" si="1868"/>
        <v>CAMEREN</v>
      </c>
      <c r="C5079" t="str">
        <f t="shared" si="1869"/>
        <v>EMILE</v>
      </c>
      <c r="D5079">
        <f>10</f>
        <v>10</v>
      </c>
      <c r="E5079" t="str">
        <f>"03 - A - 206 - Josiah I Lacy"</f>
        <v>03 - A - 206 - Josiah I Lacy</v>
      </c>
      <c r="F5079" t="str">
        <f>"BIOLOGY 1"</f>
        <v>BIOLOGY 1</v>
      </c>
      <c r="G5079" t="str">
        <f>"08-801"</f>
        <v>08-801</v>
      </c>
      <c r="H5079" t="str">
        <f>"A"</f>
        <v>A</v>
      </c>
    </row>
    <row r="5080" spans="1:8" x14ac:dyDescent="0.2">
      <c r="A5080" t="str">
        <f t="shared" si="1867"/>
        <v>0617134285</v>
      </c>
      <c r="B5080" t="str">
        <f t="shared" si="1868"/>
        <v>CAMEREN</v>
      </c>
      <c r="C5080" t="str">
        <f t="shared" si="1869"/>
        <v>EMILE</v>
      </c>
      <c r="D5080">
        <f>10</f>
        <v>10</v>
      </c>
      <c r="E5080" t="str">
        <f>"02 - A - 101 - Christa T Parisi"</f>
        <v>02 - A - 101 - Christa T Parisi</v>
      </c>
      <c r="F5080" t="str">
        <f>"LRNG STRATEGIES 9-12"</f>
        <v>LRNG STRATEGIES 9-12</v>
      </c>
      <c r="G5080" t="str">
        <f>"20-2072"</f>
        <v>20-2072</v>
      </c>
      <c r="H5080" t="str">
        <f>"A"</f>
        <v>A</v>
      </c>
    </row>
    <row r="5081" spans="1:8" x14ac:dyDescent="0.2">
      <c r="A5081" t="str">
        <f t="shared" si="1867"/>
        <v>0617134285</v>
      </c>
      <c r="B5081" t="str">
        <f t="shared" si="1868"/>
        <v>CAMEREN</v>
      </c>
      <c r="C5081" t="str">
        <f t="shared" si="1869"/>
        <v>EMILE</v>
      </c>
      <c r="D5081">
        <f>10</f>
        <v>10</v>
      </c>
      <c r="E5081" t="str">
        <f>"07 - B - 107 - Milca  Exantus"</f>
        <v>07 - B - 107 - Milca  Exantus</v>
      </c>
      <c r="F5081" t="str">
        <f>"MATH COLLEGE LIB ART"</f>
        <v>MATH COLLEGE LIB ART</v>
      </c>
      <c r="G5081" t="str">
        <f>"21-2145"</f>
        <v>21-2145</v>
      </c>
      <c r="H5081" t="str">
        <f>"B"</f>
        <v>B</v>
      </c>
    </row>
    <row r="5082" spans="1:8" x14ac:dyDescent="0.2">
      <c r="A5082" t="str">
        <f t="shared" si="1867"/>
        <v>0617134285</v>
      </c>
      <c r="B5082" t="str">
        <f t="shared" si="1868"/>
        <v>CAMEREN</v>
      </c>
      <c r="C5082" t="str">
        <f t="shared" si="1869"/>
        <v>EMILE</v>
      </c>
      <c r="D5082">
        <f>10</f>
        <v>10</v>
      </c>
      <c r="E5082" t="str">
        <f>"05 - B - 104 - Daniel S Tyson"</f>
        <v>05 - B - 104 - Daniel S Tyson</v>
      </c>
      <c r="F5082" t="str">
        <f>"JROTC NAVAL SCI 2"</f>
        <v>JROTC NAVAL SCI 2</v>
      </c>
      <c r="G5082" t="str">
        <f>"05-510"</f>
        <v>05-510</v>
      </c>
      <c r="H5082" t="str">
        <f>"B"</f>
        <v>B</v>
      </c>
    </row>
    <row r="5083" spans="1:8" x14ac:dyDescent="0.2">
      <c r="A5083" t="str">
        <f t="shared" si="1867"/>
        <v>0617134285</v>
      </c>
      <c r="B5083" t="str">
        <f t="shared" si="1868"/>
        <v>CAMEREN</v>
      </c>
      <c r="C5083" t="str">
        <f t="shared" si="1869"/>
        <v>EMILE</v>
      </c>
      <c r="D5083">
        <f>10</f>
        <v>10</v>
      </c>
      <c r="E5083" t="str">
        <f>"01 - A - 101 - Adam Marcus  Drucker"</f>
        <v>01 - A - 101 - Adam Marcus  Drucker</v>
      </c>
      <c r="F5083" t="str">
        <f>"HOPE-PE V"</f>
        <v>HOPE-PE V</v>
      </c>
      <c r="G5083" t="str">
        <f>"04-254"</f>
        <v>04-254</v>
      </c>
      <c r="H5083" t="str">
        <f>"A"</f>
        <v>A</v>
      </c>
    </row>
    <row r="5084" spans="1:8" x14ac:dyDescent="0.2">
      <c r="A5084" t="str">
        <f t="shared" si="1867"/>
        <v>0617134285</v>
      </c>
      <c r="B5084" t="str">
        <f t="shared" si="1868"/>
        <v>CAMEREN</v>
      </c>
      <c r="C5084" t="str">
        <f t="shared" si="1869"/>
        <v>EMILE</v>
      </c>
      <c r="D5084">
        <f>10</f>
        <v>10</v>
      </c>
      <c r="E5084" t="str">
        <f>"08 - S1 - B - 102 - Kyle  Robbins"</f>
        <v>08 - S1 - B - 102 - Kyle  Robbins</v>
      </c>
      <c r="F5084" t="str">
        <f>"PERS FIN &amp; MON MGT H"</f>
        <v>PERS FIN &amp; MON MGT H</v>
      </c>
      <c r="G5084" t="str">
        <f>"17-1745"</f>
        <v>17-1745</v>
      </c>
      <c r="H5084" t="str">
        <f>"B"</f>
        <v>B</v>
      </c>
    </row>
    <row r="5085" spans="1:8" x14ac:dyDescent="0.2">
      <c r="A5085" t="str">
        <f t="shared" ref="A5085:A5092" si="1870">"0615063076"</f>
        <v>0615063076</v>
      </c>
      <c r="B5085" t="str">
        <f t="shared" ref="B5085:B5092" si="1871">"EMORRA"</f>
        <v>EMORRA</v>
      </c>
      <c r="C5085" t="str">
        <f t="shared" si="1869"/>
        <v>EMILE</v>
      </c>
      <c r="D5085">
        <f>12</f>
        <v>12</v>
      </c>
      <c r="E5085" t="str">
        <f>"04 - A - 102 - Samantha L Martinez"</f>
        <v>04 - A - 102 - Samantha L Martinez</v>
      </c>
      <c r="F5085" t="str">
        <f>"KEYBD 1"</f>
        <v>KEYBD 1</v>
      </c>
      <c r="G5085" t="str">
        <f>"05-505"</f>
        <v>05-505</v>
      </c>
      <c r="H5085" t="str">
        <f>"A"</f>
        <v>A</v>
      </c>
    </row>
    <row r="5086" spans="1:8" x14ac:dyDescent="0.2">
      <c r="A5086" t="str">
        <f t="shared" si="1870"/>
        <v>0615063076</v>
      </c>
      <c r="B5086" t="str">
        <f t="shared" si="1871"/>
        <v>EMORRA</v>
      </c>
      <c r="C5086" t="str">
        <f t="shared" si="1869"/>
        <v>EMILE</v>
      </c>
      <c r="D5086">
        <f>12</f>
        <v>12</v>
      </c>
      <c r="E5086" t="str">
        <f>"06 - B - 108 - Jacquelyn M Neeson"</f>
        <v>06 - B - 108 - Jacquelyn M Neeson</v>
      </c>
      <c r="F5086" t="str">
        <f>"NC STUDY HALL 1"</f>
        <v>NC STUDY HALL 1</v>
      </c>
      <c r="G5086" t="str">
        <f>"17-1715"</f>
        <v>17-1715</v>
      </c>
      <c r="H5086" t="str">
        <f>"B"</f>
        <v>B</v>
      </c>
    </row>
    <row r="5087" spans="1:8" x14ac:dyDescent="0.2">
      <c r="A5087" t="str">
        <f t="shared" si="1870"/>
        <v>0615063076</v>
      </c>
      <c r="B5087" t="str">
        <f t="shared" si="1871"/>
        <v>EMORRA</v>
      </c>
      <c r="C5087" t="str">
        <f t="shared" si="1869"/>
        <v>EMILE</v>
      </c>
      <c r="D5087">
        <f>12</f>
        <v>12</v>
      </c>
      <c r="E5087" t="str">
        <f>"03 - A - 103 - Jazmin S Fletcher"</f>
        <v>03 - A - 103 - Jazmin S Fletcher</v>
      </c>
      <c r="F5087" t="str">
        <f>"THEATRE 2"</f>
        <v>THEATRE 2</v>
      </c>
      <c r="G5087" t="str">
        <f>"09-909"</f>
        <v>09-909</v>
      </c>
      <c r="H5087" t="str">
        <f>"A"</f>
        <v>A</v>
      </c>
    </row>
    <row r="5088" spans="1:8" x14ac:dyDescent="0.2">
      <c r="A5088" t="str">
        <f t="shared" si="1870"/>
        <v>0615063076</v>
      </c>
      <c r="B5088" t="str">
        <f t="shared" si="1871"/>
        <v>EMORRA</v>
      </c>
      <c r="C5088" t="str">
        <f t="shared" si="1869"/>
        <v>EMILE</v>
      </c>
      <c r="D5088">
        <f>12</f>
        <v>12</v>
      </c>
      <c r="E5088" t="str">
        <f>"02 - A - 101 - Robert H Rindner"</f>
        <v>02 - A - 101 - Robert H Rindner</v>
      </c>
      <c r="F5088" t="str">
        <f>"MATH DATA&amp;FIN LIT H"</f>
        <v>MATH DATA&amp;FIN LIT H</v>
      </c>
      <c r="G5088" t="str">
        <f>"21-2160"</f>
        <v>21-2160</v>
      </c>
      <c r="H5088" t="str">
        <f>"A"</f>
        <v>A</v>
      </c>
    </row>
    <row r="5089" spans="1:8" x14ac:dyDescent="0.2">
      <c r="A5089" t="str">
        <f t="shared" si="1870"/>
        <v>0615063076</v>
      </c>
      <c r="B5089" t="str">
        <f t="shared" si="1871"/>
        <v>EMORRA</v>
      </c>
      <c r="C5089" t="str">
        <f t="shared" si="1869"/>
        <v>EMILE</v>
      </c>
      <c r="D5089">
        <f>12</f>
        <v>12</v>
      </c>
      <c r="E5089" t="str">
        <f>"07 - B - 103 - Nahum  Saint-Preux"</f>
        <v>07 - B - 103 - Nahum  Saint-Preux</v>
      </c>
      <c r="F5089" t="str">
        <f>"INTENS READ 4"</f>
        <v>INTENS READ 4</v>
      </c>
      <c r="G5089" t="str">
        <f>"17-1712"</f>
        <v>17-1712</v>
      </c>
      <c r="H5089" t="str">
        <f>"B"</f>
        <v>B</v>
      </c>
    </row>
    <row r="5090" spans="1:8" x14ac:dyDescent="0.2">
      <c r="A5090" t="str">
        <f t="shared" si="1870"/>
        <v>0615063076</v>
      </c>
      <c r="B5090" t="str">
        <f t="shared" si="1871"/>
        <v>EMORRA</v>
      </c>
      <c r="C5090" t="str">
        <f t="shared" si="1869"/>
        <v>EMILE</v>
      </c>
      <c r="D5090">
        <f>12</f>
        <v>12</v>
      </c>
      <c r="E5090" t="str">
        <f>"05 - S1 - B - 102 - Robert O Burger"</f>
        <v>05 - S1 - B - 102 - Robert O Burger</v>
      </c>
      <c r="F5090" t="str">
        <f>"US GOVT"</f>
        <v>US GOVT</v>
      </c>
      <c r="G5090" t="str">
        <f>"17-1755"</f>
        <v>17-1755</v>
      </c>
      <c r="H5090" t="str">
        <f>"B"</f>
        <v>B</v>
      </c>
    </row>
    <row r="5091" spans="1:8" x14ac:dyDescent="0.2">
      <c r="A5091" t="str">
        <f t="shared" si="1870"/>
        <v>0615063076</v>
      </c>
      <c r="B5091" t="str">
        <f t="shared" si="1871"/>
        <v>EMORRA</v>
      </c>
      <c r="C5091" t="str">
        <f t="shared" si="1869"/>
        <v>EMILE</v>
      </c>
      <c r="D5091">
        <f>12</f>
        <v>12</v>
      </c>
      <c r="E5091" t="str">
        <f>"01 - A - 101 - Cliffon  Saurel"</f>
        <v>01 - A - 101 - Cliffon  Saurel</v>
      </c>
      <c r="F5091" t="str">
        <f>"PHYSICAL SCI"</f>
        <v>PHYSICAL SCI</v>
      </c>
      <c r="G5091" t="str">
        <f>"05-522"</f>
        <v>05-522</v>
      </c>
      <c r="H5091" t="str">
        <f>"A"</f>
        <v>A</v>
      </c>
    </row>
    <row r="5092" spans="1:8" x14ac:dyDescent="0.2">
      <c r="A5092" t="str">
        <f t="shared" si="1870"/>
        <v>0615063076</v>
      </c>
      <c r="B5092" t="str">
        <f t="shared" si="1871"/>
        <v>EMORRA</v>
      </c>
      <c r="C5092" t="str">
        <f t="shared" si="1869"/>
        <v>EMILE</v>
      </c>
      <c r="D5092">
        <f>12</f>
        <v>12</v>
      </c>
      <c r="E5092" t="str">
        <f>"08 - B - 206 - Robyn L Trainer"</f>
        <v>08 - B - 206 - Robyn L Trainer</v>
      </c>
      <c r="F5092" t="str">
        <f>"ENG 4: FL COLL PREP"</f>
        <v>ENG 4: FL COLL PREP</v>
      </c>
      <c r="G5092" t="str">
        <f>"17-1734"</f>
        <v>17-1734</v>
      </c>
      <c r="H5092" t="str">
        <f>"B"</f>
        <v>B</v>
      </c>
    </row>
    <row r="5093" spans="1:8" x14ac:dyDescent="0.2">
      <c r="A5093" t="str">
        <f t="shared" ref="A5093:A5100" si="1872">"0613104639"</f>
        <v>0613104639</v>
      </c>
      <c r="B5093" t="str">
        <f t="shared" ref="B5093:B5100" si="1873">"ZURIYA"</f>
        <v>ZURIYA</v>
      </c>
      <c r="C5093" t="str">
        <f t="shared" si="1869"/>
        <v>EMILE</v>
      </c>
      <c r="D5093">
        <f>12</f>
        <v>12</v>
      </c>
      <c r="E5093" t="str">
        <f>"04 - A - 101 - Thomas G Handwerg"</f>
        <v>04 - A - 101 - Thomas G Handwerg</v>
      </c>
      <c r="F5093" t="str">
        <f>"MATH COLL ALGEBRA"</f>
        <v>MATH COLL ALGEBRA</v>
      </c>
      <c r="G5093" t="str">
        <f>"21-2146"</f>
        <v>21-2146</v>
      </c>
      <c r="H5093" t="str">
        <f>"A"</f>
        <v>A</v>
      </c>
    </row>
    <row r="5094" spans="1:8" x14ac:dyDescent="0.2">
      <c r="A5094" t="str">
        <f t="shared" si="1872"/>
        <v>0613104639</v>
      </c>
      <c r="B5094" t="str">
        <f t="shared" si="1873"/>
        <v>ZURIYA</v>
      </c>
      <c r="C5094" t="str">
        <f t="shared" si="1869"/>
        <v>EMILE</v>
      </c>
      <c r="D5094">
        <f>12</f>
        <v>12</v>
      </c>
      <c r="E5094" t="str">
        <f>"06 - B - 108 - Jacquelyn M Neeson"</f>
        <v>06 - B - 108 - Jacquelyn M Neeson</v>
      </c>
      <c r="F5094" t="str">
        <f>"NC STUDY HALL 1"</f>
        <v>NC STUDY HALL 1</v>
      </c>
      <c r="G5094" t="str">
        <f>"17-1715"</f>
        <v>17-1715</v>
      </c>
      <c r="H5094" t="str">
        <f>"B"</f>
        <v>B</v>
      </c>
    </row>
    <row r="5095" spans="1:8" x14ac:dyDescent="0.2">
      <c r="A5095" t="str">
        <f t="shared" si="1872"/>
        <v>0613104639</v>
      </c>
      <c r="B5095" t="str">
        <f t="shared" si="1873"/>
        <v>ZURIYA</v>
      </c>
      <c r="C5095" t="str">
        <f t="shared" si="1869"/>
        <v>EMILE</v>
      </c>
      <c r="D5095">
        <f>12</f>
        <v>12</v>
      </c>
      <c r="E5095" t="str">
        <f>"03 - S1 - A - 102 - Leslie J Barton"</f>
        <v>03 - S1 - A - 102 - Leslie J Barton</v>
      </c>
      <c r="F5095" t="str">
        <f>"FIRST AID SAFETY"</f>
        <v>FIRST AID SAFETY</v>
      </c>
      <c r="G5095" t="str">
        <f>"05-521"</f>
        <v>05-521</v>
      </c>
      <c r="H5095" t="str">
        <f>"A"</f>
        <v>A</v>
      </c>
    </row>
    <row r="5096" spans="1:8" x14ac:dyDescent="0.2">
      <c r="A5096" t="str">
        <f t="shared" si="1872"/>
        <v>0613104639</v>
      </c>
      <c r="B5096" t="str">
        <f t="shared" si="1873"/>
        <v>ZURIYA</v>
      </c>
      <c r="C5096" t="str">
        <f t="shared" si="1869"/>
        <v>EMILE</v>
      </c>
      <c r="D5096">
        <f>12</f>
        <v>12</v>
      </c>
      <c r="E5096" t="str">
        <f>"02 - S1 - A - 103 - Barbara L Segal"</f>
        <v>02 - S1 - A - 103 - Barbara L Segal</v>
      </c>
      <c r="F5096" t="str">
        <f>"US GOVT HON"</f>
        <v>US GOVT HON</v>
      </c>
      <c r="G5096" t="str">
        <f>"17-1742"</f>
        <v>17-1742</v>
      </c>
      <c r="H5096" t="str">
        <f>"A"</f>
        <v>A</v>
      </c>
    </row>
    <row r="5097" spans="1:8" x14ac:dyDescent="0.2">
      <c r="A5097" t="str">
        <f t="shared" si="1872"/>
        <v>0613104639</v>
      </c>
      <c r="B5097" t="str">
        <f t="shared" si="1873"/>
        <v>ZURIYA</v>
      </c>
      <c r="C5097" t="str">
        <f t="shared" si="1869"/>
        <v>EMILE</v>
      </c>
      <c r="D5097">
        <f>12</f>
        <v>12</v>
      </c>
      <c r="E5097" t="str">
        <f>"07 - B - 101 - Samantha L Martinez"</f>
        <v>07 - B - 101 - Samantha L Martinez</v>
      </c>
      <c r="F5097" t="str">
        <f>"KEYBD 1"</f>
        <v>KEYBD 1</v>
      </c>
      <c r="G5097" t="str">
        <f>"05-505"</f>
        <v>05-505</v>
      </c>
      <c r="H5097" t="str">
        <f>"B"</f>
        <v>B</v>
      </c>
    </row>
    <row r="5098" spans="1:8" x14ac:dyDescent="0.2">
      <c r="A5098" t="str">
        <f t="shared" si="1872"/>
        <v>0613104639</v>
      </c>
      <c r="B5098" t="str">
        <f t="shared" si="1873"/>
        <v>ZURIYA</v>
      </c>
      <c r="C5098" t="str">
        <f t="shared" si="1869"/>
        <v>EMILE</v>
      </c>
      <c r="D5098">
        <f>12</f>
        <v>12</v>
      </c>
      <c r="E5098" t="str">
        <f>"05 - B - 104 - Jeffrey S Gallagher"</f>
        <v>05 - B - 104 - Jeffrey S Gallagher</v>
      </c>
      <c r="F5098" t="str">
        <f>"ENG HON 4"</f>
        <v>ENG HON 4</v>
      </c>
      <c r="G5098" t="str">
        <f>"17-1724"</f>
        <v>17-1724</v>
      </c>
      <c r="H5098" t="str">
        <f>"B"</f>
        <v>B</v>
      </c>
    </row>
    <row r="5099" spans="1:8" x14ac:dyDescent="0.2">
      <c r="A5099" t="str">
        <f t="shared" si="1872"/>
        <v>0613104639</v>
      </c>
      <c r="B5099" t="str">
        <f t="shared" si="1873"/>
        <v>ZURIYA</v>
      </c>
      <c r="C5099" t="str">
        <f t="shared" si="1869"/>
        <v>EMILE</v>
      </c>
      <c r="D5099">
        <f>12</f>
        <v>12</v>
      </c>
      <c r="E5099" t="str">
        <f>"01 - A - 201 - Cheryl L Beach"</f>
        <v>01 - A - 201 - Cheryl L Beach</v>
      </c>
      <c r="F5099" t="str">
        <f>"AICE ENV MGMNT AS"</f>
        <v>AICE ENV MGMNT AS</v>
      </c>
      <c r="G5099" t="str">
        <f>"08-811"</f>
        <v>08-811</v>
      </c>
      <c r="H5099" t="str">
        <f>"A"</f>
        <v>A</v>
      </c>
    </row>
    <row r="5100" spans="1:8" x14ac:dyDescent="0.2">
      <c r="A5100" t="str">
        <f t="shared" si="1872"/>
        <v>0613104639</v>
      </c>
      <c r="B5100" t="str">
        <f t="shared" si="1873"/>
        <v>ZURIYA</v>
      </c>
      <c r="C5100" t="str">
        <f t="shared" si="1869"/>
        <v>EMILE</v>
      </c>
      <c r="D5100">
        <f>12</f>
        <v>12</v>
      </c>
      <c r="E5100" t="str">
        <f>"08 - B - 001 - Samantha L Martinez"</f>
        <v>08 - B - 001 - Samantha L Martinez</v>
      </c>
      <c r="F5100" t="str">
        <f>"VOCAL ENS 2"</f>
        <v>VOCAL ENS 2</v>
      </c>
      <c r="G5100" t="str">
        <f>"05-505"</f>
        <v>05-505</v>
      </c>
      <c r="H5100" t="str">
        <f>"B"</f>
        <v>B</v>
      </c>
    </row>
    <row r="5101" spans="1:8" x14ac:dyDescent="0.2">
      <c r="A5101" t="str">
        <f t="shared" ref="A5101:A5108" si="1874">"0625021658"</f>
        <v>0625021658</v>
      </c>
      <c r="B5101" t="str">
        <f t="shared" ref="B5101:B5108" si="1875">"Gian-Luigi Patrick"</f>
        <v>Gian-Luigi Patrick</v>
      </c>
      <c r="C5101" t="str">
        <f t="shared" ref="C5101:C5108" si="1876">"Engoung"</f>
        <v>Engoung</v>
      </c>
      <c r="D5101">
        <f>10</f>
        <v>10</v>
      </c>
      <c r="E5101" t="str">
        <f>"04 - A - 101 - Vanessa J Liburd"</f>
        <v>04 - A - 101 - Vanessa J Liburd</v>
      </c>
      <c r="F5101" t="str">
        <f>"AP FRENCH LANG &amp; CU"</f>
        <v>AP FRENCH LANG &amp; CU</v>
      </c>
      <c r="G5101" t="str">
        <f>"05-519"</f>
        <v>05-519</v>
      </c>
      <c r="H5101" t="str">
        <f>"A"</f>
        <v>A</v>
      </c>
    </row>
    <row r="5102" spans="1:8" x14ac:dyDescent="0.2">
      <c r="A5102" t="str">
        <f t="shared" si="1874"/>
        <v>0625021658</v>
      </c>
      <c r="B5102" t="str">
        <f t="shared" si="1875"/>
        <v>Gian-Luigi Patrick</v>
      </c>
      <c r="C5102" t="str">
        <f t="shared" si="1876"/>
        <v>Engoung</v>
      </c>
      <c r="D5102">
        <f>10</f>
        <v>10</v>
      </c>
      <c r="E5102" t="str">
        <f>"06 - B - 104 - Vanessa J Liburd"</f>
        <v>06 - B - 104 - Vanessa J Liburd</v>
      </c>
      <c r="F5102" t="str">
        <f>"NC STUDY HALL 1"</f>
        <v>NC STUDY HALL 1</v>
      </c>
      <c r="G5102" t="str">
        <f>"05-519"</f>
        <v>05-519</v>
      </c>
      <c r="H5102" t="str">
        <f>"B"</f>
        <v>B</v>
      </c>
    </row>
    <row r="5103" spans="1:8" x14ac:dyDescent="0.2">
      <c r="A5103" t="str">
        <f t="shared" si="1874"/>
        <v>0625021658</v>
      </c>
      <c r="B5103" t="str">
        <f t="shared" si="1875"/>
        <v>Gian-Luigi Patrick</v>
      </c>
      <c r="C5103" t="str">
        <f t="shared" si="1876"/>
        <v>Engoung</v>
      </c>
      <c r="D5103">
        <f>10</f>
        <v>10</v>
      </c>
      <c r="E5103" t="str">
        <f>"03 - A - 001 - Maried P Ramos"</f>
        <v>03 - A - 001 - Maried P Ramos</v>
      </c>
      <c r="F5103" t="str">
        <f>"PRE-AICE MATH 2 IG"</f>
        <v>PRE-AICE MATH 2 IG</v>
      </c>
      <c r="G5103" t="str">
        <f>"21-2159"</f>
        <v>21-2159</v>
      </c>
      <c r="H5103" t="str">
        <f>"A"</f>
        <v>A</v>
      </c>
    </row>
    <row r="5104" spans="1:8" x14ac:dyDescent="0.2">
      <c r="A5104" t="str">
        <f t="shared" si="1874"/>
        <v>0625021658</v>
      </c>
      <c r="B5104" t="str">
        <f t="shared" si="1875"/>
        <v>Gian-Luigi Patrick</v>
      </c>
      <c r="C5104" t="str">
        <f t="shared" si="1876"/>
        <v>Engoung</v>
      </c>
      <c r="D5104">
        <f>10</f>
        <v>10</v>
      </c>
      <c r="E5104" t="str">
        <f>"02 - A - 205 - Emmily A Sarmiento"</f>
        <v>02 - A - 205 - Emmily A Sarmiento</v>
      </c>
      <c r="F5104" t="str">
        <f>"AICE GLBL PERSP 1 AS"</f>
        <v>AICE GLBL PERSP 1 AS</v>
      </c>
      <c r="G5104" t="str">
        <f>"17-1743"</f>
        <v>17-1743</v>
      </c>
      <c r="H5104" t="str">
        <f>"A"</f>
        <v>A</v>
      </c>
    </row>
    <row r="5105" spans="1:8" x14ac:dyDescent="0.2">
      <c r="A5105" t="str">
        <f t="shared" si="1874"/>
        <v>0625021658</v>
      </c>
      <c r="B5105" t="str">
        <f t="shared" si="1875"/>
        <v>Gian-Luigi Patrick</v>
      </c>
      <c r="C5105" t="str">
        <f t="shared" si="1876"/>
        <v>Engoung</v>
      </c>
      <c r="D5105">
        <f>10</f>
        <v>10</v>
      </c>
      <c r="E5105" t="str">
        <f>"07 - B - 105 - Byron G Montenegro"</f>
        <v>07 - B - 105 - Byron G Montenegro</v>
      </c>
      <c r="F5105" t="str">
        <f>"AICE MARINE SCI 1 AS"</f>
        <v>AICE MARINE SCI 1 AS</v>
      </c>
      <c r="G5105" t="str">
        <f>"21-2144"</f>
        <v>21-2144</v>
      </c>
      <c r="H5105" t="str">
        <f>"B"</f>
        <v>B</v>
      </c>
    </row>
    <row r="5106" spans="1:8" x14ac:dyDescent="0.2">
      <c r="A5106" t="str">
        <f t="shared" si="1874"/>
        <v>0625021658</v>
      </c>
      <c r="B5106" t="str">
        <f t="shared" si="1875"/>
        <v>Gian-Luigi Patrick</v>
      </c>
      <c r="C5106" t="str">
        <f t="shared" si="1876"/>
        <v>Engoung</v>
      </c>
      <c r="D5106">
        <f>10</f>
        <v>10</v>
      </c>
      <c r="E5106" t="str">
        <f>"05 - B - 101 - Jordana K Hass"</f>
        <v>05 - B - 101 - Jordana K Hass</v>
      </c>
      <c r="F5106" t="str">
        <f>"AP COMP SCI PRIN"</f>
        <v>AP COMP SCI PRIN</v>
      </c>
      <c r="G5106" t="str">
        <f>"08-807"</f>
        <v>08-807</v>
      </c>
      <c r="H5106" t="str">
        <f>"B"</f>
        <v>B</v>
      </c>
    </row>
    <row r="5107" spans="1:8" x14ac:dyDescent="0.2">
      <c r="A5107" t="str">
        <f t="shared" si="1874"/>
        <v>0625021658</v>
      </c>
      <c r="B5107" t="str">
        <f t="shared" si="1875"/>
        <v>Gian-Luigi Patrick</v>
      </c>
      <c r="C5107" t="str">
        <f t="shared" si="1876"/>
        <v>Engoung</v>
      </c>
      <c r="D5107">
        <f>10</f>
        <v>10</v>
      </c>
      <c r="E5107" t="str">
        <f>"01 - A - 101 - Jacquelyn M Neeson"</f>
        <v>01 - A - 101 - Jacquelyn M Neeson</v>
      </c>
      <c r="F5107" t="str">
        <f>"AICE ENG GEN PAPER 1"</f>
        <v>AICE ENG GEN PAPER 1</v>
      </c>
      <c r="G5107" t="str">
        <f>"17-1715"</f>
        <v>17-1715</v>
      </c>
      <c r="H5107" t="str">
        <f>"A"</f>
        <v>A</v>
      </c>
    </row>
    <row r="5108" spans="1:8" x14ac:dyDescent="0.2">
      <c r="A5108" t="str">
        <f t="shared" si="1874"/>
        <v>0625021658</v>
      </c>
      <c r="B5108" t="str">
        <f t="shared" si="1875"/>
        <v>Gian-Luigi Patrick</v>
      </c>
      <c r="C5108" t="str">
        <f t="shared" si="1876"/>
        <v>Engoung</v>
      </c>
      <c r="D5108">
        <f>10</f>
        <v>10</v>
      </c>
      <c r="E5108" t="str">
        <f>"08 - B - 201 - Stacey A Blecker"</f>
        <v>08 - B - 201 - Stacey A Blecker</v>
      </c>
      <c r="F5108" t="str">
        <f>"AICE SOCIOLOGY 1 AS"</f>
        <v>AICE SOCIOLOGY 1 AS</v>
      </c>
      <c r="G5108" t="str">
        <f>"09-926"</f>
        <v>09-926</v>
      </c>
      <c r="H5108" t="str">
        <f>"B"</f>
        <v>B</v>
      </c>
    </row>
    <row r="5109" spans="1:8" x14ac:dyDescent="0.2">
      <c r="A5109" t="str">
        <f t="shared" ref="A5109:A5116" si="1877">"0613134717"</f>
        <v>0613134717</v>
      </c>
      <c r="B5109" t="str">
        <f t="shared" ref="B5109:B5116" si="1878">"TRYSTIN"</f>
        <v>TRYSTIN</v>
      </c>
      <c r="C5109" t="str">
        <f t="shared" ref="C5109:C5116" si="1879">"ERASMUS"</f>
        <v>ERASMUS</v>
      </c>
      <c r="D5109">
        <f>10</f>
        <v>10</v>
      </c>
      <c r="E5109" t="str">
        <f>"04 - A - 102 - Tina L Lovett"</f>
        <v>04 - A - 102 - Tina L Lovett</v>
      </c>
      <c r="F5109" t="str">
        <f>"ALGEBRA 1"</f>
        <v>ALGEBRA 1</v>
      </c>
      <c r="G5109" t="str">
        <f>"21-2153"</f>
        <v>21-2153</v>
      </c>
      <c r="H5109" t="str">
        <f>"A"</f>
        <v>A</v>
      </c>
    </row>
    <row r="5110" spans="1:8" x14ac:dyDescent="0.2">
      <c r="A5110" t="str">
        <f t="shared" si="1877"/>
        <v>0613134717</v>
      </c>
      <c r="B5110" t="str">
        <f t="shared" si="1878"/>
        <v>TRYSTIN</v>
      </c>
      <c r="C5110" t="str">
        <f t="shared" si="1879"/>
        <v>ERASMUS</v>
      </c>
      <c r="D5110">
        <f>10</f>
        <v>10</v>
      </c>
      <c r="E5110" t="str">
        <f>"06 - B - 114 - Richard E Dunbar Iii"</f>
        <v>06 - B - 114 - Richard E Dunbar Iii</v>
      </c>
      <c r="F5110" t="str">
        <f>"NC STUDY HALL 1"</f>
        <v>NC STUDY HALL 1</v>
      </c>
      <c r="G5110" t="str">
        <f>"17-1703"</f>
        <v>17-1703</v>
      </c>
      <c r="H5110" t="str">
        <f>"B"</f>
        <v>B</v>
      </c>
    </row>
    <row r="5111" spans="1:8" x14ac:dyDescent="0.2">
      <c r="A5111" t="str">
        <f t="shared" si="1877"/>
        <v>0613134717</v>
      </c>
      <c r="B5111" t="str">
        <f t="shared" si="1878"/>
        <v>TRYSTIN</v>
      </c>
      <c r="C5111" t="str">
        <f t="shared" si="1879"/>
        <v>ERASMUS</v>
      </c>
      <c r="D5111">
        <f>10</f>
        <v>10</v>
      </c>
      <c r="E5111" t="str">
        <f>"03 - A - 208 - Marielle A Witting"</f>
        <v>03 - A - 208 - Marielle A Witting</v>
      </c>
      <c r="F5111" t="str">
        <f>"ANAT PHYSIO"</f>
        <v>ANAT PHYSIO</v>
      </c>
      <c r="G5111" t="str">
        <f>"08-805"</f>
        <v>08-805</v>
      </c>
      <c r="H5111" t="str">
        <f>"A"</f>
        <v>A</v>
      </c>
    </row>
    <row r="5112" spans="1:8" x14ac:dyDescent="0.2">
      <c r="A5112" t="str">
        <f t="shared" si="1877"/>
        <v>0613134717</v>
      </c>
      <c r="B5112" t="str">
        <f t="shared" si="1878"/>
        <v>TRYSTIN</v>
      </c>
      <c r="C5112" t="str">
        <f t="shared" si="1879"/>
        <v>ERASMUS</v>
      </c>
      <c r="D5112">
        <f>10</f>
        <v>10</v>
      </c>
      <c r="E5112" t="str">
        <f>"02 - A - 102 - Adam Marcus  Drucker"</f>
        <v>02 - A - 102 - Adam Marcus  Drucker</v>
      </c>
      <c r="F5112" t="str">
        <f>"HOPE-PE V"</f>
        <v>HOPE-PE V</v>
      </c>
      <c r="G5112" t="str">
        <f>"04-254"</f>
        <v>04-254</v>
      </c>
      <c r="H5112" t="str">
        <f>"A"</f>
        <v>A</v>
      </c>
    </row>
    <row r="5113" spans="1:8" x14ac:dyDescent="0.2">
      <c r="A5113" t="str">
        <f t="shared" si="1877"/>
        <v>0613134717</v>
      </c>
      <c r="B5113" t="str">
        <f t="shared" si="1878"/>
        <v>TRYSTIN</v>
      </c>
      <c r="C5113" t="str">
        <f t="shared" si="1879"/>
        <v>ERASMUS</v>
      </c>
      <c r="D5113">
        <f>10</f>
        <v>10</v>
      </c>
      <c r="E5113" t="str">
        <f>"07 - B - 106 - Taraneh C Abreu"</f>
        <v>07 - B - 106 - Taraneh C Abreu</v>
      </c>
      <c r="F5113" t="str">
        <f>"INTENS READ 2"</f>
        <v>INTENS READ 2</v>
      </c>
      <c r="G5113" t="str">
        <f>"17-1713"</f>
        <v>17-1713</v>
      </c>
      <c r="H5113" t="str">
        <f>"B"</f>
        <v>B</v>
      </c>
    </row>
    <row r="5114" spans="1:8" x14ac:dyDescent="0.2">
      <c r="A5114" t="str">
        <f t="shared" si="1877"/>
        <v>0613134717</v>
      </c>
      <c r="B5114" t="str">
        <f t="shared" si="1878"/>
        <v>TRYSTIN</v>
      </c>
      <c r="C5114" t="str">
        <f t="shared" si="1879"/>
        <v>ERASMUS</v>
      </c>
      <c r="D5114">
        <f>10</f>
        <v>10</v>
      </c>
      <c r="E5114" t="str">
        <f>"05 - B - 106 - Jacquelyn M Neeson"</f>
        <v>05 - B - 106 - Jacquelyn M Neeson</v>
      </c>
      <c r="F5114" t="str">
        <f>"ENG 2"</f>
        <v>ENG 2</v>
      </c>
      <c r="G5114" t="str">
        <f>"17-1715"</f>
        <v>17-1715</v>
      </c>
      <c r="H5114" t="str">
        <f>"B"</f>
        <v>B</v>
      </c>
    </row>
    <row r="5115" spans="1:8" x14ac:dyDescent="0.2">
      <c r="A5115" t="str">
        <f t="shared" si="1877"/>
        <v>0613134717</v>
      </c>
      <c r="B5115" t="str">
        <f t="shared" si="1878"/>
        <v>TRYSTIN</v>
      </c>
      <c r="C5115" t="str">
        <f t="shared" si="1879"/>
        <v>ERASMUS</v>
      </c>
      <c r="D5115">
        <f>10</f>
        <v>10</v>
      </c>
      <c r="E5115" t="str">
        <f>"01 - S1 - A - 101 - Lissa C Frederique"</f>
        <v>01 - S1 - A - 101 - Lissa C Frederique</v>
      </c>
      <c r="F5115" t="str">
        <f>"PERS FIN &amp; MON MGT H"</f>
        <v>PERS FIN &amp; MON MGT H</v>
      </c>
      <c r="G5115" t="str">
        <f>"17-1754"</f>
        <v>17-1754</v>
      </c>
      <c r="H5115" t="str">
        <f>"A"</f>
        <v>A</v>
      </c>
    </row>
    <row r="5116" spans="1:8" x14ac:dyDescent="0.2">
      <c r="A5116" t="str">
        <f t="shared" si="1877"/>
        <v>0613134717</v>
      </c>
      <c r="B5116" t="str">
        <f t="shared" si="1878"/>
        <v>TRYSTIN</v>
      </c>
      <c r="C5116" t="str">
        <f t="shared" si="1879"/>
        <v>ERASMUS</v>
      </c>
      <c r="D5116">
        <f>10</f>
        <v>10</v>
      </c>
      <c r="E5116" t="str">
        <f>"08 - B - 108 - Tina L Lovett"</f>
        <v>08 - B - 108 - Tina L Lovett</v>
      </c>
      <c r="F5116" t="str">
        <f>"FDN SKLS MATH 9-12"</f>
        <v>FDN SKLS MATH 9-12</v>
      </c>
      <c r="G5116" t="str">
        <f>"21-2153"</f>
        <v>21-2153</v>
      </c>
      <c r="H5116" t="str">
        <f>"B"</f>
        <v>B</v>
      </c>
    </row>
    <row r="5117" spans="1:8" x14ac:dyDescent="0.2">
      <c r="A5117" t="str">
        <f t="shared" ref="A5117:A5124" si="1880">"0617042606"</f>
        <v>0617042606</v>
      </c>
      <c r="B5117" t="str">
        <f t="shared" ref="B5117:B5124" si="1881">"AYLA"</f>
        <v>AYLA</v>
      </c>
      <c r="C5117" t="str">
        <f t="shared" ref="C5117:C5124" si="1882">"ERIS"</f>
        <v>ERIS</v>
      </c>
      <c r="D5117">
        <f>11</f>
        <v>11</v>
      </c>
      <c r="E5117" t="str">
        <f>"04 - A - 101 - Pamela M Corzo"</f>
        <v>04 - A - 101 - Pamela M Corzo</v>
      </c>
      <c r="F5117" t="str">
        <f>"CALCULUS HON"</f>
        <v>CALCULUS HON</v>
      </c>
      <c r="G5117" t="str">
        <f>"21-2133"</f>
        <v>21-2133</v>
      </c>
      <c r="H5117" t="str">
        <f>"A"</f>
        <v>A</v>
      </c>
    </row>
    <row r="5118" spans="1:8" x14ac:dyDescent="0.2">
      <c r="A5118" t="str">
        <f t="shared" si="1880"/>
        <v>0617042606</v>
      </c>
      <c r="B5118" t="str">
        <f t="shared" si="1881"/>
        <v>AYLA</v>
      </c>
      <c r="C5118" t="str">
        <f t="shared" si="1882"/>
        <v>ERIS</v>
      </c>
      <c r="D5118">
        <f>11</f>
        <v>11</v>
      </c>
      <c r="E5118" t="str">
        <f>"06 - B - 104 - Brandy N Zdenek"</f>
        <v>06 - B - 104 - Brandy N Zdenek</v>
      </c>
      <c r="F5118" t="str">
        <f>"AICE ENG LANG 2 AL"</f>
        <v>AICE ENG LANG 2 AL</v>
      </c>
      <c r="G5118" t="str">
        <f>"17-1704"</f>
        <v>17-1704</v>
      </c>
      <c r="H5118" t="str">
        <f>"B"</f>
        <v>B</v>
      </c>
    </row>
    <row r="5119" spans="1:8" x14ac:dyDescent="0.2">
      <c r="A5119" t="str">
        <f t="shared" si="1880"/>
        <v>0617042606</v>
      </c>
      <c r="B5119" t="str">
        <f t="shared" si="1881"/>
        <v>AYLA</v>
      </c>
      <c r="C5119" t="str">
        <f t="shared" si="1882"/>
        <v>ERIS</v>
      </c>
      <c r="D5119">
        <f>11</f>
        <v>11</v>
      </c>
      <c r="E5119" t="str">
        <f>"03 - A - 201 - Christa T Parisi"</f>
        <v>03 - A - 201 - Christa T Parisi</v>
      </c>
      <c r="F5119" t="str">
        <f>"DANCE TECHNQS 1"</f>
        <v>DANCE TECHNQS 1</v>
      </c>
      <c r="G5119" t="str">
        <f>"05-503"</f>
        <v>05-503</v>
      </c>
      <c r="H5119" t="str">
        <f>"A"</f>
        <v>A</v>
      </c>
    </row>
    <row r="5120" spans="1:8" x14ac:dyDescent="0.2">
      <c r="A5120" t="str">
        <f t="shared" si="1880"/>
        <v>0617042606</v>
      </c>
      <c r="B5120" t="str">
        <f t="shared" si="1881"/>
        <v>AYLA</v>
      </c>
      <c r="C5120" t="str">
        <f t="shared" si="1882"/>
        <v>ERIS</v>
      </c>
      <c r="D5120">
        <f>11</f>
        <v>11</v>
      </c>
      <c r="E5120" t="str">
        <f>"02 - A - 001 - Jazmin S Fletcher"</f>
        <v>02 - A - 001 - Jazmin S Fletcher</v>
      </c>
      <c r="F5120" t="str">
        <f>"NC STUDY HALL 1"</f>
        <v>NC STUDY HALL 1</v>
      </c>
      <c r="G5120" t="str">
        <f>"09-909"</f>
        <v>09-909</v>
      </c>
      <c r="H5120" t="str">
        <f>"A"</f>
        <v>A</v>
      </c>
    </row>
    <row r="5121" spans="1:8" x14ac:dyDescent="0.2">
      <c r="A5121" t="str">
        <f t="shared" si="1880"/>
        <v>0617042606</v>
      </c>
      <c r="B5121" t="str">
        <f t="shared" si="1881"/>
        <v>AYLA</v>
      </c>
      <c r="C5121" t="str">
        <f t="shared" si="1882"/>
        <v>ERIS</v>
      </c>
      <c r="D5121">
        <f>11</f>
        <v>11</v>
      </c>
      <c r="E5121" t="str">
        <f>"07 - B - 103 - Lisa J London"</f>
        <v>07 - B - 103 - Lisa J London</v>
      </c>
      <c r="F5121" t="str">
        <f>"AP CAPSTONE SEMINAR"</f>
        <v>AP CAPSTONE SEMINAR</v>
      </c>
      <c r="G5121" t="str">
        <f>"17-1714"</f>
        <v>17-1714</v>
      </c>
      <c r="H5121" t="str">
        <f>"B"</f>
        <v>B</v>
      </c>
    </row>
    <row r="5122" spans="1:8" x14ac:dyDescent="0.2">
      <c r="A5122" t="str">
        <f t="shared" si="1880"/>
        <v>0617042606</v>
      </c>
      <c r="B5122" t="str">
        <f t="shared" si="1881"/>
        <v>AYLA</v>
      </c>
      <c r="C5122" t="str">
        <f t="shared" si="1882"/>
        <v>ERIS</v>
      </c>
      <c r="D5122">
        <f>11</f>
        <v>11</v>
      </c>
      <c r="E5122" t="str">
        <f>"05 - B - 101 - Jordana K Hass"</f>
        <v>05 - B - 101 - Jordana K Hass</v>
      </c>
      <c r="F5122" t="str">
        <f>"AP COMP SCI PRIN"</f>
        <v>AP COMP SCI PRIN</v>
      </c>
      <c r="G5122" t="str">
        <f>"08-807"</f>
        <v>08-807</v>
      </c>
      <c r="H5122" t="str">
        <f>"B"</f>
        <v>B</v>
      </c>
    </row>
    <row r="5123" spans="1:8" x14ac:dyDescent="0.2">
      <c r="A5123" t="str">
        <f t="shared" si="1880"/>
        <v>0617042606</v>
      </c>
      <c r="B5123" t="str">
        <f t="shared" si="1881"/>
        <v>AYLA</v>
      </c>
      <c r="C5123" t="str">
        <f t="shared" si="1882"/>
        <v>ERIS</v>
      </c>
      <c r="D5123">
        <f>11</f>
        <v>11</v>
      </c>
      <c r="E5123" t="str">
        <f>"01 - A - 001 - Stephen T Ripp"</f>
        <v>01 - A - 001 - Stephen T Ripp</v>
      </c>
      <c r="F5123" t="str">
        <f>"AP U.S. HIST"</f>
        <v>AP U.S. HIST</v>
      </c>
      <c r="G5123" t="str">
        <f>"17-1744"</f>
        <v>17-1744</v>
      </c>
      <c r="H5123" t="str">
        <f>"A"</f>
        <v>A</v>
      </c>
    </row>
    <row r="5124" spans="1:8" x14ac:dyDescent="0.2">
      <c r="A5124" t="str">
        <f t="shared" si="1880"/>
        <v>0617042606</v>
      </c>
      <c r="B5124" t="str">
        <f t="shared" si="1881"/>
        <v>AYLA</v>
      </c>
      <c r="C5124" t="str">
        <f t="shared" si="1882"/>
        <v>ERIS</v>
      </c>
      <c r="D5124">
        <f>11</f>
        <v>11</v>
      </c>
      <c r="E5124" t="str">
        <f>"08 - B - 102 - Jacqueline R Morphet"</f>
        <v>08 - B - 102 - Jacqueline R Morphet</v>
      </c>
      <c r="F5124" t="str">
        <f>"AP PHYSICS 1"</f>
        <v>AP PHYSICS 1</v>
      </c>
      <c r="G5124" t="str">
        <f>"21-2138"</f>
        <v>21-2138</v>
      </c>
      <c r="H5124" t="str">
        <f>"B"</f>
        <v>B</v>
      </c>
    </row>
    <row r="5125" spans="1:8" x14ac:dyDescent="0.2">
      <c r="A5125" t="str">
        <f t="shared" ref="A5125:A5132" si="1883">"0621016650"</f>
        <v>0621016650</v>
      </c>
      <c r="B5125" t="str">
        <f t="shared" ref="B5125:B5132" si="1884">"STEPHANIE"</f>
        <v>STEPHANIE</v>
      </c>
      <c r="C5125" t="str">
        <f t="shared" ref="C5125:C5132" si="1885">"ESCOBAR"</f>
        <v>ESCOBAR</v>
      </c>
      <c r="D5125">
        <f>10</f>
        <v>10</v>
      </c>
      <c r="E5125" t="str">
        <f>"04 - A - 101 - Stefanie S Scher"</f>
        <v>04 - A - 101 - Stefanie S Scher</v>
      </c>
      <c r="F5125" t="str">
        <f>"AP PSYCH"</f>
        <v>AP PSYCH</v>
      </c>
      <c r="G5125" t="str">
        <f>"17-1735"</f>
        <v>17-1735</v>
      </c>
      <c r="H5125" t="str">
        <f>"A"</f>
        <v>A</v>
      </c>
    </row>
    <row r="5126" spans="1:8" x14ac:dyDescent="0.2">
      <c r="A5126" t="str">
        <f t="shared" si="1883"/>
        <v>0621016650</v>
      </c>
      <c r="B5126" t="str">
        <f t="shared" si="1884"/>
        <v>STEPHANIE</v>
      </c>
      <c r="C5126" t="str">
        <f t="shared" si="1885"/>
        <v>ESCOBAR</v>
      </c>
      <c r="D5126">
        <f>10</f>
        <v>10</v>
      </c>
      <c r="E5126" t="str">
        <f>"06 - B - 001 - Ferrie J Arostique"</f>
        <v>06 - B - 001 - Ferrie J Arostique</v>
      </c>
      <c r="F5126" t="str">
        <f>"NC STUDY HALL 1"</f>
        <v>NC STUDY HALL 1</v>
      </c>
      <c r="G5126" t="str">
        <f>"21-2139"</f>
        <v>21-2139</v>
      </c>
      <c r="H5126" t="str">
        <f>"B"</f>
        <v>B</v>
      </c>
    </row>
    <row r="5127" spans="1:8" x14ac:dyDescent="0.2">
      <c r="A5127" t="str">
        <f t="shared" si="1883"/>
        <v>0621016650</v>
      </c>
      <c r="B5127" t="str">
        <f t="shared" si="1884"/>
        <v>STEPHANIE</v>
      </c>
      <c r="C5127" t="str">
        <f t="shared" si="1885"/>
        <v>ESCOBAR</v>
      </c>
      <c r="D5127">
        <f>10</f>
        <v>10</v>
      </c>
      <c r="E5127" t="str">
        <f>"03 - A - 104 - Fernando  Vega-Cid"</f>
        <v>03 - A - 104 - Fernando  Vega-Cid</v>
      </c>
      <c r="F5127" t="str">
        <f>"GEOMETRY"</f>
        <v>GEOMETRY</v>
      </c>
      <c r="G5127" t="str">
        <f>"21-2163"</f>
        <v>21-2163</v>
      </c>
      <c r="H5127" t="str">
        <f>"A"</f>
        <v>A</v>
      </c>
    </row>
    <row r="5128" spans="1:8" x14ac:dyDescent="0.2">
      <c r="A5128" t="str">
        <f t="shared" si="1883"/>
        <v>0621016650</v>
      </c>
      <c r="B5128" t="str">
        <f t="shared" si="1884"/>
        <v>STEPHANIE</v>
      </c>
      <c r="C5128" t="str">
        <f t="shared" si="1885"/>
        <v>ESCOBAR</v>
      </c>
      <c r="D5128">
        <f>10</f>
        <v>10</v>
      </c>
      <c r="E5128" t="str">
        <f>"02 - A - 103 - Dorothy D Moore"</f>
        <v>02 - A - 103 - Dorothy D Moore</v>
      </c>
      <c r="F5128" t="str">
        <f>"ANAT PHYSIO HON"</f>
        <v>ANAT PHYSIO HON</v>
      </c>
      <c r="G5128" t="str">
        <f>"08-803"</f>
        <v>08-803</v>
      </c>
      <c r="H5128" t="str">
        <f>"A"</f>
        <v>A</v>
      </c>
    </row>
    <row r="5129" spans="1:8" x14ac:dyDescent="0.2">
      <c r="A5129" t="str">
        <f t="shared" si="1883"/>
        <v>0621016650</v>
      </c>
      <c r="B5129" t="str">
        <f t="shared" si="1884"/>
        <v>STEPHANIE</v>
      </c>
      <c r="C5129" t="str">
        <f t="shared" si="1885"/>
        <v>ESCOBAR</v>
      </c>
      <c r="D5129">
        <f>10</f>
        <v>10</v>
      </c>
      <c r="E5129" t="str">
        <f>"07 - B - 102 - Nikiel  Nesbeth"</f>
        <v>07 - B - 102 - Nikiel  Nesbeth</v>
      </c>
      <c r="F5129" t="str">
        <f>"PRE-AICE ENG LIT IG"</f>
        <v>PRE-AICE ENG LIT IG</v>
      </c>
      <c r="G5129" t="str">
        <f>"17-1705"</f>
        <v>17-1705</v>
      </c>
      <c r="H5129" t="str">
        <f>"B"</f>
        <v>B</v>
      </c>
    </row>
    <row r="5130" spans="1:8" x14ac:dyDescent="0.2">
      <c r="A5130" t="str">
        <f t="shared" si="1883"/>
        <v>0621016650</v>
      </c>
      <c r="B5130" t="str">
        <f t="shared" si="1884"/>
        <v>STEPHANIE</v>
      </c>
      <c r="C5130" t="str">
        <f t="shared" si="1885"/>
        <v>ESCOBAR</v>
      </c>
      <c r="D5130">
        <f>10</f>
        <v>10</v>
      </c>
      <c r="E5130" t="str">
        <f>"05 - B - 103 - Rory T Sponsler"</f>
        <v>05 - B - 103 - Rory T Sponsler</v>
      </c>
      <c r="F5130" t="str">
        <f>"PRE-AICE WRLD HST IG"</f>
        <v>PRE-AICE WRLD HST IG</v>
      </c>
      <c r="G5130" t="str">
        <f>"17-1740"</f>
        <v>17-1740</v>
      </c>
      <c r="H5130" t="str">
        <f>"B"</f>
        <v>B</v>
      </c>
    </row>
    <row r="5131" spans="1:8" x14ac:dyDescent="0.2">
      <c r="A5131" t="str">
        <f t="shared" si="1883"/>
        <v>0621016650</v>
      </c>
      <c r="B5131" t="str">
        <f t="shared" si="1884"/>
        <v>STEPHANIE</v>
      </c>
      <c r="C5131" t="str">
        <f t="shared" si="1885"/>
        <v>ESCOBAR</v>
      </c>
      <c r="D5131">
        <f>10</f>
        <v>10</v>
      </c>
      <c r="E5131" t="str">
        <f>"01 - A - 504 - Alejandro  Navarro"</f>
        <v>01 - A - 504 - Alejandro  Navarro</v>
      </c>
      <c r="F5131" t="str">
        <f>"BAND 1"</f>
        <v>BAND 1</v>
      </c>
      <c r="G5131" t="str">
        <f>"05-504"</f>
        <v>05-504</v>
      </c>
      <c r="H5131" t="str">
        <f>"A"</f>
        <v>A</v>
      </c>
    </row>
    <row r="5132" spans="1:8" x14ac:dyDescent="0.2">
      <c r="A5132" t="str">
        <f t="shared" si="1883"/>
        <v>0621016650</v>
      </c>
      <c r="B5132" t="str">
        <f t="shared" si="1884"/>
        <v>STEPHANIE</v>
      </c>
      <c r="C5132" t="str">
        <f t="shared" si="1885"/>
        <v>ESCOBAR</v>
      </c>
      <c r="D5132">
        <f>10</f>
        <v>10</v>
      </c>
      <c r="E5132" t="str">
        <f>"08 - B - 105 - Daniel S Tyson"</f>
        <v>08 - B - 105 - Daniel S Tyson</v>
      </c>
      <c r="F5132" t="str">
        <f>"JROTC NAVAL SCI 2"</f>
        <v>JROTC NAVAL SCI 2</v>
      </c>
      <c r="G5132" t="str">
        <f>"05-510"</f>
        <v>05-510</v>
      </c>
      <c r="H5132" t="str">
        <f>"B"</f>
        <v>B</v>
      </c>
    </row>
    <row r="5133" spans="1:8" x14ac:dyDescent="0.2">
      <c r="A5133" t="str">
        <f t="shared" ref="A5133:A5140" si="1886">"0617150369"</f>
        <v>0617150369</v>
      </c>
      <c r="B5133" t="str">
        <f t="shared" ref="B5133:B5140" si="1887">"DE ANGELO"</f>
        <v>DE ANGELO</v>
      </c>
      <c r="C5133" t="str">
        <f t="shared" ref="C5133:C5140" si="1888">"ESPIDOL"</f>
        <v>ESPIDOL</v>
      </c>
      <c r="D5133" t="str">
        <f t="shared" ref="D5133:D5140" si="1889">"09"</f>
        <v>09</v>
      </c>
      <c r="E5133" t="str">
        <f>"04 - A - 201 - Dorothy D Moore"</f>
        <v>04 - A - 201 - Dorothy D Moore</v>
      </c>
      <c r="F5133" t="str">
        <f>"HEALTH SCI 1/A&amp;P HON"</f>
        <v>HEALTH SCI 1/A&amp;P HON</v>
      </c>
      <c r="G5133" t="str">
        <f>"08-803"</f>
        <v>08-803</v>
      </c>
      <c r="H5133" t="str">
        <f>"A"</f>
        <v>A</v>
      </c>
    </row>
    <row r="5134" spans="1:8" x14ac:dyDescent="0.2">
      <c r="A5134" t="str">
        <f t="shared" si="1886"/>
        <v>0617150369</v>
      </c>
      <c r="B5134" t="str">
        <f t="shared" si="1887"/>
        <v>DE ANGELO</v>
      </c>
      <c r="C5134" t="str">
        <f t="shared" si="1888"/>
        <v>ESPIDOL</v>
      </c>
      <c r="D5134" t="str">
        <f t="shared" si="1889"/>
        <v>09</v>
      </c>
      <c r="E5134" t="str">
        <f>"06 - B - 104 - Rory T Sponsler"</f>
        <v>06 - B - 104 - Rory T Sponsler</v>
      </c>
      <c r="F5134" t="str">
        <f>"PRE-AICE WRLD HST IG"</f>
        <v>PRE-AICE WRLD HST IG</v>
      </c>
      <c r="G5134" t="str">
        <f>"17-1740"</f>
        <v>17-1740</v>
      </c>
      <c r="H5134" t="str">
        <f>"B"</f>
        <v>B</v>
      </c>
    </row>
    <row r="5135" spans="1:8" x14ac:dyDescent="0.2">
      <c r="A5135" t="str">
        <f t="shared" si="1886"/>
        <v>0617150369</v>
      </c>
      <c r="B5135" t="str">
        <f t="shared" si="1887"/>
        <v>DE ANGELO</v>
      </c>
      <c r="C5135" t="str">
        <f t="shared" si="1888"/>
        <v>ESPIDOL</v>
      </c>
      <c r="D5135" t="str">
        <f t="shared" si="1889"/>
        <v>09</v>
      </c>
      <c r="E5135" t="str">
        <f>"03 - A - 103 - Adam Marcus  Drucker"</f>
        <v>03 - A - 103 - Adam Marcus  Drucker</v>
      </c>
      <c r="F5135" t="str">
        <f>"HOPE-PE V"</f>
        <v>HOPE-PE V</v>
      </c>
      <c r="G5135" t="str">
        <f>"04-254"</f>
        <v>04-254</v>
      </c>
      <c r="H5135" t="str">
        <f>"A"</f>
        <v>A</v>
      </c>
    </row>
    <row r="5136" spans="1:8" x14ac:dyDescent="0.2">
      <c r="A5136" t="str">
        <f t="shared" si="1886"/>
        <v>0617150369</v>
      </c>
      <c r="B5136" t="str">
        <f t="shared" si="1887"/>
        <v>DE ANGELO</v>
      </c>
      <c r="C5136" t="str">
        <f t="shared" si="1888"/>
        <v>ESPIDOL</v>
      </c>
      <c r="D5136" t="str">
        <f t="shared" si="1889"/>
        <v>09</v>
      </c>
      <c r="E5136" t="str">
        <f>"02 - A - 106 - Helen A Flores"</f>
        <v>02 - A - 106 - Helen A Flores</v>
      </c>
      <c r="F5136" t="str">
        <f>"NC STUDY HALL 1"</f>
        <v>NC STUDY HALL 1</v>
      </c>
      <c r="G5136" t="str">
        <f>"21-2101"</f>
        <v>21-2101</v>
      </c>
      <c r="H5136" t="str">
        <f>"A"</f>
        <v>A</v>
      </c>
    </row>
    <row r="5137" spans="1:8" x14ac:dyDescent="0.2">
      <c r="A5137" t="str">
        <f t="shared" si="1886"/>
        <v>0617150369</v>
      </c>
      <c r="B5137" t="str">
        <f t="shared" si="1887"/>
        <v>DE ANGELO</v>
      </c>
      <c r="C5137" t="str">
        <f t="shared" si="1888"/>
        <v>ESPIDOL</v>
      </c>
      <c r="D5137" t="str">
        <f t="shared" si="1889"/>
        <v>09</v>
      </c>
      <c r="E5137" t="str">
        <f>"07 - B - 003 - Brandy N Zdenek"</f>
        <v>07 - B - 003 - Brandy N Zdenek</v>
      </c>
      <c r="F5137" t="str">
        <f>"AICE ENG GEN PAPER 1"</f>
        <v>AICE ENG GEN PAPER 1</v>
      </c>
      <c r="G5137" t="str">
        <f>"17-1704"</f>
        <v>17-1704</v>
      </c>
      <c r="H5137" t="str">
        <f>"B"</f>
        <v>B</v>
      </c>
    </row>
    <row r="5138" spans="1:8" x14ac:dyDescent="0.2">
      <c r="A5138" t="str">
        <f t="shared" si="1886"/>
        <v>0617150369</v>
      </c>
      <c r="B5138" t="str">
        <f t="shared" si="1887"/>
        <v>DE ANGELO</v>
      </c>
      <c r="C5138" t="str">
        <f t="shared" si="1888"/>
        <v>ESPIDOL</v>
      </c>
      <c r="D5138" t="str">
        <f t="shared" si="1889"/>
        <v>09</v>
      </c>
      <c r="E5138" t="str">
        <f>"05 - S1 - B - 103 - Leslie J Barton"</f>
        <v>05 - S1 - B - 103 - Leslie J Barton</v>
      </c>
      <c r="F5138" t="str">
        <f>"FIRST AID SAFETY"</f>
        <v>FIRST AID SAFETY</v>
      </c>
      <c r="G5138" t="str">
        <f>"05-521"</f>
        <v>05-521</v>
      </c>
      <c r="H5138" t="str">
        <f>"B"</f>
        <v>B</v>
      </c>
    </row>
    <row r="5139" spans="1:8" x14ac:dyDescent="0.2">
      <c r="A5139" t="str">
        <f t="shared" si="1886"/>
        <v>0617150369</v>
      </c>
      <c r="B5139" t="str">
        <f t="shared" si="1887"/>
        <v>DE ANGELO</v>
      </c>
      <c r="C5139" t="str">
        <f t="shared" si="1888"/>
        <v>ESPIDOL</v>
      </c>
      <c r="D5139" t="str">
        <f t="shared" si="1889"/>
        <v>09</v>
      </c>
      <c r="E5139" t="str">
        <f>"01 - A - 101 - Maried P Ramos"</f>
        <v>01 - A - 101 - Maried P Ramos</v>
      </c>
      <c r="F5139" t="str">
        <f>"ALGEBRA 2 HON"</f>
        <v>ALGEBRA 2 HON</v>
      </c>
      <c r="G5139" t="str">
        <f>"21-2159"</f>
        <v>21-2159</v>
      </c>
      <c r="H5139" t="str">
        <f>"A"</f>
        <v>A</v>
      </c>
    </row>
    <row r="5140" spans="1:8" x14ac:dyDescent="0.2">
      <c r="A5140" t="str">
        <f t="shared" si="1886"/>
        <v>0617150369</v>
      </c>
      <c r="B5140" t="str">
        <f t="shared" si="1887"/>
        <v>DE ANGELO</v>
      </c>
      <c r="C5140" t="str">
        <f t="shared" si="1888"/>
        <v>ESPIDOL</v>
      </c>
      <c r="D5140" t="str">
        <f t="shared" si="1889"/>
        <v>09</v>
      </c>
      <c r="E5140" t="str">
        <f>"08 - B - 102 - Josiah I Lacy"</f>
        <v>08 - B - 102 - Josiah I Lacy</v>
      </c>
      <c r="F5140" t="str">
        <f>"ANAT PHYSIO HON"</f>
        <v>ANAT PHYSIO HON</v>
      </c>
      <c r="G5140" t="str">
        <f>"08-801"</f>
        <v>08-801</v>
      </c>
      <c r="H5140" t="str">
        <f>"B"</f>
        <v>B</v>
      </c>
    </row>
    <row r="5141" spans="1:8" x14ac:dyDescent="0.2">
      <c r="A5141" t="str">
        <f t="shared" ref="A5141:A5148" si="1890">"0614020179"</f>
        <v>0614020179</v>
      </c>
      <c r="B5141" t="str">
        <f t="shared" ref="B5141:B5148" si="1891">"AMISADAY"</f>
        <v>AMISADAY</v>
      </c>
      <c r="C5141" t="str">
        <f t="shared" ref="C5141:C5156" si="1892">"ESPINOZA"</f>
        <v>ESPINOZA</v>
      </c>
      <c r="D5141">
        <f>11</f>
        <v>11</v>
      </c>
      <c r="E5141" t="str">
        <f>"04 - A - 101 - Rosa Elaine  Collado-Duff"</f>
        <v>04 - A - 101 - Rosa Elaine  Collado-Duff</v>
      </c>
      <c r="F5141" t="str">
        <f>"AICE SPAN LANG AS"</f>
        <v>AICE SPAN LANG AS</v>
      </c>
      <c r="G5141" t="str">
        <f>"09-913"</f>
        <v>09-913</v>
      </c>
      <c r="H5141" t="str">
        <f>"A"</f>
        <v>A</v>
      </c>
    </row>
    <row r="5142" spans="1:8" x14ac:dyDescent="0.2">
      <c r="A5142" t="str">
        <f t="shared" si="1890"/>
        <v>0614020179</v>
      </c>
      <c r="B5142" t="str">
        <f t="shared" si="1891"/>
        <v>AMISADAY</v>
      </c>
      <c r="C5142" t="str">
        <f t="shared" si="1892"/>
        <v>ESPINOZA</v>
      </c>
      <c r="D5142">
        <f>11</f>
        <v>11</v>
      </c>
      <c r="E5142" t="str">
        <f>"06 - B - 104 - Brandy N Zdenek"</f>
        <v>06 - B - 104 - Brandy N Zdenek</v>
      </c>
      <c r="F5142" t="str">
        <f>"AICE ENG LANG 2 AL"</f>
        <v>AICE ENG LANG 2 AL</v>
      </c>
      <c r="G5142" t="str">
        <f>"17-1704"</f>
        <v>17-1704</v>
      </c>
      <c r="H5142" t="str">
        <f>"B"</f>
        <v>B</v>
      </c>
    </row>
    <row r="5143" spans="1:8" x14ac:dyDescent="0.2">
      <c r="A5143" t="str">
        <f t="shared" si="1890"/>
        <v>0614020179</v>
      </c>
      <c r="B5143" t="str">
        <f t="shared" si="1891"/>
        <v>AMISADAY</v>
      </c>
      <c r="C5143" t="str">
        <f t="shared" si="1892"/>
        <v>ESPINOZA</v>
      </c>
      <c r="D5143">
        <f>11</f>
        <v>11</v>
      </c>
      <c r="E5143" t="str">
        <f>"03 - A - 102 - Thomas G Handwerg"</f>
        <v>03 - A - 102 - Thomas G Handwerg</v>
      </c>
      <c r="F5143" t="str">
        <f>"MATH COLL ALGEBRA"</f>
        <v>MATH COLL ALGEBRA</v>
      </c>
      <c r="G5143" t="str">
        <f>"21-2146"</f>
        <v>21-2146</v>
      </c>
      <c r="H5143" t="str">
        <f>"A"</f>
        <v>A</v>
      </c>
    </row>
    <row r="5144" spans="1:8" x14ac:dyDescent="0.2">
      <c r="A5144" t="str">
        <f t="shared" si="1890"/>
        <v>0614020179</v>
      </c>
      <c r="B5144" t="str">
        <f t="shared" si="1891"/>
        <v>AMISADAY</v>
      </c>
      <c r="C5144" t="str">
        <f t="shared" si="1892"/>
        <v>ESPINOZA</v>
      </c>
      <c r="D5144">
        <f>11</f>
        <v>11</v>
      </c>
      <c r="E5144" t="str">
        <f>"02 - A - 113 - Byron G Montenegro"</f>
        <v>02 - A - 113 - Byron G Montenegro</v>
      </c>
      <c r="F5144" t="str">
        <f>"NC STUDY HALL 1"</f>
        <v>NC STUDY HALL 1</v>
      </c>
      <c r="G5144" t="str">
        <f>"21-2144"</f>
        <v>21-2144</v>
      </c>
      <c r="H5144" t="str">
        <f>"A"</f>
        <v>A</v>
      </c>
    </row>
    <row r="5145" spans="1:8" x14ac:dyDescent="0.2">
      <c r="A5145" t="str">
        <f t="shared" si="1890"/>
        <v>0614020179</v>
      </c>
      <c r="B5145" t="str">
        <f t="shared" si="1891"/>
        <v>AMISADAY</v>
      </c>
      <c r="C5145" t="str">
        <f t="shared" si="1892"/>
        <v>ESPINOZA</v>
      </c>
      <c r="D5145">
        <f>11</f>
        <v>11</v>
      </c>
      <c r="E5145" t="str">
        <f>"07 - B - 104 - Jerry S Jiampetti"</f>
        <v>07 - B - 104 - Jerry S Jiampetti</v>
      </c>
      <c r="F5145" t="str">
        <f>"AICE U.S. HIST 1 AS"</f>
        <v>AICE U.S. HIST 1 AS</v>
      </c>
      <c r="G5145" t="str">
        <f>"17-1751"</f>
        <v>17-1751</v>
      </c>
      <c r="H5145" t="str">
        <f>"B"</f>
        <v>B</v>
      </c>
    </row>
    <row r="5146" spans="1:8" x14ac:dyDescent="0.2">
      <c r="A5146" t="str">
        <f t="shared" si="1890"/>
        <v>0614020179</v>
      </c>
      <c r="B5146" t="str">
        <f t="shared" si="1891"/>
        <v>AMISADAY</v>
      </c>
      <c r="C5146" t="str">
        <f t="shared" si="1892"/>
        <v>ESPINOZA</v>
      </c>
      <c r="D5146">
        <f>11</f>
        <v>11</v>
      </c>
      <c r="E5146" t="str">
        <f>"05 - B - 103 - Byron G Montenegro"</f>
        <v>05 - B - 103 - Byron G Montenegro</v>
      </c>
      <c r="F5146" t="str">
        <f>"AICE MARINE SCI 1 AS"</f>
        <v>AICE MARINE SCI 1 AS</v>
      </c>
      <c r="G5146" t="str">
        <f>"21-2144"</f>
        <v>21-2144</v>
      </c>
      <c r="H5146" t="str">
        <f>"B"</f>
        <v>B</v>
      </c>
    </row>
    <row r="5147" spans="1:8" x14ac:dyDescent="0.2">
      <c r="A5147" t="str">
        <f t="shared" si="1890"/>
        <v>0614020179</v>
      </c>
      <c r="B5147" t="str">
        <f t="shared" si="1891"/>
        <v>AMISADAY</v>
      </c>
      <c r="C5147" t="str">
        <f t="shared" si="1892"/>
        <v>ESPINOZA</v>
      </c>
      <c r="D5147">
        <f>11</f>
        <v>11</v>
      </c>
      <c r="E5147" t="str">
        <f>"01 - A - 201 - Chrystina M Marchionne"</f>
        <v>01 - A - 201 - Chrystina M Marchionne</v>
      </c>
      <c r="F5147" t="str">
        <f>"AICE MEDIASTUDIES AS"</f>
        <v>AICE MEDIASTUDIES AS</v>
      </c>
      <c r="G5147" t="str">
        <f>"05-520"</f>
        <v>05-520</v>
      </c>
      <c r="H5147" t="str">
        <f>"A"</f>
        <v>A</v>
      </c>
    </row>
    <row r="5148" spans="1:8" x14ac:dyDescent="0.2">
      <c r="A5148" t="str">
        <f t="shared" si="1890"/>
        <v>0614020179</v>
      </c>
      <c r="B5148" t="str">
        <f t="shared" si="1891"/>
        <v>AMISADAY</v>
      </c>
      <c r="C5148" t="str">
        <f t="shared" si="1892"/>
        <v>ESPINOZA</v>
      </c>
      <c r="D5148">
        <f>11</f>
        <v>11</v>
      </c>
      <c r="E5148" t="str">
        <f>"08 - S1 - B - 105 - James H Mccann"</f>
        <v>08 - S1 - B - 105 - James H Mccann</v>
      </c>
      <c r="F5148" t="str">
        <f>"PERS FIN &amp; MON MGT H"</f>
        <v>PERS FIN &amp; MON MGT H</v>
      </c>
      <c r="G5148" t="str">
        <f>"17-1716"</f>
        <v>17-1716</v>
      </c>
      <c r="H5148" t="str">
        <f>"B"</f>
        <v>B</v>
      </c>
    </row>
    <row r="5149" spans="1:8" x14ac:dyDescent="0.2">
      <c r="A5149" t="str">
        <f t="shared" ref="A5149:A5156" si="1893">"0615014914"</f>
        <v>0615014914</v>
      </c>
      <c r="B5149" t="str">
        <f t="shared" ref="B5149:B5156" si="1894">"BENJAMIN"</f>
        <v>BENJAMIN</v>
      </c>
      <c r="C5149" t="str">
        <f t="shared" si="1892"/>
        <v>ESPINOZA</v>
      </c>
      <c r="D5149">
        <f>10</f>
        <v>10</v>
      </c>
      <c r="E5149" t="str">
        <f>"04 - A - 203 - Daniel S Tyson"</f>
        <v>04 - A - 203 - Daniel S Tyson</v>
      </c>
      <c r="F5149" t="str">
        <f>"JROTC NAVAL SCI 2"</f>
        <v>JROTC NAVAL SCI 2</v>
      </c>
      <c r="G5149" t="str">
        <f>"05-510"</f>
        <v>05-510</v>
      </c>
      <c r="H5149" t="str">
        <f>"A"</f>
        <v>A</v>
      </c>
    </row>
    <row r="5150" spans="1:8" x14ac:dyDescent="0.2">
      <c r="A5150" t="str">
        <f t="shared" si="1893"/>
        <v>0615014914</v>
      </c>
      <c r="B5150" t="str">
        <f t="shared" si="1894"/>
        <v>BENJAMIN</v>
      </c>
      <c r="C5150" t="str">
        <f t="shared" si="1892"/>
        <v>ESPINOZA</v>
      </c>
      <c r="D5150">
        <f>10</f>
        <v>10</v>
      </c>
      <c r="E5150" t="str">
        <f>"06 - B - 107 - Dorothy D Moore"</f>
        <v>06 - B - 107 - Dorothy D Moore</v>
      </c>
      <c r="F5150" t="str">
        <f>"NC STUDY HALL 1"</f>
        <v>NC STUDY HALL 1</v>
      </c>
      <c r="G5150" t="str">
        <f>"08-803"</f>
        <v>08-803</v>
      </c>
      <c r="H5150" t="str">
        <f>"B"</f>
        <v>B</v>
      </c>
    </row>
    <row r="5151" spans="1:8" x14ac:dyDescent="0.2">
      <c r="A5151" t="str">
        <f t="shared" si="1893"/>
        <v>0615014914</v>
      </c>
      <c r="B5151" t="str">
        <f t="shared" si="1894"/>
        <v>BENJAMIN</v>
      </c>
      <c r="C5151" t="str">
        <f t="shared" si="1892"/>
        <v>ESPINOZA</v>
      </c>
      <c r="D5151">
        <f>10</f>
        <v>10</v>
      </c>
      <c r="E5151" t="str">
        <f>"03 - A - 002 - Lenecy  Nodarse"</f>
        <v>03 - A - 002 - Lenecy  Nodarse</v>
      </c>
      <c r="F5151" t="str">
        <f>"AICE EURO HIST 1 AS"</f>
        <v>AICE EURO HIST 1 AS</v>
      </c>
      <c r="G5151" t="str">
        <f>"17-1741"</f>
        <v>17-1741</v>
      </c>
      <c r="H5151" t="str">
        <f>"A"</f>
        <v>A</v>
      </c>
    </row>
    <row r="5152" spans="1:8" x14ac:dyDescent="0.2">
      <c r="A5152" t="str">
        <f t="shared" si="1893"/>
        <v>0615014914</v>
      </c>
      <c r="B5152" t="str">
        <f t="shared" si="1894"/>
        <v>BENJAMIN</v>
      </c>
      <c r="C5152" t="str">
        <f t="shared" si="1892"/>
        <v>ESPINOZA</v>
      </c>
      <c r="D5152">
        <f>10</f>
        <v>10</v>
      </c>
      <c r="E5152" t="str">
        <f>"02 - A - 105 - Semra  Bahadir"</f>
        <v>02 - A - 105 - Semra  Bahadir</v>
      </c>
      <c r="F5152" t="str">
        <f>"ALGEBRA 2"</f>
        <v>ALGEBRA 2</v>
      </c>
      <c r="G5152" t="str">
        <f>"21-2107"</f>
        <v>21-2107</v>
      </c>
      <c r="H5152" t="str">
        <f>"A"</f>
        <v>A</v>
      </c>
    </row>
    <row r="5153" spans="1:8" x14ac:dyDescent="0.2">
      <c r="A5153" t="str">
        <f t="shared" si="1893"/>
        <v>0615014914</v>
      </c>
      <c r="B5153" t="str">
        <f t="shared" si="1894"/>
        <v>BENJAMIN</v>
      </c>
      <c r="C5153" t="str">
        <f t="shared" si="1892"/>
        <v>ESPINOZA</v>
      </c>
      <c r="D5153">
        <f>10</f>
        <v>10</v>
      </c>
      <c r="E5153" t="str">
        <f>"07 - B - 107 - Rosa Elaine  Collado-Duff"</f>
        <v>07 - B - 107 - Rosa Elaine  Collado-Duff</v>
      </c>
      <c r="F5153" t="str">
        <f>"PRE-AICE SPAN 2 IG"</f>
        <v>PRE-AICE SPAN 2 IG</v>
      </c>
      <c r="G5153" t="str">
        <f>"09-913"</f>
        <v>09-913</v>
      </c>
      <c r="H5153" t="str">
        <f>"B"</f>
        <v>B</v>
      </c>
    </row>
    <row r="5154" spans="1:8" x14ac:dyDescent="0.2">
      <c r="A5154" t="str">
        <f t="shared" si="1893"/>
        <v>0615014914</v>
      </c>
      <c r="B5154" t="str">
        <f t="shared" si="1894"/>
        <v>BENJAMIN</v>
      </c>
      <c r="C5154" t="str">
        <f t="shared" si="1892"/>
        <v>ESPINOZA</v>
      </c>
      <c r="D5154">
        <f>10</f>
        <v>10</v>
      </c>
      <c r="E5154" t="str">
        <f>"05 - B - 106 - Courtney E Hambright"</f>
        <v>05 - B - 106 - Courtney E Hambright</v>
      </c>
      <c r="F5154" t="str">
        <f>"AICE ENG LANG AS"</f>
        <v>AICE ENG LANG AS</v>
      </c>
      <c r="G5154" t="str">
        <f>"17-1711"</f>
        <v>17-1711</v>
      </c>
      <c r="H5154" t="str">
        <f>"B"</f>
        <v>B</v>
      </c>
    </row>
    <row r="5155" spans="1:8" x14ac:dyDescent="0.2">
      <c r="A5155" t="str">
        <f t="shared" si="1893"/>
        <v>0615014914</v>
      </c>
      <c r="B5155" t="str">
        <f t="shared" si="1894"/>
        <v>BENJAMIN</v>
      </c>
      <c r="C5155" t="str">
        <f t="shared" si="1892"/>
        <v>ESPINOZA</v>
      </c>
      <c r="D5155">
        <f>10</f>
        <v>10</v>
      </c>
      <c r="E5155" t="str">
        <f>"01 - A - 107 - Valerie J Ruwe"</f>
        <v>01 - A - 107 - Valerie J Ruwe</v>
      </c>
      <c r="F5155" t="str">
        <f>"CHEMISTRY 1 HON"</f>
        <v>CHEMISTRY 1 HON</v>
      </c>
      <c r="G5155" t="str">
        <f>"21-2134"</f>
        <v>21-2134</v>
      </c>
      <c r="H5155" t="str">
        <f>"A"</f>
        <v>A</v>
      </c>
    </row>
    <row r="5156" spans="1:8" x14ac:dyDescent="0.2">
      <c r="A5156" t="str">
        <f t="shared" si="1893"/>
        <v>0615014914</v>
      </c>
      <c r="B5156" t="str">
        <f t="shared" si="1894"/>
        <v>BENJAMIN</v>
      </c>
      <c r="C5156" t="str">
        <f t="shared" si="1892"/>
        <v>ESPINOZA</v>
      </c>
      <c r="D5156">
        <f>10</f>
        <v>10</v>
      </c>
      <c r="E5156" t="str">
        <f>"08 - B - 001 - Brian M Fitzgerald"</f>
        <v>08 - B - 001 - Brian M Fitzgerald</v>
      </c>
      <c r="F5156" t="str">
        <f>"CERAM/POT 1"</f>
        <v>CERAM/POT 1</v>
      </c>
      <c r="G5156" t="str">
        <f>"09-908"</f>
        <v>09-908</v>
      </c>
      <c r="H5156" t="str">
        <f>"B"</f>
        <v>B</v>
      </c>
    </row>
    <row r="5157" spans="1:8" x14ac:dyDescent="0.2">
      <c r="A5157" t="str">
        <f t="shared" ref="A5157:A5164" si="1895">"0614107489"</f>
        <v>0614107489</v>
      </c>
      <c r="B5157" t="str">
        <f t="shared" ref="B5157:B5164" si="1896">"REEF"</f>
        <v>REEF</v>
      </c>
      <c r="C5157" t="str">
        <f t="shared" ref="C5157:C5164" si="1897">"ESSER"</f>
        <v>ESSER</v>
      </c>
      <c r="D5157">
        <f>11</f>
        <v>11</v>
      </c>
      <c r="E5157" t="str">
        <f>"04 - A - 202 - Daniel S Katz"</f>
        <v>04 - A - 202 - Daniel S Katz</v>
      </c>
      <c r="F5157" t="str">
        <f>"AICE DRAMA 2 A LEVEL"</f>
        <v>AICE DRAMA 2 A LEVEL</v>
      </c>
      <c r="G5157" t="str">
        <f>"05-521"</f>
        <v>05-521</v>
      </c>
      <c r="H5157" t="str">
        <f>"A"</f>
        <v>A</v>
      </c>
    </row>
    <row r="5158" spans="1:8" x14ac:dyDescent="0.2">
      <c r="A5158" t="str">
        <f t="shared" si="1895"/>
        <v>0614107489</v>
      </c>
      <c r="B5158" t="str">
        <f t="shared" si="1896"/>
        <v>REEF</v>
      </c>
      <c r="C5158" t="str">
        <f t="shared" si="1897"/>
        <v>ESSER</v>
      </c>
      <c r="D5158">
        <f>11</f>
        <v>11</v>
      </c>
      <c r="E5158" t="str">
        <f>"06 - B - 206 - Jacqueline R Morphet"</f>
        <v>06 - B - 206 - Jacqueline R Morphet</v>
      </c>
      <c r="F5158" t="str">
        <f>"PHYSICS 1 HON"</f>
        <v>PHYSICS 1 HON</v>
      </c>
      <c r="G5158" t="str">
        <f>"21-2138"</f>
        <v>21-2138</v>
      </c>
      <c r="H5158" t="str">
        <f>"B"</f>
        <v>B</v>
      </c>
    </row>
    <row r="5159" spans="1:8" x14ac:dyDescent="0.2">
      <c r="A5159" t="str">
        <f t="shared" si="1895"/>
        <v>0614107489</v>
      </c>
      <c r="B5159" t="str">
        <f t="shared" si="1896"/>
        <v>REEF</v>
      </c>
      <c r="C5159" t="str">
        <f t="shared" si="1897"/>
        <v>ESSER</v>
      </c>
      <c r="D5159">
        <f>11</f>
        <v>11</v>
      </c>
      <c r="E5159" t="str">
        <f>"03 - A - 101 - Samantha L Martinez"</f>
        <v>03 - A - 101 - Samantha L Martinez</v>
      </c>
      <c r="F5159" t="str">
        <f>"VOCAL ENS 1"</f>
        <v>VOCAL ENS 1</v>
      </c>
      <c r="G5159" t="str">
        <f>"05-505"</f>
        <v>05-505</v>
      </c>
      <c r="H5159" t="str">
        <f>"A"</f>
        <v>A</v>
      </c>
    </row>
    <row r="5160" spans="1:8" x14ac:dyDescent="0.2">
      <c r="A5160" t="str">
        <f t="shared" si="1895"/>
        <v>0614107489</v>
      </c>
      <c r="B5160" t="str">
        <f t="shared" si="1896"/>
        <v>REEF</v>
      </c>
      <c r="C5160" t="str">
        <f t="shared" si="1897"/>
        <v>ESSER</v>
      </c>
      <c r="D5160">
        <f>11</f>
        <v>11</v>
      </c>
      <c r="E5160" t="str">
        <f>"02 - A - 109 - Daniel S Katz"</f>
        <v>02 - A - 109 - Daniel S Katz</v>
      </c>
      <c r="F5160" t="str">
        <f>"NC STUDY HALL 1"</f>
        <v>NC STUDY HALL 1</v>
      </c>
      <c r="G5160" t="str">
        <f>"21-2156"</f>
        <v>21-2156</v>
      </c>
      <c r="H5160" t="str">
        <f>"A"</f>
        <v>A</v>
      </c>
    </row>
    <row r="5161" spans="1:8" x14ac:dyDescent="0.2">
      <c r="A5161" t="str">
        <f t="shared" si="1895"/>
        <v>0614107489</v>
      </c>
      <c r="B5161" t="str">
        <f t="shared" si="1896"/>
        <v>REEF</v>
      </c>
      <c r="C5161" t="str">
        <f t="shared" si="1897"/>
        <v>ESSER</v>
      </c>
      <c r="D5161">
        <f>11</f>
        <v>11</v>
      </c>
      <c r="E5161" t="str">
        <f>"07 - B - 103 - Lisa J London"</f>
        <v>07 - B - 103 - Lisa J London</v>
      </c>
      <c r="F5161" t="str">
        <f>"AP CAPSTONE SEMINAR"</f>
        <v>AP CAPSTONE SEMINAR</v>
      </c>
      <c r="G5161" t="str">
        <f>"17-1714"</f>
        <v>17-1714</v>
      </c>
      <c r="H5161" t="str">
        <f>"B"</f>
        <v>B</v>
      </c>
    </row>
    <row r="5162" spans="1:8" x14ac:dyDescent="0.2">
      <c r="A5162" t="str">
        <f t="shared" si="1895"/>
        <v>0614107489</v>
      </c>
      <c r="B5162" t="str">
        <f t="shared" si="1896"/>
        <v>REEF</v>
      </c>
      <c r="C5162" t="str">
        <f t="shared" si="1897"/>
        <v>ESSER</v>
      </c>
      <c r="D5162">
        <f>11</f>
        <v>11</v>
      </c>
      <c r="E5162" t="str">
        <f>"05 - B - 104 - Lourivaldo  Da Silva"</f>
        <v>05 - B - 104 - Lourivaldo  Da Silva</v>
      </c>
      <c r="F5162" t="str">
        <f>"PRE-CALCULUS HON"</f>
        <v>PRE-CALCULUS HON</v>
      </c>
      <c r="G5162" t="str">
        <f>"20-2079"</f>
        <v>20-2079</v>
      </c>
      <c r="H5162" t="str">
        <f>"B"</f>
        <v>B</v>
      </c>
    </row>
    <row r="5163" spans="1:8" x14ac:dyDescent="0.2">
      <c r="A5163" t="str">
        <f t="shared" si="1895"/>
        <v>0614107489</v>
      </c>
      <c r="B5163" t="str">
        <f t="shared" si="1896"/>
        <v>REEF</v>
      </c>
      <c r="C5163" t="str">
        <f t="shared" si="1897"/>
        <v>ESSER</v>
      </c>
      <c r="D5163">
        <f>11</f>
        <v>11</v>
      </c>
      <c r="E5163" t="str">
        <f>"01 - A - 001 - Stephen T Ripp"</f>
        <v>01 - A - 001 - Stephen T Ripp</v>
      </c>
      <c r="F5163" t="str">
        <f>"AP U.S. HIST"</f>
        <v>AP U.S. HIST</v>
      </c>
      <c r="G5163" t="str">
        <f>"17-1744"</f>
        <v>17-1744</v>
      </c>
      <c r="H5163" t="str">
        <f>"A"</f>
        <v>A</v>
      </c>
    </row>
    <row r="5164" spans="1:8" x14ac:dyDescent="0.2">
      <c r="A5164" t="str">
        <f t="shared" si="1895"/>
        <v>0614107489</v>
      </c>
      <c r="B5164" t="str">
        <f t="shared" si="1896"/>
        <v>REEF</v>
      </c>
      <c r="C5164" t="str">
        <f t="shared" si="1897"/>
        <v>ESSER</v>
      </c>
      <c r="D5164">
        <f>11</f>
        <v>11</v>
      </c>
      <c r="E5164" t="str">
        <f>"08 - B - 105 - Brandy N Zdenek"</f>
        <v>08 - B - 105 - Brandy N Zdenek</v>
      </c>
      <c r="F5164" t="str">
        <f>"AICE ENG LANG 2 AL"</f>
        <v>AICE ENG LANG 2 AL</v>
      </c>
      <c r="G5164" t="str">
        <f>"17-1704"</f>
        <v>17-1704</v>
      </c>
      <c r="H5164" t="str">
        <f>"B"</f>
        <v>B</v>
      </c>
    </row>
    <row r="5165" spans="1:8" x14ac:dyDescent="0.2">
      <c r="A5165" t="str">
        <f t="shared" ref="A5165:A5172" si="1898">"0618073210"</f>
        <v>0618073210</v>
      </c>
      <c r="B5165" t="str">
        <f t="shared" ref="B5165:B5172" si="1899">"SEAN-JANE'"</f>
        <v>SEAN-JANE'</v>
      </c>
      <c r="C5165" t="str">
        <f t="shared" ref="C5165:C5172" si="1900">"ESSINGTON"</f>
        <v>ESSINGTON</v>
      </c>
      <c r="D5165">
        <f>11</f>
        <v>11</v>
      </c>
      <c r="E5165" t="str">
        <f>"04 - A - 102 - Eva T Rimmer"</f>
        <v>04 - A - 102 - Eva T Rimmer</v>
      </c>
      <c r="F5165" t="str">
        <f>"CRIMINAL JUST OPS 1"</f>
        <v>CRIMINAL JUST OPS 1</v>
      </c>
      <c r="G5165" t="str">
        <f>"05-523"</f>
        <v>05-523</v>
      </c>
      <c r="H5165" t="str">
        <f>"A"</f>
        <v>A</v>
      </c>
    </row>
    <row r="5166" spans="1:8" x14ac:dyDescent="0.2">
      <c r="A5166" t="str">
        <f t="shared" si="1898"/>
        <v>0618073210</v>
      </c>
      <c r="B5166" t="str">
        <f t="shared" si="1899"/>
        <v>SEAN-JANE'</v>
      </c>
      <c r="C5166" t="str">
        <f t="shared" si="1900"/>
        <v>ESSINGTON</v>
      </c>
      <c r="D5166">
        <f>11</f>
        <v>11</v>
      </c>
      <c r="E5166" t="str">
        <f>"06 - B - 108 - Milca  Exantus"</f>
        <v>06 - B - 108 - Milca  Exantus</v>
      </c>
      <c r="F5166" t="str">
        <f>"MATH COLLEGE LIB ART"</f>
        <v>MATH COLLEGE LIB ART</v>
      </c>
      <c r="G5166" t="str">
        <f>"21-2145"</f>
        <v>21-2145</v>
      </c>
      <c r="H5166" t="str">
        <f>"B"</f>
        <v>B</v>
      </c>
    </row>
    <row r="5167" spans="1:8" x14ac:dyDescent="0.2">
      <c r="A5167" t="str">
        <f t="shared" si="1898"/>
        <v>0618073210</v>
      </c>
      <c r="B5167" t="str">
        <f t="shared" si="1899"/>
        <v>SEAN-JANE'</v>
      </c>
      <c r="C5167" t="str">
        <f t="shared" si="1900"/>
        <v>ESSINGTON</v>
      </c>
      <c r="D5167">
        <f>11</f>
        <v>11</v>
      </c>
      <c r="E5167" t="str">
        <f>"03 - A - 102 - Nahum  Saint-Preux"</f>
        <v>03 - A - 102 - Nahum  Saint-Preux</v>
      </c>
      <c r="F5167" t="str">
        <f>"INTENS READ 3"</f>
        <v>INTENS READ 3</v>
      </c>
      <c r="G5167" t="str">
        <f>"17-1712"</f>
        <v>17-1712</v>
      </c>
      <c r="H5167" t="str">
        <f>"A"</f>
        <v>A</v>
      </c>
    </row>
    <row r="5168" spans="1:8" x14ac:dyDescent="0.2">
      <c r="A5168" t="str">
        <f t="shared" si="1898"/>
        <v>0618073210</v>
      </c>
      <c r="B5168" t="str">
        <f t="shared" si="1899"/>
        <v>SEAN-JANE'</v>
      </c>
      <c r="C5168" t="str">
        <f t="shared" si="1900"/>
        <v>ESSINGTON</v>
      </c>
      <c r="D5168">
        <f>11</f>
        <v>11</v>
      </c>
      <c r="E5168" t="str">
        <f>"02 - A - 001 - Courtney E Hambright"</f>
        <v>02 - A - 001 - Courtney E Hambright</v>
      </c>
      <c r="F5168" t="str">
        <f>"NC STUDY HALL 1"</f>
        <v>NC STUDY HALL 1</v>
      </c>
      <c r="G5168" t="str">
        <f>"17-1711"</f>
        <v>17-1711</v>
      </c>
      <c r="H5168" t="str">
        <f>"A"</f>
        <v>A</v>
      </c>
    </row>
    <row r="5169" spans="1:8" x14ac:dyDescent="0.2">
      <c r="A5169" t="str">
        <f t="shared" si="1898"/>
        <v>0618073210</v>
      </c>
      <c r="B5169" t="str">
        <f t="shared" si="1899"/>
        <v>SEAN-JANE'</v>
      </c>
      <c r="C5169" t="str">
        <f t="shared" si="1900"/>
        <v>ESSINGTON</v>
      </c>
      <c r="D5169">
        <f>11</f>
        <v>11</v>
      </c>
      <c r="E5169" t="str">
        <f>"07 - B - 204 - Scott A Dethloff"</f>
        <v>07 - B - 204 - Scott A Dethloff</v>
      </c>
      <c r="F5169" t="str">
        <f>"CHEMISTRY 1"</f>
        <v>CHEMISTRY 1</v>
      </c>
      <c r="G5169" t="str">
        <f>"08-812"</f>
        <v>08-812</v>
      </c>
      <c r="H5169" t="str">
        <f>"B"</f>
        <v>B</v>
      </c>
    </row>
    <row r="5170" spans="1:8" x14ac:dyDescent="0.2">
      <c r="A5170" t="str">
        <f t="shared" si="1898"/>
        <v>0618073210</v>
      </c>
      <c r="B5170" t="str">
        <f t="shared" si="1899"/>
        <v>SEAN-JANE'</v>
      </c>
      <c r="C5170" t="str">
        <f t="shared" si="1900"/>
        <v>ESSINGTON</v>
      </c>
      <c r="D5170">
        <f>11</f>
        <v>11</v>
      </c>
      <c r="E5170" t="str">
        <f>"05 - B - 103 - Heidi M Knopp"</f>
        <v>05 - B - 103 - Heidi M Knopp</v>
      </c>
      <c r="F5170" t="str">
        <f>"ENG HON 3"</f>
        <v>ENG HON 3</v>
      </c>
      <c r="G5170" t="str">
        <f>"17-1723"</f>
        <v>17-1723</v>
      </c>
      <c r="H5170" t="str">
        <f>"B"</f>
        <v>B</v>
      </c>
    </row>
    <row r="5171" spans="1:8" x14ac:dyDescent="0.2">
      <c r="A5171" t="str">
        <f t="shared" si="1898"/>
        <v>0618073210</v>
      </c>
      <c r="B5171" t="str">
        <f t="shared" si="1899"/>
        <v>SEAN-JANE'</v>
      </c>
      <c r="C5171" t="str">
        <f t="shared" si="1900"/>
        <v>ESSINGTON</v>
      </c>
      <c r="D5171">
        <f>11</f>
        <v>11</v>
      </c>
      <c r="E5171" t="str">
        <f>"01 - A - 101 - Kyle  Robbins"</f>
        <v>01 - A - 101 - Kyle  Robbins</v>
      </c>
      <c r="F5171" t="str">
        <f>"US HISTORY"</f>
        <v>US HISTORY</v>
      </c>
      <c r="G5171" t="str">
        <f>"17-1745"</f>
        <v>17-1745</v>
      </c>
      <c r="H5171" t="str">
        <f>"A"</f>
        <v>A</v>
      </c>
    </row>
    <row r="5172" spans="1:8" x14ac:dyDescent="0.2">
      <c r="A5172" t="str">
        <f t="shared" si="1898"/>
        <v>0618073210</v>
      </c>
      <c r="B5172" t="str">
        <f t="shared" si="1899"/>
        <v>SEAN-JANE'</v>
      </c>
      <c r="C5172" t="str">
        <f t="shared" si="1900"/>
        <v>ESSINGTON</v>
      </c>
      <c r="D5172">
        <f>11</f>
        <v>11</v>
      </c>
      <c r="E5172" t="str">
        <f>"08 - B - 101 - Marius D Orsolini"</f>
        <v>08 - B - 101 - Marius D Orsolini</v>
      </c>
      <c r="F5172" t="str">
        <f>"CULINARY ARTS 2"</f>
        <v>CULINARY ARTS 2</v>
      </c>
      <c r="G5172" t="str">
        <f>"21-2115"</f>
        <v>21-2115</v>
      </c>
      <c r="H5172" t="str">
        <f>"B"</f>
        <v>B</v>
      </c>
    </row>
    <row r="5173" spans="1:8" x14ac:dyDescent="0.2">
      <c r="A5173" t="str">
        <f t="shared" ref="A5173:A5180" si="1901">"0615040871"</f>
        <v>0615040871</v>
      </c>
      <c r="B5173" t="str">
        <f t="shared" ref="B5173:B5180" si="1902">"MIRANDA"</f>
        <v>MIRANDA</v>
      </c>
      <c r="C5173" t="str">
        <f t="shared" ref="C5173:C5180" si="1903">"ESTEBAN"</f>
        <v>ESTEBAN</v>
      </c>
      <c r="D5173">
        <f>11</f>
        <v>11</v>
      </c>
      <c r="E5173" t="str">
        <f>"04 - A - 101 - Pamela M Corzo"</f>
        <v>04 - A - 101 - Pamela M Corzo</v>
      </c>
      <c r="F5173" t="str">
        <f>"CALCULUS HON"</f>
        <v>CALCULUS HON</v>
      </c>
      <c r="G5173" t="str">
        <f>"21-2133"</f>
        <v>21-2133</v>
      </c>
      <c r="H5173" t="str">
        <f>"A"</f>
        <v>A</v>
      </c>
    </row>
    <row r="5174" spans="1:8" x14ac:dyDescent="0.2">
      <c r="A5174" t="str">
        <f t="shared" si="1901"/>
        <v>0615040871</v>
      </c>
      <c r="B5174" t="str">
        <f t="shared" si="1902"/>
        <v>MIRANDA</v>
      </c>
      <c r="C5174" t="str">
        <f t="shared" si="1903"/>
        <v>ESTEBAN</v>
      </c>
      <c r="D5174">
        <f>11</f>
        <v>11</v>
      </c>
      <c r="E5174" t="str">
        <f>"06 - B - 102 - Stephen T Ripp"</f>
        <v>06 - B - 102 - Stephen T Ripp</v>
      </c>
      <c r="F5174" t="str">
        <f>"AP U.S. HIST"</f>
        <v>AP U.S. HIST</v>
      </c>
      <c r="G5174" t="str">
        <f>"17-1744"</f>
        <v>17-1744</v>
      </c>
      <c r="H5174" t="str">
        <f>"B"</f>
        <v>B</v>
      </c>
    </row>
    <row r="5175" spans="1:8" x14ac:dyDescent="0.2">
      <c r="A5175" t="str">
        <f t="shared" si="1901"/>
        <v>0615040871</v>
      </c>
      <c r="B5175" t="str">
        <f t="shared" si="1902"/>
        <v>MIRANDA</v>
      </c>
      <c r="C5175" t="str">
        <f t="shared" si="1903"/>
        <v>ESTEBAN</v>
      </c>
      <c r="D5175">
        <f>11</f>
        <v>11</v>
      </c>
      <c r="E5175" t="str">
        <f>"03 - A - 101 - Jacqueline R Morphet"</f>
        <v>03 - A - 101 - Jacqueline R Morphet</v>
      </c>
      <c r="F5175" t="str">
        <f>"AP PHYSICS 1"</f>
        <v>AP PHYSICS 1</v>
      </c>
      <c r="G5175" t="str">
        <f>"21-2138"</f>
        <v>21-2138</v>
      </c>
      <c r="H5175" t="str">
        <f>"A"</f>
        <v>A</v>
      </c>
    </row>
    <row r="5176" spans="1:8" x14ac:dyDescent="0.2">
      <c r="A5176" t="str">
        <f t="shared" si="1901"/>
        <v>0615040871</v>
      </c>
      <c r="B5176" t="str">
        <f t="shared" si="1902"/>
        <v>MIRANDA</v>
      </c>
      <c r="C5176" t="str">
        <f t="shared" si="1903"/>
        <v>ESTEBAN</v>
      </c>
      <c r="D5176">
        <f>11</f>
        <v>11</v>
      </c>
      <c r="E5176" t="str">
        <f>"02 - A - 102 - Fernando  Vega-Cid"</f>
        <v>02 - A - 102 - Fernando  Vega-Cid</v>
      </c>
      <c r="F5176" t="str">
        <f>"NC STUDY HALL 1"</f>
        <v>NC STUDY HALL 1</v>
      </c>
      <c r="G5176" t="str">
        <f>"21-2163"</f>
        <v>21-2163</v>
      </c>
      <c r="H5176" t="str">
        <f>"A"</f>
        <v>A</v>
      </c>
    </row>
    <row r="5177" spans="1:8" x14ac:dyDescent="0.2">
      <c r="A5177" t="str">
        <f t="shared" si="1901"/>
        <v>0615040871</v>
      </c>
      <c r="B5177" t="str">
        <f t="shared" si="1902"/>
        <v>MIRANDA</v>
      </c>
      <c r="C5177" t="str">
        <f t="shared" si="1903"/>
        <v>ESTEBAN</v>
      </c>
      <c r="D5177">
        <f>11</f>
        <v>11</v>
      </c>
      <c r="E5177" t="str">
        <f>"07 - B - 204 - Stefanie S Scher"</f>
        <v>07 - B - 204 - Stefanie S Scher</v>
      </c>
      <c r="F5177" t="str">
        <f>"AP PSYCH"</f>
        <v>AP PSYCH</v>
      </c>
      <c r="G5177" t="str">
        <f>"17-1735"</f>
        <v>17-1735</v>
      </c>
      <c r="H5177" t="str">
        <f>"B"</f>
        <v>B</v>
      </c>
    </row>
    <row r="5178" spans="1:8" x14ac:dyDescent="0.2">
      <c r="A5178" t="str">
        <f t="shared" si="1901"/>
        <v>0615040871</v>
      </c>
      <c r="B5178" t="str">
        <f t="shared" si="1902"/>
        <v>MIRANDA</v>
      </c>
      <c r="C5178" t="str">
        <f t="shared" si="1903"/>
        <v>ESTEBAN</v>
      </c>
      <c r="D5178">
        <f>11</f>
        <v>11</v>
      </c>
      <c r="E5178" t="str">
        <f>"05 - B - 101 - Alejandro  Navarro"</f>
        <v>05 - B - 101 - Alejandro  Navarro</v>
      </c>
      <c r="F5178" t="str">
        <f>"JAZZ ENS 1"</f>
        <v>JAZZ ENS 1</v>
      </c>
      <c r="G5178" t="str">
        <f>"05-504"</f>
        <v>05-504</v>
      </c>
      <c r="H5178" t="str">
        <f>"B"</f>
        <v>B</v>
      </c>
    </row>
    <row r="5179" spans="1:8" x14ac:dyDescent="0.2">
      <c r="A5179" t="str">
        <f t="shared" si="1901"/>
        <v>0615040871</v>
      </c>
      <c r="B5179" t="str">
        <f t="shared" si="1902"/>
        <v>MIRANDA</v>
      </c>
      <c r="C5179" t="str">
        <f t="shared" si="1903"/>
        <v>ESTEBAN</v>
      </c>
      <c r="D5179">
        <f>11</f>
        <v>11</v>
      </c>
      <c r="E5179" t="str">
        <f>"01 - A - 101 - Lisa J London"</f>
        <v>01 - A - 101 - Lisa J London</v>
      </c>
      <c r="F5179" t="str">
        <f>"AP CAPSTONE SEMINAR"</f>
        <v>AP CAPSTONE SEMINAR</v>
      </c>
      <c r="G5179" t="str">
        <f>"17-1714"</f>
        <v>17-1714</v>
      </c>
      <c r="H5179" t="str">
        <f>"A"</f>
        <v>A</v>
      </c>
    </row>
    <row r="5180" spans="1:8" x14ac:dyDescent="0.2">
      <c r="A5180" t="str">
        <f t="shared" si="1901"/>
        <v>0615040871</v>
      </c>
      <c r="B5180" t="str">
        <f t="shared" si="1902"/>
        <v>MIRANDA</v>
      </c>
      <c r="C5180" t="str">
        <f t="shared" si="1903"/>
        <v>ESTEBAN</v>
      </c>
      <c r="D5180">
        <f>11</f>
        <v>11</v>
      </c>
      <c r="E5180" t="str">
        <f>"08 - B - 105 - Brandy N Zdenek"</f>
        <v>08 - B - 105 - Brandy N Zdenek</v>
      </c>
      <c r="F5180" t="str">
        <f>"AICE ENG LANG 2 AL"</f>
        <v>AICE ENG LANG 2 AL</v>
      </c>
      <c r="G5180" t="str">
        <f>"17-1704"</f>
        <v>17-1704</v>
      </c>
      <c r="H5180" t="str">
        <f>"B"</f>
        <v>B</v>
      </c>
    </row>
    <row r="5181" spans="1:8" x14ac:dyDescent="0.2">
      <c r="A5181" t="str">
        <f t="shared" ref="A5181:A5188" si="1904">"0617057490"</f>
        <v>0617057490</v>
      </c>
      <c r="B5181" t="str">
        <f t="shared" ref="B5181:B5188" si="1905">"MAANAELLE"</f>
        <v>MAANAELLE</v>
      </c>
      <c r="C5181" t="str">
        <f t="shared" ref="C5181:C5188" si="1906">"ESTIME"</f>
        <v>ESTIME</v>
      </c>
      <c r="D5181">
        <f>10</f>
        <v>10</v>
      </c>
      <c r="E5181" t="str">
        <f>"04 - A - 104 - Marius D Orsolini"</f>
        <v>04 - A - 104 - Marius D Orsolini</v>
      </c>
      <c r="F5181" t="str">
        <f>"CULINARY ARTS 1"</f>
        <v>CULINARY ARTS 1</v>
      </c>
      <c r="G5181" t="str">
        <f>"21-2115"</f>
        <v>21-2115</v>
      </c>
      <c r="H5181" t="str">
        <f>"A"</f>
        <v>A</v>
      </c>
    </row>
    <row r="5182" spans="1:8" x14ac:dyDescent="0.2">
      <c r="A5182" t="str">
        <f t="shared" si="1904"/>
        <v>0617057490</v>
      </c>
      <c r="B5182" t="str">
        <f t="shared" si="1905"/>
        <v>MAANAELLE</v>
      </c>
      <c r="C5182" t="str">
        <f t="shared" si="1906"/>
        <v>ESTIME</v>
      </c>
      <c r="D5182">
        <f>10</f>
        <v>10</v>
      </c>
      <c r="E5182" t="str">
        <f>"06 - B - 109 - Semra  Bahadir"</f>
        <v>06 - B - 109 - Semra  Bahadir</v>
      </c>
      <c r="F5182" t="str">
        <f>"NC STUDY HALL 1"</f>
        <v>NC STUDY HALL 1</v>
      </c>
      <c r="G5182" t="str">
        <f>"21-2107"</f>
        <v>21-2107</v>
      </c>
      <c r="H5182" t="str">
        <f>"B"</f>
        <v>B</v>
      </c>
    </row>
    <row r="5183" spans="1:8" x14ac:dyDescent="0.2">
      <c r="A5183" t="str">
        <f t="shared" si="1904"/>
        <v>0617057490</v>
      </c>
      <c r="B5183" t="str">
        <f t="shared" si="1905"/>
        <v>MAANAELLE</v>
      </c>
      <c r="C5183" t="str">
        <f t="shared" si="1906"/>
        <v>ESTIME</v>
      </c>
      <c r="D5183">
        <f>10</f>
        <v>10</v>
      </c>
      <c r="E5183" t="str">
        <f>"03 - S1 - A - 101 - Arthur  Kulawik"</f>
        <v>03 - S1 - A - 101 - Arthur  Kulawik</v>
      </c>
      <c r="F5183" t="str">
        <f>"PERS FIN &amp; MON MGT H"</f>
        <v>PERS FIN &amp; MON MGT H</v>
      </c>
      <c r="G5183" t="str">
        <f>"05-506"</f>
        <v>05-506</v>
      </c>
      <c r="H5183" t="str">
        <f>"A"</f>
        <v>A</v>
      </c>
    </row>
    <row r="5184" spans="1:8" x14ac:dyDescent="0.2">
      <c r="A5184" t="str">
        <f t="shared" si="1904"/>
        <v>0617057490</v>
      </c>
      <c r="B5184" t="str">
        <f t="shared" si="1905"/>
        <v>MAANAELLE</v>
      </c>
      <c r="C5184" t="str">
        <f t="shared" si="1906"/>
        <v>ESTIME</v>
      </c>
      <c r="D5184">
        <f>10</f>
        <v>10</v>
      </c>
      <c r="E5184" t="str">
        <f>"02 - A - 101 - Brian M Fitzgerald"</f>
        <v>02 - A - 101 - Brian M Fitzgerald</v>
      </c>
      <c r="F5184" t="str">
        <f>"DRAW 1"</f>
        <v>DRAW 1</v>
      </c>
      <c r="G5184" t="str">
        <f>"09-908"</f>
        <v>09-908</v>
      </c>
      <c r="H5184" t="str">
        <f>"A"</f>
        <v>A</v>
      </c>
    </row>
    <row r="5185" spans="1:8" x14ac:dyDescent="0.2">
      <c r="A5185" t="str">
        <f t="shared" si="1904"/>
        <v>0617057490</v>
      </c>
      <c r="B5185" t="str">
        <f t="shared" si="1905"/>
        <v>MAANAELLE</v>
      </c>
      <c r="C5185" t="str">
        <f t="shared" si="1906"/>
        <v>ESTIME</v>
      </c>
      <c r="D5185">
        <f>10</f>
        <v>10</v>
      </c>
      <c r="E5185" t="str">
        <f>"07 - B - 102 - Nikiel  Nesbeth"</f>
        <v>07 - B - 102 - Nikiel  Nesbeth</v>
      </c>
      <c r="F5185" t="str">
        <f>"PRE-AICE ENG LIT IG"</f>
        <v>PRE-AICE ENG LIT IG</v>
      </c>
      <c r="G5185" t="str">
        <f>"17-1705"</f>
        <v>17-1705</v>
      </c>
      <c r="H5185" t="str">
        <f>"B"</f>
        <v>B</v>
      </c>
    </row>
    <row r="5186" spans="1:8" x14ac:dyDescent="0.2">
      <c r="A5186" t="str">
        <f t="shared" si="1904"/>
        <v>0617057490</v>
      </c>
      <c r="B5186" t="str">
        <f t="shared" si="1905"/>
        <v>MAANAELLE</v>
      </c>
      <c r="C5186" t="str">
        <f t="shared" si="1906"/>
        <v>ESTIME</v>
      </c>
      <c r="D5186">
        <f>10</f>
        <v>10</v>
      </c>
      <c r="E5186" t="str">
        <f>"05 - S1 - B - 103 - Leslie J Barton"</f>
        <v>05 - S1 - B - 103 - Leslie J Barton</v>
      </c>
      <c r="F5186" t="str">
        <f>"FIRST AID SAFETY"</f>
        <v>FIRST AID SAFETY</v>
      </c>
      <c r="G5186" t="str">
        <f>"05-521"</f>
        <v>05-521</v>
      </c>
      <c r="H5186" t="str">
        <f>"B"</f>
        <v>B</v>
      </c>
    </row>
    <row r="5187" spans="1:8" x14ac:dyDescent="0.2">
      <c r="A5187" t="str">
        <f t="shared" si="1904"/>
        <v>0617057490</v>
      </c>
      <c r="B5187" t="str">
        <f t="shared" si="1905"/>
        <v>MAANAELLE</v>
      </c>
      <c r="C5187" t="str">
        <f t="shared" si="1906"/>
        <v>ESTIME</v>
      </c>
      <c r="D5187">
        <f>10</f>
        <v>10</v>
      </c>
      <c r="E5187" t="str">
        <f>"01 - A - 102 - Fernando  Vega-Cid"</f>
        <v>01 - A - 102 - Fernando  Vega-Cid</v>
      </c>
      <c r="F5187" t="str">
        <f>"GEOMETRY"</f>
        <v>GEOMETRY</v>
      </c>
      <c r="G5187" t="str">
        <f>"21-2163"</f>
        <v>21-2163</v>
      </c>
      <c r="H5187" t="str">
        <f>"A"</f>
        <v>A</v>
      </c>
    </row>
    <row r="5188" spans="1:8" x14ac:dyDescent="0.2">
      <c r="A5188" t="str">
        <f t="shared" si="1904"/>
        <v>0617057490</v>
      </c>
      <c r="B5188" t="str">
        <f t="shared" si="1905"/>
        <v>MAANAELLE</v>
      </c>
      <c r="C5188" t="str">
        <f t="shared" si="1906"/>
        <v>ESTIME</v>
      </c>
      <c r="D5188">
        <f>10</f>
        <v>10</v>
      </c>
      <c r="E5188" t="str">
        <f>"08 - B - 108 - Paige Lauren  Brochu"</f>
        <v>08 - B - 108 - Paige Lauren  Brochu</v>
      </c>
      <c r="F5188" t="str">
        <f>"BIOLOGY 1"</f>
        <v>BIOLOGY 1</v>
      </c>
      <c r="G5188" t="str">
        <f>"21-2134"</f>
        <v>21-2134</v>
      </c>
      <c r="H5188" t="str">
        <f>"B"</f>
        <v>B</v>
      </c>
    </row>
    <row r="5189" spans="1:8" x14ac:dyDescent="0.2">
      <c r="A5189" t="str">
        <f t="shared" ref="A5189:A5196" si="1907">"0613083778"</f>
        <v>0613083778</v>
      </c>
      <c r="B5189" t="str">
        <f t="shared" ref="B5189:B5196" si="1908">"OLIVER"</f>
        <v>OLIVER</v>
      </c>
      <c r="C5189" t="str">
        <f t="shared" ref="C5189:C5196" si="1909">"ETHRIDGE"</f>
        <v>ETHRIDGE</v>
      </c>
      <c r="D5189">
        <f>12</f>
        <v>12</v>
      </c>
      <c r="E5189" t="str">
        <f>"04 - S1 - A - 101 - Leslie J Barton"</f>
        <v>04 - S1 - A - 101 - Leslie J Barton</v>
      </c>
      <c r="F5189" t="str">
        <f>"TEAM SPORTS 1"</f>
        <v>TEAM SPORTS 1</v>
      </c>
      <c r="G5189" t="str">
        <f>"04-254"</f>
        <v>04-254</v>
      </c>
      <c r="H5189" t="str">
        <f>"A"</f>
        <v>A</v>
      </c>
    </row>
    <row r="5190" spans="1:8" x14ac:dyDescent="0.2">
      <c r="A5190" t="str">
        <f t="shared" si="1907"/>
        <v>0613083778</v>
      </c>
      <c r="B5190" t="str">
        <f t="shared" si="1908"/>
        <v>OLIVER</v>
      </c>
      <c r="C5190" t="str">
        <f t="shared" si="1909"/>
        <v>ETHRIDGE</v>
      </c>
      <c r="D5190">
        <f>12</f>
        <v>12</v>
      </c>
      <c r="E5190" t="str">
        <f>"06 - B - 113 - Marielle A Witting"</f>
        <v>06 - B - 113 - Marielle A Witting</v>
      </c>
      <c r="F5190" t="str">
        <f>"NC STUDY HALL 1"</f>
        <v>NC STUDY HALL 1</v>
      </c>
      <c r="G5190" t="str">
        <f>"08-805"</f>
        <v>08-805</v>
      </c>
      <c r="H5190" t="str">
        <f>"B"</f>
        <v>B</v>
      </c>
    </row>
    <row r="5191" spans="1:8" x14ac:dyDescent="0.2">
      <c r="A5191" t="str">
        <f t="shared" si="1907"/>
        <v>0613083778</v>
      </c>
      <c r="B5191" t="str">
        <f t="shared" si="1908"/>
        <v>OLIVER</v>
      </c>
      <c r="C5191" t="str">
        <f t="shared" si="1909"/>
        <v>ETHRIDGE</v>
      </c>
      <c r="D5191">
        <f>12</f>
        <v>12</v>
      </c>
      <c r="E5191" t="str">
        <f>"03 - S1 - A - 002 - Barbara L Segal"</f>
        <v>03 - S1 - A - 002 - Barbara L Segal</v>
      </c>
      <c r="F5191" t="str">
        <f>"US GOVT"</f>
        <v>US GOVT</v>
      </c>
      <c r="G5191" t="str">
        <f>"17-1742"</f>
        <v>17-1742</v>
      </c>
      <c r="H5191" t="str">
        <f>"A"</f>
        <v>A</v>
      </c>
    </row>
    <row r="5192" spans="1:8" x14ac:dyDescent="0.2">
      <c r="A5192" t="str">
        <f t="shared" si="1907"/>
        <v>0613083778</v>
      </c>
      <c r="B5192" t="str">
        <f t="shared" si="1908"/>
        <v>OLIVER</v>
      </c>
      <c r="C5192" t="str">
        <f t="shared" si="1909"/>
        <v>ETHRIDGE</v>
      </c>
      <c r="D5192">
        <f>12</f>
        <v>12</v>
      </c>
      <c r="E5192" t="str">
        <f>"02 - A - 101 - Robyn L Trainer"</f>
        <v>02 - A - 101 - Robyn L Trainer</v>
      </c>
      <c r="F5192" t="str">
        <f>"ENG 4"</f>
        <v>ENG 4</v>
      </c>
      <c r="G5192" t="str">
        <f>"17-1734"</f>
        <v>17-1734</v>
      </c>
      <c r="H5192" t="str">
        <f>"A"</f>
        <v>A</v>
      </c>
    </row>
    <row r="5193" spans="1:8" x14ac:dyDescent="0.2">
      <c r="A5193" t="str">
        <f t="shared" si="1907"/>
        <v>0613083778</v>
      </c>
      <c r="B5193" t="str">
        <f t="shared" si="1908"/>
        <v>OLIVER</v>
      </c>
      <c r="C5193" t="str">
        <f t="shared" si="1909"/>
        <v>ETHRIDGE</v>
      </c>
      <c r="D5193">
        <f>12</f>
        <v>12</v>
      </c>
      <c r="E5193" t="str">
        <f>"07 - B - 105 - Cliffon  Saurel"</f>
        <v>07 - B - 105 - Cliffon  Saurel</v>
      </c>
      <c r="F5193" t="str">
        <f>"PHYSICAL SCI"</f>
        <v>PHYSICAL SCI</v>
      </c>
      <c r="G5193" t="str">
        <f>"05-522"</f>
        <v>05-522</v>
      </c>
      <c r="H5193" t="str">
        <f>"B"</f>
        <v>B</v>
      </c>
    </row>
    <row r="5194" spans="1:8" x14ac:dyDescent="0.2">
      <c r="A5194" t="str">
        <f t="shared" si="1907"/>
        <v>0613083778</v>
      </c>
      <c r="B5194" t="str">
        <f t="shared" si="1908"/>
        <v>OLIVER</v>
      </c>
      <c r="C5194" t="str">
        <f t="shared" si="1909"/>
        <v>ETHRIDGE</v>
      </c>
      <c r="D5194">
        <f>12</f>
        <v>12</v>
      </c>
      <c r="E5194" t="str">
        <f>"05 - B - 103 - Eva T Rimmer"</f>
        <v>05 - B - 103 - Eva T Rimmer</v>
      </c>
      <c r="F5194" t="str">
        <f>"CRIMINAL JUST OPS 1"</f>
        <v>CRIMINAL JUST OPS 1</v>
      </c>
      <c r="G5194" t="str">
        <f>"05-523"</f>
        <v>05-523</v>
      </c>
      <c r="H5194" t="str">
        <f>"B"</f>
        <v>B</v>
      </c>
    </row>
    <row r="5195" spans="1:8" x14ac:dyDescent="0.2">
      <c r="A5195" t="str">
        <f t="shared" si="1907"/>
        <v>0613083778</v>
      </c>
      <c r="B5195" t="str">
        <f t="shared" si="1908"/>
        <v>OLIVER</v>
      </c>
      <c r="C5195" t="str">
        <f t="shared" si="1909"/>
        <v>ETHRIDGE</v>
      </c>
      <c r="D5195">
        <f>12</f>
        <v>12</v>
      </c>
      <c r="E5195" t="str">
        <f>"01 - A - 101 - Thomas G Handwerg"</f>
        <v>01 - A - 101 - Thomas G Handwerg</v>
      </c>
      <c r="F5195" t="str">
        <f>"PROB STAT W/APPS HON"</f>
        <v>PROB STAT W/APPS HON</v>
      </c>
      <c r="G5195" t="str">
        <f>"21-2146"</f>
        <v>21-2146</v>
      </c>
      <c r="H5195" t="str">
        <f>"A"</f>
        <v>A</v>
      </c>
    </row>
    <row r="5196" spans="1:8" x14ac:dyDescent="0.2">
      <c r="A5196" t="str">
        <f t="shared" si="1907"/>
        <v>0613083778</v>
      </c>
      <c r="B5196" t="str">
        <f t="shared" si="1908"/>
        <v>OLIVER</v>
      </c>
      <c r="C5196" t="str">
        <f t="shared" si="1909"/>
        <v>ETHRIDGE</v>
      </c>
      <c r="D5196">
        <f>12</f>
        <v>12</v>
      </c>
      <c r="E5196" t="str">
        <f>"08 - B - 102 - Robert H Rindner"</f>
        <v>08 - B - 102 - Robert H Rindner</v>
      </c>
      <c r="F5196" t="str">
        <f>"TV PRODUCTION TECH 1"</f>
        <v>TV PRODUCTION TECH 1</v>
      </c>
      <c r="G5196" t="str">
        <f>"21-2160"</f>
        <v>21-2160</v>
      </c>
      <c r="H5196" t="str">
        <f>"B"</f>
        <v>B</v>
      </c>
    </row>
    <row r="5197" spans="1:8" x14ac:dyDescent="0.2">
      <c r="A5197" t="str">
        <f t="shared" ref="A5197:A5204" si="1910">"0614003309"</f>
        <v>0614003309</v>
      </c>
      <c r="B5197" t="str">
        <f t="shared" ref="B5197:B5204" si="1911">"SNYDINE"</f>
        <v>SNYDINE</v>
      </c>
      <c r="C5197" t="str">
        <f t="shared" ref="C5197:C5204" si="1912">"ETIENNE"</f>
        <v>ETIENNE</v>
      </c>
      <c r="D5197">
        <f>11</f>
        <v>11</v>
      </c>
      <c r="E5197" t="str">
        <f>"04 - A - 102 - Jeffrey S Gallagher"</f>
        <v>04 - A - 102 - Jeffrey S Gallagher</v>
      </c>
      <c r="F5197" t="str">
        <f>"ENG HON 3"</f>
        <v>ENG HON 3</v>
      </c>
      <c r="G5197" t="str">
        <f>"17-1724"</f>
        <v>17-1724</v>
      </c>
      <c r="H5197" t="str">
        <f>"A"</f>
        <v>A</v>
      </c>
    </row>
    <row r="5198" spans="1:8" x14ac:dyDescent="0.2">
      <c r="A5198" t="str">
        <f t="shared" si="1910"/>
        <v>0614003309</v>
      </c>
      <c r="B5198" t="str">
        <f t="shared" si="1911"/>
        <v>SNYDINE</v>
      </c>
      <c r="C5198" t="str">
        <f t="shared" si="1912"/>
        <v>ETIENNE</v>
      </c>
      <c r="D5198">
        <f>11</f>
        <v>11</v>
      </c>
      <c r="E5198" t="str">
        <f>"06 - B - 103 - Helen A Flores"</f>
        <v>06 - B - 103 - Helen A Flores</v>
      </c>
      <c r="F5198" t="str">
        <f>"ALGEBRA 2"</f>
        <v>ALGEBRA 2</v>
      </c>
      <c r="G5198" t="str">
        <f>"21-2101"</f>
        <v>21-2101</v>
      </c>
      <c r="H5198" t="str">
        <f>"B"</f>
        <v>B</v>
      </c>
    </row>
    <row r="5199" spans="1:8" x14ac:dyDescent="0.2">
      <c r="A5199" t="str">
        <f t="shared" si="1910"/>
        <v>0614003309</v>
      </c>
      <c r="B5199" t="str">
        <f t="shared" si="1911"/>
        <v>SNYDINE</v>
      </c>
      <c r="C5199" t="str">
        <f t="shared" si="1912"/>
        <v>ETIENNE</v>
      </c>
      <c r="D5199">
        <f>11</f>
        <v>11</v>
      </c>
      <c r="E5199" t="str">
        <f>"03 - A - 201 - Joe  Kilpatrick Jr"</f>
        <v>03 - A - 201 - Joe  Kilpatrick Jr</v>
      </c>
      <c r="F5199" t="str">
        <f>"PRE-AICE SPAN 2 IG"</f>
        <v>PRE-AICE SPAN 2 IG</v>
      </c>
      <c r="G5199" t="str">
        <f>"09-912"</f>
        <v>09-912</v>
      </c>
      <c r="H5199" t="str">
        <f>"A"</f>
        <v>A</v>
      </c>
    </row>
    <row r="5200" spans="1:8" x14ac:dyDescent="0.2">
      <c r="A5200" t="str">
        <f t="shared" si="1910"/>
        <v>0614003309</v>
      </c>
      <c r="B5200" t="str">
        <f t="shared" si="1911"/>
        <v>SNYDINE</v>
      </c>
      <c r="C5200" t="str">
        <f t="shared" si="1912"/>
        <v>ETIENNE</v>
      </c>
      <c r="D5200">
        <f>11</f>
        <v>11</v>
      </c>
      <c r="E5200" t="str">
        <f>"02 - A - 103 - Kelly N Panza"</f>
        <v>02 - A - 103 - Kelly N Panza</v>
      </c>
      <c r="F5200" t="str">
        <f>"NC STUDY HALL 1"</f>
        <v>NC STUDY HALL 1</v>
      </c>
      <c r="G5200" t="str">
        <f>"17-1753"</f>
        <v>17-1753</v>
      </c>
      <c r="H5200" t="str">
        <f>"A"</f>
        <v>A</v>
      </c>
    </row>
    <row r="5201" spans="1:8" x14ac:dyDescent="0.2">
      <c r="A5201" t="str">
        <f t="shared" si="1910"/>
        <v>0614003309</v>
      </c>
      <c r="B5201" t="str">
        <f t="shared" si="1911"/>
        <v>SNYDINE</v>
      </c>
      <c r="C5201" t="str">
        <f t="shared" si="1912"/>
        <v>ETIENNE</v>
      </c>
      <c r="D5201">
        <f>11</f>
        <v>11</v>
      </c>
      <c r="E5201" t="str">
        <f>"07 - B - 108 - Lauren N Logan"</f>
        <v>07 - B - 108 - Lauren N Logan</v>
      </c>
      <c r="F5201" t="str">
        <f>"US HISTORY"</f>
        <v>US HISTORY</v>
      </c>
      <c r="G5201" t="str">
        <f>"17-1745"</f>
        <v>17-1745</v>
      </c>
      <c r="H5201" t="str">
        <f>"B"</f>
        <v>B</v>
      </c>
    </row>
    <row r="5202" spans="1:8" x14ac:dyDescent="0.2">
      <c r="A5202" t="str">
        <f t="shared" si="1910"/>
        <v>0614003309</v>
      </c>
      <c r="B5202" t="str">
        <f t="shared" si="1911"/>
        <v>SNYDINE</v>
      </c>
      <c r="C5202" t="str">
        <f t="shared" si="1912"/>
        <v>ETIENNE</v>
      </c>
      <c r="D5202">
        <f>11</f>
        <v>11</v>
      </c>
      <c r="E5202" t="str">
        <f>"05 - B - 103 - Nahum  Saint-Preux"</f>
        <v>05 - B - 103 - Nahum  Saint-Preux</v>
      </c>
      <c r="F5202" t="str">
        <f>"INTENS READ 3"</f>
        <v>INTENS READ 3</v>
      </c>
      <c r="G5202" t="str">
        <f>"17-1712"</f>
        <v>17-1712</v>
      </c>
      <c r="H5202" t="str">
        <f>"B"</f>
        <v>B</v>
      </c>
    </row>
    <row r="5203" spans="1:8" x14ac:dyDescent="0.2">
      <c r="A5203" t="str">
        <f t="shared" si="1910"/>
        <v>0614003309</v>
      </c>
      <c r="B5203" t="str">
        <f t="shared" si="1911"/>
        <v>SNYDINE</v>
      </c>
      <c r="C5203" t="str">
        <f t="shared" si="1912"/>
        <v>ETIENNE</v>
      </c>
      <c r="D5203">
        <f>11</f>
        <v>11</v>
      </c>
      <c r="E5203" t="str">
        <f>"01 - A - 201 - Jeanne M Bermudez"</f>
        <v>01 - A - 201 - Jeanne M Bermudez</v>
      </c>
      <c r="F5203" t="str">
        <f>"PHYSICS 1 HON"</f>
        <v>PHYSICS 1 HON</v>
      </c>
      <c r="G5203" t="str">
        <f>"21-2141"</f>
        <v>21-2141</v>
      </c>
      <c r="H5203" t="str">
        <f>"A"</f>
        <v>A</v>
      </c>
    </row>
    <row r="5204" spans="1:8" x14ac:dyDescent="0.2">
      <c r="A5204" t="str">
        <f t="shared" si="1910"/>
        <v>0614003309</v>
      </c>
      <c r="B5204" t="str">
        <f t="shared" si="1911"/>
        <v>SNYDINE</v>
      </c>
      <c r="C5204" t="str">
        <f t="shared" si="1912"/>
        <v>ETIENNE</v>
      </c>
      <c r="D5204">
        <f>11</f>
        <v>11</v>
      </c>
      <c r="E5204" t="str">
        <f>"08 - B - 108 - Adam Marcus  Drucker"</f>
        <v>08 - B - 108 - Adam Marcus  Drucker</v>
      </c>
      <c r="F5204" t="str">
        <f>"HOPE-PE V"</f>
        <v>HOPE-PE V</v>
      </c>
      <c r="G5204" t="str">
        <f>"04-254"</f>
        <v>04-254</v>
      </c>
      <c r="H5204" t="str">
        <f>"B"</f>
        <v>B</v>
      </c>
    </row>
    <row r="5205" spans="1:8" x14ac:dyDescent="0.2">
      <c r="A5205" t="str">
        <f t="shared" ref="A5205:A5212" si="1913">"0615097640"</f>
        <v>0615097640</v>
      </c>
      <c r="B5205" t="str">
        <f t="shared" ref="B5205:B5212" si="1914">"DYLAN"</f>
        <v>DYLAN</v>
      </c>
      <c r="C5205" t="str">
        <f t="shared" ref="C5205:C5212" si="1915">"EUCEDA GUERRA"</f>
        <v>EUCEDA GUERRA</v>
      </c>
      <c r="D5205">
        <f>11</f>
        <v>11</v>
      </c>
      <c r="E5205" t="str">
        <f>"04 - A - 102 - Lisa J London"</f>
        <v>04 - A - 102 - Lisa J London</v>
      </c>
      <c r="F5205" t="str">
        <f>"AP CAPSTONE SEMINAR"</f>
        <v>AP CAPSTONE SEMINAR</v>
      </c>
      <c r="G5205" t="str">
        <f>"17-1714"</f>
        <v>17-1714</v>
      </c>
      <c r="H5205" t="str">
        <f>"A"</f>
        <v>A</v>
      </c>
    </row>
    <row r="5206" spans="1:8" x14ac:dyDescent="0.2">
      <c r="A5206" t="str">
        <f t="shared" si="1913"/>
        <v>0615097640</v>
      </c>
      <c r="B5206" t="str">
        <f t="shared" si="1914"/>
        <v>DYLAN</v>
      </c>
      <c r="C5206" t="str">
        <f t="shared" si="1915"/>
        <v>EUCEDA GUERRA</v>
      </c>
      <c r="D5206">
        <f>11</f>
        <v>11</v>
      </c>
      <c r="E5206" t="str">
        <f>"06 - B - 001 - Lourivaldo  Da Silva"</f>
        <v>06 - B - 001 - Lourivaldo  Da Silva</v>
      </c>
      <c r="F5206" t="str">
        <f>"PRE-CALCULUS HON"</f>
        <v>PRE-CALCULUS HON</v>
      </c>
      <c r="G5206" t="str">
        <f>"20-2079"</f>
        <v>20-2079</v>
      </c>
      <c r="H5206" t="str">
        <f>"B"</f>
        <v>B</v>
      </c>
    </row>
    <row r="5207" spans="1:8" x14ac:dyDescent="0.2">
      <c r="A5207" t="str">
        <f t="shared" si="1913"/>
        <v>0615097640</v>
      </c>
      <c r="B5207" t="str">
        <f t="shared" si="1914"/>
        <v>DYLAN</v>
      </c>
      <c r="C5207" t="str">
        <f t="shared" si="1915"/>
        <v>EUCEDA GUERRA</v>
      </c>
      <c r="D5207">
        <f>11</f>
        <v>11</v>
      </c>
      <c r="E5207" t="str">
        <f>"03 - A - 102 - Tina M Jaramillo"</f>
        <v>03 - A - 102 - Tina M Jaramillo</v>
      </c>
      <c r="F5207" t="str">
        <f>"AP ENG COMPO"</f>
        <v>AP ENG COMPO</v>
      </c>
      <c r="G5207" t="str">
        <f>"17-1706"</f>
        <v>17-1706</v>
      </c>
      <c r="H5207" t="str">
        <f>"A"</f>
        <v>A</v>
      </c>
    </row>
    <row r="5208" spans="1:8" x14ac:dyDescent="0.2">
      <c r="A5208" t="str">
        <f t="shared" si="1913"/>
        <v>0615097640</v>
      </c>
      <c r="B5208" t="str">
        <f t="shared" si="1914"/>
        <v>DYLAN</v>
      </c>
      <c r="C5208" t="str">
        <f t="shared" si="1915"/>
        <v>EUCEDA GUERRA</v>
      </c>
      <c r="D5208">
        <f>11</f>
        <v>11</v>
      </c>
      <c r="E5208" t="str">
        <f>"02 - A - 102 - Brook E Goren"</f>
        <v>02 - A - 102 - Brook E Goren</v>
      </c>
      <c r="F5208" t="str">
        <f>"NC STUDY HALL 1"</f>
        <v>NC STUDY HALL 1</v>
      </c>
      <c r="G5208" t="str">
        <f>"21-2158"</f>
        <v>21-2158</v>
      </c>
      <c r="H5208" t="str">
        <f>"A"</f>
        <v>A</v>
      </c>
    </row>
    <row r="5209" spans="1:8" x14ac:dyDescent="0.2">
      <c r="A5209" t="str">
        <f t="shared" si="1913"/>
        <v>0615097640</v>
      </c>
      <c r="B5209" t="str">
        <f t="shared" si="1914"/>
        <v>DYLAN</v>
      </c>
      <c r="C5209" t="str">
        <f t="shared" si="1915"/>
        <v>EUCEDA GUERRA</v>
      </c>
      <c r="D5209">
        <f>11</f>
        <v>11</v>
      </c>
      <c r="E5209" t="str">
        <f>"07 - B - 204 - Stefanie S Scher"</f>
        <v>07 - B - 204 - Stefanie S Scher</v>
      </c>
      <c r="F5209" t="str">
        <f>"AP PSYCH"</f>
        <v>AP PSYCH</v>
      </c>
      <c r="G5209" t="str">
        <f>"17-1735"</f>
        <v>17-1735</v>
      </c>
      <c r="H5209" t="str">
        <f>"B"</f>
        <v>B</v>
      </c>
    </row>
    <row r="5210" spans="1:8" x14ac:dyDescent="0.2">
      <c r="A5210" t="str">
        <f t="shared" si="1913"/>
        <v>0615097640</v>
      </c>
      <c r="B5210" t="str">
        <f t="shared" si="1914"/>
        <v>DYLAN</v>
      </c>
      <c r="C5210" t="str">
        <f t="shared" si="1915"/>
        <v>EUCEDA GUERRA</v>
      </c>
      <c r="D5210">
        <f>11</f>
        <v>11</v>
      </c>
      <c r="E5210" t="str">
        <f>"05 - B - 102 - Jerry S Jiampetti"</f>
        <v>05 - B - 102 - Jerry S Jiampetti</v>
      </c>
      <c r="F5210" t="str">
        <f>"AICE U.S. HIST 1 AS"</f>
        <v>AICE U.S. HIST 1 AS</v>
      </c>
      <c r="G5210" t="str">
        <f>"17-1751"</f>
        <v>17-1751</v>
      </c>
      <c r="H5210" t="str">
        <f>"B"</f>
        <v>B</v>
      </c>
    </row>
    <row r="5211" spans="1:8" x14ac:dyDescent="0.2">
      <c r="A5211" t="str">
        <f t="shared" si="1913"/>
        <v>0615097640</v>
      </c>
      <c r="B5211" t="str">
        <f t="shared" si="1914"/>
        <v>DYLAN</v>
      </c>
      <c r="C5211" t="str">
        <f t="shared" si="1915"/>
        <v>EUCEDA GUERRA</v>
      </c>
      <c r="D5211">
        <f>11</f>
        <v>11</v>
      </c>
      <c r="E5211" t="str">
        <f>"01 - A - 101 - Marielle A Witting"</f>
        <v>01 - A - 101 - Marielle A Witting</v>
      </c>
      <c r="F5211" t="str">
        <f>"AP BIO"</f>
        <v>AP BIO</v>
      </c>
      <c r="G5211" t="str">
        <f>"08-805"</f>
        <v>08-805</v>
      </c>
      <c r="H5211" t="str">
        <f>"A"</f>
        <v>A</v>
      </c>
    </row>
    <row r="5212" spans="1:8" x14ac:dyDescent="0.2">
      <c r="A5212" t="str">
        <f t="shared" si="1913"/>
        <v>0615097640</v>
      </c>
      <c r="B5212" t="str">
        <f t="shared" si="1914"/>
        <v>DYLAN</v>
      </c>
      <c r="C5212" t="str">
        <f t="shared" si="1915"/>
        <v>EUCEDA GUERRA</v>
      </c>
      <c r="D5212">
        <f>11</f>
        <v>11</v>
      </c>
      <c r="E5212" t="str">
        <f>"08 - B - 105 - Daniel S Katz"</f>
        <v>08 - B - 105 - Daniel S Katz</v>
      </c>
      <c r="F5212" t="str">
        <f>"AICE MEDIA STUDIES A"</f>
        <v>AICE MEDIA STUDIES A</v>
      </c>
      <c r="G5212" t="str">
        <f>"05-521"</f>
        <v>05-521</v>
      </c>
      <c r="H5212" t="str">
        <f>"B"</f>
        <v>B</v>
      </c>
    </row>
    <row r="5213" spans="1:8" x14ac:dyDescent="0.2">
      <c r="A5213" t="str">
        <f t="shared" ref="A5213:A5220" si="1916">"0619127502"</f>
        <v>0619127502</v>
      </c>
      <c r="B5213" t="str">
        <f t="shared" ref="B5213:B5220" si="1917">"ELUNEY"</f>
        <v>ELUNEY</v>
      </c>
      <c r="C5213" t="str">
        <f t="shared" ref="C5213:C5220" si="1918">"EUCEDA SOLORZANO"</f>
        <v>EUCEDA SOLORZANO</v>
      </c>
      <c r="D5213" t="str">
        <f t="shared" ref="D5213:D5220" si="1919">"09"</f>
        <v>09</v>
      </c>
      <c r="E5213" t="str">
        <f>"04 - A - 106 - Ferrie J Arostique"</f>
        <v>04 - A - 106 - Ferrie J Arostique</v>
      </c>
      <c r="F5213" t="str">
        <f>"PRE-AICE MATH 2 IG"</f>
        <v>PRE-AICE MATH 2 IG</v>
      </c>
      <c r="G5213" t="str">
        <f>"21-2139"</f>
        <v>21-2139</v>
      </c>
      <c r="H5213" t="str">
        <f>"A"</f>
        <v>A</v>
      </c>
    </row>
    <row r="5214" spans="1:8" x14ac:dyDescent="0.2">
      <c r="A5214" t="str">
        <f t="shared" si="1916"/>
        <v>0619127502</v>
      </c>
      <c r="B5214" t="str">
        <f t="shared" si="1917"/>
        <v>ELUNEY</v>
      </c>
      <c r="C5214" t="str">
        <f t="shared" si="1918"/>
        <v>EUCEDA SOLORZANO</v>
      </c>
      <c r="D5214" t="str">
        <f t="shared" si="1919"/>
        <v>09</v>
      </c>
      <c r="E5214" t="str">
        <f>"06 - B - 110 - Krystal Marie  Beruty"</f>
        <v>06 - B - 110 - Krystal Marie  Beruty</v>
      </c>
      <c r="F5214" t="str">
        <f>"AICE GLBL PERSP 1 AS"</f>
        <v>AICE GLBL PERSP 1 AS</v>
      </c>
      <c r="G5214" t="str">
        <f>"17-1721"</f>
        <v>17-1721</v>
      </c>
      <c r="H5214" t="str">
        <f>"B"</f>
        <v>B</v>
      </c>
    </row>
    <row r="5215" spans="1:8" x14ac:dyDescent="0.2">
      <c r="A5215" t="str">
        <f t="shared" si="1916"/>
        <v>0619127502</v>
      </c>
      <c r="B5215" t="str">
        <f t="shared" si="1917"/>
        <v>ELUNEY</v>
      </c>
      <c r="C5215" t="str">
        <f t="shared" si="1918"/>
        <v>EUCEDA SOLORZANO</v>
      </c>
      <c r="D5215" t="str">
        <f t="shared" si="1919"/>
        <v>09</v>
      </c>
      <c r="E5215" t="str">
        <f>"03 - A - 202 - Cheryl L Beach"</f>
        <v>03 - A - 202 - Cheryl L Beach</v>
      </c>
      <c r="F5215" t="str">
        <f>"AICE ENV MGMNT AS"</f>
        <v>AICE ENV MGMNT AS</v>
      </c>
      <c r="G5215" t="str">
        <f>"08-811"</f>
        <v>08-811</v>
      </c>
      <c r="H5215" t="str">
        <f>"A"</f>
        <v>A</v>
      </c>
    </row>
    <row r="5216" spans="1:8" x14ac:dyDescent="0.2">
      <c r="A5216" t="str">
        <f t="shared" si="1916"/>
        <v>0619127502</v>
      </c>
      <c r="B5216" t="str">
        <f t="shared" si="1917"/>
        <v>ELUNEY</v>
      </c>
      <c r="C5216" t="str">
        <f t="shared" si="1918"/>
        <v>EUCEDA SOLORZANO</v>
      </c>
      <c r="D5216" t="str">
        <f t="shared" si="1919"/>
        <v>09</v>
      </c>
      <c r="E5216" t="str">
        <f>"02 - A - 110 - Maried P Ramos"</f>
        <v>02 - A - 110 - Maried P Ramos</v>
      </c>
      <c r="F5216" t="str">
        <f>"NC STUDY HALL 1"</f>
        <v>NC STUDY HALL 1</v>
      </c>
      <c r="G5216" t="str">
        <f>"21-2159"</f>
        <v>21-2159</v>
      </c>
      <c r="H5216" t="str">
        <f>"A"</f>
        <v>A</v>
      </c>
    </row>
    <row r="5217" spans="1:8" x14ac:dyDescent="0.2">
      <c r="A5217" t="str">
        <f t="shared" si="1916"/>
        <v>0619127502</v>
      </c>
      <c r="B5217" t="str">
        <f t="shared" si="1917"/>
        <v>ELUNEY</v>
      </c>
      <c r="C5217" t="str">
        <f t="shared" si="1918"/>
        <v>EUCEDA SOLORZANO</v>
      </c>
      <c r="D5217" t="str">
        <f t="shared" si="1919"/>
        <v>09</v>
      </c>
      <c r="E5217" t="str">
        <f>"07 - B - 101 - Samantha L Martinez"</f>
        <v>07 - B - 101 - Samantha L Martinez</v>
      </c>
      <c r="F5217" t="str">
        <f>"KEYBD 1"</f>
        <v>KEYBD 1</v>
      </c>
      <c r="G5217" t="str">
        <f>"05-505"</f>
        <v>05-505</v>
      </c>
      <c r="H5217" t="str">
        <f>"B"</f>
        <v>B</v>
      </c>
    </row>
    <row r="5218" spans="1:8" x14ac:dyDescent="0.2">
      <c r="A5218" t="str">
        <f t="shared" si="1916"/>
        <v>0619127502</v>
      </c>
      <c r="B5218" t="str">
        <f t="shared" si="1917"/>
        <v>ELUNEY</v>
      </c>
      <c r="C5218" t="str">
        <f t="shared" si="1918"/>
        <v>EUCEDA SOLORZANO</v>
      </c>
      <c r="D5218" t="str">
        <f t="shared" si="1919"/>
        <v>09</v>
      </c>
      <c r="E5218" t="str">
        <f>"05 - B - 204 - Elizabeth R Walker"</f>
        <v>05 - B - 204 - Elizabeth R Walker</v>
      </c>
      <c r="F5218" t="str">
        <f>"AICE ENG GEN PAPER 1"</f>
        <v>AICE ENG GEN PAPER 1</v>
      </c>
      <c r="G5218" t="str">
        <f>"17-1703"</f>
        <v>17-1703</v>
      </c>
      <c r="H5218" t="str">
        <f>"B"</f>
        <v>B</v>
      </c>
    </row>
    <row r="5219" spans="1:8" x14ac:dyDescent="0.2">
      <c r="A5219" t="str">
        <f t="shared" si="1916"/>
        <v>0619127502</v>
      </c>
      <c r="B5219" t="str">
        <f t="shared" si="1917"/>
        <v>ELUNEY</v>
      </c>
      <c r="C5219" t="str">
        <f t="shared" si="1918"/>
        <v>EUCEDA SOLORZANO</v>
      </c>
      <c r="D5219" t="str">
        <f t="shared" si="1919"/>
        <v>09</v>
      </c>
      <c r="E5219" t="str">
        <f>"01 - A - 101 - Angela S Adeshina-Morrison"</f>
        <v>01 - A - 101 - Angela S Adeshina-Morrison</v>
      </c>
      <c r="F5219" t="str">
        <f>"MARKETING ESSENTIALS"</f>
        <v>MARKETING ESSENTIALS</v>
      </c>
      <c r="G5219" t="str">
        <f>"05-518"</f>
        <v>05-518</v>
      </c>
      <c r="H5219" t="str">
        <f>"A"</f>
        <v>A</v>
      </c>
    </row>
    <row r="5220" spans="1:8" x14ac:dyDescent="0.2">
      <c r="A5220" t="str">
        <f t="shared" si="1916"/>
        <v>0619127502</v>
      </c>
      <c r="B5220" t="str">
        <f t="shared" si="1917"/>
        <v>ELUNEY</v>
      </c>
      <c r="C5220" t="str">
        <f t="shared" si="1918"/>
        <v>EUCEDA SOLORZANO</v>
      </c>
      <c r="D5220" t="str">
        <f t="shared" si="1919"/>
        <v>09</v>
      </c>
      <c r="E5220" t="str">
        <f>"08 - B - 201 - Tina M Jaramillo"</f>
        <v>08 - B - 201 - Tina M Jaramillo</v>
      </c>
      <c r="F5220" t="str">
        <f>"CREATIVE WRIT 3 HON"</f>
        <v>CREATIVE WRIT 3 HON</v>
      </c>
      <c r="G5220" t="str">
        <f>"17-1706"</f>
        <v>17-1706</v>
      </c>
      <c r="H5220" t="str">
        <f>"B"</f>
        <v>B</v>
      </c>
    </row>
    <row r="5221" spans="1:8" x14ac:dyDescent="0.2">
      <c r="A5221" t="str">
        <f t="shared" ref="A5221:A5228" si="1920">"0613045886"</f>
        <v>0613045886</v>
      </c>
      <c r="B5221" t="str">
        <f t="shared" ref="B5221:B5228" si="1921">"DESTINY"</f>
        <v>DESTINY</v>
      </c>
      <c r="C5221" t="str">
        <f t="shared" ref="C5221:C5228" si="1922">"EUGENE"</f>
        <v>EUGENE</v>
      </c>
      <c r="D5221">
        <f>12</f>
        <v>12</v>
      </c>
      <c r="E5221" t="str">
        <f>"04 - S1 - A - 101 - Nahum  Saint-Preux"</f>
        <v>04 - S1 - A - 101 - Nahum  Saint-Preux</v>
      </c>
      <c r="F5221" t="str">
        <f>"CRIT THINK ST SKLS"</f>
        <v>CRIT THINK ST SKLS</v>
      </c>
      <c r="G5221" t="str">
        <f>"17-1712"</f>
        <v>17-1712</v>
      </c>
      <c r="H5221" t="str">
        <f>"A"</f>
        <v>A</v>
      </c>
    </row>
    <row r="5222" spans="1:8" x14ac:dyDescent="0.2">
      <c r="A5222" t="str">
        <f t="shared" si="1920"/>
        <v>0613045886</v>
      </c>
      <c r="B5222" t="str">
        <f t="shared" si="1921"/>
        <v>DESTINY</v>
      </c>
      <c r="C5222" t="str">
        <f t="shared" si="1922"/>
        <v>EUGENE</v>
      </c>
      <c r="D5222">
        <f>12</f>
        <v>12</v>
      </c>
      <c r="E5222" t="str">
        <f>"06 - B - 111 - James H Mccann"</f>
        <v>06 - B - 111 - James H Mccann</v>
      </c>
      <c r="F5222" t="str">
        <f>"NC STUDY HALL 1"</f>
        <v>NC STUDY HALL 1</v>
      </c>
      <c r="G5222" t="str">
        <f>"17-1716"</f>
        <v>17-1716</v>
      </c>
      <c r="H5222" t="str">
        <f>"B"</f>
        <v>B</v>
      </c>
    </row>
    <row r="5223" spans="1:8" x14ac:dyDescent="0.2">
      <c r="A5223" t="str">
        <f t="shared" si="1920"/>
        <v>0613045886</v>
      </c>
      <c r="B5223" t="str">
        <f t="shared" si="1921"/>
        <v>DESTINY</v>
      </c>
      <c r="C5223" t="str">
        <f t="shared" si="1922"/>
        <v>EUGENE</v>
      </c>
      <c r="D5223">
        <f>12</f>
        <v>12</v>
      </c>
      <c r="E5223" t="str">
        <f>"03 - A - 103 - Samantha J Headley"</f>
        <v>03 - A - 103 - Samantha J Headley</v>
      </c>
      <c r="F5223" t="str">
        <f>"MARINE SCI 1 HON"</f>
        <v>MARINE SCI 1 HON</v>
      </c>
      <c r="G5223" t="str">
        <f>"21-2134"</f>
        <v>21-2134</v>
      </c>
      <c r="H5223" t="str">
        <f>"A"</f>
        <v>A</v>
      </c>
    </row>
    <row r="5224" spans="1:8" x14ac:dyDescent="0.2">
      <c r="A5224" t="str">
        <f t="shared" si="1920"/>
        <v>0613045886</v>
      </c>
      <c r="B5224" t="str">
        <f t="shared" si="1921"/>
        <v>DESTINY</v>
      </c>
      <c r="C5224" t="str">
        <f t="shared" si="1922"/>
        <v>EUGENE</v>
      </c>
      <c r="D5224">
        <f>12</f>
        <v>12</v>
      </c>
      <c r="E5224" t="str">
        <f>"02 - A - 101 - Robyn L Trainer"</f>
        <v>02 - A - 101 - Robyn L Trainer</v>
      </c>
      <c r="F5224" t="str">
        <f>"ENG 4"</f>
        <v>ENG 4</v>
      </c>
      <c r="G5224" t="str">
        <f>"17-1734"</f>
        <v>17-1734</v>
      </c>
      <c r="H5224" t="str">
        <f>"A"</f>
        <v>A</v>
      </c>
    </row>
    <row r="5225" spans="1:8" x14ac:dyDescent="0.2">
      <c r="A5225" t="str">
        <f t="shared" si="1920"/>
        <v>0613045886</v>
      </c>
      <c r="B5225" t="str">
        <f t="shared" si="1921"/>
        <v>DESTINY</v>
      </c>
      <c r="C5225" t="str">
        <f t="shared" si="1922"/>
        <v>EUGENE</v>
      </c>
      <c r="D5225">
        <f>12</f>
        <v>12</v>
      </c>
      <c r="E5225" t="str">
        <f>"07 - S1 - B - 103 - Leslie J Barton"</f>
        <v>07 - S1 - B - 103 - Leslie J Barton</v>
      </c>
      <c r="F5225" t="str">
        <f>"TEAM SPORTS 1"</f>
        <v>TEAM SPORTS 1</v>
      </c>
      <c r="G5225" t="str">
        <f>"04-254"</f>
        <v>04-254</v>
      </c>
      <c r="H5225" t="str">
        <f>"B"</f>
        <v>B</v>
      </c>
    </row>
    <row r="5226" spans="1:8" x14ac:dyDescent="0.2">
      <c r="A5226" t="str">
        <f t="shared" si="1920"/>
        <v>0613045886</v>
      </c>
      <c r="B5226" t="str">
        <f t="shared" si="1921"/>
        <v>DESTINY</v>
      </c>
      <c r="C5226" t="str">
        <f t="shared" si="1922"/>
        <v>EUGENE</v>
      </c>
      <c r="D5226">
        <f>12</f>
        <v>12</v>
      </c>
      <c r="E5226" t="str">
        <f>"05 - B - 106 - Thomas G Handwerg"</f>
        <v>05 - B - 106 - Thomas G Handwerg</v>
      </c>
      <c r="F5226" t="str">
        <f>"MATH COLL ALGEBRA"</f>
        <v>MATH COLL ALGEBRA</v>
      </c>
      <c r="G5226" t="str">
        <f>"21-2146"</f>
        <v>21-2146</v>
      </c>
      <c r="H5226" t="str">
        <f>"B"</f>
        <v>B</v>
      </c>
    </row>
    <row r="5227" spans="1:8" x14ac:dyDescent="0.2">
      <c r="A5227" t="str">
        <f t="shared" si="1920"/>
        <v>0613045886</v>
      </c>
      <c r="B5227" t="str">
        <f t="shared" si="1921"/>
        <v>DESTINY</v>
      </c>
      <c r="C5227" t="str">
        <f t="shared" si="1922"/>
        <v>EUGENE</v>
      </c>
      <c r="D5227">
        <f>12</f>
        <v>12</v>
      </c>
      <c r="E5227" t="str">
        <f>"01 - S1 - A - 101 - Robert O Burger"</f>
        <v>01 - S1 - A - 101 - Robert O Burger</v>
      </c>
      <c r="F5227" t="str">
        <f>"US GOVT"</f>
        <v>US GOVT</v>
      </c>
      <c r="G5227" t="str">
        <f>"17-1755"</f>
        <v>17-1755</v>
      </c>
      <c r="H5227" t="str">
        <f>"A"</f>
        <v>A</v>
      </c>
    </row>
    <row r="5228" spans="1:8" x14ac:dyDescent="0.2">
      <c r="A5228" t="str">
        <f t="shared" si="1920"/>
        <v>0613045886</v>
      </c>
      <c r="B5228" t="str">
        <f t="shared" si="1921"/>
        <v>DESTINY</v>
      </c>
      <c r="C5228" t="str">
        <f t="shared" si="1922"/>
        <v>EUGENE</v>
      </c>
      <c r="D5228">
        <f>12</f>
        <v>12</v>
      </c>
      <c r="E5228" t="str">
        <f>"08 - B - 107 - Taraneh C Abreu"</f>
        <v>08 - B - 107 - Taraneh C Abreu</v>
      </c>
      <c r="F5228" t="str">
        <f>"RESEARCH 1 LH"</f>
        <v>RESEARCH 1 LH</v>
      </c>
      <c r="G5228">
        <f>2041</f>
        <v>2041</v>
      </c>
      <c r="H5228" t="str">
        <f>"B"</f>
        <v>B</v>
      </c>
    </row>
    <row r="5229" spans="1:8" x14ac:dyDescent="0.2">
      <c r="A5229" t="str">
        <f t="shared" ref="A5229:A5234" si="1923">"0615116274"</f>
        <v>0615116274</v>
      </c>
      <c r="B5229" t="str">
        <f t="shared" ref="B5229:B5234" si="1924">"LAURIA"</f>
        <v>LAURIA</v>
      </c>
      <c r="C5229" t="str">
        <f t="shared" ref="C5229:C5250" si="1925">"EVANS"</f>
        <v>EVANS</v>
      </c>
      <c r="D5229">
        <f>12</f>
        <v>12</v>
      </c>
      <c r="E5229" t="str">
        <f>"19 - S1 - MTWHF - BCC - Instructor BC"</f>
        <v>19 - S1 - MTWHF - BCC - Instructor BC</v>
      </c>
      <c r="F5229" t="str">
        <f>"COLLEGE ALGEBRA"</f>
        <v>COLLEGE ALGEBRA</v>
      </c>
      <c r="G5229" t="str">
        <f>"60-DE"</f>
        <v>60-DE</v>
      </c>
      <c r="H5229" t="str">
        <f>"-"</f>
        <v>-</v>
      </c>
    </row>
    <row r="5230" spans="1:8" x14ac:dyDescent="0.2">
      <c r="A5230" t="str">
        <f t="shared" si="1923"/>
        <v>0615116274</v>
      </c>
      <c r="B5230" t="str">
        <f t="shared" si="1924"/>
        <v>LAURIA</v>
      </c>
      <c r="C5230" t="str">
        <f t="shared" si="1925"/>
        <v>EVANS</v>
      </c>
      <c r="D5230">
        <f>12</f>
        <v>12</v>
      </c>
      <c r="E5230" t="str">
        <f>"19 - S1 - MTWHF - BCC - Instructor BC"</f>
        <v>19 - S1 - MTWHF - BCC - Instructor BC</v>
      </c>
      <c r="F5230" t="str">
        <f>"COMPOSITION I"</f>
        <v>COMPOSITION I</v>
      </c>
      <c r="G5230" t="str">
        <f>"60-DE"</f>
        <v>60-DE</v>
      </c>
      <c r="H5230" t="str">
        <f>"-"</f>
        <v>-</v>
      </c>
    </row>
    <row r="5231" spans="1:8" x14ac:dyDescent="0.2">
      <c r="A5231" t="str">
        <f t="shared" si="1923"/>
        <v>0615116274</v>
      </c>
      <c r="B5231" t="str">
        <f t="shared" si="1924"/>
        <v>LAURIA</v>
      </c>
      <c r="C5231" t="str">
        <f t="shared" si="1925"/>
        <v>EVANS</v>
      </c>
      <c r="D5231">
        <f>12</f>
        <v>12</v>
      </c>
      <c r="E5231" t="str">
        <f>"06 - B - 001 - Robert O Burger"</f>
        <v>06 - B - 001 - Robert O Burger</v>
      </c>
      <c r="F5231" t="str">
        <f>"NC STUDY HALL 1"</f>
        <v>NC STUDY HALL 1</v>
      </c>
      <c r="G5231" t="str">
        <f>"17-1755"</f>
        <v>17-1755</v>
      </c>
      <c r="H5231" t="str">
        <f>"B"</f>
        <v>B</v>
      </c>
    </row>
    <row r="5232" spans="1:8" x14ac:dyDescent="0.2">
      <c r="A5232" t="str">
        <f t="shared" si="1923"/>
        <v>0615116274</v>
      </c>
      <c r="B5232" t="str">
        <f t="shared" si="1924"/>
        <v>LAURIA</v>
      </c>
      <c r="C5232" t="str">
        <f t="shared" si="1925"/>
        <v>EVANS</v>
      </c>
      <c r="D5232">
        <f>12</f>
        <v>12</v>
      </c>
      <c r="E5232" t="str">
        <f>"02 - A - 101 - Robyn L Trainer"</f>
        <v>02 - A - 101 - Robyn L Trainer</v>
      </c>
      <c r="F5232" t="str">
        <f>"ENG 4"</f>
        <v>ENG 4</v>
      </c>
      <c r="G5232" t="str">
        <f>"17-1734"</f>
        <v>17-1734</v>
      </c>
      <c r="H5232" t="str">
        <f>"A"</f>
        <v>A</v>
      </c>
    </row>
    <row r="5233" spans="1:8" x14ac:dyDescent="0.2">
      <c r="A5233" t="str">
        <f t="shared" si="1923"/>
        <v>0615116274</v>
      </c>
      <c r="B5233" t="str">
        <f t="shared" si="1924"/>
        <v>LAURIA</v>
      </c>
      <c r="C5233" t="str">
        <f t="shared" si="1925"/>
        <v>EVANS</v>
      </c>
      <c r="D5233">
        <f>12</f>
        <v>12</v>
      </c>
      <c r="E5233" t="str">
        <f>"05 - S1 - B - 102 - Robert O Burger"</f>
        <v>05 - S1 - B - 102 - Robert O Burger</v>
      </c>
      <c r="F5233" t="str">
        <f>"US GOVT"</f>
        <v>US GOVT</v>
      </c>
      <c r="G5233" t="str">
        <f>"17-1755"</f>
        <v>17-1755</v>
      </c>
      <c r="H5233" t="str">
        <f>"B"</f>
        <v>B</v>
      </c>
    </row>
    <row r="5234" spans="1:8" x14ac:dyDescent="0.2">
      <c r="A5234" t="str">
        <f t="shared" si="1923"/>
        <v>0615116274</v>
      </c>
      <c r="B5234" t="str">
        <f t="shared" si="1924"/>
        <v>LAURIA</v>
      </c>
      <c r="C5234" t="str">
        <f t="shared" si="1925"/>
        <v>EVANS</v>
      </c>
      <c r="D5234">
        <f>12</f>
        <v>12</v>
      </c>
      <c r="E5234" t="str">
        <f>"01 - A - 102 - Robert H Rindner"</f>
        <v>01 - A - 102 - Robert H Rindner</v>
      </c>
      <c r="F5234" t="str">
        <f>"MATH DATA&amp;FIN LIT H"</f>
        <v>MATH DATA&amp;FIN LIT H</v>
      </c>
      <c r="G5234" t="str">
        <f>"21-2160"</f>
        <v>21-2160</v>
      </c>
      <c r="H5234" t="str">
        <f>"A"</f>
        <v>A</v>
      </c>
    </row>
    <row r="5235" spans="1:8" x14ac:dyDescent="0.2">
      <c r="A5235" t="str">
        <f t="shared" ref="A5235:A5242" si="1926">"0616102128"</f>
        <v>0616102128</v>
      </c>
      <c r="B5235" t="str">
        <f t="shared" ref="B5235:B5242" si="1927">"QUINTIN"</f>
        <v>QUINTIN</v>
      </c>
      <c r="C5235" t="str">
        <f t="shared" si="1925"/>
        <v>EVANS</v>
      </c>
      <c r="D5235">
        <f>10</f>
        <v>10</v>
      </c>
      <c r="E5235" t="str">
        <f>"04 - A - 004 - Krystal Marie  Beruty"</f>
        <v>04 - A - 004 - Krystal Marie  Beruty</v>
      </c>
      <c r="F5235" t="str">
        <f>"AICE GLBL PERSP 1 AS"</f>
        <v>AICE GLBL PERSP 1 AS</v>
      </c>
      <c r="G5235" t="str">
        <f>"17-1721"</f>
        <v>17-1721</v>
      </c>
      <c r="H5235" t="str">
        <f>"A"</f>
        <v>A</v>
      </c>
    </row>
    <row r="5236" spans="1:8" x14ac:dyDescent="0.2">
      <c r="A5236" t="str">
        <f t="shared" si="1926"/>
        <v>0616102128</v>
      </c>
      <c r="B5236" t="str">
        <f t="shared" si="1927"/>
        <v>QUINTIN</v>
      </c>
      <c r="C5236" t="str">
        <f t="shared" si="1925"/>
        <v>EVANS</v>
      </c>
      <c r="D5236">
        <f>10</f>
        <v>10</v>
      </c>
      <c r="E5236" t="str">
        <f>"06 - B - 108 - Jacklyn M James"</f>
        <v>06 - B - 108 - Jacklyn M James</v>
      </c>
      <c r="F5236" t="str">
        <f>"NC STUDY HALL 1"</f>
        <v>NC STUDY HALL 1</v>
      </c>
      <c r="G5236" t="str">
        <f>"17-1731"</f>
        <v>17-1731</v>
      </c>
      <c r="H5236" t="str">
        <f>"B"</f>
        <v>B</v>
      </c>
    </row>
    <row r="5237" spans="1:8" x14ac:dyDescent="0.2">
      <c r="A5237" t="str">
        <f t="shared" si="1926"/>
        <v>0616102128</v>
      </c>
      <c r="B5237" t="str">
        <f t="shared" si="1927"/>
        <v>QUINTIN</v>
      </c>
      <c r="C5237" t="str">
        <f t="shared" si="1925"/>
        <v>EVANS</v>
      </c>
      <c r="D5237">
        <f>10</f>
        <v>10</v>
      </c>
      <c r="E5237" t="str">
        <f>"03 - A - 103 - Pamela M Corzo"</f>
        <v>03 - A - 103 - Pamela M Corzo</v>
      </c>
      <c r="F5237" t="str">
        <f>"ALGEBRA 2 HON"</f>
        <v>ALGEBRA 2 HON</v>
      </c>
      <c r="G5237" t="str">
        <f>"21-2133"</f>
        <v>21-2133</v>
      </c>
      <c r="H5237" t="str">
        <f>"A"</f>
        <v>A</v>
      </c>
    </row>
    <row r="5238" spans="1:8" x14ac:dyDescent="0.2">
      <c r="A5238" t="str">
        <f t="shared" si="1926"/>
        <v>0616102128</v>
      </c>
      <c r="B5238" t="str">
        <f t="shared" si="1927"/>
        <v>QUINTIN</v>
      </c>
      <c r="C5238" t="str">
        <f t="shared" si="1925"/>
        <v>EVANS</v>
      </c>
      <c r="D5238">
        <f>10</f>
        <v>10</v>
      </c>
      <c r="E5238" t="str">
        <f>"02 - A - 102 - Vanessa J Liburd"</f>
        <v>02 - A - 102 - Vanessa J Liburd</v>
      </c>
      <c r="F5238" t="str">
        <f>"PRE-AICE FRENCH 2 IG"</f>
        <v>PRE-AICE FRENCH 2 IG</v>
      </c>
      <c r="G5238" t="str">
        <f>"05-519"</f>
        <v>05-519</v>
      </c>
      <c r="H5238" t="str">
        <f>"A"</f>
        <v>A</v>
      </c>
    </row>
    <row r="5239" spans="1:8" x14ac:dyDescent="0.2">
      <c r="A5239" t="str">
        <f t="shared" si="1926"/>
        <v>0616102128</v>
      </c>
      <c r="B5239" t="str">
        <f t="shared" si="1927"/>
        <v>QUINTIN</v>
      </c>
      <c r="C5239" t="str">
        <f t="shared" si="1925"/>
        <v>EVANS</v>
      </c>
      <c r="D5239">
        <f>10</f>
        <v>10</v>
      </c>
      <c r="E5239" t="str">
        <f>"07 - B - 105 - Byron G Montenegro"</f>
        <v>07 - B - 105 - Byron G Montenegro</v>
      </c>
      <c r="F5239" t="str">
        <f>"AICE MARINE SCI 1 AS"</f>
        <v>AICE MARINE SCI 1 AS</v>
      </c>
      <c r="G5239" t="str">
        <f>"21-2144"</f>
        <v>21-2144</v>
      </c>
      <c r="H5239" t="str">
        <f>"B"</f>
        <v>B</v>
      </c>
    </row>
    <row r="5240" spans="1:8" x14ac:dyDescent="0.2">
      <c r="A5240" t="str">
        <f t="shared" si="1926"/>
        <v>0616102128</v>
      </c>
      <c r="B5240" t="str">
        <f t="shared" si="1927"/>
        <v>QUINTIN</v>
      </c>
      <c r="C5240" t="str">
        <f t="shared" si="1925"/>
        <v>EVANS</v>
      </c>
      <c r="D5240">
        <f>10</f>
        <v>10</v>
      </c>
      <c r="E5240" t="str">
        <f>"05 - B - 101 - Brian M Fitzgerald"</f>
        <v>05 - B - 101 - Brian M Fitzgerald</v>
      </c>
      <c r="F5240" t="str">
        <f>"PAINT 1"</f>
        <v>PAINT 1</v>
      </c>
      <c r="G5240" t="str">
        <f>"09-908"</f>
        <v>09-908</v>
      </c>
      <c r="H5240" t="str">
        <f>"B"</f>
        <v>B</v>
      </c>
    </row>
    <row r="5241" spans="1:8" x14ac:dyDescent="0.2">
      <c r="A5241" t="str">
        <f t="shared" si="1926"/>
        <v>0616102128</v>
      </c>
      <c r="B5241" t="str">
        <f t="shared" si="1927"/>
        <v>QUINTIN</v>
      </c>
      <c r="C5241" t="str">
        <f t="shared" si="1925"/>
        <v>EVANS</v>
      </c>
      <c r="D5241">
        <f>10</f>
        <v>10</v>
      </c>
      <c r="E5241" t="str">
        <f>"01 - A - 101 - Jacquelyn M Neeson"</f>
        <v>01 - A - 101 - Jacquelyn M Neeson</v>
      </c>
      <c r="F5241" t="str">
        <f>"AICE ENG GEN PAPER 1"</f>
        <v>AICE ENG GEN PAPER 1</v>
      </c>
      <c r="G5241" t="str">
        <f>"17-1715"</f>
        <v>17-1715</v>
      </c>
      <c r="H5241" t="str">
        <f>"A"</f>
        <v>A</v>
      </c>
    </row>
    <row r="5242" spans="1:8" x14ac:dyDescent="0.2">
      <c r="A5242" t="str">
        <f t="shared" si="1926"/>
        <v>0616102128</v>
      </c>
      <c r="B5242" t="str">
        <f t="shared" si="1927"/>
        <v>QUINTIN</v>
      </c>
      <c r="C5242" t="str">
        <f t="shared" si="1925"/>
        <v>EVANS</v>
      </c>
      <c r="D5242">
        <f>10</f>
        <v>10</v>
      </c>
      <c r="E5242" t="str">
        <f>"08 - S1 - B - 102 - Kyle  Robbins"</f>
        <v>08 - S1 - B - 102 - Kyle  Robbins</v>
      </c>
      <c r="F5242" t="str">
        <f>"PERS FIN &amp; MON MGT H"</f>
        <v>PERS FIN &amp; MON MGT H</v>
      </c>
      <c r="G5242" t="str">
        <f>"17-1745"</f>
        <v>17-1745</v>
      </c>
      <c r="H5242" t="str">
        <f>"B"</f>
        <v>B</v>
      </c>
    </row>
    <row r="5243" spans="1:8" x14ac:dyDescent="0.2">
      <c r="A5243" t="str">
        <f t="shared" ref="A5243:A5250" si="1928">"0613101544"</f>
        <v>0613101544</v>
      </c>
      <c r="B5243" t="str">
        <f t="shared" ref="B5243:B5250" si="1929">"YAEL"</f>
        <v>YAEL</v>
      </c>
      <c r="C5243" t="str">
        <f t="shared" si="1925"/>
        <v>EVANS</v>
      </c>
      <c r="D5243">
        <f>12</f>
        <v>12</v>
      </c>
      <c r="E5243" t="str">
        <f>"04 - A - 201 - Vanessa J Liburd"</f>
        <v>04 - A - 201 - Vanessa J Liburd</v>
      </c>
      <c r="F5243" t="str">
        <f>"FRENCH 4 HON"</f>
        <v>FRENCH 4 HON</v>
      </c>
      <c r="G5243" t="str">
        <f>"05-519"</f>
        <v>05-519</v>
      </c>
      <c r="H5243" t="str">
        <f>"A"</f>
        <v>A</v>
      </c>
    </row>
    <row r="5244" spans="1:8" x14ac:dyDescent="0.2">
      <c r="A5244" t="str">
        <f t="shared" si="1928"/>
        <v>0613101544</v>
      </c>
      <c r="B5244" t="str">
        <f t="shared" si="1929"/>
        <v>YAEL</v>
      </c>
      <c r="C5244" t="str">
        <f t="shared" si="1925"/>
        <v>EVANS</v>
      </c>
      <c r="D5244">
        <f>12</f>
        <v>12</v>
      </c>
      <c r="E5244" t="str">
        <f>"06 - B - 112 - Lisa  Quinn"</f>
        <v>06 - B - 112 - Lisa  Quinn</v>
      </c>
      <c r="F5244" t="str">
        <f>"NC STUDY HALL 1"</f>
        <v>NC STUDY HALL 1</v>
      </c>
      <c r="G5244" t="str">
        <f>"17-1725"</f>
        <v>17-1725</v>
      </c>
      <c r="H5244" t="str">
        <f>"B"</f>
        <v>B</v>
      </c>
    </row>
    <row r="5245" spans="1:8" x14ac:dyDescent="0.2">
      <c r="A5245" t="str">
        <f t="shared" si="1928"/>
        <v>0613101544</v>
      </c>
      <c r="B5245" t="str">
        <f t="shared" si="1929"/>
        <v>YAEL</v>
      </c>
      <c r="C5245" t="str">
        <f t="shared" si="1925"/>
        <v>EVANS</v>
      </c>
      <c r="D5245">
        <f>12</f>
        <v>12</v>
      </c>
      <c r="E5245" t="str">
        <f>"03 - A - 101 - Lisa J London"</f>
        <v>03 - A - 101 - Lisa J London</v>
      </c>
      <c r="F5245" t="str">
        <f>"AP CAPSTONE RESEARCH"</f>
        <v>AP CAPSTONE RESEARCH</v>
      </c>
      <c r="G5245" t="str">
        <f>"17-1714"</f>
        <v>17-1714</v>
      </c>
      <c r="H5245" t="str">
        <f>"A"</f>
        <v>A</v>
      </c>
    </row>
    <row r="5246" spans="1:8" x14ac:dyDescent="0.2">
      <c r="A5246" t="str">
        <f t="shared" si="1928"/>
        <v>0613101544</v>
      </c>
      <c r="B5246" t="str">
        <f t="shared" si="1929"/>
        <v>YAEL</v>
      </c>
      <c r="C5246" t="str">
        <f t="shared" si="1925"/>
        <v>EVANS</v>
      </c>
      <c r="D5246">
        <f>12</f>
        <v>12</v>
      </c>
      <c r="E5246" t="str">
        <f>"02 - A - 107 - Tina M Jaramillo"</f>
        <v>02 - A - 107 - Tina M Jaramillo</v>
      </c>
      <c r="F5246" t="str">
        <f>"AP ENG LIT COMPO"</f>
        <v>AP ENG LIT COMPO</v>
      </c>
      <c r="G5246" t="str">
        <f>"17-1706"</f>
        <v>17-1706</v>
      </c>
      <c r="H5246" t="str">
        <f>"A"</f>
        <v>A</v>
      </c>
    </row>
    <row r="5247" spans="1:8" x14ac:dyDescent="0.2">
      <c r="A5247" t="str">
        <f t="shared" si="1928"/>
        <v>0613101544</v>
      </c>
      <c r="B5247" t="str">
        <f t="shared" si="1929"/>
        <v>YAEL</v>
      </c>
      <c r="C5247" t="str">
        <f t="shared" si="1925"/>
        <v>EVANS</v>
      </c>
      <c r="D5247">
        <f>12</f>
        <v>12</v>
      </c>
      <c r="E5247" t="str">
        <f>"07 - B - 102 - Carleigh R Carmichael"</f>
        <v>07 - B - 102 - Carleigh R Carmichael</v>
      </c>
      <c r="F5247" t="str">
        <f>"LEAD TECHQS HONORS"</f>
        <v>LEAD TECHQS HONORS</v>
      </c>
      <c r="G5247" t="str">
        <f>"20-2072"</f>
        <v>20-2072</v>
      </c>
      <c r="H5247" t="str">
        <f>"B"</f>
        <v>B</v>
      </c>
    </row>
    <row r="5248" spans="1:8" x14ac:dyDescent="0.2">
      <c r="A5248" t="str">
        <f t="shared" si="1928"/>
        <v>0613101544</v>
      </c>
      <c r="B5248" t="str">
        <f t="shared" si="1929"/>
        <v>YAEL</v>
      </c>
      <c r="C5248" t="str">
        <f t="shared" si="1925"/>
        <v>EVANS</v>
      </c>
      <c r="D5248">
        <f>12</f>
        <v>12</v>
      </c>
      <c r="E5248" t="str">
        <f>"05 - S1 - B - 103 - Stephen T Ripp"</f>
        <v>05 - S1 - B - 103 - Stephen T Ripp</v>
      </c>
      <c r="F5248" t="str">
        <f>"AP US GOVT/POL"</f>
        <v>AP US GOVT/POL</v>
      </c>
      <c r="G5248" t="str">
        <f>"17-1744"</f>
        <v>17-1744</v>
      </c>
      <c r="H5248" t="str">
        <f>"B"</f>
        <v>B</v>
      </c>
    </row>
    <row r="5249" spans="1:8" x14ac:dyDescent="0.2">
      <c r="A5249" t="str">
        <f t="shared" si="1928"/>
        <v>0613101544</v>
      </c>
      <c r="B5249" t="str">
        <f t="shared" si="1929"/>
        <v>YAEL</v>
      </c>
      <c r="C5249" t="str">
        <f t="shared" si="1925"/>
        <v>EVANS</v>
      </c>
      <c r="D5249">
        <f>12</f>
        <v>12</v>
      </c>
      <c r="E5249" t="str">
        <f>"01 - A - 101 - Marielle A Witting"</f>
        <v>01 - A - 101 - Marielle A Witting</v>
      </c>
      <c r="F5249" t="str">
        <f>"AP BIO"</f>
        <v>AP BIO</v>
      </c>
      <c r="G5249" t="str">
        <f>"08-805"</f>
        <v>08-805</v>
      </c>
      <c r="H5249" t="str">
        <f>"A"</f>
        <v>A</v>
      </c>
    </row>
    <row r="5250" spans="1:8" x14ac:dyDescent="0.2">
      <c r="A5250" t="str">
        <f t="shared" si="1928"/>
        <v>0613101544</v>
      </c>
      <c r="B5250" t="str">
        <f t="shared" si="1929"/>
        <v>YAEL</v>
      </c>
      <c r="C5250" t="str">
        <f t="shared" si="1925"/>
        <v>EVANS</v>
      </c>
      <c r="D5250">
        <f>12</f>
        <v>12</v>
      </c>
      <c r="E5250" t="str">
        <f>"08 - B - 102 - Pamela M Corzo"</f>
        <v>08 - B - 102 - Pamela M Corzo</v>
      </c>
      <c r="F5250" t="str">
        <f>"AP STAT"</f>
        <v>AP STAT</v>
      </c>
      <c r="G5250" t="str">
        <f>"21-2133"</f>
        <v>21-2133</v>
      </c>
      <c r="H5250" t="str">
        <f>"B"</f>
        <v>B</v>
      </c>
    </row>
    <row r="5251" spans="1:8" x14ac:dyDescent="0.2">
      <c r="A5251" t="str">
        <f t="shared" ref="A5251:A5258" si="1930">"0617090615"</f>
        <v>0617090615</v>
      </c>
      <c r="B5251" t="str">
        <f t="shared" ref="B5251:B5258" si="1931">"ALEXIA-ARIEL"</f>
        <v>ALEXIA-ARIEL</v>
      </c>
      <c r="C5251" t="str">
        <f t="shared" ref="C5251:C5258" si="1932">"EWING"</f>
        <v>EWING</v>
      </c>
      <c r="D5251">
        <f>11</f>
        <v>11</v>
      </c>
      <c r="E5251" t="str">
        <f>"04 - A - 102 - Lisa J London"</f>
        <v>04 - A - 102 - Lisa J London</v>
      </c>
      <c r="F5251" t="str">
        <f>"AP CAPSTONE SEMINAR"</f>
        <v>AP CAPSTONE SEMINAR</v>
      </c>
      <c r="G5251" t="str">
        <f>"17-1714"</f>
        <v>17-1714</v>
      </c>
      <c r="H5251" t="str">
        <f>"A"</f>
        <v>A</v>
      </c>
    </row>
    <row r="5252" spans="1:8" x14ac:dyDescent="0.2">
      <c r="A5252" t="str">
        <f t="shared" si="1930"/>
        <v>0617090615</v>
      </c>
      <c r="B5252" t="str">
        <f t="shared" si="1931"/>
        <v>ALEXIA-ARIEL</v>
      </c>
      <c r="C5252" t="str">
        <f t="shared" si="1932"/>
        <v>EWING</v>
      </c>
      <c r="D5252">
        <f>11</f>
        <v>11</v>
      </c>
      <c r="E5252" t="str">
        <f>"06 - B - 102 - Stephen T Ripp"</f>
        <v>06 - B - 102 - Stephen T Ripp</v>
      </c>
      <c r="F5252" t="str">
        <f>"AP U.S. HIST"</f>
        <v>AP U.S. HIST</v>
      </c>
      <c r="G5252" t="str">
        <f>"17-1744"</f>
        <v>17-1744</v>
      </c>
      <c r="H5252" t="str">
        <f>"B"</f>
        <v>B</v>
      </c>
    </row>
    <row r="5253" spans="1:8" x14ac:dyDescent="0.2">
      <c r="A5253" t="str">
        <f t="shared" si="1930"/>
        <v>0617090615</v>
      </c>
      <c r="B5253" t="str">
        <f t="shared" si="1931"/>
        <v>ALEXIA-ARIEL</v>
      </c>
      <c r="C5253" t="str">
        <f t="shared" si="1932"/>
        <v>EWING</v>
      </c>
      <c r="D5253">
        <f>11</f>
        <v>11</v>
      </c>
      <c r="E5253" t="str">
        <f>"03 - A - 202 - Jeanne M Bermudez"</f>
        <v>03 - A - 202 - Jeanne M Bermudez</v>
      </c>
      <c r="F5253" t="str">
        <f>"PHYSICS 1 HON"</f>
        <v>PHYSICS 1 HON</v>
      </c>
      <c r="G5253" t="str">
        <f>"21-2141"</f>
        <v>21-2141</v>
      </c>
      <c r="H5253" t="str">
        <f>"A"</f>
        <v>A</v>
      </c>
    </row>
    <row r="5254" spans="1:8" x14ac:dyDescent="0.2">
      <c r="A5254" t="str">
        <f t="shared" si="1930"/>
        <v>0617090615</v>
      </c>
      <c r="B5254" t="str">
        <f t="shared" si="1931"/>
        <v>ALEXIA-ARIEL</v>
      </c>
      <c r="C5254" t="str">
        <f t="shared" si="1932"/>
        <v>EWING</v>
      </c>
      <c r="D5254">
        <f>11</f>
        <v>11</v>
      </c>
      <c r="E5254" t="str">
        <f>"02 - A - 101 - Milca  Exantus"</f>
        <v>02 - A - 101 - Milca  Exantus</v>
      </c>
      <c r="F5254" t="str">
        <f>"NC STUDY HALL 1"</f>
        <v>NC STUDY HALL 1</v>
      </c>
      <c r="G5254" t="str">
        <f>"21-2145"</f>
        <v>21-2145</v>
      </c>
      <c r="H5254" t="str">
        <f>"A"</f>
        <v>A</v>
      </c>
    </row>
    <row r="5255" spans="1:8" x14ac:dyDescent="0.2">
      <c r="A5255" t="str">
        <f t="shared" si="1930"/>
        <v>0617090615</v>
      </c>
      <c r="B5255" t="str">
        <f t="shared" si="1931"/>
        <v>ALEXIA-ARIEL</v>
      </c>
      <c r="C5255" t="str">
        <f t="shared" si="1932"/>
        <v>EWING</v>
      </c>
      <c r="D5255">
        <f>11</f>
        <v>11</v>
      </c>
      <c r="E5255" t="str">
        <f>"07 - B - 102 - Pamela M Corzo"</f>
        <v>07 - B - 102 - Pamela M Corzo</v>
      </c>
      <c r="F5255" t="str">
        <f>"AP CALCULUS AB"</f>
        <v>AP CALCULUS AB</v>
      </c>
      <c r="G5255" t="str">
        <f>"21-2133"</f>
        <v>21-2133</v>
      </c>
      <c r="H5255" t="str">
        <f>"B"</f>
        <v>B</v>
      </c>
    </row>
    <row r="5256" spans="1:8" x14ac:dyDescent="0.2">
      <c r="A5256" t="str">
        <f t="shared" si="1930"/>
        <v>0617090615</v>
      </c>
      <c r="B5256" t="str">
        <f t="shared" si="1931"/>
        <v>ALEXIA-ARIEL</v>
      </c>
      <c r="C5256" t="str">
        <f t="shared" si="1932"/>
        <v>EWING</v>
      </c>
      <c r="D5256">
        <f>11</f>
        <v>11</v>
      </c>
      <c r="E5256" t="str">
        <f>"05 - B - 103 - Vanessa J Liburd"</f>
        <v>05 - B - 103 - Vanessa J Liburd</v>
      </c>
      <c r="F5256" t="str">
        <f>"PRE-AICE FRENCH 2 IG"</f>
        <v>PRE-AICE FRENCH 2 IG</v>
      </c>
      <c r="G5256" t="str">
        <f>"05-519"</f>
        <v>05-519</v>
      </c>
      <c r="H5256" t="str">
        <f>"B"</f>
        <v>B</v>
      </c>
    </row>
    <row r="5257" spans="1:8" x14ac:dyDescent="0.2">
      <c r="A5257" t="str">
        <f t="shared" si="1930"/>
        <v>0617090615</v>
      </c>
      <c r="B5257" t="str">
        <f t="shared" si="1931"/>
        <v>ALEXIA-ARIEL</v>
      </c>
      <c r="C5257" t="str">
        <f t="shared" si="1932"/>
        <v>EWING</v>
      </c>
      <c r="D5257">
        <f>11</f>
        <v>11</v>
      </c>
      <c r="E5257" t="str">
        <f>"01 - A - 101 - Kelly N Panza"</f>
        <v>01 - A - 101 - Kelly N Panza</v>
      </c>
      <c r="F5257" t="str">
        <f>"AP HUMAN GEOG"</f>
        <v>AP HUMAN GEOG</v>
      </c>
      <c r="G5257" t="str">
        <f>"17-1753"</f>
        <v>17-1753</v>
      </c>
      <c r="H5257" t="str">
        <f>"A"</f>
        <v>A</v>
      </c>
    </row>
    <row r="5258" spans="1:8" x14ac:dyDescent="0.2">
      <c r="A5258" t="str">
        <f t="shared" si="1930"/>
        <v>0617090615</v>
      </c>
      <c r="B5258" t="str">
        <f t="shared" si="1931"/>
        <v>ALEXIA-ARIEL</v>
      </c>
      <c r="C5258" t="str">
        <f t="shared" si="1932"/>
        <v>EWING</v>
      </c>
      <c r="D5258">
        <f>11</f>
        <v>11</v>
      </c>
      <c r="E5258" t="str">
        <f>"08 - B - 105 - Brandy N Zdenek"</f>
        <v>08 - B - 105 - Brandy N Zdenek</v>
      </c>
      <c r="F5258" t="str">
        <f>"AICE ENG LANG 2 AL"</f>
        <v>AICE ENG LANG 2 AL</v>
      </c>
      <c r="G5258" t="str">
        <f>"17-1704"</f>
        <v>17-1704</v>
      </c>
      <c r="H5258" t="str">
        <f>"B"</f>
        <v>B</v>
      </c>
    </row>
    <row r="5259" spans="1:8" x14ac:dyDescent="0.2">
      <c r="A5259" t="str">
        <f t="shared" ref="A5259:A5266" si="1933">"0623081787"</f>
        <v>0623081787</v>
      </c>
      <c r="B5259" t="str">
        <f t="shared" ref="B5259:B5266" si="1934">"TAHILY"</f>
        <v>TAHILY</v>
      </c>
      <c r="C5259" t="str">
        <f t="shared" ref="C5259:C5266" si="1935">"EXPOSITO"</f>
        <v>EXPOSITO</v>
      </c>
      <c r="D5259">
        <f>10</f>
        <v>10</v>
      </c>
      <c r="E5259" t="str">
        <f>"04 - A - 105 - Jacquelyn M Neeson"</f>
        <v>04 - A - 105 - Jacquelyn M Neeson</v>
      </c>
      <c r="F5259" t="str">
        <f>"ENG 2"</f>
        <v>ENG 2</v>
      </c>
      <c r="G5259" t="str">
        <f>"17-1715"</f>
        <v>17-1715</v>
      </c>
      <c r="H5259" t="str">
        <f>"A"</f>
        <v>A</v>
      </c>
    </row>
    <row r="5260" spans="1:8" x14ac:dyDescent="0.2">
      <c r="A5260" t="str">
        <f t="shared" si="1933"/>
        <v>0623081787</v>
      </c>
      <c r="B5260" t="str">
        <f t="shared" si="1934"/>
        <v>TAHILY</v>
      </c>
      <c r="C5260" t="str">
        <f t="shared" si="1935"/>
        <v>EXPOSITO</v>
      </c>
      <c r="D5260">
        <f>10</f>
        <v>10</v>
      </c>
      <c r="E5260" t="str">
        <f>"06 - B - 103 - Vanessa J Liburd"</f>
        <v>06 - B - 103 - Vanessa J Liburd</v>
      </c>
      <c r="F5260" t="str">
        <f>"NC STUDY HALL 1"</f>
        <v>NC STUDY HALL 1</v>
      </c>
      <c r="G5260" t="str">
        <f>"05-519"</f>
        <v>05-519</v>
      </c>
      <c r="H5260" t="str">
        <f>"B"</f>
        <v>B</v>
      </c>
    </row>
    <row r="5261" spans="1:8" x14ac:dyDescent="0.2">
      <c r="A5261" t="str">
        <f t="shared" si="1933"/>
        <v>0623081787</v>
      </c>
      <c r="B5261" t="str">
        <f t="shared" si="1934"/>
        <v>TAHILY</v>
      </c>
      <c r="C5261" t="str">
        <f t="shared" si="1935"/>
        <v>EXPOSITO</v>
      </c>
      <c r="D5261">
        <f>10</f>
        <v>10</v>
      </c>
      <c r="E5261" t="str">
        <f>"03 - A - 105 - Elizabeth Ellen  Moran"</f>
        <v>03 - A - 105 - Elizabeth Ellen  Moran</v>
      </c>
      <c r="F5261" t="str">
        <f>"WORLD HISTORY"</f>
        <v>WORLD HISTORY</v>
      </c>
      <c r="G5261" t="str">
        <f>"17-1752"</f>
        <v>17-1752</v>
      </c>
      <c r="H5261" t="str">
        <f>"A"</f>
        <v>A</v>
      </c>
    </row>
    <row r="5262" spans="1:8" x14ac:dyDescent="0.2">
      <c r="A5262" t="str">
        <f t="shared" si="1933"/>
        <v>0623081787</v>
      </c>
      <c r="B5262" t="str">
        <f t="shared" si="1934"/>
        <v>TAHILY</v>
      </c>
      <c r="C5262" t="str">
        <f t="shared" si="1935"/>
        <v>EXPOSITO</v>
      </c>
      <c r="D5262">
        <f>10</f>
        <v>10</v>
      </c>
      <c r="E5262" t="str">
        <f>"02 - A - 102 - Adam Marcus  Drucker"</f>
        <v>02 - A - 102 - Adam Marcus  Drucker</v>
      </c>
      <c r="F5262" t="str">
        <f>"HOPE-PE V"</f>
        <v>HOPE-PE V</v>
      </c>
      <c r="G5262" t="str">
        <f>"04-254"</f>
        <v>04-254</v>
      </c>
      <c r="H5262" t="str">
        <f>"A"</f>
        <v>A</v>
      </c>
    </row>
    <row r="5263" spans="1:8" x14ac:dyDescent="0.2">
      <c r="A5263" t="str">
        <f t="shared" si="1933"/>
        <v>0623081787</v>
      </c>
      <c r="B5263" t="str">
        <f t="shared" si="1934"/>
        <v>TAHILY</v>
      </c>
      <c r="C5263" t="str">
        <f t="shared" si="1935"/>
        <v>EXPOSITO</v>
      </c>
      <c r="D5263">
        <f>10</f>
        <v>10</v>
      </c>
      <c r="E5263" t="str">
        <f>"07 - B - 001 - Rachel M Montrose"</f>
        <v>07 - B - 001 - Rachel M Montrose</v>
      </c>
      <c r="F5263" t="str">
        <f>"JOURN 2 (NP) LH"</f>
        <v>JOURN 2 (NP) LH</v>
      </c>
      <c r="G5263" t="str">
        <f>"05-521"</f>
        <v>05-521</v>
      </c>
      <c r="H5263" t="str">
        <f>"B"</f>
        <v>B</v>
      </c>
    </row>
    <row r="5264" spans="1:8" x14ac:dyDescent="0.2">
      <c r="A5264" t="str">
        <f t="shared" si="1933"/>
        <v>0623081787</v>
      </c>
      <c r="B5264" t="str">
        <f t="shared" si="1934"/>
        <v>TAHILY</v>
      </c>
      <c r="C5264" t="str">
        <f t="shared" si="1935"/>
        <v>EXPOSITO</v>
      </c>
      <c r="D5264">
        <f>10</f>
        <v>10</v>
      </c>
      <c r="E5264" t="str">
        <f>"05 - B - 106 - Milca  Exantus"</f>
        <v>05 - B - 106 - Milca  Exantus</v>
      </c>
      <c r="F5264" t="str">
        <f>"MATH COLLEGE LIB ART"</f>
        <v>MATH COLLEGE LIB ART</v>
      </c>
      <c r="G5264" t="str">
        <f>"21-2145"</f>
        <v>21-2145</v>
      </c>
      <c r="H5264" t="str">
        <f>"B"</f>
        <v>B</v>
      </c>
    </row>
    <row r="5265" spans="1:8" x14ac:dyDescent="0.2">
      <c r="A5265" t="str">
        <f t="shared" si="1933"/>
        <v>0623081787</v>
      </c>
      <c r="B5265" t="str">
        <f t="shared" si="1934"/>
        <v>TAHILY</v>
      </c>
      <c r="C5265" t="str">
        <f t="shared" si="1935"/>
        <v>EXPOSITO</v>
      </c>
      <c r="D5265">
        <f>10</f>
        <v>10</v>
      </c>
      <c r="E5265" t="str">
        <f>"01 - S1 - A - 101 - Lissa C Frederique"</f>
        <v>01 - S1 - A - 101 - Lissa C Frederique</v>
      </c>
      <c r="F5265" t="str">
        <f>"PERS FIN &amp; MON MGT H"</f>
        <v>PERS FIN &amp; MON MGT H</v>
      </c>
      <c r="G5265" t="str">
        <f>"17-1754"</f>
        <v>17-1754</v>
      </c>
      <c r="H5265" t="str">
        <f>"A"</f>
        <v>A</v>
      </c>
    </row>
    <row r="5266" spans="1:8" x14ac:dyDescent="0.2">
      <c r="A5266" t="str">
        <f t="shared" si="1933"/>
        <v>0623081787</v>
      </c>
      <c r="B5266" t="str">
        <f t="shared" si="1934"/>
        <v>TAHILY</v>
      </c>
      <c r="C5266" t="str">
        <f t="shared" si="1935"/>
        <v>EXPOSITO</v>
      </c>
      <c r="D5266">
        <f>10</f>
        <v>10</v>
      </c>
      <c r="E5266" t="str">
        <f>"08 - B - 108 - Paige Lauren  Brochu"</f>
        <v>08 - B - 108 - Paige Lauren  Brochu</v>
      </c>
      <c r="F5266" t="str">
        <f>"BIOLOGY 1"</f>
        <v>BIOLOGY 1</v>
      </c>
      <c r="G5266" t="str">
        <f>"21-2134"</f>
        <v>21-2134</v>
      </c>
      <c r="H5266" t="str">
        <f>"B"</f>
        <v>B</v>
      </c>
    </row>
    <row r="5267" spans="1:8" x14ac:dyDescent="0.2">
      <c r="A5267" t="str">
        <f t="shared" ref="A5267:A5274" si="1936">"0614140170"</f>
        <v>0614140170</v>
      </c>
      <c r="B5267" t="str">
        <f t="shared" ref="B5267:B5274" si="1937">"KEIRA"</f>
        <v>KEIRA</v>
      </c>
      <c r="C5267" t="str">
        <f t="shared" ref="C5267:C5282" si="1938">"FAHY"</f>
        <v>FAHY</v>
      </c>
      <c r="D5267">
        <f>11</f>
        <v>11</v>
      </c>
      <c r="E5267" t="str">
        <f>"04 - A - 102 - Lisa J London"</f>
        <v>04 - A - 102 - Lisa J London</v>
      </c>
      <c r="F5267" t="str">
        <f>"AP CAPSTONE SEMINAR"</f>
        <v>AP CAPSTONE SEMINAR</v>
      </c>
      <c r="G5267" t="str">
        <f>"17-1714"</f>
        <v>17-1714</v>
      </c>
      <c r="H5267" t="str">
        <f>"A"</f>
        <v>A</v>
      </c>
    </row>
    <row r="5268" spans="1:8" x14ac:dyDescent="0.2">
      <c r="A5268" t="str">
        <f t="shared" si="1936"/>
        <v>0614140170</v>
      </c>
      <c r="B5268" t="str">
        <f t="shared" si="1937"/>
        <v>KEIRA</v>
      </c>
      <c r="C5268" t="str">
        <f t="shared" si="1938"/>
        <v>FAHY</v>
      </c>
      <c r="D5268">
        <f>11</f>
        <v>11</v>
      </c>
      <c r="E5268" t="str">
        <f>"06 - B - 102 - Stephen T Ripp"</f>
        <v>06 - B - 102 - Stephen T Ripp</v>
      </c>
      <c r="F5268" t="str">
        <f>"AP U.S. HIST"</f>
        <v>AP U.S. HIST</v>
      </c>
      <c r="G5268" t="str">
        <f>"17-1744"</f>
        <v>17-1744</v>
      </c>
      <c r="H5268" t="str">
        <f>"B"</f>
        <v>B</v>
      </c>
    </row>
    <row r="5269" spans="1:8" x14ac:dyDescent="0.2">
      <c r="A5269" t="str">
        <f t="shared" si="1936"/>
        <v>0614140170</v>
      </c>
      <c r="B5269" t="str">
        <f t="shared" si="1937"/>
        <v>KEIRA</v>
      </c>
      <c r="C5269" t="str">
        <f t="shared" si="1938"/>
        <v>FAHY</v>
      </c>
      <c r="D5269">
        <f>11</f>
        <v>11</v>
      </c>
      <c r="E5269" t="str">
        <f>"03 - A - 102 - Tina M Jaramillo"</f>
        <v>03 - A - 102 - Tina M Jaramillo</v>
      </c>
      <c r="F5269" t="str">
        <f>"AP ENG COMPO"</f>
        <v>AP ENG COMPO</v>
      </c>
      <c r="G5269" t="str">
        <f>"17-1706"</f>
        <v>17-1706</v>
      </c>
      <c r="H5269" t="str">
        <f>"A"</f>
        <v>A</v>
      </c>
    </row>
    <row r="5270" spans="1:8" x14ac:dyDescent="0.2">
      <c r="A5270" t="str">
        <f t="shared" si="1936"/>
        <v>0614140170</v>
      </c>
      <c r="B5270" t="str">
        <f t="shared" si="1937"/>
        <v>KEIRA</v>
      </c>
      <c r="C5270" t="str">
        <f t="shared" si="1938"/>
        <v>FAHY</v>
      </c>
      <c r="D5270">
        <f>11</f>
        <v>11</v>
      </c>
      <c r="E5270" t="str">
        <f>"02 - A - 103 - Angela S Adeshina-Morrison"</f>
        <v>02 - A - 103 - Angela S Adeshina-Morrison</v>
      </c>
      <c r="F5270" t="str">
        <f>"NC STUDY HALL 1"</f>
        <v>NC STUDY HALL 1</v>
      </c>
      <c r="G5270" t="str">
        <f>"05-518"</f>
        <v>05-518</v>
      </c>
      <c r="H5270" t="str">
        <f>"A"</f>
        <v>A</v>
      </c>
    </row>
    <row r="5271" spans="1:8" x14ac:dyDescent="0.2">
      <c r="A5271" t="str">
        <f t="shared" si="1936"/>
        <v>0614140170</v>
      </c>
      <c r="B5271" t="str">
        <f t="shared" si="1937"/>
        <v>KEIRA</v>
      </c>
      <c r="C5271" t="str">
        <f t="shared" si="1938"/>
        <v>FAHY</v>
      </c>
      <c r="D5271">
        <f>11</f>
        <v>11</v>
      </c>
      <c r="E5271" t="str">
        <f>"07 - B - 102 - Pamela M Corzo"</f>
        <v>07 - B - 102 - Pamela M Corzo</v>
      </c>
      <c r="F5271" t="str">
        <f>"AP CALCULUS AB"</f>
        <v>AP CALCULUS AB</v>
      </c>
      <c r="G5271" t="str">
        <f>"21-2133"</f>
        <v>21-2133</v>
      </c>
      <c r="H5271" t="str">
        <f>"B"</f>
        <v>B</v>
      </c>
    </row>
    <row r="5272" spans="1:8" x14ac:dyDescent="0.2">
      <c r="A5272" t="str">
        <f t="shared" si="1936"/>
        <v>0614140170</v>
      </c>
      <c r="B5272" t="str">
        <f t="shared" si="1937"/>
        <v>KEIRA</v>
      </c>
      <c r="C5272" t="str">
        <f t="shared" si="1938"/>
        <v>FAHY</v>
      </c>
      <c r="D5272">
        <f>11</f>
        <v>11</v>
      </c>
      <c r="E5272" t="str">
        <f>"05 - B - 201 - Scott A Dethloff"</f>
        <v>05 - B - 201 - Scott A Dethloff</v>
      </c>
      <c r="F5272" t="str">
        <f>"AP CHEM"</f>
        <v>AP CHEM</v>
      </c>
      <c r="G5272" t="str">
        <f>"08-812"</f>
        <v>08-812</v>
      </c>
      <c r="H5272" t="str">
        <f>"B"</f>
        <v>B</v>
      </c>
    </row>
    <row r="5273" spans="1:8" x14ac:dyDescent="0.2">
      <c r="A5273" t="str">
        <f t="shared" si="1936"/>
        <v>0614140170</v>
      </c>
      <c r="B5273" t="str">
        <f t="shared" si="1937"/>
        <v>KEIRA</v>
      </c>
      <c r="C5273" t="str">
        <f t="shared" si="1938"/>
        <v>FAHY</v>
      </c>
      <c r="D5273">
        <f>11</f>
        <v>11</v>
      </c>
      <c r="E5273" t="str">
        <f>"01 - A - 201 - Daniel S Tyson"</f>
        <v>01 - A - 201 - Daniel S Tyson</v>
      </c>
      <c r="F5273" t="str">
        <f>"JROTC NAVAL SCI 3"</f>
        <v>JROTC NAVAL SCI 3</v>
      </c>
      <c r="G5273" t="str">
        <f>"05-510"</f>
        <v>05-510</v>
      </c>
      <c r="H5273" t="str">
        <f>"A"</f>
        <v>A</v>
      </c>
    </row>
    <row r="5274" spans="1:8" x14ac:dyDescent="0.2">
      <c r="A5274" t="str">
        <f t="shared" si="1936"/>
        <v>0614140170</v>
      </c>
      <c r="B5274" t="str">
        <f t="shared" si="1937"/>
        <v>KEIRA</v>
      </c>
      <c r="C5274" t="str">
        <f t="shared" si="1938"/>
        <v>FAHY</v>
      </c>
      <c r="D5274">
        <f>11</f>
        <v>11</v>
      </c>
      <c r="E5274" t="str">
        <f>"08 - B - 102 - Jacqueline R Morphet"</f>
        <v>08 - B - 102 - Jacqueline R Morphet</v>
      </c>
      <c r="F5274" t="str">
        <f>"AP PHYSICS 1"</f>
        <v>AP PHYSICS 1</v>
      </c>
      <c r="G5274" t="str">
        <f>"21-2138"</f>
        <v>21-2138</v>
      </c>
      <c r="H5274" t="str">
        <f>"B"</f>
        <v>B</v>
      </c>
    </row>
    <row r="5275" spans="1:8" x14ac:dyDescent="0.2">
      <c r="A5275" t="str">
        <f t="shared" ref="A5275:A5282" si="1939">"0615080261"</f>
        <v>0615080261</v>
      </c>
      <c r="B5275" t="str">
        <f t="shared" ref="B5275:B5282" si="1940">"LOGAN"</f>
        <v>LOGAN</v>
      </c>
      <c r="C5275" t="str">
        <f t="shared" si="1938"/>
        <v>FAHY</v>
      </c>
      <c r="D5275">
        <f>10</f>
        <v>10</v>
      </c>
      <c r="E5275" t="str">
        <f>"04 - A - 201 - Scott A Dethloff"</f>
        <v>04 - A - 201 - Scott A Dethloff</v>
      </c>
      <c r="F5275" t="str">
        <f>"AICE THINK SKLS 1 AS"</f>
        <v>AICE THINK SKLS 1 AS</v>
      </c>
      <c r="G5275" t="str">
        <f>"08-812"</f>
        <v>08-812</v>
      </c>
      <c r="H5275" t="str">
        <f>"A"</f>
        <v>A</v>
      </c>
    </row>
    <row r="5276" spans="1:8" x14ac:dyDescent="0.2">
      <c r="A5276" t="str">
        <f t="shared" si="1939"/>
        <v>0615080261</v>
      </c>
      <c r="B5276" t="str">
        <f t="shared" si="1940"/>
        <v>LOGAN</v>
      </c>
      <c r="C5276" t="str">
        <f t="shared" si="1938"/>
        <v>FAHY</v>
      </c>
      <c r="D5276">
        <f>10</f>
        <v>10</v>
      </c>
      <c r="E5276" t="str">
        <f>"06 - B - 104 - Robert H Rindner"</f>
        <v>06 - B - 104 - Robert H Rindner</v>
      </c>
      <c r="F5276" t="str">
        <f>"NC STUDY HALL 1"</f>
        <v>NC STUDY HALL 1</v>
      </c>
      <c r="G5276" t="str">
        <f>"21-2160"</f>
        <v>21-2160</v>
      </c>
      <c r="H5276" t="str">
        <f>"B"</f>
        <v>B</v>
      </c>
    </row>
    <row r="5277" spans="1:8" x14ac:dyDescent="0.2">
      <c r="A5277" t="str">
        <f t="shared" si="1939"/>
        <v>0615080261</v>
      </c>
      <c r="B5277" t="str">
        <f t="shared" si="1940"/>
        <v>LOGAN</v>
      </c>
      <c r="C5277" t="str">
        <f t="shared" si="1938"/>
        <v>FAHY</v>
      </c>
      <c r="D5277">
        <f>10</f>
        <v>10</v>
      </c>
      <c r="E5277" t="str">
        <f>"03 - A - 002 - Brandy N Zdenek"</f>
        <v>03 - A - 002 - Brandy N Zdenek</v>
      </c>
      <c r="F5277" t="str">
        <f>"AICE ENG LANG AS"</f>
        <v>AICE ENG LANG AS</v>
      </c>
      <c r="G5277" t="str">
        <f>"17-1704"</f>
        <v>17-1704</v>
      </c>
      <c r="H5277" t="str">
        <f>"A"</f>
        <v>A</v>
      </c>
    </row>
    <row r="5278" spans="1:8" x14ac:dyDescent="0.2">
      <c r="A5278" t="str">
        <f t="shared" si="1939"/>
        <v>0615080261</v>
      </c>
      <c r="B5278" t="str">
        <f t="shared" si="1940"/>
        <v>LOGAN</v>
      </c>
      <c r="C5278" t="str">
        <f t="shared" si="1938"/>
        <v>FAHY</v>
      </c>
      <c r="D5278">
        <f>10</f>
        <v>10</v>
      </c>
      <c r="E5278" t="str">
        <f>"02 - A - 103 - Lenecy  Nodarse"</f>
        <v>02 - A - 103 - Lenecy  Nodarse</v>
      </c>
      <c r="F5278" t="str">
        <f>"AICE EURO HIST 1 AS"</f>
        <v>AICE EURO HIST 1 AS</v>
      </c>
      <c r="G5278" t="str">
        <f>"17-1741"</f>
        <v>17-1741</v>
      </c>
      <c r="H5278" t="str">
        <f>"A"</f>
        <v>A</v>
      </c>
    </row>
    <row r="5279" spans="1:8" x14ac:dyDescent="0.2">
      <c r="A5279" t="str">
        <f t="shared" si="1939"/>
        <v>0615080261</v>
      </c>
      <c r="B5279" t="str">
        <f t="shared" si="1940"/>
        <v>LOGAN</v>
      </c>
      <c r="C5279" t="str">
        <f t="shared" si="1938"/>
        <v>FAHY</v>
      </c>
      <c r="D5279">
        <f>10</f>
        <v>10</v>
      </c>
      <c r="E5279" t="str">
        <f>"07 - B - 102 - Lourivaldo  Da Silva"</f>
        <v>07 - B - 102 - Lourivaldo  Da Silva</v>
      </c>
      <c r="F5279" t="str">
        <f>"ALGEBRA 2 HON"</f>
        <v>ALGEBRA 2 HON</v>
      </c>
      <c r="G5279" t="str">
        <f>"20-2079"</f>
        <v>20-2079</v>
      </c>
      <c r="H5279" t="str">
        <f>"B"</f>
        <v>B</v>
      </c>
    </row>
    <row r="5280" spans="1:8" x14ac:dyDescent="0.2">
      <c r="A5280" t="str">
        <f t="shared" si="1939"/>
        <v>0615080261</v>
      </c>
      <c r="B5280" t="str">
        <f t="shared" si="1940"/>
        <v>LOGAN</v>
      </c>
      <c r="C5280" t="str">
        <f t="shared" si="1938"/>
        <v>FAHY</v>
      </c>
      <c r="D5280">
        <f>10</f>
        <v>10</v>
      </c>
      <c r="E5280" t="str">
        <f>"05 - B - 001 - Stefanie S Scher"</f>
        <v>05 - B - 001 - Stefanie S Scher</v>
      </c>
      <c r="F5280" t="str">
        <f>"AICE PSYCH 1 AS"</f>
        <v>AICE PSYCH 1 AS</v>
      </c>
      <c r="G5280" t="str">
        <f>"17-1735"</f>
        <v>17-1735</v>
      </c>
      <c r="H5280" t="str">
        <f>"B"</f>
        <v>B</v>
      </c>
    </row>
    <row r="5281" spans="1:8" x14ac:dyDescent="0.2">
      <c r="A5281" t="str">
        <f t="shared" si="1939"/>
        <v>0615080261</v>
      </c>
      <c r="B5281" t="str">
        <f t="shared" si="1940"/>
        <v>LOGAN</v>
      </c>
      <c r="C5281" t="str">
        <f t="shared" si="1938"/>
        <v>FAHY</v>
      </c>
      <c r="D5281">
        <f>10</f>
        <v>10</v>
      </c>
      <c r="E5281" t="str">
        <f>"01 - A - 107 - Valerie J Ruwe"</f>
        <v>01 - A - 107 - Valerie J Ruwe</v>
      </c>
      <c r="F5281" t="str">
        <f>"CHEMISTRY 1 HON"</f>
        <v>CHEMISTRY 1 HON</v>
      </c>
      <c r="G5281" t="str">
        <f>"21-2134"</f>
        <v>21-2134</v>
      </c>
      <c r="H5281" t="str">
        <f>"A"</f>
        <v>A</v>
      </c>
    </row>
    <row r="5282" spans="1:8" x14ac:dyDescent="0.2">
      <c r="A5282" t="str">
        <f t="shared" si="1939"/>
        <v>0615080261</v>
      </c>
      <c r="B5282" t="str">
        <f t="shared" si="1940"/>
        <v>LOGAN</v>
      </c>
      <c r="C5282" t="str">
        <f t="shared" si="1938"/>
        <v>FAHY</v>
      </c>
      <c r="D5282">
        <f>10</f>
        <v>10</v>
      </c>
      <c r="E5282" t="str">
        <f>"08 - B - 105 - Daniel S Tyson"</f>
        <v>08 - B - 105 - Daniel S Tyson</v>
      </c>
      <c r="F5282" t="str">
        <f>"JROTC NAVAL SCI 2"</f>
        <v>JROTC NAVAL SCI 2</v>
      </c>
      <c r="G5282" t="str">
        <f>"05-510"</f>
        <v>05-510</v>
      </c>
      <c r="H5282" t="str">
        <f>"B"</f>
        <v>B</v>
      </c>
    </row>
    <row r="5283" spans="1:8" x14ac:dyDescent="0.2">
      <c r="A5283" t="str">
        <f t="shared" ref="A5283:A5290" si="1941">"0617058615"</f>
        <v>0617058615</v>
      </c>
      <c r="B5283" t="str">
        <f t="shared" ref="B5283:B5290" si="1942">"BENJAMIN"</f>
        <v>BENJAMIN</v>
      </c>
      <c r="C5283" t="str">
        <f t="shared" ref="C5283:C5290" si="1943">"FALK"</f>
        <v>FALK</v>
      </c>
      <c r="D5283">
        <f>11</f>
        <v>11</v>
      </c>
      <c r="E5283" t="str">
        <f>"04 - A - 104 - Robert H Rindner"</f>
        <v>04 - A - 104 - Robert H Rindner</v>
      </c>
      <c r="F5283" t="str">
        <f>"MATH DATA&amp;FIN LIT H"</f>
        <v>MATH DATA&amp;FIN LIT H</v>
      </c>
      <c r="G5283" t="str">
        <f>"21-2160"</f>
        <v>21-2160</v>
      </c>
      <c r="H5283" t="str">
        <f>"A"</f>
        <v>A</v>
      </c>
    </row>
    <row r="5284" spans="1:8" x14ac:dyDescent="0.2">
      <c r="A5284" t="str">
        <f t="shared" si="1941"/>
        <v>0617058615</v>
      </c>
      <c r="B5284" t="str">
        <f t="shared" si="1942"/>
        <v>BENJAMIN</v>
      </c>
      <c r="C5284" t="str">
        <f t="shared" si="1943"/>
        <v>FALK</v>
      </c>
      <c r="D5284">
        <f>11</f>
        <v>11</v>
      </c>
      <c r="E5284" t="str">
        <f>"06 - B - 102 - Stephen T Ripp"</f>
        <v>06 - B - 102 - Stephen T Ripp</v>
      </c>
      <c r="F5284" t="str">
        <f>"AP U.S. HIST"</f>
        <v>AP U.S. HIST</v>
      </c>
      <c r="G5284" t="str">
        <f>"17-1744"</f>
        <v>17-1744</v>
      </c>
      <c r="H5284" t="str">
        <f>"B"</f>
        <v>B</v>
      </c>
    </row>
    <row r="5285" spans="1:8" x14ac:dyDescent="0.2">
      <c r="A5285" t="str">
        <f t="shared" si="1941"/>
        <v>0617058615</v>
      </c>
      <c r="B5285" t="str">
        <f t="shared" si="1942"/>
        <v>BENJAMIN</v>
      </c>
      <c r="C5285" t="str">
        <f t="shared" si="1943"/>
        <v>FALK</v>
      </c>
      <c r="D5285">
        <f>11</f>
        <v>11</v>
      </c>
      <c r="E5285" t="str">
        <f>"03 - A - 203 - Stefanie S Scher"</f>
        <v>03 - A - 203 - Stefanie S Scher</v>
      </c>
      <c r="F5285" t="str">
        <f>"AP PSYCH"</f>
        <v>AP PSYCH</v>
      </c>
      <c r="G5285" t="str">
        <f>"17-1735"</f>
        <v>17-1735</v>
      </c>
      <c r="H5285" t="str">
        <f>"A"</f>
        <v>A</v>
      </c>
    </row>
    <row r="5286" spans="1:8" x14ac:dyDescent="0.2">
      <c r="A5286" t="str">
        <f t="shared" si="1941"/>
        <v>0617058615</v>
      </c>
      <c r="B5286" t="str">
        <f t="shared" si="1942"/>
        <v>BENJAMIN</v>
      </c>
      <c r="C5286" t="str">
        <f t="shared" si="1943"/>
        <v>FALK</v>
      </c>
      <c r="D5286">
        <f>11</f>
        <v>11</v>
      </c>
      <c r="E5286" t="str">
        <f>"02 - A - 107 - Elizabeth Ellen  Moran"</f>
        <v>02 - A - 107 - Elizabeth Ellen  Moran</v>
      </c>
      <c r="F5286" t="str">
        <f>"NC STUDY HALL 1"</f>
        <v>NC STUDY HALL 1</v>
      </c>
      <c r="G5286" t="str">
        <f>"17-1752"</f>
        <v>17-1752</v>
      </c>
      <c r="H5286" t="str">
        <f>"A"</f>
        <v>A</v>
      </c>
    </row>
    <row r="5287" spans="1:8" x14ac:dyDescent="0.2">
      <c r="A5287" t="str">
        <f t="shared" si="1941"/>
        <v>0617058615</v>
      </c>
      <c r="B5287" t="str">
        <f t="shared" si="1942"/>
        <v>BENJAMIN</v>
      </c>
      <c r="C5287" t="str">
        <f t="shared" si="1943"/>
        <v>FALK</v>
      </c>
      <c r="D5287">
        <f>11</f>
        <v>11</v>
      </c>
      <c r="E5287" t="str">
        <f>"07 - S1 - B - 107 - Richard E Dunbar Iii"</f>
        <v>07 - S1 - B - 107 - Richard E Dunbar Iii</v>
      </c>
      <c r="F5287" t="str">
        <f>"WEIGHT TRAIN 1"</f>
        <v>WEIGHT TRAIN 1</v>
      </c>
      <c r="G5287" t="str">
        <f>"05-501"</f>
        <v>05-501</v>
      </c>
      <c r="H5287" t="str">
        <f>"B"</f>
        <v>B</v>
      </c>
    </row>
    <row r="5288" spans="1:8" x14ac:dyDescent="0.2">
      <c r="A5288" t="str">
        <f t="shared" si="1941"/>
        <v>0617058615</v>
      </c>
      <c r="B5288" t="str">
        <f t="shared" si="1942"/>
        <v>BENJAMIN</v>
      </c>
      <c r="C5288" t="str">
        <f t="shared" si="1943"/>
        <v>FALK</v>
      </c>
      <c r="D5288">
        <f>11</f>
        <v>11</v>
      </c>
      <c r="E5288" t="str">
        <f>"05 - B - 103 - Brandy N Zdenek"</f>
        <v>05 - B - 103 - Brandy N Zdenek</v>
      </c>
      <c r="F5288" t="str">
        <f>"AICE ENG LANG 2 AL"</f>
        <v>AICE ENG LANG 2 AL</v>
      </c>
      <c r="G5288" t="str">
        <f>"17-1704"</f>
        <v>17-1704</v>
      </c>
      <c r="H5288" t="str">
        <f>"B"</f>
        <v>B</v>
      </c>
    </row>
    <row r="5289" spans="1:8" x14ac:dyDescent="0.2">
      <c r="A5289" t="str">
        <f t="shared" si="1941"/>
        <v>0617058615</v>
      </c>
      <c r="B5289" t="str">
        <f t="shared" si="1942"/>
        <v>BENJAMIN</v>
      </c>
      <c r="C5289" t="str">
        <f t="shared" si="1943"/>
        <v>FALK</v>
      </c>
      <c r="D5289">
        <f>11</f>
        <v>11</v>
      </c>
      <c r="E5289" t="str">
        <f>"01 - A - 101 - Kelly N Panza"</f>
        <v>01 - A - 101 - Kelly N Panza</v>
      </c>
      <c r="F5289" t="str">
        <f>"AP HUMAN GEOG"</f>
        <v>AP HUMAN GEOG</v>
      </c>
      <c r="G5289" t="str">
        <f>"17-1753"</f>
        <v>17-1753</v>
      </c>
      <c r="H5289" t="str">
        <f>"A"</f>
        <v>A</v>
      </c>
    </row>
    <row r="5290" spans="1:8" x14ac:dyDescent="0.2">
      <c r="A5290" t="str">
        <f t="shared" si="1941"/>
        <v>0617058615</v>
      </c>
      <c r="B5290" t="str">
        <f t="shared" si="1942"/>
        <v>BENJAMIN</v>
      </c>
      <c r="C5290" t="str">
        <f t="shared" si="1943"/>
        <v>FALK</v>
      </c>
      <c r="D5290">
        <f>11</f>
        <v>11</v>
      </c>
      <c r="E5290" t="str">
        <f>"08 - B - 103 - Marielle A Witting"</f>
        <v>08 - B - 103 - Marielle A Witting</v>
      </c>
      <c r="F5290" t="str">
        <f>"AP BIO"</f>
        <v>AP BIO</v>
      </c>
      <c r="G5290" t="str">
        <f>"08-805"</f>
        <v>08-805</v>
      </c>
      <c r="H5290" t="str">
        <f>"B"</f>
        <v>B</v>
      </c>
    </row>
    <row r="5291" spans="1:8" x14ac:dyDescent="0.2">
      <c r="A5291" t="str">
        <f t="shared" ref="A5291:A5298" si="1944">"0616159877"</f>
        <v>0616159877</v>
      </c>
      <c r="B5291" t="str">
        <f t="shared" ref="B5291:B5298" si="1945">"PRESTON"</f>
        <v>PRESTON</v>
      </c>
      <c r="C5291" t="str">
        <f t="shared" ref="C5291:C5298" si="1946">"FALTZ"</f>
        <v>FALTZ</v>
      </c>
      <c r="D5291" t="str">
        <f t="shared" ref="D5291:D5306" si="1947">"09"</f>
        <v>09</v>
      </c>
      <c r="E5291" t="str">
        <f>"04 - A - 101 - Arthur  Kulawik"</f>
        <v>04 - A - 101 - Arthur  Kulawik</v>
      </c>
      <c r="F5291" t="str">
        <f>"DEBATE 3 HON"</f>
        <v>DEBATE 3 HON</v>
      </c>
      <c r="G5291" t="str">
        <f>"05-506"</f>
        <v>05-506</v>
      </c>
      <c r="H5291" t="str">
        <f>"A"</f>
        <v>A</v>
      </c>
    </row>
    <row r="5292" spans="1:8" x14ac:dyDescent="0.2">
      <c r="A5292" t="str">
        <f t="shared" si="1944"/>
        <v>0616159877</v>
      </c>
      <c r="B5292" t="str">
        <f t="shared" si="1945"/>
        <v>PRESTON</v>
      </c>
      <c r="C5292" t="str">
        <f t="shared" si="1946"/>
        <v>FALTZ</v>
      </c>
      <c r="D5292" t="str">
        <f t="shared" si="1947"/>
        <v>09</v>
      </c>
      <c r="E5292" t="str">
        <f>"06 - B - 104 - Byron G Montenegro"</f>
        <v>06 - B - 104 - Byron G Montenegro</v>
      </c>
      <c r="F5292" t="str">
        <f>"AICE MARINE SCI 1 AS"</f>
        <v>AICE MARINE SCI 1 AS</v>
      </c>
      <c r="G5292" t="str">
        <f>"21-2144"</f>
        <v>21-2144</v>
      </c>
      <c r="H5292" t="str">
        <f>"B"</f>
        <v>B</v>
      </c>
    </row>
    <row r="5293" spans="1:8" x14ac:dyDescent="0.2">
      <c r="A5293" t="str">
        <f t="shared" si="1944"/>
        <v>0616159877</v>
      </c>
      <c r="B5293" t="str">
        <f t="shared" si="1945"/>
        <v>PRESTON</v>
      </c>
      <c r="C5293" t="str">
        <f t="shared" si="1946"/>
        <v>FALTZ</v>
      </c>
      <c r="D5293" t="str">
        <f t="shared" si="1947"/>
        <v>09</v>
      </c>
      <c r="E5293" t="str">
        <f>"03 - S1 - A - 101 - Daniel S Katz"</f>
        <v>03 - S1 - A - 101 - Daniel S Katz</v>
      </c>
      <c r="F5293" t="str">
        <f>"COURT PROCED"</f>
        <v>COURT PROCED</v>
      </c>
      <c r="G5293" t="str">
        <f>"21-2156"</f>
        <v>21-2156</v>
      </c>
      <c r="H5293" t="str">
        <f>"A"</f>
        <v>A</v>
      </c>
    </row>
    <row r="5294" spans="1:8" x14ac:dyDescent="0.2">
      <c r="A5294" t="str">
        <f t="shared" si="1944"/>
        <v>0616159877</v>
      </c>
      <c r="B5294" t="str">
        <f t="shared" si="1945"/>
        <v>PRESTON</v>
      </c>
      <c r="C5294" t="str">
        <f t="shared" si="1946"/>
        <v>FALTZ</v>
      </c>
      <c r="D5294" t="str">
        <f t="shared" si="1947"/>
        <v>09</v>
      </c>
      <c r="E5294" t="str">
        <f>"02 - A - 113 - Amy Beth  Broyles"</f>
        <v>02 - A - 113 - Amy Beth  Broyles</v>
      </c>
      <c r="F5294" t="str">
        <f>"NC STUDY HALL 1"</f>
        <v>NC STUDY HALL 1</v>
      </c>
      <c r="G5294" t="str">
        <f>"08-802"</f>
        <v>08-802</v>
      </c>
      <c r="H5294" t="str">
        <f>"A"</f>
        <v>A</v>
      </c>
    </row>
    <row r="5295" spans="1:8" x14ac:dyDescent="0.2">
      <c r="A5295" t="str">
        <f t="shared" si="1944"/>
        <v>0616159877</v>
      </c>
      <c r="B5295" t="str">
        <f t="shared" si="1945"/>
        <v>PRESTON</v>
      </c>
      <c r="C5295" t="str">
        <f t="shared" si="1946"/>
        <v>FALTZ</v>
      </c>
      <c r="D5295" t="str">
        <f t="shared" si="1947"/>
        <v>09</v>
      </c>
      <c r="E5295" t="str">
        <f>"07 - B - 102 - Pamela M Corzo"</f>
        <v>07 - B - 102 - Pamela M Corzo</v>
      </c>
      <c r="F5295" t="str">
        <f>"AP CALCULUS AB"</f>
        <v>AP CALCULUS AB</v>
      </c>
      <c r="G5295" t="str">
        <f>"21-2133"</f>
        <v>21-2133</v>
      </c>
      <c r="H5295" t="str">
        <f>"B"</f>
        <v>B</v>
      </c>
    </row>
    <row r="5296" spans="1:8" x14ac:dyDescent="0.2">
      <c r="A5296" t="str">
        <f t="shared" si="1944"/>
        <v>0616159877</v>
      </c>
      <c r="B5296" t="str">
        <f t="shared" si="1945"/>
        <v>PRESTON</v>
      </c>
      <c r="C5296" t="str">
        <f t="shared" si="1946"/>
        <v>FALTZ</v>
      </c>
      <c r="D5296" t="str">
        <f t="shared" si="1947"/>
        <v>09</v>
      </c>
      <c r="E5296" t="str">
        <f>"05 - B - 003 - Krystal Marie  Beruty"</f>
        <v>05 - B - 003 - Krystal Marie  Beruty</v>
      </c>
      <c r="F5296" t="str">
        <f>"AICE GLBL PERSP 1 AS"</f>
        <v>AICE GLBL PERSP 1 AS</v>
      </c>
      <c r="G5296" t="str">
        <f>"17-1721"</f>
        <v>17-1721</v>
      </c>
      <c r="H5296" t="str">
        <f>"B"</f>
        <v>B</v>
      </c>
    </row>
    <row r="5297" spans="1:8" x14ac:dyDescent="0.2">
      <c r="A5297" t="str">
        <f t="shared" si="1944"/>
        <v>0616159877</v>
      </c>
      <c r="B5297" t="str">
        <f t="shared" si="1945"/>
        <v>PRESTON</v>
      </c>
      <c r="C5297" t="str">
        <f t="shared" si="1946"/>
        <v>FALTZ</v>
      </c>
      <c r="D5297" t="str">
        <f t="shared" si="1947"/>
        <v>09</v>
      </c>
      <c r="E5297" t="str">
        <f>"01 - A - 101 - Elizabeth R Walker"</f>
        <v>01 - A - 101 - Elizabeth R Walker</v>
      </c>
      <c r="F5297" t="str">
        <f>"AICE ENG GEN PAPER 1"</f>
        <v>AICE ENG GEN PAPER 1</v>
      </c>
      <c r="G5297" t="str">
        <f>"17-1703"</f>
        <v>17-1703</v>
      </c>
      <c r="H5297" t="str">
        <f>"A"</f>
        <v>A</v>
      </c>
    </row>
    <row r="5298" spans="1:8" x14ac:dyDescent="0.2">
      <c r="A5298" t="str">
        <f t="shared" si="1944"/>
        <v>0616159877</v>
      </c>
      <c r="B5298" t="str">
        <f t="shared" si="1945"/>
        <v>PRESTON</v>
      </c>
      <c r="C5298" t="str">
        <f t="shared" si="1946"/>
        <v>FALTZ</v>
      </c>
      <c r="D5298" t="str">
        <f t="shared" si="1947"/>
        <v>09</v>
      </c>
      <c r="E5298" t="str">
        <f>"08 - B - 201 - Tina M Jaramillo"</f>
        <v>08 - B - 201 - Tina M Jaramillo</v>
      </c>
      <c r="F5298" t="str">
        <f>"CREATIVE WRIT 3 HON"</f>
        <v>CREATIVE WRIT 3 HON</v>
      </c>
      <c r="G5298" t="str">
        <f>"17-1706"</f>
        <v>17-1706</v>
      </c>
      <c r="H5298" t="str">
        <f>"B"</f>
        <v>B</v>
      </c>
    </row>
    <row r="5299" spans="1:8" x14ac:dyDescent="0.2">
      <c r="A5299" t="str">
        <f t="shared" ref="A5299:A5306" si="1948">"0618109297"</f>
        <v>0618109297</v>
      </c>
      <c r="B5299" t="str">
        <f t="shared" ref="B5299:B5306" si="1949">"MATHIUS"</f>
        <v>MATHIUS</v>
      </c>
      <c r="C5299" t="str">
        <f t="shared" ref="C5299:C5306" si="1950">"FARAH"</f>
        <v>FARAH</v>
      </c>
      <c r="D5299" t="str">
        <f t="shared" si="1947"/>
        <v>09</v>
      </c>
      <c r="E5299" t="str">
        <f>"04 - A - 105 - Carol S Moore"</f>
        <v>04 - A - 105 - Carol S Moore</v>
      </c>
      <c r="F5299" t="str">
        <f>"PRE-AICE WRLD HST IG"</f>
        <v>PRE-AICE WRLD HST IG</v>
      </c>
      <c r="G5299" t="str">
        <f>"17-1733"</f>
        <v>17-1733</v>
      </c>
      <c r="H5299" t="str">
        <f>"A"</f>
        <v>A</v>
      </c>
    </row>
    <row r="5300" spans="1:8" x14ac:dyDescent="0.2">
      <c r="A5300" t="str">
        <f t="shared" si="1948"/>
        <v>0618109297</v>
      </c>
      <c r="B5300" t="str">
        <f t="shared" si="1949"/>
        <v>MATHIUS</v>
      </c>
      <c r="C5300" t="str">
        <f t="shared" si="1950"/>
        <v>FARAH</v>
      </c>
      <c r="D5300" t="str">
        <f t="shared" si="1947"/>
        <v>09</v>
      </c>
      <c r="E5300" t="str">
        <f>"06 - S1 - B - 104 - Leslie J Barton"</f>
        <v>06 - S1 - B - 104 - Leslie J Barton</v>
      </c>
      <c r="F5300" t="str">
        <f>"FIRST AID SAFETY"</f>
        <v>FIRST AID SAFETY</v>
      </c>
      <c r="G5300" t="str">
        <f>"05-521"</f>
        <v>05-521</v>
      </c>
      <c r="H5300" t="str">
        <f>"B"</f>
        <v>B</v>
      </c>
    </row>
    <row r="5301" spans="1:8" x14ac:dyDescent="0.2">
      <c r="A5301" t="str">
        <f t="shared" si="1948"/>
        <v>0618109297</v>
      </c>
      <c r="B5301" t="str">
        <f t="shared" si="1949"/>
        <v>MATHIUS</v>
      </c>
      <c r="C5301" t="str">
        <f t="shared" si="1950"/>
        <v>FARAH</v>
      </c>
      <c r="D5301" t="str">
        <f t="shared" si="1947"/>
        <v>09</v>
      </c>
      <c r="E5301" t="str">
        <f>"03 - A - 101 - Eva T Rimmer"</f>
        <v>03 - A - 101 - Eva T Rimmer</v>
      </c>
      <c r="F5301" t="str">
        <f>"CRIMINAL JUST OPS 1"</f>
        <v>CRIMINAL JUST OPS 1</v>
      </c>
      <c r="G5301" t="str">
        <f>"05-523"</f>
        <v>05-523</v>
      </c>
      <c r="H5301" t="str">
        <f>"A"</f>
        <v>A</v>
      </c>
    </row>
    <row r="5302" spans="1:8" x14ac:dyDescent="0.2">
      <c r="A5302" t="str">
        <f t="shared" si="1948"/>
        <v>0618109297</v>
      </c>
      <c r="B5302" t="str">
        <f t="shared" si="1949"/>
        <v>MATHIUS</v>
      </c>
      <c r="C5302" t="str">
        <f t="shared" si="1950"/>
        <v>FARAH</v>
      </c>
      <c r="D5302" t="str">
        <f t="shared" si="1947"/>
        <v>09</v>
      </c>
      <c r="E5302" t="str">
        <f>"02 - A - 110 - Maried P Ramos"</f>
        <v>02 - A - 110 - Maried P Ramos</v>
      </c>
      <c r="F5302" t="str">
        <f>"NC STUDY HALL 1"</f>
        <v>NC STUDY HALL 1</v>
      </c>
      <c r="G5302" t="str">
        <f>"21-2159"</f>
        <v>21-2159</v>
      </c>
      <c r="H5302" t="str">
        <f>"A"</f>
        <v>A</v>
      </c>
    </row>
    <row r="5303" spans="1:8" x14ac:dyDescent="0.2">
      <c r="A5303" t="str">
        <f t="shared" si="1948"/>
        <v>0618109297</v>
      </c>
      <c r="B5303" t="str">
        <f t="shared" si="1949"/>
        <v>MATHIUS</v>
      </c>
      <c r="C5303" t="str">
        <f t="shared" si="1950"/>
        <v>FARAH</v>
      </c>
      <c r="D5303" t="str">
        <f t="shared" si="1947"/>
        <v>09</v>
      </c>
      <c r="E5303" t="str">
        <f>"07 - B - 105 - Paige Lauren  Brochu"</f>
        <v>07 - B - 105 - Paige Lauren  Brochu</v>
      </c>
      <c r="F5303" t="str">
        <f>"PRE-AICE BIO IG"</f>
        <v>PRE-AICE BIO IG</v>
      </c>
      <c r="G5303" t="str">
        <f>"21-2134"</f>
        <v>21-2134</v>
      </c>
      <c r="H5303" t="str">
        <f>"B"</f>
        <v>B</v>
      </c>
    </row>
    <row r="5304" spans="1:8" x14ac:dyDescent="0.2">
      <c r="A5304" t="str">
        <f t="shared" si="1948"/>
        <v>0618109297</v>
      </c>
      <c r="B5304" t="str">
        <f t="shared" si="1949"/>
        <v>MATHIUS</v>
      </c>
      <c r="C5304" t="str">
        <f t="shared" si="1950"/>
        <v>FARAH</v>
      </c>
      <c r="D5304" t="str">
        <f t="shared" si="1947"/>
        <v>09</v>
      </c>
      <c r="E5304" t="str">
        <f>"05 - B - 002 - Cheryl Anne  Berman-Schechter"</f>
        <v>05 - B - 002 - Cheryl Anne  Berman-Schechter</v>
      </c>
      <c r="F5304" t="str">
        <f>"AICE ENG GEN PAPER 1"</f>
        <v>AICE ENG GEN PAPER 1</v>
      </c>
      <c r="G5304" t="str">
        <f>"17-1722"</f>
        <v>17-1722</v>
      </c>
      <c r="H5304" t="str">
        <f>"B"</f>
        <v>B</v>
      </c>
    </row>
    <row r="5305" spans="1:8" x14ac:dyDescent="0.2">
      <c r="A5305" t="str">
        <f t="shared" si="1948"/>
        <v>0618109297</v>
      </c>
      <c r="B5305" t="str">
        <f t="shared" si="1949"/>
        <v>MATHIUS</v>
      </c>
      <c r="C5305" t="str">
        <f t="shared" si="1950"/>
        <v>FARAH</v>
      </c>
      <c r="D5305" t="str">
        <f t="shared" si="1947"/>
        <v>09</v>
      </c>
      <c r="E5305" t="str">
        <f>"01 - A - 101 - Ferrie J Arostique"</f>
        <v>01 - A - 101 - Ferrie J Arostique</v>
      </c>
      <c r="F5305" t="str">
        <f>"GEOMETRY"</f>
        <v>GEOMETRY</v>
      </c>
      <c r="G5305" t="str">
        <f>"21-2139"</f>
        <v>21-2139</v>
      </c>
      <c r="H5305" t="str">
        <f>"A"</f>
        <v>A</v>
      </c>
    </row>
    <row r="5306" spans="1:8" x14ac:dyDescent="0.2">
      <c r="A5306" t="str">
        <f t="shared" si="1948"/>
        <v>0618109297</v>
      </c>
      <c r="B5306" t="str">
        <f t="shared" si="1949"/>
        <v>MATHIUS</v>
      </c>
      <c r="C5306" t="str">
        <f t="shared" si="1950"/>
        <v>FARAH</v>
      </c>
      <c r="D5306" t="str">
        <f t="shared" si="1947"/>
        <v>09</v>
      </c>
      <c r="E5306" t="str">
        <f>"08 - S1 - B - 104 - Leslie J Barton"</f>
        <v>08 - S1 - B - 104 - Leslie J Barton</v>
      </c>
      <c r="F5306" t="str">
        <f>"TEAM SPORTS 1"</f>
        <v>TEAM SPORTS 1</v>
      </c>
      <c r="G5306" t="str">
        <f>"04-254"</f>
        <v>04-254</v>
      </c>
      <c r="H5306" t="str">
        <f>"B"</f>
        <v>B</v>
      </c>
    </row>
    <row r="5307" spans="1:8" x14ac:dyDescent="0.2">
      <c r="A5307" t="str">
        <f t="shared" ref="A5307:A5312" si="1951">"0613131550"</f>
        <v>0613131550</v>
      </c>
      <c r="B5307" t="str">
        <f t="shared" ref="B5307:B5312" si="1952">"ANDREA"</f>
        <v>ANDREA</v>
      </c>
      <c r="C5307" t="str">
        <f t="shared" ref="C5307:C5312" si="1953">"FARFAN"</f>
        <v>FARFAN</v>
      </c>
      <c r="D5307">
        <f>12</f>
        <v>12</v>
      </c>
      <c r="E5307" t="str">
        <f>"19 - S1 - MTWHF - BCC - Instructor BC"</f>
        <v>19 - S1 - MTWHF - BCC - Instructor BC</v>
      </c>
      <c r="F5307" t="str">
        <f>"COLLEGE ALGEBRA"</f>
        <v>COLLEGE ALGEBRA</v>
      </c>
      <c r="G5307" t="str">
        <f>"60-DE"</f>
        <v>60-DE</v>
      </c>
      <c r="H5307" t="str">
        <f>"-"</f>
        <v>-</v>
      </c>
    </row>
    <row r="5308" spans="1:8" x14ac:dyDescent="0.2">
      <c r="A5308" t="str">
        <f t="shared" si="1951"/>
        <v>0613131550</v>
      </c>
      <c r="B5308" t="str">
        <f t="shared" si="1952"/>
        <v>ANDREA</v>
      </c>
      <c r="C5308" t="str">
        <f t="shared" si="1953"/>
        <v>FARFAN</v>
      </c>
      <c r="D5308">
        <f>12</f>
        <v>12</v>
      </c>
      <c r="E5308" t="str">
        <f>"19 - S1 - MTWHF - BCC - Instructor BC"</f>
        <v>19 - S1 - MTWHF - BCC - Instructor BC</v>
      </c>
      <c r="F5308" t="str">
        <f>"INTRO SPE COMM"</f>
        <v>INTRO SPE COMM</v>
      </c>
      <c r="G5308" t="str">
        <f>"60-DE"</f>
        <v>60-DE</v>
      </c>
      <c r="H5308" t="str">
        <f>"-"</f>
        <v>-</v>
      </c>
    </row>
    <row r="5309" spans="1:8" x14ac:dyDescent="0.2">
      <c r="A5309" t="str">
        <f t="shared" si="1951"/>
        <v>0613131550</v>
      </c>
      <c r="B5309" t="str">
        <f t="shared" si="1952"/>
        <v>ANDREA</v>
      </c>
      <c r="C5309" t="str">
        <f t="shared" si="1953"/>
        <v>FARFAN</v>
      </c>
      <c r="D5309">
        <f>12</f>
        <v>12</v>
      </c>
      <c r="E5309" t="str">
        <f>"04 - A - 101 - Stefanie S Scher"</f>
        <v>04 - A - 101 - Stefanie S Scher</v>
      </c>
      <c r="F5309" t="str">
        <f>"AP PSYCH"</f>
        <v>AP PSYCH</v>
      </c>
      <c r="G5309" t="str">
        <f>"17-1735"</f>
        <v>17-1735</v>
      </c>
      <c r="H5309" t="str">
        <f>"A"</f>
        <v>A</v>
      </c>
    </row>
    <row r="5310" spans="1:8" x14ac:dyDescent="0.2">
      <c r="A5310" t="str">
        <f t="shared" si="1951"/>
        <v>0613131550</v>
      </c>
      <c r="B5310" t="str">
        <f t="shared" si="1952"/>
        <v>ANDREA</v>
      </c>
      <c r="C5310" t="str">
        <f t="shared" si="1953"/>
        <v>FARFAN</v>
      </c>
      <c r="D5310">
        <f>12</f>
        <v>12</v>
      </c>
      <c r="E5310" t="str">
        <f>"03 - A - 101 - Lisa J London"</f>
        <v>03 - A - 101 - Lisa J London</v>
      </c>
      <c r="F5310" t="str">
        <f>"AP CAPSTONE RESEARCH"</f>
        <v>AP CAPSTONE RESEARCH</v>
      </c>
      <c r="G5310" t="str">
        <f>"17-1714"</f>
        <v>17-1714</v>
      </c>
      <c r="H5310" t="str">
        <f>"A"</f>
        <v>A</v>
      </c>
    </row>
    <row r="5311" spans="1:8" x14ac:dyDescent="0.2">
      <c r="A5311" t="str">
        <f t="shared" si="1951"/>
        <v>0613131550</v>
      </c>
      <c r="B5311" t="str">
        <f t="shared" si="1952"/>
        <v>ANDREA</v>
      </c>
      <c r="C5311" t="str">
        <f t="shared" si="1953"/>
        <v>FARFAN</v>
      </c>
      <c r="D5311">
        <f>12</f>
        <v>12</v>
      </c>
      <c r="E5311" t="str">
        <f>"07 - B - 102 - Courtney E Hambright"</f>
        <v>07 - B - 102 - Courtney E Hambright</v>
      </c>
      <c r="F5311" t="str">
        <f>"AP ENG LIT COMPO"</f>
        <v>AP ENG LIT COMPO</v>
      </c>
      <c r="G5311" t="str">
        <f>"17-1711"</f>
        <v>17-1711</v>
      </c>
      <c r="H5311" t="str">
        <f>"B"</f>
        <v>B</v>
      </c>
    </row>
    <row r="5312" spans="1:8" x14ac:dyDescent="0.2">
      <c r="A5312" t="str">
        <f t="shared" si="1951"/>
        <v>0613131550</v>
      </c>
      <c r="B5312" t="str">
        <f t="shared" si="1952"/>
        <v>ANDREA</v>
      </c>
      <c r="C5312" t="str">
        <f t="shared" si="1953"/>
        <v>FARFAN</v>
      </c>
      <c r="D5312">
        <f>12</f>
        <v>12</v>
      </c>
      <c r="E5312" t="str">
        <f>"08 - S1 - B - 102 - Stephen T Ripp"</f>
        <v>08 - S1 - B - 102 - Stephen T Ripp</v>
      </c>
      <c r="F5312" t="str">
        <f>"AP US GOVT/POL"</f>
        <v>AP US GOVT/POL</v>
      </c>
      <c r="G5312" t="str">
        <f>"17-1744"</f>
        <v>17-1744</v>
      </c>
      <c r="H5312" t="str">
        <f>"B"</f>
        <v>B</v>
      </c>
    </row>
    <row r="5313" spans="1:8" x14ac:dyDescent="0.2">
      <c r="A5313" t="str">
        <f t="shared" ref="A5313:A5320" si="1954">"0616160324"</f>
        <v>0616160324</v>
      </c>
      <c r="B5313" t="str">
        <f t="shared" ref="B5313:B5320" si="1955">"THALIA"</f>
        <v>THALIA</v>
      </c>
      <c r="C5313" t="str">
        <f t="shared" ref="C5313:C5320" si="1956">"FARLEY"</f>
        <v>FARLEY</v>
      </c>
      <c r="D5313" t="str">
        <f t="shared" ref="D5313:D5320" si="1957">"09"</f>
        <v>09</v>
      </c>
      <c r="E5313" t="str">
        <f>"04 - A - 101 - Chrystina M Marchionne"</f>
        <v>04 - A - 101 - Chrystina M Marchionne</v>
      </c>
      <c r="F5313" t="str">
        <f>"THEA CIN &amp; FILM LH"</f>
        <v>THEA CIN &amp; FILM LH</v>
      </c>
      <c r="G5313" t="str">
        <f>"05-520"</f>
        <v>05-520</v>
      </c>
      <c r="H5313" t="str">
        <f>"A"</f>
        <v>A</v>
      </c>
    </row>
    <row r="5314" spans="1:8" x14ac:dyDescent="0.2">
      <c r="A5314" t="str">
        <f t="shared" si="1954"/>
        <v>0616160324</v>
      </c>
      <c r="B5314" t="str">
        <f t="shared" si="1955"/>
        <v>THALIA</v>
      </c>
      <c r="C5314" t="str">
        <f t="shared" si="1956"/>
        <v>FARLEY</v>
      </c>
      <c r="D5314" t="str">
        <f t="shared" si="1957"/>
        <v>09</v>
      </c>
      <c r="E5314" t="str">
        <f>"06 - B - 101 - Fernando  Vega-Cid"</f>
        <v>06 - B - 101 - Fernando  Vega-Cid</v>
      </c>
      <c r="F5314" t="str">
        <f>"PRE-AICE MATH 2 IG"</f>
        <v>PRE-AICE MATH 2 IG</v>
      </c>
      <c r="G5314" t="str">
        <f>"21-2163"</f>
        <v>21-2163</v>
      </c>
      <c r="H5314" t="str">
        <f>"B"</f>
        <v>B</v>
      </c>
    </row>
    <row r="5315" spans="1:8" x14ac:dyDescent="0.2">
      <c r="A5315" t="str">
        <f t="shared" si="1954"/>
        <v>0616160324</v>
      </c>
      <c r="B5315" t="str">
        <f t="shared" si="1955"/>
        <v>THALIA</v>
      </c>
      <c r="C5315" t="str">
        <f t="shared" si="1956"/>
        <v>FARLEY</v>
      </c>
      <c r="D5315" t="str">
        <f t="shared" si="1957"/>
        <v>09</v>
      </c>
      <c r="E5315" t="str">
        <f>"03 - A - 201 - Chrystina M Marchionne"</f>
        <v>03 - A - 201 - Chrystina M Marchionne</v>
      </c>
      <c r="F5315" t="str">
        <f>"JOURN 1 (YB) LH"</f>
        <v>JOURN 1 (YB) LH</v>
      </c>
      <c r="G5315" t="str">
        <f>"05-520"</f>
        <v>05-520</v>
      </c>
      <c r="H5315" t="str">
        <f>"A"</f>
        <v>A</v>
      </c>
    </row>
    <row r="5316" spans="1:8" x14ac:dyDescent="0.2">
      <c r="A5316" t="str">
        <f t="shared" si="1954"/>
        <v>0616160324</v>
      </c>
      <c r="B5316" t="str">
        <f t="shared" si="1955"/>
        <v>THALIA</v>
      </c>
      <c r="C5316" t="str">
        <f t="shared" si="1956"/>
        <v>FARLEY</v>
      </c>
      <c r="D5316" t="str">
        <f t="shared" si="1957"/>
        <v>09</v>
      </c>
      <c r="E5316" t="str">
        <f>"02 - A - 116 - Tina L Lovett"</f>
        <v>02 - A - 116 - Tina L Lovett</v>
      </c>
      <c r="F5316" t="str">
        <f>"NC STUDY HALL 1"</f>
        <v>NC STUDY HALL 1</v>
      </c>
      <c r="G5316" t="str">
        <f>"21-2153"</f>
        <v>21-2153</v>
      </c>
      <c r="H5316" t="str">
        <f>"A"</f>
        <v>A</v>
      </c>
    </row>
    <row r="5317" spans="1:8" x14ac:dyDescent="0.2">
      <c r="A5317" t="str">
        <f t="shared" si="1954"/>
        <v>0616160324</v>
      </c>
      <c r="B5317" t="str">
        <f t="shared" si="1955"/>
        <v>THALIA</v>
      </c>
      <c r="C5317" t="str">
        <f t="shared" si="1956"/>
        <v>FARLEY</v>
      </c>
      <c r="D5317" t="str">
        <f t="shared" si="1957"/>
        <v>09</v>
      </c>
      <c r="E5317" t="str">
        <f>"07 - B - 105 - Byron G Montenegro"</f>
        <v>07 - B - 105 - Byron G Montenegro</v>
      </c>
      <c r="F5317" t="str">
        <f>"AICE MARINE SCI 1 AS"</f>
        <v>AICE MARINE SCI 1 AS</v>
      </c>
      <c r="G5317" t="str">
        <f>"21-2144"</f>
        <v>21-2144</v>
      </c>
      <c r="H5317" t="str">
        <f>"B"</f>
        <v>B</v>
      </c>
    </row>
    <row r="5318" spans="1:8" x14ac:dyDescent="0.2">
      <c r="A5318" t="str">
        <f t="shared" si="1954"/>
        <v>0616160324</v>
      </c>
      <c r="B5318" t="str">
        <f t="shared" si="1955"/>
        <v>THALIA</v>
      </c>
      <c r="C5318" t="str">
        <f t="shared" si="1956"/>
        <v>FARLEY</v>
      </c>
      <c r="D5318" t="str">
        <f t="shared" si="1957"/>
        <v>09</v>
      </c>
      <c r="E5318" t="str">
        <f>"05 - B - 204 - Elizabeth R Walker"</f>
        <v>05 - B - 204 - Elizabeth R Walker</v>
      </c>
      <c r="F5318" t="str">
        <f>"AICE ENG GEN PAPER 1"</f>
        <v>AICE ENG GEN PAPER 1</v>
      </c>
      <c r="G5318" t="str">
        <f>"17-1703"</f>
        <v>17-1703</v>
      </c>
      <c r="H5318" t="str">
        <f>"B"</f>
        <v>B</v>
      </c>
    </row>
    <row r="5319" spans="1:8" x14ac:dyDescent="0.2">
      <c r="A5319" t="str">
        <f t="shared" si="1954"/>
        <v>0616160324</v>
      </c>
      <c r="B5319" t="str">
        <f t="shared" si="1955"/>
        <v>THALIA</v>
      </c>
      <c r="C5319" t="str">
        <f t="shared" si="1956"/>
        <v>FARLEY</v>
      </c>
      <c r="D5319" t="str">
        <f t="shared" si="1957"/>
        <v>09</v>
      </c>
      <c r="E5319" t="str">
        <f>"01 - A - 002 - Krystal Marie  Beruty"</f>
        <v>01 - A - 002 - Krystal Marie  Beruty</v>
      </c>
      <c r="F5319" t="str">
        <f>"AICE GLBL PERSP 1 AS"</f>
        <v>AICE GLBL PERSP 1 AS</v>
      </c>
      <c r="G5319" t="str">
        <f>"17-1721"</f>
        <v>17-1721</v>
      </c>
      <c r="H5319" t="str">
        <f>"A"</f>
        <v>A</v>
      </c>
    </row>
    <row r="5320" spans="1:8" x14ac:dyDescent="0.2">
      <c r="A5320" t="str">
        <f t="shared" si="1954"/>
        <v>0616160324</v>
      </c>
      <c r="B5320" t="str">
        <f t="shared" si="1955"/>
        <v>THALIA</v>
      </c>
      <c r="C5320" t="str">
        <f t="shared" si="1956"/>
        <v>FARLEY</v>
      </c>
      <c r="D5320" t="str">
        <f t="shared" si="1957"/>
        <v>09</v>
      </c>
      <c r="E5320" t="str">
        <f>"08 - S1 - B - 104 - Angela S Adeshina-Morrison"</f>
        <v>08 - S1 - B - 104 - Angela S Adeshina-Morrison</v>
      </c>
      <c r="F5320" t="str">
        <f>"PEER COUN 1"</f>
        <v>PEER COUN 1</v>
      </c>
      <c r="G5320" t="str">
        <f>"05-518"</f>
        <v>05-518</v>
      </c>
      <c r="H5320" t="str">
        <f>"B"</f>
        <v>B</v>
      </c>
    </row>
    <row r="5321" spans="1:8" x14ac:dyDescent="0.2">
      <c r="A5321" t="str">
        <f t="shared" ref="A5321:A5328" si="1958">"0616002979"</f>
        <v>0616002979</v>
      </c>
      <c r="B5321" t="str">
        <f t="shared" ref="B5321:B5328" si="1959">"RAWLE"</f>
        <v>RAWLE</v>
      </c>
      <c r="C5321" t="str">
        <f t="shared" ref="C5321:C5328" si="1960">"FAROSE"</f>
        <v>FAROSE</v>
      </c>
      <c r="D5321">
        <f>12</f>
        <v>12</v>
      </c>
      <c r="E5321" t="str">
        <f>"04 - A - 101 - Thomas G Handwerg"</f>
        <v>04 - A - 101 - Thomas G Handwerg</v>
      </c>
      <c r="F5321" t="str">
        <f>"MATH COLL ALGEBRA"</f>
        <v>MATH COLL ALGEBRA</v>
      </c>
      <c r="G5321" t="str">
        <f>"21-2146"</f>
        <v>21-2146</v>
      </c>
      <c r="H5321" t="str">
        <f>"A"</f>
        <v>A</v>
      </c>
    </row>
    <row r="5322" spans="1:8" x14ac:dyDescent="0.2">
      <c r="A5322" t="str">
        <f t="shared" si="1958"/>
        <v>0616002979</v>
      </c>
      <c r="B5322" t="str">
        <f t="shared" si="1959"/>
        <v>RAWLE</v>
      </c>
      <c r="C5322" t="str">
        <f t="shared" si="1960"/>
        <v>FAROSE</v>
      </c>
      <c r="D5322">
        <f>12</f>
        <v>12</v>
      </c>
      <c r="E5322" t="str">
        <f>"06 - B - 107 - Pamela M Corzo"</f>
        <v>06 - B - 107 - Pamela M Corzo</v>
      </c>
      <c r="F5322" t="str">
        <f>"NC STUDY HALL 1"</f>
        <v>NC STUDY HALL 1</v>
      </c>
      <c r="G5322" t="str">
        <f>"21-2133"</f>
        <v>21-2133</v>
      </c>
      <c r="H5322" t="str">
        <f>"B"</f>
        <v>B</v>
      </c>
    </row>
    <row r="5323" spans="1:8" x14ac:dyDescent="0.2">
      <c r="A5323" t="str">
        <f t="shared" si="1958"/>
        <v>0616002979</v>
      </c>
      <c r="B5323" t="str">
        <f t="shared" si="1959"/>
        <v>RAWLE</v>
      </c>
      <c r="C5323" t="str">
        <f t="shared" si="1960"/>
        <v>FAROSE</v>
      </c>
      <c r="D5323">
        <f>12</f>
        <v>12</v>
      </c>
      <c r="E5323" t="str">
        <f>"03 - A - 101 - Scott A Dethloff"</f>
        <v>03 - A - 101 - Scott A Dethloff</v>
      </c>
      <c r="F5323" t="str">
        <f>"CHEMISTRY 1 HON"</f>
        <v>CHEMISTRY 1 HON</v>
      </c>
      <c r="G5323" t="str">
        <f>"08-812"</f>
        <v>08-812</v>
      </c>
      <c r="H5323" t="str">
        <f>"A"</f>
        <v>A</v>
      </c>
    </row>
    <row r="5324" spans="1:8" x14ac:dyDescent="0.2">
      <c r="A5324" t="str">
        <f t="shared" si="1958"/>
        <v>0616002979</v>
      </c>
      <c r="B5324" t="str">
        <f t="shared" si="1959"/>
        <v>RAWLE</v>
      </c>
      <c r="C5324" t="str">
        <f t="shared" si="1960"/>
        <v>FAROSE</v>
      </c>
      <c r="D5324">
        <f>12</f>
        <v>12</v>
      </c>
      <c r="E5324" t="str">
        <f>"02 - A - 102 - Chrystina M Marchionne"</f>
        <v>02 - A - 102 - Chrystina M Marchionne</v>
      </c>
      <c r="F5324" t="str">
        <f>"AICE MEDIA STUDIES A"</f>
        <v>AICE MEDIA STUDIES A</v>
      </c>
      <c r="G5324" t="str">
        <f>"05-520"</f>
        <v>05-520</v>
      </c>
      <c r="H5324" t="str">
        <f>"A"</f>
        <v>A</v>
      </c>
    </row>
    <row r="5325" spans="1:8" x14ac:dyDescent="0.2">
      <c r="A5325" t="str">
        <f t="shared" si="1958"/>
        <v>0616002979</v>
      </c>
      <c r="B5325" t="str">
        <f t="shared" si="1959"/>
        <v>RAWLE</v>
      </c>
      <c r="C5325" t="str">
        <f t="shared" si="1960"/>
        <v>FAROSE</v>
      </c>
      <c r="D5325">
        <f>12</f>
        <v>12</v>
      </c>
      <c r="E5325" t="str">
        <f>"07 - S1 - B - 105 - Richard E Dunbar Iii"</f>
        <v>07 - S1 - B - 105 - Richard E Dunbar Iii</v>
      </c>
      <c r="F5325" t="str">
        <f>"WEIGHT TRAIN 3"</f>
        <v>WEIGHT TRAIN 3</v>
      </c>
      <c r="G5325" t="str">
        <f>"05-501"</f>
        <v>05-501</v>
      </c>
      <c r="H5325" t="str">
        <f>"B"</f>
        <v>B</v>
      </c>
    </row>
    <row r="5326" spans="1:8" x14ac:dyDescent="0.2">
      <c r="A5326" t="str">
        <f t="shared" si="1958"/>
        <v>0616002979</v>
      </c>
      <c r="B5326" t="str">
        <f t="shared" si="1959"/>
        <v>RAWLE</v>
      </c>
      <c r="C5326" t="str">
        <f t="shared" si="1960"/>
        <v>FAROSE</v>
      </c>
      <c r="D5326">
        <f>12</f>
        <v>12</v>
      </c>
      <c r="E5326" t="str">
        <f>"05 - B - 104 - Jeffrey S Gallagher"</f>
        <v>05 - B - 104 - Jeffrey S Gallagher</v>
      </c>
      <c r="F5326" t="str">
        <f>"ENG HON 4"</f>
        <v>ENG HON 4</v>
      </c>
      <c r="G5326" t="str">
        <f>"17-1724"</f>
        <v>17-1724</v>
      </c>
      <c r="H5326" t="str">
        <f>"B"</f>
        <v>B</v>
      </c>
    </row>
    <row r="5327" spans="1:8" x14ac:dyDescent="0.2">
      <c r="A5327" t="str">
        <f t="shared" si="1958"/>
        <v>0616002979</v>
      </c>
      <c r="B5327" t="str">
        <f t="shared" si="1959"/>
        <v>RAWLE</v>
      </c>
      <c r="C5327" t="str">
        <f t="shared" si="1960"/>
        <v>FAROSE</v>
      </c>
      <c r="D5327">
        <f>12</f>
        <v>12</v>
      </c>
      <c r="E5327" t="str">
        <f>"01 - S1 - A - 101 - Barbara L Segal"</f>
        <v>01 - S1 - A - 101 - Barbara L Segal</v>
      </c>
      <c r="F5327" t="str">
        <f>"US GOVT HON"</f>
        <v>US GOVT HON</v>
      </c>
      <c r="G5327" t="str">
        <f>"17-1742"</f>
        <v>17-1742</v>
      </c>
      <c r="H5327" t="str">
        <f>"A"</f>
        <v>A</v>
      </c>
    </row>
    <row r="5328" spans="1:8" x14ac:dyDescent="0.2">
      <c r="A5328" t="str">
        <f t="shared" si="1958"/>
        <v>0616002979</v>
      </c>
      <c r="B5328" t="str">
        <f t="shared" si="1959"/>
        <v>RAWLE</v>
      </c>
      <c r="C5328" t="str">
        <f t="shared" si="1960"/>
        <v>FAROSE</v>
      </c>
      <c r="D5328">
        <f>12</f>
        <v>12</v>
      </c>
      <c r="E5328" t="str">
        <f>"08 - B - 101 - Eva T Rimmer"</f>
        <v>08 - B - 101 - Eva T Rimmer</v>
      </c>
      <c r="F5328" t="str">
        <f>"CRIM JUST OPS 3 HON"</f>
        <v>CRIM JUST OPS 3 HON</v>
      </c>
      <c r="G5328" t="str">
        <f>"05-523"</f>
        <v>05-523</v>
      </c>
      <c r="H5328" t="str">
        <f>"B"</f>
        <v>B</v>
      </c>
    </row>
    <row r="5329" spans="1:8" x14ac:dyDescent="0.2">
      <c r="A5329" t="str">
        <f t="shared" ref="A5329:A5337" si="1961">"0614109942"</f>
        <v>0614109942</v>
      </c>
      <c r="B5329" t="str">
        <f t="shared" ref="B5329:B5337" si="1962">"D'NYLAH"</f>
        <v>D'NYLAH</v>
      </c>
      <c r="C5329" t="str">
        <f t="shared" ref="C5329:C5337" si="1963">"FARRINGTON"</f>
        <v>FARRINGTON</v>
      </c>
      <c r="D5329" t="str">
        <f t="shared" ref="D5329:D5337" si="1964">"09"</f>
        <v>09</v>
      </c>
      <c r="E5329" t="str">
        <f>"04 - A - 102 - Tina L Lovett"</f>
        <v>04 - A - 102 - Tina L Lovett</v>
      </c>
      <c r="F5329" t="str">
        <f>"ALGEBRA 1"</f>
        <v>ALGEBRA 1</v>
      </c>
      <c r="G5329" t="str">
        <f>"21-2153"</f>
        <v>21-2153</v>
      </c>
      <c r="H5329" t="str">
        <f>"A"</f>
        <v>A</v>
      </c>
    </row>
    <row r="5330" spans="1:8" x14ac:dyDescent="0.2">
      <c r="A5330" t="str">
        <f t="shared" si="1961"/>
        <v>0614109942</v>
      </c>
      <c r="B5330" t="str">
        <f t="shared" si="1962"/>
        <v>D'NYLAH</v>
      </c>
      <c r="C5330" t="str">
        <f t="shared" si="1963"/>
        <v>FARRINGTON</v>
      </c>
      <c r="D5330" t="str">
        <f t="shared" si="1964"/>
        <v>09</v>
      </c>
      <c r="E5330" t="str">
        <f>"06 - B - 104 - Eva T Rimmer"</f>
        <v>06 - B - 104 - Eva T Rimmer</v>
      </c>
      <c r="F5330" t="str">
        <f>"CRIMINAL JUST OPS 1"</f>
        <v>CRIMINAL JUST OPS 1</v>
      </c>
      <c r="G5330" t="str">
        <f>"05-523"</f>
        <v>05-523</v>
      </c>
      <c r="H5330" t="str">
        <f>"B"</f>
        <v>B</v>
      </c>
    </row>
    <row r="5331" spans="1:8" x14ac:dyDescent="0.2">
      <c r="A5331" t="str">
        <f t="shared" si="1961"/>
        <v>0614109942</v>
      </c>
      <c r="B5331" t="str">
        <f t="shared" si="1962"/>
        <v>D'NYLAH</v>
      </c>
      <c r="C5331" t="str">
        <f t="shared" si="1963"/>
        <v>FARRINGTON</v>
      </c>
      <c r="D5331" t="str">
        <f t="shared" si="1964"/>
        <v>09</v>
      </c>
      <c r="E5331" t="str">
        <f>"03 - A - 109 - Lissa C Frederique"</f>
        <v>03 - A - 109 - Lissa C Frederique</v>
      </c>
      <c r="F5331" t="str">
        <f>"WORLD HISTORY"</f>
        <v>WORLD HISTORY</v>
      </c>
      <c r="G5331" t="str">
        <f>"17-1754"</f>
        <v>17-1754</v>
      </c>
      <c r="H5331" t="str">
        <f>"A"</f>
        <v>A</v>
      </c>
    </row>
    <row r="5332" spans="1:8" x14ac:dyDescent="0.2">
      <c r="A5332" t="str">
        <f t="shared" si="1961"/>
        <v>0614109942</v>
      </c>
      <c r="B5332" t="str">
        <f t="shared" si="1962"/>
        <v>D'NYLAH</v>
      </c>
      <c r="C5332" t="str">
        <f t="shared" si="1963"/>
        <v>FARRINGTON</v>
      </c>
      <c r="D5332" t="str">
        <f t="shared" si="1964"/>
        <v>09</v>
      </c>
      <c r="E5332" t="str">
        <f>"02 - A - 115 - Lourivaldo  Da Silva"</f>
        <v>02 - A - 115 - Lourivaldo  Da Silva</v>
      </c>
      <c r="F5332" t="str">
        <f>"NC STUDY HALL 1"</f>
        <v>NC STUDY HALL 1</v>
      </c>
      <c r="G5332" t="str">
        <f>"20-2079"</f>
        <v>20-2079</v>
      </c>
      <c r="H5332" t="str">
        <f>"A"</f>
        <v>A</v>
      </c>
    </row>
    <row r="5333" spans="1:8" x14ac:dyDescent="0.2">
      <c r="A5333" t="str">
        <f t="shared" si="1961"/>
        <v>0614109942</v>
      </c>
      <c r="B5333" t="str">
        <f t="shared" si="1962"/>
        <v>D'NYLAH</v>
      </c>
      <c r="C5333" t="str">
        <f t="shared" si="1963"/>
        <v>FARRINGTON</v>
      </c>
      <c r="D5333" t="str">
        <f t="shared" si="1964"/>
        <v>09</v>
      </c>
      <c r="E5333" t="str">
        <f>"02 - A - 102 - Eric  Lopapa"</f>
        <v>02 - A - 102 - Eric  Lopapa</v>
      </c>
      <c r="F5333" t="str">
        <f>"LANG THERAPY"</f>
        <v>LANG THERAPY</v>
      </c>
      <c r="G5333" t="str">
        <f>"21-2110"</f>
        <v>21-2110</v>
      </c>
      <c r="H5333" t="str">
        <f>"A"</f>
        <v>A</v>
      </c>
    </row>
    <row r="5334" spans="1:8" x14ac:dyDescent="0.2">
      <c r="A5334" t="str">
        <f t="shared" si="1961"/>
        <v>0614109942</v>
      </c>
      <c r="B5334" t="str">
        <f t="shared" si="1962"/>
        <v>D'NYLAH</v>
      </c>
      <c r="C5334" t="str">
        <f t="shared" si="1963"/>
        <v>FARRINGTON</v>
      </c>
      <c r="D5334" t="str">
        <f t="shared" si="1964"/>
        <v>09</v>
      </c>
      <c r="E5334" t="str">
        <f>"07 - B - 003 - Samantha J Headley"</f>
        <v>07 - B - 003 - Samantha J Headley</v>
      </c>
      <c r="F5334" t="str">
        <f>"ENV SCI"</f>
        <v>ENV SCI</v>
      </c>
      <c r="G5334" t="str">
        <f>"08-802"</f>
        <v>08-802</v>
      </c>
      <c r="H5334" t="str">
        <f>"B"</f>
        <v>B</v>
      </c>
    </row>
    <row r="5335" spans="1:8" x14ac:dyDescent="0.2">
      <c r="A5335" t="str">
        <f t="shared" si="1961"/>
        <v>0614109942</v>
      </c>
      <c r="B5335" t="str">
        <f t="shared" si="1962"/>
        <v>D'NYLAH</v>
      </c>
      <c r="C5335" t="str">
        <f t="shared" si="1963"/>
        <v>FARRINGTON</v>
      </c>
      <c r="D5335" t="str">
        <f t="shared" si="1964"/>
        <v>09</v>
      </c>
      <c r="E5335" t="str">
        <f>"05 - B - 001 - Laselleda D Shaw"</f>
        <v>05 - B - 001 - Laselleda D Shaw</v>
      </c>
      <c r="F5335" t="str">
        <f>"INTENS READ 1"</f>
        <v>INTENS READ 1</v>
      </c>
      <c r="G5335" t="str">
        <f>"17-1723"</f>
        <v>17-1723</v>
      </c>
      <c r="H5335" t="str">
        <f>"B"</f>
        <v>B</v>
      </c>
    </row>
    <row r="5336" spans="1:8" x14ac:dyDescent="0.2">
      <c r="A5336" t="str">
        <f t="shared" si="1961"/>
        <v>0614109942</v>
      </c>
      <c r="B5336" t="str">
        <f t="shared" si="1962"/>
        <v>D'NYLAH</v>
      </c>
      <c r="C5336" t="str">
        <f t="shared" si="1963"/>
        <v>FARRINGTON</v>
      </c>
      <c r="D5336" t="str">
        <f t="shared" si="1964"/>
        <v>09</v>
      </c>
      <c r="E5336" t="str">
        <f>"01 - A - 101 - Cerine S Stewart"</f>
        <v>01 - A - 101 - Cerine S Stewart</v>
      </c>
      <c r="F5336" t="str">
        <f>"ENG 1"</f>
        <v>ENG 1</v>
      </c>
      <c r="G5336" t="str">
        <f>"17-1720"</f>
        <v>17-1720</v>
      </c>
      <c r="H5336" t="str">
        <f>"A"</f>
        <v>A</v>
      </c>
    </row>
    <row r="5337" spans="1:8" x14ac:dyDescent="0.2">
      <c r="A5337" t="str">
        <f t="shared" si="1961"/>
        <v>0614109942</v>
      </c>
      <c r="B5337" t="str">
        <f t="shared" si="1962"/>
        <v>D'NYLAH</v>
      </c>
      <c r="C5337" t="str">
        <f t="shared" si="1963"/>
        <v>FARRINGTON</v>
      </c>
      <c r="D5337" t="str">
        <f t="shared" si="1964"/>
        <v>09</v>
      </c>
      <c r="E5337" t="str">
        <f>"08 - B - 108 - Tina L Lovett"</f>
        <v>08 - B - 108 - Tina L Lovett</v>
      </c>
      <c r="F5337" t="str">
        <f>"FDN SKLS MATH 9-12"</f>
        <v>FDN SKLS MATH 9-12</v>
      </c>
      <c r="G5337" t="str">
        <f>"21-2153"</f>
        <v>21-2153</v>
      </c>
      <c r="H5337" t="str">
        <f>"B"</f>
        <v>B</v>
      </c>
    </row>
    <row r="5338" spans="1:8" x14ac:dyDescent="0.2">
      <c r="A5338" t="str">
        <f t="shared" ref="A5338:A5345" si="1965">"0615039122"</f>
        <v>0615039122</v>
      </c>
      <c r="B5338" t="str">
        <f t="shared" ref="B5338:B5345" si="1966">"GABRIEL"</f>
        <v>GABRIEL</v>
      </c>
      <c r="C5338" t="str">
        <f t="shared" ref="C5338:C5345" si="1967">"FATHERREE"</f>
        <v>FATHERREE</v>
      </c>
      <c r="D5338">
        <f>12</f>
        <v>12</v>
      </c>
      <c r="E5338" t="str">
        <f>"04 - A - 104 - Robert H Rindner"</f>
        <v>04 - A - 104 - Robert H Rindner</v>
      </c>
      <c r="F5338" t="str">
        <f>"MATH DATA&amp;FIN LIT H"</f>
        <v>MATH DATA&amp;FIN LIT H</v>
      </c>
      <c r="G5338" t="str">
        <f>"21-2160"</f>
        <v>21-2160</v>
      </c>
      <c r="H5338" t="str">
        <f>"A"</f>
        <v>A</v>
      </c>
    </row>
    <row r="5339" spans="1:8" x14ac:dyDescent="0.2">
      <c r="A5339" t="str">
        <f t="shared" si="1965"/>
        <v>0615039122</v>
      </c>
      <c r="B5339" t="str">
        <f t="shared" si="1966"/>
        <v>GABRIEL</v>
      </c>
      <c r="C5339" t="str">
        <f t="shared" si="1967"/>
        <v>FATHERREE</v>
      </c>
      <c r="D5339">
        <f>12</f>
        <v>12</v>
      </c>
      <c r="E5339" t="str">
        <f>"06 - B - 106 - Taraneh C Abreu"</f>
        <v>06 - B - 106 - Taraneh C Abreu</v>
      </c>
      <c r="F5339" t="str">
        <f>"NC STUDY HALL 1"</f>
        <v>NC STUDY HALL 1</v>
      </c>
      <c r="G5339" t="str">
        <f>"17-1713"</f>
        <v>17-1713</v>
      </c>
      <c r="H5339" t="str">
        <f>"B"</f>
        <v>B</v>
      </c>
    </row>
    <row r="5340" spans="1:8" x14ac:dyDescent="0.2">
      <c r="A5340" t="str">
        <f t="shared" si="1965"/>
        <v>0615039122</v>
      </c>
      <c r="B5340" t="str">
        <f t="shared" si="1966"/>
        <v>GABRIEL</v>
      </c>
      <c r="C5340" t="str">
        <f t="shared" si="1967"/>
        <v>FATHERREE</v>
      </c>
      <c r="D5340">
        <f>12</f>
        <v>12</v>
      </c>
      <c r="E5340" t="str">
        <f>"03 - A - 106 - Krystal Marie  Beruty"</f>
        <v>03 - A - 106 - Krystal Marie  Beruty</v>
      </c>
      <c r="F5340" t="str">
        <f>"AICE PSYCH 1 AS"</f>
        <v>AICE PSYCH 1 AS</v>
      </c>
      <c r="G5340" t="str">
        <f>"17-1721"</f>
        <v>17-1721</v>
      </c>
      <c r="H5340" t="str">
        <f>"A"</f>
        <v>A</v>
      </c>
    </row>
    <row r="5341" spans="1:8" x14ac:dyDescent="0.2">
      <c r="A5341" t="str">
        <f t="shared" si="1965"/>
        <v>0615039122</v>
      </c>
      <c r="B5341" t="str">
        <f t="shared" si="1966"/>
        <v>GABRIEL</v>
      </c>
      <c r="C5341" t="str">
        <f t="shared" si="1967"/>
        <v>FATHERREE</v>
      </c>
      <c r="D5341">
        <f>12</f>
        <v>12</v>
      </c>
      <c r="E5341" t="str">
        <f>"02 - A - 204 - Jacqueline R Morphet"</f>
        <v>02 - A - 204 - Jacqueline R Morphet</v>
      </c>
      <c r="F5341" t="str">
        <f>"PHYSICS 1 HON"</f>
        <v>PHYSICS 1 HON</v>
      </c>
      <c r="G5341" t="str">
        <f>"21-2138"</f>
        <v>21-2138</v>
      </c>
      <c r="H5341" t="str">
        <f>"A"</f>
        <v>A</v>
      </c>
    </row>
    <row r="5342" spans="1:8" x14ac:dyDescent="0.2">
      <c r="A5342" t="str">
        <f t="shared" si="1965"/>
        <v>0615039122</v>
      </c>
      <c r="B5342" t="str">
        <f t="shared" si="1966"/>
        <v>GABRIEL</v>
      </c>
      <c r="C5342" t="str">
        <f t="shared" si="1967"/>
        <v>FATHERREE</v>
      </c>
      <c r="D5342">
        <f>12</f>
        <v>12</v>
      </c>
      <c r="E5342" t="str">
        <f>"07 - S1 - B - 102 - Barbara L Segal"</f>
        <v>07 - S1 - B - 102 - Barbara L Segal</v>
      </c>
      <c r="F5342" t="str">
        <f>"AP US GOVT/POL"</f>
        <v>AP US GOVT/POL</v>
      </c>
      <c r="G5342" t="str">
        <f>"17-1742"</f>
        <v>17-1742</v>
      </c>
      <c r="H5342" t="str">
        <f>"B"</f>
        <v>B</v>
      </c>
    </row>
    <row r="5343" spans="1:8" x14ac:dyDescent="0.2">
      <c r="A5343" t="str">
        <f t="shared" si="1965"/>
        <v>0615039122</v>
      </c>
      <c r="B5343" t="str">
        <f t="shared" si="1966"/>
        <v>GABRIEL</v>
      </c>
      <c r="C5343" t="str">
        <f t="shared" si="1967"/>
        <v>FATHERREE</v>
      </c>
      <c r="D5343">
        <f>12</f>
        <v>12</v>
      </c>
      <c r="E5343" t="str">
        <f>"05 - B - 102 - Daniel S Katz"</f>
        <v>05 - B - 102 - Daniel S Katz</v>
      </c>
      <c r="F5343" t="str">
        <f>"EXEC INTERN 2 LH"</f>
        <v>EXEC INTERN 2 LH</v>
      </c>
      <c r="G5343" t="str">
        <f>"21-2156"</f>
        <v>21-2156</v>
      </c>
      <c r="H5343" t="str">
        <f>"B"</f>
        <v>B</v>
      </c>
    </row>
    <row r="5344" spans="1:8" x14ac:dyDescent="0.2">
      <c r="A5344" t="str">
        <f t="shared" si="1965"/>
        <v>0615039122</v>
      </c>
      <c r="B5344" t="str">
        <f t="shared" si="1966"/>
        <v>GABRIEL</v>
      </c>
      <c r="C5344" t="str">
        <f t="shared" si="1967"/>
        <v>FATHERREE</v>
      </c>
      <c r="D5344">
        <f>12</f>
        <v>12</v>
      </c>
      <c r="E5344" t="str">
        <f>"01 - A - 101 - Kelly N Panza"</f>
        <v>01 - A - 101 - Kelly N Panza</v>
      </c>
      <c r="F5344" t="str">
        <f>"AP HUMAN GEOG"</f>
        <v>AP HUMAN GEOG</v>
      </c>
      <c r="G5344" t="str">
        <f>"17-1753"</f>
        <v>17-1753</v>
      </c>
      <c r="H5344" t="str">
        <f>"A"</f>
        <v>A</v>
      </c>
    </row>
    <row r="5345" spans="1:8" x14ac:dyDescent="0.2">
      <c r="A5345" t="str">
        <f t="shared" si="1965"/>
        <v>0615039122</v>
      </c>
      <c r="B5345" t="str">
        <f t="shared" si="1966"/>
        <v>GABRIEL</v>
      </c>
      <c r="C5345" t="str">
        <f t="shared" si="1967"/>
        <v>FATHERREE</v>
      </c>
      <c r="D5345">
        <f>12</f>
        <v>12</v>
      </c>
      <c r="E5345" t="str">
        <f>"08 - B - 203 - Courtney E Hambright"</f>
        <v>08 - B - 203 - Courtney E Hambright</v>
      </c>
      <c r="F5345" t="str">
        <f>"AP ENG LIT COMPO"</f>
        <v>AP ENG LIT COMPO</v>
      </c>
      <c r="G5345" t="str">
        <f>"17-1711"</f>
        <v>17-1711</v>
      </c>
      <c r="H5345" t="str">
        <f>"B"</f>
        <v>B</v>
      </c>
    </row>
    <row r="5346" spans="1:8" x14ac:dyDescent="0.2">
      <c r="A5346" t="str">
        <f t="shared" ref="A5346:A5353" si="1968">"0625020709"</f>
        <v>0625020709</v>
      </c>
      <c r="B5346" t="str">
        <f t="shared" ref="B5346:B5353" si="1969">"Miron"</f>
        <v>Miron</v>
      </c>
      <c r="C5346" t="str">
        <f t="shared" ref="C5346:C5353" si="1970">"Fechin"</f>
        <v>Fechin</v>
      </c>
      <c r="D5346">
        <f>10</f>
        <v>10</v>
      </c>
      <c r="E5346" t="str">
        <f>"04 - A - 201 - Samantha L Martinez"</f>
        <v>04 - A - 201 - Samantha L Martinez</v>
      </c>
      <c r="F5346" t="str">
        <f>"KEYBD 2"</f>
        <v>KEYBD 2</v>
      </c>
      <c r="G5346" t="str">
        <f>"05-505"</f>
        <v>05-505</v>
      </c>
      <c r="H5346" t="str">
        <f>"A"</f>
        <v>A</v>
      </c>
    </row>
    <row r="5347" spans="1:8" x14ac:dyDescent="0.2">
      <c r="A5347" t="str">
        <f t="shared" si="1968"/>
        <v>0625020709</v>
      </c>
      <c r="B5347" t="str">
        <f t="shared" si="1969"/>
        <v>Miron</v>
      </c>
      <c r="C5347" t="str">
        <f t="shared" si="1970"/>
        <v>Fechin</v>
      </c>
      <c r="D5347">
        <f>10</f>
        <v>10</v>
      </c>
      <c r="E5347" t="str">
        <f>"06 - B - 001 - Ferrie J Arostique"</f>
        <v>06 - B - 001 - Ferrie J Arostique</v>
      </c>
      <c r="F5347" t="str">
        <f>"NC STUDY HALL 1"</f>
        <v>NC STUDY HALL 1</v>
      </c>
      <c r="G5347" t="str">
        <f>"21-2139"</f>
        <v>21-2139</v>
      </c>
      <c r="H5347" t="str">
        <f>"B"</f>
        <v>B</v>
      </c>
    </row>
    <row r="5348" spans="1:8" x14ac:dyDescent="0.2">
      <c r="A5348" t="str">
        <f t="shared" si="1968"/>
        <v>0625020709</v>
      </c>
      <c r="B5348" t="str">
        <f t="shared" si="1969"/>
        <v>Miron</v>
      </c>
      <c r="C5348" t="str">
        <f t="shared" si="1970"/>
        <v>Fechin</v>
      </c>
      <c r="D5348">
        <f>10</f>
        <v>10</v>
      </c>
      <c r="E5348" t="str">
        <f>"03 - A - 204 - Lytrell T Dixon"</f>
        <v>03 - A - 204 - Lytrell T Dixon</v>
      </c>
      <c r="F5348" t="str">
        <f>"BIOLOGY 1"</f>
        <v>BIOLOGY 1</v>
      </c>
      <c r="G5348" t="str">
        <f>"08-808"</f>
        <v>08-808</v>
      </c>
      <c r="H5348" t="str">
        <f>"A"</f>
        <v>A</v>
      </c>
    </row>
    <row r="5349" spans="1:8" x14ac:dyDescent="0.2">
      <c r="A5349" t="str">
        <f t="shared" si="1968"/>
        <v>0625020709</v>
      </c>
      <c r="B5349" t="str">
        <f t="shared" si="1969"/>
        <v>Miron</v>
      </c>
      <c r="C5349" t="str">
        <f t="shared" si="1970"/>
        <v>Fechin</v>
      </c>
      <c r="D5349">
        <f>10</f>
        <v>10</v>
      </c>
      <c r="E5349" t="str">
        <f>"02 - A - 102 - Adam Marcus  Drucker"</f>
        <v>02 - A - 102 - Adam Marcus  Drucker</v>
      </c>
      <c r="F5349" t="str">
        <f>"HOPE-PE V"</f>
        <v>HOPE-PE V</v>
      </c>
      <c r="G5349" t="str">
        <f>"04-254"</f>
        <v>04-254</v>
      </c>
      <c r="H5349" t="str">
        <f>"A"</f>
        <v>A</v>
      </c>
    </row>
    <row r="5350" spans="1:8" x14ac:dyDescent="0.2">
      <c r="A5350" t="str">
        <f t="shared" si="1968"/>
        <v>0625020709</v>
      </c>
      <c r="B5350" t="str">
        <f t="shared" si="1969"/>
        <v>Miron</v>
      </c>
      <c r="C5350" t="str">
        <f t="shared" si="1970"/>
        <v>Fechin</v>
      </c>
      <c r="D5350">
        <f>10</f>
        <v>10</v>
      </c>
      <c r="E5350" t="str">
        <f>"07 - B - 110 - Ferrie J Arostique"</f>
        <v>07 - B - 110 - Ferrie J Arostique</v>
      </c>
      <c r="F5350" t="str">
        <f>"GEOMETRY"</f>
        <v>GEOMETRY</v>
      </c>
      <c r="G5350" t="str">
        <f>"21-2139"</f>
        <v>21-2139</v>
      </c>
      <c r="H5350" t="str">
        <f>"B"</f>
        <v>B</v>
      </c>
    </row>
    <row r="5351" spans="1:8" x14ac:dyDescent="0.2">
      <c r="A5351" t="str">
        <f t="shared" si="1968"/>
        <v>0625020709</v>
      </c>
      <c r="B5351" t="str">
        <f t="shared" si="1969"/>
        <v>Miron</v>
      </c>
      <c r="C5351" t="str">
        <f t="shared" si="1970"/>
        <v>Fechin</v>
      </c>
      <c r="D5351">
        <f>10</f>
        <v>10</v>
      </c>
      <c r="E5351" t="str">
        <f>"05 - B - 106 - Jacquelyn M Neeson"</f>
        <v>05 - B - 106 - Jacquelyn M Neeson</v>
      </c>
      <c r="F5351" t="str">
        <f>"ENG 2"</f>
        <v>ENG 2</v>
      </c>
      <c r="G5351" t="str">
        <f>"17-1715"</f>
        <v>17-1715</v>
      </c>
      <c r="H5351" t="str">
        <f>"B"</f>
        <v>B</v>
      </c>
    </row>
    <row r="5352" spans="1:8" x14ac:dyDescent="0.2">
      <c r="A5352" t="str">
        <f t="shared" si="1968"/>
        <v>0625020709</v>
      </c>
      <c r="B5352" t="str">
        <f t="shared" si="1969"/>
        <v>Miron</v>
      </c>
      <c r="C5352" t="str">
        <f t="shared" si="1970"/>
        <v>Fechin</v>
      </c>
      <c r="D5352">
        <f>10</f>
        <v>10</v>
      </c>
      <c r="E5352" t="str">
        <f>"01 - A - 101 - Angela S Adeshina-Morrison"</f>
        <v>01 - A - 101 - Angela S Adeshina-Morrison</v>
      </c>
      <c r="F5352" t="str">
        <f>"MARKETING ESSENTIALS"</f>
        <v>MARKETING ESSENTIALS</v>
      </c>
      <c r="G5352" t="str">
        <f>"05-518"</f>
        <v>05-518</v>
      </c>
      <c r="H5352" t="str">
        <f>"A"</f>
        <v>A</v>
      </c>
    </row>
    <row r="5353" spans="1:8" x14ac:dyDescent="0.2">
      <c r="A5353" t="str">
        <f t="shared" si="1968"/>
        <v>0625020709</v>
      </c>
      <c r="B5353" t="str">
        <f t="shared" si="1969"/>
        <v>Miron</v>
      </c>
      <c r="C5353" t="str">
        <f t="shared" si="1970"/>
        <v>Fechin</v>
      </c>
      <c r="D5353">
        <f>10</f>
        <v>10</v>
      </c>
      <c r="E5353" t="str">
        <f>"08 - S1 - B - 102 - Kyle  Robbins"</f>
        <v>08 - S1 - B - 102 - Kyle  Robbins</v>
      </c>
      <c r="F5353" t="str">
        <f>"PERS FIN &amp; MON MGT H"</f>
        <v>PERS FIN &amp; MON MGT H</v>
      </c>
      <c r="G5353" t="str">
        <f>"17-1745"</f>
        <v>17-1745</v>
      </c>
      <c r="H5353" t="str">
        <f>"B"</f>
        <v>B</v>
      </c>
    </row>
    <row r="5354" spans="1:8" x14ac:dyDescent="0.2">
      <c r="A5354" t="str">
        <f t="shared" ref="A5354:A5361" si="1971">"0615134919"</f>
        <v>0615134919</v>
      </c>
      <c r="B5354" t="str">
        <f t="shared" ref="B5354:B5361" si="1972">"HOPE"</f>
        <v>HOPE</v>
      </c>
      <c r="C5354" t="str">
        <f t="shared" ref="C5354:C5361" si="1973">"FEDLER"</f>
        <v>FEDLER</v>
      </c>
      <c r="D5354">
        <f>10</f>
        <v>10</v>
      </c>
      <c r="E5354" t="str">
        <f>"04 - A - 102 - Samantha J Headley"</f>
        <v>04 - A - 102 - Samantha J Headley</v>
      </c>
      <c r="F5354" t="str">
        <f>"MARINE SCI 1 HON"</f>
        <v>MARINE SCI 1 HON</v>
      </c>
      <c r="G5354" t="str">
        <f>"21-2134"</f>
        <v>21-2134</v>
      </c>
      <c r="H5354" t="str">
        <f>"A"</f>
        <v>A</v>
      </c>
    </row>
    <row r="5355" spans="1:8" x14ac:dyDescent="0.2">
      <c r="A5355" t="str">
        <f t="shared" si="1971"/>
        <v>0615134919</v>
      </c>
      <c r="B5355" t="str">
        <f t="shared" si="1972"/>
        <v>HOPE</v>
      </c>
      <c r="C5355" t="str">
        <f t="shared" si="1973"/>
        <v>FEDLER</v>
      </c>
      <c r="D5355">
        <f>10</f>
        <v>10</v>
      </c>
      <c r="E5355" t="str">
        <f>"06 - B - 105 - Jeffrey S Gallagher"</f>
        <v>06 - B - 105 - Jeffrey S Gallagher</v>
      </c>
      <c r="F5355" t="str">
        <f>"NC STUDY HALL 1"</f>
        <v>NC STUDY HALL 1</v>
      </c>
      <c r="G5355" t="str">
        <f>"17-1724"</f>
        <v>17-1724</v>
      </c>
      <c r="H5355" t="str">
        <f>"B"</f>
        <v>B</v>
      </c>
    </row>
    <row r="5356" spans="1:8" x14ac:dyDescent="0.2">
      <c r="A5356" t="str">
        <f t="shared" si="1971"/>
        <v>0615134919</v>
      </c>
      <c r="B5356" t="str">
        <f t="shared" si="1972"/>
        <v>HOPE</v>
      </c>
      <c r="C5356" t="str">
        <f t="shared" si="1973"/>
        <v>FEDLER</v>
      </c>
      <c r="D5356">
        <f>10</f>
        <v>10</v>
      </c>
      <c r="E5356" t="str">
        <f>"03 - A - 201 - Christa T Parisi"</f>
        <v>03 - A - 201 - Christa T Parisi</v>
      </c>
      <c r="F5356" t="str">
        <f>"DANCE TECHNQS 1"</f>
        <v>DANCE TECHNQS 1</v>
      </c>
      <c r="G5356" t="str">
        <f>"05-503"</f>
        <v>05-503</v>
      </c>
      <c r="H5356" t="str">
        <f>"A"</f>
        <v>A</v>
      </c>
    </row>
    <row r="5357" spans="1:8" x14ac:dyDescent="0.2">
      <c r="A5357" t="str">
        <f t="shared" si="1971"/>
        <v>0615134919</v>
      </c>
      <c r="B5357" t="str">
        <f t="shared" si="1972"/>
        <v>HOPE</v>
      </c>
      <c r="C5357" t="str">
        <f t="shared" si="1973"/>
        <v>FEDLER</v>
      </c>
      <c r="D5357">
        <f>10</f>
        <v>10</v>
      </c>
      <c r="E5357" t="str">
        <f>"02 - A - 102 - Adam Marcus  Drucker"</f>
        <v>02 - A - 102 - Adam Marcus  Drucker</v>
      </c>
      <c r="F5357" t="str">
        <f>"HOPE-PE V"</f>
        <v>HOPE-PE V</v>
      </c>
      <c r="G5357" t="str">
        <f>"04-254"</f>
        <v>04-254</v>
      </c>
      <c r="H5357" t="str">
        <f>"A"</f>
        <v>A</v>
      </c>
    </row>
    <row r="5358" spans="1:8" x14ac:dyDescent="0.2">
      <c r="A5358" t="str">
        <f t="shared" si="1971"/>
        <v>0615134919</v>
      </c>
      <c r="B5358" t="str">
        <f t="shared" si="1972"/>
        <v>HOPE</v>
      </c>
      <c r="C5358" t="str">
        <f t="shared" si="1973"/>
        <v>FEDLER</v>
      </c>
      <c r="D5358">
        <f>10</f>
        <v>10</v>
      </c>
      <c r="E5358" t="str">
        <f>"07 - B - 107 - Milca  Exantus"</f>
        <v>07 - B - 107 - Milca  Exantus</v>
      </c>
      <c r="F5358" t="str">
        <f>"MATH COLLEGE LIB ART"</f>
        <v>MATH COLLEGE LIB ART</v>
      </c>
      <c r="G5358" t="str">
        <f>"21-2145"</f>
        <v>21-2145</v>
      </c>
      <c r="H5358" t="str">
        <f>"B"</f>
        <v>B</v>
      </c>
    </row>
    <row r="5359" spans="1:8" x14ac:dyDescent="0.2">
      <c r="A5359" t="str">
        <f t="shared" si="1971"/>
        <v>0615134919</v>
      </c>
      <c r="B5359" t="str">
        <f t="shared" si="1972"/>
        <v>HOPE</v>
      </c>
      <c r="C5359" t="str">
        <f t="shared" si="1973"/>
        <v>FEDLER</v>
      </c>
      <c r="D5359">
        <f>10</f>
        <v>10</v>
      </c>
      <c r="E5359" t="str">
        <f>"05 - B - 106 - Jacquelyn M Neeson"</f>
        <v>05 - B - 106 - Jacquelyn M Neeson</v>
      </c>
      <c r="F5359" t="str">
        <f>"ENG 2"</f>
        <v>ENG 2</v>
      </c>
      <c r="G5359" t="str">
        <f>"17-1715"</f>
        <v>17-1715</v>
      </c>
      <c r="H5359" t="str">
        <f>"B"</f>
        <v>B</v>
      </c>
    </row>
    <row r="5360" spans="1:8" x14ac:dyDescent="0.2">
      <c r="A5360" t="str">
        <f t="shared" si="1971"/>
        <v>0615134919</v>
      </c>
      <c r="B5360" t="str">
        <f t="shared" si="1972"/>
        <v>HOPE</v>
      </c>
      <c r="C5360" t="str">
        <f t="shared" si="1973"/>
        <v>FEDLER</v>
      </c>
      <c r="D5360">
        <f>10</f>
        <v>10</v>
      </c>
      <c r="E5360" t="str">
        <f>"01 - A - 107 - Jazmin S Fletcher"</f>
        <v>01 - A - 107 - Jazmin S Fletcher</v>
      </c>
      <c r="F5360" t="str">
        <f>"WORLD HISTORY"</f>
        <v>WORLD HISTORY</v>
      </c>
      <c r="G5360" t="str">
        <f>"09-909"</f>
        <v>09-909</v>
      </c>
      <c r="H5360" t="str">
        <f>"A"</f>
        <v>A</v>
      </c>
    </row>
    <row r="5361" spans="1:8" x14ac:dyDescent="0.2">
      <c r="A5361" t="str">
        <f t="shared" si="1971"/>
        <v>0615134919</v>
      </c>
      <c r="B5361" t="str">
        <f t="shared" si="1972"/>
        <v>HOPE</v>
      </c>
      <c r="C5361" t="str">
        <f t="shared" si="1973"/>
        <v>FEDLER</v>
      </c>
      <c r="D5361">
        <f>10</f>
        <v>10</v>
      </c>
      <c r="E5361" t="str">
        <f>"08 - S1 - B - 001 - Carol S Moore"</f>
        <v>08 - S1 - B - 001 - Carol S Moore</v>
      </c>
      <c r="F5361" t="str">
        <f>"PER CAR SCH DEV 1 LH"</f>
        <v>PER CAR SCH DEV 1 LH</v>
      </c>
      <c r="G5361" t="str">
        <f>"17-1733"</f>
        <v>17-1733</v>
      </c>
      <c r="H5361" t="str">
        <f>"B"</f>
        <v>B</v>
      </c>
    </row>
    <row r="5362" spans="1:8" x14ac:dyDescent="0.2">
      <c r="A5362" t="str">
        <f t="shared" ref="A5362:A5369" si="1974">"0620044112"</f>
        <v>0620044112</v>
      </c>
      <c r="B5362" t="str">
        <f t="shared" ref="B5362:B5369" si="1975">"ISABELLA"</f>
        <v>ISABELLA</v>
      </c>
      <c r="C5362" t="str">
        <f t="shared" ref="C5362:C5369" si="1976">"FEICKERT"</f>
        <v>FEICKERT</v>
      </c>
      <c r="D5362">
        <f>11</f>
        <v>11</v>
      </c>
      <c r="E5362" t="str">
        <f>"04 - A - 101 - Stephen T Ripp"</f>
        <v>04 - A - 101 - Stephen T Ripp</v>
      </c>
      <c r="F5362" t="str">
        <f>"AP U.S. HIST"</f>
        <v>AP U.S. HIST</v>
      </c>
      <c r="G5362" t="str">
        <f>"17-1744"</f>
        <v>17-1744</v>
      </c>
      <c r="H5362" t="str">
        <f>"A"</f>
        <v>A</v>
      </c>
    </row>
    <row r="5363" spans="1:8" x14ac:dyDescent="0.2">
      <c r="A5363" t="str">
        <f t="shared" si="1974"/>
        <v>0620044112</v>
      </c>
      <c r="B5363" t="str">
        <f t="shared" si="1975"/>
        <v>ISABELLA</v>
      </c>
      <c r="C5363" t="str">
        <f t="shared" si="1976"/>
        <v>FEICKERT</v>
      </c>
      <c r="D5363">
        <f>11</f>
        <v>11</v>
      </c>
      <c r="E5363" t="str">
        <f>"06 - B - 001 - Lourivaldo  Da Silva"</f>
        <v>06 - B - 001 - Lourivaldo  Da Silva</v>
      </c>
      <c r="F5363" t="str">
        <f>"PRE-CALCULUS HON"</f>
        <v>PRE-CALCULUS HON</v>
      </c>
      <c r="G5363" t="str">
        <f>"20-2079"</f>
        <v>20-2079</v>
      </c>
      <c r="H5363" t="str">
        <f>"B"</f>
        <v>B</v>
      </c>
    </row>
    <row r="5364" spans="1:8" x14ac:dyDescent="0.2">
      <c r="A5364" t="str">
        <f t="shared" si="1974"/>
        <v>0620044112</v>
      </c>
      <c r="B5364" t="str">
        <f t="shared" si="1975"/>
        <v>ISABELLA</v>
      </c>
      <c r="C5364" t="str">
        <f t="shared" si="1976"/>
        <v>FEICKERT</v>
      </c>
      <c r="D5364">
        <f>11</f>
        <v>11</v>
      </c>
      <c r="E5364" t="str">
        <f>"03 - A - 101 - Jacqueline R Morphet"</f>
        <v>03 - A - 101 - Jacqueline R Morphet</v>
      </c>
      <c r="F5364" t="str">
        <f>"AP PHYSICS 1"</f>
        <v>AP PHYSICS 1</v>
      </c>
      <c r="G5364" t="str">
        <f>"21-2138"</f>
        <v>21-2138</v>
      </c>
      <c r="H5364" t="str">
        <f>"A"</f>
        <v>A</v>
      </c>
    </row>
    <row r="5365" spans="1:8" x14ac:dyDescent="0.2">
      <c r="A5365" t="str">
        <f t="shared" si="1974"/>
        <v>0620044112</v>
      </c>
      <c r="B5365" t="str">
        <f t="shared" si="1975"/>
        <v>ISABELLA</v>
      </c>
      <c r="C5365" t="str">
        <f t="shared" si="1976"/>
        <v>FEICKERT</v>
      </c>
      <c r="D5365">
        <f>11</f>
        <v>11</v>
      </c>
      <c r="E5365" t="str">
        <f>"02 - A - 103 - Kelly N Panza"</f>
        <v>02 - A - 103 - Kelly N Panza</v>
      </c>
      <c r="F5365" t="str">
        <f>"NC STUDY HALL 1"</f>
        <v>NC STUDY HALL 1</v>
      </c>
      <c r="G5365" t="str">
        <f>"17-1753"</f>
        <v>17-1753</v>
      </c>
      <c r="H5365" t="str">
        <f>"A"</f>
        <v>A</v>
      </c>
    </row>
    <row r="5366" spans="1:8" x14ac:dyDescent="0.2">
      <c r="A5366" t="str">
        <f t="shared" si="1974"/>
        <v>0620044112</v>
      </c>
      <c r="B5366" t="str">
        <f t="shared" si="1975"/>
        <v>ISABELLA</v>
      </c>
      <c r="C5366" t="str">
        <f t="shared" si="1976"/>
        <v>FEICKERT</v>
      </c>
      <c r="D5366">
        <f>11</f>
        <v>11</v>
      </c>
      <c r="E5366" t="str">
        <f>"07 - B - 103 - Lisa J London"</f>
        <v>07 - B - 103 - Lisa J London</v>
      </c>
      <c r="F5366" t="str">
        <f>"AP CAPSTONE SEMINAR"</f>
        <v>AP CAPSTONE SEMINAR</v>
      </c>
      <c r="G5366" t="str">
        <f>"17-1714"</f>
        <v>17-1714</v>
      </c>
      <c r="H5366" t="str">
        <f>"B"</f>
        <v>B</v>
      </c>
    </row>
    <row r="5367" spans="1:8" x14ac:dyDescent="0.2">
      <c r="A5367" t="str">
        <f t="shared" si="1974"/>
        <v>0620044112</v>
      </c>
      <c r="B5367" t="str">
        <f t="shared" si="1975"/>
        <v>ISABELLA</v>
      </c>
      <c r="C5367" t="str">
        <f t="shared" si="1976"/>
        <v>FEICKERT</v>
      </c>
      <c r="D5367">
        <f>11</f>
        <v>11</v>
      </c>
      <c r="E5367" t="str">
        <f>"05 - B - 103 - Tina M Jaramillo"</f>
        <v>05 - B - 103 - Tina M Jaramillo</v>
      </c>
      <c r="F5367" t="str">
        <f>"AP ENG COMPO"</f>
        <v>AP ENG COMPO</v>
      </c>
      <c r="G5367" t="str">
        <f>"17-1706"</f>
        <v>17-1706</v>
      </c>
      <c r="H5367" t="str">
        <f>"B"</f>
        <v>B</v>
      </c>
    </row>
    <row r="5368" spans="1:8" x14ac:dyDescent="0.2">
      <c r="A5368" t="str">
        <f t="shared" si="1974"/>
        <v>0620044112</v>
      </c>
      <c r="B5368" t="str">
        <f t="shared" si="1975"/>
        <v>ISABELLA</v>
      </c>
      <c r="C5368" t="str">
        <f t="shared" si="1976"/>
        <v>FEICKERT</v>
      </c>
      <c r="D5368">
        <f>11</f>
        <v>11</v>
      </c>
      <c r="E5368" t="str">
        <f>"01 - S1 - A - 101 - Bruce A Evans"</f>
        <v>01 - S1 - A - 101 - Bruce A Evans</v>
      </c>
      <c r="F5368" t="str">
        <f>"ELECTROCARD TECH 3HN"</f>
        <v>ELECTROCARD TECH 3HN</v>
      </c>
      <c r="G5368" t="str">
        <f>"21-2142"</f>
        <v>21-2142</v>
      </c>
      <c r="H5368" t="str">
        <f>"A"</f>
        <v>A</v>
      </c>
    </row>
    <row r="5369" spans="1:8" x14ac:dyDescent="0.2">
      <c r="A5369" t="str">
        <f t="shared" si="1974"/>
        <v>0620044112</v>
      </c>
      <c r="B5369" t="str">
        <f t="shared" si="1975"/>
        <v>ISABELLA</v>
      </c>
      <c r="C5369" t="str">
        <f t="shared" si="1976"/>
        <v>FEICKERT</v>
      </c>
      <c r="D5369">
        <f>11</f>
        <v>11</v>
      </c>
      <c r="E5369" t="str">
        <f>"08 - B - 103 - Marielle A Witting"</f>
        <v>08 - B - 103 - Marielle A Witting</v>
      </c>
      <c r="F5369" t="str">
        <f>"AP BIO"</f>
        <v>AP BIO</v>
      </c>
      <c r="G5369" t="str">
        <f>"08-805"</f>
        <v>08-805</v>
      </c>
      <c r="H5369" t="str">
        <f>"B"</f>
        <v>B</v>
      </c>
    </row>
    <row r="5370" spans="1:8" x14ac:dyDescent="0.2">
      <c r="A5370" t="str">
        <f t="shared" ref="A5370:A5377" si="1977">"0615133594"</f>
        <v>0615133594</v>
      </c>
      <c r="B5370" t="str">
        <f t="shared" ref="B5370:B5377" si="1978">"CADEN"</f>
        <v>CADEN</v>
      </c>
      <c r="C5370" t="str">
        <f t="shared" ref="C5370:C5385" si="1979">"FELIX"</f>
        <v>FELIX</v>
      </c>
      <c r="D5370">
        <f>10</f>
        <v>10</v>
      </c>
      <c r="E5370" t="str">
        <f>"04 - A - 105 - Jacquelyn M Neeson"</f>
        <v>04 - A - 105 - Jacquelyn M Neeson</v>
      </c>
      <c r="F5370" t="str">
        <f>"ENG 2"</f>
        <v>ENG 2</v>
      </c>
      <c r="G5370" t="str">
        <f>"17-1715"</f>
        <v>17-1715</v>
      </c>
      <c r="H5370" t="str">
        <f>"A"</f>
        <v>A</v>
      </c>
    </row>
    <row r="5371" spans="1:8" x14ac:dyDescent="0.2">
      <c r="A5371" t="str">
        <f t="shared" si="1977"/>
        <v>0615133594</v>
      </c>
      <c r="B5371" t="str">
        <f t="shared" si="1978"/>
        <v>CADEN</v>
      </c>
      <c r="C5371" t="str">
        <f t="shared" si="1979"/>
        <v>FELIX</v>
      </c>
      <c r="D5371">
        <f>10</f>
        <v>10</v>
      </c>
      <c r="E5371" t="str">
        <f>"06 - B - 103 - Thomas G Handwerg"</f>
        <v>06 - B - 103 - Thomas G Handwerg</v>
      </c>
      <c r="F5371" t="str">
        <f>"NC STUDY HALL 1"</f>
        <v>NC STUDY HALL 1</v>
      </c>
      <c r="G5371" t="str">
        <f>"21-2146"</f>
        <v>21-2146</v>
      </c>
      <c r="H5371" t="str">
        <f>"B"</f>
        <v>B</v>
      </c>
    </row>
    <row r="5372" spans="1:8" x14ac:dyDescent="0.2">
      <c r="A5372" t="str">
        <f t="shared" si="1977"/>
        <v>0615133594</v>
      </c>
      <c r="B5372" t="str">
        <f t="shared" si="1978"/>
        <v>CADEN</v>
      </c>
      <c r="C5372" t="str">
        <f t="shared" si="1979"/>
        <v>FELIX</v>
      </c>
      <c r="D5372">
        <f>10</f>
        <v>10</v>
      </c>
      <c r="E5372" t="str">
        <f>"03 - A - 204 - Lytrell T Dixon"</f>
        <v>03 - A - 204 - Lytrell T Dixon</v>
      </c>
      <c r="F5372" t="str">
        <f>"BIOLOGY 1"</f>
        <v>BIOLOGY 1</v>
      </c>
      <c r="G5372" t="str">
        <f>"08-808"</f>
        <v>08-808</v>
      </c>
      <c r="H5372" t="str">
        <f>"A"</f>
        <v>A</v>
      </c>
    </row>
    <row r="5373" spans="1:8" x14ac:dyDescent="0.2">
      <c r="A5373" t="str">
        <f t="shared" si="1977"/>
        <v>0615133594</v>
      </c>
      <c r="B5373" t="str">
        <f t="shared" si="1978"/>
        <v>CADEN</v>
      </c>
      <c r="C5373" t="str">
        <f t="shared" si="1979"/>
        <v>FELIX</v>
      </c>
      <c r="D5373">
        <f>10</f>
        <v>10</v>
      </c>
      <c r="E5373" t="str">
        <f>"02 - A - 102 - Bruce A Evans"</f>
        <v>02 - A - 102 - Bruce A Evans</v>
      </c>
      <c r="F5373" t="str">
        <f>"EMERG MED RESP 3 HON"</f>
        <v>EMERG MED RESP 3 HON</v>
      </c>
      <c r="G5373" t="str">
        <f>"21-2142"</f>
        <v>21-2142</v>
      </c>
      <c r="H5373" t="str">
        <f>"A"</f>
        <v>A</v>
      </c>
    </row>
    <row r="5374" spans="1:8" x14ac:dyDescent="0.2">
      <c r="A5374" t="str">
        <f t="shared" si="1977"/>
        <v>0615133594</v>
      </c>
      <c r="B5374" t="str">
        <f t="shared" si="1978"/>
        <v>CADEN</v>
      </c>
      <c r="C5374" t="str">
        <f t="shared" si="1979"/>
        <v>FELIX</v>
      </c>
      <c r="D5374">
        <f>10</f>
        <v>10</v>
      </c>
      <c r="E5374" t="str">
        <f>"07 - B - 106 - Taraneh C Abreu"</f>
        <v>07 - B - 106 - Taraneh C Abreu</v>
      </c>
      <c r="F5374" t="str">
        <f>"INTENS READ 2"</f>
        <v>INTENS READ 2</v>
      </c>
      <c r="G5374" t="str">
        <f>"17-1713"</f>
        <v>17-1713</v>
      </c>
      <c r="H5374" t="str">
        <f>"B"</f>
        <v>B</v>
      </c>
    </row>
    <row r="5375" spans="1:8" x14ac:dyDescent="0.2">
      <c r="A5375" t="str">
        <f t="shared" si="1977"/>
        <v>0615133594</v>
      </c>
      <c r="B5375" t="str">
        <f t="shared" si="1978"/>
        <v>CADEN</v>
      </c>
      <c r="C5375" t="str">
        <f t="shared" si="1979"/>
        <v>FELIX</v>
      </c>
      <c r="D5375">
        <f>10</f>
        <v>10</v>
      </c>
      <c r="E5375" t="str">
        <f>"05 - B - 201 - Bruce A Evans"</f>
        <v>05 - B - 201 - Bruce A Evans</v>
      </c>
      <c r="F5375" t="str">
        <f>"HEALTH SCI FOUND HON"</f>
        <v>HEALTH SCI FOUND HON</v>
      </c>
      <c r="G5375" t="str">
        <f>"21-2142"</f>
        <v>21-2142</v>
      </c>
      <c r="H5375" t="str">
        <f>"B"</f>
        <v>B</v>
      </c>
    </row>
    <row r="5376" spans="1:8" x14ac:dyDescent="0.2">
      <c r="A5376" t="str">
        <f t="shared" si="1977"/>
        <v>0615133594</v>
      </c>
      <c r="B5376" t="str">
        <f t="shared" si="1978"/>
        <v>CADEN</v>
      </c>
      <c r="C5376" t="str">
        <f t="shared" si="1979"/>
        <v>FELIX</v>
      </c>
      <c r="D5376">
        <f>10</f>
        <v>10</v>
      </c>
      <c r="E5376" t="str">
        <f>"01 - A - 101 - James H Mccann"</f>
        <v>01 - A - 101 - James H Mccann</v>
      </c>
      <c r="F5376" t="str">
        <f>"ALGEBRA 2"</f>
        <v>ALGEBRA 2</v>
      </c>
      <c r="G5376" t="str">
        <f>"17-1716"</f>
        <v>17-1716</v>
      </c>
      <c r="H5376" t="str">
        <f>"A"</f>
        <v>A</v>
      </c>
    </row>
    <row r="5377" spans="1:8" x14ac:dyDescent="0.2">
      <c r="A5377" t="str">
        <f t="shared" si="1977"/>
        <v>0615133594</v>
      </c>
      <c r="B5377" t="str">
        <f t="shared" si="1978"/>
        <v>CADEN</v>
      </c>
      <c r="C5377" t="str">
        <f t="shared" si="1979"/>
        <v>FELIX</v>
      </c>
      <c r="D5377">
        <f>10</f>
        <v>10</v>
      </c>
      <c r="E5377" t="str">
        <f>"08 - S1 - B - 105 - James H Mccann"</f>
        <v>08 - S1 - B - 105 - James H Mccann</v>
      </c>
      <c r="F5377" t="str">
        <f>"PERS FIN &amp; MON MGT H"</f>
        <v>PERS FIN &amp; MON MGT H</v>
      </c>
      <c r="G5377" t="str">
        <f>"17-1716"</f>
        <v>17-1716</v>
      </c>
      <c r="H5377" t="str">
        <f>"B"</f>
        <v>B</v>
      </c>
    </row>
    <row r="5378" spans="1:8" x14ac:dyDescent="0.2">
      <c r="A5378" t="str">
        <f t="shared" ref="A5378:A5385" si="1980">"0614101542"</f>
        <v>0614101542</v>
      </c>
      <c r="B5378" t="str">
        <f t="shared" ref="B5378:B5385" si="1981">"SOPHIA"</f>
        <v>SOPHIA</v>
      </c>
      <c r="C5378" t="str">
        <f t="shared" si="1979"/>
        <v>FELIX</v>
      </c>
      <c r="D5378">
        <f>11</f>
        <v>11</v>
      </c>
      <c r="E5378" t="str">
        <f>"04 - A - 102 - Lisa J London"</f>
        <v>04 - A - 102 - Lisa J London</v>
      </c>
      <c r="F5378" t="str">
        <f>"AP CAPSTONE SEMINAR"</f>
        <v>AP CAPSTONE SEMINAR</v>
      </c>
      <c r="G5378" t="str">
        <f>"17-1714"</f>
        <v>17-1714</v>
      </c>
      <c r="H5378" t="str">
        <f>"A"</f>
        <v>A</v>
      </c>
    </row>
    <row r="5379" spans="1:8" x14ac:dyDescent="0.2">
      <c r="A5379" t="str">
        <f t="shared" si="1980"/>
        <v>0614101542</v>
      </c>
      <c r="B5379" t="str">
        <f t="shared" si="1981"/>
        <v>SOPHIA</v>
      </c>
      <c r="C5379" t="str">
        <f t="shared" si="1979"/>
        <v>FELIX</v>
      </c>
      <c r="D5379">
        <f>11</f>
        <v>11</v>
      </c>
      <c r="E5379" t="str">
        <f>"06 - B - 102 - Stephen T Ripp"</f>
        <v>06 - B - 102 - Stephen T Ripp</v>
      </c>
      <c r="F5379" t="str">
        <f>"AP U.S. HIST"</f>
        <v>AP U.S. HIST</v>
      </c>
      <c r="G5379" t="str">
        <f>"17-1744"</f>
        <v>17-1744</v>
      </c>
      <c r="H5379" t="str">
        <f>"B"</f>
        <v>B</v>
      </c>
    </row>
    <row r="5380" spans="1:8" x14ac:dyDescent="0.2">
      <c r="A5380" t="str">
        <f t="shared" si="1980"/>
        <v>0614101542</v>
      </c>
      <c r="B5380" t="str">
        <f t="shared" si="1981"/>
        <v>SOPHIA</v>
      </c>
      <c r="C5380" t="str">
        <f t="shared" si="1979"/>
        <v>FELIX</v>
      </c>
      <c r="D5380">
        <f>11</f>
        <v>11</v>
      </c>
      <c r="E5380" t="str">
        <f>"03 - A - 101 - Jacqueline R Morphet"</f>
        <v>03 - A - 101 - Jacqueline R Morphet</v>
      </c>
      <c r="F5380" t="str">
        <f>"AP PHYSICS 1"</f>
        <v>AP PHYSICS 1</v>
      </c>
      <c r="G5380" t="str">
        <f>"21-2138"</f>
        <v>21-2138</v>
      </c>
      <c r="H5380" t="str">
        <f>"A"</f>
        <v>A</v>
      </c>
    </row>
    <row r="5381" spans="1:8" x14ac:dyDescent="0.2">
      <c r="A5381" t="str">
        <f t="shared" si="1980"/>
        <v>0614101542</v>
      </c>
      <c r="B5381" t="str">
        <f t="shared" si="1981"/>
        <v>SOPHIA</v>
      </c>
      <c r="C5381" t="str">
        <f t="shared" si="1979"/>
        <v>FELIX</v>
      </c>
      <c r="D5381">
        <f>11</f>
        <v>11</v>
      </c>
      <c r="E5381" t="str">
        <f>"02 - A - 103 - Angela S Adeshina-Morrison"</f>
        <v>02 - A - 103 - Angela S Adeshina-Morrison</v>
      </c>
      <c r="F5381" t="str">
        <f>"NC STUDY HALL 1"</f>
        <v>NC STUDY HALL 1</v>
      </c>
      <c r="G5381" t="str">
        <f>"05-518"</f>
        <v>05-518</v>
      </c>
      <c r="H5381" t="str">
        <f>"A"</f>
        <v>A</v>
      </c>
    </row>
    <row r="5382" spans="1:8" x14ac:dyDescent="0.2">
      <c r="A5382" t="str">
        <f t="shared" si="1980"/>
        <v>0614101542</v>
      </c>
      <c r="B5382" t="str">
        <f t="shared" si="1981"/>
        <v>SOPHIA</v>
      </c>
      <c r="C5382" t="str">
        <f t="shared" si="1979"/>
        <v>FELIX</v>
      </c>
      <c r="D5382">
        <f>11</f>
        <v>11</v>
      </c>
      <c r="E5382" t="str">
        <f>"07 - B - 101 - Fernando  Vega-Cid"</f>
        <v>07 - B - 101 - Fernando  Vega-Cid</v>
      </c>
      <c r="F5382" t="str">
        <f>"AP PRECALCULUS"</f>
        <v>AP PRECALCULUS</v>
      </c>
      <c r="G5382" t="str">
        <f>"21-2163"</f>
        <v>21-2163</v>
      </c>
      <c r="H5382" t="str">
        <f>"B"</f>
        <v>B</v>
      </c>
    </row>
    <row r="5383" spans="1:8" x14ac:dyDescent="0.2">
      <c r="A5383" t="str">
        <f t="shared" si="1980"/>
        <v>0614101542</v>
      </c>
      <c r="B5383" t="str">
        <f t="shared" si="1981"/>
        <v>SOPHIA</v>
      </c>
      <c r="C5383" t="str">
        <f t="shared" si="1979"/>
        <v>FELIX</v>
      </c>
      <c r="D5383">
        <f>11</f>
        <v>11</v>
      </c>
      <c r="E5383" t="str">
        <f>"05 - B - 103 - Tina M Jaramillo"</f>
        <v>05 - B - 103 - Tina M Jaramillo</v>
      </c>
      <c r="F5383" t="str">
        <f>"AP ENG COMPO"</f>
        <v>AP ENG COMPO</v>
      </c>
      <c r="G5383" t="str">
        <f>"17-1706"</f>
        <v>17-1706</v>
      </c>
      <c r="H5383" t="str">
        <f>"B"</f>
        <v>B</v>
      </c>
    </row>
    <row r="5384" spans="1:8" x14ac:dyDescent="0.2">
      <c r="A5384" t="str">
        <f t="shared" si="1980"/>
        <v>0614101542</v>
      </c>
      <c r="B5384" t="str">
        <f t="shared" si="1981"/>
        <v>SOPHIA</v>
      </c>
      <c r="C5384" t="str">
        <f t="shared" si="1979"/>
        <v>FELIX</v>
      </c>
      <c r="D5384">
        <f>11</f>
        <v>11</v>
      </c>
      <c r="E5384" t="str">
        <f>"01 - A - 101 - Chrystina M Marchionne"</f>
        <v>01 - A - 101 - Chrystina M Marchionne</v>
      </c>
      <c r="F5384" t="str">
        <f>"AICE MEDIA STUDIES A"</f>
        <v>AICE MEDIA STUDIES A</v>
      </c>
      <c r="G5384" t="str">
        <f>"05-520"</f>
        <v>05-520</v>
      </c>
      <c r="H5384" t="str">
        <f>"A"</f>
        <v>A</v>
      </c>
    </row>
    <row r="5385" spans="1:8" x14ac:dyDescent="0.2">
      <c r="A5385" t="str">
        <f t="shared" si="1980"/>
        <v>0614101542</v>
      </c>
      <c r="B5385" t="str">
        <f t="shared" si="1981"/>
        <v>SOPHIA</v>
      </c>
      <c r="C5385" t="str">
        <f t="shared" si="1979"/>
        <v>FELIX</v>
      </c>
      <c r="D5385">
        <f>11</f>
        <v>11</v>
      </c>
      <c r="E5385" t="str">
        <f>"08 - B - 103 - Marielle A Witting"</f>
        <v>08 - B - 103 - Marielle A Witting</v>
      </c>
      <c r="F5385" t="str">
        <f>"AP BIO"</f>
        <v>AP BIO</v>
      </c>
      <c r="G5385" t="str">
        <f>"08-805"</f>
        <v>08-805</v>
      </c>
      <c r="H5385" t="str">
        <f>"B"</f>
        <v>B</v>
      </c>
    </row>
    <row r="5386" spans="1:8" x14ac:dyDescent="0.2">
      <c r="A5386" t="str">
        <f t="shared" ref="A5386:A5393" si="1982">"0615025897"</f>
        <v>0615025897</v>
      </c>
      <c r="B5386" t="str">
        <f t="shared" ref="B5386:B5393" si="1983">"ELIZABETH"</f>
        <v>ELIZABETH</v>
      </c>
      <c r="C5386" t="str">
        <f t="shared" ref="C5386:C5401" si="1984">"FENELON"</f>
        <v>FENELON</v>
      </c>
      <c r="D5386" t="str">
        <f t="shared" ref="D5386:D5393" si="1985">"09"</f>
        <v>09</v>
      </c>
      <c r="E5386" t="str">
        <f>"04 - A - 102 - Tina L Lovett"</f>
        <v>04 - A - 102 - Tina L Lovett</v>
      </c>
      <c r="F5386" t="str">
        <f>"ALGEBRA 1"</f>
        <v>ALGEBRA 1</v>
      </c>
      <c r="G5386" t="str">
        <f>"21-2153"</f>
        <v>21-2153</v>
      </c>
      <c r="H5386" t="str">
        <f>"A"</f>
        <v>A</v>
      </c>
    </row>
    <row r="5387" spans="1:8" x14ac:dyDescent="0.2">
      <c r="A5387" t="str">
        <f t="shared" si="1982"/>
        <v>0615025897</v>
      </c>
      <c r="B5387" t="str">
        <f t="shared" si="1983"/>
        <v>ELIZABETH</v>
      </c>
      <c r="C5387" t="str">
        <f t="shared" si="1984"/>
        <v>FENELON</v>
      </c>
      <c r="D5387" t="str">
        <f t="shared" si="1985"/>
        <v>09</v>
      </c>
      <c r="E5387" t="str">
        <f>"06 - B - 104 - Laselleda D Shaw"</f>
        <v>06 - B - 104 - Laselleda D Shaw</v>
      </c>
      <c r="F5387" t="str">
        <f>"INTENS READ 1"</f>
        <v>INTENS READ 1</v>
      </c>
      <c r="G5387" t="str">
        <f>"17-1723"</f>
        <v>17-1723</v>
      </c>
      <c r="H5387" t="str">
        <f>"B"</f>
        <v>B</v>
      </c>
    </row>
    <row r="5388" spans="1:8" x14ac:dyDescent="0.2">
      <c r="A5388" t="str">
        <f t="shared" si="1982"/>
        <v>0615025897</v>
      </c>
      <c r="B5388" t="str">
        <f t="shared" si="1983"/>
        <v>ELIZABETH</v>
      </c>
      <c r="C5388" t="str">
        <f t="shared" si="1984"/>
        <v>FENELON</v>
      </c>
      <c r="D5388" t="str">
        <f t="shared" si="1985"/>
        <v>09</v>
      </c>
      <c r="E5388" t="str">
        <f>"03 - A - 105 - Elizabeth Ellen  Moran"</f>
        <v>03 - A - 105 - Elizabeth Ellen  Moran</v>
      </c>
      <c r="F5388" t="str">
        <f>"WORLD HISTORY"</f>
        <v>WORLD HISTORY</v>
      </c>
      <c r="G5388" t="str">
        <f>"17-1752"</f>
        <v>17-1752</v>
      </c>
      <c r="H5388" t="str">
        <f>"A"</f>
        <v>A</v>
      </c>
    </row>
    <row r="5389" spans="1:8" x14ac:dyDescent="0.2">
      <c r="A5389" t="str">
        <f t="shared" si="1982"/>
        <v>0615025897</v>
      </c>
      <c r="B5389" t="str">
        <f t="shared" si="1983"/>
        <v>ELIZABETH</v>
      </c>
      <c r="C5389" t="str">
        <f t="shared" si="1984"/>
        <v>FENELON</v>
      </c>
      <c r="D5389" t="str">
        <f t="shared" si="1985"/>
        <v>09</v>
      </c>
      <c r="E5389" t="str">
        <f>"02 - A - 111 - Cheryl L Beach"</f>
        <v>02 - A - 111 - Cheryl L Beach</v>
      </c>
      <c r="F5389" t="str">
        <f>"NC STUDY HALL 1"</f>
        <v>NC STUDY HALL 1</v>
      </c>
      <c r="G5389" t="str">
        <f>"08-811"</f>
        <v>08-811</v>
      </c>
      <c r="H5389" t="str">
        <f>"A"</f>
        <v>A</v>
      </c>
    </row>
    <row r="5390" spans="1:8" x14ac:dyDescent="0.2">
      <c r="A5390" t="str">
        <f t="shared" si="1982"/>
        <v>0615025897</v>
      </c>
      <c r="B5390" t="str">
        <f t="shared" si="1983"/>
        <v>ELIZABETH</v>
      </c>
      <c r="C5390" t="str">
        <f t="shared" si="1984"/>
        <v>FENELON</v>
      </c>
      <c r="D5390" t="str">
        <f t="shared" si="1985"/>
        <v>09</v>
      </c>
      <c r="E5390" t="str">
        <f>"07 - B - 003 - Samantha J Headley"</f>
        <v>07 - B - 003 - Samantha J Headley</v>
      </c>
      <c r="F5390" t="str">
        <f>"ENV SCI"</f>
        <v>ENV SCI</v>
      </c>
      <c r="G5390" t="str">
        <f>"08-802"</f>
        <v>08-802</v>
      </c>
      <c r="H5390" t="str">
        <f>"B"</f>
        <v>B</v>
      </c>
    </row>
    <row r="5391" spans="1:8" x14ac:dyDescent="0.2">
      <c r="A5391" t="str">
        <f t="shared" si="1982"/>
        <v>0615025897</v>
      </c>
      <c r="B5391" t="str">
        <f t="shared" si="1983"/>
        <v>ELIZABETH</v>
      </c>
      <c r="C5391" t="str">
        <f t="shared" si="1984"/>
        <v>FENELON</v>
      </c>
      <c r="D5391" t="str">
        <f t="shared" si="1985"/>
        <v>09</v>
      </c>
      <c r="E5391" t="str">
        <f>"05 - B - 105 - Adam Marcus  Drucker"</f>
        <v>05 - B - 105 - Adam Marcus  Drucker</v>
      </c>
      <c r="F5391" t="str">
        <f>"HOPE-PE V"</f>
        <v>HOPE-PE V</v>
      </c>
      <c r="G5391" t="str">
        <f>"04-254"</f>
        <v>04-254</v>
      </c>
      <c r="H5391" t="str">
        <f>"B"</f>
        <v>B</v>
      </c>
    </row>
    <row r="5392" spans="1:8" x14ac:dyDescent="0.2">
      <c r="A5392" t="str">
        <f t="shared" si="1982"/>
        <v>0615025897</v>
      </c>
      <c r="B5392" t="str">
        <f t="shared" si="1983"/>
        <v>ELIZABETH</v>
      </c>
      <c r="C5392" t="str">
        <f t="shared" si="1984"/>
        <v>FENELON</v>
      </c>
      <c r="D5392" t="str">
        <f t="shared" si="1985"/>
        <v>09</v>
      </c>
      <c r="E5392" t="str">
        <f>"01 - A - 101 - Cerine S Stewart"</f>
        <v>01 - A - 101 - Cerine S Stewart</v>
      </c>
      <c r="F5392" t="str">
        <f>"ENG 1"</f>
        <v>ENG 1</v>
      </c>
      <c r="G5392" t="str">
        <f>"17-1720"</f>
        <v>17-1720</v>
      </c>
      <c r="H5392" t="str">
        <f>"A"</f>
        <v>A</v>
      </c>
    </row>
    <row r="5393" spans="1:8" x14ac:dyDescent="0.2">
      <c r="A5393" t="str">
        <f t="shared" si="1982"/>
        <v>0615025897</v>
      </c>
      <c r="B5393" t="str">
        <f t="shared" si="1983"/>
        <v>ELIZABETH</v>
      </c>
      <c r="C5393" t="str">
        <f t="shared" si="1984"/>
        <v>FENELON</v>
      </c>
      <c r="D5393" t="str">
        <f t="shared" si="1985"/>
        <v>09</v>
      </c>
      <c r="E5393" t="str">
        <f>"08 - B - 108 - Tina L Lovett"</f>
        <v>08 - B - 108 - Tina L Lovett</v>
      </c>
      <c r="F5393" t="str">
        <f>"FDN SKLS MATH 9-12"</f>
        <v>FDN SKLS MATH 9-12</v>
      </c>
      <c r="G5393" t="str">
        <f>"21-2153"</f>
        <v>21-2153</v>
      </c>
      <c r="H5393" t="str">
        <f>"B"</f>
        <v>B</v>
      </c>
    </row>
    <row r="5394" spans="1:8" x14ac:dyDescent="0.2">
      <c r="A5394" t="str">
        <f t="shared" ref="A5394:A5401" si="1986">"0614071249"</f>
        <v>0614071249</v>
      </c>
      <c r="B5394" t="str">
        <f t="shared" ref="B5394:B5401" si="1987">"ISAIAH"</f>
        <v>ISAIAH</v>
      </c>
      <c r="C5394" t="str">
        <f t="shared" si="1984"/>
        <v>FENELON</v>
      </c>
      <c r="D5394">
        <f>10</f>
        <v>10</v>
      </c>
      <c r="E5394" t="str">
        <f>"04 - A - 105 - Jacquelyn M Neeson"</f>
        <v>04 - A - 105 - Jacquelyn M Neeson</v>
      </c>
      <c r="F5394" t="str">
        <f>"ENG 2"</f>
        <v>ENG 2</v>
      </c>
      <c r="G5394" t="str">
        <f>"17-1715"</f>
        <v>17-1715</v>
      </c>
      <c r="H5394" t="str">
        <f>"A"</f>
        <v>A</v>
      </c>
    </row>
    <row r="5395" spans="1:8" x14ac:dyDescent="0.2">
      <c r="A5395" t="str">
        <f t="shared" si="1986"/>
        <v>0614071249</v>
      </c>
      <c r="B5395" t="str">
        <f t="shared" si="1987"/>
        <v>ISAIAH</v>
      </c>
      <c r="C5395" t="str">
        <f t="shared" si="1984"/>
        <v>FENELON</v>
      </c>
      <c r="D5395">
        <f>10</f>
        <v>10</v>
      </c>
      <c r="E5395" t="str">
        <f>"06 - B - 118 - Jeanne M Bermudez"</f>
        <v>06 - B - 118 - Jeanne M Bermudez</v>
      </c>
      <c r="F5395" t="str">
        <f>"NC STUDY HALL 1"</f>
        <v>NC STUDY HALL 1</v>
      </c>
      <c r="G5395" t="str">
        <f>"21-2141"</f>
        <v>21-2141</v>
      </c>
      <c r="H5395" t="str">
        <f>"B"</f>
        <v>B</v>
      </c>
    </row>
    <row r="5396" spans="1:8" x14ac:dyDescent="0.2">
      <c r="A5396" t="str">
        <f t="shared" si="1986"/>
        <v>0614071249</v>
      </c>
      <c r="B5396" t="str">
        <f t="shared" si="1987"/>
        <v>ISAIAH</v>
      </c>
      <c r="C5396" t="str">
        <f t="shared" si="1984"/>
        <v>FENELON</v>
      </c>
      <c r="D5396">
        <f>10</f>
        <v>10</v>
      </c>
      <c r="E5396" t="str">
        <f>"03 - A - 103 - Marius D Orsolini"</f>
        <v>03 - A - 103 - Marius D Orsolini</v>
      </c>
      <c r="F5396" t="str">
        <f>"CULINARY ARTS 1"</f>
        <v>CULINARY ARTS 1</v>
      </c>
      <c r="G5396" t="str">
        <f>"21-2115"</f>
        <v>21-2115</v>
      </c>
      <c r="H5396" t="str">
        <f>"A"</f>
        <v>A</v>
      </c>
    </row>
    <row r="5397" spans="1:8" x14ac:dyDescent="0.2">
      <c r="A5397" t="str">
        <f t="shared" si="1986"/>
        <v>0614071249</v>
      </c>
      <c r="B5397" t="str">
        <f t="shared" si="1987"/>
        <v>ISAIAH</v>
      </c>
      <c r="C5397" t="str">
        <f t="shared" si="1984"/>
        <v>FENELON</v>
      </c>
      <c r="D5397">
        <f>10</f>
        <v>10</v>
      </c>
      <c r="E5397" t="str">
        <f>"02 - S1 - A - 102 - Richard E Dunbar Iii"</f>
        <v>02 - S1 - A - 102 - Richard E Dunbar Iii</v>
      </c>
      <c r="F5397" t="str">
        <f>"WEIGHT TRAIN 1"</f>
        <v>WEIGHT TRAIN 1</v>
      </c>
      <c r="G5397" t="str">
        <f>"05-501"</f>
        <v>05-501</v>
      </c>
      <c r="H5397" t="str">
        <f>"A"</f>
        <v>A</v>
      </c>
    </row>
    <row r="5398" spans="1:8" x14ac:dyDescent="0.2">
      <c r="A5398" t="str">
        <f t="shared" si="1986"/>
        <v>0614071249</v>
      </c>
      <c r="B5398" t="str">
        <f t="shared" si="1987"/>
        <v>ISAIAH</v>
      </c>
      <c r="C5398" t="str">
        <f t="shared" si="1984"/>
        <v>FENELON</v>
      </c>
      <c r="D5398">
        <f>10</f>
        <v>10</v>
      </c>
      <c r="E5398" t="str">
        <f>"07 - B - 106 - Taraneh C Abreu"</f>
        <v>07 - B - 106 - Taraneh C Abreu</v>
      </c>
      <c r="F5398" t="str">
        <f>"INTENS READ 2"</f>
        <v>INTENS READ 2</v>
      </c>
      <c r="G5398" t="str">
        <f>"17-1713"</f>
        <v>17-1713</v>
      </c>
      <c r="H5398" t="str">
        <f>"B"</f>
        <v>B</v>
      </c>
    </row>
    <row r="5399" spans="1:8" x14ac:dyDescent="0.2">
      <c r="A5399" t="str">
        <f t="shared" si="1986"/>
        <v>0614071249</v>
      </c>
      <c r="B5399" t="str">
        <f t="shared" si="1987"/>
        <v>ISAIAH</v>
      </c>
      <c r="C5399" t="str">
        <f t="shared" si="1984"/>
        <v>FENELON</v>
      </c>
      <c r="D5399">
        <f>10</f>
        <v>10</v>
      </c>
      <c r="E5399" t="str">
        <f>"05 - B - 106 - Milca  Exantus"</f>
        <v>05 - B - 106 - Milca  Exantus</v>
      </c>
      <c r="F5399" t="str">
        <f>"MATH COLLEGE LIB ART"</f>
        <v>MATH COLLEGE LIB ART</v>
      </c>
      <c r="G5399" t="str">
        <f>"21-2145"</f>
        <v>21-2145</v>
      </c>
      <c r="H5399" t="str">
        <f>"B"</f>
        <v>B</v>
      </c>
    </row>
    <row r="5400" spans="1:8" x14ac:dyDescent="0.2">
      <c r="A5400" t="str">
        <f t="shared" si="1986"/>
        <v>0614071249</v>
      </c>
      <c r="B5400" t="str">
        <f t="shared" si="1987"/>
        <v>ISAIAH</v>
      </c>
      <c r="C5400" t="str">
        <f t="shared" si="1984"/>
        <v>FENELON</v>
      </c>
      <c r="D5400">
        <f>10</f>
        <v>10</v>
      </c>
      <c r="E5400" t="str">
        <f>"01 - A - 101 - Samantha L Martinez"</f>
        <v>01 - A - 101 - Samantha L Martinez</v>
      </c>
      <c r="F5400" t="str">
        <f>"MUSIC WORLD"</f>
        <v>MUSIC WORLD</v>
      </c>
      <c r="G5400" t="str">
        <f>"05-505"</f>
        <v>05-505</v>
      </c>
      <c r="H5400" t="str">
        <f>"A"</f>
        <v>A</v>
      </c>
    </row>
    <row r="5401" spans="1:8" x14ac:dyDescent="0.2">
      <c r="A5401" t="str">
        <f t="shared" si="1986"/>
        <v>0614071249</v>
      </c>
      <c r="B5401" t="str">
        <f t="shared" si="1987"/>
        <v>ISAIAH</v>
      </c>
      <c r="C5401" t="str">
        <f t="shared" si="1984"/>
        <v>FENELON</v>
      </c>
      <c r="D5401">
        <f>10</f>
        <v>10</v>
      </c>
      <c r="E5401" t="str">
        <f>"08 - B - 001 - Lytrell T Dixon"</f>
        <v>08 - B - 001 - Lytrell T Dixon</v>
      </c>
      <c r="F5401" t="str">
        <f>"BIOLOGY 1"</f>
        <v>BIOLOGY 1</v>
      </c>
      <c r="G5401" t="str">
        <f>"08-808"</f>
        <v>08-808</v>
      </c>
      <c r="H5401" t="str">
        <f>"B"</f>
        <v>B</v>
      </c>
    </row>
    <row r="5402" spans="1:8" x14ac:dyDescent="0.2">
      <c r="A5402" t="str">
        <f t="shared" ref="A5402:A5409" si="1988">"0616049355"</f>
        <v>0616049355</v>
      </c>
      <c r="B5402" t="str">
        <f t="shared" ref="B5402:B5409" si="1989">"JAMARI"</f>
        <v>JAMARI</v>
      </c>
      <c r="C5402" t="str">
        <f t="shared" ref="C5402:C5409" si="1990">"FENELUS"</f>
        <v>FENELUS</v>
      </c>
      <c r="D5402">
        <f>10</f>
        <v>10</v>
      </c>
      <c r="E5402" t="str">
        <f>"04 - A - 103 - Cliffon  Saurel"</f>
        <v>04 - A - 103 - Cliffon  Saurel</v>
      </c>
      <c r="F5402" t="str">
        <f>"PHYSICAL SCI"</f>
        <v>PHYSICAL SCI</v>
      </c>
      <c r="G5402" t="str">
        <f>"05-522"</f>
        <v>05-522</v>
      </c>
      <c r="H5402" t="str">
        <f>"A"</f>
        <v>A</v>
      </c>
    </row>
    <row r="5403" spans="1:8" x14ac:dyDescent="0.2">
      <c r="A5403" t="str">
        <f t="shared" si="1988"/>
        <v>0616049355</v>
      </c>
      <c r="B5403" t="str">
        <f t="shared" si="1989"/>
        <v>JAMARI</v>
      </c>
      <c r="C5403" t="str">
        <f t="shared" si="1990"/>
        <v>FENELUS</v>
      </c>
      <c r="D5403">
        <f>10</f>
        <v>10</v>
      </c>
      <c r="E5403" t="str">
        <f>"06 - B - 004 - Robert O Burger"</f>
        <v>06 - B - 004 - Robert O Burger</v>
      </c>
      <c r="F5403" t="str">
        <f>"NC STUDY HALL 1"</f>
        <v>NC STUDY HALL 1</v>
      </c>
      <c r="G5403" t="str">
        <f>"17-1755"</f>
        <v>17-1755</v>
      </c>
      <c r="H5403" t="str">
        <f>"B"</f>
        <v>B</v>
      </c>
    </row>
    <row r="5404" spans="1:8" x14ac:dyDescent="0.2">
      <c r="A5404" t="str">
        <f t="shared" si="1988"/>
        <v>0616049355</v>
      </c>
      <c r="B5404" t="str">
        <f t="shared" si="1989"/>
        <v>JAMARI</v>
      </c>
      <c r="C5404" t="str">
        <f t="shared" si="1990"/>
        <v>FENELUS</v>
      </c>
      <c r="D5404">
        <f>10</f>
        <v>10</v>
      </c>
      <c r="E5404" t="str">
        <f>"03 - A - 103 - Jacquelyn M Neeson"</f>
        <v>03 - A - 103 - Jacquelyn M Neeson</v>
      </c>
      <c r="F5404" t="str">
        <f>"ENG 2"</f>
        <v>ENG 2</v>
      </c>
      <c r="G5404" t="str">
        <f>"17-1715"</f>
        <v>17-1715</v>
      </c>
      <c r="H5404" t="str">
        <f>"A"</f>
        <v>A</v>
      </c>
    </row>
    <row r="5405" spans="1:8" x14ac:dyDescent="0.2">
      <c r="A5405" t="str">
        <f t="shared" si="1988"/>
        <v>0616049355</v>
      </c>
      <c r="B5405" t="str">
        <f t="shared" si="1989"/>
        <v>JAMARI</v>
      </c>
      <c r="C5405" t="str">
        <f t="shared" si="1990"/>
        <v>FENELUS</v>
      </c>
      <c r="D5405">
        <f>10</f>
        <v>10</v>
      </c>
      <c r="E5405" t="str">
        <f>"02 - S1 - A - 102 - Richard E Dunbar Iii"</f>
        <v>02 - S1 - A - 102 - Richard E Dunbar Iii</v>
      </c>
      <c r="F5405" t="str">
        <f>"WEIGHT TRAIN 1"</f>
        <v>WEIGHT TRAIN 1</v>
      </c>
      <c r="G5405" t="str">
        <f>"05-501"</f>
        <v>05-501</v>
      </c>
      <c r="H5405" t="str">
        <f>"A"</f>
        <v>A</v>
      </c>
    </row>
    <row r="5406" spans="1:8" x14ac:dyDescent="0.2">
      <c r="A5406" t="str">
        <f t="shared" si="1988"/>
        <v>0616049355</v>
      </c>
      <c r="B5406" t="str">
        <f t="shared" si="1989"/>
        <v>JAMARI</v>
      </c>
      <c r="C5406" t="str">
        <f t="shared" si="1990"/>
        <v>FENELUS</v>
      </c>
      <c r="D5406">
        <f>10</f>
        <v>10</v>
      </c>
      <c r="E5406" t="str">
        <f>"07 - B - 107 - Milca  Exantus"</f>
        <v>07 - B - 107 - Milca  Exantus</v>
      </c>
      <c r="F5406" t="str">
        <f>"MATH COLLEGE LIB ART"</f>
        <v>MATH COLLEGE LIB ART</v>
      </c>
      <c r="G5406" t="str">
        <f>"21-2145"</f>
        <v>21-2145</v>
      </c>
      <c r="H5406" t="str">
        <f>"B"</f>
        <v>B</v>
      </c>
    </row>
    <row r="5407" spans="1:8" x14ac:dyDescent="0.2">
      <c r="A5407" t="str">
        <f t="shared" si="1988"/>
        <v>0616049355</v>
      </c>
      <c r="B5407" t="str">
        <f t="shared" si="1989"/>
        <v>JAMARI</v>
      </c>
      <c r="C5407" t="str">
        <f t="shared" si="1990"/>
        <v>FENELUS</v>
      </c>
      <c r="D5407">
        <f>10</f>
        <v>10</v>
      </c>
      <c r="E5407" t="str">
        <f>"05 - B - 105 - Taraneh C Abreu"</f>
        <v>05 - B - 105 - Taraneh C Abreu</v>
      </c>
      <c r="F5407" t="str">
        <f>"INTENS READ 2"</f>
        <v>INTENS READ 2</v>
      </c>
      <c r="G5407" t="str">
        <f>"17-1713"</f>
        <v>17-1713</v>
      </c>
      <c r="H5407" t="str">
        <f>"B"</f>
        <v>B</v>
      </c>
    </row>
    <row r="5408" spans="1:8" x14ac:dyDescent="0.2">
      <c r="A5408" t="str">
        <f t="shared" si="1988"/>
        <v>0616049355</v>
      </c>
      <c r="B5408" t="str">
        <f t="shared" si="1989"/>
        <v>JAMARI</v>
      </c>
      <c r="C5408" t="str">
        <f t="shared" si="1990"/>
        <v>FENELUS</v>
      </c>
      <c r="D5408">
        <f>10</f>
        <v>10</v>
      </c>
      <c r="E5408" t="str">
        <f>"01 - A - 101 - Angela S Adeshina-Morrison"</f>
        <v>01 - A - 101 - Angela S Adeshina-Morrison</v>
      </c>
      <c r="F5408" t="str">
        <f>"MARKETING ESSENTIALS"</f>
        <v>MARKETING ESSENTIALS</v>
      </c>
      <c r="G5408" t="str">
        <f>"05-518"</f>
        <v>05-518</v>
      </c>
      <c r="H5408" t="str">
        <f>"A"</f>
        <v>A</v>
      </c>
    </row>
    <row r="5409" spans="1:8" x14ac:dyDescent="0.2">
      <c r="A5409" t="str">
        <f t="shared" si="1988"/>
        <v>0616049355</v>
      </c>
      <c r="B5409" t="str">
        <f t="shared" si="1989"/>
        <v>JAMARI</v>
      </c>
      <c r="C5409" t="str">
        <f t="shared" si="1990"/>
        <v>FENELUS</v>
      </c>
      <c r="D5409">
        <f>10</f>
        <v>10</v>
      </c>
      <c r="E5409" t="str">
        <f>"08 - S1 - B - 105 - James H Mccann"</f>
        <v>08 - S1 - B - 105 - James H Mccann</v>
      </c>
      <c r="F5409" t="str">
        <f>"PERS FIN &amp; MON MGT H"</f>
        <v>PERS FIN &amp; MON MGT H</v>
      </c>
      <c r="G5409" t="str">
        <f>"17-1716"</f>
        <v>17-1716</v>
      </c>
      <c r="H5409" t="str">
        <f>"B"</f>
        <v>B</v>
      </c>
    </row>
    <row r="5410" spans="1:8" x14ac:dyDescent="0.2">
      <c r="A5410" t="str">
        <f t="shared" ref="A5410:A5417" si="1991">"0617075593"</f>
        <v>0617075593</v>
      </c>
      <c r="B5410" t="str">
        <f t="shared" ref="B5410:B5417" si="1992">"GABRIELLA"</f>
        <v>GABRIELLA</v>
      </c>
      <c r="C5410" t="str">
        <f t="shared" ref="C5410:C5425" si="1993">"FENNEL"</f>
        <v>FENNEL</v>
      </c>
      <c r="D5410" t="str">
        <f t="shared" ref="D5410:D5425" si="1994">"09"</f>
        <v>09</v>
      </c>
      <c r="E5410" t="str">
        <f>"04 - S1 - A - 101 - Kyle  Robbins"</f>
        <v>04 - S1 - A - 101 - Kyle  Robbins</v>
      </c>
      <c r="F5410" t="str">
        <f>"PERS FIN &amp; MON MGT H"</f>
        <v>PERS FIN &amp; MON MGT H</v>
      </c>
      <c r="G5410" t="str">
        <f>"17-1745"</f>
        <v>17-1745</v>
      </c>
      <c r="H5410" t="str">
        <f>"A"</f>
        <v>A</v>
      </c>
    </row>
    <row r="5411" spans="1:8" x14ac:dyDescent="0.2">
      <c r="A5411" t="str">
        <f t="shared" si="1991"/>
        <v>0617075593</v>
      </c>
      <c r="B5411" t="str">
        <f t="shared" si="1992"/>
        <v>GABRIELLA</v>
      </c>
      <c r="C5411" t="str">
        <f t="shared" si="1993"/>
        <v>FENNEL</v>
      </c>
      <c r="D5411" t="str">
        <f t="shared" si="1994"/>
        <v>09</v>
      </c>
      <c r="E5411" t="str">
        <f>"06 - B - 104 - Byron G Montenegro"</f>
        <v>06 - B - 104 - Byron G Montenegro</v>
      </c>
      <c r="F5411" t="str">
        <f>"AICE MARINE SCI 1 AS"</f>
        <v>AICE MARINE SCI 1 AS</v>
      </c>
      <c r="G5411" t="str">
        <f>"21-2144"</f>
        <v>21-2144</v>
      </c>
      <c r="H5411" t="str">
        <f>"B"</f>
        <v>B</v>
      </c>
    </row>
    <row r="5412" spans="1:8" x14ac:dyDescent="0.2">
      <c r="A5412" t="str">
        <f t="shared" si="1991"/>
        <v>0617075593</v>
      </c>
      <c r="B5412" t="str">
        <f t="shared" si="1992"/>
        <v>GABRIELLA</v>
      </c>
      <c r="C5412" t="str">
        <f t="shared" si="1993"/>
        <v>FENNEL</v>
      </c>
      <c r="D5412" t="str">
        <f t="shared" si="1994"/>
        <v>09</v>
      </c>
      <c r="E5412" t="str">
        <f>"03 - A - 103 - Adam Marcus  Drucker"</f>
        <v>03 - A - 103 - Adam Marcus  Drucker</v>
      </c>
      <c r="F5412" t="str">
        <f>"HOPE-PE V"</f>
        <v>HOPE-PE V</v>
      </c>
      <c r="G5412" t="str">
        <f>"04-254"</f>
        <v>04-254</v>
      </c>
      <c r="H5412" t="str">
        <f>"A"</f>
        <v>A</v>
      </c>
    </row>
    <row r="5413" spans="1:8" x14ac:dyDescent="0.2">
      <c r="A5413" t="str">
        <f t="shared" si="1991"/>
        <v>0617075593</v>
      </c>
      <c r="B5413" t="str">
        <f t="shared" si="1992"/>
        <v>GABRIELLA</v>
      </c>
      <c r="C5413" t="str">
        <f t="shared" si="1993"/>
        <v>FENNEL</v>
      </c>
      <c r="D5413" t="str">
        <f t="shared" si="1994"/>
        <v>09</v>
      </c>
      <c r="E5413" t="str">
        <f>"02 - A - 104 - Lytrell T Dixon"</f>
        <v>02 - A - 104 - Lytrell T Dixon</v>
      </c>
      <c r="F5413" t="str">
        <f>"NC STUDY HALL 1"</f>
        <v>NC STUDY HALL 1</v>
      </c>
      <c r="G5413" t="str">
        <f>"08-808"</f>
        <v>08-808</v>
      </c>
      <c r="H5413" t="str">
        <f>"A"</f>
        <v>A</v>
      </c>
    </row>
    <row r="5414" spans="1:8" x14ac:dyDescent="0.2">
      <c r="A5414" t="str">
        <f t="shared" si="1991"/>
        <v>0617075593</v>
      </c>
      <c r="B5414" t="str">
        <f t="shared" si="1992"/>
        <v>GABRIELLA</v>
      </c>
      <c r="C5414" t="str">
        <f t="shared" si="1993"/>
        <v>FENNEL</v>
      </c>
      <c r="D5414" t="str">
        <f t="shared" si="1994"/>
        <v>09</v>
      </c>
      <c r="E5414" t="str">
        <f>"07 - B - 001 - Cheryl Anne  Berman-Schechter"</f>
        <v>07 - B - 001 - Cheryl Anne  Berman-Schechter</v>
      </c>
      <c r="F5414" t="str">
        <f>"AICE ENG GEN PAPER 1"</f>
        <v>AICE ENG GEN PAPER 1</v>
      </c>
      <c r="G5414" t="str">
        <f>"17-1722"</f>
        <v>17-1722</v>
      </c>
      <c r="H5414" t="str">
        <f>"B"</f>
        <v>B</v>
      </c>
    </row>
    <row r="5415" spans="1:8" x14ac:dyDescent="0.2">
      <c r="A5415" t="str">
        <f t="shared" si="1991"/>
        <v>0617075593</v>
      </c>
      <c r="B5415" t="str">
        <f t="shared" si="1992"/>
        <v>GABRIELLA</v>
      </c>
      <c r="C5415" t="str">
        <f t="shared" si="1993"/>
        <v>FENNEL</v>
      </c>
      <c r="D5415" t="str">
        <f t="shared" si="1994"/>
        <v>09</v>
      </c>
      <c r="E5415" t="str">
        <f>"05 - B - 102 - Tina L Lovett"</f>
        <v>05 - B - 102 - Tina L Lovett</v>
      </c>
      <c r="F5415" t="str">
        <f>"PRE-AICE MATH 1 IG"</f>
        <v>PRE-AICE MATH 1 IG</v>
      </c>
      <c r="G5415" t="str">
        <f>"21-2153"</f>
        <v>21-2153</v>
      </c>
      <c r="H5415" t="str">
        <f>"B"</f>
        <v>B</v>
      </c>
    </row>
    <row r="5416" spans="1:8" x14ac:dyDescent="0.2">
      <c r="A5416" t="str">
        <f t="shared" si="1991"/>
        <v>0617075593</v>
      </c>
      <c r="B5416" t="str">
        <f t="shared" si="1992"/>
        <v>GABRIELLA</v>
      </c>
      <c r="C5416" t="str">
        <f t="shared" si="1993"/>
        <v>FENNEL</v>
      </c>
      <c r="D5416" t="str">
        <f t="shared" si="1994"/>
        <v>09</v>
      </c>
      <c r="E5416" t="str">
        <f>"01 - A - 201 - Daniel S Tyson"</f>
        <v>01 - A - 201 - Daniel S Tyson</v>
      </c>
      <c r="F5416" t="str">
        <f>"JROTC NAVAL SCI 1"</f>
        <v>JROTC NAVAL SCI 1</v>
      </c>
      <c r="G5416" t="str">
        <f>"05-510"</f>
        <v>05-510</v>
      </c>
      <c r="H5416" t="str">
        <f>"A"</f>
        <v>A</v>
      </c>
    </row>
    <row r="5417" spans="1:8" x14ac:dyDescent="0.2">
      <c r="A5417" t="str">
        <f t="shared" si="1991"/>
        <v>0617075593</v>
      </c>
      <c r="B5417" t="str">
        <f t="shared" si="1992"/>
        <v>GABRIELLA</v>
      </c>
      <c r="C5417" t="str">
        <f t="shared" si="1993"/>
        <v>FENNEL</v>
      </c>
      <c r="D5417" t="str">
        <f t="shared" si="1994"/>
        <v>09</v>
      </c>
      <c r="E5417" t="str">
        <f>"08 - B - 201 - Vanessa J Liburd"</f>
        <v>08 - B - 201 - Vanessa J Liburd</v>
      </c>
      <c r="F5417" t="str">
        <f>"FRENCH 3 HON"</f>
        <v>FRENCH 3 HON</v>
      </c>
      <c r="G5417" t="str">
        <f>"05-519"</f>
        <v>05-519</v>
      </c>
      <c r="H5417" t="str">
        <f>"B"</f>
        <v>B</v>
      </c>
    </row>
    <row r="5418" spans="1:8" x14ac:dyDescent="0.2">
      <c r="A5418" t="str">
        <f t="shared" ref="A5418:A5425" si="1995">"0617075629"</f>
        <v>0617075629</v>
      </c>
      <c r="B5418" t="str">
        <f t="shared" ref="B5418:B5425" si="1996">"NOAH"</f>
        <v>NOAH</v>
      </c>
      <c r="C5418" t="str">
        <f t="shared" si="1993"/>
        <v>FENNEL</v>
      </c>
      <c r="D5418" t="str">
        <f t="shared" si="1994"/>
        <v>09</v>
      </c>
      <c r="E5418" t="str">
        <f>"04 - A - 004 - Krystal Marie  Beruty"</f>
        <v>04 - A - 004 - Krystal Marie  Beruty</v>
      </c>
      <c r="F5418" t="str">
        <f>"AICE GLBL PERSP 1 AS"</f>
        <v>AICE GLBL PERSP 1 AS</v>
      </c>
      <c r="G5418" t="str">
        <f>"17-1721"</f>
        <v>17-1721</v>
      </c>
      <c r="H5418" t="str">
        <f>"A"</f>
        <v>A</v>
      </c>
    </row>
    <row r="5419" spans="1:8" x14ac:dyDescent="0.2">
      <c r="A5419" t="str">
        <f t="shared" si="1995"/>
        <v>0617075629</v>
      </c>
      <c r="B5419" t="str">
        <f t="shared" si="1996"/>
        <v>NOAH</v>
      </c>
      <c r="C5419" t="str">
        <f t="shared" si="1993"/>
        <v>FENNEL</v>
      </c>
      <c r="D5419" t="str">
        <f t="shared" si="1994"/>
        <v>09</v>
      </c>
      <c r="E5419" t="str">
        <f>"06 - B - 104 - Byron G Montenegro"</f>
        <v>06 - B - 104 - Byron G Montenegro</v>
      </c>
      <c r="F5419" t="str">
        <f>"AICE MARINE SCI 1 AS"</f>
        <v>AICE MARINE SCI 1 AS</v>
      </c>
      <c r="G5419" t="str">
        <f>"21-2144"</f>
        <v>21-2144</v>
      </c>
      <c r="H5419" t="str">
        <f>"B"</f>
        <v>B</v>
      </c>
    </row>
    <row r="5420" spans="1:8" x14ac:dyDescent="0.2">
      <c r="A5420" t="str">
        <f t="shared" si="1995"/>
        <v>0617075629</v>
      </c>
      <c r="B5420" t="str">
        <f t="shared" si="1996"/>
        <v>NOAH</v>
      </c>
      <c r="C5420" t="str">
        <f t="shared" si="1993"/>
        <v>FENNEL</v>
      </c>
      <c r="D5420" t="str">
        <f t="shared" si="1994"/>
        <v>09</v>
      </c>
      <c r="E5420" t="str">
        <f>"03 - A - 101 - Jazmin S Fletcher"</f>
        <v>03 - A - 101 - Jazmin S Fletcher</v>
      </c>
      <c r="F5420" t="str">
        <f>"TECH THEA DES&amp;PROD 1"</f>
        <v>TECH THEA DES&amp;PROD 1</v>
      </c>
      <c r="G5420" t="str">
        <f>"09-909"</f>
        <v>09-909</v>
      </c>
      <c r="H5420" t="str">
        <f>"A"</f>
        <v>A</v>
      </c>
    </row>
    <row r="5421" spans="1:8" x14ac:dyDescent="0.2">
      <c r="A5421" t="str">
        <f t="shared" si="1995"/>
        <v>0617075629</v>
      </c>
      <c r="B5421" t="str">
        <f t="shared" si="1996"/>
        <v>NOAH</v>
      </c>
      <c r="C5421" t="str">
        <f t="shared" si="1993"/>
        <v>FENNEL</v>
      </c>
      <c r="D5421" t="str">
        <f t="shared" si="1994"/>
        <v>09</v>
      </c>
      <c r="E5421" t="str">
        <f>"02 - A - 107 - Cerine S Stewart"</f>
        <v>02 - A - 107 - Cerine S Stewart</v>
      </c>
      <c r="F5421" t="str">
        <f>"NC STUDY HALL 1"</f>
        <v>NC STUDY HALL 1</v>
      </c>
      <c r="G5421" t="str">
        <f>"17-1720"</f>
        <v>17-1720</v>
      </c>
      <c r="H5421" t="str">
        <f>"A"</f>
        <v>A</v>
      </c>
    </row>
    <row r="5422" spans="1:8" x14ac:dyDescent="0.2">
      <c r="A5422" t="str">
        <f t="shared" si="1995"/>
        <v>0617075629</v>
      </c>
      <c r="B5422" t="str">
        <f t="shared" si="1996"/>
        <v>NOAH</v>
      </c>
      <c r="C5422" t="str">
        <f t="shared" si="1993"/>
        <v>FENNEL</v>
      </c>
      <c r="D5422" t="str">
        <f t="shared" si="1994"/>
        <v>09</v>
      </c>
      <c r="E5422" t="str">
        <f>"07 - B - 003 - Brandy N Zdenek"</f>
        <v>07 - B - 003 - Brandy N Zdenek</v>
      </c>
      <c r="F5422" t="str">
        <f>"AICE ENG GEN PAPER 1"</f>
        <v>AICE ENG GEN PAPER 1</v>
      </c>
      <c r="G5422" t="str">
        <f>"17-1704"</f>
        <v>17-1704</v>
      </c>
      <c r="H5422" t="str">
        <f>"B"</f>
        <v>B</v>
      </c>
    </row>
    <row r="5423" spans="1:8" x14ac:dyDescent="0.2">
      <c r="A5423" t="str">
        <f t="shared" si="1995"/>
        <v>0617075629</v>
      </c>
      <c r="B5423" t="str">
        <f t="shared" si="1996"/>
        <v>NOAH</v>
      </c>
      <c r="C5423" t="str">
        <f t="shared" si="1993"/>
        <v>FENNEL</v>
      </c>
      <c r="D5423" t="str">
        <f t="shared" si="1994"/>
        <v>09</v>
      </c>
      <c r="E5423" t="str">
        <f>"05 - B - 102 - Tina L Lovett"</f>
        <v>05 - B - 102 - Tina L Lovett</v>
      </c>
      <c r="F5423" t="str">
        <f>"PRE-AICE MATH 1 IG"</f>
        <v>PRE-AICE MATH 1 IG</v>
      </c>
      <c r="G5423" t="str">
        <f>"21-2153"</f>
        <v>21-2153</v>
      </c>
      <c r="H5423" t="str">
        <f>"B"</f>
        <v>B</v>
      </c>
    </row>
    <row r="5424" spans="1:8" x14ac:dyDescent="0.2">
      <c r="A5424" t="str">
        <f t="shared" si="1995"/>
        <v>0617075629</v>
      </c>
      <c r="B5424" t="str">
        <f t="shared" si="1996"/>
        <v>NOAH</v>
      </c>
      <c r="C5424" t="str">
        <f t="shared" si="1993"/>
        <v>FENNEL</v>
      </c>
      <c r="D5424" t="str">
        <f t="shared" si="1994"/>
        <v>09</v>
      </c>
      <c r="E5424" t="str">
        <f>"01 - A - 101 - Nikiel  Nesbeth"</f>
        <v>01 - A - 101 - Nikiel  Nesbeth</v>
      </c>
      <c r="F5424" t="str">
        <f>"CONST LAW HON"</f>
        <v>CONST LAW HON</v>
      </c>
      <c r="G5424" t="str">
        <f>"17-1705"</f>
        <v>17-1705</v>
      </c>
      <c r="H5424" t="str">
        <f>"A"</f>
        <v>A</v>
      </c>
    </row>
    <row r="5425" spans="1:8" x14ac:dyDescent="0.2">
      <c r="A5425" t="str">
        <f t="shared" si="1995"/>
        <v>0617075629</v>
      </c>
      <c r="B5425" t="str">
        <f t="shared" si="1996"/>
        <v>NOAH</v>
      </c>
      <c r="C5425" t="str">
        <f t="shared" si="1993"/>
        <v>FENNEL</v>
      </c>
      <c r="D5425" t="str">
        <f t="shared" si="1994"/>
        <v>09</v>
      </c>
      <c r="E5425" t="str">
        <f>"08 - B - 001 - Chrystina M Marchionne"</f>
        <v>08 - B - 001 - Chrystina M Marchionne</v>
      </c>
      <c r="F5425" t="str">
        <f>"JOURN 1 (YB) LH"</f>
        <v>JOURN 1 (YB) LH</v>
      </c>
      <c r="G5425" t="str">
        <f>"05-520"</f>
        <v>05-520</v>
      </c>
      <c r="H5425" t="str">
        <f>"B"</f>
        <v>B</v>
      </c>
    </row>
    <row r="5426" spans="1:8" x14ac:dyDescent="0.2">
      <c r="A5426" t="str">
        <f t="shared" ref="A5426:A5433" si="1997">"0613109343"</f>
        <v>0613109343</v>
      </c>
      <c r="B5426" t="str">
        <f t="shared" ref="B5426:B5433" si="1998">"HAYDEN"</f>
        <v>HAYDEN</v>
      </c>
      <c r="C5426" t="str">
        <f t="shared" ref="C5426:C5441" si="1999">"FERENC"</f>
        <v>FERENC</v>
      </c>
      <c r="D5426">
        <f>12</f>
        <v>12</v>
      </c>
      <c r="E5426" t="str">
        <f>"04 - A - 101 - Stefanie S Scher"</f>
        <v>04 - A - 101 - Stefanie S Scher</v>
      </c>
      <c r="F5426" t="str">
        <f>"AP PSYCH"</f>
        <v>AP PSYCH</v>
      </c>
      <c r="G5426" t="str">
        <f>"17-1735"</f>
        <v>17-1735</v>
      </c>
      <c r="H5426" t="str">
        <f>"A"</f>
        <v>A</v>
      </c>
    </row>
    <row r="5427" spans="1:8" x14ac:dyDescent="0.2">
      <c r="A5427" t="str">
        <f t="shared" si="1997"/>
        <v>0613109343</v>
      </c>
      <c r="B5427" t="str">
        <f t="shared" si="1998"/>
        <v>HAYDEN</v>
      </c>
      <c r="C5427" t="str">
        <f t="shared" si="1999"/>
        <v>FERENC</v>
      </c>
      <c r="D5427">
        <f>12</f>
        <v>12</v>
      </c>
      <c r="E5427" t="str">
        <f>"06 - B - 101 - Cliffon  Saurel"</f>
        <v>06 - B - 101 - Cliffon  Saurel</v>
      </c>
      <c r="F5427" t="str">
        <f>"NC STUDY HALL 1"</f>
        <v>NC STUDY HALL 1</v>
      </c>
      <c r="G5427" t="str">
        <f>"05-522"</f>
        <v>05-522</v>
      </c>
      <c r="H5427" t="str">
        <f>"B"</f>
        <v>B</v>
      </c>
    </row>
    <row r="5428" spans="1:8" x14ac:dyDescent="0.2">
      <c r="A5428" t="str">
        <f t="shared" si="1997"/>
        <v>0613109343</v>
      </c>
      <c r="B5428" t="str">
        <f t="shared" si="1998"/>
        <v>HAYDEN</v>
      </c>
      <c r="C5428" t="str">
        <f t="shared" si="1999"/>
        <v>FERENC</v>
      </c>
      <c r="D5428">
        <f>12</f>
        <v>12</v>
      </c>
      <c r="E5428" t="str">
        <f>"03 - A - 101 - Lisa J London"</f>
        <v>03 - A - 101 - Lisa J London</v>
      </c>
      <c r="F5428" t="str">
        <f>"AP CAPSTONE RESEARCH"</f>
        <v>AP CAPSTONE RESEARCH</v>
      </c>
      <c r="G5428" t="str">
        <f>"17-1714"</f>
        <v>17-1714</v>
      </c>
      <c r="H5428" t="str">
        <f>"A"</f>
        <v>A</v>
      </c>
    </row>
    <row r="5429" spans="1:8" x14ac:dyDescent="0.2">
      <c r="A5429" t="str">
        <f t="shared" si="1997"/>
        <v>0613109343</v>
      </c>
      <c r="B5429" t="str">
        <f t="shared" si="1998"/>
        <v>HAYDEN</v>
      </c>
      <c r="C5429" t="str">
        <f t="shared" si="1999"/>
        <v>FERENC</v>
      </c>
      <c r="D5429">
        <f>12</f>
        <v>12</v>
      </c>
      <c r="E5429" t="str">
        <f>"02 - A - 103 - Dorothy D Moore"</f>
        <v>02 - A - 103 - Dorothy D Moore</v>
      </c>
      <c r="F5429" t="str">
        <f>"ANAT PHYSIO HON"</f>
        <v>ANAT PHYSIO HON</v>
      </c>
      <c r="G5429" t="str">
        <f>"08-803"</f>
        <v>08-803</v>
      </c>
      <c r="H5429" t="str">
        <f>"A"</f>
        <v>A</v>
      </c>
    </row>
    <row r="5430" spans="1:8" x14ac:dyDescent="0.2">
      <c r="A5430" t="str">
        <f t="shared" si="1997"/>
        <v>0613109343</v>
      </c>
      <c r="B5430" t="str">
        <f t="shared" si="1998"/>
        <v>HAYDEN</v>
      </c>
      <c r="C5430" t="str">
        <f t="shared" si="1999"/>
        <v>FERENC</v>
      </c>
      <c r="D5430">
        <f>12</f>
        <v>12</v>
      </c>
      <c r="E5430" t="str">
        <f>"07 - B - 102 - Courtney E Hambright"</f>
        <v>07 - B - 102 - Courtney E Hambright</v>
      </c>
      <c r="F5430" t="str">
        <f>"AP ENG LIT COMPO"</f>
        <v>AP ENG LIT COMPO</v>
      </c>
      <c r="G5430" t="str">
        <f>"17-1711"</f>
        <v>17-1711</v>
      </c>
      <c r="H5430" t="str">
        <f>"B"</f>
        <v>B</v>
      </c>
    </row>
    <row r="5431" spans="1:8" x14ac:dyDescent="0.2">
      <c r="A5431" t="str">
        <f t="shared" si="1997"/>
        <v>0613109343</v>
      </c>
      <c r="B5431" t="str">
        <f t="shared" si="1998"/>
        <v>HAYDEN</v>
      </c>
      <c r="C5431" t="str">
        <f t="shared" si="1999"/>
        <v>FERENC</v>
      </c>
      <c r="D5431">
        <f>12</f>
        <v>12</v>
      </c>
      <c r="E5431" t="str">
        <f>"05 - S1 - B - 103 - Stephen T Ripp"</f>
        <v>05 - S1 - B - 103 - Stephen T Ripp</v>
      </c>
      <c r="F5431" t="str">
        <f>"AP US GOVT/POL"</f>
        <v>AP US GOVT/POL</v>
      </c>
      <c r="G5431" t="str">
        <f>"17-1744"</f>
        <v>17-1744</v>
      </c>
      <c r="H5431" t="str">
        <f>"B"</f>
        <v>B</v>
      </c>
    </row>
    <row r="5432" spans="1:8" x14ac:dyDescent="0.2">
      <c r="A5432" t="str">
        <f t="shared" si="1997"/>
        <v>0613109343</v>
      </c>
      <c r="B5432" t="str">
        <f t="shared" si="1998"/>
        <v>HAYDEN</v>
      </c>
      <c r="C5432" t="str">
        <f t="shared" si="1999"/>
        <v>FERENC</v>
      </c>
      <c r="D5432">
        <f>12</f>
        <v>12</v>
      </c>
      <c r="E5432" t="str">
        <f>"01 - A - 101 - Marielle A Witting"</f>
        <v>01 - A - 101 - Marielle A Witting</v>
      </c>
      <c r="F5432" t="str">
        <f>"AP BIO"</f>
        <v>AP BIO</v>
      </c>
      <c r="G5432" t="str">
        <f>"08-805"</f>
        <v>08-805</v>
      </c>
      <c r="H5432" t="str">
        <f>"A"</f>
        <v>A</v>
      </c>
    </row>
    <row r="5433" spans="1:8" x14ac:dyDescent="0.2">
      <c r="A5433" t="str">
        <f t="shared" si="1997"/>
        <v>0613109343</v>
      </c>
      <c r="B5433" t="str">
        <f t="shared" si="1998"/>
        <v>HAYDEN</v>
      </c>
      <c r="C5433" t="str">
        <f t="shared" si="1999"/>
        <v>FERENC</v>
      </c>
      <c r="D5433">
        <f>12</f>
        <v>12</v>
      </c>
      <c r="E5433" t="str">
        <f>"08 - B - 102 - Pamela M Corzo"</f>
        <v>08 - B - 102 - Pamela M Corzo</v>
      </c>
      <c r="F5433" t="str">
        <f>"AP STAT"</f>
        <v>AP STAT</v>
      </c>
      <c r="G5433" t="str">
        <f>"21-2133"</f>
        <v>21-2133</v>
      </c>
      <c r="H5433" t="str">
        <f>"B"</f>
        <v>B</v>
      </c>
    </row>
    <row r="5434" spans="1:8" x14ac:dyDescent="0.2">
      <c r="A5434" t="str">
        <f t="shared" ref="A5434:A5441" si="2000">"0615128610"</f>
        <v>0615128610</v>
      </c>
      <c r="B5434" t="str">
        <f t="shared" ref="B5434:B5441" si="2001">"HUDSON"</f>
        <v>HUDSON</v>
      </c>
      <c r="C5434" t="str">
        <f t="shared" si="1999"/>
        <v>FERENC</v>
      </c>
      <c r="D5434">
        <f>10</f>
        <v>10</v>
      </c>
      <c r="E5434" t="str">
        <f>"04 - A - 201 - Scott A Dethloff"</f>
        <v>04 - A - 201 - Scott A Dethloff</v>
      </c>
      <c r="F5434" t="str">
        <f>"AICE THINK SKLS 1 AS"</f>
        <v>AICE THINK SKLS 1 AS</v>
      </c>
      <c r="G5434" t="str">
        <f>"08-812"</f>
        <v>08-812</v>
      </c>
      <c r="H5434" t="str">
        <f>"A"</f>
        <v>A</v>
      </c>
    </row>
    <row r="5435" spans="1:8" x14ac:dyDescent="0.2">
      <c r="A5435" t="str">
        <f t="shared" si="2000"/>
        <v>0615128610</v>
      </c>
      <c r="B5435" t="str">
        <f t="shared" si="2001"/>
        <v>HUDSON</v>
      </c>
      <c r="C5435" t="str">
        <f t="shared" si="1999"/>
        <v>FERENC</v>
      </c>
      <c r="D5435">
        <f>10</f>
        <v>10</v>
      </c>
      <c r="E5435" t="str">
        <f>"06 - B - 119 - Nikiel  Nesbeth"</f>
        <v>06 - B - 119 - Nikiel  Nesbeth</v>
      </c>
      <c r="F5435" t="str">
        <f>"NC STUDY HALL 1"</f>
        <v>NC STUDY HALL 1</v>
      </c>
      <c r="G5435" t="str">
        <f>"17-1705"</f>
        <v>17-1705</v>
      </c>
      <c r="H5435" t="str">
        <f>"B"</f>
        <v>B</v>
      </c>
    </row>
    <row r="5436" spans="1:8" x14ac:dyDescent="0.2">
      <c r="A5436" t="str">
        <f t="shared" si="2000"/>
        <v>0615128610</v>
      </c>
      <c r="B5436" t="str">
        <f t="shared" si="2001"/>
        <v>HUDSON</v>
      </c>
      <c r="C5436" t="str">
        <f t="shared" si="1999"/>
        <v>FERENC</v>
      </c>
      <c r="D5436">
        <f>10</f>
        <v>10</v>
      </c>
      <c r="E5436" t="str">
        <f>"03 - A - 103 - Pamela M Corzo"</f>
        <v>03 - A - 103 - Pamela M Corzo</v>
      </c>
      <c r="F5436" t="str">
        <f>"ALGEBRA 2 HON"</f>
        <v>ALGEBRA 2 HON</v>
      </c>
      <c r="G5436" t="str">
        <f>"21-2133"</f>
        <v>21-2133</v>
      </c>
      <c r="H5436" t="str">
        <f>"A"</f>
        <v>A</v>
      </c>
    </row>
    <row r="5437" spans="1:8" x14ac:dyDescent="0.2">
      <c r="A5437" t="str">
        <f t="shared" si="2000"/>
        <v>0615128610</v>
      </c>
      <c r="B5437" t="str">
        <f t="shared" si="2001"/>
        <v>HUDSON</v>
      </c>
      <c r="C5437" t="str">
        <f t="shared" si="1999"/>
        <v>FERENC</v>
      </c>
      <c r="D5437">
        <f>10</f>
        <v>10</v>
      </c>
      <c r="E5437" t="str">
        <f>"02 - A - 104 - Scott A Dethloff"</f>
        <v>02 - A - 104 - Scott A Dethloff</v>
      </c>
      <c r="F5437" t="str">
        <f>"CHEMISTRY 1 HON"</f>
        <v>CHEMISTRY 1 HON</v>
      </c>
      <c r="G5437" t="str">
        <f>"08-812"</f>
        <v>08-812</v>
      </c>
      <c r="H5437" t="str">
        <f>"A"</f>
        <v>A</v>
      </c>
    </row>
    <row r="5438" spans="1:8" x14ac:dyDescent="0.2">
      <c r="A5438" t="str">
        <f t="shared" si="2000"/>
        <v>0615128610</v>
      </c>
      <c r="B5438" t="str">
        <f t="shared" si="2001"/>
        <v>HUDSON</v>
      </c>
      <c r="C5438" t="str">
        <f t="shared" si="1999"/>
        <v>FERENC</v>
      </c>
      <c r="D5438">
        <f>10</f>
        <v>10</v>
      </c>
      <c r="E5438" t="str">
        <f>"07 - B - 107 - Jacklyn M James"</f>
        <v>07 - B - 107 - Jacklyn M James</v>
      </c>
      <c r="F5438" t="str">
        <f>"AICE ENG LANG AS"</f>
        <v>AICE ENG LANG AS</v>
      </c>
      <c r="G5438" t="str">
        <f>"17-1731"</f>
        <v>17-1731</v>
      </c>
      <c r="H5438" t="str">
        <f>"B"</f>
        <v>B</v>
      </c>
    </row>
    <row r="5439" spans="1:8" x14ac:dyDescent="0.2">
      <c r="A5439" t="str">
        <f t="shared" si="2000"/>
        <v>0615128610</v>
      </c>
      <c r="B5439" t="str">
        <f t="shared" si="2001"/>
        <v>HUDSON</v>
      </c>
      <c r="C5439" t="str">
        <f t="shared" si="1999"/>
        <v>FERENC</v>
      </c>
      <c r="D5439">
        <f>10</f>
        <v>10</v>
      </c>
      <c r="E5439" t="str">
        <f>"05 - B - 001 - Stefanie S Scher"</f>
        <v>05 - B - 001 - Stefanie S Scher</v>
      </c>
      <c r="F5439" t="str">
        <f>"AICE PSYCH 1 AS"</f>
        <v>AICE PSYCH 1 AS</v>
      </c>
      <c r="G5439" t="str">
        <f>"17-1735"</f>
        <v>17-1735</v>
      </c>
      <c r="H5439" t="str">
        <f>"B"</f>
        <v>B</v>
      </c>
    </row>
    <row r="5440" spans="1:8" x14ac:dyDescent="0.2">
      <c r="A5440" t="str">
        <f t="shared" si="2000"/>
        <v>0615128610</v>
      </c>
      <c r="B5440" t="str">
        <f t="shared" si="2001"/>
        <v>HUDSON</v>
      </c>
      <c r="C5440" t="str">
        <f t="shared" si="1999"/>
        <v>FERENC</v>
      </c>
      <c r="D5440">
        <f>10</f>
        <v>10</v>
      </c>
      <c r="E5440" t="str">
        <f>"01 - A - 001 - Lenecy  Nodarse"</f>
        <v>01 - A - 001 - Lenecy  Nodarse</v>
      </c>
      <c r="F5440" t="str">
        <f>"AICE EURO HIST 1 AS"</f>
        <v>AICE EURO HIST 1 AS</v>
      </c>
      <c r="G5440" t="str">
        <f>"17-1741"</f>
        <v>17-1741</v>
      </c>
      <c r="H5440" t="str">
        <f>"A"</f>
        <v>A</v>
      </c>
    </row>
    <row r="5441" spans="1:8" x14ac:dyDescent="0.2">
      <c r="A5441" t="str">
        <f t="shared" si="2000"/>
        <v>0615128610</v>
      </c>
      <c r="B5441" t="str">
        <f t="shared" si="2001"/>
        <v>HUDSON</v>
      </c>
      <c r="C5441" t="str">
        <f t="shared" si="1999"/>
        <v>FERENC</v>
      </c>
      <c r="D5441">
        <f>10</f>
        <v>10</v>
      </c>
      <c r="E5441" t="str">
        <f>"08 - B - 103 - Joe  Kilpatrick Jr"</f>
        <v>08 - B - 103 - Joe  Kilpatrick Jr</v>
      </c>
      <c r="F5441" t="str">
        <f>"PRE-AICE SPAN 2 IG"</f>
        <v>PRE-AICE SPAN 2 IG</v>
      </c>
      <c r="G5441" t="str">
        <f>"09-912"</f>
        <v>09-912</v>
      </c>
      <c r="H5441" t="str">
        <f>"B"</f>
        <v>B</v>
      </c>
    </row>
    <row r="5442" spans="1:8" x14ac:dyDescent="0.2">
      <c r="A5442" t="str">
        <f t="shared" ref="A5442:A5449" si="2002">"0616035939"</f>
        <v>0616035939</v>
      </c>
      <c r="B5442" t="str">
        <f t="shared" ref="B5442:B5449" si="2003">"JAVEA"</f>
        <v>JAVEA</v>
      </c>
      <c r="C5442" t="str">
        <f t="shared" ref="C5442:C5473" si="2004">"FERGUSON"</f>
        <v>FERGUSON</v>
      </c>
      <c r="D5442">
        <f>10</f>
        <v>10</v>
      </c>
      <c r="E5442" t="str">
        <f>"04 - A - 101 - Arthur  Kulawik"</f>
        <v>04 - A - 101 - Arthur  Kulawik</v>
      </c>
      <c r="F5442" t="str">
        <f>"DEBATE 3 HON"</f>
        <v>DEBATE 3 HON</v>
      </c>
      <c r="G5442" t="str">
        <f>"05-506"</f>
        <v>05-506</v>
      </c>
      <c r="H5442" t="str">
        <f>"A"</f>
        <v>A</v>
      </c>
    </row>
    <row r="5443" spans="1:8" x14ac:dyDescent="0.2">
      <c r="A5443" t="str">
        <f t="shared" si="2002"/>
        <v>0616035939</v>
      </c>
      <c r="B5443" t="str">
        <f t="shared" si="2003"/>
        <v>JAVEA</v>
      </c>
      <c r="C5443" t="str">
        <f t="shared" si="2004"/>
        <v>FERGUSON</v>
      </c>
      <c r="D5443">
        <f>10</f>
        <v>10</v>
      </c>
      <c r="E5443" t="str">
        <f>"06 - B - 105 - Jeffrey S Gallagher"</f>
        <v>06 - B - 105 - Jeffrey S Gallagher</v>
      </c>
      <c r="F5443" t="str">
        <f>"NC STUDY HALL 1"</f>
        <v>NC STUDY HALL 1</v>
      </c>
      <c r="G5443" t="str">
        <f>"17-1724"</f>
        <v>17-1724</v>
      </c>
      <c r="H5443" t="str">
        <f>"B"</f>
        <v>B</v>
      </c>
    </row>
    <row r="5444" spans="1:8" x14ac:dyDescent="0.2">
      <c r="A5444" t="str">
        <f t="shared" si="2002"/>
        <v>0616035939</v>
      </c>
      <c r="B5444" t="str">
        <f t="shared" si="2003"/>
        <v>JAVEA</v>
      </c>
      <c r="C5444" t="str">
        <f t="shared" si="2004"/>
        <v>FERGUSON</v>
      </c>
      <c r="D5444">
        <f>10</f>
        <v>10</v>
      </c>
      <c r="E5444" t="str">
        <f>"03 - A - 002 - Lenecy  Nodarse"</f>
        <v>03 - A - 002 - Lenecy  Nodarse</v>
      </c>
      <c r="F5444" t="str">
        <f>"AICE EURO HIST 1 AS"</f>
        <v>AICE EURO HIST 1 AS</v>
      </c>
      <c r="G5444" t="str">
        <f>"17-1741"</f>
        <v>17-1741</v>
      </c>
      <c r="H5444" t="str">
        <f>"A"</f>
        <v>A</v>
      </c>
    </row>
    <row r="5445" spans="1:8" x14ac:dyDescent="0.2">
      <c r="A5445" t="str">
        <f t="shared" si="2002"/>
        <v>0616035939</v>
      </c>
      <c r="B5445" t="str">
        <f t="shared" si="2003"/>
        <v>JAVEA</v>
      </c>
      <c r="C5445" t="str">
        <f t="shared" si="2004"/>
        <v>FERGUSON</v>
      </c>
      <c r="D5445">
        <f>10</f>
        <v>10</v>
      </c>
      <c r="E5445" t="str">
        <f>"02 - A - 102 - Jacklyn M James"</f>
        <v>02 - A - 102 - Jacklyn M James</v>
      </c>
      <c r="F5445" t="str">
        <f>"AICE ENG LANG AS"</f>
        <v>AICE ENG LANG AS</v>
      </c>
      <c r="G5445" t="str">
        <f>"17-1731"</f>
        <v>17-1731</v>
      </c>
      <c r="H5445" t="str">
        <f>"A"</f>
        <v>A</v>
      </c>
    </row>
    <row r="5446" spans="1:8" x14ac:dyDescent="0.2">
      <c r="A5446" t="str">
        <f t="shared" si="2002"/>
        <v>0616035939</v>
      </c>
      <c r="B5446" t="str">
        <f t="shared" si="2003"/>
        <v>JAVEA</v>
      </c>
      <c r="C5446" t="str">
        <f t="shared" si="2004"/>
        <v>FERGUSON</v>
      </c>
      <c r="D5446">
        <f>10</f>
        <v>10</v>
      </c>
      <c r="E5446" t="str">
        <f>"07 - B - 002 - Jordana K Hass"</f>
        <v>07 - B - 002 - Jordana K Hass</v>
      </c>
      <c r="F5446" t="str">
        <f>"CHEMISTRY 1 HON"</f>
        <v>CHEMISTRY 1 HON</v>
      </c>
      <c r="G5446" t="str">
        <f>"08-807"</f>
        <v>08-807</v>
      </c>
      <c r="H5446" t="str">
        <f>"B"</f>
        <v>B</v>
      </c>
    </row>
    <row r="5447" spans="1:8" x14ac:dyDescent="0.2">
      <c r="A5447" t="str">
        <f t="shared" si="2002"/>
        <v>0616035939</v>
      </c>
      <c r="B5447" t="str">
        <f t="shared" si="2003"/>
        <v>JAVEA</v>
      </c>
      <c r="C5447" t="str">
        <f t="shared" si="2004"/>
        <v>FERGUSON</v>
      </c>
      <c r="D5447">
        <f>10</f>
        <v>10</v>
      </c>
      <c r="E5447" t="str">
        <f>"05 - B - 106 - Thomas G Handwerg"</f>
        <v>05 - B - 106 - Thomas G Handwerg</v>
      </c>
      <c r="F5447" t="str">
        <f>"MATH COLL ALGEBRA"</f>
        <v>MATH COLL ALGEBRA</v>
      </c>
      <c r="G5447" t="str">
        <f>"21-2146"</f>
        <v>21-2146</v>
      </c>
      <c r="H5447" t="str">
        <f>"B"</f>
        <v>B</v>
      </c>
    </row>
    <row r="5448" spans="1:8" x14ac:dyDescent="0.2">
      <c r="A5448" t="str">
        <f t="shared" si="2002"/>
        <v>0616035939</v>
      </c>
      <c r="B5448" t="str">
        <f t="shared" si="2003"/>
        <v>JAVEA</v>
      </c>
      <c r="C5448" t="str">
        <f t="shared" si="2004"/>
        <v>FERGUSON</v>
      </c>
      <c r="D5448">
        <f>10</f>
        <v>10</v>
      </c>
      <c r="E5448" t="str">
        <f>"01 - A - 201 - Stefanie S Scher"</f>
        <v>01 - A - 201 - Stefanie S Scher</v>
      </c>
      <c r="F5448" t="str">
        <f>"AICE PSYCH 1 AS"</f>
        <v>AICE PSYCH 1 AS</v>
      </c>
      <c r="G5448" t="str">
        <f>"17-1735"</f>
        <v>17-1735</v>
      </c>
      <c r="H5448" t="str">
        <f>"A"</f>
        <v>A</v>
      </c>
    </row>
    <row r="5449" spans="1:8" x14ac:dyDescent="0.2">
      <c r="A5449" t="str">
        <f t="shared" si="2002"/>
        <v>0616035939</v>
      </c>
      <c r="B5449" t="str">
        <f t="shared" si="2003"/>
        <v>JAVEA</v>
      </c>
      <c r="C5449" t="str">
        <f t="shared" si="2004"/>
        <v>FERGUSON</v>
      </c>
      <c r="D5449">
        <f>10</f>
        <v>10</v>
      </c>
      <c r="E5449" t="str">
        <f>"08 - B - 201 - Stacey A Blecker"</f>
        <v>08 - B - 201 - Stacey A Blecker</v>
      </c>
      <c r="F5449" t="str">
        <f>"AICE SOCIOLOGY 1 AS"</f>
        <v>AICE SOCIOLOGY 1 AS</v>
      </c>
      <c r="G5449" t="str">
        <f>"09-926"</f>
        <v>09-926</v>
      </c>
      <c r="H5449" t="str">
        <f>"B"</f>
        <v>B</v>
      </c>
    </row>
    <row r="5450" spans="1:8" x14ac:dyDescent="0.2">
      <c r="A5450" t="str">
        <f t="shared" ref="A5450:A5457" si="2005">"0614002396"</f>
        <v>0614002396</v>
      </c>
      <c r="B5450" t="str">
        <f t="shared" ref="B5450:B5457" si="2006">"JONAS"</f>
        <v>JONAS</v>
      </c>
      <c r="C5450" t="str">
        <f t="shared" si="2004"/>
        <v>FERGUSON</v>
      </c>
      <c r="D5450">
        <f>12</f>
        <v>12</v>
      </c>
      <c r="E5450" t="str">
        <f>"04 - A - 102 - Samantha J Headley"</f>
        <v>04 - A - 102 - Samantha J Headley</v>
      </c>
      <c r="F5450" t="str">
        <f>"MARINE SCI 1 HON"</f>
        <v>MARINE SCI 1 HON</v>
      </c>
      <c r="G5450" t="str">
        <f>"21-2134"</f>
        <v>21-2134</v>
      </c>
      <c r="H5450" t="str">
        <f>"A"</f>
        <v>A</v>
      </c>
    </row>
    <row r="5451" spans="1:8" x14ac:dyDescent="0.2">
      <c r="A5451" t="str">
        <f t="shared" si="2005"/>
        <v>0614002396</v>
      </c>
      <c r="B5451" t="str">
        <f t="shared" si="2006"/>
        <v>JONAS</v>
      </c>
      <c r="C5451" t="str">
        <f t="shared" si="2004"/>
        <v>FERGUSON</v>
      </c>
      <c r="D5451">
        <f>12</f>
        <v>12</v>
      </c>
      <c r="E5451" t="str">
        <f>"06 - B - 108 - Jacquelyn M Neeson"</f>
        <v>06 - B - 108 - Jacquelyn M Neeson</v>
      </c>
      <c r="F5451" t="str">
        <f>"NC STUDY HALL 1"</f>
        <v>NC STUDY HALL 1</v>
      </c>
      <c r="G5451" t="str">
        <f>"17-1715"</f>
        <v>17-1715</v>
      </c>
      <c r="H5451" t="str">
        <f>"B"</f>
        <v>B</v>
      </c>
    </row>
    <row r="5452" spans="1:8" x14ac:dyDescent="0.2">
      <c r="A5452" t="str">
        <f t="shared" si="2005"/>
        <v>0614002396</v>
      </c>
      <c r="B5452" t="str">
        <f t="shared" si="2006"/>
        <v>JONAS</v>
      </c>
      <c r="C5452" t="str">
        <f t="shared" si="2004"/>
        <v>FERGUSON</v>
      </c>
      <c r="D5452">
        <f>12</f>
        <v>12</v>
      </c>
      <c r="E5452" t="str">
        <f>"03 - S1 - A - 101 - Arthur  Kulawik"</f>
        <v>03 - S1 - A - 101 - Arthur  Kulawik</v>
      </c>
      <c r="F5452" t="str">
        <f>"PERS FIN &amp; MON MGT H"</f>
        <v>PERS FIN &amp; MON MGT H</v>
      </c>
      <c r="G5452" t="str">
        <f>"05-506"</f>
        <v>05-506</v>
      </c>
      <c r="H5452" t="str">
        <f>"A"</f>
        <v>A</v>
      </c>
    </row>
    <row r="5453" spans="1:8" x14ac:dyDescent="0.2">
      <c r="A5453" t="str">
        <f t="shared" si="2005"/>
        <v>0614002396</v>
      </c>
      <c r="B5453" t="str">
        <f t="shared" si="2006"/>
        <v>JONAS</v>
      </c>
      <c r="C5453" t="str">
        <f t="shared" si="2004"/>
        <v>FERGUSON</v>
      </c>
      <c r="D5453">
        <f>12</f>
        <v>12</v>
      </c>
      <c r="E5453" t="str">
        <f>"02 - A - 101 - Robyn L Trainer"</f>
        <v>02 - A - 101 - Robyn L Trainer</v>
      </c>
      <c r="F5453" t="str">
        <f>"ENG 4"</f>
        <v>ENG 4</v>
      </c>
      <c r="G5453" t="str">
        <f>"17-1734"</f>
        <v>17-1734</v>
      </c>
      <c r="H5453" t="str">
        <f>"A"</f>
        <v>A</v>
      </c>
    </row>
    <row r="5454" spans="1:8" x14ac:dyDescent="0.2">
      <c r="A5454" t="str">
        <f t="shared" si="2005"/>
        <v>0614002396</v>
      </c>
      <c r="B5454" t="str">
        <f t="shared" si="2006"/>
        <v>JONAS</v>
      </c>
      <c r="C5454" t="str">
        <f t="shared" si="2004"/>
        <v>FERGUSON</v>
      </c>
      <c r="D5454">
        <f>12</f>
        <v>12</v>
      </c>
      <c r="E5454" t="str">
        <f>"07 - S1 - B - 103 - Robert O Burger"</f>
        <v>07 - S1 - B - 103 - Robert O Burger</v>
      </c>
      <c r="F5454" t="str">
        <f>"US GOVT"</f>
        <v>US GOVT</v>
      </c>
      <c r="G5454" t="str">
        <f>"17-1755"</f>
        <v>17-1755</v>
      </c>
      <c r="H5454" t="str">
        <f>"B"</f>
        <v>B</v>
      </c>
    </row>
    <row r="5455" spans="1:8" x14ac:dyDescent="0.2">
      <c r="A5455" t="str">
        <f t="shared" si="2005"/>
        <v>0614002396</v>
      </c>
      <c r="B5455" t="str">
        <f t="shared" si="2006"/>
        <v>JONAS</v>
      </c>
      <c r="C5455" t="str">
        <f t="shared" si="2004"/>
        <v>FERGUSON</v>
      </c>
      <c r="D5455">
        <f>12</f>
        <v>12</v>
      </c>
      <c r="E5455" t="str">
        <f>"05 - B - 104 - Semra  Bahadir"</f>
        <v>05 - B - 104 - Semra  Bahadir</v>
      </c>
      <c r="F5455" t="str">
        <f>"MATH COLL ALGEBRA"</f>
        <v>MATH COLL ALGEBRA</v>
      </c>
      <c r="G5455" t="str">
        <f>"21-2107"</f>
        <v>21-2107</v>
      </c>
      <c r="H5455" t="str">
        <f>"B"</f>
        <v>B</v>
      </c>
    </row>
    <row r="5456" spans="1:8" x14ac:dyDescent="0.2">
      <c r="A5456" t="str">
        <f t="shared" si="2005"/>
        <v>0614002396</v>
      </c>
      <c r="B5456" t="str">
        <f t="shared" si="2006"/>
        <v>JONAS</v>
      </c>
      <c r="C5456" t="str">
        <f t="shared" si="2004"/>
        <v>FERGUSON</v>
      </c>
      <c r="D5456">
        <f>12</f>
        <v>12</v>
      </c>
      <c r="E5456" t="str">
        <f>"01 - S1 - A - 101 - Richard E Dunbar Iii"</f>
        <v>01 - S1 - A - 101 - Richard E Dunbar Iii</v>
      </c>
      <c r="F5456" t="str">
        <f>"WEIGHT TRAIN 1"</f>
        <v>WEIGHT TRAIN 1</v>
      </c>
      <c r="G5456" t="str">
        <f>"05-501"</f>
        <v>05-501</v>
      </c>
      <c r="H5456" t="str">
        <f>"A"</f>
        <v>A</v>
      </c>
    </row>
    <row r="5457" spans="1:8" x14ac:dyDescent="0.2">
      <c r="A5457" t="str">
        <f t="shared" si="2005"/>
        <v>0614002396</v>
      </c>
      <c r="B5457" t="str">
        <f t="shared" si="2006"/>
        <v>JONAS</v>
      </c>
      <c r="C5457" t="str">
        <f t="shared" si="2004"/>
        <v>FERGUSON</v>
      </c>
      <c r="D5457">
        <f>12</f>
        <v>12</v>
      </c>
      <c r="E5457" t="str">
        <f>"08 - B - 001 - Chrystina M Marchionne"</f>
        <v>08 - B - 001 - Chrystina M Marchionne</v>
      </c>
      <c r="F5457" t="str">
        <f>"JOURN 1 (YB) LH"</f>
        <v>JOURN 1 (YB) LH</v>
      </c>
      <c r="G5457" t="str">
        <f>"05-520"</f>
        <v>05-520</v>
      </c>
      <c r="H5457" t="str">
        <f>"B"</f>
        <v>B</v>
      </c>
    </row>
    <row r="5458" spans="1:8" x14ac:dyDescent="0.2">
      <c r="A5458" t="str">
        <f t="shared" ref="A5458:A5465" si="2007">"0614056558"</f>
        <v>0614056558</v>
      </c>
      <c r="B5458" t="str">
        <f t="shared" ref="B5458:B5465" si="2008">"KAIDEN"</f>
        <v>KAIDEN</v>
      </c>
      <c r="C5458" t="str">
        <f t="shared" si="2004"/>
        <v>FERGUSON</v>
      </c>
      <c r="D5458">
        <f>12</f>
        <v>12</v>
      </c>
      <c r="E5458" t="str">
        <f>"04 - S1 - A - 101 - Nahum  Saint-Preux"</f>
        <v>04 - S1 - A - 101 - Nahum  Saint-Preux</v>
      </c>
      <c r="F5458" t="str">
        <f>"CRIT THINK ST SKLS"</f>
        <v>CRIT THINK ST SKLS</v>
      </c>
      <c r="G5458" t="str">
        <f>"17-1712"</f>
        <v>17-1712</v>
      </c>
      <c r="H5458" t="str">
        <f>"A"</f>
        <v>A</v>
      </c>
    </row>
    <row r="5459" spans="1:8" x14ac:dyDescent="0.2">
      <c r="A5459" t="str">
        <f t="shared" si="2007"/>
        <v>0614056558</v>
      </c>
      <c r="B5459" t="str">
        <f t="shared" si="2008"/>
        <v>KAIDEN</v>
      </c>
      <c r="C5459" t="str">
        <f t="shared" si="2004"/>
        <v>FERGUSON</v>
      </c>
      <c r="D5459">
        <f>12</f>
        <v>12</v>
      </c>
      <c r="E5459" t="str">
        <f>"06 - B - 103 - Stefanie S Scher"</f>
        <v>06 - B - 103 - Stefanie S Scher</v>
      </c>
      <c r="F5459" t="str">
        <f>"NC STUDY HALL 1"</f>
        <v>NC STUDY HALL 1</v>
      </c>
      <c r="G5459" t="str">
        <f>"17-1735"</f>
        <v>17-1735</v>
      </c>
      <c r="H5459" t="str">
        <f>"B"</f>
        <v>B</v>
      </c>
    </row>
    <row r="5460" spans="1:8" x14ac:dyDescent="0.2">
      <c r="A5460" t="str">
        <f t="shared" si="2007"/>
        <v>0614056558</v>
      </c>
      <c r="B5460" t="str">
        <f t="shared" si="2008"/>
        <v>KAIDEN</v>
      </c>
      <c r="C5460" t="str">
        <f t="shared" si="2004"/>
        <v>FERGUSON</v>
      </c>
      <c r="D5460">
        <f>12</f>
        <v>12</v>
      </c>
      <c r="E5460" t="str">
        <f>"03 - A - 101 - Jazmin S Fletcher"</f>
        <v>03 - A - 101 - Jazmin S Fletcher</v>
      </c>
      <c r="F5460" t="str">
        <f>"TECH THEA DES&amp;PROD 1"</f>
        <v>TECH THEA DES&amp;PROD 1</v>
      </c>
      <c r="G5460" t="str">
        <f>"09-909"</f>
        <v>09-909</v>
      </c>
      <c r="H5460" t="str">
        <f>"A"</f>
        <v>A</v>
      </c>
    </row>
    <row r="5461" spans="1:8" x14ac:dyDescent="0.2">
      <c r="A5461" t="str">
        <f t="shared" si="2007"/>
        <v>0614056558</v>
      </c>
      <c r="B5461" t="str">
        <f t="shared" si="2008"/>
        <v>KAIDEN</v>
      </c>
      <c r="C5461" t="str">
        <f t="shared" si="2004"/>
        <v>FERGUSON</v>
      </c>
      <c r="D5461">
        <f>12</f>
        <v>12</v>
      </c>
      <c r="E5461" t="str">
        <f>"02 - S1 - A - 104 - Robert O Burger"</f>
        <v>02 - S1 - A - 104 - Robert O Burger</v>
      </c>
      <c r="F5461" t="str">
        <f>"US GOVT"</f>
        <v>US GOVT</v>
      </c>
      <c r="G5461" t="str">
        <f>"17-1755"</f>
        <v>17-1755</v>
      </c>
      <c r="H5461" t="str">
        <f>"A"</f>
        <v>A</v>
      </c>
    </row>
    <row r="5462" spans="1:8" x14ac:dyDescent="0.2">
      <c r="A5462" t="str">
        <f t="shared" si="2007"/>
        <v>0614056558</v>
      </c>
      <c r="B5462" t="str">
        <f t="shared" si="2008"/>
        <v>KAIDEN</v>
      </c>
      <c r="C5462" t="str">
        <f t="shared" si="2004"/>
        <v>FERGUSON</v>
      </c>
      <c r="D5462">
        <f>12</f>
        <v>12</v>
      </c>
      <c r="E5462" t="str">
        <f>"07 - B - 102 - Tina L Lovett"</f>
        <v>07 - B - 102 - Tina L Lovett</v>
      </c>
      <c r="F5462" t="str">
        <f>"MATH DATA &amp; FIN LIT"</f>
        <v>MATH DATA &amp; FIN LIT</v>
      </c>
      <c r="G5462" t="str">
        <f>"21-2153"</f>
        <v>21-2153</v>
      </c>
      <c r="H5462" t="str">
        <f>"B"</f>
        <v>B</v>
      </c>
    </row>
    <row r="5463" spans="1:8" x14ac:dyDescent="0.2">
      <c r="A5463" t="str">
        <f t="shared" si="2007"/>
        <v>0614056558</v>
      </c>
      <c r="B5463" t="str">
        <f t="shared" si="2008"/>
        <v>KAIDEN</v>
      </c>
      <c r="C5463" t="str">
        <f t="shared" si="2004"/>
        <v>FERGUSON</v>
      </c>
      <c r="D5463">
        <f>12</f>
        <v>12</v>
      </c>
      <c r="E5463" t="str">
        <f>"05 - B - 207 - Marielle A Witting"</f>
        <v>05 - B - 207 - Marielle A Witting</v>
      </c>
      <c r="F5463" t="str">
        <f>"ANAT PHYSIO"</f>
        <v>ANAT PHYSIO</v>
      </c>
      <c r="G5463" t="str">
        <f>"08-805"</f>
        <v>08-805</v>
      </c>
      <c r="H5463" t="str">
        <f>"B"</f>
        <v>B</v>
      </c>
    </row>
    <row r="5464" spans="1:8" x14ac:dyDescent="0.2">
      <c r="A5464" t="str">
        <f t="shared" si="2007"/>
        <v>0614056558</v>
      </c>
      <c r="B5464" t="str">
        <f t="shared" si="2008"/>
        <v>KAIDEN</v>
      </c>
      <c r="C5464" t="str">
        <f t="shared" si="2004"/>
        <v>FERGUSON</v>
      </c>
      <c r="D5464">
        <f>12</f>
        <v>12</v>
      </c>
      <c r="E5464" t="str">
        <f>"01 - A - 103 - Robyn L Trainer"</f>
        <v>01 - A - 103 - Robyn L Trainer</v>
      </c>
      <c r="F5464" t="str">
        <f>"ENG 4"</f>
        <v>ENG 4</v>
      </c>
      <c r="G5464" t="str">
        <f>"17-1734"</f>
        <v>17-1734</v>
      </c>
      <c r="H5464" t="str">
        <f>"A"</f>
        <v>A</v>
      </c>
    </row>
    <row r="5465" spans="1:8" x14ac:dyDescent="0.2">
      <c r="A5465" t="str">
        <f t="shared" si="2007"/>
        <v>0614056558</v>
      </c>
      <c r="B5465" t="str">
        <f t="shared" si="2008"/>
        <v>KAIDEN</v>
      </c>
      <c r="C5465" t="str">
        <f t="shared" si="2004"/>
        <v>FERGUSON</v>
      </c>
      <c r="D5465">
        <f>12</f>
        <v>12</v>
      </c>
      <c r="E5465" t="str">
        <f>"08 - S1 - B - 101 - Amy Beth  Broyles"</f>
        <v>08 - S1 - B - 101 - Amy Beth  Broyles</v>
      </c>
      <c r="F5465" t="str">
        <f>"PEER COUN 3"</f>
        <v>PEER COUN 3</v>
      </c>
      <c r="G5465" t="str">
        <f>"17-1713"</f>
        <v>17-1713</v>
      </c>
      <c r="H5465" t="str">
        <f>"B"</f>
        <v>B</v>
      </c>
    </row>
    <row r="5466" spans="1:8" x14ac:dyDescent="0.2">
      <c r="A5466" t="str">
        <f t="shared" ref="A5466:A5473" si="2009">"0615075964"</f>
        <v>0615075964</v>
      </c>
      <c r="B5466" t="str">
        <f t="shared" ref="B5466:B5473" si="2010">"KIMORA"</f>
        <v>KIMORA</v>
      </c>
      <c r="C5466" t="str">
        <f t="shared" si="2004"/>
        <v>FERGUSON</v>
      </c>
      <c r="D5466">
        <f>10</f>
        <v>10</v>
      </c>
      <c r="E5466" t="str">
        <f>"04 - A - 101 - Jeanne M Bermudez"</f>
        <v>04 - A - 101 - Jeanne M Bermudez</v>
      </c>
      <c r="F5466" t="str">
        <f>"ADVANCED IT HON"</f>
        <v>ADVANCED IT HON</v>
      </c>
      <c r="G5466" t="str">
        <f>"21-2141"</f>
        <v>21-2141</v>
      </c>
      <c r="H5466" t="str">
        <f>"A"</f>
        <v>A</v>
      </c>
    </row>
    <row r="5467" spans="1:8" x14ac:dyDescent="0.2">
      <c r="A5467" t="str">
        <f t="shared" si="2009"/>
        <v>0615075964</v>
      </c>
      <c r="B5467" t="str">
        <f t="shared" si="2010"/>
        <v>KIMORA</v>
      </c>
      <c r="C5467" t="str">
        <f t="shared" si="2004"/>
        <v>FERGUSON</v>
      </c>
      <c r="D5467">
        <f>10</f>
        <v>10</v>
      </c>
      <c r="E5467" t="str">
        <f>"06 - B - 113 - Joe  Kilpatrick Jr"</f>
        <v>06 - B - 113 - Joe  Kilpatrick Jr</v>
      </c>
      <c r="F5467" t="str">
        <f>"NC STUDY HALL 1"</f>
        <v>NC STUDY HALL 1</v>
      </c>
      <c r="G5467" t="str">
        <f>"09-912"</f>
        <v>09-912</v>
      </c>
      <c r="H5467" t="str">
        <f>"B"</f>
        <v>B</v>
      </c>
    </row>
    <row r="5468" spans="1:8" x14ac:dyDescent="0.2">
      <c r="A5468" t="str">
        <f t="shared" si="2009"/>
        <v>0615075964</v>
      </c>
      <c r="B5468" t="str">
        <f t="shared" si="2010"/>
        <v>KIMORA</v>
      </c>
      <c r="C5468" t="str">
        <f t="shared" si="2004"/>
        <v>FERGUSON</v>
      </c>
      <c r="D5468">
        <f>10</f>
        <v>10</v>
      </c>
      <c r="E5468" t="str">
        <f>"03 - A - 101 - Brian M Fitzgerald"</f>
        <v>03 - A - 101 - Brian M Fitzgerald</v>
      </c>
      <c r="F5468" t="str">
        <f>"SCULPT 1"</f>
        <v>SCULPT 1</v>
      </c>
      <c r="G5468" t="str">
        <f>"09-908"</f>
        <v>09-908</v>
      </c>
      <c r="H5468" t="str">
        <f>"A"</f>
        <v>A</v>
      </c>
    </row>
    <row r="5469" spans="1:8" x14ac:dyDescent="0.2">
      <c r="A5469" t="str">
        <f t="shared" si="2009"/>
        <v>0615075964</v>
      </c>
      <c r="B5469" t="str">
        <f t="shared" si="2010"/>
        <v>KIMORA</v>
      </c>
      <c r="C5469" t="str">
        <f t="shared" si="2004"/>
        <v>FERGUSON</v>
      </c>
      <c r="D5469">
        <f>10</f>
        <v>10</v>
      </c>
      <c r="E5469" t="str">
        <f>"02 - A - 102 - Adam Marcus  Drucker"</f>
        <v>02 - A - 102 - Adam Marcus  Drucker</v>
      </c>
      <c r="F5469" t="str">
        <f>"HOPE-PE V"</f>
        <v>HOPE-PE V</v>
      </c>
      <c r="G5469" t="str">
        <f>"04-254"</f>
        <v>04-254</v>
      </c>
      <c r="H5469" t="str">
        <f>"A"</f>
        <v>A</v>
      </c>
    </row>
    <row r="5470" spans="1:8" x14ac:dyDescent="0.2">
      <c r="A5470" t="str">
        <f t="shared" si="2009"/>
        <v>0615075964</v>
      </c>
      <c r="B5470" t="str">
        <f t="shared" si="2010"/>
        <v>KIMORA</v>
      </c>
      <c r="C5470" t="str">
        <f t="shared" si="2004"/>
        <v>FERGUSON</v>
      </c>
      <c r="D5470">
        <f>10</f>
        <v>10</v>
      </c>
      <c r="E5470" t="str">
        <f>"07 - B - 107 - Brook E Goren"</f>
        <v>07 - B - 107 - Brook E Goren</v>
      </c>
      <c r="F5470" t="str">
        <f>"PRE-AICE MATH 2 IG"</f>
        <v>PRE-AICE MATH 2 IG</v>
      </c>
      <c r="G5470" t="str">
        <f>"21-2158"</f>
        <v>21-2158</v>
      </c>
      <c r="H5470" t="str">
        <f>"B"</f>
        <v>B</v>
      </c>
    </row>
    <row r="5471" spans="1:8" x14ac:dyDescent="0.2">
      <c r="A5471" t="str">
        <f t="shared" si="2009"/>
        <v>0615075964</v>
      </c>
      <c r="B5471" t="str">
        <f t="shared" si="2010"/>
        <v>KIMORA</v>
      </c>
      <c r="C5471" t="str">
        <f t="shared" si="2004"/>
        <v>FERGUSON</v>
      </c>
      <c r="D5471">
        <f>10</f>
        <v>10</v>
      </c>
      <c r="E5471" t="str">
        <f>"05 - B - 207 - Marielle A Witting"</f>
        <v>05 - B - 207 - Marielle A Witting</v>
      </c>
      <c r="F5471" t="str">
        <f>"ANAT PHYSIO"</f>
        <v>ANAT PHYSIO</v>
      </c>
      <c r="G5471" t="str">
        <f>"08-805"</f>
        <v>08-805</v>
      </c>
      <c r="H5471" t="str">
        <f>"B"</f>
        <v>B</v>
      </c>
    </row>
    <row r="5472" spans="1:8" x14ac:dyDescent="0.2">
      <c r="A5472" t="str">
        <f t="shared" si="2009"/>
        <v>0615075964</v>
      </c>
      <c r="B5472" t="str">
        <f t="shared" si="2010"/>
        <v>KIMORA</v>
      </c>
      <c r="C5472" t="str">
        <f t="shared" si="2004"/>
        <v>FERGUSON</v>
      </c>
      <c r="D5472">
        <f>10</f>
        <v>10</v>
      </c>
      <c r="E5472" t="str">
        <f>"01 - S1 - A - 101 - Lissa C Frederique"</f>
        <v>01 - S1 - A - 101 - Lissa C Frederique</v>
      </c>
      <c r="F5472" t="str">
        <f>"PERS FIN &amp; MON MGT H"</f>
        <v>PERS FIN &amp; MON MGT H</v>
      </c>
      <c r="G5472" t="str">
        <f>"17-1754"</f>
        <v>17-1754</v>
      </c>
      <c r="H5472" t="str">
        <f>"A"</f>
        <v>A</v>
      </c>
    </row>
    <row r="5473" spans="1:8" x14ac:dyDescent="0.2">
      <c r="A5473" t="str">
        <f t="shared" si="2009"/>
        <v>0615075964</v>
      </c>
      <c r="B5473" t="str">
        <f t="shared" si="2010"/>
        <v>KIMORA</v>
      </c>
      <c r="C5473" t="str">
        <f t="shared" si="2004"/>
        <v>FERGUSON</v>
      </c>
      <c r="D5473">
        <f>10</f>
        <v>10</v>
      </c>
      <c r="E5473" t="str">
        <f>"08 - B - 109 - Nikiel  Nesbeth"</f>
        <v>08 - B - 109 - Nikiel  Nesbeth</v>
      </c>
      <c r="F5473" t="str">
        <f>"ENG 2"</f>
        <v>ENG 2</v>
      </c>
      <c r="G5473" t="str">
        <f>"17-1705"</f>
        <v>17-1705</v>
      </c>
      <c r="H5473" t="str">
        <f>"B"</f>
        <v>B</v>
      </c>
    </row>
    <row r="5474" spans="1:8" x14ac:dyDescent="0.2">
      <c r="A5474" t="str">
        <f t="shared" ref="A5474:A5481" si="2011">"0615037131"</f>
        <v>0615037131</v>
      </c>
      <c r="B5474" t="str">
        <f t="shared" ref="B5474:B5481" si="2012">"ANGELICA"</f>
        <v>ANGELICA</v>
      </c>
      <c r="C5474" t="str">
        <f t="shared" ref="C5474:C5505" si="2013">"FERNANDEZ"</f>
        <v>FERNANDEZ</v>
      </c>
      <c r="D5474">
        <f>12</f>
        <v>12</v>
      </c>
      <c r="E5474" t="str">
        <f>"04 - A - 106 - Tina M Jaramillo"</f>
        <v>04 - A - 106 - Tina M Jaramillo</v>
      </c>
      <c r="F5474" t="str">
        <f>"AP ENG LIT COMPO"</f>
        <v>AP ENG LIT COMPO</v>
      </c>
      <c r="G5474" t="str">
        <f>"17-1706"</f>
        <v>17-1706</v>
      </c>
      <c r="H5474" t="str">
        <f>"A"</f>
        <v>A</v>
      </c>
    </row>
    <row r="5475" spans="1:8" x14ac:dyDescent="0.2">
      <c r="A5475" t="str">
        <f t="shared" si="2011"/>
        <v>0615037131</v>
      </c>
      <c r="B5475" t="str">
        <f t="shared" si="2012"/>
        <v>ANGELICA</v>
      </c>
      <c r="C5475" t="str">
        <f t="shared" si="2013"/>
        <v>FERNANDEZ</v>
      </c>
      <c r="D5475">
        <f>12</f>
        <v>12</v>
      </c>
      <c r="E5475" t="str">
        <f>"06 - B - 112 - Lisa  Quinn"</f>
        <v>06 - B - 112 - Lisa  Quinn</v>
      </c>
      <c r="F5475" t="str">
        <f>"NC STUDY HALL 1"</f>
        <v>NC STUDY HALL 1</v>
      </c>
      <c r="G5475" t="str">
        <f>"17-1725"</f>
        <v>17-1725</v>
      </c>
      <c r="H5475" t="str">
        <f>"B"</f>
        <v>B</v>
      </c>
    </row>
    <row r="5476" spans="1:8" x14ac:dyDescent="0.2">
      <c r="A5476" t="str">
        <f t="shared" si="2011"/>
        <v>0615037131</v>
      </c>
      <c r="B5476" t="str">
        <f t="shared" si="2012"/>
        <v>ANGELICA</v>
      </c>
      <c r="C5476" t="str">
        <f t="shared" si="2013"/>
        <v>FERNANDEZ</v>
      </c>
      <c r="D5476">
        <f>12</f>
        <v>12</v>
      </c>
      <c r="E5476" t="str">
        <f>"03 - A - 101 - Lisa J London"</f>
        <v>03 - A - 101 - Lisa J London</v>
      </c>
      <c r="F5476" t="str">
        <f>"AP CAPSTONE RESEARCH"</f>
        <v>AP CAPSTONE RESEARCH</v>
      </c>
      <c r="G5476" t="str">
        <f>"17-1714"</f>
        <v>17-1714</v>
      </c>
      <c r="H5476" t="str">
        <f>"A"</f>
        <v>A</v>
      </c>
    </row>
    <row r="5477" spans="1:8" x14ac:dyDescent="0.2">
      <c r="A5477" t="str">
        <f t="shared" si="2011"/>
        <v>0615037131</v>
      </c>
      <c r="B5477" t="str">
        <f t="shared" si="2012"/>
        <v>ANGELICA</v>
      </c>
      <c r="C5477" t="str">
        <f t="shared" si="2013"/>
        <v>FERNANDEZ</v>
      </c>
      <c r="D5477">
        <f>12</f>
        <v>12</v>
      </c>
      <c r="E5477" t="str">
        <f>"02 - A - 102 - Marielle A Witting"</f>
        <v>02 - A - 102 - Marielle A Witting</v>
      </c>
      <c r="F5477" t="str">
        <f>"AP BIO"</f>
        <v>AP BIO</v>
      </c>
      <c r="G5477" t="str">
        <f>"08-805"</f>
        <v>08-805</v>
      </c>
      <c r="H5477" t="str">
        <f>"A"</f>
        <v>A</v>
      </c>
    </row>
    <row r="5478" spans="1:8" x14ac:dyDescent="0.2">
      <c r="A5478" t="str">
        <f t="shared" si="2011"/>
        <v>0615037131</v>
      </c>
      <c r="B5478" t="str">
        <f t="shared" si="2012"/>
        <v>ANGELICA</v>
      </c>
      <c r="C5478" t="str">
        <f t="shared" si="2013"/>
        <v>FERNANDEZ</v>
      </c>
      <c r="D5478">
        <f>12</f>
        <v>12</v>
      </c>
      <c r="E5478" t="str">
        <f>"07 - S1 - B - 101 - Daniel S Katz"</f>
        <v>07 - S1 - B - 101 - Daniel S Katz</v>
      </c>
      <c r="F5478" t="str">
        <f>"CRIMINAL LAW"</f>
        <v>CRIMINAL LAW</v>
      </c>
      <c r="G5478" t="str">
        <f>"21-2156"</f>
        <v>21-2156</v>
      </c>
      <c r="H5478" t="str">
        <f>"B"</f>
        <v>B</v>
      </c>
    </row>
    <row r="5479" spans="1:8" x14ac:dyDescent="0.2">
      <c r="A5479" t="str">
        <f t="shared" si="2011"/>
        <v>0615037131</v>
      </c>
      <c r="B5479" t="str">
        <f t="shared" si="2012"/>
        <v>ANGELICA</v>
      </c>
      <c r="C5479" t="str">
        <f t="shared" si="2013"/>
        <v>FERNANDEZ</v>
      </c>
      <c r="D5479">
        <f>12</f>
        <v>12</v>
      </c>
      <c r="E5479" t="str">
        <f>"05 - B - 105 - Norayda D Suarez"</f>
        <v>05 - B - 105 - Norayda D Suarez</v>
      </c>
      <c r="F5479" t="str">
        <f>"RESEARCH 1 LH"</f>
        <v>RESEARCH 1 LH</v>
      </c>
      <c r="G5479">
        <f>2041</f>
        <v>2041</v>
      </c>
      <c r="H5479" t="str">
        <f>"B"</f>
        <v>B</v>
      </c>
    </row>
    <row r="5480" spans="1:8" x14ac:dyDescent="0.2">
      <c r="A5480" t="str">
        <f t="shared" si="2011"/>
        <v>0615037131</v>
      </c>
      <c r="B5480" t="str">
        <f t="shared" si="2012"/>
        <v>ANGELICA</v>
      </c>
      <c r="C5480" t="str">
        <f t="shared" si="2013"/>
        <v>FERNANDEZ</v>
      </c>
      <c r="D5480">
        <f>12</f>
        <v>12</v>
      </c>
      <c r="E5480" t="str">
        <f>"01 - A - 201 - Pamela M Corzo"</f>
        <v>01 - A - 201 - Pamela M Corzo</v>
      </c>
      <c r="F5480" t="str">
        <f>"AP CALCULUS BC"</f>
        <v>AP CALCULUS BC</v>
      </c>
      <c r="G5480" t="str">
        <f>"21-2133"</f>
        <v>21-2133</v>
      </c>
      <c r="H5480" t="str">
        <f>"A"</f>
        <v>A</v>
      </c>
    </row>
    <row r="5481" spans="1:8" x14ac:dyDescent="0.2">
      <c r="A5481" t="str">
        <f t="shared" si="2011"/>
        <v>0615037131</v>
      </c>
      <c r="B5481" t="str">
        <f t="shared" si="2012"/>
        <v>ANGELICA</v>
      </c>
      <c r="C5481" t="str">
        <f t="shared" si="2013"/>
        <v>FERNANDEZ</v>
      </c>
      <c r="D5481">
        <f>12</f>
        <v>12</v>
      </c>
      <c r="E5481" t="str">
        <f>"08 - S1 - B - 102 - Stephen T Ripp"</f>
        <v>08 - S1 - B - 102 - Stephen T Ripp</v>
      </c>
      <c r="F5481" t="str">
        <f>"AP US GOVT/POL"</f>
        <v>AP US GOVT/POL</v>
      </c>
      <c r="G5481" t="str">
        <f>"17-1744"</f>
        <v>17-1744</v>
      </c>
      <c r="H5481" t="str">
        <f>"B"</f>
        <v>B</v>
      </c>
    </row>
    <row r="5482" spans="1:8" x14ac:dyDescent="0.2">
      <c r="A5482" t="str">
        <f t="shared" ref="A5482:A5489" si="2014">"0612076401"</f>
        <v>0612076401</v>
      </c>
      <c r="B5482" t="str">
        <f t="shared" ref="B5482:B5489" si="2015">"DAVID"</f>
        <v>DAVID</v>
      </c>
      <c r="C5482" t="str">
        <f t="shared" si="2013"/>
        <v>FERNANDEZ</v>
      </c>
      <c r="D5482">
        <f>12</f>
        <v>12</v>
      </c>
      <c r="E5482" t="str">
        <f>"04 - A - 205 - Jacqueline R Morphet"</f>
        <v>04 - A - 205 - Jacqueline R Morphet</v>
      </c>
      <c r="F5482" t="str">
        <f>"PHYSICS 1 HON"</f>
        <v>PHYSICS 1 HON</v>
      </c>
      <c r="G5482" t="str">
        <f>"21-2138"</f>
        <v>21-2138</v>
      </c>
      <c r="H5482" t="str">
        <f>"A"</f>
        <v>A</v>
      </c>
    </row>
    <row r="5483" spans="1:8" x14ac:dyDescent="0.2">
      <c r="A5483" t="str">
        <f t="shared" si="2014"/>
        <v>0612076401</v>
      </c>
      <c r="B5483" t="str">
        <f t="shared" si="2015"/>
        <v>DAVID</v>
      </c>
      <c r="C5483" t="str">
        <f t="shared" si="2013"/>
        <v>FERNANDEZ</v>
      </c>
      <c r="D5483">
        <f>12</f>
        <v>12</v>
      </c>
      <c r="E5483" t="str">
        <f>"06 - B - 112 - Lisa  Quinn"</f>
        <v>06 - B - 112 - Lisa  Quinn</v>
      </c>
      <c r="F5483" t="str">
        <f>"NC STUDY HALL 1"</f>
        <v>NC STUDY HALL 1</v>
      </c>
      <c r="G5483" t="str">
        <f>"17-1725"</f>
        <v>17-1725</v>
      </c>
      <c r="H5483" t="str">
        <f>"B"</f>
        <v>B</v>
      </c>
    </row>
    <row r="5484" spans="1:8" x14ac:dyDescent="0.2">
      <c r="A5484" t="str">
        <f t="shared" si="2014"/>
        <v>0612076401</v>
      </c>
      <c r="B5484" t="str">
        <f t="shared" si="2015"/>
        <v>DAVID</v>
      </c>
      <c r="C5484" t="str">
        <f t="shared" si="2013"/>
        <v>FERNANDEZ</v>
      </c>
      <c r="D5484">
        <f>12</f>
        <v>12</v>
      </c>
      <c r="E5484" t="str">
        <f>"03 - A - 201 - Emmily A Sarmiento"</f>
        <v>03 - A - 201 - Emmily A Sarmiento</v>
      </c>
      <c r="F5484" t="str">
        <f>"LEAD SKLS DEV LH"</f>
        <v>LEAD SKLS DEV LH</v>
      </c>
      <c r="G5484" t="str">
        <f>"17-1743"</f>
        <v>17-1743</v>
      </c>
      <c r="H5484" t="str">
        <f>"A"</f>
        <v>A</v>
      </c>
    </row>
    <row r="5485" spans="1:8" x14ac:dyDescent="0.2">
      <c r="A5485" t="str">
        <f t="shared" si="2014"/>
        <v>0612076401</v>
      </c>
      <c r="B5485" t="str">
        <f t="shared" si="2015"/>
        <v>DAVID</v>
      </c>
      <c r="C5485" t="str">
        <f t="shared" si="2013"/>
        <v>FERNANDEZ</v>
      </c>
      <c r="D5485">
        <f>12</f>
        <v>12</v>
      </c>
      <c r="E5485" t="str">
        <f>"02 - S1 - A - 102 - Richard E Dunbar Iii"</f>
        <v>02 - S1 - A - 102 - Richard E Dunbar Iii</v>
      </c>
      <c r="F5485" t="str">
        <f>"WEIGHT TRAIN 1"</f>
        <v>WEIGHT TRAIN 1</v>
      </c>
      <c r="G5485" t="str">
        <f>"05-501"</f>
        <v>05-501</v>
      </c>
      <c r="H5485" t="str">
        <f>"A"</f>
        <v>A</v>
      </c>
    </row>
    <row r="5486" spans="1:8" x14ac:dyDescent="0.2">
      <c r="A5486" t="str">
        <f t="shared" si="2014"/>
        <v>0612076401</v>
      </c>
      <c r="B5486" t="str">
        <f t="shared" si="2015"/>
        <v>DAVID</v>
      </c>
      <c r="C5486" t="str">
        <f t="shared" si="2013"/>
        <v>FERNANDEZ</v>
      </c>
      <c r="D5486">
        <f>12</f>
        <v>12</v>
      </c>
      <c r="E5486" t="str">
        <f>"07 - S1 - B - 103 - Robert O Burger"</f>
        <v>07 - S1 - B - 103 - Robert O Burger</v>
      </c>
      <c r="F5486" t="str">
        <f>"US GOVT"</f>
        <v>US GOVT</v>
      </c>
      <c r="G5486" t="str">
        <f>"17-1755"</f>
        <v>17-1755</v>
      </c>
      <c r="H5486" t="str">
        <f>"B"</f>
        <v>B</v>
      </c>
    </row>
    <row r="5487" spans="1:8" x14ac:dyDescent="0.2">
      <c r="A5487" t="str">
        <f t="shared" si="2014"/>
        <v>0612076401</v>
      </c>
      <c r="B5487" t="str">
        <f t="shared" si="2015"/>
        <v>DAVID</v>
      </c>
      <c r="C5487" t="str">
        <f t="shared" si="2013"/>
        <v>FERNANDEZ</v>
      </c>
      <c r="D5487">
        <f>12</f>
        <v>12</v>
      </c>
      <c r="E5487" t="str">
        <f>"05 - B - 104 - Jeffrey S Gallagher"</f>
        <v>05 - B - 104 - Jeffrey S Gallagher</v>
      </c>
      <c r="F5487" t="str">
        <f>"ENG HON 4"</f>
        <v>ENG HON 4</v>
      </c>
      <c r="G5487" t="str">
        <f>"17-1724"</f>
        <v>17-1724</v>
      </c>
      <c r="H5487" t="str">
        <f>"B"</f>
        <v>B</v>
      </c>
    </row>
    <row r="5488" spans="1:8" x14ac:dyDescent="0.2">
      <c r="A5488" t="str">
        <f t="shared" si="2014"/>
        <v>0612076401</v>
      </c>
      <c r="B5488" t="str">
        <f t="shared" si="2015"/>
        <v>DAVID</v>
      </c>
      <c r="C5488" t="str">
        <f t="shared" si="2013"/>
        <v>FERNANDEZ</v>
      </c>
      <c r="D5488">
        <f>12</f>
        <v>12</v>
      </c>
      <c r="E5488" t="str">
        <f>"01 - A - 101 - Thomas G Handwerg"</f>
        <v>01 - A - 101 - Thomas G Handwerg</v>
      </c>
      <c r="F5488" t="str">
        <f>"PROB STAT W/APPS HON"</f>
        <v>PROB STAT W/APPS HON</v>
      </c>
      <c r="G5488" t="str">
        <f>"21-2146"</f>
        <v>21-2146</v>
      </c>
      <c r="H5488" t="str">
        <f>"A"</f>
        <v>A</v>
      </c>
    </row>
    <row r="5489" spans="1:8" x14ac:dyDescent="0.2">
      <c r="A5489" t="str">
        <f t="shared" si="2014"/>
        <v>0612076401</v>
      </c>
      <c r="B5489" t="str">
        <f t="shared" si="2015"/>
        <v>DAVID</v>
      </c>
      <c r="C5489" t="str">
        <f t="shared" si="2013"/>
        <v>FERNANDEZ</v>
      </c>
      <c r="D5489">
        <f>12</f>
        <v>12</v>
      </c>
      <c r="E5489" t="str">
        <f>"08 - B - 101 - Eva T Rimmer"</f>
        <v>08 - B - 101 - Eva T Rimmer</v>
      </c>
      <c r="F5489" t="str">
        <f>"CRIM JUST OPS 3 HON"</f>
        <v>CRIM JUST OPS 3 HON</v>
      </c>
      <c r="G5489" t="str">
        <f>"05-523"</f>
        <v>05-523</v>
      </c>
      <c r="H5489" t="str">
        <f>"B"</f>
        <v>B</v>
      </c>
    </row>
    <row r="5490" spans="1:8" x14ac:dyDescent="0.2">
      <c r="A5490" t="str">
        <f t="shared" ref="A5490:A5497" si="2016">"0614115672"</f>
        <v>0614115672</v>
      </c>
      <c r="B5490" t="str">
        <f t="shared" ref="B5490:B5497" si="2017">"ISABELLA"</f>
        <v>ISABELLA</v>
      </c>
      <c r="C5490" t="str">
        <f t="shared" si="2013"/>
        <v>FERNANDEZ</v>
      </c>
      <c r="D5490">
        <f>11</f>
        <v>11</v>
      </c>
      <c r="E5490" t="str">
        <f>"04 - A - 101 - Jerry S Jiampetti"</f>
        <v>04 - A - 101 - Jerry S Jiampetti</v>
      </c>
      <c r="F5490" t="str">
        <f>"AICE U.S. HIST 1 AS"</f>
        <v>AICE U.S. HIST 1 AS</v>
      </c>
      <c r="G5490" t="str">
        <f>"17-1751"</f>
        <v>17-1751</v>
      </c>
      <c r="H5490" t="str">
        <f>"A"</f>
        <v>A</v>
      </c>
    </row>
    <row r="5491" spans="1:8" x14ac:dyDescent="0.2">
      <c r="A5491" t="str">
        <f t="shared" si="2016"/>
        <v>0614115672</v>
      </c>
      <c r="B5491" t="str">
        <f t="shared" si="2017"/>
        <v>ISABELLA</v>
      </c>
      <c r="C5491" t="str">
        <f t="shared" si="2013"/>
        <v>FERNANDEZ</v>
      </c>
      <c r="D5491">
        <f>11</f>
        <v>11</v>
      </c>
      <c r="E5491" t="str">
        <f>"06 - B - 101 - Bruce A Evans"</f>
        <v>06 - B - 101 - Bruce A Evans</v>
      </c>
      <c r="F5491" t="str">
        <f>"EMERG MED RESP 3 HON"</f>
        <v>EMERG MED RESP 3 HON</v>
      </c>
      <c r="G5491" t="str">
        <f>"21-2142"</f>
        <v>21-2142</v>
      </c>
      <c r="H5491" t="str">
        <f>"B"</f>
        <v>B</v>
      </c>
    </row>
    <row r="5492" spans="1:8" x14ac:dyDescent="0.2">
      <c r="A5492" t="str">
        <f t="shared" si="2016"/>
        <v>0614115672</v>
      </c>
      <c r="B5492" t="str">
        <f t="shared" si="2017"/>
        <v>ISABELLA</v>
      </c>
      <c r="C5492" t="str">
        <f t="shared" si="2013"/>
        <v>FERNANDEZ</v>
      </c>
      <c r="D5492">
        <f>11</f>
        <v>11</v>
      </c>
      <c r="E5492" t="str">
        <f>"03 - A - 202 - Bruce A Evans"</f>
        <v>03 - A - 202 - Bruce A Evans</v>
      </c>
      <c r="F5492" t="str">
        <f>"HEALTH SCI FOUND HON"</f>
        <v>HEALTH SCI FOUND HON</v>
      </c>
      <c r="G5492" t="str">
        <f>"21-2142"</f>
        <v>21-2142</v>
      </c>
      <c r="H5492" t="str">
        <f>"A"</f>
        <v>A</v>
      </c>
    </row>
    <row r="5493" spans="1:8" x14ac:dyDescent="0.2">
      <c r="A5493" t="str">
        <f t="shared" si="2016"/>
        <v>0614115672</v>
      </c>
      <c r="B5493" t="str">
        <f t="shared" si="2017"/>
        <v>ISABELLA</v>
      </c>
      <c r="C5493" t="str">
        <f t="shared" si="2013"/>
        <v>FERNANDEZ</v>
      </c>
      <c r="D5493">
        <f>11</f>
        <v>11</v>
      </c>
      <c r="E5493" t="str">
        <f>"02 - A - 112 - Brandy N Zdenek"</f>
        <v>02 - A - 112 - Brandy N Zdenek</v>
      </c>
      <c r="F5493" t="str">
        <f>"NC STUDY HALL 1"</f>
        <v>NC STUDY HALL 1</v>
      </c>
      <c r="G5493" t="str">
        <f>"17-1704"</f>
        <v>17-1704</v>
      </c>
      <c r="H5493" t="str">
        <f>"A"</f>
        <v>A</v>
      </c>
    </row>
    <row r="5494" spans="1:8" x14ac:dyDescent="0.2">
      <c r="A5494" t="str">
        <f t="shared" si="2016"/>
        <v>0614115672</v>
      </c>
      <c r="B5494" t="str">
        <f t="shared" si="2017"/>
        <v>ISABELLA</v>
      </c>
      <c r="C5494" t="str">
        <f t="shared" si="2013"/>
        <v>FERNANDEZ</v>
      </c>
      <c r="D5494">
        <f>11</f>
        <v>11</v>
      </c>
      <c r="E5494" t="str">
        <f>"07 - B - 107 - Semra  Bahadir"</f>
        <v>07 - B - 107 - Semra  Bahadir</v>
      </c>
      <c r="F5494" t="str">
        <f>"MATH COLL ALGEBRA"</f>
        <v>MATH COLL ALGEBRA</v>
      </c>
      <c r="G5494" t="str">
        <f>"21-2107"</f>
        <v>21-2107</v>
      </c>
      <c r="H5494" t="str">
        <f>"B"</f>
        <v>B</v>
      </c>
    </row>
    <row r="5495" spans="1:8" x14ac:dyDescent="0.2">
      <c r="A5495" t="str">
        <f t="shared" si="2016"/>
        <v>0614115672</v>
      </c>
      <c r="B5495" t="str">
        <f t="shared" si="2017"/>
        <v>ISABELLA</v>
      </c>
      <c r="C5495" t="str">
        <f t="shared" si="2013"/>
        <v>FERNANDEZ</v>
      </c>
      <c r="D5495">
        <f>11</f>
        <v>11</v>
      </c>
      <c r="E5495" t="str">
        <f>"05 - B - 001 - Stefanie S Scher"</f>
        <v>05 - B - 001 - Stefanie S Scher</v>
      </c>
      <c r="F5495" t="str">
        <f>"AICE PSYCH 1 AS"</f>
        <v>AICE PSYCH 1 AS</v>
      </c>
      <c r="G5495" t="str">
        <f>"17-1735"</f>
        <v>17-1735</v>
      </c>
      <c r="H5495" t="str">
        <f>"B"</f>
        <v>B</v>
      </c>
    </row>
    <row r="5496" spans="1:8" x14ac:dyDescent="0.2">
      <c r="A5496" t="str">
        <f t="shared" si="2016"/>
        <v>0614115672</v>
      </c>
      <c r="B5496" t="str">
        <f t="shared" si="2017"/>
        <v>ISABELLA</v>
      </c>
      <c r="C5496" t="str">
        <f t="shared" si="2013"/>
        <v>FERNANDEZ</v>
      </c>
      <c r="D5496">
        <f>11</f>
        <v>11</v>
      </c>
      <c r="E5496" t="str">
        <f>"01 - A - 108 - Rosa Elaine  Collado-Duff"</f>
        <v>01 - A - 108 - Rosa Elaine  Collado-Duff</v>
      </c>
      <c r="F5496" t="str">
        <f>"PRE-AICE SPAN 2 IG"</f>
        <v>PRE-AICE SPAN 2 IG</v>
      </c>
      <c r="G5496" t="str">
        <f>"09-913"</f>
        <v>09-913</v>
      </c>
      <c r="H5496" t="str">
        <f>"A"</f>
        <v>A</v>
      </c>
    </row>
    <row r="5497" spans="1:8" x14ac:dyDescent="0.2">
      <c r="A5497" t="str">
        <f t="shared" si="2016"/>
        <v>0614115672</v>
      </c>
      <c r="B5497" t="str">
        <f t="shared" si="2017"/>
        <v>ISABELLA</v>
      </c>
      <c r="C5497" t="str">
        <f t="shared" si="2013"/>
        <v>FERNANDEZ</v>
      </c>
      <c r="D5497">
        <f>11</f>
        <v>11</v>
      </c>
      <c r="E5497" t="str">
        <f>"08 - B - 105 - Brandy N Zdenek"</f>
        <v>08 - B - 105 - Brandy N Zdenek</v>
      </c>
      <c r="F5497" t="str">
        <f>"AICE ENG LANG 2 AL"</f>
        <v>AICE ENG LANG 2 AL</v>
      </c>
      <c r="G5497" t="str">
        <f>"17-1704"</f>
        <v>17-1704</v>
      </c>
      <c r="H5497" t="str">
        <f>"B"</f>
        <v>B</v>
      </c>
    </row>
    <row r="5498" spans="1:8" x14ac:dyDescent="0.2">
      <c r="A5498" t="str">
        <f t="shared" ref="A5498:A5505" si="2018">"0616001533"</f>
        <v>0616001533</v>
      </c>
      <c r="B5498" t="str">
        <f t="shared" ref="B5498:B5505" si="2019">"MONSERRAT"</f>
        <v>MONSERRAT</v>
      </c>
      <c r="C5498" t="str">
        <f t="shared" si="2013"/>
        <v>FERNANDEZ</v>
      </c>
      <c r="D5498">
        <f>10</f>
        <v>10</v>
      </c>
      <c r="E5498" t="str">
        <f>"04 - A - 104 - Courtney E Hambright"</f>
        <v>04 - A - 104 - Courtney E Hambright</v>
      </c>
      <c r="F5498" t="str">
        <f>"AICE ENG LANG AS"</f>
        <v>AICE ENG LANG AS</v>
      </c>
      <c r="G5498" t="str">
        <f>"17-1711"</f>
        <v>17-1711</v>
      </c>
      <c r="H5498" t="str">
        <f>"A"</f>
        <v>A</v>
      </c>
    </row>
    <row r="5499" spans="1:8" x14ac:dyDescent="0.2">
      <c r="A5499" t="str">
        <f t="shared" si="2018"/>
        <v>0616001533</v>
      </c>
      <c r="B5499" t="str">
        <f t="shared" si="2019"/>
        <v>MONSERRAT</v>
      </c>
      <c r="C5499" t="str">
        <f t="shared" si="2013"/>
        <v>FERNANDEZ</v>
      </c>
      <c r="D5499">
        <f>10</f>
        <v>10</v>
      </c>
      <c r="E5499" t="str">
        <f>"06 - B - 118 - Jeanne M Bermudez"</f>
        <v>06 - B - 118 - Jeanne M Bermudez</v>
      </c>
      <c r="F5499" t="str">
        <f>"NC STUDY HALL 1"</f>
        <v>NC STUDY HALL 1</v>
      </c>
      <c r="G5499" t="str">
        <f>"21-2141"</f>
        <v>21-2141</v>
      </c>
      <c r="H5499" t="str">
        <f>"B"</f>
        <v>B</v>
      </c>
    </row>
    <row r="5500" spans="1:8" x14ac:dyDescent="0.2">
      <c r="A5500" t="str">
        <f t="shared" si="2018"/>
        <v>0616001533</v>
      </c>
      <c r="B5500" t="str">
        <f t="shared" si="2019"/>
        <v>MONSERRAT</v>
      </c>
      <c r="C5500" t="str">
        <f t="shared" si="2013"/>
        <v>FERNANDEZ</v>
      </c>
      <c r="D5500">
        <f>10</f>
        <v>10</v>
      </c>
      <c r="E5500" t="str">
        <f>"03 - A - 101 - Scott A Dethloff"</f>
        <v>03 - A - 101 - Scott A Dethloff</v>
      </c>
      <c r="F5500" t="str">
        <f>"CHEMISTRY 1 HON"</f>
        <v>CHEMISTRY 1 HON</v>
      </c>
      <c r="G5500" t="str">
        <f>"08-812"</f>
        <v>08-812</v>
      </c>
      <c r="H5500" t="str">
        <f>"A"</f>
        <v>A</v>
      </c>
    </row>
    <row r="5501" spans="1:8" x14ac:dyDescent="0.2">
      <c r="A5501" t="str">
        <f t="shared" si="2018"/>
        <v>0616001533</v>
      </c>
      <c r="B5501" t="str">
        <f t="shared" si="2019"/>
        <v>MONSERRAT</v>
      </c>
      <c r="C5501" t="str">
        <f t="shared" si="2013"/>
        <v>FERNANDEZ</v>
      </c>
      <c r="D5501">
        <f>10</f>
        <v>10</v>
      </c>
      <c r="E5501" t="str">
        <f>"02 - A - 102 - Vanessa J Liburd"</f>
        <v>02 - A - 102 - Vanessa J Liburd</v>
      </c>
      <c r="F5501" t="str">
        <f>"PRE-AICE FRENCH 2 IG"</f>
        <v>PRE-AICE FRENCH 2 IG</v>
      </c>
      <c r="G5501" t="str">
        <f>"05-519"</f>
        <v>05-519</v>
      </c>
      <c r="H5501" t="str">
        <f>"A"</f>
        <v>A</v>
      </c>
    </row>
    <row r="5502" spans="1:8" x14ac:dyDescent="0.2">
      <c r="A5502" t="str">
        <f t="shared" si="2018"/>
        <v>0616001533</v>
      </c>
      <c r="B5502" t="str">
        <f t="shared" si="2019"/>
        <v>MONSERRAT</v>
      </c>
      <c r="C5502" t="str">
        <f t="shared" si="2013"/>
        <v>FERNANDEZ</v>
      </c>
      <c r="D5502">
        <f>10</f>
        <v>10</v>
      </c>
      <c r="E5502" t="str">
        <f>"07 - B - 102 - Lourivaldo  Da Silva"</f>
        <v>07 - B - 102 - Lourivaldo  Da Silva</v>
      </c>
      <c r="F5502" t="str">
        <f>"ALGEBRA 2 HON"</f>
        <v>ALGEBRA 2 HON</v>
      </c>
      <c r="G5502" t="str">
        <f>"20-2079"</f>
        <v>20-2079</v>
      </c>
      <c r="H5502" t="str">
        <f>"B"</f>
        <v>B</v>
      </c>
    </row>
    <row r="5503" spans="1:8" x14ac:dyDescent="0.2">
      <c r="A5503" t="str">
        <f t="shared" si="2018"/>
        <v>0616001533</v>
      </c>
      <c r="B5503" t="str">
        <f t="shared" si="2019"/>
        <v>MONSERRAT</v>
      </c>
      <c r="C5503" t="str">
        <f t="shared" si="2013"/>
        <v>FERNANDEZ</v>
      </c>
      <c r="D5503">
        <f>10</f>
        <v>10</v>
      </c>
      <c r="E5503" t="str">
        <f>"05 - B - 203 - Chrystina M Marchionne"</f>
        <v>05 - B - 203 - Chrystina M Marchionne</v>
      </c>
      <c r="F5503" t="str">
        <f>"AICE MEDIASTUDIES AS"</f>
        <v>AICE MEDIASTUDIES AS</v>
      </c>
      <c r="G5503" t="str">
        <f>"05-520"</f>
        <v>05-520</v>
      </c>
      <c r="H5503" t="str">
        <f>"B"</f>
        <v>B</v>
      </c>
    </row>
    <row r="5504" spans="1:8" x14ac:dyDescent="0.2">
      <c r="A5504" t="str">
        <f t="shared" si="2018"/>
        <v>0616001533</v>
      </c>
      <c r="B5504" t="str">
        <f t="shared" si="2019"/>
        <v>MONSERRAT</v>
      </c>
      <c r="C5504" t="str">
        <f t="shared" si="2013"/>
        <v>FERNANDEZ</v>
      </c>
      <c r="D5504">
        <f>10</f>
        <v>10</v>
      </c>
      <c r="E5504" t="str">
        <f>"01 - A - 001 - Lenecy  Nodarse"</f>
        <v>01 - A - 001 - Lenecy  Nodarse</v>
      </c>
      <c r="F5504" t="str">
        <f>"AICE EURO HIST 1 AS"</f>
        <v>AICE EURO HIST 1 AS</v>
      </c>
      <c r="G5504" t="str">
        <f>"17-1741"</f>
        <v>17-1741</v>
      </c>
      <c r="H5504" t="str">
        <f>"A"</f>
        <v>A</v>
      </c>
    </row>
    <row r="5505" spans="1:8" x14ac:dyDescent="0.2">
      <c r="A5505" t="str">
        <f t="shared" si="2018"/>
        <v>0616001533</v>
      </c>
      <c r="B5505" t="str">
        <f t="shared" si="2019"/>
        <v>MONSERRAT</v>
      </c>
      <c r="C5505" t="str">
        <f t="shared" si="2013"/>
        <v>FERNANDEZ</v>
      </c>
      <c r="D5505">
        <f>10</f>
        <v>10</v>
      </c>
      <c r="E5505" t="str">
        <f>"08 - B - 201 - Stacey A Blecker"</f>
        <v>08 - B - 201 - Stacey A Blecker</v>
      </c>
      <c r="F5505" t="str">
        <f>"AICE SOCIOLOGY 1 AS"</f>
        <v>AICE SOCIOLOGY 1 AS</v>
      </c>
      <c r="G5505" t="str">
        <f>"09-926"</f>
        <v>09-926</v>
      </c>
      <c r="H5505" t="str">
        <f>"B"</f>
        <v>B</v>
      </c>
    </row>
    <row r="5506" spans="1:8" x14ac:dyDescent="0.2">
      <c r="A5506" t="str">
        <f t="shared" ref="A5506:A5513" si="2020">"0616062642"</f>
        <v>0616062642</v>
      </c>
      <c r="B5506" t="str">
        <f t="shared" ref="B5506:B5513" si="2021">"MYA"</f>
        <v>MYA</v>
      </c>
      <c r="C5506" t="str">
        <f t="shared" ref="C5506:C5529" si="2022">"FERNANDEZ"</f>
        <v>FERNANDEZ</v>
      </c>
      <c r="D5506">
        <f>10</f>
        <v>10</v>
      </c>
      <c r="E5506" t="str">
        <f>"04 - A - 201 - Norayda D Suarez"</f>
        <v>04 - A - 201 - Norayda D Suarez</v>
      </c>
      <c r="F5506" t="str">
        <f>"ANAT PHYSIO HON"</f>
        <v>ANAT PHYSIO HON</v>
      </c>
      <c r="G5506" t="str">
        <f>"21-2142"</f>
        <v>21-2142</v>
      </c>
      <c r="H5506" t="str">
        <f>"A"</f>
        <v>A</v>
      </c>
    </row>
    <row r="5507" spans="1:8" x14ac:dyDescent="0.2">
      <c r="A5507" t="str">
        <f t="shared" si="2020"/>
        <v>0616062642</v>
      </c>
      <c r="B5507" t="str">
        <f t="shared" si="2021"/>
        <v>MYA</v>
      </c>
      <c r="C5507" t="str">
        <f t="shared" si="2022"/>
        <v>FERNANDEZ</v>
      </c>
      <c r="D5507">
        <f>10</f>
        <v>10</v>
      </c>
      <c r="E5507" t="str">
        <f>"06 - B - 110 - Jerry S Jiampetti"</f>
        <v>06 - B - 110 - Jerry S Jiampetti</v>
      </c>
      <c r="F5507" t="str">
        <f>"NC STUDY HALL 1"</f>
        <v>NC STUDY HALL 1</v>
      </c>
      <c r="G5507" t="str">
        <f>"17-1751"</f>
        <v>17-1751</v>
      </c>
      <c r="H5507" t="str">
        <f>"B"</f>
        <v>B</v>
      </c>
    </row>
    <row r="5508" spans="1:8" x14ac:dyDescent="0.2">
      <c r="A5508" t="str">
        <f t="shared" si="2020"/>
        <v>0616062642</v>
      </c>
      <c r="B5508" t="str">
        <f t="shared" si="2021"/>
        <v>MYA</v>
      </c>
      <c r="C5508" t="str">
        <f t="shared" si="2022"/>
        <v>FERNANDEZ</v>
      </c>
      <c r="D5508">
        <f>10</f>
        <v>10</v>
      </c>
      <c r="E5508" t="str">
        <f>"03 - A - 002 - Nikiel  Nesbeth"</f>
        <v>03 - A - 002 - Nikiel  Nesbeth</v>
      </c>
      <c r="F5508" t="str">
        <f>"PRE-AICE ENG LIT IG"</f>
        <v>PRE-AICE ENG LIT IG</v>
      </c>
      <c r="G5508" t="str">
        <f>"17-1705"</f>
        <v>17-1705</v>
      </c>
      <c r="H5508" t="str">
        <f>"A"</f>
        <v>A</v>
      </c>
    </row>
    <row r="5509" spans="1:8" x14ac:dyDescent="0.2">
      <c r="A5509" t="str">
        <f t="shared" si="2020"/>
        <v>0616062642</v>
      </c>
      <c r="B5509" t="str">
        <f t="shared" si="2021"/>
        <v>MYA</v>
      </c>
      <c r="C5509" t="str">
        <f t="shared" si="2022"/>
        <v>FERNANDEZ</v>
      </c>
      <c r="D5509">
        <f>10</f>
        <v>10</v>
      </c>
      <c r="E5509" t="str">
        <f>"02 - A - 102 - Vanessa J Liburd"</f>
        <v>02 - A - 102 - Vanessa J Liburd</v>
      </c>
      <c r="F5509" t="str">
        <f>"PRE-AICE FRENCH 2 IG"</f>
        <v>PRE-AICE FRENCH 2 IG</v>
      </c>
      <c r="G5509" t="str">
        <f>"05-519"</f>
        <v>05-519</v>
      </c>
      <c r="H5509" t="str">
        <f>"A"</f>
        <v>A</v>
      </c>
    </row>
    <row r="5510" spans="1:8" x14ac:dyDescent="0.2">
      <c r="A5510" t="str">
        <f t="shared" si="2020"/>
        <v>0616062642</v>
      </c>
      <c r="B5510" t="str">
        <f t="shared" si="2021"/>
        <v>MYA</v>
      </c>
      <c r="C5510" t="str">
        <f t="shared" si="2022"/>
        <v>FERNANDEZ</v>
      </c>
      <c r="D5510">
        <f>10</f>
        <v>10</v>
      </c>
      <c r="E5510" t="str">
        <f>"07 - B - 201 - Angela S Adeshina-Morrison"</f>
        <v>07 - B - 201 - Angela S Adeshina-Morrison</v>
      </c>
      <c r="F5510" t="str">
        <f>"BUSINESS OWNER HON"</f>
        <v>BUSINESS OWNER HON</v>
      </c>
      <c r="G5510" t="str">
        <f>"05-518"</f>
        <v>05-518</v>
      </c>
      <c r="H5510" t="str">
        <f>"B"</f>
        <v>B</v>
      </c>
    </row>
    <row r="5511" spans="1:8" x14ac:dyDescent="0.2">
      <c r="A5511" t="str">
        <f t="shared" si="2020"/>
        <v>0616062642</v>
      </c>
      <c r="B5511" t="str">
        <f t="shared" si="2021"/>
        <v>MYA</v>
      </c>
      <c r="C5511" t="str">
        <f t="shared" si="2022"/>
        <v>FERNANDEZ</v>
      </c>
      <c r="D5511">
        <f>10</f>
        <v>10</v>
      </c>
      <c r="E5511" t="str">
        <f>"05 - B - 205 - Lenecy  Nodarse"</f>
        <v>05 - B - 205 - Lenecy  Nodarse</v>
      </c>
      <c r="F5511" t="str">
        <f>"WORLD HISTORY"</f>
        <v>WORLD HISTORY</v>
      </c>
      <c r="G5511" t="str">
        <f>"17-1741"</f>
        <v>17-1741</v>
      </c>
      <c r="H5511" t="str">
        <f>"B"</f>
        <v>B</v>
      </c>
    </row>
    <row r="5512" spans="1:8" x14ac:dyDescent="0.2">
      <c r="A5512" t="str">
        <f t="shared" si="2020"/>
        <v>0616062642</v>
      </c>
      <c r="B5512" t="str">
        <f t="shared" si="2021"/>
        <v>MYA</v>
      </c>
      <c r="C5512" t="str">
        <f t="shared" si="2022"/>
        <v>FERNANDEZ</v>
      </c>
      <c r="D5512">
        <f>10</f>
        <v>10</v>
      </c>
      <c r="E5512" t="str">
        <f>"01 - A - 104 - Milca  Exantus"</f>
        <v>01 - A - 104 - Milca  Exantus</v>
      </c>
      <c r="F5512" t="str">
        <f>"MATH COLLEGE LIB ART"</f>
        <v>MATH COLLEGE LIB ART</v>
      </c>
      <c r="G5512" t="str">
        <f>"21-2145"</f>
        <v>21-2145</v>
      </c>
      <c r="H5512" t="str">
        <f>"A"</f>
        <v>A</v>
      </c>
    </row>
    <row r="5513" spans="1:8" x14ac:dyDescent="0.2">
      <c r="A5513" t="str">
        <f t="shared" si="2020"/>
        <v>0616062642</v>
      </c>
      <c r="B5513" t="str">
        <f t="shared" si="2021"/>
        <v>MYA</v>
      </c>
      <c r="C5513" t="str">
        <f t="shared" si="2022"/>
        <v>FERNANDEZ</v>
      </c>
      <c r="D5513">
        <f>10</f>
        <v>10</v>
      </c>
      <c r="E5513" t="str">
        <f>"08 - B - 108 - Adam Marcus  Drucker"</f>
        <v>08 - B - 108 - Adam Marcus  Drucker</v>
      </c>
      <c r="F5513" t="str">
        <f>"HOPE-PE V"</f>
        <v>HOPE-PE V</v>
      </c>
      <c r="G5513" t="str">
        <f>"04-254"</f>
        <v>04-254</v>
      </c>
      <c r="H5513" t="str">
        <f>"B"</f>
        <v>B</v>
      </c>
    </row>
    <row r="5514" spans="1:8" x14ac:dyDescent="0.2">
      <c r="A5514" t="str">
        <f t="shared" ref="A5514:A5521" si="2023">"0619105833"</f>
        <v>0619105833</v>
      </c>
      <c r="B5514" t="str">
        <f t="shared" ref="B5514:B5521" si="2024">"SAMUEL"</f>
        <v>SAMUEL</v>
      </c>
      <c r="C5514" t="str">
        <f t="shared" si="2022"/>
        <v>FERNANDEZ</v>
      </c>
      <c r="D5514" t="str">
        <f t="shared" ref="D5514:D5521" si="2025">"09"</f>
        <v>09</v>
      </c>
      <c r="E5514" t="str">
        <f>"04 - A - 005 - Emmily A Sarmiento"</f>
        <v>04 - A - 005 - Emmily A Sarmiento</v>
      </c>
      <c r="F5514" t="str">
        <f>"AICE GLBL PERSP 1 AS"</f>
        <v>AICE GLBL PERSP 1 AS</v>
      </c>
      <c r="G5514" t="str">
        <f>"17-1743"</f>
        <v>17-1743</v>
      </c>
      <c r="H5514" t="str">
        <f>"A"</f>
        <v>A</v>
      </c>
    </row>
    <row r="5515" spans="1:8" x14ac:dyDescent="0.2">
      <c r="A5515" t="str">
        <f t="shared" si="2023"/>
        <v>0619105833</v>
      </c>
      <c r="B5515" t="str">
        <f t="shared" si="2024"/>
        <v>SAMUEL</v>
      </c>
      <c r="C5515" t="str">
        <f t="shared" si="2022"/>
        <v>FERNANDEZ</v>
      </c>
      <c r="D5515" t="str">
        <f t="shared" si="2025"/>
        <v>09</v>
      </c>
      <c r="E5515" t="str">
        <f>"06 - B - 104 - Lytrell T Dixon"</f>
        <v>06 - B - 104 - Lytrell T Dixon</v>
      </c>
      <c r="F5515" t="str">
        <f>"PRE-AICE BIO IG"</f>
        <v>PRE-AICE BIO IG</v>
      </c>
      <c r="G5515" t="str">
        <f>"08-808"</f>
        <v>08-808</v>
      </c>
      <c r="H5515" t="str">
        <f>"B"</f>
        <v>B</v>
      </c>
    </row>
    <row r="5516" spans="1:8" x14ac:dyDescent="0.2">
      <c r="A5516" t="str">
        <f t="shared" si="2023"/>
        <v>0619105833</v>
      </c>
      <c r="B5516" t="str">
        <f t="shared" si="2024"/>
        <v>SAMUEL</v>
      </c>
      <c r="C5516" t="str">
        <f t="shared" si="2022"/>
        <v>FERNANDEZ</v>
      </c>
      <c r="D5516" t="str">
        <f t="shared" si="2025"/>
        <v>09</v>
      </c>
      <c r="E5516" t="str">
        <f>"03 - A - 005 - Cerine S Stewart"</f>
        <v>03 - A - 005 - Cerine S Stewart</v>
      </c>
      <c r="F5516" t="str">
        <f>"AICE ENG GEN PAPER 1"</f>
        <v>AICE ENG GEN PAPER 1</v>
      </c>
      <c r="G5516" t="str">
        <f>"17-1720"</f>
        <v>17-1720</v>
      </c>
      <c r="H5516" t="str">
        <f>"A"</f>
        <v>A</v>
      </c>
    </row>
    <row r="5517" spans="1:8" x14ac:dyDescent="0.2">
      <c r="A5517" t="str">
        <f t="shared" si="2023"/>
        <v>0619105833</v>
      </c>
      <c r="B5517" t="str">
        <f t="shared" si="2024"/>
        <v>SAMUEL</v>
      </c>
      <c r="C5517" t="str">
        <f t="shared" si="2022"/>
        <v>FERNANDEZ</v>
      </c>
      <c r="D5517" t="str">
        <f t="shared" si="2025"/>
        <v>09</v>
      </c>
      <c r="E5517" t="str">
        <f>"02 - A - 101 - Josiah I Lacy"</f>
        <v>02 - A - 101 - Josiah I Lacy</v>
      </c>
      <c r="F5517" t="str">
        <f>"NC STUDY HALL 1"</f>
        <v>NC STUDY HALL 1</v>
      </c>
      <c r="G5517" t="str">
        <f>"08-801"</f>
        <v>08-801</v>
      </c>
      <c r="H5517" t="str">
        <f>"A"</f>
        <v>A</v>
      </c>
    </row>
    <row r="5518" spans="1:8" x14ac:dyDescent="0.2">
      <c r="A5518" t="str">
        <f t="shared" si="2023"/>
        <v>0619105833</v>
      </c>
      <c r="B5518" t="str">
        <f t="shared" si="2024"/>
        <v>SAMUEL</v>
      </c>
      <c r="C5518" t="str">
        <f t="shared" si="2022"/>
        <v>FERNANDEZ</v>
      </c>
      <c r="D5518" t="str">
        <f t="shared" si="2025"/>
        <v>09</v>
      </c>
      <c r="E5518" t="str">
        <f>"07 - B - 107 - Brook E Goren"</f>
        <v>07 - B - 107 - Brook E Goren</v>
      </c>
      <c r="F5518" t="str">
        <f>"PRE-AICE MATH 2 IG"</f>
        <v>PRE-AICE MATH 2 IG</v>
      </c>
      <c r="G5518" t="str">
        <f>"21-2158"</f>
        <v>21-2158</v>
      </c>
      <c r="H5518" t="str">
        <f>"B"</f>
        <v>B</v>
      </c>
    </row>
    <row r="5519" spans="1:8" x14ac:dyDescent="0.2">
      <c r="A5519" t="str">
        <f t="shared" si="2023"/>
        <v>0619105833</v>
      </c>
      <c r="B5519" t="str">
        <f t="shared" si="2024"/>
        <v>SAMUEL</v>
      </c>
      <c r="C5519" t="str">
        <f t="shared" si="2022"/>
        <v>FERNANDEZ</v>
      </c>
      <c r="D5519" t="str">
        <f t="shared" si="2025"/>
        <v>09</v>
      </c>
      <c r="E5519" t="str">
        <f>"05 - B - 103 - Byron G Montenegro"</f>
        <v>05 - B - 103 - Byron G Montenegro</v>
      </c>
      <c r="F5519" t="str">
        <f>"AICE MARINE SCI 1 AS"</f>
        <v>AICE MARINE SCI 1 AS</v>
      </c>
      <c r="G5519" t="str">
        <f>"21-2144"</f>
        <v>21-2144</v>
      </c>
      <c r="H5519" t="str">
        <f>"B"</f>
        <v>B</v>
      </c>
    </row>
    <row r="5520" spans="1:8" x14ac:dyDescent="0.2">
      <c r="A5520" t="str">
        <f t="shared" si="2023"/>
        <v>0619105833</v>
      </c>
      <c r="B5520" t="str">
        <f t="shared" si="2024"/>
        <v>SAMUEL</v>
      </c>
      <c r="C5520" t="str">
        <f t="shared" si="2022"/>
        <v>FERNANDEZ</v>
      </c>
      <c r="D5520" t="str">
        <f t="shared" si="2025"/>
        <v>09</v>
      </c>
      <c r="E5520" t="str">
        <f>"01 - A - 101 - Angela S Adeshina-Morrison"</f>
        <v>01 - A - 101 - Angela S Adeshina-Morrison</v>
      </c>
      <c r="F5520" t="str">
        <f>"MARKETING ESSENTIALS"</f>
        <v>MARKETING ESSENTIALS</v>
      </c>
      <c r="G5520" t="str">
        <f>"05-518"</f>
        <v>05-518</v>
      </c>
      <c r="H5520" t="str">
        <f>"A"</f>
        <v>A</v>
      </c>
    </row>
    <row r="5521" spans="1:8" x14ac:dyDescent="0.2">
      <c r="A5521" t="str">
        <f t="shared" si="2023"/>
        <v>0619105833</v>
      </c>
      <c r="B5521" t="str">
        <f t="shared" si="2024"/>
        <v>SAMUEL</v>
      </c>
      <c r="C5521" t="str">
        <f t="shared" si="2022"/>
        <v>FERNANDEZ</v>
      </c>
      <c r="D5521" t="str">
        <f t="shared" si="2025"/>
        <v>09</v>
      </c>
      <c r="E5521" t="str">
        <f>"08 - B - 001 - Brian M Fitzgerald"</f>
        <v>08 - B - 001 - Brian M Fitzgerald</v>
      </c>
      <c r="F5521" t="str">
        <f>"CERAM/POT 1"</f>
        <v>CERAM/POT 1</v>
      </c>
      <c r="G5521" t="str">
        <f>"09-908"</f>
        <v>09-908</v>
      </c>
      <c r="H5521" t="str">
        <f>"B"</f>
        <v>B</v>
      </c>
    </row>
    <row r="5522" spans="1:8" x14ac:dyDescent="0.2">
      <c r="A5522" t="str">
        <f t="shared" ref="A5522:A5529" si="2026">"0615100679"</f>
        <v>0615100679</v>
      </c>
      <c r="B5522" t="str">
        <f t="shared" ref="B5522:B5529" si="2027">"SEBASTIAN"</f>
        <v>SEBASTIAN</v>
      </c>
      <c r="C5522" t="str">
        <f t="shared" si="2022"/>
        <v>FERNANDEZ</v>
      </c>
      <c r="D5522">
        <f>10</f>
        <v>10</v>
      </c>
      <c r="E5522" t="str">
        <f>"04 - S1 - A - 103 - Rory T Sponsler"</f>
        <v>04 - S1 - A - 103 - Rory T Sponsler</v>
      </c>
      <c r="F5522" t="str">
        <f>"WOMENS STUDIES LH"</f>
        <v>WOMENS STUDIES LH</v>
      </c>
      <c r="G5522" t="str">
        <f>"17-1740"</f>
        <v>17-1740</v>
      </c>
      <c r="H5522" t="str">
        <f>"A"</f>
        <v>A</v>
      </c>
    </row>
    <row r="5523" spans="1:8" x14ac:dyDescent="0.2">
      <c r="A5523" t="str">
        <f t="shared" si="2026"/>
        <v>0615100679</v>
      </c>
      <c r="B5523" t="str">
        <f t="shared" si="2027"/>
        <v>SEBASTIAN</v>
      </c>
      <c r="C5523" t="str">
        <f t="shared" si="2022"/>
        <v>FERNANDEZ</v>
      </c>
      <c r="D5523">
        <f>10</f>
        <v>10</v>
      </c>
      <c r="E5523" t="str">
        <f>"06 - B - 108 - Jacklyn M James"</f>
        <v>06 - B - 108 - Jacklyn M James</v>
      </c>
      <c r="F5523" t="str">
        <f>"NC STUDY HALL 1"</f>
        <v>NC STUDY HALL 1</v>
      </c>
      <c r="G5523" t="str">
        <f>"17-1731"</f>
        <v>17-1731</v>
      </c>
      <c r="H5523" t="str">
        <f>"B"</f>
        <v>B</v>
      </c>
    </row>
    <row r="5524" spans="1:8" x14ac:dyDescent="0.2">
      <c r="A5524" t="str">
        <f t="shared" si="2026"/>
        <v>0615100679</v>
      </c>
      <c r="B5524" t="str">
        <f t="shared" si="2027"/>
        <v>SEBASTIAN</v>
      </c>
      <c r="C5524" t="str">
        <f t="shared" si="2022"/>
        <v>FERNANDEZ</v>
      </c>
      <c r="D5524">
        <f>10</f>
        <v>10</v>
      </c>
      <c r="E5524" t="str">
        <f>"03 - A - 103 - Marius D Orsolini"</f>
        <v>03 - A - 103 - Marius D Orsolini</v>
      </c>
      <c r="F5524" t="str">
        <f>"CULINARY ARTS 1"</f>
        <v>CULINARY ARTS 1</v>
      </c>
      <c r="G5524" t="str">
        <f>"21-2115"</f>
        <v>21-2115</v>
      </c>
      <c r="H5524" t="str">
        <f>"A"</f>
        <v>A</v>
      </c>
    </row>
    <row r="5525" spans="1:8" x14ac:dyDescent="0.2">
      <c r="A5525" t="str">
        <f t="shared" si="2026"/>
        <v>0615100679</v>
      </c>
      <c r="B5525" t="str">
        <f t="shared" si="2027"/>
        <v>SEBASTIAN</v>
      </c>
      <c r="C5525" t="str">
        <f t="shared" si="2022"/>
        <v>FERNANDEZ</v>
      </c>
      <c r="D5525">
        <f>10</f>
        <v>10</v>
      </c>
      <c r="E5525" t="str">
        <f>"02 - A - 105 - Semra  Bahadir"</f>
        <v>02 - A - 105 - Semra  Bahadir</v>
      </c>
      <c r="F5525" t="str">
        <f>"ALGEBRA 2"</f>
        <v>ALGEBRA 2</v>
      </c>
      <c r="G5525" t="str">
        <f>"21-2107"</f>
        <v>21-2107</v>
      </c>
      <c r="H5525" t="str">
        <f>"A"</f>
        <v>A</v>
      </c>
    </row>
    <row r="5526" spans="1:8" x14ac:dyDescent="0.2">
      <c r="A5526" t="str">
        <f t="shared" si="2026"/>
        <v>0615100679</v>
      </c>
      <c r="B5526" t="str">
        <f t="shared" si="2027"/>
        <v>SEBASTIAN</v>
      </c>
      <c r="C5526" t="str">
        <f t="shared" si="2022"/>
        <v>FERNANDEZ</v>
      </c>
      <c r="D5526">
        <f>10</f>
        <v>10</v>
      </c>
      <c r="E5526" t="str">
        <f>"07 - B - 107 - Jacklyn M James"</f>
        <v>07 - B - 107 - Jacklyn M James</v>
      </c>
      <c r="F5526" t="str">
        <f>"AICE ENG LANG AS"</f>
        <v>AICE ENG LANG AS</v>
      </c>
      <c r="G5526" t="str">
        <f>"17-1731"</f>
        <v>17-1731</v>
      </c>
      <c r="H5526" t="str">
        <f>"B"</f>
        <v>B</v>
      </c>
    </row>
    <row r="5527" spans="1:8" x14ac:dyDescent="0.2">
      <c r="A5527" t="str">
        <f t="shared" si="2026"/>
        <v>0615100679</v>
      </c>
      <c r="B5527" t="str">
        <f t="shared" si="2027"/>
        <v>SEBASTIAN</v>
      </c>
      <c r="C5527" t="str">
        <f t="shared" si="2022"/>
        <v>FERNANDEZ</v>
      </c>
      <c r="D5527">
        <f>10</f>
        <v>10</v>
      </c>
      <c r="E5527" t="str">
        <f>"05 - B - 108 - Valerie J Ruwe"</f>
        <v>05 - B - 108 - Valerie J Ruwe</v>
      </c>
      <c r="F5527" t="str">
        <f>"CHEMISTRY 1 HON"</f>
        <v>CHEMISTRY 1 HON</v>
      </c>
      <c r="G5527" t="str">
        <f>"21-2138"</f>
        <v>21-2138</v>
      </c>
      <c r="H5527" t="str">
        <f>"B"</f>
        <v>B</v>
      </c>
    </row>
    <row r="5528" spans="1:8" x14ac:dyDescent="0.2">
      <c r="A5528" t="str">
        <f t="shared" si="2026"/>
        <v>0615100679</v>
      </c>
      <c r="B5528" t="str">
        <f t="shared" si="2027"/>
        <v>SEBASTIAN</v>
      </c>
      <c r="C5528" t="str">
        <f t="shared" si="2022"/>
        <v>FERNANDEZ</v>
      </c>
      <c r="D5528">
        <f>10</f>
        <v>10</v>
      </c>
      <c r="E5528" t="str">
        <f>"01 - A - 002 - Krystal Marie  Beruty"</f>
        <v>01 - A - 002 - Krystal Marie  Beruty</v>
      </c>
      <c r="F5528" t="str">
        <f>"AICE GLBL PERSP 1 AS"</f>
        <v>AICE GLBL PERSP 1 AS</v>
      </c>
      <c r="G5528" t="str">
        <f>"17-1721"</f>
        <v>17-1721</v>
      </c>
      <c r="H5528" t="str">
        <f>"A"</f>
        <v>A</v>
      </c>
    </row>
    <row r="5529" spans="1:8" x14ac:dyDescent="0.2">
      <c r="A5529" t="str">
        <f t="shared" si="2026"/>
        <v>0615100679</v>
      </c>
      <c r="B5529" t="str">
        <f t="shared" si="2027"/>
        <v>SEBASTIAN</v>
      </c>
      <c r="C5529" t="str">
        <f t="shared" si="2022"/>
        <v>FERNANDEZ</v>
      </c>
      <c r="D5529">
        <f>10</f>
        <v>10</v>
      </c>
      <c r="E5529" t="str">
        <f>"08 - B - 206 - Daniel S Katz"</f>
        <v>08 - B - 206 - Daniel S Katz</v>
      </c>
      <c r="F5529" t="str">
        <f>"AICE MEDIASTUDIES AS"</f>
        <v>AICE MEDIASTUDIES AS</v>
      </c>
      <c r="G5529" t="str">
        <f>"05-521"</f>
        <v>05-521</v>
      </c>
      <c r="H5529" t="str">
        <f>"B"</f>
        <v>B</v>
      </c>
    </row>
    <row r="5530" spans="1:8" x14ac:dyDescent="0.2">
      <c r="A5530" t="str">
        <f t="shared" ref="A5530:A5538" si="2028">"0615098420"</f>
        <v>0615098420</v>
      </c>
      <c r="B5530" t="str">
        <f t="shared" ref="B5530:B5538" si="2029">"JAYDEN"</f>
        <v>JAYDEN</v>
      </c>
      <c r="C5530" t="str">
        <f t="shared" ref="C5530:C5538" si="2030">"FERNANDEZESCALONA"</f>
        <v>FERNANDEZESCALONA</v>
      </c>
      <c r="D5530" t="str">
        <f t="shared" ref="D5530:D5538" si="2031">"09"</f>
        <v>09</v>
      </c>
      <c r="E5530" t="str">
        <f>"04 - A - 101 - Staci M Newton"</f>
        <v>04 - A - 101 - Staci M Newton</v>
      </c>
      <c r="F5530" t="str">
        <f>"ACCESS HEALTH/SAFETY"</f>
        <v>ACCESS HEALTH/SAFETY</v>
      </c>
      <c r="G5530" t="str">
        <f t="shared" ref="G5530:G5536" si="2032">"21-2103"</f>
        <v>21-2103</v>
      </c>
      <c r="H5530" t="str">
        <f>"A"</f>
        <v>A</v>
      </c>
    </row>
    <row r="5531" spans="1:8" x14ac:dyDescent="0.2">
      <c r="A5531" t="str">
        <f t="shared" si="2028"/>
        <v>0615098420</v>
      </c>
      <c r="B5531" t="str">
        <f t="shared" si="2029"/>
        <v>JAYDEN</v>
      </c>
      <c r="C5531" t="str">
        <f t="shared" si="2030"/>
        <v>FERNANDEZESCALONA</v>
      </c>
      <c r="D5531" t="str">
        <f t="shared" si="2031"/>
        <v>09</v>
      </c>
      <c r="E5531" t="str">
        <f>"06 - B - 101 - Staci M Newton"</f>
        <v>06 - B - 101 - Staci M Newton</v>
      </c>
      <c r="F5531" t="str">
        <f>"NC STUDY HALL 1"</f>
        <v>NC STUDY HALL 1</v>
      </c>
      <c r="G5531" t="str">
        <f t="shared" si="2032"/>
        <v>21-2103</v>
      </c>
      <c r="H5531" t="str">
        <f>"B"</f>
        <v>B</v>
      </c>
    </row>
    <row r="5532" spans="1:8" x14ac:dyDescent="0.2">
      <c r="A5532" t="str">
        <f t="shared" si="2028"/>
        <v>0615098420</v>
      </c>
      <c r="B5532" t="str">
        <f t="shared" si="2029"/>
        <v>JAYDEN</v>
      </c>
      <c r="C5532" t="str">
        <f t="shared" si="2030"/>
        <v>FERNANDEZESCALONA</v>
      </c>
      <c r="D5532" t="str">
        <f t="shared" si="2031"/>
        <v>09</v>
      </c>
      <c r="E5532" t="str">
        <f>"03 - A - 101 - Staci M Newton"</f>
        <v>03 - A - 101 - Staci M Newton</v>
      </c>
      <c r="F5532" t="str">
        <f>"ACCESS BIOLOGY 1"</f>
        <v>ACCESS BIOLOGY 1</v>
      </c>
      <c r="G5532" t="str">
        <f t="shared" si="2032"/>
        <v>21-2103</v>
      </c>
      <c r="H5532" t="str">
        <f>"A"</f>
        <v>A</v>
      </c>
    </row>
    <row r="5533" spans="1:8" x14ac:dyDescent="0.2">
      <c r="A5533" t="str">
        <f t="shared" si="2028"/>
        <v>0615098420</v>
      </c>
      <c r="B5533" t="str">
        <f t="shared" si="2029"/>
        <v>JAYDEN</v>
      </c>
      <c r="C5533" t="str">
        <f t="shared" si="2030"/>
        <v>FERNANDEZESCALONA</v>
      </c>
      <c r="D5533" t="str">
        <f t="shared" si="2031"/>
        <v>09</v>
      </c>
      <c r="E5533" t="str">
        <f>"02 - A - 101 - Staci M Newton"</f>
        <v>02 - A - 101 - Staci M Newton</v>
      </c>
      <c r="F5533" t="str">
        <f>"ACCESS ALGEBRA 1A"</f>
        <v>ACCESS ALGEBRA 1A</v>
      </c>
      <c r="G5533" t="str">
        <f t="shared" si="2032"/>
        <v>21-2103</v>
      </c>
      <c r="H5533" t="str">
        <f>"A"</f>
        <v>A</v>
      </c>
    </row>
    <row r="5534" spans="1:8" x14ac:dyDescent="0.2">
      <c r="A5534" t="str">
        <f t="shared" si="2028"/>
        <v>0615098420</v>
      </c>
      <c r="B5534" t="str">
        <f t="shared" si="2029"/>
        <v>JAYDEN</v>
      </c>
      <c r="C5534" t="str">
        <f t="shared" si="2030"/>
        <v>FERNANDEZESCALONA</v>
      </c>
      <c r="D5534" t="str">
        <f t="shared" si="2031"/>
        <v>09</v>
      </c>
      <c r="E5534" t="str">
        <f>"07 - B - 101 - Staci M Newton"</f>
        <v>07 - B - 101 - Staci M Newton</v>
      </c>
      <c r="F5534" t="str">
        <f>"CAREER ED: 9-12"</f>
        <v>CAREER ED: 9-12</v>
      </c>
      <c r="G5534" t="str">
        <f t="shared" si="2032"/>
        <v>21-2103</v>
      </c>
      <c r="H5534" t="str">
        <f>"B"</f>
        <v>B</v>
      </c>
    </row>
    <row r="5535" spans="1:8" x14ac:dyDescent="0.2">
      <c r="A5535" t="str">
        <f t="shared" si="2028"/>
        <v>0615098420</v>
      </c>
      <c r="B5535" t="str">
        <f t="shared" si="2029"/>
        <v>JAYDEN</v>
      </c>
      <c r="C5535" t="str">
        <f t="shared" si="2030"/>
        <v>FERNANDEZESCALONA</v>
      </c>
      <c r="D5535" t="str">
        <f t="shared" si="2031"/>
        <v>09</v>
      </c>
      <c r="E5535" t="str">
        <f>"05 - B - 101 - Staci M Newton"</f>
        <v>05 - B - 101 - Staci M Newton</v>
      </c>
      <c r="F5535" t="str">
        <f>"ACCESS WORLD HISTORY"</f>
        <v>ACCESS WORLD HISTORY</v>
      </c>
      <c r="G5535" t="str">
        <f t="shared" si="2032"/>
        <v>21-2103</v>
      </c>
      <c r="H5535" t="str">
        <f>"B"</f>
        <v>B</v>
      </c>
    </row>
    <row r="5536" spans="1:8" x14ac:dyDescent="0.2">
      <c r="A5536" t="str">
        <f t="shared" si="2028"/>
        <v>0615098420</v>
      </c>
      <c r="B5536" t="str">
        <f t="shared" si="2029"/>
        <v>JAYDEN</v>
      </c>
      <c r="C5536" t="str">
        <f t="shared" si="2030"/>
        <v>FERNANDEZESCALONA</v>
      </c>
      <c r="D5536" t="str">
        <f t="shared" si="2031"/>
        <v>09</v>
      </c>
      <c r="E5536" t="str">
        <f>"01 - A - 101 - Staci M Newton"</f>
        <v>01 - A - 101 - Staci M Newton</v>
      </c>
      <c r="F5536" t="str">
        <f>"ACCESS ENGLISH 1"</f>
        <v>ACCESS ENGLISH 1</v>
      </c>
      <c r="G5536" t="str">
        <f t="shared" si="2032"/>
        <v>21-2103</v>
      </c>
      <c r="H5536" t="str">
        <f>"A"</f>
        <v>A</v>
      </c>
    </row>
    <row r="5537" spans="1:8" x14ac:dyDescent="0.2">
      <c r="A5537" t="str">
        <f t="shared" si="2028"/>
        <v>0615098420</v>
      </c>
      <c r="B5537" t="str">
        <f t="shared" si="2029"/>
        <v>JAYDEN</v>
      </c>
      <c r="C5537" t="str">
        <f t="shared" si="2030"/>
        <v>FERNANDEZESCALONA</v>
      </c>
      <c r="D5537" t="str">
        <f t="shared" si="2031"/>
        <v>09</v>
      </c>
      <c r="E5537" t="str">
        <f>"01 - A - 101 - Eric  Lopapa"</f>
        <v>01 - A - 101 - Eric  Lopapa</v>
      </c>
      <c r="F5537" t="str">
        <f>"LANG THERAPY"</f>
        <v>LANG THERAPY</v>
      </c>
      <c r="G5537" t="str">
        <f>"21-2110"</f>
        <v>21-2110</v>
      </c>
      <c r="H5537" t="str">
        <f>"A"</f>
        <v>A</v>
      </c>
    </row>
    <row r="5538" spans="1:8" x14ac:dyDescent="0.2">
      <c r="A5538" t="str">
        <f t="shared" si="2028"/>
        <v>0615098420</v>
      </c>
      <c r="B5538" t="str">
        <f t="shared" si="2029"/>
        <v>JAYDEN</v>
      </c>
      <c r="C5538" t="str">
        <f t="shared" si="2030"/>
        <v>FERNANDEZESCALONA</v>
      </c>
      <c r="D5538" t="str">
        <f t="shared" si="2031"/>
        <v>09</v>
      </c>
      <c r="E5538" t="str">
        <f>"08 - B - 101 - Jazmin S Fletcher"</f>
        <v>08 - B - 101 - Jazmin S Fletcher</v>
      </c>
      <c r="F5538" t="str">
        <f>"PRE-AICE DRAMA 1G"</f>
        <v>PRE-AICE DRAMA 1G</v>
      </c>
      <c r="G5538" t="str">
        <f>"09-909"</f>
        <v>09-909</v>
      </c>
      <c r="H5538" t="str">
        <f>"B"</f>
        <v>B</v>
      </c>
    </row>
    <row r="5539" spans="1:8" x14ac:dyDescent="0.2">
      <c r="A5539" t="str">
        <f t="shared" ref="A5539:A5546" si="2033">"0616086071"</f>
        <v>0616086071</v>
      </c>
      <c r="B5539" t="str">
        <f t="shared" ref="B5539:B5546" si="2034">"ALYSSA"</f>
        <v>ALYSSA</v>
      </c>
      <c r="C5539" t="str">
        <f t="shared" ref="C5539:C5546" si="2035">"FERNANDEZ-MONTAS"</f>
        <v>FERNANDEZ-MONTAS</v>
      </c>
      <c r="D5539">
        <f>12</f>
        <v>12</v>
      </c>
      <c r="E5539" t="str">
        <f>"04 - A - 201 - Norayda D Suarez"</f>
        <v>04 - A - 201 - Norayda D Suarez</v>
      </c>
      <c r="F5539" t="str">
        <f>"ANAT PHYSIO HON"</f>
        <v>ANAT PHYSIO HON</v>
      </c>
      <c r="G5539" t="str">
        <f>"21-2142"</f>
        <v>21-2142</v>
      </c>
      <c r="H5539" t="str">
        <f>"A"</f>
        <v>A</v>
      </c>
    </row>
    <row r="5540" spans="1:8" x14ac:dyDescent="0.2">
      <c r="A5540" t="str">
        <f t="shared" si="2033"/>
        <v>0616086071</v>
      </c>
      <c r="B5540" t="str">
        <f t="shared" si="2034"/>
        <v>ALYSSA</v>
      </c>
      <c r="C5540" t="str">
        <f t="shared" si="2035"/>
        <v>FERNANDEZ-MONTAS</v>
      </c>
      <c r="D5540">
        <f>12</f>
        <v>12</v>
      </c>
      <c r="E5540" t="str">
        <f>"06 - B - 104 - Lissa C Frederique"</f>
        <v>06 - B - 104 - Lissa C Frederique</v>
      </c>
      <c r="F5540" t="str">
        <f>"NC STUDY HALL 1"</f>
        <v>NC STUDY HALL 1</v>
      </c>
      <c r="G5540" t="str">
        <f>"17-1754"</f>
        <v>17-1754</v>
      </c>
      <c r="H5540" t="str">
        <f>"B"</f>
        <v>B</v>
      </c>
    </row>
    <row r="5541" spans="1:8" x14ac:dyDescent="0.2">
      <c r="A5541" t="str">
        <f t="shared" si="2033"/>
        <v>0616086071</v>
      </c>
      <c r="B5541" t="str">
        <f t="shared" si="2034"/>
        <v>ALYSSA</v>
      </c>
      <c r="C5541" t="str">
        <f t="shared" si="2035"/>
        <v>FERNANDEZ-MONTAS</v>
      </c>
      <c r="D5541">
        <f>12</f>
        <v>12</v>
      </c>
      <c r="E5541" t="str">
        <f>"03 - A - 201 - Chrystina M Marchionne"</f>
        <v>03 - A - 201 - Chrystina M Marchionne</v>
      </c>
      <c r="F5541" t="str">
        <f>"JOURN 1 (YB) LH"</f>
        <v>JOURN 1 (YB) LH</v>
      </c>
      <c r="G5541" t="str">
        <f>"05-520"</f>
        <v>05-520</v>
      </c>
      <c r="H5541" t="str">
        <f>"A"</f>
        <v>A</v>
      </c>
    </row>
    <row r="5542" spans="1:8" x14ac:dyDescent="0.2">
      <c r="A5542" t="str">
        <f t="shared" si="2033"/>
        <v>0616086071</v>
      </c>
      <c r="B5542" t="str">
        <f t="shared" si="2034"/>
        <v>ALYSSA</v>
      </c>
      <c r="C5542" t="str">
        <f t="shared" si="2035"/>
        <v>FERNANDEZ-MONTAS</v>
      </c>
      <c r="D5542">
        <f>12</f>
        <v>12</v>
      </c>
      <c r="E5542" t="str">
        <f>"02 - A - 107 - Tina M Jaramillo"</f>
        <v>02 - A - 107 - Tina M Jaramillo</v>
      </c>
      <c r="F5542" t="str">
        <f>"AP ENG LIT COMPO"</f>
        <v>AP ENG LIT COMPO</v>
      </c>
      <c r="G5542" t="str">
        <f>"17-1706"</f>
        <v>17-1706</v>
      </c>
      <c r="H5542" t="str">
        <f>"A"</f>
        <v>A</v>
      </c>
    </row>
    <row r="5543" spans="1:8" x14ac:dyDescent="0.2">
      <c r="A5543" t="str">
        <f t="shared" si="2033"/>
        <v>0616086071</v>
      </c>
      <c r="B5543" t="str">
        <f t="shared" si="2034"/>
        <v>ALYSSA</v>
      </c>
      <c r="C5543" t="str">
        <f t="shared" si="2035"/>
        <v>FERNANDEZ-MONTAS</v>
      </c>
      <c r="D5543">
        <f>12</f>
        <v>12</v>
      </c>
      <c r="E5543" t="str">
        <f>"07 - B - 105 - Robert H Rindner"</f>
        <v>07 - B - 105 - Robert H Rindner</v>
      </c>
      <c r="F5543" t="str">
        <f>"MATH DATA&amp;FIN LIT H"</f>
        <v>MATH DATA&amp;FIN LIT H</v>
      </c>
      <c r="G5543" t="str">
        <f>"21-2160"</f>
        <v>21-2160</v>
      </c>
      <c r="H5543" t="str">
        <f>"B"</f>
        <v>B</v>
      </c>
    </row>
    <row r="5544" spans="1:8" x14ac:dyDescent="0.2">
      <c r="A5544" t="str">
        <f t="shared" si="2033"/>
        <v>0616086071</v>
      </c>
      <c r="B5544" t="str">
        <f t="shared" si="2034"/>
        <v>ALYSSA</v>
      </c>
      <c r="C5544" t="str">
        <f t="shared" si="2035"/>
        <v>FERNANDEZ-MONTAS</v>
      </c>
      <c r="D5544">
        <f>12</f>
        <v>12</v>
      </c>
      <c r="E5544" t="str">
        <f>"05 - B - 105 - Adam Marcus  Drucker"</f>
        <v>05 - B - 105 - Adam Marcus  Drucker</v>
      </c>
      <c r="F5544" t="str">
        <f>"HOPE-PE V"</f>
        <v>HOPE-PE V</v>
      </c>
      <c r="G5544" t="str">
        <f>"04-254"</f>
        <v>04-254</v>
      </c>
      <c r="H5544" t="str">
        <f>"B"</f>
        <v>B</v>
      </c>
    </row>
    <row r="5545" spans="1:8" x14ac:dyDescent="0.2">
      <c r="A5545" t="str">
        <f t="shared" si="2033"/>
        <v>0616086071</v>
      </c>
      <c r="B5545" t="str">
        <f t="shared" si="2034"/>
        <v>ALYSSA</v>
      </c>
      <c r="C5545" t="str">
        <f t="shared" si="2035"/>
        <v>FERNANDEZ-MONTAS</v>
      </c>
      <c r="D5545">
        <f>12</f>
        <v>12</v>
      </c>
      <c r="E5545" t="str">
        <f>"01 - A - 101 - Eva T Rimmer"</f>
        <v>01 - A - 101 - Eva T Rimmer</v>
      </c>
      <c r="F5545" t="str">
        <f>"CRIMINAL JUST OPS 2"</f>
        <v>CRIMINAL JUST OPS 2</v>
      </c>
      <c r="G5545" t="str">
        <f>"05-523"</f>
        <v>05-523</v>
      </c>
      <c r="H5545" t="str">
        <f>"A"</f>
        <v>A</v>
      </c>
    </row>
    <row r="5546" spans="1:8" x14ac:dyDescent="0.2">
      <c r="A5546" t="str">
        <f t="shared" si="2033"/>
        <v>0616086071</v>
      </c>
      <c r="B5546" t="str">
        <f t="shared" si="2034"/>
        <v>ALYSSA</v>
      </c>
      <c r="C5546" t="str">
        <f t="shared" si="2035"/>
        <v>FERNANDEZ-MONTAS</v>
      </c>
      <c r="D5546">
        <f>12</f>
        <v>12</v>
      </c>
      <c r="E5546" t="str">
        <f>"08 - S1 - B - 105 - Kelly N Panza"</f>
        <v>08 - S1 - B - 105 - Kelly N Panza</v>
      </c>
      <c r="F5546" t="str">
        <f>"US GOVT HON"</f>
        <v>US GOVT HON</v>
      </c>
      <c r="G5546" t="str">
        <f>"17-1753"</f>
        <v>17-1753</v>
      </c>
      <c r="H5546" t="str">
        <f>"B"</f>
        <v>B</v>
      </c>
    </row>
    <row r="5547" spans="1:8" x14ac:dyDescent="0.2">
      <c r="A5547" t="str">
        <f t="shared" ref="A5547:A5554" si="2036">"0618123397"</f>
        <v>0618123397</v>
      </c>
      <c r="B5547" t="str">
        <f t="shared" ref="B5547:B5554" si="2037">"ABIGAIL"</f>
        <v>ABIGAIL</v>
      </c>
      <c r="C5547" t="str">
        <f t="shared" ref="C5547:C5562" si="2038">"FERNANDEZ-MORIS"</f>
        <v>FERNANDEZ-MORIS</v>
      </c>
      <c r="D5547">
        <f>10</f>
        <v>10</v>
      </c>
      <c r="E5547" t="str">
        <f>"04 - A - 101 - Thomas G Handwerg"</f>
        <v>04 - A - 101 - Thomas G Handwerg</v>
      </c>
      <c r="F5547" t="str">
        <f>"MATH COLL ALGEBRA"</f>
        <v>MATH COLL ALGEBRA</v>
      </c>
      <c r="G5547" t="str">
        <f>"21-2146"</f>
        <v>21-2146</v>
      </c>
      <c r="H5547" t="str">
        <f>"A"</f>
        <v>A</v>
      </c>
    </row>
    <row r="5548" spans="1:8" x14ac:dyDescent="0.2">
      <c r="A5548" t="str">
        <f t="shared" si="2036"/>
        <v>0618123397</v>
      </c>
      <c r="B5548" t="str">
        <f t="shared" si="2037"/>
        <v>ABIGAIL</v>
      </c>
      <c r="C5548" t="str">
        <f t="shared" si="2038"/>
        <v>FERNANDEZ-MORIS</v>
      </c>
      <c r="D5548">
        <f>10</f>
        <v>10</v>
      </c>
      <c r="E5548" t="str">
        <f>"06 - B - 109 - Semra  Bahadir"</f>
        <v>06 - B - 109 - Semra  Bahadir</v>
      </c>
      <c r="F5548" t="str">
        <f>"NC STUDY HALL 1"</f>
        <v>NC STUDY HALL 1</v>
      </c>
      <c r="G5548" t="str">
        <f>"21-2107"</f>
        <v>21-2107</v>
      </c>
      <c r="H5548" t="str">
        <f>"B"</f>
        <v>B</v>
      </c>
    </row>
    <row r="5549" spans="1:8" x14ac:dyDescent="0.2">
      <c r="A5549" t="str">
        <f t="shared" si="2036"/>
        <v>0618123397</v>
      </c>
      <c r="B5549" t="str">
        <f t="shared" si="2037"/>
        <v>ABIGAIL</v>
      </c>
      <c r="C5549" t="str">
        <f t="shared" si="2038"/>
        <v>FERNANDEZ-MORIS</v>
      </c>
      <c r="D5549">
        <f>10</f>
        <v>10</v>
      </c>
      <c r="E5549" t="str">
        <f>"03 - A - 101 - Brian M Fitzgerald"</f>
        <v>03 - A - 101 - Brian M Fitzgerald</v>
      </c>
      <c r="F5549" t="str">
        <f>"SCULPT 1"</f>
        <v>SCULPT 1</v>
      </c>
      <c r="G5549" t="str">
        <f>"09-908"</f>
        <v>09-908</v>
      </c>
      <c r="H5549" t="str">
        <f>"A"</f>
        <v>A</v>
      </c>
    </row>
    <row r="5550" spans="1:8" x14ac:dyDescent="0.2">
      <c r="A5550" t="str">
        <f t="shared" si="2036"/>
        <v>0618123397</v>
      </c>
      <c r="B5550" t="str">
        <f t="shared" si="2037"/>
        <v>ABIGAIL</v>
      </c>
      <c r="C5550" t="str">
        <f t="shared" si="2038"/>
        <v>FERNANDEZ-MORIS</v>
      </c>
      <c r="D5550">
        <f>10</f>
        <v>10</v>
      </c>
      <c r="E5550" t="str">
        <f>"02 - A - 103 - Dorothy D Moore"</f>
        <v>02 - A - 103 - Dorothy D Moore</v>
      </c>
      <c r="F5550" t="str">
        <f>"ANAT PHYSIO HON"</f>
        <v>ANAT PHYSIO HON</v>
      </c>
      <c r="G5550" t="str">
        <f>"08-803"</f>
        <v>08-803</v>
      </c>
      <c r="H5550" t="str">
        <f>"A"</f>
        <v>A</v>
      </c>
    </row>
    <row r="5551" spans="1:8" x14ac:dyDescent="0.2">
      <c r="A5551" t="str">
        <f t="shared" si="2036"/>
        <v>0618123397</v>
      </c>
      <c r="B5551" t="str">
        <f t="shared" si="2037"/>
        <v>ABIGAIL</v>
      </c>
      <c r="C5551" t="str">
        <f t="shared" si="2038"/>
        <v>FERNANDEZ-MORIS</v>
      </c>
      <c r="D5551">
        <f>10</f>
        <v>10</v>
      </c>
      <c r="E5551" t="str">
        <f>"07 - B - 204 - Elizabeth Ellen  Moran"</f>
        <v>07 - B - 204 - Elizabeth Ellen  Moran</v>
      </c>
      <c r="F5551" t="str">
        <f>"AICE EURO HIST 1 AS"</f>
        <v>AICE EURO HIST 1 AS</v>
      </c>
      <c r="G5551" t="str">
        <f>"17-1752"</f>
        <v>17-1752</v>
      </c>
      <c r="H5551" t="str">
        <f>"B"</f>
        <v>B</v>
      </c>
    </row>
    <row r="5552" spans="1:8" x14ac:dyDescent="0.2">
      <c r="A5552" t="str">
        <f t="shared" si="2036"/>
        <v>0618123397</v>
      </c>
      <c r="B5552" t="str">
        <f t="shared" si="2037"/>
        <v>ABIGAIL</v>
      </c>
      <c r="C5552" t="str">
        <f t="shared" si="2038"/>
        <v>FERNANDEZ-MORIS</v>
      </c>
      <c r="D5552">
        <f>10</f>
        <v>10</v>
      </c>
      <c r="E5552" t="str">
        <f>"05 - B - 203 - Chrystina M Marchionne"</f>
        <v>05 - B - 203 - Chrystina M Marchionne</v>
      </c>
      <c r="F5552" t="str">
        <f>"AICE MEDIASTUDIES AS"</f>
        <v>AICE MEDIASTUDIES AS</v>
      </c>
      <c r="G5552" t="str">
        <f>"05-520"</f>
        <v>05-520</v>
      </c>
      <c r="H5552" t="str">
        <f>"B"</f>
        <v>B</v>
      </c>
    </row>
    <row r="5553" spans="1:8" x14ac:dyDescent="0.2">
      <c r="A5553" t="str">
        <f t="shared" si="2036"/>
        <v>0618123397</v>
      </c>
      <c r="B5553" t="str">
        <f t="shared" si="2037"/>
        <v>ABIGAIL</v>
      </c>
      <c r="C5553" t="str">
        <f t="shared" si="2038"/>
        <v>FERNANDEZ-MORIS</v>
      </c>
      <c r="D5553">
        <f>10</f>
        <v>10</v>
      </c>
      <c r="E5553" t="str">
        <f>"01 - A - 201 - Stefanie S Scher"</f>
        <v>01 - A - 201 - Stefanie S Scher</v>
      </c>
      <c r="F5553" t="str">
        <f>"AICE PSYCH 1 AS"</f>
        <v>AICE PSYCH 1 AS</v>
      </c>
      <c r="G5553" t="str">
        <f>"17-1735"</f>
        <v>17-1735</v>
      </c>
      <c r="H5553" t="str">
        <f>"A"</f>
        <v>A</v>
      </c>
    </row>
    <row r="5554" spans="1:8" x14ac:dyDescent="0.2">
      <c r="A5554" t="str">
        <f t="shared" si="2036"/>
        <v>0618123397</v>
      </c>
      <c r="B5554" t="str">
        <f t="shared" si="2037"/>
        <v>ABIGAIL</v>
      </c>
      <c r="C5554" t="str">
        <f t="shared" si="2038"/>
        <v>FERNANDEZ-MORIS</v>
      </c>
      <c r="D5554">
        <f>10</f>
        <v>10</v>
      </c>
      <c r="E5554" t="str">
        <f>"08 - B - 001 - Jacklyn M James"</f>
        <v>08 - B - 001 - Jacklyn M James</v>
      </c>
      <c r="F5554" t="str">
        <f>"AICE ENG LANG AS"</f>
        <v>AICE ENG LANG AS</v>
      </c>
      <c r="G5554" t="str">
        <f>"17-1731"</f>
        <v>17-1731</v>
      </c>
      <c r="H5554" t="str">
        <f>"B"</f>
        <v>B</v>
      </c>
    </row>
    <row r="5555" spans="1:8" x14ac:dyDescent="0.2">
      <c r="A5555" t="str">
        <f t="shared" ref="A5555:A5562" si="2039">"0618123115"</f>
        <v>0618123115</v>
      </c>
      <c r="B5555" t="str">
        <f t="shared" ref="B5555:B5562" si="2040">"SETH"</f>
        <v>SETH</v>
      </c>
      <c r="C5555" t="str">
        <f t="shared" si="2038"/>
        <v>FERNANDEZ-MORIS</v>
      </c>
      <c r="D5555">
        <f>12</f>
        <v>12</v>
      </c>
      <c r="E5555" t="str">
        <f>"04 - S1 - A - 106 - Kelly N Panza"</f>
        <v>04 - S1 - A - 106 - Kelly N Panza</v>
      </c>
      <c r="F5555" t="str">
        <f>"US GOVT HON"</f>
        <v>US GOVT HON</v>
      </c>
      <c r="G5555" t="str">
        <f>"17-1753"</f>
        <v>17-1753</v>
      </c>
      <c r="H5555" t="str">
        <f>"A"</f>
        <v>A</v>
      </c>
    </row>
    <row r="5556" spans="1:8" x14ac:dyDescent="0.2">
      <c r="A5556" t="str">
        <f t="shared" si="2039"/>
        <v>0618123115</v>
      </c>
      <c r="B5556" t="str">
        <f t="shared" si="2040"/>
        <v>SETH</v>
      </c>
      <c r="C5556" t="str">
        <f t="shared" si="2038"/>
        <v>FERNANDEZ-MORIS</v>
      </c>
      <c r="D5556">
        <f>12</f>
        <v>12</v>
      </c>
      <c r="E5556" t="str">
        <f>"06 - B - 108 - Jacquelyn M Neeson"</f>
        <v>06 - B - 108 - Jacquelyn M Neeson</v>
      </c>
      <c r="F5556" t="str">
        <f>"NC STUDY HALL 1"</f>
        <v>NC STUDY HALL 1</v>
      </c>
      <c r="G5556" t="str">
        <f>"17-1715"</f>
        <v>17-1715</v>
      </c>
      <c r="H5556" t="str">
        <f>"B"</f>
        <v>B</v>
      </c>
    </row>
    <row r="5557" spans="1:8" x14ac:dyDescent="0.2">
      <c r="A5557" t="str">
        <f t="shared" si="2039"/>
        <v>0618123115</v>
      </c>
      <c r="B5557" t="str">
        <f t="shared" si="2040"/>
        <v>SETH</v>
      </c>
      <c r="C5557" t="str">
        <f t="shared" si="2038"/>
        <v>FERNANDEZ-MORIS</v>
      </c>
      <c r="D5557">
        <f>12</f>
        <v>12</v>
      </c>
      <c r="E5557" t="str">
        <f>"03 - A - 101 - Brian M Fitzgerald"</f>
        <v>03 - A - 101 - Brian M Fitzgerald</v>
      </c>
      <c r="F5557" t="str">
        <f>"SCULPT 1"</f>
        <v>SCULPT 1</v>
      </c>
      <c r="G5557" t="str">
        <f>"09-908"</f>
        <v>09-908</v>
      </c>
      <c r="H5557" t="str">
        <f>"A"</f>
        <v>A</v>
      </c>
    </row>
    <row r="5558" spans="1:8" x14ac:dyDescent="0.2">
      <c r="A5558" t="str">
        <f t="shared" si="2039"/>
        <v>0618123115</v>
      </c>
      <c r="B5558" t="str">
        <f t="shared" si="2040"/>
        <v>SETH</v>
      </c>
      <c r="C5558" t="str">
        <f t="shared" si="2038"/>
        <v>FERNANDEZ-MORIS</v>
      </c>
      <c r="D5558">
        <f>12</f>
        <v>12</v>
      </c>
      <c r="E5558" t="str">
        <f>"02 - S1 - A - 101 - Carol S Moore"</f>
        <v>02 - S1 - A - 101 - Carol S Moore</v>
      </c>
      <c r="F5558" t="str">
        <f>"PER CAR SCH DEV 1 LH"</f>
        <v>PER CAR SCH DEV 1 LH</v>
      </c>
      <c r="G5558" t="str">
        <f>"17-1733"</f>
        <v>17-1733</v>
      </c>
      <c r="H5558" t="str">
        <f>"A"</f>
        <v>A</v>
      </c>
    </row>
    <row r="5559" spans="1:8" x14ac:dyDescent="0.2">
      <c r="A5559" t="str">
        <f t="shared" si="2039"/>
        <v>0618123115</v>
      </c>
      <c r="B5559" t="str">
        <f t="shared" si="2040"/>
        <v>SETH</v>
      </c>
      <c r="C5559" t="str">
        <f t="shared" si="2038"/>
        <v>FERNANDEZ-MORIS</v>
      </c>
      <c r="D5559">
        <f>12</f>
        <v>12</v>
      </c>
      <c r="E5559" t="str">
        <f>"07 - B - 105 - Robert H Rindner"</f>
        <v>07 - B - 105 - Robert H Rindner</v>
      </c>
      <c r="F5559" t="str">
        <f>"MATH DATA&amp;FIN LIT H"</f>
        <v>MATH DATA&amp;FIN LIT H</v>
      </c>
      <c r="G5559" t="str">
        <f>"21-2160"</f>
        <v>21-2160</v>
      </c>
      <c r="H5559" t="str">
        <f>"B"</f>
        <v>B</v>
      </c>
    </row>
    <row r="5560" spans="1:8" x14ac:dyDescent="0.2">
      <c r="A5560" t="str">
        <f t="shared" si="2039"/>
        <v>0618123115</v>
      </c>
      <c r="B5560" t="str">
        <f t="shared" si="2040"/>
        <v>SETH</v>
      </c>
      <c r="C5560" t="str">
        <f t="shared" si="2038"/>
        <v>FERNANDEZ-MORIS</v>
      </c>
      <c r="D5560">
        <f>12</f>
        <v>12</v>
      </c>
      <c r="E5560" t="str">
        <f>"05 - B - 204 - Cliffon  Saurel"</f>
        <v>05 - B - 204 - Cliffon  Saurel</v>
      </c>
      <c r="F5560" t="str">
        <f>"PHYSICAL SCI"</f>
        <v>PHYSICAL SCI</v>
      </c>
      <c r="G5560" t="str">
        <f>"05-522"</f>
        <v>05-522</v>
      </c>
      <c r="H5560" t="str">
        <f>"B"</f>
        <v>B</v>
      </c>
    </row>
    <row r="5561" spans="1:8" x14ac:dyDescent="0.2">
      <c r="A5561" t="str">
        <f t="shared" si="2039"/>
        <v>0618123115</v>
      </c>
      <c r="B5561" t="str">
        <f t="shared" si="2040"/>
        <v>SETH</v>
      </c>
      <c r="C5561" t="str">
        <f t="shared" si="2038"/>
        <v>FERNANDEZ-MORIS</v>
      </c>
      <c r="D5561">
        <f>12</f>
        <v>12</v>
      </c>
      <c r="E5561" t="str">
        <f>"01 - S1 - A - 101 - Richard E Dunbar Iii"</f>
        <v>01 - S1 - A - 101 - Richard E Dunbar Iii</v>
      </c>
      <c r="F5561" t="str">
        <f>"WEIGHT TRAIN 1"</f>
        <v>WEIGHT TRAIN 1</v>
      </c>
      <c r="G5561" t="str">
        <f>"05-501"</f>
        <v>05-501</v>
      </c>
      <c r="H5561" t="str">
        <f>"A"</f>
        <v>A</v>
      </c>
    </row>
    <row r="5562" spans="1:8" x14ac:dyDescent="0.2">
      <c r="A5562" t="str">
        <f t="shared" si="2039"/>
        <v>0618123115</v>
      </c>
      <c r="B5562" t="str">
        <f t="shared" si="2040"/>
        <v>SETH</v>
      </c>
      <c r="C5562" t="str">
        <f t="shared" si="2038"/>
        <v>FERNANDEZ-MORIS</v>
      </c>
      <c r="D5562">
        <f>12</f>
        <v>12</v>
      </c>
      <c r="E5562" t="str">
        <f>"08 - B - 105 - Jeffrey S Gallagher"</f>
        <v>08 - B - 105 - Jeffrey S Gallagher</v>
      </c>
      <c r="F5562" t="str">
        <f>"ENG HON 4"</f>
        <v>ENG HON 4</v>
      </c>
      <c r="G5562" t="str">
        <f>"17-1724"</f>
        <v>17-1724</v>
      </c>
      <c r="H5562" t="str">
        <f>"B"</f>
        <v>B</v>
      </c>
    </row>
    <row r="5563" spans="1:8" x14ac:dyDescent="0.2">
      <c r="A5563" t="str">
        <f t="shared" ref="A5563:A5570" si="2041">"0616060338"</f>
        <v>0616060338</v>
      </c>
      <c r="B5563" t="str">
        <f t="shared" ref="B5563:B5570" si="2042">"CARISSA"</f>
        <v>CARISSA</v>
      </c>
      <c r="C5563" t="str">
        <f t="shared" ref="C5563:C5570" si="2043">"FERRARA"</f>
        <v>FERRARA</v>
      </c>
      <c r="D5563">
        <f>10</f>
        <v>10</v>
      </c>
      <c r="E5563" t="str">
        <f>"04 - A - 105 - Jacklyn M James"</f>
        <v>04 - A - 105 - Jacklyn M James</v>
      </c>
      <c r="F5563" t="str">
        <f>"AICE ENG LANG AS"</f>
        <v>AICE ENG LANG AS</v>
      </c>
      <c r="G5563" t="str">
        <f>"17-1731"</f>
        <v>17-1731</v>
      </c>
      <c r="H5563" t="str">
        <f>"A"</f>
        <v>A</v>
      </c>
    </row>
    <row r="5564" spans="1:8" x14ac:dyDescent="0.2">
      <c r="A5564" t="str">
        <f t="shared" si="2041"/>
        <v>0616060338</v>
      </c>
      <c r="B5564" t="str">
        <f t="shared" si="2042"/>
        <v>CARISSA</v>
      </c>
      <c r="C5564" t="str">
        <f t="shared" si="2043"/>
        <v>FERRARA</v>
      </c>
      <c r="D5564">
        <f>10</f>
        <v>10</v>
      </c>
      <c r="E5564" t="str">
        <f>"06 - B - 114 - Richard E Dunbar Iii"</f>
        <v>06 - B - 114 - Richard E Dunbar Iii</v>
      </c>
      <c r="F5564" t="str">
        <f>"NC STUDY HALL 1"</f>
        <v>NC STUDY HALL 1</v>
      </c>
      <c r="G5564" t="str">
        <f>"17-1703"</f>
        <v>17-1703</v>
      </c>
      <c r="H5564" t="str">
        <f>"B"</f>
        <v>B</v>
      </c>
    </row>
    <row r="5565" spans="1:8" x14ac:dyDescent="0.2">
      <c r="A5565" t="str">
        <f t="shared" si="2041"/>
        <v>0616060338</v>
      </c>
      <c r="B5565" t="str">
        <f t="shared" si="2042"/>
        <v>CARISSA</v>
      </c>
      <c r="C5565" t="str">
        <f t="shared" si="2043"/>
        <v>FERRARA</v>
      </c>
      <c r="D5565">
        <f>10</f>
        <v>10</v>
      </c>
      <c r="E5565" t="str">
        <f>"03 - A - 104 - Brook E Goren"</f>
        <v>03 - A - 104 - Brook E Goren</v>
      </c>
      <c r="F5565" t="str">
        <f>"ALGEBRA 2 HON"</f>
        <v>ALGEBRA 2 HON</v>
      </c>
      <c r="G5565" t="str">
        <f>"21-2158"</f>
        <v>21-2158</v>
      </c>
      <c r="H5565" t="str">
        <f>"A"</f>
        <v>A</v>
      </c>
    </row>
    <row r="5566" spans="1:8" x14ac:dyDescent="0.2">
      <c r="A5566" t="str">
        <f t="shared" si="2041"/>
        <v>0616060338</v>
      </c>
      <c r="B5566" t="str">
        <f t="shared" si="2042"/>
        <v>CARISSA</v>
      </c>
      <c r="C5566" t="str">
        <f t="shared" si="2043"/>
        <v>FERRARA</v>
      </c>
      <c r="D5566">
        <f>10</f>
        <v>10</v>
      </c>
      <c r="E5566" t="str">
        <f>"02 - A - 104 - Scott A Dethloff"</f>
        <v>02 - A - 104 - Scott A Dethloff</v>
      </c>
      <c r="F5566" t="str">
        <f>"CHEMISTRY 1 HON"</f>
        <v>CHEMISTRY 1 HON</v>
      </c>
      <c r="G5566" t="str">
        <f>"08-812"</f>
        <v>08-812</v>
      </c>
      <c r="H5566" t="str">
        <f>"A"</f>
        <v>A</v>
      </c>
    </row>
    <row r="5567" spans="1:8" x14ac:dyDescent="0.2">
      <c r="A5567" t="str">
        <f t="shared" si="2041"/>
        <v>0616060338</v>
      </c>
      <c r="B5567" t="str">
        <f t="shared" si="2042"/>
        <v>CARISSA</v>
      </c>
      <c r="C5567" t="str">
        <f t="shared" si="2043"/>
        <v>FERRARA</v>
      </c>
      <c r="D5567">
        <f>10</f>
        <v>10</v>
      </c>
      <c r="E5567" t="str">
        <f>"07 - B - 204 - Elizabeth Ellen  Moran"</f>
        <v>07 - B - 204 - Elizabeth Ellen  Moran</v>
      </c>
      <c r="F5567" t="str">
        <f>"AICE EURO HIST 1 AS"</f>
        <v>AICE EURO HIST 1 AS</v>
      </c>
      <c r="G5567" t="str">
        <f>"17-1752"</f>
        <v>17-1752</v>
      </c>
      <c r="H5567" t="str">
        <f>"B"</f>
        <v>B</v>
      </c>
    </row>
    <row r="5568" spans="1:8" x14ac:dyDescent="0.2">
      <c r="A5568" t="str">
        <f t="shared" si="2041"/>
        <v>0616060338</v>
      </c>
      <c r="B5568" t="str">
        <f t="shared" si="2042"/>
        <v>CARISSA</v>
      </c>
      <c r="C5568" t="str">
        <f t="shared" si="2043"/>
        <v>FERRARA</v>
      </c>
      <c r="D5568">
        <f>10</f>
        <v>10</v>
      </c>
      <c r="E5568" t="str">
        <f>"05 - B - 103 - Vanessa J Liburd"</f>
        <v>05 - B - 103 - Vanessa J Liburd</v>
      </c>
      <c r="F5568" t="str">
        <f>"PRE-AICE FRENCH 2 IG"</f>
        <v>PRE-AICE FRENCH 2 IG</v>
      </c>
      <c r="G5568" t="str">
        <f>"05-519"</f>
        <v>05-519</v>
      </c>
      <c r="H5568" t="str">
        <f>"B"</f>
        <v>B</v>
      </c>
    </row>
    <row r="5569" spans="1:8" x14ac:dyDescent="0.2">
      <c r="A5569" t="str">
        <f t="shared" si="2041"/>
        <v>0616060338</v>
      </c>
      <c r="B5569" t="str">
        <f t="shared" si="2042"/>
        <v>CARISSA</v>
      </c>
      <c r="C5569" t="str">
        <f t="shared" si="2043"/>
        <v>FERRARA</v>
      </c>
      <c r="D5569">
        <f>10</f>
        <v>10</v>
      </c>
      <c r="E5569" t="str">
        <f>"01 - A - 101 - Eva T Rimmer"</f>
        <v>01 - A - 101 - Eva T Rimmer</v>
      </c>
      <c r="F5569" t="str">
        <f>"CRIMINAL JUST OPS 2"</f>
        <v>CRIMINAL JUST OPS 2</v>
      </c>
      <c r="G5569" t="str">
        <f>"05-523"</f>
        <v>05-523</v>
      </c>
      <c r="H5569" t="str">
        <f>"A"</f>
        <v>A</v>
      </c>
    </row>
    <row r="5570" spans="1:8" x14ac:dyDescent="0.2">
      <c r="A5570" t="str">
        <f t="shared" si="2041"/>
        <v>0616060338</v>
      </c>
      <c r="B5570" t="str">
        <f t="shared" si="2042"/>
        <v>CARISSA</v>
      </c>
      <c r="C5570" t="str">
        <f t="shared" si="2043"/>
        <v>FERRARA</v>
      </c>
      <c r="D5570">
        <f>10</f>
        <v>10</v>
      </c>
      <c r="E5570" t="str">
        <f>"08 - B - 001 - Samantha L Martinez"</f>
        <v>08 - B - 001 - Samantha L Martinez</v>
      </c>
      <c r="F5570" t="str">
        <f>"VOCAL ENS 2"</f>
        <v>VOCAL ENS 2</v>
      </c>
      <c r="G5570" t="str">
        <f>"05-505"</f>
        <v>05-505</v>
      </c>
      <c r="H5570" t="str">
        <f>"B"</f>
        <v>B</v>
      </c>
    </row>
    <row r="5571" spans="1:8" x14ac:dyDescent="0.2">
      <c r="A5571" t="str">
        <f t="shared" ref="A5571:A5578" si="2044">"0616086278"</f>
        <v>0616086278</v>
      </c>
      <c r="B5571" t="str">
        <f t="shared" ref="B5571:B5578" si="2045">"CAELDINE"</f>
        <v>CAELDINE</v>
      </c>
      <c r="C5571" t="str">
        <f t="shared" ref="C5571:C5578" si="2046">"FERTIL"</f>
        <v>FERTIL</v>
      </c>
      <c r="D5571" t="str">
        <f t="shared" ref="D5571:D5586" si="2047">"09"</f>
        <v>09</v>
      </c>
      <c r="E5571" t="str">
        <f>"04 - A - 102 - Elizabeth R Walker"</f>
        <v>04 - A - 102 - Elizabeth R Walker</v>
      </c>
      <c r="F5571" t="str">
        <f>"AICE ENG GEN PAPER 1"</f>
        <v>AICE ENG GEN PAPER 1</v>
      </c>
      <c r="G5571" t="str">
        <f>"17-1703"</f>
        <v>17-1703</v>
      </c>
      <c r="H5571" t="str">
        <f>"A"</f>
        <v>A</v>
      </c>
    </row>
    <row r="5572" spans="1:8" x14ac:dyDescent="0.2">
      <c r="A5572" t="str">
        <f t="shared" si="2044"/>
        <v>0616086278</v>
      </c>
      <c r="B5572" t="str">
        <f t="shared" si="2045"/>
        <v>CAELDINE</v>
      </c>
      <c r="C5572" t="str">
        <f t="shared" si="2046"/>
        <v>FERTIL</v>
      </c>
      <c r="D5572" t="str">
        <f t="shared" si="2047"/>
        <v>09</v>
      </c>
      <c r="E5572" t="str">
        <f>"06 - B - 102 - Angela S Adeshina-Morrison"</f>
        <v>06 - B - 102 - Angela S Adeshina-Morrison</v>
      </c>
      <c r="F5572" t="str">
        <f>"MARKETING ESSENTIALS"</f>
        <v>MARKETING ESSENTIALS</v>
      </c>
      <c r="G5572" t="str">
        <f>"05-518"</f>
        <v>05-518</v>
      </c>
      <c r="H5572" t="str">
        <f>"B"</f>
        <v>B</v>
      </c>
    </row>
    <row r="5573" spans="1:8" x14ac:dyDescent="0.2">
      <c r="A5573" t="str">
        <f t="shared" si="2044"/>
        <v>0616086278</v>
      </c>
      <c r="B5573" t="str">
        <f t="shared" si="2045"/>
        <v>CAELDINE</v>
      </c>
      <c r="C5573" t="str">
        <f t="shared" si="2046"/>
        <v>FERTIL</v>
      </c>
      <c r="D5573" t="str">
        <f t="shared" si="2047"/>
        <v>09</v>
      </c>
      <c r="E5573" t="str">
        <f>"03 - A - 001 - Maried P Ramos"</f>
        <v>03 - A - 001 - Maried P Ramos</v>
      </c>
      <c r="F5573" t="str">
        <f>"PRE-AICE MATH 2 IG"</f>
        <v>PRE-AICE MATH 2 IG</v>
      </c>
      <c r="G5573" t="str">
        <f>"21-2159"</f>
        <v>21-2159</v>
      </c>
      <c r="H5573" t="str">
        <f>"A"</f>
        <v>A</v>
      </c>
    </row>
    <row r="5574" spans="1:8" x14ac:dyDescent="0.2">
      <c r="A5574" t="str">
        <f t="shared" si="2044"/>
        <v>0616086278</v>
      </c>
      <c r="B5574" t="str">
        <f t="shared" si="2045"/>
        <v>CAELDINE</v>
      </c>
      <c r="C5574" t="str">
        <f t="shared" si="2046"/>
        <v>FERTIL</v>
      </c>
      <c r="D5574" t="str">
        <f t="shared" si="2047"/>
        <v>09</v>
      </c>
      <c r="E5574" t="str">
        <f>"02 - A - 110 - Maried P Ramos"</f>
        <v>02 - A - 110 - Maried P Ramos</v>
      </c>
      <c r="F5574" t="str">
        <f>"NC STUDY HALL 1"</f>
        <v>NC STUDY HALL 1</v>
      </c>
      <c r="G5574" t="str">
        <f>"21-2159"</f>
        <v>21-2159</v>
      </c>
      <c r="H5574" t="str">
        <f>"A"</f>
        <v>A</v>
      </c>
    </row>
    <row r="5575" spans="1:8" x14ac:dyDescent="0.2">
      <c r="A5575" t="str">
        <f t="shared" si="2044"/>
        <v>0616086278</v>
      </c>
      <c r="B5575" t="str">
        <f t="shared" si="2045"/>
        <v>CAELDINE</v>
      </c>
      <c r="C5575" t="str">
        <f t="shared" si="2046"/>
        <v>FERTIL</v>
      </c>
      <c r="D5575" t="str">
        <f t="shared" si="2047"/>
        <v>09</v>
      </c>
      <c r="E5575" t="str">
        <f>"07 - B - 105 - Josiah I Lacy"</f>
        <v>07 - B - 105 - Josiah I Lacy</v>
      </c>
      <c r="F5575" t="str">
        <f>"ANAT PHYSIO HON"</f>
        <v>ANAT PHYSIO HON</v>
      </c>
      <c r="G5575" t="str">
        <f>"08-801"</f>
        <v>08-801</v>
      </c>
      <c r="H5575" t="str">
        <f>"B"</f>
        <v>B</v>
      </c>
    </row>
    <row r="5576" spans="1:8" x14ac:dyDescent="0.2">
      <c r="A5576" t="str">
        <f t="shared" si="2044"/>
        <v>0616086278</v>
      </c>
      <c r="B5576" t="str">
        <f t="shared" si="2045"/>
        <v>CAELDINE</v>
      </c>
      <c r="C5576" t="str">
        <f t="shared" si="2046"/>
        <v>FERTIL</v>
      </c>
      <c r="D5576" t="str">
        <f t="shared" si="2047"/>
        <v>09</v>
      </c>
      <c r="E5576" t="str">
        <f>"05 - B - 105 - Marius D Orsolini"</f>
        <v>05 - B - 105 - Marius D Orsolini</v>
      </c>
      <c r="F5576" t="str">
        <f>"CULINARY ARTS 1"</f>
        <v>CULINARY ARTS 1</v>
      </c>
      <c r="G5576" t="str">
        <f>"21-2115"</f>
        <v>21-2115</v>
      </c>
      <c r="H5576" t="str">
        <f>"B"</f>
        <v>B</v>
      </c>
    </row>
    <row r="5577" spans="1:8" x14ac:dyDescent="0.2">
      <c r="A5577" t="str">
        <f t="shared" si="2044"/>
        <v>0616086278</v>
      </c>
      <c r="B5577" t="str">
        <f t="shared" si="2045"/>
        <v>CAELDINE</v>
      </c>
      <c r="C5577" t="str">
        <f t="shared" si="2046"/>
        <v>FERTIL</v>
      </c>
      <c r="D5577" t="str">
        <f t="shared" si="2047"/>
        <v>09</v>
      </c>
      <c r="E5577" t="str">
        <f>"01 - A - 101 - Vanessa J Liburd"</f>
        <v>01 - A - 101 - Vanessa J Liburd</v>
      </c>
      <c r="F5577" t="str">
        <f>"PRE-AICE FRENCH 1 IG"</f>
        <v>PRE-AICE FRENCH 1 IG</v>
      </c>
      <c r="G5577" t="str">
        <f>"05-519"</f>
        <v>05-519</v>
      </c>
      <c r="H5577" t="str">
        <f>"A"</f>
        <v>A</v>
      </c>
    </row>
    <row r="5578" spans="1:8" x14ac:dyDescent="0.2">
      <c r="A5578" t="str">
        <f t="shared" si="2044"/>
        <v>0616086278</v>
      </c>
      <c r="B5578" t="str">
        <f t="shared" si="2045"/>
        <v>CAELDINE</v>
      </c>
      <c r="C5578" t="str">
        <f t="shared" si="2046"/>
        <v>FERTIL</v>
      </c>
      <c r="D5578" t="str">
        <f t="shared" si="2047"/>
        <v>09</v>
      </c>
      <c r="E5578" t="str">
        <f>"08 - B - 109 - Rory T Sponsler"</f>
        <v>08 - B - 109 - Rory T Sponsler</v>
      </c>
      <c r="F5578" t="str">
        <f>"PRE-AICE WRLD HST IG"</f>
        <v>PRE-AICE WRLD HST IG</v>
      </c>
      <c r="G5578" t="str">
        <f>"17-1740"</f>
        <v>17-1740</v>
      </c>
      <c r="H5578" t="str">
        <f>"B"</f>
        <v>B</v>
      </c>
    </row>
    <row r="5579" spans="1:8" x14ac:dyDescent="0.2">
      <c r="A5579" t="str">
        <f t="shared" ref="A5579:A5586" si="2048">"0617029930"</f>
        <v>0617029930</v>
      </c>
      <c r="B5579" t="str">
        <f t="shared" ref="B5579:B5586" si="2049">"ELIANNY"</f>
        <v>ELIANNY</v>
      </c>
      <c r="C5579" t="str">
        <f t="shared" ref="C5579:C5586" si="2050">"FIGUEREO DELAROSA"</f>
        <v>FIGUEREO DELAROSA</v>
      </c>
      <c r="D5579" t="str">
        <f t="shared" si="2047"/>
        <v>09</v>
      </c>
      <c r="E5579" t="str">
        <f>"04 - A - 104 - Marius D Orsolini"</f>
        <v>04 - A - 104 - Marius D Orsolini</v>
      </c>
      <c r="F5579" t="str">
        <f>"CULINARY ARTS 1"</f>
        <v>CULINARY ARTS 1</v>
      </c>
      <c r="G5579" t="str">
        <f>"21-2115"</f>
        <v>21-2115</v>
      </c>
      <c r="H5579" t="str">
        <f>"A"</f>
        <v>A</v>
      </c>
    </row>
    <row r="5580" spans="1:8" x14ac:dyDescent="0.2">
      <c r="A5580" t="str">
        <f t="shared" si="2048"/>
        <v>0617029930</v>
      </c>
      <c r="B5580" t="str">
        <f t="shared" si="2049"/>
        <v>ELIANNY</v>
      </c>
      <c r="C5580" t="str">
        <f t="shared" si="2050"/>
        <v>FIGUEREO DELAROSA</v>
      </c>
      <c r="D5580" t="str">
        <f t="shared" si="2047"/>
        <v>09</v>
      </c>
      <c r="E5580" t="str">
        <f>"06 - S1 - B - 102 - Daniel S Katz"</f>
        <v>06 - S1 - B - 102 - Daniel S Katz</v>
      </c>
      <c r="F5580" t="str">
        <f>"COURT PROCED"</f>
        <v>COURT PROCED</v>
      </c>
      <c r="G5580" t="str">
        <f>"21-2156"</f>
        <v>21-2156</v>
      </c>
      <c r="H5580" t="str">
        <f>"B"</f>
        <v>B</v>
      </c>
    </row>
    <row r="5581" spans="1:8" x14ac:dyDescent="0.2">
      <c r="A5581" t="str">
        <f t="shared" si="2048"/>
        <v>0617029930</v>
      </c>
      <c r="B5581" t="str">
        <f t="shared" si="2049"/>
        <v>ELIANNY</v>
      </c>
      <c r="C5581" t="str">
        <f t="shared" si="2050"/>
        <v>FIGUEREO DELAROSA</v>
      </c>
      <c r="D5581" t="str">
        <f t="shared" si="2047"/>
        <v>09</v>
      </c>
      <c r="E5581" t="str">
        <f>"03 - A - 005 - Cerine S Stewart"</f>
        <v>03 - A - 005 - Cerine S Stewart</v>
      </c>
      <c r="F5581" t="str">
        <f>"AICE ENG GEN PAPER 1"</f>
        <v>AICE ENG GEN PAPER 1</v>
      </c>
      <c r="G5581" t="str">
        <f>"17-1720"</f>
        <v>17-1720</v>
      </c>
      <c r="H5581" t="str">
        <f>"A"</f>
        <v>A</v>
      </c>
    </row>
    <row r="5582" spans="1:8" x14ac:dyDescent="0.2">
      <c r="A5582" t="str">
        <f t="shared" si="2048"/>
        <v>0617029930</v>
      </c>
      <c r="B5582" t="str">
        <f t="shared" si="2049"/>
        <v>ELIANNY</v>
      </c>
      <c r="C5582" t="str">
        <f t="shared" si="2050"/>
        <v>FIGUEREO DELAROSA</v>
      </c>
      <c r="D5582" t="str">
        <f t="shared" si="2047"/>
        <v>09</v>
      </c>
      <c r="E5582" t="str">
        <f>"02 - A - 101 - Josiah I Lacy"</f>
        <v>02 - A - 101 - Josiah I Lacy</v>
      </c>
      <c r="F5582" t="str">
        <f>"NC STUDY HALL 1"</f>
        <v>NC STUDY HALL 1</v>
      </c>
      <c r="G5582" t="str">
        <f>"08-801"</f>
        <v>08-801</v>
      </c>
      <c r="H5582" t="str">
        <f>"A"</f>
        <v>A</v>
      </c>
    </row>
    <row r="5583" spans="1:8" x14ac:dyDescent="0.2">
      <c r="A5583" t="str">
        <f t="shared" si="2048"/>
        <v>0617029930</v>
      </c>
      <c r="B5583" t="str">
        <f t="shared" si="2049"/>
        <v>ELIANNY</v>
      </c>
      <c r="C5583" t="str">
        <f t="shared" si="2050"/>
        <v>FIGUEREO DELAROSA</v>
      </c>
      <c r="D5583" t="str">
        <f t="shared" si="2047"/>
        <v>09</v>
      </c>
      <c r="E5583" t="str">
        <f>"07 - B - 207 - Krystal Marie  Beruty"</f>
        <v>07 - B - 207 - Krystal Marie  Beruty</v>
      </c>
      <c r="F5583" t="str">
        <f>"AICE GLBL PERSP 1 AS"</f>
        <v>AICE GLBL PERSP 1 AS</v>
      </c>
      <c r="G5583" t="str">
        <f>"17-1721"</f>
        <v>17-1721</v>
      </c>
      <c r="H5583" t="str">
        <f>"B"</f>
        <v>B</v>
      </c>
    </row>
    <row r="5584" spans="1:8" x14ac:dyDescent="0.2">
      <c r="A5584" t="str">
        <f t="shared" si="2048"/>
        <v>0617029930</v>
      </c>
      <c r="B5584" t="str">
        <f t="shared" si="2049"/>
        <v>ELIANNY</v>
      </c>
      <c r="C5584" t="str">
        <f t="shared" si="2050"/>
        <v>FIGUEREO DELAROSA</v>
      </c>
      <c r="D5584" t="str">
        <f t="shared" si="2047"/>
        <v>09</v>
      </c>
      <c r="E5584" t="str">
        <f>"05 - S1 - B - 103 - Leslie J Barton"</f>
        <v>05 - S1 - B - 103 - Leslie J Barton</v>
      </c>
      <c r="F5584" t="str">
        <f>"FIRST AID SAFETY"</f>
        <v>FIRST AID SAFETY</v>
      </c>
      <c r="G5584" t="str">
        <f>"05-521"</f>
        <v>05-521</v>
      </c>
      <c r="H5584" t="str">
        <f>"B"</f>
        <v>B</v>
      </c>
    </row>
    <row r="5585" spans="1:8" x14ac:dyDescent="0.2">
      <c r="A5585" t="str">
        <f t="shared" si="2048"/>
        <v>0617029930</v>
      </c>
      <c r="B5585" t="str">
        <f t="shared" si="2049"/>
        <v>ELIANNY</v>
      </c>
      <c r="C5585" t="str">
        <f t="shared" si="2050"/>
        <v>FIGUEREO DELAROSA</v>
      </c>
      <c r="D5585" t="str">
        <f t="shared" si="2047"/>
        <v>09</v>
      </c>
      <c r="E5585" t="str">
        <f>"01 - A - 101 - Byron G Montenegro"</f>
        <v>01 - A - 101 - Byron G Montenegro</v>
      </c>
      <c r="F5585" t="str">
        <f>"AICE MARINE SCI 1 AS"</f>
        <v>AICE MARINE SCI 1 AS</v>
      </c>
      <c r="G5585" t="str">
        <f>"21-2144"</f>
        <v>21-2144</v>
      </c>
      <c r="H5585" t="str">
        <f>"A"</f>
        <v>A</v>
      </c>
    </row>
    <row r="5586" spans="1:8" x14ac:dyDescent="0.2">
      <c r="A5586" t="str">
        <f t="shared" si="2048"/>
        <v>0617029930</v>
      </c>
      <c r="B5586" t="str">
        <f t="shared" si="2049"/>
        <v>ELIANNY</v>
      </c>
      <c r="C5586" t="str">
        <f t="shared" si="2050"/>
        <v>FIGUEREO DELAROSA</v>
      </c>
      <c r="D5586" t="str">
        <f t="shared" si="2047"/>
        <v>09</v>
      </c>
      <c r="E5586" t="str">
        <f>"08 - B - 102 - Maried P Ramos"</f>
        <v>08 - B - 102 - Maried P Ramos</v>
      </c>
      <c r="F5586" t="str">
        <f>"ALGEBRA 2 HON"</f>
        <v>ALGEBRA 2 HON</v>
      </c>
      <c r="G5586" t="str">
        <f>"21-2159"</f>
        <v>21-2159</v>
      </c>
      <c r="H5586" t="str">
        <f>"B"</f>
        <v>B</v>
      </c>
    </row>
    <row r="5587" spans="1:8" x14ac:dyDescent="0.2">
      <c r="A5587" t="str">
        <f t="shared" ref="A5587:A5594" si="2051">"0615007484"</f>
        <v>0615007484</v>
      </c>
      <c r="B5587" t="str">
        <f t="shared" ref="B5587:B5594" si="2052">"STELLA"</f>
        <v>STELLA</v>
      </c>
      <c r="C5587" t="str">
        <f t="shared" ref="C5587:C5594" si="2053">"FIGUEROA BELLINA"</f>
        <v>FIGUEROA BELLINA</v>
      </c>
      <c r="D5587">
        <f>11</f>
        <v>11</v>
      </c>
      <c r="E5587" t="str">
        <f>"04 - A - 101 - Thomas G Handwerg"</f>
        <v>04 - A - 101 - Thomas G Handwerg</v>
      </c>
      <c r="F5587" t="str">
        <f>"MATH COLL ALGEBRA"</f>
        <v>MATH COLL ALGEBRA</v>
      </c>
      <c r="G5587" t="str">
        <f>"21-2146"</f>
        <v>21-2146</v>
      </c>
      <c r="H5587" t="str">
        <f>"A"</f>
        <v>A</v>
      </c>
    </row>
    <row r="5588" spans="1:8" x14ac:dyDescent="0.2">
      <c r="A5588" t="str">
        <f t="shared" si="2051"/>
        <v>0615007484</v>
      </c>
      <c r="B5588" t="str">
        <f t="shared" si="2052"/>
        <v>STELLA</v>
      </c>
      <c r="C5588" t="str">
        <f t="shared" si="2053"/>
        <v>FIGUEROA BELLINA</v>
      </c>
      <c r="D5588">
        <f>11</f>
        <v>11</v>
      </c>
      <c r="E5588" t="str">
        <f>"06 - B - 105 - Elizabeth Ellen  Moran"</f>
        <v>06 - B - 105 - Elizabeth Ellen  Moran</v>
      </c>
      <c r="F5588" t="str">
        <f>"US HISTORY"</f>
        <v>US HISTORY</v>
      </c>
      <c r="G5588" t="str">
        <f>"17-1752"</f>
        <v>17-1752</v>
      </c>
      <c r="H5588" t="str">
        <f>"B"</f>
        <v>B</v>
      </c>
    </row>
    <row r="5589" spans="1:8" x14ac:dyDescent="0.2">
      <c r="A5589" t="str">
        <f t="shared" si="2051"/>
        <v>0615007484</v>
      </c>
      <c r="B5589" t="str">
        <f t="shared" si="2052"/>
        <v>STELLA</v>
      </c>
      <c r="C5589" t="str">
        <f t="shared" si="2053"/>
        <v>FIGUEROA BELLINA</v>
      </c>
      <c r="D5589">
        <f>11</f>
        <v>11</v>
      </c>
      <c r="E5589" t="str">
        <f>"03 - A - 103 - Jordana K Hass"</f>
        <v>03 - A - 103 - Jordana K Hass</v>
      </c>
      <c r="F5589" t="str">
        <f>"CHEMISTRY 1"</f>
        <v>CHEMISTRY 1</v>
      </c>
      <c r="G5589" t="str">
        <f>"08-807"</f>
        <v>08-807</v>
      </c>
      <c r="H5589" t="str">
        <f>"A"</f>
        <v>A</v>
      </c>
    </row>
    <row r="5590" spans="1:8" x14ac:dyDescent="0.2">
      <c r="A5590" t="str">
        <f t="shared" si="2051"/>
        <v>0615007484</v>
      </c>
      <c r="B5590" t="str">
        <f t="shared" si="2052"/>
        <v>STELLA</v>
      </c>
      <c r="C5590" t="str">
        <f t="shared" si="2053"/>
        <v>FIGUEROA BELLINA</v>
      </c>
      <c r="D5590">
        <f>11</f>
        <v>11</v>
      </c>
      <c r="E5590" t="str">
        <f>"02 - A - 112 - Brandy N Zdenek"</f>
        <v>02 - A - 112 - Brandy N Zdenek</v>
      </c>
      <c r="F5590" t="str">
        <f>"NC STUDY HALL 1"</f>
        <v>NC STUDY HALL 1</v>
      </c>
      <c r="G5590" t="str">
        <f>"17-1704"</f>
        <v>17-1704</v>
      </c>
      <c r="H5590" t="str">
        <f>"A"</f>
        <v>A</v>
      </c>
    </row>
    <row r="5591" spans="1:8" x14ac:dyDescent="0.2">
      <c r="A5591" t="str">
        <f t="shared" si="2051"/>
        <v>0615007484</v>
      </c>
      <c r="B5591" t="str">
        <f t="shared" si="2052"/>
        <v>STELLA</v>
      </c>
      <c r="C5591" t="str">
        <f t="shared" si="2053"/>
        <v>FIGUEROA BELLINA</v>
      </c>
      <c r="D5591">
        <f>11</f>
        <v>11</v>
      </c>
      <c r="E5591" t="str">
        <f>"07 - B - 102 - Chrystina M Marchionne"</f>
        <v>07 - B - 102 - Chrystina M Marchionne</v>
      </c>
      <c r="F5591" t="str">
        <f>"JOURN 2 (YB) LH"</f>
        <v>JOURN 2 (YB) LH</v>
      </c>
      <c r="G5591" t="str">
        <f>"05-520"</f>
        <v>05-520</v>
      </c>
      <c r="H5591" t="str">
        <f>"B"</f>
        <v>B</v>
      </c>
    </row>
    <row r="5592" spans="1:8" x14ac:dyDescent="0.2">
      <c r="A5592" t="str">
        <f t="shared" si="2051"/>
        <v>0615007484</v>
      </c>
      <c r="B5592" t="str">
        <f t="shared" si="2052"/>
        <v>STELLA</v>
      </c>
      <c r="C5592" t="str">
        <f t="shared" si="2053"/>
        <v>FIGUEROA BELLINA</v>
      </c>
      <c r="D5592">
        <f>11</f>
        <v>11</v>
      </c>
      <c r="E5592" t="str">
        <f>"05 - B - 102 - Daniel S Katz"</f>
        <v>05 - B - 102 - Daniel S Katz</v>
      </c>
      <c r="F5592" t="str">
        <f>"EXEC INTERN 4 LH"</f>
        <v>EXEC INTERN 4 LH</v>
      </c>
      <c r="G5592" t="str">
        <f>"21-2156"</f>
        <v>21-2156</v>
      </c>
      <c r="H5592" t="str">
        <f>"B"</f>
        <v>B</v>
      </c>
    </row>
    <row r="5593" spans="1:8" x14ac:dyDescent="0.2">
      <c r="A5593" t="str">
        <f t="shared" si="2051"/>
        <v>0615007484</v>
      </c>
      <c r="B5593" t="str">
        <f t="shared" si="2052"/>
        <v>STELLA</v>
      </c>
      <c r="C5593" t="str">
        <f t="shared" si="2053"/>
        <v>FIGUEROA BELLINA</v>
      </c>
      <c r="D5593">
        <f>11</f>
        <v>11</v>
      </c>
      <c r="E5593" t="str">
        <f>"01 - A - 101 - Jacklyn M James"</f>
        <v>01 - A - 101 - Jacklyn M James</v>
      </c>
      <c r="F5593" t="str">
        <f>"AICE ENG LANG AS"</f>
        <v>AICE ENG LANG AS</v>
      </c>
      <c r="G5593" t="str">
        <f>"17-1731"</f>
        <v>17-1731</v>
      </c>
      <c r="H5593" t="str">
        <f>"A"</f>
        <v>A</v>
      </c>
    </row>
    <row r="5594" spans="1:8" x14ac:dyDescent="0.2">
      <c r="A5594" t="str">
        <f t="shared" si="2051"/>
        <v>0615007484</v>
      </c>
      <c r="B5594" t="str">
        <f t="shared" si="2052"/>
        <v>STELLA</v>
      </c>
      <c r="C5594" t="str">
        <f t="shared" si="2053"/>
        <v>FIGUEROA BELLINA</v>
      </c>
      <c r="D5594">
        <f>11</f>
        <v>11</v>
      </c>
      <c r="E5594" t="str">
        <f>"08 - B - 103 - Joe  Kilpatrick Jr"</f>
        <v>08 - B - 103 - Joe  Kilpatrick Jr</v>
      </c>
      <c r="F5594" t="str">
        <f>"PRE-AICE SPAN 2 IG"</f>
        <v>PRE-AICE SPAN 2 IG</v>
      </c>
      <c r="G5594" t="str">
        <f>"09-912"</f>
        <v>09-912</v>
      </c>
      <c r="H5594" t="str">
        <f>"B"</f>
        <v>B</v>
      </c>
    </row>
    <row r="5595" spans="1:8" x14ac:dyDescent="0.2">
      <c r="A5595" t="str">
        <f t="shared" ref="A5595:A5602" si="2054">"0622082850"</f>
        <v>0622082850</v>
      </c>
      <c r="B5595" t="str">
        <f t="shared" ref="B5595:B5602" si="2055">"GABRIELLE"</f>
        <v>GABRIELLE</v>
      </c>
      <c r="C5595" t="str">
        <f t="shared" ref="C5595:C5602" si="2056">"FINDLATER"</f>
        <v>FINDLATER</v>
      </c>
      <c r="D5595">
        <f>10</f>
        <v>10</v>
      </c>
      <c r="E5595" t="str">
        <f>"04 - A - 105 - Jacklyn M James"</f>
        <v>04 - A - 105 - Jacklyn M James</v>
      </c>
      <c r="F5595" t="str">
        <f>"AICE ENG LANG AS"</f>
        <v>AICE ENG LANG AS</v>
      </c>
      <c r="G5595" t="str">
        <f>"17-1731"</f>
        <v>17-1731</v>
      </c>
      <c r="H5595" t="str">
        <f>"A"</f>
        <v>A</v>
      </c>
    </row>
    <row r="5596" spans="1:8" x14ac:dyDescent="0.2">
      <c r="A5596" t="str">
        <f t="shared" si="2054"/>
        <v>0622082850</v>
      </c>
      <c r="B5596" t="str">
        <f t="shared" si="2055"/>
        <v>GABRIELLE</v>
      </c>
      <c r="C5596" t="str">
        <f t="shared" si="2056"/>
        <v>FINDLATER</v>
      </c>
      <c r="D5596">
        <f>10</f>
        <v>10</v>
      </c>
      <c r="E5596" t="str">
        <f>"06 - B - 119 - Nikiel  Nesbeth"</f>
        <v>06 - B - 119 - Nikiel  Nesbeth</v>
      </c>
      <c r="F5596" t="str">
        <f>"NC STUDY HALL 1"</f>
        <v>NC STUDY HALL 1</v>
      </c>
      <c r="G5596" t="str">
        <f>"17-1705"</f>
        <v>17-1705</v>
      </c>
      <c r="H5596" t="str">
        <f>"B"</f>
        <v>B</v>
      </c>
    </row>
    <row r="5597" spans="1:8" x14ac:dyDescent="0.2">
      <c r="A5597" t="str">
        <f t="shared" si="2054"/>
        <v>0622082850</v>
      </c>
      <c r="B5597" t="str">
        <f t="shared" si="2055"/>
        <v>GABRIELLE</v>
      </c>
      <c r="C5597" t="str">
        <f t="shared" si="2056"/>
        <v>FINDLATER</v>
      </c>
      <c r="D5597">
        <f>10</f>
        <v>10</v>
      </c>
      <c r="E5597" t="str">
        <f>"03 - A - 202 - Cheryl L Beach"</f>
        <v>03 - A - 202 - Cheryl L Beach</v>
      </c>
      <c r="F5597" t="str">
        <f>"AICE ENV MGMNT AS"</f>
        <v>AICE ENV MGMNT AS</v>
      </c>
      <c r="G5597" t="str">
        <f>"08-811"</f>
        <v>08-811</v>
      </c>
      <c r="H5597" t="str">
        <f>"A"</f>
        <v>A</v>
      </c>
    </row>
    <row r="5598" spans="1:8" x14ac:dyDescent="0.2">
      <c r="A5598" t="str">
        <f t="shared" si="2054"/>
        <v>0622082850</v>
      </c>
      <c r="B5598" t="str">
        <f t="shared" si="2055"/>
        <v>GABRIELLE</v>
      </c>
      <c r="C5598" t="str">
        <f t="shared" si="2056"/>
        <v>FINDLATER</v>
      </c>
      <c r="D5598">
        <f>10</f>
        <v>10</v>
      </c>
      <c r="E5598" t="str">
        <f>"02 - A - 205 - Emmily A Sarmiento"</f>
        <v>02 - A - 205 - Emmily A Sarmiento</v>
      </c>
      <c r="F5598" t="str">
        <f>"AICE GLBL PERSP 1 AS"</f>
        <v>AICE GLBL PERSP 1 AS</v>
      </c>
      <c r="G5598" t="str">
        <f>"17-1743"</f>
        <v>17-1743</v>
      </c>
      <c r="H5598" t="str">
        <f>"A"</f>
        <v>A</v>
      </c>
    </row>
    <row r="5599" spans="1:8" x14ac:dyDescent="0.2">
      <c r="A5599" t="str">
        <f t="shared" si="2054"/>
        <v>0622082850</v>
      </c>
      <c r="B5599" t="str">
        <f t="shared" si="2055"/>
        <v>GABRIELLE</v>
      </c>
      <c r="C5599" t="str">
        <f t="shared" si="2056"/>
        <v>FINDLATER</v>
      </c>
      <c r="D5599">
        <f>10</f>
        <v>10</v>
      </c>
      <c r="E5599" t="str">
        <f>"07 - B - 101 - Lisa  Quinn"</f>
        <v>07 - B - 101 - Lisa  Quinn</v>
      </c>
      <c r="F5599" t="str">
        <f>"RESEARCH 1"</f>
        <v>RESEARCH 1</v>
      </c>
      <c r="G5599" t="str">
        <f>"17-1725"</f>
        <v>17-1725</v>
      </c>
      <c r="H5599" t="str">
        <f>"B"</f>
        <v>B</v>
      </c>
    </row>
    <row r="5600" spans="1:8" x14ac:dyDescent="0.2">
      <c r="A5600" t="str">
        <f t="shared" si="2054"/>
        <v>0622082850</v>
      </c>
      <c r="B5600" t="str">
        <f t="shared" si="2055"/>
        <v>GABRIELLE</v>
      </c>
      <c r="C5600" t="str">
        <f t="shared" si="2056"/>
        <v>FINDLATER</v>
      </c>
      <c r="D5600">
        <f>10</f>
        <v>10</v>
      </c>
      <c r="E5600" t="str">
        <f>"05 - B - 106 - Fernando  Vega-Cid"</f>
        <v>05 - B - 106 - Fernando  Vega-Cid</v>
      </c>
      <c r="F5600" t="str">
        <f>"GEOMETRY"</f>
        <v>GEOMETRY</v>
      </c>
      <c r="G5600" t="str">
        <f>"21-2163"</f>
        <v>21-2163</v>
      </c>
      <c r="H5600" t="str">
        <f>"B"</f>
        <v>B</v>
      </c>
    </row>
    <row r="5601" spans="1:8" x14ac:dyDescent="0.2">
      <c r="A5601" t="str">
        <f t="shared" si="2054"/>
        <v>0622082850</v>
      </c>
      <c r="B5601" t="str">
        <f t="shared" si="2055"/>
        <v>GABRIELLE</v>
      </c>
      <c r="C5601" t="str">
        <f t="shared" si="2056"/>
        <v>FINDLATER</v>
      </c>
      <c r="D5601">
        <f>10</f>
        <v>10</v>
      </c>
      <c r="E5601" t="str">
        <f>"01 - A - 101 - Eva T Rimmer"</f>
        <v>01 - A - 101 - Eva T Rimmer</v>
      </c>
      <c r="F5601" t="str">
        <f>"CRIMINAL JUST OPS 2"</f>
        <v>CRIMINAL JUST OPS 2</v>
      </c>
      <c r="G5601" t="str">
        <f>"05-523"</f>
        <v>05-523</v>
      </c>
      <c r="H5601" t="str">
        <f>"A"</f>
        <v>A</v>
      </c>
    </row>
    <row r="5602" spans="1:8" x14ac:dyDescent="0.2">
      <c r="A5602" t="str">
        <f t="shared" si="2054"/>
        <v>0622082850</v>
      </c>
      <c r="B5602" t="str">
        <f t="shared" si="2055"/>
        <v>GABRIELLE</v>
      </c>
      <c r="C5602" t="str">
        <f t="shared" si="2056"/>
        <v>FINDLATER</v>
      </c>
      <c r="D5602">
        <f>10</f>
        <v>10</v>
      </c>
      <c r="E5602" t="str">
        <f>"08 - B - 206 - Daniel S Katz"</f>
        <v>08 - B - 206 - Daniel S Katz</v>
      </c>
      <c r="F5602" t="str">
        <f>"AICE MEDIASTUDIES AS"</f>
        <v>AICE MEDIASTUDIES AS</v>
      </c>
      <c r="G5602" t="str">
        <f>"05-521"</f>
        <v>05-521</v>
      </c>
      <c r="H5602" t="str">
        <f>"B"</f>
        <v>B</v>
      </c>
    </row>
    <row r="5603" spans="1:8" x14ac:dyDescent="0.2">
      <c r="A5603" t="str">
        <f t="shared" ref="A5603:A5610" si="2057">"0614124962"</f>
        <v>0614124962</v>
      </c>
      <c r="B5603" t="str">
        <f t="shared" ref="B5603:B5610" si="2058">"MACHAELA"</f>
        <v>MACHAELA</v>
      </c>
      <c r="C5603" t="str">
        <f t="shared" ref="C5603:C5610" si="2059">"FINNIKIN"</f>
        <v>FINNIKIN</v>
      </c>
      <c r="D5603">
        <f>10</f>
        <v>10</v>
      </c>
      <c r="E5603" t="str">
        <f>"04 - A - 102 - Josiah I Lacy"</f>
        <v>04 - A - 102 - Josiah I Lacy</v>
      </c>
      <c r="F5603" t="str">
        <f>"PRE-AICE BIO IG"</f>
        <v>PRE-AICE BIO IG</v>
      </c>
      <c r="G5603" t="str">
        <f>"08-801"</f>
        <v>08-801</v>
      </c>
      <c r="H5603" t="str">
        <f>"A"</f>
        <v>A</v>
      </c>
    </row>
    <row r="5604" spans="1:8" x14ac:dyDescent="0.2">
      <c r="A5604" t="str">
        <f t="shared" si="2057"/>
        <v>0614124962</v>
      </c>
      <c r="B5604" t="str">
        <f t="shared" si="2058"/>
        <v>MACHAELA</v>
      </c>
      <c r="C5604" t="str">
        <f t="shared" si="2059"/>
        <v>FINNIKIN</v>
      </c>
      <c r="D5604">
        <f>10</f>
        <v>10</v>
      </c>
      <c r="E5604" t="str">
        <f>"06 - B - 107 - Dorothy D Moore"</f>
        <v>06 - B - 107 - Dorothy D Moore</v>
      </c>
      <c r="F5604" t="str">
        <f>"NC STUDY HALL 1"</f>
        <v>NC STUDY HALL 1</v>
      </c>
      <c r="G5604" t="str">
        <f>"08-803"</f>
        <v>08-803</v>
      </c>
      <c r="H5604" t="str">
        <f>"B"</f>
        <v>B</v>
      </c>
    </row>
    <row r="5605" spans="1:8" x14ac:dyDescent="0.2">
      <c r="A5605" t="str">
        <f t="shared" si="2057"/>
        <v>0614124962</v>
      </c>
      <c r="B5605" t="str">
        <f t="shared" si="2058"/>
        <v>MACHAELA</v>
      </c>
      <c r="C5605" t="str">
        <f t="shared" si="2059"/>
        <v>FINNIKIN</v>
      </c>
      <c r="D5605">
        <f>10</f>
        <v>10</v>
      </c>
      <c r="E5605" t="str">
        <f>"03 - A - 101 - Samantha L Martinez"</f>
        <v>03 - A - 101 - Samantha L Martinez</v>
      </c>
      <c r="F5605" t="str">
        <f>"VOCAL ENS 1"</f>
        <v>VOCAL ENS 1</v>
      </c>
      <c r="G5605" t="str">
        <f>"05-505"</f>
        <v>05-505</v>
      </c>
      <c r="H5605" t="str">
        <f>"A"</f>
        <v>A</v>
      </c>
    </row>
    <row r="5606" spans="1:8" x14ac:dyDescent="0.2">
      <c r="A5606" t="str">
        <f t="shared" si="2057"/>
        <v>0614124962</v>
      </c>
      <c r="B5606" t="str">
        <f t="shared" si="2058"/>
        <v>MACHAELA</v>
      </c>
      <c r="C5606" t="str">
        <f t="shared" si="2059"/>
        <v>FINNIKIN</v>
      </c>
      <c r="D5606">
        <f>10</f>
        <v>10</v>
      </c>
      <c r="E5606" t="str">
        <f>"02 - A - 001 - Alejandro  Navarro"</f>
        <v>02 - A - 001 - Alejandro  Navarro</v>
      </c>
      <c r="F5606" t="str">
        <f>"BAND 1"</f>
        <v>BAND 1</v>
      </c>
      <c r="G5606" t="str">
        <f>"05-504"</f>
        <v>05-504</v>
      </c>
      <c r="H5606" t="str">
        <f>"A"</f>
        <v>A</v>
      </c>
    </row>
    <row r="5607" spans="1:8" x14ac:dyDescent="0.2">
      <c r="A5607" t="str">
        <f t="shared" si="2057"/>
        <v>0614124962</v>
      </c>
      <c r="B5607" t="str">
        <f t="shared" si="2058"/>
        <v>MACHAELA</v>
      </c>
      <c r="C5607" t="str">
        <f t="shared" si="2059"/>
        <v>FINNIKIN</v>
      </c>
      <c r="D5607">
        <f>10</f>
        <v>10</v>
      </c>
      <c r="E5607" t="str">
        <f>"07 - B - 102 - Nikiel  Nesbeth"</f>
        <v>07 - B - 102 - Nikiel  Nesbeth</v>
      </c>
      <c r="F5607" t="str">
        <f>"PRE-AICE ENG LIT IG"</f>
        <v>PRE-AICE ENG LIT IG</v>
      </c>
      <c r="G5607" t="str">
        <f>"17-1705"</f>
        <v>17-1705</v>
      </c>
      <c r="H5607" t="str">
        <f>"B"</f>
        <v>B</v>
      </c>
    </row>
    <row r="5608" spans="1:8" x14ac:dyDescent="0.2">
      <c r="A5608" t="str">
        <f t="shared" si="2057"/>
        <v>0614124962</v>
      </c>
      <c r="B5608" t="str">
        <f t="shared" si="2058"/>
        <v>MACHAELA</v>
      </c>
      <c r="C5608" t="str">
        <f t="shared" si="2059"/>
        <v>FINNIKIN</v>
      </c>
      <c r="D5608">
        <f>10</f>
        <v>10</v>
      </c>
      <c r="E5608" t="str">
        <f>"05 - B - 105 - Marius D Orsolini"</f>
        <v>05 - B - 105 - Marius D Orsolini</v>
      </c>
      <c r="F5608" t="str">
        <f>"CULINARY ARTS 1"</f>
        <v>CULINARY ARTS 1</v>
      </c>
      <c r="G5608" t="str">
        <f>"21-2115"</f>
        <v>21-2115</v>
      </c>
      <c r="H5608" t="str">
        <f>"B"</f>
        <v>B</v>
      </c>
    </row>
    <row r="5609" spans="1:8" x14ac:dyDescent="0.2">
      <c r="A5609" t="str">
        <f t="shared" si="2057"/>
        <v>0614124962</v>
      </c>
      <c r="B5609" t="str">
        <f t="shared" si="2058"/>
        <v>MACHAELA</v>
      </c>
      <c r="C5609" t="str">
        <f t="shared" si="2059"/>
        <v>FINNIKIN</v>
      </c>
      <c r="D5609">
        <f>10</f>
        <v>10</v>
      </c>
      <c r="E5609" t="str">
        <f>"01 - A - 101 - James H Mccann"</f>
        <v>01 - A - 101 - James H Mccann</v>
      </c>
      <c r="F5609" t="str">
        <f>"ALGEBRA 2"</f>
        <v>ALGEBRA 2</v>
      </c>
      <c r="G5609" t="str">
        <f>"17-1716"</f>
        <v>17-1716</v>
      </c>
      <c r="H5609" t="str">
        <f>"A"</f>
        <v>A</v>
      </c>
    </row>
    <row r="5610" spans="1:8" x14ac:dyDescent="0.2">
      <c r="A5610" t="str">
        <f t="shared" si="2057"/>
        <v>0614124962</v>
      </c>
      <c r="B5610" t="str">
        <f t="shared" si="2058"/>
        <v>MACHAELA</v>
      </c>
      <c r="C5610" t="str">
        <f t="shared" si="2059"/>
        <v>FINNIKIN</v>
      </c>
      <c r="D5610">
        <f>10</f>
        <v>10</v>
      </c>
      <c r="E5610" t="str">
        <f>"08 - B - 105 - Daniel S Tyson"</f>
        <v>08 - B - 105 - Daniel S Tyson</v>
      </c>
      <c r="F5610" t="str">
        <f>"JROTC NAVAL SCI 2"</f>
        <v>JROTC NAVAL SCI 2</v>
      </c>
      <c r="G5610" t="str">
        <f>"05-510"</f>
        <v>05-510</v>
      </c>
      <c r="H5610" t="str">
        <f>"B"</f>
        <v>B</v>
      </c>
    </row>
    <row r="5611" spans="1:8" x14ac:dyDescent="0.2">
      <c r="A5611" t="str">
        <f t="shared" ref="A5611:A5618" si="2060">"0615147364"</f>
        <v>0615147364</v>
      </c>
      <c r="B5611" t="str">
        <f t="shared" ref="B5611:B5618" si="2061">"FRANCESCA"</f>
        <v>FRANCESCA</v>
      </c>
      <c r="C5611" t="str">
        <f t="shared" ref="C5611:C5618" si="2062">"FIOROT"</f>
        <v>FIOROT</v>
      </c>
      <c r="D5611">
        <f>10</f>
        <v>10</v>
      </c>
      <c r="E5611" t="str">
        <f>"04 - A - 102 - Daniel S Katz"</f>
        <v>04 - A - 102 - Daniel S Katz</v>
      </c>
      <c r="F5611" t="str">
        <f>"AICE DRAMA 1 AS LEV"</f>
        <v>AICE DRAMA 1 AS LEV</v>
      </c>
      <c r="G5611" t="str">
        <f>"05-521"</f>
        <v>05-521</v>
      </c>
      <c r="H5611" t="str">
        <f>"A"</f>
        <v>A</v>
      </c>
    </row>
    <row r="5612" spans="1:8" x14ac:dyDescent="0.2">
      <c r="A5612" t="str">
        <f t="shared" si="2060"/>
        <v>0615147364</v>
      </c>
      <c r="B5612" t="str">
        <f t="shared" si="2061"/>
        <v>FRANCESCA</v>
      </c>
      <c r="C5612" t="str">
        <f t="shared" si="2062"/>
        <v>FIOROT</v>
      </c>
      <c r="D5612">
        <f>10</f>
        <v>10</v>
      </c>
      <c r="E5612" t="str">
        <f>"06 - B - 112 - Tina M Jaramillo"</f>
        <v>06 - B - 112 - Tina M Jaramillo</v>
      </c>
      <c r="F5612" t="str">
        <f>"NC STUDY HALL 1"</f>
        <v>NC STUDY HALL 1</v>
      </c>
      <c r="G5612" t="str">
        <f>"17-1706"</f>
        <v>17-1706</v>
      </c>
      <c r="H5612" t="str">
        <f>"B"</f>
        <v>B</v>
      </c>
    </row>
    <row r="5613" spans="1:8" x14ac:dyDescent="0.2">
      <c r="A5613" t="str">
        <f t="shared" si="2060"/>
        <v>0615147364</v>
      </c>
      <c r="B5613" t="str">
        <f t="shared" si="2061"/>
        <v>FRANCESCA</v>
      </c>
      <c r="C5613" t="str">
        <f t="shared" si="2062"/>
        <v>FIOROT</v>
      </c>
      <c r="D5613">
        <f>10</f>
        <v>10</v>
      </c>
      <c r="E5613" t="str">
        <f>"03 - A - 103 - Courtney E Hambright"</f>
        <v>03 - A - 103 - Courtney E Hambright</v>
      </c>
      <c r="F5613" t="str">
        <f>"AICE ENG LANG AS"</f>
        <v>AICE ENG LANG AS</v>
      </c>
      <c r="G5613" t="str">
        <f>"17-1711"</f>
        <v>17-1711</v>
      </c>
      <c r="H5613" t="str">
        <f>"A"</f>
        <v>A</v>
      </c>
    </row>
    <row r="5614" spans="1:8" x14ac:dyDescent="0.2">
      <c r="A5614" t="str">
        <f t="shared" si="2060"/>
        <v>0615147364</v>
      </c>
      <c r="B5614" t="str">
        <f t="shared" si="2061"/>
        <v>FRANCESCA</v>
      </c>
      <c r="C5614" t="str">
        <f t="shared" si="2062"/>
        <v>FIOROT</v>
      </c>
      <c r="D5614">
        <f>10</f>
        <v>10</v>
      </c>
      <c r="E5614" t="str">
        <f>"02 - A - 103 - Dorothy D Moore"</f>
        <v>02 - A - 103 - Dorothy D Moore</v>
      </c>
      <c r="F5614" t="str">
        <f>"ANAT PHYSIO HON"</f>
        <v>ANAT PHYSIO HON</v>
      </c>
      <c r="G5614" t="str">
        <f>"08-803"</f>
        <v>08-803</v>
      </c>
      <c r="H5614" t="str">
        <f>"A"</f>
        <v>A</v>
      </c>
    </row>
    <row r="5615" spans="1:8" x14ac:dyDescent="0.2">
      <c r="A5615" t="str">
        <f t="shared" si="2060"/>
        <v>0615147364</v>
      </c>
      <c r="B5615" t="str">
        <f t="shared" si="2061"/>
        <v>FRANCESCA</v>
      </c>
      <c r="C5615" t="str">
        <f t="shared" si="2062"/>
        <v>FIOROT</v>
      </c>
      <c r="D5615">
        <f>10</f>
        <v>10</v>
      </c>
      <c r="E5615" t="str">
        <f>"07 - B - 102 - Timothy J Lawrence"</f>
        <v>07 - B - 102 - Timothy J Lawrence</v>
      </c>
      <c r="F5615" t="str">
        <f>"AICE PHYS ED 1 AS"</f>
        <v>AICE PHYS ED 1 AS</v>
      </c>
      <c r="G5615" t="str">
        <f>"05-523"</f>
        <v>05-523</v>
      </c>
      <c r="H5615" t="str">
        <f>"B"</f>
        <v>B</v>
      </c>
    </row>
    <row r="5616" spans="1:8" x14ac:dyDescent="0.2">
      <c r="A5616" t="str">
        <f t="shared" si="2060"/>
        <v>0615147364</v>
      </c>
      <c r="B5616" t="str">
        <f t="shared" si="2061"/>
        <v>FRANCESCA</v>
      </c>
      <c r="C5616" t="str">
        <f t="shared" si="2062"/>
        <v>FIOROT</v>
      </c>
      <c r="D5616">
        <f>10</f>
        <v>10</v>
      </c>
      <c r="E5616" t="str">
        <f>"05 - B - 104 - Semra  Bahadir"</f>
        <v>05 - B - 104 - Semra  Bahadir</v>
      </c>
      <c r="F5616" t="str">
        <f>"MATH COLL ALGEBRA"</f>
        <v>MATH COLL ALGEBRA</v>
      </c>
      <c r="G5616" t="str">
        <f>"21-2107"</f>
        <v>21-2107</v>
      </c>
      <c r="H5616" t="str">
        <f>"B"</f>
        <v>B</v>
      </c>
    </row>
    <row r="5617" spans="1:8" x14ac:dyDescent="0.2">
      <c r="A5617" t="str">
        <f t="shared" si="2060"/>
        <v>0615147364</v>
      </c>
      <c r="B5617" t="str">
        <f t="shared" si="2061"/>
        <v>FRANCESCA</v>
      </c>
      <c r="C5617" t="str">
        <f t="shared" si="2062"/>
        <v>FIOROT</v>
      </c>
      <c r="D5617">
        <f>10</f>
        <v>10</v>
      </c>
      <c r="E5617" t="str">
        <f>"01 - A - 101 - Rory T Sponsler"</f>
        <v>01 - A - 101 - Rory T Sponsler</v>
      </c>
      <c r="F5617" t="str">
        <f>"PRE-AICE WRLD HST IG"</f>
        <v>PRE-AICE WRLD HST IG</v>
      </c>
      <c r="G5617" t="str">
        <f>"17-1740"</f>
        <v>17-1740</v>
      </c>
      <c r="H5617" t="str">
        <f>"A"</f>
        <v>A</v>
      </c>
    </row>
    <row r="5618" spans="1:8" x14ac:dyDescent="0.2">
      <c r="A5618" t="str">
        <f t="shared" si="2060"/>
        <v>0615147364</v>
      </c>
      <c r="B5618" t="str">
        <f t="shared" si="2061"/>
        <v>FRANCESCA</v>
      </c>
      <c r="C5618" t="str">
        <f t="shared" si="2062"/>
        <v>FIOROT</v>
      </c>
      <c r="D5618">
        <f>10</f>
        <v>10</v>
      </c>
      <c r="E5618" t="str">
        <f>"08 - S1 - B - 001 - Carol S Moore"</f>
        <v>08 - S1 - B - 001 - Carol S Moore</v>
      </c>
      <c r="F5618" t="str">
        <f>"PER CAR SCH DEV 1 LH"</f>
        <v>PER CAR SCH DEV 1 LH</v>
      </c>
      <c r="G5618" t="str">
        <f>"17-1733"</f>
        <v>17-1733</v>
      </c>
      <c r="H5618" t="str">
        <f>"B"</f>
        <v>B</v>
      </c>
    </row>
    <row r="5619" spans="1:8" x14ac:dyDescent="0.2">
      <c r="A5619" t="str">
        <f t="shared" ref="A5619:A5626" si="2063">"0625019465"</f>
        <v>0625019465</v>
      </c>
      <c r="B5619" t="str">
        <f t="shared" ref="B5619:B5626" si="2064">"Withney"</f>
        <v>Withney</v>
      </c>
      <c r="C5619" t="str">
        <f t="shared" ref="C5619:C5626" si="2065">"Flemming"</f>
        <v>Flemming</v>
      </c>
      <c r="D5619">
        <f>10</f>
        <v>10</v>
      </c>
      <c r="E5619" t="str">
        <f>"04 - A - 005 - Emmily A Sarmiento"</f>
        <v>04 - A - 005 - Emmily A Sarmiento</v>
      </c>
      <c r="F5619" t="str">
        <f>"AICE GLBL PERSP 1 AS"</f>
        <v>AICE GLBL PERSP 1 AS</v>
      </c>
      <c r="G5619" t="str">
        <f>"17-1743"</f>
        <v>17-1743</v>
      </c>
      <c r="H5619" t="str">
        <f>"A"</f>
        <v>A</v>
      </c>
    </row>
    <row r="5620" spans="1:8" x14ac:dyDescent="0.2">
      <c r="A5620" t="str">
        <f t="shared" si="2063"/>
        <v>0625019465</v>
      </c>
      <c r="B5620" t="str">
        <f t="shared" si="2064"/>
        <v>Withney</v>
      </c>
      <c r="C5620" t="str">
        <f t="shared" si="2065"/>
        <v>Flemming</v>
      </c>
      <c r="D5620">
        <f>10</f>
        <v>10</v>
      </c>
      <c r="E5620" t="str">
        <f>"06 - B - 117 - Daniel S Tyson"</f>
        <v>06 - B - 117 - Daniel S Tyson</v>
      </c>
      <c r="F5620" t="str">
        <f>"NC STUDY HALL 1"</f>
        <v>NC STUDY HALL 1</v>
      </c>
      <c r="G5620" t="str">
        <f>"05-510"</f>
        <v>05-510</v>
      </c>
      <c r="H5620" t="str">
        <f>"B"</f>
        <v>B</v>
      </c>
    </row>
    <row r="5621" spans="1:8" x14ac:dyDescent="0.2">
      <c r="A5621" t="str">
        <f t="shared" si="2063"/>
        <v>0625019465</v>
      </c>
      <c r="B5621" t="str">
        <f t="shared" si="2064"/>
        <v>Withney</v>
      </c>
      <c r="C5621" t="str">
        <f t="shared" si="2065"/>
        <v>Flemming</v>
      </c>
      <c r="D5621">
        <f>10</f>
        <v>10</v>
      </c>
      <c r="E5621" t="str">
        <f>"03 - A - 204 - Lytrell T Dixon"</f>
        <v>03 - A - 204 - Lytrell T Dixon</v>
      </c>
      <c r="F5621" t="str">
        <f>"BIOLOGY 1"</f>
        <v>BIOLOGY 1</v>
      </c>
      <c r="G5621" t="str">
        <f>"08-808"</f>
        <v>08-808</v>
      </c>
      <c r="H5621" t="str">
        <f>"A"</f>
        <v>A</v>
      </c>
    </row>
    <row r="5622" spans="1:8" x14ac:dyDescent="0.2">
      <c r="A5622" t="str">
        <f t="shared" si="2063"/>
        <v>0625019465</v>
      </c>
      <c r="B5622" t="str">
        <f t="shared" si="2064"/>
        <v>Withney</v>
      </c>
      <c r="C5622" t="str">
        <f t="shared" si="2065"/>
        <v>Flemming</v>
      </c>
      <c r="D5622">
        <f>10</f>
        <v>10</v>
      </c>
      <c r="E5622" t="str">
        <f>"02 - A - 202 - Daniel S Tyson"</f>
        <v>02 - A - 202 - Daniel S Tyson</v>
      </c>
      <c r="F5622" t="str">
        <f>"JROTC NAVAL SCI 2"</f>
        <v>JROTC NAVAL SCI 2</v>
      </c>
      <c r="G5622" t="str">
        <f>"05-510"</f>
        <v>05-510</v>
      </c>
      <c r="H5622" t="str">
        <f>"A"</f>
        <v>A</v>
      </c>
    </row>
    <row r="5623" spans="1:8" x14ac:dyDescent="0.2">
      <c r="A5623" t="str">
        <f t="shared" si="2063"/>
        <v>0625019465</v>
      </c>
      <c r="B5623" t="str">
        <f t="shared" si="2064"/>
        <v>Withney</v>
      </c>
      <c r="C5623" t="str">
        <f t="shared" si="2065"/>
        <v>Flemming</v>
      </c>
      <c r="D5623">
        <f>10</f>
        <v>10</v>
      </c>
      <c r="E5623" t="str">
        <f>"07 - B - 106 - Taraneh C Abreu"</f>
        <v>07 - B - 106 - Taraneh C Abreu</v>
      </c>
      <c r="F5623" t="str">
        <f>"INTENS READ 2"</f>
        <v>INTENS READ 2</v>
      </c>
      <c r="G5623" t="str">
        <f>"17-1713"</f>
        <v>17-1713</v>
      </c>
      <c r="H5623" t="str">
        <f>"B"</f>
        <v>B</v>
      </c>
    </row>
    <row r="5624" spans="1:8" x14ac:dyDescent="0.2">
      <c r="A5624" t="str">
        <f t="shared" si="2063"/>
        <v>0625019465</v>
      </c>
      <c r="B5624" t="str">
        <f t="shared" si="2064"/>
        <v>Withney</v>
      </c>
      <c r="C5624" t="str">
        <f t="shared" si="2065"/>
        <v>Flemming</v>
      </c>
      <c r="D5624">
        <f>10</f>
        <v>10</v>
      </c>
      <c r="E5624" t="str">
        <f>"05 - B - 104 - Maried P Ramos"</f>
        <v>05 - B - 104 - Maried P Ramos</v>
      </c>
      <c r="F5624" t="str">
        <f>"PRE-AICE MATH 2 IG"</f>
        <v>PRE-AICE MATH 2 IG</v>
      </c>
      <c r="G5624" t="str">
        <f>"21-2159"</f>
        <v>21-2159</v>
      </c>
      <c r="H5624" t="str">
        <f>"B"</f>
        <v>B</v>
      </c>
    </row>
    <row r="5625" spans="1:8" x14ac:dyDescent="0.2">
      <c r="A5625" t="str">
        <f t="shared" si="2063"/>
        <v>0625019465</v>
      </c>
      <c r="B5625" t="str">
        <f t="shared" si="2064"/>
        <v>Withney</v>
      </c>
      <c r="C5625" t="str">
        <f t="shared" si="2065"/>
        <v>Flemming</v>
      </c>
      <c r="D5625">
        <f>10</f>
        <v>10</v>
      </c>
      <c r="E5625" t="str">
        <f>"01 - A - 101 - Jacquelyn M Neeson"</f>
        <v>01 - A - 101 - Jacquelyn M Neeson</v>
      </c>
      <c r="F5625" t="str">
        <f>"AICE ENG GEN PAPER 1"</f>
        <v>AICE ENG GEN PAPER 1</v>
      </c>
      <c r="G5625" t="str">
        <f>"17-1715"</f>
        <v>17-1715</v>
      </c>
      <c r="H5625" t="str">
        <f>"A"</f>
        <v>A</v>
      </c>
    </row>
    <row r="5626" spans="1:8" x14ac:dyDescent="0.2">
      <c r="A5626" t="str">
        <f t="shared" si="2063"/>
        <v>0625019465</v>
      </c>
      <c r="B5626" t="str">
        <f t="shared" si="2064"/>
        <v>Withney</v>
      </c>
      <c r="C5626" t="str">
        <f t="shared" si="2065"/>
        <v>Flemming</v>
      </c>
      <c r="D5626">
        <f>10</f>
        <v>10</v>
      </c>
      <c r="E5626" t="str">
        <f>"08 - S1 - B - 001 - Carol S Moore"</f>
        <v>08 - S1 - B - 001 - Carol S Moore</v>
      </c>
      <c r="F5626" t="str">
        <f>"PER CAR SCH DEV 1 LH"</f>
        <v>PER CAR SCH DEV 1 LH</v>
      </c>
      <c r="G5626" t="str">
        <f>"17-1733"</f>
        <v>17-1733</v>
      </c>
      <c r="H5626" t="str">
        <f>"B"</f>
        <v>B</v>
      </c>
    </row>
    <row r="5627" spans="1:8" x14ac:dyDescent="0.2">
      <c r="A5627" t="str">
        <f t="shared" ref="A5627:A5634" si="2066">"0615113187"</f>
        <v>0615113187</v>
      </c>
      <c r="B5627" t="str">
        <f t="shared" ref="B5627:B5634" si="2067">"KAMORA"</f>
        <v>KAMORA</v>
      </c>
      <c r="C5627" t="str">
        <f t="shared" ref="C5627:C5634" si="2068">"FLEMMING"</f>
        <v>FLEMMING</v>
      </c>
      <c r="D5627">
        <f>10</f>
        <v>10</v>
      </c>
      <c r="E5627" t="str">
        <f>"04 - A - 101 - Christa T Parisi"</f>
        <v>04 - A - 101 - Christa T Parisi</v>
      </c>
      <c r="F5627" t="str">
        <f>"DANCE TECHNQS 2"</f>
        <v>DANCE TECHNQS 2</v>
      </c>
      <c r="G5627" t="str">
        <f>"05-503"</f>
        <v>05-503</v>
      </c>
      <c r="H5627" t="str">
        <f>"A"</f>
        <v>A</v>
      </c>
    </row>
    <row r="5628" spans="1:8" x14ac:dyDescent="0.2">
      <c r="A5628" t="str">
        <f t="shared" si="2066"/>
        <v>0615113187</v>
      </c>
      <c r="B5628" t="str">
        <f t="shared" si="2067"/>
        <v>KAMORA</v>
      </c>
      <c r="C5628" t="str">
        <f t="shared" si="2068"/>
        <v>FLEMMING</v>
      </c>
      <c r="D5628">
        <f>10</f>
        <v>10</v>
      </c>
      <c r="E5628" t="str">
        <f>"06 - B - 104 - Robert H Rindner"</f>
        <v>06 - B - 104 - Robert H Rindner</v>
      </c>
      <c r="F5628" t="str">
        <f>"NC STUDY HALL 1"</f>
        <v>NC STUDY HALL 1</v>
      </c>
      <c r="G5628" t="str">
        <f>"21-2160"</f>
        <v>21-2160</v>
      </c>
      <c r="H5628" t="str">
        <f>"B"</f>
        <v>B</v>
      </c>
    </row>
    <row r="5629" spans="1:8" x14ac:dyDescent="0.2">
      <c r="A5629" t="str">
        <f t="shared" si="2066"/>
        <v>0615113187</v>
      </c>
      <c r="B5629" t="str">
        <f t="shared" si="2067"/>
        <v>KAMORA</v>
      </c>
      <c r="C5629" t="str">
        <f t="shared" si="2068"/>
        <v>FLEMMING</v>
      </c>
      <c r="D5629">
        <f>10</f>
        <v>10</v>
      </c>
      <c r="E5629" t="str">
        <f>"03 - A - 204 - Norayda D Suarez"</f>
        <v>03 - A - 204 - Norayda D Suarez</v>
      </c>
      <c r="F5629" t="str">
        <f>"ANAT PHYSIO HON"</f>
        <v>ANAT PHYSIO HON</v>
      </c>
      <c r="G5629" t="str">
        <f>"21-2144"</f>
        <v>21-2144</v>
      </c>
      <c r="H5629" t="str">
        <f>"A"</f>
        <v>A</v>
      </c>
    </row>
    <row r="5630" spans="1:8" x14ac:dyDescent="0.2">
      <c r="A5630" t="str">
        <f t="shared" si="2066"/>
        <v>0615113187</v>
      </c>
      <c r="B5630" t="str">
        <f t="shared" si="2067"/>
        <v>KAMORA</v>
      </c>
      <c r="C5630" t="str">
        <f t="shared" si="2068"/>
        <v>FLEMMING</v>
      </c>
      <c r="D5630">
        <f>10</f>
        <v>10</v>
      </c>
      <c r="E5630" t="str">
        <f>"02 - A - 102 - Jacklyn M James"</f>
        <v>02 - A - 102 - Jacklyn M James</v>
      </c>
      <c r="F5630" t="str">
        <f>"AICE ENG LANG AS"</f>
        <v>AICE ENG LANG AS</v>
      </c>
      <c r="G5630" t="str">
        <f>"17-1731"</f>
        <v>17-1731</v>
      </c>
      <c r="H5630" t="str">
        <f>"A"</f>
        <v>A</v>
      </c>
    </row>
    <row r="5631" spans="1:8" x14ac:dyDescent="0.2">
      <c r="A5631" t="str">
        <f t="shared" si="2066"/>
        <v>0615113187</v>
      </c>
      <c r="B5631" t="str">
        <f t="shared" si="2067"/>
        <v>KAMORA</v>
      </c>
      <c r="C5631" t="str">
        <f t="shared" si="2068"/>
        <v>FLEMMING</v>
      </c>
      <c r="D5631">
        <f>10</f>
        <v>10</v>
      </c>
      <c r="E5631" t="str">
        <f>"07 - B - 207 - Krystal Marie  Beruty"</f>
        <v>07 - B - 207 - Krystal Marie  Beruty</v>
      </c>
      <c r="F5631" t="str">
        <f>"AICE GLBL PERSP 1 AS"</f>
        <v>AICE GLBL PERSP 1 AS</v>
      </c>
      <c r="G5631" t="str">
        <f>"17-1721"</f>
        <v>17-1721</v>
      </c>
      <c r="H5631" t="str">
        <f>"B"</f>
        <v>B</v>
      </c>
    </row>
    <row r="5632" spans="1:8" x14ac:dyDescent="0.2">
      <c r="A5632" t="str">
        <f t="shared" si="2066"/>
        <v>0615113187</v>
      </c>
      <c r="B5632" t="str">
        <f t="shared" si="2067"/>
        <v>KAMORA</v>
      </c>
      <c r="C5632" t="str">
        <f t="shared" si="2068"/>
        <v>FLEMMING</v>
      </c>
      <c r="D5632">
        <f>10</f>
        <v>10</v>
      </c>
      <c r="E5632" t="str">
        <f>"05 - S1 - B - 102 - Lissa C Frederique"</f>
        <v>05 - S1 - B - 102 - Lissa C Frederique</v>
      </c>
      <c r="F5632" t="str">
        <f>"PERS FIN &amp; MON MGT H"</f>
        <v>PERS FIN &amp; MON MGT H</v>
      </c>
      <c r="G5632" t="str">
        <f>"17-1754"</f>
        <v>17-1754</v>
      </c>
      <c r="H5632" t="str">
        <f>"B"</f>
        <v>B</v>
      </c>
    </row>
    <row r="5633" spans="1:8" x14ac:dyDescent="0.2">
      <c r="A5633" t="str">
        <f t="shared" si="2066"/>
        <v>0615113187</v>
      </c>
      <c r="B5633" t="str">
        <f t="shared" si="2067"/>
        <v>KAMORA</v>
      </c>
      <c r="C5633" t="str">
        <f t="shared" si="2068"/>
        <v>FLEMMING</v>
      </c>
      <c r="D5633">
        <f>10</f>
        <v>10</v>
      </c>
      <c r="E5633" t="str">
        <f>"01 - A - 101 - Daniel S Katz"</f>
        <v>01 - A - 101 - Daniel S Katz</v>
      </c>
      <c r="F5633" t="str">
        <f>"EXEC INTERN 3 LH"</f>
        <v>EXEC INTERN 3 LH</v>
      </c>
      <c r="G5633" t="str">
        <f>"21-2156"</f>
        <v>21-2156</v>
      </c>
      <c r="H5633" t="str">
        <f>"A"</f>
        <v>A</v>
      </c>
    </row>
    <row r="5634" spans="1:8" x14ac:dyDescent="0.2">
      <c r="A5634" t="str">
        <f t="shared" si="2066"/>
        <v>0615113187</v>
      </c>
      <c r="B5634" t="str">
        <f t="shared" si="2067"/>
        <v>KAMORA</v>
      </c>
      <c r="C5634" t="str">
        <f t="shared" si="2068"/>
        <v>FLEMMING</v>
      </c>
      <c r="D5634">
        <f>10</f>
        <v>10</v>
      </c>
      <c r="E5634" t="str">
        <f>"08 - B - 107 - Brook E Goren"</f>
        <v>08 - B - 107 - Brook E Goren</v>
      </c>
      <c r="F5634" t="str">
        <f>"GEOMETRY"</f>
        <v>GEOMETRY</v>
      </c>
      <c r="G5634" t="str">
        <f>"21-2158"</f>
        <v>21-2158</v>
      </c>
      <c r="H5634" t="str">
        <f>"B"</f>
        <v>B</v>
      </c>
    </row>
    <row r="5635" spans="1:8" x14ac:dyDescent="0.2">
      <c r="A5635" t="str">
        <f t="shared" ref="A5635:A5642" si="2069">"0622057256"</f>
        <v>0622057256</v>
      </c>
      <c r="B5635" t="str">
        <f t="shared" ref="B5635:B5642" si="2070">"KELSEY"</f>
        <v>KELSEY</v>
      </c>
      <c r="C5635" t="str">
        <f t="shared" ref="C5635:C5642" si="2071">"FLEURIMOND"</f>
        <v>FLEURIMOND</v>
      </c>
      <c r="D5635" t="str">
        <f t="shared" ref="D5635:D5642" si="2072">"09"</f>
        <v>09</v>
      </c>
      <c r="E5635" t="str">
        <f>"04 - A - 101 - Chrystina M Marchionne"</f>
        <v>04 - A - 101 - Chrystina M Marchionne</v>
      </c>
      <c r="F5635" t="str">
        <f>"THEA CIN &amp; FILM LH"</f>
        <v>THEA CIN &amp; FILM LH</v>
      </c>
      <c r="G5635" t="str">
        <f>"05-520"</f>
        <v>05-520</v>
      </c>
      <c r="H5635" t="str">
        <f>"A"</f>
        <v>A</v>
      </c>
    </row>
    <row r="5636" spans="1:8" x14ac:dyDescent="0.2">
      <c r="A5636" t="str">
        <f t="shared" si="2069"/>
        <v>0622057256</v>
      </c>
      <c r="B5636" t="str">
        <f t="shared" si="2070"/>
        <v>KELSEY</v>
      </c>
      <c r="C5636" t="str">
        <f t="shared" si="2071"/>
        <v>FLEURIMOND</v>
      </c>
      <c r="D5636" t="str">
        <f t="shared" si="2072"/>
        <v>09</v>
      </c>
      <c r="E5636" t="str">
        <f>"06 - B - 101 - Fernando  Vega-Cid"</f>
        <v>06 - B - 101 - Fernando  Vega-Cid</v>
      </c>
      <c r="F5636" t="str">
        <f>"PRE-AICE MATH 2 IG"</f>
        <v>PRE-AICE MATH 2 IG</v>
      </c>
      <c r="G5636" t="str">
        <f>"21-2163"</f>
        <v>21-2163</v>
      </c>
      <c r="H5636" t="str">
        <f>"B"</f>
        <v>B</v>
      </c>
    </row>
    <row r="5637" spans="1:8" x14ac:dyDescent="0.2">
      <c r="A5637" t="str">
        <f t="shared" si="2069"/>
        <v>0622057256</v>
      </c>
      <c r="B5637" t="str">
        <f t="shared" si="2070"/>
        <v>KELSEY</v>
      </c>
      <c r="C5637" t="str">
        <f t="shared" si="2071"/>
        <v>FLEURIMOND</v>
      </c>
      <c r="D5637" t="str">
        <f t="shared" si="2072"/>
        <v>09</v>
      </c>
      <c r="E5637" t="str">
        <f>"03 - A - 102 - Rory T Sponsler"</f>
        <v>03 - A - 102 - Rory T Sponsler</v>
      </c>
      <c r="F5637" t="str">
        <f>"PRE-AICE WRLD HST IG"</f>
        <v>PRE-AICE WRLD HST IG</v>
      </c>
      <c r="G5637" t="str">
        <f>"17-1740"</f>
        <v>17-1740</v>
      </c>
      <c r="H5637" t="str">
        <f>"A"</f>
        <v>A</v>
      </c>
    </row>
    <row r="5638" spans="1:8" x14ac:dyDescent="0.2">
      <c r="A5638" t="str">
        <f t="shared" si="2069"/>
        <v>0622057256</v>
      </c>
      <c r="B5638" t="str">
        <f t="shared" si="2070"/>
        <v>KELSEY</v>
      </c>
      <c r="C5638" t="str">
        <f t="shared" si="2071"/>
        <v>FLEURIMOND</v>
      </c>
      <c r="D5638" t="str">
        <f t="shared" si="2072"/>
        <v>09</v>
      </c>
      <c r="E5638" t="str">
        <f>"02 - A - 108 - Rory T Sponsler"</f>
        <v>02 - A - 108 - Rory T Sponsler</v>
      </c>
      <c r="F5638" t="str">
        <f>"NC STUDY HALL 1"</f>
        <v>NC STUDY HALL 1</v>
      </c>
      <c r="G5638" t="str">
        <f>"17-1740"</f>
        <v>17-1740</v>
      </c>
      <c r="H5638" t="str">
        <f>"A"</f>
        <v>A</v>
      </c>
    </row>
    <row r="5639" spans="1:8" x14ac:dyDescent="0.2">
      <c r="A5639" t="str">
        <f t="shared" si="2069"/>
        <v>0622057256</v>
      </c>
      <c r="B5639" t="str">
        <f t="shared" si="2070"/>
        <v>KELSEY</v>
      </c>
      <c r="C5639" t="str">
        <f t="shared" si="2071"/>
        <v>FLEURIMOND</v>
      </c>
      <c r="D5639" t="str">
        <f t="shared" si="2072"/>
        <v>09</v>
      </c>
      <c r="E5639" t="str">
        <f>"07 - B - 105 - Josiah I Lacy"</f>
        <v>07 - B - 105 - Josiah I Lacy</v>
      </c>
      <c r="F5639" t="str">
        <f>"ANAT PHYSIO HON"</f>
        <v>ANAT PHYSIO HON</v>
      </c>
      <c r="G5639" t="str">
        <f>"08-801"</f>
        <v>08-801</v>
      </c>
      <c r="H5639" t="str">
        <f>"B"</f>
        <v>B</v>
      </c>
    </row>
    <row r="5640" spans="1:8" x14ac:dyDescent="0.2">
      <c r="A5640" t="str">
        <f t="shared" si="2069"/>
        <v>0622057256</v>
      </c>
      <c r="B5640" t="str">
        <f t="shared" si="2070"/>
        <v>KELSEY</v>
      </c>
      <c r="C5640" t="str">
        <f t="shared" si="2071"/>
        <v>FLEURIMOND</v>
      </c>
      <c r="D5640" t="str">
        <f t="shared" si="2072"/>
        <v>09</v>
      </c>
      <c r="E5640" t="str">
        <f>"05 - B - 204 - Elizabeth R Walker"</f>
        <v>05 - B - 204 - Elizabeth R Walker</v>
      </c>
      <c r="F5640" t="str">
        <f>"AICE ENG GEN PAPER 1"</f>
        <v>AICE ENG GEN PAPER 1</v>
      </c>
      <c r="G5640" t="str">
        <f>"17-1703"</f>
        <v>17-1703</v>
      </c>
      <c r="H5640" t="str">
        <f>"B"</f>
        <v>B</v>
      </c>
    </row>
    <row r="5641" spans="1:8" x14ac:dyDescent="0.2">
      <c r="A5641" t="str">
        <f t="shared" si="2069"/>
        <v>0622057256</v>
      </c>
      <c r="B5641" t="str">
        <f t="shared" si="2070"/>
        <v>KELSEY</v>
      </c>
      <c r="C5641" t="str">
        <f t="shared" si="2071"/>
        <v>FLEURIMOND</v>
      </c>
      <c r="D5641" t="str">
        <f t="shared" si="2072"/>
        <v>09</v>
      </c>
      <c r="E5641" t="str">
        <f>"01 - A - 101 - Vanessa J Liburd"</f>
        <v>01 - A - 101 - Vanessa J Liburd</v>
      </c>
      <c r="F5641" t="str">
        <f>"PRE-AICE FRENCH 1 IG"</f>
        <v>PRE-AICE FRENCH 1 IG</v>
      </c>
      <c r="G5641" t="str">
        <f>"05-519"</f>
        <v>05-519</v>
      </c>
      <c r="H5641" t="str">
        <f>"A"</f>
        <v>A</v>
      </c>
    </row>
    <row r="5642" spans="1:8" x14ac:dyDescent="0.2">
      <c r="A5642" t="str">
        <f t="shared" si="2069"/>
        <v>0622057256</v>
      </c>
      <c r="B5642" t="str">
        <f t="shared" si="2070"/>
        <v>KELSEY</v>
      </c>
      <c r="C5642" t="str">
        <f t="shared" si="2071"/>
        <v>FLEURIMOND</v>
      </c>
      <c r="D5642" t="str">
        <f t="shared" si="2072"/>
        <v>09</v>
      </c>
      <c r="E5642" t="str">
        <f>"08 - B - 108 - Adam Marcus  Drucker"</f>
        <v>08 - B - 108 - Adam Marcus  Drucker</v>
      </c>
      <c r="F5642" t="str">
        <f>"HOPE-PE V"</f>
        <v>HOPE-PE V</v>
      </c>
      <c r="G5642" t="str">
        <f>"04-254"</f>
        <v>04-254</v>
      </c>
      <c r="H5642" t="str">
        <f>"B"</f>
        <v>B</v>
      </c>
    </row>
    <row r="5643" spans="1:8" x14ac:dyDescent="0.2">
      <c r="A5643" t="str">
        <f t="shared" ref="A5643:A5650" si="2073">"0622139071"</f>
        <v>0622139071</v>
      </c>
      <c r="B5643" t="str">
        <f t="shared" ref="B5643:B5650" si="2074">"ANDOU-BERNAE"</f>
        <v>ANDOU-BERNAE</v>
      </c>
      <c r="C5643" t="str">
        <f t="shared" ref="C5643:C5650" si="2075">"FLEURY"</f>
        <v>FLEURY</v>
      </c>
      <c r="D5643">
        <f>11</f>
        <v>11</v>
      </c>
      <c r="E5643" t="str">
        <f>"04 - A - 101 - Vanessa J Liburd"</f>
        <v>04 - A - 101 - Vanessa J Liburd</v>
      </c>
      <c r="F5643" t="str">
        <f>"AP FRENCH LANG &amp; CU"</f>
        <v>AP FRENCH LANG &amp; CU</v>
      </c>
      <c r="G5643" t="str">
        <f>"05-519"</f>
        <v>05-519</v>
      </c>
      <c r="H5643" t="str">
        <f>"A"</f>
        <v>A</v>
      </c>
    </row>
    <row r="5644" spans="1:8" x14ac:dyDescent="0.2">
      <c r="A5644" t="str">
        <f t="shared" si="2073"/>
        <v>0622139071</v>
      </c>
      <c r="B5644" t="str">
        <f t="shared" si="2074"/>
        <v>ANDOU-BERNAE</v>
      </c>
      <c r="C5644" t="str">
        <f t="shared" si="2075"/>
        <v>FLEURY</v>
      </c>
      <c r="D5644">
        <f>11</f>
        <v>11</v>
      </c>
      <c r="E5644" t="str">
        <f>"06 - B - 103 - Helen A Flores"</f>
        <v>06 - B - 103 - Helen A Flores</v>
      </c>
      <c r="F5644" t="str">
        <f>"ALGEBRA 2"</f>
        <v>ALGEBRA 2</v>
      </c>
      <c r="G5644" t="str">
        <f>"21-2101"</f>
        <v>21-2101</v>
      </c>
      <c r="H5644" t="str">
        <f>"B"</f>
        <v>B</v>
      </c>
    </row>
    <row r="5645" spans="1:8" x14ac:dyDescent="0.2">
      <c r="A5645" t="str">
        <f t="shared" si="2073"/>
        <v>0622139071</v>
      </c>
      <c r="B5645" t="str">
        <f t="shared" si="2074"/>
        <v>ANDOU-BERNAE</v>
      </c>
      <c r="C5645" t="str">
        <f t="shared" si="2075"/>
        <v>FLEURY</v>
      </c>
      <c r="D5645">
        <f>11</f>
        <v>11</v>
      </c>
      <c r="E5645" t="str">
        <f>"03 - A - 103 - Jordana K Hass"</f>
        <v>03 - A - 103 - Jordana K Hass</v>
      </c>
      <c r="F5645" t="str">
        <f>"CHEMISTRY 1"</f>
        <v>CHEMISTRY 1</v>
      </c>
      <c r="G5645" t="str">
        <f>"08-807"</f>
        <v>08-807</v>
      </c>
      <c r="H5645" t="str">
        <f>"A"</f>
        <v>A</v>
      </c>
    </row>
    <row r="5646" spans="1:8" x14ac:dyDescent="0.2">
      <c r="A5646" t="str">
        <f t="shared" si="2073"/>
        <v>0622139071</v>
      </c>
      <c r="B5646" t="str">
        <f t="shared" si="2074"/>
        <v>ANDOU-BERNAE</v>
      </c>
      <c r="C5646" t="str">
        <f t="shared" si="2075"/>
        <v>FLEURY</v>
      </c>
      <c r="D5646">
        <f>11</f>
        <v>11</v>
      </c>
      <c r="E5646" t="str">
        <f>"02 - A - 104 - Dayna M Foster"</f>
        <v>02 - A - 104 - Dayna M Foster</v>
      </c>
      <c r="F5646" t="str">
        <f>"NC STUDY HALL 1"</f>
        <v>NC STUDY HALL 1</v>
      </c>
      <c r="G5646" t="str">
        <f>"21-2109"</f>
        <v>21-2109</v>
      </c>
      <c r="H5646" t="str">
        <f>"A"</f>
        <v>A</v>
      </c>
    </row>
    <row r="5647" spans="1:8" x14ac:dyDescent="0.2">
      <c r="A5647" t="str">
        <f t="shared" si="2073"/>
        <v>0622139071</v>
      </c>
      <c r="B5647" t="str">
        <f t="shared" si="2074"/>
        <v>ANDOU-BERNAE</v>
      </c>
      <c r="C5647" t="str">
        <f t="shared" si="2075"/>
        <v>FLEURY</v>
      </c>
      <c r="D5647">
        <f>11</f>
        <v>11</v>
      </c>
      <c r="E5647" t="str">
        <f>"07 - B - 108 - Lauren N Logan"</f>
        <v>07 - B - 108 - Lauren N Logan</v>
      </c>
      <c r="F5647" t="str">
        <f>"US HISTORY"</f>
        <v>US HISTORY</v>
      </c>
      <c r="G5647" t="str">
        <f>"17-1745"</f>
        <v>17-1745</v>
      </c>
      <c r="H5647" t="str">
        <f>"B"</f>
        <v>B</v>
      </c>
    </row>
    <row r="5648" spans="1:8" x14ac:dyDescent="0.2">
      <c r="A5648" t="str">
        <f t="shared" si="2073"/>
        <v>0622139071</v>
      </c>
      <c r="B5648" t="str">
        <f t="shared" si="2074"/>
        <v>ANDOU-BERNAE</v>
      </c>
      <c r="C5648" t="str">
        <f t="shared" si="2075"/>
        <v>FLEURY</v>
      </c>
      <c r="D5648">
        <f>11</f>
        <v>11</v>
      </c>
      <c r="E5648" t="str">
        <f>"05 - B - 103 - Nahum  Saint-Preux"</f>
        <v>05 - B - 103 - Nahum  Saint-Preux</v>
      </c>
      <c r="F5648" t="str">
        <f>"INTENS READ 3"</f>
        <v>INTENS READ 3</v>
      </c>
      <c r="G5648" t="str">
        <f>"17-1712"</f>
        <v>17-1712</v>
      </c>
      <c r="H5648" t="str">
        <f>"B"</f>
        <v>B</v>
      </c>
    </row>
    <row r="5649" spans="1:8" x14ac:dyDescent="0.2">
      <c r="A5649" t="str">
        <f t="shared" si="2073"/>
        <v>0622139071</v>
      </c>
      <c r="B5649" t="str">
        <f t="shared" si="2074"/>
        <v>ANDOU-BERNAE</v>
      </c>
      <c r="C5649" t="str">
        <f t="shared" si="2075"/>
        <v>FLEURY</v>
      </c>
      <c r="D5649">
        <f>11</f>
        <v>11</v>
      </c>
      <c r="E5649" t="str">
        <f>"01 - A - 101 - Lisa  Quinn"</f>
        <v>01 - A - 101 - Lisa  Quinn</v>
      </c>
      <c r="F5649" t="str">
        <f>"ENG 3"</f>
        <v>ENG 3</v>
      </c>
      <c r="G5649" t="str">
        <f>"17-1725"</f>
        <v>17-1725</v>
      </c>
      <c r="H5649" t="str">
        <f>"A"</f>
        <v>A</v>
      </c>
    </row>
    <row r="5650" spans="1:8" x14ac:dyDescent="0.2">
      <c r="A5650" t="str">
        <f t="shared" si="2073"/>
        <v>0622139071</v>
      </c>
      <c r="B5650" t="str">
        <f t="shared" si="2074"/>
        <v>ANDOU-BERNAE</v>
      </c>
      <c r="C5650" t="str">
        <f t="shared" si="2075"/>
        <v>FLEURY</v>
      </c>
      <c r="D5650">
        <f>11</f>
        <v>11</v>
      </c>
      <c r="E5650" t="str">
        <f>"08 - S1 - B - 102 - Nahum  Saint-Preux"</f>
        <v>08 - S1 - B - 102 - Nahum  Saint-Preux</v>
      </c>
      <c r="F5650" t="str">
        <f>"CRIT THINK ST SKLS"</f>
        <v>CRIT THINK ST SKLS</v>
      </c>
      <c r="G5650" t="str">
        <f>"17-1712"</f>
        <v>17-1712</v>
      </c>
      <c r="H5650" t="str">
        <f>"B"</f>
        <v>B</v>
      </c>
    </row>
    <row r="5651" spans="1:8" x14ac:dyDescent="0.2">
      <c r="A5651" t="str">
        <f t="shared" ref="A5651:A5658" si="2076">"0613045084"</f>
        <v>0613045084</v>
      </c>
      <c r="B5651" t="str">
        <f t="shared" ref="B5651:B5658" si="2077">"SHAMYA"</f>
        <v>SHAMYA</v>
      </c>
      <c r="C5651" t="str">
        <f t="shared" ref="C5651:C5658" si="2078">"FLORES"</f>
        <v>FLORES</v>
      </c>
      <c r="D5651">
        <f>12</f>
        <v>12</v>
      </c>
      <c r="E5651" t="str">
        <f>"04 - S1 - A - 101 - Nahum  Saint-Preux"</f>
        <v>04 - S1 - A - 101 - Nahum  Saint-Preux</v>
      </c>
      <c r="F5651" t="str">
        <f>"CRIT THINK ST SKLS"</f>
        <v>CRIT THINK ST SKLS</v>
      </c>
      <c r="G5651" t="str">
        <f>"17-1712"</f>
        <v>17-1712</v>
      </c>
      <c r="H5651" t="str">
        <f>"A"</f>
        <v>A</v>
      </c>
    </row>
    <row r="5652" spans="1:8" x14ac:dyDescent="0.2">
      <c r="A5652" t="str">
        <f t="shared" si="2076"/>
        <v>0613045084</v>
      </c>
      <c r="B5652" t="str">
        <f t="shared" si="2077"/>
        <v>SHAMYA</v>
      </c>
      <c r="C5652" t="str">
        <f t="shared" si="2078"/>
        <v>FLORES</v>
      </c>
      <c r="D5652">
        <f>12</f>
        <v>12</v>
      </c>
      <c r="E5652" t="str">
        <f>"06 - B - 111 - James H Mccann"</f>
        <v>06 - B - 111 - James H Mccann</v>
      </c>
      <c r="F5652" t="str">
        <f>"NC STUDY HALL 1"</f>
        <v>NC STUDY HALL 1</v>
      </c>
      <c r="G5652" t="str">
        <f>"17-1716"</f>
        <v>17-1716</v>
      </c>
      <c r="H5652" t="str">
        <f>"B"</f>
        <v>B</v>
      </c>
    </row>
    <row r="5653" spans="1:8" x14ac:dyDescent="0.2">
      <c r="A5653" t="str">
        <f t="shared" si="2076"/>
        <v>0613045084</v>
      </c>
      <c r="B5653" t="str">
        <f t="shared" si="2077"/>
        <v>SHAMYA</v>
      </c>
      <c r="C5653" t="str">
        <f t="shared" si="2078"/>
        <v>FLORES</v>
      </c>
      <c r="D5653">
        <f>12</f>
        <v>12</v>
      </c>
      <c r="E5653" t="str">
        <f>"03 - S1 - A - 002 - Barbara L Segal"</f>
        <v>03 - S1 - A - 002 - Barbara L Segal</v>
      </c>
      <c r="F5653" t="str">
        <f>"US GOVT"</f>
        <v>US GOVT</v>
      </c>
      <c r="G5653" t="str">
        <f>"17-1742"</f>
        <v>17-1742</v>
      </c>
      <c r="H5653" t="str">
        <f>"A"</f>
        <v>A</v>
      </c>
    </row>
    <row r="5654" spans="1:8" x14ac:dyDescent="0.2">
      <c r="A5654" t="str">
        <f t="shared" si="2076"/>
        <v>0613045084</v>
      </c>
      <c r="B5654" t="str">
        <f t="shared" si="2077"/>
        <v>SHAMYA</v>
      </c>
      <c r="C5654" t="str">
        <f t="shared" si="2078"/>
        <v>FLORES</v>
      </c>
      <c r="D5654">
        <f>12</f>
        <v>12</v>
      </c>
      <c r="E5654" t="str">
        <f>"02 - A - 102 - Adam Marcus  Drucker"</f>
        <v>02 - A - 102 - Adam Marcus  Drucker</v>
      </c>
      <c r="F5654" t="str">
        <f>"HOPE-PE V"</f>
        <v>HOPE-PE V</v>
      </c>
      <c r="G5654" t="str">
        <f>"04-254"</f>
        <v>04-254</v>
      </c>
      <c r="H5654" t="str">
        <f>"A"</f>
        <v>A</v>
      </c>
    </row>
    <row r="5655" spans="1:8" x14ac:dyDescent="0.2">
      <c r="A5655" t="str">
        <f t="shared" si="2076"/>
        <v>0613045084</v>
      </c>
      <c r="B5655" t="str">
        <f t="shared" si="2077"/>
        <v>SHAMYA</v>
      </c>
      <c r="C5655" t="str">
        <f t="shared" si="2078"/>
        <v>FLORES</v>
      </c>
      <c r="D5655">
        <f>12</f>
        <v>12</v>
      </c>
      <c r="E5655" t="str">
        <f>"07 - B - 105 - Robert H Rindner"</f>
        <v>07 - B - 105 - Robert H Rindner</v>
      </c>
      <c r="F5655" t="str">
        <f>"MATH DATA&amp;FIN LIT H"</f>
        <v>MATH DATA&amp;FIN LIT H</v>
      </c>
      <c r="G5655" t="str">
        <f>"21-2160"</f>
        <v>21-2160</v>
      </c>
      <c r="H5655" t="str">
        <f>"B"</f>
        <v>B</v>
      </c>
    </row>
    <row r="5656" spans="1:8" x14ac:dyDescent="0.2">
      <c r="A5656" t="str">
        <f t="shared" si="2076"/>
        <v>0613045084</v>
      </c>
      <c r="B5656" t="str">
        <f t="shared" si="2077"/>
        <v>SHAMYA</v>
      </c>
      <c r="C5656" t="str">
        <f t="shared" si="2078"/>
        <v>FLORES</v>
      </c>
      <c r="D5656">
        <f>12</f>
        <v>12</v>
      </c>
      <c r="E5656" t="str">
        <f>"05 - B - 102 - Robyn L Trainer"</f>
        <v>05 - B - 102 - Robyn L Trainer</v>
      </c>
      <c r="F5656" t="str">
        <f>"ENG 4"</f>
        <v>ENG 4</v>
      </c>
      <c r="G5656" t="str">
        <f>"17-1734"</f>
        <v>17-1734</v>
      </c>
      <c r="H5656" t="str">
        <f>"B"</f>
        <v>B</v>
      </c>
    </row>
    <row r="5657" spans="1:8" x14ac:dyDescent="0.2">
      <c r="A5657" t="str">
        <f t="shared" si="2076"/>
        <v>0613045084</v>
      </c>
      <c r="B5657" t="str">
        <f t="shared" si="2077"/>
        <v>SHAMYA</v>
      </c>
      <c r="C5657" t="str">
        <f t="shared" si="2078"/>
        <v>FLORES</v>
      </c>
      <c r="D5657">
        <f>12</f>
        <v>12</v>
      </c>
      <c r="E5657" t="str">
        <f>"01 - A - 101 - Cliffon  Saurel"</f>
        <v>01 - A - 101 - Cliffon  Saurel</v>
      </c>
      <c r="F5657" t="str">
        <f>"PHYSICAL SCI"</f>
        <v>PHYSICAL SCI</v>
      </c>
      <c r="G5657" t="str">
        <f>"05-522"</f>
        <v>05-522</v>
      </c>
      <c r="H5657" t="str">
        <f>"A"</f>
        <v>A</v>
      </c>
    </row>
    <row r="5658" spans="1:8" x14ac:dyDescent="0.2">
      <c r="A5658" t="str">
        <f t="shared" si="2076"/>
        <v>0613045084</v>
      </c>
      <c r="B5658" t="str">
        <f t="shared" si="2077"/>
        <v>SHAMYA</v>
      </c>
      <c r="C5658" t="str">
        <f t="shared" si="2078"/>
        <v>FLORES</v>
      </c>
      <c r="D5658">
        <f>12</f>
        <v>12</v>
      </c>
      <c r="E5658" t="str">
        <f>"08 - S1 - B - 101 - Amy Beth  Broyles"</f>
        <v>08 - S1 - B - 101 - Amy Beth  Broyles</v>
      </c>
      <c r="F5658" t="str">
        <f>"PEER COUN 3"</f>
        <v>PEER COUN 3</v>
      </c>
      <c r="G5658" t="str">
        <f>"17-1713"</f>
        <v>17-1713</v>
      </c>
      <c r="H5658" t="str">
        <f>"B"</f>
        <v>B</v>
      </c>
    </row>
    <row r="5659" spans="1:8" x14ac:dyDescent="0.2">
      <c r="A5659" t="str">
        <f t="shared" ref="A5659:A5666" si="2079">"0614008804"</f>
        <v>0614008804</v>
      </c>
      <c r="B5659" t="str">
        <f t="shared" ref="B5659:B5666" si="2080">"SAMAYA"</f>
        <v>SAMAYA</v>
      </c>
      <c r="C5659" t="str">
        <f t="shared" ref="C5659:C5666" si="2081">"FLORMEUS"</f>
        <v>FLORMEUS</v>
      </c>
      <c r="D5659">
        <f>12</f>
        <v>12</v>
      </c>
      <c r="E5659" t="str">
        <f>"04 - S1 - A - 105 - Robert O Burger"</f>
        <v>04 - S1 - A - 105 - Robert O Burger</v>
      </c>
      <c r="F5659" t="str">
        <f>"US GOVT"</f>
        <v>US GOVT</v>
      </c>
      <c r="G5659" t="str">
        <f>"17-1755"</f>
        <v>17-1755</v>
      </c>
      <c r="H5659" t="str">
        <f>"A"</f>
        <v>A</v>
      </c>
    </row>
    <row r="5660" spans="1:8" x14ac:dyDescent="0.2">
      <c r="A5660" t="str">
        <f t="shared" si="2079"/>
        <v>0614008804</v>
      </c>
      <c r="B5660" t="str">
        <f t="shared" si="2080"/>
        <v>SAMAYA</v>
      </c>
      <c r="C5660" t="str">
        <f t="shared" si="2081"/>
        <v>FLORMEUS</v>
      </c>
      <c r="D5660">
        <f>12</f>
        <v>12</v>
      </c>
      <c r="E5660" t="str">
        <f>"06 - B - 108 - Jacquelyn M Neeson"</f>
        <v>06 - B - 108 - Jacquelyn M Neeson</v>
      </c>
      <c r="F5660" t="str">
        <f>"NC STUDY HALL 1"</f>
        <v>NC STUDY HALL 1</v>
      </c>
      <c r="G5660" t="str">
        <f>"17-1715"</f>
        <v>17-1715</v>
      </c>
      <c r="H5660" t="str">
        <f>"B"</f>
        <v>B</v>
      </c>
    </row>
    <row r="5661" spans="1:8" x14ac:dyDescent="0.2">
      <c r="A5661" t="str">
        <f t="shared" si="2079"/>
        <v>0614008804</v>
      </c>
      <c r="B5661" t="str">
        <f t="shared" si="2080"/>
        <v>SAMAYA</v>
      </c>
      <c r="C5661" t="str">
        <f t="shared" si="2081"/>
        <v>FLORMEUS</v>
      </c>
      <c r="D5661">
        <f>12</f>
        <v>12</v>
      </c>
      <c r="E5661" t="str">
        <f>"03 - A - 208 - Marielle A Witting"</f>
        <v>03 - A - 208 - Marielle A Witting</v>
      </c>
      <c r="F5661" t="str">
        <f>"ANAT PHYSIO"</f>
        <v>ANAT PHYSIO</v>
      </c>
      <c r="G5661" t="str">
        <f>"08-805"</f>
        <v>08-805</v>
      </c>
      <c r="H5661" t="str">
        <f>"A"</f>
        <v>A</v>
      </c>
    </row>
    <row r="5662" spans="1:8" x14ac:dyDescent="0.2">
      <c r="A5662" t="str">
        <f t="shared" si="2079"/>
        <v>0614008804</v>
      </c>
      <c r="B5662" t="str">
        <f t="shared" si="2080"/>
        <v>SAMAYA</v>
      </c>
      <c r="C5662" t="str">
        <f t="shared" si="2081"/>
        <v>FLORMEUS</v>
      </c>
      <c r="D5662">
        <f>12</f>
        <v>12</v>
      </c>
      <c r="E5662" t="str">
        <f>"02 - A - 101 - Nahum  Saint-Preux"</f>
        <v>02 - A - 101 - Nahum  Saint-Preux</v>
      </c>
      <c r="F5662" t="str">
        <f>"INTENS READ 4"</f>
        <v>INTENS READ 4</v>
      </c>
      <c r="G5662" t="str">
        <f>"17-1712"</f>
        <v>17-1712</v>
      </c>
      <c r="H5662" t="str">
        <f>"A"</f>
        <v>A</v>
      </c>
    </row>
    <row r="5663" spans="1:8" x14ac:dyDescent="0.2">
      <c r="A5663" t="str">
        <f t="shared" si="2079"/>
        <v>0614008804</v>
      </c>
      <c r="B5663" t="str">
        <f t="shared" si="2080"/>
        <v>SAMAYA</v>
      </c>
      <c r="C5663" t="str">
        <f t="shared" si="2081"/>
        <v>FLORMEUS</v>
      </c>
      <c r="D5663">
        <f>12</f>
        <v>12</v>
      </c>
      <c r="E5663" t="str">
        <f>"07 - B - 201 - Alejandro  Navarro"</f>
        <v>07 - B - 201 - Alejandro  Navarro</v>
      </c>
      <c r="F5663" t="str">
        <f>"EURHY 2"</f>
        <v>EURHY 2</v>
      </c>
      <c r="G5663" t="str">
        <f>"05-504"</f>
        <v>05-504</v>
      </c>
      <c r="H5663" t="str">
        <f>"B"</f>
        <v>B</v>
      </c>
    </row>
    <row r="5664" spans="1:8" x14ac:dyDescent="0.2">
      <c r="A5664" t="str">
        <f t="shared" si="2079"/>
        <v>0614008804</v>
      </c>
      <c r="B5664" t="str">
        <f t="shared" si="2080"/>
        <v>SAMAYA</v>
      </c>
      <c r="C5664" t="str">
        <f t="shared" si="2081"/>
        <v>FLORMEUS</v>
      </c>
      <c r="D5664">
        <f>12</f>
        <v>12</v>
      </c>
      <c r="E5664" t="str">
        <f>"05 - B - 201 - Jazmin S Fletcher"</f>
        <v>05 - B - 201 - Jazmin S Fletcher</v>
      </c>
      <c r="F5664" t="str">
        <f>"THEATRE 1"</f>
        <v>THEATRE 1</v>
      </c>
      <c r="G5664" t="str">
        <f>"09-909"</f>
        <v>09-909</v>
      </c>
      <c r="H5664" t="str">
        <f>"B"</f>
        <v>B</v>
      </c>
    </row>
    <row r="5665" spans="1:8" x14ac:dyDescent="0.2">
      <c r="A5665" t="str">
        <f t="shared" si="2079"/>
        <v>0614008804</v>
      </c>
      <c r="B5665" t="str">
        <f t="shared" si="2080"/>
        <v>SAMAYA</v>
      </c>
      <c r="C5665" t="str">
        <f t="shared" si="2081"/>
        <v>FLORMEUS</v>
      </c>
      <c r="D5665">
        <f>12</f>
        <v>12</v>
      </c>
      <c r="E5665" t="str">
        <f>"01 - A - 102 - Robert H Rindner"</f>
        <v>01 - A - 102 - Robert H Rindner</v>
      </c>
      <c r="F5665" t="str">
        <f>"MATH DATA&amp;FIN LIT H"</f>
        <v>MATH DATA&amp;FIN LIT H</v>
      </c>
      <c r="G5665" t="str">
        <f>"21-2160"</f>
        <v>21-2160</v>
      </c>
      <c r="H5665" t="str">
        <f>"A"</f>
        <v>A</v>
      </c>
    </row>
    <row r="5666" spans="1:8" x14ac:dyDescent="0.2">
      <c r="A5666" t="str">
        <f t="shared" si="2079"/>
        <v>0614008804</v>
      </c>
      <c r="B5666" t="str">
        <f t="shared" si="2080"/>
        <v>SAMAYA</v>
      </c>
      <c r="C5666" t="str">
        <f t="shared" si="2081"/>
        <v>FLORMEUS</v>
      </c>
      <c r="D5666">
        <f>12</f>
        <v>12</v>
      </c>
      <c r="E5666" t="str">
        <f>"08 - B - 206 - Robyn L Trainer"</f>
        <v>08 - B - 206 - Robyn L Trainer</v>
      </c>
      <c r="F5666" t="str">
        <f>"ENG 4: FL COLL PREP"</f>
        <v>ENG 4: FL COLL PREP</v>
      </c>
      <c r="G5666" t="str">
        <f>"17-1734"</f>
        <v>17-1734</v>
      </c>
      <c r="H5666" t="str">
        <f>"B"</f>
        <v>B</v>
      </c>
    </row>
    <row r="5667" spans="1:8" x14ac:dyDescent="0.2">
      <c r="A5667" t="str">
        <f t="shared" ref="A5667:A5674" si="2082">"0616082555"</f>
        <v>0616082555</v>
      </c>
      <c r="B5667" t="str">
        <f t="shared" ref="B5667:B5674" si="2083">"EZECHIEL"</f>
        <v>EZECHIEL</v>
      </c>
      <c r="C5667" t="str">
        <f t="shared" ref="C5667:C5674" si="2084">"FLORVILUS"</f>
        <v>FLORVILUS</v>
      </c>
      <c r="D5667">
        <f>12</f>
        <v>12</v>
      </c>
      <c r="E5667" t="str">
        <f>"04 - A - 205 - Robyn L Trainer"</f>
        <v>04 - A - 205 - Robyn L Trainer</v>
      </c>
      <c r="F5667" t="str">
        <f>"ENG 4: FL COLL PREP"</f>
        <v>ENG 4: FL COLL PREP</v>
      </c>
      <c r="G5667" t="str">
        <f>"17-1734"</f>
        <v>17-1734</v>
      </c>
      <c r="H5667" t="str">
        <f>"A"</f>
        <v>A</v>
      </c>
    </row>
    <row r="5668" spans="1:8" x14ac:dyDescent="0.2">
      <c r="A5668" t="str">
        <f t="shared" si="2082"/>
        <v>0616082555</v>
      </c>
      <c r="B5668" t="str">
        <f t="shared" si="2083"/>
        <v>EZECHIEL</v>
      </c>
      <c r="C5668" t="str">
        <f t="shared" si="2084"/>
        <v>FLORVILUS</v>
      </c>
      <c r="D5668">
        <f>12</f>
        <v>12</v>
      </c>
      <c r="E5668" t="str">
        <f>"06 - B - 109 - Carol S Moore"</f>
        <v>06 - B - 109 - Carol S Moore</v>
      </c>
      <c r="F5668" t="str">
        <f>"NC STUDY HALL 1"</f>
        <v>NC STUDY HALL 1</v>
      </c>
      <c r="G5668" t="str">
        <f>"17-1733"</f>
        <v>17-1733</v>
      </c>
      <c r="H5668" t="str">
        <f>"B"</f>
        <v>B</v>
      </c>
    </row>
    <row r="5669" spans="1:8" x14ac:dyDescent="0.2">
      <c r="A5669" t="str">
        <f t="shared" si="2082"/>
        <v>0616082555</v>
      </c>
      <c r="B5669" t="str">
        <f t="shared" si="2083"/>
        <v>EZECHIEL</v>
      </c>
      <c r="C5669" t="str">
        <f t="shared" si="2084"/>
        <v>FLORVILUS</v>
      </c>
      <c r="D5669">
        <f>12</f>
        <v>12</v>
      </c>
      <c r="E5669" t="str">
        <f>"03 - A - 101 - Tina L Lovett"</f>
        <v>03 - A - 101 - Tina L Lovett</v>
      </c>
      <c r="F5669" t="str">
        <f>"MATH DATA &amp; FIN LIT"</f>
        <v>MATH DATA &amp; FIN LIT</v>
      </c>
      <c r="G5669" t="str">
        <f>"21-2153"</f>
        <v>21-2153</v>
      </c>
      <c r="H5669" t="str">
        <f>"A"</f>
        <v>A</v>
      </c>
    </row>
    <row r="5670" spans="1:8" x14ac:dyDescent="0.2">
      <c r="A5670" t="str">
        <f t="shared" si="2082"/>
        <v>0616082555</v>
      </c>
      <c r="B5670" t="str">
        <f t="shared" si="2083"/>
        <v>EZECHIEL</v>
      </c>
      <c r="C5670" t="str">
        <f t="shared" si="2084"/>
        <v>FLORVILUS</v>
      </c>
      <c r="D5670">
        <f>12</f>
        <v>12</v>
      </c>
      <c r="E5670" t="str">
        <f>"02 - S1 - A - 102 - Richard E Dunbar Iii"</f>
        <v>02 - S1 - A - 102 - Richard E Dunbar Iii</v>
      </c>
      <c r="F5670" t="str">
        <f>"WEIGHT TRAIN 3"</f>
        <v>WEIGHT TRAIN 3</v>
      </c>
      <c r="G5670" t="str">
        <f>"05-501"</f>
        <v>05-501</v>
      </c>
      <c r="H5670" t="str">
        <f>"A"</f>
        <v>A</v>
      </c>
    </row>
    <row r="5671" spans="1:8" x14ac:dyDescent="0.2">
      <c r="A5671" t="str">
        <f t="shared" si="2082"/>
        <v>0616082555</v>
      </c>
      <c r="B5671" t="str">
        <f t="shared" si="2083"/>
        <v>EZECHIEL</v>
      </c>
      <c r="C5671" t="str">
        <f t="shared" si="2084"/>
        <v>FLORVILUS</v>
      </c>
      <c r="D5671">
        <f>12</f>
        <v>12</v>
      </c>
      <c r="E5671" t="str">
        <f>"07 - B - 103 - Nahum  Saint-Preux"</f>
        <v>07 - B - 103 - Nahum  Saint-Preux</v>
      </c>
      <c r="F5671" t="str">
        <f>"INTENS READ 4"</f>
        <v>INTENS READ 4</v>
      </c>
      <c r="G5671" t="str">
        <f>"17-1712"</f>
        <v>17-1712</v>
      </c>
      <c r="H5671" t="str">
        <f>"B"</f>
        <v>B</v>
      </c>
    </row>
    <row r="5672" spans="1:8" x14ac:dyDescent="0.2">
      <c r="A5672" t="str">
        <f t="shared" si="2082"/>
        <v>0616082555</v>
      </c>
      <c r="B5672" t="str">
        <f t="shared" si="2083"/>
        <v>EZECHIEL</v>
      </c>
      <c r="C5672" t="str">
        <f t="shared" si="2084"/>
        <v>FLORVILUS</v>
      </c>
      <c r="D5672">
        <f>12</f>
        <v>12</v>
      </c>
      <c r="E5672" t="str">
        <f>"05 - B - 207 - Marielle A Witting"</f>
        <v>05 - B - 207 - Marielle A Witting</v>
      </c>
      <c r="F5672" t="str">
        <f>"ANAT PHYSIO"</f>
        <v>ANAT PHYSIO</v>
      </c>
      <c r="G5672" t="str">
        <f>"08-805"</f>
        <v>08-805</v>
      </c>
      <c r="H5672" t="str">
        <f>"B"</f>
        <v>B</v>
      </c>
    </row>
    <row r="5673" spans="1:8" x14ac:dyDescent="0.2">
      <c r="A5673" t="str">
        <f t="shared" si="2082"/>
        <v>0616082555</v>
      </c>
      <c r="B5673" t="str">
        <f t="shared" si="2083"/>
        <v>EZECHIEL</v>
      </c>
      <c r="C5673" t="str">
        <f t="shared" si="2084"/>
        <v>FLORVILUS</v>
      </c>
      <c r="D5673">
        <f>12</f>
        <v>12</v>
      </c>
      <c r="E5673" t="str">
        <f>"01 - S1 - A - 101 - Robert O Burger"</f>
        <v>01 - S1 - A - 101 - Robert O Burger</v>
      </c>
      <c r="F5673" t="str">
        <f>"US GOVT"</f>
        <v>US GOVT</v>
      </c>
      <c r="G5673" t="str">
        <f>"17-1755"</f>
        <v>17-1755</v>
      </c>
      <c r="H5673" t="str">
        <f>"A"</f>
        <v>A</v>
      </c>
    </row>
    <row r="5674" spans="1:8" x14ac:dyDescent="0.2">
      <c r="A5674" t="str">
        <f t="shared" si="2082"/>
        <v>0616082555</v>
      </c>
      <c r="B5674" t="str">
        <f t="shared" si="2083"/>
        <v>EZECHIEL</v>
      </c>
      <c r="C5674" t="str">
        <f t="shared" si="2084"/>
        <v>FLORVILUS</v>
      </c>
      <c r="D5674">
        <f>12</f>
        <v>12</v>
      </c>
      <c r="E5674" t="str">
        <f>"08 - B - 101 - Marius D Orsolini"</f>
        <v>08 - B - 101 - Marius D Orsolini</v>
      </c>
      <c r="F5674" t="str">
        <f>"CULINARY ARTS 2"</f>
        <v>CULINARY ARTS 2</v>
      </c>
      <c r="G5674" t="str">
        <f>"21-2115"</f>
        <v>21-2115</v>
      </c>
      <c r="H5674" t="str">
        <f>"B"</f>
        <v>B</v>
      </c>
    </row>
    <row r="5675" spans="1:8" x14ac:dyDescent="0.2">
      <c r="A5675" t="str">
        <f t="shared" ref="A5675:A5682" si="2085">"0613121752"</f>
        <v>0613121752</v>
      </c>
      <c r="B5675" t="str">
        <f t="shared" ref="B5675:B5682" si="2086">"SARAH"</f>
        <v>SARAH</v>
      </c>
      <c r="C5675" t="str">
        <f t="shared" ref="C5675:C5689" si="2087">"FLOWER"</f>
        <v>FLOWER</v>
      </c>
      <c r="D5675">
        <f>12</f>
        <v>12</v>
      </c>
      <c r="E5675" t="str">
        <f>"04 - A - 101 - Christa T Parisi"</f>
        <v>04 - A - 101 - Christa T Parisi</v>
      </c>
      <c r="F5675" t="str">
        <f>"DANCE TECHNQS 4 HON"</f>
        <v>DANCE TECHNQS 4 HON</v>
      </c>
      <c r="G5675" t="str">
        <f>"05-503"</f>
        <v>05-503</v>
      </c>
      <c r="H5675" t="str">
        <f>"A"</f>
        <v>A</v>
      </c>
    </row>
    <row r="5676" spans="1:8" x14ac:dyDescent="0.2">
      <c r="A5676" t="str">
        <f t="shared" si="2085"/>
        <v>0613121752</v>
      </c>
      <c r="B5676" t="str">
        <f t="shared" si="2086"/>
        <v>SARAH</v>
      </c>
      <c r="C5676" t="str">
        <f t="shared" si="2087"/>
        <v>FLOWER</v>
      </c>
      <c r="D5676">
        <f>12</f>
        <v>12</v>
      </c>
      <c r="E5676" t="str">
        <f>"06 - B - 111 - James H Mccann"</f>
        <v>06 - B - 111 - James H Mccann</v>
      </c>
      <c r="F5676" t="str">
        <f>"NC STUDY HALL 1"</f>
        <v>NC STUDY HALL 1</v>
      </c>
      <c r="G5676" t="str">
        <f>"17-1716"</f>
        <v>17-1716</v>
      </c>
      <c r="H5676" t="str">
        <f>"B"</f>
        <v>B</v>
      </c>
    </row>
    <row r="5677" spans="1:8" x14ac:dyDescent="0.2">
      <c r="A5677" t="str">
        <f t="shared" si="2085"/>
        <v>0613121752</v>
      </c>
      <c r="B5677" t="str">
        <f t="shared" si="2086"/>
        <v>SARAH</v>
      </c>
      <c r="C5677" t="str">
        <f t="shared" si="2087"/>
        <v>FLOWER</v>
      </c>
      <c r="D5677">
        <f>12</f>
        <v>12</v>
      </c>
      <c r="E5677" t="str">
        <f>"03 - A - 103 - Samantha J Headley"</f>
        <v>03 - A - 103 - Samantha J Headley</v>
      </c>
      <c r="F5677" t="str">
        <f>"MARINE SCI 1 HON"</f>
        <v>MARINE SCI 1 HON</v>
      </c>
      <c r="G5677" t="str">
        <f>"21-2134"</f>
        <v>21-2134</v>
      </c>
      <c r="H5677" t="str">
        <f>"A"</f>
        <v>A</v>
      </c>
    </row>
    <row r="5678" spans="1:8" x14ac:dyDescent="0.2">
      <c r="A5678" t="str">
        <f t="shared" si="2085"/>
        <v>0613121752</v>
      </c>
      <c r="B5678" t="str">
        <f t="shared" si="2086"/>
        <v>SARAH</v>
      </c>
      <c r="C5678" t="str">
        <f t="shared" si="2087"/>
        <v>FLOWER</v>
      </c>
      <c r="D5678">
        <f>12</f>
        <v>12</v>
      </c>
      <c r="E5678" t="str">
        <f>"02 - A - 102 - Jeffrey S Gallagher"</f>
        <v>02 - A - 102 - Jeffrey S Gallagher</v>
      </c>
      <c r="F5678" t="str">
        <f>"ENG HON 4"</f>
        <v>ENG HON 4</v>
      </c>
      <c r="G5678" t="str">
        <f>"17-1724"</f>
        <v>17-1724</v>
      </c>
      <c r="H5678" t="str">
        <f>"A"</f>
        <v>A</v>
      </c>
    </row>
    <row r="5679" spans="1:8" x14ac:dyDescent="0.2">
      <c r="A5679" t="str">
        <f t="shared" si="2085"/>
        <v>0613121752</v>
      </c>
      <c r="B5679" t="str">
        <f t="shared" si="2086"/>
        <v>SARAH</v>
      </c>
      <c r="C5679" t="str">
        <f t="shared" si="2087"/>
        <v>FLOWER</v>
      </c>
      <c r="D5679">
        <f>12</f>
        <v>12</v>
      </c>
      <c r="E5679" t="str">
        <f>"07 - B - 102 - Timothy J Lawrence"</f>
        <v>07 - B - 102 - Timothy J Lawrence</v>
      </c>
      <c r="F5679" t="str">
        <f>"AICE PHYS ED 1 AS"</f>
        <v>AICE PHYS ED 1 AS</v>
      </c>
      <c r="G5679" t="str">
        <f>"05-523"</f>
        <v>05-523</v>
      </c>
      <c r="H5679" t="str">
        <f>"B"</f>
        <v>B</v>
      </c>
    </row>
    <row r="5680" spans="1:8" x14ac:dyDescent="0.2">
      <c r="A5680" t="str">
        <f t="shared" si="2085"/>
        <v>0613121752</v>
      </c>
      <c r="B5680" t="str">
        <f t="shared" si="2086"/>
        <v>SARAH</v>
      </c>
      <c r="C5680" t="str">
        <f t="shared" si="2087"/>
        <v>FLOWER</v>
      </c>
      <c r="D5680">
        <f>12</f>
        <v>12</v>
      </c>
      <c r="E5680" t="str">
        <f>"05 - S1 - B - 102 - Barbara L Segal"</f>
        <v>05 - S1 - B - 102 - Barbara L Segal</v>
      </c>
      <c r="F5680" t="str">
        <f>"US GOVT HON"</f>
        <v>US GOVT HON</v>
      </c>
      <c r="G5680" t="str">
        <f>"17-1742"</f>
        <v>17-1742</v>
      </c>
      <c r="H5680" t="str">
        <f>"B"</f>
        <v>B</v>
      </c>
    </row>
    <row r="5681" spans="1:8" x14ac:dyDescent="0.2">
      <c r="A5681" t="str">
        <f t="shared" si="2085"/>
        <v>0613121752</v>
      </c>
      <c r="B5681" t="str">
        <f t="shared" si="2086"/>
        <v>SARAH</v>
      </c>
      <c r="C5681" t="str">
        <f t="shared" si="2087"/>
        <v>FLOWER</v>
      </c>
      <c r="D5681">
        <f>12</f>
        <v>12</v>
      </c>
      <c r="E5681" t="str">
        <f>"01 - A - 102 - Robert H Rindner"</f>
        <v>01 - A - 102 - Robert H Rindner</v>
      </c>
      <c r="F5681" t="str">
        <f>"MATH DATA&amp;FIN LIT H"</f>
        <v>MATH DATA&amp;FIN LIT H</v>
      </c>
      <c r="G5681" t="str">
        <f>"21-2160"</f>
        <v>21-2160</v>
      </c>
      <c r="H5681" t="str">
        <f>"A"</f>
        <v>A</v>
      </c>
    </row>
    <row r="5682" spans="1:8" x14ac:dyDescent="0.2">
      <c r="A5682" t="str">
        <f t="shared" si="2085"/>
        <v>0613121752</v>
      </c>
      <c r="B5682" t="str">
        <f t="shared" si="2086"/>
        <v>SARAH</v>
      </c>
      <c r="C5682" t="str">
        <f t="shared" si="2087"/>
        <v>FLOWER</v>
      </c>
      <c r="D5682">
        <f>12</f>
        <v>12</v>
      </c>
      <c r="E5682" t="str">
        <f>"08 - B - 101 - Marius D Orsolini"</f>
        <v>08 - B - 101 - Marius D Orsolini</v>
      </c>
      <c r="F5682" t="str">
        <f>"CULINARY ARTS 3 HON"</f>
        <v>CULINARY ARTS 3 HON</v>
      </c>
      <c r="G5682" t="str">
        <f>"21-2115"</f>
        <v>21-2115</v>
      </c>
      <c r="H5682" t="str">
        <f>"B"</f>
        <v>B</v>
      </c>
    </row>
    <row r="5683" spans="1:8" x14ac:dyDescent="0.2">
      <c r="A5683" t="str">
        <f t="shared" ref="A5683:A5689" si="2088">"0616104476"</f>
        <v>0616104476</v>
      </c>
      <c r="B5683" t="str">
        <f t="shared" ref="B5683:B5689" si="2089">"STELLA"</f>
        <v>STELLA</v>
      </c>
      <c r="C5683" t="str">
        <f t="shared" si="2087"/>
        <v>FLOWER</v>
      </c>
      <c r="D5683" t="str">
        <f t="shared" ref="D5683:D5689" si="2090">"09"</f>
        <v>09</v>
      </c>
      <c r="E5683" t="str">
        <f>"04 - A - 102 - Elizabeth R Walker"</f>
        <v>04 - A - 102 - Elizabeth R Walker</v>
      </c>
      <c r="F5683" t="str">
        <f>"AICE ENG GEN PAPER 1"</f>
        <v>AICE ENG GEN PAPER 1</v>
      </c>
      <c r="G5683" t="str">
        <f>"17-1703"</f>
        <v>17-1703</v>
      </c>
      <c r="H5683" t="str">
        <f>"A"</f>
        <v>A</v>
      </c>
    </row>
    <row r="5684" spans="1:8" x14ac:dyDescent="0.2">
      <c r="A5684" t="str">
        <f t="shared" si="2088"/>
        <v>0616104476</v>
      </c>
      <c r="B5684" t="str">
        <f t="shared" si="2089"/>
        <v>STELLA</v>
      </c>
      <c r="C5684" t="str">
        <f t="shared" si="2087"/>
        <v>FLOWER</v>
      </c>
      <c r="D5684" t="str">
        <f t="shared" si="2090"/>
        <v>09</v>
      </c>
      <c r="E5684" t="str">
        <f>"03 - S1 - A - 102 - Angela S Adeshina-Morrison"</f>
        <v>03 - S1 - A - 102 - Angela S Adeshina-Morrison</v>
      </c>
      <c r="F5684" t="str">
        <f>"PEER COUN 1"</f>
        <v>PEER COUN 1</v>
      </c>
      <c r="G5684" t="str">
        <f>"05-518"</f>
        <v>05-518</v>
      </c>
      <c r="H5684" t="str">
        <f>"A"</f>
        <v>A</v>
      </c>
    </row>
    <row r="5685" spans="1:8" x14ac:dyDescent="0.2">
      <c r="A5685" t="str">
        <f t="shared" si="2088"/>
        <v>0616104476</v>
      </c>
      <c r="B5685" t="str">
        <f t="shared" si="2089"/>
        <v>STELLA</v>
      </c>
      <c r="C5685" t="str">
        <f t="shared" si="2087"/>
        <v>FLOWER</v>
      </c>
      <c r="D5685" t="str">
        <f t="shared" si="2090"/>
        <v>09</v>
      </c>
      <c r="E5685" t="str">
        <f>"02 - A - 115 - Lourivaldo  Da Silva"</f>
        <v>02 - A - 115 - Lourivaldo  Da Silva</v>
      </c>
      <c r="F5685" t="str">
        <f>"NC STUDY HALL 1"</f>
        <v>NC STUDY HALL 1</v>
      </c>
      <c r="G5685" t="str">
        <f>"20-2079"</f>
        <v>20-2079</v>
      </c>
      <c r="H5685" t="str">
        <f>"A"</f>
        <v>A</v>
      </c>
    </row>
    <row r="5686" spans="1:8" x14ac:dyDescent="0.2">
      <c r="A5686" t="str">
        <f t="shared" si="2088"/>
        <v>0616104476</v>
      </c>
      <c r="B5686" t="str">
        <f t="shared" si="2089"/>
        <v>STELLA</v>
      </c>
      <c r="C5686" t="str">
        <f t="shared" si="2087"/>
        <v>FLOWER</v>
      </c>
      <c r="D5686" t="str">
        <f t="shared" si="2090"/>
        <v>09</v>
      </c>
      <c r="E5686" t="str">
        <f>"07 - B - 105 - Byron G Montenegro"</f>
        <v>07 - B - 105 - Byron G Montenegro</v>
      </c>
      <c r="F5686" t="str">
        <f>"AICE MARINE SCI 1 AS"</f>
        <v>AICE MARINE SCI 1 AS</v>
      </c>
      <c r="G5686" t="str">
        <f>"21-2144"</f>
        <v>21-2144</v>
      </c>
      <c r="H5686" t="str">
        <f>"B"</f>
        <v>B</v>
      </c>
    </row>
    <row r="5687" spans="1:8" x14ac:dyDescent="0.2">
      <c r="A5687" t="str">
        <f t="shared" si="2088"/>
        <v>0616104476</v>
      </c>
      <c r="B5687" t="str">
        <f t="shared" si="2089"/>
        <v>STELLA</v>
      </c>
      <c r="C5687" t="str">
        <f t="shared" si="2087"/>
        <v>FLOWER</v>
      </c>
      <c r="D5687" t="str">
        <f t="shared" si="2090"/>
        <v>09</v>
      </c>
      <c r="E5687" t="str">
        <f>"05 - B - 003 - Krystal Marie  Beruty"</f>
        <v>05 - B - 003 - Krystal Marie  Beruty</v>
      </c>
      <c r="F5687" t="str">
        <f>"AICE GLBL PERSP 1 AS"</f>
        <v>AICE GLBL PERSP 1 AS</v>
      </c>
      <c r="G5687" t="str">
        <f>"17-1721"</f>
        <v>17-1721</v>
      </c>
      <c r="H5687" t="str">
        <f>"B"</f>
        <v>B</v>
      </c>
    </row>
    <row r="5688" spans="1:8" x14ac:dyDescent="0.2">
      <c r="A5688" t="str">
        <f t="shared" si="2088"/>
        <v>0616104476</v>
      </c>
      <c r="B5688" t="str">
        <f t="shared" si="2089"/>
        <v>STELLA</v>
      </c>
      <c r="C5688" t="str">
        <f t="shared" si="2087"/>
        <v>FLOWER</v>
      </c>
      <c r="D5688" t="str">
        <f t="shared" si="2090"/>
        <v>09</v>
      </c>
      <c r="E5688" t="str">
        <f>"01 - A - 101 - Maried P Ramos"</f>
        <v>01 - A - 101 - Maried P Ramos</v>
      </c>
      <c r="F5688" t="str">
        <f>"ALGEBRA 2 HON"</f>
        <v>ALGEBRA 2 HON</v>
      </c>
      <c r="G5688" t="str">
        <f>"21-2159"</f>
        <v>21-2159</v>
      </c>
      <c r="H5688" t="str">
        <f>"A"</f>
        <v>A</v>
      </c>
    </row>
    <row r="5689" spans="1:8" x14ac:dyDescent="0.2">
      <c r="A5689" t="str">
        <f t="shared" si="2088"/>
        <v>0616104476</v>
      </c>
      <c r="B5689" t="str">
        <f t="shared" si="2089"/>
        <v>STELLA</v>
      </c>
      <c r="C5689" t="str">
        <f t="shared" si="2087"/>
        <v>FLOWER</v>
      </c>
      <c r="D5689" t="str">
        <f t="shared" si="2090"/>
        <v>09</v>
      </c>
      <c r="E5689" t="str">
        <f>"08 - B - 201 - Tina M Jaramillo"</f>
        <v>08 - B - 201 - Tina M Jaramillo</v>
      </c>
      <c r="F5689" t="str">
        <f>"CREATIVE WRIT 3 HON"</f>
        <v>CREATIVE WRIT 3 HON</v>
      </c>
      <c r="G5689" t="str">
        <f>"17-1706"</f>
        <v>17-1706</v>
      </c>
      <c r="H5689" t="str">
        <f>"B"</f>
        <v>B</v>
      </c>
    </row>
    <row r="5690" spans="1:8" x14ac:dyDescent="0.2">
      <c r="A5690" t="str">
        <f t="shared" ref="A5690:A5697" si="2091">"0613016557"</f>
        <v>0613016557</v>
      </c>
      <c r="B5690" t="str">
        <f t="shared" ref="B5690:B5697" si="2092">"JADA"</f>
        <v>JADA</v>
      </c>
      <c r="C5690" t="str">
        <f t="shared" ref="C5690:C5705" si="2093">"FLOYD"</f>
        <v>FLOYD</v>
      </c>
      <c r="D5690">
        <f>12</f>
        <v>12</v>
      </c>
      <c r="E5690" t="str">
        <f>"04 - A - 102 - Elizabeth Ellen  Moran"</f>
        <v>04 - A - 102 - Elizabeth Ellen  Moran</v>
      </c>
      <c r="F5690" t="str">
        <f>"US HISTORY"</f>
        <v>US HISTORY</v>
      </c>
      <c r="G5690" t="str">
        <f>"17-1752"</f>
        <v>17-1752</v>
      </c>
      <c r="H5690" t="str">
        <f>"A"</f>
        <v>A</v>
      </c>
    </row>
    <row r="5691" spans="1:8" x14ac:dyDescent="0.2">
      <c r="A5691" t="str">
        <f t="shared" si="2091"/>
        <v>0613016557</v>
      </c>
      <c r="B5691" t="str">
        <f t="shared" si="2092"/>
        <v>JADA</v>
      </c>
      <c r="C5691" t="str">
        <f t="shared" si="2093"/>
        <v>FLOYD</v>
      </c>
      <c r="D5691">
        <f>12</f>
        <v>12</v>
      </c>
      <c r="E5691" t="str">
        <f>"06 - B - 110 - Barbara L Segal"</f>
        <v>06 - B - 110 - Barbara L Segal</v>
      </c>
      <c r="F5691" t="str">
        <f>"NC STUDY HALL 1"</f>
        <v>NC STUDY HALL 1</v>
      </c>
      <c r="G5691" t="str">
        <f>"17-1742"</f>
        <v>17-1742</v>
      </c>
      <c r="H5691" t="str">
        <f>"B"</f>
        <v>B</v>
      </c>
    </row>
    <row r="5692" spans="1:8" x14ac:dyDescent="0.2">
      <c r="A5692" t="str">
        <f t="shared" si="2091"/>
        <v>0613016557</v>
      </c>
      <c r="B5692" t="str">
        <f t="shared" si="2092"/>
        <v>JADA</v>
      </c>
      <c r="C5692" t="str">
        <f t="shared" si="2093"/>
        <v>FLOYD</v>
      </c>
      <c r="D5692">
        <f>12</f>
        <v>12</v>
      </c>
      <c r="E5692" t="str">
        <f>"03 - A - 102 - Cliffon  Saurel"</f>
        <v>03 - A - 102 - Cliffon  Saurel</v>
      </c>
      <c r="F5692" t="str">
        <f>"PHYSICAL SCI"</f>
        <v>PHYSICAL SCI</v>
      </c>
      <c r="G5692" t="str">
        <f>"05-522"</f>
        <v>05-522</v>
      </c>
      <c r="H5692" t="str">
        <f>"A"</f>
        <v>A</v>
      </c>
    </row>
    <row r="5693" spans="1:8" x14ac:dyDescent="0.2">
      <c r="A5693" t="str">
        <f t="shared" si="2091"/>
        <v>0613016557</v>
      </c>
      <c r="B5693" t="str">
        <f t="shared" si="2092"/>
        <v>JADA</v>
      </c>
      <c r="C5693" t="str">
        <f t="shared" si="2093"/>
        <v>FLOYD</v>
      </c>
      <c r="D5693">
        <f>12</f>
        <v>12</v>
      </c>
      <c r="E5693" t="str">
        <f>"02 - A - 101 - Robert H Rindner"</f>
        <v>02 - A - 101 - Robert H Rindner</v>
      </c>
      <c r="F5693" t="str">
        <f>"MATH DATA&amp;FIN LIT H"</f>
        <v>MATH DATA&amp;FIN LIT H</v>
      </c>
      <c r="G5693" t="str">
        <f>"21-2160"</f>
        <v>21-2160</v>
      </c>
      <c r="H5693" t="str">
        <f>"A"</f>
        <v>A</v>
      </c>
    </row>
    <row r="5694" spans="1:8" x14ac:dyDescent="0.2">
      <c r="A5694" t="str">
        <f t="shared" si="2091"/>
        <v>0613016557</v>
      </c>
      <c r="B5694" t="str">
        <f t="shared" si="2092"/>
        <v>JADA</v>
      </c>
      <c r="C5694" t="str">
        <f t="shared" si="2093"/>
        <v>FLOYD</v>
      </c>
      <c r="D5694">
        <f>12</f>
        <v>12</v>
      </c>
      <c r="E5694" t="str">
        <f>"07 - S1 - B - 103 - Robert O Burger"</f>
        <v>07 - S1 - B - 103 - Robert O Burger</v>
      </c>
      <c r="F5694" t="str">
        <f>"US GOVT"</f>
        <v>US GOVT</v>
      </c>
      <c r="G5694" t="str">
        <f>"17-1755"</f>
        <v>17-1755</v>
      </c>
      <c r="H5694" t="str">
        <f>"B"</f>
        <v>B</v>
      </c>
    </row>
    <row r="5695" spans="1:8" x14ac:dyDescent="0.2">
      <c r="A5695" t="str">
        <f t="shared" si="2091"/>
        <v>0613016557</v>
      </c>
      <c r="B5695" t="str">
        <f t="shared" si="2092"/>
        <v>JADA</v>
      </c>
      <c r="C5695" t="str">
        <f t="shared" si="2093"/>
        <v>FLOYD</v>
      </c>
      <c r="D5695">
        <f>12</f>
        <v>12</v>
      </c>
      <c r="E5695" t="str">
        <f>"05 - B - 105 - Adam Marcus  Drucker"</f>
        <v>05 - B - 105 - Adam Marcus  Drucker</v>
      </c>
      <c r="F5695" t="str">
        <f>"HOPE-PE V"</f>
        <v>HOPE-PE V</v>
      </c>
      <c r="G5695" t="str">
        <f>"04-254"</f>
        <v>04-254</v>
      </c>
      <c r="H5695" t="str">
        <f>"B"</f>
        <v>B</v>
      </c>
    </row>
    <row r="5696" spans="1:8" x14ac:dyDescent="0.2">
      <c r="A5696" t="str">
        <f t="shared" si="2091"/>
        <v>0613016557</v>
      </c>
      <c r="B5696" t="str">
        <f t="shared" si="2092"/>
        <v>JADA</v>
      </c>
      <c r="C5696" t="str">
        <f t="shared" si="2093"/>
        <v>FLOYD</v>
      </c>
      <c r="D5696">
        <f>12</f>
        <v>12</v>
      </c>
      <c r="E5696" t="str">
        <f>"01 - A - 101 - Angela S Adeshina-Morrison"</f>
        <v>01 - A - 101 - Angela S Adeshina-Morrison</v>
      </c>
      <c r="F5696" t="str">
        <f>"MARKETING ESSENTIALS"</f>
        <v>MARKETING ESSENTIALS</v>
      </c>
      <c r="G5696" t="str">
        <f>"05-518"</f>
        <v>05-518</v>
      </c>
      <c r="H5696" t="str">
        <f>"A"</f>
        <v>A</v>
      </c>
    </row>
    <row r="5697" spans="1:8" x14ac:dyDescent="0.2">
      <c r="A5697" t="str">
        <f t="shared" si="2091"/>
        <v>0613016557</v>
      </c>
      <c r="B5697" t="str">
        <f t="shared" si="2092"/>
        <v>JADA</v>
      </c>
      <c r="C5697" t="str">
        <f t="shared" si="2093"/>
        <v>FLOYD</v>
      </c>
      <c r="D5697">
        <f>12</f>
        <v>12</v>
      </c>
      <c r="E5697" t="str">
        <f>"08 - S1 - B - 101 - Amy Beth  Broyles"</f>
        <v>08 - S1 - B - 101 - Amy Beth  Broyles</v>
      </c>
      <c r="F5697" t="str">
        <f>"PEER COUN 3"</f>
        <v>PEER COUN 3</v>
      </c>
      <c r="G5697" t="str">
        <f>"17-1713"</f>
        <v>17-1713</v>
      </c>
      <c r="H5697" t="str">
        <f>"B"</f>
        <v>B</v>
      </c>
    </row>
    <row r="5698" spans="1:8" x14ac:dyDescent="0.2">
      <c r="A5698" t="str">
        <f t="shared" ref="A5698:A5705" si="2094">"0614068544"</f>
        <v>0614068544</v>
      </c>
      <c r="B5698" t="str">
        <f t="shared" ref="B5698:B5705" si="2095">"JUSTICE"</f>
        <v>JUSTICE</v>
      </c>
      <c r="C5698" t="str">
        <f t="shared" si="2093"/>
        <v>FLOYD</v>
      </c>
      <c r="D5698">
        <f>10</f>
        <v>10</v>
      </c>
      <c r="E5698" t="str">
        <f>"04 - A - 105 - Jacklyn M James"</f>
        <v>04 - A - 105 - Jacklyn M James</v>
      </c>
      <c r="F5698" t="str">
        <f>"AICE ENG LANG AS"</f>
        <v>AICE ENG LANG AS</v>
      </c>
      <c r="G5698" t="str">
        <f>"17-1731"</f>
        <v>17-1731</v>
      </c>
      <c r="H5698" t="str">
        <f>"A"</f>
        <v>A</v>
      </c>
    </row>
    <row r="5699" spans="1:8" x14ac:dyDescent="0.2">
      <c r="A5699" t="str">
        <f t="shared" si="2094"/>
        <v>0614068544</v>
      </c>
      <c r="B5699" t="str">
        <f t="shared" si="2095"/>
        <v>JUSTICE</v>
      </c>
      <c r="C5699" t="str">
        <f t="shared" si="2093"/>
        <v>FLOYD</v>
      </c>
      <c r="D5699">
        <f>10</f>
        <v>10</v>
      </c>
      <c r="E5699" t="str">
        <f>"06 - B - 116 - Jordana K Hass"</f>
        <v>06 - B - 116 - Jordana K Hass</v>
      </c>
      <c r="F5699" t="str">
        <f>"NC STUDY HALL 1"</f>
        <v>NC STUDY HALL 1</v>
      </c>
      <c r="G5699" t="str">
        <f>"08-807"</f>
        <v>08-807</v>
      </c>
      <c r="H5699" t="str">
        <f>"B"</f>
        <v>B</v>
      </c>
    </row>
    <row r="5700" spans="1:8" x14ac:dyDescent="0.2">
      <c r="A5700" t="str">
        <f t="shared" si="2094"/>
        <v>0614068544</v>
      </c>
      <c r="B5700" t="str">
        <f t="shared" si="2095"/>
        <v>JUSTICE</v>
      </c>
      <c r="C5700" t="str">
        <f t="shared" si="2093"/>
        <v>FLOYD</v>
      </c>
      <c r="D5700">
        <f>10</f>
        <v>10</v>
      </c>
      <c r="E5700" t="str">
        <f>"03 - A - 106 - Krystal Marie  Beruty"</f>
        <v>03 - A - 106 - Krystal Marie  Beruty</v>
      </c>
      <c r="F5700" t="str">
        <f>"AICE PSYCH 1 AS"</f>
        <v>AICE PSYCH 1 AS</v>
      </c>
      <c r="G5700" t="str">
        <f>"17-1721"</f>
        <v>17-1721</v>
      </c>
      <c r="H5700" t="str">
        <f>"A"</f>
        <v>A</v>
      </c>
    </row>
    <row r="5701" spans="1:8" x14ac:dyDescent="0.2">
      <c r="A5701" t="str">
        <f t="shared" si="2094"/>
        <v>0614068544</v>
      </c>
      <c r="B5701" t="str">
        <f t="shared" si="2095"/>
        <v>JUSTICE</v>
      </c>
      <c r="C5701" t="str">
        <f t="shared" si="2093"/>
        <v>FLOYD</v>
      </c>
      <c r="D5701">
        <f>10</f>
        <v>10</v>
      </c>
      <c r="E5701" t="str">
        <f>"02 - A - 102 - Chrystina M Marchionne"</f>
        <v>02 - A - 102 - Chrystina M Marchionne</v>
      </c>
      <c r="F5701" t="str">
        <f>"AICE MEDIASTUDIES AS"</f>
        <v>AICE MEDIASTUDIES AS</v>
      </c>
      <c r="G5701" t="str">
        <f>"05-520"</f>
        <v>05-520</v>
      </c>
      <c r="H5701" t="str">
        <f>"A"</f>
        <v>A</v>
      </c>
    </row>
    <row r="5702" spans="1:8" x14ac:dyDescent="0.2">
      <c r="A5702" t="str">
        <f t="shared" si="2094"/>
        <v>0614068544</v>
      </c>
      <c r="B5702" t="str">
        <f t="shared" si="2095"/>
        <v>JUSTICE</v>
      </c>
      <c r="C5702" t="str">
        <f t="shared" si="2093"/>
        <v>FLOYD</v>
      </c>
      <c r="D5702">
        <f>10</f>
        <v>10</v>
      </c>
      <c r="E5702" t="str">
        <f>"07 - B - 002 - Jordana K Hass"</f>
        <v>07 - B - 002 - Jordana K Hass</v>
      </c>
      <c r="F5702" t="str">
        <f>"CHEMISTRY 1 HON"</f>
        <v>CHEMISTRY 1 HON</v>
      </c>
      <c r="G5702" t="str">
        <f>"08-807"</f>
        <v>08-807</v>
      </c>
      <c r="H5702" t="str">
        <f>"B"</f>
        <v>B</v>
      </c>
    </row>
    <row r="5703" spans="1:8" x14ac:dyDescent="0.2">
      <c r="A5703" t="str">
        <f t="shared" si="2094"/>
        <v>0614068544</v>
      </c>
      <c r="B5703" t="str">
        <f t="shared" si="2095"/>
        <v>JUSTICE</v>
      </c>
      <c r="C5703" t="str">
        <f t="shared" si="2093"/>
        <v>FLOYD</v>
      </c>
      <c r="D5703">
        <f>10</f>
        <v>10</v>
      </c>
      <c r="E5703" t="str">
        <f>"05 - B - 104 - Semra  Bahadir"</f>
        <v>05 - B - 104 - Semra  Bahadir</v>
      </c>
      <c r="F5703" t="str">
        <f>"MATH COLL ALGEBRA"</f>
        <v>MATH COLL ALGEBRA</v>
      </c>
      <c r="G5703" t="str">
        <f>"21-2107"</f>
        <v>21-2107</v>
      </c>
      <c r="H5703" t="str">
        <f>"B"</f>
        <v>B</v>
      </c>
    </row>
    <row r="5704" spans="1:8" x14ac:dyDescent="0.2">
      <c r="A5704" t="str">
        <f t="shared" si="2094"/>
        <v>0614068544</v>
      </c>
      <c r="B5704" t="str">
        <f t="shared" si="2095"/>
        <v>JUSTICE</v>
      </c>
      <c r="C5704" t="str">
        <f t="shared" si="2093"/>
        <v>FLOYD</v>
      </c>
      <c r="D5704">
        <f>10</f>
        <v>10</v>
      </c>
      <c r="E5704" t="str">
        <f>"01 - A - 101 - Arthur  Kulawik"</f>
        <v>01 - A - 101 - Arthur  Kulawik</v>
      </c>
      <c r="F5704" t="str">
        <f>"DEBATE 1 LH"</f>
        <v>DEBATE 1 LH</v>
      </c>
      <c r="G5704" t="str">
        <f>"05-506"</f>
        <v>05-506</v>
      </c>
      <c r="H5704" t="str">
        <f>"A"</f>
        <v>A</v>
      </c>
    </row>
    <row r="5705" spans="1:8" x14ac:dyDescent="0.2">
      <c r="A5705" t="str">
        <f t="shared" si="2094"/>
        <v>0614068544</v>
      </c>
      <c r="B5705" t="str">
        <f t="shared" si="2095"/>
        <v>JUSTICE</v>
      </c>
      <c r="C5705" t="str">
        <f t="shared" si="2093"/>
        <v>FLOYD</v>
      </c>
      <c r="D5705">
        <f>10</f>
        <v>10</v>
      </c>
      <c r="E5705" t="str">
        <f>"08 - B - 201 - Lenecy  Nodarse"</f>
        <v>08 - B - 201 - Lenecy  Nodarse</v>
      </c>
      <c r="F5705" t="str">
        <f>"AICE EURO HIST 1 AS"</f>
        <v>AICE EURO HIST 1 AS</v>
      </c>
      <c r="G5705" t="str">
        <f>"17-1741"</f>
        <v>17-1741</v>
      </c>
      <c r="H5705" t="str">
        <f>"B"</f>
        <v>B</v>
      </c>
    </row>
    <row r="5706" spans="1:8" x14ac:dyDescent="0.2">
      <c r="A5706" t="str">
        <f t="shared" ref="A5706:A5713" si="2096">"0617067777"</f>
        <v>0617067777</v>
      </c>
      <c r="B5706" t="str">
        <f t="shared" ref="B5706:B5713" si="2097">"CHARLIE"</f>
        <v>CHARLIE</v>
      </c>
      <c r="C5706" t="str">
        <f t="shared" ref="C5706:C5713" si="2098">"FORBES"</f>
        <v>FORBES</v>
      </c>
      <c r="D5706" t="str">
        <f t="shared" ref="D5706:D5713" si="2099">"09"</f>
        <v>09</v>
      </c>
      <c r="E5706" t="str">
        <f>"04 - A - 101 - Chrystina M Marchionne"</f>
        <v>04 - A - 101 - Chrystina M Marchionne</v>
      </c>
      <c r="F5706" t="str">
        <f>"THEA CIN &amp; FILM LH"</f>
        <v>THEA CIN &amp; FILM LH</v>
      </c>
      <c r="G5706" t="str">
        <f>"05-520"</f>
        <v>05-520</v>
      </c>
      <c r="H5706" t="str">
        <f>"A"</f>
        <v>A</v>
      </c>
    </row>
    <row r="5707" spans="1:8" x14ac:dyDescent="0.2">
      <c r="A5707" t="str">
        <f t="shared" si="2096"/>
        <v>0617067777</v>
      </c>
      <c r="B5707" t="str">
        <f t="shared" si="2097"/>
        <v>CHARLIE</v>
      </c>
      <c r="C5707" t="str">
        <f t="shared" si="2098"/>
        <v>FORBES</v>
      </c>
      <c r="D5707" t="str">
        <f t="shared" si="2099"/>
        <v>09</v>
      </c>
      <c r="E5707" t="str">
        <f>"06 - B - 202 - Alejandro  Navarro"</f>
        <v>06 - B - 202 - Alejandro  Navarro</v>
      </c>
      <c r="F5707" t="str">
        <f>"BAND 1"</f>
        <v>BAND 1</v>
      </c>
      <c r="G5707" t="str">
        <f>"05-504"</f>
        <v>05-504</v>
      </c>
      <c r="H5707" t="str">
        <f>"B"</f>
        <v>B</v>
      </c>
    </row>
    <row r="5708" spans="1:8" x14ac:dyDescent="0.2">
      <c r="A5708" t="str">
        <f t="shared" si="2096"/>
        <v>0617067777</v>
      </c>
      <c r="B5708" t="str">
        <f t="shared" si="2097"/>
        <v>CHARLIE</v>
      </c>
      <c r="C5708" t="str">
        <f t="shared" si="2098"/>
        <v>FORBES</v>
      </c>
      <c r="D5708" t="str">
        <f t="shared" si="2099"/>
        <v>09</v>
      </c>
      <c r="E5708" t="str">
        <f>"03 - S1 - A - 102 - Leslie J Barton"</f>
        <v>03 - S1 - A - 102 - Leslie J Barton</v>
      </c>
      <c r="F5708" t="str">
        <f>"FIRST AID SAFETY"</f>
        <v>FIRST AID SAFETY</v>
      </c>
      <c r="G5708" t="str">
        <f>"05-521"</f>
        <v>05-521</v>
      </c>
      <c r="H5708" t="str">
        <f>"A"</f>
        <v>A</v>
      </c>
    </row>
    <row r="5709" spans="1:8" x14ac:dyDescent="0.2">
      <c r="A5709" t="str">
        <f t="shared" si="2096"/>
        <v>0617067777</v>
      </c>
      <c r="B5709" t="str">
        <f t="shared" si="2097"/>
        <v>CHARLIE</v>
      </c>
      <c r="C5709" t="str">
        <f t="shared" si="2098"/>
        <v>FORBES</v>
      </c>
      <c r="D5709" t="str">
        <f t="shared" si="2099"/>
        <v>09</v>
      </c>
      <c r="E5709" t="str">
        <f>"02 - A - 112 - Cheryl Anne  Berman-Schechter"</f>
        <v>02 - A - 112 - Cheryl Anne  Berman-Schechter</v>
      </c>
      <c r="F5709" t="str">
        <f>"NC STUDY HALL 1"</f>
        <v>NC STUDY HALL 1</v>
      </c>
      <c r="G5709" t="str">
        <f>"17-1722"</f>
        <v>17-1722</v>
      </c>
      <c r="H5709" t="str">
        <f>"A"</f>
        <v>A</v>
      </c>
    </row>
    <row r="5710" spans="1:8" x14ac:dyDescent="0.2">
      <c r="A5710" t="str">
        <f t="shared" si="2096"/>
        <v>0617067777</v>
      </c>
      <c r="B5710" t="str">
        <f t="shared" si="2097"/>
        <v>CHARLIE</v>
      </c>
      <c r="C5710" t="str">
        <f t="shared" si="2098"/>
        <v>FORBES</v>
      </c>
      <c r="D5710" t="str">
        <f t="shared" si="2099"/>
        <v>09</v>
      </c>
      <c r="E5710" t="str">
        <f>"07 - B - 105 - Byron G Montenegro"</f>
        <v>07 - B - 105 - Byron G Montenegro</v>
      </c>
      <c r="F5710" t="str">
        <f>"AICE MARINE SCI 1 AS"</f>
        <v>AICE MARINE SCI 1 AS</v>
      </c>
      <c r="G5710" t="str">
        <f>"21-2144"</f>
        <v>21-2144</v>
      </c>
      <c r="H5710" t="str">
        <f>"B"</f>
        <v>B</v>
      </c>
    </row>
    <row r="5711" spans="1:8" x14ac:dyDescent="0.2">
      <c r="A5711" t="str">
        <f t="shared" si="2096"/>
        <v>0617067777</v>
      </c>
      <c r="B5711" t="str">
        <f t="shared" si="2097"/>
        <v>CHARLIE</v>
      </c>
      <c r="C5711" t="str">
        <f t="shared" si="2098"/>
        <v>FORBES</v>
      </c>
      <c r="D5711" t="str">
        <f t="shared" si="2099"/>
        <v>09</v>
      </c>
      <c r="E5711" t="str">
        <f>"05 - B - 103 - Brook E Goren"</f>
        <v>05 - B - 103 - Brook E Goren</v>
      </c>
      <c r="F5711" t="str">
        <f>"PRE-AICE MATH 2 IG"</f>
        <v>PRE-AICE MATH 2 IG</v>
      </c>
      <c r="G5711" t="str">
        <f>"21-2158"</f>
        <v>21-2158</v>
      </c>
      <c r="H5711" t="str">
        <f>"B"</f>
        <v>B</v>
      </c>
    </row>
    <row r="5712" spans="1:8" x14ac:dyDescent="0.2">
      <c r="A5712" t="str">
        <f t="shared" si="2096"/>
        <v>0617067777</v>
      </c>
      <c r="B5712" t="str">
        <f t="shared" si="2097"/>
        <v>CHARLIE</v>
      </c>
      <c r="C5712" t="str">
        <f t="shared" si="2098"/>
        <v>FORBES</v>
      </c>
      <c r="D5712" t="str">
        <f t="shared" si="2099"/>
        <v>09</v>
      </c>
      <c r="E5712" t="str">
        <f>"01 - A - 002 - Krystal Marie  Beruty"</f>
        <v>01 - A - 002 - Krystal Marie  Beruty</v>
      </c>
      <c r="F5712" t="str">
        <f>"AICE GLBL PERSP 1 AS"</f>
        <v>AICE GLBL PERSP 1 AS</v>
      </c>
      <c r="G5712" t="str">
        <f>"17-1721"</f>
        <v>17-1721</v>
      </c>
      <c r="H5712" t="str">
        <f>"A"</f>
        <v>A</v>
      </c>
    </row>
    <row r="5713" spans="1:8" x14ac:dyDescent="0.2">
      <c r="A5713" t="str">
        <f t="shared" si="2096"/>
        <v>0617067777</v>
      </c>
      <c r="B5713" t="str">
        <f t="shared" si="2097"/>
        <v>CHARLIE</v>
      </c>
      <c r="C5713" t="str">
        <f t="shared" si="2098"/>
        <v>FORBES</v>
      </c>
      <c r="D5713" t="str">
        <f t="shared" si="2099"/>
        <v>09</v>
      </c>
      <c r="E5713" t="str">
        <f>"08 - B - 004 - Cheryl Anne  Berman-Schechter"</f>
        <v>08 - B - 004 - Cheryl Anne  Berman-Schechter</v>
      </c>
      <c r="F5713" t="str">
        <f>"AICE ENG GEN PAPER 1"</f>
        <v>AICE ENG GEN PAPER 1</v>
      </c>
      <c r="G5713" t="str">
        <f>"17-1722"</f>
        <v>17-1722</v>
      </c>
      <c r="H5713" t="str">
        <f>"B"</f>
        <v>B</v>
      </c>
    </row>
    <row r="5714" spans="1:8" x14ac:dyDescent="0.2">
      <c r="A5714" t="str">
        <f t="shared" ref="A5714:A5721" si="2100">"0615095614"</f>
        <v>0615095614</v>
      </c>
      <c r="B5714" t="str">
        <f t="shared" ref="B5714:B5721" si="2101">"KAYLA"</f>
        <v>KAYLA</v>
      </c>
      <c r="C5714" t="str">
        <f t="shared" ref="C5714:C5729" si="2102">"FORD"</f>
        <v>FORD</v>
      </c>
      <c r="D5714">
        <f>10</f>
        <v>10</v>
      </c>
      <c r="E5714" t="str">
        <f>"04 - A - 105 - Milca  Exantus"</f>
        <v>04 - A - 105 - Milca  Exantus</v>
      </c>
      <c r="F5714" t="str">
        <f>"MATH COLLEGE LIB ART"</f>
        <v>MATH COLLEGE LIB ART</v>
      </c>
      <c r="G5714" t="str">
        <f>"21-2145"</f>
        <v>21-2145</v>
      </c>
      <c r="H5714" t="str">
        <f>"A"</f>
        <v>A</v>
      </c>
    </row>
    <row r="5715" spans="1:8" x14ac:dyDescent="0.2">
      <c r="A5715" t="str">
        <f t="shared" si="2100"/>
        <v>0615095614</v>
      </c>
      <c r="B5715" t="str">
        <f t="shared" si="2101"/>
        <v>KAYLA</v>
      </c>
      <c r="C5715" t="str">
        <f t="shared" si="2102"/>
        <v>FORD</v>
      </c>
      <c r="D5715">
        <f>10</f>
        <v>10</v>
      </c>
      <c r="E5715" t="str">
        <f>"06 - B - 103 - Thomas G Handwerg"</f>
        <v>06 - B - 103 - Thomas G Handwerg</v>
      </c>
      <c r="F5715" t="str">
        <f>"NC STUDY HALL 1"</f>
        <v>NC STUDY HALL 1</v>
      </c>
      <c r="G5715" t="str">
        <f>"21-2146"</f>
        <v>21-2146</v>
      </c>
      <c r="H5715" t="str">
        <f>"B"</f>
        <v>B</v>
      </c>
    </row>
    <row r="5716" spans="1:8" x14ac:dyDescent="0.2">
      <c r="A5716" t="str">
        <f t="shared" si="2100"/>
        <v>0615095614</v>
      </c>
      <c r="B5716" t="str">
        <f t="shared" si="2101"/>
        <v>KAYLA</v>
      </c>
      <c r="C5716" t="str">
        <f t="shared" si="2102"/>
        <v>FORD</v>
      </c>
      <c r="D5716">
        <f>10</f>
        <v>10</v>
      </c>
      <c r="E5716" t="str">
        <f>"03 - A - 103 - Jacquelyn M Neeson"</f>
        <v>03 - A - 103 - Jacquelyn M Neeson</v>
      </c>
      <c r="F5716" t="str">
        <f>"ENG 2"</f>
        <v>ENG 2</v>
      </c>
      <c r="G5716" t="str">
        <f>"17-1715"</f>
        <v>17-1715</v>
      </c>
      <c r="H5716" t="str">
        <f>"A"</f>
        <v>A</v>
      </c>
    </row>
    <row r="5717" spans="1:8" x14ac:dyDescent="0.2">
      <c r="A5717" t="str">
        <f t="shared" si="2100"/>
        <v>0615095614</v>
      </c>
      <c r="B5717" t="str">
        <f t="shared" si="2101"/>
        <v>KAYLA</v>
      </c>
      <c r="C5717" t="str">
        <f t="shared" si="2102"/>
        <v>FORD</v>
      </c>
      <c r="D5717">
        <f>10</f>
        <v>10</v>
      </c>
      <c r="E5717" t="str">
        <f>"02 - A - 102 - Adam Marcus  Drucker"</f>
        <v>02 - A - 102 - Adam Marcus  Drucker</v>
      </c>
      <c r="F5717" t="str">
        <f>"HOPE-PE V"</f>
        <v>HOPE-PE V</v>
      </c>
      <c r="G5717" t="str">
        <f>"04-254"</f>
        <v>04-254</v>
      </c>
      <c r="H5717" t="str">
        <f>"A"</f>
        <v>A</v>
      </c>
    </row>
    <row r="5718" spans="1:8" x14ac:dyDescent="0.2">
      <c r="A5718" t="str">
        <f t="shared" si="2100"/>
        <v>0615095614</v>
      </c>
      <c r="B5718" t="str">
        <f t="shared" si="2101"/>
        <v>KAYLA</v>
      </c>
      <c r="C5718" t="str">
        <f t="shared" si="2102"/>
        <v>FORD</v>
      </c>
      <c r="D5718">
        <f>10</f>
        <v>10</v>
      </c>
      <c r="E5718" t="str">
        <f>"07 - B - 107 - Lytrell T Dixon"</f>
        <v>07 - B - 107 - Lytrell T Dixon</v>
      </c>
      <c r="F5718" t="str">
        <f>"BIOLOGY 1"</f>
        <v>BIOLOGY 1</v>
      </c>
      <c r="G5718" t="str">
        <f>"08-808"</f>
        <v>08-808</v>
      </c>
      <c r="H5718" t="str">
        <f>"B"</f>
        <v>B</v>
      </c>
    </row>
    <row r="5719" spans="1:8" x14ac:dyDescent="0.2">
      <c r="A5719" t="str">
        <f t="shared" si="2100"/>
        <v>0615095614</v>
      </c>
      <c r="B5719" t="str">
        <f t="shared" si="2101"/>
        <v>KAYLA</v>
      </c>
      <c r="C5719" t="str">
        <f t="shared" si="2102"/>
        <v>FORD</v>
      </c>
      <c r="D5719">
        <f>10</f>
        <v>10</v>
      </c>
      <c r="E5719" t="str">
        <f>"05 - B - 201 - Jazmin S Fletcher"</f>
        <v>05 - B - 201 - Jazmin S Fletcher</v>
      </c>
      <c r="F5719" t="str">
        <f>"THEATRE 1"</f>
        <v>THEATRE 1</v>
      </c>
      <c r="G5719" t="str">
        <f>"09-909"</f>
        <v>09-909</v>
      </c>
      <c r="H5719" t="str">
        <f>"B"</f>
        <v>B</v>
      </c>
    </row>
    <row r="5720" spans="1:8" x14ac:dyDescent="0.2">
      <c r="A5720" t="str">
        <f t="shared" si="2100"/>
        <v>0615095614</v>
      </c>
      <c r="B5720" t="str">
        <f t="shared" si="2101"/>
        <v>KAYLA</v>
      </c>
      <c r="C5720" t="str">
        <f t="shared" si="2102"/>
        <v>FORD</v>
      </c>
      <c r="D5720">
        <f>10</f>
        <v>10</v>
      </c>
      <c r="E5720" t="str">
        <f>"01 - A - 101 - Taraneh C Abreu"</f>
        <v>01 - A - 101 - Taraneh C Abreu</v>
      </c>
      <c r="F5720" t="str">
        <f>"INTENS READ 2"</f>
        <v>INTENS READ 2</v>
      </c>
      <c r="G5720" t="str">
        <f>"17-1713"</f>
        <v>17-1713</v>
      </c>
      <c r="H5720" t="str">
        <f>"A"</f>
        <v>A</v>
      </c>
    </row>
    <row r="5721" spans="1:8" x14ac:dyDescent="0.2">
      <c r="A5721" t="str">
        <f t="shared" si="2100"/>
        <v>0615095614</v>
      </c>
      <c r="B5721" t="str">
        <f t="shared" si="2101"/>
        <v>KAYLA</v>
      </c>
      <c r="C5721" t="str">
        <f t="shared" si="2102"/>
        <v>FORD</v>
      </c>
      <c r="D5721">
        <f>10</f>
        <v>10</v>
      </c>
      <c r="E5721" t="str">
        <f>"08 - B - 202 - Dorothy D Moore"</f>
        <v>08 - B - 202 - Dorothy D Moore</v>
      </c>
      <c r="F5721" t="str">
        <f>"HEALTH SCI 1/A&amp;P HON"</f>
        <v>HEALTH SCI 1/A&amp;P HON</v>
      </c>
      <c r="G5721" t="str">
        <f>"08-803"</f>
        <v>08-803</v>
      </c>
      <c r="H5721" t="str">
        <f>"B"</f>
        <v>B</v>
      </c>
    </row>
    <row r="5722" spans="1:8" x14ac:dyDescent="0.2">
      <c r="A5722" t="str">
        <f t="shared" ref="A5722:A5729" si="2103">"0616062678"</f>
        <v>0616062678</v>
      </c>
      <c r="B5722" t="str">
        <f t="shared" ref="B5722:B5729" si="2104">"KIANA"</f>
        <v>KIANA</v>
      </c>
      <c r="C5722" t="str">
        <f t="shared" si="2102"/>
        <v>FORD</v>
      </c>
      <c r="D5722" t="str">
        <f t="shared" ref="D5722:D5729" si="2105">"09"</f>
        <v>09</v>
      </c>
      <c r="E5722" t="str">
        <f>"04 - A - 102 - Tina L Lovett"</f>
        <v>04 - A - 102 - Tina L Lovett</v>
      </c>
      <c r="F5722" t="str">
        <f>"ALGEBRA 1"</f>
        <v>ALGEBRA 1</v>
      </c>
      <c r="G5722" t="str">
        <f>"21-2153"</f>
        <v>21-2153</v>
      </c>
      <c r="H5722" t="str">
        <f>"A"</f>
        <v>A</v>
      </c>
    </row>
    <row r="5723" spans="1:8" x14ac:dyDescent="0.2">
      <c r="A5723" t="str">
        <f t="shared" si="2103"/>
        <v>0616062678</v>
      </c>
      <c r="B5723" t="str">
        <f t="shared" si="2104"/>
        <v>KIANA</v>
      </c>
      <c r="C5723" t="str">
        <f t="shared" si="2102"/>
        <v>FORD</v>
      </c>
      <c r="D5723" t="str">
        <f t="shared" si="2105"/>
        <v>09</v>
      </c>
      <c r="E5723" t="str">
        <f>"06 - B - 002 - Amy Beth  Broyles"</f>
        <v>06 - B - 002 - Amy Beth  Broyles</v>
      </c>
      <c r="F5723" t="str">
        <f>"ENV SCI"</f>
        <v>ENV SCI</v>
      </c>
      <c r="G5723" t="str">
        <f>"08-802"</f>
        <v>08-802</v>
      </c>
      <c r="H5723" t="str">
        <f>"B"</f>
        <v>B</v>
      </c>
    </row>
    <row r="5724" spans="1:8" x14ac:dyDescent="0.2">
      <c r="A5724" t="str">
        <f t="shared" si="2103"/>
        <v>0616062678</v>
      </c>
      <c r="B5724" t="str">
        <f t="shared" si="2104"/>
        <v>KIANA</v>
      </c>
      <c r="C5724" t="str">
        <f t="shared" si="2102"/>
        <v>FORD</v>
      </c>
      <c r="D5724" t="str">
        <f t="shared" si="2105"/>
        <v>09</v>
      </c>
      <c r="E5724" t="str">
        <f>"03 - A - 102 - Laselleda D Shaw"</f>
        <v>03 - A - 102 - Laselleda D Shaw</v>
      </c>
      <c r="F5724" t="str">
        <f>"INTENS READ 1"</f>
        <v>INTENS READ 1</v>
      </c>
      <c r="G5724" t="str">
        <f>"17-1723"</f>
        <v>17-1723</v>
      </c>
      <c r="H5724" t="str">
        <f>"A"</f>
        <v>A</v>
      </c>
    </row>
    <row r="5725" spans="1:8" x14ac:dyDescent="0.2">
      <c r="A5725" t="str">
        <f t="shared" si="2103"/>
        <v>0616062678</v>
      </c>
      <c r="B5725" t="str">
        <f t="shared" si="2104"/>
        <v>KIANA</v>
      </c>
      <c r="C5725" t="str">
        <f t="shared" si="2102"/>
        <v>FORD</v>
      </c>
      <c r="D5725" t="str">
        <f t="shared" si="2105"/>
        <v>09</v>
      </c>
      <c r="E5725" t="str">
        <f>"02 - A - 101 - Milca  Exantus"</f>
        <v>02 - A - 101 - Milca  Exantus</v>
      </c>
      <c r="F5725" t="str">
        <f>"NC STUDY HALL 1"</f>
        <v>NC STUDY HALL 1</v>
      </c>
      <c r="G5725" t="str">
        <f>"21-2145"</f>
        <v>21-2145</v>
      </c>
      <c r="H5725" t="str">
        <f>"A"</f>
        <v>A</v>
      </c>
    </row>
    <row r="5726" spans="1:8" x14ac:dyDescent="0.2">
      <c r="A5726" t="str">
        <f t="shared" si="2103"/>
        <v>0616062678</v>
      </c>
      <c r="B5726" t="str">
        <f t="shared" si="2104"/>
        <v>KIANA</v>
      </c>
      <c r="C5726" t="str">
        <f t="shared" si="2102"/>
        <v>FORD</v>
      </c>
      <c r="D5726" t="str">
        <f t="shared" si="2105"/>
        <v>09</v>
      </c>
      <c r="E5726" t="str">
        <f>"07 - B - 104 - Lissa C Frederique"</f>
        <v>07 - B - 104 - Lissa C Frederique</v>
      </c>
      <c r="F5726" t="str">
        <f>"WORLD HISTORY"</f>
        <v>WORLD HISTORY</v>
      </c>
      <c r="G5726" t="str">
        <f>"17-1754"</f>
        <v>17-1754</v>
      </c>
      <c r="H5726" t="str">
        <f>"B"</f>
        <v>B</v>
      </c>
    </row>
    <row r="5727" spans="1:8" x14ac:dyDescent="0.2">
      <c r="A5727" t="str">
        <f t="shared" si="2103"/>
        <v>0616062678</v>
      </c>
      <c r="B5727" t="str">
        <f t="shared" si="2104"/>
        <v>KIANA</v>
      </c>
      <c r="C5727" t="str">
        <f t="shared" si="2102"/>
        <v>FORD</v>
      </c>
      <c r="D5727" t="str">
        <f t="shared" si="2105"/>
        <v>09</v>
      </c>
      <c r="E5727" t="str">
        <f>"05 - B - 101 - Brian M Fitzgerald"</f>
        <v>05 - B - 101 - Brian M Fitzgerald</v>
      </c>
      <c r="F5727" t="str">
        <f>"PAINT 1"</f>
        <v>PAINT 1</v>
      </c>
      <c r="G5727" t="str">
        <f>"09-908"</f>
        <v>09-908</v>
      </c>
      <c r="H5727" t="str">
        <f>"B"</f>
        <v>B</v>
      </c>
    </row>
    <row r="5728" spans="1:8" x14ac:dyDescent="0.2">
      <c r="A5728" t="str">
        <f t="shared" si="2103"/>
        <v>0616062678</v>
      </c>
      <c r="B5728" t="str">
        <f t="shared" si="2104"/>
        <v>KIANA</v>
      </c>
      <c r="C5728" t="str">
        <f t="shared" si="2102"/>
        <v>FORD</v>
      </c>
      <c r="D5728" t="str">
        <f t="shared" si="2105"/>
        <v>09</v>
      </c>
      <c r="E5728" t="str">
        <f>"01 - A - 101 - Cerine S Stewart"</f>
        <v>01 - A - 101 - Cerine S Stewart</v>
      </c>
      <c r="F5728" t="str">
        <f>"ENG 1"</f>
        <v>ENG 1</v>
      </c>
      <c r="G5728" t="str">
        <f>"17-1720"</f>
        <v>17-1720</v>
      </c>
      <c r="H5728" t="str">
        <f>"A"</f>
        <v>A</v>
      </c>
    </row>
    <row r="5729" spans="1:8" x14ac:dyDescent="0.2">
      <c r="A5729" t="str">
        <f t="shared" si="2103"/>
        <v>0616062678</v>
      </c>
      <c r="B5729" t="str">
        <f t="shared" si="2104"/>
        <v>KIANA</v>
      </c>
      <c r="C5729" t="str">
        <f t="shared" si="2102"/>
        <v>FORD</v>
      </c>
      <c r="D5729" t="str">
        <f t="shared" si="2105"/>
        <v>09</v>
      </c>
      <c r="E5729" t="str">
        <f>"08 - B - 108 - Tina L Lovett"</f>
        <v>08 - B - 108 - Tina L Lovett</v>
      </c>
      <c r="F5729" t="str">
        <f>"FDN SKLS MATH 9-12"</f>
        <v>FDN SKLS MATH 9-12</v>
      </c>
      <c r="G5729" t="str">
        <f>"21-2153"</f>
        <v>21-2153</v>
      </c>
      <c r="H5729" t="str">
        <f>"B"</f>
        <v>B</v>
      </c>
    </row>
    <row r="5730" spans="1:8" x14ac:dyDescent="0.2">
      <c r="A5730" t="str">
        <f t="shared" ref="A5730:A5738" si="2106">"0611111191"</f>
        <v>0611111191</v>
      </c>
      <c r="B5730" t="str">
        <f t="shared" ref="B5730:B5738" si="2107">"EBERSON"</f>
        <v>EBERSON</v>
      </c>
      <c r="C5730" t="str">
        <f t="shared" ref="C5730:C5746" si="2108">"FORESTANT"</f>
        <v>FORESTANT</v>
      </c>
      <c r="D5730">
        <f>12</f>
        <v>12</v>
      </c>
      <c r="E5730" t="str">
        <f>"04 - A - 104 - Robert H Rindner"</f>
        <v>04 - A - 104 - Robert H Rindner</v>
      </c>
      <c r="F5730" t="str">
        <f>"MATH DATA&amp;FIN LIT H"</f>
        <v>MATH DATA&amp;FIN LIT H</v>
      </c>
      <c r="G5730" t="str">
        <f>"21-2160"</f>
        <v>21-2160</v>
      </c>
      <c r="H5730" t="str">
        <f>"A"</f>
        <v>A</v>
      </c>
    </row>
    <row r="5731" spans="1:8" x14ac:dyDescent="0.2">
      <c r="A5731" t="str">
        <f t="shared" si="2106"/>
        <v>0611111191</v>
      </c>
      <c r="B5731" t="str">
        <f t="shared" si="2107"/>
        <v>EBERSON</v>
      </c>
      <c r="C5731" t="str">
        <f t="shared" si="2108"/>
        <v>FORESTANT</v>
      </c>
      <c r="D5731">
        <f>12</f>
        <v>12</v>
      </c>
      <c r="E5731" t="str">
        <f>"06 - B - 104 - Lissa C Frederique"</f>
        <v>06 - B - 104 - Lissa C Frederique</v>
      </c>
      <c r="F5731" t="str">
        <f>"NC STUDY HALL 1"</f>
        <v>NC STUDY HALL 1</v>
      </c>
      <c r="G5731" t="str">
        <f>"17-1754"</f>
        <v>17-1754</v>
      </c>
      <c r="H5731" t="str">
        <f>"B"</f>
        <v>B</v>
      </c>
    </row>
    <row r="5732" spans="1:8" x14ac:dyDescent="0.2">
      <c r="A5732" t="str">
        <f t="shared" si="2106"/>
        <v>0611111191</v>
      </c>
      <c r="B5732" t="str">
        <f t="shared" si="2107"/>
        <v>EBERSON</v>
      </c>
      <c r="C5732" t="str">
        <f t="shared" si="2108"/>
        <v>FORESTANT</v>
      </c>
      <c r="D5732">
        <f>12</f>
        <v>12</v>
      </c>
      <c r="E5732" t="str">
        <f>"06 - B - 116 - Karen A Toomer"</f>
        <v>06 - B - 116 - Karen A Toomer</v>
      </c>
      <c r="F5732" t="str">
        <f>"LANG THERAPY"</f>
        <v>LANG THERAPY</v>
      </c>
      <c r="G5732" t="str">
        <f>"21-2110"</f>
        <v>21-2110</v>
      </c>
      <c r="H5732" t="str">
        <f>"B"</f>
        <v>B</v>
      </c>
    </row>
    <row r="5733" spans="1:8" x14ac:dyDescent="0.2">
      <c r="A5733" t="str">
        <f t="shared" si="2106"/>
        <v>0611111191</v>
      </c>
      <c r="B5733" t="str">
        <f t="shared" si="2107"/>
        <v>EBERSON</v>
      </c>
      <c r="C5733" t="str">
        <f t="shared" si="2108"/>
        <v>FORESTANT</v>
      </c>
      <c r="D5733">
        <f>12</f>
        <v>12</v>
      </c>
      <c r="E5733" t="str">
        <f>"03 - S1 - A - 002 - Barbara L Segal"</f>
        <v>03 - S1 - A - 002 - Barbara L Segal</v>
      </c>
      <c r="F5733" t="str">
        <f>"US GOVT"</f>
        <v>US GOVT</v>
      </c>
      <c r="G5733" t="str">
        <f>"17-1742"</f>
        <v>17-1742</v>
      </c>
      <c r="H5733" t="str">
        <f>"A"</f>
        <v>A</v>
      </c>
    </row>
    <row r="5734" spans="1:8" x14ac:dyDescent="0.2">
      <c r="A5734" t="str">
        <f t="shared" si="2106"/>
        <v>0611111191</v>
      </c>
      <c r="B5734" t="str">
        <f t="shared" si="2107"/>
        <v>EBERSON</v>
      </c>
      <c r="C5734" t="str">
        <f t="shared" si="2108"/>
        <v>FORESTANT</v>
      </c>
      <c r="D5734">
        <f>12</f>
        <v>12</v>
      </c>
      <c r="E5734" t="str">
        <f>"02 - S1 - A - 102 - Richard E Dunbar Iii"</f>
        <v>02 - S1 - A - 102 - Richard E Dunbar Iii</v>
      </c>
      <c r="F5734" t="str">
        <f>"WEIGHT TRAIN 3"</f>
        <v>WEIGHT TRAIN 3</v>
      </c>
      <c r="G5734" t="str">
        <f>"05-501"</f>
        <v>05-501</v>
      </c>
      <c r="H5734" t="str">
        <f>"A"</f>
        <v>A</v>
      </c>
    </row>
    <row r="5735" spans="1:8" x14ac:dyDescent="0.2">
      <c r="A5735" t="str">
        <f t="shared" si="2106"/>
        <v>0611111191</v>
      </c>
      <c r="B5735" t="str">
        <f t="shared" si="2107"/>
        <v>EBERSON</v>
      </c>
      <c r="C5735" t="str">
        <f t="shared" si="2108"/>
        <v>FORESTANT</v>
      </c>
      <c r="D5735">
        <f>12</f>
        <v>12</v>
      </c>
      <c r="E5735" t="str">
        <f>"07 - B - 104 - Robyn L Trainer"</f>
        <v>07 - B - 104 - Robyn L Trainer</v>
      </c>
      <c r="F5735" t="str">
        <f>"ENG 4"</f>
        <v>ENG 4</v>
      </c>
      <c r="G5735" t="str">
        <f>"17-1734"</f>
        <v>17-1734</v>
      </c>
      <c r="H5735" t="str">
        <f>"B"</f>
        <v>B</v>
      </c>
    </row>
    <row r="5736" spans="1:8" x14ac:dyDescent="0.2">
      <c r="A5736" t="str">
        <f t="shared" si="2106"/>
        <v>0611111191</v>
      </c>
      <c r="B5736" t="str">
        <f t="shared" si="2107"/>
        <v>EBERSON</v>
      </c>
      <c r="C5736" t="str">
        <f t="shared" si="2108"/>
        <v>FORESTANT</v>
      </c>
      <c r="D5736">
        <f>12</f>
        <v>12</v>
      </c>
      <c r="E5736" t="str">
        <f>"05 - S1 - B - 103 - Leslie J Barton"</f>
        <v>05 - S1 - B - 103 - Leslie J Barton</v>
      </c>
      <c r="F5736" t="str">
        <f>"FIRST AID SAFETY"</f>
        <v>FIRST AID SAFETY</v>
      </c>
      <c r="G5736" t="str">
        <f>"05-521"</f>
        <v>05-521</v>
      </c>
      <c r="H5736" t="str">
        <f>"B"</f>
        <v>B</v>
      </c>
    </row>
    <row r="5737" spans="1:8" x14ac:dyDescent="0.2">
      <c r="A5737" t="str">
        <f t="shared" si="2106"/>
        <v>0611111191</v>
      </c>
      <c r="B5737" t="str">
        <f t="shared" si="2107"/>
        <v>EBERSON</v>
      </c>
      <c r="C5737" t="str">
        <f t="shared" si="2108"/>
        <v>FORESTANT</v>
      </c>
      <c r="D5737">
        <f>12</f>
        <v>12</v>
      </c>
      <c r="E5737" t="str">
        <f>"01 - A - 108 - Rosa Elaine  Collado-Duff"</f>
        <v>01 - A - 108 - Rosa Elaine  Collado-Duff</v>
      </c>
      <c r="F5737" t="str">
        <f>"PRE-AICE SPAN 2 IG"</f>
        <v>PRE-AICE SPAN 2 IG</v>
      </c>
      <c r="G5737" t="str">
        <f>"09-913"</f>
        <v>09-913</v>
      </c>
      <c r="H5737" t="str">
        <f>"A"</f>
        <v>A</v>
      </c>
    </row>
    <row r="5738" spans="1:8" x14ac:dyDescent="0.2">
      <c r="A5738" t="str">
        <f t="shared" si="2106"/>
        <v>0611111191</v>
      </c>
      <c r="B5738" t="str">
        <f t="shared" si="2107"/>
        <v>EBERSON</v>
      </c>
      <c r="C5738" t="str">
        <f t="shared" si="2108"/>
        <v>FORESTANT</v>
      </c>
      <c r="D5738">
        <f>12</f>
        <v>12</v>
      </c>
      <c r="E5738" t="str">
        <f>"08 - S1 - B - 104 - Angela S Adeshina-Morrison"</f>
        <v>08 - S1 - B - 104 - Angela S Adeshina-Morrison</v>
      </c>
      <c r="F5738" t="str">
        <f>"PEER COUN 1"</f>
        <v>PEER COUN 1</v>
      </c>
      <c r="G5738" t="str">
        <f>"05-518"</f>
        <v>05-518</v>
      </c>
      <c r="H5738" t="str">
        <f>"B"</f>
        <v>B</v>
      </c>
    </row>
    <row r="5739" spans="1:8" x14ac:dyDescent="0.2">
      <c r="A5739" t="str">
        <f t="shared" ref="A5739:A5746" si="2109">"0617050106"</f>
        <v>0617050106</v>
      </c>
      <c r="B5739" t="str">
        <f t="shared" ref="B5739:B5746" si="2110">"ERIKA"</f>
        <v>ERIKA</v>
      </c>
      <c r="C5739" t="str">
        <f t="shared" si="2108"/>
        <v>FORESTANT</v>
      </c>
      <c r="D5739" t="str">
        <f t="shared" ref="D5739:D5746" si="2111">"09"</f>
        <v>09</v>
      </c>
      <c r="E5739" t="str">
        <f>"04 - S1 - A - 101 - Leslie J Barton"</f>
        <v>04 - S1 - A - 101 - Leslie J Barton</v>
      </c>
      <c r="F5739" t="str">
        <f>"TEAM SPORTS 1"</f>
        <v>TEAM SPORTS 1</v>
      </c>
      <c r="G5739" t="str">
        <f>"04-254"</f>
        <v>04-254</v>
      </c>
      <c r="H5739" t="str">
        <f>"A"</f>
        <v>A</v>
      </c>
    </row>
    <row r="5740" spans="1:8" x14ac:dyDescent="0.2">
      <c r="A5740" t="str">
        <f t="shared" si="2109"/>
        <v>0617050106</v>
      </c>
      <c r="B5740" t="str">
        <f t="shared" si="2110"/>
        <v>ERIKA</v>
      </c>
      <c r="C5740" t="str">
        <f t="shared" si="2108"/>
        <v>FORESTANT</v>
      </c>
      <c r="D5740" t="str">
        <f t="shared" si="2111"/>
        <v>09</v>
      </c>
      <c r="E5740" t="str">
        <f>"06 - B - 202 - Alejandro  Navarro"</f>
        <v>06 - B - 202 - Alejandro  Navarro</v>
      </c>
      <c r="F5740" t="str">
        <f>"BAND 1"</f>
        <v>BAND 1</v>
      </c>
      <c r="G5740" t="str">
        <f>"05-504"</f>
        <v>05-504</v>
      </c>
      <c r="H5740" t="str">
        <f>"B"</f>
        <v>B</v>
      </c>
    </row>
    <row r="5741" spans="1:8" x14ac:dyDescent="0.2">
      <c r="A5741" t="str">
        <f t="shared" si="2109"/>
        <v>0617050106</v>
      </c>
      <c r="B5741" t="str">
        <f t="shared" si="2110"/>
        <v>ERIKA</v>
      </c>
      <c r="C5741" t="str">
        <f t="shared" si="2108"/>
        <v>FORESTANT</v>
      </c>
      <c r="D5741" t="str">
        <f t="shared" si="2111"/>
        <v>09</v>
      </c>
      <c r="E5741" t="str">
        <f>"03 - A - 201 - Chrystina M Marchionne"</f>
        <v>03 - A - 201 - Chrystina M Marchionne</v>
      </c>
      <c r="F5741" t="str">
        <f>"JOURN 1 (YB) LH"</f>
        <v>JOURN 1 (YB) LH</v>
      </c>
      <c r="G5741" t="str">
        <f>"05-520"</f>
        <v>05-520</v>
      </c>
      <c r="H5741" t="str">
        <f>"A"</f>
        <v>A</v>
      </c>
    </row>
    <row r="5742" spans="1:8" x14ac:dyDescent="0.2">
      <c r="A5742" t="str">
        <f t="shared" si="2109"/>
        <v>0617050106</v>
      </c>
      <c r="B5742" t="str">
        <f t="shared" si="2110"/>
        <v>ERIKA</v>
      </c>
      <c r="C5742" t="str">
        <f t="shared" si="2108"/>
        <v>FORESTANT</v>
      </c>
      <c r="D5742" t="str">
        <f t="shared" si="2111"/>
        <v>09</v>
      </c>
      <c r="E5742" t="str">
        <f>"02 - A - 106 - Helen A Flores"</f>
        <v>02 - A - 106 - Helen A Flores</v>
      </c>
      <c r="F5742" t="str">
        <f>"NC STUDY HALL 1"</f>
        <v>NC STUDY HALL 1</v>
      </c>
      <c r="G5742" t="str">
        <f>"21-2101"</f>
        <v>21-2101</v>
      </c>
      <c r="H5742" t="str">
        <f>"A"</f>
        <v>A</v>
      </c>
    </row>
    <row r="5743" spans="1:8" x14ac:dyDescent="0.2">
      <c r="A5743" t="str">
        <f t="shared" si="2109"/>
        <v>0617050106</v>
      </c>
      <c r="B5743" t="str">
        <f t="shared" si="2110"/>
        <v>ERIKA</v>
      </c>
      <c r="C5743" t="str">
        <f t="shared" si="2108"/>
        <v>FORESTANT</v>
      </c>
      <c r="D5743" t="str">
        <f t="shared" si="2111"/>
        <v>09</v>
      </c>
      <c r="E5743" t="str">
        <f>"07 - B - 107 - Cerine S Stewart"</f>
        <v>07 - B - 107 - Cerine S Stewart</v>
      </c>
      <c r="F5743" t="str">
        <f>"ENG 1"</f>
        <v>ENG 1</v>
      </c>
      <c r="G5743" t="str">
        <f>"17-1720"</f>
        <v>17-1720</v>
      </c>
      <c r="H5743" t="str">
        <f>"B"</f>
        <v>B</v>
      </c>
    </row>
    <row r="5744" spans="1:8" x14ac:dyDescent="0.2">
      <c r="A5744" t="str">
        <f t="shared" si="2109"/>
        <v>0617050106</v>
      </c>
      <c r="B5744" t="str">
        <f t="shared" si="2110"/>
        <v>ERIKA</v>
      </c>
      <c r="C5744" t="str">
        <f t="shared" si="2108"/>
        <v>FORESTANT</v>
      </c>
      <c r="D5744" t="str">
        <f t="shared" si="2111"/>
        <v>09</v>
      </c>
      <c r="E5744" t="str">
        <f>"05 - B - 202 - Amy Beth  Broyles"</f>
        <v>05 - B - 202 - Amy Beth  Broyles</v>
      </c>
      <c r="F5744" t="str">
        <f>"ENV SCI"</f>
        <v>ENV SCI</v>
      </c>
      <c r="G5744" t="str">
        <f>"08-802"</f>
        <v>08-802</v>
      </c>
      <c r="H5744" t="str">
        <f>"B"</f>
        <v>B</v>
      </c>
    </row>
    <row r="5745" spans="1:8" x14ac:dyDescent="0.2">
      <c r="A5745" t="str">
        <f t="shared" si="2109"/>
        <v>0617050106</v>
      </c>
      <c r="B5745" t="str">
        <f t="shared" si="2110"/>
        <v>ERIKA</v>
      </c>
      <c r="C5745" t="str">
        <f t="shared" si="2108"/>
        <v>FORESTANT</v>
      </c>
      <c r="D5745" t="str">
        <f t="shared" si="2111"/>
        <v>09</v>
      </c>
      <c r="E5745" t="str">
        <f>"01 - A - 102 - Brook E Goren"</f>
        <v>01 - A - 102 - Brook E Goren</v>
      </c>
      <c r="F5745" t="str">
        <f>"PRE-AICE MATH 2 IG"</f>
        <v>PRE-AICE MATH 2 IG</v>
      </c>
      <c r="G5745" t="str">
        <f>"21-2158"</f>
        <v>21-2158</v>
      </c>
      <c r="H5745" t="str">
        <f>"A"</f>
        <v>A</v>
      </c>
    </row>
    <row r="5746" spans="1:8" x14ac:dyDescent="0.2">
      <c r="A5746" t="str">
        <f t="shared" si="2109"/>
        <v>0617050106</v>
      </c>
      <c r="B5746" t="str">
        <f t="shared" si="2110"/>
        <v>ERIKA</v>
      </c>
      <c r="C5746" t="str">
        <f t="shared" si="2108"/>
        <v>FORESTANT</v>
      </c>
      <c r="D5746" t="str">
        <f t="shared" si="2111"/>
        <v>09</v>
      </c>
      <c r="E5746" t="str">
        <f>"08 - B - 101 - Elizabeth Ellen  Moran"</f>
        <v>08 - B - 101 - Elizabeth Ellen  Moran</v>
      </c>
      <c r="F5746" t="str">
        <f>"WORLD HISTORY"</f>
        <v>WORLD HISTORY</v>
      </c>
      <c r="G5746" t="str">
        <f>"17-1752"</f>
        <v>17-1752</v>
      </c>
      <c r="H5746" t="str">
        <f>"B"</f>
        <v>B</v>
      </c>
    </row>
    <row r="5747" spans="1:8" x14ac:dyDescent="0.2">
      <c r="A5747" t="str">
        <f t="shared" ref="A5747:A5755" si="2112">"0612103187"</f>
        <v>0612103187</v>
      </c>
      <c r="B5747" t="str">
        <f t="shared" ref="B5747:B5755" si="2113">"EVA"</f>
        <v>EVA</v>
      </c>
      <c r="C5747" t="str">
        <f t="shared" ref="C5747:C5755" si="2114">"FORGES"</f>
        <v>FORGES</v>
      </c>
      <c r="D5747">
        <f>12</f>
        <v>12</v>
      </c>
      <c r="E5747" t="str">
        <f>"04 - A - 101 - Brian M Fitzgerald"</f>
        <v>04 - A - 101 - Brian M Fitzgerald</v>
      </c>
      <c r="F5747" t="str">
        <f>"DRAW 2"</f>
        <v>DRAW 2</v>
      </c>
      <c r="G5747" t="str">
        <f>"09-908"</f>
        <v>09-908</v>
      </c>
      <c r="H5747" t="str">
        <f>"A"</f>
        <v>A</v>
      </c>
    </row>
    <row r="5748" spans="1:8" x14ac:dyDescent="0.2">
      <c r="A5748" t="str">
        <f t="shared" si="2112"/>
        <v>0612103187</v>
      </c>
      <c r="B5748" t="str">
        <f t="shared" si="2113"/>
        <v>EVA</v>
      </c>
      <c r="C5748" t="str">
        <f t="shared" si="2114"/>
        <v>FORGES</v>
      </c>
      <c r="D5748">
        <f>12</f>
        <v>12</v>
      </c>
      <c r="E5748" t="str">
        <f>"06 - B - 105 - Robyn L Trainer"</f>
        <v>06 - B - 105 - Robyn L Trainer</v>
      </c>
      <c r="F5748" t="str">
        <f>"NC STUDY HALL 1"</f>
        <v>NC STUDY HALL 1</v>
      </c>
      <c r="G5748" t="str">
        <f>"17-1734"</f>
        <v>17-1734</v>
      </c>
      <c r="H5748" t="str">
        <f>"B"</f>
        <v>B</v>
      </c>
    </row>
    <row r="5749" spans="1:8" x14ac:dyDescent="0.2">
      <c r="A5749" t="str">
        <f t="shared" si="2112"/>
        <v>0612103187</v>
      </c>
      <c r="B5749" t="str">
        <f t="shared" si="2113"/>
        <v>EVA</v>
      </c>
      <c r="C5749" t="str">
        <f t="shared" si="2114"/>
        <v>FORGES</v>
      </c>
      <c r="D5749">
        <f>12</f>
        <v>12</v>
      </c>
      <c r="E5749" t="str">
        <f>"06 - B - 116 - Karen A Toomer"</f>
        <v>06 - B - 116 - Karen A Toomer</v>
      </c>
      <c r="F5749" t="str">
        <f>"LANG THERAPY"</f>
        <v>LANG THERAPY</v>
      </c>
      <c r="G5749" t="str">
        <f>"21-2110"</f>
        <v>21-2110</v>
      </c>
      <c r="H5749" t="str">
        <f>"B"</f>
        <v>B</v>
      </c>
    </row>
    <row r="5750" spans="1:8" x14ac:dyDescent="0.2">
      <c r="A5750" t="str">
        <f t="shared" si="2112"/>
        <v>0612103187</v>
      </c>
      <c r="B5750" t="str">
        <f t="shared" si="2113"/>
        <v>EVA</v>
      </c>
      <c r="C5750" t="str">
        <f t="shared" si="2114"/>
        <v>FORGES</v>
      </c>
      <c r="D5750">
        <f>12</f>
        <v>12</v>
      </c>
      <c r="E5750" t="str">
        <f>"03 - S1 - A - 102 - Leslie J Barton"</f>
        <v>03 - S1 - A - 102 - Leslie J Barton</v>
      </c>
      <c r="F5750" t="str">
        <f>"FIRST AID SAFETY"</f>
        <v>FIRST AID SAFETY</v>
      </c>
      <c r="G5750" t="str">
        <f>"05-521"</f>
        <v>05-521</v>
      </c>
      <c r="H5750" t="str">
        <f>"A"</f>
        <v>A</v>
      </c>
    </row>
    <row r="5751" spans="1:8" x14ac:dyDescent="0.2">
      <c r="A5751" t="str">
        <f t="shared" si="2112"/>
        <v>0612103187</v>
      </c>
      <c r="B5751" t="str">
        <f t="shared" si="2113"/>
        <v>EVA</v>
      </c>
      <c r="C5751" t="str">
        <f t="shared" si="2114"/>
        <v>FORGES</v>
      </c>
      <c r="D5751">
        <f>12</f>
        <v>12</v>
      </c>
      <c r="E5751" t="str">
        <f>"02 - S1 - A - 104 - Robert O Burger"</f>
        <v>02 - S1 - A - 104 - Robert O Burger</v>
      </c>
      <c r="F5751" t="str">
        <f>"US GOVT"</f>
        <v>US GOVT</v>
      </c>
      <c r="G5751" t="str">
        <f>"17-1755"</f>
        <v>17-1755</v>
      </c>
      <c r="H5751" t="str">
        <f>"A"</f>
        <v>A</v>
      </c>
    </row>
    <row r="5752" spans="1:8" x14ac:dyDescent="0.2">
      <c r="A5752" t="str">
        <f t="shared" si="2112"/>
        <v>0612103187</v>
      </c>
      <c r="B5752" t="str">
        <f t="shared" si="2113"/>
        <v>EVA</v>
      </c>
      <c r="C5752" t="str">
        <f t="shared" si="2114"/>
        <v>FORGES</v>
      </c>
      <c r="D5752">
        <f>12</f>
        <v>12</v>
      </c>
      <c r="E5752" t="str">
        <f>"07 - B - 104 - Marielle A Witting"</f>
        <v>07 - B - 104 - Marielle A Witting</v>
      </c>
      <c r="F5752" t="str">
        <f>"ANAT PHYSIO"</f>
        <v>ANAT PHYSIO</v>
      </c>
      <c r="G5752" t="str">
        <f>"08-805"</f>
        <v>08-805</v>
      </c>
      <c r="H5752" t="str">
        <f>"B"</f>
        <v>B</v>
      </c>
    </row>
    <row r="5753" spans="1:8" x14ac:dyDescent="0.2">
      <c r="A5753" t="str">
        <f t="shared" si="2112"/>
        <v>0612103187</v>
      </c>
      <c r="B5753" t="str">
        <f t="shared" si="2113"/>
        <v>EVA</v>
      </c>
      <c r="C5753" t="str">
        <f t="shared" si="2114"/>
        <v>FORGES</v>
      </c>
      <c r="D5753">
        <f>12</f>
        <v>12</v>
      </c>
      <c r="E5753" t="str">
        <f>"05 - B - 102 - Robyn L Trainer"</f>
        <v>05 - B - 102 - Robyn L Trainer</v>
      </c>
      <c r="F5753" t="str">
        <f>"ENG 4"</f>
        <v>ENG 4</v>
      </c>
      <c r="G5753" t="str">
        <f>"17-1734"</f>
        <v>17-1734</v>
      </c>
      <c r="H5753" t="str">
        <f>"B"</f>
        <v>B</v>
      </c>
    </row>
    <row r="5754" spans="1:8" x14ac:dyDescent="0.2">
      <c r="A5754" t="str">
        <f t="shared" si="2112"/>
        <v>0612103187</v>
      </c>
      <c r="B5754" t="str">
        <f t="shared" si="2113"/>
        <v>EVA</v>
      </c>
      <c r="C5754" t="str">
        <f t="shared" si="2114"/>
        <v>FORGES</v>
      </c>
      <c r="D5754">
        <f>12</f>
        <v>12</v>
      </c>
      <c r="E5754" t="str">
        <f>"01 - A - 102 - Robert H Rindner"</f>
        <v>01 - A - 102 - Robert H Rindner</v>
      </c>
      <c r="F5754" t="str">
        <f>"MATH DATA&amp;FIN LIT H"</f>
        <v>MATH DATA&amp;FIN LIT H</v>
      </c>
      <c r="G5754" t="str">
        <f>"21-2160"</f>
        <v>21-2160</v>
      </c>
      <c r="H5754" t="str">
        <f>"A"</f>
        <v>A</v>
      </c>
    </row>
    <row r="5755" spans="1:8" x14ac:dyDescent="0.2">
      <c r="A5755" t="str">
        <f t="shared" si="2112"/>
        <v>0612103187</v>
      </c>
      <c r="B5755" t="str">
        <f t="shared" si="2113"/>
        <v>EVA</v>
      </c>
      <c r="C5755" t="str">
        <f t="shared" si="2114"/>
        <v>FORGES</v>
      </c>
      <c r="D5755">
        <f>12</f>
        <v>12</v>
      </c>
      <c r="E5755" t="str">
        <f>"08 - B - 102 - Carleigh R Carmichael"</f>
        <v>08 - B - 102 - Carleigh R Carmichael</v>
      </c>
      <c r="F5755" t="str">
        <f>"LRNG STRATEGIES 9-12"</f>
        <v>LRNG STRATEGIES 9-12</v>
      </c>
      <c r="G5755" t="str">
        <f>"20-2072"</f>
        <v>20-2072</v>
      </c>
      <c r="H5755" t="str">
        <f>"B"</f>
        <v>B</v>
      </c>
    </row>
    <row r="5756" spans="1:8" x14ac:dyDescent="0.2">
      <c r="A5756" t="str">
        <f t="shared" ref="A5756:A5763" si="2115">"0614138036"</f>
        <v>0614138036</v>
      </c>
      <c r="B5756" t="str">
        <f t="shared" ref="B5756:B5763" si="2116">"NATHAN"</f>
        <v>NATHAN</v>
      </c>
      <c r="C5756" t="str">
        <f t="shared" ref="C5756:C5763" si="2117">"FORGUE"</f>
        <v>FORGUE</v>
      </c>
      <c r="D5756">
        <f>11</f>
        <v>11</v>
      </c>
      <c r="E5756" t="str">
        <f>"04 - A - 102 - Fernando  Vega-Cid"</f>
        <v>04 - A - 102 - Fernando  Vega-Cid</v>
      </c>
      <c r="F5756" t="str">
        <f>"PRE-CALCULUS HON"</f>
        <v>PRE-CALCULUS HON</v>
      </c>
      <c r="G5756" t="str">
        <f>"21-2163"</f>
        <v>21-2163</v>
      </c>
      <c r="H5756" t="str">
        <f>"A"</f>
        <v>A</v>
      </c>
    </row>
    <row r="5757" spans="1:8" x14ac:dyDescent="0.2">
      <c r="A5757" t="str">
        <f t="shared" si="2115"/>
        <v>0614138036</v>
      </c>
      <c r="B5757" t="str">
        <f t="shared" si="2116"/>
        <v>NATHAN</v>
      </c>
      <c r="C5757" t="str">
        <f t="shared" si="2117"/>
        <v>FORGUE</v>
      </c>
      <c r="D5757">
        <f>11</f>
        <v>11</v>
      </c>
      <c r="E5757" t="str">
        <f>"06 - B - 106 - Adam Marcus  Drucker"</f>
        <v>06 - B - 106 - Adam Marcus  Drucker</v>
      </c>
      <c r="F5757" t="str">
        <f>"HOPE-PE V"</f>
        <v>HOPE-PE V</v>
      </c>
      <c r="G5757" t="str">
        <f>"04-254"</f>
        <v>04-254</v>
      </c>
      <c r="H5757" t="str">
        <f>"B"</f>
        <v>B</v>
      </c>
    </row>
    <row r="5758" spans="1:8" x14ac:dyDescent="0.2">
      <c r="A5758" t="str">
        <f t="shared" si="2115"/>
        <v>0614138036</v>
      </c>
      <c r="B5758" t="str">
        <f t="shared" si="2116"/>
        <v>NATHAN</v>
      </c>
      <c r="C5758" t="str">
        <f t="shared" si="2117"/>
        <v>FORGUE</v>
      </c>
      <c r="D5758">
        <f>11</f>
        <v>11</v>
      </c>
      <c r="E5758" t="str">
        <f>"03 - A - 104 - Kyle  Robbins"</f>
        <v>03 - A - 104 - Kyle  Robbins</v>
      </c>
      <c r="F5758" t="str">
        <f>"US HISTORY"</f>
        <v>US HISTORY</v>
      </c>
      <c r="G5758" t="str">
        <f>"17-1745"</f>
        <v>17-1745</v>
      </c>
      <c r="H5758" t="str">
        <f>"A"</f>
        <v>A</v>
      </c>
    </row>
    <row r="5759" spans="1:8" x14ac:dyDescent="0.2">
      <c r="A5759" t="str">
        <f t="shared" si="2115"/>
        <v>0614138036</v>
      </c>
      <c r="B5759" t="str">
        <f t="shared" si="2116"/>
        <v>NATHAN</v>
      </c>
      <c r="C5759" t="str">
        <f t="shared" si="2117"/>
        <v>FORGUE</v>
      </c>
      <c r="D5759">
        <f>11</f>
        <v>11</v>
      </c>
      <c r="E5759" t="str">
        <f>"02 - A - 001 - Courtney E Hambright"</f>
        <v>02 - A - 001 - Courtney E Hambright</v>
      </c>
      <c r="F5759" t="str">
        <f>"NC STUDY HALL 1"</f>
        <v>NC STUDY HALL 1</v>
      </c>
      <c r="G5759" t="str">
        <f>"17-1711"</f>
        <v>17-1711</v>
      </c>
      <c r="H5759" t="str">
        <f>"A"</f>
        <v>A</v>
      </c>
    </row>
    <row r="5760" spans="1:8" x14ac:dyDescent="0.2">
      <c r="A5760" t="str">
        <f t="shared" si="2115"/>
        <v>0614138036</v>
      </c>
      <c r="B5760" t="str">
        <f t="shared" si="2116"/>
        <v>NATHAN</v>
      </c>
      <c r="C5760" t="str">
        <f t="shared" si="2117"/>
        <v>FORGUE</v>
      </c>
      <c r="D5760">
        <f>11</f>
        <v>11</v>
      </c>
      <c r="E5760" t="str">
        <f>"07 - B - 204 - Scott A Dethloff"</f>
        <v>07 - B - 204 - Scott A Dethloff</v>
      </c>
      <c r="F5760" t="str">
        <f>"CHEMISTRY 1"</f>
        <v>CHEMISTRY 1</v>
      </c>
      <c r="G5760" t="str">
        <f>"08-812"</f>
        <v>08-812</v>
      </c>
      <c r="H5760" t="str">
        <f>"B"</f>
        <v>B</v>
      </c>
    </row>
    <row r="5761" spans="1:8" x14ac:dyDescent="0.2">
      <c r="A5761" t="str">
        <f t="shared" si="2115"/>
        <v>0614138036</v>
      </c>
      <c r="B5761" t="str">
        <f t="shared" si="2116"/>
        <v>NATHAN</v>
      </c>
      <c r="C5761" t="str">
        <f t="shared" si="2117"/>
        <v>FORGUE</v>
      </c>
      <c r="D5761">
        <f>11</f>
        <v>11</v>
      </c>
      <c r="E5761" t="str">
        <f>"05 - B - 104 - Daniel S Tyson"</f>
        <v>05 - B - 104 - Daniel S Tyson</v>
      </c>
      <c r="F5761" t="str">
        <f>"JROTC NAVAL SCI 2"</f>
        <v>JROTC NAVAL SCI 2</v>
      </c>
      <c r="G5761" t="str">
        <f>"05-510"</f>
        <v>05-510</v>
      </c>
      <c r="H5761" t="str">
        <f>"B"</f>
        <v>B</v>
      </c>
    </row>
    <row r="5762" spans="1:8" x14ac:dyDescent="0.2">
      <c r="A5762" t="str">
        <f t="shared" si="2115"/>
        <v>0614138036</v>
      </c>
      <c r="B5762" t="str">
        <f t="shared" si="2116"/>
        <v>NATHAN</v>
      </c>
      <c r="C5762" t="str">
        <f t="shared" si="2117"/>
        <v>FORGUE</v>
      </c>
      <c r="D5762">
        <f>11</f>
        <v>11</v>
      </c>
      <c r="E5762" t="str">
        <f>"01 - A - 101 - Lisa  Quinn"</f>
        <v>01 - A - 101 - Lisa  Quinn</v>
      </c>
      <c r="F5762" t="str">
        <f>"ENG 3"</f>
        <v>ENG 3</v>
      </c>
      <c r="G5762" t="str">
        <f>"17-1725"</f>
        <v>17-1725</v>
      </c>
      <c r="H5762" t="str">
        <f>"A"</f>
        <v>A</v>
      </c>
    </row>
    <row r="5763" spans="1:8" x14ac:dyDescent="0.2">
      <c r="A5763" t="str">
        <f t="shared" si="2115"/>
        <v>0614138036</v>
      </c>
      <c r="B5763" t="str">
        <f t="shared" si="2116"/>
        <v>NATHAN</v>
      </c>
      <c r="C5763" t="str">
        <f t="shared" si="2117"/>
        <v>FORGUE</v>
      </c>
      <c r="D5763">
        <f>11</f>
        <v>11</v>
      </c>
      <c r="E5763" t="str">
        <f>"08 - B - 101 - Robert H Rindner"</f>
        <v>08 - B - 101 - Robert H Rindner</v>
      </c>
      <c r="F5763" t="str">
        <f>"TV PRODUCTION TECH 2"</f>
        <v>TV PRODUCTION TECH 2</v>
      </c>
      <c r="G5763" t="str">
        <f>"21-2160"</f>
        <v>21-2160</v>
      </c>
      <c r="H5763" t="str">
        <f>"B"</f>
        <v>B</v>
      </c>
    </row>
    <row r="5764" spans="1:8" x14ac:dyDescent="0.2">
      <c r="A5764" t="str">
        <f t="shared" ref="A5764:A5771" si="2118">"0616003726"</f>
        <v>0616003726</v>
      </c>
      <c r="B5764" t="str">
        <f t="shared" ref="B5764:B5771" si="2119">"JUSTIN"</f>
        <v>JUSTIN</v>
      </c>
      <c r="C5764" t="str">
        <f t="shared" ref="C5764:C5771" si="2120">"FORIS"</f>
        <v>FORIS</v>
      </c>
      <c r="D5764">
        <f>10</f>
        <v>10</v>
      </c>
      <c r="E5764" t="str">
        <f>"04 - A - 005 - Emmily A Sarmiento"</f>
        <v>04 - A - 005 - Emmily A Sarmiento</v>
      </c>
      <c r="F5764" t="str">
        <f>"AICE GLBL PERSP 1 AS"</f>
        <v>AICE GLBL PERSP 1 AS</v>
      </c>
      <c r="G5764" t="str">
        <f>"17-1743"</f>
        <v>17-1743</v>
      </c>
      <c r="H5764" t="str">
        <f>"A"</f>
        <v>A</v>
      </c>
    </row>
    <row r="5765" spans="1:8" x14ac:dyDescent="0.2">
      <c r="A5765" t="str">
        <f t="shared" si="2118"/>
        <v>0616003726</v>
      </c>
      <c r="B5765" t="str">
        <f t="shared" si="2119"/>
        <v>JUSTIN</v>
      </c>
      <c r="C5765" t="str">
        <f t="shared" si="2120"/>
        <v>FORIS</v>
      </c>
      <c r="D5765">
        <f>10</f>
        <v>10</v>
      </c>
      <c r="E5765" t="str">
        <f>"06 - B - 105 - Jeffrey S Gallagher"</f>
        <v>06 - B - 105 - Jeffrey S Gallagher</v>
      </c>
      <c r="F5765" t="str">
        <f>"NC STUDY HALL 1"</f>
        <v>NC STUDY HALL 1</v>
      </c>
      <c r="G5765" t="str">
        <f>"17-1724"</f>
        <v>17-1724</v>
      </c>
      <c r="H5765" t="str">
        <f>"B"</f>
        <v>B</v>
      </c>
    </row>
    <row r="5766" spans="1:8" x14ac:dyDescent="0.2">
      <c r="A5766" t="str">
        <f t="shared" si="2118"/>
        <v>0616003726</v>
      </c>
      <c r="B5766" t="str">
        <f t="shared" si="2119"/>
        <v>JUSTIN</v>
      </c>
      <c r="C5766" t="str">
        <f t="shared" si="2120"/>
        <v>FORIS</v>
      </c>
      <c r="D5766">
        <f>10</f>
        <v>10</v>
      </c>
      <c r="E5766" t="str">
        <f>"03 - A - 101 - Rosa Elaine  Collado-Duff"</f>
        <v>03 - A - 101 - Rosa Elaine  Collado-Duff</v>
      </c>
      <c r="F5766" t="str">
        <f>"SPANISH 3 HON"</f>
        <v>SPANISH 3 HON</v>
      </c>
      <c r="G5766" t="str">
        <f>"09-913"</f>
        <v>09-913</v>
      </c>
      <c r="H5766" t="str">
        <f>"A"</f>
        <v>A</v>
      </c>
    </row>
    <row r="5767" spans="1:8" x14ac:dyDescent="0.2">
      <c r="A5767" t="str">
        <f t="shared" si="2118"/>
        <v>0616003726</v>
      </c>
      <c r="B5767" t="str">
        <f t="shared" si="2119"/>
        <v>JUSTIN</v>
      </c>
      <c r="C5767" t="str">
        <f t="shared" si="2120"/>
        <v>FORIS</v>
      </c>
      <c r="D5767">
        <f>10</f>
        <v>10</v>
      </c>
      <c r="E5767" t="str">
        <f>"02 - A - 102 - Jacklyn M James"</f>
        <v>02 - A - 102 - Jacklyn M James</v>
      </c>
      <c r="F5767" t="str">
        <f>"AICE ENG LANG AS"</f>
        <v>AICE ENG LANG AS</v>
      </c>
      <c r="G5767" t="str">
        <f>"17-1731"</f>
        <v>17-1731</v>
      </c>
      <c r="H5767" t="str">
        <f>"A"</f>
        <v>A</v>
      </c>
    </row>
    <row r="5768" spans="1:8" x14ac:dyDescent="0.2">
      <c r="A5768" t="str">
        <f t="shared" si="2118"/>
        <v>0616003726</v>
      </c>
      <c r="B5768" t="str">
        <f t="shared" si="2119"/>
        <v>JUSTIN</v>
      </c>
      <c r="C5768" t="str">
        <f t="shared" si="2120"/>
        <v>FORIS</v>
      </c>
      <c r="D5768">
        <f>10</f>
        <v>10</v>
      </c>
      <c r="E5768" t="str">
        <f>"07 - S1 - B - 107 - Richard E Dunbar Iii"</f>
        <v>07 - S1 - B - 107 - Richard E Dunbar Iii</v>
      </c>
      <c r="F5768" t="str">
        <f>"WEIGHT TRAIN 1"</f>
        <v>WEIGHT TRAIN 1</v>
      </c>
      <c r="G5768" t="str">
        <f>"05-501"</f>
        <v>05-501</v>
      </c>
      <c r="H5768" t="str">
        <f>"B"</f>
        <v>B</v>
      </c>
    </row>
    <row r="5769" spans="1:8" x14ac:dyDescent="0.2">
      <c r="A5769" t="str">
        <f t="shared" si="2118"/>
        <v>0616003726</v>
      </c>
      <c r="B5769" t="str">
        <f t="shared" si="2119"/>
        <v>JUSTIN</v>
      </c>
      <c r="C5769" t="str">
        <f t="shared" si="2120"/>
        <v>FORIS</v>
      </c>
      <c r="D5769">
        <f>10</f>
        <v>10</v>
      </c>
      <c r="E5769" t="str">
        <f>"05 - B - 204 - Cheryl L Beach"</f>
        <v>05 - B - 204 - Cheryl L Beach</v>
      </c>
      <c r="F5769" t="str">
        <f>"AICE ENV MGMNT AS"</f>
        <v>AICE ENV MGMNT AS</v>
      </c>
      <c r="G5769" t="str">
        <f>"08-811"</f>
        <v>08-811</v>
      </c>
      <c r="H5769" t="str">
        <f>"B"</f>
        <v>B</v>
      </c>
    </row>
    <row r="5770" spans="1:8" x14ac:dyDescent="0.2">
      <c r="A5770" t="str">
        <f t="shared" si="2118"/>
        <v>0616003726</v>
      </c>
      <c r="B5770" t="str">
        <f t="shared" si="2119"/>
        <v>JUSTIN</v>
      </c>
      <c r="C5770" t="str">
        <f t="shared" si="2120"/>
        <v>FORIS</v>
      </c>
      <c r="D5770">
        <f>10</f>
        <v>10</v>
      </c>
      <c r="E5770" t="str">
        <f>"01 - S1 - A - 101 - Lissa C Frederique"</f>
        <v>01 - S1 - A - 101 - Lissa C Frederique</v>
      </c>
      <c r="F5770" t="str">
        <f>"PERS FIN &amp; MON MGT H"</f>
        <v>PERS FIN &amp; MON MGT H</v>
      </c>
      <c r="G5770" t="str">
        <f>"17-1754"</f>
        <v>17-1754</v>
      </c>
      <c r="H5770" t="str">
        <f>"A"</f>
        <v>A</v>
      </c>
    </row>
    <row r="5771" spans="1:8" x14ac:dyDescent="0.2">
      <c r="A5771" t="str">
        <f t="shared" si="2118"/>
        <v>0616003726</v>
      </c>
      <c r="B5771" t="str">
        <f t="shared" si="2119"/>
        <v>JUSTIN</v>
      </c>
      <c r="C5771" t="str">
        <f t="shared" si="2120"/>
        <v>FORIS</v>
      </c>
      <c r="D5771">
        <f>10</f>
        <v>10</v>
      </c>
      <c r="E5771" t="str">
        <f>"08 - B - 107 - Dayna M Foster"</f>
        <v>08 - B - 107 - Dayna M Foster</v>
      </c>
      <c r="F5771" t="str">
        <f>"ALGEBRA 2"</f>
        <v>ALGEBRA 2</v>
      </c>
      <c r="G5771" t="str">
        <f>"21-2109"</f>
        <v>21-2109</v>
      </c>
      <c r="H5771" t="str">
        <f>"B"</f>
        <v>B</v>
      </c>
    </row>
    <row r="5772" spans="1:8" x14ac:dyDescent="0.2">
      <c r="A5772" t="str">
        <f t="shared" ref="A5772:A5779" si="2121">"0612092545"</f>
        <v>0612092545</v>
      </c>
      <c r="B5772" t="str">
        <f t="shared" ref="B5772:B5779" si="2122">"ELLA BLISS"</f>
        <v>ELLA BLISS</v>
      </c>
      <c r="C5772" t="str">
        <f t="shared" ref="C5772:C5779" si="2123">"FORMICA"</f>
        <v>FORMICA</v>
      </c>
      <c r="D5772">
        <f>12</f>
        <v>12</v>
      </c>
      <c r="E5772" t="str">
        <f>"04 - S1 - A - 106 - Kelly N Panza"</f>
        <v>04 - S1 - A - 106 - Kelly N Panza</v>
      </c>
      <c r="F5772" t="str">
        <f>"US GOVT HON"</f>
        <v>US GOVT HON</v>
      </c>
      <c r="G5772" t="str">
        <f>"17-1753"</f>
        <v>17-1753</v>
      </c>
      <c r="H5772" t="str">
        <f>"A"</f>
        <v>A</v>
      </c>
    </row>
    <row r="5773" spans="1:8" x14ac:dyDescent="0.2">
      <c r="A5773" t="str">
        <f t="shared" si="2121"/>
        <v>0612092545</v>
      </c>
      <c r="B5773" t="str">
        <f t="shared" si="2122"/>
        <v>ELLA BLISS</v>
      </c>
      <c r="C5773" t="str">
        <f t="shared" si="2123"/>
        <v>FORMICA</v>
      </c>
      <c r="D5773">
        <f>12</f>
        <v>12</v>
      </c>
      <c r="E5773" t="str">
        <f>"06 - B - 101 - Lenecy  Nodarse"</f>
        <v>06 - B - 101 - Lenecy  Nodarse</v>
      </c>
      <c r="F5773" t="str">
        <f>"NC STUDY HALL 1"</f>
        <v>NC STUDY HALL 1</v>
      </c>
      <c r="G5773" t="str">
        <f>"17-1741"</f>
        <v>17-1741</v>
      </c>
      <c r="H5773" t="str">
        <f>"B"</f>
        <v>B</v>
      </c>
    </row>
    <row r="5774" spans="1:8" x14ac:dyDescent="0.2">
      <c r="A5774" t="str">
        <f t="shared" si="2121"/>
        <v>0612092545</v>
      </c>
      <c r="B5774" t="str">
        <f t="shared" si="2122"/>
        <v>ELLA BLISS</v>
      </c>
      <c r="C5774" t="str">
        <f t="shared" si="2123"/>
        <v>FORMICA</v>
      </c>
      <c r="D5774">
        <f>12</f>
        <v>12</v>
      </c>
      <c r="E5774" t="str">
        <f>"03 - A - 102 - Cliffon  Saurel"</f>
        <v>03 - A - 102 - Cliffon  Saurel</v>
      </c>
      <c r="F5774" t="str">
        <f>"PHYSICAL SCI"</f>
        <v>PHYSICAL SCI</v>
      </c>
      <c r="G5774" t="str">
        <f>"05-522"</f>
        <v>05-522</v>
      </c>
      <c r="H5774" t="str">
        <f>"A"</f>
        <v>A</v>
      </c>
    </row>
    <row r="5775" spans="1:8" x14ac:dyDescent="0.2">
      <c r="A5775" t="str">
        <f t="shared" si="2121"/>
        <v>0612092545</v>
      </c>
      <c r="B5775" t="str">
        <f t="shared" si="2122"/>
        <v>ELLA BLISS</v>
      </c>
      <c r="C5775" t="str">
        <f t="shared" si="2123"/>
        <v>FORMICA</v>
      </c>
      <c r="D5775">
        <f>12</f>
        <v>12</v>
      </c>
      <c r="E5775" t="str">
        <f>"02 - A - 102 - Bruce A Evans"</f>
        <v>02 - A - 102 - Bruce A Evans</v>
      </c>
      <c r="F5775" t="str">
        <f>"EMERG MED RESP 3 HON"</f>
        <v>EMERG MED RESP 3 HON</v>
      </c>
      <c r="G5775" t="str">
        <f>"21-2142"</f>
        <v>21-2142</v>
      </c>
      <c r="H5775" t="str">
        <f>"A"</f>
        <v>A</v>
      </c>
    </row>
    <row r="5776" spans="1:8" x14ac:dyDescent="0.2">
      <c r="A5776" t="str">
        <f t="shared" si="2121"/>
        <v>0612092545</v>
      </c>
      <c r="B5776" t="str">
        <f t="shared" si="2122"/>
        <v>ELLA BLISS</v>
      </c>
      <c r="C5776" t="str">
        <f t="shared" si="2123"/>
        <v>FORMICA</v>
      </c>
      <c r="D5776">
        <f>12</f>
        <v>12</v>
      </c>
      <c r="E5776" t="str">
        <f>"07 - B - 102 - Thomas G Handwerg"</f>
        <v>07 - B - 102 - Thomas G Handwerg</v>
      </c>
      <c r="F5776" t="str">
        <f>"PROB STAT W/APPS HON"</f>
        <v>PROB STAT W/APPS HON</v>
      </c>
      <c r="G5776" t="str">
        <f>"21-2146"</f>
        <v>21-2146</v>
      </c>
      <c r="H5776" t="str">
        <f>"B"</f>
        <v>B</v>
      </c>
    </row>
    <row r="5777" spans="1:8" x14ac:dyDescent="0.2">
      <c r="A5777" t="str">
        <f t="shared" si="2121"/>
        <v>0612092545</v>
      </c>
      <c r="B5777" t="str">
        <f t="shared" si="2122"/>
        <v>ELLA BLISS</v>
      </c>
      <c r="C5777" t="str">
        <f t="shared" si="2123"/>
        <v>FORMICA</v>
      </c>
      <c r="D5777">
        <f>12</f>
        <v>12</v>
      </c>
      <c r="E5777" t="str">
        <f>"05 - B - 201 - Bruce A Evans"</f>
        <v>05 - B - 201 - Bruce A Evans</v>
      </c>
      <c r="F5777" t="str">
        <f>"HEALTH SCI FOUND HON"</f>
        <v>HEALTH SCI FOUND HON</v>
      </c>
      <c r="G5777" t="str">
        <f>"21-2142"</f>
        <v>21-2142</v>
      </c>
      <c r="H5777" t="str">
        <f>"B"</f>
        <v>B</v>
      </c>
    </row>
    <row r="5778" spans="1:8" x14ac:dyDescent="0.2">
      <c r="A5778" t="str">
        <f t="shared" si="2121"/>
        <v>0612092545</v>
      </c>
      <c r="B5778" t="str">
        <f t="shared" si="2122"/>
        <v>ELLA BLISS</v>
      </c>
      <c r="C5778" t="str">
        <f t="shared" si="2123"/>
        <v>FORMICA</v>
      </c>
      <c r="D5778">
        <f>12</f>
        <v>12</v>
      </c>
      <c r="E5778" t="str">
        <f>"01 - S1 - A - 101 - Bruce A Evans"</f>
        <v>01 - S1 - A - 101 - Bruce A Evans</v>
      </c>
      <c r="F5778" t="str">
        <f>"ELECTROCARD TECH 3HN"</f>
        <v>ELECTROCARD TECH 3HN</v>
      </c>
      <c r="G5778" t="str">
        <f>"21-2142"</f>
        <v>21-2142</v>
      </c>
      <c r="H5778" t="str">
        <f>"A"</f>
        <v>A</v>
      </c>
    </row>
    <row r="5779" spans="1:8" x14ac:dyDescent="0.2">
      <c r="A5779" t="str">
        <f t="shared" si="2121"/>
        <v>0612092545</v>
      </c>
      <c r="B5779" t="str">
        <f t="shared" si="2122"/>
        <v>ELLA BLISS</v>
      </c>
      <c r="C5779" t="str">
        <f t="shared" si="2123"/>
        <v>FORMICA</v>
      </c>
      <c r="D5779">
        <f>12</f>
        <v>12</v>
      </c>
      <c r="E5779" t="str">
        <f>"08 - B - 105 - Jeffrey S Gallagher"</f>
        <v>08 - B - 105 - Jeffrey S Gallagher</v>
      </c>
      <c r="F5779" t="str">
        <f>"ENG HON 4"</f>
        <v>ENG HON 4</v>
      </c>
      <c r="G5779" t="str">
        <f>"17-1724"</f>
        <v>17-1724</v>
      </c>
      <c r="H5779" t="str">
        <f>"B"</f>
        <v>B</v>
      </c>
    </row>
    <row r="5780" spans="1:8" x14ac:dyDescent="0.2">
      <c r="A5780" t="str">
        <f t="shared" ref="A5780:A5787" si="2124">"0616035969"</f>
        <v>0616035969</v>
      </c>
      <c r="B5780" t="str">
        <f t="shared" ref="B5780:B5787" si="2125">"ADAM"</f>
        <v>ADAM</v>
      </c>
      <c r="C5780" t="str">
        <f t="shared" ref="C5780:C5787" si="2126">"FORREST"</f>
        <v>FORREST</v>
      </c>
      <c r="D5780">
        <f>10</f>
        <v>10</v>
      </c>
      <c r="E5780" t="str">
        <f>"04 - A - 104 - Marius D Orsolini"</f>
        <v>04 - A - 104 - Marius D Orsolini</v>
      </c>
      <c r="F5780" t="str">
        <f>"CULINARY ARTS 1"</f>
        <v>CULINARY ARTS 1</v>
      </c>
      <c r="G5780" t="str">
        <f>"21-2115"</f>
        <v>21-2115</v>
      </c>
      <c r="H5780" t="str">
        <f>"A"</f>
        <v>A</v>
      </c>
    </row>
    <row r="5781" spans="1:8" x14ac:dyDescent="0.2">
      <c r="A5781" t="str">
        <f t="shared" si="2124"/>
        <v>0616035969</v>
      </c>
      <c r="B5781" t="str">
        <f t="shared" si="2125"/>
        <v>ADAM</v>
      </c>
      <c r="C5781" t="str">
        <f t="shared" si="2126"/>
        <v>FORREST</v>
      </c>
      <c r="D5781">
        <f>10</f>
        <v>10</v>
      </c>
      <c r="E5781" t="str">
        <f>"06 - B - 119 - Nikiel  Nesbeth"</f>
        <v>06 - B - 119 - Nikiel  Nesbeth</v>
      </c>
      <c r="F5781" t="str">
        <f>"NC STUDY HALL 1"</f>
        <v>NC STUDY HALL 1</v>
      </c>
      <c r="G5781" t="str">
        <f>"17-1705"</f>
        <v>17-1705</v>
      </c>
      <c r="H5781" t="str">
        <f>"B"</f>
        <v>B</v>
      </c>
    </row>
    <row r="5782" spans="1:8" x14ac:dyDescent="0.2">
      <c r="A5782" t="str">
        <f t="shared" si="2124"/>
        <v>0616035969</v>
      </c>
      <c r="B5782" t="str">
        <f t="shared" si="2125"/>
        <v>ADAM</v>
      </c>
      <c r="C5782" t="str">
        <f t="shared" si="2126"/>
        <v>FORREST</v>
      </c>
      <c r="D5782">
        <f>10</f>
        <v>10</v>
      </c>
      <c r="E5782" t="str">
        <f>"03 - A - 101 - Jacqueline R Morphet"</f>
        <v>03 - A - 101 - Jacqueline R Morphet</v>
      </c>
      <c r="F5782" t="str">
        <f>"AP PHYSICS 1"</f>
        <v>AP PHYSICS 1</v>
      </c>
      <c r="G5782" t="str">
        <f>"21-2138"</f>
        <v>21-2138</v>
      </c>
      <c r="H5782" t="str">
        <f>"A"</f>
        <v>A</v>
      </c>
    </row>
    <row r="5783" spans="1:8" x14ac:dyDescent="0.2">
      <c r="A5783" t="str">
        <f t="shared" si="2124"/>
        <v>0616035969</v>
      </c>
      <c r="B5783" t="str">
        <f t="shared" si="2125"/>
        <v>ADAM</v>
      </c>
      <c r="C5783" t="str">
        <f t="shared" si="2126"/>
        <v>FORREST</v>
      </c>
      <c r="D5783">
        <f>10</f>
        <v>10</v>
      </c>
      <c r="E5783" t="str">
        <f>"02 - A - 102 - Jacklyn M James"</f>
        <v>02 - A - 102 - Jacklyn M James</v>
      </c>
      <c r="F5783" t="str">
        <f>"AICE ENG LANG AS"</f>
        <v>AICE ENG LANG AS</v>
      </c>
      <c r="G5783" t="str">
        <f>"17-1731"</f>
        <v>17-1731</v>
      </c>
      <c r="H5783" t="str">
        <f>"A"</f>
        <v>A</v>
      </c>
    </row>
    <row r="5784" spans="1:8" x14ac:dyDescent="0.2">
      <c r="A5784" t="str">
        <f t="shared" si="2124"/>
        <v>0616035969</v>
      </c>
      <c r="B5784" t="str">
        <f t="shared" si="2125"/>
        <v>ADAM</v>
      </c>
      <c r="C5784" t="str">
        <f t="shared" si="2126"/>
        <v>FORREST</v>
      </c>
      <c r="D5784">
        <f>10</f>
        <v>10</v>
      </c>
      <c r="E5784" t="str">
        <f>"07 - B - 204 - Elizabeth Ellen  Moran"</f>
        <v>07 - B - 204 - Elizabeth Ellen  Moran</v>
      </c>
      <c r="F5784" t="str">
        <f>"AICE EURO HIST 1 AS"</f>
        <v>AICE EURO HIST 1 AS</v>
      </c>
      <c r="G5784" t="str">
        <f>"17-1752"</f>
        <v>17-1752</v>
      </c>
      <c r="H5784" t="str">
        <f>"B"</f>
        <v>B</v>
      </c>
    </row>
    <row r="5785" spans="1:8" x14ac:dyDescent="0.2">
      <c r="A5785" t="str">
        <f t="shared" si="2124"/>
        <v>0616035969</v>
      </c>
      <c r="B5785" t="str">
        <f t="shared" si="2125"/>
        <v>ADAM</v>
      </c>
      <c r="C5785" t="str">
        <f t="shared" si="2126"/>
        <v>FORREST</v>
      </c>
      <c r="D5785">
        <f>10</f>
        <v>10</v>
      </c>
      <c r="E5785" t="str">
        <f>"05 - B - 101 - Pamela M Corzo"</f>
        <v>05 - B - 101 - Pamela M Corzo</v>
      </c>
      <c r="F5785" t="str">
        <f>"AP CALCULUS AB"</f>
        <v>AP CALCULUS AB</v>
      </c>
      <c r="G5785" t="str">
        <f>"21-2133"</f>
        <v>21-2133</v>
      </c>
      <c r="H5785" t="str">
        <f>"B"</f>
        <v>B</v>
      </c>
    </row>
    <row r="5786" spans="1:8" x14ac:dyDescent="0.2">
      <c r="A5786" t="str">
        <f t="shared" si="2124"/>
        <v>0616035969</v>
      </c>
      <c r="B5786" t="str">
        <f t="shared" si="2125"/>
        <v>ADAM</v>
      </c>
      <c r="C5786" t="str">
        <f t="shared" si="2126"/>
        <v>FORREST</v>
      </c>
      <c r="D5786">
        <f>10</f>
        <v>10</v>
      </c>
      <c r="E5786" t="str">
        <f>"01 - A - 103 - Scott A Dethloff"</f>
        <v>01 - A - 103 - Scott A Dethloff</v>
      </c>
      <c r="F5786" t="str">
        <f>"AICE THINK SKLS 1 AS"</f>
        <v>AICE THINK SKLS 1 AS</v>
      </c>
      <c r="G5786" t="str">
        <f>"08-812"</f>
        <v>08-812</v>
      </c>
      <c r="H5786" t="str">
        <f>"A"</f>
        <v>A</v>
      </c>
    </row>
    <row r="5787" spans="1:8" x14ac:dyDescent="0.2">
      <c r="A5787" t="str">
        <f t="shared" si="2124"/>
        <v>0616035969</v>
      </c>
      <c r="B5787" t="str">
        <f t="shared" si="2125"/>
        <v>ADAM</v>
      </c>
      <c r="C5787" t="str">
        <f t="shared" si="2126"/>
        <v>FORREST</v>
      </c>
      <c r="D5787">
        <f>10</f>
        <v>10</v>
      </c>
      <c r="E5787" t="str">
        <f>"08 - B - 201 - Stacey A Blecker"</f>
        <v>08 - B - 201 - Stacey A Blecker</v>
      </c>
      <c r="F5787" t="str">
        <f>"AICE SOCIOLOGY 1 AS"</f>
        <v>AICE SOCIOLOGY 1 AS</v>
      </c>
      <c r="G5787" t="str">
        <f>"09-926"</f>
        <v>09-926</v>
      </c>
      <c r="H5787" t="str">
        <f>"B"</f>
        <v>B</v>
      </c>
    </row>
    <row r="5788" spans="1:8" x14ac:dyDescent="0.2">
      <c r="A5788" t="str">
        <f t="shared" ref="A5788:A5795" si="2127">"0622057730"</f>
        <v>0622057730</v>
      </c>
      <c r="B5788" t="str">
        <f t="shared" ref="B5788:B5795" si="2128">"KANE"</f>
        <v>KANE</v>
      </c>
      <c r="C5788" t="str">
        <f t="shared" ref="C5788:C5795" si="2129">"FORRESTER"</f>
        <v>FORRESTER</v>
      </c>
      <c r="D5788" t="str">
        <f t="shared" ref="D5788:D5803" si="2130">"09"</f>
        <v>09</v>
      </c>
      <c r="E5788" t="str">
        <f>"04 - A - 105 - Carol S Moore"</f>
        <v>04 - A - 105 - Carol S Moore</v>
      </c>
      <c r="F5788" t="str">
        <f>"PRE-AICE WRLD HST IG"</f>
        <v>PRE-AICE WRLD HST IG</v>
      </c>
      <c r="G5788" t="str">
        <f>"17-1733"</f>
        <v>17-1733</v>
      </c>
      <c r="H5788" t="str">
        <f>"A"</f>
        <v>A</v>
      </c>
    </row>
    <row r="5789" spans="1:8" x14ac:dyDescent="0.2">
      <c r="A5789" t="str">
        <f t="shared" si="2127"/>
        <v>0622057730</v>
      </c>
      <c r="B5789" t="str">
        <f t="shared" si="2128"/>
        <v>KANE</v>
      </c>
      <c r="C5789" t="str">
        <f t="shared" si="2129"/>
        <v>FORRESTER</v>
      </c>
      <c r="D5789" t="str">
        <f t="shared" si="2130"/>
        <v>09</v>
      </c>
      <c r="E5789" t="str">
        <f>"06 - S1 - B - 104 - Leslie J Barton"</f>
        <v>06 - S1 - B - 104 - Leslie J Barton</v>
      </c>
      <c r="F5789" t="str">
        <f>"FIRST AID SAFETY"</f>
        <v>FIRST AID SAFETY</v>
      </c>
      <c r="G5789" t="str">
        <f>"05-521"</f>
        <v>05-521</v>
      </c>
      <c r="H5789" t="str">
        <f>"B"</f>
        <v>B</v>
      </c>
    </row>
    <row r="5790" spans="1:8" x14ac:dyDescent="0.2">
      <c r="A5790" t="str">
        <f t="shared" si="2127"/>
        <v>0622057730</v>
      </c>
      <c r="B5790" t="str">
        <f t="shared" si="2128"/>
        <v>KANE</v>
      </c>
      <c r="C5790" t="str">
        <f t="shared" si="2129"/>
        <v>FORRESTER</v>
      </c>
      <c r="D5790" t="str">
        <f t="shared" si="2130"/>
        <v>09</v>
      </c>
      <c r="E5790" t="str">
        <f>"03 - A - 203 - Elizabeth R Walker"</f>
        <v>03 - A - 203 - Elizabeth R Walker</v>
      </c>
      <c r="F5790" t="str">
        <f>"AICE ENG GEN PAPER 1"</f>
        <v>AICE ENG GEN PAPER 1</v>
      </c>
      <c r="G5790" t="str">
        <f>"17-1703"</f>
        <v>17-1703</v>
      </c>
      <c r="H5790" t="str">
        <f>"A"</f>
        <v>A</v>
      </c>
    </row>
    <row r="5791" spans="1:8" x14ac:dyDescent="0.2">
      <c r="A5791" t="str">
        <f t="shared" si="2127"/>
        <v>0622057730</v>
      </c>
      <c r="B5791" t="str">
        <f t="shared" si="2128"/>
        <v>KANE</v>
      </c>
      <c r="C5791" t="str">
        <f t="shared" si="2129"/>
        <v>FORRESTER</v>
      </c>
      <c r="D5791" t="str">
        <f t="shared" si="2130"/>
        <v>09</v>
      </c>
      <c r="E5791" t="str">
        <f>"02 - A - 109 - Krystal Marie  Beruty"</f>
        <v>02 - A - 109 - Krystal Marie  Beruty</v>
      </c>
      <c r="F5791" t="str">
        <f>"NC STUDY HALL 1"</f>
        <v>NC STUDY HALL 1</v>
      </c>
      <c r="G5791" t="str">
        <f>"17-1721"</f>
        <v>17-1721</v>
      </c>
      <c r="H5791" t="str">
        <f>"A"</f>
        <v>A</v>
      </c>
    </row>
    <row r="5792" spans="1:8" x14ac:dyDescent="0.2">
      <c r="A5792" t="str">
        <f t="shared" si="2127"/>
        <v>0622057730</v>
      </c>
      <c r="B5792" t="str">
        <f t="shared" si="2128"/>
        <v>KANE</v>
      </c>
      <c r="C5792" t="str">
        <f t="shared" si="2129"/>
        <v>FORRESTER</v>
      </c>
      <c r="D5792" t="str">
        <f t="shared" si="2130"/>
        <v>09</v>
      </c>
      <c r="E5792" t="str">
        <f>"07 - B - 107 - Marius D Orsolini"</f>
        <v>07 - B - 107 - Marius D Orsolini</v>
      </c>
      <c r="F5792" t="str">
        <f>"CULINARY ARTS 1"</f>
        <v>CULINARY ARTS 1</v>
      </c>
      <c r="G5792" t="str">
        <f>"21-2115"</f>
        <v>21-2115</v>
      </c>
      <c r="H5792" t="str">
        <f>"B"</f>
        <v>B</v>
      </c>
    </row>
    <row r="5793" spans="1:8" x14ac:dyDescent="0.2">
      <c r="A5793" t="str">
        <f t="shared" si="2127"/>
        <v>0622057730</v>
      </c>
      <c r="B5793" t="str">
        <f t="shared" si="2128"/>
        <v>KANE</v>
      </c>
      <c r="C5793" t="str">
        <f t="shared" si="2129"/>
        <v>FORRESTER</v>
      </c>
      <c r="D5793" t="str">
        <f t="shared" si="2130"/>
        <v>09</v>
      </c>
      <c r="E5793" t="str">
        <f>"05 - B - 101 - Brian M Fitzgerald"</f>
        <v>05 - B - 101 - Brian M Fitzgerald</v>
      </c>
      <c r="F5793" t="str">
        <f>"PAINT 1"</f>
        <v>PAINT 1</v>
      </c>
      <c r="G5793" t="str">
        <f>"09-908"</f>
        <v>09-908</v>
      </c>
      <c r="H5793" t="str">
        <f>"B"</f>
        <v>B</v>
      </c>
    </row>
    <row r="5794" spans="1:8" x14ac:dyDescent="0.2">
      <c r="A5794" t="str">
        <f t="shared" si="2127"/>
        <v>0622057730</v>
      </c>
      <c r="B5794" t="str">
        <f t="shared" si="2128"/>
        <v>KANE</v>
      </c>
      <c r="C5794" t="str">
        <f t="shared" si="2129"/>
        <v>FORRESTER</v>
      </c>
      <c r="D5794" t="str">
        <f t="shared" si="2130"/>
        <v>09</v>
      </c>
      <c r="E5794" t="str">
        <f>"01 - A - 001 - Dorothy D Moore"</f>
        <v>01 - A - 001 - Dorothy D Moore</v>
      </c>
      <c r="F5794" t="str">
        <f>"ANAT PHYSIO HON"</f>
        <v>ANAT PHYSIO HON</v>
      </c>
      <c r="G5794" t="str">
        <f>"08-803"</f>
        <v>08-803</v>
      </c>
      <c r="H5794" t="str">
        <f>"A"</f>
        <v>A</v>
      </c>
    </row>
    <row r="5795" spans="1:8" x14ac:dyDescent="0.2">
      <c r="A5795" t="str">
        <f t="shared" si="2127"/>
        <v>0622057730</v>
      </c>
      <c r="B5795" t="str">
        <f t="shared" si="2128"/>
        <v>KANE</v>
      </c>
      <c r="C5795" t="str">
        <f t="shared" si="2129"/>
        <v>FORRESTER</v>
      </c>
      <c r="D5795" t="str">
        <f t="shared" si="2130"/>
        <v>09</v>
      </c>
      <c r="E5795" t="str">
        <f>"08 - B - 105 - Ferrie J Arostique"</f>
        <v>08 - B - 105 - Ferrie J Arostique</v>
      </c>
      <c r="F5795" t="str">
        <f>"PRE-AICE MATH 2 IG"</f>
        <v>PRE-AICE MATH 2 IG</v>
      </c>
      <c r="G5795" t="str">
        <f>"21-2139"</f>
        <v>21-2139</v>
      </c>
      <c r="H5795" t="str">
        <f>"B"</f>
        <v>B</v>
      </c>
    </row>
    <row r="5796" spans="1:8" x14ac:dyDescent="0.2">
      <c r="A5796" t="str">
        <f t="shared" ref="A5796:A5803" si="2131">"0624084789"</f>
        <v>0624084789</v>
      </c>
      <c r="B5796" t="str">
        <f t="shared" ref="B5796:B5803" si="2132">"SARAHI"</f>
        <v>SARAHI</v>
      </c>
      <c r="C5796" t="str">
        <f t="shared" ref="C5796:C5803" si="2133">"FORTUNA-GONZALEZ"</f>
        <v>FORTUNA-GONZALEZ</v>
      </c>
      <c r="D5796" t="str">
        <f t="shared" si="2130"/>
        <v>09</v>
      </c>
      <c r="E5796" t="str">
        <f>"04 - A - 103 - Joe  Kilpatrick Jr"</f>
        <v>04 - A - 103 - Joe  Kilpatrick Jr</v>
      </c>
      <c r="F5796" t="str">
        <f>"PRE-AICE SPAN 1 IG"</f>
        <v>PRE-AICE SPAN 1 IG</v>
      </c>
      <c r="G5796" t="str">
        <f>"09-912"</f>
        <v>09-912</v>
      </c>
      <c r="H5796" t="str">
        <f>"A"</f>
        <v>A</v>
      </c>
    </row>
    <row r="5797" spans="1:8" x14ac:dyDescent="0.2">
      <c r="A5797" t="str">
        <f t="shared" si="2131"/>
        <v>0624084789</v>
      </c>
      <c r="B5797" t="str">
        <f t="shared" si="2132"/>
        <v>SARAHI</v>
      </c>
      <c r="C5797" t="str">
        <f t="shared" si="2133"/>
        <v>FORTUNA-GONZALEZ</v>
      </c>
      <c r="D5797" t="str">
        <f t="shared" si="2130"/>
        <v>09</v>
      </c>
      <c r="E5797" t="str">
        <f>"06 - B - 202 - Samantha L Martinez"</f>
        <v>06 - B - 202 - Samantha L Martinez</v>
      </c>
      <c r="F5797" t="str">
        <f>"GUITAR 1"</f>
        <v>GUITAR 1</v>
      </c>
      <c r="G5797" t="str">
        <f>"05-505"</f>
        <v>05-505</v>
      </c>
      <c r="H5797" t="str">
        <f>"B"</f>
        <v>B</v>
      </c>
    </row>
    <row r="5798" spans="1:8" x14ac:dyDescent="0.2">
      <c r="A5798" t="str">
        <f t="shared" si="2131"/>
        <v>0624084789</v>
      </c>
      <c r="B5798" t="str">
        <f t="shared" si="2132"/>
        <v>SARAHI</v>
      </c>
      <c r="C5798" t="str">
        <f t="shared" si="2133"/>
        <v>FORTUNA-GONZALEZ</v>
      </c>
      <c r="D5798" t="str">
        <f t="shared" si="2130"/>
        <v>09</v>
      </c>
      <c r="E5798" t="str">
        <f>"03 - A - 203 - Elizabeth R Walker"</f>
        <v>03 - A - 203 - Elizabeth R Walker</v>
      </c>
      <c r="F5798" t="str">
        <f>"AICE ENG GEN PAPER 1"</f>
        <v>AICE ENG GEN PAPER 1</v>
      </c>
      <c r="G5798" t="str">
        <f>"17-1703"</f>
        <v>17-1703</v>
      </c>
      <c r="H5798" t="str">
        <f>"A"</f>
        <v>A</v>
      </c>
    </row>
    <row r="5799" spans="1:8" x14ac:dyDescent="0.2">
      <c r="A5799" t="str">
        <f t="shared" si="2131"/>
        <v>0624084789</v>
      </c>
      <c r="B5799" t="str">
        <f t="shared" si="2132"/>
        <v>SARAHI</v>
      </c>
      <c r="C5799" t="str">
        <f t="shared" si="2133"/>
        <v>FORTUNA-GONZALEZ</v>
      </c>
      <c r="D5799" t="str">
        <f t="shared" si="2130"/>
        <v>09</v>
      </c>
      <c r="E5799" t="str">
        <f>"02 - A - 105 - Elizabeth R Walker"</f>
        <v>02 - A - 105 - Elizabeth R Walker</v>
      </c>
      <c r="F5799" t="str">
        <f>"NC STUDY HALL 1"</f>
        <v>NC STUDY HALL 1</v>
      </c>
      <c r="G5799" t="str">
        <f>"17-1703"</f>
        <v>17-1703</v>
      </c>
      <c r="H5799" t="str">
        <f>"A"</f>
        <v>A</v>
      </c>
    </row>
    <row r="5800" spans="1:8" x14ac:dyDescent="0.2">
      <c r="A5800" t="str">
        <f t="shared" si="2131"/>
        <v>0624084789</v>
      </c>
      <c r="B5800" t="str">
        <f t="shared" si="2132"/>
        <v>SARAHI</v>
      </c>
      <c r="C5800" t="str">
        <f t="shared" si="2133"/>
        <v>FORTUNA-GONZALEZ</v>
      </c>
      <c r="D5800" t="str">
        <f t="shared" si="2130"/>
        <v>09</v>
      </c>
      <c r="E5800" t="str">
        <f>"07 - B - 001 - Carol S Moore"</f>
        <v>07 - B - 001 - Carol S Moore</v>
      </c>
      <c r="F5800" t="str">
        <f>"PRE-AICE WRLD HST IG"</f>
        <v>PRE-AICE WRLD HST IG</v>
      </c>
      <c r="G5800" t="str">
        <f>"17-1733"</f>
        <v>17-1733</v>
      </c>
      <c r="H5800" t="str">
        <f>"B"</f>
        <v>B</v>
      </c>
    </row>
    <row r="5801" spans="1:8" x14ac:dyDescent="0.2">
      <c r="A5801" t="str">
        <f t="shared" si="2131"/>
        <v>0624084789</v>
      </c>
      <c r="B5801" t="str">
        <f t="shared" si="2132"/>
        <v>SARAHI</v>
      </c>
      <c r="C5801" t="str">
        <f t="shared" si="2133"/>
        <v>FORTUNA-GONZALEZ</v>
      </c>
      <c r="D5801" t="str">
        <f t="shared" si="2130"/>
        <v>09</v>
      </c>
      <c r="E5801" t="str">
        <f>"05 - B - 103 - Brook E Goren"</f>
        <v>05 - B - 103 - Brook E Goren</v>
      </c>
      <c r="F5801" t="str">
        <f>"PRE-AICE MATH 2 IG"</f>
        <v>PRE-AICE MATH 2 IG</v>
      </c>
      <c r="G5801" t="str">
        <f>"21-2158"</f>
        <v>21-2158</v>
      </c>
      <c r="H5801" t="str">
        <f>"B"</f>
        <v>B</v>
      </c>
    </row>
    <row r="5802" spans="1:8" x14ac:dyDescent="0.2">
      <c r="A5802" t="str">
        <f t="shared" si="2131"/>
        <v>0624084789</v>
      </c>
      <c r="B5802" t="str">
        <f t="shared" si="2132"/>
        <v>SARAHI</v>
      </c>
      <c r="C5802" t="str">
        <f t="shared" si="2133"/>
        <v>FORTUNA-GONZALEZ</v>
      </c>
      <c r="D5802" t="str">
        <f t="shared" si="2130"/>
        <v>09</v>
      </c>
      <c r="E5802" t="str">
        <f>"01 - A - 101 - Josiah I Lacy"</f>
        <v>01 - A - 101 - Josiah I Lacy</v>
      </c>
      <c r="F5802" t="str">
        <f>"PRE-AICE BIO IG"</f>
        <v>PRE-AICE BIO IG</v>
      </c>
      <c r="G5802" t="str">
        <f>"08-801"</f>
        <v>08-801</v>
      </c>
      <c r="H5802" t="str">
        <f>"A"</f>
        <v>A</v>
      </c>
    </row>
    <row r="5803" spans="1:8" x14ac:dyDescent="0.2">
      <c r="A5803" t="str">
        <f t="shared" si="2131"/>
        <v>0624084789</v>
      </c>
      <c r="B5803" t="str">
        <f t="shared" si="2132"/>
        <v>SARAHI</v>
      </c>
      <c r="C5803" t="str">
        <f t="shared" si="2133"/>
        <v>FORTUNA-GONZALEZ</v>
      </c>
      <c r="D5803" t="str">
        <f t="shared" si="2130"/>
        <v>09</v>
      </c>
      <c r="E5803" t="str">
        <f>"08 - S1 - B - 104 - Angela S Adeshina-Morrison"</f>
        <v>08 - S1 - B - 104 - Angela S Adeshina-Morrison</v>
      </c>
      <c r="F5803" t="str">
        <f>"PEER COUN 1"</f>
        <v>PEER COUN 1</v>
      </c>
      <c r="G5803" t="str">
        <f>"05-518"</f>
        <v>05-518</v>
      </c>
      <c r="H5803" t="str">
        <f>"B"</f>
        <v>B</v>
      </c>
    </row>
    <row r="5804" spans="1:8" x14ac:dyDescent="0.2">
      <c r="A5804" t="str">
        <f t="shared" ref="A5804:A5811" si="2134">"0614126434"</f>
        <v>0614126434</v>
      </c>
      <c r="B5804" t="str">
        <f t="shared" ref="B5804:B5811" si="2135">"CHRISTOPHER"</f>
        <v>CHRISTOPHER</v>
      </c>
      <c r="C5804" t="str">
        <f t="shared" ref="C5804:C5811" si="2136">"FOULKES"</f>
        <v>FOULKES</v>
      </c>
      <c r="D5804">
        <f>11</f>
        <v>11</v>
      </c>
      <c r="E5804" t="str">
        <f>"04 - A - 104 - Dayna M Foster"</f>
        <v>04 - A - 104 - Dayna M Foster</v>
      </c>
      <c r="F5804" t="str">
        <f>"ALGEBRA 2"</f>
        <v>ALGEBRA 2</v>
      </c>
      <c r="G5804" t="str">
        <f>"21-2109"</f>
        <v>21-2109</v>
      </c>
      <c r="H5804" t="str">
        <f>"A"</f>
        <v>A</v>
      </c>
    </row>
    <row r="5805" spans="1:8" x14ac:dyDescent="0.2">
      <c r="A5805" t="str">
        <f t="shared" si="2134"/>
        <v>0614126434</v>
      </c>
      <c r="B5805" t="str">
        <f t="shared" si="2135"/>
        <v>CHRISTOPHER</v>
      </c>
      <c r="C5805" t="str">
        <f t="shared" si="2136"/>
        <v>FOULKES</v>
      </c>
      <c r="D5805">
        <f>11</f>
        <v>11</v>
      </c>
      <c r="E5805" t="str">
        <f>"06 - B - 101 - Bruce A Evans"</f>
        <v>06 - B - 101 - Bruce A Evans</v>
      </c>
      <c r="F5805" t="str">
        <f>"EMERG MED RESP 3 HON"</f>
        <v>EMERG MED RESP 3 HON</v>
      </c>
      <c r="G5805" t="str">
        <f>"21-2142"</f>
        <v>21-2142</v>
      </c>
      <c r="H5805" t="str">
        <f>"B"</f>
        <v>B</v>
      </c>
    </row>
    <row r="5806" spans="1:8" x14ac:dyDescent="0.2">
      <c r="A5806" t="str">
        <f t="shared" si="2134"/>
        <v>0614126434</v>
      </c>
      <c r="B5806" t="str">
        <f t="shared" si="2135"/>
        <v>CHRISTOPHER</v>
      </c>
      <c r="C5806" t="str">
        <f t="shared" si="2136"/>
        <v>FOULKES</v>
      </c>
      <c r="D5806">
        <f>11</f>
        <v>11</v>
      </c>
      <c r="E5806" t="str">
        <f>"03 - A - 106 - Jerry S Jiampetti"</f>
        <v>03 - A - 106 - Jerry S Jiampetti</v>
      </c>
      <c r="F5806" t="str">
        <f>"US HISTORY HON"</f>
        <v>US HISTORY HON</v>
      </c>
      <c r="G5806" t="str">
        <f>"17-1751"</f>
        <v>17-1751</v>
      </c>
      <c r="H5806" t="str">
        <f>"A"</f>
        <v>A</v>
      </c>
    </row>
    <row r="5807" spans="1:8" x14ac:dyDescent="0.2">
      <c r="A5807" t="str">
        <f t="shared" si="2134"/>
        <v>0614126434</v>
      </c>
      <c r="B5807" t="str">
        <f t="shared" si="2135"/>
        <v>CHRISTOPHER</v>
      </c>
      <c r="C5807" t="str">
        <f t="shared" si="2136"/>
        <v>FOULKES</v>
      </c>
      <c r="D5807">
        <f>11</f>
        <v>11</v>
      </c>
      <c r="E5807" t="str">
        <f>"02 - A - 001 - Jazmin S Fletcher"</f>
        <v>02 - A - 001 - Jazmin S Fletcher</v>
      </c>
      <c r="F5807" t="str">
        <f>"NC STUDY HALL 1"</f>
        <v>NC STUDY HALL 1</v>
      </c>
      <c r="G5807" t="str">
        <f>"09-909"</f>
        <v>09-909</v>
      </c>
      <c r="H5807" t="str">
        <f>"A"</f>
        <v>A</v>
      </c>
    </row>
    <row r="5808" spans="1:8" x14ac:dyDescent="0.2">
      <c r="A5808" t="str">
        <f t="shared" si="2134"/>
        <v>0614126434</v>
      </c>
      <c r="B5808" t="str">
        <f t="shared" si="2135"/>
        <v>CHRISTOPHER</v>
      </c>
      <c r="C5808" t="str">
        <f t="shared" si="2136"/>
        <v>FOULKES</v>
      </c>
      <c r="D5808">
        <f>11</f>
        <v>11</v>
      </c>
      <c r="E5808" t="str">
        <f>"07 - B - 102 - Carleigh R Carmichael"</f>
        <v>07 - B - 102 - Carleigh R Carmichael</v>
      </c>
      <c r="F5808" t="str">
        <f>"LEAD SKLS DEV LH"</f>
        <v>LEAD SKLS DEV LH</v>
      </c>
      <c r="G5808" t="str">
        <f>"20-2072"</f>
        <v>20-2072</v>
      </c>
      <c r="H5808" t="str">
        <f>"B"</f>
        <v>B</v>
      </c>
    </row>
    <row r="5809" spans="1:8" x14ac:dyDescent="0.2">
      <c r="A5809" t="str">
        <f t="shared" si="2134"/>
        <v>0614126434</v>
      </c>
      <c r="B5809" t="str">
        <f t="shared" si="2135"/>
        <v>CHRISTOPHER</v>
      </c>
      <c r="C5809" t="str">
        <f t="shared" si="2136"/>
        <v>FOULKES</v>
      </c>
      <c r="D5809">
        <f>11</f>
        <v>11</v>
      </c>
      <c r="E5809" t="str">
        <f>"05 - B - 201 - Bruce A Evans"</f>
        <v>05 - B - 201 - Bruce A Evans</v>
      </c>
      <c r="F5809" t="str">
        <f>"HEALTH SCI FOUND HON"</f>
        <v>HEALTH SCI FOUND HON</v>
      </c>
      <c r="G5809" t="str">
        <f>"21-2142"</f>
        <v>21-2142</v>
      </c>
      <c r="H5809" t="str">
        <f>"B"</f>
        <v>B</v>
      </c>
    </row>
    <row r="5810" spans="1:8" x14ac:dyDescent="0.2">
      <c r="A5810" t="str">
        <f t="shared" si="2134"/>
        <v>0614126434</v>
      </c>
      <c r="B5810" t="str">
        <f t="shared" si="2135"/>
        <v>CHRISTOPHER</v>
      </c>
      <c r="C5810" t="str">
        <f t="shared" si="2136"/>
        <v>FOULKES</v>
      </c>
      <c r="D5810">
        <f>11</f>
        <v>11</v>
      </c>
      <c r="E5810" t="str">
        <f>"01 - A - 101 - Jacklyn M James"</f>
        <v>01 - A - 101 - Jacklyn M James</v>
      </c>
      <c r="F5810" t="str">
        <f>"AICE ENG LANG AS"</f>
        <v>AICE ENG LANG AS</v>
      </c>
      <c r="G5810" t="str">
        <f>"17-1731"</f>
        <v>17-1731</v>
      </c>
      <c r="H5810" t="str">
        <f>"A"</f>
        <v>A</v>
      </c>
    </row>
    <row r="5811" spans="1:8" x14ac:dyDescent="0.2">
      <c r="A5811" t="str">
        <f t="shared" si="2134"/>
        <v>0614126434</v>
      </c>
      <c r="B5811" t="str">
        <f t="shared" si="2135"/>
        <v>CHRISTOPHER</v>
      </c>
      <c r="C5811" t="str">
        <f t="shared" si="2136"/>
        <v>FOULKES</v>
      </c>
      <c r="D5811">
        <f>11</f>
        <v>11</v>
      </c>
      <c r="E5811" t="str">
        <f>"08 - B - 001 - Scott A Dethloff"</f>
        <v>08 - B - 001 - Scott A Dethloff</v>
      </c>
      <c r="F5811" t="str">
        <f>"CHEMISTRY 1 HON"</f>
        <v>CHEMISTRY 1 HON</v>
      </c>
      <c r="G5811" t="str">
        <f>"08-812"</f>
        <v>08-812</v>
      </c>
      <c r="H5811" t="str">
        <f>"B"</f>
        <v>B</v>
      </c>
    </row>
    <row r="5812" spans="1:8" x14ac:dyDescent="0.2">
      <c r="A5812" t="str">
        <f t="shared" ref="A5812:A5819" si="2137">"0615046282"</f>
        <v>0615046282</v>
      </c>
      <c r="B5812" t="str">
        <f t="shared" ref="B5812:B5819" si="2138">"TRALEISHA"</f>
        <v>TRALEISHA</v>
      </c>
      <c r="C5812" t="str">
        <f t="shared" ref="C5812:C5819" si="2139">"FOUNTAIN"</f>
        <v>FOUNTAIN</v>
      </c>
      <c r="D5812">
        <f>10</f>
        <v>10</v>
      </c>
      <c r="E5812" t="str">
        <f>"04 - S1 - A - 103 - James H Mccann"</f>
        <v>04 - S1 - A - 103 - James H Mccann</v>
      </c>
      <c r="F5812" t="str">
        <f>"PERS FIN &amp; MON MGT H"</f>
        <v>PERS FIN &amp; MON MGT H</v>
      </c>
      <c r="G5812" t="str">
        <f>"17-1716"</f>
        <v>17-1716</v>
      </c>
      <c r="H5812" t="str">
        <f>"A"</f>
        <v>A</v>
      </c>
    </row>
    <row r="5813" spans="1:8" x14ac:dyDescent="0.2">
      <c r="A5813" t="str">
        <f t="shared" si="2137"/>
        <v>0615046282</v>
      </c>
      <c r="B5813" t="str">
        <f t="shared" si="2138"/>
        <v>TRALEISHA</v>
      </c>
      <c r="C5813" t="str">
        <f t="shared" si="2139"/>
        <v>FOUNTAIN</v>
      </c>
      <c r="D5813">
        <f>10</f>
        <v>10</v>
      </c>
      <c r="E5813" t="str">
        <f>"06 - B - 003 - Emmily A Sarmiento"</f>
        <v>06 - B - 003 - Emmily A Sarmiento</v>
      </c>
      <c r="F5813" t="str">
        <f>"NC STUDY HALL 1"</f>
        <v>NC STUDY HALL 1</v>
      </c>
      <c r="G5813" t="str">
        <f>"17-1743"</f>
        <v>17-1743</v>
      </c>
      <c r="H5813" t="str">
        <f>"B"</f>
        <v>B</v>
      </c>
    </row>
    <row r="5814" spans="1:8" x14ac:dyDescent="0.2">
      <c r="A5814" t="str">
        <f t="shared" si="2137"/>
        <v>0615046282</v>
      </c>
      <c r="B5814" t="str">
        <f t="shared" si="2138"/>
        <v>TRALEISHA</v>
      </c>
      <c r="C5814" t="str">
        <f t="shared" si="2139"/>
        <v>FOUNTAIN</v>
      </c>
      <c r="D5814">
        <f>10</f>
        <v>10</v>
      </c>
      <c r="E5814" t="str">
        <f>"03 - A - 109 - Lissa C Frederique"</f>
        <v>03 - A - 109 - Lissa C Frederique</v>
      </c>
      <c r="F5814" t="str">
        <f>"WORLD HISTORY"</f>
        <v>WORLD HISTORY</v>
      </c>
      <c r="G5814" t="str">
        <f>"17-1754"</f>
        <v>17-1754</v>
      </c>
      <c r="H5814" t="str">
        <f>"A"</f>
        <v>A</v>
      </c>
    </row>
    <row r="5815" spans="1:8" x14ac:dyDescent="0.2">
      <c r="A5815" t="str">
        <f t="shared" si="2137"/>
        <v>0615046282</v>
      </c>
      <c r="B5815" t="str">
        <f t="shared" si="2138"/>
        <v>TRALEISHA</v>
      </c>
      <c r="C5815" t="str">
        <f t="shared" si="2139"/>
        <v>FOUNTAIN</v>
      </c>
      <c r="D5815">
        <f>10</f>
        <v>10</v>
      </c>
      <c r="E5815" t="str">
        <f>"02 - A - 101 - Christa T Parisi"</f>
        <v>02 - A - 101 - Christa T Parisi</v>
      </c>
      <c r="F5815" t="str">
        <f>"LRNG STRATEGIES 9-12"</f>
        <v>LRNG STRATEGIES 9-12</v>
      </c>
      <c r="G5815" t="str">
        <f>"20-2072"</f>
        <v>20-2072</v>
      </c>
      <c r="H5815" t="str">
        <f>"A"</f>
        <v>A</v>
      </c>
    </row>
    <row r="5816" spans="1:8" x14ac:dyDescent="0.2">
      <c r="A5816" t="str">
        <f t="shared" si="2137"/>
        <v>0615046282</v>
      </c>
      <c r="B5816" t="str">
        <f t="shared" si="2138"/>
        <v>TRALEISHA</v>
      </c>
      <c r="C5816" t="str">
        <f t="shared" si="2139"/>
        <v>FOUNTAIN</v>
      </c>
      <c r="D5816">
        <f>10</f>
        <v>10</v>
      </c>
      <c r="E5816" t="str">
        <f>"07 - B - 108 - Jacquelyn M Neeson"</f>
        <v>07 - B - 108 - Jacquelyn M Neeson</v>
      </c>
      <c r="F5816" t="str">
        <f>"ENG 2"</f>
        <v>ENG 2</v>
      </c>
      <c r="G5816" t="str">
        <f>"17-1715"</f>
        <v>17-1715</v>
      </c>
      <c r="H5816" t="str">
        <f>"B"</f>
        <v>B</v>
      </c>
    </row>
    <row r="5817" spans="1:8" x14ac:dyDescent="0.2">
      <c r="A5817" t="str">
        <f t="shared" si="2137"/>
        <v>0615046282</v>
      </c>
      <c r="B5817" t="str">
        <f t="shared" si="2138"/>
        <v>TRALEISHA</v>
      </c>
      <c r="C5817" t="str">
        <f t="shared" si="2139"/>
        <v>FOUNTAIN</v>
      </c>
      <c r="D5817">
        <f>10</f>
        <v>10</v>
      </c>
      <c r="E5817" t="str">
        <f>"05 - B - 106 - Milca  Exantus"</f>
        <v>05 - B - 106 - Milca  Exantus</v>
      </c>
      <c r="F5817" t="str">
        <f>"MATH COLLEGE LIB ART"</f>
        <v>MATH COLLEGE LIB ART</v>
      </c>
      <c r="G5817" t="str">
        <f>"21-2145"</f>
        <v>21-2145</v>
      </c>
      <c r="H5817" t="str">
        <f>"B"</f>
        <v>B</v>
      </c>
    </row>
    <row r="5818" spans="1:8" x14ac:dyDescent="0.2">
      <c r="A5818" t="str">
        <f t="shared" si="2137"/>
        <v>0615046282</v>
      </c>
      <c r="B5818" t="str">
        <f t="shared" si="2138"/>
        <v>TRALEISHA</v>
      </c>
      <c r="C5818" t="str">
        <f t="shared" si="2139"/>
        <v>FOUNTAIN</v>
      </c>
      <c r="D5818">
        <f>10</f>
        <v>10</v>
      </c>
      <c r="E5818" t="str">
        <f>"01 - A - 101 - Taraneh C Abreu"</f>
        <v>01 - A - 101 - Taraneh C Abreu</v>
      </c>
      <c r="F5818" t="str">
        <f>"INTENS READ 2"</f>
        <v>INTENS READ 2</v>
      </c>
      <c r="G5818" t="str">
        <f>"17-1713"</f>
        <v>17-1713</v>
      </c>
      <c r="H5818" t="str">
        <f>"A"</f>
        <v>A</v>
      </c>
    </row>
    <row r="5819" spans="1:8" x14ac:dyDescent="0.2">
      <c r="A5819" t="str">
        <f t="shared" si="2137"/>
        <v>0615046282</v>
      </c>
      <c r="B5819" t="str">
        <f t="shared" si="2138"/>
        <v>TRALEISHA</v>
      </c>
      <c r="C5819" t="str">
        <f t="shared" si="2139"/>
        <v>FOUNTAIN</v>
      </c>
      <c r="D5819">
        <f>10</f>
        <v>10</v>
      </c>
      <c r="E5819" t="str">
        <f>"08 - B - 101 - Jazmin S Fletcher"</f>
        <v>08 - B - 101 - Jazmin S Fletcher</v>
      </c>
      <c r="F5819" t="str">
        <f>"PRE-AICE DRAMA 1G"</f>
        <v>PRE-AICE DRAMA 1G</v>
      </c>
      <c r="G5819" t="str">
        <f>"09-909"</f>
        <v>09-909</v>
      </c>
      <c r="H5819" t="str">
        <f>"B"</f>
        <v>B</v>
      </c>
    </row>
    <row r="5820" spans="1:8" x14ac:dyDescent="0.2">
      <c r="A5820" t="str">
        <f t="shared" ref="A5820:A5827" si="2140">"0610088582"</f>
        <v>0610088582</v>
      </c>
      <c r="B5820" t="str">
        <f t="shared" ref="B5820:B5827" si="2141">"ADEN"</f>
        <v>ADEN</v>
      </c>
      <c r="C5820" t="str">
        <f t="shared" ref="C5820:C5841" si="2142">"FRANCIS"</f>
        <v>FRANCIS</v>
      </c>
      <c r="D5820">
        <f>10</f>
        <v>10</v>
      </c>
      <c r="E5820" t="str">
        <f>"04 - A - 104 - Laselleda D Shaw"</f>
        <v>04 - A - 104 - Laselleda D Shaw</v>
      </c>
      <c r="F5820" t="str">
        <f>"INTENS READ 2"</f>
        <v>INTENS READ 2</v>
      </c>
      <c r="G5820" t="str">
        <f>"17-1723"</f>
        <v>17-1723</v>
      </c>
      <c r="H5820" t="str">
        <f>"A"</f>
        <v>A</v>
      </c>
    </row>
    <row r="5821" spans="1:8" x14ac:dyDescent="0.2">
      <c r="A5821" t="str">
        <f t="shared" si="2140"/>
        <v>0610088582</v>
      </c>
      <c r="B5821" t="str">
        <f t="shared" si="2141"/>
        <v>ADEN</v>
      </c>
      <c r="C5821" t="str">
        <f t="shared" si="2142"/>
        <v>FRANCIS</v>
      </c>
      <c r="D5821">
        <f>10</f>
        <v>10</v>
      </c>
      <c r="E5821" t="str">
        <f>"06 - B - 002 - Lenecy  Nodarse"</f>
        <v>06 - B - 002 - Lenecy  Nodarse</v>
      </c>
      <c r="F5821" t="str">
        <f>"NC STUDY HALL 1"</f>
        <v>NC STUDY HALL 1</v>
      </c>
      <c r="G5821" t="str">
        <f>"17-1741"</f>
        <v>17-1741</v>
      </c>
      <c r="H5821" t="str">
        <f>"B"</f>
        <v>B</v>
      </c>
    </row>
    <row r="5822" spans="1:8" x14ac:dyDescent="0.2">
      <c r="A5822" t="str">
        <f t="shared" si="2140"/>
        <v>0610088582</v>
      </c>
      <c r="B5822" t="str">
        <f t="shared" si="2141"/>
        <v>ADEN</v>
      </c>
      <c r="C5822" t="str">
        <f t="shared" si="2142"/>
        <v>FRANCIS</v>
      </c>
      <c r="D5822">
        <f>10</f>
        <v>10</v>
      </c>
      <c r="E5822" t="str">
        <f>"03 - A - 105 - Elizabeth Ellen  Moran"</f>
        <v>03 - A - 105 - Elizabeth Ellen  Moran</v>
      </c>
      <c r="F5822" t="str">
        <f>"WORLD HISTORY"</f>
        <v>WORLD HISTORY</v>
      </c>
      <c r="G5822" t="str">
        <f>"17-1752"</f>
        <v>17-1752</v>
      </c>
      <c r="H5822" t="str">
        <f>"A"</f>
        <v>A</v>
      </c>
    </row>
    <row r="5823" spans="1:8" x14ac:dyDescent="0.2">
      <c r="A5823" t="str">
        <f t="shared" si="2140"/>
        <v>0610088582</v>
      </c>
      <c r="B5823" t="str">
        <f t="shared" si="2141"/>
        <v>ADEN</v>
      </c>
      <c r="C5823" t="str">
        <f t="shared" si="2142"/>
        <v>FRANCIS</v>
      </c>
      <c r="D5823">
        <f>10</f>
        <v>10</v>
      </c>
      <c r="E5823" t="str">
        <f>"02 - A - 102 - Nikiel  Nesbeth"</f>
        <v>02 - A - 102 - Nikiel  Nesbeth</v>
      </c>
      <c r="F5823" t="str">
        <f>"ENG 2"</f>
        <v>ENG 2</v>
      </c>
      <c r="G5823" t="str">
        <f>"17-1705"</f>
        <v>17-1705</v>
      </c>
      <c r="H5823" t="str">
        <f>"A"</f>
        <v>A</v>
      </c>
    </row>
    <row r="5824" spans="1:8" x14ac:dyDescent="0.2">
      <c r="A5824" t="str">
        <f t="shared" si="2140"/>
        <v>0610088582</v>
      </c>
      <c r="B5824" t="str">
        <f t="shared" si="2141"/>
        <v>ADEN</v>
      </c>
      <c r="C5824" t="str">
        <f t="shared" si="2142"/>
        <v>FRANCIS</v>
      </c>
      <c r="D5824">
        <f>10</f>
        <v>10</v>
      </c>
      <c r="E5824" t="str">
        <f>"07 - B - 107 - Lytrell T Dixon"</f>
        <v>07 - B - 107 - Lytrell T Dixon</v>
      </c>
      <c r="F5824" t="str">
        <f>"BIOLOGY 1"</f>
        <v>BIOLOGY 1</v>
      </c>
      <c r="G5824" t="str">
        <f>"08-808"</f>
        <v>08-808</v>
      </c>
      <c r="H5824" t="str">
        <f>"B"</f>
        <v>B</v>
      </c>
    </row>
    <row r="5825" spans="1:8" x14ac:dyDescent="0.2">
      <c r="A5825" t="str">
        <f t="shared" si="2140"/>
        <v>0610088582</v>
      </c>
      <c r="B5825" t="str">
        <f t="shared" si="2141"/>
        <v>ADEN</v>
      </c>
      <c r="C5825" t="str">
        <f t="shared" si="2142"/>
        <v>FRANCIS</v>
      </c>
      <c r="D5825">
        <f>10</f>
        <v>10</v>
      </c>
      <c r="E5825" t="str">
        <f>"05 - B - 101 - Alejandro  Navarro"</f>
        <v>05 - B - 101 - Alejandro  Navarro</v>
      </c>
      <c r="F5825" t="str">
        <f>"JAZZ ENS 1"</f>
        <v>JAZZ ENS 1</v>
      </c>
      <c r="G5825" t="str">
        <f>"05-504"</f>
        <v>05-504</v>
      </c>
      <c r="H5825" t="str">
        <f>"B"</f>
        <v>B</v>
      </c>
    </row>
    <row r="5826" spans="1:8" x14ac:dyDescent="0.2">
      <c r="A5826" t="str">
        <f t="shared" si="2140"/>
        <v>0610088582</v>
      </c>
      <c r="B5826" t="str">
        <f t="shared" si="2141"/>
        <v>ADEN</v>
      </c>
      <c r="C5826" t="str">
        <f t="shared" si="2142"/>
        <v>FRANCIS</v>
      </c>
      <c r="D5826">
        <f>10</f>
        <v>10</v>
      </c>
      <c r="E5826" t="str">
        <f>"01 - A - 101 - Ferrie J Arostique"</f>
        <v>01 - A - 101 - Ferrie J Arostique</v>
      </c>
      <c r="F5826" t="str">
        <f>"GEOMETRY"</f>
        <v>GEOMETRY</v>
      </c>
      <c r="G5826" t="str">
        <f>"21-2139"</f>
        <v>21-2139</v>
      </c>
      <c r="H5826" t="str">
        <f>"A"</f>
        <v>A</v>
      </c>
    </row>
    <row r="5827" spans="1:8" x14ac:dyDescent="0.2">
      <c r="A5827" t="str">
        <f t="shared" si="2140"/>
        <v>0610088582</v>
      </c>
      <c r="B5827" t="str">
        <f t="shared" si="2141"/>
        <v>ADEN</v>
      </c>
      <c r="C5827" t="str">
        <f t="shared" si="2142"/>
        <v>FRANCIS</v>
      </c>
      <c r="D5827">
        <f>10</f>
        <v>10</v>
      </c>
      <c r="E5827" t="str">
        <f>"08 - S1 - B - 104 - Richard E Dunbar Iii"</f>
        <v>08 - S1 - B - 104 - Richard E Dunbar Iii</v>
      </c>
      <c r="F5827" t="str">
        <f>"WEIGHT TRAIN 3"</f>
        <v>WEIGHT TRAIN 3</v>
      </c>
      <c r="G5827" t="str">
        <f>"05-501"</f>
        <v>05-501</v>
      </c>
      <c r="H5827" t="str">
        <f>"B"</f>
        <v>B</v>
      </c>
    </row>
    <row r="5828" spans="1:8" x14ac:dyDescent="0.2">
      <c r="A5828" t="str">
        <f t="shared" ref="A5828:A5835" si="2143">"0614131789"</f>
        <v>0614131789</v>
      </c>
      <c r="B5828" t="str">
        <f t="shared" ref="B5828:B5835" si="2144">"AYDEN"</f>
        <v>AYDEN</v>
      </c>
      <c r="C5828" t="str">
        <f t="shared" si="2142"/>
        <v>FRANCIS</v>
      </c>
      <c r="D5828">
        <f>11</f>
        <v>11</v>
      </c>
      <c r="E5828" t="str">
        <f>"04 - A - 201 - Norayda D Suarez"</f>
        <v>04 - A - 201 - Norayda D Suarez</v>
      </c>
      <c r="F5828" t="str">
        <f>"ANAT PHYSIO HON"</f>
        <v>ANAT PHYSIO HON</v>
      </c>
      <c r="G5828" t="str">
        <f>"21-2142"</f>
        <v>21-2142</v>
      </c>
      <c r="H5828" t="str">
        <f>"A"</f>
        <v>A</v>
      </c>
    </row>
    <row r="5829" spans="1:8" x14ac:dyDescent="0.2">
      <c r="A5829" t="str">
        <f t="shared" si="2143"/>
        <v>0614131789</v>
      </c>
      <c r="B5829" t="str">
        <f t="shared" si="2144"/>
        <v>AYDEN</v>
      </c>
      <c r="C5829" t="str">
        <f t="shared" si="2142"/>
        <v>FRANCIS</v>
      </c>
      <c r="D5829">
        <f>11</f>
        <v>11</v>
      </c>
      <c r="E5829" t="str">
        <f>"06 - B - 104 - Brandy N Zdenek"</f>
        <v>06 - B - 104 - Brandy N Zdenek</v>
      </c>
      <c r="F5829" t="str">
        <f>"AICE ENG LANG 2 AL"</f>
        <v>AICE ENG LANG 2 AL</v>
      </c>
      <c r="G5829" t="str">
        <f>"17-1704"</f>
        <v>17-1704</v>
      </c>
      <c r="H5829" t="str">
        <f>"B"</f>
        <v>B</v>
      </c>
    </row>
    <row r="5830" spans="1:8" x14ac:dyDescent="0.2">
      <c r="A5830" t="str">
        <f t="shared" si="2143"/>
        <v>0614131789</v>
      </c>
      <c r="B5830" t="str">
        <f t="shared" si="2144"/>
        <v>AYDEN</v>
      </c>
      <c r="C5830" t="str">
        <f t="shared" si="2142"/>
        <v>FRANCIS</v>
      </c>
      <c r="D5830">
        <f>11</f>
        <v>11</v>
      </c>
      <c r="E5830" t="str">
        <f>"03 - S1 - A - 103 - Richard E Dunbar Iii"</f>
        <v>03 - S1 - A - 103 - Richard E Dunbar Iii</v>
      </c>
      <c r="F5830" t="str">
        <f>"WEIGHT TRAIN 1"</f>
        <v>WEIGHT TRAIN 1</v>
      </c>
      <c r="G5830" t="str">
        <f>"05-501"</f>
        <v>05-501</v>
      </c>
      <c r="H5830" t="str">
        <f>"A"</f>
        <v>A</v>
      </c>
    </row>
    <row r="5831" spans="1:8" x14ac:dyDescent="0.2">
      <c r="A5831" t="str">
        <f t="shared" si="2143"/>
        <v>0614131789</v>
      </c>
      <c r="B5831" t="str">
        <f t="shared" si="2144"/>
        <v>AYDEN</v>
      </c>
      <c r="C5831" t="str">
        <f t="shared" si="2142"/>
        <v>FRANCIS</v>
      </c>
      <c r="D5831">
        <f>11</f>
        <v>11</v>
      </c>
      <c r="E5831" t="str">
        <f>"02 - A - 108 - Stephen T Ripp"</f>
        <v>02 - A - 108 - Stephen T Ripp</v>
      </c>
      <c r="F5831" t="str">
        <f>"NC STUDY HALL 1"</f>
        <v>NC STUDY HALL 1</v>
      </c>
      <c r="G5831" t="str">
        <f>"17-1744"</f>
        <v>17-1744</v>
      </c>
      <c r="H5831" t="str">
        <f>"A"</f>
        <v>A</v>
      </c>
    </row>
    <row r="5832" spans="1:8" x14ac:dyDescent="0.2">
      <c r="A5832" t="str">
        <f t="shared" si="2143"/>
        <v>0614131789</v>
      </c>
      <c r="B5832" t="str">
        <f t="shared" si="2144"/>
        <v>AYDEN</v>
      </c>
      <c r="C5832" t="str">
        <f t="shared" si="2142"/>
        <v>FRANCIS</v>
      </c>
      <c r="D5832">
        <f>11</f>
        <v>11</v>
      </c>
      <c r="E5832" t="str">
        <f>"07 - B - 105 - Robert H Rindner"</f>
        <v>07 - B - 105 - Robert H Rindner</v>
      </c>
      <c r="F5832" t="str">
        <f>"MATH DATA&amp;FIN LIT H"</f>
        <v>MATH DATA&amp;FIN LIT H</v>
      </c>
      <c r="G5832" t="str">
        <f>"21-2160"</f>
        <v>21-2160</v>
      </c>
      <c r="H5832" t="str">
        <f>"B"</f>
        <v>B</v>
      </c>
    </row>
    <row r="5833" spans="1:8" x14ac:dyDescent="0.2">
      <c r="A5833" t="str">
        <f t="shared" si="2143"/>
        <v>0614131789</v>
      </c>
      <c r="B5833" t="str">
        <f t="shared" si="2144"/>
        <v>AYDEN</v>
      </c>
      <c r="C5833" t="str">
        <f t="shared" si="2142"/>
        <v>FRANCIS</v>
      </c>
      <c r="D5833">
        <f>11</f>
        <v>11</v>
      </c>
      <c r="E5833" t="str">
        <f>"05 - B - 001 - Stefanie S Scher"</f>
        <v>05 - B - 001 - Stefanie S Scher</v>
      </c>
      <c r="F5833" t="str">
        <f>"AICE PSYCH 1 AS"</f>
        <v>AICE PSYCH 1 AS</v>
      </c>
      <c r="G5833" t="str">
        <f>"17-1735"</f>
        <v>17-1735</v>
      </c>
      <c r="H5833" t="str">
        <f>"B"</f>
        <v>B</v>
      </c>
    </row>
    <row r="5834" spans="1:8" x14ac:dyDescent="0.2">
      <c r="A5834" t="str">
        <f t="shared" si="2143"/>
        <v>0614131789</v>
      </c>
      <c r="B5834" t="str">
        <f t="shared" si="2144"/>
        <v>AYDEN</v>
      </c>
      <c r="C5834" t="str">
        <f t="shared" si="2142"/>
        <v>FRANCIS</v>
      </c>
      <c r="D5834">
        <f>11</f>
        <v>11</v>
      </c>
      <c r="E5834" t="str">
        <f>"01 - A - 101 - Eva T Rimmer"</f>
        <v>01 - A - 101 - Eva T Rimmer</v>
      </c>
      <c r="F5834" t="str">
        <f>"CRIMINAL JUST OPS 2"</f>
        <v>CRIMINAL JUST OPS 2</v>
      </c>
      <c r="G5834" t="str">
        <f>"05-523"</f>
        <v>05-523</v>
      </c>
      <c r="H5834" t="str">
        <f>"A"</f>
        <v>A</v>
      </c>
    </row>
    <row r="5835" spans="1:8" x14ac:dyDescent="0.2">
      <c r="A5835" t="str">
        <f t="shared" si="2143"/>
        <v>0614131789</v>
      </c>
      <c r="B5835" t="str">
        <f t="shared" si="2144"/>
        <v>AYDEN</v>
      </c>
      <c r="C5835" t="str">
        <f t="shared" si="2142"/>
        <v>FRANCIS</v>
      </c>
      <c r="D5835">
        <f>11</f>
        <v>11</v>
      </c>
      <c r="E5835" t="str">
        <f>"08 - B - 001 - Jerry S Jiampetti"</f>
        <v>08 - B - 001 - Jerry S Jiampetti</v>
      </c>
      <c r="F5835" t="str">
        <f>"AICE U.S. HIST 1 AS"</f>
        <v>AICE U.S. HIST 1 AS</v>
      </c>
      <c r="G5835" t="str">
        <f>"17-1751"</f>
        <v>17-1751</v>
      </c>
      <c r="H5835" t="str">
        <f>"B"</f>
        <v>B</v>
      </c>
    </row>
    <row r="5836" spans="1:8" x14ac:dyDescent="0.2">
      <c r="A5836" t="str">
        <f t="shared" ref="A5836:A5841" si="2145">"0613105795"</f>
        <v>0613105795</v>
      </c>
      <c r="B5836" t="str">
        <f t="shared" ref="B5836:B5841" si="2146">"JOEL"</f>
        <v>JOEL</v>
      </c>
      <c r="C5836" t="str">
        <f t="shared" si="2142"/>
        <v>FRANCIS</v>
      </c>
      <c r="D5836">
        <f>12</f>
        <v>12</v>
      </c>
      <c r="E5836" t="str">
        <f>"19 - S1 - MTWHF - BCC - Instructor BC"</f>
        <v>19 - S1 - MTWHF - BCC - Instructor BC</v>
      </c>
      <c r="F5836" t="str">
        <f>"INTRO TO LITERATURE"</f>
        <v>INTRO TO LITERATURE</v>
      </c>
      <c r="G5836" t="str">
        <f>"60-DE"</f>
        <v>60-DE</v>
      </c>
      <c r="H5836" t="str">
        <f>"-"</f>
        <v>-</v>
      </c>
    </row>
    <row r="5837" spans="1:8" x14ac:dyDescent="0.2">
      <c r="A5837" t="str">
        <f t="shared" si="2145"/>
        <v>0613105795</v>
      </c>
      <c r="B5837" t="str">
        <f t="shared" si="2146"/>
        <v>JOEL</v>
      </c>
      <c r="C5837" t="str">
        <f t="shared" si="2142"/>
        <v>FRANCIS</v>
      </c>
      <c r="D5837">
        <f>12</f>
        <v>12</v>
      </c>
      <c r="E5837" t="str">
        <f>"19 - S1 - MTWHF - B18 - Instructor BC"</f>
        <v>19 - S1 - MTWHF - B18 - Instructor BC</v>
      </c>
      <c r="F5837" t="str">
        <f>"TRIGONOMETRY"</f>
        <v>TRIGONOMETRY</v>
      </c>
      <c r="G5837" t="str">
        <f>"60-DE"</f>
        <v>60-DE</v>
      </c>
      <c r="H5837" t="str">
        <f>"-"</f>
        <v>-</v>
      </c>
    </row>
    <row r="5838" spans="1:8" x14ac:dyDescent="0.2">
      <c r="A5838" t="str">
        <f t="shared" si="2145"/>
        <v>0613105795</v>
      </c>
      <c r="B5838" t="str">
        <f t="shared" si="2146"/>
        <v>JOEL</v>
      </c>
      <c r="C5838" t="str">
        <f t="shared" si="2142"/>
        <v>FRANCIS</v>
      </c>
      <c r="D5838">
        <f>12</f>
        <v>12</v>
      </c>
      <c r="E5838" t="str">
        <f>"04 - S1 - A - 106 - Kelly N Panza"</f>
        <v>04 - S1 - A - 106 - Kelly N Panza</v>
      </c>
      <c r="F5838" t="str">
        <f>"US GOVT HON"</f>
        <v>US GOVT HON</v>
      </c>
      <c r="G5838" t="str">
        <f>"17-1753"</f>
        <v>17-1753</v>
      </c>
      <c r="H5838" t="str">
        <f>"A"</f>
        <v>A</v>
      </c>
    </row>
    <row r="5839" spans="1:8" x14ac:dyDescent="0.2">
      <c r="A5839" t="str">
        <f t="shared" si="2145"/>
        <v>0613105795</v>
      </c>
      <c r="B5839" t="str">
        <f t="shared" si="2146"/>
        <v>JOEL</v>
      </c>
      <c r="C5839" t="str">
        <f t="shared" si="2142"/>
        <v>FRANCIS</v>
      </c>
      <c r="D5839">
        <f>12</f>
        <v>12</v>
      </c>
      <c r="E5839" t="str">
        <f>"03 - S1 - A - 102 - Leslie J Barton"</f>
        <v>03 - S1 - A - 102 - Leslie J Barton</v>
      </c>
      <c r="F5839" t="str">
        <f>"FIRST AID SAFETY"</f>
        <v>FIRST AID SAFETY</v>
      </c>
      <c r="G5839" t="str">
        <f>"05-521"</f>
        <v>05-521</v>
      </c>
      <c r="H5839" t="str">
        <f>"A"</f>
        <v>A</v>
      </c>
    </row>
    <row r="5840" spans="1:8" x14ac:dyDescent="0.2">
      <c r="A5840" t="str">
        <f t="shared" si="2145"/>
        <v>0613105795</v>
      </c>
      <c r="B5840" t="str">
        <f t="shared" si="2146"/>
        <v>JOEL</v>
      </c>
      <c r="C5840" t="str">
        <f t="shared" si="2142"/>
        <v>FRANCIS</v>
      </c>
      <c r="D5840">
        <f>12</f>
        <v>12</v>
      </c>
      <c r="E5840" t="str">
        <f>"07 - S1 - B - 107 - Richard E Dunbar Iii"</f>
        <v>07 - S1 - B - 107 - Richard E Dunbar Iii</v>
      </c>
      <c r="F5840" t="str">
        <f>"WEIGHT TRAIN 1"</f>
        <v>WEIGHT TRAIN 1</v>
      </c>
      <c r="G5840" t="str">
        <f>"05-501"</f>
        <v>05-501</v>
      </c>
      <c r="H5840" t="str">
        <f>"B"</f>
        <v>B</v>
      </c>
    </row>
    <row r="5841" spans="1:8" x14ac:dyDescent="0.2">
      <c r="A5841" t="str">
        <f t="shared" si="2145"/>
        <v>0613105795</v>
      </c>
      <c r="B5841" t="str">
        <f t="shared" si="2146"/>
        <v>JOEL</v>
      </c>
      <c r="C5841" t="str">
        <f t="shared" si="2142"/>
        <v>FRANCIS</v>
      </c>
      <c r="D5841">
        <f>12</f>
        <v>12</v>
      </c>
      <c r="E5841" t="str">
        <f>"08 - B - 101 - Jordana K Hass"</f>
        <v>08 - B - 101 - Jordana K Hass</v>
      </c>
      <c r="F5841" t="str">
        <f>"AICE INFO TECH 1 AS"</f>
        <v>AICE INFO TECH 1 AS</v>
      </c>
      <c r="G5841" t="str">
        <f>"08-807"</f>
        <v>08-807</v>
      </c>
      <c r="H5841" t="str">
        <f>"B"</f>
        <v>B</v>
      </c>
    </row>
    <row r="5842" spans="1:8" x14ac:dyDescent="0.2">
      <c r="A5842" t="str">
        <f t="shared" ref="A5842:A5850" si="2147">"0614105601"</f>
        <v>0614105601</v>
      </c>
      <c r="B5842" t="str">
        <f t="shared" ref="B5842:B5850" si="2148">"MALU"</f>
        <v>MALU</v>
      </c>
      <c r="C5842" t="str">
        <f t="shared" ref="C5842:C5850" si="2149">"FRANCISCO"</f>
        <v>FRANCISCO</v>
      </c>
      <c r="D5842">
        <f>11</f>
        <v>11</v>
      </c>
      <c r="E5842" t="str">
        <f>"19 - S1 - MTWHF - UF - Instructor UF"</f>
        <v>19 - S1 - MTWHF - UF - Instructor UF</v>
      </c>
      <c r="F5842" t="str">
        <f>"MICROBIOLOGY"</f>
        <v>MICROBIOLOGY</v>
      </c>
      <c r="G5842" t="str">
        <f>"60-DE"</f>
        <v>60-DE</v>
      </c>
      <c r="H5842" t="str">
        <f>"-"</f>
        <v>-</v>
      </c>
    </row>
    <row r="5843" spans="1:8" x14ac:dyDescent="0.2">
      <c r="A5843" t="str">
        <f t="shared" si="2147"/>
        <v>0614105601</v>
      </c>
      <c r="B5843" t="str">
        <f t="shared" si="2148"/>
        <v>MALU</v>
      </c>
      <c r="C5843" t="str">
        <f t="shared" si="2149"/>
        <v>FRANCISCO</v>
      </c>
      <c r="D5843">
        <f>11</f>
        <v>11</v>
      </c>
      <c r="E5843" t="str">
        <f>"04 - A - 101 - Jerry S Jiampetti"</f>
        <v>04 - A - 101 - Jerry S Jiampetti</v>
      </c>
      <c r="F5843" t="str">
        <f>"AICE U.S. HIST 1 AS"</f>
        <v>AICE U.S. HIST 1 AS</v>
      </c>
      <c r="G5843" t="str">
        <f>"17-1751"</f>
        <v>17-1751</v>
      </c>
      <c r="H5843" t="str">
        <f>"A"</f>
        <v>A</v>
      </c>
    </row>
    <row r="5844" spans="1:8" x14ac:dyDescent="0.2">
      <c r="A5844" t="str">
        <f t="shared" si="2147"/>
        <v>0614105601</v>
      </c>
      <c r="B5844" t="str">
        <f t="shared" si="2148"/>
        <v>MALU</v>
      </c>
      <c r="C5844" t="str">
        <f t="shared" si="2149"/>
        <v>FRANCISCO</v>
      </c>
      <c r="D5844">
        <f>11</f>
        <v>11</v>
      </c>
      <c r="E5844" t="str">
        <f>"06 - B - 001 - Lourivaldo  Da Silva"</f>
        <v>06 - B - 001 - Lourivaldo  Da Silva</v>
      </c>
      <c r="F5844" t="str">
        <f>"PRE-CALCULUS HON"</f>
        <v>PRE-CALCULUS HON</v>
      </c>
      <c r="G5844" t="str">
        <f>"20-2079"</f>
        <v>20-2079</v>
      </c>
      <c r="H5844" t="str">
        <f>"B"</f>
        <v>B</v>
      </c>
    </row>
    <row r="5845" spans="1:8" x14ac:dyDescent="0.2">
      <c r="A5845" t="str">
        <f t="shared" si="2147"/>
        <v>0614105601</v>
      </c>
      <c r="B5845" t="str">
        <f t="shared" si="2148"/>
        <v>MALU</v>
      </c>
      <c r="C5845" t="str">
        <f t="shared" si="2149"/>
        <v>FRANCISCO</v>
      </c>
      <c r="D5845">
        <f>11</f>
        <v>11</v>
      </c>
      <c r="E5845" t="str">
        <f>"03 - A - 101 - Jacqueline R Morphet"</f>
        <v>03 - A - 101 - Jacqueline R Morphet</v>
      </c>
      <c r="F5845" t="str">
        <f>"AP PHYSICS 1"</f>
        <v>AP PHYSICS 1</v>
      </c>
      <c r="G5845" t="str">
        <f>"21-2138"</f>
        <v>21-2138</v>
      </c>
      <c r="H5845" t="str">
        <f>"A"</f>
        <v>A</v>
      </c>
    </row>
    <row r="5846" spans="1:8" x14ac:dyDescent="0.2">
      <c r="A5846" t="str">
        <f t="shared" si="2147"/>
        <v>0614105601</v>
      </c>
      <c r="B5846" t="str">
        <f t="shared" si="2148"/>
        <v>MALU</v>
      </c>
      <c r="C5846" t="str">
        <f t="shared" si="2149"/>
        <v>FRANCISCO</v>
      </c>
      <c r="D5846">
        <f>11</f>
        <v>11</v>
      </c>
      <c r="E5846" t="str">
        <f>"02 - A - 101 - Milca  Exantus"</f>
        <v>02 - A - 101 - Milca  Exantus</v>
      </c>
      <c r="F5846" t="str">
        <f>"NC STUDY HALL 1"</f>
        <v>NC STUDY HALL 1</v>
      </c>
      <c r="G5846" t="str">
        <f>"21-2145"</f>
        <v>21-2145</v>
      </c>
      <c r="H5846" t="str">
        <f>"A"</f>
        <v>A</v>
      </c>
    </row>
    <row r="5847" spans="1:8" x14ac:dyDescent="0.2">
      <c r="A5847" t="str">
        <f t="shared" si="2147"/>
        <v>0614105601</v>
      </c>
      <c r="B5847" t="str">
        <f t="shared" si="2148"/>
        <v>MALU</v>
      </c>
      <c r="C5847" t="str">
        <f t="shared" si="2149"/>
        <v>FRANCISCO</v>
      </c>
      <c r="D5847">
        <f>11</f>
        <v>11</v>
      </c>
      <c r="E5847" t="str">
        <f>"07 - B - 103 - Lisa J London"</f>
        <v>07 - B - 103 - Lisa J London</v>
      </c>
      <c r="F5847" t="str">
        <f>"AP CAPSTONE SEMINAR"</f>
        <v>AP CAPSTONE SEMINAR</v>
      </c>
      <c r="G5847" t="str">
        <f>"17-1714"</f>
        <v>17-1714</v>
      </c>
      <c r="H5847" t="str">
        <f>"B"</f>
        <v>B</v>
      </c>
    </row>
    <row r="5848" spans="1:8" x14ac:dyDescent="0.2">
      <c r="A5848" t="str">
        <f t="shared" si="2147"/>
        <v>0614105601</v>
      </c>
      <c r="B5848" t="str">
        <f t="shared" si="2148"/>
        <v>MALU</v>
      </c>
      <c r="C5848" t="str">
        <f t="shared" si="2149"/>
        <v>FRANCISCO</v>
      </c>
      <c r="D5848">
        <f>11</f>
        <v>11</v>
      </c>
      <c r="E5848" t="str">
        <f>"05 - B - 203 - Chrystina M Marchionne"</f>
        <v>05 - B - 203 - Chrystina M Marchionne</v>
      </c>
      <c r="F5848" t="str">
        <f>"AICE MEDIASTUDIES AS"</f>
        <v>AICE MEDIASTUDIES AS</v>
      </c>
      <c r="G5848" t="str">
        <f>"05-520"</f>
        <v>05-520</v>
      </c>
      <c r="H5848" t="str">
        <f>"B"</f>
        <v>B</v>
      </c>
    </row>
    <row r="5849" spans="1:8" x14ac:dyDescent="0.2">
      <c r="A5849" t="str">
        <f t="shared" si="2147"/>
        <v>0614105601</v>
      </c>
      <c r="B5849" t="str">
        <f t="shared" si="2148"/>
        <v>MALU</v>
      </c>
      <c r="C5849" t="str">
        <f t="shared" si="2149"/>
        <v>FRANCISCO</v>
      </c>
      <c r="D5849">
        <f>11</f>
        <v>11</v>
      </c>
      <c r="E5849" t="str">
        <f>"01 - A - 101 - Marielle A Witting"</f>
        <v>01 - A - 101 - Marielle A Witting</v>
      </c>
      <c r="F5849" t="str">
        <f>"AP BIO"</f>
        <v>AP BIO</v>
      </c>
      <c r="G5849" t="str">
        <f>"08-805"</f>
        <v>08-805</v>
      </c>
      <c r="H5849" t="str">
        <f>"A"</f>
        <v>A</v>
      </c>
    </row>
    <row r="5850" spans="1:8" x14ac:dyDescent="0.2">
      <c r="A5850" t="str">
        <f t="shared" si="2147"/>
        <v>0614105601</v>
      </c>
      <c r="B5850" t="str">
        <f t="shared" si="2148"/>
        <v>MALU</v>
      </c>
      <c r="C5850" t="str">
        <f t="shared" si="2149"/>
        <v>FRANCISCO</v>
      </c>
      <c r="D5850">
        <f>11</f>
        <v>11</v>
      </c>
      <c r="E5850" t="str">
        <f>"08 - B - 105 - Brandy N Zdenek"</f>
        <v>08 - B - 105 - Brandy N Zdenek</v>
      </c>
      <c r="F5850" t="str">
        <f>"AICE ENG LANG 2 AL"</f>
        <v>AICE ENG LANG 2 AL</v>
      </c>
      <c r="G5850" t="str">
        <f>"17-1704"</f>
        <v>17-1704</v>
      </c>
      <c r="H5850" t="str">
        <f>"B"</f>
        <v>B</v>
      </c>
    </row>
    <row r="5851" spans="1:8" x14ac:dyDescent="0.2">
      <c r="A5851" t="str">
        <f t="shared" ref="A5851:A5858" si="2150">"0615101339"</f>
        <v>0615101339</v>
      </c>
      <c r="B5851" t="str">
        <f t="shared" ref="B5851:B5858" si="2151">"CHRISTIAN"</f>
        <v>CHRISTIAN</v>
      </c>
      <c r="C5851" t="str">
        <f t="shared" ref="C5851:C5858" si="2152">"FRANCOIS"</f>
        <v>FRANCOIS</v>
      </c>
      <c r="D5851">
        <f>10</f>
        <v>10</v>
      </c>
      <c r="E5851" t="str">
        <f>"04 - S1 - A - 103 - James H Mccann"</f>
        <v>04 - S1 - A - 103 - James H Mccann</v>
      </c>
      <c r="F5851" t="str">
        <f>"PERS FIN &amp; MON MGT H"</f>
        <v>PERS FIN &amp; MON MGT H</v>
      </c>
      <c r="G5851" t="str">
        <f>"17-1716"</f>
        <v>17-1716</v>
      </c>
      <c r="H5851" t="str">
        <f>"A"</f>
        <v>A</v>
      </c>
    </row>
    <row r="5852" spans="1:8" x14ac:dyDescent="0.2">
      <c r="A5852" t="str">
        <f t="shared" si="2150"/>
        <v>0615101339</v>
      </c>
      <c r="B5852" t="str">
        <f t="shared" si="2151"/>
        <v>CHRISTIAN</v>
      </c>
      <c r="C5852" t="str">
        <f t="shared" si="2152"/>
        <v>FRANCOIS</v>
      </c>
      <c r="D5852">
        <f>10</f>
        <v>10</v>
      </c>
      <c r="E5852" t="str">
        <f>"06 - B - 115 - Scott A Dethloff"</f>
        <v>06 - B - 115 - Scott A Dethloff</v>
      </c>
      <c r="F5852" t="str">
        <f>"NC STUDY HALL 1"</f>
        <v>NC STUDY HALL 1</v>
      </c>
      <c r="G5852" t="str">
        <f>"08-812"</f>
        <v>08-812</v>
      </c>
      <c r="H5852" t="str">
        <f>"B"</f>
        <v>B</v>
      </c>
    </row>
    <row r="5853" spans="1:8" x14ac:dyDescent="0.2">
      <c r="A5853" t="str">
        <f t="shared" si="2150"/>
        <v>0615101339</v>
      </c>
      <c r="B5853" t="str">
        <f t="shared" si="2151"/>
        <v>CHRISTIAN</v>
      </c>
      <c r="C5853" t="str">
        <f t="shared" si="2152"/>
        <v>FRANCOIS</v>
      </c>
      <c r="D5853">
        <f>10</f>
        <v>10</v>
      </c>
      <c r="E5853" t="str">
        <f>"03 - A - 103 - Courtney E Hambright"</f>
        <v>03 - A - 103 - Courtney E Hambright</v>
      </c>
      <c r="F5853" t="str">
        <f>"AICE ENG LANG AS"</f>
        <v>AICE ENG LANG AS</v>
      </c>
      <c r="G5853" t="str">
        <f>"17-1711"</f>
        <v>17-1711</v>
      </c>
      <c r="H5853" t="str">
        <f>"A"</f>
        <v>A</v>
      </c>
    </row>
    <row r="5854" spans="1:8" x14ac:dyDescent="0.2">
      <c r="A5854" t="str">
        <f t="shared" si="2150"/>
        <v>0615101339</v>
      </c>
      <c r="B5854" t="str">
        <f t="shared" si="2151"/>
        <v>CHRISTIAN</v>
      </c>
      <c r="C5854" t="str">
        <f t="shared" si="2152"/>
        <v>FRANCOIS</v>
      </c>
      <c r="D5854">
        <f>10</f>
        <v>10</v>
      </c>
      <c r="E5854" t="str">
        <f>"02 - A - 102 - Chrystina M Marchionne"</f>
        <v>02 - A - 102 - Chrystina M Marchionne</v>
      </c>
      <c r="F5854" t="str">
        <f>"AICE MEDIASTUDIES AS"</f>
        <v>AICE MEDIASTUDIES AS</v>
      </c>
      <c r="G5854" t="str">
        <f>"05-520"</f>
        <v>05-520</v>
      </c>
      <c r="H5854" t="str">
        <f>"A"</f>
        <v>A</v>
      </c>
    </row>
    <row r="5855" spans="1:8" x14ac:dyDescent="0.2">
      <c r="A5855" t="str">
        <f t="shared" si="2150"/>
        <v>0615101339</v>
      </c>
      <c r="B5855" t="str">
        <f t="shared" si="2151"/>
        <v>CHRISTIAN</v>
      </c>
      <c r="C5855" t="str">
        <f t="shared" si="2152"/>
        <v>FRANCOIS</v>
      </c>
      <c r="D5855">
        <f>10</f>
        <v>10</v>
      </c>
      <c r="E5855" t="str">
        <f>"07 - B - 102 - Thomas G Handwerg"</f>
        <v>07 - B - 102 - Thomas G Handwerg</v>
      </c>
      <c r="F5855" t="str">
        <f>"PROB STAT W/APPS HON"</f>
        <v>PROB STAT W/APPS HON</v>
      </c>
      <c r="G5855" t="str">
        <f>"21-2146"</f>
        <v>21-2146</v>
      </c>
      <c r="H5855" t="str">
        <f>"B"</f>
        <v>B</v>
      </c>
    </row>
    <row r="5856" spans="1:8" x14ac:dyDescent="0.2">
      <c r="A5856" t="str">
        <f t="shared" si="2150"/>
        <v>0615101339</v>
      </c>
      <c r="B5856" t="str">
        <f t="shared" si="2151"/>
        <v>CHRISTIAN</v>
      </c>
      <c r="C5856" t="str">
        <f t="shared" si="2152"/>
        <v>FRANCOIS</v>
      </c>
      <c r="D5856">
        <f>10</f>
        <v>10</v>
      </c>
      <c r="E5856" t="str">
        <f>"05 - B - 108 - Valerie J Ruwe"</f>
        <v>05 - B - 108 - Valerie J Ruwe</v>
      </c>
      <c r="F5856" t="str">
        <f>"CHEMISTRY 1 HON"</f>
        <v>CHEMISTRY 1 HON</v>
      </c>
      <c r="G5856" t="str">
        <f>"21-2138"</f>
        <v>21-2138</v>
      </c>
      <c r="H5856" t="str">
        <f>"B"</f>
        <v>B</v>
      </c>
    </row>
    <row r="5857" spans="1:8" x14ac:dyDescent="0.2">
      <c r="A5857" t="str">
        <f t="shared" si="2150"/>
        <v>0615101339</v>
      </c>
      <c r="B5857" t="str">
        <f t="shared" si="2151"/>
        <v>CHRISTIAN</v>
      </c>
      <c r="C5857" t="str">
        <f t="shared" si="2152"/>
        <v>FRANCOIS</v>
      </c>
      <c r="D5857">
        <f>10</f>
        <v>10</v>
      </c>
      <c r="E5857" t="str">
        <f>"01 - A - 103 - Scott A Dethloff"</f>
        <v>01 - A - 103 - Scott A Dethloff</v>
      </c>
      <c r="F5857" t="str">
        <f>"AICE THINK SKLS 1 AS"</f>
        <v>AICE THINK SKLS 1 AS</v>
      </c>
      <c r="G5857" t="str">
        <f>"08-812"</f>
        <v>08-812</v>
      </c>
      <c r="H5857" t="str">
        <f>"A"</f>
        <v>A</v>
      </c>
    </row>
    <row r="5858" spans="1:8" x14ac:dyDescent="0.2">
      <c r="A5858" t="str">
        <f t="shared" si="2150"/>
        <v>0615101339</v>
      </c>
      <c r="B5858" t="str">
        <f t="shared" si="2151"/>
        <v>CHRISTIAN</v>
      </c>
      <c r="C5858" t="str">
        <f t="shared" si="2152"/>
        <v>FRANCOIS</v>
      </c>
      <c r="D5858">
        <f>10</f>
        <v>10</v>
      </c>
      <c r="E5858" t="str">
        <f>"08 - B - 202 - Krystal Marie  Beruty"</f>
        <v>08 - B - 202 - Krystal Marie  Beruty</v>
      </c>
      <c r="F5858" t="str">
        <f>"AICE PSYCH 1 AS"</f>
        <v>AICE PSYCH 1 AS</v>
      </c>
      <c r="G5858" t="str">
        <f>"17-1721"</f>
        <v>17-1721</v>
      </c>
      <c r="H5858" t="str">
        <f>"B"</f>
        <v>B</v>
      </c>
    </row>
    <row r="5859" spans="1:8" x14ac:dyDescent="0.2">
      <c r="A5859" t="str">
        <f t="shared" ref="A5859:A5866" si="2153">"0616017811"</f>
        <v>0616017811</v>
      </c>
      <c r="B5859" t="str">
        <f t="shared" ref="B5859:B5866" si="2154">"MALIK"</f>
        <v>MALIK</v>
      </c>
      <c r="C5859" t="str">
        <f t="shared" ref="C5859:C5866" si="2155">"FRASER"</f>
        <v>FRASER</v>
      </c>
      <c r="D5859">
        <f>10</f>
        <v>10</v>
      </c>
      <c r="E5859" t="str">
        <f>"04 - A - 102 - Jordana K Hass"</f>
        <v>04 - A - 102 - Jordana K Hass</v>
      </c>
      <c r="F5859" t="str">
        <f>"CHEMISTRY 1"</f>
        <v>CHEMISTRY 1</v>
      </c>
      <c r="G5859" t="str">
        <f>"08-807"</f>
        <v>08-807</v>
      </c>
      <c r="H5859" t="str">
        <f>"A"</f>
        <v>A</v>
      </c>
    </row>
    <row r="5860" spans="1:8" x14ac:dyDescent="0.2">
      <c r="A5860" t="str">
        <f t="shared" si="2153"/>
        <v>0616017811</v>
      </c>
      <c r="B5860" t="str">
        <f t="shared" si="2154"/>
        <v>MALIK</v>
      </c>
      <c r="C5860" t="str">
        <f t="shared" si="2155"/>
        <v>FRASER</v>
      </c>
      <c r="D5860">
        <f>10</f>
        <v>10</v>
      </c>
      <c r="E5860" t="str">
        <f>"06 - B - 118 - Jeanne M Bermudez"</f>
        <v>06 - B - 118 - Jeanne M Bermudez</v>
      </c>
      <c r="F5860" t="str">
        <f>"NC STUDY HALL 1"</f>
        <v>NC STUDY HALL 1</v>
      </c>
      <c r="G5860" t="str">
        <f>"21-2141"</f>
        <v>21-2141</v>
      </c>
      <c r="H5860" t="str">
        <f>"B"</f>
        <v>B</v>
      </c>
    </row>
    <row r="5861" spans="1:8" x14ac:dyDescent="0.2">
      <c r="A5861" t="str">
        <f t="shared" si="2153"/>
        <v>0616017811</v>
      </c>
      <c r="B5861" t="str">
        <f t="shared" si="2154"/>
        <v>MALIK</v>
      </c>
      <c r="C5861" t="str">
        <f t="shared" si="2155"/>
        <v>FRASER</v>
      </c>
      <c r="D5861">
        <f>10</f>
        <v>10</v>
      </c>
      <c r="E5861" t="str">
        <f>"03 - A - 103 - Courtney E Hambright"</f>
        <v>03 - A - 103 - Courtney E Hambright</v>
      </c>
      <c r="F5861" t="str">
        <f>"AICE ENG LANG AS"</f>
        <v>AICE ENG LANG AS</v>
      </c>
      <c r="G5861" t="str">
        <f>"17-1711"</f>
        <v>17-1711</v>
      </c>
      <c r="H5861" t="str">
        <f>"A"</f>
        <v>A</v>
      </c>
    </row>
    <row r="5862" spans="1:8" x14ac:dyDescent="0.2">
      <c r="A5862" t="str">
        <f t="shared" si="2153"/>
        <v>0616017811</v>
      </c>
      <c r="B5862" t="str">
        <f t="shared" si="2154"/>
        <v>MALIK</v>
      </c>
      <c r="C5862" t="str">
        <f t="shared" si="2155"/>
        <v>FRASER</v>
      </c>
      <c r="D5862">
        <f>10</f>
        <v>10</v>
      </c>
      <c r="E5862" t="str">
        <f>"02 - A - 103 - Lenecy  Nodarse"</f>
        <v>02 - A - 103 - Lenecy  Nodarse</v>
      </c>
      <c r="F5862" t="str">
        <f>"AICE EURO HIST 1 AS"</f>
        <v>AICE EURO HIST 1 AS</v>
      </c>
      <c r="G5862" t="str">
        <f>"17-1741"</f>
        <v>17-1741</v>
      </c>
      <c r="H5862" t="str">
        <f>"A"</f>
        <v>A</v>
      </c>
    </row>
    <row r="5863" spans="1:8" x14ac:dyDescent="0.2">
      <c r="A5863" t="str">
        <f t="shared" si="2153"/>
        <v>0616017811</v>
      </c>
      <c r="B5863" t="str">
        <f t="shared" si="2154"/>
        <v>MALIK</v>
      </c>
      <c r="C5863" t="str">
        <f t="shared" si="2155"/>
        <v>FRASER</v>
      </c>
      <c r="D5863">
        <f>10</f>
        <v>10</v>
      </c>
      <c r="E5863" t="str">
        <f>"07 - B - 107 - Rosa Elaine  Collado-Duff"</f>
        <v>07 - B - 107 - Rosa Elaine  Collado-Duff</v>
      </c>
      <c r="F5863" t="str">
        <f>"PRE-AICE SPAN 2 IG"</f>
        <v>PRE-AICE SPAN 2 IG</v>
      </c>
      <c r="G5863" t="str">
        <f>"09-913"</f>
        <v>09-913</v>
      </c>
      <c r="H5863" t="str">
        <f>"B"</f>
        <v>B</v>
      </c>
    </row>
    <row r="5864" spans="1:8" x14ac:dyDescent="0.2">
      <c r="A5864" t="str">
        <f t="shared" si="2153"/>
        <v>0616017811</v>
      </c>
      <c r="B5864" t="str">
        <f t="shared" si="2154"/>
        <v>MALIK</v>
      </c>
      <c r="C5864" t="str">
        <f t="shared" si="2155"/>
        <v>FRASER</v>
      </c>
      <c r="D5864">
        <f>10</f>
        <v>10</v>
      </c>
      <c r="E5864" t="str">
        <f>"05 - B - 001 - Stefanie S Scher"</f>
        <v>05 - B - 001 - Stefanie S Scher</v>
      </c>
      <c r="F5864" t="str">
        <f>"AICE PSYCH 1 AS"</f>
        <v>AICE PSYCH 1 AS</v>
      </c>
      <c r="G5864" t="str">
        <f>"17-1735"</f>
        <v>17-1735</v>
      </c>
      <c r="H5864" t="str">
        <f>"B"</f>
        <v>B</v>
      </c>
    </row>
    <row r="5865" spans="1:8" x14ac:dyDescent="0.2">
      <c r="A5865" t="str">
        <f t="shared" si="2153"/>
        <v>0616017811</v>
      </c>
      <c r="B5865" t="str">
        <f t="shared" si="2154"/>
        <v>MALIK</v>
      </c>
      <c r="C5865" t="str">
        <f t="shared" si="2155"/>
        <v>FRASER</v>
      </c>
      <c r="D5865">
        <f>10</f>
        <v>10</v>
      </c>
      <c r="E5865" t="str">
        <f>"01 - A - 103 - Semra  Bahadir"</f>
        <v>01 - A - 103 - Semra  Bahadir</v>
      </c>
      <c r="F5865" t="str">
        <f>"MATH COLL ALGEBRA"</f>
        <v>MATH COLL ALGEBRA</v>
      </c>
      <c r="G5865" t="str">
        <f>"21-2107"</f>
        <v>21-2107</v>
      </c>
      <c r="H5865" t="str">
        <f>"A"</f>
        <v>A</v>
      </c>
    </row>
    <row r="5866" spans="1:8" x14ac:dyDescent="0.2">
      <c r="A5866" t="str">
        <f t="shared" si="2153"/>
        <v>0616017811</v>
      </c>
      <c r="B5866" t="str">
        <f t="shared" si="2154"/>
        <v>MALIK</v>
      </c>
      <c r="C5866" t="str">
        <f t="shared" si="2155"/>
        <v>FRASER</v>
      </c>
      <c r="D5866">
        <f>10</f>
        <v>10</v>
      </c>
      <c r="E5866" t="str">
        <f>"08 - S1 - B - 001 - Carol S Moore"</f>
        <v>08 - S1 - B - 001 - Carol S Moore</v>
      </c>
      <c r="F5866" t="str">
        <f>"PER CAR SCH DEV 1 LH"</f>
        <v>PER CAR SCH DEV 1 LH</v>
      </c>
      <c r="G5866" t="str">
        <f>"17-1733"</f>
        <v>17-1733</v>
      </c>
      <c r="H5866" t="str">
        <f>"B"</f>
        <v>B</v>
      </c>
    </row>
    <row r="5867" spans="1:8" x14ac:dyDescent="0.2">
      <c r="A5867" t="str">
        <f t="shared" ref="A5867:A5874" si="2156">"0614009535"</f>
        <v>0614009535</v>
      </c>
      <c r="B5867" t="str">
        <f t="shared" ref="B5867:B5874" si="2157">"ESTHER"</f>
        <v>ESTHER</v>
      </c>
      <c r="C5867" t="str">
        <f t="shared" ref="C5867:C5874" si="2158">"FRAUS"</f>
        <v>FRAUS</v>
      </c>
      <c r="D5867">
        <f>12</f>
        <v>12</v>
      </c>
      <c r="E5867" t="str">
        <f>"04 - S1 - A - 101 - Nahum  Saint-Preux"</f>
        <v>04 - S1 - A - 101 - Nahum  Saint-Preux</v>
      </c>
      <c r="F5867" t="str">
        <f>"CRIT THINK ST SKLS"</f>
        <v>CRIT THINK ST SKLS</v>
      </c>
      <c r="G5867" t="str">
        <f>"17-1712"</f>
        <v>17-1712</v>
      </c>
      <c r="H5867" t="str">
        <f>"A"</f>
        <v>A</v>
      </c>
    </row>
    <row r="5868" spans="1:8" x14ac:dyDescent="0.2">
      <c r="A5868" t="str">
        <f t="shared" si="2156"/>
        <v>0614009535</v>
      </c>
      <c r="B5868" t="str">
        <f t="shared" si="2157"/>
        <v>ESTHER</v>
      </c>
      <c r="C5868" t="str">
        <f t="shared" si="2158"/>
        <v>FRAUS</v>
      </c>
      <c r="D5868">
        <f>12</f>
        <v>12</v>
      </c>
      <c r="E5868" t="str">
        <f>"06 - B - 101 - Cliffon  Saurel"</f>
        <v>06 - B - 101 - Cliffon  Saurel</v>
      </c>
      <c r="F5868" t="str">
        <f>"NC STUDY HALL 1"</f>
        <v>NC STUDY HALL 1</v>
      </c>
      <c r="G5868" t="str">
        <f>"05-522"</f>
        <v>05-522</v>
      </c>
      <c r="H5868" t="str">
        <f>"B"</f>
        <v>B</v>
      </c>
    </row>
    <row r="5869" spans="1:8" x14ac:dyDescent="0.2">
      <c r="A5869" t="str">
        <f t="shared" si="2156"/>
        <v>0614009535</v>
      </c>
      <c r="B5869" t="str">
        <f t="shared" si="2157"/>
        <v>ESTHER</v>
      </c>
      <c r="C5869" t="str">
        <f t="shared" si="2158"/>
        <v>FRAUS</v>
      </c>
      <c r="D5869">
        <f>12</f>
        <v>12</v>
      </c>
      <c r="E5869" t="str">
        <f>"03 - A - 101 - Tina L Lovett"</f>
        <v>03 - A - 101 - Tina L Lovett</v>
      </c>
      <c r="F5869" t="str">
        <f>"MATH DATA &amp; FIN LIT"</f>
        <v>MATH DATA &amp; FIN LIT</v>
      </c>
      <c r="G5869" t="str">
        <f>"21-2153"</f>
        <v>21-2153</v>
      </c>
      <c r="H5869" t="str">
        <f>"A"</f>
        <v>A</v>
      </c>
    </row>
    <row r="5870" spans="1:8" x14ac:dyDescent="0.2">
      <c r="A5870" t="str">
        <f t="shared" si="2156"/>
        <v>0614009535</v>
      </c>
      <c r="B5870" t="str">
        <f t="shared" si="2157"/>
        <v>ESTHER</v>
      </c>
      <c r="C5870" t="str">
        <f t="shared" si="2158"/>
        <v>FRAUS</v>
      </c>
      <c r="D5870">
        <f>12</f>
        <v>12</v>
      </c>
      <c r="E5870" t="str">
        <f>"02 - S1 - A - 104 - Robert O Burger"</f>
        <v>02 - S1 - A - 104 - Robert O Burger</v>
      </c>
      <c r="F5870" t="str">
        <f>"US GOVT"</f>
        <v>US GOVT</v>
      </c>
      <c r="G5870" t="str">
        <f>"17-1755"</f>
        <v>17-1755</v>
      </c>
      <c r="H5870" t="str">
        <f>"A"</f>
        <v>A</v>
      </c>
    </row>
    <row r="5871" spans="1:8" x14ac:dyDescent="0.2">
      <c r="A5871" t="str">
        <f t="shared" si="2156"/>
        <v>0614009535</v>
      </c>
      <c r="B5871" t="str">
        <f t="shared" si="2157"/>
        <v>ESTHER</v>
      </c>
      <c r="C5871" t="str">
        <f t="shared" si="2158"/>
        <v>FRAUS</v>
      </c>
      <c r="D5871">
        <f>12</f>
        <v>12</v>
      </c>
      <c r="E5871" t="str">
        <f>"07 - B - 102 - Chrystina M Marchionne"</f>
        <v>07 - B - 102 - Chrystina M Marchionne</v>
      </c>
      <c r="F5871" t="str">
        <f>"JOURN 3 (YB) LH"</f>
        <v>JOURN 3 (YB) LH</v>
      </c>
      <c r="G5871" t="str">
        <f>"05-520"</f>
        <v>05-520</v>
      </c>
      <c r="H5871" t="str">
        <f>"B"</f>
        <v>B</v>
      </c>
    </row>
    <row r="5872" spans="1:8" x14ac:dyDescent="0.2">
      <c r="A5872" t="str">
        <f t="shared" si="2156"/>
        <v>0614009535</v>
      </c>
      <c r="B5872" t="str">
        <f t="shared" si="2157"/>
        <v>ESTHER</v>
      </c>
      <c r="C5872" t="str">
        <f t="shared" si="2158"/>
        <v>FRAUS</v>
      </c>
      <c r="D5872">
        <f>12</f>
        <v>12</v>
      </c>
      <c r="E5872" t="str">
        <f>"05 - B - 104 - Jeffrey S Gallagher"</f>
        <v>05 - B - 104 - Jeffrey S Gallagher</v>
      </c>
      <c r="F5872" t="str">
        <f>"ENG HON 4"</f>
        <v>ENG HON 4</v>
      </c>
      <c r="G5872" t="str">
        <f>"17-1724"</f>
        <v>17-1724</v>
      </c>
      <c r="H5872" t="str">
        <f>"B"</f>
        <v>B</v>
      </c>
    </row>
    <row r="5873" spans="1:8" x14ac:dyDescent="0.2">
      <c r="A5873" t="str">
        <f t="shared" si="2156"/>
        <v>0614009535</v>
      </c>
      <c r="B5873" t="str">
        <f t="shared" si="2157"/>
        <v>ESTHER</v>
      </c>
      <c r="C5873" t="str">
        <f t="shared" si="2158"/>
        <v>FRAUS</v>
      </c>
      <c r="D5873">
        <f>12</f>
        <v>12</v>
      </c>
      <c r="E5873" t="str">
        <f>"01 - A - 101 - Cliffon  Saurel"</f>
        <v>01 - A - 101 - Cliffon  Saurel</v>
      </c>
      <c r="F5873" t="str">
        <f>"PHYSICAL SCI"</f>
        <v>PHYSICAL SCI</v>
      </c>
      <c r="G5873" t="str">
        <f>"05-522"</f>
        <v>05-522</v>
      </c>
      <c r="H5873" t="str">
        <f>"A"</f>
        <v>A</v>
      </c>
    </row>
    <row r="5874" spans="1:8" x14ac:dyDescent="0.2">
      <c r="A5874" t="str">
        <f t="shared" si="2156"/>
        <v>0614009535</v>
      </c>
      <c r="B5874" t="str">
        <f t="shared" si="2157"/>
        <v>ESTHER</v>
      </c>
      <c r="C5874" t="str">
        <f t="shared" si="2158"/>
        <v>FRAUS</v>
      </c>
      <c r="D5874">
        <f>12</f>
        <v>12</v>
      </c>
      <c r="E5874" t="str">
        <f>"08 - B - 201 - Vanessa J Liburd"</f>
        <v>08 - B - 201 - Vanessa J Liburd</v>
      </c>
      <c r="F5874" t="str">
        <f>"FRENCH 3 HON"</f>
        <v>FRENCH 3 HON</v>
      </c>
      <c r="G5874" t="str">
        <f>"05-519"</f>
        <v>05-519</v>
      </c>
      <c r="H5874" t="str">
        <f>"B"</f>
        <v>B</v>
      </c>
    </row>
    <row r="5875" spans="1:8" x14ac:dyDescent="0.2">
      <c r="A5875" t="str">
        <f t="shared" ref="A5875:A5882" si="2159">"0616104590"</f>
        <v>0616104590</v>
      </c>
      <c r="B5875" t="str">
        <f t="shared" ref="B5875:B5882" si="2160">"D'ASIA"</f>
        <v>D'ASIA</v>
      </c>
      <c r="C5875" t="str">
        <f t="shared" ref="C5875:C5882" si="2161">"FRAZIER"</f>
        <v>FRAZIER</v>
      </c>
      <c r="D5875" t="str">
        <f t="shared" ref="D5875:D5890" si="2162">"09"</f>
        <v>09</v>
      </c>
      <c r="E5875" t="str">
        <f>"04 - A - 102 - Josiah I Lacy"</f>
        <v>04 - A - 102 - Josiah I Lacy</v>
      </c>
      <c r="F5875" t="str">
        <f>"PRE-AICE BIO IG"</f>
        <v>PRE-AICE BIO IG</v>
      </c>
      <c r="G5875" t="str">
        <f>"08-801"</f>
        <v>08-801</v>
      </c>
      <c r="H5875" t="str">
        <f>"A"</f>
        <v>A</v>
      </c>
    </row>
    <row r="5876" spans="1:8" x14ac:dyDescent="0.2">
      <c r="A5876" t="str">
        <f t="shared" si="2159"/>
        <v>0616104590</v>
      </c>
      <c r="B5876" t="str">
        <f t="shared" si="2160"/>
        <v>D'ASIA</v>
      </c>
      <c r="C5876" t="str">
        <f t="shared" si="2161"/>
        <v>FRAZIER</v>
      </c>
      <c r="D5876" t="str">
        <f t="shared" si="2162"/>
        <v>09</v>
      </c>
      <c r="E5876" t="str">
        <f>"06 - B - 104 - Rory T Sponsler"</f>
        <v>06 - B - 104 - Rory T Sponsler</v>
      </c>
      <c r="F5876" t="str">
        <f>"PRE-AICE WRLD HST IG"</f>
        <v>PRE-AICE WRLD HST IG</v>
      </c>
      <c r="G5876" t="str">
        <f>"17-1740"</f>
        <v>17-1740</v>
      </c>
      <c r="H5876" t="str">
        <f>"B"</f>
        <v>B</v>
      </c>
    </row>
    <row r="5877" spans="1:8" x14ac:dyDescent="0.2">
      <c r="A5877" t="str">
        <f t="shared" si="2159"/>
        <v>0616104590</v>
      </c>
      <c r="B5877" t="str">
        <f t="shared" si="2160"/>
        <v>D'ASIA</v>
      </c>
      <c r="C5877" t="str">
        <f t="shared" si="2161"/>
        <v>FRAZIER</v>
      </c>
      <c r="D5877" t="str">
        <f t="shared" si="2162"/>
        <v>09</v>
      </c>
      <c r="E5877" t="str">
        <f>"03 - A - 101 - Helen A Flores"</f>
        <v>03 - A - 101 - Helen A Flores</v>
      </c>
      <c r="F5877" t="str">
        <f>"PRE-AICE MATH 1 IG"</f>
        <v>PRE-AICE MATH 1 IG</v>
      </c>
      <c r="G5877" t="str">
        <f>"21-2101"</f>
        <v>21-2101</v>
      </c>
      <c r="H5877" t="str">
        <f>"A"</f>
        <v>A</v>
      </c>
    </row>
    <row r="5878" spans="1:8" x14ac:dyDescent="0.2">
      <c r="A5878" t="str">
        <f t="shared" si="2159"/>
        <v>0616104590</v>
      </c>
      <c r="B5878" t="str">
        <f t="shared" si="2160"/>
        <v>D'ASIA</v>
      </c>
      <c r="C5878" t="str">
        <f t="shared" si="2161"/>
        <v>FRAZIER</v>
      </c>
      <c r="D5878" t="str">
        <f t="shared" si="2162"/>
        <v>09</v>
      </c>
      <c r="E5878" t="str">
        <f>"02 - A - 107 - Cerine S Stewart"</f>
        <v>02 - A - 107 - Cerine S Stewart</v>
      </c>
      <c r="F5878" t="str">
        <f>"NC STUDY HALL 1"</f>
        <v>NC STUDY HALL 1</v>
      </c>
      <c r="G5878" t="str">
        <f>"17-1720"</f>
        <v>17-1720</v>
      </c>
      <c r="H5878" t="str">
        <f>"A"</f>
        <v>A</v>
      </c>
    </row>
    <row r="5879" spans="1:8" x14ac:dyDescent="0.2">
      <c r="A5879" t="str">
        <f t="shared" si="2159"/>
        <v>0616104590</v>
      </c>
      <c r="B5879" t="str">
        <f t="shared" si="2160"/>
        <v>D'ASIA</v>
      </c>
      <c r="C5879" t="str">
        <f t="shared" si="2161"/>
        <v>FRAZIER</v>
      </c>
      <c r="D5879" t="str">
        <f t="shared" si="2162"/>
        <v>09</v>
      </c>
      <c r="E5879" t="str">
        <f>"07 - B - 002 - Rachel M Montrose"</f>
        <v>07 - B - 002 - Rachel M Montrose</v>
      </c>
      <c r="F5879" t="str">
        <f>"JOURN 1 (NP) LH"</f>
        <v>JOURN 1 (NP) LH</v>
      </c>
      <c r="G5879" t="str">
        <f>"05-521"</f>
        <v>05-521</v>
      </c>
      <c r="H5879" t="str">
        <f>"B"</f>
        <v>B</v>
      </c>
    </row>
    <row r="5880" spans="1:8" x14ac:dyDescent="0.2">
      <c r="A5880" t="str">
        <f t="shared" si="2159"/>
        <v>0616104590</v>
      </c>
      <c r="B5880" t="str">
        <f t="shared" si="2160"/>
        <v>D'ASIA</v>
      </c>
      <c r="C5880" t="str">
        <f t="shared" si="2161"/>
        <v>FRAZIER</v>
      </c>
      <c r="D5880" t="str">
        <f t="shared" si="2162"/>
        <v>09</v>
      </c>
      <c r="E5880" t="str">
        <f>"05 - B - 002 - Cheryl Anne  Berman-Schechter"</f>
        <v>05 - B - 002 - Cheryl Anne  Berman-Schechter</v>
      </c>
      <c r="F5880" t="str">
        <f>"AICE ENG GEN PAPER 1"</f>
        <v>AICE ENG GEN PAPER 1</v>
      </c>
      <c r="G5880" t="str">
        <f>"17-1722"</f>
        <v>17-1722</v>
      </c>
      <c r="H5880" t="str">
        <f>"B"</f>
        <v>B</v>
      </c>
    </row>
    <row r="5881" spans="1:8" x14ac:dyDescent="0.2">
      <c r="A5881" t="str">
        <f t="shared" si="2159"/>
        <v>0616104590</v>
      </c>
      <c r="B5881" t="str">
        <f t="shared" si="2160"/>
        <v>D'ASIA</v>
      </c>
      <c r="C5881" t="str">
        <f t="shared" si="2161"/>
        <v>FRAZIER</v>
      </c>
      <c r="D5881" t="str">
        <f t="shared" si="2162"/>
        <v>09</v>
      </c>
      <c r="E5881" t="str">
        <f>"01 - A - 101 - Adam Marcus  Drucker"</f>
        <v>01 - A - 101 - Adam Marcus  Drucker</v>
      </c>
      <c r="F5881" t="str">
        <f>"HOPE-PE V"</f>
        <v>HOPE-PE V</v>
      </c>
      <c r="G5881" t="str">
        <f>"04-254"</f>
        <v>04-254</v>
      </c>
      <c r="H5881" t="str">
        <f>"A"</f>
        <v>A</v>
      </c>
    </row>
    <row r="5882" spans="1:8" x14ac:dyDescent="0.2">
      <c r="A5882" t="str">
        <f t="shared" si="2159"/>
        <v>0616104590</v>
      </c>
      <c r="B5882" t="str">
        <f t="shared" si="2160"/>
        <v>D'ASIA</v>
      </c>
      <c r="C5882" t="str">
        <f t="shared" si="2161"/>
        <v>FRAZIER</v>
      </c>
      <c r="D5882" t="str">
        <f t="shared" si="2162"/>
        <v>09</v>
      </c>
      <c r="E5882" t="str">
        <f>"08 - S1 - B - 104 - Angela S Adeshina-Morrison"</f>
        <v>08 - S1 - B - 104 - Angela S Adeshina-Morrison</v>
      </c>
      <c r="F5882" t="str">
        <f>"PEER COUN 1"</f>
        <v>PEER COUN 1</v>
      </c>
      <c r="G5882" t="str">
        <f>"05-518"</f>
        <v>05-518</v>
      </c>
      <c r="H5882" t="str">
        <f>"B"</f>
        <v>B</v>
      </c>
    </row>
    <row r="5883" spans="1:8" x14ac:dyDescent="0.2">
      <c r="A5883" t="str">
        <f t="shared" ref="A5883:A5890" si="2163">"0617050853"</f>
        <v>0617050853</v>
      </c>
      <c r="B5883" t="str">
        <f t="shared" ref="B5883:B5890" si="2164">"LAYLA"</f>
        <v>LAYLA</v>
      </c>
      <c r="C5883" t="str">
        <f t="shared" ref="C5883:C5890" si="2165">"FREDERICK"</f>
        <v>FREDERICK</v>
      </c>
      <c r="D5883" t="str">
        <f t="shared" si="2162"/>
        <v>09</v>
      </c>
      <c r="E5883" t="str">
        <f>"04 - A - 101 - Chrystina M Marchionne"</f>
        <v>04 - A - 101 - Chrystina M Marchionne</v>
      </c>
      <c r="F5883" t="str">
        <f>"THEA CIN &amp; FILM LH"</f>
        <v>THEA CIN &amp; FILM LH</v>
      </c>
      <c r="G5883" t="str">
        <f>"05-520"</f>
        <v>05-520</v>
      </c>
      <c r="H5883" t="str">
        <f>"A"</f>
        <v>A</v>
      </c>
    </row>
    <row r="5884" spans="1:8" x14ac:dyDescent="0.2">
      <c r="A5884" t="str">
        <f t="shared" si="2163"/>
        <v>0617050853</v>
      </c>
      <c r="B5884" t="str">
        <f t="shared" si="2164"/>
        <v>LAYLA</v>
      </c>
      <c r="C5884" t="str">
        <f t="shared" si="2165"/>
        <v>FREDERICK</v>
      </c>
      <c r="D5884" t="str">
        <f t="shared" si="2162"/>
        <v>09</v>
      </c>
      <c r="E5884" t="str">
        <f>"06 - B - 104 - Rory T Sponsler"</f>
        <v>06 - B - 104 - Rory T Sponsler</v>
      </c>
      <c r="F5884" t="str">
        <f>"PRE-AICE WRLD HST IG"</f>
        <v>PRE-AICE WRLD HST IG</v>
      </c>
      <c r="G5884" t="str">
        <f>"17-1740"</f>
        <v>17-1740</v>
      </c>
      <c r="H5884" t="str">
        <f>"B"</f>
        <v>B</v>
      </c>
    </row>
    <row r="5885" spans="1:8" x14ac:dyDescent="0.2">
      <c r="A5885" t="str">
        <f t="shared" si="2163"/>
        <v>0617050853</v>
      </c>
      <c r="B5885" t="str">
        <f t="shared" si="2164"/>
        <v>LAYLA</v>
      </c>
      <c r="C5885" t="str">
        <f t="shared" si="2165"/>
        <v>FREDERICK</v>
      </c>
      <c r="D5885" t="str">
        <f t="shared" si="2162"/>
        <v>09</v>
      </c>
      <c r="E5885" t="str">
        <f>"03 - A - 101 - Helen A Flores"</f>
        <v>03 - A - 101 - Helen A Flores</v>
      </c>
      <c r="F5885" t="str">
        <f>"PRE-AICE MATH 1 IG"</f>
        <v>PRE-AICE MATH 1 IG</v>
      </c>
      <c r="G5885" t="str">
        <f>"21-2101"</f>
        <v>21-2101</v>
      </c>
      <c r="H5885" t="str">
        <f>"A"</f>
        <v>A</v>
      </c>
    </row>
    <row r="5886" spans="1:8" x14ac:dyDescent="0.2">
      <c r="A5886" t="str">
        <f t="shared" si="2163"/>
        <v>0617050853</v>
      </c>
      <c r="B5886" t="str">
        <f t="shared" si="2164"/>
        <v>LAYLA</v>
      </c>
      <c r="C5886" t="str">
        <f t="shared" si="2165"/>
        <v>FREDERICK</v>
      </c>
      <c r="D5886" t="str">
        <f t="shared" si="2162"/>
        <v>09</v>
      </c>
      <c r="E5886" t="str">
        <f>"02 - A - 104 - Lytrell T Dixon"</f>
        <v>02 - A - 104 - Lytrell T Dixon</v>
      </c>
      <c r="F5886" t="str">
        <f>"NC STUDY HALL 1"</f>
        <v>NC STUDY HALL 1</v>
      </c>
      <c r="G5886" t="str">
        <f>"08-808"</f>
        <v>08-808</v>
      </c>
      <c r="H5886" t="str">
        <f>"A"</f>
        <v>A</v>
      </c>
    </row>
    <row r="5887" spans="1:8" x14ac:dyDescent="0.2">
      <c r="A5887" t="str">
        <f t="shared" si="2163"/>
        <v>0617050853</v>
      </c>
      <c r="B5887" t="str">
        <f t="shared" si="2164"/>
        <v>LAYLA</v>
      </c>
      <c r="C5887" t="str">
        <f t="shared" si="2165"/>
        <v>FREDERICK</v>
      </c>
      <c r="D5887" t="str">
        <f t="shared" si="2162"/>
        <v>09</v>
      </c>
      <c r="E5887" t="str">
        <f>"07 - B - 003 - Brandy N Zdenek"</f>
        <v>07 - B - 003 - Brandy N Zdenek</v>
      </c>
      <c r="F5887" t="str">
        <f>"AICE ENG GEN PAPER 1"</f>
        <v>AICE ENG GEN PAPER 1</v>
      </c>
      <c r="G5887" t="str">
        <f>"17-1704"</f>
        <v>17-1704</v>
      </c>
      <c r="H5887" t="str">
        <f>"B"</f>
        <v>B</v>
      </c>
    </row>
    <row r="5888" spans="1:8" x14ac:dyDescent="0.2">
      <c r="A5888" t="str">
        <f t="shared" si="2163"/>
        <v>0617050853</v>
      </c>
      <c r="B5888" t="str">
        <f t="shared" si="2164"/>
        <v>LAYLA</v>
      </c>
      <c r="C5888" t="str">
        <f t="shared" si="2165"/>
        <v>FREDERICK</v>
      </c>
      <c r="D5888" t="str">
        <f t="shared" si="2162"/>
        <v>09</v>
      </c>
      <c r="E5888" t="str">
        <f>"05 - B - 205 - Rosa Elaine  Collado-Duff"</f>
        <v>05 - B - 205 - Rosa Elaine  Collado-Duff</v>
      </c>
      <c r="F5888" t="str">
        <f>"PRE-AICE SPAN 2 IG"</f>
        <v>PRE-AICE SPAN 2 IG</v>
      </c>
      <c r="G5888" t="str">
        <f>"09-913"</f>
        <v>09-913</v>
      </c>
      <c r="H5888" t="str">
        <f>"B"</f>
        <v>B</v>
      </c>
    </row>
    <row r="5889" spans="1:8" x14ac:dyDescent="0.2">
      <c r="A5889" t="str">
        <f t="shared" si="2163"/>
        <v>0617050853</v>
      </c>
      <c r="B5889" t="str">
        <f t="shared" si="2164"/>
        <v>LAYLA</v>
      </c>
      <c r="C5889" t="str">
        <f t="shared" si="2165"/>
        <v>FREDERICK</v>
      </c>
      <c r="D5889" t="str">
        <f t="shared" si="2162"/>
        <v>09</v>
      </c>
      <c r="E5889" t="str">
        <f>"01 - A - 101 - Josiah I Lacy"</f>
        <v>01 - A - 101 - Josiah I Lacy</v>
      </c>
      <c r="F5889" t="str">
        <f>"PRE-AICE BIO IG"</f>
        <v>PRE-AICE BIO IG</v>
      </c>
      <c r="G5889" t="str">
        <f>"08-801"</f>
        <v>08-801</v>
      </c>
      <c r="H5889" t="str">
        <f>"A"</f>
        <v>A</v>
      </c>
    </row>
    <row r="5890" spans="1:8" x14ac:dyDescent="0.2">
      <c r="A5890" t="str">
        <f t="shared" si="2163"/>
        <v>0617050853</v>
      </c>
      <c r="B5890" t="str">
        <f t="shared" si="2164"/>
        <v>LAYLA</v>
      </c>
      <c r="C5890" t="str">
        <f t="shared" si="2165"/>
        <v>FREDERICK</v>
      </c>
      <c r="D5890" t="str">
        <f t="shared" si="2162"/>
        <v>09</v>
      </c>
      <c r="E5890" t="str">
        <f>"08 - B - 101 - Jazmin S Fletcher"</f>
        <v>08 - B - 101 - Jazmin S Fletcher</v>
      </c>
      <c r="F5890" t="str">
        <f>"PRE-AICE DRAMA 1G"</f>
        <v>PRE-AICE DRAMA 1G</v>
      </c>
      <c r="G5890" t="str">
        <f>"09-909"</f>
        <v>09-909</v>
      </c>
      <c r="H5890" t="str">
        <f>"B"</f>
        <v>B</v>
      </c>
    </row>
    <row r="5891" spans="1:8" x14ac:dyDescent="0.2">
      <c r="A5891" t="str">
        <f t="shared" ref="A5891:A5899" si="2166">"0615027867"</f>
        <v>0615027867</v>
      </c>
      <c r="B5891" t="str">
        <f t="shared" ref="B5891:B5899" si="2167">"LEAH"</f>
        <v>LEAH</v>
      </c>
      <c r="C5891" t="str">
        <f t="shared" ref="C5891:C5899" si="2168">"FRESCO"</f>
        <v>FRESCO</v>
      </c>
      <c r="D5891">
        <f>11</f>
        <v>11</v>
      </c>
      <c r="E5891" t="str">
        <f>"19 - S1 - MTWHF - B18 - Instructor BC"</f>
        <v>19 - S1 - MTWHF - B18 - Instructor BC</v>
      </c>
      <c r="F5891" t="str">
        <f>"BUSINESS LAW I"</f>
        <v>BUSINESS LAW I</v>
      </c>
      <c r="G5891" t="str">
        <f>"60-DE"</f>
        <v>60-DE</v>
      </c>
      <c r="H5891" t="str">
        <f>"-"</f>
        <v>-</v>
      </c>
    </row>
    <row r="5892" spans="1:8" x14ac:dyDescent="0.2">
      <c r="A5892" t="str">
        <f t="shared" si="2166"/>
        <v>0615027867</v>
      </c>
      <c r="B5892" t="str">
        <f t="shared" si="2167"/>
        <v>LEAH</v>
      </c>
      <c r="C5892" t="str">
        <f t="shared" si="2168"/>
        <v>FRESCO</v>
      </c>
      <c r="D5892">
        <f>11</f>
        <v>11</v>
      </c>
      <c r="E5892" t="str">
        <f>"04 - A - 101 - Stefanie S Scher"</f>
        <v>04 - A - 101 - Stefanie S Scher</v>
      </c>
      <c r="F5892" t="str">
        <f>"AP PSYCH"</f>
        <v>AP PSYCH</v>
      </c>
      <c r="G5892" t="str">
        <f>"17-1735"</f>
        <v>17-1735</v>
      </c>
      <c r="H5892" t="str">
        <f>"A"</f>
        <v>A</v>
      </c>
    </row>
    <row r="5893" spans="1:8" x14ac:dyDescent="0.2">
      <c r="A5893" t="str">
        <f t="shared" si="2166"/>
        <v>0615027867</v>
      </c>
      <c r="B5893" t="str">
        <f t="shared" si="2167"/>
        <v>LEAH</v>
      </c>
      <c r="C5893" t="str">
        <f t="shared" si="2168"/>
        <v>FRESCO</v>
      </c>
      <c r="D5893">
        <f>11</f>
        <v>11</v>
      </c>
      <c r="E5893" t="str">
        <f>"06 - B - 104 - Brandy N Zdenek"</f>
        <v>06 - B - 104 - Brandy N Zdenek</v>
      </c>
      <c r="F5893" t="str">
        <f>"AICE ENG LANG 2 AL"</f>
        <v>AICE ENG LANG 2 AL</v>
      </c>
      <c r="G5893" t="str">
        <f>"17-1704"</f>
        <v>17-1704</v>
      </c>
      <c r="H5893" t="str">
        <f>"B"</f>
        <v>B</v>
      </c>
    </row>
    <row r="5894" spans="1:8" x14ac:dyDescent="0.2">
      <c r="A5894" t="str">
        <f t="shared" si="2166"/>
        <v>0615027867</v>
      </c>
      <c r="B5894" t="str">
        <f t="shared" si="2167"/>
        <v>LEAH</v>
      </c>
      <c r="C5894" t="str">
        <f t="shared" si="2168"/>
        <v>FRESCO</v>
      </c>
      <c r="D5894">
        <f>11</f>
        <v>11</v>
      </c>
      <c r="E5894" t="str">
        <f>"03 - A - 204 - Norayda D Suarez"</f>
        <v>03 - A - 204 - Norayda D Suarez</v>
      </c>
      <c r="F5894" t="str">
        <f>"ANAT PHYSIO HON"</f>
        <v>ANAT PHYSIO HON</v>
      </c>
      <c r="G5894" t="str">
        <f>"21-2144"</f>
        <v>21-2144</v>
      </c>
      <c r="H5894" t="str">
        <f>"A"</f>
        <v>A</v>
      </c>
    </row>
    <row r="5895" spans="1:8" x14ac:dyDescent="0.2">
      <c r="A5895" t="str">
        <f t="shared" si="2166"/>
        <v>0615027867</v>
      </c>
      <c r="B5895" t="str">
        <f t="shared" si="2167"/>
        <v>LEAH</v>
      </c>
      <c r="C5895" t="str">
        <f t="shared" si="2168"/>
        <v>FRESCO</v>
      </c>
      <c r="D5895">
        <f>11</f>
        <v>11</v>
      </c>
      <c r="E5895" t="str">
        <f>"02 - A - 103 - Kelly N Panza"</f>
        <v>02 - A - 103 - Kelly N Panza</v>
      </c>
      <c r="F5895" t="str">
        <f>"NC STUDY HALL 1"</f>
        <v>NC STUDY HALL 1</v>
      </c>
      <c r="G5895" t="str">
        <f>"17-1753"</f>
        <v>17-1753</v>
      </c>
      <c r="H5895" t="str">
        <f>"A"</f>
        <v>A</v>
      </c>
    </row>
    <row r="5896" spans="1:8" x14ac:dyDescent="0.2">
      <c r="A5896" t="str">
        <f t="shared" si="2166"/>
        <v>0615027867</v>
      </c>
      <c r="B5896" t="str">
        <f t="shared" si="2167"/>
        <v>LEAH</v>
      </c>
      <c r="C5896" t="str">
        <f t="shared" si="2168"/>
        <v>FRESCO</v>
      </c>
      <c r="D5896">
        <f>11</f>
        <v>11</v>
      </c>
      <c r="E5896" t="str">
        <f>"07 - B - 104 - Jerry S Jiampetti"</f>
        <v>07 - B - 104 - Jerry S Jiampetti</v>
      </c>
      <c r="F5896" t="str">
        <f>"AICE U.S. HIST 1 AS"</f>
        <v>AICE U.S. HIST 1 AS</v>
      </c>
      <c r="G5896" t="str">
        <f>"17-1751"</f>
        <v>17-1751</v>
      </c>
      <c r="H5896" t="str">
        <f>"B"</f>
        <v>B</v>
      </c>
    </row>
    <row r="5897" spans="1:8" x14ac:dyDescent="0.2">
      <c r="A5897" t="str">
        <f t="shared" si="2166"/>
        <v>0615027867</v>
      </c>
      <c r="B5897" t="str">
        <f t="shared" si="2167"/>
        <v>LEAH</v>
      </c>
      <c r="C5897" t="str">
        <f t="shared" si="2168"/>
        <v>FRESCO</v>
      </c>
      <c r="D5897">
        <f>11</f>
        <v>11</v>
      </c>
      <c r="E5897" t="str">
        <f>"05 - B - 202 - Daniel S Katz"</f>
        <v>05 - B - 202 - Daniel S Katz</v>
      </c>
      <c r="F5897" t="str">
        <f>"EXEC INTERN 3 LH"</f>
        <v>EXEC INTERN 3 LH</v>
      </c>
      <c r="G5897" t="str">
        <f>"21-2156"</f>
        <v>21-2156</v>
      </c>
      <c r="H5897" t="str">
        <f>"B"</f>
        <v>B</v>
      </c>
    </row>
    <row r="5898" spans="1:8" x14ac:dyDescent="0.2">
      <c r="A5898" t="str">
        <f t="shared" si="2166"/>
        <v>0615027867</v>
      </c>
      <c r="B5898" t="str">
        <f t="shared" si="2167"/>
        <v>LEAH</v>
      </c>
      <c r="C5898" t="str">
        <f t="shared" si="2168"/>
        <v>FRESCO</v>
      </c>
      <c r="D5898">
        <f>11</f>
        <v>11</v>
      </c>
      <c r="E5898" t="str">
        <f>"01 - A - 101 - Lisa J London"</f>
        <v>01 - A - 101 - Lisa J London</v>
      </c>
      <c r="F5898" t="str">
        <f>"AP CAPSTONE SEMINAR"</f>
        <v>AP CAPSTONE SEMINAR</v>
      </c>
      <c r="G5898" t="str">
        <f>"17-1714"</f>
        <v>17-1714</v>
      </c>
      <c r="H5898" t="str">
        <f>"A"</f>
        <v>A</v>
      </c>
    </row>
    <row r="5899" spans="1:8" x14ac:dyDescent="0.2">
      <c r="A5899" t="str">
        <f t="shared" si="2166"/>
        <v>0615027867</v>
      </c>
      <c r="B5899" t="str">
        <f t="shared" si="2167"/>
        <v>LEAH</v>
      </c>
      <c r="C5899" t="str">
        <f t="shared" si="2168"/>
        <v>FRESCO</v>
      </c>
      <c r="D5899">
        <f>11</f>
        <v>11</v>
      </c>
      <c r="E5899" t="str">
        <f>"08 - B - 105 - Semra  Bahadir"</f>
        <v>08 - B - 105 - Semra  Bahadir</v>
      </c>
      <c r="F5899" t="str">
        <f>"MATH COLL ALGEBRA"</f>
        <v>MATH COLL ALGEBRA</v>
      </c>
      <c r="G5899" t="str">
        <f>"21-2107"</f>
        <v>21-2107</v>
      </c>
      <c r="H5899" t="str">
        <f>"B"</f>
        <v>B</v>
      </c>
    </row>
    <row r="5900" spans="1:8" x14ac:dyDescent="0.2">
      <c r="A5900" t="str">
        <f t="shared" ref="A5900:A5907" si="2169">"0616098708"</f>
        <v>0616098708</v>
      </c>
      <c r="B5900" t="str">
        <f t="shared" ref="B5900:B5907" si="2170">"LUCIANA"</f>
        <v>LUCIANA</v>
      </c>
      <c r="C5900" t="str">
        <f t="shared" ref="C5900:C5907" si="2171">"FRIEDMAN-ANNUNZIATA"</f>
        <v>FRIEDMAN-ANNUNZIATA</v>
      </c>
      <c r="D5900" t="str">
        <f t="shared" ref="D5900:D5907" si="2172">"09"</f>
        <v>09</v>
      </c>
      <c r="E5900" t="str">
        <f>"04 - A - 104 - Brook E Goren"</f>
        <v>04 - A - 104 - Brook E Goren</v>
      </c>
      <c r="F5900" t="str">
        <f>"ALGEBRA 2 HON"</f>
        <v>ALGEBRA 2 HON</v>
      </c>
      <c r="G5900" t="str">
        <f>"21-2158"</f>
        <v>21-2158</v>
      </c>
      <c r="H5900" t="str">
        <f>"A"</f>
        <v>A</v>
      </c>
    </row>
    <row r="5901" spans="1:8" x14ac:dyDescent="0.2">
      <c r="A5901" t="str">
        <f t="shared" si="2169"/>
        <v>0616098708</v>
      </c>
      <c r="B5901" t="str">
        <f t="shared" si="2170"/>
        <v>LUCIANA</v>
      </c>
      <c r="C5901" t="str">
        <f t="shared" si="2171"/>
        <v>FRIEDMAN-ANNUNZIATA</v>
      </c>
      <c r="D5901" t="str">
        <f t="shared" si="2172"/>
        <v>09</v>
      </c>
      <c r="E5901" t="str">
        <f>"06 - B - 104 - Eva T Rimmer"</f>
        <v>06 - B - 104 - Eva T Rimmer</v>
      </c>
      <c r="F5901" t="str">
        <f>"CRIMINAL JUST OPS 1"</f>
        <v>CRIMINAL JUST OPS 1</v>
      </c>
      <c r="G5901" t="str">
        <f>"05-523"</f>
        <v>05-523</v>
      </c>
      <c r="H5901" t="str">
        <f>"B"</f>
        <v>B</v>
      </c>
    </row>
    <row r="5902" spans="1:8" x14ac:dyDescent="0.2">
      <c r="A5902" t="str">
        <f t="shared" si="2169"/>
        <v>0616098708</v>
      </c>
      <c r="B5902" t="str">
        <f t="shared" si="2170"/>
        <v>LUCIANA</v>
      </c>
      <c r="C5902" t="str">
        <f t="shared" si="2171"/>
        <v>FRIEDMAN-ANNUNZIATA</v>
      </c>
      <c r="D5902" t="str">
        <f t="shared" si="2172"/>
        <v>09</v>
      </c>
      <c r="E5902" t="str">
        <f>"03 - A - 202 - Cheryl L Beach"</f>
        <v>03 - A - 202 - Cheryl L Beach</v>
      </c>
      <c r="F5902" t="str">
        <f>"AICE ENV MGMNT AS"</f>
        <v>AICE ENV MGMNT AS</v>
      </c>
      <c r="G5902" t="str">
        <f>"08-811"</f>
        <v>08-811</v>
      </c>
      <c r="H5902" t="str">
        <f>"A"</f>
        <v>A</v>
      </c>
    </row>
    <row r="5903" spans="1:8" x14ac:dyDescent="0.2">
      <c r="A5903" t="str">
        <f t="shared" si="2169"/>
        <v>0616098708</v>
      </c>
      <c r="B5903" t="str">
        <f t="shared" si="2170"/>
        <v>LUCIANA</v>
      </c>
      <c r="C5903" t="str">
        <f t="shared" si="2171"/>
        <v>FRIEDMAN-ANNUNZIATA</v>
      </c>
      <c r="D5903" t="str">
        <f t="shared" si="2172"/>
        <v>09</v>
      </c>
      <c r="E5903" t="str">
        <f>"02 - A - 108 - Rory T Sponsler"</f>
        <v>02 - A - 108 - Rory T Sponsler</v>
      </c>
      <c r="F5903" t="str">
        <f>"NC STUDY HALL 1"</f>
        <v>NC STUDY HALL 1</v>
      </c>
      <c r="G5903" t="str">
        <f>"17-1740"</f>
        <v>17-1740</v>
      </c>
      <c r="H5903" t="str">
        <f>"A"</f>
        <v>A</v>
      </c>
    </row>
    <row r="5904" spans="1:8" x14ac:dyDescent="0.2">
      <c r="A5904" t="str">
        <f t="shared" si="2169"/>
        <v>0616098708</v>
      </c>
      <c r="B5904" t="str">
        <f t="shared" si="2170"/>
        <v>LUCIANA</v>
      </c>
      <c r="C5904" t="str">
        <f t="shared" si="2171"/>
        <v>FRIEDMAN-ANNUNZIATA</v>
      </c>
      <c r="D5904" t="str">
        <f t="shared" si="2172"/>
        <v>09</v>
      </c>
      <c r="E5904" t="str">
        <f>"07 - B - 003 - Brandy N Zdenek"</f>
        <v>07 - B - 003 - Brandy N Zdenek</v>
      </c>
      <c r="F5904" t="str">
        <f>"AICE ENG GEN PAPER 1"</f>
        <v>AICE ENG GEN PAPER 1</v>
      </c>
      <c r="G5904" t="str">
        <f>"17-1704"</f>
        <v>17-1704</v>
      </c>
      <c r="H5904" t="str">
        <f>"B"</f>
        <v>B</v>
      </c>
    </row>
    <row r="5905" spans="1:8" x14ac:dyDescent="0.2">
      <c r="A5905" t="str">
        <f t="shared" si="2169"/>
        <v>0616098708</v>
      </c>
      <c r="B5905" t="str">
        <f t="shared" si="2170"/>
        <v>LUCIANA</v>
      </c>
      <c r="C5905" t="str">
        <f t="shared" si="2171"/>
        <v>FRIEDMAN-ANNUNZIATA</v>
      </c>
      <c r="D5905" t="str">
        <f t="shared" si="2172"/>
        <v>09</v>
      </c>
      <c r="E5905" t="str">
        <f>"05 - B - 101 - Arthur  Kulawik"</f>
        <v>05 - B - 101 - Arthur  Kulawik</v>
      </c>
      <c r="F5905" t="str">
        <f>"DEBATE 2 LH"</f>
        <v>DEBATE 2 LH</v>
      </c>
      <c r="G5905" t="str">
        <f>"05-506"</f>
        <v>05-506</v>
      </c>
      <c r="H5905" t="str">
        <f>"B"</f>
        <v>B</v>
      </c>
    </row>
    <row r="5906" spans="1:8" x14ac:dyDescent="0.2">
      <c r="A5906" t="str">
        <f t="shared" si="2169"/>
        <v>0616098708</v>
      </c>
      <c r="B5906" t="str">
        <f t="shared" si="2170"/>
        <v>LUCIANA</v>
      </c>
      <c r="C5906" t="str">
        <f t="shared" si="2171"/>
        <v>FRIEDMAN-ANNUNZIATA</v>
      </c>
      <c r="D5906" t="str">
        <f t="shared" si="2172"/>
        <v>09</v>
      </c>
      <c r="E5906" t="str">
        <f>"01 - A - 002 - Krystal Marie  Beruty"</f>
        <v>01 - A - 002 - Krystal Marie  Beruty</v>
      </c>
      <c r="F5906" t="str">
        <f>"AICE GLBL PERSP 1 AS"</f>
        <v>AICE GLBL PERSP 1 AS</v>
      </c>
      <c r="G5906" t="str">
        <f>"17-1721"</f>
        <v>17-1721</v>
      </c>
      <c r="H5906" t="str">
        <f>"A"</f>
        <v>A</v>
      </c>
    </row>
    <row r="5907" spans="1:8" x14ac:dyDescent="0.2">
      <c r="A5907" t="str">
        <f t="shared" si="2169"/>
        <v>0616098708</v>
      </c>
      <c r="B5907" t="str">
        <f t="shared" si="2170"/>
        <v>LUCIANA</v>
      </c>
      <c r="C5907" t="str">
        <f t="shared" si="2171"/>
        <v>FRIEDMAN-ANNUNZIATA</v>
      </c>
      <c r="D5907" t="str">
        <f t="shared" si="2172"/>
        <v>09</v>
      </c>
      <c r="E5907" t="str">
        <f>"08 - B - 101 - Alejandro  Navarro"</f>
        <v>08 - B - 101 - Alejandro  Navarro</v>
      </c>
      <c r="F5907" t="str">
        <f>"GUITAR 1"</f>
        <v>GUITAR 1</v>
      </c>
      <c r="G5907" t="str">
        <f>"05-504"</f>
        <v>05-504</v>
      </c>
      <c r="H5907" t="str">
        <f>"B"</f>
        <v>B</v>
      </c>
    </row>
    <row r="5908" spans="1:8" x14ac:dyDescent="0.2">
      <c r="A5908" t="str">
        <f t="shared" ref="A5908:A5915" si="2173">"0613104915"</f>
        <v>0613104915</v>
      </c>
      <c r="B5908" t="str">
        <f t="shared" ref="B5908:B5915" si="2174">"SOFIA"</f>
        <v>SOFIA</v>
      </c>
      <c r="C5908" t="str">
        <f t="shared" ref="C5908:C5915" si="2175">"FROES"</f>
        <v>FROES</v>
      </c>
      <c r="D5908">
        <f>12</f>
        <v>12</v>
      </c>
      <c r="E5908" t="str">
        <f>"04 - A - 101 - Brian M Fitzgerald"</f>
        <v>04 - A - 101 - Brian M Fitzgerald</v>
      </c>
      <c r="F5908" t="str">
        <f>"AP 2-D ART &amp; DESIGN"</f>
        <v>AP 2-D ART &amp; DESIGN</v>
      </c>
      <c r="G5908" t="str">
        <f>"09-908"</f>
        <v>09-908</v>
      </c>
      <c r="H5908" t="str">
        <f>"A"</f>
        <v>A</v>
      </c>
    </row>
    <row r="5909" spans="1:8" x14ac:dyDescent="0.2">
      <c r="A5909" t="str">
        <f t="shared" si="2173"/>
        <v>0613104915</v>
      </c>
      <c r="B5909" t="str">
        <f t="shared" si="2174"/>
        <v>SOFIA</v>
      </c>
      <c r="C5909" t="str">
        <f t="shared" si="2175"/>
        <v>FROES</v>
      </c>
      <c r="D5909">
        <f>12</f>
        <v>12</v>
      </c>
      <c r="E5909" t="str">
        <f>"06 - B - 103 - Stefanie S Scher"</f>
        <v>06 - B - 103 - Stefanie S Scher</v>
      </c>
      <c r="F5909" t="str">
        <f>"NC STUDY HALL 1"</f>
        <v>NC STUDY HALL 1</v>
      </c>
      <c r="G5909" t="str">
        <f>"17-1735"</f>
        <v>17-1735</v>
      </c>
      <c r="H5909" t="str">
        <f>"B"</f>
        <v>B</v>
      </c>
    </row>
    <row r="5910" spans="1:8" x14ac:dyDescent="0.2">
      <c r="A5910" t="str">
        <f t="shared" si="2173"/>
        <v>0613104915</v>
      </c>
      <c r="B5910" t="str">
        <f t="shared" si="2174"/>
        <v>SOFIA</v>
      </c>
      <c r="C5910" t="str">
        <f t="shared" si="2175"/>
        <v>FROES</v>
      </c>
      <c r="D5910">
        <f>12</f>
        <v>12</v>
      </c>
      <c r="E5910" t="str">
        <f>"03 - A - 103 - Norayda D Suarez"</f>
        <v>03 - A - 103 - Norayda D Suarez</v>
      </c>
      <c r="F5910" t="str">
        <f>"RESEARCH 1 LH"</f>
        <v>RESEARCH 1 LH</v>
      </c>
      <c r="G5910">
        <f>2041</f>
        <v>2041</v>
      </c>
      <c r="H5910" t="str">
        <f>"A"</f>
        <v>A</v>
      </c>
    </row>
    <row r="5911" spans="1:8" x14ac:dyDescent="0.2">
      <c r="A5911" t="str">
        <f t="shared" si="2173"/>
        <v>0613104915</v>
      </c>
      <c r="B5911" t="str">
        <f t="shared" si="2174"/>
        <v>SOFIA</v>
      </c>
      <c r="C5911" t="str">
        <f t="shared" si="2175"/>
        <v>FROES</v>
      </c>
      <c r="D5911">
        <f>12</f>
        <v>12</v>
      </c>
      <c r="E5911" t="str">
        <f>"02 - A - 204 - Jacqueline R Morphet"</f>
        <v>02 - A - 204 - Jacqueline R Morphet</v>
      </c>
      <c r="F5911" t="str">
        <f>"PHYSICS 1 HON"</f>
        <v>PHYSICS 1 HON</v>
      </c>
      <c r="G5911" t="str">
        <f>"21-2138"</f>
        <v>21-2138</v>
      </c>
      <c r="H5911" t="str">
        <f>"A"</f>
        <v>A</v>
      </c>
    </row>
    <row r="5912" spans="1:8" x14ac:dyDescent="0.2">
      <c r="A5912" t="str">
        <f t="shared" si="2173"/>
        <v>0613104915</v>
      </c>
      <c r="B5912" t="str">
        <f t="shared" si="2174"/>
        <v>SOFIA</v>
      </c>
      <c r="C5912" t="str">
        <f t="shared" si="2175"/>
        <v>FROES</v>
      </c>
      <c r="D5912">
        <f>12</f>
        <v>12</v>
      </c>
      <c r="E5912" t="str">
        <f>"07 - S1 - B - 102 - Barbara L Segal"</f>
        <v>07 - S1 - B - 102 - Barbara L Segal</v>
      </c>
      <c r="F5912" t="str">
        <f>"AP US GOVT/POL"</f>
        <v>AP US GOVT/POL</v>
      </c>
      <c r="G5912" t="str">
        <f>"17-1742"</f>
        <v>17-1742</v>
      </c>
      <c r="H5912" t="str">
        <f>"B"</f>
        <v>B</v>
      </c>
    </row>
    <row r="5913" spans="1:8" x14ac:dyDescent="0.2">
      <c r="A5913" t="str">
        <f t="shared" si="2173"/>
        <v>0613104915</v>
      </c>
      <c r="B5913" t="str">
        <f t="shared" si="2174"/>
        <v>SOFIA</v>
      </c>
      <c r="C5913" t="str">
        <f t="shared" si="2175"/>
        <v>FROES</v>
      </c>
      <c r="D5913">
        <f>12</f>
        <v>12</v>
      </c>
      <c r="E5913" t="str">
        <f>"05 - B - 103 - Chrystina M Marchionne"</f>
        <v>05 - B - 103 - Chrystina M Marchionne</v>
      </c>
      <c r="F5913" t="str">
        <f>"AICE MEDIA STUDIES A"</f>
        <v>AICE MEDIA STUDIES A</v>
      </c>
      <c r="G5913" t="str">
        <f>"05-520"</f>
        <v>05-520</v>
      </c>
      <c r="H5913" t="str">
        <f>"B"</f>
        <v>B</v>
      </c>
    </row>
    <row r="5914" spans="1:8" x14ac:dyDescent="0.2">
      <c r="A5914" t="str">
        <f t="shared" si="2173"/>
        <v>0613104915</v>
      </c>
      <c r="B5914" t="str">
        <f t="shared" si="2174"/>
        <v>SOFIA</v>
      </c>
      <c r="C5914" t="str">
        <f t="shared" si="2175"/>
        <v>FROES</v>
      </c>
      <c r="D5914">
        <f>12</f>
        <v>12</v>
      </c>
      <c r="E5914" t="str">
        <f>"01 - A - 204 - Tina M Jaramillo"</f>
        <v>01 - A - 204 - Tina M Jaramillo</v>
      </c>
      <c r="F5914" t="str">
        <f>"AP ENG LIT COMPO"</f>
        <v>AP ENG LIT COMPO</v>
      </c>
      <c r="G5914" t="str">
        <f>"17-1706"</f>
        <v>17-1706</v>
      </c>
      <c r="H5914" t="str">
        <f>"A"</f>
        <v>A</v>
      </c>
    </row>
    <row r="5915" spans="1:8" x14ac:dyDescent="0.2">
      <c r="A5915" t="str">
        <f t="shared" si="2173"/>
        <v>0613104915</v>
      </c>
      <c r="B5915" t="str">
        <f t="shared" si="2174"/>
        <v>SOFIA</v>
      </c>
      <c r="C5915" t="str">
        <f t="shared" si="2175"/>
        <v>FROES</v>
      </c>
      <c r="D5915">
        <f>12</f>
        <v>12</v>
      </c>
      <c r="E5915" t="str">
        <f>"08 - B - 102 - Pamela M Corzo"</f>
        <v>08 - B - 102 - Pamela M Corzo</v>
      </c>
      <c r="F5915" t="str">
        <f>"AP STAT"</f>
        <v>AP STAT</v>
      </c>
      <c r="G5915" t="str">
        <f>"21-2133"</f>
        <v>21-2133</v>
      </c>
      <c r="H5915" t="str">
        <f>"B"</f>
        <v>B</v>
      </c>
    </row>
    <row r="5916" spans="1:8" x14ac:dyDescent="0.2">
      <c r="A5916" t="str">
        <f t="shared" ref="A5916:A5923" si="2176">"0615012428"</f>
        <v>0615012428</v>
      </c>
      <c r="B5916" t="str">
        <f t="shared" ref="B5916:B5923" si="2177">"MAXIMILIAN"</f>
        <v>MAXIMILIAN</v>
      </c>
      <c r="C5916" t="str">
        <f t="shared" ref="C5916:C5923" si="2178">"FRONGILLO"</f>
        <v>FRONGILLO</v>
      </c>
      <c r="D5916">
        <f>11</f>
        <v>11</v>
      </c>
      <c r="E5916" t="str">
        <f>"04 - A - 101 - Pamela M Corzo"</f>
        <v>04 - A - 101 - Pamela M Corzo</v>
      </c>
      <c r="F5916" t="str">
        <f>"CALCULUS HON"</f>
        <v>CALCULUS HON</v>
      </c>
      <c r="G5916" t="str">
        <f>"21-2133"</f>
        <v>21-2133</v>
      </c>
      <c r="H5916" t="str">
        <f>"A"</f>
        <v>A</v>
      </c>
    </row>
    <row r="5917" spans="1:8" x14ac:dyDescent="0.2">
      <c r="A5917" t="str">
        <f t="shared" si="2176"/>
        <v>0615012428</v>
      </c>
      <c r="B5917" t="str">
        <f t="shared" si="2177"/>
        <v>MAXIMILIAN</v>
      </c>
      <c r="C5917" t="str">
        <f t="shared" si="2178"/>
        <v>FRONGILLO</v>
      </c>
      <c r="D5917">
        <f>11</f>
        <v>11</v>
      </c>
      <c r="E5917" t="str">
        <f>"06 - B - 002 - Kyle  Robbins"</f>
        <v>06 - B - 002 - Kyle  Robbins</v>
      </c>
      <c r="F5917" t="str">
        <f>"US HISTORY HON"</f>
        <v>US HISTORY HON</v>
      </c>
      <c r="G5917" t="str">
        <f>"17-1745"</f>
        <v>17-1745</v>
      </c>
      <c r="H5917" t="str">
        <f>"B"</f>
        <v>B</v>
      </c>
    </row>
    <row r="5918" spans="1:8" x14ac:dyDescent="0.2">
      <c r="A5918" t="str">
        <f t="shared" si="2176"/>
        <v>0615012428</v>
      </c>
      <c r="B5918" t="str">
        <f t="shared" si="2177"/>
        <v>MAXIMILIAN</v>
      </c>
      <c r="C5918" t="str">
        <f t="shared" si="2178"/>
        <v>FRONGILLO</v>
      </c>
      <c r="D5918">
        <f>11</f>
        <v>11</v>
      </c>
      <c r="E5918" t="str">
        <f>"03 - A - 203 - Stefanie S Scher"</f>
        <v>03 - A - 203 - Stefanie S Scher</v>
      </c>
      <c r="F5918" t="str">
        <f>"AP PSYCH"</f>
        <v>AP PSYCH</v>
      </c>
      <c r="G5918" t="str">
        <f>"17-1735"</f>
        <v>17-1735</v>
      </c>
      <c r="H5918" t="str">
        <f>"A"</f>
        <v>A</v>
      </c>
    </row>
    <row r="5919" spans="1:8" x14ac:dyDescent="0.2">
      <c r="A5919" t="str">
        <f t="shared" si="2176"/>
        <v>0615012428</v>
      </c>
      <c r="B5919" t="str">
        <f t="shared" si="2177"/>
        <v>MAXIMILIAN</v>
      </c>
      <c r="C5919" t="str">
        <f t="shared" si="2178"/>
        <v>FRONGILLO</v>
      </c>
      <c r="D5919">
        <f>11</f>
        <v>11</v>
      </c>
      <c r="E5919" t="str">
        <f>"02 - A - 102 - Brook E Goren"</f>
        <v>02 - A - 102 - Brook E Goren</v>
      </c>
      <c r="F5919" t="str">
        <f>"NC STUDY HALL 1"</f>
        <v>NC STUDY HALL 1</v>
      </c>
      <c r="G5919" t="str">
        <f>"21-2158"</f>
        <v>21-2158</v>
      </c>
      <c r="H5919" t="str">
        <f>"A"</f>
        <v>A</v>
      </c>
    </row>
    <row r="5920" spans="1:8" x14ac:dyDescent="0.2">
      <c r="A5920" t="str">
        <f t="shared" si="2176"/>
        <v>0615012428</v>
      </c>
      <c r="B5920" t="str">
        <f t="shared" si="2177"/>
        <v>MAXIMILIAN</v>
      </c>
      <c r="C5920" t="str">
        <f t="shared" si="2178"/>
        <v>FRONGILLO</v>
      </c>
      <c r="D5920">
        <f>11</f>
        <v>11</v>
      </c>
      <c r="E5920" t="str">
        <f>"07 - S1 - B - 107 - Richard E Dunbar Iii"</f>
        <v>07 - S1 - B - 107 - Richard E Dunbar Iii</v>
      </c>
      <c r="F5920" t="str">
        <f>"WEIGHT TRAIN 1"</f>
        <v>WEIGHT TRAIN 1</v>
      </c>
      <c r="G5920" t="str">
        <f>"05-501"</f>
        <v>05-501</v>
      </c>
      <c r="H5920" t="str">
        <f>"B"</f>
        <v>B</v>
      </c>
    </row>
    <row r="5921" spans="1:8" x14ac:dyDescent="0.2">
      <c r="A5921" t="str">
        <f t="shared" si="2176"/>
        <v>0615012428</v>
      </c>
      <c r="B5921" t="str">
        <f t="shared" si="2177"/>
        <v>MAXIMILIAN</v>
      </c>
      <c r="C5921" t="str">
        <f t="shared" si="2178"/>
        <v>FRONGILLO</v>
      </c>
      <c r="D5921">
        <f>11</f>
        <v>11</v>
      </c>
      <c r="E5921" t="str">
        <f>"05 - B - 103 - Tina M Jaramillo"</f>
        <v>05 - B - 103 - Tina M Jaramillo</v>
      </c>
      <c r="F5921" t="str">
        <f>"AP ENG COMPO"</f>
        <v>AP ENG COMPO</v>
      </c>
      <c r="G5921" t="str">
        <f>"17-1706"</f>
        <v>17-1706</v>
      </c>
      <c r="H5921" t="str">
        <f>"B"</f>
        <v>B</v>
      </c>
    </row>
    <row r="5922" spans="1:8" x14ac:dyDescent="0.2">
      <c r="A5922" t="str">
        <f t="shared" si="2176"/>
        <v>0615012428</v>
      </c>
      <c r="B5922" t="str">
        <f t="shared" si="2177"/>
        <v>MAXIMILIAN</v>
      </c>
      <c r="C5922" t="str">
        <f t="shared" si="2178"/>
        <v>FRONGILLO</v>
      </c>
      <c r="D5922">
        <f>11</f>
        <v>11</v>
      </c>
      <c r="E5922" t="str">
        <f>"01 - A - 101 - Marielle A Witting"</f>
        <v>01 - A - 101 - Marielle A Witting</v>
      </c>
      <c r="F5922" t="str">
        <f>"AP BIO"</f>
        <v>AP BIO</v>
      </c>
      <c r="G5922" t="str">
        <f>"08-805"</f>
        <v>08-805</v>
      </c>
      <c r="H5922" t="str">
        <f>"A"</f>
        <v>A</v>
      </c>
    </row>
    <row r="5923" spans="1:8" x14ac:dyDescent="0.2">
      <c r="A5923" t="str">
        <f t="shared" si="2176"/>
        <v>0615012428</v>
      </c>
      <c r="B5923" t="str">
        <f t="shared" si="2177"/>
        <v>MAXIMILIAN</v>
      </c>
      <c r="C5923" t="str">
        <f t="shared" si="2178"/>
        <v>FRONGILLO</v>
      </c>
      <c r="D5923">
        <f>11</f>
        <v>11</v>
      </c>
      <c r="E5923" t="str">
        <f>"08 - B - 101 - Marius D Orsolini"</f>
        <v>08 - B - 101 - Marius D Orsolini</v>
      </c>
      <c r="F5923" t="str">
        <f>"CULINARY ARTS 2"</f>
        <v>CULINARY ARTS 2</v>
      </c>
      <c r="G5923" t="str">
        <f>"21-2115"</f>
        <v>21-2115</v>
      </c>
      <c r="H5923" t="str">
        <f>"B"</f>
        <v>B</v>
      </c>
    </row>
    <row r="5924" spans="1:8" x14ac:dyDescent="0.2">
      <c r="A5924" t="str">
        <f t="shared" ref="A5924:A5933" si="2179">"0609104435"</f>
        <v>0609104435</v>
      </c>
      <c r="B5924" t="str">
        <f t="shared" ref="B5924:B5933" si="2180">"MADISON"</f>
        <v>MADISON</v>
      </c>
      <c r="C5924" t="str">
        <f t="shared" ref="C5924:C5933" si="2181">"FROST"</f>
        <v>FROST</v>
      </c>
      <c r="D5924">
        <f>12</f>
        <v>12</v>
      </c>
      <c r="E5924" t="str">
        <f>"04 - A - 114 - Karen A Toomer"</f>
        <v>04 - A - 114 - Karen A Toomer</v>
      </c>
      <c r="F5924" t="str">
        <f>"LANG THERAPY"</f>
        <v>LANG THERAPY</v>
      </c>
      <c r="G5924" t="str">
        <f>"21-2110"</f>
        <v>21-2110</v>
      </c>
      <c r="H5924" t="str">
        <f>"A"</f>
        <v>A</v>
      </c>
    </row>
    <row r="5925" spans="1:8" x14ac:dyDescent="0.2">
      <c r="A5925" t="str">
        <f t="shared" si="2179"/>
        <v>0609104435</v>
      </c>
      <c r="B5925" t="str">
        <f t="shared" si="2180"/>
        <v>MADISON</v>
      </c>
      <c r="C5925" t="str">
        <f t="shared" si="2181"/>
        <v>FROST</v>
      </c>
      <c r="D5925">
        <f>12</f>
        <v>12</v>
      </c>
      <c r="E5925" t="str">
        <f>"04 - A - 102 - Tiffany L Colon"</f>
        <v>04 - A - 102 - Tiffany L Colon</v>
      </c>
      <c r="F5925" t="str">
        <f>"U SKLS: SOC&amp;EMO 9-12"</f>
        <v>U SKLS: SOC&amp;EMO 9-12</v>
      </c>
      <c r="G5925">
        <f>2044</f>
        <v>2044</v>
      </c>
      <c r="H5925" t="str">
        <f>"A"</f>
        <v>A</v>
      </c>
    </row>
    <row r="5926" spans="1:8" x14ac:dyDescent="0.2">
      <c r="A5926" t="str">
        <f t="shared" si="2179"/>
        <v>0609104435</v>
      </c>
      <c r="B5926" t="str">
        <f t="shared" si="2180"/>
        <v>MADISON</v>
      </c>
      <c r="C5926" t="str">
        <f t="shared" si="2181"/>
        <v>FROST</v>
      </c>
      <c r="D5926">
        <f>12</f>
        <v>12</v>
      </c>
      <c r="E5926" t="str">
        <f>"04 - A - 114 - Karen A Toomer"</f>
        <v>04 - A - 114 - Karen A Toomer</v>
      </c>
      <c r="F5926" t="str">
        <f>"SPEECH THRPY"</f>
        <v>SPEECH THRPY</v>
      </c>
      <c r="G5926" t="str">
        <f>"21-2110"</f>
        <v>21-2110</v>
      </c>
      <c r="H5926" t="str">
        <f>"A"</f>
        <v>A</v>
      </c>
    </row>
    <row r="5927" spans="1:8" x14ac:dyDescent="0.2">
      <c r="A5927" t="str">
        <f t="shared" si="2179"/>
        <v>0609104435</v>
      </c>
      <c r="B5927" t="str">
        <f t="shared" si="2180"/>
        <v>MADISON</v>
      </c>
      <c r="C5927" t="str">
        <f t="shared" si="2181"/>
        <v>FROST</v>
      </c>
      <c r="D5927">
        <f>12</f>
        <v>12</v>
      </c>
      <c r="E5927" t="str">
        <f>"06 - B - 101 - Tiffany L Colon"</f>
        <v>06 - B - 101 - Tiffany L Colon</v>
      </c>
      <c r="F5927" t="str">
        <f>"CAR EXERIENCES: 9-12"</f>
        <v>CAR EXERIENCES: 9-12</v>
      </c>
      <c r="G5927">
        <f>2044</f>
        <v>2044</v>
      </c>
      <c r="H5927" t="str">
        <f>"B"</f>
        <v>B</v>
      </c>
    </row>
    <row r="5928" spans="1:8" x14ac:dyDescent="0.2">
      <c r="A5928" t="str">
        <f t="shared" si="2179"/>
        <v>0609104435</v>
      </c>
      <c r="B5928" t="str">
        <f t="shared" si="2180"/>
        <v>MADISON</v>
      </c>
      <c r="C5928" t="str">
        <f t="shared" si="2181"/>
        <v>FROST</v>
      </c>
      <c r="D5928">
        <f>12</f>
        <v>12</v>
      </c>
      <c r="E5928" t="str">
        <f>"03 - A - 101 - Tiffany L Colon"</f>
        <v>03 - A - 101 - Tiffany L Colon</v>
      </c>
      <c r="F5928" t="str">
        <f>"SELF-DETERMINATION"</f>
        <v>SELF-DETERMINATION</v>
      </c>
      <c r="G5928">
        <f>2044</f>
        <v>2044</v>
      </c>
      <c r="H5928" t="str">
        <f>"A"</f>
        <v>A</v>
      </c>
    </row>
    <row r="5929" spans="1:8" x14ac:dyDescent="0.2">
      <c r="A5929" t="str">
        <f t="shared" si="2179"/>
        <v>0609104435</v>
      </c>
      <c r="B5929" t="str">
        <f t="shared" si="2180"/>
        <v>MADISON</v>
      </c>
      <c r="C5929" t="str">
        <f t="shared" si="2181"/>
        <v>FROST</v>
      </c>
      <c r="D5929">
        <f>12</f>
        <v>12</v>
      </c>
      <c r="E5929" t="str">
        <f>"02 - A - 102 - Tiffany L Colon"</f>
        <v>02 - A - 102 - Tiffany L Colon</v>
      </c>
      <c r="F5929" t="str">
        <f>"CAREER ED: 9-12"</f>
        <v>CAREER ED: 9-12</v>
      </c>
      <c r="G5929">
        <f>2044</f>
        <v>2044</v>
      </c>
      <c r="H5929" t="str">
        <f>"A"</f>
        <v>A</v>
      </c>
    </row>
    <row r="5930" spans="1:8" x14ac:dyDescent="0.2">
      <c r="A5930" t="str">
        <f t="shared" si="2179"/>
        <v>0609104435</v>
      </c>
      <c r="B5930" t="str">
        <f t="shared" si="2180"/>
        <v>MADISON</v>
      </c>
      <c r="C5930" t="str">
        <f t="shared" si="2181"/>
        <v>FROST</v>
      </c>
      <c r="D5930">
        <f>12</f>
        <v>12</v>
      </c>
      <c r="E5930" t="str">
        <f>"07 - B - 101 - Tiffany L Colon"</f>
        <v>07 - B - 101 - Tiffany L Colon</v>
      </c>
      <c r="F5930" t="str">
        <f>"CAR PLACEMENT: 9-12"</f>
        <v>CAR PLACEMENT: 9-12</v>
      </c>
      <c r="G5930">
        <f>2044</f>
        <v>2044</v>
      </c>
      <c r="H5930" t="str">
        <f>"B"</f>
        <v>B</v>
      </c>
    </row>
    <row r="5931" spans="1:8" x14ac:dyDescent="0.2">
      <c r="A5931" t="str">
        <f t="shared" si="2179"/>
        <v>0609104435</v>
      </c>
      <c r="B5931" t="str">
        <f t="shared" si="2180"/>
        <v>MADISON</v>
      </c>
      <c r="C5931" t="str">
        <f t="shared" si="2181"/>
        <v>FROST</v>
      </c>
      <c r="D5931">
        <f>12</f>
        <v>12</v>
      </c>
      <c r="E5931" t="str">
        <f>"05 - B - 102 - Tiffany L Colon"</f>
        <v>05 - B - 102 - Tiffany L Colon</v>
      </c>
      <c r="F5931" t="str">
        <f>"U SKLS: 9-12"</f>
        <v>U SKLS: 9-12</v>
      </c>
      <c r="G5931">
        <f>2044</f>
        <v>2044</v>
      </c>
      <c r="H5931" t="str">
        <f>"B"</f>
        <v>B</v>
      </c>
    </row>
    <row r="5932" spans="1:8" x14ac:dyDescent="0.2">
      <c r="A5932" t="str">
        <f t="shared" si="2179"/>
        <v>0609104435</v>
      </c>
      <c r="B5932" t="str">
        <f t="shared" si="2180"/>
        <v>MADISON</v>
      </c>
      <c r="C5932" t="str">
        <f t="shared" si="2181"/>
        <v>FROST</v>
      </c>
      <c r="D5932">
        <f>12</f>
        <v>12</v>
      </c>
      <c r="E5932" t="str">
        <f>"01 - A - 101 - Tiffany L Colon"</f>
        <v>01 - A - 101 - Tiffany L Colon</v>
      </c>
      <c r="F5932" t="str">
        <f>"PREP AD LIV"</f>
        <v>PREP AD LIV</v>
      </c>
      <c r="G5932">
        <f>2044</f>
        <v>2044</v>
      </c>
      <c r="H5932" t="str">
        <f>"A"</f>
        <v>A</v>
      </c>
    </row>
    <row r="5933" spans="1:8" x14ac:dyDescent="0.2">
      <c r="A5933" t="str">
        <f t="shared" si="2179"/>
        <v>0609104435</v>
      </c>
      <c r="B5933" t="str">
        <f t="shared" si="2180"/>
        <v>MADISON</v>
      </c>
      <c r="C5933" t="str">
        <f t="shared" si="2181"/>
        <v>FROST</v>
      </c>
      <c r="D5933">
        <f>12</f>
        <v>12</v>
      </c>
      <c r="E5933" t="str">
        <f>"08 - B - 101 - Gail S Markowitz"</f>
        <v>08 - B - 101 - Gail S Markowitz</v>
      </c>
      <c r="F5933" t="str">
        <f>"U SKLS: SOC&amp;EMO 9-12"</f>
        <v>U SKLS: SOC&amp;EMO 9-12</v>
      </c>
      <c r="G5933">
        <f>1730</f>
        <v>1730</v>
      </c>
      <c r="H5933" t="str">
        <f>"B"</f>
        <v>B</v>
      </c>
    </row>
    <row r="5934" spans="1:8" x14ac:dyDescent="0.2">
      <c r="A5934" t="str">
        <f t="shared" ref="A5934:A5941" si="2182">"0622110812"</f>
        <v>0622110812</v>
      </c>
      <c r="B5934" t="str">
        <f t="shared" ref="B5934:B5941" si="2183">"IMMER"</f>
        <v>IMMER</v>
      </c>
      <c r="C5934" t="str">
        <f t="shared" ref="C5934:C5941" si="2184">"FUENTES ORTEZ"</f>
        <v>FUENTES ORTEZ</v>
      </c>
      <c r="D5934">
        <f>11</f>
        <v>11</v>
      </c>
      <c r="E5934" t="str">
        <f>"04 - A - 103 - Lisa  Quinn"</f>
        <v>04 - A - 103 - Lisa  Quinn</v>
      </c>
      <c r="F5934" t="str">
        <f>"ENG 3"</f>
        <v>ENG 3</v>
      </c>
      <c r="G5934" t="str">
        <f>"17-1725"</f>
        <v>17-1725</v>
      </c>
      <c r="H5934" t="str">
        <f>"A"</f>
        <v>A</v>
      </c>
    </row>
    <row r="5935" spans="1:8" x14ac:dyDescent="0.2">
      <c r="A5935" t="str">
        <f t="shared" si="2182"/>
        <v>0622110812</v>
      </c>
      <c r="B5935" t="str">
        <f t="shared" si="2183"/>
        <v>IMMER</v>
      </c>
      <c r="C5935" t="str">
        <f t="shared" si="2184"/>
        <v>FUENTES ORTEZ</v>
      </c>
      <c r="D5935">
        <f>11</f>
        <v>11</v>
      </c>
      <c r="E5935" t="str">
        <f>"06 - B - 001 - Samantha J Headley"</f>
        <v>06 - B - 001 - Samantha J Headley</v>
      </c>
      <c r="F5935" t="str">
        <f>"MARINE SCI 1 HON"</f>
        <v>MARINE SCI 1 HON</v>
      </c>
      <c r="G5935" t="str">
        <f>"21-2134"</f>
        <v>21-2134</v>
      </c>
      <c r="H5935" t="str">
        <f>"B"</f>
        <v>B</v>
      </c>
    </row>
    <row r="5936" spans="1:8" x14ac:dyDescent="0.2">
      <c r="A5936" t="str">
        <f t="shared" si="2182"/>
        <v>0622110812</v>
      </c>
      <c r="B5936" t="str">
        <f t="shared" si="2183"/>
        <v>IMMER</v>
      </c>
      <c r="C5936" t="str">
        <f t="shared" si="2184"/>
        <v>FUENTES ORTEZ</v>
      </c>
      <c r="D5936">
        <f>11</f>
        <v>11</v>
      </c>
      <c r="E5936" t="str">
        <f>"03 - A - 102 - Nahum  Saint-Preux"</f>
        <v>03 - A - 102 - Nahum  Saint-Preux</v>
      </c>
      <c r="F5936" t="str">
        <f>"INTENS READ 3"</f>
        <v>INTENS READ 3</v>
      </c>
      <c r="G5936" t="str">
        <f>"17-1712"</f>
        <v>17-1712</v>
      </c>
      <c r="H5936" t="str">
        <f>"A"</f>
        <v>A</v>
      </c>
    </row>
    <row r="5937" spans="1:8" x14ac:dyDescent="0.2">
      <c r="A5937" t="str">
        <f t="shared" si="2182"/>
        <v>0622110812</v>
      </c>
      <c r="B5937" t="str">
        <f t="shared" si="2183"/>
        <v>IMMER</v>
      </c>
      <c r="C5937" t="str">
        <f t="shared" si="2184"/>
        <v>FUENTES ORTEZ</v>
      </c>
      <c r="D5937">
        <f>11</f>
        <v>11</v>
      </c>
      <c r="E5937" t="str">
        <f>"02 - A - 101 - Timothy J Lawrence"</f>
        <v>02 - A - 101 - Timothy J Lawrence</v>
      </c>
      <c r="F5937" t="str">
        <f>"NC STUDY HALL 1"</f>
        <v>NC STUDY HALL 1</v>
      </c>
      <c r="G5937" t="str">
        <f>"05-522"</f>
        <v>05-522</v>
      </c>
      <c r="H5937" t="str">
        <f>"A"</f>
        <v>A</v>
      </c>
    </row>
    <row r="5938" spans="1:8" x14ac:dyDescent="0.2">
      <c r="A5938" t="str">
        <f t="shared" si="2182"/>
        <v>0622110812</v>
      </c>
      <c r="B5938" t="str">
        <f t="shared" si="2183"/>
        <v>IMMER</v>
      </c>
      <c r="C5938" t="str">
        <f t="shared" si="2184"/>
        <v>FUENTES ORTEZ</v>
      </c>
      <c r="D5938">
        <f>11</f>
        <v>11</v>
      </c>
      <c r="E5938" t="str">
        <f>"07 - B - 001 - Maried P Ramos"</f>
        <v>07 - B - 001 - Maried P Ramos</v>
      </c>
      <c r="F5938" t="str">
        <f>"GEOMETRY"</f>
        <v>GEOMETRY</v>
      </c>
      <c r="G5938" t="str">
        <f>"21-2159"</f>
        <v>21-2159</v>
      </c>
      <c r="H5938" t="str">
        <f>"B"</f>
        <v>B</v>
      </c>
    </row>
    <row r="5939" spans="1:8" x14ac:dyDescent="0.2">
      <c r="A5939" t="str">
        <f t="shared" si="2182"/>
        <v>0622110812</v>
      </c>
      <c r="B5939" t="str">
        <f t="shared" si="2183"/>
        <v>IMMER</v>
      </c>
      <c r="C5939" t="str">
        <f t="shared" si="2184"/>
        <v>FUENTES ORTEZ</v>
      </c>
      <c r="D5939">
        <f>11</f>
        <v>11</v>
      </c>
      <c r="E5939" t="str">
        <f>"05 - B - 102 - Emmily A Sarmiento"</f>
        <v>05 - B - 102 - Emmily A Sarmiento</v>
      </c>
      <c r="F5939" t="str">
        <f>"LEAD TECHQS HONORS"</f>
        <v>LEAD TECHQS HONORS</v>
      </c>
      <c r="G5939" t="str">
        <f>"17-1743"</f>
        <v>17-1743</v>
      </c>
      <c r="H5939" t="str">
        <f>"B"</f>
        <v>B</v>
      </c>
    </row>
    <row r="5940" spans="1:8" x14ac:dyDescent="0.2">
      <c r="A5940" t="str">
        <f t="shared" si="2182"/>
        <v>0622110812</v>
      </c>
      <c r="B5940" t="str">
        <f t="shared" si="2183"/>
        <v>IMMER</v>
      </c>
      <c r="C5940" t="str">
        <f t="shared" si="2184"/>
        <v>FUENTES ORTEZ</v>
      </c>
      <c r="D5940">
        <f>11</f>
        <v>11</v>
      </c>
      <c r="E5940" t="str">
        <f>"01 - A - 108 - Rosa Elaine  Collado-Duff"</f>
        <v>01 - A - 108 - Rosa Elaine  Collado-Duff</v>
      </c>
      <c r="F5940" t="str">
        <f>"PRE-AICE SPAN 2 IG"</f>
        <v>PRE-AICE SPAN 2 IG</v>
      </c>
      <c r="G5940" t="str">
        <f>"09-913"</f>
        <v>09-913</v>
      </c>
      <c r="H5940" t="str">
        <f>"A"</f>
        <v>A</v>
      </c>
    </row>
    <row r="5941" spans="1:8" x14ac:dyDescent="0.2">
      <c r="A5941" t="str">
        <f t="shared" si="2182"/>
        <v>0622110812</v>
      </c>
      <c r="B5941" t="str">
        <f t="shared" si="2183"/>
        <v>IMMER</v>
      </c>
      <c r="C5941" t="str">
        <f t="shared" si="2184"/>
        <v>FUENTES ORTEZ</v>
      </c>
      <c r="D5941">
        <f>11</f>
        <v>11</v>
      </c>
      <c r="E5941" t="str">
        <f>"08 - B - 109 - Lauren N Logan"</f>
        <v>08 - B - 109 - Lauren N Logan</v>
      </c>
      <c r="F5941" t="str">
        <f>"US HISTORY"</f>
        <v>US HISTORY</v>
      </c>
      <c r="G5941" t="str">
        <f>"17-1754"</f>
        <v>17-1754</v>
      </c>
      <c r="H5941" t="str">
        <f>"B"</f>
        <v>B</v>
      </c>
    </row>
    <row r="5942" spans="1:8" x14ac:dyDescent="0.2">
      <c r="A5942" t="str">
        <f t="shared" ref="A5942:A5949" si="2185">"0614000436"</f>
        <v>0614000436</v>
      </c>
      <c r="B5942" t="str">
        <f t="shared" ref="B5942:B5949" si="2186">"MA`KAYLA"</f>
        <v>MA`KAYLA</v>
      </c>
      <c r="C5942" t="str">
        <f t="shared" ref="C5942:C5949" si="2187">"FULLER"</f>
        <v>FULLER</v>
      </c>
      <c r="D5942">
        <f>12</f>
        <v>12</v>
      </c>
      <c r="E5942" t="str">
        <f>"04 - S1 - A - 101 - Nahum  Saint-Preux"</f>
        <v>04 - S1 - A - 101 - Nahum  Saint-Preux</v>
      </c>
      <c r="F5942" t="str">
        <f>"CRIT THINK ST SKLS"</f>
        <v>CRIT THINK ST SKLS</v>
      </c>
      <c r="G5942" t="str">
        <f>"17-1712"</f>
        <v>17-1712</v>
      </c>
      <c r="H5942" t="str">
        <f>"A"</f>
        <v>A</v>
      </c>
    </row>
    <row r="5943" spans="1:8" x14ac:dyDescent="0.2">
      <c r="A5943" t="str">
        <f t="shared" si="2185"/>
        <v>0614000436</v>
      </c>
      <c r="B5943" t="str">
        <f t="shared" si="2186"/>
        <v>MA`KAYLA</v>
      </c>
      <c r="C5943" t="str">
        <f t="shared" si="2187"/>
        <v>FULLER</v>
      </c>
      <c r="D5943">
        <f>12</f>
        <v>12</v>
      </c>
      <c r="E5943" t="str">
        <f>"06 - B - 107 - Pamela M Corzo"</f>
        <v>06 - B - 107 - Pamela M Corzo</v>
      </c>
      <c r="F5943" t="str">
        <f>"NC STUDY HALL 1"</f>
        <v>NC STUDY HALL 1</v>
      </c>
      <c r="G5943" t="str">
        <f>"21-2133"</f>
        <v>21-2133</v>
      </c>
      <c r="H5943" t="str">
        <f>"B"</f>
        <v>B</v>
      </c>
    </row>
    <row r="5944" spans="1:8" x14ac:dyDescent="0.2">
      <c r="A5944" t="str">
        <f t="shared" si="2185"/>
        <v>0614000436</v>
      </c>
      <c r="B5944" t="str">
        <f t="shared" si="2186"/>
        <v>MA`KAYLA</v>
      </c>
      <c r="C5944" t="str">
        <f t="shared" si="2187"/>
        <v>FULLER</v>
      </c>
      <c r="D5944">
        <f>12</f>
        <v>12</v>
      </c>
      <c r="E5944" t="str">
        <f>"03 - A - 102 - Semra  Bahadir"</f>
        <v>03 - A - 102 - Semra  Bahadir</v>
      </c>
      <c r="F5944" t="str">
        <f>"ALGEBRA 2"</f>
        <v>ALGEBRA 2</v>
      </c>
      <c r="G5944" t="str">
        <f>"21-2107"</f>
        <v>21-2107</v>
      </c>
      <c r="H5944" t="str">
        <f>"A"</f>
        <v>A</v>
      </c>
    </row>
    <row r="5945" spans="1:8" x14ac:dyDescent="0.2">
      <c r="A5945" t="str">
        <f t="shared" si="2185"/>
        <v>0614000436</v>
      </c>
      <c r="B5945" t="str">
        <f t="shared" si="2186"/>
        <v>MA`KAYLA</v>
      </c>
      <c r="C5945" t="str">
        <f t="shared" si="2187"/>
        <v>FULLER</v>
      </c>
      <c r="D5945">
        <f>12</f>
        <v>12</v>
      </c>
      <c r="E5945" t="str">
        <f>"02 - A - 102 - Norayda D Suarez"</f>
        <v>02 - A - 102 - Norayda D Suarez</v>
      </c>
      <c r="F5945" t="str">
        <f>"RESEARCH 1 LH"</f>
        <v>RESEARCH 1 LH</v>
      </c>
      <c r="G5945">
        <f>2041</f>
        <v>2041</v>
      </c>
      <c r="H5945" t="str">
        <f>"A"</f>
        <v>A</v>
      </c>
    </row>
    <row r="5946" spans="1:8" x14ac:dyDescent="0.2">
      <c r="A5946" t="str">
        <f t="shared" si="2185"/>
        <v>0614000436</v>
      </c>
      <c r="B5946" t="str">
        <f t="shared" si="2186"/>
        <v>MA`KAYLA</v>
      </c>
      <c r="C5946" t="str">
        <f t="shared" si="2187"/>
        <v>FULLER</v>
      </c>
      <c r="D5946">
        <f>12</f>
        <v>12</v>
      </c>
      <c r="E5946" t="str">
        <f>"07 - S1 - B - 107 - Kelly N Panza"</f>
        <v>07 - S1 - B - 107 - Kelly N Panza</v>
      </c>
      <c r="F5946" t="str">
        <f>"US GOVT HON"</f>
        <v>US GOVT HON</v>
      </c>
      <c r="G5946" t="str">
        <f>"17-1753"</f>
        <v>17-1753</v>
      </c>
      <c r="H5946" t="str">
        <f>"B"</f>
        <v>B</v>
      </c>
    </row>
    <row r="5947" spans="1:8" x14ac:dyDescent="0.2">
      <c r="A5947" t="str">
        <f t="shared" si="2185"/>
        <v>0614000436</v>
      </c>
      <c r="B5947" t="str">
        <f t="shared" si="2186"/>
        <v>MA`KAYLA</v>
      </c>
      <c r="C5947" t="str">
        <f t="shared" si="2187"/>
        <v>FULLER</v>
      </c>
      <c r="D5947">
        <f>12</f>
        <v>12</v>
      </c>
      <c r="E5947" t="str">
        <f>"05 - B - 102 - Dorothy D Moore"</f>
        <v>05 - B - 102 - Dorothy D Moore</v>
      </c>
      <c r="F5947" t="str">
        <f>"FORC SCI 1 LH"</f>
        <v>FORC SCI 1 LH</v>
      </c>
      <c r="G5947" t="str">
        <f>"08-803"</f>
        <v>08-803</v>
      </c>
      <c r="H5947" t="str">
        <f>"B"</f>
        <v>B</v>
      </c>
    </row>
    <row r="5948" spans="1:8" x14ac:dyDescent="0.2">
      <c r="A5948" t="str">
        <f t="shared" si="2185"/>
        <v>0614000436</v>
      </c>
      <c r="B5948" t="str">
        <f t="shared" si="2186"/>
        <v>MA`KAYLA</v>
      </c>
      <c r="C5948" t="str">
        <f t="shared" si="2187"/>
        <v>FULLER</v>
      </c>
      <c r="D5948">
        <f>12</f>
        <v>12</v>
      </c>
      <c r="E5948" t="str">
        <f>"01 - A - 103 - Jeffrey S Gallagher"</f>
        <v>01 - A - 103 - Jeffrey S Gallagher</v>
      </c>
      <c r="F5948" t="str">
        <f>"ENG HON 4"</f>
        <v>ENG HON 4</v>
      </c>
      <c r="G5948" t="str">
        <f>"17-1724"</f>
        <v>17-1724</v>
      </c>
      <c r="H5948" t="str">
        <f>"A"</f>
        <v>A</v>
      </c>
    </row>
    <row r="5949" spans="1:8" x14ac:dyDescent="0.2">
      <c r="A5949" t="str">
        <f t="shared" si="2185"/>
        <v>0614000436</v>
      </c>
      <c r="B5949" t="str">
        <f t="shared" si="2186"/>
        <v>MA`KAYLA</v>
      </c>
      <c r="C5949" t="str">
        <f t="shared" si="2187"/>
        <v>FULLER</v>
      </c>
      <c r="D5949">
        <f>12</f>
        <v>12</v>
      </c>
      <c r="E5949" t="str">
        <f>"08 - S1 - B - 104 - Angela S Adeshina-Morrison"</f>
        <v>08 - S1 - B - 104 - Angela S Adeshina-Morrison</v>
      </c>
      <c r="F5949" t="str">
        <f>"PEER COUN 1"</f>
        <v>PEER COUN 1</v>
      </c>
      <c r="G5949" t="str">
        <f>"05-518"</f>
        <v>05-518</v>
      </c>
      <c r="H5949" t="str">
        <f>"B"</f>
        <v>B</v>
      </c>
    </row>
    <row r="5950" spans="1:8" x14ac:dyDescent="0.2">
      <c r="A5950" t="str">
        <f t="shared" ref="A5950:A5958" si="2188">"0613098563"</f>
        <v>0613098563</v>
      </c>
      <c r="B5950" t="str">
        <f t="shared" ref="B5950:B5958" si="2189">"NEVIYAH"</f>
        <v>NEVIYAH</v>
      </c>
      <c r="C5950" t="str">
        <f t="shared" ref="C5950:C5958" si="2190">"FULTON"</f>
        <v>FULTON</v>
      </c>
      <c r="D5950">
        <f>10</f>
        <v>10</v>
      </c>
      <c r="E5950" t="str">
        <f>"04 - A - 101 - Reggie L Nixon"</f>
        <v>04 - A - 101 - Reggie L Nixon</v>
      </c>
      <c r="F5950" t="str">
        <f>"ACCESS US HISTORY"</f>
        <v>ACCESS US HISTORY</v>
      </c>
      <c r="G5950" t="str">
        <f>"21-2119"</f>
        <v>21-2119</v>
      </c>
      <c r="H5950" t="str">
        <f>"A"</f>
        <v>A</v>
      </c>
    </row>
    <row r="5951" spans="1:8" x14ac:dyDescent="0.2">
      <c r="A5951" t="str">
        <f t="shared" si="2188"/>
        <v>0613098563</v>
      </c>
      <c r="B5951" t="str">
        <f t="shared" si="2189"/>
        <v>NEVIYAH</v>
      </c>
      <c r="C5951" t="str">
        <f t="shared" si="2190"/>
        <v>FULTON</v>
      </c>
      <c r="D5951">
        <f>10</f>
        <v>10</v>
      </c>
      <c r="E5951" t="str">
        <f>"06 - B - 106 - Adam Marcus  Drucker"</f>
        <v>06 - B - 106 - Adam Marcus  Drucker</v>
      </c>
      <c r="F5951" t="str">
        <f>"HOPE-PE V"</f>
        <v>HOPE-PE V</v>
      </c>
      <c r="G5951" t="str">
        <f>"04-254"</f>
        <v>04-254</v>
      </c>
      <c r="H5951" t="str">
        <f>"B"</f>
        <v>B</v>
      </c>
    </row>
    <row r="5952" spans="1:8" x14ac:dyDescent="0.2">
      <c r="A5952" t="str">
        <f t="shared" si="2188"/>
        <v>0613098563</v>
      </c>
      <c r="B5952" t="str">
        <f t="shared" si="2189"/>
        <v>NEVIYAH</v>
      </c>
      <c r="C5952" t="str">
        <f t="shared" si="2190"/>
        <v>FULTON</v>
      </c>
      <c r="D5952">
        <f>10</f>
        <v>10</v>
      </c>
      <c r="E5952" t="str">
        <f>"03 - A - 101 - Reggie L Nixon"</f>
        <v>03 - A - 101 - Reggie L Nixon</v>
      </c>
      <c r="F5952" t="str">
        <f>"ACCESS E/S SCIENCE"</f>
        <v>ACCESS E/S SCIENCE</v>
      </c>
      <c r="G5952" t="str">
        <f>"21-2119"</f>
        <v>21-2119</v>
      </c>
      <c r="H5952" t="str">
        <f>"A"</f>
        <v>A</v>
      </c>
    </row>
    <row r="5953" spans="1:8" x14ac:dyDescent="0.2">
      <c r="A5953" t="str">
        <f t="shared" si="2188"/>
        <v>0613098563</v>
      </c>
      <c r="B5953" t="str">
        <f t="shared" si="2189"/>
        <v>NEVIYAH</v>
      </c>
      <c r="C5953" t="str">
        <f t="shared" si="2190"/>
        <v>FULTON</v>
      </c>
      <c r="D5953">
        <f>10</f>
        <v>10</v>
      </c>
      <c r="E5953" t="str">
        <f>"02 - A - 101 - Reggie L Nixon"</f>
        <v>02 - A - 101 - Reggie L Nixon</v>
      </c>
      <c r="F5953" t="str">
        <f>"NC STUDY HALL 4"</f>
        <v>NC STUDY HALL 4</v>
      </c>
      <c r="G5953" t="str">
        <f>"21-2119"</f>
        <v>21-2119</v>
      </c>
      <c r="H5953" t="str">
        <f>"A"</f>
        <v>A</v>
      </c>
    </row>
    <row r="5954" spans="1:8" x14ac:dyDescent="0.2">
      <c r="A5954" t="str">
        <f t="shared" si="2188"/>
        <v>0613098563</v>
      </c>
      <c r="B5954" t="str">
        <f t="shared" si="2189"/>
        <v>NEVIYAH</v>
      </c>
      <c r="C5954" t="str">
        <f t="shared" si="2190"/>
        <v>FULTON</v>
      </c>
      <c r="D5954">
        <f>10</f>
        <v>10</v>
      </c>
      <c r="E5954" t="str">
        <f>"07 - B - 101 - Reggie L Nixon"</f>
        <v>07 - B - 101 - Reggie L Nixon</v>
      </c>
      <c r="F5954" t="str">
        <f>"CAREER ED: 9-12"</f>
        <v>CAREER ED: 9-12</v>
      </c>
      <c r="G5954" t="str">
        <f>"21-2119"</f>
        <v>21-2119</v>
      </c>
      <c r="H5954" t="str">
        <f>"B"</f>
        <v>B</v>
      </c>
    </row>
    <row r="5955" spans="1:8" x14ac:dyDescent="0.2">
      <c r="A5955" t="str">
        <f t="shared" si="2188"/>
        <v>0613098563</v>
      </c>
      <c r="B5955" t="str">
        <f t="shared" si="2189"/>
        <v>NEVIYAH</v>
      </c>
      <c r="C5955" t="str">
        <f t="shared" si="2190"/>
        <v>FULTON</v>
      </c>
      <c r="D5955">
        <f>10</f>
        <v>10</v>
      </c>
      <c r="E5955" t="str">
        <f>"07 - B - 107 - Eric  Lopapa"</f>
        <v>07 - B - 107 - Eric  Lopapa</v>
      </c>
      <c r="F5955" t="str">
        <f>"LANG THERAPY"</f>
        <v>LANG THERAPY</v>
      </c>
      <c r="G5955" t="str">
        <f>"21-2110"</f>
        <v>21-2110</v>
      </c>
      <c r="H5955" t="str">
        <f>"B"</f>
        <v>B</v>
      </c>
    </row>
    <row r="5956" spans="1:8" x14ac:dyDescent="0.2">
      <c r="A5956" t="str">
        <f t="shared" si="2188"/>
        <v>0613098563</v>
      </c>
      <c r="B5956" t="str">
        <f t="shared" si="2189"/>
        <v>NEVIYAH</v>
      </c>
      <c r="C5956" t="str">
        <f t="shared" si="2190"/>
        <v>FULTON</v>
      </c>
      <c r="D5956">
        <f>10</f>
        <v>10</v>
      </c>
      <c r="E5956" t="str">
        <f>"05 - B - 001 - Reggie L Nixon"</f>
        <v>05 - B - 001 - Reggie L Nixon</v>
      </c>
      <c r="F5956" t="str">
        <f>"U SKLS: 9-12"</f>
        <v>U SKLS: 9-12</v>
      </c>
      <c r="G5956" t="str">
        <f>"21-2119"</f>
        <v>21-2119</v>
      </c>
      <c r="H5956" t="str">
        <f>"B"</f>
        <v>B</v>
      </c>
    </row>
    <row r="5957" spans="1:8" x14ac:dyDescent="0.2">
      <c r="A5957" t="str">
        <f t="shared" si="2188"/>
        <v>0613098563</v>
      </c>
      <c r="B5957" t="str">
        <f t="shared" si="2189"/>
        <v>NEVIYAH</v>
      </c>
      <c r="C5957" t="str">
        <f t="shared" si="2190"/>
        <v>FULTON</v>
      </c>
      <c r="D5957">
        <f>10</f>
        <v>10</v>
      </c>
      <c r="E5957" t="str">
        <f>"01 - A - 101 - Reggie L Nixon"</f>
        <v>01 - A - 101 - Reggie L Nixon</v>
      </c>
      <c r="F5957" t="str">
        <f>"ACCESS ENGLISH 2"</f>
        <v>ACCESS ENGLISH 2</v>
      </c>
      <c r="G5957" t="str">
        <f>"21-2119"</f>
        <v>21-2119</v>
      </c>
      <c r="H5957" t="str">
        <f>"A"</f>
        <v>A</v>
      </c>
    </row>
    <row r="5958" spans="1:8" x14ac:dyDescent="0.2">
      <c r="A5958" t="str">
        <f t="shared" si="2188"/>
        <v>0613098563</v>
      </c>
      <c r="B5958" t="str">
        <f t="shared" si="2189"/>
        <v>NEVIYAH</v>
      </c>
      <c r="C5958" t="str">
        <f t="shared" si="2190"/>
        <v>FULTON</v>
      </c>
      <c r="D5958">
        <f>10</f>
        <v>10</v>
      </c>
      <c r="E5958" t="str">
        <f>"08 - B - 101 - Reggie L Nixon"</f>
        <v>08 - B - 101 - Reggie L Nixon</v>
      </c>
      <c r="F5958" t="str">
        <f>"ACCESS ALGEBRA 1B"</f>
        <v>ACCESS ALGEBRA 1B</v>
      </c>
      <c r="G5958" t="str">
        <f>"21-2119"</f>
        <v>21-2119</v>
      </c>
      <c r="H5958" t="str">
        <f>"B"</f>
        <v>B</v>
      </c>
    </row>
    <row r="5959" spans="1:8" x14ac:dyDescent="0.2">
      <c r="A5959" t="str">
        <f t="shared" ref="A5959:A5966" si="2191">"0615068745"</f>
        <v>0615068745</v>
      </c>
      <c r="B5959" t="str">
        <f t="shared" ref="B5959:B5966" si="2192">"JALAYAH"</f>
        <v>JALAYAH</v>
      </c>
      <c r="C5959" t="str">
        <f t="shared" ref="C5959:C5966" si="2193">"GABELUS"</f>
        <v>GABELUS</v>
      </c>
      <c r="D5959" t="str">
        <f t="shared" ref="D5959:D5974" si="2194">"09"</f>
        <v>09</v>
      </c>
      <c r="E5959" t="str">
        <f>"04 - A - 103 - Lenecy  Nodarse"</f>
        <v>04 - A - 103 - Lenecy  Nodarse</v>
      </c>
      <c r="F5959" t="str">
        <f>"WORLD HISTORY"</f>
        <v>WORLD HISTORY</v>
      </c>
      <c r="G5959" t="str">
        <f>"17-1741"</f>
        <v>17-1741</v>
      </c>
      <c r="H5959" t="str">
        <f>"A"</f>
        <v>A</v>
      </c>
    </row>
    <row r="5960" spans="1:8" x14ac:dyDescent="0.2">
      <c r="A5960" t="str">
        <f t="shared" si="2191"/>
        <v>0615068745</v>
      </c>
      <c r="B5960" t="str">
        <f t="shared" si="2192"/>
        <v>JALAYAH</v>
      </c>
      <c r="C5960" t="str">
        <f t="shared" si="2193"/>
        <v>GABELUS</v>
      </c>
      <c r="D5960" t="str">
        <f t="shared" si="2194"/>
        <v>09</v>
      </c>
      <c r="E5960" t="str">
        <f>"06 - B - 105 - Dayna M Foster"</f>
        <v>06 - B - 105 - Dayna M Foster</v>
      </c>
      <c r="F5960" t="str">
        <f>"ALGEBRA 1"</f>
        <v>ALGEBRA 1</v>
      </c>
      <c r="G5960" t="str">
        <f>"21-2109"</f>
        <v>21-2109</v>
      </c>
      <c r="H5960" t="str">
        <f>"B"</f>
        <v>B</v>
      </c>
    </row>
    <row r="5961" spans="1:8" x14ac:dyDescent="0.2">
      <c r="A5961" t="str">
        <f t="shared" si="2191"/>
        <v>0615068745</v>
      </c>
      <c r="B5961" t="str">
        <f t="shared" si="2192"/>
        <v>JALAYAH</v>
      </c>
      <c r="C5961" t="str">
        <f t="shared" si="2193"/>
        <v>GABELUS</v>
      </c>
      <c r="D5961" t="str">
        <f t="shared" si="2194"/>
        <v>09</v>
      </c>
      <c r="E5961" t="str">
        <f>"03 - A - 101 - Dayna M Foster"</f>
        <v>03 - A - 101 - Dayna M Foster</v>
      </c>
      <c r="F5961" t="str">
        <f>"FDN SKLS MATH 9-12"</f>
        <v>FDN SKLS MATH 9-12</v>
      </c>
      <c r="G5961" t="str">
        <f>"21-2109"</f>
        <v>21-2109</v>
      </c>
      <c r="H5961" t="str">
        <f>"A"</f>
        <v>A</v>
      </c>
    </row>
    <row r="5962" spans="1:8" x14ac:dyDescent="0.2">
      <c r="A5962" t="str">
        <f t="shared" si="2191"/>
        <v>0615068745</v>
      </c>
      <c r="B5962" t="str">
        <f t="shared" si="2192"/>
        <v>JALAYAH</v>
      </c>
      <c r="C5962" t="str">
        <f t="shared" si="2193"/>
        <v>GABELUS</v>
      </c>
      <c r="D5962" t="str">
        <f t="shared" si="2194"/>
        <v>09</v>
      </c>
      <c r="E5962" t="str">
        <f>"02 - A - 103 - Angela S Adeshina-Morrison"</f>
        <v>02 - A - 103 - Angela S Adeshina-Morrison</v>
      </c>
      <c r="F5962" t="str">
        <f>"NC STUDY HALL 1"</f>
        <v>NC STUDY HALL 1</v>
      </c>
      <c r="G5962" t="str">
        <f>"05-518"</f>
        <v>05-518</v>
      </c>
      <c r="H5962" t="str">
        <f>"A"</f>
        <v>A</v>
      </c>
    </row>
    <row r="5963" spans="1:8" x14ac:dyDescent="0.2">
      <c r="A5963" t="str">
        <f t="shared" si="2191"/>
        <v>0615068745</v>
      </c>
      <c r="B5963" t="str">
        <f t="shared" si="2192"/>
        <v>JALAYAH</v>
      </c>
      <c r="C5963" t="str">
        <f t="shared" si="2193"/>
        <v>GABELUS</v>
      </c>
      <c r="D5963" t="str">
        <f t="shared" si="2194"/>
        <v>09</v>
      </c>
      <c r="E5963" t="str">
        <f>"07 - B - 107 - Cerine S Stewart"</f>
        <v>07 - B - 107 - Cerine S Stewart</v>
      </c>
      <c r="F5963" t="str">
        <f>"ENG 1"</f>
        <v>ENG 1</v>
      </c>
      <c r="G5963" t="str">
        <f>"17-1720"</f>
        <v>17-1720</v>
      </c>
      <c r="H5963" t="str">
        <f>"B"</f>
        <v>B</v>
      </c>
    </row>
    <row r="5964" spans="1:8" x14ac:dyDescent="0.2">
      <c r="A5964" t="str">
        <f t="shared" si="2191"/>
        <v>0615068745</v>
      </c>
      <c r="B5964" t="str">
        <f t="shared" si="2192"/>
        <v>JALAYAH</v>
      </c>
      <c r="C5964" t="str">
        <f t="shared" si="2193"/>
        <v>GABELUS</v>
      </c>
      <c r="D5964" t="str">
        <f t="shared" si="2194"/>
        <v>09</v>
      </c>
      <c r="E5964" t="str">
        <f>"05 - B - 101 - Linda  Celestin"</f>
        <v>05 - B - 101 - Linda  Celestin</v>
      </c>
      <c r="F5964" t="str">
        <f>"LRNG STRATEGIES 9-12"</f>
        <v>LRNG STRATEGIES 9-12</v>
      </c>
      <c r="G5964" t="str">
        <f>"21-2160"</f>
        <v>21-2160</v>
      </c>
      <c r="H5964" t="str">
        <f>"B"</f>
        <v>B</v>
      </c>
    </row>
    <row r="5965" spans="1:8" x14ac:dyDescent="0.2">
      <c r="A5965" t="str">
        <f t="shared" si="2191"/>
        <v>0615068745</v>
      </c>
      <c r="B5965" t="str">
        <f t="shared" si="2192"/>
        <v>JALAYAH</v>
      </c>
      <c r="C5965" t="str">
        <f t="shared" si="2193"/>
        <v>GABELUS</v>
      </c>
      <c r="D5965" t="str">
        <f t="shared" si="2194"/>
        <v>09</v>
      </c>
      <c r="E5965" t="str">
        <f>"01 - A - 101 - Adam Marcus  Drucker"</f>
        <v>01 - A - 101 - Adam Marcus  Drucker</v>
      </c>
      <c r="F5965" t="str">
        <f>"HOPE-PE V"</f>
        <v>HOPE-PE V</v>
      </c>
      <c r="G5965" t="str">
        <f>"04-254"</f>
        <v>04-254</v>
      </c>
      <c r="H5965" t="str">
        <f>"A"</f>
        <v>A</v>
      </c>
    </row>
    <row r="5966" spans="1:8" x14ac:dyDescent="0.2">
      <c r="A5966" t="str">
        <f t="shared" si="2191"/>
        <v>0615068745</v>
      </c>
      <c r="B5966" t="str">
        <f t="shared" si="2192"/>
        <v>JALAYAH</v>
      </c>
      <c r="C5966" t="str">
        <f t="shared" si="2193"/>
        <v>GABELUS</v>
      </c>
      <c r="D5966" t="str">
        <f t="shared" si="2194"/>
        <v>09</v>
      </c>
      <c r="E5966" t="str">
        <f>"08 - B - 105 - Samantha J Headley"</f>
        <v>08 - B - 105 - Samantha J Headley</v>
      </c>
      <c r="F5966" t="str">
        <f>"ENV SCI"</f>
        <v>ENV SCI</v>
      </c>
      <c r="G5966" t="str">
        <f>"08-802"</f>
        <v>08-802</v>
      </c>
      <c r="H5966" t="str">
        <f>"B"</f>
        <v>B</v>
      </c>
    </row>
    <row r="5967" spans="1:8" x14ac:dyDescent="0.2">
      <c r="A5967" t="str">
        <f t="shared" ref="A5967:A5974" si="2195">"0616109044"</f>
        <v>0616109044</v>
      </c>
      <c r="B5967" t="str">
        <f t="shared" ref="B5967:B5974" si="2196">"MADISON"</f>
        <v>MADISON</v>
      </c>
      <c r="C5967" t="str">
        <f t="shared" ref="C5967:C5974" si="2197">"GABLER"</f>
        <v>GABLER</v>
      </c>
      <c r="D5967" t="str">
        <f t="shared" si="2194"/>
        <v>09</v>
      </c>
      <c r="E5967" t="str">
        <f>"04 - A - 201 - Norayda D Suarez"</f>
        <v>04 - A - 201 - Norayda D Suarez</v>
      </c>
      <c r="F5967" t="str">
        <f>"ANAT PHYSIO HON"</f>
        <v>ANAT PHYSIO HON</v>
      </c>
      <c r="G5967" t="str">
        <f>"21-2142"</f>
        <v>21-2142</v>
      </c>
      <c r="H5967" t="str">
        <f>"A"</f>
        <v>A</v>
      </c>
    </row>
    <row r="5968" spans="1:8" x14ac:dyDescent="0.2">
      <c r="A5968" t="str">
        <f t="shared" si="2195"/>
        <v>0616109044</v>
      </c>
      <c r="B5968" t="str">
        <f t="shared" si="2196"/>
        <v>MADISON</v>
      </c>
      <c r="C5968" t="str">
        <f t="shared" si="2197"/>
        <v>GABLER</v>
      </c>
      <c r="D5968" t="str">
        <f t="shared" si="2194"/>
        <v>09</v>
      </c>
      <c r="E5968" t="str">
        <f>"06 - B - 101 - Fernando  Vega-Cid"</f>
        <v>06 - B - 101 - Fernando  Vega-Cid</v>
      </c>
      <c r="F5968" t="str">
        <f>"PRE-AICE MATH 2 IG"</f>
        <v>PRE-AICE MATH 2 IG</v>
      </c>
      <c r="G5968" t="str">
        <f>"21-2163"</f>
        <v>21-2163</v>
      </c>
      <c r="H5968" t="str">
        <f>"B"</f>
        <v>B</v>
      </c>
    </row>
    <row r="5969" spans="1:8" x14ac:dyDescent="0.2">
      <c r="A5969" t="str">
        <f t="shared" si="2195"/>
        <v>0616109044</v>
      </c>
      <c r="B5969" t="str">
        <f t="shared" si="2196"/>
        <v>MADISON</v>
      </c>
      <c r="C5969" t="str">
        <f t="shared" si="2197"/>
        <v>GABLER</v>
      </c>
      <c r="D5969" t="str">
        <f t="shared" si="2194"/>
        <v>09</v>
      </c>
      <c r="E5969" t="str">
        <f>"03 - A - 005 - Cerine S Stewart"</f>
        <v>03 - A - 005 - Cerine S Stewart</v>
      </c>
      <c r="F5969" t="str">
        <f>"AICE ENG GEN PAPER 1"</f>
        <v>AICE ENG GEN PAPER 1</v>
      </c>
      <c r="G5969" t="str">
        <f>"17-1720"</f>
        <v>17-1720</v>
      </c>
      <c r="H5969" t="str">
        <f>"A"</f>
        <v>A</v>
      </c>
    </row>
    <row r="5970" spans="1:8" x14ac:dyDescent="0.2">
      <c r="A5970" t="str">
        <f t="shared" si="2195"/>
        <v>0616109044</v>
      </c>
      <c r="B5970" t="str">
        <f t="shared" si="2196"/>
        <v>MADISON</v>
      </c>
      <c r="C5970" t="str">
        <f t="shared" si="2197"/>
        <v>GABLER</v>
      </c>
      <c r="D5970" t="str">
        <f t="shared" si="2194"/>
        <v>09</v>
      </c>
      <c r="E5970" t="str">
        <f>"02 - A - 111 - Cheryl L Beach"</f>
        <v>02 - A - 111 - Cheryl L Beach</v>
      </c>
      <c r="F5970" t="str">
        <f>"NC STUDY HALL 1"</f>
        <v>NC STUDY HALL 1</v>
      </c>
      <c r="G5970" t="str">
        <f>"08-811"</f>
        <v>08-811</v>
      </c>
      <c r="H5970" t="str">
        <f>"A"</f>
        <v>A</v>
      </c>
    </row>
    <row r="5971" spans="1:8" x14ac:dyDescent="0.2">
      <c r="A5971" t="str">
        <f t="shared" si="2195"/>
        <v>0616109044</v>
      </c>
      <c r="B5971" t="str">
        <f t="shared" si="2196"/>
        <v>MADISON</v>
      </c>
      <c r="C5971" t="str">
        <f t="shared" si="2197"/>
        <v>GABLER</v>
      </c>
      <c r="D5971" t="str">
        <f t="shared" si="2194"/>
        <v>09</v>
      </c>
      <c r="E5971" t="str">
        <f>"07 - B - 001 - Carol S Moore"</f>
        <v>07 - B - 001 - Carol S Moore</v>
      </c>
      <c r="F5971" t="str">
        <f>"PRE-AICE WRLD HST IG"</f>
        <v>PRE-AICE WRLD HST IG</v>
      </c>
      <c r="G5971" t="str">
        <f>"17-1733"</f>
        <v>17-1733</v>
      </c>
      <c r="H5971" t="str">
        <f>"B"</f>
        <v>B</v>
      </c>
    </row>
    <row r="5972" spans="1:8" x14ac:dyDescent="0.2">
      <c r="A5972" t="str">
        <f t="shared" si="2195"/>
        <v>0616109044</v>
      </c>
      <c r="B5972" t="str">
        <f t="shared" si="2196"/>
        <v>MADISON</v>
      </c>
      <c r="C5972" t="str">
        <f t="shared" si="2197"/>
        <v>GABLER</v>
      </c>
      <c r="D5972" t="str">
        <f t="shared" si="2194"/>
        <v>09</v>
      </c>
      <c r="E5972" t="str">
        <f>"05 - B - 101 - Brian M Fitzgerald"</f>
        <v>05 - B - 101 - Brian M Fitzgerald</v>
      </c>
      <c r="F5972" t="str">
        <f>"PAINT 1"</f>
        <v>PAINT 1</v>
      </c>
      <c r="G5972" t="str">
        <f>"09-908"</f>
        <v>09-908</v>
      </c>
      <c r="H5972" t="str">
        <f>"B"</f>
        <v>B</v>
      </c>
    </row>
    <row r="5973" spans="1:8" x14ac:dyDescent="0.2">
      <c r="A5973" t="str">
        <f t="shared" si="2195"/>
        <v>0616109044</v>
      </c>
      <c r="B5973" t="str">
        <f t="shared" si="2196"/>
        <v>MADISON</v>
      </c>
      <c r="C5973" t="str">
        <f t="shared" si="2197"/>
        <v>GABLER</v>
      </c>
      <c r="D5973" t="str">
        <f t="shared" si="2194"/>
        <v>09</v>
      </c>
      <c r="E5973" t="str">
        <f>"01 - A - 101 - Joe  Kilpatrick Jr"</f>
        <v>01 - A - 101 - Joe  Kilpatrick Jr</v>
      </c>
      <c r="F5973" t="str">
        <f>"PRE-AICE SPAN 1 IG"</f>
        <v>PRE-AICE SPAN 1 IG</v>
      </c>
      <c r="G5973" t="str">
        <f>"09-912"</f>
        <v>09-912</v>
      </c>
      <c r="H5973" t="str">
        <f>"A"</f>
        <v>A</v>
      </c>
    </row>
    <row r="5974" spans="1:8" x14ac:dyDescent="0.2">
      <c r="A5974" t="str">
        <f t="shared" si="2195"/>
        <v>0616109044</v>
      </c>
      <c r="B5974" t="str">
        <f t="shared" si="2196"/>
        <v>MADISON</v>
      </c>
      <c r="C5974" t="str">
        <f t="shared" si="2197"/>
        <v>GABLER</v>
      </c>
      <c r="D5974" t="str">
        <f t="shared" si="2194"/>
        <v>09</v>
      </c>
      <c r="E5974" t="str">
        <f>"08 - B - 001 - Brian M Fitzgerald"</f>
        <v>08 - B - 001 - Brian M Fitzgerald</v>
      </c>
      <c r="F5974" t="str">
        <f>"CERAM/POT 1"</f>
        <v>CERAM/POT 1</v>
      </c>
      <c r="G5974" t="str">
        <f>"09-908"</f>
        <v>09-908</v>
      </c>
      <c r="H5974" t="str">
        <f>"B"</f>
        <v>B</v>
      </c>
    </row>
    <row r="5975" spans="1:8" x14ac:dyDescent="0.2">
      <c r="A5975" t="str">
        <f t="shared" ref="A5975:A5982" si="2198">"0614025499"</f>
        <v>0614025499</v>
      </c>
      <c r="B5975" t="str">
        <f t="shared" ref="B5975:B5982" si="2199">"LEAH"</f>
        <v>LEAH</v>
      </c>
      <c r="C5975" t="str">
        <f t="shared" ref="C5975:C5982" si="2200">"GABRIEL"</f>
        <v>GABRIEL</v>
      </c>
      <c r="D5975">
        <f>12</f>
        <v>12</v>
      </c>
      <c r="E5975" t="str">
        <f>"04 - A - 101 - Stefanie S Scher"</f>
        <v>04 - A - 101 - Stefanie S Scher</v>
      </c>
      <c r="F5975" t="str">
        <f>"AP PSYCH"</f>
        <v>AP PSYCH</v>
      </c>
      <c r="G5975" t="str">
        <f>"17-1735"</f>
        <v>17-1735</v>
      </c>
      <c r="H5975" t="str">
        <f>"A"</f>
        <v>A</v>
      </c>
    </row>
    <row r="5976" spans="1:8" x14ac:dyDescent="0.2">
      <c r="A5976" t="str">
        <f t="shared" si="2198"/>
        <v>0614025499</v>
      </c>
      <c r="B5976" t="str">
        <f t="shared" si="2199"/>
        <v>LEAH</v>
      </c>
      <c r="C5976" t="str">
        <f t="shared" si="2200"/>
        <v>GABRIEL</v>
      </c>
      <c r="D5976">
        <f>12</f>
        <v>12</v>
      </c>
      <c r="E5976" t="str">
        <f>"06 - B - 104 - Vanessa J Liburd"</f>
        <v>06 - B - 104 - Vanessa J Liburd</v>
      </c>
      <c r="F5976" t="str">
        <f>"NC STUDY HALL 1"</f>
        <v>NC STUDY HALL 1</v>
      </c>
      <c r="G5976" t="str">
        <f>"05-519"</f>
        <v>05-519</v>
      </c>
      <c r="H5976" t="str">
        <f>"B"</f>
        <v>B</v>
      </c>
    </row>
    <row r="5977" spans="1:8" x14ac:dyDescent="0.2">
      <c r="A5977" t="str">
        <f t="shared" si="2198"/>
        <v>0614025499</v>
      </c>
      <c r="B5977" t="str">
        <f t="shared" si="2199"/>
        <v>LEAH</v>
      </c>
      <c r="C5977" t="str">
        <f t="shared" si="2200"/>
        <v>GABRIEL</v>
      </c>
      <c r="D5977">
        <f>12</f>
        <v>12</v>
      </c>
      <c r="E5977" t="str">
        <f>"03 - S1 - A - 102 - Angela S Adeshina-Morrison"</f>
        <v>03 - S1 - A - 102 - Angela S Adeshina-Morrison</v>
      </c>
      <c r="F5977" t="str">
        <f>"PEER COUN 1"</f>
        <v>PEER COUN 1</v>
      </c>
      <c r="G5977" t="str">
        <f>"05-518"</f>
        <v>05-518</v>
      </c>
      <c r="H5977" t="str">
        <f>"A"</f>
        <v>A</v>
      </c>
    </row>
    <row r="5978" spans="1:8" x14ac:dyDescent="0.2">
      <c r="A5978" t="str">
        <f t="shared" si="2198"/>
        <v>0614025499</v>
      </c>
      <c r="B5978" t="str">
        <f t="shared" si="2199"/>
        <v>LEAH</v>
      </c>
      <c r="C5978" t="str">
        <f t="shared" si="2200"/>
        <v>GABRIEL</v>
      </c>
      <c r="D5978">
        <f>12</f>
        <v>12</v>
      </c>
      <c r="E5978" t="str">
        <f>"02 - A - 102 - Norayda D Suarez"</f>
        <v>02 - A - 102 - Norayda D Suarez</v>
      </c>
      <c r="F5978" t="str">
        <f>"RESEARCH 1 LH"</f>
        <v>RESEARCH 1 LH</v>
      </c>
      <c r="G5978">
        <f>2041</f>
        <v>2041</v>
      </c>
      <c r="H5978" t="str">
        <f>"A"</f>
        <v>A</v>
      </c>
    </row>
    <row r="5979" spans="1:8" x14ac:dyDescent="0.2">
      <c r="A5979" t="str">
        <f t="shared" si="2198"/>
        <v>0614025499</v>
      </c>
      <c r="B5979" t="str">
        <f t="shared" si="2199"/>
        <v>LEAH</v>
      </c>
      <c r="C5979" t="str">
        <f t="shared" si="2200"/>
        <v>GABRIEL</v>
      </c>
      <c r="D5979">
        <f>12</f>
        <v>12</v>
      </c>
      <c r="E5979" t="str">
        <f>"07 - B - 101 - Bruce A Evans"</f>
        <v>07 - B - 101 - Bruce A Evans</v>
      </c>
      <c r="F5979" t="str">
        <f>"FIREFIGHTING 1 LH"</f>
        <v>FIREFIGHTING 1 LH</v>
      </c>
      <c r="G5979" t="str">
        <f>"21-2142"</f>
        <v>21-2142</v>
      </c>
      <c r="H5979" t="str">
        <f>"B"</f>
        <v>B</v>
      </c>
    </row>
    <row r="5980" spans="1:8" x14ac:dyDescent="0.2">
      <c r="A5980" t="str">
        <f t="shared" si="2198"/>
        <v>0614025499</v>
      </c>
      <c r="B5980" t="str">
        <f t="shared" si="2199"/>
        <v>LEAH</v>
      </c>
      <c r="C5980" t="str">
        <f t="shared" si="2200"/>
        <v>GABRIEL</v>
      </c>
      <c r="D5980">
        <f>12</f>
        <v>12</v>
      </c>
      <c r="E5980" t="str">
        <f>"05 - S1 - B - 103 - Stephen T Ripp"</f>
        <v>05 - S1 - B - 103 - Stephen T Ripp</v>
      </c>
      <c r="F5980" t="str">
        <f>"AP US GOVT/POL"</f>
        <v>AP US GOVT/POL</v>
      </c>
      <c r="G5980" t="str">
        <f>"17-1744"</f>
        <v>17-1744</v>
      </c>
      <c r="H5980" t="str">
        <f>"B"</f>
        <v>B</v>
      </c>
    </row>
    <row r="5981" spans="1:8" x14ac:dyDescent="0.2">
      <c r="A5981" t="str">
        <f t="shared" si="2198"/>
        <v>0614025499</v>
      </c>
      <c r="B5981" t="str">
        <f t="shared" si="2199"/>
        <v>LEAH</v>
      </c>
      <c r="C5981" t="str">
        <f t="shared" si="2200"/>
        <v>GABRIEL</v>
      </c>
      <c r="D5981">
        <f>12</f>
        <v>12</v>
      </c>
      <c r="E5981" t="str">
        <f>"01 - A - 103 - Jeffrey S Gallagher"</f>
        <v>01 - A - 103 - Jeffrey S Gallagher</v>
      </c>
      <c r="F5981" t="str">
        <f>"ENG HON 4"</f>
        <v>ENG HON 4</v>
      </c>
      <c r="G5981" t="str">
        <f>"17-1724"</f>
        <v>17-1724</v>
      </c>
      <c r="H5981" t="str">
        <f>"A"</f>
        <v>A</v>
      </c>
    </row>
    <row r="5982" spans="1:8" x14ac:dyDescent="0.2">
      <c r="A5982" t="str">
        <f t="shared" si="2198"/>
        <v>0614025499</v>
      </c>
      <c r="B5982" t="str">
        <f t="shared" si="2199"/>
        <v>LEAH</v>
      </c>
      <c r="C5982" t="str">
        <f t="shared" si="2200"/>
        <v>GABRIEL</v>
      </c>
      <c r="D5982">
        <f>12</f>
        <v>12</v>
      </c>
      <c r="E5982" t="str">
        <f>"08 - B - 103 - Marielle A Witting"</f>
        <v>08 - B - 103 - Marielle A Witting</v>
      </c>
      <c r="F5982" t="str">
        <f>"AP BIO"</f>
        <v>AP BIO</v>
      </c>
      <c r="G5982" t="str">
        <f>"08-805"</f>
        <v>08-805</v>
      </c>
      <c r="H5982" t="str">
        <f>"B"</f>
        <v>B</v>
      </c>
    </row>
    <row r="5983" spans="1:8" x14ac:dyDescent="0.2">
      <c r="A5983" t="str">
        <f t="shared" ref="A5983:A5990" si="2201">"0615098105"</f>
        <v>0615098105</v>
      </c>
      <c r="B5983" t="str">
        <f t="shared" ref="B5983:B5990" si="2202">"MARTIN"</f>
        <v>MARTIN</v>
      </c>
      <c r="C5983" t="str">
        <f t="shared" ref="C5983:C5990" si="2203">"GADJEV"</f>
        <v>GADJEV</v>
      </c>
      <c r="D5983">
        <f>10</f>
        <v>10</v>
      </c>
      <c r="E5983" t="str">
        <f>"04 - S1 - A - 101 - Kyle  Robbins"</f>
        <v>04 - S1 - A - 101 - Kyle  Robbins</v>
      </c>
      <c r="F5983" t="str">
        <f>"PERS FIN &amp; MON MGT H"</f>
        <v>PERS FIN &amp; MON MGT H</v>
      </c>
      <c r="G5983" t="str">
        <f>"17-1745"</f>
        <v>17-1745</v>
      </c>
      <c r="H5983" t="str">
        <f>"A"</f>
        <v>A</v>
      </c>
    </row>
    <row r="5984" spans="1:8" x14ac:dyDescent="0.2">
      <c r="A5984" t="str">
        <f t="shared" si="2201"/>
        <v>0615098105</v>
      </c>
      <c r="B5984" t="str">
        <f t="shared" si="2202"/>
        <v>MARTIN</v>
      </c>
      <c r="C5984" t="str">
        <f t="shared" si="2203"/>
        <v>GADJEV</v>
      </c>
      <c r="D5984">
        <f>10</f>
        <v>10</v>
      </c>
      <c r="E5984" t="str">
        <f>"06 - B - 119 - Nikiel  Nesbeth"</f>
        <v>06 - B - 119 - Nikiel  Nesbeth</v>
      </c>
      <c r="F5984" t="str">
        <f>"NC STUDY HALL 1"</f>
        <v>NC STUDY HALL 1</v>
      </c>
      <c r="G5984" t="str">
        <f>"17-1705"</f>
        <v>17-1705</v>
      </c>
      <c r="H5984" t="str">
        <f>"B"</f>
        <v>B</v>
      </c>
    </row>
    <row r="5985" spans="1:8" x14ac:dyDescent="0.2">
      <c r="A5985" t="str">
        <f t="shared" si="2201"/>
        <v>0615098105</v>
      </c>
      <c r="B5985" t="str">
        <f t="shared" si="2202"/>
        <v>MARTIN</v>
      </c>
      <c r="C5985" t="str">
        <f t="shared" si="2203"/>
        <v>GADJEV</v>
      </c>
      <c r="D5985">
        <f>10</f>
        <v>10</v>
      </c>
      <c r="E5985" t="str">
        <f>"03 - A - 002 - Nikiel  Nesbeth"</f>
        <v>03 - A - 002 - Nikiel  Nesbeth</v>
      </c>
      <c r="F5985" t="str">
        <f>"PRE-AICE ENG LIT IG"</f>
        <v>PRE-AICE ENG LIT IG</v>
      </c>
      <c r="G5985" t="str">
        <f>"17-1705"</f>
        <v>17-1705</v>
      </c>
      <c r="H5985" t="str">
        <f>"A"</f>
        <v>A</v>
      </c>
    </row>
    <row r="5986" spans="1:8" x14ac:dyDescent="0.2">
      <c r="A5986" t="str">
        <f t="shared" si="2201"/>
        <v>0615098105</v>
      </c>
      <c r="B5986" t="str">
        <f t="shared" si="2202"/>
        <v>MARTIN</v>
      </c>
      <c r="C5986" t="str">
        <f t="shared" si="2203"/>
        <v>GADJEV</v>
      </c>
      <c r="D5986">
        <f>10</f>
        <v>10</v>
      </c>
      <c r="E5986" t="str">
        <f>"02 - A - 201 - Jordana K Hass"</f>
        <v>02 - A - 201 - Jordana K Hass</v>
      </c>
      <c r="F5986" t="str">
        <f>"CHEMISTRY 1"</f>
        <v>CHEMISTRY 1</v>
      </c>
      <c r="G5986" t="str">
        <f>"08-807"</f>
        <v>08-807</v>
      </c>
      <c r="H5986" t="str">
        <f>"A"</f>
        <v>A</v>
      </c>
    </row>
    <row r="5987" spans="1:8" x14ac:dyDescent="0.2">
      <c r="A5987" t="str">
        <f t="shared" si="2201"/>
        <v>0615098105</v>
      </c>
      <c r="B5987" t="str">
        <f t="shared" si="2202"/>
        <v>MARTIN</v>
      </c>
      <c r="C5987" t="str">
        <f t="shared" si="2203"/>
        <v>GADJEV</v>
      </c>
      <c r="D5987">
        <f>10</f>
        <v>10</v>
      </c>
      <c r="E5987" t="str">
        <f>"07 - B - 001 - Carol S Moore"</f>
        <v>07 - B - 001 - Carol S Moore</v>
      </c>
      <c r="F5987" t="str">
        <f>"PRE-AICE WRLD HST IG"</f>
        <v>PRE-AICE WRLD HST IG</v>
      </c>
      <c r="G5987" t="str">
        <f>"17-1733"</f>
        <v>17-1733</v>
      </c>
      <c r="H5987" t="str">
        <f>"B"</f>
        <v>B</v>
      </c>
    </row>
    <row r="5988" spans="1:8" x14ac:dyDescent="0.2">
      <c r="A5988" t="str">
        <f t="shared" si="2201"/>
        <v>0615098105</v>
      </c>
      <c r="B5988" t="str">
        <f t="shared" si="2202"/>
        <v>MARTIN</v>
      </c>
      <c r="C5988" t="str">
        <f t="shared" si="2203"/>
        <v>GADJEV</v>
      </c>
      <c r="D5988">
        <f>10</f>
        <v>10</v>
      </c>
      <c r="E5988" t="str">
        <f>"05 - B - 108 - James H Mccann"</f>
        <v>05 - B - 108 - James H Mccann</v>
      </c>
      <c r="F5988" t="str">
        <f>"ALGEBRA 2"</f>
        <v>ALGEBRA 2</v>
      </c>
      <c r="G5988" t="str">
        <f>"17-1716"</f>
        <v>17-1716</v>
      </c>
      <c r="H5988" t="str">
        <f>"B"</f>
        <v>B</v>
      </c>
    </row>
    <row r="5989" spans="1:8" x14ac:dyDescent="0.2">
      <c r="A5989" t="str">
        <f t="shared" si="2201"/>
        <v>0615098105</v>
      </c>
      <c r="B5989" t="str">
        <f t="shared" si="2202"/>
        <v>MARTIN</v>
      </c>
      <c r="C5989" t="str">
        <f t="shared" si="2203"/>
        <v>GADJEV</v>
      </c>
      <c r="D5989">
        <f>10</f>
        <v>10</v>
      </c>
      <c r="E5989" t="str">
        <f>"01 - A - 108 - Rosa Elaine  Collado-Duff"</f>
        <v>01 - A - 108 - Rosa Elaine  Collado-Duff</v>
      </c>
      <c r="F5989" t="str">
        <f>"PRE-AICE SPAN 2 IG"</f>
        <v>PRE-AICE SPAN 2 IG</v>
      </c>
      <c r="G5989" t="str">
        <f>"09-913"</f>
        <v>09-913</v>
      </c>
      <c r="H5989" t="str">
        <f>"A"</f>
        <v>A</v>
      </c>
    </row>
    <row r="5990" spans="1:8" x14ac:dyDescent="0.2">
      <c r="A5990" t="str">
        <f t="shared" si="2201"/>
        <v>0615098105</v>
      </c>
      <c r="B5990" t="str">
        <f t="shared" si="2202"/>
        <v>MARTIN</v>
      </c>
      <c r="C5990" t="str">
        <f t="shared" si="2203"/>
        <v>GADJEV</v>
      </c>
      <c r="D5990">
        <f>10</f>
        <v>10</v>
      </c>
      <c r="E5990" t="str">
        <f>"08 - S1 - B - 105 - Richard E Dunbar Iii"</f>
        <v>08 - S1 - B - 105 - Richard E Dunbar Iii</v>
      </c>
      <c r="F5990" t="str">
        <f>"WEIGHT TRAIN 1"</f>
        <v>WEIGHT TRAIN 1</v>
      </c>
      <c r="G5990" t="str">
        <f>"05-501"</f>
        <v>05-501</v>
      </c>
      <c r="H5990" t="str">
        <f>"B"</f>
        <v>B</v>
      </c>
    </row>
    <row r="5991" spans="1:8" x14ac:dyDescent="0.2">
      <c r="A5991" t="str">
        <f t="shared" ref="A5991:A5998" si="2204">"0617006115"</f>
        <v>0617006115</v>
      </c>
      <c r="B5991" t="str">
        <f t="shared" ref="B5991:B5998" si="2205">"AUDRA"</f>
        <v>AUDRA</v>
      </c>
      <c r="C5991" t="str">
        <f t="shared" ref="C5991:C5998" si="2206">"GADSON"</f>
        <v>GADSON</v>
      </c>
      <c r="D5991" t="str">
        <f t="shared" ref="D5991:D5998" si="2207">"09"</f>
        <v>09</v>
      </c>
      <c r="E5991" t="str">
        <f>"04 - S1 - A - 101 - Leslie J Barton"</f>
        <v>04 - S1 - A - 101 - Leslie J Barton</v>
      </c>
      <c r="F5991" t="str">
        <f>"TEAM SPORTS 1"</f>
        <v>TEAM SPORTS 1</v>
      </c>
      <c r="G5991" t="str">
        <f>"04-254"</f>
        <v>04-254</v>
      </c>
      <c r="H5991" t="str">
        <f>"A"</f>
        <v>A</v>
      </c>
    </row>
    <row r="5992" spans="1:8" x14ac:dyDescent="0.2">
      <c r="A5992" t="str">
        <f t="shared" si="2204"/>
        <v>0617006115</v>
      </c>
      <c r="B5992" t="str">
        <f t="shared" si="2205"/>
        <v>AUDRA</v>
      </c>
      <c r="C5992" t="str">
        <f t="shared" si="2206"/>
        <v>GADSON</v>
      </c>
      <c r="D5992" t="str">
        <f t="shared" si="2207"/>
        <v>09</v>
      </c>
      <c r="E5992" t="str">
        <f>"06 - B - 104 - Eva T Rimmer"</f>
        <v>06 - B - 104 - Eva T Rimmer</v>
      </c>
      <c r="F5992" t="str">
        <f>"CRIMINAL JUST OPS 1"</f>
        <v>CRIMINAL JUST OPS 1</v>
      </c>
      <c r="G5992" t="str">
        <f>"05-523"</f>
        <v>05-523</v>
      </c>
      <c r="H5992" t="str">
        <f>"B"</f>
        <v>B</v>
      </c>
    </row>
    <row r="5993" spans="1:8" x14ac:dyDescent="0.2">
      <c r="A5993" t="str">
        <f t="shared" si="2204"/>
        <v>0617006115</v>
      </c>
      <c r="B5993" t="str">
        <f t="shared" si="2205"/>
        <v>AUDRA</v>
      </c>
      <c r="C5993" t="str">
        <f t="shared" si="2206"/>
        <v>GADSON</v>
      </c>
      <c r="D5993" t="str">
        <f t="shared" si="2207"/>
        <v>09</v>
      </c>
      <c r="E5993" t="str">
        <f>"03 - A - 101 - Helen A Flores"</f>
        <v>03 - A - 101 - Helen A Flores</v>
      </c>
      <c r="F5993" t="str">
        <f>"PRE-AICE MATH 1 IG"</f>
        <v>PRE-AICE MATH 1 IG</v>
      </c>
      <c r="G5993" t="str">
        <f>"21-2101"</f>
        <v>21-2101</v>
      </c>
      <c r="H5993" t="str">
        <f>"A"</f>
        <v>A</v>
      </c>
    </row>
    <row r="5994" spans="1:8" x14ac:dyDescent="0.2">
      <c r="A5994" t="str">
        <f t="shared" si="2204"/>
        <v>0617006115</v>
      </c>
      <c r="B5994" t="str">
        <f t="shared" si="2205"/>
        <v>AUDRA</v>
      </c>
      <c r="C5994" t="str">
        <f t="shared" si="2206"/>
        <v>GADSON</v>
      </c>
      <c r="D5994" t="str">
        <f t="shared" si="2207"/>
        <v>09</v>
      </c>
      <c r="E5994" t="str">
        <f>"02 - A - 108 - Rory T Sponsler"</f>
        <v>02 - A - 108 - Rory T Sponsler</v>
      </c>
      <c r="F5994" t="str">
        <f>"NC STUDY HALL 1"</f>
        <v>NC STUDY HALL 1</v>
      </c>
      <c r="G5994" t="str">
        <f>"17-1740"</f>
        <v>17-1740</v>
      </c>
      <c r="H5994" t="str">
        <f>"A"</f>
        <v>A</v>
      </c>
    </row>
    <row r="5995" spans="1:8" x14ac:dyDescent="0.2">
      <c r="A5995" t="str">
        <f t="shared" si="2204"/>
        <v>0617006115</v>
      </c>
      <c r="B5995" t="str">
        <f t="shared" si="2205"/>
        <v>AUDRA</v>
      </c>
      <c r="C5995" t="str">
        <f t="shared" si="2206"/>
        <v>GADSON</v>
      </c>
      <c r="D5995" t="str">
        <f t="shared" si="2207"/>
        <v>09</v>
      </c>
      <c r="E5995" t="str">
        <f>"07 - B - 107 - Cerine S Stewart"</f>
        <v>07 - B - 107 - Cerine S Stewart</v>
      </c>
      <c r="F5995" t="str">
        <f>"ENG 1"</f>
        <v>ENG 1</v>
      </c>
      <c r="G5995" t="str">
        <f>"17-1720"</f>
        <v>17-1720</v>
      </c>
      <c r="H5995" t="str">
        <f>"B"</f>
        <v>B</v>
      </c>
    </row>
    <row r="5996" spans="1:8" x14ac:dyDescent="0.2">
      <c r="A5996" t="str">
        <f t="shared" si="2204"/>
        <v>0617006115</v>
      </c>
      <c r="B5996" t="str">
        <f t="shared" si="2205"/>
        <v>AUDRA</v>
      </c>
      <c r="C5996" t="str">
        <f t="shared" si="2206"/>
        <v>GADSON</v>
      </c>
      <c r="D5996" t="str">
        <f t="shared" si="2207"/>
        <v>09</v>
      </c>
      <c r="E5996" t="str">
        <f>"05 - B - 202 - Amy Beth  Broyles"</f>
        <v>05 - B - 202 - Amy Beth  Broyles</v>
      </c>
      <c r="F5996" t="str">
        <f>"ENV SCI"</f>
        <v>ENV SCI</v>
      </c>
      <c r="G5996" t="str">
        <f>"08-802"</f>
        <v>08-802</v>
      </c>
      <c r="H5996" t="str">
        <f>"B"</f>
        <v>B</v>
      </c>
    </row>
    <row r="5997" spans="1:8" x14ac:dyDescent="0.2">
      <c r="A5997" t="str">
        <f t="shared" si="2204"/>
        <v>0617006115</v>
      </c>
      <c r="B5997" t="str">
        <f t="shared" si="2205"/>
        <v>AUDRA</v>
      </c>
      <c r="C5997" t="str">
        <f t="shared" si="2206"/>
        <v>GADSON</v>
      </c>
      <c r="D5997" t="str">
        <f t="shared" si="2207"/>
        <v>09</v>
      </c>
      <c r="E5997" t="str">
        <f>"01 - A - 107 - Jazmin S Fletcher"</f>
        <v>01 - A - 107 - Jazmin S Fletcher</v>
      </c>
      <c r="F5997" t="str">
        <f>"WORLD HISTORY"</f>
        <v>WORLD HISTORY</v>
      </c>
      <c r="G5997" t="str">
        <f>"09-909"</f>
        <v>09-909</v>
      </c>
      <c r="H5997" t="str">
        <f>"A"</f>
        <v>A</v>
      </c>
    </row>
    <row r="5998" spans="1:8" x14ac:dyDescent="0.2">
      <c r="A5998" t="str">
        <f t="shared" si="2204"/>
        <v>0617006115</v>
      </c>
      <c r="B5998" t="str">
        <f t="shared" si="2205"/>
        <v>AUDRA</v>
      </c>
      <c r="C5998" t="str">
        <f t="shared" si="2206"/>
        <v>GADSON</v>
      </c>
      <c r="D5998" t="str">
        <f t="shared" si="2207"/>
        <v>09</v>
      </c>
      <c r="E5998" t="str">
        <f>"08 - B - 106 - Laselleda D Shaw"</f>
        <v>08 - B - 106 - Laselleda D Shaw</v>
      </c>
      <c r="F5998" t="str">
        <f>"INTENS READ 1"</f>
        <v>INTENS READ 1</v>
      </c>
      <c r="G5998" t="str">
        <f>"17-1723"</f>
        <v>17-1723</v>
      </c>
      <c r="H5998" t="str">
        <f>"B"</f>
        <v>B</v>
      </c>
    </row>
    <row r="5999" spans="1:8" x14ac:dyDescent="0.2">
      <c r="A5999" t="str">
        <f t="shared" ref="A5999:A6006" si="2208">"0616025270"</f>
        <v>0616025270</v>
      </c>
      <c r="B5999" t="str">
        <f t="shared" ref="B5999:B6006" si="2209">"ISAAC"</f>
        <v>ISAAC</v>
      </c>
      <c r="C5999" t="str">
        <f t="shared" ref="C5999:C6006" si="2210">"GAFANOVICH"</f>
        <v>GAFANOVICH</v>
      </c>
      <c r="D5999">
        <f>12</f>
        <v>12</v>
      </c>
      <c r="E5999" t="str">
        <f>"04 - A - 106 - Tina M Jaramillo"</f>
        <v>04 - A - 106 - Tina M Jaramillo</v>
      </c>
      <c r="F5999" t="str">
        <f>"AP ENG LIT COMPO"</f>
        <v>AP ENG LIT COMPO</v>
      </c>
      <c r="G5999" t="str">
        <f>"17-1706"</f>
        <v>17-1706</v>
      </c>
      <c r="H5999" t="str">
        <f>"A"</f>
        <v>A</v>
      </c>
    </row>
    <row r="6000" spans="1:8" x14ac:dyDescent="0.2">
      <c r="A6000" t="str">
        <f t="shared" si="2208"/>
        <v>0616025270</v>
      </c>
      <c r="B6000" t="str">
        <f t="shared" si="2209"/>
        <v>ISAAC</v>
      </c>
      <c r="C6000" t="str">
        <f t="shared" si="2210"/>
        <v>GAFANOVICH</v>
      </c>
      <c r="D6000">
        <f>12</f>
        <v>12</v>
      </c>
      <c r="E6000" t="str">
        <f>"06 - B - 104 - Lissa C Frederique"</f>
        <v>06 - B - 104 - Lissa C Frederique</v>
      </c>
      <c r="F6000" t="str">
        <f>"NC STUDY HALL 1"</f>
        <v>NC STUDY HALL 1</v>
      </c>
      <c r="G6000" t="str">
        <f>"17-1754"</f>
        <v>17-1754</v>
      </c>
      <c r="H6000" t="str">
        <f>"B"</f>
        <v>B</v>
      </c>
    </row>
    <row r="6001" spans="1:8" x14ac:dyDescent="0.2">
      <c r="A6001" t="str">
        <f t="shared" si="2208"/>
        <v>0616025270</v>
      </c>
      <c r="B6001" t="str">
        <f t="shared" si="2209"/>
        <v>ISAAC</v>
      </c>
      <c r="C6001" t="str">
        <f t="shared" si="2210"/>
        <v>GAFANOVICH</v>
      </c>
      <c r="D6001">
        <f>12</f>
        <v>12</v>
      </c>
      <c r="E6001" t="str">
        <f>"03 - A - 101 - Samantha L Martinez"</f>
        <v>03 - A - 101 - Samantha L Martinez</v>
      </c>
      <c r="F6001" t="str">
        <f>"VOCAL ENS 1"</f>
        <v>VOCAL ENS 1</v>
      </c>
      <c r="G6001" t="str">
        <f>"05-505"</f>
        <v>05-505</v>
      </c>
      <c r="H6001" t="str">
        <f>"A"</f>
        <v>A</v>
      </c>
    </row>
    <row r="6002" spans="1:8" x14ac:dyDescent="0.2">
      <c r="A6002" t="str">
        <f t="shared" si="2208"/>
        <v>0616025270</v>
      </c>
      <c r="B6002" t="str">
        <f t="shared" si="2209"/>
        <v>ISAAC</v>
      </c>
      <c r="C6002" t="str">
        <f t="shared" si="2210"/>
        <v>GAFANOVICH</v>
      </c>
      <c r="D6002">
        <f>12</f>
        <v>12</v>
      </c>
      <c r="E6002" t="str">
        <f>"02 - A - 102 - Marielle A Witting"</f>
        <v>02 - A - 102 - Marielle A Witting</v>
      </c>
      <c r="F6002" t="str">
        <f>"AP BIO"</f>
        <v>AP BIO</v>
      </c>
      <c r="G6002" t="str">
        <f>"08-805"</f>
        <v>08-805</v>
      </c>
      <c r="H6002" t="str">
        <f>"A"</f>
        <v>A</v>
      </c>
    </row>
    <row r="6003" spans="1:8" x14ac:dyDescent="0.2">
      <c r="A6003" t="str">
        <f t="shared" si="2208"/>
        <v>0616025270</v>
      </c>
      <c r="B6003" t="str">
        <f t="shared" si="2209"/>
        <v>ISAAC</v>
      </c>
      <c r="C6003" t="str">
        <f t="shared" si="2210"/>
        <v>GAFANOVICH</v>
      </c>
      <c r="D6003">
        <f>12</f>
        <v>12</v>
      </c>
      <c r="E6003" t="str">
        <f>"07 - S1 - B - 101 - Stephen T Ripp"</f>
        <v>07 - S1 - B - 101 - Stephen T Ripp</v>
      </c>
      <c r="F6003" t="str">
        <f>"AP US GOVT/POL"</f>
        <v>AP US GOVT/POL</v>
      </c>
      <c r="G6003" t="str">
        <f>"17-1744"</f>
        <v>17-1744</v>
      </c>
      <c r="H6003" t="str">
        <f>"B"</f>
        <v>B</v>
      </c>
    </row>
    <row r="6004" spans="1:8" x14ac:dyDescent="0.2">
      <c r="A6004" t="str">
        <f t="shared" si="2208"/>
        <v>0616025270</v>
      </c>
      <c r="B6004" t="str">
        <f t="shared" si="2209"/>
        <v>ISAAC</v>
      </c>
      <c r="C6004" t="str">
        <f t="shared" si="2210"/>
        <v>GAFANOVICH</v>
      </c>
      <c r="D6004">
        <f>12</f>
        <v>12</v>
      </c>
      <c r="E6004" t="str">
        <f>"05 - B - 101 - Jordana K Hass"</f>
        <v>05 - B - 101 - Jordana K Hass</v>
      </c>
      <c r="F6004" t="str">
        <f>"AP COMP SCI PRIN"</f>
        <v>AP COMP SCI PRIN</v>
      </c>
      <c r="G6004" t="str">
        <f>"08-807"</f>
        <v>08-807</v>
      </c>
      <c r="H6004" t="str">
        <f>"B"</f>
        <v>B</v>
      </c>
    </row>
    <row r="6005" spans="1:8" x14ac:dyDescent="0.2">
      <c r="A6005" t="str">
        <f t="shared" si="2208"/>
        <v>0616025270</v>
      </c>
      <c r="B6005" t="str">
        <f t="shared" si="2209"/>
        <v>ISAAC</v>
      </c>
      <c r="C6005" t="str">
        <f t="shared" si="2210"/>
        <v>GAFANOVICH</v>
      </c>
      <c r="D6005">
        <f>12</f>
        <v>12</v>
      </c>
      <c r="E6005" t="str">
        <f>"01 - A - 201 - Pamela M Corzo"</f>
        <v>01 - A - 201 - Pamela M Corzo</v>
      </c>
      <c r="F6005" t="str">
        <f>"AP CALCULUS BC"</f>
        <v>AP CALCULUS BC</v>
      </c>
      <c r="G6005" t="str">
        <f>"21-2133"</f>
        <v>21-2133</v>
      </c>
      <c r="H6005" t="str">
        <f>"A"</f>
        <v>A</v>
      </c>
    </row>
    <row r="6006" spans="1:8" x14ac:dyDescent="0.2">
      <c r="A6006" t="str">
        <f t="shared" si="2208"/>
        <v>0616025270</v>
      </c>
      <c r="B6006" t="str">
        <f t="shared" si="2209"/>
        <v>ISAAC</v>
      </c>
      <c r="C6006" t="str">
        <f t="shared" si="2210"/>
        <v>GAFANOVICH</v>
      </c>
      <c r="D6006">
        <f>12</f>
        <v>12</v>
      </c>
      <c r="E6006" t="str">
        <f>"08 - B - 102 - Lisa J London"</f>
        <v>08 - B - 102 - Lisa J London</v>
      </c>
      <c r="F6006" t="str">
        <f>"AP CAPSTONE RESEARCH"</f>
        <v>AP CAPSTONE RESEARCH</v>
      </c>
      <c r="G6006" t="str">
        <f>"17-1714"</f>
        <v>17-1714</v>
      </c>
      <c r="H6006" t="str">
        <f>"B"</f>
        <v>B</v>
      </c>
    </row>
    <row r="6007" spans="1:8" x14ac:dyDescent="0.2">
      <c r="A6007" t="str">
        <f t="shared" ref="A6007:A6014" si="2211">"0614133723"</f>
        <v>0614133723</v>
      </c>
      <c r="B6007" t="str">
        <f t="shared" ref="B6007:B6014" si="2212">"THORION"</f>
        <v>THORION</v>
      </c>
      <c r="C6007" t="str">
        <f t="shared" ref="C6007:C6014" si="2213">"GALARZA ITHIER"</f>
        <v>GALARZA ITHIER</v>
      </c>
      <c r="D6007">
        <f>10</f>
        <v>10</v>
      </c>
      <c r="E6007" t="str">
        <f>"04 - S1 - A - 103 - James H Mccann"</f>
        <v>04 - S1 - A - 103 - James H Mccann</v>
      </c>
      <c r="F6007" t="str">
        <f>"PERS FIN &amp; MON MGT H"</f>
        <v>PERS FIN &amp; MON MGT H</v>
      </c>
      <c r="G6007" t="str">
        <f>"17-1716"</f>
        <v>17-1716</v>
      </c>
      <c r="H6007" t="str">
        <f>"A"</f>
        <v>A</v>
      </c>
    </row>
    <row r="6008" spans="1:8" x14ac:dyDescent="0.2">
      <c r="A6008" t="str">
        <f t="shared" si="2211"/>
        <v>0614133723</v>
      </c>
      <c r="B6008" t="str">
        <f t="shared" si="2212"/>
        <v>THORION</v>
      </c>
      <c r="C6008" t="str">
        <f t="shared" si="2213"/>
        <v>GALARZA ITHIER</v>
      </c>
      <c r="D6008">
        <f>10</f>
        <v>10</v>
      </c>
      <c r="E6008" t="str">
        <f>"06 - B - 108 - Jacklyn M James"</f>
        <v>06 - B - 108 - Jacklyn M James</v>
      </c>
      <c r="F6008" t="str">
        <f>"NC STUDY HALL 1"</f>
        <v>NC STUDY HALL 1</v>
      </c>
      <c r="G6008" t="str">
        <f>"17-1731"</f>
        <v>17-1731</v>
      </c>
      <c r="H6008" t="str">
        <f>"B"</f>
        <v>B</v>
      </c>
    </row>
    <row r="6009" spans="1:8" x14ac:dyDescent="0.2">
      <c r="A6009" t="str">
        <f t="shared" si="2211"/>
        <v>0614133723</v>
      </c>
      <c r="B6009" t="str">
        <f t="shared" si="2212"/>
        <v>THORION</v>
      </c>
      <c r="C6009" t="str">
        <f t="shared" si="2213"/>
        <v>GALARZA ITHIER</v>
      </c>
      <c r="D6009">
        <f>10</f>
        <v>10</v>
      </c>
      <c r="E6009" t="str">
        <f>"03 - A - 101 - Brian M Fitzgerald"</f>
        <v>03 - A - 101 - Brian M Fitzgerald</v>
      </c>
      <c r="F6009" t="str">
        <f>"SCULPT 1"</f>
        <v>SCULPT 1</v>
      </c>
      <c r="G6009" t="str">
        <f>"09-908"</f>
        <v>09-908</v>
      </c>
      <c r="H6009" t="str">
        <f>"A"</f>
        <v>A</v>
      </c>
    </row>
    <row r="6010" spans="1:8" x14ac:dyDescent="0.2">
      <c r="A6010" t="str">
        <f t="shared" si="2211"/>
        <v>0614133723</v>
      </c>
      <c r="B6010" t="str">
        <f t="shared" si="2212"/>
        <v>THORION</v>
      </c>
      <c r="C6010" t="str">
        <f t="shared" si="2213"/>
        <v>GALARZA ITHIER</v>
      </c>
      <c r="D6010">
        <f>10</f>
        <v>10</v>
      </c>
      <c r="E6010" t="str">
        <f>"02 - A - 102 - Marius D Orsolini"</f>
        <v>02 - A - 102 - Marius D Orsolini</v>
      </c>
      <c r="F6010" t="str">
        <f>"CULINARY ARTS 1"</f>
        <v>CULINARY ARTS 1</v>
      </c>
      <c r="G6010" t="str">
        <f>"21-2115"</f>
        <v>21-2115</v>
      </c>
      <c r="H6010" t="str">
        <f>"A"</f>
        <v>A</v>
      </c>
    </row>
    <row r="6011" spans="1:8" x14ac:dyDescent="0.2">
      <c r="A6011" t="str">
        <f t="shared" si="2211"/>
        <v>0614133723</v>
      </c>
      <c r="B6011" t="str">
        <f t="shared" si="2212"/>
        <v>THORION</v>
      </c>
      <c r="C6011" t="str">
        <f t="shared" si="2213"/>
        <v>GALARZA ITHIER</v>
      </c>
      <c r="D6011">
        <f>10</f>
        <v>10</v>
      </c>
      <c r="E6011" t="str">
        <f>"07 - B - 107 - Lytrell T Dixon"</f>
        <v>07 - B - 107 - Lytrell T Dixon</v>
      </c>
      <c r="F6011" t="str">
        <f>"BIOLOGY 1"</f>
        <v>BIOLOGY 1</v>
      </c>
      <c r="G6011" t="str">
        <f>"08-808"</f>
        <v>08-808</v>
      </c>
      <c r="H6011" t="str">
        <f>"B"</f>
        <v>B</v>
      </c>
    </row>
    <row r="6012" spans="1:8" x14ac:dyDescent="0.2">
      <c r="A6012" t="str">
        <f t="shared" si="2211"/>
        <v>0614133723</v>
      </c>
      <c r="B6012" t="str">
        <f t="shared" si="2212"/>
        <v>THORION</v>
      </c>
      <c r="C6012" t="str">
        <f t="shared" si="2213"/>
        <v>GALARZA ITHIER</v>
      </c>
      <c r="D6012">
        <f>10</f>
        <v>10</v>
      </c>
      <c r="E6012" t="str">
        <f>"05 - B - 107 - Nikiel  Nesbeth"</f>
        <v>05 - B - 107 - Nikiel  Nesbeth</v>
      </c>
      <c r="F6012" t="str">
        <f>"ENG 2"</f>
        <v>ENG 2</v>
      </c>
      <c r="G6012" t="str">
        <f>"17-1705"</f>
        <v>17-1705</v>
      </c>
      <c r="H6012" t="str">
        <f>"B"</f>
        <v>B</v>
      </c>
    </row>
    <row r="6013" spans="1:8" x14ac:dyDescent="0.2">
      <c r="A6013" t="str">
        <f t="shared" si="2211"/>
        <v>0614133723</v>
      </c>
      <c r="B6013" t="str">
        <f t="shared" si="2212"/>
        <v>THORION</v>
      </c>
      <c r="C6013" t="str">
        <f t="shared" si="2213"/>
        <v>GALARZA ITHIER</v>
      </c>
      <c r="D6013">
        <f>10</f>
        <v>10</v>
      </c>
      <c r="E6013" t="str">
        <f>"01 - A - 101 - Adam Marcus  Drucker"</f>
        <v>01 - A - 101 - Adam Marcus  Drucker</v>
      </c>
      <c r="F6013" t="str">
        <f>"HOPE-PE V"</f>
        <v>HOPE-PE V</v>
      </c>
      <c r="G6013" t="str">
        <f>"04-254"</f>
        <v>04-254</v>
      </c>
      <c r="H6013" t="str">
        <f>"A"</f>
        <v>A</v>
      </c>
    </row>
    <row r="6014" spans="1:8" x14ac:dyDescent="0.2">
      <c r="A6014" t="str">
        <f t="shared" si="2211"/>
        <v>0614133723</v>
      </c>
      <c r="B6014" t="str">
        <f t="shared" si="2212"/>
        <v>THORION</v>
      </c>
      <c r="C6014" t="str">
        <f t="shared" si="2213"/>
        <v>GALARZA ITHIER</v>
      </c>
      <c r="D6014">
        <f>10</f>
        <v>10</v>
      </c>
      <c r="E6014" t="str">
        <f>"08 - B - 105 - Ferrie J Arostique"</f>
        <v>08 - B - 105 - Ferrie J Arostique</v>
      </c>
      <c r="F6014" t="str">
        <f>"PRE-AICE MATH 2 IG"</f>
        <v>PRE-AICE MATH 2 IG</v>
      </c>
      <c r="G6014" t="str">
        <f>"21-2139"</f>
        <v>21-2139</v>
      </c>
      <c r="H6014" t="str">
        <f>"B"</f>
        <v>B</v>
      </c>
    </row>
    <row r="6015" spans="1:8" x14ac:dyDescent="0.2">
      <c r="A6015" t="str">
        <f t="shared" ref="A6015:A6022" si="2214">"0612136558"</f>
        <v>0612136558</v>
      </c>
      <c r="B6015" t="str">
        <f t="shared" ref="B6015:B6022" si="2215">"JOELYZ"</f>
        <v>JOELYZ</v>
      </c>
      <c r="C6015" t="str">
        <f t="shared" ref="C6015:C6022" si="2216">"GALINDO"</f>
        <v>GALINDO</v>
      </c>
      <c r="D6015">
        <f>12</f>
        <v>12</v>
      </c>
      <c r="E6015" t="str">
        <f>"04 - A - 104 - Robert H Rindner"</f>
        <v>04 - A - 104 - Robert H Rindner</v>
      </c>
      <c r="F6015" t="str">
        <f>"MATH DATA&amp;FIN LIT H"</f>
        <v>MATH DATA&amp;FIN LIT H</v>
      </c>
      <c r="G6015" t="str">
        <f>"21-2160"</f>
        <v>21-2160</v>
      </c>
      <c r="H6015" t="str">
        <f>"A"</f>
        <v>A</v>
      </c>
    </row>
    <row r="6016" spans="1:8" x14ac:dyDescent="0.2">
      <c r="A6016" t="str">
        <f t="shared" si="2214"/>
        <v>0612136558</v>
      </c>
      <c r="B6016" t="str">
        <f t="shared" si="2215"/>
        <v>JOELYZ</v>
      </c>
      <c r="C6016" t="str">
        <f t="shared" si="2216"/>
        <v>GALINDO</v>
      </c>
      <c r="D6016">
        <f>12</f>
        <v>12</v>
      </c>
      <c r="E6016" t="str">
        <f>"06 - B - 102 - Andrea A Amison"</f>
        <v>06 - B - 102 - Andrea A Amison</v>
      </c>
      <c r="F6016" t="str">
        <f>"NC STUDY HALL 1"</f>
        <v>NC STUDY HALL 1</v>
      </c>
      <c r="G6016" t="str">
        <f>"09-922C"</f>
        <v>09-922C</v>
      </c>
      <c r="H6016" t="str">
        <f>"B"</f>
        <v>B</v>
      </c>
    </row>
    <row r="6017" spans="1:8" x14ac:dyDescent="0.2">
      <c r="A6017" t="str">
        <f t="shared" si="2214"/>
        <v>0612136558</v>
      </c>
      <c r="B6017" t="str">
        <f t="shared" si="2215"/>
        <v>JOELYZ</v>
      </c>
      <c r="C6017" t="str">
        <f t="shared" si="2216"/>
        <v>GALINDO</v>
      </c>
      <c r="D6017">
        <f>12</f>
        <v>12</v>
      </c>
      <c r="E6017" t="str">
        <f>"03 - A - 101 - Chrystina M Marchionne"</f>
        <v>03 - A - 101 - Chrystina M Marchionne</v>
      </c>
      <c r="F6017" t="str">
        <f>"JOURN 2 (YB) LH"</f>
        <v>JOURN 2 (YB) LH</v>
      </c>
      <c r="G6017" t="str">
        <f>"05-520"</f>
        <v>05-520</v>
      </c>
      <c r="H6017" t="str">
        <f>"A"</f>
        <v>A</v>
      </c>
    </row>
    <row r="6018" spans="1:8" x14ac:dyDescent="0.2">
      <c r="A6018" t="str">
        <f t="shared" si="2214"/>
        <v>0612136558</v>
      </c>
      <c r="B6018" t="str">
        <f t="shared" si="2215"/>
        <v>JOELYZ</v>
      </c>
      <c r="C6018" t="str">
        <f t="shared" si="2216"/>
        <v>GALINDO</v>
      </c>
      <c r="D6018">
        <f>12</f>
        <v>12</v>
      </c>
      <c r="E6018" t="str">
        <f>"02 - A - 102 - Bruce A Evans"</f>
        <v>02 - A - 102 - Bruce A Evans</v>
      </c>
      <c r="F6018" t="str">
        <f>"EMERG MED RESP 3 HON"</f>
        <v>EMERG MED RESP 3 HON</v>
      </c>
      <c r="G6018" t="str">
        <f>"21-2142"</f>
        <v>21-2142</v>
      </c>
      <c r="H6018" t="str">
        <f>"A"</f>
        <v>A</v>
      </c>
    </row>
    <row r="6019" spans="1:8" x14ac:dyDescent="0.2">
      <c r="A6019" t="str">
        <f t="shared" si="2214"/>
        <v>0612136558</v>
      </c>
      <c r="B6019" t="str">
        <f t="shared" si="2215"/>
        <v>JOELYZ</v>
      </c>
      <c r="C6019" t="str">
        <f t="shared" si="2216"/>
        <v>GALINDO</v>
      </c>
      <c r="D6019">
        <f>12</f>
        <v>12</v>
      </c>
      <c r="E6019" t="str">
        <f>"07 - B - 104 - Robyn L Trainer"</f>
        <v>07 - B - 104 - Robyn L Trainer</v>
      </c>
      <c r="F6019" t="str">
        <f>"ENG 4"</f>
        <v>ENG 4</v>
      </c>
      <c r="G6019" t="str">
        <f>"17-1734"</f>
        <v>17-1734</v>
      </c>
      <c r="H6019" t="str">
        <f>"B"</f>
        <v>B</v>
      </c>
    </row>
    <row r="6020" spans="1:8" x14ac:dyDescent="0.2">
      <c r="A6020" t="str">
        <f t="shared" si="2214"/>
        <v>0612136558</v>
      </c>
      <c r="B6020" t="str">
        <f t="shared" si="2215"/>
        <v>JOELYZ</v>
      </c>
      <c r="C6020" t="str">
        <f t="shared" si="2216"/>
        <v>GALINDO</v>
      </c>
      <c r="D6020">
        <f>12</f>
        <v>12</v>
      </c>
      <c r="E6020" t="str">
        <f>"05 - B - 201 - Bruce A Evans"</f>
        <v>05 - B - 201 - Bruce A Evans</v>
      </c>
      <c r="F6020" t="str">
        <f>"HEALTH SCI FOUND HON"</f>
        <v>HEALTH SCI FOUND HON</v>
      </c>
      <c r="G6020" t="str">
        <f>"21-2142"</f>
        <v>21-2142</v>
      </c>
      <c r="H6020" t="str">
        <f>"B"</f>
        <v>B</v>
      </c>
    </row>
    <row r="6021" spans="1:8" x14ac:dyDescent="0.2">
      <c r="A6021" t="str">
        <f t="shared" si="2214"/>
        <v>0612136558</v>
      </c>
      <c r="B6021" t="str">
        <f t="shared" si="2215"/>
        <v>JOELYZ</v>
      </c>
      <c r="C6021" t="str">
        <f t="shared" si="2216"/>
        <v>GALINDO</v>
      </c>
      <c r="D6021">
        <f>12</f>
        <v>12</v>
      </c>
      <c r="E6021" t="str">
        <f>"01 - S1 - A - 101 - Robert O Burger"</f>
        <v>01 - S1 - A - 101 - Robert O Burger</v>
      </c>
      <c r="F6021" t="str">
        <f>"US GOVT"</f>
        <v>US GOVT</v>
      </c>
      <c r="G6021" t="str">
        <f>"17-1755"</f>
        <v>17-1755</v>
      </c>
      <c r="H6021" t="str">
        <f>"A"</f>
        <v>A</v>
      </c>
    </row>
    <row r="6022" spans="1:8" x14ac:dyDescent="0.2">
      <c r="A6022" t="str">
        <f t="shared" si="2214"/>
        <v>0612136558</v>
      </c>
      <c r="B6022" t="str">
        <f t="shared" si="2215"/>
        <v>JOELYZ</v>
      </c>
      <c r="C6022" t="str">
        <f t="shared" si="2216"/>
        <v>GALINDO</v>
      </c>
      <c r="D6022">
        <f>12</f>
        <v>12</v>
      </c>
      <c r="E6022" t="str">
        <f>"08 - B - 102 - Carleigh R Carmichael"</f>
        <v>08 - B - 102 - Carleigh R Carmichael</v>
      </c>
      <c r="F6022" t="str">
        <f>"LRNG STRATEGIES 9-12"</f>
        <v>LRNG STRATEGIES 9-12</v>
      </c>
      <c r="G6022" t="str">
        <f>"20-2072"</f>
        <v>20-2072</v>
      </c>
      <c r="H6022" t="str">
        <f>"B"</f>
        <v>B</v>
      </c>
    </row>
    <row r="6023" spans="1:8" x14ac:dyDescent="0.2">
      <c r="A6023" t="str">
        <f t="shared" ref="A6023:A6030" si="2217">"0616111879"</f>
        <v>0616111879</v>
      </c>
      <c r="B6023" t="str">
        <f t="shared" ref="B6023:B6030" si="2218">"ANDRES"</f>
        <v>ANDRES</v>
      </c>
      <c r="C6023" t="str">
        <f t="shared" ref="C6023:C6038" si="2219">"GALLARDO"</f>
        <v>GALLARDO</v>
      </c>
      <c r="D6023" t="str">
        <f t="shared" ref="D6023:D6038" si="2220">"09"</f>
        <v>09</v>
      </c>
      <c r="E6023" t="str">
        <f>"04 - A - 103 - Joe  Kilpatrick Jr"</f>
        <v>04 - A - 103 - Joe  Kilpatrick Jr</v>
      </c>
      <c r="F6023" t="str">
        <f>"PRE-AICE SPAN 1 IG"</f>
        <v>PRE-AICE SPAN 1 IG</v>
      </c>
      <c r="G6023" t="str">
        <f>"09-912"</f>
        <v>09-912</v>
      </c>
      <c r="H6023" t="str">
        <f>"A"</f>
        <v>A</v>
      </c>
    </row>
    <row r="6024" spans="1:8" x14ac:dyDescent="0.2">
      <c r="A6024" t="str">
        <f t="shared" si="2217"/>
        <v>0616111879</v>
      </c>
      <c r="B6024" t="str">
        <f t="shared" si="2218"/>
        <v>ANDRES</v>
      </c>
      <c r="C6024" t="str">
        <f t="shared" si="2219"/>
        <v>GALLARDO</v>
      </c>
      <c r="D6024" t="str">
        <f t="shared" si="2220"/>
        <v>09</v>
      </c>
      <c r="E6024" t="str">
        <f>"06 - B - 102 - Angela S Adeshina-Morrison"</f>
        <v>06 - B - 102 - Angela S Adeshina-Morrison</v>
      </c>
      <c r="F6024" t="str">
        <f>"MARKETING ESSENTIALS"</f>
        <v>MARKETING ESSENTIALS</v>
      </c>
      <c r="G6024" t="str">
        <f>"05-518"</f>
        <v>05-518</v>
      </c>
      <c r="H6024" t="str">
        <f>"B"</f>
        <v>B</v>
      </c>
    </row>
    <row r="6025" spans="1:8" x14ac:dyDescent="0.2">
      <c r="A6025" t="str">
        <f t="shared" si="2217"/>
        <v>0616111879</v>
      </c>
      <c r="B6025" t="str">
        <f t="shared" si="2218"/>
        <v>ANDRES</v>
      </c>
      <c r="C6025" t="str">
        <f t="shared" si="2219"/>
        <v>GALLARDO</v>
      </c>
      <c r="D6025" t="str">
        <f t="shared" si="2220"/>
        <v>09</v>
      </c>
      <c r="E6025" t="str">
        <f>"03 - A - 103 - Samantha J Headley"</f>
        <v>03 - A - 103 - Samantha J Headley</v>
      </c>
      <c r="F6025" t="str">
        <f>"MARINE SCI 1 HON"</f>
        <v>MARINE SCI 1 HON</v>
      </c>
      <c r="G6025" t="str">
        <f>"21-2134"</f>
        <v>21-2134</v>
      </c>
      <c r="H6025" t="str">
        <f>"A"</f>
        <v>A</v>
      </c>
    </row>
    <row r="6026" spans="1:8" x14ac:dyDescent="0.2">
      <c r="A6026" t="str">
        <f t="shared" si="2217"/>
        <v>0616111879</v>
      </c>
      <c r="B6026" t="str">
        <f t="shared" si="2218"/>
        <v>ANDRES</v>
      </c>
      <c r="C6026" t="str">
        <f t="shared" si="2219"/>
        <v>GALLARDO</v>
      </c>
      <c r="D6026" t="str">
        <f t="shared" si="2220"/>
        <v>09</v>
      </c>
      <c r="E6026" t="str">
        <f>"02 - A - 116 - Tina L Lovett"</f>
        <v>02 - A - 116 - Tina L Lovett</v>
      </c>
      <c r="F6026" t="str">
        <f>"NC STUDY HALL 1"</f>
        <v>NC STUDY HALL 1</v>
      </c>
      <c r="G6026" t="str">
        <f>"21-2153"</f>
        <v>21-2153</v>
      </c>
      <c r="H6026" t="str">
        <f>"A"</f>
        <v>A</v>
      </c>
    </row>
    <row r="6027" spans="1:8" x14ac:dyDescent="0.2">
      <c r="A6027" t="str">
        <f t="shared" si="2217"/>
        <v>0616111879</v>
      </c>
      <c r="B6027" t="str">
        <f t="shared" si="2218"/>
        <v>ANDRES</v>
      </c>
      <c r="C6027" t="str">
        <f t="shared" si="2219"/>
        <v>GALLARDO</v>
      </c>
      <c r="D6027" t="str">
        <f t="shared" si="2220"/>
        <v>09</v>
      </c>
      <c r="E6027" t="str">
        <f>"07 - B - 101 - Jeanne M Bermudez"</f>
        <v>07 - B - 101 - Jeanne M Bermudez</v>
      </c>
      <c r="F6027" t="str">
        <f>"FOUND OF PROGRAM HON"</f>
        <v>FOUND OF PROGRAM HON</v>
      </c>
      <c r="G6027" t="str">
        <f>"21-2141"</f>
        <v>21-2141</v>
      </c>
      <c r="H6027" t="str">
        <f>"B"</f>
        <v>B</v>
      </c>
    </row>
    <row r="6028" spans="1:8" x14ac:dyDescent="0.2">
      <c r="A6028" t="str">
        <f t="shared" si="2217"/>
        <v>0616111879</v>
      </c>
      <c r="B6028" t="str">
        <f t="shared" si="2218"/>
        <v>ANDRES</v>
      </c>
      <c r="C6028" t="str">
        <f t="shared" si="2219"/>
        <v>GALLARDO</v>
      </c>
      <c r="D6028" t="str">
        <f t="shared" si="2220"/>
        <v>09</v>
      </c>
      <c r="E6028" t="str">
        <f>"05 - B - 103 - Rory T Sponsler"</f>
        <v>05 - B - 103 - Rory T Sponsler</v>
      </c>
      <c r="F6028" t="str">
        <f>"PRE-AICE WRLD HST IG"</f>
        <v>PRE-AICE WRLD HST IG</v>
      </c>
      <c r="G6028" t="str">
        <f>"17-1740"</f>
        <v>17-1740</v>
      </c>
      <c r="H6028" t="str">
        <f>"B"</f>
        <v>B</v>
      </c>
    </row>
    <row r="6029" spans="1:8" x14ac:dyDescent="0.2">
      <c r="A6029" t="str">
        <f t="shared" si="2217"/>
        <v>0616111879</v>
      </c>
      <c r="B6029" t="str">
        <f t="shared" si="2218"/>
        <v>ANDRES</v>
      </c>
      <c r="C6029" t="str">
        <f t="shared" si="2219"/>
        <v>GALLARDO</v>
      </c>
      <c r="D6029" t="str">
        <f t="shared" si="2220"/>
        <v>09</v>
      </c>
      <c r="E6029" t="str">
        <f>"01 - A - 102 - Brook E Goren"</f>
        <v>01 - A - 102 - Brook E Goren</v>
      </c>
      <c r="F6029" t="str">
        <f>"PRE-AICE MATH 2 IG"</f>
        <v>PRE-AICE MATH 2 IG</v>
      </c>
      <c r="G6029" t="str">
        <f>"21-2158"</f>
        <v>21-2158</v>
      </c>
      <c r="H6029" t="str">
        <f>"A"</f>
        <v>A</v>
      </c>
    </row>
    <row r="6030" spans="1:8" x14ac:dyDescent="0.2">
      <c r="A6030" t="str">
        <f t="shared" si="2217"/>
        <v>0616111879</v>
      </c>
      <c r="B6030" t="str">
        <f t="shared" si="2218"/>
        <v>ANDRES</v>
      </c>
      <c r="C6030" t="str">
        <f t="shared" si="2219"/>
        <v>GALLARDO</v>
      </c>
      <c r="D6030" t="str">
        <f t="shared" si="2220"/>
        <v>09</v>
      </c>
      <c r="E6030" t="str">
        <f>"08 - B - 201 - Elizabeth R Walker"</f>
        <v>08 - B - 201 - Elizabeth R Walker</v>
      </c>
      <c r="F6030" t="str">
        <f>"AICE ENG GEN PAPER 1"</f>
        <v>AICE ENG GEN PAPER 1</v>
      </c>
      <c r="G6030" t="str">
        <f>"17-1703"</f>
        <v>17-1703</v>
      </c>
      <c r="H6030" t="str">
        <f>"B"</f>
        <v>B</v>
      </c>
    </row>
    <row r="6031" spans="1:8" x14ac:dyDescent="0.2">
      <c r="A6031" t="str">
        <f t="shared" ref="A6031:A6038" si="2221">"0616035264"</f>
        <v>0616035264</v>
      </c>
      <c r="B6031" t="str">
        <f t="shared" ref="B6031:B6038" si="2222">"JOEY"</f>
        <v>JOEY</v>
      </c>
      <c r="C6031" t="str">
        <f t="shared" si="2219"/>
        <v>GALLARDO</v>
      </c>
      <c r="D6031" t="str">
        <f t="shared" si="2220"/>
        <v>09</v>
      </c>
      <c r="E6031" t="str">
        <f>"04 - A - 103 - Cerine S Stewart"</f>
        <v>04 - A - 103 - Cerine S Stewart</v>
      </c>
      <c r="F6031" t="str">
        <f>"ENG 1"</f>
        <v>ENG 1</v>
      </c>
      <c r="G6031" t="str">
        <f>"17-1720"</f>
        <v>17-1720</v>
      </c>
      <c r="H6031" t="str">
        <f>"A"</f>
        <v>A</v>
      </c>
    </row>
    <row r="6032" spans="1:8" x14ac:dyDescent="0.2">
      <c r="A6032" t="str">
        <f t="shared" si="2221"/>
        <v>0616035264</v>
      </c>
      <c r="B6032" t="str">
        <f t="shared" si="2222"/>
        <v>JOEY</v>
      </c>
      <c r="C6032" t="str">
        <f t="shared" si="2219"/>
        <v>GALLARDO</v>
      </c>
      <c r="D6032" t="str">
        <f t="shared" si="2220"/>
        <v>09</v>
      </c>
      <c r="E6032" t="str">
        <f>"06 - B - 105 - Dayna M Foster"</f>
        <v>06 - B - 105 - Dayna M Foster</v>
      </c>
      <c r="F6032" t="str">
        <f>"ALGEBRA 1"</f>
        <v>ALGEBRA 1</v>
      </c>
      <c r="G6032" t="str">
        <f>"21-2109"</f>
        <v>21-2109</v>
      </c>
      <c r="H6032" t="str">
        <f>"B"</f>
        <v>B</v>
      </c>
    </row>
    <row r="6033" spans="1:8" x14ac:dyDescent="0.2">
      <c r="A6033" t="str">
        <f t="shared" si="2221"/>
        <v>0616035264</v>
      </c>
      <c r="B6033" t="str">
        <f t="shared" si="2222"/>
        <v>JOEY</v>
      </c>
      <c r="C6033" t="str">
        <f t="shared" si="2219"/>
        <v>GALLARDO</v>
      </c>
      <c r="D6033" t="str">
        <f t="shared" si="2220"/>
        <v>09</v>
      </c>
      <c r="E6033" t="str">
        <f>"03 - A - 101 - Dayna M Foster"</f>
        <v>03 - A - 101 - Dayna M Foster</v>
      </c>
      <c r="F6033" t="str">
        <f>"FDN SKLS MATH 9-12"</f>
        <v>FDN SKLS MATH 9-12</v>
      </c>
      <c r="G6033" t="str">
        <f>"21-2109"</f>
        <v>21-2109</v>
      </c>
      <c r="H6033" t="str">
        <f>"A"</f>
        <v>A</v>
      </c>
    </row>
    <row r="6034" spans="1:8" x14ac:dyDescent="0.2">
      <c r="A6034" t="str">
        <f t="shared" si="2221"/>
        <v>0616035264</v>
      </c>
      <c r="B6034" t="str">
        <f t="shared" si="2222"/>
        <v>JOEY</v>
      </c>
      <c r="C6034" t="str">
        <f t="shared" si="2219"/>
        <v>GALLARDO</v>
      </c>
      <c r="D6034" t="str">
        <f t="shared" si="2220"/>
        <v>09</v>
      </c>
      <c r="E6034" t="str">
        <f>"02 - A - 101 - Milca  Exantus"</f>
        <v>02 - A - 101 - Milca  Exantus</v>
      </c>
      <c r="F6034" t="str">
        <f>"NC STUDY HALL 1"</f>
        <v>NC STUDY HALL 1</v>
      </c>
      <c r="G6034" t="str">
        <f>"21-2145"</f>
        <v>21-2145</v>
      </c>
      <c r="H6034" t="str">
        <f>"A"</f>
        <v>A</v>
      </c>
    </row>
    <row r="6035" spans="1:8" x14ac:dyDescent="0.2">
      <c r="A6035" t="str">
        <f t="shared" si="2221"/>
        <v>0616035264</v>
      </c>
      <c r="B6035" t="str">
        <f t="shared" si="2222"/>
        <v>JOEY</v>
      </c>
      <c r="C6035" t="str">
        <f t="shared" si="2219"/>
        <v>GALLARDO</v>
      </c>
      <c r="D6035" t="str">
        <f t="shared" si="2220"/>
        <v>09</v>
      </c>
      <c r="E6035" t="str">
        <f>"07 - B - 003 - Samantha J Headley"</f>
        <v>07 - B - 003 - Samantha J Headley</v>
      </c>
      <c r="F6035" t="str">
        <f>"ENV SCI"</f>
        <v>ENV SCI</v>
      </c>
      <c r="G6035" t="str">
        <f>"08-802"</f>
        <v>08-802</v>
      </c>
      <c r="H6035" t="str">
        <f>"B"</f>
        <v>B</v>
      </c>
    </row>
    <row r="6036" spans="1:8" x14ac:dyDescent="0.2">
      <c r="A6036" t="str">
        <f t="shared" si="2221"/>
        <v>0616035264</v>
      </c>
      <c r="B6036" t="str">
        <f t="shared" si="2222"/>
        <v>JOEY</v>
      </c>
      <c r="C6036" t="str">
        <f t="shared" si="2219"/>
        <v>GALLARDO</v>
      </c>
      <c r="D6036" t="str">
        <f t="shared" si="2220"/>
        <v>09</v>
      </c>
      <c r="E6036" t="str">
        <f>"05 - B - 001 - Laselleda D Shaw"</f>
        <v>05 - B - 001 - Laselleda D Shaw</v>
      </c>
      <c r="F6036" t="str">
        <f>"INTENS READ 1"</f>
        <v>INTENS READ 1</v>
      </c>
      <c r="G6036" t="str">
        <f>"17-1723"</f>
        <v>17-1723</v>
      </c>
      <c r="H6036" t="str">
        <f>"B"</f>
        <v>B</v>
      </c>
    </row>
    <row r="6037" spans="1:8" x14ac:dyDescent="0.2">
      <c r="A6037" t="str">
        <f t="shared" si="2221"/>
        <v>0616035264</v>
      </c>
      <c r="B6037" t="str">
        <f t="shared" si="2222"/>
        <v>JOEY</v>
      </c>
      <c r="C6037" t="str">
        <f t="shared" si="2219"/>
        <v>GALLARDO</v>
      </c>
      <c r="D6037" t="str">
        <f t="shared" si="2220"/>
        <v>09</v>
      </c>
      <c r="E6037" t="str">
        <f>"01 - A - 107 - Jazmin S Fletcher"</f>
        <v>01 - A - 107 - Jazmin S Fletcher</v>
      </c>
      <c r="F6037" t="str">
        <f>"WORLD HISTORY"</f>
        <v>WORLD HISTORY</v>
      </c>
      <c r="G6037" t="str">
        <f>"09-909"</f>
        <v>09-909</v>
      </c>
      <c r="H6037" t="str">
        <f>"A"</f>
        <v>A</v>
      </c>
    </row>
    <row r="6038" spans="1:8" x14ac:dyDescent="0.2">
      <c r="A6038" t="str">
        <f t="shared" si="2221"/>
        <v>0616035264</v>
      </c>
      <c r="B6038" t="str">
        <f t="shared" si="2222"/>
        <v>JOEY</v>
      </c>
      <c r="C6038" t="str">
        <f t="shared" si="2219"/>
        <v>GALLARDO</v>
      </c>
      <c r="D6038" t="str">
        <f t="shared" si="2220"/>
        <v>09</v>
      </c>
      <c r="E6038" t="str">
        <f>"08 - B - 102 - Robert H Rindner"</f>
        <v>08 - B - 102 - Robert H Rindner</v>
      </c>
      <c r="F6038" t="str">
        <f>"TV PRODUCTION TECH 1"</f>
        <v>TV PRODUCTION TECH 1</v>
      </c>
      <c r="G6038" t="str">
        <f>"21-2160"</f>
        <v>21-2160</v>
      </c>
      <c r="H6038" t="str">
        <f>"B"</f>
        <v>B</v>
      </c>
    </row>
    <row r="6039" spans="1:8" x14ac:dyDescent="0.2">
      <c r="A6039" t="str">
        <f t="shared" ref="A6039:A6046" si="2223">"0612086781"</f>
        <v>0612086781</v>
      </c>
      <c r="B6039" t="str">
        <f t="shared" ref="B6039:B6046" si="2224">"ANDREA"</f>
        <v>ANDREA</v>
      </c>
      <c r="C6039" t="str">
        <f t="shared" ref="C6039:C6046" si="2225">"GALLEGOS"</f>
        <v>GALLEGOS</v>
      </c>
      <c r="D6039">
        <f>12</f>
        <v>12</v>
      </c>
      <c r="E6039" t="str">
        <f>"04 - S1 - A - 106 - Kelly N Panza"</f>
        <v>04 - S1 - A - 106 - Kelly N Panza</v>
      </c>
      <c r="F6039" t="str">
        <f>"US GOVT HON"</f>
        <v>US GOVT HON</v>
      </c>
      <c r="G6039" t="str">
        <f>"17-1753"</f>
        <v>17-1753</v>
      </c>
      <c r="H6039" t="str">
        <f>"A"</f>
        <v>A</v>
      </c>
    </row>
    <row r="6040" spans="1:8" x14ac:dyDescent="0.2">
      <c r="A6040" t="str">
        <f t="shared" si="2223"/>
        <v>0612086781</v>
      </c>
      <c r="B6040" t="str">
        <f t="shared" si="2224"/>
        <v>ANDREA</v>
      </c>
      <c r="C6040" t="str">
        <f t="shared" si="2225"/>
        <v>GALLEGOS</v>
      </c>
      <c r="D6040">
        <f>12</f>
        <v>12</v>
      </c>
      <c r="E6040" t="str">
        <f>"06 - B - 113 - Marielle A Witting"</f>
        <v>06 - B - 113 - Marielle A Witting</v>
      </c>
      <c r="F6040" t="str">
        <f>"NC STUDY HALL 1"</f>
        <v>NC STUDY HALL 1</v>
      </c>
      <c r="G6040" t="str">
        <f>"08-805"</f>
        <v>08-805</v>
      </c>
      <c r="H6040" t="str">
        <f>"B"</f>
        <v>B</v>
      </c>
    </row>
    <row r="6041" spans="1:8" x14ac:dyDescent="0.2">
      <c r="A6041" t="str">
        <f t="shared" si="2223"/>
        <v>0612086781</v>
      </c>
      <c r="B6041" t="str">
        <f t="shared" si="2224"/>
        <v>ANDREA</v>
      </c>
      <c r="C6041" t="str">
        <f t="shared" si="2225"/>
        <v>GALLEGOS</v>
      </c>
      <c r="D6041">
        <f>12</f>
        <v>12</v>
      </c>
      <c r="E6041" t="str">
        <f>"03 - A - 101 - Jeffrey S Gallagher"</f>
        <v>03 - A - 101 - Jeffrey S Gallagher</v>
      </c>
      <c r="F6041" t="str">
        <f>"ENG HON 4"</f>
        <v>ENG HON 4</v>
      </c>
      <c r="G6041" t="str">
        <f>"17-1724"</f>
        <v>17-1724</v>
      </c>
      <c r="H6041" t="str">
        <f>"A"</f>
        <v>A</v>
      </c>
    </row>
    <row r="6042" spans="1:8" x14ac:dyDescent="0.2">
      <c r="A6042" t="str">
        <f t="shared" si="2223"/>
        <v>0612086781</v>
      </c>
      <c r="B6042" t="str">
        <f t="shared" si="2224"/>
        <v>ANDREA</v>
      </c>
      <c r="C6042" t="str">
        <f t="shared" si="2225"/>
        <v>GALLEGOS</v>
      </c>
      <c r="D6042">
        <f>12</f>
        <v>12</v>
      </c>
      <c r="E6042" t="str">
        <f>"02 - A - 103 - Dorothy D Moore"</f>
        <v>02 - A - 103 - Dorothy D Moore</v>
      </c>
      <c r="F6042" t="str">
        <f>"ANAT PHYSIO HON"</f>
        <v>ANAT PHYSIO HON</v>
      </c>
      <c r="G6042" t="str">
        <f>"08-803"</f>
        <v>08-803</v>
      </c>
      <c r="H6042" t="str">
        <f>"A"</f>
        <v>A</v>
      </c>
    </row>
    <row r="6043" spans="1:8" x14ac:dyDescent="0.2">
      <c r="A6043" t="str">
        <f t="shared" si="2223"/>
        <v>0612086781</v>
      </c>
      <c r="B6043" t="str">
        <f t="shared" si="2224"/>
        <v>ANDREA</v>
      </c>
      <c r="C6043" t="str">
        <f t="shared" si="2225"/>
        <v>GALLEGOS</v>
      </c>
      <c r="D6043">
        <f>12</f>
        <v>12</v>
      </c>
      <c r="E6043" t="str">
        <f>"07 - B - 101 - Bruce A Evans"</f>
        <v>07 - B - 101 - Bruce A Evans</v>
      </c>
      <c r="F6043" t="str">
        <f>"FIREFIGHTING 1 LH"</f>
        <v>FIREFIGHTING 1 LH</v>
      </c>
      <c r="G6043" t="str">
        <f>"21-2142"</f>
        <v>21-2142</v>
      </c>
      <c r="H6043" t="str">
        <f>"B"</f>
        <v>B</v>
      </c>
    </row>
    <row r="6044" spans="1:8" x14ac:dyDescent="0.2">
      <c r="A6044" t="str">
        <f t="shared" si="2223"/>
        <v>0612086781</v>
      </c>
      <c r="B6044" t="str">
        <f t="shared" si="2224"/>
        <v>ANDREA</v>
      </c>
      <c r="C6044" t="str">
        <f t="shared" si="2225"/>
        <v>GALLEGOS</v>
      </c>
      <c r="D6044">
        <f>12</f>
        <v>12</v>
      </c>
      <c r="E6044" t="str">
        <f>"05 - B - 201 - Jazmin S Fletcher"</f>
        <v>05 - B - 201 - Jazmin S Fletcher</v>
      </c>
      <c r="F6044" t="str">
        <f>"THEATRE 1"</f>
        <v>THEATRE 1</v>
      </c>
      <c r="G6044" t="str">
        <f>"09-909"</f>
        <v>09-909</v>
      </c>
      <c r="H6044" t="str">
        <f>"B"</f>
        <v>B</v>
      </c>
    </row>
    <row r="6045" spans="1:8" x14ac:dyDescent="0.2">
      <c r="A6045" t="str">
        <f t="shared" si="2223"/>
        <v>0612086781</v>
      </c>
      <c r="B6045" t="str">
        <f t="shared" si="2224"/>
        <v>ANDREA</v>
      </c>
      <c r="C6045" t="str">
        <f t="shared" si="2225"/>
        <v>GALLEGOS</v>
      </c>
      <c r="D6045">
        <f>12</f>
        <v>12</v>
      </c>
      <c r="E6045" t="str">
        <f>"01 - S1 - A - 101 - Bruce A Evans"</f>
        <v>01 - S1 - A - 101 - Bruce A Evans</v>
      </c>
      <c r="F6045" t="str">
        <f>"ELECTROCARD TECH 3HN"</f>
        <v>ELECTROCARD TECH 3HN</v>
      </c>
      <c r="G6045" t="str">
        <f>"21-2142"</f>
        <v>21-2142</v>
      </c>
      <c r="H6045" t="str">
        <f>"A"</f>
        <v>A</v>
      </c>
    </row>
    <row r="6046" spans="1:8" x14ac:dyDescent="0.2">
      <c r="A6046" t="str">
        <f t="shared" si="2223"/>
        <v>0612086781</v>
      </c>
      <c r="B6046" t="str">
        <f t="shared" si="2224"/>
        <v>ANDREA</v>
      </c>
      <c r="C6046" t="str">
        <f t="shared" si="2225"/>
        <v>GALLEGOS</v>
      </c>
      <c r="D6046">
        <f>12</f>
        <v>12</v>
      </c>
      <c r="E6046" t="str">
        <f>"08 - B - 105 - Semra  Bahadir"</f>
        <v>08 - B - 105 - Semra  Bahadir</v>
      </c>
      <c r="F6046" t="str">
        <f>"MATH COLL ALGEBRA"</f>
        <v>MATH COLL ALGEBRA</v>
      </c>
      <c r="G6046" t="str">
        <f>"21-2107"</f>
        <v>21-2107</v>
      </c>
      <c r="H6046" t="str">
        <f>"B"</f>
        <v>B</v>
      </c>
    </row>
    <row r="6047" spans="1:8" x14ac:dyDescent="0.2">
      <c r="A6047" t="str">
        <f t="shared" ref="A6047:A6054" si="2226">"0616110874"</f>
        <v>0616110874</v>
      </c>
      <c r="B6047" t="str">
        <f t="shared" ref="B6047:B6054" si="2227">"SIRENA"</f>
        <v>SIRENA</v>
      </c>
      <c r="C6047" t="str">
        <f t="shared" ref="C6047:C6054" si="2228">"GALOTTI-THOMPSON"</f>
        <v>GALOTTI-THOMPSON</v>
      </c>
      <c r="D6047" t="str">
        <f t="shared" ref="D6047:D6054" si="2229">"09"</f>
        <v>09</v>
      </c>
      <c r="E6047" t="str">
        <f>"04 - A - 105 - Carol S Moore"</f>
        <v>04 - A - 105 - Carol S Moore</v>
      </c>
      <c r="F6047" t="str">
        <f>"PRE-AICE WRLD HST IG"</f>
        <v>PRE-AICE WRLD HST IG</v>
      </c>
      <c r="G6047" t="str">
        <f>"17-1733"</f>
        <v>17-1733</v>
      </c>
      <c r="H6047" t="str">
        <f>"A"</f>
        <v>A</v>
      </c>
    </row>
    <row r="6048" spans="1:8" x14ac:dyDescent="0.2">
      <c r="A6048" t="str">
        <f t="shared" si="2226"/>
        <v>0616110874</v>
      </c>
      <c r="B6048" t="str">
        <f t="shared" si="2227"/>
        <v>SIRENA</v>
      </c>
      <c r="C6048" t="str">
        <f t="shared" si="2228"/>
        <v>GALOTTI-THOMPSON</v>
      </c>
      <c r="D6048" t="str">
        <f t="shared" si="2229"/>
        <v>09</v>
      </c>
      <c r="E6048" t="str">
        <f>"06 - B - 101 - Fernando  Vega-Cid"</f>
        <v>06 - B - 101 - Fernando  Vega-Cid</v>
      </c>
      <c r="F6048" t="str">
        <f>"PRE-AICE MATH 2 IG"</f>
        <v>PRE-AICE MATH 2 IG</v>
      </c>
      <c r="G6048" t="str">
        <f>"21-2163"</f>
        <v>21-2163</v>
      </c>
      <c r="H6048" t="str">
        <f>"B"</f>
        <v>B</v>
      </c>
    </row>
    <row r="6049" spans="1:8" x14ac:dyDescent="0.2">
      <c r="A6049" t="str">
        <f t="shared" si="2226"/>
        <v>0616110874</v>
      </c>
      <c r="B6049" t="str">
        <f t="shared" si="2227"/>
        <v>SIRENA</v>
      </c>
      <c r="C6049" t="str">
        <f t="shared" si="2228"/>
        <v>GALOTTI-THOMPSON</v>
      </c>
      <c r="D6049" t="str">
        <f t="shared" si="2229"/>
        <v>09</v>
      </c>
      <c r="E6049" t="str">
        <f>"03 - S1 - A - 101 - Arthur  Kulawik"</f>
        <v>03 - S1 - A - 101 - Arthur  Kulawik</v>
      </c>
      <c r="F6049" t="str">
        <f>"PERS FIN &amp; MON MGT H"</f>
        <v>PERS FIN &amp; MON MGT H</v>
      </c>
      <c r="G6049" t="str">
        <f>"05-506"</f>
        <v>05-506</v>
      </c>
      <c r="H6049" t="str">
        <f>"A"</f>
        <v>A</v>
      </c>
    </row>
    <row r="6050" spans="1:8" x14ac:dyDescent="0.2">
      <c r="A6050" t="str">
        <f t="shared" si="2226"/>
        <v>0616110874</v>
      </c>
      <c r="B6050" t="str">
        <f t="shared" si="2227"/>
        <v>SIRENA</v>
      </c>
      <c r="C6050" t="str">
        <f t="shared" si="2228"/>
        <v>GALOTTI-THOMPSON</v>
      </c>
      <c r="D6050" t="str">
        <f t="shared" si="2229"/>
        <v>09</v>
      </c>
      <c r="E6050" t="str">
        <f>"02 - A - 115 - Lourivaldo  Da Silva"</f>
        <v>02 - A - 115 - Lourivaldo  Da Silva</v>
      </c>
      <c r="F6050" t="str">
        <f>"NC STUDY HALL 1"</f>
        <v>NC STUDY HALL 1</v>
      </c>
      <c r="G6050" t="str">
        <f>"20-2079"</f>
        <v>20-2079</v>
      </c>
      <c r="H6050" t="str">
        <f>"A"</f>
        <v>A</v>
      </c>
    </row>
    <row r="6051" spans="1:8" x14ac:dyDescent="0.2">
      <c r="A6051" t="str">
        <f t="shared" si="2226"/>
        <v>0616110874</v>
      </c>
      <c r="B6051" t="str">
        <f t="shared" si="2227"/>
        <v>SIRENA</v>
      </c>
      <c r="C6051" t="str">
        <f t="shared" si="2228"/>
        <v>GALOTTI-THOMPSON</v>
      </c>
      <c r="D6051" t="str">
        <f t="shared" si="2229"/>
        <v>09</v>
      </c>
      <c r="E6051" t="str">
        <f>"07 - B - 105 - Paige Lauren  Brochu"</f>
        <v>07 - B - 105 - Paige Lauren  Brochu</v>
      </c>
      <c r="F6051" t="str">
        <f>"PRE-AICE BIO IG"</f>
        <v>PRE-AICE BIO IG</v>
      </c>
      <c r="G6051" t="str">
        <f>"21-2134"</f>
        <v>21-2134</v>
      </c>
      <c r="H6051" t="str">
        <f>"B"</f>
        <v>B</v>
      </c>
    </row>
    <row r="6052" spans="1:8" x14ac:dyDescent="0.2">
      <c r="A6052" t="str">
        <f t="shared" si="2226"/>
        <v>0616110874</v>
      </c>
      <c r="B6052" t="str">
        <f t="shared" si="2227"/>
        <v>SIRENA</v>
      </c>
      <c r="C6052" t="str">
        <f t="shared" si="2228"/>
        <v>GALOTTI-THOMPSON</v>
      </c>
      <c r="D6052" t="str">
        <f t="shared" si="2229"/>
        <v>09</v>
      </c>
      <c r="E6052" t="str">
        <f>"05 - B - 201 - Jazmin S Fletcher"</f>
        <v>05 - B - 201 - Jazmin S Fletcher</v>
      </c>
      <c r="F6052" t="str">
        <f>"THEATRE 1"</f>
        <v>THEATRE 1</v>
      </c>
      <c r="G6052" t="str">
        <f>"09-909"</f>
        <v>09-909</v>
      </c>
      <c r="H6052" t="str">
        <f>"B"</f>
        <v>B</v>
      </c>
    </row>
    <row r="6053" spans="1:8" x14ac:dyDescent="0.2">
      <c r="A6053" t="str">
        <f t="shared" si="2226"/>
        <v>0616110874</v>
      </c>
      <c r="B6053" t="str">
        <f t="shared" si="2227"/>
        <v>SIRENA</v>
      </c>
      <c r="C6053" t="str">
        <f t="shared" si="2228"/>
        <v>GALOTTI-THOMPSON</v>
      </c>
      <c r="D6053" t="str">
        <f t="shared" si="2229"/>
        <v>09</v>
      </c>
      <c r="E6053" t="str">
        <f>"01 - A - 101 - Elizabeth R Walker"</f>
        <v>01 - A - 101 - Elizabeth R Walker</v>
      </c>
      <c r="F6053" t="str">
        <f>"AICE ENG GEN PAPER 1"</f>
        <v>AICE ENG GEN PAPER 1</v>
      </c>
      <c r="G6053" t="str">
        <f>"17-1703"</f>
        <v>17-1703</v>
      </c>
      <c r="H6053" t="str">
        <f>"A"</f>
        <v>A</v>
      </c>
    </row>
    <row r="6054" spans="1:8" x14ac:dyDescent="0.2">
      <c r="A6054" t="str">
        <f t="shared" si="2226"/>
        <v>0616110874</v>
      </c>
      <c r="B6054" t="str">
        <f t="shared" si="2227"/>
        <v>SIRENA</v>
      </c>
      <c r="C6054" t="str">
        <f t="shared" si="2228"/>
        <v>GALOTTI-THOMPSON</v>
      </c>
      <c r="D6054" t="str">
        <f t="shared" si="2229"/>
        <v>09</v>
      </c>
      <c r="E6054" t="str">
        <f>"08 - B - 201 - Tina M Jaramillo"</f>
        <v>08 - B - 201 - Tina M Jaramillo</v>
      </c>
      <c r="F6054" t="str">
        <f>"CREATIVE WRIT 3 HON"</f>
        <v>CREATIVE WRIT 3 HON</v>
      </c>
      <c r="G6054" t="str">
        <f>"17-1706"</f>
        <v>17-1706</v>
      </c>
      <c r="H6054" t="str">
        <f>"B"</f>
        <v>B</v>
      </c>
    </row>
    <row r="6055" spans="1:8" x14ac:dyDescent="0.2">
      <c r="A6055" t="str">
        <f t="shared" ref="A6055:A6062" si="2230">"0613136495"</f>
        <v>0613136495</v>
      </c>
      <c r="B6055" t="str">
        <f t="shared" ref="B6055:B6062" si="2231">"MARIA"</f>
        <v>MARIA</v>
      </c>
      <c r="C6055" t="str">
        <f t="shared" ref="C6055:C6062" si="2232">"GALVEZ"</f>
        <v>GALVEZ</v>
      </c>
      <c r="D6055">
        <f>12</f>
        <v>12</v>
      </c>
      <c r="E6055" t="str">
        <f>"04 - A - 201 - Norayda D Suarez"</f>
        <v>04 - A - 201 - Norayda D Suarez</v>
      </c>
      <c r="F6055" t="str">
        <f>"ANAT PHYSIO HON"</f>
        <v>ANAT PHYSIO HON</v>
      </c>
      <c r="G6055" t="str">
        <f>"21-2142"</f>
        <v>21-2142</v>
      </c>
      <c r="H6055" t="str">
        <f>"A"</f>
        <v>A</v>
      </c>
    </row>
    <row r="6056" spans="1:8" x14ac:dyDescent="0.2">
      <c r="A6056" t="str">
        <f t="shared" si="2230"/>
        <v>0613136495</v>
      </c>
      <c r="B6056" t="str">
        <f t="shared" si="2231"/>
        <v>MARIA</v>
      </c>
      <c r="C6056" t="str">
        <f t="shared" si="2232"/>
        <v>GALVEZ</v>
      </c>
      <c r="D6056">
        <f>12</f>
        <v>12</v>
      </c>
      <c r="E6056" t="str">
        <f>"06 - B - 112 - Lisa  Quinn"</f>
        <v>06 - B - 112 - Lisa  Quinn</v>
      </c>
      <c r="F6056" t="str">
        <f>"NC STUDY HALL 1"</f>
        <v>NC STUDY HALL 1</v>
      </c>
      <c r="G6056" t="str">
        <f>"17-1725"</f>
        <v>17-1725</v>
      </c>
      <c r="H6056" t="str">
        <f>"B"</f>
        <v>B</v>
      </c>
    </row>
    <row r="6057" spans="1:8" x14ac:dyDescent="0.2">
      <c r="A6057" t="str">
        <f t="shared" si="2230"/>
        <v>0613136495</v>
      </c>
      <c r="B6057" t="str">
        <f t="shared" si="2231"/>
        <v>MARIA</v>
      </c>
      <c r="C6057" t="str">
        <f t="shared" si="2232"/>
        <v>GALVEZ</v>
      </c>
      <c r="D6057">
        <f>12</f>
        <v>12</v>
      </c>
      <c r="E6057" t="str">
        <f>"03 - S1 - A - 102 - Leslie J Barton"</f>
        <v>03 - S1 - A - 102 - Leslie J Barton</v>
      </c>
      <c r="F6057" t="str">
        <f>"FIRST AID SAFETY"</f>
        <v>FIRST AID SAFETY</v>
      </c>
      <c r="G6057" t="str">
        <f>"05-521"</f>
        <v>05-521</v>
      </c>
      <c r="H6057" t="str">
        <f>"A"</f>
        <v>A</v>
      </c>
    </row>
    <row r="6058" spans="1:8" x14ac:dyDescent="0.2">
      <c r="A6058" t="str">
        <f t="shared" si="2230"/>
        <v>0613136495</v>
      </c>
      <c r="B6058" t="str">
        <f t="shared" si="2231"/>
        <v>MARIA</v>
      </c>
      <c r="C6058" t="str">
        <f t="shared" si="2232"/>
        <v>GALVEZ</v>
      </c>
      <c r="D6058">
        <f>12</f>
        <v>12</v>
      </c>
      <c r="E6058" t="str">
        <f>"02 - S1 - A - 103 - Barbara L Segal"</f>
        <v>02 - S1 - A - 103 - Barbara L Segal</v>
      </c>
      <c r="F6058" t="str">
        <f>"US GOVT HON"</f>
        <v>US GOVT HON</v>
      </c>
      <c r="G6058" t="str">
        <f>"17-1742"</f>
        <v>17-1742</v>
      </c>
      <c r="H6058" t="str">
        <f>"A"</f>
        <v>A</v>
      </c>
    </row>
    <row r="6059" spans="1:8" x14ac:dyDescent="0.2">
      <c r="A6059" t="str">
        <f t="shared" si="2230"/>
        <v>0613136495</v>
      </c>
      <c r="B6059" t="str">
        <f t="shared" si="2231"/>
        <v>MARIA</v>
      </c>
      <c r="C6059" t="str">
        <f t="shared" si="2232"/>
        <v>GALVEZ</v>
      </c>
      <c r="D6059">
        <f>12</f>
        <v>12</v>
      </c>
      <c r="E6059" t="str">
        <f>"07 - B - 102 - Thomas G Handwerg"</f>
        <v>07 - B - 102 - Thomas G Handwerg</v>
      </c>
      <c r="F6059" t="str">
        <f>"PROB STAT W/APPS HON"</f>
        <v>PROB STAT W/APPS HON</v>
      </c>
      <c r="G6059" t="str">
        <f>"21-2146"</f>
        <v>21-2146</v>
      </c>
      <c r="H6059" t="str">
        <f>"B"</f>
        <v>B</v>
      </c>
    </row>
    <row r="6060" spans="1:8" x14ac:dyDescent="0.2">
      <c r="A6060" t="str">
        <f t="shared" si="2230"/>
        <v>0613136495</v>
      </c>
      <c r="B6060" t="str">
        <f t="shared" si="2231"/>
        <v>MARIA</v>
      </c>
      <c r="C6060" t="str">
        <f t="shared" si="2232"/>
        <v>GALVEZ</v>
      </c>
      <c r="D6060">
        <f>12</f>
        <v>12</v>
      </c>
      <c r="E6060" t="str">
        <f>"05 - B - 104 - Jeffrey S Gallagher"</f>
        <v>05 - B - 104 - Jeffrey S Gallagher</v>
      </c>
      <c r="F6060" t="str">
        <f>"ENG HON 4"</f>
        <v>ENG HON 4</v>
      </c>
      <c r="G6060" t="str">
        <f>"17-1724"</f>
        <v>17-1724</v>
      </c>
      <c r="H6060" t="str">
        <f>"B"</f>
        <v>B</v>
      </c>
    </row>
    <row r="6061" spans="1:8" x14ac:dyDescent="0.2">
      <c r="A6061" t="str">
        <f t="shared" si="2230"/>
        <v>0613136495</v>
      </c>
      <c r="B6061" t="str">
        <f t="shared" si="2231"/>
        <v>MARIA</v>
      </c>
      <c r="C6061" t="str">
        <f t="shared" si="2232"/>
        <v>GALVEZ</v>
      </c>
      <c r="D6061">
        <f>12</f>
        <v>12</v>
      </c>
      <c r="E6061" t="str">
        <f>"01 - A - 201 - Chrystina M Marchionne"</f>
        <v>01 - A - 201 - Chrystina M Marchionne</v>
      </c>
      <c r="F6061" t="str">
        <f>"AICE MEDIASTUDIES AS"</f>
        <v>AICE MEDIASTUDIES AS</v>
      </c>
      <c r="G6061" t="str">
        <f>"05-520"</f>
        <v>05-520</v>
      </c>
      <c r="H6061" t="str">
        <f>"A"</f>
        <v>A</v>
      </c>
    </row>
    <row r="6062" spans="1:8" x14ac:dyDescent="0.2">
      <c r="A6062" t="str">
        <f t="shared" si="2230"/>
        <v>0613136495</v>
      </c>
      <c r="B6062" t="str">
        <f t="shared" si="2231"/>
        <v>MARIA</v>
      </c>
      <c r="C6062" t="str">
        <f t="shared" si="2232"/>
        <v>GALVEZ</v>
      </c>
      <c r="D6062">
        <f>12</f>
        <v>12</v>
      </c>
      <c r="E6062" t="str">
        <f>"08 - B - 101 - Rosa Elaine  Collado-Duff"</f>
        <v>08 - B - 101 - Rosa Elaine  Collado-Duff</v>
      </c>
      <c r="F6062" t="str">
        <f>"AP SPANISH LANG &amp; CU"</f>
        <v>AP SPANISH LANG &amp; CU</v>
      </c>
      <c r="G6062" t="str">
        <f>"09-913"</f>
        <v>09-913</v>
      </c>
      <c r="H6062" t="str">
        <f>"B"</f>
        <v>B</v>
      </c>
    </row>
    <row r="6063" spans="1:8" x14ac:dyDescent="0.2">
      <c r="A6063" t="str">
        <f t="shared" ref="A6063:A6072" si="2233">"0619106733"</f>
        <v>0619106733</v>
      </c>
      <c r="B6063" t="str">
        <f t="shared" ref="B6063:B6072" si="2234">"ASIANNA"</f>
        <v>ASIANNA</v>
      </c>
      <c r="C6063" t="str">
        <f t="shared" ref="C6063:C6072" si="2235">"GAMBLE"</f>
        <v>GAMBLE</v>
      </c>
      <c r="D6063">
        <f>12</f>
        <v>12</v>
      </c>
      <c r="E6063" t="str">
        <f>"04 - S1 - A - 101 - Leslie J Barton"</f>
        <v>04 - S1 - A - 101 - Leslie J Barton</v>
      </c>
      <c r="F6063" t="str">
        <f>"TEAM SPORTS 1"</f>
        <v>TEAM SPORTS 1</v>
      </c>
      <c r="G6063" t="str">
        <f>"04-254"</f>
        <v>04-254</v>
      </c>
      <c r="H6063" t="str">
        <f>"A"</f>
        <v>A</v>
      </c>
    </row>
    <row r="6064" spans="1:8" x14ac:dyDescent="0.2">
      <c r="A6064" t="str">
        <f t="shared" si="2233"/>
        <v>0619106733</v>
      </c>
      <c r="B6064" t="str">
        <f t="shared" si="2234"/>
        <v>ASIANNA</v>
      </c>
      <c r="C6064" t="str">
        <f t="shared" si="2235"/>
        <v>GAMBLE</v>
      </c>
      <c r="D6064">
        <f>12</f>
        <v>12</v>
      </c>
      <c r="E6064" t="str">
        <f>"06 - B - 102 - Andrea A Amison"</f>
        <v>06 - B - 102 - Andrea A Amison</v>
      </c>
      <c r="F6064" t="str">
        <f>"NC STUDY HALL 1"</f>
        <v>NC STUDY HALL 1</v>
      </c>
      <c r="G6064" t="str">
        <f>"09-922C"</f>
        <v>09-922C</v>
      </c>
      <c r="H6064" t="str">
        <f>"B"</f>
        <v>B</v>
      </c>
    </row>
    <row r="6065" spans="1:8" x14ac:dyDescent="0.2">
      <c r="A6065" t="str">
        <f t="shared" si="2233"/>
        <v>0619106733</v>
      </c>
      <c r="B6065" t="str">
        <f t="shared" si="2234"/>
        <v>ASIANNA</v>
      </c>
      <c r="C6065" t="str">
        <f t="shared" si="2235"/>
        <v>GAMBLE</v>
      </c>
      <c r="D6065">
        <f>12</f>
        <v>12</v>
      </c>
      <c r="E6065" t="str">
        <f>"03 - S1 - A - 002 - Barbara L Segal"</f>
        <v>03 - S1 - A - 002 - Barbara L Segal</v>
      </c>
      <c r="F6065" t="str">
        <f>"US GOVT"</f>
        <v>US GOVT</v>
      </c>
      <c r="G6065" t="str">
        <f>"17-1742"</f>
        <v>17-1742</v>
      </c>
      <c r="H6065" t="str">
        <f>"A"</f>
        <v>A</v>
      </c>
    </row>
    <row r="6066" spans="1:8" x14ac:dyDescent="0.2">
      <c r="A6066" t="str">
        <f t="shared" si="2233"/>
        <v>0619106733</v>
      </c>
      <c r="B6066" t="str">
        <f t="shared" si="2234"/>
        <v>ASIANNA</v>
      </c>
      <c r="C6066" t="str">
        <f t="shared" si="2235"/>
        <v>GAMBLE</v>
      </c>
      <c r="D6066">
        <f>12</f>
        <v>12</v>
      </c>
      <c r="E6066" t="str">
        <f>"02 - A - 101 - Robert H Rindner"</f>
        <v>02 - A - 101 - Robert H Rindner</v>
      </c>
      <c r="F6066" t="str">
        <f>"MATH DATA&amp;FIN LIT H"</f>
        <v>MATH DATA&amp;FIN LIT H</v>
      </c>
      <c r="G6066" t="str">
        <f>"21-2160"</f>
        <v>21-2160</v>
      </c>
      <c r="H6066" t="str">
        <f>"A"</f>
        <v>A</v>
      </c>
    </row>
    <row r="6067" spans="1:8" x14ac:dyDescent="0.2">
      <c r="A6067" t="str">
        <f t="shared" si="2233"/>
        <v>0619106733</v>
      </c>
      <c r="B6067" t="str">
        <f t="shared" si="2234"/>
        <v>ASIANNA</v>
      </c>
      <c r="C6067" t="str">
        <f t="shared" si="2235"/>
        <v>GAMBLE</v>
      </c>
      <c r="D6067">
        <f>12</f>
        <v>12</v>
      </c>
      <c r="E6067" t="str">
        <f>"07 - B - 002 - Rachel M Montrose"</f>
        <v>07 - B - 002 - Rachel M Montrose</v>
      </c>
      <c r="F6067" t="str">
        <f>"JOURN 1 (NP) LH"</f>
        <v>JOURN 1 (NP) LH</v>
      </c>
      <c r="G6067" t="str">
        <f>"05-521"</f>
        <v>05-521</v>
      </c>
      <c r="H6067" t="str">
        <f>"B"</f>
        <v>B</v>
      </c>
    </row>
    <row r="6068" spans="1:8" x14ac:dyDescent="0.2">
      <c r="A6068" t="str">
        <f t="shared" si="2233"/>
        <v>0619106733</v>
      </c>
      <c r="B6068" t="str">
        <f t="shared" si="2234"/>
        <v>ASIANNA</v>
      </c>
      <c r="C6068" t="str">
        <f t="shared" si="2235"/>
        <v>GAMBLE</v>
      </c>
      <c r="D6068">
        <f>12</f>
        <v>12</v>
      </c>
      <c r="E6068" t="str">
        <f>"05 - B - 115 - Karen A Toomer"</f>
        <v>05 - B - 115 - Karen A Toomer</v>
      </c>
      <c r="F6068" t="str">
        <f>"LANG THERAPY"</f>
        <v>LANG THERAPY</v>
      </c>
      <c r="G6068" t="str">
        <f>"21-2110"</f>
        <v>21-2110</v>
      </c>
      <c r="H6068" t="str">
        <f>"B"</f>
        <v>B</v>
      </c>
    </row>
    <row r="6069" spans="1:8" x14ac:dyDescent="0.2">
      <c r="A6069" t="str">
        <f t="shared" si="2233"/>
        <v>0619106733</v>
      </c>
      <c r="B6069" t="str">
        <f t="shared" si="2234"/>
        <v>ASIANNA</v>
      </c>
      <c r="C6069" t="str">
        <f t="shared" si="2235"/>
        <v>GAMBLE</v>
      </c>
      <c r="D6069">
        <f>12</f>
        <v>12</v>
      </c>
      <c r="E6069" t="str">
        <f>"05 - B - 204 - Cliffon  Saurel"</f>
        <v>05 - B - 204 - Cliffon  Saurel</v>
      </c>
      <c r="F6069" t="str">
        <f>"PHYSICAL SCI"</f>
        <v>PHYSICAL SCI</v>
      </c>
      <c r="G6069" t="str">
        <f>"05-522"</f>
        <v>05-522</v>
      </c>
      <c r="H6069" t="str">
        <f>"B"</f>
        <v>B</v>
      </c>
    </row>
    <row r="6070" spans="1:8" x14ac:dyDescent="0.2">
      <c r="A6070" t="str">
        <f t="shared" si="2233"/>
        <v>0619106733</v>
      </c>
      <c r="B6070" t="str">
        <f t="shared" si="2234"/>
        <v>ASIANNA</v>
      </c>
      <c r="C6070" t="str">
        <f t="shared" si="2235"/>
        <v>GAMBLE</v>
      </c>
      <c r="D6070">
        <f>12</f>
        <v>12</v>
      </c>
      <c r="E6070" t="str">
        <f>"05 - B - 115 - Karen A Toomer"</f>
        <v>05 - B - 115 - Karen A Toomer</v>
      </c>
      <c r="F6070" t="str">
        <f>"SPEECH THRPY"</f>
        <v>SPEECH THRPY</v>
      </c>
      <c r="G6070">
        <f>2110</f>
        <v>2110</v>
      </c>
      <c r="H6070" t="str">
        <f>"B"</f>
        <v>B</v>
      </c>
    </row>
    <row r="6071" spans="1:8" x14ac:dyDescent="0.2">
      <c r="A6071" t="str">
        <f t="shared" si="2233"/>
        <v>0619106733</v>
      </c>
      <c r="B6071" t="str">
        <f t="shared" si="2234"/>
        <v>ASIANNA</v>
      </c>
      <c r="C6071" t="str">
        <f t="shared" si="2235"/>
        <v>GAMBLE</v>
      </c>
      <c r="D6071">
        <f>12</f>
        <v>12</v>
      </c>
      <c r="E6071" t="str">
        <f>"01 - A - 103 - Robyn L Trainer"</f>
        <v>01 - A - 103 - Robyn L Trainer</v>
      </c>
      <c r="F6071" t="str">
        <f>"ENG 4"</f>
        <v>ENG 4</v>
      </c>
      <c r="G6071" t="str">
        <f>"17-1734"</f>
        <v>17-1734</v>
      </c>
      <c r="H6071" t="str">
        <f>"A"</f>
        <v>A</v>
      </c>
    </row>
    <row r="6072" spans="1:8" x14ac:dyDescent="0.2">
      <c r="A6072" t="str">
        <f t="shared" si="2233"/>
        <v>0619106733</v>
      </c>
      <c r="B6072" t="str">
        <f t="shared" si="2234"/>
        <v>ASIANNA</v>
      </c>
      <c r="C6072" t="str">
        <f t="shared" si="2235"/>
        <v>GAMBLE</v>
      </c>
      <c r="D6072">
        <f>12</f>
        <v>12</v>
      </c>
      <c r="E6072" t="str">
        <f>"08 - B - 102 - Carleigh R Carmichael"</f>
        <v>08 - B - 102 - Carleigh R Carmichael</v>
      </c>
      <c r="F6072" t="str">
        <f>"LRNG STRATEGIES 9-12"</f>
        <v>LRNG STRATEGIES 9-12</v>
      </c>
      <c r="G6072" t="str">
        <f>"20-2072"</f>
        <v>20-2072</v>
      </c>
      <c r="H6072" t="str">
        <f>"B"</f>
        <v>B</v>
      </c>
    </row>
    <row r="6073" spans="1:8" x14ac:dyDescent="0.2">
      <c r="A6073" t="str">
        <f t="shared" ref="A6073:A6080" si="2236">"0613134991"</f>
        <v>0613134991</v>
      </c>
      <c r="B6073" t="str">
        <f t="shared" ref="B6073:B6080" si="2237">"ERIKA"</f>
        <v>ERIKA</v>
      </c>
      <c r="C6073" t="str">
        <f t="shared" ref="C6073:C6097" si="2238">"GARCIA"</f>
        <v>GARCIA</v>
      </c>
      <c r="D6073">
        <f>10</f>
        <v>10</v>
      </c>
      <c r="E6073" t="str">
        <f>"04 - A - 101 - Arthur  Kulawik"</f>
        <v>04 - A - 101 - Arthur  Kulawik</v>
      </c>
      <c r="F6073" t="str">
        <f>"DEBATE 3 HON"</f>
        <v>DEBATE 3 HON</v>
      </c>
      <c r="G6073" t="str">
        <f>"05-506"</f>
        <v>05-506</v>
      </c>
      <c r="H6073" t="str">
        <f>"A"</f>
        <v>A</v>
      </c>
    </row>
    <row r="6074" spans="1:8" x14ac:dyDescent="0.2">
      <c r="A6074" t="str">
        <f t="shared" si="2236"/>
        <v>0613134991</v>
      </c>
      <c r="B6074" t="str">
        <f t="shared" si="2237"/>
        <v>ERIKA</v>
      </c>
      <c r="C6074" t="str">
        <f t="shared" si="2238"/>
        <v>GARCIA</v>
      </c>
      <c r="D6074">
        <f>10</f>
        <v>10</v>
      </c>
      <c r="E6074" t="str">
        <f>"06 - B - 114 - Richard E Dunbar Iii"</f>
        <v>06 - B - 114 - Richard E Dunbar Iii</v>
      </c>
      <c r="F6074" t="str">
        <f>"NC STUDY HALL 1"</f>
        <v>NC STUDY HALL 1</v>
      </c>
      <c r="G6074" t="str">
        <f>"17-1703"</f>
        <v>17-1703</v>
      </c>
      <c r="H6074" t="str">
        <f>"B"</f>
        <v>B</v>
      </c>
    </row>
    <row r="6075" spans="1:8" x14ac:dyDescent="0.2">
      <c r="A6075" t="str">
        <f t="shared" si="2236"/>
        <v>0613134991</v>
      </c>
      <c r="B6075" t="str">
        <f t="shared" si="2237"/>
        <v>ERIKA</v>
      </c>
      <c r="C6075" t="str">
        <f t="shared" si="2238"/>
        <v>GARCIA</v>
      </c>
      <c r="D6075">
        <f>10</f>
        <v>10</v>
      </c>
      <c r="E6075" t="str">
        <f>"03 - A - 002 - Lenecy  Nodarse"</f>
        <v>03 - A - 002 - Lenecy  Nodarse</v>
      </c>
      <c r="F6075" t="str">
        <f>"AICE EURO HIST 1 AS"</f>
        <v>AICE EURO HIST 1 AS</v>
      </c>
      <c r="G6075" t="str">
        <f>"17-1741"</f>
        <v>17-1741</v>
      </c>
      <c r="H6075" t="str">
        <f>"A"</f>
        <v>A</v>
      </c>
    </row>
    <row r="6076" spans="1:8" x14ac:dyDescent="0.2">
      <c r="A6076" t="str">
        <f t="shared" si="2236"/>
        <v>0613134991</v>
      </c>
      <c r="B6076" t="str">
        <f t="shared" si="2237"/>
        <v>ERIKA</v>
      </c>
      <c r="C6076" t="str">
        <f t="shared" si="2238"/>
        <v>GARCIA</v>
      </c>
      <c r="D6076">
        <f>10</f>
        <v>10</v>
      </c>
      <c r="E6076" t="str">
        <f>"02 - A - 102 - Chrystina M Marchionne"</f>
        <v>02 - A - 102 - Chrystina M Marchionne</v>
      </c>
      <c r="F6076" t="str">
        <f>"AICE MEDIASTUDIES AS"</f>
        <v>AICE MEDIASTUDIES AS</v>
      </c>
      <c r="G6076" t="str">
        <f>"05-520"</f>
        <v>05-520</v>
      </c>
      <c r="H6076" t="str">
        <f>"A"</f>
        <v>A</v>
      </c>
    </row>
    <row r="6077" spans="1:8" x14ac:dyDescent="0.2">
      <c r="A6077" t="str">
        <f t="shared" si="2236"/>
        <v>0613134991</v>
      </c>
      <c r="B6077" t="str">
        <f t="shared" si="2237"/>
        <v>ERIKA</v>
      </c>
      <c r="C6077" t="str">
        <f t="shared" si="2238"/>
        <v>GARCIA</v>
      </c>
      <c r="D6077">
        <f>10</f>
        <v>10</v>
      </c>
      <c r="E6077" t="str">
        <f>"07 - B - 107 - Semra  Bahadir"</f>
        <v>07 - B - 107 - Semra  Bahadir</v>
      </c>
      <c r="F6077" t="str">
        <f>"MATH COLL ALGEBRA"</f>
        <v>MATH COLL ALGEBRA</v>
      </c>
      <c r="G6077" t="str">
        <f>"21-2107"</f>
        <v>21-2107</v>
      </c>
      <c r="H6077" t="str">
        <f>"B"</f>
        <v>B</v>
      </c>
    </row>
    <row r="6078" spans="1:8" x14ac:dyDescent="0.2">
      <c r="A6078" t="str">
        <f t="shared" si="2236"/>
        <v>0613134991</v>
      </c>
      <c r="B6078" t="str">
        <f t="shared" si="2237"/>
        <v>ERIKA</v>
      </c>
      <c r="C6078" t="str">
        <f t="shared" si="2238"/>
        <v>GARCIA</v>
      </c>
      <c r="D6078">
        <f>10</f>
        <v>10</v>
      </c>
      <c r="E6078" t="str">
        <f>"05 - B - 108 - Valerie J Ruwe"</f>
        <v>05 - B - 108 - Valerie J Ruwe</v>
      </c>
      <c r="F6078" t="str">
        <f>"CHEMISTRY 1 HON"</f>
        <v>CHEMISTRY 1 HON</v>
      </c>
      <c r="G6078" t="str">
        <f>"21-2138"</f>
        <v>21-2138</v>
      </c>
      <c r="H6078" t="str">
        <f>"B"</f>
        <v>B</v>
      </c>
    </row>
    <row r="6079" spans="1:8" x14ac:dyDescent="0.2">
      <c r="A6079" t="str">
        <f t="shared" si="2236"/>
        <v>0613134991</v>
      </c>
      <c r="B6079" t="str">
        <f t="shared" si="2237"/>
        <v>ERIKA</v>
      </c>
      <c r="C6079" t="str">
        <f t="shared" si="2238"/>
        <v>GARCIA</v>
      </c>
      <c r="D6079">
        <f>10</f>
        <v>10</v>
      </c>
      <c r="E6079" t="str">
        <f>"01 - A - 201 - Stefanie S Scher"</f>
        <v>01 - A - 201 - Stefanie S Scher</v>
      </c>
      <c r="F6079" t="str">
        <f>"AICE PSYCH 1 AS"</f>
        <v>AICE PSYCH 1 AS</v>
      </c>
      <c r="G6079" t="str">
        <f>"17-1735"</f>
        <v>17-1735</v>
      </c>
      <c r="H6079" t="str">
        <f>"A"</f>
        <v>A</v>
      </c>
    </row>
    <row r="6080" spans="1:8" x14ac:dyDescent="0.2">
      <c r="A6080" t="str">
        <f t="shared" si="2236"/>
        <v>0613134991</v>
      </c>
      <c r="B6080" t="str">
        <f t="shared" si="2237"/>
        <v>ERIKA</v>
      </c>
      <c r="C6080" t="str">
        <f t="shared" si="2238"/>
        <v>GARCIA</v>
      </c>
      <c r="D6080">
        <f>10</f>
        <v>10</v>
      </c>
      <c r="E6080" t="str">
        <f>"08 - B - 001 - Jacklyn M James"</f>
        <v>08 - B - 001 - Jacklyn M James</v>
      </c>
      <c r="F6080" t="str">
        <f>"AICE ENG LANG AS"</f>
        <v>AICE ENG LANG AS</v>
      </c>
      <c r="G6080" t="str">
        <f>"17-1731"</f>
        <v>17-1731</v>
      </c>
      <c r="H6080" t="str">
        <f>"B"</f>
        <v>B</v>
      </c>
    </row>
    <row r="6081" spans="1:8" x14ac:dyDescent="0.2">
      <c r="A6081" t="str">
        <f t="shared" ref="A6081:A6089" si="2239">"0618135542"</f>
        <v>0618135542</v>
      </c>
      <c r="B6081" t="str">
        <f t="shared" ref="B6081:B6089" si="2240">"ETHAN"</f>
        <v>ETHAN</v>
      </c>
      <c r="C6081" t="str">
        <f t="shared" si="2238"/>
        <v>GARCIA</v>
      </c>
      <c r="D6081">
        <f>11</f>
        <v>11</v>
      </c>
      <c r="E6081" t="str">
        <f>"04 - A - 103 - Lisa  Quinn"</f>
        <v>04 - A - 103 - Lisa  Quinn</v>
      </c>
      <c r="F6081" t="str">
        <f>"ENG 3"</f>
        <v>ENG 3</v>
      </c>
      <c r="G6081" t="str">
        <f>"17-1725"</f>
        <v>17-1725</v>
      </c>
      <c r="H6081" t="str">
        <f>"A"</f>
        <v>A</v>
      </c>
    </row>
    <row r="6082" spans="1:8" x14ac:dyDescent="0.2">
      <c r="A6082" t="str">
        <f t="shared" si="2239"/>
        <v>0618135542</v>
      </c>
      <c r="B6082" t="str">
        <f t="shared" si="2240"/>
        <v>ETHAN</v>
      </c>
      <c r="C6082" t="str">
        <f t="shared" si="2238"/>
        <v>GARCIA</v>
      </c>
      <c r="D6082">
        <f>11</f>
        <v>11</v>
      </c>
      <c r="E6082" t="str">
        <f>"06 - B - 103 - Helen A Flores"</f>
        <v>06 - B - 103 - Helen A Flores</v>
      </c>
      <c r="F6082" t="str">
        <f>"ALGEBRA 2"</f>
        <v>ALGEBRA 2</v>
      </c>
      <c r="G6082" t="str">
        <f>"21-2101"</f>
        <v>21-2101</v>
      </c>
      <c r="H6082" t="str">
        <f>"B"</f>
        <v>B</v>
      </c>
    </row>
    <row r="6083" spans="1:8" x14ac:dyDescent="0.2">
      <c r="A6083" t="str">
        <f t="shared" si="2239"/>
        <v>0618135542</v>
      </c>
      <c r="B6083" t="str">
        <f t="shared" si="2240"/>
        <v>ETHAN</v>
      </c>
      <c r="C6083" t="str">
        <f t="shared" si="2238"/>
        <v>GARCIA</v>
      </c>
      <c r="D6083">
        <f>11</f>
        <v>11</v>
      </c>
      <c r="E6083" t="str">
        <f>"03 - S1 - A - 103 - Richard E Dunbar Iii"</f>
        <v>03 - S1 - A - 103 - Richard E Dunbar Iii</v>
      </c>
      <c r="F6083" t="str">
        <f>"WEIGHT TRAIN 1"</f>
        <v>WEIGHT TRAIN 1</v>
      </c>
      <c r="G6083" t="str">
        <f>"05-501"</f>
        <v>05-501</v>
      </c>
      <c r="H6083" t="str">
        <f>"A"</f>
        <v>A</v>
      </c>
    </row>
    <row r="6084" spans="1:8" x14ac:dyDescent="0.2">
      <c r="A6084" t="str">
        <f t="shared" si="2239"/>
        <v>0618135542</v>
      </c>
      <c r="B6084" t="str">
        <f t="shared" si="2240"/>
        <v>ETHAN</v>
      </c>
      <c r="C6084" t="str">
        <f t="shared" si="2238"/>
        <v>GARCIA</v>
      </c>
      <c r="D6084">
        <f>11</f>
        <v>11</v>
      </c>
      <c r="E6084" t="str">
        <f>"02 - A - 117 - Kyle  Robbins"</f>
        <v>02 - A - 117 - Kyle  Robbins</v>
      </c>
      <c r="F6084" t="str">
        <f>"NC STUDY HALL 1"</f>
        <v>NC STUDY HALL 1</v>
      </c>
      <c r="G6084" t="str">
        <f>"17-1745"</f>
        <v>17-1745</v>
      </c>
      <c r="H6084" t="str">
        <f>"A"</f>
        <v>A</v>
      </c>
    </row>
    <row r="6085" spans="1:8" x14ac:dyDescent="0.2">
      <c r="A6085" t="str">
        <f t="shared" si="2239"/>
        <v>0618135542</v>
      </c>
      <c r="B6085" t="str">
        <f t="shared" si="2240"/>
        <v>ETHAN</v>
      </c>
      <c r="C6085" t="str">
        <f t="shared" si="2238"/>
        <v>GARCIA</v>
      </c>
      <c r="D6085">
        <f>11</f>
        <v>11</v>
      </c>
      <c r="E6085" t="str">
        <f>"02 - A - 112 - Karen A Toomer"</f>
        <v>02 - A - 112 - Karen A Toomer</v>
      </c>
      <c r="F6085" t="str">
        <f>"LANG THERAPY"</f>
        <v>LANG THERAPY</v>
      </c>
      <c r="G6085" t="str">
        <f>"21-2110"</f>
        <v>21-2110</v>
      </c>
      <c r="H6085" t="str">
        <f>"A"</f>
        <v>A</v>
      </c>
    </row>
    <row r="6086" spans="1:8" x14ac:dyDescent="0.2">
      <c r="A6086" t="str">
        <f t="shared" si="2239"/>
        <v>0618135542</v>
      </c>
      <c r="B6086" t="str">
        <f t="shared" si="2240"/>
        <v>ETHAN</v>
      </c>
      <c r="C6086" t="str">
        <f t="shared" si="2238"/>
        <v>GARCIA</v>
      </c>
      <c r="D6086">
        <f>11</f>
        <v>11</v>
      </c>
      <c r="E6086" t="str">
        <f>"07 - B - 202 - Chrystina M Marchionne"</f>
        <v>07 - B - 202 - Chrystina M Marchionne</v>
      </c>
      <c r="F6086" t="str">
        <f>"JOURN 1 (YB) LH"</f>
        <v>JOURN 1 (YB) LH</v>
      </c>
      <c r="G6086" t="str">
        <f>"05-520"</f>
        <v>05-520</v>
      </c>
      <c r="H6086" t="str">
        <f>"B"</f>
        <v>B</v>
      </c>
    </row>
    <row r="6087" spans="1:8" x14ac:dyDescent="0.2">
      <c r="A6087" t="str">
        <f t="shared" si="2239"/>
        <v>0618135542</v>
      </c>
      <c r="B6087" t="str">
        <f t="shared" si="2240"/>
        <v>ETHAN</v>
      </c>
      <c r="C6087" t="str">
        <f t="shared" si="2238"/>
        <v>GARCIA</v>
      </c>
      <c r="D6087">
        <f>11</f>
        <v>11</v>
      </c>
      <c r="E6087" t="str">
        <f>"05 - B - 207 - Marielle A Witting"</f>
        <v>05 - B - 207 - Marielle A Witting</v>
      </c>
      <c r="F6087" t="str">
        <f>"ANAT PHYSIO"</f>
        <v>ANAT PHYSIO</v>
      </c>
      <c r="G6087" t="str">
        <f>"08-805"</f>
        <v>08-805</v>
      </c>
      <c r="H6087" t="str">
        <f>"B"</f>
        <v>B</v>
      </c>
    </row>
    <row r="6088" spans="1:8" x14ac:dyDescent="0.2">
      <c r="A6088" t="str">
        <f t="shared" si="2239"/>
        <v>0618135542</v>
      </c>
      <c r="B6088" t="str">
        <f t="shared" si="2240"/>
        <v>ETHAN</v>
      </c>
      <c r="C6088" t="str">
        <f t="shared" si="2238"/>
        <v>GARCIA</v>
      </c>
      <c r="D6088">
        <f>11</f>
        <v>11</v>
      </c>
      <c r="E6088" t="str">
        <f>"01 - A - 101 - Kyle  Robbins"</f>
        <v>01 - A - 101 - Kyle  Robbins</v>
      </c>
      <c r="F6088" t="str">
        <f>"US HISTORY"</f>
        <v>US HISTORY</v>
      </c>
      <c r="G6088" t="str">
        <f>"17-1745"</f>
        <v>17-1745</v>
      </c>
      <c r="H6088" t="str">
        <f>"A"</f>
        <v>A</v>
      </c>
    </row>
    <row r="6089" spans="1:8" x14ac:dyDescent="0.2">
      <c r="A6089" t="str">
        <f t="shared" si="2239"/>
        <v>0618135542</v>
      </c>
      <c r="B6089" t="str">
        <f t="shared" si="2240"/>
        <v>ETHAN</v>
      </c>
      <c r="C6089" t="str">
        <f t="shared" si="2238"/>
        <v>GARCIA</v>
      </c>
      <c r="D6089">
        <f>11</f>
        <v>11</v>
      </c>
      <c r="E6089" t="str">
        <f>"08 - B - 103 - Joe  Kilpatrick Jr"</f>
        <v>08 - B - 103 - Joe  Kilpatrick Jr</v>
      </c>
      <c r="F6089" t="str">
        <f>"PRE-AICE SPAN 2 IG"</f>
        <v>PRE-AICE SPAN 2 IG</v>
      </c>
      <c r="G6089" t="str">
        <f>"09-912"</f>
        <v>09-912</v>
      </c>
      <c r="H6089" t="str">
        <f>"B"</f>
        <v>B</v>
      </c>
    </row>
    <row r="6090" spans="1:8" x14ac:dyDescent="0.2">
      <c r="A6090" t="str">
        <f t="shared" ref="A6090:A6097" si="2241">"0625022974"</f>
        <v>0625022974</v>
      </c>
      <c r="B6090" t="str">
        <f t="shared" ref="B6090:B6097" si="2242">"JOHAN"</f>
        <v>JOHAN</v>
      </c>
      <c r="C6090" t="str">
        <f t="shared" si="2238"/>
        <v>GARCIA</v>
      </c>
      <c r="D6090">
        <f>10</f>
        <v>10</v>
      </c>
      <c r="E6090" t="str">
        <f>"04 - A - 104 - Helen A Flores"</f>
        <v>04 - A - 104 - Helen A Flores</v>
      </c>
      <c r="F6090" t="str">
        <f>"FDN SKLS MATH 9-12"</f>
        <v>FDN SKLS MATH 9-12</v>
      </c>
      <c r="G6090" t="str">
        <f>"21-2101"</f>
        <v>21-2101</v>
      </c>
      <c r="H6090" t="str">
        <f>"A"</f>
        <v>A</v>
      </c>
    </row>
    <row r="6091" spans="1:8" x14ac:dyDescent="0.2">
      <c r="A6091" t="str">
        <f t="shared" si="2241"/>
        <v>0625022974</v>
      </c>
      <c r="B6091" t="str">
        <f t="shared" si="2242"/>
        <v>JOHAN</v>
      </c>
      <c r="C6091" t="str">
        <f t="shared" si="2238"/>
        <v>GARCIA</v>
      </c>
      <c r="D6091">
        <f>10</f>
        <v>10</v>
      </c>
      <c r="E6091" t="str">
        <f>"06 - B - 103 - Vanessa J Liburd"</f>
        <v>06 - B - 103 - Vanessa J Liburd</v>
      </c>
      <c r="F6091" t="str">
        <f>"NC STUDY HALL 1"</f>
        <v>NC STUDY HALL 1</v>
      </c>
      <c r="G6091" t="str">
        <f>"05-519"</f>
        <v>05-519</v>
      </c>
      <c r="H6091" t="str">
        <f>"B"</f>
        <v>B</v>
      </c>
    </row>
    <row r="6092" spans="1:8" x14ac:dyDescent="0.2">
      <c r="A6092" t="str">
        <f t="shared" si="2241"/>
        <v>0625022974</v>
      </c>
      <c r="B6092" t="str">
        <f t="shared" si="2242"/>
        <v>JOHAN</v>
      </c>
      <c r="C6092" t="str">
        <f t="shared" si="2238"/>
        <v>GARCIA</v>
      </c>
      <c r="D6092">
        <f>10</f>
        <v>10</v>
      </c>
      <c r="E6092" t="str">
        <f>"03 - A - 206 - Josiah I Lacy"</f>
        <v>03 - A - 206 - Josiah I Lacy</v>
      </c>
      <c r="F6092" t="str">
        <f>"BIOLOGY 1"</f>
        <v>BIOLOGY 1</v>
      </c>
      <c r="G6092" t="str">
        <f>"08-801"</f>
        <v>08-801</v>
      </c>
      <c r="H6092" t="str">
        <f>"A"</f>
        <v>A</v>
      </c>
    </row>
    <row r="6093" spans="1:8" x14ac:dyDescent="0.2">
      <c r="A6093" t="str">
        <f t="shared" si="2241"/>
        <v>0625022974</v>
      </c>
      <c r="B6093" t="str">
        <f t="shared" si="2242"/>
        <v>JOHAN</v>
      </c>
      <c r="C6093" t="str">
        <f t="shared" si="2238"/>
        <v>GARCIA</v>
      </c>
      <c r="D6093">
        <f>10</f>
        <v>10</v>
      </c>
      <c r="E6093" t="str">
        <f>"02 - S1 - A - 101 - Carol S Moore"</f>
        <v>02 - S1 - A - 101 - Carol S Moore</v>
      </c>
      <c r="F6093" t="str">
        <f>"PER CAR SCH DEV 1 LH"</f>
        <v>PER CAR SCH DEV 1 LH</v>
      </c>
      <c r="G6093" t="str">
        <f>"17-1733"</f>
        <v>17-1733</v>
      </c>
      <c r="H6093" t="str">
        <f>"A"</f>
        <v>A</v>
      </c>
    </row>
    <row r="6094" spans="1:8" x14ac:dyDescent="0.2">
      <c r="A6094" t="str">
        <f t="shared" si="2241"/>
        <v>0625022974</v>
      </c>
      <c r="B6094" t="str">
        <f t="shared" si="2242"/>
        <v>JOHAN</v>
      </c>
      <c r="C6094" t="str">
        <f t="shared" si="2238"/>
        <v>GARCIA</v>
      </c>
      <c r="D6094">
        <f>10</f>
        <v>10</v>
      </c>
      <c r="E6094" t="str">
        <f>"07 - B - 106 - Taraneh C Abreu"</f>
        <v>07 - B - 106 - Taraneh C Abreu</v>
      </c>
      <c r="F6094" t="str">
        <f>"INTENS READ 2"</f>
        <v>INTENS READ 2</v>
      </c>
      <c r="G6094" t="str">
        <f>"17-1713"</f>
        <v>17-1713</v>
      </c>
      <c r="H6094" t="str">
        <f>"B"</f>
        <v>B</v>
      </c>
    </row>
    <row r="6095" spans="1:8" x14ac:dyDescent="0.2">
      <c r="A6095" t="str">
        <f t="shared" si="2241"/>
        <v>0625022974</v>
      </c>
      <c r="B6095" t="str">
        <f t="shared" si="2242"/>
        <v>JOHAN</v>
      </c>
      <c r="C6095" t="str">
        <f t="shared" si="2238"/>
        <v>GARCIA</v>
      </c>
      <c r="D6095">
        <f>10</f>
        <v>10</v>
      </c>
      <c r="E6095" t="str">
        <f>"05 - B - 106 - Jacquelyn M Neeson"</f>
        <v>05 - B - 106 - Jacquelyn M Neeson</v>
      </c>
      <c r="F6095" t="str">
        <f>"ENG 2"</f>
        <v>ENG 2</v>
      </c>
      <c r="G6095" t="str">
        <f>"17-1715"</f>
        <v>17-1715</v>
      </c>
      <c r="H6095" t="str">
        <f>"B"</f>
        <v>B</v>
      </c>
    </row>
    <row r="6096" spans="1:8" x14ac:dyDescent="0.2">
      <c r="A6096" t="str">
        <f t="shared" si="2241"/>
        <v>0625022974</v>
      </c>
      <c r="B6096" t="str">
        <f t="shared" si="2242"/>
        <v>JOHAN</v>
      </c>
      <c r="C6096" t="str">
        <f t="shared" si="2238"/>
        <v>GARCIA</v>
      </c>
      <c r="D6096">
        <f>10</f>
        <v>10</v>
      </c>
      <c r="E6096" t="str">
        <f>"01 - A - 101 - Vanessa J Pena"</f>
        <v>01 - A - 101 - Vanessa J Pena</v>
      </c>
      <c r="F6096" t="str">
        <f>"DEV LANG ARTS ESOL-R"</f>
        <v>DEV LANG ARTS ESOL-R</v>
      </c>
      <c r="G6096" t="str">
        <f>"09-926"</f>
        <v>09-926</v>
      </c>
      <c r="H6096" t="str">
        <f>"A"</f>
        <v>A</v>
      </c>
    </row>
    <row r="6097" spans="1:8" x14ac:dyDescent="0.2">
      <c r="A6097" t="str">
        <f t="shared" si="2241"/>
        <v>0625022974</v>
      </c>
      <c r="B6097" t="str">
        <f t="shared" si="2242"/>
        <v>JOHAN</v>
      </c>
      <c r="C6097" t="str">
        <f t="shared" si="2238"/>
        <v>GARCIA</v>
      </c>
      <c r="D6097">
        <f>10</f>
        <v>10</v>
      </c>
      <c r="E6097" t="str">
        <f>"08 - B - 106 - Helen A Flores"</f>
        <v>08 - B - 106 - Helen A Flores</v>
      </c>
      <c r="F6097" t="str">
        <f>"ALGEBRA 1"</f>
        <v>ALGEBRA 1</v>
      </c>
      <c r="G6097" t="str">
        <f>"21-2101"</f>
        <v>21-2101</v>
      </c>
      <c r="H6097" t="str">
        <f>"B"</f>
        <v>B</v>
      </c>
    </row>
    <row r="6098" spans="1:8" x14ac:dyDescent="0.2">
      <c r="A6098" t="str">
        <f t="shared" ref="A6098:A6105" si="2243">"0624077079"</f>
        <v>0624077079</v>
      </c>
      <c r="B6098" t="str">
        <f t="shared" ref="B6098:B6105" si="2244">"ANTHONY"</f>
        <v>ANTHONY</v>
      </c>
      <c r="C6098" t="str">
        <f t="shared" ref="C6098:C6105" si="2245">"GARCIA BONILLA"</f>
        <v>GARCIA BONILLA</v>
      </c>
      <c r="D6098" t="str">
        <f t="shared" ref="D6098:D6105" si="2246">"09"</f>
        <v>09</v>
      </c>
      <c r="E6098" t="str">
        <f>"04 - A - 103 - Lenecy  Nodarse"</f>
        <v>04 - A - 103 - Lenecy  Nodarse</v>
      </c>
      <c r="F6098" t="str">
        <f>"WORLD HISTORY"</f>
        <v>WORLD HISTORY</v>
      </c>
      <c r="G6098" t="str">
        <f>"17-1741"</f>
        <v>17-1741</v>
      </c>
      <c r="H6098" t="str">
        <f>"A"</f>
        <v>A</v>
      </c>
    </row>
    <row r="6099" spans="1:8" x14ac:dyDescent="0.2">
      <c r="A6099" t="str">
        <f t="shared" si="2243"/>
        <v>0624077079</v>
      </c>
      <c r="B6099" t="str">
        <f t="shared" si="2244"/>
        <v>ANTHONY</v>
      </c>
      <c r="C6099" t="str">
        <f t="shared" si="2245"/>
        <v>GARCIA BONILLA</v>
      </c>
      <c r="D6099" t="str">
        <f t="shared" si="2246"/>
        <v>09</v>
      </c>
      <c r="E6099" t="str">
        <f>"06 - B - 002 - Amy Beth  Broyles"</f>
        <v>06 - B - 002 - Amy Beth  Broyles</v>
      </c>
      <c r="F6099" t="str">
        <f>"ENV SCI"</f>
        <v>ENV SCI</v>
      </c>
      <c r="G6099" t="str">
        <f>"08-802"</f>
        <v>08-802</v>
      </c>
      <c r="H6099" t="str">
        <f>"B"</f>
        <v>B</v>
      </c>
    </row>
    <row r="6100" spans="1:8" x14ac:dyDescent="0.2">
      <c r="A6100" t="str">
        <f t="shared" si="2243"/>
        <v>0624077079</v>
      </c>
      <c r="B6100" t="str">
        <f t="shared" si="2244"/>
        <v>ANTHONY</v>
      </c>
      <c r="C6100" t="str">
        <f t="shared" si="2245"/>
        <v>GARCIA BONILLA</v>
      </c>
      <c r="D6100" t="str">
        <f t="shared" si="2246"/>
        <v>09</v>
      </c>
      <c r="E6100" t="str">
        <f>"03 - A - 105 - Cheryl Anne  Berman-Schechter"</f>
        <v>03 - A - 105 - Cheryl Anne  Berman-Schechter</v>
      </c>
      <c r="F6100" t="str">
        <f>"ENG 1"</f>
        <v>ENG 1</v>
      </c>
      <c r="G6100" t="str">
        <f>"17-1722"</f>
        <v>17-1722</v>
      </c>
      <c r="H6100" t="str">
        <f>"A"</f>
        <v>A</v>
      </c>
    </row>
    <row r="6101" spans="1:8" x14ac:dyDescent="0.2">
      <c r="A6101" t="str">
        <f t="shared" si="2243"/>
        <v>0624077079</v>
      </c>
      <c r="B6101" t="str">
        <f t="shared" si="2244"/>
        <v>ANTHONY</v>
      </c>
      <c r="C6101" t="str">
        <f t="shared" si="2245"/>
        <v>GARCIA BONILLA</v>
      </c>
      <c r="D6101" t="str">
        <f t="shared" si="2246"/>
        <v>09</v>
      </c>
      <c r="E6101" t="str">
        <f>"02 - A - 102 - Fernando  Vega-Cid"</f>
        <v>02 - A - 102 - Fernando  Vega-Cid</v>
      </c>
      <c r="F6101" t="str">
        <f>"NC STUDY HALL 1"</f>
        <v>NC STUDY HALL 1</v>
      </c>
      <c r="G6101" t="str">
        <f>"21-2163"</f>
        <v>21-2163</v>
      </c>
      <c r="H6101" t="str">
        <f>"A"</f>
        <v>A</v>
      </c>
    </row>
    <row r="6102" spans="1:8" x14ac:dyDescent="0.2">
      <c r="A6102" t="str">
        <f t="shared" si="2243"/>
        <v>0624077079</v>
      </c>
      <c r="B6102" t="str">
        <f t="shared" si="2244"/>
        <v>ANTHONY</v>
      </c>
      <c r="C6102" t="str">
        <f t="shared" si="2245"/>
        <v>GARCIA BONILLA</v>
      </c>
      <c r="D6102" t="str">
        <f t="shared" si="2246"/>
        <v>09</v>
      </c>
      <c r="E6102" t="str">
        <f>"07 - B - 107 - Helen A Flores"</f>
        <v>07 - B - 107 - Helen A Flores</v>
      </c>
      <c r="F6102" t="str">
        <f>"ALGEBRA 1"</f>
        <v>ALGEBRA 1</v>
      </c>
      <c r="G6102" t="str">
        <f>"21-2101"</f>
        <v>21-2101</v>
      </c>
      <c r="H6102" t="str">
        <f>"B"</f>
        <v>B</v>
      </c>
    </row>
    <row r="6103" spans="1:8" x14ac:dyDescent="0.2">
      <c r="A6103" t="str">
        <f t="shared" si="2243"/>
        <v>0624077079</v>
      </c>
      <c r="B6103" t="str">
        <f t="shared" si="2244"/>
        <v>ANTHONY</v>
      </c>
      <c r="C6103" t="str">
        <f t="shared" si="2245"/>
        <v>GARCIA BONILLA</v>
      </c>
      <c r="D6103" t="str">
        <f t="shared" si="2246"/>
        <v>09</v>
      </c>
      <c r="E6103" t="str">
        <f>"05 - B - 102 - Vanessa J Pena"</f>
        <v>05 - B - 102 - Vanessa J Pena</v>
      </c>
      <c r="F6103" t="str">
        <f>"DEV LANG ARTS ESOL-R"</f>
        <v>DEV LANG ARTS ESOL-R</v>
      </c>
      <c r="G6103" t="str">
        <f>"09-926"</f>
        <v>09-926</v>
      </c>
      <c r="H6103" t="str">
        <f>"B"</f>
        <v>B</v>
      </c>
    </row>
    <row r="6104" spans="1:8" x14ac:dyDescent="0.2">
      <c r="A6104" t="str">
        <f t="shared" si="2243"/>
        <v>0624077079</v>
      </c>
      <c r="B6104" t="str">
        <f t="shared" si="2244"/>
        <v>ANTHONY</v>
      </c>
      <c r="C6104" t="str">
        <f t="shared" si="2245"/>
        <v>GARCIA BONILLA</v>
      </c>
      <c r="D6104" t="str">
        <f t="shared" si="2246"/>
        <v>09</v>
      </c>
      <c r="E6104" t="str">
        <f>"01 - A - 102 - Helen A Flores"</f>
        <v>01 - A - 102 - Helen A Flores</v>
      </c>
      <c r="F6104" t="str">
        <f>"FDN SKLS MATH 9-12"</f>
        <v>FDN SKLS MATH 9-12</v>
      </c>
      <c r="G6104" t="str">
        <f>"21-2101"</f>
        <v>21-2101</v>
      </c>
      <c r="H6104" t="str">
        <f>"A"</f>
        <v>A</v>
      </c>
    </row>
    <row r="6105" spans="1:8" x14ac:dyDescent="0.2">
      <c r="A6105" t="str">
        <f t="shared" si="2243"/>
        <v>0624077079</v>
      </c>
      <c r="B6105" t="str">
        <f t="shared" si="2244"/>
        <v>ANTHONY</v>
      </c>
      <c r="C6105" t="str">
        <f t="shared" si="2245"/>
        <v>GARCIA BONILLA</v>
      </c>
      <c r="D6105" t="str">
        <f t="shared" si="2246"/>
        <v>09</v>
      </c>
      <c r="E6105" t="str">
        <f>"08 - B - 106 - Laselleda D Shaw"</f>
        <v>08 - B - 106 - Laselleda D Shaw</v>
      </c>
      <c r="F6105" t="str">
        <f>"INTENS READ 1"</f>
        <v>INTENS READ 1</v>
      </c>
      <c r="G6105" t="str">
        <f>"17-1723"</f>
        <v>17-1723</v>
      </c>
      <c r="H6105" t="str">
        <f>"B"</f>
        <v>B</v>
      </c>
    </row>
    <row r="6106" spans="1:8" x14ac:dyDescent="0.2">
      <c r="A6106" t="str">
        <f t="shared" ref="A6106:A6113" si="2247">"0614005249"</f>
        <v>0614005249</v>
      </c>
      <c r="B6106" t="str">
        <f t="shared" ref="B6106:B6113" si="2248">"VALERIE"</f>
        <v>VALERIE</v>
      </c>
      <c r="C6106" t="str">
        <f t="shared" ref="C6106:C6113" si="2249">"GARCIA EUCEDA"</f>
        <v>GARCIA EUCEDA</v>
      </c>
      <c r="D6106">
        <f>12</f>
        <v>12</v>
      </c>
      <c r="E6106" t="str">
        <f>"04 - A - 205 - Jacqueline R Morphet"</f>
        <v>04 - A - 205 - Jacqueline R Morphet</v>
      </c>
      <c r="F6106" t="str">
        <f>"PHYSICS 1 HON"</f>
        <v>PHYSICS 1 HON</v>
      </c>
      <c r="G6106" t="str">
        <f>"21-2138"</f>
        <v>21-2138</v>
      </c>
      <c r="H6106" t="str">
        <f>"A"</f>
        <v>A</v>
      </c>
    </row>
    <row r="6107" spans="1:8" x14ac:dyDescent="0.2">
      <c r="A6107" t="str">
        <f t="shared" si="2247"/>
        <v>0614005249</v>
      </c>
      <c r="B6107" t="str">
        <f t="shared" si="2248"/>
        <v>VALERIE</v>
      </c>
      <c r="C6107" t="str">
        <f t="shared" si="2249"/>
        <v>GARCIA EUCEDA</v>
      </c>
      <c r="D6107">
        <f>12</f>
        <v>12</v>
      </c>
      <c r="E6107" t="str">
        <f>"06 - B - 111 - James H Mccann"</f>
        <v>06 - B - 111 - James H Mccann</v>
      </c>
      <c r="F6107" t="str">
        <f>"NC STUDY HALL 1"</f>
        <v>NC STUDY HALL 1</v>
      </c>
      <c r="G6107" t="str">
        <f>"17-1716"</f>
        <v>17-1716</v>
      </c>
      <c r="H6107" t="str">
        <f>"B"</f>
        <v>B</v>
      </c>
    </row>
    <row r="6108" spans="1:8" x14ac:dyDescent="0.2">
      <c r="A6108" t="str">
        <f t="shared" si="2247"/>
        <v>0614005249</v>
      </c>
      <c r="B6108" t="str">
        <f t="shared" si="2248"/>
        <v>VALERIE</v>
      </c>
      <c r="C6108" t="str">
        <f t="shared" si="2249"/>
        <v>GARCIA EUCEDA</v>
      </c>
      <c r="D6108">
        <f>12</f>
        <v>12</v>
      </c>
      <c r="E6108" t="str">
        <f>"03 - A - 103 - Norayda D Suarez"</f>
        <v>03 - A - 103 - Norayda D Suarez</v>
      </c>
      <c r="F6108" t="str">
        <f>"RESEARCH 1 LH"</f>
        <v>RESEARCH 1 LH</v>
      </c>
      <c r="G6108">
        <f>2041</f>
        <v>2041</v>
      </c>
      <c r="H6108" t="str">
        <f>"A"</f>
        <v>A</v>
      </c>
    </row>
    <row r="6109" spans="1:8" x14ac:dyDescent="0.2">
      <c r="A6109" t="str">
        <f t="shared" si="2247"/>
        <v>0614005249</v>
      </c>
      <c r="B6109" t="str">
        <f t="shared" si="2248"/>
        <v>VALERIE</v>
      </c>
      <c r="C6109" t="str">
        <f t="shared" si="2249"/>
        <v>GARCIA EUCEDA</v>
      </c>
      <c r="D6109">
        <f>12</f>
        <v>12</v>
      </c>
      <c r="E6109" t="str">
        <f>"02 - A - 102 - Marielle A Witting"</f>
        <v>02 - A - 102 - Marielle A Witting</v>
      </c>
      <c r="F6109" t="str">
        <f>"AP BIO"</f>
        <v>AP BIO</v>
      </c>
      <c r="G6109" t="str">
        <f>"08-805"</f>
        <v>08-805</v>
      </c>
      <c r="H6109" t="str">
        <f>"A"</f>
        <v>A</v>
      </c>
    </row>
    <row r="6110" spans="1:8" x14ac:dyDescent="0.2">
      <c r="A6110" t="str">
        <f t="shared" si="2247"/>
        <v>0614005249</v>
      </c>
      <c r="B6110" t="str">
        <f t="shared" si="2248"/>
        <v>VALERIE</v>
      </c>
      <c r="C6110" t="str">
        <f t="shared" si="2249"/>
        <v>GARCIA EUCEDA</v>
      </c>
      <c r="D6110">
        <f>12</f>
        <v>12</v>
      </c>
      <c r="E6110" t="str">
        <f>"07 - S1 - B - 101 - Stephen T Ripp"</f>
        <v>07 - S1 - B - 101 - Stephen T Ripp</v>
      </c>
      <c r="F6110" t="str">
        <f>"AP US GOVT/POL"</f>
        <v>AP US GOVT/POL</v>
      </c>
      <c r="G6110" t="str">
        <f>"17-1744"</f>
        <v>17-1744</v>
      </c>
      <c r="H6110" t="str">
        <f>"B"</f>
        <v>B</v>
      </c>
    </row>
    <row r="6111" spans="1:8" x14ac:dyDescent="0.2">
      <c r="A6111" t="str">
        <f t="shared" si="2247"/>
        <v>0614005249</v>
      </c>
      <c r="B6111" t="str">
        <f t="shared" si="2248"/>
        <v>VALERIE</v>
      </c>
      <c r="C6111" t="str">
        <f t="shared" si="2249"/>
        <v>GARCIA EUCEDA</v>
      </c>
      <c r="D6111">
        <f>12</f>
        <v>12</v>
      </c>
      <c r="E6111" t="str">
        <f>"05 - B - 205 - Rosa Elaine  Collado-Duff"</f>
        <v>05 - B - 205 - Rosa Elaine  Collado-Duff</v>
      </c>
      <c r="F6111" t="str">
        <f>"PRE-AICE SPAN 2 IG"</f>
        <v>PRE-AICE SPAN 2 IG</v>
      </c>
      <c r="G6111" t="str">
        <f>"09-913"</f>
        <v>09-913</v>
      </c>
      <c r="H6111" t="str">
        <f>"B"</f>
        <v>B</v>
      </c>
    </row>
    <row r="6112" spans="1:8" x14ac:dyDescent="0.2">
      <c r="A6112" t="str">
        <f t="shared" si="2247"/>
        <v>0614005249</v>
      </c>
      <c r="B6112" t="str">
        <f t="shared" si="2248"/>
        <v>VALERIE</v>
      </c>
      <c r="C6112" t="str">
        <f t="shared" si="2249"/>
        <v>GARCIA EUCEDA</v>
      </c>
      <c r="D6112">
        <f>12</f>
        <v>12</v>
      </c>
      <c r="E6112" t="str">
        <f>"01 - A - 101 - Thomas G Handwerg"</f>
        <v>01 - A - 101 - Thomas G Handwerg</v>
      </c>
      <c r="F6112" t="str">
        <f>"PROB STAT W/APPS HON"</f>
        <v>PROB STAT W/APPS HON</v>
      </c>
      <c r="G6112" t="str">
        <f>"21-2146"</f>
        <v>21-2146</v>
      </c>
      <c r="H6112" t="str">
        <f>"A"</f>
        <v>A</v>
      </c>
    </row>
    <row r="6113" spans="1:8" x14ac:dyDescent="0.2">
      <c r="A6113" t="str">
        <f t="shared" si="2247"/>
        <v>0614005249</v>
      </c>
      <c r="B6113" t="str">
        <f t="shared" si="2248"/>
        <v>VALERIE</v>
      </c>
      <c r="C6113" t="str">
        <f t="shared" si="2249"/>
        <v>GARCIA EUCEDA</v>
      </c>
      <c r="D6113">
        <f>12</f>
        <v>12</v>
      </c>
      <c r="E6113" t="str">
        <f>"08 - B - 203 - Courtney E Hambright"</f>
        <v>08 - B - 203 - Courtney E Hambright</v>
      </c>
      <c r="F6113" t="str">
        <f>"AP ENG LIT COMPO"</f>
        <v>AP ENG LIT COMPO</v>
      </c>
      <c r="G6113" t="str">
        <f>"17-1711"</f>
        <v>17-1711</v>
      </c>
      <c r="H6113" t="str">
        <f>"B"</f>
        <v>B</v>
      </c>
    </row>
    <row r="6114" spans="1:8" x14ac:dyDescent="0.2">
      <c r="A6114" t="str">
        <f t="shared" ref="A6114:A6121" si="2250">"0623104881"</f>
        <v>0623104881</v>
      </c>
      <c r="B6114" t="str">
        <f t="shared" ref="B6114:B6121" si="2251">"JUAN JOSE"</f>
        <v>JUAN JOSE</v>
      </c>
      <c r="C6114" t="str">
        <f t="shared" ref="C6114:C6121" si="2252">"GARCIA MARTINEZ"</f>
        <v>GARCIA MARTINEZ</v>
      </c>
      <c r="D6114">
        <f>12</f>
        <v>12</v>
      </c>
      <c r="E6114" t="str">
        <f>"04 - S1 - A - 104 - Richard E Dunbar Iii"</f>
        <v>04 - S1 - A - 104 - Richard E Dunbar Iii</v>
      </c>
      <c r="F6114" t="str">
        <f>"WEIGHT TRAIN 1"</f>
        <v>WEIGHT TRAIN 1</v>
      </c>
      <c r="G6114" t="str">
        <f>"05-501"</f>
        <v>05-501</v>
      </c>
      <c r="H6114" t="str">
        <f>"A"</f>
        <v>A</v>
      </c>
    </row>
    <row r="6115" spans="1:8" x14ac:dyDescent="0.2">
      <c r="A6115" t="str">
        <f t="shared" si="2250"/>
        <v>0623104881</v>
      </c>
      <c r="B6115" t="str">
        <f t="shared" si="2251"/>
        <v>JUAN JOSE</v>
      </c>
      <c r="C6115" t="str">
        <f t="shared" si="2252"/>
        <v>GARCIA MARTINEZ</v>
      </c>
      <c r="D6115">
        <f>12</f>
        <v>12</v>
      </c>
      <c r="E6115" t="str">
        <f>"06 - B - 114 - Lisa J London"</f>
        <v>06 - B - 114 - Lisa J London</v>
      </c>
      <c r="F6115" t="str">
        <f>"NC STUDY HALL 1"</f>
        <v>NC STUDY HALL 1</v>
      </c>
      <c r="G6115" t="str">
        <f>"17-1714"</f>
        <v>17-1714</v>
      </c>
      <c r="H6115" t="str">
        <f>"B"</f>
        <v>B</v>
      </c>
    </row>
    <row r="6116" spans="1:8" x14ac:dyDescent="0.2">
      <c r="A6116" t="str">
        <f t="shared" si="2250"/>
        <v>0623104881</v>
      </c>
      <c r="B6116" t="str">
        <f t="shared" si="2251"/>
        <v>JUAN JOSE</v>
      </c>
      <c r="C6116" t="str">
        <f t="shared" si="2252"/>
        <v>GARCIA MARTINEZ</v>
      </c>
      <c r="D6116">
        <f>12</f>
        <v>12</v>
      </c>
      <c r="E6116" t="str">
        <f>"03 - A - 201 - Emmily A Sarmiento"</f>
        <v>03 - A - 201 - Emmily A Sarmiento</v>
      </c>
      <c r="F6116" t="str">
        <f>"LEAD SKLS DEV LH"</f>
        <v>LEAD SKLS DEV LH</v>
      </c>
      <c r="G6116" t="str">
        <f>"17-1743"</f>
        <v>17-1743</v>
      </c>
      <c r="H6116" t="str">
        <f>"A"</f>
        <v>A</v>
      </c>
    </row>
    <row r="6117" spans="1:8" x14ac:dyDescent="0.2">
      <c r="A6117" t="str">
        <f t="shared" si="2250"/>
        <v>0623104881</v>
      </c>
      <c r="B6117" t="str">
        <f t="shared" si="2251"/>
        <v>JUAN JOSE</v>
      </c>
      <c r="C6117" t="str">
        <f t="shared" si="2252"/>
        <v>GARCIA MARTINEZ</v>
      </c>
      <c r="D6117">
        <f>12</f>
        <v>12</v>
      </c>
      <c r="E6117" t="str">
        <f>"02 - A - 101 - Nahum  Saint-Preux"</f>
        <v>02 - A - 101 - Nahum  Saint-Preux</v>
      </c>
      <c r="F6117" t="str">
        <f>"INTENS READ 4"</f>
        <v>INTENS READ 4</v>
      </c>
      <c r="G6117" t="str">
        <f>"17-1712"</f>
        <v>17-1712</v>
      </c>
      <c r="H6117" t="str">
        <f>"A"</f>
        <v>A</v>
      </c>
    </row>
    <row r="6118" spans="1:8" x14ac:dyDescent="0.2">
      <c r="A6118" t="str">
        <f t="shared" si="2250"/>
        <v>0623104881</v>
      </c>
      <c r="B6118" t="str">
        <f t="shared" si="2251"/>
        <v>JUAN JOSE</v>
      </c>
      <c r="C6118" t="str">
        <f t="shared" si="2252"/>
        <v>GARCIA MARTINEZ</v>
      </c>
      <c r="D6118">
        <f>12</f>
        <v>12</v>
      </c>
      <c r="E6118" t="str">
        <f>"07 - B - 102 - Tina L Lovett"</f>
        <v>07 - B - 102 - Tina L Lovett</v>
      </c>
      <c r="F6118" t="str">
        <f>"MATH DATA &amp; FIN LIT"</f>
        <v>MATH DATA &amp; FIN LIT</v>
      </c>
      <c r="G6118" t="str">
        <f>"21-2153"</f>
        <v>21-2153</v>
      </c>
      <c r="H6118" t="str">
        <f>"B"</f>
        <v>B</v>
      </c>
    </row>
    <row r="6119" spans="1:8" x14ac:dyDescent="0.2">
      <c r="A6119" t="str">
        <f t="shared" si="2250"/>
        <v>0623104881</v>
      </c>
      <c r="B6119" t="str">
        <f t="shared" si="2251"/>
        <v>JUAN JOSE</v>
      </c>
      <c r="C6119" t="str">
        <f t="shared" si="2252"/>
        <v>GARCIA MARTINEZ</v>
      </c>
      <c r="D6119">
        <f>12</f>
        <v>12</v>
      </c>
      <c r="E6119" t="str">
        <f>"05 - B - 207 - Marielle A Witting"</f>
        <v>05 - B - 207 - Marielle A Witting</v>
      </c>
      <c r="F6119" t="str">
        <f>"ANAT PHYSIO"</f>
        <v>ANAT PHYSIO</v>
      </c>
      <c r="G6119" t="str">
        <f>"08-805"</f>
        <v>08-805</v>
      </c>
      <c r="H6119" t="str">
        <f>"B"</f>
        <v>B</v>
      </c>
    </row>
    <row r="6120" spans="1:8" x14ac:dyDescent="0.2">
      <c r="A6120" t="str">
        <f t="shared" si="2250"/>
        <v>0623104881</v>
      </c>
      <c r="B6120" t="str">
        <f t="shared" si="2251"/>
        <v>JUAN JOSE</v>
      </c>
      <c r="C6120" t="str">
        <f t="shared" si="2252"/>
        <v>GARCIA MARTINEZ</v>
      </c>
      <c r="D6120">
        <f>12</f>
        <v>12</v>
      </c>
      <c r="E6120" t="str">
        <f>"01 - S1 - A - 101 - Robert O Burger"</f>
        <v>01 - S1 - A - 101 - Robert O Burger</v>
      </c>
      <c r="F6120" t="str">
        <f>"US GOVT"</f>
        <v>US GOVT</v>
      </c>
      <c r="G6120" t="str">
        <f>"17-1755"</f>
        <v>17-1755</v>
      </c>
      <c r="H6120" t="str">
        <f>"A"</f>
        <v>A</v>
      </c>
    </row>
    <row r="6121" spans="1:8" x14ac:dyDescent="0.2">
      <c r="A6121" t="str">
        <f t="shared" si="2250"/>
        <v>0623104881</v>
      </c>
      <c r="B6121" t="str">
        <f t="shared" si="2251"/>
        <v>JUAN JOSE</v>
      </c>
      <c r="C6121" t="str">
        <f t="shared" si="2252"/>
        <v>GARCIA MARTINEZ</v>
      </c>
      <c r="D6121">
        <f>12</f>
        <v>12</v>
      </c>
      <c r="E6121" t="str">
        <f>"08 - B - 206 - Robyn L Trainer"</f>
        <v>08 - B - 206 - Robyn L Trainer</v>
      </c>
      <c r="F6121" t="str">
        <f>"ENG 4: FL COLL PREP"</f>
        <v>ENG 4: FL COLL PREP</v>
      </c>
      <c r="G6121" t="str">
        <f>"17-1734"</f>
        <v>17-1734</v>
      </c>
      <c r="H6121" t="str">
        <f>"B"</f>
        <v>B</v>
      </c>
    </row>
    <row r="6122" spans="1:8" x14ac:dyDescent="0.2">
      <c r="A6122" t="str">
        <f t="shared" ref="A6122:A6129" si="2253">"0616052343"</f>
        <v>0616052343</v>
      </c>
      <c r="B6122" t="str">
        <f t="shared" ref="B6122:B6129" si="2254">"EMMA"</f>
        <v>EMMA</v>
      </c>
      <c r="C6122" t="str">
        <f t="shared" ref="C6122:C6129" si="2255">"GARCIA-MITE"</f>
        <v>GARCIA-MITE</v>
      </c>
      <c r="D6122">
        <f>10</f>
        <v>10</v>
      </c>
      <c r="E6122" t="str">
        <f>"04 - A - 105 - Jacklyn M James"</f>
        <v>04 - A - 105 - Jacklyn M James</v>
      </c>
      <c r="F6122" t="str">
        <f>"AICE ENG LANG AS"</f>
        <v>AICE ENG LANG AS</v>
      </c>
      <c r="G6122" t="str">
        <f>"17-1731"</f>
        <v>17-1731</v>
      </c>
      <c r="H6122" t="str">
        <f>"A"</f>
        <v>A</v>
      </c>
    </row>
    <row r="6123" spans="1:8" x14ac:dyDescent="0.2">
      <c r="A6123" t="str">
        <f t="shared" si="2253"/>
        <v>0616052343</v>
      </c>
      <c r="B6123" t="str">
        <f t="shared" si="2254"/>
        <v>EMMA</v>
      </c>
      <c r="C6123" t="str">
        <f t="shared" si="2255"/>
        <v>GARCIA-MITE</v>
      </c>
      <c r="D6123">
        <f>10</f>
        <v>10</v>
      </c>
      <c r="E6123" t="str">
        <f>"06 - B - 105 - Jeffrey S Gallagher"</f>
        <v>06 - B - 105 - Jeffrey S Gallagher</v>
      </c>
      <c r="F6123" t="str">
        <f>"NC STUDY HALL 1"</f>
        <v>NC STUDY HALL 1</v>
      </c>
      <c r="G6123" t="str">
        <f>"17-1724"</f>
        <v>17-1724</v>
      </c>
      <c r="H6123" t="str">
        <f>"B"</f>
        <v>B</v>
      </c>
    </row>
    <row r="6124" spans="1:8" x14ac:dyDescent="0.2">
      <c r="A6124" t="str">
        <f t="shared" si="2253"/>
        <v>0616052343</v>
      </c>
      <c r="B6124" t="str">
        <f t="shared" si="2254"/>
        <v>EMMA</v>
      </c>
      <c r="C6124" t="str">
        <f t="shared" si="2255"/>
        <v>GARCIA-MITE</v>
      </c>
      <c r="D6124">
        <f>10</f>
        <v>10</v>
      </c>
      <c r="E6124" t="str">
        <f>"03 - A - 102 - Thomas G Handwerg"</f>
        <v>03 - A - 102 - Thomas G Handwerg</v>
      </c>
      <c r="F6124" t="str">
        <f>"MATH COLL ALGEBRA"</f>
        <v>MATH COLL ALGEBRA</v>
      </c>
      <c r="G6124" t="str">
        <f>"21-2146"</f>
        <v>21-2146</v>
      </c>
      <c r="H6124" t="str">
        <f>"A"</f>
        <v>A</v>
      </c>
    </row>
    <row r="6125" spans="1:8" x14ac:dyDescent="0.2">
      <c r="A6125" t="str">
        <f t="shared" si="2253"/>
        <v>0616052343</v>
      </c>
      <c r="B6125" t="str">
        <f t="shared" si="2254"/>
        <v>EMMA</v>
      </c>
      <c r="C6125" t="str">
        <f t="shared" si="2255"/>
        <v>GARCIA-MITE</v>
      </c>
      <c r="D6125">
        <f>10</f>
        <v>10</v>
      </c>
      <c r="E6125" t="str">
        <f>"02 - A - 102 - Bruce A Evans"</f>
        <v>02 - A - 102 - Bruce A Evans</v>
      </c>
      <c r="F6125" t="str">
        <f>"EMERG MED RESP 3 HON"</f>
        <v>EMERG MED RESP 3 HON</v>
      </c>
      <c r="G6125" t="str">
        <f>"21-2142"</f>
        <v>21-2142</v>
      </c>
      <c r="H6125" t="str">
        <f>"A"</f>
        <v>A</v>
      </c>
    </row>
    <row r="6126" spans="1:8" x14ac:dyDescent="0.2">
      <c r="A6126" t="str">
        <f t="shared" si="2253"/>
        <v>0616052343</v>
      </c>
      <c r="B6126" t="str">
        <f t="shared" si="2254"/>
        <v>EMMA</v>
      </c>
      <c r="C6126" t="str">
        <f t="shared" si="2255"/>
        <v>GARCIA-MITE</v>
      </c>
      <c r="D6126">
        <f>10</f>
        <v>10</v>
      </c>
      <c r="E6126" t="str">
        <f>"07 - S1 - B - 102 - Arthur  Kulawik"</f>
        <v>07 - S1 - B - 102 - Arthur  Kulawik</v>
      </c>
      <c r="F6126" t="str">
        <f>"PERS FIN &amp; MON MGT H"</f>
        <v>PERS FIN &amp; MON MGT H</v>
      </c>
      <c r="G6126" t="str">
        <f>"05-506"</f>
        <v>05-506</v>
      </c>
      <c r="H6126" t="str">
        <f>"B"</f>
        <v>B</v>
      </c>
    </row>
    <row r="6127" spans="1:8" x14ac:dyDescent="0.2">
      <c r="A6127" t="str">
        <f t="shared" si="2253"/>
        <v>0616052343</v>
      </c>
      <c r="B6127" t="str">
        <f t="shared" si="2254"/>
        <v>EMMA</v>
      </c>
      <c r="C6127" t="str">
        <f t="shared" si="2255"/>
        <v>GARCIA-MITE</v>
      </c>
      <c r="D6127">
        <f>10</f>
        <v>10</v>
      </c>
      <c r="E6127" t="str">
        <f>"05 - B - 201 - Bruce A Evans"</f>
        <v>05 - B - 201 - Bruce A Evans</v>
      </c>
      <c r="F6127" t="str">
        <f>"HEALTH SCI FOUND HON"</f>
        <v>HEALTH SCI FOUND HON</v>
      </c>
      <c r="G6127" t="str">
        <f>"21-2142"</f>
        <v>21-2142</v>
      </c>
      <c r="H6127" t="str">
        <f>"B"</f>
        <v>B</v>
      </c>
    </row>
    <row r="6128" spans="1:8" x14ac:dyDescent="0.2">
      <c r="A6128" t="str">
        <f t="shared" si="2253"/>
        <v>0616052343</v>
      </c>
      <c r="B6128" t="str">
        <f t="shared" si="2254"/>
        <v>EMMA</v>
      </c>
      <c r="C6128" t="str">
        <f t="shared" si="2255"/>
        <v>GARCIA-MITE</v>
      </c>
      <c r="D6128">
        <f>10</f>
        <v>10</v>
      </c>
      <c r="E6128" t="str">
        <f>"01 - A - 001 - Lenecy  Nodarse"</f>
        <v>01 - A - 001 - Lenecy  Nodarse</v>
      </c>
      <c r="F6128" t="str">
        <f>"AICE EURO HIST 1 AS"</f>
        <v>AICE EURO HIST 1 AS</v>
      </c>
      <c r="G6128" t="str">
        <f>"17-1741"</f>
        <v>17-1741</v>
      </c>
      <c r="H6128" t="str">
        <f>"A"</f>
        <v>A</v>
      </c>
    </row>
    <row r="6129" spans="1:8" x14ac:dyDescent="0.2">
      <c r="A6129" t="str">
        <f t="shared" si="2253"/>
        <v>0616052343</v>
      </c>
      <c r="B6129" t="str">
        <f t="shared" si="2254"/>
        <v>EMMA</v>
      </c>
      <c r="C6129" t="str">
        <f t="shared" si="2255"/>
        <v>GARCIA-MITE</v>
      </c>
      <c r="D6129">
        <f>10</f>
        <v>10</v>
      </c>
      <c r="E6129" t="str">
        <f>"08 - B - 001 - Scott A Dethloff"</f>
        <v>08 - B - 001 - Scott A Dethloff</v>
      </c>
      <c r="F6129" t="str">
        <f>"CHEMISTRY 1 HON"</f>
        <v>CHEMISTRY 1 HON</v>
      </c>
      <c r="G6129" t="str">
        <f>"08-812"</f>
        <v>08-812</v>
      </c>
      <c r="H6129" t="str">
        <f>"B"</f>
        <v>B</v>
      </c>
    </row>
    <row r="6130" spans="1:8" x14ac:dyDescent="0.2">
      <c r="A6130" t="str">
        <f t="shared" ref="A6130:A6137" si="2256">"0622051652"</f>
        <v>0622051652</v>
      </c>
      <c r="B6130" t="str">
        <f t="shared" ref="B6130:B6137" si="2257">"ALEXANDRA"</f>
        <v>ALEXANDRA</v>
      </c>
      <c r="C6130" t="str">
        <f t="shared" ref="C6130:C6137" si="2258">"GARCONVIL"</f>
        <v>GARCONVIL</v>
      </c>
      <c r="D6130">
        <f>10</f>
        <v>10</v>
      </c>
      <c r="E6130" t="str">
        <f>"04 - A - 203 - Cheryl L Beach"</f>
        <v>04 - A - 203 - Cheryl L Beach</v>
      </c>
      <c r="F6130" t="str">
        <f>"AICE ENV MGMNT AS"</f>
        <v>AICE ENV MGMNT AS</v>
      </c>
      <c r="G6130" t="str">
        <f>"08-811"</f>
        <v>08-811</v>
      </c>
      <c r="H6130" t="str">
        <f>"A"</f>
        <v>A</v>
      </c>
    </row>
    <row r="6131" spans="1:8" x14ac:dyDescent="0.2">
      <c r="A6131" t="str">
        <f t="shared" si="2256"/>
        <v>0622051652</v>
      </c>
      <c r="B6131" t="str">
        <f t="shared" si="2257"/>
        <v>ALEXANDRA</v>
      </c>
      <c r="C6131" t="str">
        <f t="shared" si="2258"/>
        <v>GARCONVIL</v>
      </c>
      <c r="D6131">
        <f>10</f>
        <v>10</v>
      </c>
      <c r="E6131" t="str">
        <f>"06 - B - 107 - Dorothy D Moore"</f>
        <v>06 - B - 107 - Dorothy D Moore</v>
      </c>
      <c r="F6131" t="str">
        <f>"NC STUDY HALL 1"</f>
        <v>NC STUDY HALL 1</v>
      </c>
      <c r="G6131" t="str">
        <f>"08-803"</f>
        <v>08-803</v>
      </c>
      <c r="H6131" t="str">
        <f>"B"</f>
        <v>B</v>
      </c>
    </row>
    <row r="6132" spans="1:8" x14ac:dyDescent="0.2">
      <c r="A6132" t="str">
        <f t="shared" si="2256"/>
        <v>0622051652</v>
      </c>
      <c r="B6132" t="str">
        <f t="shared" si="2257"/>
        <v>ALEXANDRA</v>
      </c>
      <c r="C6132" t="str">
        <f t="shared" si="2258"/>
        <v>GARCONVIL</v>
      </c>
      <c r="D6132">
        <f>10</f>
        <v>10</v>
      </c>
      <c r="E6132" t="str">
        <f>"03 - A - 103 - Courtney E Hambright"</f>
        <v>03 - A - 103 - Courtney E Hambright</v>
      </c>
      <c r="F6132" t="str">
        <f>"AICE ENG LANG AS"</f>
        <v>AICE ENG LANG AS</v>
      </c>
      <c r="G6132" t="str">
        <f>"17-1711"</f>
        <v>17-1711</v>
      </c>
      <c r="H6132" t="str">
        <f>"A"</f>
        <v>A</v>
      </c>
    </row>
    <row r="6133" spans="1:8" x14ac:dyDescent="0.2">
      <c r="A6133" t="str">
        <f t="shared" si="2256"/>
        <v>0622051652</v>
      </c>
      <c r="B6133" t="str">
        <f t="shared" si="2257"/>
        <v>ALEXANDRA</v>
      </c>
      <c r="C6133" t="str">
        <f t="shared" si="2258"/>
        <v>GARCONVIL</v>
      </c>
      <c r="D6133">
        <f>10</f>
        <v>10</v>
      </c>
      <c r="E6133" t="str">
        <f>"02 - A - 205 - Emmily A Sarmiento"</f>
        <v>02 - A - 205 - Emmily A Sarmiento</v>
      </c>
      <c r="F6133" t="str">
        <f>"AICE GLBL PERSP 1 AS"</f>
        <v>AICE GLBL PERSP 1 AS</v>
      </c>
      <c r="G6133" t="str">
        <f>"17-1743"</f>
        <v>17-1743</v>
      </c>
      <c r="H6133" t="str">
        <f>"A"</f>
        <v>A</v>
      </c>
    </row>
    <row r="6134" spans="1:8" x14ac:dyDescent="0.2">
      <c r="A6134" t="str">
        <f t="shared" si="2256"/>
        <v>0622051652</v>
      </c>
      <c r="B6134" t="str">
        <f t="shared" si="2257"/>
        <v>ALEXANDRA</v>
      </c>
      <c r="C6134" t="str">
        <f t="shared" si="2258"/>
        <v>GARCONVIL</v>
      </c>
      <c r="D6134">
        <f>10</f>
        <v>10</v>
      </c>
      <c r="E6134" t="str">
        <f>"07 - B - 107 - Rosa Elaine  Collado-Duff"</f>
        <v>07 - B - 107 - Rosa Elaine  Collado-Duff</v>
      </c>
      <c r="F6134" t="str">
        <f>"PRE-AICE SPAN 2 IG"</f>
        <v>PRE-AICE SPAN 2 IG</v>
      </c>
      <c r="G6134" t="str">
        <f>"09-913"</f>
        <v>09-913</v>
      </c>
      <c r="H6134" t="str">
        <f>"B"</f>
        <v>B</v>
      </c>
    </row>
    <row r="6135" spans="1:8" x14ac:dyDescent="0.2">
      <c r="A6135" t="str">
        <f t="shared" si="2256"/>
        <v>0622051652</v>
      </c>
      <c r="B6135" t="str">
        <f t="shared" si="2257"/>
        <v>ALEXANDRA</v>
      </c>
      <c r="C6135" t="str">
        <f t="shared" si="2258"/>
        <v>GARCONVIL</v>
      </c>
      <c r="D6135">
        <f>10</f>
        <v>10</v>
      </c>
      <c r="E6135" t="str">
        <f>"05 - B - 104 - Semra  Bahadir"</f>
        <v>05 - B - 104 - Semra  Bahadir</v>
      </c>
      <c r="F6135" t="str">
        <f>"MATH COLL ALGEBRA"</f>
        <v>MATH COLL ALGEBRA</v>
      </c>
      <c r="G6135" t="str">
        <f>"21-2107"</f>
        <v>21-2107</v>
      </c>
      <c r="H6135" t="str">
        <f>"B"</f>
        <v>B</v>
      </c>
    </row>
    <row r="6136" spans="1:8" x14ac:dyDescent="0.2">
      <c r="A6136" t="str">
        <f t="shared" si="2256"/>
        <v>0622051652</v>
      </c>
      <c r="B6136" t="str">
        <f t="shared" si="2257"/>
        <v>ALEXANDRA</v>
      </c>
      <c r="C6136" t="str">
        <f t="shared" si="2258"/>
        <v>GARCONVIL</v>
      </c>
      <c r="D6136">
        <f>10</f>
        <v>10</v>
      </c>
      <c r="E6136" t="str">
        <f>"01 - A - 101 - Eva T Rimmer"</f>
        <v>01 - A - 101 - Eva T Rimmer</v>
      </c>
      <c r="F6136" t="str">
        <f>"CRIMINAL JUST OPS 2"</f>
        <v>CRIMINAL JUST OPS 2</v>
      </c>
      <c r="G6136" t="str">
        <f>"05-523"</f>
        <v>05-523</v>
      </c>
      <c r="H6136" t="str">
        <f>"A"</f>
        <v>A</v>
      </c>
    </row>
    <row r="6137" spans="1:8" x14ac:dyDescent="0.2">
      <c r="A6137" t="str">
        <f t="shared" si="2256"/>
        <v>0622051652</v>
      </c>
      <c r="B6137" t="str">
        <f t="shared" si="2257"/>
        <v>ALEXANDRA</v>
      </c>
      <c r="C6137" t="str">
        <f t="shared" si="2258"/>
        <v>GARCONVIL</v>
      </c>
      <c r="D6137">
        <f>10</f>
        <v>10</v>
      </c>
      <c r="E6137" t="str">
        <f>"08 - B - 206 - Daniel S Katz"</f>
        <v>08 - B - 206 - Daniel S Katz</v>
      </c>
      <c r="F6137" t="str">
        <f>"AICE MEDIASTUDIES AS"</f>
        <v>AICE MEDIASTUDIES AS</v>
      </c>
      <c r="G6137" t="str">
        <f>"05-521"</f>
        <v>05-521</v>
      </c>
      <c r="H6137" t="str">
        <f>"B"</f>
        <v>B</v>
      </c>
    </row>
    <row r="6138" spans="1:8" x14ac:dyDescent="0.2">
      <c r="A6138" t="str">
        <f t="shared" ref="A6138:A6147" si="2259">"0613041723"</f>
        <v>0613041723</v>
      </c>
      <c r="B6138" t="str">
        <f t="shared" ref="B6138:B6147" si="2260">"KYRA"</f>
        <v>KYRA</v>
      </c>
      <c r="C6138" t="str">
        <f t="shared" ref="C6138:C6157" si="2261">"GARDNER"</f>
        <v>GARDNER</v>
      </c>
      <c r="D6138">
        <f>12</f>
        <v>12</v>
      </c>
      <c r="E6138" t="str">
        <f>"19 - S1 - MTWHF - BCC - Instructor BC"</f>
        <v>19 - S1 - MTWHF - BCC - Instructor BC</v>
      </c>
      <c r="F6138" t="str">
        <f>"INTRO TO ENG"</f>
        <v>INTRO TO ENG</v>
      </c>
      <c r="G6138" t="str">
        <f>"60-DE"</f>
        <v>60-DE</v>
      </c>
      <c r="H6138" t="str">
        <f>"-"</f>
        <v>-</v>
      </c>
    </row>
    <row r="6139" spans="1:8" x14ac:dyDescent="0.2">
      <c r="A6139" t="str">
        <f t="shared" si="2259"/>
        <v>0613041723</v>
      </c>
      <c r="B6139" t="str">
        <f t="shared" si="2260"/>
        <v>KYRA</v>
      </c>
      <c r="C6139" t="str">
        <f t="shared" si="2261"/>
        <v>GARDNER</v>
      </c>
      <c r="D6139">
        <f>12</f>
        <v>12</v>
      </c>
      <c r="E6139" t="str">
        <f>"19 - S1 - MTWHF - BCC - Instructor BC"</f>
        <v>19 - S1 - MTWHF - BCC - Instructor BC</v>
      </c>
      <c r="F6139" t="str">
        <f>"MEDICAL TERMINOLOGY"</f>
        <v>MEDICAL TERMINOLOGY</v>
      </c>
      <c r="G6139" t="str">
        <f>"60-DE"</f>
        <v>60-DE</v>
      </c>
      <c r="H6139" t="str">
        <f>"-"</f>
        <v>-</v>
      </c>
    </row>
    <row r="6140" spans="1:8" x14ac:dyDescent="0.2">
      <c r="A6140" t="str">
        <f t="shared" si="2259"/>
        <v>0613041723</v>
      </c>
      <c r="B6140" t="str">
        <f t="shared" si="2260"/>
        <v>KYRA</v>
      </c>
      <c r="C6140" t="str">
        <f t="shared" si="2261"/>
        <v>GARDNER</v>
      </c>
      <c r="D6140">
        <f>12</f>
        <v>12</v>
      </c>
      <c r="E6140" t="str">
        <f>"04 - A - 201 - Brian M Fitzgerald"</f>
        <v>04 - A - 201 - Brian M Fitzgerald</v>
      </c>
      <c r="F6140" t="str">
        <f>"AP 3-D ART &amp; DESIGN"</f>
        <v>AP 3-D ART &amp; DESIGN</v>
      </c>
      <c r="G6140" t="str">
        <f>"09-908"</f>
        <v>09-908</v>
      </c>
      <c r="H6140" t="str">
        <f>"A"</f>
        <v>A</v>
      </c>
    </row>
    <row r="6141" spans="1:8" x14ac:dyDescent="0.2">
      <c r="A6141" t="str">
        <f t="shared" si="2259"/>
        <v>0613041723</v>
      </c>
      <c r="B6141" t="str">
        <f t="shared" si="2260"/>
        <v>KYRA</v>
      </c>
      <c r="C6141" t="str">
        <f t="shared" si="2261"/>
        <v>GARDNER</v>
      </c>
      <c r="D6141">
        <f>12</f>
        <v>12</v>
      </c>
      <c r="E6141" t="str">
        <f>"06 - B - 105 - Robyn L Trainer"</f>
        <v>06 - B - 105 - Robyn L Trainer</v>
      </c>
      <c r="F6141" t="str">
        <f>"NC STUDY HALL 1"</f>
        <v>NC STUDY HALL 1</v>
      </c>
      <c r="G6141" t="str">
        <f>"17-1734"</f>
        <v>17-1734</v>
      </c>
      <c r="H6141" t="str">
        <f>"B"</f>
        <v>B</v>
      </c>
    </row>
    <row r="6142" spans="1:8" x14ac:dyDescent="0.2">
      <c r="A6142" t="str">
        <f t="shared" si="2259"/>
        <v>0613041723</v>
      </c>
      <c r="B6142" t="str">
        <f t="shared" si="2260"/>
        <v>KYRA</v>
      </c>
      <c r="C6142" t="str">
        <f t="shared" si="2261"/>
        <v>GARDNER</v>
      </c>
      <c r="D6142">
        <f>12</f>
        <v>12</v>
      </c>
      <c r="E6142" t="str">
        <f>"03 - A - 101 - Lourivaldo  Da Silva"</f>
        <v>03 - A - 101 - Lourivaldo  Da Silva</v>
      </c>
      <c r="F6142" t="str">
        <f>"AP STAT"</f>
        <v>AP STAT</v>
      </c>
      <c r="G6142" t="str">
        <f>"20-2079"</f>
        <v>20-2079</v>
      </c>
      <c r="H6142" t="str">
        <f>"A"</f>
        <v>A</v>
      </c>
    </row>
    <row r="6143" spans="1:8" x14ac:dyDescent="0.2">
      <c r="A6143" t="str">
        <f t="shared" si="2259"/>
        <v>0613041723</v>
      </c>
      <c r="B6143" t="str">
        <f t="shared" si="2260"/>
        <v>KYRA</v>
      </c>
      <c r="C6143" t="str">
        <f t="shared" si="2261"/>
        <v>GARDNER</v>
      </c>
      <c r="D6143">
        <f>12</f>
        <v>12</v>
      </c>
      <c r="E6143" t="str">
        <f>"02 - A - 102 - Marielle A Witting"</f>
        <v>02 - A - 102 - Marielle A Witting</v>
      </c>
      <c r="F6143" t="str">
        <f>"AP BIO"</f>
        <v>AP BIO</v>
      </c>
      <c r="G6143" t="str">
        <f>"08-805"</f>
        <v>08-805</v>
      </c>
      <c r="H6143" t="str">
        <f>"A"</f>
        <v>A</v>
      </c>
    </row>
    <row r="6144" spans="1:8" x14ac:dyDescent="0.2">
      <c r="A6144" t="str">
        <f t="shared" si="2259"/>
        <v>0613041723</v>
      </c>
      <c r="B6144" t="str">
        <f t="shared" si="2260"/>
        <v>KYRA</v>
      </c>
      <c r="C6144" t="str">
        <f t="shared" si="2261"/>
        <v>GARDNER</v>
      </c>
      <c r="D6144">
        <f>12</f>
        <v>12</v>
      </c>
      <c r="E6144" t="str">
        <f>"07 - S1 - B - 101 - Stephen T Ripp"</f>
        <v>07 - S1 - B - 101 - Stephen T Ripp</v>
      </c>
      <c r="F6144" t="str">
        <f>"AP US GOVT/POL"</f>
        <v>AP US GOVT/POL</v>
      </c>
      <c r="G6144" t="str">
        <f>"17-1744"</f>
        <v>17-1744</v>
      </c>
      <c r="H6144" t="str">
        <f>"B"</f>
        <v>B</v>
      </c>
    </row>
    <row r="6145" spans="1:8" x14ac:dyDescent="0.2">
      <c r="A6145" t="str">
        <f t="shared" si="2259"/>
        <v>0613041723</v>
      </c>
      <c r="B6145" t="str">
        <f t="shared" si="2260"/>
        <v>KYRA</v>
      </c>
      <c r="C6145" t="str">
        <f t="shared" si="2261"/>
        <v>GARDNER</v>
      </c>
      <c r="D6145">
        <f>12</f>
        <v>12</v>
      </c>
      <c r="E6145" t="str">
        <f>"05 - B - 105 - Norayda D Suarez"</f>
        <v>05 - B - 105 - Norayda D Suarez</v>
      </c>
      <c r="F6145" t="str">
        <f>"RESEARCH 1 LH"</f>
        <v>RESEARCH 1 LH</v>
      </c>
      <c r="G6145">
        <f>2041</f>
        <v>2041</v>
      </c>
      <c r="H6145" t="str">
        <f>"B"</f>
        <v>B</v>
      </c>
    </row>
    <row r="6146" spans="1:8" x14ac:dyDescent="0.2">
      <c r="A6146" t="str">
        <f t="shared" si="2259"/>
        <v>0613041723</v>
      </c>
      <c r="B6146" t="str">
        <f t="shared" si="2260"/>
        <v>KYRA</v>
      </c>
      <c r="C6146" t="str">
        <f t="shared" si="2261"/>
        <v>GARDNER</v>
      </c>
      <c r="D6146">
        <f>12</f>
        <v>12</v>
      </c>
      <c r="E6146" t="str">
        <f>"01 - A - 108 - Rosa Elaine  Collado-Duff"</f>
        <v>01 - A - 108 - Rosa Elaine  Collado-Duff</v>
      </c>
      <c r="F6146" t="str">
        <f>"PRE-AICE SPAN 2 IG"</f>
        <v>PRE-AICE SPAN 2 IG</v>
      </c>
      <c r="G6146" t="str">
        <f>"09-913"</f>
        <v>09-913</v>
      </c>
      <c r="H6146" t="str">
        <f>"A"</f>
        <v>A</v>
      </c>
    </row>
    <row r="6147" spans="1:8" x14ac:dyDescent="0.2">
      <c r="A6147" t="str">
        <f t="shared" si="2259"/>
        <v>0613041723</v>
      </c>
      <c r="B6147" t="str">
        <f t="shared" si="2260"/>
        <v>KYRA</v>
      </c>
      <c r="C6147" t="str">
        <f t="shared" si="2261"/>
        <v>GARDNER</v>
      </c>
      <c r="D6147">
        <f>12</f>
        <v>12</v>
      </c>
      <c r="E6147" t="str">
        <f>"08 - B - 203 - Courtney E Hambright"</f>
        <v>08 - B - 203 - Courtney E Hambright</v>
      </c>
      <c r="F6147" t="str">
        <f>"AP ENG LIT COMPO"</f>
        <v>AP ENG LIT COMPO</v>
      </c>
      <c r="G6147" t="str">
        <f>"17-1711"</f>
        <v>17-1711</v>
      </c>
      <c r="H6147" t="str">
        <f>"B"</f>
        <v>B</v>
      </c>
    </row>
    <row r="6148" spans="1:8" x14ac:dyDescent="0.2">
      <c r="A6148" t="str">
        <f t="shared" ref="A6148:A6157" si="2262">"0615105881"</f>
        <v>0615105881</v>
      </c>
      <c r="B6148" t="str">
        <f t="shared" ref="B6148:B6157" si="2263">"NOELLE"</f>
        <v>NOELLE</v>
      </c>
      <c r="C6148" t="str">
        <f t="shared" si="2261"/>
        <v>GARDNER</v>
      </c>
      <c r="D6148">
        <f>10</f>
        <v>10</v>
      </c>
      <c r="E6148" t="str">
        <f>"19 - S1 - MTWHF - BCC - Instructor BC"</f>
        <v>19 - S1 - MTWHF - BCC - Instructor BC</v>
      </c>
      <c r="F6148" t="str">
        <f>"ANAT &amp; PHYSIOLOGY I"</f>
        <v>ANAT &amp; PHYSIOLOGY I</v>
      </c>
      <c r="G6148" t="str">
        <f>"60-DE"</f>
        <v>60-DE</v>
      </c>
      <c r="H6148" t="str">
        <f>"-"</f>
        <v>-</v>
      </c>
    </row>
    <row r="6149" spans="1:8" x14ac:dyDescent="0.2">
      <c r="A6149" t="str">
        <f t="shared" si="2262"/>
        <v>0615105881</v>
      </c>
      <c r="B6149" t="str">
        <f t="shared" si="2263"/>
        <v>NOELLE</v>
      </c>
      <c r="C6149" t="str">
        <f t="shared" si="2261"/>
        <v>GARDNER</v>
      </c>
      <c r="D6149">
        <f>10</f>
        <v>10</v>
      </c>
      <c r="E6149" t="str">
        <f>"19 - S1 - MTWHF - BCC - Instructor BC"</f>
        <v>19 - S1 - MTWHF - BCC - Instructor BC</v>
      </c>
      <c r="F6149" t="str">
        <f>"HUMAN ANA &amp; PHYS LAB"</f>
        <v>HUMAN ANA &amp; PHYS LAB</v>
      </c>
      <c r="G6149" t="str">
        <f>"60-DE"</f>
        <v>60-DE</v>
      </c>
      <c r="H6149" t="str">
        <f>"-"</f>
        <v>-</v>
      </c>
    </row>
    <row r="6150" spans="1:8" x14ac:dyDescent="0.2">
      <c r="A6150" t="str">
        <f t="shared" si="2262"/>
        <v>0615105881</v>
      </c>
      <c r="B6150" t="str">
        <f t="shared" si="2263"/>
        <v>NOELLE</v>
      </c>
      <c r="C6150" t="str">
        <f t="shared" si="2261"/>
        <v>GARDNER</v>
      </c>
      <c r="D6150">
        <f>10</f>
        <v>10</v>
      </c>
      <c r="E6150" t="str">
        <f>"04 - A - 103 - Lourivaldo  Da Silva"</f>
        <v>04 - A - 103 - Lourivaldo  Da Silva</v>
      </c>
      <c r="F6150" t="str">
        <f>"PRE-CALCULUS HON"</f>
        <v>PRE-CALCULUS HON</v>
      </c>
      <c r="G6150" t="str">
        <f>"20-2079"</f>
        <v>20-2079</v>
      </c>
      <c r="H6150" t="str">
        <f>"A"</f>
        <v>A</v>
      </c>
    </row>
    <row r="6151" spans="1:8" x14ac:dyDescent="0.2">
      <c r="A6151" t="str">
        <f t="shared" si="2262"/>
        <v>0615105881</v>
      </c>
      <c r="B6151" t="str">
        <f t="shared" si="2263"/>
        <v>NOELLE</v>
      </c>
      <c r="C6151" t="str">
        <f t="shared" si="2261"/>
        <v>GARDNER</v>
      </c>
      <c r="D6151">
        <f>10</f>
        <v>10</v>
      </c>
      <c r="E6151" t="str">
        <f>"06 - B - 112 - Tina M Jaramillo"</f>
        <v>06 - B - 112 - Tina M Jaramillo</v>
      </c>
      <c r="F6151" t="str">
        <f>"NC STUDY HALL 1"</f>
        <v>NC STUDY HALL 1</v>
      </c>
      <c r="G6151" t="str">
        <f>"17-1706"</f>
        <v>17-1706</v>
      </c>
      <c r="H6151" t="str">
        <f>"B"</f>
        <v>B</v>
      </c>
    </row>
    <row r="6152" spans="1:8" x14ac:dyDescent="0.2">
      <c r="A6152" t="str">
        <f t="shared" si="2262"/>
        <v>0615105881</v>
      </c>
      <c r="B6152" t="str">
        <f t="shared" si="2263"/>
        <v>NOELLE</v>
      </c>
      <c r="C6152" t="str">
        <f t="shared" si="2261"/>
        <v>GARDNER</v>
      </c>
      <c r="D6152">
        <f>10</f>
        <v>10</v>
      </c>
      <c r="E6152" t="str">
        <f>"03 - A - 106 - Krystal Marie  Beruty"</f>
        <v>03 - A - 106 - Krystal Marie  Beruty</v>
      </c>
      <c r="F6152" t="str">
        <f>"AICE PSYCH 1 AS"</f>
        <v>AICE PSYCH 1 AS</v>
      </c>
      <c r="G6152" t="str">
        <f>"17-1721"</f>
        <v>17-1721</v>
      </c>
      <c r="H6152" t="str">
        <f>"A"</f>
        <v>A</v>
      </c>
    </row>
    <row r="6153" spans="1:8" x14ac:dyDescent="0.2">
      <c r="A6153" t="str">
        <f t="shared" si="2262"/>
        <v>0615105881</v>
      </c>
      <c r="B6153" t="str">
        <f t="shared" si="2263"/>
        <v>NOELLE</v>
      </c>
      <c r="C6153" t="str">
        <f t="shared" si="2261"/>
        <v>GARDNER</v>
      </c>
      <c r="D6153">
        <f>10</f>
        <v>10</v>
      </c>
      <c r="E6153" t="str">
        <f>"02 - A - 104 - Scott A Dethloff"</f>
        <v>02 - A - 104 - Scott A Dethloff</v>
      </c>
      <c r="F6153" t="str">
        <f>"CHEMISTRY 1 HON"</f>
        <v>CHEMISTRY 1 HON</v>
      </c>
      <c r="G6153" t="str">
        <f>"08-812"</f>
        <v>08-812</v>
      </c>
      <c r="H6153" t="str">
        <f>"A"</f>
        <v>A</v>
      </c>
    </row>
    <row r="6154" spans="1:8" x14ac:dyDescent="0.2">
      <c r="A6154" t="str">
        <f t="shared" si="2262"/>
        <v>0615105881</v>
      </c>
      <c r="B6154" t="str">
        <f t="shared" si="2263"/>
        <v>NOELLE</v>
      </c>
      <c r="C6154" t="str">
        <f t="shared" si="2261"/>
        <v>GARDNER</v>
      </c>
      <c r="D6154">
        <f>10</f>
        <v>10</v>
      </c>
      <c r="E6154" t="str">
        <f>"07 - B - 107 - Jacklyn M James"</f>
        <v>07 - B - 107 - Jacklyn M James</v>
      </c>
      <c r="F6154" t="str">
        <f>"AICE ENG LANG AS"</f>
        <v>AICE ENG LANG AS</v>
      </c>
      <c r="G6154" t="str">
        <f>"17-1731"</f>
        <v>17-1731</v>
      </c>
      <c r="H6154" t="str">
        <f>"B"</f>
        <v>B</v>
      </c>
    </row>
    <row r="6155" spans="1:8" x14ac:dyDescent="0.2">
      <c r="A6155" t="str">
        <f t="shared" si="2262"/>
        <v>0615105881</v>
      </c>
      <c r="B6155" t="str">
        <f t="shared" si="2263"/>
        <v>NOELLE</v>
      </c>
      <c r="C6155" t="str">
        <f t="shared" si="2261"/>
        <v>GARDNER</v>
      </c>
      <c r="D6155">
        <f>10</f>
        <v>10</v>
      </c>
      <c r="E6155" t="str">
        <f>"05 - B - 102 - Dorothy D Moore"</f>
        <v>05 - B - 102 - Dorothy D Moore</v>
      </c>
      <c r="F6155" t="str">
        <f>"FORC SCI 1 LH"</f>
        <v>FORC SCI 1 LH</v>
      </c>
      <c r="G6155" t="str">
        <f>"08-803"</f>
        <v>08-803</v>
      </c>
      <c r="H6155" t="str">
        <f>"B"</f>
        <v>B</v>
      </c>
    </row>
    <row r="6156" spans="1:8" x14ac:dyDescent="0.2">
      <c r="A6156" t="str">
        <f t="shared" si="2262"/>
        <v>0615105881</v>
      </c>
      <c r="B6156" t="str">
        <f t="shared" si="2263"/>
        <v>NOELLE</v>
      </c>
      <c r="C6156" t="str">
        <f t="shared" si="2261"/>
        <v>GARDNER</v>
      </c>
      <c r="D6156">
        <f>10</f>
        <v>10</v>
      </c>
      <c r="E6156" t="str">
        <f>"01 - A - 001 - Lenecy  Nodarse"</f>
        <v>01 - A - 001 - Lenecy  Nodarse</v>
      </c>
      <c r="F6156" t="str">
        <f>"AICE EURO HIST 1 AS"</f>
        <v>AICE EURO HIST 1 AS</v>
      </c>
      <c r="G6156" t="str">
        <f>"17-1741"</f>
        <v>17-1741</v>
      </c>
      <c r="H6156" t="str">
        <f>"A"</f>
        <v>A</v>
      </c>
    </row>
    <row r="6157" spans="1:8" x14ac:dyDescent="0.2">
      <c r="A6157" t="str">
        <f t="shared" si="2262"/>
        <v>0615105881</v>
      </c>
      <c r="B6157" t="str">
        <f t="shared" si="2263"/>
        <v>NOELLE</v>
      </c>
      <c r="C6157" t="str">
        <f t="shared" si="2261"/>
        <v>GARDNER</v>
      </c>
      <c r="D6157">
        <f>10</f>
        <v>10</v>
      </c>
      <c r="E6157" t="str">
        <f>"08 - B - 001 - Samantha L Martinez"</f>
        <v>08 - B - 001 - Samantha L Martinez</v>
      </c>
      <c r="F6157" t="str">
        <f>"VOCAL ENS 2"</f>
        <v>VOCAL ENS 2</v>
      </c>
      <c r="G6157" t="str">
        <f>"05-505"</f>
        <v>05-505</v>
      </c>
      <c r="H6157" t="str">
        <f>"B"</f>
        <v>B</v>
      </c>
    </row>
    <row r="6158" spans="1:8" x14ac:dyDescent="0.2">
      <c r="A6158" t="str">
        <f t="shared" ref="A6158:A6165" si="2264">"0617060985"</f>
        <v>0617060985</v>
      </c>
      <c r="B6158" t="str">
        <f t="shared" ref="B6158:B6165" si="2265">"LUDWIG"</f>
        <v>LUDWIG</v>
      </c>
      <c r="C6158" t="str">
        <f t="shared" ref="C6158:C6165" si="2266">"GARTH"</f>
        <v>GARTH</v>
      </c>
      <c r="D6158">
        <f>10</f>
        <v>10</v>
      </c>
      <c r="E6158" t="str">
        <f>"04 - S1 - A - 107 - Richard E Dunbar Iii"</f>
        <v>04 - S1 - A - 107 - Richard E Dunbar Iii</v>
      </c>
      <c r="F6158" t="str">
        <f>"WEIGHT TRAIN 3"</f>
        <v>WEIGHT TRAIN 3</v>
      </c>
      <c r="G6158" t="str">
        <f>"05-501"</f>
        <v>05-501</v>
      </c>
      <c r="H6158" t="str">
        <f>"A"</f>
        <v>A</v>
      </c>
    </row>
    <row r="6159" spans="1:8" x14ac:dyDescent="0.2">
      <c r="A6159" t="str">
        <f t="shared" si="2264"/>
        <v>0617060985</v>
      </c>
      <c r="B6159" t="str">
        <f t="shared" si="2265"/>
        <v>LUDWIG</v>
      </c>
      <c r="C6159" t="str">
        <f t="shared" si="2266"/>
        <v>GARTH</v>
      </c>
      <c r="D6159">
        <f>10</f>
        <v>10</v>
      </c>
      <c r="E6159" t="str">
        <f>"06 - B - 103 - Thomas G Handwerg"</f>
        <v>06 - B - 103 - Thomas G Handwerg</v>
      </c>
      <c r="F6159" t="str">
        <f>"NC STUDY HALL 1"</f>
        <v>NC STUDY HALL 1</v>
      </c>
      <c r="G6159" t="str">
        <f>"21-2146"</f>
        <v>21-2146</v>
      </c>
      <c r="H6159" t="str">
        <f>"B"</f>
        <v>B</v>
      </c>
    </row>
    <row r="6160" spans="1:8" x14ac:dyDescent="0.2">
      <c r="A6160" t="str">
        <f t="shared" si="2264"/>
        <v>0617060985</v>
      </c>
      <c r="B6160" t="str">
        <f t="shared" si="2265"/>
        <v>LUDWIG</v>
      </c>
      <c r="C6160" t="str">
        <f t="shared" si="2266"/>
        <v>GARTH</v>
      </c>
      <c r="D6160">
        <f>10</f>
        <v>10</v>
      </c>
      <c r="E6160" t="str">
        <f>"03 - A - 101 - Scott A Dethloff"</f>
        <v>03 - A - 101 - Scott A Dethloff</v>
      </c>
      <c r="F6160" t="str">
        <f>"CHEMISTRY 1 HON"</f>
        <v>CHEMISTRY 1 HON</v>
      </c>
      <c r="G6160" t="str">
        <f>"08-812"</f>
        <v>08-812</v>
      </c>
      <c r="H6160" t="str">
        <f>"A"</f>
        <v>A</v>
      </c>
    </row>
    <row r="6161" spans="1:8" x14ac:dyDescent="0.2">
      <c r="A6161" t="str">
        <f t="shared" si="2264"/>
        <v>0617060985</v>
      </c>
      <c r="B6161" t="str">
        <f t="shared" si="2265"/>
        <v>LUDWIG</v>
      </c>
      <c r="C6161" t="str">
        <f t="shared" si="2266"/>
        <v>GARTH</v>
      </c>
      <c r="D6161">
        <f>10</f>
        <v>10</v>
      </c>
      <c r="E6161" t="str">
        <f>"02 - A - 102 - Jacklyn M James"</f>
        <v>02 - A - 102 - Jacklyn M James</v>
      </c>
      <c r="F6161" t="str">
        <f>"AICE ENG LANG AS"</f>
        <v>AICE ENG LANG AS</v>
      </c>
      <c r="G6161" t="str">
        <f>"17-1731"</f>
        <v>17-1731</v>
      </c>
      <c r="H6161" t="str">
        <f>"A"</f>
        <v>A</v>
      </c>
    </row>
    <row r="6162" spans="1:8" x14ac:dyDescent="0.2">
      <c r="A6162" t="str">
        <f t="shared" si="2264"/>
        <v>0617060985</v>
      </c>
      <c r="B6162" t="str">
        <f t="shared" si="2265"/>
        <v>LUDWIG</v>
      </c>
      <c r="C6162" t="str">
        <f t="shared" si="2266"/>
        <v>GARTH</v>
      </c>
      <c r="D6162">
        <f>10</f>
        <v>10</v>
      </c>
      <c r="E6162" t="str">
        <f>"07 - B - 101 - Fernando  Vega-Cid"</f>
        <v>07 - B - 101 - Fernando  Vega-Cid</v>
      </c>
      <c r="F6162" t="str">
        <f>"AP PRECALCULUS"</f>
        <v>AP PRECALCULUS</v>
      </c>
      <c r="G6162" t="str">
        <f>"21-2163"</f>
        <v>21-2163</v>
      </c>
      <c r="H6162" t="str">
        <f>"B"</f>
        <v>B</v>
      </c>
    </row>
    <row r="6163" spans="1:8" x14ac:dyDescent="0.2">
      <c r="A6163" t="str">
        <f t="shared" si="2264"/>
        <v>0617060985</v>
      </c>
      <c r="B6163" t="str">
        <f t="shared" si="2265"/>
        <v>LUDWIG</v>
      </c>
      <c r="C6163" t="str">
        <f t="shared" si="2266"/>
        <v>GARTH</v>
      </c>
      <c r="D6163">
        <f>10</f>
        <v>10</v>
      </c>
      <c r="E6163" t="str">
        <f>"05 - B - 203 - Chrystina M Marchionne"</f>
        <v>05 - B - 203 - Chrystina M Marchionne</v>
      </c>
      <c r="F6163" t="str">
        <f>"AICE MEDIASTUDIES AS"</f>
        <v>AICE MEDIASTUDIES AS</v>
      </c>
      <c r="G6163" t="str">
        <f>"05-520"</f>
        <v>05-520</v>
      </c>
      <c r="H6163" t="str">
        <f>"B"</f>
        <v>B</v>
      </c>
    </row>
    <row r="6164" spans="1:8" x14ac:dyDescent="0.2">
      <c r="A6164" t="str">
        <f t="shared" si="2264"/>
        <v>0617060985</v>
      </c>
      <c r="B6164" t="str">
        <f t="shared" si="2265"/>
        <v>LUDWIG</v>
      </c>
      <c r="C6164" t="str">
        <f t="shared" si="2266"/>
        <v>GARTH</v>
      </c>
      <c r="D6164">
        <f>10</f>
        <v>10</v>
      </c>
      <c r="E6164" t="str">
        <f>"01 - A - 001 - Lenecy  Nodarse"</f>
        <v>01 - A - 001 - Lenecy  Nodarse</v>
      </c>
      <c r="F6164" t="str">
        <f>"AICE EURO HIST 1 AS"</f>
        <v>AICE EURO HIST 1 AS</v>
      </c>
      <c r="G6164" t="str">
        <f>"17-1741"</f>
        <v>17-1741</v>
      </c>
      <c r="H6164" t="str">
        <f>"A"</f>
        <v>A</v>
      </c>
    </row>
    <row r="6165" spans="1:8" x14ac:dyDescent="0.2">
      <c r="A6165" t="str">
        <f t="shared" si="2264"/>
        <v>0617060985</v>
      </c>
      <c r="B6165" t="str">
        <f t="shared" si="2265"/>
        <v>LUDWIG</v>
      </c>
      <c r="C6165" t="str">
        <f t="shared" si="2266"/>
        <v>GARTH</v>
      </c>
      <c r="D6165">
        <f>10</f>
        <v>10</v>
      </c>
      <c r="E6165" t="str">
        <f>"08 - B - 101 - Jordana K Hass"</f>
        <v>08 - B - 101 - Jordana K Hass</v>
      </c>
      <c r="F6165" t="str">
        <f>"AICE INFO TECH 1 AS"</f>
        <v>AICE INFO TECH 1 AS</v>
      </c>
      <c r="G6165" t="str">
        <f>"08-807"</f>
        <v>08-807</v>
      </c>
      <c r="H6165" t="str">
        <f>"B"</f>
        <v>B</v>
      </c>
    </row>
    <row r="6166" spans="1:8" x14ac:dyDescent="0.2">
      <c r="A6166" t="str">
        <f t="shared" ref="A6166:A6173" si="2267">"0615046399"</f>
        <v>0615046399</v>
      </c>
      <c r="B6166" t="str">
        <f t="shared" ref="B6166:B6173" si="2268">"MIKHAIYAH"</f>
        <v>MIKHAIYAH</v>
      </c>
      <c r="C6166" t="str">
        <f t="shared" ref="C6166:C6173" si="2269">"GARY"</f>
        <v>GARY</v>
      </c>
      <c r="D6166">
        <f>10</f>
        <v>10</v>
      </c>
      <c r="E6166" t="str">
        <f>"04 - A - 201 - Samantha L Martinez"</f>
        <v>04 - A - 201 - Samantha L Martinez</v>
      </c>
      <c r="F6166" t="str">
        <f>"KEYBD 2"</f>
        <v>KEYBD 2</v>
      </c>
      <c r="G6166" t="str">
        <f>"05-505"</f>
        <v>05-505</v>
      </c>
      <c r="H6166" t="str">
        <f>"A"</f>
        <v>A</v>
      </c>
    </row>
    <row r="6167" spans="1:8" x14ac:dyDescent="0.2">
      <c r="A6167" t="str">
        <f t="shared" si="2267"/>
        <v>0615046399</v>
      </c>
      <c r="B6167" t="str">
        <f t="shared" si="2268"/>
        <v>MIKHAIYAH</v>
      </c>
      <c r="C6167" t="str">
        <f t="shared" si="2269"/>
        <v>GARY</v>
      </c>
      <c r="D6167">
        <f>10</f>
        <v>10</v>
      </c>
      <c r="E6167" t="str">
        <f>"06 - B - 114 - Richard E Dunbar Iii"</f>
        <v>06 - B - 114 - Richard E Dunbar Iii</v>
      </c>
      <c r="F6167" t="str">
        <f>"NC STUDY HALL 1"</f>
        <v>NC STUDY HALL 1</v>
      </c>
      <c r="G6167" t="str">
        <f>"17-1703"</f>
        <v>17-1703</v>
      </c>
      <c r="H6167" t="str">
        <f>"B"</f>
        <v>B</v>
      </c>
    </row>
    <row r="6168" spans="1:8" x14ac:dyDescent="0.2">
      <c r="A6168" t="str">
        <f t="shared" si="2267"/>
        <v>0615046399</v>
      </c>
      <c r="B6168" t="str">
        <f t="shared" si="2268"/>
        <v>MIKHAIYAH</v>
      </c>
      <c r="C6168" t="str">
        <f t="shared" si="2269"/>
        <v>GARY</v>
      </c>
      <c r="D6168">
        <f>10</f>
        <v>10</v>
      </c>
      <c r="E6168" t="str">
        <f>"03 - A - 201 - Alejandro  Navarro"</f>
        <v>03 - A - 201 - Alejandro  Navarro</v>
      </c>
      <c r="F6168" t="str">
        <f>"BAND 2"</f>
        <v>BAND 2</v>
      </c>
      <c r="G6168" t="str">
        <f>"05-504"</f>
        <v>05-504</v>
      </c>
      <c r="H6168" t="str">
        <f>"A"</f>
        <v>A</v>
      </c>
    </row>
    <row r="6169" spans="1:8" x14ac:dyDescent="0.2">
      <c r="A6169" t="str">
        <f t="shared" si="2267"/>
        <v>0615046399</v>
      </c>
      <c r="B6169" t="str">
        <f t="shared" si="2268"/>
        <v>MIKHAIYAH</v>
      </c>
      <c r="C6169" t="str">
        <f t="shared" si="2269"/>
        <v>GARY</v>
      </c>
      <c r="D6169">
        <f>10</f>
        <v>10</v>
      </c>
      <c r="E6169" t="str">
        <f>"02 - A - 102 - Nikiel  Nesbeth"</f>
        <v>02 - A - 102 - Nikiel  Nesbeth</v>
      </c>
      <c r="F6169" t="str">
        <f>"ENG 2"</f>
        <v>ENG 2</v>
      </c>
      <c r="G6169" t="str">
        <f>"17-1705"</f>
        <v>17-1705</v>
      </c>
      <c r="H6169" t="str">
        <f>"A"</f>
        <v>A</v>
      </c>
    </row>
    <row r="6170" spans="1:8" x14ac:dyDescent="0.2">
      <c r="A6170" t="str">
        <f t="shared" si="2267"/>
        <v>0615046399</v>
      </c>
      <c r="B6170" t="str">
        <f t="shared" si="2268"/>
        <v>MIKHAIYAH</v>
      </c>
      <c r="C6170" t="str">
        <f t="shared" si="2269"/>
        <v>GARY</v>
      </c>
      <c r="D6170">
        <f>10</f>
        <v>10</v>
      </c>
      <c r="E6170" t="str">
        <f>"07 - B - 107 - Milca  Exantus"</f>
        <v>07 - B - 107 - Milca  Exantus</v>
      </c>
      <c r="F6170" t="str">
        <f>"MATH COLLEGE LIB ART"</f>
        <v>MATH COLLEGE LIB ART</v>
      </c>
      <c r="G6170" t="str">
        <f>"21-2145"</f>
        <v>21-2145</v>
      </c>
      <c r="H6170" t="str">
        <f>"B"</f>
        <v>B</v>
      </c>
    </row>
    <row r="6171" spans="1:8" x14ac:dyDescent="0.2">
      <c r="A6171" t="str">
        <f t="shared" si="2267"/>
        <v>0615046399</v>
      </c>
      <c r="B6171" t="str">
        <f t="shared" si="2268"/>
        <v>MIKHAIYAH</v>
      </c>
      <c r="C6171" t="str">
        <f t="shared" si="2269"/>
        <v>GARY</v>
      </c>
      <c r="D6171">
        <f>10</f>
        <v>10</v>
      </c>
      <c r="E6171" t="str">
        <f>"05 - B - 104 - Joe  Kilpatrick Jr"</f>
        <v>05 - B - 104 - Joe  Kilpatrick Jr</v>
      </c>
      <c r="F6171" t="str">
        <f>"PRE-AICE SPAN 1 IG"</f>
        <v>PRE-AICE SPAN 1 IG</v>
      </c>
      <c r="G6171" t="str">
        <f>"09-912"</f>
        <v>09-912</v>
      </c>
      <c r="H6171" t="str">
        <f>"B"</f>
        <v>B</v>
      </c>
    </row>
    <row r="6172" spans="1:8" x14ac:dyDescent="0.2">
      <c r="A6172" t="str">
        <f t="shared" si="2267"/>
        <v>0615046399</v>
      </c>
      <c r="B6172" t="str">
        <f t="shared" si="2268"/>
        <v>MIKHAIYAH</v>
      </c>
      <c r="C6172" t="str">
        <f t="shared" si="2269"/>
        <v>GARY</v>
      </c>
      <c r="D6172">
        <f>10</f>
        <v>10</v>
      </c>
      <c r="E6172" t="str">
        <f>"01 - A - 102 - Lytrell T Dixon"</f>
        <v>01 - A - 102 - Lytrell T Dixon</v>
      </c>
      <c r="F6172" t="str">
        <f>"BIOLOGY 1"</f>
        <v>BIOLOGY 1</v>
      </c>
      <c r="G6172" t="str">
        <f>"08-808"</f>
        <v>08-808</v>
      </c>
      <c r="H6172" t="str">
        <f>"A"</f>
        <v>A</v>
      </c>
    </row>
    <row r="6173" spans="1:8" x14ac:dyDescent="0.2">
      <c r="A6173" t="str">
        <f t="shared" si="2267"/>
        <v>0615046399</v>
      </c>
      <c r="B6173" t="str">
        <f t="shared" si="2268"/>
        <v>MIKHAIYAH</v>
      </c>
      <c r="C6173" t="str">
        <f t="shared" si="2269"/>
        <v>GARY</v>
      </c>
      <c r="D6173">
        <f>10</f>
        <v>10</v>
      </c>
      <c r="E6173" t="str">
        <f>"08 - S1 - B - 102 - Kyle  Robbins"</f>
        <v>08 - S1 - B - 102 - Kyle  Robbins</v>
      </c>
      <c r="F6173" t="str">
        <f>"PERS FIN &amp; MON MGT H"</f>
        <v>PERS FIN &amp; MON MGT H</v>
      </c>
      <c r="G6173" t="str">
        <f>"17-1745"</f>
        <v>17-1745</v>
      </c>
      <c r="H6173" t="str">
        <f>"B"</f>
        <v>B</v>
      </c>
    </row>
    <row r="6174" spans="1:8" x14ac:dyDescent="0.2">
      <c r="A6174" t="str">
        <f>"0622104788"</f>
        <v>0622104788</v>
      </c>
      <c r="B6174" t="str">
        <f>"LAURA"</f>
        <v>LAURA</v>
      </c>
      <c r="C6174" t="str">
        <f>"GATI"</f>
        <v>GATI</v>
      </c>
      <c r="D6174">
        <f>12</f>
        <v>12</v>
      </c>
      <c r="E6174" t="str">
        <f>"19 - S1 - MTWHF - BCC - Instructor BC"</f>
        <v>19 - S1 - MTWHF - BCC - Instructor BC</v>
      </c>
      <c r="F6174" t="str">
        <f>"COMPOSITION II"</f>
        <v>COMPOSITION II</v>
      </c>
      <c r="G6174" t="str">
        <f>"60-DE"</f>
        <v>60-DE</v>
      </c>
      <c r="H6174" t="str">
        <f>"-"</f>
        <v>-</v>
      </c>
    </row>
    <row r="6175" spans="1:8" x14ac:dyDescent="0.2">
      <c r="A6175" t="str">
        <f>"0622104788"</f>
        <v>0622104788</v>
      </c>
      <c r="B6175" t="str">
        <f>"LAURA"</f>
        <v>LAURA</v>
      </c>
      <c r="C6175" t="str">
        <f>"GATI"</f>
        <v>GATI</v>
      </c>
      <c r="D6175">
        <f>12</f>
        <v>12</v>
      </c>
      <c r="E6175" t="str">
        <f>"19 - S1 - MTWHF - BCC - Instructor BC"</f>
        <v>19 - S1 - MTWHF - BCC - Instructor BC</v>
      </c>
      <c r="F6175" t="str">
        <f>"INTRO SPE COMM"</f>
        <v>INTRO SPE COMM</v>
      </c>
      <c r="G6175" t="str">
        <f>"60-DE"</f>
        <v>60-DE</v>
      </c>
      <c r="H6175" t="str">
        <f>"-"</f>
        <v>-</v>
      </c>
    </row>
    <row r="6176" spans="1:8" x14ac:dyDescent="0.2">
      <c r="A6176" t="str">
        <f>"0622104788"</f>
        <v>0622104788</v>
      </c>
      <c r="B6176" t="str">
        <f>"LAURA"</f>
        <v>LAURA</v>
      </c>
      <c r="C6176" t="str">
        <f>"GATI"</f>
        <v>GATI</v>
      </c>
      <c r="D6176">
        <f>12</f>
        <v>12</v>
      </c>
      <c r="E6176" t="str">
        <f>"19 - S1 - MTWHF - BCC - Instructor BC"</f>
        <v>19 - S1 - MTWHF - BCC - Instructor BC</v>
      </c>
      <c r="F6176" t="str">
        <f>"NATIONAL GOVERNMENT"</f>
        <v>NATIONAL GOVERNMENT</v>
      </c>
      <c r="G6176" t="str">
        <f>"60-DE"</f>
        <v>60-DE</v>
      </c>
      <c r="H6176" t="str">
        <f>"-"</f>
        <v>-</v>
      </c>
    </row>
    <row r="6177" spans="1:8" x14ac:dyDescent="0.2">
      <c r="A6177" t="str">
        <f>"0622104788"</f>
        <v>0622104788</v>
      </c>
      <c r="B6177" t="str">
        <f>"LAURA"</f>
        <v>LAURA</v>
      </c>
      <c r="C6177" t="str">
        <f>"GATI"</f>
        <v>GATI</v>
      </c>
      <c r="D6177">
        <f>12</f>
        <v>12</v>
      </c>
      <c r="E6177" t="str">
        <f>"19 - S1 - MTWHF - BCC - Instructor BC"</f>
        <v>19 - S1 - MTWHF - BCC - Instructor BC</v>
      </c>
      <c r="F6177" t="str">
        <f>"PRIN ECONOMICS I"</f>
        <v>PRIN ECONOMICS I</v>
      </c>
      <c r="G6177" t="str">
        <f>"60-DE"</f>
        <v>60-DE</v>
      </c>
      <c r="H6177" t="str">
        <f>"-"</f>
        <v>-</v>
      </c>
    </row>
    <row r="6178" spans="1:8" x14ac:dyDescent="0.2">
      <c r="A6178" t="str">
        <f t="shared" ref="A6178:A6185" si="2270">"0616060878"</f>
        <v>0616060878</v>
      </c>
      <c r="B6178" t="str">
        <f t="shared" ref="B6178:B6185" si="2271">"SABRIYA"</f>
        <v>SABRIYA</v>
      </c>
      <c r="C6178" t="str">
        <f t="shared" ref="C6178:C6185" si="2272">"GEE"</f>
        <v>GEE</v>
      </c>
      <c r="D6178">
        <f>11</f>
        <v>11</v>
      </c>
      <c r="E6178" t="str">
        <f>"04 - A - 101 - Christa T Parisi"</f>
        <v>04 - A - 101 - Christa T Parisi</v>
      </c>
      <c r="F6178" t="str">
        <f>"DANCE TECHNQS 2"</f>
        <v>DANCE TECHNQS 2</v>
      </c>
      <c r="G6178" t="str">
        <f>"05-503"</f>
        <v>05-503</v>
      </c>
      <c r="H6178" t="str">
        <f>"A"</f>
        <v>A</v>
      </c>
    </row>
    <row r="6179" spans="1:8" x14ac:dyDescent="0.2">
      <c r="A6179" t="str">
        <f t="shared" si="2270"/>
        <v>0616060878</v>
      </c>
      <c r="B6179" t="str">
        <f t="shared" si="2271"/>
        <v>SABRIYA</v>
      </c>
      <c r="C6179" t="str">
        <f t="shared" si="2272"/>
        <v>GEE</v>
      </c>
      <c r="D6179">
        <f>11</f>
        <v>11</v>
      </c>
      <c r="E6179" t="str">
        <f>"06 - B - 104 - Eva T Rimmer"</f>
        <v>06 - B - 104 - Eva T Rimmer</v>
      </c>
      <c r="F6179" t="str">
        <f>"CRIMINAL JUST OPS 1"</f>
        <v>CRIMINAL JUST OPS 1</v>
      </c>
      <c r="G6179" t="str">
        <f>"05-523"</f>
        <v>05-523</v>
      </c>
      <c r="H6179" t="str">
        <f>"B"</f>
        <v>B</v>
      </c>
    </row>
    <row r="6180" spans="1:8" x14ac:dyDescent="0.2">
      <c r="A6180" t="str">
        <f t="shared" si="2270"/>
        <v>0616060878</v>
      </c>
      <c r="B6180" t="str">
        <f t="shared" si="2271"/>
        <v>SABRIYA</v>
      </c>
      <c r="C6180" t="str">
        <f t="shared" si="2272"/>
        <v>GEE</v>
      </c>
      <c r="D6180">
        <f>11</f>
        <v>11</v>
      </c>
      <c r="E6180" t="str">
        <f>"03 - A - 104 - Kyle  Robbins"</f>
        <v>03 - A - 104 - Kyle  Robbins</v>
      </c>
      <c r="F6180" t="str">
        <f>"US HISTORY"</f>
        <v>US HISTORY</v>
      </c>
      <c r="G6180" t="str">
        <f>"17-1745"</f>
        <v>17-1745</v>
      </c>
      <c r="H6180" t="str">
        <f>"A"</f>
        <v>A</v>
      </c>
    </row>
    <row r="6181" spans="1:8" x14ac:dyDescent="0.2">
      <c r="A6181" t="str">
        <f t="shared" si="2270"/>
        <v>0616060878</v>
      </c>
      <c r="B6181" t="str">
        <f t="shared" si="2271"/>
        <v>SABRIYA</v>
      </c>
      <c r="C6181" t="str">
        <f t="shared" si="2272"/>
        <v>GEE</v>
      </c>
      <c r="D6181">
        <f>11</f>
        <v>11</v>
      </c>
      <c r="E6181" t="str">
        <f>"02 - A - 107 - Elizabeth Ellen  Moran"</f>
        <v>02 - A - 107 - Elizabeth Ellen  Moran</v>
      </c>
      <c r="F6181" t="str">
        <f>"NC STUDY HALL 1"</f>
        <v>NC STUDY HALL 1</v>
      </c>
      <c r="G6181" t="str">
        <f>"17-1752"</f>
        <v>17-1752</v>
      </c>
      <c r="H6181" t="str">
        <f>"A"</f>
        <v>A</v>
      </c>
    </row>
    <row r="6182" spans="1:8" x14ac:dyDescent="0.2">
      <c r="A6182" t="str">
        <f t="shared" si="2270"/>
        <v>0616060878</v>
      </c>
      <c r="B6182" t="str">
        <f t="shared" si="2271"/>
        <v>SABRIYA</v>
      </c>
      <c r="C6182" t="str">
        <f t="shared" si="2272"/>
        <v>GEE</v>
      </c>
      <c r="D6182">
        <f>11</f>
        <v>11</v>
      </c>
      <c r="E6182" t="str">
        <f>"07 - B - 104 - Marielle A Witting"</f>
        <v>07 - B - 104 - Marielle A Witting</v>
      </c>
      <c r="F6182" t="str">
        <f>"ANAT PHYSIO"</f>
        <v>ANAT PHYSIO</v>
      </c>
      <c r="G6182" t="str">
        <f>"08-805"</f>
        <v>08-805</v>
      </c>
      <c r="H6182" t="str">
        <f>"B"</f>
        <v>B</v>
      </c>
    </row>
    <row r="6183" spans="1:8" x14ac:dyDescent="0.2">
      <c r="A6183" t="str">
        <f t="shared" si="2270"/>
        <v>0616060878</v>
      </c>
      <c r="B6183" t="str">
        <f t="shared" si="2271"/>
        <v>SABRIYA</v>
      </c>
      <c r="C6183" t="str">
        <f t="shared" si="2272"/>
        <v>GEE</v>
      </c>
      <c r="D6183">
        <f>11</f>
        <v>11</v>
      </c>
      <c r="E6183" t="str">
        <f>"05 - B - 103 - Nahum  Saint-Preux"</f>
        <v>05 - B - 103 - Nahum  Saint-Preux</v>
      </c>
      <c r="F6183" t="str">
        <f>"INTENS READ 3"</f>
        <v>INTENS READ 3</v>
      </c>
      <c r="G6183" t="str">
        <f>"17-1712"</f>
        <v>17-1712</v>
      </c>
      <c r="H6183" t="str">
        <f>"B"</f>
        <v>B</v>
      </c>
    </row>
    <row r="6184" spans="1:8" x14ac:dyDescent="0.2">
      <c r="A6184" t="str">
        <f t="shared" si="2270"/>
        <v>0616060878</v>
      </c>
      <c r="B6184" t="str">
        <f t="shared" si="2271"/>
        <v>SABRIYA</v>
      </c>
      <c r="C6184" t="str">
        <f t="shared" si="2272"/>
        <v>GEE</v>
      </c>
      <c r="D6184">
        <f>11</f>
        <v>11</v>
      </c>
      <c r="E6184" t="str">
        <f>"01 - A - 101 - Lisa  Quinn"</f>
        <v>01 - A - 101 - Lisa  Quinn</v>
      </c>
      <c r="F6184" t="str">
        <f>"ENG 3"</f>
        <v>ENG 3</v>
      </c>
      <c r="G6184" t="str">
        <f>"17-1725"</f>
        <v>17-1725</v>
      </c>
      <c r="H6184" t="str">
        <f>"A"</f>
        <v>A</v>
      </c>
    </row>
    <row r="6185" spans="1:8" x14ac:dyDescent="0.2">
      <c r="A6185" t="str">
        <f t="shared" si="2270"/>
        <v>0616060878</v>
      </c>
      <c r="B6185" t="str">
        <f t="shared" si="2271"/>
        <v>SABRIYA</v>
      </c>
      <c r="C6185" t="str">
        <f t="shared" si="2272"/>
        <v>GEE</v>
      </c>
      <c r="D6185">
        <f>11</f>
        <v>11</v>
      </c>
      <c r="E6185" t="str">
        <f>"08 - B - 107 - Brook E Goren"</f>
        <v>08 - B - 107 - Brook E Goren</v>
      </c>
      <c r="F6185" t="str">
        <f>"GEOMETRY"</f>
        <v>GEOMETRY</v>
      </c>
      <c r="G6185" t="str">
        <f>"21-2158"</f>
        <v>21-2158</v>
      </c>
      <c r="H6185" t="str">
        <f>"B"</f>
        <v>B</v>
      </c>
    </row>
    <row r="6186" spans="1:8" x14ac:dyDescent="0.2">
      <c r="A6186" t="str">
        <f t="shared" ref="A6186:A6193" si="2273">"0614088341"</f>
        <v>0614088341</v>
      </c>
      <c r="B6186" t="str">
        <f t="shared" ref="B6186:B6193" si="2274">"DAVON"</f>
        <v>DAVON</v>
      </c>
      <c r="C6186" t="str">
        <f t="shared" ref="C6186:C6193" si="2275">"GEFFRARD"</f>
        <v>GEFFRARD</v>
      </c>
      <c r="D6186" t="str">
        <f t="shared" ref="D6186:D6193" si="2276">"09"</f>
        <v>09</v>
      </c>
      <c r="E6186" t="str">
        <f>"04 - A - 102 - Tina L Lovett"</f>
        <v>04 - A - 102 - Tina L Lovett</v>
      </c>
      <c r="F6186" t="str">
        <f>"ALGEBRA 1"</f>
        <v>ALGEBRA 1</v>
      </c>
      <c r="G6186" t="str">
        <f>"21-2153"</f>
        <v>21-2153</v>
      </c>
      <c r="H6186" t="str">
        <f>"A"</f>
        <v>A</v>
      </c>
    </row>
    <row r="6187" spans="1:8" x14ac:dyDescent="0.2">
      <c r="A6187" t="str">
        <f t="shared" si="2273"/>
        <v>0614088341</v>
      </c>
      <c r="B6187" t="str">
        <f t="shared" si="2274"/>
        <v>DAVON</v>
      </c>
      <c r="C6187" t="str">
        <f t="shared" si="2275"/>
        <v>GEFFRARD</v>
      </c>
      <c r="D6187" t="str">
        <f t="shared" si="2276"/>
        <v>09</v>
      </c>
      <c r="E6187" t="str">
        <f>"06 - B - 002 - Amy Beth  Broyles"</f>
        <v>06 - B - 002 - Amy Beth  Broyles</v>
      </c>
      <c r="F6187" t="str">
        <f>"ENV SCI"</f>
        <v>ENV SCI</v>
      </c>
      <c r="G6187" t="str">
        <f>"08-802"</f>
        <v>08-802</v>
      </c>
      <c r="H6187" t="str">
        <f>"B"</f>
        <v>B</v>
      </c>
    </row>
    <row r="6188" spans="1:8" x14ac:dyDescent="0.2">
      <c r="A6188" t="str">
        <f t="shared" si="2273"/>
        <v>0614088341</v>
      </c>
      <c r="B6188" t="str">
        <f t="shared" si="2274"/>
        <v>DAVON</v>
      </c>
      <c r="C6188" t="str">
        <f t="shared" si="2275"/>
        <v>GEFFRARD</v>
      </c>
      <c r="D6188" t="str">
        <f t="shared" si="2276"/>
        <v>09</v>
      </c>
      <c r="E6188" t="str">
        <f>"03 - A - 105 - Elizabeth Ellen  Moran"</f>
        <v>03 - A - 105 - Elizabeth Ellen  Moran</v>
      </c>
      <c r="F6188" t="str">
        <f>"WORLD HISTORY"</f>
        <v>WORLD HISTORY</v>
      </c>
      <c r="G6188" t="str">
        <f>"17-1752"</f>
        <v>17-1752</v>
      </c>
      <c r="H6188" t="str">
        <f>"A"</f>
        <v>A</v>
      </c>
    </row>
    <row r="6189" spans="1:8" x14ac:dyDescent="0.2">
      <c r="A6189" t="str">
        <f t="shared" si="2273"/>
        <v>0614088341</v>
      </c>
      <c r="B6189" t="str">
        <f t="shared" si="2274"/>
        <v>DAVON</v>
      </c>
      <c r="C6189" t="str">
        <f t="shared" si="2275"/>
        <v>GEFFRARD</v>
      </c>
      <c r="D6189" t="str">
        <f t="shared" si="2276"/>
        <v>09</v>
      </c>
      <c r="E6189" t="str">
        <f>"02 - A - 104 - Jazmin S Fletcher"</f>
        <v>02 - A - 104 - Jazmin S Fletcher</v>
      </c>
      <c r="F6189" t="str">
        <f>"NC STUDY HALL 1"</f>
        <v>NC STUDY HALL 1</v>
      </c>
      <c r="G6189" t="str">
        <f>"09-909"</f>
        <v>09-909</v>
      </c>
      <c r="H6189" t="str">
        <f>"A"</f>
        <v>A</v>
      </c>
    </row>
    <row r="6190" spans="1:8" x14ac:dyDescent="0.2">
      <c r="A6190" t="str">
        <f t="shared" si="2273"/>
        <v>0614088341</v>
      </c>
      <c r="B6190" t="str">
        <f t="shared" si="2274"/>
        <v>DAVON</v>
      </c>
      <c r="C6190" t="str">
        <f t="shared" si="2275"/>
        <v>GEFFRARD</v>
      </c>
      <c r="D6190" t="str">
        <f t="shared" si="2276"/>
        <v>09</v>
      </c>
      <c r="E6190" t="str">
        <f>"07 - B - 105 - Laselleda D Shaw"</f>
        <v>07 - B - 105 - Laselleda D Shaw</v>
      </c>
      <c r="F6190" t="str">
        <f>"INTENS READ 1"</f>
        <v>INTENS READ 1</v>
      </c>
      <c r="G6190" t="str">
        <f>"17-1723"</f>
        <v>17-1723</v>
      </c>
      <c r="H6190" t="str">
        <f>"B"</f>
        <v>B</v>
      </c>
    </row>
    <row r="6191" spans="1:8" x14ac:dyDescent="0.2">
      <c r="A6191" t="str">
        <f t="shared" si="2273"/>
        <v>0614088341</v>
      </c>
      <c r="B6191" t="str">
        <f t="shared" si="2274"/>
        <v>DAVON</v>
      </c>
      <c r="C6191" t="str">
        <f t="shared" si="2275"/>
        <v>GEFFRARD</v>
      </c>
      <c r="D6191" t="str">
        <f t="shared" si="2276"/>
        <v>09</v>
      </c>
      <c r="E6191" t="str">
        <f>"05 - B - 104 - Daniel S Tyson"</f>
        <v>05 - B - 104 - Daniel S Tyson</v>
      </c>
      <c r="F6191" t="str">
        <f>"JROTC NAVAL SCI 1"</f>
        <v>JROTC NAVAL SCI 1</v>
      </c>
      <c r="G6191" t="str">
        <f>"05-510"</f>
        <v>05-510</v>
      </c>
      <c r="H6191" t="str">
        <f>"B"</f>
        <v>B</v>
      </c>
    </row>
    <row r="6192" spans="1:8" x14ac:dyDescent="0.2">
      <c r="A6192" t="str">
        <f t="shared" si="2273"/>
        <v>0614088341</v>
      </c>
      <c r="B6192" t="str">
        <f t="shared" si="2274"/>
        <v>DAVON</v>
      </c>
      <c r="C6192" t="str">
        <f t="shared" si="2275"/>
        <v>GEFFRARD</v>
      </c>
      <c r="D6192" t="str">
        <f t="shared" si="2276"/>
        <v>09</v>
      </c>
      <c r="E6192" t="str">
        <f>"01 - A - 101 - Cerine S Stewart"</f>
        <v>01 - A - 101 - Cerine S Stewart</v>
      </c>
      <c r="F6192" t="str">
        <f>"ENG 1"</f>
        <v>ENG 1</v>
      </c>
      <c r="G6192" t="str">
        <f>"17-1720"</f>
        <v>17-1720</v>
      </c>
      <c r="H6192" t="str">
        <f>"A"</f>
        <v>A</v>
      </c>
    </row>
    <row r="6193" spans="1:8" x14ac:dyDescent="0.2">
      <c r="A6193" t="str">
        <f t="shared" si="2273"/>
        <v>0614088341</v>
      </c>
      <c r="B6193" t="str">
        <f t="shared" si="2274"/>
        <v>DAVON</v>
      </c>
      <c r="C6193" t="str">
        <f t="shared" si="2275"/>
        <v>GEFFRARD</v>
      </c>
      <c r="D6193" t="str">
        <f t="shared" si="2276"/>
        <v>09</v>
      </c>
      <c r="E6193" t="str">
        <f>"08 - B - 108 - Tina L Lovett"</f>
        <v>08 - B - 108 - Tina L Lovett</v>
      </c>
      <c r="F6193" t="str">
        <f>"FDN SKLS MATH 9-12"</f>
        <v>FDN SKLS MATH 9-12</v>
      </c>
      <c r="G6193" t="str">
        <f>"21-2153"</f>
        <v>21-2153</v>
      </c>
      <c r="H6193" t="str">
        <f>"B"</f>
        <v>B</v>
      </c>
    </row>
    <row r="6194" spans="1:8" x14ac:dyDescent="0.2">
      <c r="A6194" t="str">
        <f t="shared" ref="A6194:A6202" si="2277">"0607110381"</f>
        <v>0607110381</v>
      </c>
      <c r="B6194" t="str">
        <f t="shared" ref="B6194:B6202" si="2278">"ROGER"</f>
        <v>ROGER</v>
      </c>
      <c r="C6194" t="str">
        <f t="shared" ref="C6194:C6202" si="2279">"GEORGE"</f>
        <v>GEORGE</v>
      </c>
      <c r="D6194">
        <f>12</f>
        <v>12</v>
      </c>
      <c r="E6194" t="str">
        <f>"04 - A - 102 - Tiffany L Colon"</f>
        <v>04 - A - 102 - Tiffany L Colon</v>
      </c>
      <c r="F6194" t="str">
        <f>"U SKLS: SOC&amp;EMO 9-12"</f>
        <v>U SKLS: SOC&amp;EMO 9-12</v>
      </c>
      <c r="G6194">
        <f>2044</f>
        <v>2044</v>
      </c>
      <c r="H6194" t="str">
        <f>"A"</f>
        <v>A</v>
      </c>
    </row>
    <row r="6195" spans="1:8" x14ac:dyDescent="0.2">
      <c r="A6195" t="str">
        <f t="shared" si="2277"/>
        <v>0607110381</v>
      </c>
      <c r="B6195" t="str">
        <f t="shared" si="2278"/>
        <v>ROGER</v>
      </c>
      <c r="C6195" t="str">
        <f t="shared" si="2279"/>
        <v>GEORGE</v>
      </c>
      <c r="D6195">
        <f>12</f>
        <v>12</v>
      </c>
      <c r="E6195" t="str">
        <f>"04 - A - 114 - Karen A Toomer"</f>
        <v>04 - A - 114 - Karen A Toomer</v>
      </c>
      <c r="F6195" t="str">
        <f>"LANG THERAPY"</f>
        <v>LANG THERAPY</v>
      </c>
      <c r="G6195" t="str">
        <f>"21-2110"</f>
        <v>21-2110</v>
      </c>
      <c r="H6195" t="str">
        <f>"A"</f>
        <v>A</v>
      </c>
    </row>
    <row r="6196" spans="1:8" x14ac:dyDescent="0.2">
      <c r="A6196" t="str">
        <f t="shared" si="2277"/>
        <v>0607110381</v>
      </c>
      <c r="B6196" t="str">
        <f t="shared" si="2278"/>
        <v>ROGER</v>
      </c>
      <c r="C6196" t="str">
        <f t="shared" si="2279"/>
        <v>GEORGE</v>
      </c>
      <c r="D6196">
        <f>12</f>
        <v>12</v>
      </c>
      <c r="E6196" t="str">
        <f>"06 - B - 101 - Tiffany L Colon"</f>
        <v>06 - B - 101 - Tiffany L Colon</v>
      </c>
      <c r="F6196" t="str">
        <f>"CAR EXERIENCES: 9-12"</f>
        <v>CAR EXERIENCES: 9-12</v>
      </c>
      <c r="G6196">
        <f>2044</f>
        <v>2044</v>
      </c>
      <c r="H6196" t="str">
        <f>"B"</f>
        <v>B</v>
      </c>
    </row>
    <row r="6197" spans="1:8" x14ac:dyDescent="0.2">
      <c r="A6197" t="str">
        <f t="shared" si="2277"/>
        <v>0607110381</v>
      </c>
      <c r="B6197" t="str">
        <f t="shared" si="2278"/>
        <v>ROGER</v>
      </c>
      <c r="C6197" t="str">
        <f t="shared" si="2279"/>
        <v>GEORGE</v>
      </c>
      <c r="D6197">
        <f>12</f>
        <v>12</v>
      </c>
      <c r="E6197" t="str">
        <f>"03 - A - 101 - Tiffany L Colon"</f>
        <v>03 - A - 101 - Tiffany L Colon</v>
      </c>
      <c r="F6197" t="str">
        <f>"SELF-DETERMINATION"</f>
        <v>SELF-DETERMINATION</v>
      </c>
      <c r="G6197">
        <f>2044</f>
        <v>2044</v>
      </c>
      <c r="H6197" t="str">
        <f>"A"</f>
        <v>A</v>
      </c>
    </row>
    <row r="6198" spans="1:8" x14ac:dyDescent="0.2">
      <c r="A6198" t="str">
        <f t="shared" si="2277"/>
        <v>0607110381</v>
      </c>
      <c r="B6198" t="str">
        <f t="shared" si="2278"/>
        <v>ROGER</v>
      </c>
      <c r="C6198" t="str">
        <f t="shared" si="2279"/>
        <v>GEORGE</v>
      </c>
      <c r="D6198">
        <f>12</f>
        <v>12</v>
      </c>
      <c r="E6198" t="str">
        <f>"02 - A - 102 - Tiffany L Colon"</f>
        <v>02 - A - 102 - Tiffany L Colon</v>
      </c>
      <c r="F6198" t="str">
        <f>"CAREER ED: 9-12"</f>
        <v>CAREER ED: 9-12</v>
      </c>
      <c r="G6198">
        <f>2044</f>
        <v>2044</v>
      </c>
      <c r="H6198" t="str">
        <f>"A"</f>
        <v>A</v>
      </c>
    </row>
    <row r="6199" spans="1:8" x14ac:dyDescent="0.2">
      <c r="A6199" t="str">
        <f t="shared" si="2277"/>
        <v>0607110381</v>
      </c>
      <c r="B6199" t="str">
        <f t="shared" si="2278"/>
        <v>ROGER</v>
      </c>
      <c r="C6199" t="str">
        <f t="shared" si="2279"/>
        <v>GEORGE</v>
      </c>
      <c r="D6199">
        <f>12</f>
        <v>12</v>
      </c>
      <c r="E6199" t="str">
        <f>"07 - B - 101 - Tiffany L Colon"</f>
        <v>07 - B - 101 - Tiffany L Colon</v>
      </c>
      <c r="F6199" t="str">
        <f>"CAR PLACEMENT: 9-12"</f>
        <v>CAR PLACEMENT: 9-12</v>
      </c>
      <c r="G6199">
        <f>2044</f>
        <v>2044</v>
      </c>
      <c r="H6199" t="str">
        <f>"B"</f>
        <v>B</v>
      </c>
    </row>
    <row r="6200" spans="1:8" x14ac:dyDescent="0.2">
      <c r="A6200" t="str">
        <f t="shared" si="2277"/>
        <v>0607110381</v>
      </c>
      <c r="B6200" t="str">
        <f t="shared" si="2278"/>
        <v>ROGER</v>
      </c>
      <c r="C6200" t="str">
        <f t="shared" si="2279"/>
        <v>GEORGE</v>
      </c>
      <c r="D6200">
        <f>12</f>
        <v>12</v>
      </c>
      <c r="E6200" t="str">
        <f>"05 - B - 102 - Tiffany L Colon"</f>
        <v>05 - B - 102 - Tiffany L Colon</v>
      </c>
      <c r="F6200" t="str">
        <f>"U SKLS: 9-12"</f>
        <v>U SKLS: 9-12</v>
      </c>
      <c r="G6200">
        <f>2044</f>
        <v>2044</v>
      </c>
      <c r="H6200" t="str">
        <f>"B"</f>
        <v>B</v>
      </c>
    </row>
    <row r="6201" spans="1:8" x14ac:dyDescent="0.2">
      <c r="A6201" t="str">
        <f t="shared" si="2277"/>
        <v>0607110381</v>
      </c>
      <c r="B6201" t="str">
        <f t="shared" si="2278"/>
        <v>ROGER</v>
      </c>
      <c r="C6201" t="str">
        <f t="shared" si="2279"/>
        <v>GEORGE</v>
      </c>
      <c r="D6201">
        <f>12</f>
        <v>12</v>
      </c>
      <c r="E6201" t="str">
        <f>"01 - A - 101 - Tiffany L Colon"</f>
        <v>01 - A - 101 - Tiffany L Colon</v>
      </c>
      <c r="F6201" t="str">
        <f>"PREP AD LIV"</f>
        <v>PREP AD LIV</v>
      </c>
      <c r="G6201">
        <f>2044</f>
        <v>2044</v>
      </c>
      <c r="H6201" t="str">
        <f>"A"</f>
        <v>A</v>
      </c>
    </row>
    <row r="6202" spans="1:8" x14ac:dyDescent="0.2">
      <c r="A6202" t="str">
        <f t="shared" si="2277"/>
        <v>0607110381</v>
      </c>
      <c r="B6202" t="str">
        <f t="shared" si="2278"/>
        <v>ROGER</v>
      </c>
      <c r="C6202" t="str">
        <f t="shared" si="2279"/>
        <v>GEORGE</v>
      </c>
      <c r="D6202">
        <f>12</f>
        <v>12</v>
      </c>
      <c r="E6202" t="str">
        <f>"08 - B - 101 - Gail S Markowitz"</f>
        <v>08 - B - 101 - Gail S Markowitz</v>
      </c>
      <c r="F6202" t="str">
        <f>"U SKLS: SOC&amp;EMO 9-12"</f>
        <v>U SKLS: SOC&amp;EMO 9-12</v>
      </c>
      <c r="G6202">
        <f>1730</f>
        <v>1730</v>
      </c>
      <c r="H6202" t="str">
        <f>"B"</f>
        <v>B</v>
      </c>
    </row>
    <row r="6203" spans="1:8" x14ac:dyDescent="0.2">
      <c r="A6203" t="str">
        <f t="shared" ref="A6203:A6210" si="2280">"0623116566"</f>
        <v>0623116566</v>
      </c>
      <c r="B6203" t="str">
        <f t="shared" ref="B6203:B6210" si="2281">"BRADLEY"</f>
        <v>BRADLEY</v>
      </c>
      <c r="C6203" t="str">
        <f t="shared" ref="C6203:C6218" si="2282">"GEORGES"</f>
        <v>GEORGES</v>
      </c>
      <c r="D6203">
        <f>11</f>
        <v>11</v>
      </c>
      <c r="E6203" t="str">
        <f>"04 - A - 108 - Maried P Ramos"</f>
        <v>04 - A - 108 - Maried P Ramos</v>
      </c>
      <c r="F6203" t="str">
        <f>"GEOMETRY"</f>
        <v>GEOMETRY</v>
      </c>
      <c r="G6203" t="str">
        <f>"21-2159"</f>
        <v>21-2159</v>
      </c>
      <c r="H6203" t="str">
        <f>"A"</f>
        <v>A</v>
      </c>
    </row>
    <row r="6204" spans="1:8" x14ac:dyDescent="0.2">
      <c r="A6204" t="str">
        <f t="shared" si="2280"/>
        <v>0623116566</v>
      </c>
      <c r="B6204" t="str">
        <f t="shared" si="2281"/>
        <v>BRADLEY</v>
      </c>
      <c r="C6204" t="str">
        <f t="shared" si="2282"/>
        <v>GEORGES</v>
      </c>
      <c r="D6204">
        <f>11</f>
        <v>11</v>
      </c>
      <c r="E6204" t="str">
        <f>"06 - B - 202 - Brian M Fitzgerald"</f>
        <v>06 - B - 202 - Brian M Fitzgerald</v>
      </c>
      <c r="F6204" t="str">
        <f>"DRAW 1"</f>
        <v>DRAW 1</v>
      </c>
      <c r="G6204" t="str">
        <f>"09-908"</f>
        <v>09-908</v>
      </c>
      <c r="H6204" t="str">
        <f>"B"</f>
        <v>B</v>
      </c>
    </row>
    <row r="6205" spans="1:8" x14ac:dyDescent="0.2">
      <c r="A6205" t="str">
        <f t="shared" si="2280"/>
        <v>0623116566</v>
      </c>
      <c r="B6205" t="str">
        <f t="shared" si="2281"/>
        <v>BRADLEY</v>
      </c>
      <c r="C6205" t="str">
        <f t="shared" si="2282"/>
        <v>GEORGES</v>
      </c>
      <c r="D6205">
        <f>11</f>
        <v>11</v>
      </c>
      <c r="E6205" t="str">
        <f>"03 - A - 102 - Lisa  Quinn"</f>
        <v>03 - A - 102 - Lisa  Quinn</v>
      </c>
      <c r="F6205" t="str">
        <f>"ENG 3"</f>
        <v>ENG 3</v>
      </c>
      <c r="G6205" t="str">
        <f>"17-1725"</f>
        <v>17-1725</v>
      </c>
      <c r="H6205" t="str">
        <f>"A"</f>
        <v>A</v>
      </c>
    </row>
    <row r="6206" spans="1:8" x14ac:dyDescent="0.2">
      <c r="A6206" t="str">
        <f t="shared" si="2280"/>
        <v>0623116566</v>
      </c>
      <c r="B6206" t="str">
        <f t="shared" si="2281"/>
        <v>BRADLEY</v>
      </c>
      <c r="C6206" t="str">
        <f t="shared" si="2282"/>
        <v>GEORGES</v>
      </c>
      <c r="D6206">
        <f>11</f>
        <v>11</v>
      </c>
      <c r="E6206" t="str">
        <f>"02 - A - 105 - Leslie J Barton"</f>
        <v>02 - A - 105 - Leslie J Barton</v>
      </c>
      <c r="F6206" t="str">
        <f>"NC STUDY HALL 1"</f>
        <v>NC STUDY HALL 1</v>
      </c>
      <c r="G6206" t="str">
        <f>"05-521"</f>
        <v>05-521</v>
      </c>
      <c r="H6206" t="str">
        <f>"A"</f>
        <v>A</v>
      </c>
    </row>
    <row r="6207" spans="1:8" x14ac:dyDescent="0.2">
      <c r="A6207" t="str">
        <f t="shared" si="2280"/>
        <v>0623116566</v>
      </c>
      <c r="B6207" t="str">
        <f t="shared" si="2281"/>
        <v>BRADLEY</v>
      </c>
      <c r="C6207" t="str">
        <f t="shared" si="2282"/>
        <v>GEORGES</v>
      </c>
      <c r="D6207">
        <f>11</f>
        <v>11</v>
      </c>
      <c r="E6207" t="str">
        <f>"07 - B - 104 - Marielle A Witting"</f>
        <v>07 - B - 104 - Marielle A Witting</v>
      </c>
      <c r="F6207" t="str">
        <f>"ANAT PHYSIO"</f>
        <v>ANAT PHYSIO</v>
      </c>
      <c r="G6207" t="str">
        <f>"08-805"</f>
        <v>08-805</v>
      </c>
      <c r="H6207" t="str">
        <f>"B"</f>
        <v>B</v>
      </c>
    </row>
    <row r="6208" spans="1:8" x14ac:dyDescent="0.2">
      <c r="A6208" t="str">
        <f t="shared" si="2280"/>
        <v>0623116566</v>
      </c>
      <c r="B6208" t="str">
        <f t="shared" si="2281"/>
        <v>BRADLEY</v>
      </c>
      <c r="C6208" t="str">
        <f t="shared" si="2282"/>
        <v>GEORGES</v>
      </c>
      <c r="D6208">
        <f>11</f>
        <v>11</v>
      </c>
      <c r="E6208" t="str">
        <f>"05 - B - 103 - Nahum  Saint-Preux"</f>
        <v>05 - B - 103 - Nahum  Saint-Preux</v>
      </c>
      <c r="F6208" t="str">
        <f>"INTENS READ 3"</f>
        <v>INTENS READ 3</v>
      </c>
      <c r="G6208" t="str">
        <f>"17-1712"</f>
        <v>17-1712</v>
      </c>
      <c r="H6208" t="str">
        <f>"B"</f>
        <v>B</v>
      </c>
    </row>
    <row r="6209" spans="1:8" x14ac:dyDescent="0.2">
      <c r="A6209" t="str">
        <f t="shared" si="2280"/>
        <v>0623116566</v>
      </c>
      <c r="B6209" t="str">
        <f t="shared" si="2281"/>
        <v>BRADLEY</v>
      </c>
      <c r="C6209" t="str">
        <f t="shared" si="2282"/>
        <v>GEORGES</v>
      </c>
      <c r="D6209">
        <f>11</f>
        <v>11</v>
      </c>
      <c r="E6209" t="str">
        <f>"01 - A - 504 - Alejandro  Navarro"</f>
        <v>01 - A - 504 - Alejandro  Navarro</v>
      </c>
      <c r="F6209" t="str">
        <f>"BAND 1"</f>
        <v>BAND 1</v>
      </c>
      <c r="G6209" t="str">
        <f>"05-504"</f>
        <v>05-504</v>
      </c>
      <c r="H6209" t="str">
        <f>"A"</f>
        <v>A</v>
      </c>
    </row>
    <row r="6210" spans="1:8" x14ac:dyDescent="0.2">
      <c r="A6210" t="str">
        <f t="shared" si="2280"/>
        <v>0623116566</v>
      </c>
      <c r="B6210" t="str">
        <f t="shared" si="2281"/>
        <v>BRADLEY</v>
      </c>
      <c r="C6210" t="str">
        <f t="shared" si="2282"/>
        <v>GEORGES</v>
      </c>
      <c r="D6210">
        <f>11</f>
        <v>11</v>
      </c>
      <c r="E6210" t="str">
        <f>"08 - B - 109 - Lauren N Logan"</f>
        <v>08 - B - 109 - Lauren N Logan</v>
      </c>
      <c r="F6210" t="str">
        <f>"US HISTORY"</f>
        <v>US HISTORY</v>
      </c>
      <c r="G6210" t="str">
        <f>"17-1754"</f>
        <v>17-1754</v>
      </c>
      <c r="H6210" t="str">
        <f>"B"</f>
        <v>B</v>
      </c>
    </row>
    <row r="6211" spans="1:8" x14ac:dyDescent="0.2">
      <c r="A6211" t="str">
        <f t="shared" ref="A6211:A6218" si="2283">"0618109939"</f>
        <v>0618109939</v>
      </c>
      <c r="B6211" t="str">
        <f t="shared" ref="B6211:B6218" si="2284">"JOLENE"</f>
        <v>JOLENE</v>
      </c>
      <c r="C6211" t="str">
        <f t="shared" si="2282"/>
        <v>GEORGES</v>
      </c>
      <c r="D6211">
        <f>11</f>
        <v>11</v>
      </c>
      <c r="E6211" t="str">
        <f>"04 - A - 101 - Jerry S Jiampetti"</f>
        <v>04 - A - 101 - Jerry S Jiampetti</v>
      </c>
      <c r="F6211" t="str">
        <f>"AICE U.S. HIST 1 AS"</f>
        <v>AICE U.S. HIST 1 AS</v>
      </c>
      <c r="G6211" t="str">
        <f>"17-1751"</f>
        <v>17-1751</v>
      </c>
      <c r="H6211" t="str">
        <f>"A"</f>
        <v>A</v>
      </c>
    </row>
    <row r="6212" spans="1:8" x14ac:dyDescent="0.2">
      <c r="A6212" t="str">
        <f t="shared" si="2283"/>
        <v>0618109939</v>
      </c>
      <c r="B6212" t="str">
        <f t="shared" si="2284"/>
        <v>JOLENE</v>
      </c>
      <c r="C6212" t="str">
        <f t="shared" si="2282"/>
        <v>GEORGES</v>
      </c>
      <c r="D6212">
        <f>11</f>
        <v>11</v>
      </c>
      <c r="E6212" t="str">
        <f>"06 - B - 103 - Helen A Flores"</f>
        <v>06 - B - 103 - Helen A Flores</v>
      </c>
      <c r="F6212" t="str">
        <f>"ALGEBRA 2"</f>
        <v>ALGEBRA 2</v>
      </c>
      <c r="G6212" t="str">
        <f>"21-2101"</f>
        <v>21-2101</v>
      </c>
      <c r="H6212" t="str">
        <f>"B"</f>
        <v>B</v>
      </c>
    </row>
    <row r="6213" spans="1:8" x14ac:dyDescent="0.2">
      <c r="A6213" t="str">
        <f t="shared" si="2283"/>
        <v>0618109939</v>
      </c>
      <c r="B6213" t="str">
        <f t="shared" si="2284"/>
        <v>JOLENE</v>
      </c>
      <c r="C6213" t="str">
        <f t="shared" si="2282"/>
        <v>GEORGES</v>
      </c>
      <c r="D6213">
        <f>11</f>
        <v>11</v>
      </c>
      <c r="E6213" t="str">
        <f>"03 - A - 101 - Scott A Dethloff"</f>
        <v>03 - A - 101 - Scott A Dethloff</v>
      </c>
      <c r="F6213" t="str">
        <f>"CHEMISTRY 1 HON"</f>
        <v>CHEMISTRY 1 HON</v>
      </c>
      <c r="G6213" t="str">
        <f>"08-812"</f>
        <v>08-812</v>
      </c>
      <c r="H6213" t="str">
        <f>"A"</f>
        <v>A</v>
      </c>
    </row>
    <row r="6214" spans="1:8" x14ac:dyDescent="0.2">
      <c r="A6214" t="str">
        <f t="shared" si="2283"/>
        <v>0618109939</v>
      </c>
      <c r="B6214" t="str">
        <f t="shared" si="2284"/>
        <v>JOLENE</v>
      </c>
      <c r="C6214" t="str">
        <f t="shared" si="2282"/>
        <v>GEORGES</v>
      </c>
      <c r="D6214">
        <f>11</f>
        <v>11</v>
      </c>
      <c r="E6214" t="str">
        <f>"02 - A - 106 - Heidi M Knopp"</f>
        <v>02 - A - 106 - Heidi M Knopp</v>
      </c>
      <c r="F6214" t="str">
        <f>"NC STUDY HALL 1"</f>
        <v>NC STUDY HALL 1</v>
      </c>
      <c r="G6214" t="str">
        <f>"17-1735"</f>
        <v>17-1735</v>
      </c>
      <c r="H6214" t="str">
        <f>"A"</f>
        <v>A</v>
      </c>
    </row>
    <row r="6215" spans="1:8" x14ac:dyDescent="0.2">
      <c r="A6215" t="str">
        <f t="shared" si="2283"/>
        <v>0618109939</v>
      </c>
      <c r="B6215" t="str">
        <f t="shared" si="2284"/>
        <v>JOLENE</v>
      </c>
      <c r="C6215" t="str">
        <f t="shared" si="2282"/>
        <v>GEORGES</v>
      </c>
      <c r="D6215">
        <f>11</f>
        <v>11</v>
      </c>
      <c r="E6215" t="str">
        <f>"07 - S1 - B - 107 - Richard E Dunbar Iii"</f>
        <v>07 - S1 - B - 107 - Richard E Dunbar Iii</v>
      </c>
      <c r="F6215" t="str">
        <f>"WEIGHT TRAIN 1"</f>
        <v>WEIGHT TRAIN 1</v>
      </c>
      <c r="G6215" t="str">
        <f>"05-501"</f>
        <v>05-501</v>
      </c>
      <c r="H6215" t="str">
        <f>"B"</f>
        <v>B</v>
      </c>
    </row>
    <row r="6216" spans="1:8" x14ac:dyDescent="0.2">
      <c r="A6216" t="str">
        <f t="shared" si="2283"/>
        <v>0618109939</v>
      </c>
      <c r="B6216" t="str">
        <f t="shared" si="2284"/>
        <v>JOLENE</v>
      </c>
      <c r="C6216" t="str">
        <f t="shared" si="2282"/>
        <v>GEORGES</v>
      </c>
      <c r="D6216">
        <f>11</f>
        <v>11</v>
      </c>
      <c r="E6216" t="str">
        <f>"05 - B - 203 - Chrystina M Marchionne"</f>
        <v>05 - B - 203 - Chrystina M Marchionne</v>
      </c>
      <c r="F6216" t="str">
        <f>"AICE MEDIASTUDIES AS"</f>
        <v>AICE MEDIASTUDIES AS</v>
      </c>
      <c r="G6216" t="str">
        <f>"05-520"</f>
        <v>05-520</v>
      </c>
      <c r="H6216" t="str">
        <f>"B"</f>
        <v>B</v>
      </c>
    </row>
    <row r="6217" spans="1:8" x14ac:dyDescent="0.2">
      <c r="A6217" t="str">
        <f t="shared" si="2283"/>
        <v>0618109939</v>
      </c>
      <c r="B6217" t="str">
        <f t="shared" si="2284"/>
        <v>JOLENE</v>
      </c>
      <c r="C6217" t="str">
        <f t="shared" si="2282"/>
        <v>GEORGES</v>
      </c>
      <c r="D6217">
        <f>11</f>
        <v>11</v>
      </c>
      <c r="E6217" t="str">
        <f>"01 - A - 101 - Jacklyn M James"</f>
        <v>01 - A - 101 - Jacklyn M James</v>
      </c>
      <c r="F6217" t="str">
        <f>"AICE ENG LANG AS"</f>
        <v>AICE ENG LANG AS</v>
      </c>
      <c r="G6217" t="str">
        <f>"17-1731"</f>
        <v>17-1731</v>
      </c>
      <c r="H6217" t="str">
        <f>"A"</f>
        <v>A</v>
      </c>
    </row>
    <row r="6218" spans="1:8" x14ac:dyDescent="0.2">
      <c r="A6218" t="str">
        <f t="shared" si="2283"/>
        <v>0618109939</v>
      </c>
      <c r="B6218" t="str">
        <f t="shared" si="2284"/>
        <v>JOLENE</v>
      </c>
      <c r="C6218" t="str">
        <f t="shared" si="2282"/>
        <v>GEORGES</v>
      </c>
      <c r="D6218">
        <f>11</f>
        <v>11</v>
      </c>
      <c r="E6218" t="str">
        <f>"08 - B - 101 - Samantha L Martinez"</f>
        <v>08 - B - 101 - Samantha L Martinez</v>
      </c>
      <c r="F6218" t="str">
        <f>"VOCAL ENS 3"</f>
        <v>VOCAL ENS 3</v>
      </c>
      <c r="G6218" t="str">
        <f>"05-505"</f>
        <v>05-505</v>
      </c>
      <c r="H6218" t="str">
        <f>"B"</f>
        <v>B</v>
      </c>
    </row>
    <row r="6219" spans="1:8" x14ac:dyDescent="0.2">
      <c r="A6219" t="str">
        <f t="shared" ref="A6219:A6226" si="2285">"0614136980"</f>
        <v>0614136980</v>
      </c>
      <c r="B6219" t="str">
        <f t="shared" ref="B6219:B6226" si="2286">"OLIVIA"</f>
        <v>OLIVIA</v>
      </c>
      <c r="C6219" t="str">
        <f t="shared" ref="C6219:C6226" si="2287">"GERBINO"</f>
        <v>GERBINO</v>
      </c>
      <c r="D6219">
        <f>11</f>
        <v>11</v>
      </c>
      <c r="E6219" t="str">
        <f>"04 - A - 104 - Courtney E Hambright"</f>
        <v>04 - A - 104 - Courtney E Hambright</v>
      </c>
      <c r="F6219" t="str">
        <f>"AICE ENG LANG AS"</f>
        <v>AICE ENG LANG AS</v>
      </c>
      <c r="G6219" t="str">
        <f>"17-1711"</f>
        <v>17-1711</v>
      </c>
      <c r="H6219" t="str">
        <f>"A"</f>
        <v>A</v>
      </c>
    </row>
    <row r="6220" spans="1:8" x14ac:dyDescent="0.2">
      <c r="A6220" t="str">
        <f t="shared" si="2285"/>
        <v>0614136980</v>
      </c>
      <c r="B6220" t="str">
        <f t="shared" si="2286"/>
        <v>OLIVIA</v>
      </c>
      <c r="C6220" t="str">
        <f t="shared" si="2287"/>
        <v>GERBINO</v>
      </c>
      <c r="D6220">
        <f>11</f>
        <v>11</v>
      </c>
      <c r="E6220" t="str">
        <f>"06 - B - 204 - Chrystina M Marchionne"</f>
        <v>06 - B - 204 - Chrystina M Marchionne</v>
      </c>
      <c r="F6220" t="str">
        <f>"AICE MEDIASTUDIES AS"</f>
        <v>AICE MEDIASTUDIES AS</v>
      </c>
      <c r="G6220" t="str">
        <f>"05-520"</f>
        <v>05-520</v>
      </c>
      <c r="H6220" t="str">
        <f>"B"</f>
        <v>B</v>
      </c>
    </row>
    <row r="6221" spans="1:8" x14ac:dyDescent="0.2">
      <c r="A6221" t="str">
        <f t="shared" si="2285"/>
        <v>0614136980</v>
      </c>
      <c r="B6221" t="str">
        <f t="shared" si="2286"/>
        <v>OLIVIA</v>
      </c>
      <c r="C6221" t="str">
        <f t="shared" si="2287"/>
        <v>GERBINO</v>
      </c>
      <c r="D6221">
        <f>11</f>
        <v>11</v>
      </c>
      <c r="E6221" t="str">
        <f>"03 - A - 102 - Semra  Bahadir"</f>
        <v>03 - A - 102 - Semra  Bahadir</v>
      </c>
      <c r="F6221" t="str">
        <f>"ALGEBRA 2"</f>
        <v>ALGEBRA 2</v>
      </c>
      <c r="G6221" t="str">
        <f>"21-2107"</f>
        <v>21-2107</v>
      </c>
      <c r="H6221" t="str">
        <f>"A"</f>
        <v>A</v>
      </c>
    </row>
    <row r="6222" spans="1:8" x14ac:dyDescent="0.2">
      <c r="A6222" t="str">
        <f t="shared" si="2285"/>
        <v>0614136980</v>
      </c>
      <c r="B6222" t="str">
        <f t="shared" si="2286"/>
        <v>OLIVIA</v>
      </c>
      <c r="C6222" t="str">
        <f t="shared" si="2287"/>
        <v>GERBINO</v>
      </c>
      <c r="D6222">
        <f>11</f>
        <v>11</v>
      </c>
      <c r="E6222" t="str">
        <f>"02 - A - 107 - Elizabeth Ellen  Moran"</f>
        <v>02 - A - 107 - Elizabeth Ellen  Moran</v>
      </c>
      <c r="F6222" t="str">
        <f>"NC STUDY HALL 1"</f>
        <v>NC STUDY HALL 1</v>
      </c>
      <c r="G6222" t="str">
        <f>"17-1752"</f>
        <v>17-1752</v>
      </c>
      <c r="H6222" t="str">
        <f>"A"</f>
        <v>A</v>
      </c>
    </row>
    <row r="6223" spans="1:8" x14ac:dyDescent="0.2">
      <c r="A6223" t="str">
        <f t="shared" si="2285"/>
        <v>0614136980</v>
      </c>
      <c r="B6223" t="str">
        <f t="shared" si="2286"/>
        <v>OLIVIA</v>
      </c>
      <c r="C6223" t="str">
        <f t="shared" si="2287"/>
        <v>GERBINO</v>
      </c>
      <c r="D6223">
        <f>11</f>
        <v>11</v>
      </c>
      <c r="E6223" t="str">
        <f>"07 - B - 206 - Cheryl L Beach"</f>
        <v>07 - B - 206 - Cheryl L Beach</v>
      </c>
      <c r="F6223" t="str">
        <f>"AICE ENV MGMNT AS"</f>
        <v>AICE ENV MGMNT AS</v>
      </c>
      <c r="G6223" t="str">
        <f>"08-811"</f>
        <v>08-811</v>
      </c>
      <c r="H6223" t="str">
        <f>"B"</f>
        <v>B</v>
      </c>
    </row>
    <row r="6224" spans="1:8" x14ac:dyDescent="0.2">
      <c r="A6224" t="str">
        <f t="shared" si="2285"/>
        <v>0614136980</v>
      </c>
      <c r="B6224" t="str">
        <f t="shared" si="2286"/>
        <v>OLIVIA</v>
      </c>
      <c r="C6224" t="str">
        <f t="shared" si="2287"/>
        <v>GERBINO</v>
      </c>
      <c r="D6224">
        <f>11</f>
        <v>11</v>
      </c>
      <c r="E6224" t="str">
        <f>"05 - B - 102 - Jerry S Jiampetti"</f>
        <v>05 - B - 102 - Jerry S Jiampetti</v>
      </c>
      <c r="F6224" t="str">
        <f>"AICE U.S. HIST 1 AS"</f>
        <v>AICE U.S. HIST 1 AS</v>
      </c>
      <c r="G6224" t="str">
        <f>"17-1751"</f>
        <v>17-1751</v>
      </c>
      <c r="H6224" t="str">
        <f>"B"</f>
        <v>B</v>
      </c>
    </row>
    <row r="6225" spans="1:8" x14ac:dyDescent="0.2">
      <c r="A6225" t="str">
        <f t="shared" si="2285"/>
        <v>0614136980</v>
      </c>
      <c r="B6225" t="str">
        <f t="shared" si="2286"/>
        <v>OLIVIA</v>
      </c>
      <c r="C6225" t="str">
        <f t="shared" si="2287"/>
        <v>GERBINO</v>
      </c>
      <c r="D6225">
        <f>11</f>
        <v>11</v>
      </c>
      <c r="E6225" t="str">
        <f>"01 - A - 001 - Brian M Fitzgerald"</f>
        <v>01 - A - 001 - Brian M Fitzgerald</v>
      </c>
      <c r="F6225" t="str">
        <f>"CERAM/POT 2"</f>
        <v>CERAM/POT 2</v>
      </c>
      <c r="G6225" t="str">
        <f>"09-908"</f>
        <v>09-908</v>
      </c>
      <c r="H6225" t="str">
        <f>"A"</f>
        <v>A</v>
      </c>
    </row>
    <row r="6226" spans="1:8" x14ac:dyDescent="0.2">
      <c r="A6226" t="str">
        <f t="shared" si="2285"/>
        <v>0614136980</v>
      </c>
      <c r="B6226" t="str">
        <f t="shared" si="2286"/>
        <v>OLIVIA</v>
      </c>
      <c r="C6226" t="str">
        <f t="shared" si="2287"/>
        <v>GERBINO</v>
      </c>
      <c r="D6226">
        <f>11</f>
        <v>11</v>
      </c>
      <c r="E6226" t="str">
        <f>"08 - S1 - B - 101 - Amy Beth  Broyles"</f>
        <v>08 - S1 - B - 101 - Amy Beth  Broyles</v>
      </c>
      <c r="F6226" t="str">
        <f>"PEER COUN 3"</f>
        <v>PEER COUN 3</v>
      </c>
      <c r="G6226" t="str">
        <f>"17-1713"</f>
        <v>17-1713</v>
      </c>
      <c r="H6226" t="str">
        <f>"B"</f>
        <v>B</v>
      </c>
    </row>
    <row r="6227" spans="1:8" x14ac:dyDescent="0.2">
      <c r="A6227" t="str">
        <f t="shared" ref="A6227:A6235" si="2288">"0616002136"</f>
        <v>0616002136</v>
      </c>
      <c r="B6227" t="str">
        <f t="shared" ref="B6227:B6235" si="2289">"ELIZE"</f>
        <v>ELIZE</v>
      </c>
      <c r="C6227" t="str">
        <f t="shared" ref="C6227:C6235" si="2290">"GERMAIN"</f>
        <v>GERMAIN</v>
      </c>
      <c r="D6227">
        <f>10</f>
        <v>10</v>
      </c>
      <c r="E6227" t="str">
        <f>"04 - A - 101 - Jeanne M Bermudez"</f>
        <v>04 - A - 101 - Jeanne M Bermudez</v>
      </c>
      <c r="F6227" t="str">
        <f>"ADVANCED IT HON"</f>
        <v>ADVANCED IT HON</v>
      </c>
      <c r="G6227" t="str">
        <f>"21-2141"</f>
        <v>21-2141</v>
      </c>
      <c r="H6227" t="str">
        <f>"A"</f>
        <v>A</v>
      </c>
    </row>
    <row r="6228" spans="1:8" x14ac:dyDescent="0.2">
      <c r="A6228" t="str">
        <f t="shared" si="2288"/>
        <v>0616002136</v>
      </c>
      <c r="B6228" t="str">
        <f t="shared" si="2289"/>
        <v>ELIZE</v>
      </c>
      <c r="C6228" t="str">
        <f t="shared" si="2290"/>
        <v>GERMAIN</v>
      </c>
      <c r="D6228">
        <f>10</f>
        <v>10</v>
      </c>
      <c r="E6228" t="str">
        <f>"06 - B - 106 - Eric  Lopapa"</f>
        <v>06 - B - 106 - Eric  Lopapa</v>
      </c>
      <c r="F6228" t="str">
        <f>"LANG THERAPY"</f>
        <v>LANG THERAPY</v>
      </c>
      <c r="G6228" t="str">
        <f>"21-2110"</f>
        <v>21-2110</v>
      </c>
      <c r="H6228" t="str">
        <f>"B"</f>
        <v>B</v>
      </c>
    </row>
    <row r="6229" spans="1:8" x14ac:dyDescent="0.2">
      <c r="A6229" t="str">
        <f t="shared" si="2288"/>
        <v>0616002136</v>
      </c>
      <c r="B6229" t="str">
        <f t="shared" si="2289"/>
        <v>ELIZE</v>
      </c>
      <c r="C6229" t="str">
        <f t="shared" si="2290"/>
        <v>GERMAIN</v>
      </c>
      <c r="D6229">
        <f>10</f>
        <v>10</v>
      </c>
      <c r="E6229" t="str">
        <f>"06 - B - 119 - Nikiel  Nesbeth"</f>
        <v>06 - B - 119 - Nikiel  Nesbeth</v>
      </c>
      <c r="F6229" t="str">
        <f>"NC STUDY HALL 1"</f>
        <v>NC STUDY HALL 1</v>
      </c>
      <c r="G6229" t="str">
        <f>"17-1705"</f>
        <v>17-1705</v>
      </c>
      <c r="H6229" t="str">
        <f>"B"</f>
        <v>B</v>
      </c>
    </row>
    <row r="6230" spans="1:8" x14ac:dyDescent="0.2">
      <c r="A6230" t="str">
        <f t="shared" si="2288"/>
        <v>0616002136</v>
      </c>
      <c r="B6230" t="str">
        <f t="shared" si="2289"/>
        <v>ELIZE</v>
      </c>
      <c r="C6230" t="str">
        <f t="shared" si="2290"/>
        <v>GERMAIN</v>
      </c>
      <c r="D6230">
        <f>10</f>
        <v>10</v>
      </c>
      <c r="E6230" t="str">
        <f>"03 - A - 103 - Jacquelyn M Neeson"</f>
        <v>03 - A - 103 - Jacquelyn M Neeson</v>
      </c>
      <c r="F6230" t="str">
        <f>"ENG 2"</f>
        <v>ENG 2</v>
      </c>
      <c r="G6230" t="str">
        <f>"17-1715"</f>
        <v>17-1715</v>
      </c>
      <c r="H6230" t="str">
        <f>"A"</f>
        <v>A</v>
      </c>
    </row>
    <row r="6231" spans="1:8" x14ac:dyDescent="0.2">
      <c r="A6231" t="str">
        <f t="shared" si="2288"/>
        <v>0616002136</v>
      </c>
      <c r="B6231" t="str">
        <f t="shared" si="2289"/>
        <v>ELIZE</v>
      </c>
      <c r="C6231" t="str">
        <f t="shared" si="2290"/>
        <v>GERMAIN</v>
      </c>
      <c r="D6231">
        <f>10</f>
        <v>10</v>
      </c>
      <c r="E6231" t="str">
        <f>"02 - A - 101 - Christa T Parisi"</f>
        <v>02 - A - 101 - Christa T Parisi</v>
      </c>
      <c r="F6231" t="str">
        <f>"LRNG STRATEGIES 9-12"</f>
        <v>LRNG STRATEGIES 9-12</v>
      </c>
      <c r="G6231" t="str">
        <f>"20-2072"</f>
        <v>20-2072</v>
      </c>
      <c r="H6231" t="str">
        <f>"A"</f>
        <v>A</v>
      </c>
    </row>
    <row r="6232" spans="1:8" x14ac:dyDescent="0.2">
      <c r="A6232" t="str">
        <f t="shared" si="2288"/>
        <v>0616002136</v>
      </c>
      <c r="B6232" t="str">
        <f t="shared" si="2289"/>
        <v>ELIZE</v>
      </c>
      <c r="C6232" t="str">
        <f t="shared" si="2290"/>
        <v>GERMAIN</v>
      </c>
      <c r="D6232">
        <f>10</f>
        <v>10</v>
      </c>
      <c r="E6232" t="str">
        <f>"07 - B - 105 - Paige Lauren  Brochu"</f>
        <v>07 - B - 105 - Paige Lauren  Brochu</v>
      </c>
      <c r="F6232" t="str">
        <f>"PRE-AICE BIO IG"</f>
        <v>PRE-AICE BIO IG</v>
      </c>
      <c r="G6232" t="str">
        <f>"21-2134"</f>
        <v>21-2134</v>
      </c>
      <c r="H6232" t="str">
        <f>"B"</f>
        <v>B</v>
      </c>
    </row>
    <row r="6233" spans="1:8" x14ac:dyDescent="0.2">
      <c r="A6233" t="str">
        <f t="shared" si="2288"/>
        <v>0616002136</v>
      </c>
      <c r="B6233" t="str">
        <f t="shared" si="2289"/>
        <v>ELIZE</v>
      </c>
      <c r="C6233" t="str">
        <f t="shared" si="2290"/>
        <v>GERMAIN</v>
      </c>
      <c r="D6233">
        <f>10</f>
        <v>10</v>
      </c>
      <c r="E6233" t="str">
        <f>"05 - S1 - B - 102 - Lissa C Frederique"</f>
        <v>05 - S1 - B - 102 - Lissa C Frederique</v>
      </c>
      <c r="F6233" t="str">
        <f>"PERS FIN &amp; MON MGT H"</f>
        <v>PERS FIN &amp; MON MGT H</v>
      </c>
      <c r="G6233" t="str">
        <f>"17-1754"</f>
        <v>17-1754</v>
      </c>
      <c r="H6233" t="str">
        <f>"B"</f>
        <v>B</v>
      </c>
    </row>
    <row r="6234" spans="1:8" x14ac:dyDescent="0.2">
      <c r="A6234" t="str">
        <f t="shared" si="2288"/>
        <v>0616002136</v>
      </c>
      <c r="B6234" t="str">
        <f t="shared" si="2289"/>
        <v>ELIZE</v>
      </c>
      <c r="C6234" t="str">
        <f t="shared" si="2290"/>
        <v>GERMAIN</v>
      </c>
      <c r="D6234">
        <f>10</f>
        <v>10</v>
      </c>
      <c r="E6234" t="str">
        <f>"01 - A - 102 - Brook E Goren"</f>
        <v>01 - A - 102 - Brook E Goren</v>
      </c>
      <c r="F6234" t="str">
        <f>"PRE-AICE MATH 2 IG"</f>
        <v>PRE-AICE MATH 2 IG</v>
      </c>
      <c r="G6234" t="str">
        <f>"21-2158"</f>
        <v>21-2158</v>
      </c>
      <c r="H6234" t="str">
        <f>"A"</f>
        <v>A</v>
      </c>
    </row>
    <row r="6235" spans="1:8" x14ac:dyDescent="0.2">
      <c r="A6235" t="str">
        <f t="shared" si="2288"/>
        <v>0616002136</v>
      </c>
      <c r="B6235" t="str">
        <f t="shared" si="2289"/>
        <v>ELIZE</v>
      </c>
      <c r="C6235" t="str">
        <f t="shared" si="2290"/>
        <v>GERMAIN</v>
      </c>
      <c r="D6235">
        <f>10</f>
        <v>10</v>
      </c>
      <c r="E6235" t="str">
        <f>"08 - B - 101 - Jazmin S Fletcher"</f>
        <v>08 - B - 101 - Jazmin S Fletcher</v>
      </c>
      <c r="F6235" t="str">
        <f>"PRE-AICE DRAMA 1G"</f>
        <v>PRE-AICE DRAMA 1G</v>
      </c>
      <c r="G6235" t="str">
        <f>"09-909"</f>
        <v>09-909</v>
      </c>
      <c r="H6235" t="str">
        <f>"B"</f>
        <v>B</v>
      </c>
    </row>
    <row r="6236" spans="1:8" x14ac:dyDescent="0.2">
      <c r="A6236" t="str">
        <f t="shared" ref="A6236:A6243" si="2291">"0614092905"</f>
        <v>0614092905</v>
      </c>
      <c r="B6236" t="str">
        <f t="shared" ref="B6236:B6243" si="2292">"DA'JAH"</f>
        <v>DA'JAH</v>
      </c>
      <c r="C6236" t="str">
        <f t="shared" ref="C6236:C6251" si="2293">"GERMAN"</f>
        <v>GERMAN</v>
      </c>
      <c r="D6236">
        <f>11</f>
        <v>11</v>
      </c>
      <c r="E6236" t="str">
        <f>"04 - A - 101 - Jerry S Jiampetti"</f>
        <v>04 - A - 101 - Jerry S Jiampetti</v>
      </c>
      <c r="F6236" t="str">
        <f>"AICE U.S. HIST 1 AS"</f>
        <v>AICE U.S. HIST 1 AS</v>
      </c>
      <c r="G6236" t="str">
        <f>"17-1751"</f>
        <v>17-1751</v>
      </c>
      <c r="H6236" t="str">
        <f>"A"</f>
        <v>A</v>
      </c>
    </row>
    <row r="6237" spans="1:8" x14ac:dyDescent="0.2">
      <c r="A6237" t="str">
        <f t="shared" si="2291"/>
        <v>0614092905</v>
      </c>
      <c r="B6237" t="str">
        <f t="shared" si="2292"/>
        <v>DA'JAH</v>
      </c>
      <c r="C6237" t="str">
        <f t="shared" si="2293"/>
        <v>GERMAN</v>
      </c>
      <c r="D6237">
        <f>11</f>
        <v>11</v>
      </c>
      <c r="E6237" t="str">
        <f>"06 - B - 206 - Jacqueline R Morphet"</f>
        <v>06 - B - 206 - Jacqueline R Morphet</v>
      </c>
      <c r="F6237" t="str">
        <f>"PHYSICS 1 HON"</f>
        <v>PHYSICS 1 HON</v>
      </c>
      <c r="G6237" t="str">
        <f>"21-2138"</f>
        <v>21-2138</v>
      </c>
      <c r="H6237" t="str">
        <f>"B"</f>
        <v>B</v>
      </c>
    </row>
    <row r="6238" spans="1:8" x14ac:dyDescent="0.2">
      <c r="A6238" t="str">
        <f t="shared" si="2291"/>
        <v>0614092905</v>
      </c>
      <c r="B6238" t="str">
        <f t="shared" si="2292"/>
        <v>DA'JAH</v>
      </c>
      <c r="C6238" t="str">
        <f t="shared" si="2293"/>
        <v>GERMAN</v>
      </c>
      <c r="D6238">
        <f>11</f>
        <v>11</v>
      </c>
      <c r="E6238" t="str">
        <f>"03 - A - 104 - Brook E Goren"</f>
        <v>03 - A - 104 - Brook E Goren</v>
      </c>
      <c r="F6238" t="str">
        <f>"ALGEBRA 2 HON"</f>
        <v>ALGEBRA 2 HON</v>
      </c>
      <c r="G6238" t="str">
        <f>"21-2158"</f>
        <v>21-2158</v>
      </c>
      <c r="H6238" t="str">
        <f>"A"</f>
        <v>A</v>
      </c>
    </row>
    <row r="6239" spans="1:8" x14ac:dyDescent="0.2">
      <c r="A6239" t="str">
        <f t="shared" si="2291"/>
        <v>0614092905</v>
      </c>
      <c r="B6239" t="str">
        <f t="shared" si="2292"/>
        <v>DA'JAH</v>
      </c>
      <c r="C6239" t="str">
        <f t="shared" si="2293"/>
        <v>GERMAN</v>
      </c>
      <c r="D6239">
        <f>11</f>
        <v>11</v>
      </c>
      <c r="E6239" t="str">
        <f>"02 - A - 001 - Courtney E Hambright"</f>
        <v>02 - A - 001 - Courtney E Hambright</v>
      </c>
      <c r="F6239" t="str">
        <f>"NC STUDY HALL 1"</f>
        <v>NC STUDY HALL 1</v>
      </c>
      <c r="G6239" t="str">
        <f>"17-1711"</f>
        <v>17-1711</v>
      </c>
      <c r="H6239" t="str">
        <f>"A"</f>
        <v>A</v>
      </c>
    </row>
    <row r="6240" spans="1:8" x14ac:dyDescent="0.2">
      <c r="A6240" t="str">
        <f t="shared" si="2291"/>
        <v>0614092905</v>
      </c>
      <c r="B6240" t="str">
        <f t="shared" si="2292"/>
        <v>DA'JAH</v>
      </c>
      <c r="C6240" t="str">
        <f t="shared" si="2293"/>
        <v>GERMAN</v>
      </c>
      <c r="D6240">
        <f>11</f>
        <v>11</v>
      </c>
      <c r="E6240" t="str">
        <f>"07 - B - 103 - Lisa J London"</f>
        <v>07 - B - 103 - Lisa J London</v>
      </c>
      <c r="F6240" t="str">
        <f>"AP CAPSTONE SEMINAR"</f>
        <v>AP CAPSTONE SEMINAR</v>
      </c>
      <c r="G6240" t="str">
        <f>"17-1714"</f>
        <v>17-1714</v>
      </c>
      <c r="H6240" t="str">
        <f>"B"</f>
        <v>B</v>
      </c>
    </row>
    <row r="6241" spans="1:8" x14ac:dyDescent="0.2">
      <c r="A6241" t="str">
        <f t="shared" si="2291"/>
        <v>0614092905</v>
      </c>
      <c r="B6241" t="str">
        <f t="shared" si="2292"/>
        <v>DA'JAH</v>
      </c>
      <c r="C6241" t="str">
        <f t="shared" si="2293"/>
        <v>GERMAN</v>
      </c>
      <c r="D6241">
        <f>11</f>
        <v>11</v>
      </c>
      <c r="E6241" t="str">
        <f>"05 - B - 102 - Jacklyn M James"</f>
        <v>05 - B - 102 - Jacklyn M James</v>
      </c>
      <c r="F6241" t="str">
        <f>"AICE ENG LANG AS"</f>
        <v>AICE ENG LANG AS</v>
      </c>
      <c r="G6241" t="str">
        <f>"17-1731"</f>
        <v>17-1731</v>
      </c>
      <c r="H6241" t="str">
        <f>"B"</f>
        <v>B</v>
      </c>
    </row>
    <row r="6242" spans="1:8" x14ac:dyDescent="0.2">
      <c r="A6242" t="str">
        <f t="shared" si="2291"/>
        <v>0614092905</v>
      </c>
      <c r="B6242" t="str">
        <f t="shared" si="2292"/>
        <v>DA'JAH</v>
      </c>
      <c r="C6242" t="str">
        <f t="shared" si="2293"/>
        <v>GERMAN</v>
      </c>
      <c r="D6242">
        <f>11</f>
        <v>11</v>
      </c>
      <c r="E6242" t="str">
        <f>"01 - A - 201 - Cheryl L Beach"</f>
        <v>01 - A - 201 - Cheryl L Beach</v>
      </c>
      <c r="F6242" t="str">
        <f>"AICE ENV MGMNT AS"</f>
        <v>AICE ENV MGMNT AS</v>
      </c>
      <c r="G6242" t="str">
        <f>"08-811"</f>
        <v>08-811</v>
      </c>
      <c r="H6242" t="str">
        <f>"A"</f>
        <v>A</v>
      </c>
    </row>
    <row r="6243" spans="1:8" x14ac:dyDescent="0.2">
      <c r="A6243" t="str">
        <f t="shared" si="2291"/>
        <v>0614092905</v>
      </c>
      <c r="B6243" t="str">
        <f t="shared" si="2292"/>
        <v>DA'JAH</v>
      </c>
      <c r="C6243" t="str">
        <f t="shared" si="2293"/>
        <v>GERMAN</v>
      </c>
      <c r="D6243">
        <f>11</f>
        <v>11</v>
      </c>
      <c r="E6243" t="str">
        <f>"08 - B - 201 - Vanessa J Liburd"</f>
        <v>08 - B - 201 - Vanessa J Liburd</v>
      </c>
      <c r="F6243" t="str">
        <f>"FRENCH 3 HON"</f>
        <v>FRENCH 3 HON</v>
      </c>
      <c r="G6243" t="str">
        <f>"05-519"</f>
        <v>05-519</v>
      </c>
      <c r="H6243" t="str">
        <f>"B"</f>
        <v>B</v>
      </c>
    </row>
    <row r="6244" spans="1:8" x14ac:dyDescent="0.2">
      <c r="A6244" t="str">
        <f t="shared" ref="A6244:A6251" si="2294">"0613086314"</f>
        <v>0613086314</v>
      </c>
      <c r="B6244" t="str">
        <f t="shared" ref="B6244:B6251" si="2295">"DZIAH"</f>
        <v>DZIAH</v>
      </c>
      <c r="C6244" t="str">
        <f t="shared" si="2293"/>
        <v>GERMAN</v>
      </c>
      <c r="D6244">
        <f>12</f>
        <v>12</v>
      </c>
      <c r="E6244" t="str">
        <f>"04 - A - 201 - Vanessa J Liburd"</f>
        <v>04 - A - 201 - Vanessa J Liburd</v>
      </c>
      <c r="F6244" t="str">
        <f>"FRENCH 4 HON"</f>
        <v>FRENCH 4 HON</v>
      </c>
      <c r="G6244" t="str">
        <f>"05-519"</f>
        <v>05-519</v>
      </c>
      <c r="H6244" t="str">
        <f>"A"</f>
        <v>A</v>
      </c>
    </row>
    <row r="6245" spans="1:8" x14ac:dyDescent="0.2">
      <c r="A6245" t="str">
        <f t="shared" si="2294"/>
        <v>0613086314</v>
      </c>
      <c r="B6245" t="str">
        <f t="shared" si="2295"/>
        <v>DZIAH</v>
      </c>
      <c r="C6245" t="str">
        <f t="shared" si="2293"/>
        <v>GERMAN</v>
      </c>
      <c r="D6245">
        <f>12</f>
        <v>12</v>
      </c>
      <c r="E6245" t="str">
        <f>"06 - B - 106 - Taraneh C Abreu"</f>
        <v>06 - B - 106 - Taraneh C Abreu</v>
      </c>
      <c r="F6245" t="str">
        <f>"NC STUDY HALL 1"</f>
        <v>NC STUDY HALL 1</v>
      </c>
      <c r="G6245" t="str">
        <f>"17-1713"</f>
        <v>17-1713</v>
      </c>
      <c r="H6245" t="str">
        <f>"B"</f>
        <v>B</v>
      </c>
    </row>
    <row r="6246" spans="1:8" x14ac:dyDescent="0.2">
      <c r="A6246" t="str">
        <f t="shared" si="2294"/>
        <v>0613086314</v>
      </c>
      <c r="B6246" t="str">
        <f t="shared" si="2295"/>
        <v>DZIAH</v>
      </c>
      <c r="C6246" t="str">
        <f t="shared" si="2293"/>
        <v>GERMAN</v>
      </c>
      <c r="D6246">
        <f>12</f>
        <v>12</v>
      </c>
      <c r="E6246" t="str">
        <f>"03 - A - 101 - Carleigh R Carmichael"</f>
        <v>03 - A - 101 - Carleigh R Carmichael</v>
      </c>
      <c r="F6246" t="str">
        <f>"LEAD SKLS DEV LH"</f>
        <v>LEAD SKLS DEV LH</v>
      </c>
      <c r="G6246" t="str">
        <f>"20-2072"</f>
        <v>20-2072</v>
      </c>
      <c r="H6246" t="str">
        <f>"A"</f>
        <v>A</v>
      </c>
    </row>
    <row r="6247" spans="1:8" x14ac:dyDescent="0.2">
      <c r="A6247" t="str">
        <f t="shared" si="2294"/>
        <v>0613086314</v>
      </c>
      <c r="B6247" t="str">
        <f t="shared" si="2295"/>
        <v>DZIAH</v>
      </c>
      <c r="C6247" t="str">
        <f t="shared" si="2293"/>
        <v>GERMAN</v>
      </c>
      <c r="D6247">
        <f>12</f>
        <v>12</v>
      </c>
      <c r="E6247" t="str">
        <f>"02 - A - 107 - Tina M Jaramillo"</f>
        <v>02 - A - 107 - Tina M Jaramillo</v>
      </c>
      <c r="F6247" t="str">
        <f>"AP ENG LIT COMPO"</f>
        <v>AP ENG LIT COMPO</v>
      </c>
      <c r="G6247" t="str">
        <f>"17-1706"</f>
        <v>17-1706</v>
      </c>
      <c r="H6247" t="str">
        <f>"A"</f>
        <v>A</v>
      </c>
    </row>
    <row r="6248" spans="1:8" x14ac:dyDescent="0.2">
      <c r="A6248" t="str">
        <f t="shared" si="2294"/>
        <v>0613086314</v>
      </c>
      <c r="B6248" t="str">
        <f t="shared" si="2295"/>
        <v>DZIAH</v>
      </c>
      <c r="C6248" t="str">
        <f t="shared" si="2293"/>
        <v>GERMAN</v>
      </c>
      <c r="D6248">
        <f>12</f>
        <v>12</v>
      </c>
      <c r="E6248" t="str">
        <f>"07 - B - 105 - Robert H Rindner"</f>
        <v>07 - B - 105 - Robert H Rindner</v>
      </c>
      <c r="F6248" t="str">
        <f>"MATH DATA&amp;FIN LIT H"</f>
        <v>MATH DATA&amp;FIN LIT H</v>
      </c>
      <c r="G6248" t="str">
        <f>"21-2160"</f>
        <v>21-2160</v>
      </c>
      <c r="H6248" t="str">
        <f>"B"</f>
        <v>B</v>
      </c>
    </row>
    <row r="6249" spans="1:8" x14ac:dyDescent="0.2">
      <c r="A6249" t="str">
        <f t="shared" si="2294"/>
        <v>0613086314</v>
      </c>
      <c r="B6249" t="str">
        <f t="shared" si="2295"/>
        <v>DZIAH</v>
      </c>
      <c r="C6249" t="str">
        <f t="shared" si="2293"/>
        <v>GERMAN</v>
      </c>
      <c r="D6249">
        <f>12</f>
        <v>12</v>
      </c>
      <c r="E6249" t="str">
        <f>"05 - S1 - B - 103 - Stephen T Ripp"</f>
        <v>05 - S1 - B - 103 - Stephen T Ripp</v>
      </c>
      <c r="F6249" t="str">
        <f>"AP US GOVT/POL"</f>
        <v>AP US GOVT/POL</v>
      </c>
      <c r="G6249" t="str">
        <f>"17-1744"</f>
        <v>17-1744</v>
      </c>
      <c r="H6249" t="str">
        <f>"B"</f>
        <v>B</v>
      </c>
    </row>
    <row r="6250" spans="1:8" x14ac:dyDescent="0.2">
      <c r="A6250" t="str">
        <f t="shared" si="2294"/>
        <v>0613086314</v>
      </c>
      <c r="B6250" t="str">
        <f t="shared" si="2295"/>
        <v>DZIAH</v>
      </c>
      <c r="C6250" t="str">
        <f t="shared" si="2293"/>
        <v>GERMAN</v>
      </c>
      <c r="D6250">
        <f>12</f>
        <v>12</v>
      </c>
      <c r="E6250" t="str">
        <f>"01 - A - 101 - Marielle A Witting"</f>
        <v>01 - A - 101 - Marielle A Witting</v>
      </c>
      <c r="F6250" t="str">
        <f>"AP BIO"</f>
        <v>AP BIO</v>
      </c>
      <c r="G6250" t="str">
        <f>"08-805"</f>
        <v>08-805</v>
      </c>
      <c r="H6250" t="str">
        <f>"A"</f>
        <v>A</v>
      </c>
    </row>
    <row r="6251" spans="1:8" x14ac:dyDescent="0.2">
      <c r="A6251" t="str">
        <f t="shared" si="2294"/>
        <v>0613086314</v>
      </c>
      <c r="B6251" t="str">
        <f t="shared" si="2295"/>
        <v>DZIAH</v>
      </c>
      <c r="C6251" t="str">
        <f t="shared" si="2293"/>
        <v>GERMAN</v>
      </c>
      <c r="D6251">
        <f>12</f>
        <v>12</v>
      </c>
      <c r="E6251" t="str">
        <f>"08 - B - 102 - Lisa J London"</f>
        <v>08 - B - 102 - Lisa J London</v>
      </c>
      <c r="F6251" t="str">
        <f>"AP CAPSTONE RESEARCH"</f>
        <v>AP CAPSTONE RESEARCH</v>
      </c>
      <c r="G6251" t="str">
        <f>"17-1714"</f>
        <v>17-1714</v>
      </c>
      <c r="H6251" t="str">
        <f>"B"</f>
        <v>B</v>
      </c>
    </row>
    <row r="6252" spans="1:8" x14ac:dyDescent="0.2">
      <c r="A6252" t="str">
        <f t="shared" ref="A6252:A6259" si="2296">"0616111873"</f>
        <v>0616111873</v>
      </c>
      <c r="B6252" t="str">
        <f t="shared" ref="B6252:B6259" si="2297">"LEILA"</f>
        <v>LEILA</v>
      </c>
      <c r="C6252" t="str">
        <f t="shared" ref="C6252:C6259" si="2298">"GERMOSEN"</f>
        <v>GERMOSEN</v>
      </c>
      <c r="D6252" t="str">
        <f t="shared" ref="D6252:D6259" si="2299">"09"</f>
        <v>09</v>
      </c>
      <c r="E6252" t="str">
        <f>"04 - A - 101 - Chrystina M Marchionne"</f>
        <v>04 - A - 101 - Chrystina M Marchionne</v>
      </c>
      <c r="F6252" t="str">
        <f>"THEA CIN &amp; FILM LH"</f>
        <v>THEA CIN &amp; FILM LH</v>
      </c>
      <c r="G6252" t="str">
        <f>"05-520"</f>
        <v>05-520</v>
      </c>
      <c r="H6252" t="str">
        <f>"A"</f>
        <v>A</v>
      </c>
    </row>
    <row r="6253" spans="1:8" x14ac:dyDescent="0.2">
      <c r="A6253" t="str">
        <f t="shared" si="2296"/>
        <v>0616111873</v>
      </c>
      <c r="B6253" t="str">
        <f t="shared" si="2297"/>
        <v>LEILA</v>
      </c>
      <c r="C6253" t="str">
        <f t="shared" si="2298"/>
        <v>GERMOSEN</v>
      </c>
      <c r="D6253" t="str">
        <f t="shared" si="2299"/>
        <v>09</v>
      </c>
      <c r="E6253" t="str">
        <f>"06 - B - 202 - Samantha L Martinez"</f>
        <v>06 - B - 202 - Samantha L Martinez</v>
      </c>
      <c r="F6253" t="str">
        <f>"GUITAR 1"</f>
        <v>GUITAR 1</v>
      </c>
      <c r="G6253" t="str">
        <f>"05-505"</f>
        <v>05-505</v>
      </c>
      <c r="H6253" t="str">
        <f>"B"</f>
        <v>B</v>
      </c>
    </row>
    <row r="6254" spans="1:8" x14ac:dyDescent="0.2">
      <c r="A6254" t="str">
        <f t="shared" si="2296"/>
        <v>0616111873</v>
      </c>
      <c r="B6254" t="str">
        <f t="shared" si="2297"/>
        <v>LEILA</v>
      </c>
      <c r="C6254" t="str">
        <f t="shared" si="2298"/>
        <v>GERMOSEN</v>
      </c>
      <c r="D6254" t="str">
        <f t="shared" si="2299"/>
        <v>09</v>
      </c>
      <c r="E6254" t="str">
        <f>"03 - S1 - A - 102 - Leslie J Barton"</f>
        <v>03 - S1 - A - 102 - Leslie J Barton</v>
      </c>
      <c r="F6254" t="str">
        <f>"FIRST AID SAFETY"</f>
        <v>FIRST AID SAFETY</v>
      </c>
      <c r="G6254" t="str">
        <f>"05-521"</f>
        <v>05-521</v>
      </c>
      <c r="H6254" t="str">
        <f>"A"</f>
        <v>A</v>
      </c>
    </row>
    <row r="6255" spans="1:8" x14ac:dyDescent="0.2">
      <c r="A6255" t="str">
        <f t="shared" si="2296"/>
        <v>0616111873</v>
      </c>
      <c r="B6255" t="str">
        <f t="shared" si="2297"/>
        <v>LEILA</v>
      </c>
      <c r="C6255" t="str">
        <f t="shared" si="2298"/>
        <v>GERMOSEN</v>
      </c>
      <c r="D6255" t="str">
        <f t="shared" si="2299"/>
        <v>09</v>
      </c>
      <c r="E6255" t="str">
        <f>"02 - A - 103 - Arthur  Kulawik"</f>
        <v>02 - A - 103 - Arthur  Kulawik</v>
      </c>
      <c r="F6255" t="str">
        <f>"NC STUDY HALL 1"</f>
        <v>NC STUDY HALL 1</v>
      </c>
      <c r="G6255" t="str">
        <f>"05-506"</f>
        <v>05-506</v>
      </c>
      <c r="H6255" t="str">
        <f>"A"</f>
        <v>A</v>
      </c>
    </row>
    <row r="6256" spans="1:8" x14ac:dyDescent="0.2">
      <c r="A6256" t="str">
        <f t="shared" si="2296"/>
        <v>0616111873</v>
      </c>
      <c r="B6256" t="str">
        <f t="shared" si="2297"/>
        <v>LEILA</v>
      </c>
      <c r="C6256" t="str">
        <f t="shared" si="2298"/>
        <v>GERMOSEN</v>
      </c>
      <c r="D6256" t="str">
        <f t="shared" si="2299"/>
        <v>09</v>
      </c>
      <c r="E6256" t="str">
        <f>"07 - B - 105 - Byron G Montenegro"</f>
        <v>07 - B - 105 - Byron G Montenegro</v>
      </c>
      <c r="F6256" t="str">
        <f>"AICE MARINE SCI 1 AS"</f>
        <v>AICE MARINE SCI 1 AS</v>
      </c>
      <c r="G6256" t="str">
        <f>"21-2144"</f>
        <v>21-2144</v>
      </c>
      <c r="H6256" t="str">
        <f>"B"</f>
        <v>B</v>
      </c>
    </row>
    <row r="6257" spans="1:8" x14ac:dyDescent="0.2">
      <c r="A6257" t="str">
        <f t="shared" si="2296"/>
        <v>0616111873</v>
      </c>
      <c r="B6257" t="str">
        <f t="shared" si="2297"/>
        <v>LEILA</v>
      </c>
      <c r="C6257" t="str">
        <f t="shared" si="2298"/>
        <v>GERMOSEN</v>
      </c>
      <c r="D6257" t="str">
        <f t="shared" si="2299"/>
        <v>09</v>
      </c>
      <c r="E6257" t="str">
        <f>"05 - B - 003 - Krystal Marie  Beruty"</f>
        <v>05 - B - 003 - Krystal Marie  Beruty</v>
      </c>
      <c r="F6257" t="str">
        <f>"AICE GLBL PERSP 1 AS"</f>
        <v>AICE GLBL PERSP 1 AS</v>
      </c>
      <c r="G6257" t="str">
        <f>"17-1721"</f>
        <v>17-1721</v>
      </c>
      <c r="H6257" t="str">
        <f>"B"</f>
        <v>B</v>
      </c>
    </row>
    <row r="6258" spans="1:8" x14ac:dyDescent="0.2">
      <c r="A6258" t="str">
        <f t="shared" si="2296"/>
        <v>0616111873</v>
      </c>
      <c r="B6258" t="str">
        <f t="shared" si="2297"/>
        <v>LEILA</v>
      </c>
      <c r="C6258" t="str">
        <f t="shared" si="2298"/>
        <v>GERMOSEN</v>
      </c>
      <c r="D6258" t="str">
        <f t="shared" si="2299"/>
        <v>09</v>
      </c>
      <c r="E6258" t="str">
        <f>"01 - A - 101 - Elizabeth R Walker"</f>
        <v>01 - A - 101 - Elizabeth R Walker</v>
      </c>
      <c r="F6258" t="str">
        <f>"AICE ENG GEN PAPER 1"</f>
        <v>AICE ENG GEN PAPER 1</v>
      </c>
      <c r="G6258" t="str">
        <f>"17-1703"</f>
        <v>17-1703</v>
      </c>
      <c r="H6258" t="str">
        <f>"A"</f>
        <v>A</v>
      </c>
    </row>
    <row r="6259" spans="1:8" x14ac:dyDescent="0.2">
      <c r="A6259" t="str">
        <f t="shared" si="2296"/>
        <v>0616111873</v>
      </c>
      <c r="B6259" t="str">
        <f t="shared" si="2297"/>
        <v>LEILA</v>
      </c>
      <c r="C6259" t="str">
        <f t="shared" si="2298"/>
        <v>GERMOSEN</v>
      </c>
      <c r="D6259" t="str">
        <f t="shared" si="2299"/>
        <v>09</v>
      </c>
      <c r="E6259" t="str">
        <f>"08 - B - 102 - Maried P Ramos"</f>
        <v>08 - B - 102 - Maried P Ramos</v>
      </c>
      <c r="F6259" t="str">
        <f>"ALGEBRA 2 HON"</f>
        <v>ALGEBRA 2 HON</v>
      </c>
      <c r="G6259" t="str">
        <f>"21-2159"</f>
        <v>21-2159</v>
      </c>
      <c r="H6259" t="str">
        <f>"B"</f>
        <v>B</v>
      </c>
    </row>
    <row r="6260" spans="1:8" x14ac:dyDescent="0.2">
      <c r="A6260" t="str">
        <f t="shared" ref="A6260:A6267" si="2300">"0612107420"</f>
        <v>0612107420</v>
      </c>
      <c r="B6260" t="str">
        <f t="shared" ref="B6260:B6267" si="2301">"DUANE"</f>
        <v>DUANE</v>
      </c>
      <c r="C6260" t="str">
        <f t="shared" ref="C6260:C6267" si="2302">"GERROW"</f>
        <v>GERROW</v>
      </c>
      <c r="D6260">
        <f>12</f>
        <v>12</v>
      </c>
      <c r="E6260" t="str">
        <f>"04 - S1 - A - 105 - Robert O Burger"</f>
        <v>04 - S1 - A - 105 - Robert O Burger</v>
      </c>
      <c r="F6260" t="str">
        <f>"US GOVT"</f>
        <v>US GOVT</v>
      </c>
      <c r="G6260" t="str">
        <f>"17-1755"</f>
        <v>17-1755</v>
      </c>
      <c r="H6260" t="str">
        <f>"A"</f>
        <v>A</v>
      </c>
    </row>
    <row r="6261" spans="1:8" x14ac:dyDescent="0.2">
      <c r="A6261" t="str">
        <f t="shared" si="2300"/>
        <v>0612107420</v>
      </c>
      <c r="B6261" t="str">
        <f t="shared" si="2301"/>
        <v>DUANE</v>
      </c>
      <c r="C6261" t="str">
        <f t="shared" si="2302"/>
        <v>GERROW</v>
      </c>
      <c r="D6261">
        <f>12</f>
        <v>12</v>
      </c>
      <c r="E6261" t="str">
        <f>"06 - B - 101 - Cliffon  Saurel"</f>
        <v>06 - B - 101 - Cliffon  Saurel</v>
      </c>
      <c r="F6261" t="str">
        <f>"NC STUDY HALL 1"</f>
        <v>NC STUDY HALL 1</v>
      </c>
      <c r="G6261" t="str">
        <f>"05-522"</f>
        <v>05-522</v>
      </c>
      <c r="H6261" t="str">
        <f>"B"</f>
        <v>B</v>
      </c>
    </row>
    <row r="6262" spans="1:8" x14ac:dyDescent="0.2">
      <c r="A6262" t="str">
        <f t="shared" si="2300"/>
        <v>0612107420</v>
      </c>
      <c r="B6262" t="str">
        <f t="shared" si="2301"/>
        <v>DUANE</v>
      </c>
      <c r="C6262" t="str">
        <f t="shared" si="2302"/>
        <v>GERROW</v>
      </c>
      <c r="D6262">
        <f>12</f>
        <v>12</v>
      </c>
      <c r="E6262" t="str">
        <f>"03 - A - 101 - Tina L Lovett"</f>
        <v>03 - A - 101 - Tina L Lovett</v>
      </c>
      <c r="F6262" t="str">
        <f>"MATH DATA &amp; FIN LIT"</f>
        <v>MATH DATA &amp; FIN LIT</v>
      </c>
      <c r="G6262" t="str">
        <f>"21-2153"</f>
        <v>21-2153</v>
      </c>
      <c r="H6262" t="str">
        <f>"A"</f>
        <v>A</v>
      </c>
    </row>
    <row r="6263" spans="1:8" x14ac:dyDescent="0.2">
      <c r="A6263" t="str">
        <f t="shared" si="2300"/>
        <v>0612107420</v>
      </c>
      <c r="B6263" t="str">
        <f t="shared" si="2301"/>
        <v>DUANE</v>
      </c>
      <c r="C6263" t="str">
        <f t="shared" si="2302"/>
        <v>GERROW</v>
      </c>
      <c r="D6263">
        <f>12</f>
        <v>12</v>
      </c>
      <c r="E6263" t="str">
        <f>"02 - S1 - A - 102 - Richard E Dunbar Iii"</f>
        <v>02 - S1 - A - 102 - Richard E Dunbar Iii</v>
      </c>
      <c r="F6263" t="str">
        <f>"WEIGHT TRAIN 1"</f>
        <v>WEIGHT TRAIN 1</v>
      </c>
      <c r="G6263" t="str">
        <f>"05-501"</f>
        <v>05-501</v>
      </c>
      <c r="H6263" t="str">
        <f>"A"</f>
        <v>A</v>
      </c>
    </row>
    <row r="6264" spans="1:8" x14ac:dyDescent="0.2">
      <c r="A6264" t="str">
        <f t="shared" si="2300"/>
        <v>0612107420</v>
      </c>
      <c r="B6264" t="str">
        <f t="shared" si="2301"/>
        <v>DUANE</v>
      </c>
      <c r="C6264" t="str">
        <f t="shared" si="2302"/>
        <v>GERROW</v>
      </c>
      <c r="D6264">
        <f>12</f>
        <v>12</v>
      </c>
      <c r="E6264" t="str">
        <f>"07 - B - 201 - Angela S Adeshina-Morrison"</f>
        <v>07 - B - 201 - Angela S Adeshina-Morrison</v>
      </c>
      <c r="F6264" t="str">
        <f>"BUSINESS OWNER HON"</f>
        <v>BUSINESS OWNER HON</v>
      </c>
      <c r="G6264" t="str">
        <f>"05-518"</f>
        <v>05-518</v>
      </c>
      <c r="H6264" t="str">
        <f>"B"</f>
        <v>B</v>
      </c>
    </row>
    <row r="6265" spans="1:8" x14ac:dyDescent="0.2">
      <c r="A6265" t="str">
        <f t="shared" si="2300"/>
        <v>0612107420</v>
      </c>
      <c r="B6265" t="str">
        <f t="shared" si="2301"/>
        <v>DUANE</v>
      </c>
      <c r="C6265" t="str">
        <f t="shared" si="2302"/>
        <v>GERROW</v>
      </c>
      <c r="D6265">
        <f>12</f>
        <v>12</v>
      </c>
      <c r="E6265" t="str">
        <f>"05 - B - 207 - Marielle A Witting"</f>
        <v>05 - B - 207 - Marielle A Witting</v>
      </c>
      <c r="F6265" t="str">
        <f>"ANAT PHYSIO"</f>
        <v>ANAT PHYSIO</v>
      </c>
      <c r="G6265" t="str">
        <f>"08-805"</f>
        <v>08-805</v>
      </c>
      <c r="H6265" t="str">
        <f>"B"</f>
        <v>B</v>
      </c>
    </row>
    <row r="6266" spans="1:8" x14ac:dyDescent="0.2">
      <c r="A6266" t="str">
        <f t="shared" si="2300"/>
        <v>0612107420</v>
      </c>
      <c r="B6266" t="str">
        <f t="shared" si="2301"/>
        <v>DUANE</v>
      </c>
      <c r="C6266" t="str">
        <f t="shared" si="2302"/>
        <v>GERROW</v>
      </c>
      <c r="D6266">
        <f>12</f>
        <v>12</v>
      </c>
      <c r="E6266" t="str">
        <f>"01 - A - 103 - Robyn L Trainer"</f>
        <v>01 - A - 103 - Robyn L Trainer</v>
      </c>
      <c r="F6266" t="str">
        <f>"ENG 4"</f>
        <v>ENG 4</v>
      </c>
      <c r="G6266" t="str">
        <f>"17-1734"</f>
        <v>17-1734</v>
      </c>
      <c r="H6266" t="str">
        <f>"A"</f>
        <v>A</v>
      </c>
    </row>
    <row r="6267" spans="1:8" x14ac:dyDescent="0.2">
      <c r="A6267" t="str">
        <f t="shared" si="2300"/>
        <v>0612107420</v>
      </c>
      <c r="B6267" t="str">
        <f t="shared" si="2301"/>
        <v>DUANE</v>
      </c>
      <c r="C6267" t="str">
        <f t="shared" si="2302"/>
        <v>GERROW</v>
      </c>
      <c r="D6267">
        <f>12</f>
        <v>12</v>
      </c>
      <c r="E6267" t="str">
        <f>"08 - B - 102 - Robert H Rindner"</f>
        <v>08 - B - 102 - Robert H Rindner</v>
      </c>
      <c r="F6267" t="str">
        <f>"TV PRODUCTION TECH 1"</f>
        <v>TV PRODUCTION TECH 1</v>
      </c>
      <c r="G6267" t="str">
        <f>"21-2160"</f>
        <v>21-2160</v>
      </c>
      <c r="H6267" t="str">
        <f>"B"</f>
        <v>B</v>
      </c>
    </row>
    <row r="6268" spans="1:8" x14ac:dyDescent="0.2">
      <c r="A6268" t="str">
        <f t="shared" ref="A6268:A6275" si="2303">"0614064026"</f>
        <v>0614064026</v>
      </c>
      <c r="B6268" t="str">
        <f t="shared" ref="B6268:B6275" si="2304">"KETHLAINE"</f>
        <v>KETHLAINE</v>
      </c>
      <c r="C6268" t="str">
        <f t="shared" ref="C6268:C6275" si="2305">"GERVIL"</f>
        <v>GERVIL</v>
      </c>
      <c r="D6268">
        <f>11</f>
        <v>11</v>
      </c>
      <c r="E6268" t="str">
        <f>"04 - A - 104 - Robert H Rindner"</f>
        <v>04 - A - 104 - Robert H Rindner</v>
      </c>
      <c r="F6268" t="str">
        <f>"MATH DATA&amp;FIN LIT H"</f>
        <v>MATH DATA&amp;FIN LIT H</v>
      </c>
      <c r="G6268" t="str">
        <f>"21-2160"</f>
        <v>21-2160</v>
      </c>
      <c r="H6268" t="str">
        <f>"A"</f>
        <v>A</v>
      </c>
    </row>
    <row r="6269" spans="1:8" x14ac:dyDescent="0.2">
      <c r="A6269" t="str">
        <f t="shared" si="2303"/>
        <v>0614064026</v>
      </c>
      <c r="B6269" t="str">
        <f t="shared" si="2304"/>
        <v>KETHLAINE</v>
      </c>
      <c r="C6269" t="str">
        <f t="shared" si="2305"/>
        <v>GERVIL</v>
      </c>
      <c r="D6269">
        <f>11</f>
        <v>11</v>
      </c>
      <c r="E6269" t="str">
        <f>"06 - B - 104 - Brandy N Zdenek"</f>
        <v>06 - B - 104 - Brandy N Zdenek</v>
      </c>
      <c r="F6269" t="str">
        <f>"AICE ENG LANG 2 AL"</f>
        <v>AICE ENG LANG 2 AL</v>
      </c>
      <c r="G6269" t="str">
        <f>"17-1704"</f>
        <v>17-1704</v>
      </c>
      <c r="H6269" t="str">
        <f>"B"</f>
        <v>B</v>
      </c>
    </row>
    <row r="6270" spans="1:8" x14ac:dyDescent="0.2">
      <c r="A6270" t="str">
        <f t="shared" si="2303"/>
        <v>0614064026</v>
      </c>
      <c r="B6270" t="str">
        <f t="shared" si="2304"/>
        <v>KETHLAINE</v>
      </c>
      <c r="C6270" t="str">
        <f t="shared" si="2305"/>
        <v>GERVIL</v>
      </c>
      <c r="D6270">
        <f>11</f>
        <v>11</v>
      </c>
      <c r="E6270" t="str">
        <f>"03 - A - 106 - Krystal Marie  Beruty"</f>
        <v>03 - A - 106 - Krystal Marie  Beruty</v>
      </c>
      <c r="F6270" t="str">
        <f>"AICE PSYCH 1 AS"</f>
        <v>AICE PSYCH 1 AS</v>
      </c>
      <c r="G6270" t="str">
        <f>"17-1721"</f>
        <v>17-1721</v>
      </c>
      <c r="H6270" t="str">
        <f>"A"</f>
        <v>A</v>
      </c>
    </row>
    <row r="6271" spans="1:8" x14ac:dyDescent="0.2">
      <c r="A6271" t="str">
        <f t="shared" si="2303"/>
        <v>0614064026</v>
      </c>
      <c r="B6271" t="str">
        <f t="shared" si="2304"/>
        <v>KETHLAINE</v>
      </c>
      <c r="C6271" t="str">
        <f t="shared" si="2305"/>
        <v>GERVIL</v>
      </c>
      <c r="D6271">
        <f>11</f>
        <v>11</v>
      </c>
      <c r="E6271" t="str">
        <f>"02 - A - 001 - Courtney E Hambright"</f>
        <v>02 - A - 001 - Courtney E Hambright</v>
      </c>
      <c r="F6271" t="str">
        <f>"NC STUDY HALL 1"</f>
        <v>NC STUDY HALL 1</v>
      </c>
      <c r="G6271" t="str">
        <f>"17-1711"</f>
        <v>17-1711</v>
      </c>
      <c r="H6271" t="str">
        <f>"A"</f>
        <v>A</v>
      </c>
    </row>
    <row r="6272" spans="1:8" x14ac:dyDescent="0.2">
      <c r="A6272" t="str">
        <f t="shared" si="2303"/>
        <v>0614064026</v>
      </c>
      <c r="B6272" t="str">
        <f t="shared" si="2304"/>
        <v>KETHLAINE</v>
      </c>
      <c r="C6272" t="str">
        <f t="shared" si="2305"/>
        <v>GERVIL</v>
      </c>
      <c r="D6272">
        <f>11</f>
        <v>11</v>
      </c>
      <c r="E6272" t="str">
        <f>"07 - B - 101 - Alejandro  Navarro"</f>
        <v>07 - B - 101 - Alejandro  Navarro</v>
      </c>
      <c r="F6272" t="str">
        <f>"EURHY 1"</f>
        <v>EURHY 1</v>
      </c>
      <c r="G6272" t="str">
        <f>"05-504"</f>
        <v>05-504</v>
      </c>
      <c r="H6272" t="str">
        <f>"B"</f>
        <v>B</v>
      </c>
    </row>
    <row r="6273" spans="1:8" x14ac:dyDescent="0.2">
      <c r="A6273" t="str">
        <f t="shared" si="2303"/>
        <v>0614064026</v>
      </c>
      <c r="B6273" t="str">
        <f t="shared" si="2304"/>
        <v>KETHLAINE</v>
      </c>
      <c r="C6273" t="str">
        <f t="shared" si="2305"/>
        <v>GERVIL</v>
      </c>
      <c r="D6273">
        <f>11</f>
        <v>11</v>
      </c>
      <c r="E6273" t="str">
        <f>"05 - B - 001 - Kyle  Robbins"</f>
        <v>05 - B - 001 - Kyle  Robbins</v>
      </c>
      <c r="F6273" t="str">
        <f>"US HISTORY HON"</f>
        <v>US HISTORY HON</v>
      </c>
      <c r="G6273" t="str">
        <f>"17-1745"</f>
        <v>17-1745</v>
      </c>
      <c r="H6273" t="str">
        <f>"B"</f>
        <v>B</v>
      </c>
    </row>
    <row r="6274" spans="1:8" x14ac:dyDescent="0.2">
      <c r="A6274" t="str">
        <f t="shared" si="2303"/>
        <v>0614064026</v>
      </c>
      <c r="B6274" t="str">
        <f t="shared" si="2304"/>
        <v>KETHLAINE</v>
      </c>
      <c r="C6274" t="str">
        <f t="shared" si="2305"/>
        <v>GERVIL</v>
      </c>
      <c r="D6274">
        <f>11</f>
        <v>11</v>
      </c>
      <c r="E6274" t="str">
        <f>"01 - A - 101 - Lisa J London"</f>
        <v>01 - A - 101 - Lisa J London</v>
      </c>
      <c r="F6274" t="str">
        <f>"AP CAPSTONE SEMINAR"</f>
        <v>AP CAPSTONE SEMINAR</v>
      </c>
      <c r="G6274" t="str">
        <f>"17-1714"</f>
        <v>17-1714</v>
      </c>
      <c r="H6274" t="str">
        <f>"A"</f>
        <v>A</v>
      </c>
    </row>
    <row r="6275" spans="1:8" x14ac:dyDescent="0.2">
      <c r="A6275" t="str">
        <f t="shared" si="2303"/>
        <v>0614064026</v>
      </c>
      <c r="B6275" t="str">
        <f t="shared" si="2304"/>
        <v>KETHLAINE</v>
      </c>
      <c r="C6275" t="str">
        <f t="shared" si="2305"/>
        <v>GERVIL</v>
      </c>
      <c r="D6275">
        <f>11</f>
        <v>11</v>
      </c>
      <c r="E6275" t="str">
        <f>"08 - B - 101 - Samantha L Martinez"</f>
        <v>08 - B - 101 - Samantha L Martinez</v>
      </c>
      <c r="F6275" t="str">
        <f>"VOCAL ENS 3"</f>
        <v>VOCAL ENS 3</v>
      </c>
      <c r="G6275" t="str">
        <f>"05-505"</f>
        <v>05-505</v>
      </c>
      <c r="H6275" t="str">
        <f>"B"</f>
        <v>B</v>
      </c>
    </row>
    <row r="6276" spans="1:8" x14ac:dyDescent="0.2">
      <c r="A6276" t="str">
        <f t="shared" ref="A6276:A6283" si="2306">"0617038916"</f>
        <v>0617038916</v>
      </c>
      <c r="B6276" t="str">
        <f t="shared" ref="B6276:B6283" si="2307">"JORDAN"</f>
        <v>JORDAN</v>
      </c>
      <c r="C6276" t="str">
        <f t="shared" ref="C6276:C6283" si="2308">"GERVIN"</f>
        <v>GERVIN</v>
      </c>
      <c r="D6276">
        <f>10</f>
        <v>10</v>
      </c>
      <c r="E6276" t="str">
        <f>"04 - A - 106 - Lissa C Frederique"</f>
        <v>04 - A - 106 - Lissa C Frederique</v>
      </c>
      <c r="F6276" t="str">
        <f>"WORLD HISTORY"</f>
        <v>WORLD HISTORY</v>
      </c>
      <c r="G6276" t="str">
        <f>"17-1754"</f>
        <v>17-1754</v>
      </c>
      <c r="H6276" t="str">
        <f>"A"</f>
        <v>A</v>
      </c>
    </row>
    <row r="6277" spans="1:8" x14ac:dyDescent="0.2">
      <c r="A6277" t="str">
        <f t="shared" si="2306"/>
        <v>0617038916</v>
      </c>
      <c r="B6277" t="str">
        <f t="shared" si="2307"/>
        <v>JORDAN</v>
      </c>
      <c r="C6277" t="str">
        <f t="shared" si="2308"/>
        <v>GERVIN</v>
      </c>
      <c r="D6277">
        <f>10</f>
        <v>10</v>
      </c>
      <c r="E6277" t="str">
        <f>"06 - B - 116 - Jordana K Hass"</f>
        <v>06 - B - 116 - Jordana K Hass</v>
      </c>
      <c r="F6277" t="str">
        <f>"NC STUDY HALL 1"</f>
        <v>NC STUDY HALL 1</v>
      </c>
      <c r="G6277" t="str">
        <f>"08-807"</f>
        <v>08-807</v>
      </c>
      <c r="H6277" t="str">
        <f>"B"</f>
        <v>B</v>
      </c>
    </row>
    <row r="6278" spans="1:8" x14ac:dyDescent="0.2">
      <c r="A6278" t="str">
        <f t="shared" si="2306"/>
        <v>0617038916</v>
      </c>
      <c r="B6278" t="str">
        <f t="shared" si="2307"/>
        <v>JORDAN</v>
      </c>
      <c r="C6278" t="str">
        <f t="shared" si="2308"/>
        <v>GERVIN</v>
      </c>
      <c r="D6278">
        <f>10</f>
        <v>10</v>
      </c>
      <c r="E6278" t="str">
        <f>"03 - A - 101 - Eva T Rimmer"</f>
        <v>03 - A - 101 - Eva T Rimmer</v>
      </c>
      <c r="F6278" t="str">
        <f>"CRIMINAL JUST OPS 1"</f>
        <v>CRIMINAL JUST OPS 1</v>
      </c>
      <c r="G6278" t="str">
        <f>"05-523"</f>
        <v>05-523</v>
      </c>
      <c r="H6278" t="str">
        <f>"A"</f>
        <v>A</v>
      </c>
    </row>
    <row r="6279" spans="1:8" x14ac:dyDescent="0.2">
      <c r="A6279" t="str">
        <f t="shared" si="2306"/>
        <v>0617038916</v>
      </c>
      <c r="B6279" t="str">
        <f t="shared" si="2307"/>
        <v>JORDAN</v>
      </c>
      <c r="C6279" t="str">
        <f t="shared" si="2308"/>
        <v>GERVIN</v>
      </c>
      <c r="D6279">
        <f>10</f>
        <v>10</v>
      </c>
      <c r="E6279" t="str">
        <f>"02 - A - 101 - Brian M Fitzgerald"</f>
        <v>02 - A - 101 - Brian M Fitzgerald</v>
      </c>
      <c r="F6279" t="str">
        <f>"DRAW 1"</f>
        <v>DRAW 1</v>
      </c>
      <c r="G6279" t="str">
        <f>"09-908"</f>
        <v>09-908</v>
      </c>
      <c r="H6279" t="str">
        <f>"A"</f>
        <v>A</v>
      </c>
    </row>
    <row r="6280" spans="1:8" x14ac:dyDescent="0.2">
      <c r="A6280" t="str">
        <f t="shared" si="2306"/>
        <v>0617038916</v>
      </c>
      <c r="B6280" t="str">
        <f t="shared" si="2307"/>
        <v>JORDAN</v>
      </c>
      <c r="C6280" t="str">
        <f t="shared" si="2308"/>
        <v>GERVIN</v>
      </c>
      <c r="D6280">
        <f>10</f>
        <v>10</v>
      </c>
      <c r="E6280" t="str">
        <f>"07 - B - 102 - Nikiel  Nesbeth"</f>
        <v>07 - B - 102 - Nikiel  Nesbeth</v>
      </c>
      <c r="F6280" t="str">
        <f>"PRE-AICE ENG LIT IG"</f>
        <v>PRE-AICE ENG LIT IG</v>
      </c>
      <c r="G6280" t="str">
        <f>"17-1705"</f>
        <v>17-1705</v>
      </c>
      <c r="H6280" t="str">
        <f>"B"</f>
        <v>B</v>
      </c>
    </row>
    <row r="6281" spans="1:8" x14ac:dyDescent="0.2">
      <c r="A6281" t="str">
        <f t="shared" si="2306"/>
        <v>0617038916</v>
      </c>
      <c r="B6281" t="str">
        <f t="shared" si="2307"/>
        <v>JORDAN</v>
      </c>
      <c r="C6281" t="str">
        <f t="shared" si="2308"/>
        <v>GERVIN</v>
      </c>
      <c r="D6281">
        <f>10</f>
        <v>10</v>
      </c>
      <c r="E6281" t="str">
        <f>"05 - B - 109 - Ferrie J Arostique"</f>
        <v>05 - B - 109 - Ferrie J Arostique</v>
      </c>
      <c r="F6281" t="str">
        <f>"GEOMETRY"</f>
        <v>GEOMETRY</v>
      </c>
      <c r="G6281" t="str">
        <f>"21-2139"</f>
        <v>21-2139</v>
      </c>
      <c r="H6281" t="str">
        <f>"B"</f>
        <v>B</v>
      </c>
    </row>
    <row r="6282" spans="1:8" x14ac:dyDescent="0.2">
      <c r="A6282" t="str">
        <f t="shared" si="2306"/>
        <v>0617038916</v>
      </c>
      <c r="B6282" t="str">
        <f t="shared" si="2307"/>
        <v>JORDAN</v>
      </c>
      <c r="C6282" t="str">
        <f t="shared" si="2308"/>
        <v>GERVIN</v>
      </c>
      <c r="D6282">
        <f>10</f>
        <v>10</v>
      </c>
      <c r="E6282" t="str">
        <f>"01 - A - 102 - Lytrell T Dixon"</f>
        <v>01 - A - 102 - Lytrell T Dixon</v>
      </c>
      <c r="F6282" t="str">
        <f>"BIOLOGY 1"</f>
        <v>BIOLOGY 1</v>
      </c>
      <c r="G6282" t="str">
        <f>"08-808"</f>
        <v>08-808</v>
      </c>
      <c r="H6282" t="str">
        <f>"A"</f>
        <v>A</v>
      </c>
    </row>
    <row r="6283" spans="1:8" x14ac:dyDescent="0.2">
      <c r="A6283" t="str">
        <f t="shared" si="2306"/>
        <v>0617038916</v>
      </c>
      <c r="B6283" t="str">
        <f t="shared" si="2307"/>
        <v>JORDAN</v>
      </c>
      <c r="C6283" t="str">
        <f t="shared" si="2308"/>
        <v>GERVIN</v>
      </c>
      <c r="D6283">
        <f>10</f>
        <v>10</v>
      </c>
      <c r="E6283" t="str">
        <f>"08 - B - 101 - Jazmin S Fletcher"</f>
        <v>08 - B - 101 - Jazmin S Fletcher</v>
      </c>
      <c r="F6283" t="str">
        <f>"PRE-AICE DRAMA 1G"</f>
        <v>PRE-AICE DRAMA 1G</v>
      </c>
      <c r="G6283" t="str">
        <f>"09-909"</f>
        <v>09-909</v>
      </c>
      <c r="H6283" t="str">
        <f>"B"</f>
        <v>B</v>
      </c>
    </row>
    <row r="6284" spans="1:8" x14ac:dyDescent="0.2">
      <c r="A6284" t="str">
        <f t="shared" ref="A6284:A6291" si="2309">"0615099302"</f>
        <v>0615099302</v>
      </c>
      <c r="B6284" t="str">
        <f t="shared" ref="B6284:B6291" si="2310">"ISSABELLA"</f>
        <v>ISSABELLA</v>
      </c>
      <c r="C6284" t="str">
        <f t="shared" ref="C6284:C6299" si="2311">"GIRALDO"</f>
        <v>GIRALDO</v>
      </c>
      <c r="D6284">
        <f>10</f>
        <v>10</v>
      </c>
      <c r="E6284" t="str">
        <f>"04 - S1 - A - 103 - Rory T Sponsler"</f>
        <v>04 - S1 - A - 103 - Rory T Sponsler</v>
      </c>
      <c r="F6284" t="str">
        <f>"WOMENS STUDIES LH"</f>
        <v>WOMENS STUDIES LH</v>
      </c>
      <c r="G6284" t="str">
        <f>"17-1740"</f>
        <v>17-1740</v>
      </c>
      <c r="H6284" t="str">
        <f>"A"</f>
        <v>A</v>
      </c>
    </row>
    <row r="6285" spans="1:8" x14ac:dyDescent="0.2">
      <c r="A6285" t="str">
        <f t="shared" si="2309"/>
        <v>0615099302</v>
      </c>
      <c r="B6285" t="str">
        <f t="shared" si="2310"/>
        <v>ISSABELLA</v>
      </c>
      <c r="C6285" t="str">
        <f t="shared" si="2311"/>
        <v>GIRALDO</v>
      </c>
      <c r="D6285">
        <f>10</f>
        <v>10</v>
      </c>
      <c r="E6285" t="str">
        <f>"06 - B - 103 - Thomas G Handwerg"</f>
        <v>06 - B - 103 - Thomas G Handwerg</v>
      </c>
      <c r="F6285" t="str">
        <f>"NC STUDY HALL 1"</f>
        <v>NC STUDY HALL 1</v>
      </c>
      <c r="G6285" t="str">
        <f>"21-2146"</f>
        <v>21-2146</v>
      </c>
      <c r="H6285" t="str">
        <f>"B"</f>
        <v>B</v>
      </c>
    </row>
    <row r="6286" spans="1:8" x14ac:dyDescent="0.2">
      <c r="A6286" t="str">
        <f t="shared" si="2309"/>
        <v>0615099302</v>
      </c>
      <c r="B6286" t="str">
        <f t="shared" si="2310"/>
        <v>ISSABELLA</v>
      </c>
      <c r="C6286" t="str">
        <f t="shared" si="2311"/>
        <v>GIRALDO</v>
      </c>
      <c r="D6286">
        <f>10</f>
        <v>10</v>
      </c>
      <c r="E6286" t="str">
        <f>"03 - A - 103 - Marius D Orsolini"</f>
        <v>03 - A - 103 - Marius D Orsolini</v>
      </c>
      <c r="F6286" t="str">
        <f>"CULINARY ARTS 1"</f>
        <v>CULINARY ARTS 1</v>
      </c>
      <c r="G6286" t="str">
        <f>"21-2115"</f>
        <v>21-2115</v>
      </c>
      <c r="H6286" t="str">
        <f>"A"</f>
        <v>A</v>
      </c>
    </row>
    <row r="6287" spans="1:8" x14ac:dyDescent="0.2">
      <c r="A6287" t="str">
        <f t="shared" si="2309"/>
        <v>0615099302</v>
      </c>
      <c r="B6287" t="str">
        <f t="shared" si="2310"/>
        <v>ISSABELLA</v>
      </c>
      <c r="C6287" t="str">
        <f t="shared" si="2311"/>
        <v>GIRALDO</v>
      </c>
      <c r="D6287">
        <f>10</f>
        <v>10</v>
      </c>
      <c r="E6287" t="str">
        <f>"02 - A - 105 - Semra  Bahadir"</f>
        <v>02 - A - 105 - Semra  Bahadir</v>
      </c>
      <c r="F6287" t="str">
        <f>"ALGEBRA 2"</f>
        <v>ALGEBRA 2</v>
      </c>
      <c r="G6287" t="str">
        <f>"21-2107"</f>
        <v>21-2107</v>
      </c>
      <c r="H6287" t="str">
        <f>"A"</f>
        <v>A</v>
      </c>
    </row>
    <row r="6288" spans="1:8" x14ac:dyDescent="0.2">
      <c r="A6288" t="str">
        <f t="shared" si="2309"/>
        <v>0615099302</v>
      </c>
      <c r="B6288" t="str">
        <f t="shared" si="2310"/>
        <v>ISSABELLA</v>
      </c>
      <c r="C6288" t="str">
        <f t="shared" si="2311"/>
        <v>GIRALDO</v>
      </c>
      <c r="D6288">
        <f>10</f>
        <v>10</v>
      </c>
      <c r="E6288" t="str">
        <f>"07 - B - 105 - Paige Lauren  Brochu"</f>
        <v>07 - B - 105 - Paige Lauren  Brochu</v>
      </c>
      <c r="F6288" t="str">
        <f>"PRE-AICE BIO IG"</f>
        <v>PRE-AICE BIO IG</v>
      </c>
      <c r="G6288" t="str">
        <f>"21-2134"</f>
        <v>21-2134</v>
      </c>
      <c r="H6288" t="str">
        <f>"B"</f>
        <v>B</v>
      </c>
    </row>
    <row r="6289" spans="1:8" x14ac:dyDescent="0.2">
      <c r="A6289" t="str">
        <f t="shared" si="2309"/>
        <v>0615099302</v>
      </c>
      <c r="B6289" t="str">
        <f t="shared" si="2310"/>
        <v>ISSABELLA</v>
      </c>
      <c r="C6289" t="str">
        <f t="shared" si="2311"/>
        <v>GIRALDO</v>
      </c>
      <c r="D6289">
        <f>10</f>
        <v>10</v>
      </c>
      <c r="E6289" t="str">
        <f>"05 - B - 001 - Kelly N Panza"</f>
        <v>05 - B - 001 - Kelly N Panza</v>
      </c>
      <c r="F6289" t="str">
        <f>"AICE GLBL PERSP 1 AS"</f>
        <v>AICE GLBL PERSP 1 AS</v>
      </c>
      <c r="G6289" t="str">
        <f>"17-1753"</f>
        <v>17-1753</v>
      </c>
      <c r="H6289" t="str">
        <f>"B"</f>
        <v>B</v>
      </c>
    </row>
    <row r="6290" spans="1:8" x14ac:dyDescent="0.2">
      <c r="A6290" t="str">
        <f t="shared" si="2309"/>
        <v>0615099302</v>
      </c>
      <c r="B6290" t="str">
        <f t="shared" si="2310"/>
        <v>ISSABELLA</v>
      </c>
      <c r="C6290" t="str">
        <f t="shared" si="2311"/>
        <v>GIRALDO</v>
      </c>
      <c r="D6290">
        <f>10</f>
        <v>10</v>
      </c>
      <c r="E6290" t="str">
        <f>"01 - A - 101 - Byron G Montenegro"</f>
        <v>01 - A - 101 - Byron G Montenegro</v>
      </c>
      <c r="F6290" t="str">
        <f>"AICE MARINE SCI 1 AS"</f>
        <v>AICE MARINE SCI 1 AS</v>
      </c>
      <c r="G6290" t="str">
        <f>"21-2144"</f>
        <v>21-2144</v>
      </c>
      <c r="H6290" t="str">
        <f>"A"</f>
        <v>A</v>
      </c>
    </row>
    <row r="6291" spans="1:8" x14ac:dyDescent="0.2">
      <c r="A6291" t="str">
        <f t="shared" si="2309"/>
        <v>0615099302</v>
      </c>
      <c r="B6291" t="str">
        <f t="shared" si="2310"/>
        <v>ISSABELLA</v>
      </c>
      <c r="C6291" t="str">
        <f t="shared" si="2311"/>
        <v>GIRALDO</v>
      </c>
      <c r="D6291">
        <f>10</f>
        <v>10</v>
      </c>
      <c r="E6291" t="str">
        <f>"08 - B - 102 - Jacquelyn M Neeson"</f>
        <v>08 - B - 102 - Jacquelyn M Neeson</v>
      </c>
      <c r="F6291" t="str">
        <f>"AICE ENG GEN PAPER 1"</f>
        <v>AICE ENG GEN PAPER 1</v>
      </c>
      <c r="G6291" t="str">
        <f>"17-1715"</f>
        <v>17-1715</v>
      </c>
      <c r="H6291" t="str">
        <f>"B"</f>
        <v>B</v>
      </c>
    </row>
    <row r="6292" spans="1:8" x14ac:dyDescent="0.2">
      <c r="A6292" t="str">
        <f t="shared" ref="A6292:A6299" si="2312">"0621079904"</f>
        <v>0621079904</v>
      </c>
      <c r="B6292" t="str">
        <f t="shared" ref="B6292:B6299" si="2313">"JUANITA"</f>
        <v>JUANITA</v>
      </c>
      <c r="C6292" t="str">
        <f t="shared" si="2311"/>
        <v>GIRALDO</v>
      </c>
      <c r="D6292">
        <f>11</f>
        <v>11</v>
      </c>
      <c r="E6292" t="str">
        <f>"04 - A - 205 - Jacqueline R Morphet"</f>
        <v>04 - A - 205 - Jacqueline R Morphet</v>
      </c>
      <c r="F6292" t="str">
        <f>"PHYSICS 1 HON"</f>
        <v>PHYSICS 1 HON</v>
      </c>
      <c r="G6292" t="str">
        <f>"21-2138"</f>
        <v>21-2138</v>
      </c>
      <c r="H6292" t="str">
        <f>"A"</f>
        <v>A</v>
      </c>
    </row>
    <row r="6293" spans="1:8" x14ac:dyDescent="0.2">
      <c r="A6293" t="str">
        <f t="shared" si="2312"/>
        <v>0621079904</v>
      </c>
      <c r="B6293" t="str">
        <f t="shared" si="2313"/>
        <v>JUANITA</v>
      </c>
      <c r="C6293" t="str">
        <f t="shared" si="2311"/>
        <v>GIRALDO</v>
      </c>
      <c r="D6293">
        <f>11</f>
        <v>11</v>
      </c>
      <c r="E6293" t="str">
        <f>"06 - B - 101 - Bruce A Evans"</f>
        <v>06 - B - 101 - Bruce A Evans</v>
      </c>
      <c r="F6293" t="str">
        <f>"EMERG MED RESP 3 HON"</f>
        <v>EMERG MED RESP 3 HON</v>
      </c>
      <c r="G6293" t="str">
        <f>"21-2142"</f>
        <v>21-2142</v>
      </c>
      <c r="H6293" t="str">
        <f>"B"</f>
        <v>B</v>
      </c>
    </row>
    <row r="6294" spans="1:8" x14ac:dyDescent="0.2">
      <c r="A6294" t="str">
        <f t="shared" si="2312"/>
        <v>0621079904</v>
      </c>
      <c r="B6294" t="str">
        <f t="shared" si="2313"/>
        <v>JUANITA</v>
      </c>
      <c r="C6294" t="str">
        <f t="shared" si="2311"/>
        <v>GIRALDO</v>
      </c>
      <c r="D6294">
        <f>11</f>
        <v>11</v>
      </c>
      <c r="E6294" t="str">
        <f>"03 - A - 202 - Bruce A Evans"</f>
        <v>03 - A - 202 - Bruce A Evans</v>
      </c>
      <c r="F6294" t="str">
        <f>"HEALTH SCI FOUND HON"</f>
        <v>HEALTH SCI FOUND HON</v>
      </c>
      <c r="G6294" t="str">
        <f>"21-2142"</f>
        <v>21-2142</v>
      </c>
      <c r="H6294" t="str">
        <f>"A"</f>
        <v>A</v>
      </c>
    </row>
    <row r="6295" spans="1:8" x14ac:dyDescent="0.2">
      <c r="A6295" t="str">
        <f t="shared" si="2312"/>
        <v>0621079904</v>
      </c>
      <c r="B6295" t="str">
        <f t="shared" si="2313"/>
        <v>JUANITA</v>
      </c>
      <c r="C6295" t="str">
        <f t="shared" si="2311"/>
        <v>GIRALDO</v>
      </c>
      <c r="D6295">
        <f>11</f>
        <v>11</v>
      </c>
      <c r="E6295" t="str">
        <f>"02 - A - 102 - Fernando  Vega-Cid"</f>
        <v>02 - A - 102 - Fernando  Vega-Cid</v>
      </c>
      <c r="F6295" t="str">
        <f>"NC STUDY HALL 1"</f>
        <v>NC STUDY HALL 1</v>
      </c>
      <c r="G6295" t="str">
        <f>"21-2163"</f>
        <v>21-2163</v>
      </c>
      <c r="H6295" t="str">
        <f>"A"</f>
        <v>A</v>
      </c>
    </row>
    <row r="6296" spans="1:8" x14ac:dyDescent="0.2">
      <c r="A6296" t="str">
        <f t="shared" si="2312"/>
        <v>0621079904</v>
      </c>
      <c r="B6296" t="str">
        <f t="shared" si="2313"/>
        <v>JUANITA</v>
      </c>
      <c r="C6296" t="str">
        <f t="shared" si="2311"/>
        <v>GIRALDO</v>
      </c>
      <c r="D6296">
        <f>11</f>
        <v>11</v>
      </c>
      <c r="E6296" t="str">
        <f>"07 - B - 101 - Lisa  Quinn"</f>
        <v>07 - B - 101 - Lisa  Quinn</v>
      </c>
      <c r="F6296" t="str">
        <f>"RESEARCH 1"</f>
        <v>RESEARCH 1</v>
      </c>
      <c r="G6296" t="str">
        <f>"17-1725"</f>
        <v>17-1725</v>
      </c>
      <c r="H6296" t="str">
        <f>"B"</f>
        <v>B</v>
      </c>
    </row>
    <row r="6297" spans="1:8" x14ac:dyDescent="0.2">
      <c r="A6297" t="str">
        <f t="shared" si="2312"/>
        <v>0621079904</v>
      </c>
      <c r="B6297" t="str">
        <f t="shared" si="2313"/>
        <v>JUANITA</v>
      </c>
      <c r="C6297" t="str">
        <f t="shared" si="2311"/>
        <v>GIRALDO</v>
      </c>
      <c r="D6297">
        <f>11</f>
        <v>11</v>
      </c>
      <c r="E6297" t="str">
        <f>"05 - B - 001 - Kyle  Robbins"</f>
        <v>05 - B - 001 - Kyle  Robbins</v>
      </c>
      <c r="F6297" t="str">
        <f>"US HISTORY HON"</f>
        <v>US HISTORY HON</v>
      </c>
      <c r="G6297" t="str">
        <f>"17-1745"</f>
        <v>17-1745</v>
      </c>
      <c r="H6297" t="str">
        <f>"B"</f>
        <v>B</v>
      </c>
    </row>
    <row r="6298" spans="1:8" x14ac:dyDescent="0.2">
      <c r="A6298" t="str">
        <f t="shared" si="2312"/>
        <v>0621079904</v>
      </c>
      <c r="B6298" t="str">
        <f t="shared" si="2313"/>
        <v>JUANITA</v>
      </c>
      <c r="C6298" t="str">
        <f t="shared" si="2311"/>
        <v>GIRALDO</v>
      </c>
      <c r="D6298">
        <f>11</f>
        <v>11</v>
      </c>
      <c r="E6298" t="str">
        <f>"01 - A - 101 - Heidi M Knopp"</f>
        <v>01 - A - 101 - Heidi M Knopp</v>
      </c>
      <c r="F6298" t="str">
        <f>"ENG HON 3"</f>
        <v>ENG HON 3</v>
      </c>
      <c r="G6298" t="str">
        <f>"17-1752"</f>
        <v>17-1752</v>
      </c>
      <c r="H6298" t="str">
        <f>"A"</f>
        <v>A</v>
      </c>
    </row>
    <row r="6299" spans="1:8" x14ac:dyDescent="0.2">
      <c r="A6299" t="str">
        <f t="shared" si="2312"/>
        <v>0621079904</v>
      </c>
      <c r="B6299" t="str">
        <f t="shared" si="2313"/>
        <v>JUANITA</v>
      </c>
      <c r="C6299" t="str">
        <f t="shared" si="2311"/>
        <v>GIRALDO</v>
      </c>
      <c r="D6299">
        <f>11</f>
        <v>11</v>
      </c>
      <c r="E6299" t="str">
        <f>"08 - B - 105 - Semra  Bahadir"</f>
        <v>08 - B - 105 - Semra  Bahadir</v>
      </c>
      <c r="F6299" t="str">
        <f>"MATH COLL ALGEBRA"</f>
        <v>MATH COLL ALGEBRA</v>
      </c>
      <c r="G6299" t="str">
        <f>"21-2107"</f>
        <v>21-2107</v>
      </c>
      <c r="H6299" t="str">
        <f>"B"</f>
        <v>B</v>
      </c>
    </row>
    <row r="6300" spans="1:8" x14ac:dyDescent="0.2">
      <c r="A6300" t="str">
        <f t="shared" ref="A6300:A6307" si="2314">"0615099227"</f>
        <v>0615099227</v>
      </c>
      <c r="B6300" t="str">
        <f t="shared" ref="B6300:B6307" si="2315">"FLETCHER"</f>
        <v>FLETCHER</v>
      </c>
      <c r="C6300" t="str">
        <f t="shared" ref="C6300:C6307" si="2316">"GLEASON"</f>
        <v>GLEASON</v>
      </c>
      <c r="D6300">
        <f>10</f>
        <v>10</v>
      </c>
      <c r="E6300" t="str">
        <f>"04 - A - 201 - Scott A Dethloff"</f>
        <v>04 - A - 201 - Scott A Dethloff</v>
      </c>
      <c r="F6300" t="str">
        <f>"AICE THINK SKLS 1 AS"</f>
        <v>AICE THINK SKLS 1 AS</v>
      </c>
      <c r="G6300" t="str">
        <f>"08-812"</f>
        <v>08-812</v>
      </c>
      <c r="H6300" t="str">
        <f>"A"</f>
        <v>A</v>
      </c>
    </row>
    <row r="6301" spans="1:8" x14ac:dyDescent="0.2">
      <c r="A6301" t="str">
        <f t="shared" si="2314"/>
        <v>0615099227</v>
      </c>
      <c r="B6301" t="str">
        <f t="shared" si="2315"/>
        <v>FLETCHER</v>
      </c>
      <c r="C6301" t="str">
        <f t="shared" si="2316"/>
        <v>GLEASON</v>
      </c>
      <c r="D6301">
        <f>10</f>
        <v>10</v>
      </c>
      <c r="E6301" t="str">
        <f>"06 - B - 115 - Scott A Dethloff"</f>
        <v>06 - B - 115 - Scott A Dethloff</v>
      </c>
      <c r="F6301" t="str">
        <f>"NC STUDY HALL 1"</f>
        <v>NC STUDY HALL 1</v>
      </c>
      <c r="G6301" t="str">
        <f>"08-812"</f>
        <v>08-812</v>
      </c>
      <c r="H6301" t="str">
        <f>"B"</f>
        <v>B</v>
      </c>
    </row>
    <row r="6302" spans="1:8" x14ac:dyDescent="0.2">
      <c r="A6302" t="str">
        <f t="shared" si="2314"/>
        <v>0615099227</v>
      </c>
      <c r="B6302" t="str">
        <f t="shared" si="2315"/>
        <v>FLETCHER</v>
      </c>
      <c r="C6302" t="str">
        <f t="shared" si="2316"/>
        <v>GLEASON</v>
      </c>
      <c r="D6302">
        <f>10</f>
        <v>10</v>
      </c>
      <c r="E6302" t="str">
        <f>"03 - S1 - A - 101 - Arthur  Kulawik"</f>
        <v>03 - S1 - A - 101 - Arthur  Kulawik</v>
      </c>
      <c r="F6302" t="str">
        <f>"PERS FIN &amp; MON MGT H"</f>
        <v>PERS FIN &amp; MON MGT H</v>
      </c>
      <c r="G6302" t="str">
        <f>"05-506"</f>
        <v>05-506</v>
      </c>
      <c r="H6302" t="str">
        <f>"A"</f>
        <v>A</v>
      </c>
    </row>
    <row r="6303" spans="1:8" x14ac:dyDescent="0.2">
      <c r="A6303" t="str">
        <f t="shared" si="2314"/>
        <v>0615099227</v>
      </c>
      <c r="B6303" t="str">
        <f t="shared" si="2315"/>
        <v>FLETCHER</v>
      </c>
      <c r="C6303" t="str">
        <f t="shared" si="2316"/>
        <v>GLEASON</v>
      </c>
      <c r="D6303">
        <f>10</f>
        <v>10</v>
      </c>
      <c r="E6303" t="str">
        <f>"02 - A - 102 - Jacklyn M James"</f>
        <v>02 - A - 102 - Jacklyn M James</v>
      </c>
      <c r="F6303" t="str">
        <f>"AICE ENG LANG AS"</f>
        <v>AICE ENG LANG AS</v>
      </c>
      <c r="G6303" t="str">
        <f>"17-1731"</f>
        <v>17-1731</v>
      </c>
      <c r="H6303" t="str">
        <f>"A"</f>
        <v>A</v>
      </c>
    </row>
    <row r="6304" spans="1:8" x14ac:dyDescent="0.2">
      <c r="A6304" t="str">
        <f t="shared" si="2314"/>
        <v>0615099227</v>
      </c>
      <c r="B6304" t="str">
        <f t="shared" si="2315"/>
        <v>FLETCHER</v>
      </c>
      <c r="C6304" t="str">
        <f t="shared" si="2316"/>
        <v>GLEASON</v>
      </c>
      <c r="D6304">
        <f>10</f>
        <v>10</v>
      </c>
      <c r="E6304" t="str">
        <f>"07 - B - 107 - Adam Marcus  Drucker"</f>
        <v>07 - B - 107 - Adam Marcus  Drucker</v>
      </c>
      <c r="F6304" t="str">
        <f>"HOPE-PE V"</f>
        <v>HOPE-PE V</v>
      </c>
      <c r="G6304" t="str">
        <f>"04-254"</f>
        <v>04-254</v>
      </c>
      <c r="H6304" t="str">
        <f>"B"</f>
        <v>B</v>
      </c>
    </row>
    <row r="6305" spans="1:8" x14ac:dyDescent="0.2">
      <c r="A6305" t="str">
        <f t="shared" si="2314"/>
        <v>0615099227</v>
      </c>
      <c r="B6305" t="str">
        <f t="shared" si="2315"/>
        <v>FLETCHER</v>
      </c>
      <c r="C6305" t="str">
        <f t="shared" si="2316"/>
        <v>GLEASON</v>
      </c>
      <c r="D6305">
        <f>10</f>
        <v>10</v>
      </c>
      <c r="E6305" t="str">
        <f>"05 - B - 108 - Valerie J Ruwe"</f>
        <v>05 - B - 108 - Valerie J Ruwe</v>
      </c>
      <c r="F6305" t="str">
        <f>"CHEMISTRY 1 HON"</f>
        <v>CHEMISTRY 1 HON</v>
      </c>
      <c r="G6305" t="str">
        <f>"21-2138"</f>
        <v>21-2138</v>
      </c>
      <c r="H6305" t="str">
        <f>"B"</f>
        <v>B</v>
      </c>
    </row>
    <row r="6306" spans="1:8" x14ac:dyDescent="0.2">
      <c r="A6306" t="str">
        <f t="shared" si="2314"/>
        <v>0615099227</v>
      </c>
      <c r="B6306" t="str">
        <f t="shared" si="2315"/>
        <v>FLETCHER</v>
      </c>
      <c r="C6306" t="str">
        <f t="shared" si="2316"/>
        <v>GLEASON</v>
      </c>
      <c r="D6306">
        <f>10</f>
        <v>10</v>
      </c>
      <c r="E6306" t="str">
        <f>"01 - A - 101 - Lourivaldo  Da Silva"</f>
        <v>01 - A - 101 - Lourivaldo  Da Silva</v>
      </c>
      <c r="F6306" t="str">
        <f>"ALGEBRA 2 HON"</f>
        <v>ALGEBRA 2 HON</v>
      </c>
      <c r="G6306" t="str">
        <f>"20-2079"</f>
        <v>20-2079</v>
      </c>
      <c r="H6306" t="str">
        <f>"A"</f>
        <v>A</v>
      </c>
    </row>
    <row r="6307" spans="1:8" x14ac:dyDescent="0.2">
      <c r="A6307" t="str">
        <f t="shared" si="2314"/>
        <v>0615099227</v>
      </c>
      <c r="B6307" t="str">
        <f t="shared" si="2315"/>
        <v>FLETCHER</v>
      </c>
      <c r="C6307" t="str">
        <f t="shared" si="2316"/>
        <v>GLEASON</v>
      </c>
      <c r="D6307">
        <f>10</f>
        <v>10</v>
      </c>
      <c r="E6307" t="str">
        <f>"08 - B - 201 - Lenecy  Nodarse"</f>
        <v>08 - B - 201 - Lenecy  Nodarse</v>
      </c>
      <c r="F6307" t="str">
        <f>"AICE EURO HIST 1 AS"</f>
        <v>AICE EURO HIST 1 AS</v>
      </c>
      <c r="G6307" t="str">
        <f>"17-1741"</f>
        <v>17-1741</v>
      </c>
      <c r="H6307" t="str">
        <f>"B"</f>
        <v>B</v>
      </c>
    </row>
    <row r="6308" spans="1:8" x14ac:dyDescent="0.2">
      <c r="A6308" t="str">
        <f t="shared" ref="A6308:A6315" si="2317">"0614005186"</f>
        <v>0614005186</v>
      </c>
      <c r="B6308" t="str">
        <f t="shared" ref="B6308:B6315" si="2318">"KAYLA"</f>
        <v>KAYLA</v>
      </c>
      <c r="C6308" t="str">
        <f t="shared" ref="C6308:C6315" si="2319">"GODFREY"</f>
        <v>GODFREY</v>
      </c>
      <c r="D6308">
        <f>12</f>
        <v>12</v>
      </c>
      <c r="E6308" t="str">
        <f>"04 - A - 202 - Daniel S Katz"</f>
        <v>04 - A - 202 - Daniel S Katz</v>
      </c>
      <c r="F6308" t="str">
        <f>"AICE DRAMA 2 A LEVEL"</f>
        <v>AICE DRAMA 2 A LEVEL</v>
      </c>
      <c r="G6308" t="str">
        <f>"05-521"</f>
        <v>05-521</v>
      </c>
      <c r="H6308" t="str">
        <f>"A"</f>
        <v>A</v>
      </c>
    </row>
    <row r="6309" spans="1:8" x14ac:dyDescent="0.2">
      <c r="A6309" t="str">
        <f t="shared" si="2317"/>
        <v>0614005186</v>
      </c>
      <c r="B6309" t="str">
        <f t="shared" si="2318"/>
        <v>KAYLA</v>
      </c>
      <c r="C6309" t="str">
        <f t="shared" si="2319"/>
        <v>GODFREY</v>
      </c>
      <c r="D6309">
        <f>12</f>
        <v>12</v>
      </c>
      <c r="E6309" t="str">
        <f>"06 - B - 003 - Emmily A Sarmiento"</f>
        <v>06 - B - 003 - Emmily A Sarmiento</v>
      </c>
      <c r="F6309" t="str">
        <f>"NC STUDY HALL 1"</f>
        <v>NC STUDY HALL 1</v>
      </c>
      <c r="G6309" t="str">
        <f>"17-1743"</f>
        <v>17-1743</v>
      </c>
      <c r="H6309" t="str">
        <f>"B"</f>
        <v>B</v>
      </c>
    </row>
    <row r="6310" spans="1:8" x14ac:dyDescent="0.2">
      <c r="A6310" t="str">
        <f t="shared" si="2317"/>
        <v>0614005186</v>
      </c>
      <c r="B6310" t="str">
        <f t="shared" si="2318"/>
        <v>KAYLA</v>
      </c>
      <c r="C6310" t="str">
        <f t="shared" si="2319"/>
        <v>GODFREY</v>
      </c>
      <c r="D6310">
        <f>12</f>
        <v>12</v>
      </c>
      <c r="E6310" t="str">
        <f>"03 - A - 101 - Samantha L Martinez"</f>
        <v>03 - A - 101 - Samantha L Martinez</v>
      </c>
      <c r="F6310" t="str">
        <f>"VOCAL ENS 1"</f>
        <v>VOCAL ENS 1</v>
      </c>
      <c r="G6310" t="str">
        <f>"05-505"</f>
        <v>05-505</v>
      </c>
      <c r="H6310" t="str">
        <f>"A"</f>
        <v>A</v>
      </c>
    </row>
    <row r="6311" spans="1:8" x14ac:dyDescent="0.2">
      <c r="A6311" t="str">
        <f t="shared" si="2317"/>
        <v>0614005186</v>
      </c>
      <c r="B6311" t="str">
        <f t="shared" si="2318"/>
        <v>KAYLA</v>
      </c>
      <c r="C6311" t="str">
        <f t="shared" si="2319"/>
        <v>GODFREY</v>
      </c>
      <c r="D6311">
        <f>12</f>
        <v>12</v>
      </c>
      <c r="E6311" t="str">
        <f>"02 - A - 201 - Jeanne M Bermudez"</f>
        <v>02 - A - 201 - Jeanne M Bermudez</v>
      </c>
      <c r="F6311" t="str">
        <f>"AP ENV SCI"</f>
        <v>AP ENV SCI</v>
      </c>
      <c r="G6311" t="str">
        <f>"21-2141"</f>
        <v>21-2141</v>
      </c>
      <c r="H6311" t="str">
        <f>"A"</f>
        <v>A</v>
      </c>
    </row>
    <row r="6312" spans="1:8" x14ac:dyDescent="0.2">
      <c r="A6312" t="str">
        <f t="shared" si="2317"/>
        <v>0614005186</v>
      </c>
      <c r="B6312" t="str">
        <f t="shared" si="2318"/>
        <v>KAYLA</v>
      </c>
      <c r="C6312" t="str">
        <f t="shared" si="2319"/>
        <v>GODFREY</v>
      </c>
      <c r="D6312">
        <f>12</f>
        <v>12</v>
      </c>
      <c r="E6312" t="str">
        <f>"07 - S1 - B - 102 - Barbara L Segal"</f>
        <v>07 - S1 - B - 102 - Barbara L Segal</v>
      </c>
      <c r="F6312" t="str">
        <f>"AP US GOVT/POL"</f>
        <v>AP US GOVT/POL</v>
      </c>
      <c r="G6312" t="str">
        <f>"17-1742"</f>
        <v>17-1742</v>
      </c>
      <c r="H6312" t="str">
        <f>"B"</f>
        <v>B</v>
      </c>
    </row>
    <row r="6313" spans="1:8" x14ac:dyDescent="0.2">
      <c r="A6313" t="str">
        <f t="shared" si="2317"/>
        <v>0614005186</v>
      </c>
      <c r="B6313" t="str">
        <f t="shared" si="2318"/>
        <v>KAYLA</v>
      </c>
      <c r="C6313" t="str">
        <f t="shared" si="2319"/>
        <v>GODFREY</v>
      </c>
      <c r="D6313">
        <f>12</f>
        <v>12</v>
      </c>
      <c r="E6313" t="str">
        <f>"05 - B - 104 - Lourivaldo  Da Silva"</f>
        <v>05 - B - 104 - Lourivaldo  Da Silva</v>
      </c>
      <c r="F6313" t="str">
        <f>"PRE-CALCULUS HON"</f>
        <v>PRE-CALCULUS HON</v>
      </c>
      <c r="G6313" t="str">
        <f>"20-2079"</f>
        <v>20-2079</v>
      </c>
      <c r="H6313" t="str">
        <f>"B"</f>
        <v>B</v>
      </c>
    </row>
    <row r="6314" spans="1:8" x14ac:dyDescent="0.2">
      <c r="A6314" t="str">
        <f t="shared" si="2317"/>
        <v>0614005186</v>
      </c>
      <c r="B6314" t="str">
        <f t="shared" si="2318"/>
        <v>KAYLA</v>
      </c>
      <c r="C6314" t="str">
        <f t="shared" si="2319"/>
        <v>GODFREY</v>
      </c>
      <c r="D6314">
        <f>12</f>
        <v>12</v>
      </c>
      <c r="E6314" t="str">
        <f>"01 - A - 101 - Samantha L Martinez"</f>
        <v>01 - A - 101 - Samantha L Martinez</v>
      </c>
      <c r="F6314" t="str">
        <f>"MUSIC WORLD"</f>
        <v>MUSIC WORLD</v>
      </c>
      <c r="G6314" t="str">
        <f>"05-505"</f>
        <v>05-505</v>
      </c>
      <c r="H6314" t="str">
        <f>"A"</f>
        <v>A</v>
      </c>
    </row>
    <row r="6315" spans="1:8" x14ac:dyDescent="0.2">
      <c r="A6315" t="str">
        <f t="shared" si="2317"/>
        <v>0614005186</v>
      </c>
      <c r="B6315" t="str">
        <f t="shared" si="2318"/>
        <v>KAYLA</v>
      </c>
      <c r="C6315" t="str">
        <f t="shared" si="2319"/>
        <v>GODFREY</v>
      </c>
      <c r="D6315">
        <f>12</f>
        <v>12</v>
      </c>
      <c r="E6315" t="str">
        <f>"08 - B - 203 - Courtney E Hambright"</f>
        <v>08 - B - 203 - Courtney E Hambright</v>
      </c>
      <c r="F6315" t="str">
        <f>"AP ENG LIT COMPO"</f>
        <v>AP ENG LIT COMPO</v>
      </c>
      <c r="G6315" t="str">
        <f>"17-1711"</f>
        <v>17-1711</v>
      </c>
      <c r="H6315" t="str">
        <f>"B"</f>
        <v>B</v>
      </c>
    </row>
    <row r="6316" spans="1:8" x14ac:dyDescent="0.2">
      <c r="A6316" t="str">
        <f t="shared" ref="A6316:A6323" si="2320">"0613108931"</f>
        <v>0613108931</v>
      </c>
      <c r="B6316" t="str">
        <f t="shared" ref="B6316:B6323" si="2321">"SEBASTIAN"</f>
        <v>SEBASTIAN</v>
      </c>
      <c r="C6316" t="str">
        <f t="shared" ref="C6316:C6323" si="2322">"GODOY"</f>
        <v>GODOY</v>
      </c>
      <c r="D6316">
        <f>12</f>
        <v>12</v>
      </c>
      <c r="E6316" t="str">
        <f>"04 - A - 102 - Fernando  Vega-Cid"</f>
        <v>04 - A - 102 - Fernando  Vega-Cid</v>
      </c>
      <c r="F6316" t="str">
        <f>"PRE-CALCULUS HON"</f>
        <v>PRE-CALCULUS HON</v>
      </c>
      <c r="G6316" t="str">
        <f>"21-2163"</f>
        <v>21-2163</v>
      </c>
      <c r="H6316" t="str">
        <f>"A"</f>
        <v>A</v>
      </c>
    </row>
    <row r="6317" spans="1:8" x14ac:dyDescent="0.2">
      <c r="A6317" t="str">
        <f t="shared" si="2320"/>
        <v>0613108931</v>
      </c>
      <c r="B6317" t="str">
        <f t="shared" si="2321"/>
        <v>SEBASTIAN</v>
      </c>
      <c r="C6317" t="str">
        <f t="shared" si="2322"/>
        <v>GODOY</v>
      </c>
      <c r="D6317">
        <f>12</f>
        <v>12</v>
      </c>
      <c r="E6317" t="str">
        <f>"06 - B - 105 - Robyn L Trainer"</f>
        <v>06 - B - 105 - Robyn L Trainer</v>
      </c>
      <c r="F6317" t="str">
        <f>"NC STUDY HALL 1"</f>
        <v>NC STUDY HALL 1</v>
      </c>
      <c r="G6317" t="str">
        <f>"17-1734"</f>
        <v>17-1734</v>
      </c>
      <c r="H6317" t="str">
        <f>"B"</f>
        <v>B</v>
      </c>
    </row>
    <row r="6318" spans="1:8" x14ac:dyDescent="0.2">
      <c r="A6318" t="str">
        <f t="shared" si="2320"/>
        <v>0613108931</v>
      </c>
      <c r="B6318" t="str">
        <f t="shared" si="2321"/>
        <v>SEBASTIAN</v>
      </c>
      <c r="C6318" t="str">
        <f t="shared" si="2322"/>
        <v>GODOY</v>
      </c>
      <c r="D6318">
        <f>12</f>
        <v>12</v>
      </c>
      <c r="E6318" t="str">
        <f>"03 - A - 101 - Jazmin S Fletcher"</f>
        <v>03 - A - 101 - Jazmin S Fletcher</v>
      </c>
      <c r="F6318" t="str">
        <f>"THEATRE 3 HON"</f>
        <v>THEATRE 3 HON</v>
      </c>
      <c r="G6318" t="str">
        <f>"09-909"</f>
        <v>09-909</v>
      </c>
      <c r="H6318" t="str">
        <f>"A"</f>
        <v>A</v>
      </c>
    </row>
    <row r="6319" spans="1:8" x14ac:dyDescent="0.2">
      <c r="A6319" t="str">
        <f t="shared" si="2320"/>
        <v>0613108931</v>
      </c>
      <c r="B6319" t="str">
        <f t="shared" si="2321"/>
        <v>SEBASTIAN</v>
      </c>
      <c r="C6319" t="str">
        <f t="shared" si="2322"/>
        <v>GODOY</v>
      </c>
      <c r="D6319">
        <f>12</f>
        <v>12</v>
      </c>
      <c r="E6319" t="str">
        <f>"02 - A - 201 - Jeanne M Bermudez"</f>
        <v>02 - A - 201 - Jeanne M Bermudez</v>
      </c>
      <c r="F6319" t="str">
        <f>"AP ENV SCI"</f>
        <v>AP ENV SCI</v>
      </c>
      <c r="G6319" t="str">
        <f>"21-2141"</f>
        <v>21-2141</v>
      </c>
      <c r="H6319" t="str">
        <f>"A"</f>
        <v>A</v>
      </c>
    </row>
    <row r="6320" spans="1:8" x14ac:dyDescent="0.2">
      <c r="A6320" t="str">
        <f t="shared" si="2320"/>
        <v>0613108931</v>
      </c>
      <c r="B6320" t="str">
        <f t="shared" si="2321"/>
        <v>SEBASTIAN</v>
      </c>
      <c r="C6320" t="str">
        <f t="shared" si="2322"/>
        <v>GODOY</v>
      </c>
      <c r="D6320">
        <f>12</f>
        <v>12</v>
      </c>
      <c r="E6320" t="str">
        <f>"07 - B - 102 - Courtney E Hambright"</f>
        <v>07 - B - 102 - Courtney E Hambright</v>
      </c>
      <c r="F6320" t="str">
        <f>"AP ENG LIT COMPO"</f>
        <v>AP ENG LIT COMPO</v>
      </c>
      <c r="G6320" t="str">
        <f>"17-1711"</f>
        <v>17-1711</v>
      </c>
      <c r="H6320" t="str">
        <f>"B"</f>
        <v>B</v>
      </c>
    </row>
    <row r="6321" spans="1:8" x14ac:dyDescent="0.2">
      <c r="A6321" t="str">
        <f t="shared" si="2320"/>
        <v>0613108931</v>
      </c>
      <c r="B6321" t="str">
        <f t="shared" si="2321"/>
        <v>SEBASTIAN</v>
      </c>
      <c r="C6321" t="str">
        <f t="shared" si="2322"/>
        <v>GODOY</v>
      </c>
      <c r="D6321">
        <f>12</f>
        <v>12</v>
      </c>
      <c r="E6321" t="str">
        <f>"05 - B - 101 - Angela S Adeshina-Morrison"</f>
        <v>05 - B - 101 - Angela S Adeshina-Morrison</v>
      </c>
      <c r="F6321" t="str">
        <f>"MKT MANAGEMENT LH"</f>
        <v>MKT MANAGEMENT LH</v>
      </c>
      <c r="G6321" t="str">
        <f>"05-518"</f>
        <v>05-518</v>
      </c>
      <c r="H6321" t="str">
        <f>"B"</f>
        <v>B</v>
      </c>
    </row>
    <row r="6322" spans="1:8" x14ac:dyDescent="0.2">
      <c r="A6322" t="str">
        <f t="shared" si="2320"/>
        <v>0613108931</v>
      </c>
      <c r="B6322" t="str">
        <f t="shared" si="2321"/>
        <v>SEBASTIAN</v>
      </c>
      <c r="C6322" t="str">
        <f t="shared" si="2322"/>
        <v>GODOY</v>
      </c>
      <c r="D6322">
        <f>12</f>
        <v>12</v>
      </c>
      <c r="E6322" t="str">
        <f>"01 - A - 201 - Chrystina M Marchionne"</f>
        <v>01 - A - 201 - Chrystina M Marchionne</v>
      </c>
      <c r="F6322" t="str">
        <f>"AICE MEDIASTUDIES AS"</f>
        <v>AICE MEDIASTUDIES AS</v>
      </c>
      <c r="G6322" t="str">
        <f>"05-520"</f>
        <v>05-520</v>
      </c>
      <c r="H6322" t="str">
        <f>"A"</f>
        <v>A</v>
      </c>
    </row>
    <row r="6323" spans="1:8" x14ac:dyDescent="0.2">
      <c r="A6323" t="str">
        <f t="shared" si="2320"/>
        <v>0613108931</v>
      </c>
      <c r="B6323" t="str">
        <f t="shared" si="2321"/>
        <v>SEBASTIAN</v>
      </c>
      <c r="C6323" t="str">
        <f t="shared" si="2322"/>
        <v>GODOY</v>
      </c>
      <c r="D6323">
        <f>12</f>
        <v>12</v>
      </c>
      <c r="E6323" t="str">
        <f>"08 - S1 - B - 102 - Stephen T Ripp"</f>
        <v>08 - S1 - B - 102 - Stephen T Ripp</v>
      </c>
      <c r="F6323" t="str">
        <f>"AP US GOVT/POL"</f>
        <v>AP US GOVT/POL</v>
      </c>
      <c r="G6323" t="str">
        <f>"17-1744"</f>
        <v>17-1744</v>
      </c>
      <c r="H6323" t="str">
        <f>"B"</f>
        <v>B</v>
      </c>
    </row>
    <row r="6324" spans="1:8" x14ac:dyDescent="0.2">
      <c r="A6324" t="str">
        <f t="shared" ref="A6324:A6331" si="2323">"0623087235"</f>
        <v>0623087235</v>
      </c>
      <c r="B6324" t="str">
        <f t="shared" ref="B6324:B6331" si="2324">"RAMSES"</f>
        <v>RAMSES</v>
      </c>
      <c r="C6324" t="str">
        <f t="shared" ref="C6324:C6331" si="2325">"GOICOCHEA"</f>
        <v>GOICOCHEA</v>
      </c>
      <c r="D6324" t="str">
        <f t="shared" ref="D6324:D6331" si="2326">"09"</f>
        <v>09</v>
      </c>
      <c r="E6324" t="str">
        <f>"04 - A - 104 - Brook E Goren"</f>
        <v>04 - A - 104 - Brook E Goren</v>
      </c>
      <c r="F6324" t="str">
        <f>"ALGEBRA 2 HON"</f>
        <v>ALGEBRA 2 HON</v>
      </c>
      <c r="G6324" t="str">
        <f>"21-2158"</f>
        <v>21-2158</v>
      </c>
      <c r="H6324" t="str">
        <f>"A"</f>
        <v>A</v>
      </c>
    </row>
    <row r="6325" spans="1:8" x14ac:dyDescent="0.2">
      <c r="A6325" t="str">
        <f t="shared" si="2323"/>
        <v>0623087235</v>
      </c>
      <c r="B6325" t="str">
        <f t="shared" si="2324"/>
        <v>RAMSES</v>
      </c>
      <c r="C6325" t="str">
        <f t="shared" si="2325"/>
        <v>GOICOCHEA</v>
      </c>
      <c r="D6325" t="str">
        <f t="shared" si="2326"/>
        <v>09</v>
      </c>
      <c r="E6325" t="str">
        <f>"06 - B - 110 - Krystal Marie  Beruty"</f>
        <v>06 - B - 110 - Krystal Marie  Beruty</v>
      </c>
      <c r="F6325" t="str">
        <f>"AICE GLBL PERSP 1 AS"</f>
        <v>AICE GLBL PERSP 1 AS</v>
      </c>
      <c r="G6325" t="str">
        <f>"17-1721"</f>
        <v>17-1721</v>
      </c>
      <c r="H6325" t="str">
        <f>"B"</f>
        <v>B</v>
      </c>
    </row>
    <row r="6326" spans="1:8" x14ac:dyDescent="0.2">
      <c r="A6326" t="str">
        <f t="shared" si="2323"/>
        <v>0623087235</v>
      </c>
      <c r="B6326" t="str">
        <f t="shared" si="2324"/>
        <v>RAMSES</v>
      </c>
      <c r="C6326" t="str">
        <f t="shared" si="2325"/>
        <v>GOICOCHEA</v>
      </c>
      <c r="D6326" t="str">
        <f t="shared" si="2326"/>
        <v>09</v>
      </c>
      <c r="E6326" t="str">
        <f>"03 - A - 201 - Emmily A Sarmiento"</f>
        <v>03 - A - 201 - Emmily A Sarmiento</v>
      </c>
      <c r="F6326" t="str">
        <f>"LEAD SKLS DEV LH"</f>
        <v>LEAD SKLS DEV LH</v>
      </c>
      <c r="G6326" t="str">
        <f>"17-1743"</f>
        <v>17-1743</v>
      </c>
      <c r="H6326" t="str">
        <f>"A"</f>
        <v>A</v>
      </c>
    </row>
    <row r="6327" spans="1:8" x14ac:dyDescent="0.2">
      <c r="A6327" t="str">
        <f t="shared" si="2323"/>
        <v>0623087235</v>
      </c>
      <c r="B6327" t="str">
        <f t="shared" si="2324"/>
        <v>RAMSES</v>
      </c>
      <c r="C6327" t="str">
        <f t="shared" si="2325"/>
        <v>GOICOCHEA</v>
      </c>
      <c r="D6327" t="str">
        <f t="shared" si="2326"/>
        <v>09</v>
      </c>
      <c r="E6327" t="str">
        <f>"02 - A - 103 - Arthur  Kulawik"</f>
        <v>02 - A - 103 - Arthur  Kulawik</v>
      </c>
      <c r="F6327" t="str">
        <f>"NC STUDY HALL 1"</f>
        <v>NC STUDY HALL 1</v>
      </c>
      <c r="G6327" t="str">
        <f>"05-506"</f>
        <v>05-506</v>
      </c>
      <c r="H6327" t="str">
        <f>"A"</f>
        <v>A</v>
      </c>
    </row>
    <row r="6328" spans="1:8" x14ac:dyDescent="0.2">
      <c r="A6328" t="str">
        <f t="shared" si="2323"/>
        <v>0623087235</v>
      </c>
      <c r="B6328" t="str">
        <f t="shared" si="2324"/>
        <v>RAMSES</v>
      </c>
      <c r="C6328" t="str">
        <f t="shared" si="2325"/>
        <v>GOICOCHEA</v>
      </c>
      <c r="D6328" t="str">
        <f t="shared" si="2326"/>
        <v>09</v>
      </c>
      <c r="E6328" t="str">
        <f>"07 - B - 206 - Cheryl L Beach"</f>
        <v>07 - B - 206 - Cheryl L Beach</v>
      </c>
      <c r="F6328" t="str">
        <f>"AICE ENV MGMNT AS"</f>
        <v>AICE ENV MGMNT AS</v>
      </c>
      <c r="G6328" t="str">
        <f>"08-811"</f>
        <v>08-811</v>
      </c>
      <c r="H6328" t="str">
        <f>"B"</f>
        <v>B</v>
      </c>
    </row>
    <row r="6329" spans="1:8" x14ac:dyDescent="0.2">
      <c r="A6329" t="str">
        <f t="shared" si="2323"/>
        <v>0623087235</v>
      </c>
      <c r="B6329" t="str">
        <f t="shared" si="2324"/>
        <v>RAMSES</v>
      </c>
      <c r="C6329" t="str">
        <f t="shared" si="2325"/>
        <v>GOICOCHEA</v>
      </c>
      <c r="D6329" t="str">
        <f t="shared" si="2326"/>
        <v>09</v>
      </c>
      <c r="E6329" t="str">
        <f>"05 - B - 101 - Arthur  Kulawik"</f>
        <v>05 - B - 101 - Arthur  Kulawik</v>
      </c>
      <c r="F6329" t="str">
        <f>"DEBATE 2 LH"</f>
        <v>DEBATE 2 LH</v>
      </c>
      <c r="G6329" t="str">
        <f>"05-506"</f>
        <v>05-506</v>
      </c>
      <c r="H6329" t="str">
        <f>"B"</f>
        <v>B</v>
      </c>
    </row>
    <row r="6330" spans="1:8" x14ac:dyDescent="0.2">
      <c r="A6330" t="str">
        <f t="shared" si="2323"/>
        <v>0623087235</v>
      </c>
      <c r="B6330" t="str">
        <f t="shared" si="2324"/>
        <v>RAMSES</v>
      </c>
      <c r="C6330" t="str">
        <f t="shared" si="2325"/>
        <v>GOICOCHEA</v>
      </c>
      <c r="D6330" t="str">
        <f t="shared" si="2326"/>
        <v>09</v>
      </c>
      <c r="E6330" t="str">
        <f>"01 - A - 101 - Elizabeth R Walker"</f>
        <v>01 - A - 101 - Elizabeth R Walker</v>
      </c>
      <c r="F6330" t="str">
        <f>"AICE ENG GEN PAPER 1"</f>
        <v>AICE ENG GEN PAPER 1</v>
      </c>
      <c r="G6330" t="str">
        <f>"17-1703"</f>
        <v>17-1703</v>
      </c>
      <c r="H6330" t="str">
        <f>"A"</f>
        <v>A</v>
      </c>
    </row>
    <row r="6331" spans="1:8" x14ac:dyDescent="0.2">
      <c r="A6331" t="str">
        <f t="shared" si="2323"/>
        <v>0623087235</v>
      </c>
      <c r="B6331" t="str">
        <f t="shared" si="2324"/>
        <v>RAMSES</v>
      </c>
      <c r="C6331" t="str">
        <f t="shared" si="2325"/>
        <v>GOICOCHEA</v>
      </c>
      <c r="D6331" t="str">
        <f t="shared" si="2326"/>
        <v>09</v>
      </c>
      <c r="E6331" t="str">
        <f>"08 - S1 - B - 104 - Angela S Adeshina-Morrison"</f>
        <v>08 - S1 - B - 104 - Angela S Adeshina-Morrison</v>
      </c>
      <c r="F6331" t="str">
        <f>"PEER COUN 1"</f>
        <v>PEER COUN 1</v>
      </c>
      <c r="G6331" t="str">
        <f>"05-518"</f>
        <v>05-518</v>
      </c>
      <c r="H6331" t="str">
        <f>"B"</f>
        <v>B</v>
      </c>
    </row>
    <row r="6332" spans="1:8" x14ac:dyDescent="0.2">
      <c r="A6332" t="str">
        <f t="shared" ref="A6332:A6339" si="2327">"0615057115"</f>
        <v>0615057115</v>
      </c>
      <c r="B6332" t="str">
        <f t="shared" ref="B6332:B6339" si="2328">"ISABEL"</f>
        <v>ISABEL</v>
      </c>
      <c r="C6332" t="str">
        <f t="shared" ref="C6332:C6339" si="2329">"GOLAT"</f>
        <v>GOLAT</v>
      </c>
      <c r="D6332">
        <f>12</f>
        <v>12</v>
      </c>
      <c r="E6332" t="str">
        <f>"04 - A - 205 - Jacqueline R Morphet"</f>
        <v>04 - A - 205 - Jacqueline R Morphet</v>
      </c>
      <c r="F6332" t="str">
        <f>"PHYSICS 1 HON"</f>
        <v>PHYSICS 1 HON</v>
      </c>
      <c r="G6332" t="str">
        <f>"21-2138"</f>
        <v>21-2138</v>
      </c>
      <c r="H6332" t="str">
        <f>"A"</f>
        <v>A</v>
      </c>
    </row>
    <row r="6333" spans="1:8" x14ac:dyDescent="0.2">
      <c r="A6333" t="str">
        <f t="shared" si="2327"/>
        <v>0615057115</v>
      </c>
      <c r="B6333" t="str">
        <f t="shared" si="2328"/>
        <v>ISABEL</v>
      </c>
      <c r="C6333" t="str">
        <f t="shared" si="2329"/>
        <v>GOLAT</v>
      </c>
      <c r="D6333">
        <f>12</f>
        <v>12</v>
      </c>
      <c r="E6333" t="str">
        <f>"06 - B - 110 - Barbara L Segal"</f>
        <v>06 - B - 110 - Barbara L Segal</v>
      </c>
      <c r="F6333" t="str">
        <f>"NC STUDY HALL 1"</f>
        <v>NC STUDY HALL 1</v>
      </c>
      <c r="G6333" t="str">
        <f>"17-1742"</f>
        <v>17-1742</v>
      </c>
      <c r="H6333" t="str">
        <f>"B"</f>
        <v>B</v>
      </c>
    </row>
    <row r="6334" spans="1:8" x14ac:dyDescent="0.2">
      <c r="A6334" t="str">
        <f t="shared" si="2327"/>
        <v>0615057115</v>
      </c>
      <c r="B6334" t="str">
        <f t="shared" si="2328"/>
        <v>ISABEL</v>
      </c>
      <c r="C6334" t="str">
        <f t="shared" si="2329"/>
        <v>GOLAT</v>
      </c>
      <c r="D6334">
        <f>12</f>
        <v>12</v>
      </c>
      <c r="E6334" t="str">
        <f>"03 - A - 201 - Joe  Kilpatrick Jr"</f>
        <v>03 - A - 201 - Joe  Kilpatrick Jr</v>
      </c>
      <c r="F6334" t="str">
        <f>"PRE-AICE SPAN 2 IG"</f>
        <v>PRE-AICE SPAN 2 IG</v>
      </c>
      <c r="G6334" t="str">
        <f>"09-912"</f>
        <v>09-912</v>
      </c>
      <c r="H6334" t="str">
        <f>"A"</f>
        <v>A</v>
      </c>
    </row>
    <row r="6335" spans="1:8" x14ac:dyDescent="0.2">
      <c r="A6335" t="str">
        <f t="shared" si="2327"/>
        <v>0615057115</v>
      </c>
      <c r="B6335" t="str">
        <f t="shared" si="2328"/>
        <v>ISABEL</v>
      </c>
      <c r="C6335" t="str">
        <f t="shared" si="2329"/>
        <v>GOLAT</v>
      </c>
      <c r="D6335">
        <f>12</f>
        <v>12</v>
      </c>
      <c r="E6335" t="str">
        <f>"02 - S1 - A - 103 - Barbara L Segal"</f>
        <v>02 - S1 - A - 103 - Barbara L Segal</v>
      </c>
      <c r="F6335" t="str">
        <f>"US GOVT HON"</f>
        <v>US GOVT HON</v>
      </c>
      <c r="G6335" t="str">
        <f>"17-1742"</f>
        <v>17-1742</v>
      </c>
      <c r="H6335" t="str">
        <f>"A"</f>
        <v>A</v>
      </c>
    </row>
    <row r="6336" spans="1:8" x14ac:dyDescent="0.2">
      <c r="A6336" t="str">
        <f t="shared" si="2327"/>
        <v>0615057115</v>
      </c>
      <c r="B6336" t="str">
        <f t="shared" si="2328"/>
        <v>ISABEL</v>
      </c>
      <c r="C6336" t="str">
        <f t="shared" si="2329"/>
        <v>GOLAT</v>
      </c>
      <c r="D6336">
        <f>12</f>
        <v>12</v>
      </c>
      <c r="E6336" t="str">
        <f>"07 - S1 - B - 101 - Daniel S Katz"</f>
        <v>07 - S1 - B - 101 - Daniel S Katz</v>
      </c>
      <c r="F6336" t="str">
        <f>"CRIMINAL LAW"</f>
        <v>CRIMINAL LAW</v>
      </c>
      <c r="G6336" t="str">
        <f>"21-2156"</f>
        <v>21-2156</v>
      </c>
      <c r="H6336" t="str">
        <f>"B"</f>
        <v>B</v>
      </c>
    </row>
    <row r="6337" spans="1:8" x14ac:dyDescent="0.2">
      <c r="A6337" t="str">
        <f t="shared" si="2327"/>
        <v>0615057115</v>
      </c>
      <c r="B6337" t="str">
        <f t="shared" si="2328"/>
        <v>ISABEL</v>
      </c>
      <c r="C6337" t="str">
        <f t="shared" si="2329"/>
        <v>GOLAT</v>
      </c>
      <c r="D6337">
        <f>12</f>
        <v>12</v>
      </c>
      <c r="E6337" t="str">
        <f>"05 - B - 104 - Jeffrey S Gallagher"</f>
        <v>05 - B - 104 - Jeffrey S Gallagher</v>
      </c>
      <c r="F6337" t="str">
        <f>"ENG HON 4"</f>
        <v>ENG HON 4</v>
      </c>
      <c r="G6337" t="str">
        <f>"17-1724"</f>
        <v>17-1724</v>
      </c>
      <c r="H6337" t="str">
        <f>"B"</f>
        <v>B</v>
      </c>
    </row>
    <row r="6338" spans="1:8" x14ac:dyDescent="0.2">
      <c r="A6338" t="str">
        <f t="shared" si="2327"/>
        <v>0615057115</v>
      </c>
      <c r="B6338" t="str">
        <f t="shared" si="2328"/>
        <v>ISABEL</v>
      </c>
      <c r="C6338" t="str">
        <f t="shared" si="2329"/>
        <v>GOLAT</v>
      </c>
      <c r="D6338">
        <f>12</f>
        <v>12</v>
      </c>
      <c r="E6338" t="str">
        <f>"01 - A - 101 - Thomas G Handwerg"</f>
        <v>01 - A - 101 - Thomas G Handwerg</v>
      </c>
      <c r="F6338" t="str">
        <f>"PROB STAT W/APPS HON"</f>
        <v>PROB STAT W/APPS HON</v>
      </c>
      <c r="G6338" t="str">
        <f>"21-2146"</f>
        <v>21-2146</v>
      </c>
      <c r="H6338" t="str">
        <f>"A"</f>
        <v>A</v>
      </c>
    </row>
    <row r="6339" spans="1:8" x14ac:dyDescent="0.2">
      <c r="A6339" t="str">
        <f t="shared" si="2327"/>
        <v>0615057115</v>
      </c>
      <c r="B6339" t="str">
        <f t="shared" si="2328"/>
        <v>ISABEL</v>
      </c>
      <c r="C6339" t="str">
        <f t="shared" si="2329"/>
        <v>GOLAT</v>
      </c>
      <c r="D6339">
        <f>12</f>
        <v>12</v>
      </c>
      <c r="E6339" t="str">
        <f>"08 - B - 107 - Taraneh C Abreu"</f>
        <v>08 - B - 107 - Taraneh C Abreu</v>
      </c>
      <c r="F6339" t="str">
        <f>"RESEARCH 1 LH"</f>
        <v>RESEARCH 1 LH</v>
      </c>
      <c r="G6339">
        <f>2041</f>
        <v>2041</v>
      </c>
      <c r="H6339" t="str">
        <f>"B"</f>
        <v>B</v>
      </c>
    </row>
    <row r="6340" spans="1:8" x14ac:dyDescent="0.2">
      <c r="A6340" t="str">
        <f t="shared" ref="A6340:A6348" si="2330">"0613093593"</f>
        <v>0613093593</v>
      </c>
      <c r="B6340" t="str">
        <f t="shared" ref="B6340:B6348" si="2331">"OWEN"</f>
        <v>OWEN</v>
      </c>
      <c r="C6340" t="str">
        <f t="shared" ref="C6340:C6348" si="2332">"GOLDFOND"</f>
        <v>GOLDFOND</v>
      </c>
      <c r="D6340">
        <f>12</f>
        <v>12</v>
      </c>
      <c r="E6340" t="str">
        <f>"19 - S1 - MTWHF - B18 - Instructor BC"</f>
        <v>19 - S1 - MTWHF - B18 - Instructor BC</v>
      </c>
      <c r="F6340" t="str">
        <f>"CHILD GUIDANCE"</f>
        <v>CHILD GUIDANCE</v>
      </c>
      <c r="G6340" t="str">
        <f>"60-DE"</f>
        <v>60-DE</v>
      </c>
      <c r="H6340" t="str">
        <f>"-"</f>
        <v>-</v>
      </c>
    </row>
    <row r="6341" spans="1:8" x14ac:dyDescent="0.2">
      <c r="A6341" t="str">
        <f t="shared" si="2330"/>
        <v>0613093593</v>
      </c>
      <c r="B6341" t="str">
        <f t="shared" si="2331"/>
        <v>OWEN</v>
      </c>
      <c r="C6341" t="str">
        <f t="shared" si="2332"/>
        <v>GOLDFOND</v>
      </c>
      <c r="D6341">
        <f>12</f>
        <v>12</v>
      </c>
      <c r="E6341" t="str">
        <f>"04 - A - 104 - Robert H Rindner"</f>
        <v>04 - A - 104 - Robert H Rindner</v>
      </c>
      <c r="F6341" t="str">
        <f>"MATH DATA&amp;FIN LIT H"</f>
        <v>MATH DATA&amp;FIN LIT H</v>
      </c>
      <c r="G6341" t="str">
        <f>"21-2160"</f>
        <v>21-2160</v>
      </c>
      <c r="H6341" t="str">
        <f>"A"</f>
        <v>A</v>
      </c>
    </row>
    <row r="6342" spans="1:8" x14ac:dyDescent="0.2">
      <c r="A6342" t="str">
        <f t="shared" si="2330"/>
        <v>0613093593</v>
      </c>
      <c r="B6342" t="str">
        <f t="shared" si="2331"/>
        <v>OWEN</v>
      </c>
      <c r="C6342" t="str">
        <f t="shared" si="2332"/>
        <v>GOLDFOND</v>
      </c>
      <c r="D6342">
        <f>12</f>
        <v>12</v>
      </c>
      <c r="E6342" t="str">
        <f>"06 - B - 003 - Emmily A Sarmiento"</f>
        <v>06 - B - 003 - Emmily A Sarmiento</v>
      </c>
      <c r="F6342" t="str">
        <f>"NC STUDY HALL 1"</f>
        <v>NC STUDY HALL 1</v>
      </c>
      <c r="G6342" t="str">
        <f>"17-1743"</f>
        <v>17-1743</v>
      </c>
      <c r="H6342" t="str">
        <f>"B"</f>
        <v>B</v>
      </c>
    </row>
    <row r="6343" spans="1:8" x14ac:dyDescent="0.2">
      <c r="A6343" t="str">
        <f t="shared" si="2330"/>
        <v>0613093593</v>
      </c>
      <c r="B6343" t="str">
        <f t="shared" si="2331"/>
        <v>OWEN</v>
      </c>
      <c r="C6343" t="str">
        <f t="shared" si="2332"/>
        <v>GOLDFOND</v>
      </c>
      <c r="D6343">
        <f>12</f>
        <v>12</v>
      </c>
      <c r="E6343" t="str">
        <f>"03 - A - 101 - Lisa J London"</f>
        <v>03 - A - 101 - Lisa J London</v>
      </c>
      <c r="F6343" t="str">
        <f>"AP CAPSTONE RESEARCH"</f>
        <v>AP CAPSTONE RESEARCH</v>
      </c>
      <c r="G6343" t="str">
        <f>"17-1714"</f>
        <v>17-1714</v>
      </c>
      <c r="H6343" t="str">
        <f>"A"</f>
        <v>A</v>
      </c>
    </row>
    <row r="6344" spans="1:8" x14ac:dyDescent="0.2">
      <c r="A6344" t="str">
        <f t="shared" si="2330"/>
        <v>0613093593</v>
      </c>
      <c r="B6344" t="str">
        <f t="shared" si="2331"/>
        <v>OWEN</v>
      </c>
      <c r="C6344" t="str">
        <f t="shared" si="2332"/>
        <v>GOLDFOND</v>
      </c>
      <c r="D6344">
        <f>12</f>
        <v>12</v>
      </c>
      <c r="E6344" t="str">
        <f>"02 - A - 201 - Jeanne M Bermudez"</f>
        <v>02 - A - 201 - Jeanne M Bermudez</v>
      </c>
      <c r="F6344" t="str">
        <f>"AP ENV SCI"</f>
        <v>AP ENV SCI</v>
      </c>
      <c r="G6344" t="str">
        <f>"21-2141"</f>
        <v>21-2141</v>
      </c>
      <c r="H6344" t="str">
        <f>"A"</f>
        <v>A</v>
      </c>
    </row>
    <row r="6345" spans="1:8" x14ac:dyDescent="0.2">
      <c r="A6345" t="str">
        <f t="shared" si="2330"/>
        <v>0613093593</v>
      </c>
      <c r="B6345" t="str">
        <f t="shared" si="2331"/>
        <v>OWEN</v>
      </c>
      <c r="C6345" t="str">
        <f t="shared" si="2332"/>
        <v>GOLDFOND</v>
      </c>
      <c r="D6345">
        <f>12</f>
        <v>12</v>
      </c>
      <c r="E6345" t="str">
        <f>"07 - S1 - B - 102 - Barbara L Segal"</f>
        <v>07 - S1 - B - 102 - Barbara L Segal</v>
      </c>
      <c r="F6345" t="str">
        <f>"AP US GOVT/POL"</f>
        <v>AP US GOVT/POL</v>
      </c>
      <c r="G6345" t="str">
        <f>"17-1742"</f>
        <v>17-1742</v>
      </c>
      <c r="H6345" t="str">
        <f>"B"</f>
        <v>B</v>
      </c>
    </row>
    <row r="6346" spans="1:8" x14ac:dyDescent="0.2">
      <c r="A6346" t="str">
        <f t="shared" si="2330"/>
        <v>0613093593</v>
      </c>
      <c r="B6346" t="str">
        <f t="shared" si="2331"/>
        <v>OWEN</v>
      </c>
      <c r="C6346" t="str">
        <f t="shared" si="2332"/>
        <v>GOLDFOND</v>
      </c>
      <c r="D6346">
        <f>12</f>
        <v>12</v>
      </c>
      <c r="E6346" t="str">
        <f>"05 - B - 105 - Norayda D Suarez"</f>
        <v>05 - B - 105 - Norayda D Suarez</v>
      </c>
      <c r="F6346" t="str">
        <f>"RESEARCH 1 LH"</f>
        <v>RESEARCH 1 LH</v>
      </c>
      <c r="G6346">
        <f>2041</f>
        <v>2041</v>
      </c>
      <c r="H6346" t="str">
        <f>"B"</f>
        <v>B</v>
      </c>
    </row>
    <row r="6347" spans="1:8" x14ac:dyDescent="0.2">
      <c r="A6347" t="str">
        <f t="shared" si="2330"/>
        <v>0613093593</v>
      </c>
      <c r="B6347" t="str">
        <f t="shared" si="2331"/>
        <v>OWEN</v>
      </c>
      <c r="C6347" t="str">
        <f t="shared" si="2332"/>
        <v>GOLDFOND</v>
      </c>
      <c r="D6347">
        <f>12</f>
        <v>12</v>
      </c>
      <c r="E6347" t="str">
        <f>"01 - A - 101 - Kelly N Panza"</f>
        <v>01 - A - 101 - Kelly N Panza</v>
      </c>
      <c r="F6347" t="str">
        <f>"AP HUMAN GEOG"</f>
        <v>AP HUMAN GEOG</v>
      </c>
      <c r="G6347" t="str">
        <f>"17-1753"</f>
        <v>17-1753</v>
      </c>
      <c r="H6347" t="str">
        <f>"A"</f>
        <v>A</v>
      </c>
    </row>
    <row r="6348" spans="1:8" x14ac:dyDescent="0.2">
      <c r="A6348" t="str">
        <f t="shared" si="2330"/>
        <v>0613093593</v>
      </c>
      <c r="B6348" t="str">
        <f t="shared" si="2331"/>
        <v>OWEN</v>
      </c>
      <c r="C6348" t="str">
        <f t="shared" si="2332"/>
        <v>GOLDFOND</v>
      </c>
      <c r="D6348">
        <f>12</f>
        <v>12</v>
      </c>
      <c r="E6348" t="str">
        <f>"08 - B - 203 - Courtney E Hambright"</f>
        <v>08 - B - 203 - Courtney E Hambright</v>
      </c>
      <c r="F6348" t="str">
        <f>"AP ENG LIT COMPO"</f>
        <v>AP ENG LIT COMPO</v>
      </c>
      <c r="G6348" t="str">
        <f>"17-1711"</f>
        <v>17-1711</v>
      </c>
      <c r="H6348" t="str">
        <f>"B"</f>
        <v>B</v>
      </c>
    </row>
    <row r="6349" spans="1:8" x14ac:dyDescent="0.2">
      <c r="A6349" t="str">
        <f t="shared" ref="A6349:A6356" si="2333">"0614059922"</f>
        <v>0614059922</v>
      </c>
      <c r="B6349" t="str">
        <f t="shared" ref="B6349:B6356" si="2334">"ANTHONY"</f>
        <v>ANTHONY</v>
      </c>
      <c r="C6349" t="str">
        <f t="shared" ref="C6349:C6356" si="2335">"GOLPHIN"</f>
        <v>GOLPHIN</v>
      </c>
      <c r="D6349">
        <f>12</f>
        <v>12</v>
      </c>
      <c r="E6349" t="str">
        <f>"04 - A - 104 - Robert H Rindner"</f>
        <v>04 - A - 104 - Robert H Rindner</v>
      </c>
      <c r="F6349" t="str">
        <f>"MATH DATA&amp;FIN LIT H"</f>
        <v>MATH DATA&amp;FIN LIT H</v>
      </c>
      <c r="G6349" t="str">
        <f>"21-2160"</f>
        <v>21-2160</v>
      </c>
      <c r="H6349" t="str">
        <f>"A"</f>
        <v>A</v>
      </c>
    </row>
    <row r="6350" spans="1:8" x14ac:dyDescent="0.2">
      <c r="A6350" t="str">
        <f t="shared" si="2333"/>
        <v>0614059922</v>
      </c>
      <c r="B6350" t="str">
        <f t="shared" si="2334"/>
        <v>ANTHONY</v>
      </c>
      <c r="C6350" t="str">
        <f t="shared" si="2335"/>
        <v>GOLPHIN</v>
      </c>
      <c r="D6350">
        <f>12</f>
        <v>12</v>
      </c>
      <c r="E6350" t="str">
        <f>"06 - B - 108 - Jacquelyn M Neeson"</f>
        <v>06 - B - 108 - Jacquelyn M Neeson</v>
      </c>
      <c r="F6350" t="str">
        <f>"NC STUDY HALL 1"</f>
        <v>NC STUDY HALL 1</v>
      </c>
      <c r="G6350" t="str">
        <f>"17-1715"</f>
        <v>17-1715</v>
      </c>
      <c r="H6350" t="str">
        <f>"B"</f>
        <v>B</v>
      </c>
    </row>
    <row r="6351" spans="1:8" x14ac:dyDescent="0.2">
      <c r="A6351" t="str">
        <f t="shared" si="2333"/>
        <v>0614059922</v>
      </c>
      <c r="B6351" t="str">
        <f t="shared" si="2334"/>
        <v>ANTHONY</v>
      </c>
      <c r="C6351" t="str">
        <f t="shared" si="2335"/>
        <v>GOLPHIN</v>
      </c>
      <c r="D6351">
        <f>12</f>
        <v>12</v>
      </c>
      <c r="E6351" t="str">
        <f>"03 - A - 101 - Dorothy D Moore"</f>
        <v>03 - A - 101 - Dorothy D Moore</v>
      </c>
      <c r="F6351" t="str">
        <f>"FORC SCI 1 LH"</f>
        <v>FORC SCI 1 LH</v>
      </c>
      <c r="G6351" t="str">
        <f>"08-803"</f>
        <v>08-803</v>
      </c>
      <c r="H6351" t="str">
        <f>"A"</f>
        <v>A</v>
      </c>
    </row>
    <row r="6352" spans="1:8" x14ac:dyDescent="0.2">
      <c r="A6352" t="str">
        <f t="shared" si="2333"/>
        <v>0614059922</v>
      </c>
      <c r="B6352" t="str">
        <f t="shared" si="2334"/>
        <v>ANTHONY</v>
      </c>
      <c r="C6352" t="str">
        <f t="shared" si="2335"/>
        <v>GOLPHIN</v>
      </c>
      <c r="D6352">
        <f>12</f>
        <v>12</v>
      </c>
      <c r="E6352" t="str">
        <f>"02 - S1 - A - 103 - Barbara L Segal"</f>
        <v>02 - S1 - A - 103 - Barbara L Segal</v>
      </c>
      <c r="F6352" t="str">
        <f>"US GOVT HON"</f>
        <v>US GOVT HON</v>
      </c>
      <c r="G6352" t="str">
        <f>"17-1742"</f>
        <v>17-1742</v>
      </c>
      <c r="H6352" t="str">
        <f>"A"</f>
        <v>A</v>
      </c>
    </row>
    <row r="6353" spans="1:8" x14ac:dyDescent="0.2">
      <c r="A6353" t="str">
        <f t="shared" si="2333"/>
        <v>0614059922</v>
      </c>
      <c r="B6353" t="str">
        <f t="shared" si="2334"/>
        <v>ANTHONY</v>
      </c>
      <c r="C6353" t="str">
        <f t="shared" si="2335"/>
        <v>GOLPHIN</v>
      </c>
      <c r="D6353">
        <f>12</f>
        <v>12</v>
      </c>
      <c r="E6353" t="str">
        <f>"07 - B - 101 - Lisa  Quinn"</f>
        <v>07 - B - 101 - Lisa  Quinn</v>
      </c>
      <c r="F6353" t="str">
        <f>"RESEARCH 1"</f>
        <v>RESEARCH 1</v>
      </c>
      <c r="G6353" t="str">
        <f>"17-1725"</f>
        <v>17-1725</v>
      </c>
      <c r="H6353" t="str">
        <f>"B"</f>
        <v>B</v>
      </c>
    </row>
    <row r="6354" spans="1:8" x14ac:dyDescent="0.2">
      <c r="A6354" t="str">
        <f t="shared" si="2333"/>
        <v>0614059922</v>
      </c>
      <c r="B6354" t="str">
        <f t="shared" si="2334"/>
        <v>ANTHONY</v>
      </c>
      <c r="C6354" t="str">
        <f t="shared" si="2335"/>
        <v>GOLPHIN</v>
      </c>
      <c r="D6354">
        <f>12</f>
        <v>12</v>
      </c>
      <c r="E6354" t="str">
        <f>"05 - B - 104 - Jeffrey S Gallagher"</f>
        <v>05 - B - 104 - Jeffrey S Gallagher</v>
      </c>
      <c r="F6354" t="str">
        <f>"ENG HON 4"</f>
        <v>ENG HON 4</v>
      </c>
      <c r="G6354" t="str">
        <f>"17-1724"</f>
        <v>17-1724</v>
      </c>
      <c r="H6354" t="str">
        <f>"B"</f>
        <v>B</v>
      </c>
    </row>
    <row r="6355" spans="1:8" x14ac:dyDescent="0.2">
      <c r="A6355" t="str">
        <f t="shared" si="2333"/>
        <v>0614059922</v>
      </c>
      <c r="B6355" t="str">
        <f t="shared" si="2334"/>
        <v>ANTHONY</v>
      </c>
      <c r="C6355" t="str">
        <f t="shared" si="2335"/>
        <v>GOLPHIN</v>
      </c>
      <c r="D6355">
        <f>12</f>
        <v>12</v>
      </c>
      <c r="E6355" t="str">
        <f>"01 - A - 108 - Rosa Elaine  Collado-Duff"</f>
        <v>01 - A - 108 - Rosa Elaine  Collado-Duff</v>
      </c>
      <c r="F6355" t="str">
        <f>"PRE-AICE SPAN 2 IG"</f>
        <v>PRE-AICE SPAN 2 IG</v>
      </c>
      <c r="G6355" t="str">
        <f>"09-913"</f>
        <v>09-913</v>
      </c>
      <c r="H6355" t="str">
        <f>"A"</f>
        <v>A</v>
      </c>
    </row>
    <row r="6356" spans="1:8" x14ac:dyDescent="0.2">
      <c r="A6356" t="str">
        <f t="shared" si="2333"/>
        <v>0614059922</v>
      </c>
      <c r="B6356" t="str">
        <f t="shared" si="2334"/>
        <v>ANTHONY</v>
      </c>
      <c r="C6356" t="str">
        <f t="shared" si="2335"/>
        <v>GOLPHIN</v>
      </c>
      <c r="D6356">
        <f>12</f>
        <v>12</v>
      </c>
      <c r="E6356" t="str">
        <f>"08 - S1 - B - 102 - Nahum  Saint-Preux"</f>
        <v>08 - S1 - B - 102 - Nahum  Saint-Preux</v>
      </c>
      <c r="F6356" t="str">
        <f>"CRIT THINK ST SKLS"</f>
        <v>CRIT THINK ST SKLS</v>
      </c>
      <c r="G6356" t="str">
        <f>"17-1712"</f>
        <v>17-1712</v>
      </c>
      <c r="H6356" t="str">
        <f>"B"</f>
        <v>B</v>
      </c>
    </row>
    <row r="6357" spans="1:8" x14ac:dyDescent="0.2">
      <c r="A6357" t="str">
        <f t="shared" ref="A6357:A6364" si="2336">"0616103252"</f>
        <v>0616103252</v>
      </c>
      <c r="B6357" t="str">
        <f t="shared" ref="B6357:B6364" si="2337">"ANGELICA"</f>
        <v>ANGELICA</v>
      </c>
      <c r="C6357" t="str">
        <f t="shared" ref="C6357:C6380" si="2338">"GOMEZ"</f>
        <v>GOMEZ</v>
      </c>
      <c r="D6357" t="str">
        <f t="shared" ref="D6357:D6380" si="2339">"09"</f>
        <v>09</v>
      </c>
      <c r="E6357" t="str">
        <f>"04 - A - 201 - Dorothy D Moore"</f>
        <v>04 - A - 201 - Dorothy D Moore</v>
      </c>
      <c r="F6357" t="str">
        <f>"HEALTH SCI 1/A&amp;P HON"</f>
        <v>HEALTH SCI 1/A&amp;P HON</v>
      </c>
      <c r="G6357" t="str">
        <f>"08-803"</f>
        <v>08-803</v>
      </c>
      <c r="H6357" t="str">
        <f>"A"</f>
        <v>A</v>
      </c>
    </row>
    <row r="6358" spans="1:8" x14ac:dyDescent="0.2">
      <c r="A6358" t="str">
        <f t="shared" si="2336"/>
        <v>0616103252</v>
      </c>
      <c r="B6358" t="str">
        <f t="shared" si="2337"/>
        <v>ANGELICA</v>
      </c>
      <c r="C6358" t="str">
        <f t="shared" si="2338"/>
        <v>GOMEZ</v>
      </c>
      <c r="D6358" t="str">
        <f t="shared" si="2339"/>
        <v>09</v>
      </c>
      <c r="E6358" t="str">
        <f>"06 - B - 104 - Byron G Montenegro"</f>
        <v>06 - B - 104 - Byron G Montenegro</v>
      </c>
      <c r="F6358" t="str">
        <f>"AICE MARINE SCI 1 AS"</f>
        <v>AICE MARINE SCI 1 AS</v>
      </c>
      <c r="G6358" t="str">
        <f>"21-2144"</f>
        <v>21-2144</v>
      </c>
      <c r="H6358" t="str">
        <f>"B"</f>
        <v>B</v>
      </c>
    </row>
    <row r="6359" spans="1:8" x14ac:dyDescent="0.2">
      <c r="A6359" t="str">
        <f t="shared" si="2336"/>
        <v>0616103252</v>
      </c>
      <c r="B6359" t="str">
        <f t="shared" si="2337"/>
        <v>ANGELICA</v>
      </c>
      <c r="C6359" t="str">
        <f t="shared" si="2338"/>
        <v>GOMEZ</v>
      </c>
      <c r="D6359" t="str">
        <f t="shared" si="2339"/>
        <v>09</v>
      </c>
      <c r="E6359" t="str">
        <f>"03 - A - 103 - Marius D Orsolini"</f>
        <v>03 - A - 103 - Marius D Orsolini</v>
      </c>
      <c r="F6359" t="str">
        <f>"CULINARY ARTS 1"</f>
        <v>CULINARY ARTS 1</v>
      </c>
      <c r="G6359" t="str">
        <f>"21-2115"</f>
        <v>21-2115</v>
      </c>
      <c r="H6359" t="str">
        <f>"A"</f>
        <v>A</v>
      </c>
    </row>
    <row r="6360" spans="1:8" x14ac:dyDescent="0.2">
      <c r="A6360" t="str">
        <f t="shared" si="2336"/>
        <v>0616103252</v>
      </c>
      <c r="B6360" t="str">
        <f t="shared" si="2337"/>
        <v>ANGELICA</v>
      </c>
      <c r="C6360" t="str">
        <f t="shared" si="2338"/>
        <v>GOMEZ</v>
      </c>
      <c r="D6360" t="str">
        <f t="shared" si="2339"/>
        <v>09</v>
      </c>
      <c r="E6360" t="str">
        <f>"02 - A - 106 - Helen A Flores"</f>
        <v>02 - A - 106 - Helen A Flores</v>
      </c>
      <c r="F6360" t="str">
        <f>"NC STUDY HALL 1"</f>
        <v>NC STUDY HALL 1</v>
      </c>
      <c r="G6360" t="str">
        <f>"21-2101"</f>
        <v>21-2101</v>
      </c>
      <c r="H6360" t="str">
        <f>"A"</f>
        <v>A</v>
      </c>
    </row>
    <row r="6361" spans="1:8" x14ac:dyDescent="0.2">
      <c r="A6361" t="str">
        <f t="shared" si="2336"/>
        <v>0616103252</v>
      </c>
      <c r="B6361" t="str">
        <f t="shared" si="2337"/>
        <v>ANGELICA</v>
      </c>
      <c r="C6361" t="str">
        <f t="shared" si="2338"/>
        <v>GOMEZ</v>
      </c>
      <c r="D6361" t="str">
        <f t="shared" si="2339"/>
        <v>09</v>
      </c>
      <c r="E6361" t="str">
        <f>"07 - B - 107 - Brook E Goren"</f>
        <v>07 - B - 107 - Brook E Goren</v>
      </c>
      <c r="F6361" t="str">
        <f>"PRE-AICE MATH 2 IG"</f>
        <v>PRE-AICE MATH 2 IG</v>
      </c>
      <c r="G6361" t="str">
        <f>"21-2158"</f>
        <v>21-2158</v>
      </c>
      <c r="H6361" t="str">
        <f>"B"</f>
        <v>B</v>
      </c>
    </row>
    <row r="6362" spans="1:8" x14ac:dyDescent="0.2">
      <c r="A6362" t="str">
        <f t="shared" si="2336"/>
        <v>0616103252</v>
      </c>
      <c r="B6362" t="str">
        <f t="shared" si="2337"/>
        <v>ANGELICA</v>
      </c>
      <c r="C6362" t="str">
        <f t="shared" si="2338"/>
        <v>GOMEZ</v>
      </c>
      <c r="D6362" t="str">
        <f t="shared" si="2339"/>
        <v>09</v>
      </c>
      <c r="E6362" t="str">
        <f>"05 - B - 204 - Elizabeth R Walker"</f>
        <v>05 - B - 204 - Elizabeth R Walker</v>
      </c>
      <c r="F6362" t="str">
        <f>"AICE ENG GEN PAPER 1"</f>
        <v>AICE ENG GEN PAPER 1</v>
      </c>
      <c r="G6362" t="str">
        <f>"17-1703"</f>
        <v>17-1703</v>
      </c>
      <c r="H6362" t="str">
        <f>"B"</f>
        <v>B</v>
      </c>
    </row>
    <row r="6363" spans="1:8" x14ac:dyDescent="0.2">
      <c r="A6363" t="str">
        <f t="shared" si="2336"/>
        <v>0616103252</v>
      </c>
      <c r="B6363" t="str">
        <f t="shared" si="2337"/>
        <v>ANGELICA</v>
      </c>
      <c r="C6363" t="str">
        <f t="shared" si="2338"/>
        <v>GOMEZ</v>
      </c>
      <c r="D6363" t="str">
        <f t="shared" si="2339"/>
        <v>09</v>
      </c>
      <c r="E6363" t="str">
        <f>"01 - A - 006 - Emmily A Sarmiento"</f>
        <v>01 - A - 006 - Emmily A Sarmiento</v>
      </c>
      <c r="F6363" t="str">
        <f>"AICE GLBL PERSP 1 AS"</f>
        <v>AICE GLBL PERSP 1 AS</v>
      </c>
      <c r="G6363" t="str">
        <f>"17-1743"</f>
        <v>17-1743</v>
      </c>
      <c r="H6363" t="str">
        <f>"A"</f>
        <v>A</v>
      </c>
    </row>
    <row r="6364" spans="1:8" x14ac:dyDescent="0.2">
      <c r="A6364" t="str">
        <f t="shared" si="2336"/>
        <v>0616103252</v>
      </c>
      <c r="B6364" t="str">
        <f t="shared" si="2337"/>
        <v>ANGELICA</v>
      </c>
      <c r="C6364" t="str">
        <f t="shared" si="2338"/>
        <v>GOMEZ</v>
      </c>
      <c r="D6364" t="str">
        <f t="shared" si="2339"/>
        <v>09</v>
      </c>
      <c r="E6364" t="str">
        <f>"08 - B - 101 - Alejandro  Navarro"</f>
        <v>08 - B - 101 - Alejandro  Navarro</v>
      </c>
      <c r="F6364" t="str">
        <f>"GUITAR 1"</f>
        <v>GUITAR 1</v>
      </c>
      <c r="G6364" t="str">
        <f>"05-504"</f>
        <v>05-504</v>
      </c>
      <c r="H6364" t="str">
        <f>"B"</f>
        <v>B</v>
      </c>
    </row>
    <row r="6365" spans="1:8" x14ac:dyDescent="0.2">
      <c r="A6365" t="str">
        <f t="shared" ref="A6365:A6372" si="2340">"0616152942"</f>
        <v>0616152942</v>
      </c>
      <c r="B6365" t="str">
        <f t="shared" ref="B6365:B6372" si="2341">"LUCAS"</f>
        <v>LUCAS</v>
      </c>
      <c r="C6365" t="str">
        <f t="shared" si="2338"/>
        <v>GOMEZ</v>
      </c>
      <c r="D6365" t="str">
        <f t="shared" si="2339"/>
        <v>09</v>
      </c>
      <c r="E6365" t="str">
        <f>"04 - A - 102 - Josiah I Lacy"</f>
        <v>04 - A - 102 - Josiah I Lacy</v>
      </c>
      <c r="F6365" t="str">
        <f>"PRE-AICE BIO IG"</f>
        <v>PRE-AICE BIO IG</v>
      </c>
      <c r="G6365" t="str">
        <f>"08-801"</f>
        <v>08-801</v>
      </c>
      <c r="H6365" t="str">
        <f>"A"</f>
        <v>A</v>
      </c>
    </row>
    <row r="6366" spans="1:8" x14ac:dyDescent="0.2">
      <c r="A6366" t="str">
        <f t="shared" si="2340"/>
        <v>0616152942</v>
      </c>
      <c r="B6366" t="str">
        <f t="shared" si="2341"/>
        <v>LUCAS</v>
      </c>
      <c r="C6366" t="str">
        <f t="shared" si="2338"/>
        <v>GOMEZ</v>
      </c>
      <c r="D6366" t="str">
        <f t="shared" si="2339"/>
        <v>09</v>
      </c>
      <c r="E6366" t="str">
        <f>"06 - B - 104 - Eva T Rimmer"</f>
        <v>06 - B - 104 - Eva T Rimmer</v>
      </c>
      <c r="F6366" t="str">
        <f>"CRIMINAL JUST OPS 1"</f>
        <v>CRIMINAL JUST OPS 1</v>
      </c>
      <c r="G6366" t="str">
        <f>"05-523"</f>
        <v>05-523</v>
      </c>
      <c r="H6366" t="str">
        <f>"B"</f>
        <v>B</v>
      </c>
    </row>
    <row r="6367" spans="1:8" x14ac:dyDescent="0.2">
      <c r="A6367" t="str">
        <f t="shared" si="2340"/>
        <v>0616152942</v>
      </c>
      <c r="B6367" t="str">
        <f t="shared" si="2341"/>
        <v>LUCAS</v>
      </c>
      <c r="C6367" t="str">
        <f t="shared" si="2338"/>
        <v>GOMEZ</v>
      </c>
      <c r="D6367" t="str">
        <f t="shared" si="2339"/>
        <v>09</v>
      </c>
      <c r="E6367" t="str">
        <f>"03 - A - 104 - Fernando  Vega-Cid"</f>
        <v>03 - A - 104 - Fernando  Vega-Cid</v>
      </c>
      <c r="F6367" t="str">
        <f>"GEOMETRY"</f>
        <v>GEOMETRY</v>
      </c>
      <c r="G6367" t="str">
        <f>"21-2163"</f>
        <v>21-2163</v>
      </c>
      <c r="H6367" t="str">
        <f>"A"</f>
        <v>A</v>
      </c>
    </row>
    <row r="6368" spans="1:8" x14ac:dyDescent="0.2">
      <c r="A6368" t="str">
        <f t="shared" si="2340"/>
        <v>0616152942</v>
      </c>
      <c r="B6368" t="str">
        <f t="shared" si="2341"/>
        <v>LUCAS</v>
      </c>
      <c r="C6368" t="str">
        <f t="shared" si="2338"/>
        <v>GOMEZ</v>
      </c>
      <c r="D6368" t="str">
        <f t="shared" si="2339"/>
        <v>09</v>
      </c>
      <c r="E6368" t="str">
        <f>"02 - A - 106 - Helen A Flores"</f>
        <v>02 - A - 106 - Helen A Flores</v>
      </c>
      <c r="F6368" t="str">
        <f>"NC STUDY HALL 1"</f>
        <v>NC STUDY HALL 1</v>
      </c>
      <c r="G6368" t="str">
        <f>"21-2101"</f>
        <v>21-2101</v>
      </c>
      <c r="H6368" t="str">
        <f>"A"</f>
        <v>A</v>
      </c>
    </row>
    <row r="6369" spans="1:8" x14ac:dyDescent="0.2">
      <c r="A6369" t="str">
        <f t="shared" si="2340"/>
        <v>0616152942</v>
      </c>
      <c r="B6369" t="str">
        <f t="shared" si="2341"/>
        <v>LUCAS</v>
      </c>
      <c r="C6369" t="str">
        <f t="shared" si="2338"/>
        <v>GOMEZ</v>
      </c>
      <c r="D6369" t="str">
        <f t="shared" si="2339"/>
        <v>09</v>
      </c>
      <c r="E6369" t="str">
        <f>"07 - B - 206 - Cheryl L Beach"</f>
        <v>07 - B - 206 - Cheryl L Beach</v>
      </c>
      <c r="F6369" t="str">
        <f>"AICE ENV MGMNT AS"</f>
        <v>AICE ENV MGMNT AS</v>
      </c>
      <c r="G6369" t="str">
        <f>"08-811"</f>
        <v>08-811</v>
      </c>
      <c r="H6369" t="str">
        <f>"B"</f>
        <v>B</v>
      </c>
    </row>
    <row r="6370" spans="1:8" x14ac:dyDescent="0.2">
      <c r="A6370" t="str">
        <f t="shared" si="2340"/>
        <v>0616152942</v>
      </c>
      <c r="B6370" t="str">
        <f t="shared" si="2341"/>
        <v>LUCAS</v>
      </c>
      <c r="C6370" t="str">
        <f t="shared" si="2338"/>
        <v>GOMEZ</v>
      </c>
      <c r="D6370" t="str">
        <f t="shared" si="2339"/>
        <v>09</v>
      </c>
      <c r="E6370" t="str">
        <f>"05 - B - 001 - Kelly N Panza"</f>
        <v>05 - B - 001 - Kelly N Panza</v>
      </c>
      <c r="F6370" t="str">
        <f>"AICE GLBL PERSP 1 AS"</f>
        <v>AICE GLBL PERSP 1 AS</v>
      </c>
      <c r="G6370" t="str">
        <f>"17-1753"</f>
        <v>17-1753</v>
      </c>
      <c r="H6370" t="str">
        <f>"B"</f>
        <v>B</v>
      </c>
    </row>
    <row r="6371" spans="1:8" x14ac:dyDescent="0.2">
      <c r="A6371" t="str">
        <f t="shared" si="2340"/>
        <v>0616152942</v>
      </c>
      <c r="B6371" t="str">
        <f t="shared" si="2341"/>
        <v>LUCAS</v>
      </c>
      <c r="C6371" t="str">
        <f t="shared" si="2338"/>
        <v>GOMEZ</v>
      </c>
      <c r="D6371" t="str">
        <f t="shared" si="2339"/>
        <v>09</v>
      </c>
      <c r="E6371" t="str">
        <f>"01 - A - 101 - Arthur  Kulawik"</f>
        <v>01 - A - 101 - Arthur  Kulawik</v>
      </c>
      <c r="F6371" t="str">
        <f>"DEBATE 1 LH"</f>
        <v>DEBATE 1 LH</v>
      </c>
      <c r="G6371" t="str">
        <f>"05-506"</f>
        <v>05-506</v>
      </c>
      <c r="H6371" t="str">
        <f>"A"</f>
        <v>A</v>
      </c>
    </row>
    <row r="6372" spans="1:8" x14ac:dyDescent="0.2">
      <c r="A6372" t="str">
        <f t="shared" si="2340"/>
        <v>0616152942</v>
      </c>
      <c r="B6372" t="str">
        <f t="shared" si="2341"/>
        <v>LUCAS</v>
      </c>
      <c r="C6372" t="str">
        <f t="shared" si="2338"/>
        <v>GOMEZ</v>
      </c>
      <c r="D6372" t="str">
        <f t="shared" si="2339"/>
        <v>09</v>
      </c>
      <c r="E6372" t="str">
        <f>"08 - B - 004 - Cheryl Anne  Berman-Schechter"</f>
        <v>08 - B - 004 - Cheryl Anne  Berman-Schechter</v>
      </c>
      <c r="F6372" t="str">
        <f>"AICE ENG GEN PAPER 1"</f>
        <v>AICE ENG GEN PAPER 1</v>
      </c>
      <c r="G6372" t="str">
        <f>"17-1722"</f>
        <v>17-1722</v>
      </c>
      <c r="H6372" t="str">
        <f>"B"</f>
        <v>B</v>
      </c>
    </row>
    <row r="6373" spans="1:8" x14ac:dyDescent="0.2">
      <c r="A6373" t="str">
        <f t="shared" ref="A6373:A6380" si="2342">"0619064717"</f>
        <v>0619064717</v>
      </c>
      <c r="B6373" t="str">
        <f t="shared" ref="B6373:B6380" si="2343">"MARIANA"</f>
        <v>MARIANA</v>
      </c>
      <c r="C6373" t="str">
        <f t="shared" si="2338"/>
        <v>GOMEZ</v>
      </c>
      <c r="D6373" t="str">
        <f t="shared" si="2339"/>
        <v>09</v>
      </c>
      <c r="E6373" t="str">
        <f>"04 - A - 103 - Joe  Kilpatrick Jr"</f>
        <v>04 - A - 103 - Joe  Kilpatrick Jr</v>
      </c>
      <c r="F6373" t="str">
        <f>"PRE-AICE SPAN 1 IG"</f>
        <v>PRE-AICE SPAN 1 IG</v>
      </c>
      <c r="G6373" t="str">
        <f>"09-912"</f>
        <v>09-912</v>
      </c>
      <c r="H6373" t="str">
        <f>"A"</f>
        <v>A</v>
      </c>
    </row>
    <row r="6374" spans="1:8" x14ac:dyDescent="0.2">
      <c r="A6374" t="str">
        <f t="shared" si="2342"/>
        <v>0619064717</v>
      </c>
      <c r="B6374" t="str">
        <f t="shared" si="2343"/>
        <v>MARIANA</v>
      </c>
      <c r="C6374" t="str">
        <f t="shared" si="2338"/>
        <v>GOMEZ</v>
      </c>
      <c r="D6374" t="str">
        <f t="shared" si="2339"/>
        <v>09</v>
      </c>
      <c r="E6374" t="str">
        <f>"06 - B - 105 - Cheryl L Beach"</f>
        <v>06 - B - 105 - Cheryl L Beach</v>
      </c>
      <c r="F6374" t="str">
        <f>"AICE ENV MGMNT AS"</f>
        <v>AICE ENV MGMNT AS</v>
      </c>
      <c r="G6374" t="str">
        <f>"08-811"</f>
        <v>08-811</v>
      </c>
      <c r="H6374" t="str">
        <f>"B"</f>
        <v>B</v>
      </c>
    </row>
    <row r="6375" spans="1:8" x14ac:dyDescent="0.2">
      <c r="A6375" t="str">
        <f t="shared" si="2342"/>
        <v>0619064717</v>
      </c>
      <c r="B6375" t="str">
        <f t="shared" si="2343"/>
        <v>MARIANA</v>
      </c>
      <c r="C6375" t="str">
        <f t="shared" si="2338"/>
        <v>GOMEZ</v>
      </c>
      <c r="D6375" t="str">
        <f t="shared" si="2339"/>
        <v>09</v>
      </c>
      <c r="E6375" t="str">
        <f>"03 - A - 101 - Brian M Fitzgerald"</f>
        <v>03 - A - 101 - Brian M Fitzgerald</v>
      </c>
      <c r="F6375" t="str">
        <f>"SCULPT 1"</f>
        <v>SCULPT 1</v>
      </c>
      <c r="G6375" t="str">
        <f>"09-908"</f>
        <v>09-908</v>
      </c>
      <c r="H6375" t="str">
        <f>"A"</f>
        <v>A</v>
      </c>
    </row>
    <row r="6376" spans="1:8" x14ac:dyDescent="0.2">
      <c r="A6376" t="str">
        <f t="shared" si="2342"/>
        <v>0619064717</v>
      </c>
      <c r="B6376" t="str">
        <f t="shared" si="2343"/>
        <v>MARIANA</v>
      </c>
      <c r="C6376" t="str">
        <f t="shared" si="2338"/>
        <v>GOMEZ</v>
      </c>
      <c r="D6376" t="str">
        <f t="shared" si="2339"/>
        <v>09</v>
      </c>
      <c r="E6376" t="str">
        <f>"02 - A - 106 - Helen A Flores"</f>
        <v>02 - A - 106 - Helen A Flores</v>
      </c>
      <c r="F6376" t="str">
        <f>"NC STUDY HALL 1"</f>
        <v>NC STUDY HALL 1</v>
      </c>
      <c r="G6376" t="str">
        <f>"21-2101"</f>
        <v>21-2101</v>
      </c>
      <c r="H6376" t="str">
        <f>"A"</f>
        <v>A</v>
      </c>
    </row>
    <row r="6377" spans="1:8" x14ac:dyDescent="0.2">
      <c r="A6377" t="str">
        <f t="shared" si="2342"/>
        <v>0619064717</v>
      </c>
      <c r="B6377" t="str">
        <f t="shared" si="2343"/>
        <v>MARIANA</v>
      </c>
      <c r="C6377" t="str">
        <f t="shared" si="2338"/>
        <v>GOMEZ</v>
      </c>
      <c r="D6377" t="str">
        <f t="shared" si="2339"/>
        <v>09</v>
      </c>
      <c r="E6377" t="str">
        <f>"07 - B - 207 - Krystal Marie  Beruty"</f>
        <v>07 - B - 207 - Krystal Marie  Beruty</v>
      </c>
      <c r="F6377" t="str">
        <f>"AICE GLBL PERSP 1 AS"</f>
        <v>AICE GLBL PERSP 1 AS</v>
      </c>
      <c r="G6377" t="str">
        <f>"17-1721"</f>
        <v>17-1721</v>
      </c>
      <c r="H6377" t="str">
        <f>"B"</f>
        <v>B</v>
      </c>
    </row>
    <row r="6378" spans="1:8" x14ac:dyDescent="0.2">
      <c r="A6378" t="str">
        <f t="shared" si="2342"/>
        <v>0619064717</v>
      </c>
      <c r="B6378" t="str">
        <f t="shared" si="2343"/>
        <v>MARIANA</v>
      </c>
      <c r="C6378" t="str">
        <f t="shared" si="2338"/>
        <v>GOMEZ</v>
      </c>
      <c r="D6378" t="str">
        <f t="shared" si="2339"/>
        <v>09</v>
      </c>
      <c r="E6378" t="str">
        <f>"05 - B - 204 - Elizabeth R Walker"</f>
        <v>05 - B - 204 - Elizabeth R Walker</v>
      </c>
      <c r="F6378" t="str">
        <f>"AICE ENG GEN PAPER 1"</f>
        <v>AICE ENG GEN PAPER 1</v>
      </c>
      <c r="G6378" t="str">
        <f>"17-1703"</f>
        <v>17-1703</v>
      </c>
      <c r="H6378" t="str">
        <f>"B"</f>
        <v>B</v>
      </c>
    </row>
    <row r="6379" spans="1:8" x14ac:dyDescent="0.2">
      <c r="A6379" t="str">
        <f t="shared" si="2342"/>
        <v>0619064717</v>
      </c>
      <c r="B6379" t="str">
        <f t="shared" si="2343"/>
        <v>MARIANA</v>
      </c>
      <c r="C6379" t="str">
        <f t="shared" si="2338"/>
        <v>GOMEZ</v>
      </c>
      <c r="D6379" t="str">
        <f t="shared" si="2339"/>
        <v>09</v>
      </c>
      <c r="E6379" t="str">
        <f>"01 - A - 101 - Maried P Ramos"</f>
        <v>01 - A - 101 - Maried P Ramos</v>
      </c>
      <c r="F6379" t="str">
        <f>"ALGEBRA 2 HON"</f>
        <v>ALGEBRA 2 HON</v>
      </c>
      <c r="G6379" t="str">
        <f>"21-2159"</f>
        <v>21-2159</v>
      </c>
      <c r="H6379" t="str">
        <f>"A"</f>
        <v>A</v>
      </c>
    </row>
    <row r="6380" spans="1:8" x14ac:dyDescent="0.2">
      <c r="A6380" t="str">
        <f t="shared" si="2342"/>
        <v>0619064717</v>
      </c>
      <c r="B6380" t="str">
        <f t="shared" si="2343"/>
        <v>MARIANA</v>
      </c>
      <c r="C6380" t="str">
        <f t="shared" si="2338"/>
        <v>GOMEZ</v>
      </c>
      <c r="D6380" t="str">
        <f t="shared" si="2339"/>
        <v>09</v>
      </c>
      <c r="E6380" t="str">
        <f>"08 - B - 202 - Dorothy D Moore"</f>
        <v>08 - B - 202 - Dorothy D Moore</v>
      </c>
      <c r="F6380" t="str">
        <f>"HEALTH SCI 1/A&amp;P HON"</f>
        <v>HEALTH SCI 1/A&amp;P HON</v>
      </c>
      <c r="G6380" t="str">
        <f>"08-803"</f>
        <v>08-803</v>
      </c>
      <c r="H6380" t="str">
        <f>"B"</f>
        <v>B</v>
      </c>
    </row>
    <row r="6381" spans="1:8" x14ac:dyDescent="0.2">
      <c r="A6381" t="str">
        <f t="shared" ref="A6381:A6388" si="2344">"0621068994"</f>
        <v>0621068994</v>
      </c>
      <c r="B6381" t="str">
        <f t="shared" ref="B6381:B6388" si="2345">"DAIYOMIE"</f>
        <v>DAIYOMIE</v>
      </c>
      <c r="C6381" t="str">
        <f t="shared" ref="C6381:C6388" si="2346">"GOMEZ-RIVERA"</f>
        <v>GOMEZ-RIVERA</v>
      </c>
      <c r="D6381">
        <f>12</f>
        <v>12</v>
      </c>
      <c r="E6381" t="str">
        <f>"04 - S1 - A - 101 - Kyle  Robbins"</f>
        <v>04 - S1 - A - 101 - Kyle  Robbins</v>
      </c>
      <c r="F6381" t="str">
        <f>"PERS FIN &amp; MON MGT H"</f>
        <v>PERS FIN &amp; MON MGT H</v>
      </c>
      <c r="G6381" t="str">
        <f>"17-1745"</f>
        <v>17-1745</v>
      </c>
      <c r="H6381" t="str">
        <f>"A"</f>
        <v>A</v>
      </c>
    </row>
    <row r="6382" spans="1:8" x14ac:dyDescent="0.2">
      <c r="A6382" t="str">
        <f t="shared" si="2344"/>
        <v>0621068994</v>
      </c>
      <c r="B6382" t="str">
        <f t="shared" si="2345"/>
        <v>DAIYOMIE</v>
      </c>
      <c r="C6382" t="str">
        <f t="shared" si="2346"/>
        <v>GOMEZ-RIVERA</v>
      </c>
      <c r="D6382">
        <f>12</f>
        <v>12</v>
      </c>
      <c r="E6382" t="str">
        <f>"06 - B - 101 - Cliffon  Saurel"</f>
        <v>06 - B - 101 - Cliffon  Saurel</v>
      </c>
      <c r="F6382" t="str">
        <f>"NC STUDY HALL 1"</f>
        <v>NC STUDY HALL 1</v>
      </c>
      <c r="G6382" t="str">
        <f>"05-522"</f>
        <v>05-522</v>
      </c>
      <c r="H6382" t="str">
        <f>"B"</f>
        <v>B</v>
      </c>
    </row>
    <row r="6383" spans="1:8" x14ac:dyDescent="0.2">
      <c r="A6383" t="str">
        <f t="shared" si="2344"/>
        <v>0621068994</v>
      </c>
      <c r="B6383" t="str">
        <f t="shared" si="2345"/>
        <v>DAIYOMIE</v>
      </c>
      <c r="C6383" t="str">
        <f t="shared" si="2346"/>
        <v>GOMEZ-RIVERA</v>
      </c>
      <c r="D6383">
        <f>12</f>
        <v>12</v>
      </c>
      <c r="E6383" t="str">
        <f>"03 - A - 102 - Cliffon  Saurel"</f>
        <v>03 - A - 102 - Cliffon  Saurel</v>
      </c>
      <c r="F6383" t="str">
        <f>"PHYSICAL SCI"</f>
        <v>PHYSICAL SCI</v>
      </c>
      <c r="G6383" t="str">
        <f>"05-522"</f>
        <v>05-522</v>
      </c>
      <c r="H6383" t="str">
        <f>"A"</f>
        <v>A</v>
      </c>
    </row>
    <row r="6384" spans="1:8" x14ac:dyDescent="0.2">
      <c r="A6384" t="str">
        <f t="shared" si="2344"/>
        <v>0621068994</v>
      </c>
      <c r="B6384" t="str">
        <f t="shared" si="2345"/>
        <v>DAIYOMIE</v>
      </c>
      <c r="C6384" t="str">
        <f t="shared" si="2346"/>
        <v>GOMEZ-RIVERA</v>
      </c>
      <c r="D6384">
        <f>12</f>
        <v>12</v>
      </c>
      <c r="E6384" t="str">
        <f>"02 - A - 102 - Daniel S Tyson"</f>
        <v>02 - A - 102 - Daniel S Tyson</v>
      </c>
      <c r="F6384" t="str">
        <f>"JROTC NAVAL SCI 1"</f>
        <v>JROTC NAVAL SCI 1</v>
      </c>
      <c r="G6384" t="str">
        <f>"05-510"</f>
        <v>05-510</v>
      </c>
      <c r="H6384" t="str">
        <f>"A"</f>
        <v>A</v>
      </c>
    </row>
    <row r="6385" spans="1:8" x14ac:dyDescent="0.2">
      <c r="A6385" t="str">
        <f t="shared" si="2344"/>
        <v>0621068994</v>
      </c>
      <c r="B6385" t="str">
        <f t="shared" si="2345"/>
        <v>DAIYOMIE</v>
      </c>
      <c r="C6385" t="str">
        <f t="shared" si="2346"/>
        <v>GOMEZ-RIVERA</v>
      </c>
      <c r="D6385">
        <f>12</f>
        <v>12</v>
      </c>
      <c r="E6385" t="str">
        <f>"07 - B - 104 - Robyn L Trainer"</f>
        <v>07 - B - 104 - Robyn L Trainer</v>
      </c>
      <c r="F6385" t="str">
        <f>"ENG 4"</f>
        <v>ENG 4</v>
      </c>
      <c r="G6385" t="str">
        <f>"17-1734"</f>
        <v>17-1734</v>
      </c>
      <c r="H6385" t="str">
        <f>"B"</f>
        <v>B</v>
      </c>
    </row>
    <row r="6386" spans="1:8" x14ac:dyDescent="0.2">
      <c r="A6386" t="str">
        <f t="shared" si="2344"/>
        <v>0621068994</v>
      </c>
      <c r="B6386" t="str">
        <f t="shared" si="2345"/>
        <v>DAIYOMIE</v>
      </c>
      <c r="C6386" t="str">
        <f t="shared" si="2346"/>
        <v>GOMEZ-RIVERA</v>
      </c>
      <c r="D6386">
        <f>12</f>
        <v>12</v>
      </c>
      <c r="E6386" t="str">
        <f>"05 - S1 - B - 102 - Robert O Burger"</f>
        <v>05 - S1 - B - 102 - Robert O Burger</v>
      </c>
      <c r="F6386" t="str">
        <f>"US GOVT"</f>
        <v>US GOVT</v>
      </c>
      <c r="G6386" t="str">
        <f>"17-1755"</f>
        <v>17-1755</v>
      </c>
      <c r="H6386" t="str">
        <f>"B"</f>
        <v>B</v>
      </c>
    </row>
    <row r="6387" spans="1:8" x14ac:dyDescent="0.2">
      <c r="A6387" t="str">
        <f t="shared" si="2344"/>
        <v>0621068994</v>
      </c>
      <c r="B6387" t="str">
        <f t="shared" si="2345"/>
        <v>DAIYOMIE</v>
      </c>
      <c r="C6387" t="str">
        <f t="shared" si="2346"/>
        <v>GOMEZ-RIVERA</v>
      </c>
      <c r="D6387">
        <f>12</f>
        <v>12</v>
      </c>
      <c r="E6387" t="str">
        <f>"01 - A - 102 - Robert H Rindner"</f>
        <v>01 - A - 102 - Robert H Rindner</v>
      </c>
      <c r="F6387" t="str">
        <f>"MATH DATA&amp;FIN LIT H"</f>
        <v>MATH DATA&amp;FIN LIT H</v>
      </c>
      <c r="G6387" t="str">
        <f>"21-2160"</f>
        <v>21-2160</v>
      </c>
      <c r="H6387" t="str">
        <f>"A"</f>
        <v>A</v>
      </c>
    </row>
    <row r="6388" spans="1:8" x14ac:dyDescent="0.2">
      <c r="A6388" t="str">
        <f t="shared" si="2344"/>
        <v>0621068994</v>
      </c>
      <c r="B6388" t="str">
        <f t="shared" si="2345"/>
        <v>DAIYOMIE</v>
      </c>
      <c r="C6388" t="str">
        <f t="shared" si="2346"/>
        <v>GOMEZ-RIVERA</v>
      </c>
      <c r="D6388">
        <f>12</f>
        <v>12</v>
      </c>
      <c r="E6388" t="str">
        <f>"08 - B - 102 - Carleigh R Carmichael"</f>
        <v>08 - B - 102 - Carleigh R Carmichael</v>
      </c>
      <c r="F6388" t="str">
        <f>"LRNG STRATEGIES 9-12"</f>
        <v>LRNG STRATEGIES 9-12</v>
      </c>
      <c r="G6388" t="str">
        <f>"20-2072"</f>
        <v>20-2072</v>
      </c>
      <c r="H6388" t="str">
        <f>"B"</f>
        <v>B</v>
      </c>
    </row>
    <row r="6389" spans="1:8" x14ac:dyDescent="0.2">
      <c r="A6389" t="str">
        <f t="shared" ref="A6389:A6396" si="2347">"0615022353"</f>
        <v>0615022353</v>
      </c>
      <c r="B6389" t="str">
        <f t="shared" ref="B6389:B6396" si="2348">"STEFAN"</f>
        <v>STEFAN</v>
      </c>
      <c r="C6389" t="str">
        <f t="shared" ref="C6389:C6396" si="2349">"GONCHAROV"</f>
        <v>GONCHAROV</v>
      </c>
      <c r="D6389">
        <f>11</f>
        <v>11</v>
      </c>
      <c r="E6389" t="str">
        <f>"04 - A - 101 - Jerry S Jiampetti"</f>
        <v>04 - A - 101 - Jerry S Jiampetti</v>
      </c>
      <c r="F6389" t="str">
        <f>"AICE U.S. HIST 1 AS"</f>
        <v>AICE U.S. HIST 1 AS</v>
      </c>
      <c r="G6389" t="str">
        <f>"17-1751"</f>
        <v>17-1751</v>
      </c>
      <c r="H6389" t="str">
        <f>"A"</f>
        <v>A</v>
      </c>
    </row>
    <row r="6390" spans="1:8" x14ac:dyDescent="0.2">
      <c r="A6390" t="str">
        <f t="shared" si="2347"/>
        <v>0615022353</v>
      </c>
      <c r="B6390" t="str">
        <f t="shared" si="2348"/>
        <v>STEFAN</v>
      </c>
      <c r="C6390" t="str">
        <f t="shared" si="2349"/>
        <v>GONCHAROV</v>
      </c>
      <c r="D6390">
        <f>11</f>
        <v>11</v>
      </c>
      <c r="E6390" t="str">
        <f>"06 - B - 102 - Angela S Adeshina-Morrison"</f>
        <v>06 - B - 102 - Angela S Adeshina-Morrison</v>
      </c>
      <c r="F6390" t="str">
        <f>"MARKETING ESSENTIALS"</f>
        <v>MARKETING ESSENTIALS</v>
      </c>
      <c r="G6390" t="str">
        <f>"05-518"</f>
        <v>05-518</v>
      </c>
      <c r="H6390" t="str">
        <f>"B"</f>
        <v>B</v>
      </c>
    </row>
    <row r="6391" spans="1:8" x14ac:dyDescent="0.2">
      <c r="A6391" t="str">
        <f t="shared" si="2347"/>
        <v>0615022353</v>
      </c>
      <c r="B6391" t="str">
        <f t="shared" si="2348"/>
        <v>STEFAN</v>
      </c>
      <c r="C6391" t="str">
        <f t="shared" si="2349"/>
        <v>GONCHAROV</v>
      </c>
      <c r="D6391">
        <f>11</f>
        <v>11</v>
      </c>
      <c r="E6391" t="str">
        <f>"03 - A - 101 - Timothy J Lawrence"</f>
        <v>03 - A - 101 - Timothy J Lawrence</v>
      </c>
      <c r="F6391" t="str">
        <f>"AICE PHYS ED 1 AS"</f>
        <v>AICE PHYS ED 1 AS</v>
      </c>
      <c r="G6391" t="str">
        <f>"05-519"</f>
        <v>05-519</v>
      </c>
      <c r="H6391" t="str">
        <f>"A"</f>
        <v>A</v>
      </c>
    </row>
    <row r="6392" spans="1:8" x14ac:dyDescent="0.2">
      <c r="A6392" t="str">
        <f t="shared" si="2347"/>
        <v>0615022353</v>
      </c>
      <c r="B6392" t="str">
        <f t="shared" si="2348"/>
        <v>STEFAN</v>
      </c>
      <c r="C6392" t="str">
        <f t="shared" si="2349"/>
        <v>GONCHAROV</v>
      </c>
      <c r="D6392">
        <f>11</f>
        <v>11</v>
      </c>
      <c r="E6392" t="str">
        <f>"02 - A - 104 - Dayna M Foster"</f>
        <v>02 - A - 104 - Dayna M Foster</v>
      </c>
      <c r="F6392" t="str">
        <f>"NC STUDY HALL 1"</f>
        <v>NC STUDY HALL 1</v>
      </c>
      <c r="G6392" t="str">
        <f>"21-2109"</f>
        <v>21-2109</v>
      </c>
      <c r="H6392" t="str">
        <f>"A"</f>
        <v>A</v>
      </c>
    </row>
    <row r="6393" spans="1:8" x14ac:dyDescent="0.2">
      <c r="A6393" t="str">
        <f t="shared" si="2347"/>
        <v>0615022353</v>
      </c>
      <c r="B6393" t="str">
        <f t="shared" si="2348"/>
        <v>STEFAN</v>
      </c>
      <c r="C6393" t="str">
        <f t="shared" si="2349"/>
        <v>GONCHAROV</v>
      </c>
      <c r="D6393">
        <f>11</f>
        <v>11</v>
      </c>
      <c r="E6393" t="str">
        <f>"07 - B - 107 - Semra  Bahadir"</f>
        <v>07 - B - 107 - Semra  Bahadir</v>
      </c>
      <c r="F6393" t="str">
        <f>"MATH COLL ALGEBRA"</f>
        <v>MATH COLL ALGEBRA</v>
      </c>
      <c r="G6393" t="str">
        <f>"21-2107"</f>
        <v>21-2107</v>
      </c>
      <c r="H6393" t="str">
        <f>"B"</f>
        <v>B</v>
      </c>
    </row>
    <row r="6394" spans="1:8" x14ac:dyDescent="0.2">
      <c r="A6394" t="str">
        <f t="shared" si="2347"/>
        <v>0615022353</v>
      </c>
      <c r="B6394" t="str">
        <f t="shared" si="2348"/>
        <v>STEFAN</v>
      </c>
      <c r="C6394" t="str">
        <f t="shared" si="2349"/>
        <v>GONCHAROV</v>
      </c>
      <c r="D6394">
        <f>11</f>
        <v>11</v>
      </c>
      <c r="E6394" t="str">
        <f>"05 - B - 108 - Valerie J Ruwe"</f>
        <v>05 - B - 108 - Valerie J Ruwe</v>
      </c>
      <c r="F6394" t="str">
        <f>"CHEMISTRY 1 HON"</f>
        <v>CHEMISTRY 1 HON</v>
      </c>
      <c r="G6394" t="str">
        <f>"21-2138"</f>
        <v>21-2138</v>
      </c>
      <c r="H6394" t="str">
        <f>"B"</f>
        <v>B</v>
      </c>
    </row>
    <row r="6395" spans="1:8" x14ac:dyDescent="0.2">
      <c r="A6395" t="str">
        <f t="shared" si="2347"/>
        <v>0615022353</v>
      </c>
      <c r="B6395" t="str">
        <f t="shared" si="2348"/>
        <v>STEFAN</v>
      </c>
      <c r="C6395" t="str">
        <f t="shared" si="2349"/>
        <v>GONCHAROV</v>
      </c>
      <c r="D6395">
        <f>11</f>
        <v>11</v>
      </c>
      <c r="E6395" t="str">
        <f>"01 - A - 101 - Jacklyn M James"</f>
        <v>01 - A - 101 - Jacklyn M James</v>
      </c>
      <c r="F6395" t="str">
        <f>"AICE ENG LANG AS"</f>
        <v>AICE ENG LANG AS</v>
      </c>
      <c r="G6395" t="str">
        <f>"17-1731"</f>
        <v>17-1731</v>
      </c>
      <c r="H6395" t="str">
        <f>"A"</f>
        <v>A</v>
      </c>
    </row>
    <row r="6396" spans="1:8" x14ac:dyDescent="0.2">
      <c r="A6396" t="str">
        <f t="shared" si="2347"/>
        <v>0615022353</v>
      </c>
      <c r="B6396" t="str">
        <f t="shared" si="2348"/>
        <v>STEFAN</v>
      </c>
      <c r="C6396" t="str">
        <f t="shared" si="2349"/>
        <v>GONCHAROV</v>
      </c>
      <c r="D6396">
        <f>11</f>
        <v>11</v>
      </c>
      <c r="E6396" t="str">
        <f>"08 - B - 102 - Robert H Rindner"</f>
        <v>08 - B - 102 - Robert H Rindner</v>
      </c>
      <c r="F6396" t="str">
        <f>"TV PRODUCTION TECH 1"</f>
        <v>TV PRODUCTION TECH 1</v>
      </c>
      <c r="G6396" t="str">
        <f>"21-2160"</f>
        <v>21-2160</v>
      </c>
      <c r="H6396" t="str">
        <f>"B"</f>
        <v>B</v>
      </c>
    </row>
    <row r="6397" spans="1:8" x14ac:dyDescent="0.2">
      <c r="A6397" t="str">
        <f t="shared" ref="A6397:A6404" si="2350">"0617013972"</f>
        <v>0617013972</v>
      </c>
      <c r="B6397" t="str">
        <f t="shared" ref="B6397:B6404" si="2351">"JANINE"</f>
        <v>JANINE</v>
      </c>
      <c r="C6397" t="str">
        <f t="shared" ref="C6397:C6404" si="2352">"GONZAL"</f>
        <v>GONZAL</v>
      </c>
      <c r="D6397" t="str">
        <f t="shared" ref="D6397:D6412" si="2353">"09"</f>
        <v>09</v>
      </c>
      <c r="E6397" t="str">
        <f>"04 - A - 102 - Eva T Rimmer"</f>
        <v>04 - A - 102 - Eva T Rimmer</v>
      </c>
      <c r="F6397" t="str">
        <f>"CRIMINAL JUST OPS 1"</f>
        <v>CRIMINAL JUST OPS 1</v>
      </c>
      <c r="G6397" t="str">
        <f>"05-523"</f>
        <v>05-523</v>
      </c>
      <c r="H6397" t="str">
        <f>"A"</f>
        <v>A</v>
      </c>
    </row>
    <row r="6398" spans="1:8" x14ac:dyDescent="0.2">
      <c r="A6398" t="str">
        <f t="shared" si="2350"/>
        <v>0617013972</v>
      </c>
      <c r="B6398" t="str">
        <f t="shared" si="2351"/>
        <v>JANINE</v>
      </c>
      <c r="C6398" t="str">
        <f t="shared" si="2352"/>
        <v>GONZAL</v>
      </c>
      <c r="D6398" t="str">
        <f t="shared" si="2353"/>
        <v>09</v>
      </c>
      <c r="E6398" t="str">
        <f>"06 - B - 104 - Rory T Sponsler"</f>
        <v>06 - B - 104 - Rory T Sponsler</v>
      </c>
      <c r="F6398" t="str">
        <f>"PRE-AICE WRLD HST IG"</f>
        <v>PRE-AICE WRLD HST IG</v>
      </c>
      <c r="G6398" t="str">
        <f>"17-1740"</f>
        <v>17-1740</v>
      </c>
      <c r="H6398" t="str">
        <f>"B"</f>
        <v>B</v>
      </c>
    </row>
    <row r="6399" spans="1:8" x14ac:dyDescent="0.2">
      <c r="A6399" t="str">
        <f t="shared" si="2350"/>
        <v>0617013972</v>
      </c>
      <c r="B6399" t="str">
        <f t="shared" si="2351"/>
        <v>JANINE</v>
      </c>
      <c r="C6399" t="str">
        <f t="shared" si="2352"/>
        <v>GONZAL</v>
      </c>
      <c r="D6399" t="str">
        <f t="shared" si="2353"/>
        <v>09</v>
      </c>
      <c r="E6399" t="str">
        <f>"03 - A - 103 - Jordana K Hass"</f>
        <v>03 - A - 103 - Jordana K Hass</v>
      </c>
      <c r="F6399" t="str">
        <f>"CHEMISTRY 1"</f>
        <v>CHEMISTRY 1</v>
      </c>
      <c r="G6399" t="str">
        <f>"08-807"</f>
        <v>08-807</v>
      </c>
      <c r="H6399" t="str">
        <f>"A"</f>
        <v>A</v>
      </c>
    </row>
    <row r="6400" spans="1:8" x14ac:dyDescent="0.2">
      <c r="A6400" t="str">
        <f t="shared" si="2350"/>
        <v>0617013972</v>
      </c>
      <c r="B6400" t="str">
        <f t="shared" si="2351"/>
        <v>JANINE</v>
      </c>
      <c r="C6400" t="str">
        <f t="shared" si="2352"/>
        <v>GONZAL</v>
      </c>
      <c r="D6400" t="str">
        <f t="shared" si="2353"/>
        <v>09</v>
      </c>
      <c r="E6400" t="str">
        <f>"02 - A - 115 - Lourivaldo  Da Silva"</f>
        <v>02 - A - 115 - Lourivaldo  Da Silva</v>
      </c>
      <c r="F6400" t="str">
        <f>"NC STUDY HALL 1"</f>
        <v>NC STUDY HALL 1</v>
      </c>
      <c r="G6400" t="str">
        <f>"20-2079"</f>
        <v>20-2079</v>
      </c>
      <c r="H6400" t="str">
        <f>"A"</f>
        <v>A</v>
      </c>
    </row>
    <row r="6401" spans="1:8" x14ac:dyDescent="0.2">
      <c r="A6401" t="str">
        <f t="shared" si="2350"/>
        <v>0617013972</v>
      </c>
      <c r="B6401" t="str">
        <f t="shared" si="2351"/>
        <v>JANINE</v>
      </c>
      <c r="C6401" t="str">
        <f t="shared" si="2352"/>
        <v>GONZAL</v>
      </c>
      <c r="D6401" t="str">
        <f t="shared" si="2353"/>
        <v>09</v>
      </c>
      <c r="E6401" t="str">
        <f>"07 - B - 003 - Brandy N Zdenek"</f>
        <v>07 - B - 003 - Brandy N Zdenek</v>
      </c>
      <c r="F6401" t="str">
        <f>"AICE ENG GEN PAPER 1"</f>
        <v>AICE ENG GEN PAPER 1</v>
      </c>
      <c r="G6401" t="str">
        <f>"17-1704"</f>
        <v>17-1704</v>
      </c>
      <c r="H6401" t="str">
        <f>"B"</f>
        <v>B</v>
      </c>
    </row>
    <row r="6402" spans="1:8" x14ac:dyDescent="0.2">
      <c r="A6402" t="str">
        <f t="shared" si="2350"/>
        <v>0617013972</v>
      </c>
      <c r="B6402" t="str">
        <f t="shared" si="2351"/>
        <v>JANINE</v>
      </c>
      <c r="C6402" t="str">
        <f t="shared" si="2352"/>
        <v>GONZAL</v>
      </c>
      <c r="D6402" t="str">
        <f t="shared" si="2353"/>
        <v>09</v>
      </c>
      <c r="E6402" t="str">
        <f>"05 - B - 108 - James H Mccann"</f>
        <v>05 - B - 108 - James H Mccann</v>
      </c>
      <c r="F6402" t="str">
        <f>"ALGEBRA 2"</f>
        <v>ALGEBRA 2</v>
      </c>
      <c r="G6402" t="str">
        <f>"17-1716"</f>
        <v>17-1716</v>
      </c>
      <c r="H6402" t="str">
        <f>"B"</f>
        <v>B</v>
      </c>
    </row>
    <row r="6403" spans="1:8" x14ac:dyDescent="0.2">
      <c r="A6403" t="str">
        <f t="shared" si="2350"/>
        <v>0617013972</v>
      </c>
      <c r="B6403" t="str">
        <f t="shared" si="2351"/>
        <v>JANINE</v>
      </c>
      <c r="C6403" t="str">
        <f t="shared" si="2352"/>
        <v>GONZAL</v>
      </c>
      <c r="D6403" t="str">
        <f t="shared" si="2353"/>
        <v>09</v>
      </c>
      <c r="E6403" t="str">
        <f>"01 - A - 101 - Arthur  Kulawik"</f>
        <v>01 - A - 101 - Arthur  Kulawik</v>
      </c>
      <c r="F6403" t="str">
        <f>"DEBATE 1 LH"</f>
        <v>DEBATE 1 LH</v>
      </c>
      <c r="G6403" t="str">
        <f>"05-506"</f>
        <v>05-506</v>
      </c>
      <c r="H6403" t="str">
        <f>"A"</f>
        <v>A</v>
      </c>
    </row>
    <row r="6404" spans="1:8" x14ac:dyDescent="0.2">
      <c r="A6404" t="str">
        <f t="shared" si="2350"/>
        <v>0617013972</v>
      </c>
      <c r="B6404" t="str">
        <f t="shared" si="2351"/>
        <v>JANINE</v>
      </c>
      <c r="C6404" t="str">
        <f t="shared" si="2352"/>
        <v>GONZAL</v>
      </c>
      <c r="D6404" t="str">
        <f t="shared" si="2353"/>
        <v>09</v>
      </c>
      <c r="E6404" t="str">
        <f>"08 - B - 001 - Brian M Fitzgerald"</f>
        <v>08 - B - 001 - Brian M Fitzgerald</v>
      </c>
      <c r="F6404" t="str">
        <f>"CERAM/POT 1"</f>
        <v>CERAM/POT 1</v>
      </c>
      <c r="G6404" t="str">
        <f>"09-908"</f>
        <v>09-908</v>
      </c>
      <c r="H6404" t="str">
        <f>"B"</f>
        <v>B</v>
      </c>
    </row>
    <row r="6405" spans="1:8" x14ac:dyDescent="0.2">
      <c r="A6405" t="str">
        <f t="shared" ref="A6405:A6412" si="2354">"0618044022"</f>
        <v>0618044022</v>
      </c>
      <c r="B6405" t="str">
        <f t="shared" ref="B6405:B6412" si="2355">"CAMILA"</f>
        <v>CAMILA</v>
      </c>
      <c r="C6405" t="str">
        <f t="shared" ref="C6405:C6452" si="2356">"GONZALEZ"</f>
        <v>GONZALEZ</v>
      </c>
      <c r="D6405" t="str">
        <f t="shared" si="2353"/>
        <v>09</v>
      </c>
      <c r="E6405" t="str">
        <f>"04 - A - 102 - Byron G Montenegro"</f>
        <v>04 - A - 102 - Byron G Montenegro</v>
      </c>
      <c r="F6405" t="str">
        <f>"AICE MARINE SCI 1 AS"</f>
        <v>AICE MARINE SCI 1 AS</v>
      </c>
      <c r="G6405" t="str">
        <f>"21-2144"</f>
        <v>21-2144</v>
      </c>
      <c r="H6405" t="str">
        <f>"A"</f>
        <v>A</v>
      </c>
    </row>
    <row r="6406" spans="1:8" x14ac:dyDescent="0.2">
      <c r="A6406" t="str">
        <f t="shared" si="2354"/>
        <v>0618044022</v>
      </c>
      <c r="B6406" t="str">
        <f t="shared" si="2355"/>
        <v>CAMILA</v>
      </c>
      <c r="C6406" t="str">
        <f t="shared" si="2356"/>
        <v>GONZALEZ</v>
      </c>
      <c r="D6406" t="str">
        <f t="shared" si="2353"/>
        <v>09</v>
      </c>
      <c r="E6406" t="str">
        <f>"06 - B - 105 - Cerine S Stewart"</f>
        <v>06 - B - 105 - Cerine S Stewart</v>
      </c>
      <c r="F6406" t="str">
        <f>"AICE ENG GEN PAPER 1"</f>
        <v>AICE ENG GEN PAPER 1</v>
      </c>
      <c r="G6406" t="str">
        <f>"17-1720"</f>
        <v>17-1720</v>
      </c>
      <c r="H6406" t="str">
        <f>"B"</f>
        <v>B</v>
      </c>
    </row>
    <row r="6407" spans="1:8" x14ac:dyDescent="0.2">
      <c r="A6407" t="str">
        <f t="shared" si="2354"/>
        <v>0618044022</v>
      </c>
      <c r="B6407" t="str">
        <f t="shared" si="2355"/>
        <v>CAMILA</v>
      </c>
      <c r="C6407" t="str">
        <f t="shared" si="2356"/>
        <v>GONZALEZ</v>
      </c>
      <c r="D6407" t="str">
        <f t="shared" si="2353"/>
        <v>09</v>
      </c>
      <c r="E6407" t="str">
        <f>"03 - A - 101 - Eva T Rimmer"</f>
        <v>03 - A - 101 - Eva T Rimmer</v>
      </c>
      <c r="F6407" t="str">
        <f>"CRIMINAL JUST OPS 1"</f>
        <v>CRIMINAL JUST OPS 1</v>
      </c>
      <c r="G6407" t="str">
        <f>"05-523"</f>
        <v>05-523</v>
      </c>
      <c r="H6407" t="str">
        <f>"A"</f>
        <v>A</v>
      </c>
    </row>
    <row r="6408" spans="1:8" x14ac:dyDescent="0.2">
      <c r="A6408" t="str">
        <f t="shared" si="2354"/>
        <v>0618044022</v>
      </c>
      <c r="B6408" t="str">
        <f t="shared" si="2355"/>
        <v>CAMILA</v>
      </c>
      <c r="C6408" t="str">
        <f t="shared" si="2356"/>
        <v>GONZALEZ</v>
      </c>
      <c r="D6408" t="str">
        <f t="shared" si="2353"/>
        <v>09</v>
      </c>
      <c r="E6408" t="str">
        <f>"02 - A - 107 - Cerine S Stewart"</f>
        <v>02 - A - 107 - Cerine S Stewart</v>
      </c>
      <c r="F6408" t="str">
        <f>"NC STUDY HALL 1"</f>
        <v>NC STUDY HALL 1</v>
      </c>
      <c r="G6408" t="str">
        <f>"17-1720"</f>
        <v>17-1720</v>
      </c>
      <c r="H6408" t="str">
        <f>"A"</f>
        <v>A</v>
      </c>
    </row>
    <row r="6409" spans="1:8" x14ac:dyDescent="0.2">
      <c r="A6409" t="str">
        <f t="shared" si="2354"/>
        <v>0618044022</v>
      </c>
      <c r="B6409" t="str">
        <f t="shared" si="2355"/>
        <v>CAMILA</v>
      </c>
      <c r="C6409" t="str">
        <f t="shared" si="2356"/>
        <v>GONZALEZ</v>
      </c>
      <c r="D6409" t="str">
        <f t="shared" si="2353"/>
        <v>09</v>
      </c>
      <c r="E6409" t="str">
        <f>"07 - B - 207 - Krystal Marie  Beruty"</f>
        <v>07 - B - 207 - Krystal Marie  Beruty</v>
      </c>
      <c r="F6409" t="str">
        <f>"AICE GLBL PERSP 1 AS"</f>
        <v>AICE GLBL PERSP 1 AS</v>
      </c>
      <c r="G6409" t="str">
        <f>"17-1721"</f>
        <v>17-1721</v>
      </c>
      <c r="H6409" t="str">
        <f>"B"</f>
        <v>B</v>
      </c>
    </row>
    <row r="6410" spans="1:8" x14ac:dyDescent="0.2">
      <c r="A6410" t="str">
        <f t="shared" si="2354"/>
        <v>0618044022</v>
      </c>
      <c r="B6410" t="str">
        <f t="shared" si="2355"/>
        <v>CAMILA</v>
      </c>
      <c r="C6410" t="str">
        <f t="shared" si="2356"/>
        <v>GONZALEZ</v>
      </c>
      <c r="D6410" t="str">
        <f t="shared" si="2353"/>
        <v>09</v>
      </c>
      <c r="E6410" t="str">
        <f>"05 - B - 102 - Emmily A Sarmiento"</f>
        <v>05 - B - 102 - Emmily A Sarmiento</v>
      </c>
      <c r="F6410" t="str">
        <f>"LEAD SKLS DEV LH"</f>
        <v>LEAD SKLS DEV LH</v>
      </c>
      <c r="G6410" t="str">
        <f>"17-1743"</f>
        <v>17-1743</v>
      </c>
      <c r="H6410" t="str">
        <f>"B"</f>
        <v>B</v>
      </c>
    </row>
    <row r="6411" spans="1:8" x14ac:dyDescent="0.2">
      <c r="A6411" t="str">
        <f t="shared" si="2354"/>
        <v>0618044022</v>
      </c>
      <c r="B6411" t="str">
        <f t="shared" si="2355"/>
        <v>CAMILA</v>
      </c>
      <c r="C6411" t="str">
        <f t="shared" si="2356"/>
        <v>GONZALEZ</v>
      </c>
      <c r="D6411" t="str">
        <f t="shared" si="2353"/>
        <v>09</v>
      </c>
      <c r="E6411" t="str">
        <f>"01 - A - 102 - Fernando  Vega-Cid"</f>
        <v>01 - A - 102 - Fernando  Vega-Cid</v>
      </c>
      <c r="F6411" t="str">
        <f>"GEOMETRY"</f>
        <v>GEOMETRY</v>
      </c>
      <c r="G6411" t="str">
        <f>"21-2163"</f>
        <v>21-2163</v>
      </c>
      <c r="H6411" t="str">
        <f>"A"</f>
        <v>A</v>
      </c>
    </row>
    <row r="6412" spans="1:8" x14ac:dyDescent="0.2">
      <c r="A6412" t="str">
        <f t="shared" si="2354"/>
        <v>0618044022</v>
      </c>
      <c r="B6412" t="str">
        <f t="shared" si="2355"/>
        <v>CAMILA</v>
      </c>
      <c r="C6412" t="str">
        <f t="shared" si="2356"/>
        <v>GONZALEZ</v>
      </c>
      <c r="D6412" t="str">
        <f t="shared" si="2353"/>
        <v>09</v>
      </c>
      <c r="E6412" t="str">
        <f>"08 - B - 101 - Jazmin S Fletcher"</f>
        <v>08 - B - 101 - Jazmin S Fletcher</v>
      </c>
      <c r="F6412" t="str">
        <f>"PRE-AICE DRAMA 1G"</f>
        <v>PRE-AICE DRAMA 1G</v>
      </c>
      <c r="G6412" t="str">
        <f>"09-909"</f>
        <v>09-909</v>
      </c>
      <c r="H6412" t="str">
        <f>"B"</f>
        <v>B</v>
      </c>
    </row>
    <row r="6413" spans="1:8" x14ac:dyDescent="0.2">
      <c r="A6413" t="str">
        <f t="shared" ref="A6413:A6420" si="2357">"0617071575"</f>
        <v>0617071575</v>
      </c>
      <c r="B6413" t="str">
        <f t="shared" ref="B6413:B6420" si="2358">"FABIANA"</f>
        <v>FABIANA</v>
      </c>
      <c r="C6413" t="str">
        <f t="shared" si="2356"/>
        <v>GONZALEZ</v>
      </c>
      <c r="D6413">
        <f>10</f>
        <v>10</v>
      </c>
      <c r="E6413" t="str">
        <f>"04 - A - 201 - Norayda D Suarez"</f>
        <v>04 - A - 201 - Norayda D Suarez</v>
      </c>
      <c r="F6413" t="str">
        <f>"ANAT PHYSIO HON"</f>
        <v>ANAT PHYSIO HON</v>
      </c>
      <c r="G6413" t="str">
        <f>"21-2142"</f>
        <v>21-2142</v>
      </c>
      <c r="H6413" t="str">
        <f>"A"</f>
        <v>A</v>
      </c>
    </row>
    <row r="6414" spans="1:8" x14ac:dyDescent="0.2">
      <c r="A6414" t="str">
        <f t="shared" si="2357"/>
        <v>0617071575</v>
      </c>
      <c r="B6414" t="str">
        <f t="shared" si="2358"/>
        <v>FABIANA</v>
      </c>
      <c r="C6414" t="str">
        <f t="shared" si="2356"/>
        <v>GONZALEZ</v>
      </c>
      <c r="D6414">
        <f>10</f>
        <v>10</v>
      </c>
      <c r="E6414" t="str">
        <f>"06 - B - 113 - Joe  Kilpatrick Jr"</f>
        <v>06 - B - 113 - Joe  Kilpatrick Jr</v>
      </c>
      <c r="F6414" t="str">
        <f>"NC STUDY HALL 1"</f>
        <v>NC STUDY HALL 1</v>
      </c>
      <c r="G6414" t="str">
        <f>"09-912"</f>
        <v>09-912</v>
      </c>
      <c r="H6414" t="str">
        <f>"B"</f>
        <v>B</v>
      </c>
    </row>
    <row r="6415" spans="1:8" x14ac:dyDescent="0.2">
      <c r="A6415" t="str">
        <f t="shared" si="2357"/>
        <v>0617071575</v>
      </c>
      <c r="B6415" t="str">
        <f t="shared" si="2358"/>
        <v>FABIANA</v>
      </c>
      <c r="C6415" t="str">
        <f t="shared" si="2356"/>
        <v>GONZALEZ</v>
      </c>
      <c r="D6415">
        <f>10</f>
        <v>10</v>
      </c>
      <c r="E6415" t="str">
        <f>"03 - A - 103 - Courtney E Hambright"</f>
        <v>03 - A - 103 - Courtney E Hambright</v>
      </c>
      <c r="F6415" t="str">
        <f>"AICE ENG LANG AS"</f>
        <v>AICE ENG LANG AS</v>
      </c>
      <c r="G6415" t="str">
        <f>"17-1711"</f>
        <v>17-1711</v>
      </c>
      <c r="H6415" t="str">
        <f>"A"</f>
        <v>A</v>
      </c>
    </row>
    <row r="6416" spans="1:8" x14ac:dyDescent="0.2">
      <c r="A6416" t="str">
        <f t="shared" si="2357"/>
        <v>0617071575</v>
      </c>
      <c r="B6416" t="str">
        <f t="shared" si="2358"/>
        <v>FABIANA</v>
      </c>
      <c r="C6416" t="str">
        <f t="shared" si="2356"/>
        <v>GONZALEZ</v>
      </c>
      <c r="D6416">
        <f>10</f>
        <v>10</v>
      </c>
      <c r="E6416" t="str">
        <f>"02 - S1 - A - 101 - Carol S Moore"</f>
        <v>02 - S1 - A - 101 - Carol S Moore</v>
      </c>
      <c r="F6416" t="str">
        <f>"PER CAR SCH DEV 1 LH"</f>
        <v>PER CAR SCH DEV 1 LH</v>
      </c>
      <c r="G6416" t="str">
        <f>"17-1733"</f>
        <v>17-1733</v>
      </c>
      <c r="H6416" t="str">
        <f>"A"</f>
        <v>A</v>
      </c>
    </row>
    <row r="6417" spans="1:8" x14ac:dyDescent="0.2">
      <c r="A6417" t="str">
        <f t="shared" si="2357"/>
        <v>0617071575</v>
      </c>
      <c r="B6417" t="str">
        <f t="shared" si="2358"/>
        <v>FABIANA</v>
      </c>
      <c r="C6417" t="str">
        <f t="shared" si="2356"/>
        <v>GONZALEZ</v>
      </c>
      <c r="D6417">
        <f>10</f>
        <v>10</v>
      </c>
      <c r="E6417" t="str">
        <f>"07 - B - 101 - Lisa  Quinn"</f>
        <v>07 - B - 101 - Lisa  Quinn</v>
      </c>
      <c r="F6417" t="str">
        <f>"RESEARCH 1"</f>
        <v>RESEARCH 1</v>
      </c>
      <c r="G6417" t="str">
        <f>"17-1725"</f>
        <v>17-1725</v>
      </c>
      <c r="H6417" t="str">
        <f>"B"</f>
        <v>B</v>
      </c>
    </row>
    <row r="6418" spans="1:8" x14ac:dyDescent="0.2">
      <c r="A6418" t="str">
        <f t="shared" si="2357"/>
        <v>0617071575</v>
      </c>
      <c r="B6418" t="str">
        <f t="shared" si="2358"/>
        <v>FABIANA</v>
      </c>
      <c r="C6418" t="str">
        <f t="shared" si="2356"/>
        <v>GONZALEZ</v>
      </c>
      <c r="D6418">
        <f>10</f>
        <v>10</v>
      </c>
      <c r="E6418" t="str">
        <f>"05 - B - 201 - Lisa J London"</f>
        <v>05 - B - 201 - Lisa J London</v>
      </c>
      <c r="F6418" t="str">
        <f>"COMPRE LAW HON"</f>
        <v>COMPRE LAW HON</v>
      </c>
      <c r="G6418" t="str">
        <f>"17-1714"</f>
        <v>17-1714</v>
      </c>
      <c r="H6418" t="str">
        <f>"B"</f>
        <v>B</v>
      </c>
    </row>
    <row r="6419" spans="1:8" x14ac:dyDescent="0.2">
      <c r="A6419" t="str">
        <f t="shared" si="2357"/>
        <v>0617071575</v>
      </c>
      <c r="B6419" t="str">
        <f t="shared" si="2358"/>
        <v>FABIANA</v>
      </c>
      <c r="C6419" t="str">
        <f t="shared" si="2356"/>
        <v>GONZALEZ</v>
      </c>
      <c r="D6419">
        <f>10</f>
        <v>10</v>
      </c>
      <c r="E6419" t="str">
        <f>"01 - A - 001 - Lenecy  Nodarse"</f>
        <v>01 - A - 001 - Lenecy  Nodarse</v>
      </c>
      <c r="F6419" t="str">
        <f>"AICE EURO HIST 1 AS"</f>
        <v>AICE EURO HIST 1 AS</v>
      </c>
      <c r="G6419" t="str">
        <f>"17-1741"</f>
        <v>17-1741</v>
      </c>
      <c r="H6419" t="str">
        <f>"A"</f>
        <v>A</v>
      </c>
    </row>
    <row r="6420" spans="1:8" x14ac:dyDescent="0.2">
      <c r="A6420" t="str">
        <f t="shared" si="2357"/>
        <v>0617071575</v>
      </c>
      <c r="B6420" t="str">
        <f t="shared" si="2358"/>
        <v>FABIANA</v>
      </c>
      <c r="C6420" t="str">
        <f t="shared" si="2356"/>
        <v>GONZALEZ</v>
      </c>
      <c r="D6420">
        <f>10</f>
        <v>10</v>
      </c>
      <c r="E6420" t="str">
        <f>"08 - B - 105 - Ferrie J Arostique"</f>
        <v>08 - B - 105 - Ferrie J Arostique</v>
      </c>
      <c r="F6420" t="str">
        <f>"PRE-AICE MATH 2 IG"</f>
        <v>PRE-AICE MATH 2 IG</v>
      </c>
      <c r="G6420" t="str">
        <f>"21-2139"</f>
        <v>21-2139</v>
      </c>
      <c r="H6420" t="str">
        <f>"B"</f>
        <v>B</v>
      </c>
    </row>
    <row r="6421" spans="1:8" x14ac:dyDescent="0.2">
      <c r="A6421" t="str">
        <f t="shared" ref="A6421:A6428" si="2359">"0613084098"</f>
        <v>0613084098</v>
      </c>
      <c r="B6421" t="str">
        <f t="shared" ref="B6421:B6428" si="2360">"JADEN"</f>
        <v>JADEN</v>
      </c>
      <c r="C6421" t="str">
        <f t="shared" si="2356"/>
        <v>GONZALEZ</v>
      </c>
      <c r="D6421">
        <f>12</f>
        <v>12</v>
      </c>
      <c r="E6421" t="str">
        <f>"04 - A - 106 - Tina M Jaramillo"</f>
        <v>04 - A - 106 - Tina M Jaramillo</v>
      </c>
      <c r="F6421" t="str">
        <f>"AP ENG LIT COMPO"</f>
        <v>AP ENG LIT COMPO</v>
      </c>
      <c r="G6421" t="str">
        <f>"17-1706"</f>
        <v>17-1706</v>
      </c>
      <c r="H6421" t="str">
        <f>"A"</f>
        <v>A</v>
      </c>
    </row>
    <row r="6422" spans="1:8" x14ac:dyDescent="0.2">
      <c r="A6422" t="str">
        <f t="shared" si="2359"/>
        <v>0613084098</v>
      </c>
      <c r="B6422" t="str">
        <f t="shared" si="2360"/>
        <v>JADEN</v>
      </c>
      <c r="C6422" t="str">
        <f t="shared" si="2356"/>
        <v>GONZALEZ</v>
      </c>
      <c r="D6422">
        <f>12</f>
        <v>12</v>
      </c>
      <c r="E6422" t="str">
        <f>"06 - B - 113 - Marielle A Witting"</f>
        <v>06 - B - 113 - Marielle A Witting</v>
      </c>
      <c r="F6422" t="str">
        <f>"NC STUDY HALL 1"</f>
        <v>NC STUDY HALL 1</v>
      </c>
      <c r="G6422" t="str">
        <f>"08-805"</f>
        <v>08-805</v>
      </c>
      <c r="H6422" t="str">
        <f>"B"</f>
        <v>B</v>
      </c>
    </row>
    <row r="6423" spans="1:8" x14ac:dyDescent="0.2">
      <c r="A6423" t="str">
        <f t="shared" si="2359"/>
        <v>0613084098</v>
      </c>
      <c r="B6423" t="str">
        <f t="shared" si="2360"/>
        <v>JADEN</v>
      </c>
      <c r="C6423" t="str">
        <f t="shared" si="2356"/>
        <v>GONZALEZ</v>
      </c>
      <c r="D6423">
        <f>12</f>
        <v>12</v>
      </c>
      <c r="E6423" t="str">
        <f>"03 - A - 101 - Lisa J London"</f>
        <v>03 - A - 101 - Lisa J London</v>
      </c>
      <c r="F6423" t="str">
        <f>"AP CAPSTONE RESEARCH"</f>
        <v>AP CAPSTONE RESEARCH</v>
      </c>
      <c r="G6423" t="str">
        <f>"17-1714"</f>
        <v>17-1714</v>
      </c>
      <c r="H6423" t="str">
        <f>"A"</f>
        <v>A</v>
      </c>
    </row>
    <row r="6424" spans="1:8" x14ac:dyDescent="0.2">
      <c r="A6424" t="str">
        <f t="shared" si="2359"/>
        <v>0613084098</v>
      </c>
      <c r="B6424" t="str">
        <f t="shared" si="2360"/>
        <v>JADEN</v>
      </c>
      <c r="C6424" t="str">
        <f t="shared" si="2356"/>
        <v>GONZALEZ</v>
      </c>
      <c r="D6424">
        <f>12</f>
        <v>12</v>
      </c>
      <c r="E6424" t="str">
        <f>"02 - A - 102 - Norayda D Suarez"</f>
        <v>02 - A - 102 - Norayda D Suarez</v>
      </c>
      <c r="F6424" t="str">
        <f>"RESEARCH 1 LH"</f>
        <v>RESEARCH 1 LH</v>
      </c>
      <c r="G6424">
        <f>2041</f>
        <v>2041</v>
      </c>
      <c r="H6424" t="str">
        <f>"A"</f>
        <v>A</v>
      </c>
    </row>
    <row r="6425" spans="1:8" x14ac:dyDescent="0.2">
      <c r="A6425" t="str">
        <f t="shared" si="2359"/>
        <v>0613084098</v>
      </c>
      <c r="B6425" t="str">
        <f t="shared" si="2360"/>
        <v>JADEN</v>
      </c>
      <c r="C6425" t="str">
        <f t="shared" si="2356"/>
        <v>GONZALEZ</v>
      </c>
      <c r="D6425">
        <f>12</f>
        <v>12</v>
      </c>
      <c r="E6425" t="str">
        <f>"07 - B - 201 - Jacqueline R Morphet"</f>
        <v>07 - B - 201 - Jacqueline R Morphet</v>
      </c>
      <c r="F6425" t="str">
        <f>"AP PHYSICS C: ME"</f>
        <v>AP PHYSICS C: ME</v>
      </c>
      <c r="G6425" t="str">
        <f>"21-2138"</f>
        <v>21-2138</v>
      </c>
      <c r="H6425" t="str">
        <f>"B"</f>
        <v>B</v>
      </c>
    </row>
    <row r="6426" spans="1:8" x14ac:dyDescent="0.2">
      <c r="A6426" t="str">
        <f t="shared" si="2359"/>
        <v>0613084098</v>
      </c>
      <c r="B6426" t="str">
        <f t="shared" si="2360"/>
        <v>JADEN</v>
      </c>
      <c r="C6426" t="str">
        <f t="shared" si="2356"/>
        <v>GONZALEZ</v>
      </c>
      <c r="D6426">
        <f>12</f>
        <v>12</v>
      </c>
      <c r="E6426" t="str">
        <f>"05 - B - 201 - Scott A Dethloff"</f>
        <v>05 - B - 201 - Scott A Dethloff</v>
      </c>
      <c r="F6426" t="str">
        <f>"AP CHEM"</f>
        <v>AP CHEM</v>
      </c>
      <c r="G6426" t="str">
        <f>"08-812"</f>
        <v>08-812</v>
      </c>
      <c r="H6426" t="str">
        <f>"B"</f>
        <v>B</v>
      </c>
    </row>
    <row r="6427" spans="1:8" x14ac:dyDescent="0.2">
      <c r="A6427" t="str">
        <f t="shared" si="2359"/>
        <v>0613084098</v>
      </c>
      <c r="B6427" t="str">
        <f t="shared" si="2360"/>
        <v>JADEN</v>
      </c>
      <c r="C6427" t="str">
        <f t="shared" si="2356"/>
        <v>GONZALEZ</v>
      </c>
      <c r="D6427">
        <f>12</f>
        <v>12</v>
      </c>
      <c r="E6427" t="str">
        <f>"01 - A - 201 - Pamela M Corzo"</f>
        <v>01 - A - 201 - Pamela M Corzo</v>
      </c>
      <c r="F6427" t="str">
        <f>"AP CALCULUS BC"</f>
        <v>AP CALCULUS BC</v>
      </c>
      <c r="G6427" t="str">
        <f>"21-2133"</f>
        <v>21-2133</v>
      </c>
      <c r="H6427" t="str">
        <f>"A"</f>
        <v>A</v>
      </c>
    </row>
    <row r="6428" spans="1:8" x14ac:dyDescent="0.2">
      <c r="A6428" t="str">
        <f t="shared" si="2359"/>
        <v>0613084098</v>
      </c>
      <c r="B6428" t="str">
        <f t="shared" si="2360"/>
        <v>JADEN</v>
      </c>
      <c r="C6428" t="str">
        <f t="shared" si="2356"/>
        <v>GONZALEZ</v>
      </c>
      <c r="D6428">
        <f>12</f>
        <v>12</v>
      </c>
      <c r="E6428" t="str">
        <f>"08 - S1 - B - 102 - Stephen T Ripp"</f>
        <v>08 - S1 - B - 102 - Stephen T Ripp</v>
      </c>
      <c r="F6428" t="str">
        <f>"AP US GOVT/POL"</f>
        <v>AP US GOVT/POL</v>
      </c>
      <c r="G6428" t="str">
        <f>"17-1744"</f>
        <v>17-1744</v>
      </c>
      <c r="H6428" t="str">
        <f>"B"</f>
        <v>B</v>
      </c>
    </row>
    <row r="6429" spans="1:8" x14ac:dyDescent="0.2">
      <c r="A6429" t="str">
        <f t="shared" ref="A6429:A6436" si="2361">"0614066951"</f>
        <v>0614066951</v>
      </c>
      <c r="B6429" t="str">
        <f t="shared" ref="B6429:B6436" si="2362">"JORDAN"</f>
        <v>JORDAN</v>
      </c>
      <c r="C6429" t="str">
        <f t="shared" si="2356"/>
        <v>GONZALEZ</v>
      </c>
      <c r="D6429" t="str">
        <f t="shared" ref="D6429:D6436" si="2363">"09"</f>
        <v>09</v>
      </c>
      <c r="E6429" t="str">
        <f>"04 - A - 102 - Byron G Montenegro"</f>
        <v>04 - A - 102 - Byron G Montenegro</v>
      </c>
      <c r="F6429" t="str">
        <f>"AICE MARINE SCI 1 AS"</f>
        <v>AICE MARINE SCI 1 AS</v>
      </c>
      <c r="G6429" t="str">
        <f>"21-2144"</f>
        <v>21-2144</v>
      </c>
      <c r="H6429" t="str">
        <f>"A"</f>
        <v>A</v>
      </c>
    </row>
    <row r="6430" spans="1:8" x14ac:dyDescent="0.2">
      <c r="A6430" t="str">
        <f t="shared" si="2361"/>
        <v>0614066951</v>
      </c>
      <c r="B6430" t="str">
        <f t="shared" si="2362"/>
        <v>JORDAN</v>
      </c>
      <c r="C6430" t="str">
        <f t="shared" si="2356"/>
        <v>GONZALEZ</v>
      </c>
      <c r="D6430" t="str">
        <f t="shared" si="2363"/>
        <v>09</v>
      </c>
      <c r="E6430" t="str">
        <f>"06 - B - 102 - Rosa Elaine  Collado-Duff"</f>
        <v>06 - B - 102 - Rosa Elaine  Collado-Duff</v>
      </c>
      <c r="F6430" t="str">
        <f>"SPANISH 3 HON"</f>
        <v>SPANISH 3 HON</v>
      </c>
      <c r="G6430" t="str">
        <f>"09-913"</f>
        <v>09-913</v>
      </c>
      <c r="H6430" t="str">
        <f>"B"</f>
        <v>B</v>
      </c>
    </row>
    <row r="6431" spans="1:8" x14ac:dyDescent="0.2">
      <c r="A6431" t="str">
        <f t="shared" si="2361"/>
        <v>0614066951</v>
      </c>
      <c r="B6431" t="str">
        <f t="shared" si="2362"/>
        <v>JORDAN</v>
      </c>
      <c r="C6431" t="str">
        <f t="shared" si="2356"/>
        <v>GONZALEZ</v>
      </c>
      <c r="D6431" t="str">
        <f t="shared" si="2363"/>
        <v>09</v>
      </c>
      <c r="E6431" t="str">
        <f>"03 - A - 005 - Cerine S Stewart"</f>
        <v>03 - A - 005 - Cerine S Stewart</v>
      </c>
      <c r="F6431" t="str">
        <f>"AICE ENG GEN PAPER 1"</f>
        <v>AICE ENG GEN PAPER 1</v>
      </c>
      <c r="G6431" t="str">
        <f>"17-1720"</f>
        <v>17-1720</v>
      </c>
      <c r="H6431" t="str">
        <f>"A"</f>
        <v>A</v>
      </c>
    </row>
    <row r="6432" spans="1:8" x14ac:dyDescent="0.2">
      <c r="A6432" t="str">
        <f t="shared" si="2361"/>
        <v>0614066951</v>
      </c>
      <c r="B6432" t="str">
        <f t="shared" si="2362"/>
        <v>JORDAN</v>
      </c>
      <c r="C6432" t="str">
        <f t="shared" si="2356"/>
        <v>GONZALEZ</v>
      </c>
      <c r="D6432" t="str">
        <f t="shared" si="2363"/>
        <v>09</v>
      </c>
      <c r="E6432" t="str">
        <f>"02 - A - 105 - Elizabeth R Walker"</f>
        <v>02 - A - 105 - Elizabeth R Walker</v>
      </c>
      <c r="F6432" t="str">
        <f>"NC STUDY HALL 1"</f>
        <v>NC STUDY HALL 1</v>
      </c>
      <c r="G6432" t="str">
        <f>"17-1703"</f>
        <v>17-1703</v>
      </c>
      <c r="H6432" t="str">
        <f>"A"</f>
        <v>A</v>
      </c>
    </row>
    <row r="6433" spans="1:8" x14ac:dyDescent="0.2">
      <c r="A6433" t="str">
        <f t="shared" si="2361"/>
        <v>0614066951</v>
      </c>
      <c r="B6433" t="str">
        <f t="shared" si="2362"/>
        <v>JORDAN</v>
      </c>
      <c r="C6433" t="str">
        <f t="shared" si="2356"/>
        <v>GONZALEZ</v>
      </c>
      <c r="D6433" t="str">
        <f t="shared" si="2363"/>
        <v>09</v>
      </c>
      <c r="E6433" t="str">
        <f>"07 - B - 002 - Jordana K Hass"</f>
        <v>07 - B - 002 - Jordana K Hass</v>
      </c>
      <c r="F6433" t="str">
        <f>"CHEMISTRY 1 HON"</f>
        <v>CHEMISTRY 1 HON</v>
      </c>
      <c r="G6433" t="str">
        <f>"08-807"</f>
        <v>08-807</v>
      </c>
      <c r="H6433" t="str">
        <f>"B"</f>
        <v>B</v>
      </c>
    </row>
    <row r="6434" spans="1:8" x14ac:dyDescent="0.2">
      <c r="A6434" t="str">
        <f t="shared" si="2361"/>
        <v>0614066951</v>
      </c>
      <c r="B6434" t="str">
        <f t="shared" si="2362"/>
        <v>JORDAN</v>
      </c>
      <c r="C6434" t="str">
        <f t="shared" si="2356"/>
        <v>GONZALEZ</v>
      </c>
      <c r="D6434" t="str">
        <f t="shared" si="2363"/>
        <v>09</v>
      </c>
      <c r="E6434" t="str">
        <f>"05 - B - 001 - Kelly N Panza"</f>
        <v>05 - B - 001 - Kelly N Panza</v>
      </c>
      <c r="F6434" t="str">
        <f>"AICE GLBL PERSP 1 AS"</f>
        <v>AICE GLBL PERSP 1 AS</v>
      </c>
      <c r="G6434" t="str">
        <f>"17-1753"</f>
        <v>17-1753</v>
      </c>
      <c r="H6434" t="str">
        <f>"B"</f>
        <v>B</v>
      </c>
    </row>
    <row r="6435" spans="1:8" x14ac:dyDescent="0.2">
      <c r="A6435" t="str">
        <f t="shared" si="2361"/>
        <v>0614066951</v>
      </c>
      <c r="B6435" t="str">
        <f t="shared" si="2362"/>
        <v>JORDAN</v>
      </c>
      <c r="C6435" t="str">
        <f t="shared" si="2356"/>
        <v>GONZALEZ</v>
      </c>
      <c r="D6435" t="str">
        <f t="shared" si="2363"/>
        <v>09</v>
      </c>
      <c r="E6435" t="str">
        <f>"01 - A - 101 - Arthur  Kulawik"</f>
        <v>01 - A - 101 - Arthur  Kulawik</v>
      </c>
      <c r="F6435" t="str">
        <f>"DEBATE 1 LH"</f>
        <v>DEBATE 1 LH</v>
      </c>
      <c r="G6435" t="str">
        <f>"05-506"</f>
        <v>05-506</v>
      </c>
      <c r="H6435" t="str">
        <f>"A"</f>
        <v>A</v>
      </c>
    </row>
    <row r="6436" spans="1:8" x14ac:dyDescent="0.2">
      <c r="A6436" t="str">
        <f t="shared" si="2361"/>
        <v>0614066951</v>
      </c>
      <c r="B6436" t="str">
        <f t="shared" si="2362"/>
        <v>JORDAN</v>
      </c>
      <c r="C6436" t="str">
        <f t="shared" si="2356"/>
        <v>GONZALEZ</v>
      </c>
      <c r="D6436" t="str">
        <f t="shared" si="2363"/>
        <v>09</v>
      </c>
      <c r="E6436" t="str">
        <f>"08 - B - 105 - Ferrie J Arostique"</f>
        <v>08 - B - 105 - Ferrie J Arostique</v>
      </c>
      <c r="F6436" t="str">
        <f>"PRE-AICE MATH 2 IG"</f>
        <v>PRE-AICE MATH 2 IG</v>
      </c>
      <c r="G6436" t="str">
        <f>"21-2139"</f>
        <v>21-2139</v>
      </c>
      <c r="H6436" t="str">
        <f>"B"</f>
        <v>B</v>
      </c>
    </row>
    <row r="6437" spans="1:8" x14ac:dyDescent="0.2">
      <c r="A6437" t="str">
        <f t="shared" ref="A6437:A6444" si="2364">"0612058992"</f>
        <v>0612058992</v>
      </c>
      <c r="B6437" t="str">
        <f t="shared" ref="B6437:B6444" si="2365">"LILLY"</f>
        <v>LILLY</v>
      </c>
      <c r="C6437" t="str">
        <f t="shared" si="2356"/>
        <v>GONZALEZ</v>
      </c>
      <c r="D6437">
        <f>12</f>
        <v>12</v>
      </c>
      <c r="E6437" t="str">
        <f>"04 - S1 - A - 101 - Barbara L Segal"</f>
        <v>04 - S1 - A - 101 - Barbara L Segal</v>
      </c>
      <c r="F6437" t="str">
        <f>"AP US GOVT/POL"</f>
        <v>AP US GOVT/POL</v>
      </c>
      <c r="G6437" t="str">
        <f>"17-1742"</f>
        <v>17-1742</v>
      </c>
      <c r="H6437" t="str">
        <f>"A"</f>
        <v>A</v>
      </c>
    </row>
    <row r="6438" spans="1:8" x14ac:dyDescent="0.2">
      <c r="A6438" t="str">
        <f t="shared" si="2364"/>
        <v>0612058992</v>
      </c>
      <c r="B6438" t="str">
        <f t="shared" si="2365"/>
        <v>LILLY</v>
      </c>
      <c r="C6438" t="str">
        <f t="shared" si="2356"/>
        <v>GONZALEZ</v>
      </c>
      <c r="D6438">
        <f>12</f>
        <v>12</v>
      </c>
      <c r="E6438" t="str">
        <f>"06 - B - 112 - Lisa  Quinn"</f>
        <v>06 - B - 112 - Lisa  Quinn</v>
      </c>
      <c r="F6438" t="str">
        <f>"NC STUDY HALL 1"</f>
        <v>NC STUDY HALL 1</v>
      </c>
      <c r="G6438" t="str">
        <f>"17-1725"</f>
        <v>17-1725</v>
      </c>
      <c r="H6438" t="str">
        <f>"B"</f>
        <v>B</v>
      </c>
    </row>
    <row r="6439" spans="1:8" x14ac:dyDescent="0.2">
      <c r="A6439" t="str">
        <f t="shared" si="2364"/>
        <v>0612058992</v>
      </c>
      <c r="B6439" t="str">
        <f t="shared" si="2365"/>
        <v>LILLY</v>
      </c>
      <c r="C6439" t="str">
        <f t="shared" si="2356"/>
        <v>GONZALEZ</v>
      </c>
      <c r="D6439">
        <f>12</f>
        <v>12</v>
      </c>
      <c r="E6439" t="str">
        <f>"03 - A - 203 - Stefanie S Scher"</f>
        <v>03 - A - 203 - Stefanie S Scher</v>
      </c>
      <c r="F6439" t="str">
        <f>"AP PSYCH"</f>
        <v>AP PSYCH</v>
      </c>
      <c r="G6439" t="str">
        <f>"17-1735"</f>
        <v>17-1735</v>
      </c>
      <c r="H6439" t="str">
        <f>"A"</f>
        <v>A</v>
      </c>
    </row>
    <row r="6440" spans="1:8" x14ac:dyDescent="0.2">
      <c r="A6440" t="str">
        <f t="shared" si="2364"/>
        <v>0612058992</v>
      </c>
      <c r="B6440" t="str">
        <f t="shared" si="2365"/>
        <v>LILLY</v>
      </c>
      <c r="C6440" t="str">
        <f t="shared" si="2356"/>
        <v>GONZALEZ</v>
      </c>
      <c r="D6440">
        <f>12</f>
        <v>12</v>
      </c>
      <c r="E6440" t="str">
        <f>"02 - A - 107 - Tina M Jaramillo"</f>
        <v>02 - A - 107 - Tina M Jaramillo</v>
      </c>
      <c r="F6440" t="str">
        <f>"AP ENG LIT COMPO"</f>
        <v>AP ENG LIT COMPO</v>
      </c>
      <c r="G6440" t="str">
        <f>"17-1706"</f>
        <v>17-1706</v>
      </c>
      <c r="H6440" t="str">
        <f>"A"</f>
        <v>A</v>
      </c>
    </row>
    <row r="6441" spans="1:8" x14ac:dyDescent="0.2">
      <c r="A6441" t="str">
        <f t="shared" si="2364"/>
        <v>0612058992</v>
      </c>
      <c r="B6441" t="str">
        <f t="shared" si="2365"/>
        <v>LILLY</v>
      </c>
      <c r="C6441" t="str">
        <f t="shared" si="2356"/>
        <v>GONZALEZ</v>
      </c>
      <c r="D6441">
        <f>12</f>
        <v>12</v>
      </c>
      <c r="E6441" t="str">
        <f>"07 - B - 102 - Pamela M Corzo"</f>
        <v>07 - B - 102 - Pamela M Corzo</v>
      </c>
      <c r="F6441" t="str">
        <f>"AP CALCULUS AB"</f>
        <v>AP CALCULUS AB</v>
      </c>
      <c r="G6441" t="str">
        <f>"21-2133"</f>
        <v>21-2133</v>
      </c>
      <c r="H6441" t="str">
        <f>"B"</f>
        <v>B</v>
      </c>
    </row>
    <row r="6442" spans="1:8" x14ac:dyDescent="0.2">
      <c r="A6442" t="str">
        <f t="shared" si="2364"/>
        <v>0612058992</v>
      </c>
      <c r="B6442" t="str">
        <f t="shared" si="2365"/>
        <v>LILLY</v>
      </c>
      <c r="C6442" t="str">
        <f t="shared" si="2356"/>
        <v>GONZALEZ</v>
      </c>
      <c r="D6442">
        <f>12</f>
        <v>12</v>
      </c>
      <c r="E6442" t="str">
        <f>"05 - B - 201 - Scott A Dethloff"</f>
        <v>05 - B - 201 - Scott A Dethloff</v>
      </c>
      <c r="F6442" t="str">
        <f>"AP CHEM"</f>
        <v>AP CHEM</v>
      </c>
      <c r="G6442" t="str">
        <f>"08-812"</f>
        <v>08-812</v>
      </c>
      <c r="H6442" t="str">
        <f>"B"</f>
        <v>B</v>
      </c>
    </row>
    <row r="6443" spans="1:8" x14ac:dyDescent="0.2">
      <c r="A6443" t="str">
        <f t="shared" si="2364"/>
        <v>0612058992</v>
      </c>
      <c r="B6443" t="str">
        <f t="shared" si="2365"/>
        <v>LILLY</v>
      </c>
      <c r="C6443" t="str">
        <f t="shared" si="2356"/>
        <v>GONZALEZ</v>
      </c>
      <c r="D6443">
        <f>12</f>
        <v>12</v>
      </c>
      <c r="E6443" t="str">
        <f>"01 - A - 201 - Jeanne M Bermudez"</f>
        <v>01 - A - 201 - Jeanne M Bermudez</v>
      </c>
      <c r="F6443" t="str">
        <f>"PHYSICS 1 HON"</f>
        <v>PHYSICS 1 HON</v>
      </c>
      <c r="G6443" t="str">
        <f>"21-2141"</f>
        <v>21-2141</v>
      </c>
      <c r="H6443" t="str">
        <f>"A"</f>
        <v>A</v>
      </c>
    </row>
    <row r="6444" spans="1:8" x14ac:dyDescent="0.2">
      <c r="A6444" t="str">
        <f t="shared" si="2364"/>
        <v>0612058992</v>
      </c>
      <c r="B6444" t="str">
        <f t="shared" si="2365"/>
        <v>LILLY</v>
      </c>
      <c r="C6444" t="str">
        <f t="shared" si="2356"/>
        <v>GONZALEZ</v>
      </c>
      <c r="D6444">
        <f>12</f>
        <v>12</v>
      </c>
      <c r="E6444" t="str">
        <f>"08 - B - 102 - Lisa J London"</f>
        <v>08 - B - 102 - Lisa J London</v>
      </c>
      <c r="F6444" t="str">
        <f>"AP CAPSTONE RESEARCH"</f>
        <v>AP CAPSTONE RESEARCH</v>
      </c>
      <c r="G6444" t="str">
        <f>"17-1714"</f>
        <v>17-1714</v>
      </c>
      <c r="H6444" t="str">
        <f>"B"</f>
        <v>B</v>
      </c>
    </row>
    <row r="6445" spans="1:8" x14ac:dyDescent="0.2">
      <c r="A6445" t="str">
        <f t="shared" ref="A6445:A6452" si="2366">"0616007367"</f>
        <v>0616007367</v>
      </c>
      <c r="B6445" t="str">
        <f t="shared" ref="B6445:B6452" si="2367">"YARIELIS"</f>
        <v>YARIELIS</v>
      </c>
      <c r="C6445" t="str">
        <f t="shared" si="2356"/>
        <v>GONZALEZ</v>
      </c>
      <c r="D6445">
        <f>10</f>
        <v>10</v>
      </c>
      <c r="E6445" t="str">
        <f>"04 - A - 104 - Marius D Orsolini"</f>
        <v>04 - A - 104 - Marius D Orsolini</v>
      </c>
      <c r="F6445" t="str">
        <f>"CULINARY ARTS 1"</f>
        <v>CULINARY ARTS 1</v>
      </c>
      <c r="G6445" t="str">
        <f>"21-2115"</f>
        <v>21-2115</v>
      </c>
      <c r="H6445" t="str">
        <f>"A"</f>
        <v>A</v>
      </c>
    </row>
    <row r="6446" spans="1:8" x14ac:dyDescent="0.2">
      <c r="A6446" t="str">
        <f t="shared" si="2366"/>
        <v>0616007367</v>
      </c>
      <c r="B6446" t="str">
        <f t="shared" si="2367"/>
        <v>YARIELIS</v>
      </c>
      <c r="C6446" t="str">
        <f t="shared" si="2356"/>
        <v>GONZALEZ</v>
      </c>
      <c r="D6446">
        <f>10</f>
        <v>10</v>
      </c>
      <c r="E6446" t="str">
        <f>"06 - B - 109 - Semra  Bahadir"</f>
        <v>06 - B - 109 - Semra  Bahadir</v>
      </c>
      <c r="F6446" t="str">
        <f>"NC STUDY HALL 1"</f>
        <v>NC STUDY HALL 1</v>
      </c>
      <c r="G6446" t="str">
        <f>"21-2107"</f>
        <v>21-2107</v>
      </c>
      <c r="H6446" t="str">
        <f>"B"</f>
        <v>B</v>
      </c>
    </row>
    <row r="6447" spans="1:8" x14ac:dyDescent="0.2">
      <c r="A6447" t="str">
        <f t="shared" si="2366"/>
        <v>0616007367</v>
      </c>
      <c r="B6447" t="str">
        <f t="shared" si="2367"/>
        <v>YARIELIS</v>
      </c>
      <c r="C6447" t="str">
        <f t="shared" si="2356"/>
        <v>GONZALEZ</v>
      </c>
      <c r="D6447">
        <f>10</f>
        <v>10</v>
      </c>
      <c r="E6447" t="str">
        <f>"03 - A - 103 - Samantha J Headley"</f>
        <v>03 - A - 103 - Samantha J Headley</v>
      </c>
      <c r="F6447" t="str">
        <f>"MARINE SCI 1 HON"</f>
        <v>MARINE SCI 1 HON</v>
      </c>
      <c r="G6447" t="str">
        <f>"21-2134"</f>
        <v>21-2134</v>
      </c>
      <c r="H6447" t="str">
        <f>"A"</f>
        <v>A</v>
      </c>
    </row>
    <row r="6448" spans="1:8" x14ac:dyDescent="0.2">
      <c r="A6448" t="str">
        <f t="shared" si="2366"/>
        <v>0616007367</v>
      </c>
      <c r="B6448" t="str">
        <f t="shared" si="2367"/>
        <v>YARIELIS</v>
      </c>
      <c r="C6448" t="str">
        <f t="shared" si="2356"/>
        <v>GONZALEZ</v>
      </c>
      <c r="D6448">
        <f>10</f>
        <v>10</v>
      </c>
      <c r="E6448" t="str">
        <f>"02 - A - 102 - Bruce A Evans"</f>
        <v>02 - A - 102 - Bruce A Evans</v>
      </c>
      <c r="F6448" t="str">
        <f>"EMERG MED RESP 3 HON"</f>
        <v>EMERG MED RESP 3 HON</v>
      </c>
      <c r="G6448" t="str">
        <f>"21-2142"</f>
        <v>21-2142</v>
      </c>
      <c r="H6448" t="str">
        <f>"A"</f>
        <v>A</v>
      </c>
    </row>
    <row r="6449" spans="1:8" x14ac:dyDescent="0.2">
      <c r="A6449" t="str">
        <f t="shared" si="2366"/>
        <v>0616007367</v>
      </c>
      <c r="B6449" t="str">
        <f t="shared" si="2367"/>
        <v>YARIELIS</v>
      </c>
      <c r="C6449" t="str">
        <f t="shared" si="2356"/>
        <v>GONZALEZ</v>
      </c>
      <c r="D6449">
        <f>10</f>
        <v>10</v>
      </c>
      <c r="E6449" t="str">
        <f>"07 - S1 - B - 102 - Arthur  Kulawik"</f>
        <v>07 - S1 - B - 102 - Arthur  Kulawik</v>
      </c>
      <c r="F6449" t="str">
        <f>"PERS FIN &amp; MON MGT H"</f>
        <v>PERS FIN &amp; MON MGT H</v>
      </c>
      <c r="G6449" t="str">
        <f>"05-506"</f>
        <v>05-506</v>
      </c>
      <c r="H6449" t="str">
        <f>"B"</f>
        <v>B</v>
      </c>
    </row>
    <row r="6450" spans="1:8" x14ac:dyDescent="0.2">
      <c r="A6450" t="str">
        <f t="shared" si="2366"/>
        <v>0616007367</v>
      </c>
      <c r="B6450" t="str">
        <f t="shared" si="2367"/>
        <v>YARIELIS</v>
      </c>
      <c r="C6450" t="str">
        <f t="shared" si="2356"/>
        <v>GONZALEZ</v>
      </c>
      <c r="D6450">
        <f>10</f>
        <v>10</v>
      </c>
      <c r="E6450" t="str">
        <f>"05 - B - 201 - Bruce A Evans"</f>
        <v>05 - B - 201 - Bruce A Evans</v>
      </c>
      <c r="F6450" t="str">
        <f>"HEALTH SCI FOUND HON"</f>
        <v>HEALTH SCI FOUND HON</v>
      </c>
      <c r="G6450" t="str">
        <f>"21-2142"</f>
        <v>21-2142</v>
      </c>
      <c r="H6450" t="str">
        <f>"B"</f>
        <v>B</v>
      </c>
    </row>
    <row r="6451" spans="1:8" x14ac:dyDescent="0.2">
      <c r="A6451" t="str">
        <f t="shared" si="2366"/>
        <v>0616007367</v>
      </c>
      <c r="B6451" t="str">
        <f t="shared" si="2367"/>
        <v>YARIELIS</v>
      </c>
      <c r="C6451" t="str">
        <f t="shared" si="2356"/>
        <v>GONZALEZ</v>
      </c>
      <c r="D6451">
        <f>10</f>
        <v>10</v>
      </c>
      <c r="E6451" t="str">
        <f>"01 - A - 101 - James H Mccann"</f>
        <v>01 - A - 101 - James H Mccann</v>
      </c>
      <c r="F6451" t="str">
        <f>"ALGEBRA 2"</f>
        <v>ALGEBRA 2</v>
      </c>
      <c r="G6451" t="str">
        <f>"17-1716"</f>
        <v>17-1716</v>
      </c>
      <c r="H6451" t="str">
        <f>"A"</f>
        <v>A</v>
      </c>
    </row>
    <row r="6452" spans="1:8" x14ac:dyDescent="0.2">
      <c r="A6452" t="str">
        <f t="shared" si="2366"/>
        <v>0616007367</v>
      </c>
      <c r="B6452" t="str">
        <f t="shared" si="2367"/>
        <v>YARIELIS</v>
      </c>
      <c r="C6452" t="str">
        <f t="shared" si="2356"/>
        <v>GONZALEZ</v>
      </c>
      <c r="D6452">
        <f>10</f>
        <v>10</v>
      </c>
      <c r="E6452" t="str">
        <f>"08 - B - 001 - Jacklyn M James"</f>
        <v>08 - B - 001 - Jacklyn M James</v>
      </c>
      <c r="F6452" t="str">
        <f>"AICE ENG LANG AS"</f>
        <v>AICE ENG LANG AS</v>
      </c>
      <c r="G6452" t="str">
        <f>"17-1731"</f>
        <v>17-1731</v>
      </c>
      <c r="H6452" t="str">
        <f>"B"</f>
        <v>B</v>
      </c>
    </row>
    <row r="6453" spans="1:8" x14ac:dyDescent="0.2">
      <c r="A6453" t="str">
        <f t="shared" ref="A6453:A6460" si="2368">"0615147472"</f>
        <v>0615147472</v>
      </c>
      <c r="B6453" t="str">
        <f t="shared" ref="B6453:B6460" si="2369">"JEFFREY"</f>
        <v>JEFFREY</v>
      </c>
      <c r="C6453" t="str">
        <f t="shared" ref="C6453:C6460" si="2370">"GONZALEZ-ORTIZ"</f>
        <v>GONZALEZ-ORTIZ</v>
      </c>
      <c r="D6453">
        <f>10</f>
        <v>10</v>
      </c>
      <c r="E6453" t="str">
        <f>"04 - A - 004 - Krystal Marie  Beruty"</f>
        <v>04 - A - 004 - Krystal Marie  Beruty</v>
      </c>
      <c r="F6453" t="str">
        <f>"AICE GLBL PERSP 1 AS"</f>
        <v>AICE GLBL PERSP 1 AS</v>
      </c>
      <c r="G6453" t="str">
        <f>"17-1721"</f>
        <v>17-1721</v>
      </c>
      <c r="H6453" t="str">
        <f>"A"</f>
        <v>A</v>
      </c>
    </row>
    <row r="6454" spans="1:8" x14ac:dyDescent="0.2">
      <c r="A6454" t="str">
        <f t="shared" si="2368"/>
        <v>0615147472</v>
      </c>
      <c r="B6454" t="str">
        <f t="shared" si="2369"/>
        <v>JEFFREY</v>
      </c>
      <c r="C6454" t="str">
        <f t="shared" si="2370"/>
        <v>GONZALEZ-ORTIZ</v>
      </c>
      <c r="D6454">
        <f>10</f>
        <v>10</v>
      </c>
      <c r="E6454" t="str">
        <f>"06 - B - 119 - Nikiel  Nesbeth"</f>
        <v>06 - B - 119 - Nikiel  Nesbeth</v>
      </c>
      <c r="F6454" t="str">
        <f>"NC STUDY HALL 1"</f>
        <v>NC STUDY HALL 1</v>
      </c>
      <c r="G6454" t="str">
        <f>"17-1705"</f>
        <v>17-1705</v>
      </c>
      <c r="H6454" t="str">
        <f>"B"</f>
        <v>B</v>
      </c>
    </row>
    <row r="6455" spans="1:8" x14ac:dyDescent="0.2">
      <c r="A6455" t="str">
        <f t="shared" si="2368"/>
        <v>0615147472</v>
      </c>
      <c r="B6455" t="str">
        <f t="shared" si="2369"/>
        <v>JEFFREY</v>
      </c>
      <c r="C6455" t="str">
        <f t="shared" si="2370"/>
        <v>GONZALEZ-ORTIZ</v>
      </c>
      <c r="D6455">
        <f>10</f>
        <v>10</v>
      </c>
      <c r="E6455" t="str">
        <f>"03 - A - 102 - Semra  Bahadir"</f>
        <v>03 - A - 102 - Semra  Bahadir</v>
      </c>
      <c r="F6455" t="str">
        <f>"ALGEBRA 2"</f>
        <v>ALGEBRA 2</v>
      </c>
      <c r="G6455" t="str">
        <f>"21-2107"</f>
        <v>21-2107</v>
      </c>
      <c r="H6455" t="str">
        <f>"A"</f>
        <v>A</v>
      </c>
    </row>
    <row r="6456" spans="1:8" x14ac:dyDescent="0.2">
      <c r="A6456" t="str">
        <f t="shared" si="2368"/>
        <v>0615147472</v>
      </c>
      <c r="B6456" t="str">
        <f t="shared" si="2369"/>
        <v>JEFFREY</v>
      </c>
      <c r="C6456" t="str">
        <f t="shared" si="2370"/>
        <v>GONZALEZ-ORTIZ</v>
      </c>
      <c r="D6456">
        <f>10</f>
        <v>10</v>
      </c>
      <c r="E6456" t="str">
        <f>"02 - A - 001 - Alejandro  Navarro"</f>
        <v>02 - A - 001 - Alejandro  Navarro</v>
      </c>
      <c r="F6456" t="str">
        <f>"BAND 1"</f>
        <v>BAND 1</v>
      </c>
      <c r="G6456" t="str">
        <f>"05-504"</f>
        <v>05-504</v>
      </c>
      <c r="H6456" t="str">
        <f>"A"</f>
        <v>A</v>
      </c>
    </row>
    <row r="6457" spans="1:8" x14ac:dyDescent="0.2">
      <c r="A6457" t="str">
        <f t="shared" si="2368"/>
        <v>0615147472</v>
      </c>
      <c r="B6457" t="str">
        <f t="shared" si="2369"/>
        <v>JEFFREY</v>
      </c>
      <c r="C6457" t="str">
        <f t="shared" si="2370"/>
        <v>GONZALEZ-ORTIZ</v>
      </c>
      <c r="D6457">
        <f>10</f>
        <v>10</v>
      </c>
      <c r="E6457" t="str">
        <f>"07 - S1 - B - 107 - Richard E Dunbar Iii"</f>
        <v>07 - S1 - B - 107 - Richard E Dunbar Iii</v>
      </c>
      <c r="F6457" t="str">
        <f>"WEIGHT TRAIN 1"</f>
        <v>WEIGHT TRAIN 1</v>
      </c>
      <c r="G6457" t="str">
        <f>"05-501"</f>
        <v>05-501</v>
      </c>
      <c r="H6457" t="str">
        <f>"B"</f>
        <v>B</v>
      </c>
    </row>
    <row r="6458" spans="1:8" x14ac:dyDescent="0.2">
      <c r="A6458" t="str">
        <f t="shared" si="2368"/>
        <v>0615147472</v>
      </c>
      <c r="B6458" t="str">
        <f t="shared" si="2369"/>
        <v>JEFFREY</v>
      </c>
      <c r="C6458" t="str">
        <f t="shared" si="2370"/>
        <v>GONZALEZ-ORTIZ</v>
      </c>
      <c r="D6458">
        <f>10</f>
        <v>10</v>
      </c>
      <c r="E6458" t="str">
        <f>"05 - B - 106 - Courtney E Hambright"</f>
        <v>05 - B - 106 - Courtney E Hambright</v>
      </c>
      <c r="F6458" t="str">
        <f>"AICE ENG LANG AS"</f>
        <v>AICE ENG LANG AS</v>
      </c>
      <c r="G6458" t="str">
        <f>"17-1711"</f>
        <v>17-1711</v>
      </c>
      <c r="H6458" t="str">
        <f>"B"</f>
        <v>B</v>
      </c>
    </row>
    <row r="6459" spans="1:8" x14ac:dyDescent="0.2">
      <c r="A6459" t="str">
        <f t="shared" si="2368"/>
        <v>0615147472</v>
      </c>
      <c r="B6459" t="str">
        <f t="shared" si="2369"/>
        <v>JEFFREY</v>
      </c>
      <c r="C6459" t="str">
        <f t="shared" si="2370"/>
        <v>GONZALEZ-ORTIZ</v>
      </c>
      <c r="D6459">
        <f>10</f>
        <v>10</v>
      </c>
      <c r="E6459" t="str">
        <f>"01 - A - 201 - Cheryl L Beach"</f>
        <v>01 - A - 201 - Cheryl L Beach</v>
      </c>
      <c r="F6459" t="str">
        <f>"AICE ENV MGMNT AS"</f>
        <v>AICE ENV MGMNT AS</v>
      </c>
      <c r="G6459" t="str">
        <f>"08-811"</f>
        <v>08-811</v>
      </c>
      <c r="H6459" t="str">
        <f>"A"</f>
        <v>A</v>
      </c>
    </row>
    <row r="6460" spans="1:8" x14ac:dyDescent="0.2">
      <c r="A6460" t="str">
        <f t="shared" si="2368"/>
        <v>0615147472</v>
      </c>
      <c r="B6460" t="str">
        <f t="shared" si="2369"/>
        <v>JEFFREY</v>
      </c>
      <c r="C6460" t="str">
        <f t="shared" si="2370"/>
        <v>GONZALEZ-ORTIZ</v>
      </c>
      <c r="D6460">
        <f>10</f>
        <v>10</v>
      </c>
      <c r="E6460" t="str">
        <f>"08 - S1 - B - 001 - Carol S Moore"</f>
        <v>08 - S1 - B - 001 - Carol S Moore</v>
      </c>
      <c r="F6460" t="str">
        <f>"PER CAR SCH DEV 1 LH"</f>
        <v>PER CAR SCH DEV 1 LH</v>
      </c>
      <c r="G6460" t="str">
        <f>"17-1733"</f>
        <v>17-1733</v>
      </c>
      <c r="H6460" t="str">
        <f>"B"</f>
        <v>B</v>
      </c>
    </row>
    <row r="6461" spans="1:8" x14ac:dyDescent="0.2">
      <c r="A6461" t="str">
        <f t="shared" ref="A6461:A6468" si="2371">"0625040823"</f>
        <v>0625040823</v>
      </c>
      <c r="B6461" t="str">
        <f t="shared" ref="B6461:B6468" si="2372">"David"</f>
        <v>David</v>
      </c>
      <c r="C6461" t="str">
        <f t="shared" ref="C6461:C6468" si="2373">"Gooch"</f>
        <v>Gooch</v>
      </c>
      <c r="D6461">
        <f>10</f>
        <v>10</v>
      </c>
      <c r="E6461" t="str">
        <f>"04 - A - 105 - Jacquelyn M Neeson"</f>
        <v>04 - A - 105 - Jacquelyn M Neeson</v>
      </c>
      <c r="F6461" t="str">
        <f>"ENG 2"</f>
        <v>ENG 2</v>
      </c>
      <c r="G6461" t="str">
        <f>"17-1715"</f>
        <v>17-1715</v>
      </c>
      <c r="H6461" t="str">
        <f>"A"</f>
        <v>A</v>
      </c>
    </row>
    <row r="6462" spans="1:8" x14ac:dyDescent="0.2">
      <c r="A6462" t="str">
        <f t="shared" si="2371"/>
        <v>0625040823</v>
      </c>
      <c r="B6462" t="str">
        <f t="shared" si="2372"/>
        <v>David</v>
      </c>
      <c r="C6462" t="str">
        <f t="shared" si="2373"/>
        <v>Gooch</v>
      </c>
      <c r="D6462">
        <f>10</f>
        <v>10</v>
      </c>
      <c r="E6462" t="str">
        <f>"06 - B - 117 - Daniel S Tyson"</f>
        <v>06 - B - 117 - Daniel S Tyson</v>
      </c>
      <c r="F6462" t="str">
        <f>"NC STUDY HALL 1"</f>
        <v>NC STUDY HALL 1</v>
      </c>
      <c r="G6462" t="str">
        <f>"05-510"</f>
        <v>05-510</v>
      </c>
      <c r="H6462" t="str">
        <f>"B"</f>
        <v>B</v>
      </c>
    </row>
    <row r="6463" spans="1:8" x14ac:dyDescent="0.2">
      <c r="A6463" t="str">
        <f t="shared" si="2371"/>
        <v>0625040823</v>
      </c>
      <c r="B6463" t="str">
        <f t="shared" si="2372"/>
        <v>David</v>
      </c>
      <c r="C6463" t="str">
        <f t="shared" si="2373"/>
        <v>Gooch</v>
      </c>
      <c r="D6463">
        <f>10</f>
        <v>10</v>
      </c>
      <c r="E6463" t="str">
        <f>"03 - A - 201 - Alejandro  Navarro"</f>
        <v>03 - A - 201 - Alejandro  Navarro</v>
      </c>
      <c r="F6463" t="str">
        <f>"BAND 2"</f>
        <v>BAND 2</v>
      </c>
      <c r="G6463" t="str">
        <f>"05-504"</f>
        <v>05-504</v>
      </c>
      <c r="H6463" t="str">
        <f>"A"</f>
        <v>A</v>
      </c>
    </row>
    <row r="6464" spans="1:8" x14ac:dyDescent="0.2">
      <c r="A6464" t="str">
        <f t="shared" si="2371"/>
        <v>0625040823</v>
      </c>
      <c r="B6464" t="str">
        <f t="shared" si="2372"/>
        <v>David</v>
      </c>
      <c r="C6464" t="str">
        <f t="shared" si="2373"/>
        <v>Gooch</v>
      </c>
      <c r="D6464">
        <f>10</f>
        <v>10</v>
      </c>
      <c r="E6464" t="str">
        <f>"02 - A - 102 - Taraneh C Abreu"</f>
        <v>02 - A - 102 - Taraneh C Abreu</v>
      </c>
      <c r="F6464" t="str">
        <f>"INTENS READ 2"</f>
        <v>INTENS READ 2</v>
      </c>
      <c r="G6464" t="str">
        <f>"17-1713"</f>
        <v>17-1713</v>
      </c>
      <c r="H6464" t="str">
        <f>"A"</f>
        <v>A</v>
      </c>
    </row>
    <row r="6465" spans="1:8" x14ac:dyDescent="0.2">
      <c r="A6465" t="str">
        <f t="shared" si="2371"/>
        <v>0625040823</v>
      </c>
      <c r="B6465" t="str">
        <f t="shared" si="2372"/>
        <v>David</v>
      </c>
      <c r="C6465" t="str">
        <f t="shared" si="2373"/>
        <v>Gooch</v>
      </c>
      <c r="D6465">
        <f>10</f>
        <v>10</v>
      </c>
      <c r="E6465" t="str">
        <f>"07 - S1 - B - 102 - Arthur  Kulawik"</f>
        <v>07 - S1 - B - 102 - Arthur  Kulawik</v>
      </c>
      <c r="F6465" t="str">
        <f>"PERS FIN &amp; MON MGT H"</f>
        <v>PERS FIN &amp; MON MGT H</v>
      </c>
      <c r="G6465" t="str">
        <f>"05-506"</f>
        <v>05-506</v>
      </c>
      <c r="H6465" t="str">
        <f>"B"</f>
        <v>B</v>
      </c>
    </row>
    <row r="6466" spans="1:8" x14ac:dyDescent="0.2">
      <c r="A6466" t="str">
        <f t="shared" si="2371"/>
        <v>0625040823</v>
      </c>
      <c r="B6466" t="str">
        <f t="shared" si="2372"/>
        <v>David</v>
      </c>
      <c r="C6466" t="str">
        <f t="shared" si="2373"/>
        <v>Gooch</v>
      </c>
      <c r="D6466">
        <f>10</f>
        <v>10</v>
      </c>
      <c r="E6466" t="str">
        <f>"05 - B - 106 - Milca  Exantus"</f>
        <v>05 - B - 106 - Milca  Exantus</v>
      </c>
      <c r="F6466" t="str">
        <f>"MATH COLLEGE LIB ART"</f>
        <v>MATH COLLEGE LIB ART</v>
      </c>
      <c r="G6466" t="str">
        <f>"21-2145"</f>
        <v>21-2145</v>
      </c>
      <c r="H6466" t="str">
        <f>"B"</f>
        <v>B</v>
      </c>
    </row>
    <row r="6467" spans="1:8" x14ac:dyDescent="0.2">
      <c r="A6467" t="str">
        <f t="shared" si="2371"/>
        <v>0625040823</v>
      </c>
      <c r="B6467" t="str">
        <f t="shared" si="2372"/>
        <v>David</v>
      </c>
      <c r="C6467" t="str">
        <f t="shared" si="2373"/>
        <v>Gooch</v>
      </c>
      <c r="D6467">
        <f>10</f>
        <v>10</v>
      </c>
      <c r="E6467" t="str">
        <f>"01 - A - 102 - Lytrell T Dixon"</f>
        <v>01 - A - 102 - Lytrell T Dixon</v>
      </c>
      <c r="F6467" t="str">
        <f>"BIOLOGY 1"</f>
        <v>BIOLOGY 1</v>
      </c>
      <c r="G6467" t="str">
        <f>"08-808"</f>
        <v>08-808</v>
      </c>
      <c r="H6467" t="str">
        <f>"A"</f>
        <v>A</v>
      </c>
    </row>
    <row r="6468" spans="1:8" x14ac:dyDescent="0.2">
      <c r="A6468" t="str">
        <f t="shared" si="2371"/>
        <v>0625040823</v>
      </c>
      <c r="B6468" t="str">
        <f t="shared" si="2372"/>
        <v>David</v>
      </c>
      <c r="C6468" t="str">
        <f t="shared" si="2373"/>
        <v>Gooch</v>
      </c>
      <c r="D6468">
        <f>10</f>
        <v>10</v>
      </c>
      <c r="E6468" t="str">
        <f>"08 - B - 101 - Elizabeth Ellen  Moran"</f>
        <v>08 - B - 101 - Elizabeth Ellen  Moran</v>
      </c>
      <c r="F6468" t="str">
        <f>"WORLD HISTORY"</f>
        <v>WORLD HISTORY</v>
      </c>
      <c r="G6468" t="str">
        <f>"17-1752"</f>
        <v>17-1752</v>
      </c>
      <c r="H6468" t="str">
        <f>"B"</f>
        <v>B</v>
      </c>
    </row>
    <row r="6469" spans="1:8" x14ac:dyDescent="0.2">
      <c r="A6469" t="str">
        <f t="shared" ref="A6469:A6476" si="2374">"0616034204"</f>
        <v>0616034204</v>
      </c>
      <c r="B6469" t="str">
        <f t="shared" ref="B6469:B6476" si="2375">"JEVON"</f>
        <v>JEVON</v>
      </c>
      <c r="C6469" t="str">
        <f t="shared" ref="C6469:C6484" si="2376">"GOODWIN"</f>
        <v>GOODWIN</v>
      </c>
      <c r="D6469" t="str">
        <f t="shared" ref="D6469:D6476" si="2377">"09"</f>
        <v>09</v>
      </c>
      <c r="E6469" t="str">
        <f>"04 - S1 - A - 101 - Leslie J Barton"</f>
        <v>04 - S1 - A - 101 - Leslie J Barton</v>
      </c>
      <c r="F6469" t="str">
        <f>"TEAM SPORTS 1"</f>
        <v>TEAM SPORTS 1</v>
      </c>
      <c r="G6469" t="str">
        <f>"04-254"</f>
        <v>04-254</v>
      </c>
      <c r="H6469" t="str">
        <f>"A"</f>
        <v>A</v>
      </c>
    </row>
    <row r="6470" spans="1:8" x14ac:dyDescent="0.2">
      <c r="A6470" t="str">
        <f t="shared" si="2374"/>
        <v>0616034204</v>
      </c>
      <c r="B6470" t="str">
        <f t="shared" si="2375"/>
        <v>JEVON</v>
      </c>
      <c r="C6470" t="str">
        <f t="shared" si="2376"/>
        <v>GOODWIN</v>
      </c>
      <c r="D6470" t="str">
        <f t="shared" si="2377"/>
        <v>09</v>
      </c>
      <c r="E6470" t="str">
        <f>"06 - B - 104 - Laselleda D Shaw"</f>
        <v>06 - B - 104 - Laselleda D Shaw</v>
      </c>
      <c r="F6470" t="str">
        <f>"INTENS READ 1"</f>
        <v>INTENS READ 1</v>
      </c>
      <c r="G6470" t="str">
        <f>"17-1723"</f>
        <v>17-1723</v>
      </c>
      <c r="H6470" t="str">
        <f>"B"</f>
        <v>B</v>
      </c>
    </row>
    <row r="6471" spans="1:8" x14ac:dyDescent="0.2">
      <c r="A6471" t="str">
        <f t="shared" si="2374"/>
        <v>0616034204</v>
      </c>
      <c r="B6471" t="str">
        <f t="shared" si="2375"/>
        <v>JEVON</v>
      </c>
      <c r="C6471" t="str">
        <f t="shared" si="2376"/>
        <v>GOODWIN</v>
      </c>
      <c r="D6471" t="str">
        <f t="shared" si="2377"/>
        <v>09</v>
      </c>
      <c r="E6471" t="str">
        <f>"03 - S1 - A - 101 - Arthur  Kulawik"</f>
        <v>03 - S1 - A - 101 - Arthur  Kulawik</v>
      </c>
      <c r="F6471" t="str">
        <f>"PERS FIN &amp; MON MGT H"</f>
        <v>PERS FIN &amp; MON MGT H</v>
      </c>
      <c r="G6471" t="str">
        <f>"05-506"</f>
        <v>05-506</v>
      </c>
      <c r="H6471" t="str">
        <f>"A"</f>
        <v>A</v>
      </c>
    </row>
    <row r="6472" spans="1:8" x14ac:dyDescent="0.2">
      <c r="A6472" t="str">
        <f t="shared" si="2374"/>
        <v>0616034204</v>
      </c>
      <c r="B6472" t="str">
        <f t="shared" si="2375"/>
        <v>JEVON</v>
      </c>
      <c r="C6472" t="str">
        <f t="shared" si="2376"/>
        <v>GOODWIN</v>
      </c>
      <c r="D6472" t="str">
        <f t="shared" si="2377"/>
        <v>09</v>
      </c>
      <c r="E6472" t="str">
        <f>"02 - A - 111 - Cheryl L Beach"</f>
        <v>02 - A - 111 - Cheryl L Beach</v>
      </c>
      <c r="F6472" t="str">
        <f>"NC STUDY HALL 1"</f>
        <v>NC STUDY HALL 1</v>
      </c>
      <c r="G6472" t="str">
        <f>"08-811"</f>
        <v>08-811</v>
      </c>
      <c r="H6472" t="str">
        <f>"A"</f>
        <v>A</v>
      </c>
    </row>
    <row r="6473" spans="1:8" x14ac:dyDescent="0.2">
      <c r="A6473" t="str">
        <f t="shared" si="2374"/>
        <v>0616034204</v>
      </c>
      <c r="B6473" t="str">
        <f t="shared" si="2375"/>
        <v>JEVON</v>
      </c>
      <c r="C6473" t="str">
        <f t="shared" si="2376"/>
        <v>GOODWIN</v>
      </c>
      <c r="D6473" t="str">
        <f t="shared" si="2377"/>
        <v>09</v>
      </c>
      <c r="E6473" t="str">
        <f>"07 - B - 104 - Lissa C Frederique"</f>
        <v>07 - B - 104 - Lissa C Frederique</v>
      </c>
      <c r="F6473" t="str">
        <f>"WORLD HISTORY"</f>
        <v>WORLD HISTORY</v>
      </c>
      <c r="G6473" t="str">
        <f>"17-1754"</f>
        <v>17-1754</v>
      </c>
      <c r="H6473" t="str">
        <f>"B"</f>
        <v>B</v>
      </c>
    </row>
    <row r="6474" spans="1:8" x14ac:dyDescent="0.2">
      <c r="A6474" t="str">
        <f t="shared" si="2374"/>
        <v>0616034204</v>
      </c>
      <c r="B6474" t="str">
        <f t="shared" si="2375"/>
        <v>JEVON</v>
      </c>
      <c r="C6474" t="str">
        <f t="shared" si="2376"/>
        <v>GOODWIN</v>
      </c>
      <c r="D6474" t="str">
        <f t="shared" si="2377"/>
        <v>09</v>
      </c>
      <c r="E6474" t="str">
        <f>"05 - B - 102 - Tina L Lovett"</f>
        <v>05 - B - 102 - Tina L Lovett</v>
      </c>
      <c r="F6474" t="str">
        <f>"PRE-AICE MATH 1 IG"</f>
        <v>PRE-AICE MATH 1 IG</v>
      </c>
      <c r="G6474" t="str">
        <f>"21-2153"</f>
        <v>21-2153</v>
      </c>
      <c r="H6474" t="str">
        <f>"B"</f>
        <v>B</v>
      </c>
    </row>
    <row r="6475" spans="1:8" x14ac:dyDescent="0.2">
      <c r="A6475" t="str">
        <f t="shared" si="2374"/>
        <v>0616034204</v>
      </c>
      <c r="B6475" t="str">
        <f t="shared" si="2375"/>
        <v>JEVON</v>
      </c>
      <c r="C6475" t="str">
        <f t="shared" si="2376"/>
        <v>GOODWIN</v>
      </c>
      <c r="D6475" t="str">
        <f t="shared" si="2377"/>
        <v>09</v>
      </c>
      <c r="E6475" t="str">
        <f>"01 - A - 101 - Cerine S Stewart"</f>
        <v>01 - A - 101 - Cerine S Stewart</v>
      </c>
      <c r="F6475" t="str">
        <f>"ENG 1"</f>
        <v>ENG 1</v>
      </c>
      <c r="G6475" t="str">
        <f>"17-1720"</f>
        <v>17-1720</v>
      </c>
      <c r="H6475" t="str">
        <f>"A"</f>
        <v>A</v>
      </c>
    </row>
    <row r="6476" spans="1:8" x14ac:dyDescent="0.2">
      <c r="A6476" t="str">
        <f t="shared" si="2374"/>
        <v>0616034204</v>
      </c>
      <c r="B6476" t="str">
        <f t="shared" si="2375"/>
        <v>JEVON</v>
      </c>
      <c r="C6476" t="str">
        <f t="shared" si="2376"/>
        <v>GOODWIN</v>
      </c>
      <c r="D6476" t="str">
        <f t="shared" si="2377"/>
        <v>09</v>
      </c>
      <c r="E6476" t="str">
        <f>"08 - B - 105 - Samantha J Headley"</f>
        <v>08 - B - 105 - Samantha J Headley</v>
      </c>
      <c r="F6476" t="str">
        <f>"ENV SCI"</f>
        <v>ENV SCI</v>
      </c>
      <c r="G6476" t="str">
        <f>"08-802"</f>
        <v>08-802</v>
      </c>
      <c r="H6476" t="str">
        <f>"B"</f>
        <v>B</v>
      </c>
    </row>
    <row r="6477" spans="1:8" x14ac:dyDescent="0.2">
      <c r="A6477" t="str">
        <f t="shared" ref="A6477:A6484" si="2378">"0614008755"</f>
        <v>0614008755</v>
      </c>
      <c r="B6477" t="str">
        <f t="shared" ref="B6477:B6484" si="2379">"JOANNA"</f>
        <v>JOANNA</v>
      </c>
      <c r="C6477" t="str">
        <f t="shared" si="2376"/>
        <v>GOODWIN</v>
      </c>
      <c r="D6477">
        <f>12</f>
        <v>12</v>
      </c>
      <c r="E6477" t="str">
        <f>"04 - A - 102 - Samantha J Headley"</f>
        <v>04 - A - 102 - Samantha J Headley</v>
      </c>
      <c r="F6477" t="str">
        <f>"MARINE SCI 1 HON"</f>
        <v>MARINE SCI 1 HON</v>
      </c>
      <c r="G6477" t="str">
        <f>"21-2134"</f>
        <v>21-2134</v>
      </c>
      <c r="H6477" t="str">
        <f>"A"</f>
        <v>A</v>
      </c>
    </row>
    <row r="6478" spans="1:8" x14ac:dyDescent="0.2">
      <c r="A6478" t="str">
        <f t="shared" si="2378"/>
        <v>0614008755</v>
      </c>
      <c r="B6478" t="str">
        <f t="shared" si="2379"/>
        <v>JOANNA</v>
      </c>
      <c r="C6478" t="str">
        <f t="shared" si="2376"/>
        <v>GOODWIN</v>
      </c>
      <c r="D6478">
        <f>12</f>
        <v>12</v>
      </c>
      <c r="E6478" t="str">
        <f>"06 - B - 109 - Carol S Moore"</f>
        <v>06 - B - 109 - Carol S Moore</v>
      </c>
      <c r="F6478" t="str">
        <f>"NC STUDY HALL 1"</f>
        <v>NC STUDY HALL 1</v>
      </c>
      <c r="G6478" t="str">
        <f>"17-1733"</f>
        <v>17-1733</v>
      </c>
      <c r="H6478" t="str">
        <f>"B"</f>
        <v>B</v>
      </c>
    </row>
    <row r="6479" spans="1:8" x14ac:dyDescent="0.2">
      <c r="A6479" t="str">
        <f t="shared" si="2378"/>
        <v>0614008755</v>
      </c>
      <c r="B6479" t="str">
        <f t="shared" si="2379"/>
        <v>JOANNA</v>
      </c>
      <c r="C6479" t="str">
        <f t="shared" si="2376"/>
        <v>GOODWIN</v>
      </c>
      <c r="D6479">
        <f>12</f>
        <v>12</v>
      </c>
      <c r="E6479" t="str">
        <f>"03 - A - 103 - Jazmin S Fletcher"</f>
        <v>03 - A - 103 - Jazmin S Fletcher</v>
      </c>
      <c r="F6479" t="str">
        <f>"THEATRE 2"</f>
        <v>THEATRE 2</v>
      </c>
      <c r="G6479" t="str">
        <f>"09-909"</f>
        <v>09-909</v>
      </c>
      <c r="H6479" t="str">
        <f>"A"</f>
        <v>A</v>
      </c>
    </row>
    <row r="6480" spans="1:8" x14ac:dyDescent="0.2">
      <c r="A6480" t="str">
        <f t="shared" si="2378"/>
        <v>0614008755</v>
      </c>
      <c r="B6480" t="str">
        <f t="shared" si="2379"/>
        <v>JOANNA</v>
      </c>
      <c r="C6480" t="str">
        <f t="shared" si="2376"/>
        <v>GOODWIN</v>
      </c>
      <c r="D6480">
        <f>12</f>
        <v>12</v>
      </c>
      <c r="E6480" t="str">
        <f>"02 - A - 101 - Robert H Rindner"</f>
        <v>02 - A - 101 - Robert H Rindner</v>
      </c>
      <c r="F6480" t="str">
        <f>"MATH DATA&amp;FIN LIT H"</f>
        <v>MATH DATA&amp;FIN LIT H</v>
      </c>
      <c r="G6480" t="str">
        <f>"21-2160"</f>
        <v>21-2160</v>
      </c>
      <c r="H6480" t="str">
        <f>"A"</f>
        <v>A</v>
      </c>
    </row>
    <row r="6481" spans="1:8" x14ac:dyDescent="0.2">
      <c r="A6481" t="str">
        <f t="shared" si="2378"/>
        <v>0614008755</v>
      </c>
      <c r="B6481" t="str">
        <f t="shared" si="2379"/>
        <v>JOANNA</v>
      </c>
      <c r="C6481" t="str">
        <f t="shared" si="2376"/>
        <v>GOODWIN</v>
      </c>
      <c r="D6481">
        <f>12</f>
        <v>12</v>
      </c>
      <c r="E6481" t="str">
        <f>"07 - S1 - B - 107 - Kelly N Panza"</f>
        <v>07 - S1 - B - 107 - Kelly N Panza</v>
      </c>
      <c r="F6481" t="str">
        <f>"US GOVT HON"</f>
        <v>US GOVT HON</v>
      </c>
      <c r="G6481" t="str">
        <f>"17-1753"</f>
        <v>17-1753</v>
      </c>
      <c r="H6481" t="str">
        <f>"B"</f>
        <v>B</v>
      </c>
    </row>
    <row r="6482" spans="1:8" x14ac:dyDescent="0.2">
      <c r="A6482" t="str">
        <f t="shared" si="2378"/>
        <v>0614008755</v>
      </c>
      <c r="B6482" t="str">
        <f t="shared" si="2379"/>
        <v>JOANNA</v>
      </c>
      <c r="C6482" t="str">
        <f t="shared" si="2376"/>
        <v>GOODWIN</v>
      </c>
      <c r="D6482">
        <f>12</f>
        <v>12</v>
      </c>
      <c r="E6482" t="str">
        <f>"05 - B - 101 - Angela S Adeshina-Morrison"</f>
        <v>05 - B - 101 - Angela S Adeshina-Morrison</v>
      </c>
      <c r="F6482" t="str">
        <f>"MKT APPLCTNS LH"</f>
        <v>MKT APPLCTNS LH</v>
      </c>
      <c r="G6482" t="str">
        <f>"05-518"</f>
        <v>05-518</v>
      </c>
      <c r="H6482" t="str">
        <f>"B"</f>
        <v>B</v>
      </c>
    </row>
    <row r="6483" spans="1:8" x14ac:dyDescent="0.2">
      <c r="A6483" t="str">
        <f t="shared" si="2378"/>
        <v>0614008755</v>
      </c>
      <c r="B6483" t="str">
        <f t="shared" si="2379"/>
        <v>JOANNA</v>
      </c>
      <c r="C6483" t="str">
        <f t="shared" si="2376"/>
        <v>GOODWIN</v>
      </c>
      <c r="D6483">
        <f>12</f>
        <v>12</v>
      </c>
      <c r="E6483" t="str">
        <f>"01 - S1 - A - 101 - Leslie J Barton"</f>
        <v>01 - S1 - A - 101 - Leslie J Barton</v>
      </c>
      <c r="F6483" t="str">
        <f>"FIRST AID SAFETY"</f>
        <v>FIRST AID SAFETY</v>
      </c>
      <c r="G6483" t="str">
        <f>"05-521"</f>
        <v>05-521</v>
      </c>
      <c r="H6483" t="str">
        <f>"A"</f>
        <v>A</v>
      </c>
    </row>
    <row r="6484" spans="1:8" x14ac:dyDescent="0.2">
      <c r="A6484" t="str">
        <f t="shared" si="2378"/>
        <v>0614008755</v>
      </c>
      <c r="B6484" t="str">
        <f t="shared" si="2379"/>
        <v>JOANNA</v>
      </c>
      <c r="C6484" t="str">
        <f t="shared" si="2376"/>
        <v>GOODWIN</v>
      </c>
      <c r="D6484">
        <f>12</f>
        <v>12</v>
      </c>
      <c r="E6484" t="str">
        <f>"08 - B - 105 - Jeffrey S Gallagher"</f>
        <v>08 - B - 105 - Jeffrey S Gallagher</v>
      </c>
      <c r="F6484" t="str">
        <f>"ENG HON 4"</f>
        <v>ENG HON 4</v>
      </c>
      <c r="G6484" t="str">
        <f>"17-1724"</f>
        <v>17-1724</v>
      </c>
      <c r="H6484" t="str">
        <f>"B"</f>
        <v>B</v>
      </c>
    </row>
    <row r="6485" spans="1:8" x14ac:dyDescent="0.2">
      <c r="A6485" t="str">
        <f t="shared" ref="A6485:A6492" si="2380">"0620087687"</f>
        <v>0620087687</v>
      </c>
      <c r="B6485" t="str">
        <f t="shared" ref="B6485:B6492" si="2381">"DANELL"</f>
        <v>DANELL</v>
      </c>
      <c r="C6485" t="str">
        <f t="shared" ref="C6485:C6492" si="2382">"GORADA"</f>
        <v>GORADA</v>
      </c>
      <c r="D6485">
        <f>11</f>
        <v>11</v>
      </c>
      <c r="E6485" t="str">
        <f>"04 - A - 101 - Jerry S Jiampetti"</f>
        <v>04 - A - 101 - Jerry S Jiampetti</v>
      </c>
      <c r="F6485" t="str">
        <f>"AICE U.S. HIST 1 AS"</f>
        <v>AICE U.S. HIST 1 AS</v>
      </c>
      <c r="G6485" t="str">
        <f>"17-1751"</f>
        <v>17-1751</v>
      </c>
      <c r="H6485" t="str">
        <f>"A"</f>
        <v>A</v>
      </c>
    </row>
    <row r="6486" spans="1:8" x14ac:dyDescent="0.2">
      <c r="A6486" t="str">
        <f t="shared" si="2380"/>
        <v>0620087687</v>
      </c>
      <c r="B6486" t="str">
        <f t="shared" si="2381"/>
        <v>DANELL</v>
      </c>
      <c r="C6486" t="str">
        <f t="shared" si="2382"/>
        <v>GORADA</v>
      </c>
      <c r="D6486">
        <f>11</f>
        <v>11</v>
      </c>
      <c r="E6486" t="str">
        <f>"06 - B - 104 - Chrystina M Marchionne"</f>
        <v>06 - B - 104 - Chrystina M Marchionne</v>
      </c>
      <c r="F6486" t="str">
        <f>"AICE MEDIA STUDIES A"</f>
        <v>AICE MEDIA STUDIES A</v>
      </c>
      <c r="G6486" t="str">
        <f>"05-520"</f>
        <v>05-520</v>
      </c>
      <c r="H6486" t="str">
        <f>"B"</f>
        <v>B</v>
      </c>
    </row>
    <row r="6487" spans="1:8" x14ac:dyDescent="0.2">
      <c r="A6487" t="str">
        <f t="shared" si="2380"/>
        <v>0620087687</v>
      </c>
      <c r="B6487" t="str">
        <f t="shared" si="2381"/>
        <v>DANELL</v>
      </c>
      <c r="C6487" t="str">
        <f t="shared" si="2382"/>
        <v>GORADA</v>
      </c>
      <c r="D6487">
        <f>11</f>
        <v>11</v>
      </c>
      <c r="E6487" t="str">
        <f>"03 - A - 106 - Krystal Marie  Beruty"</f>
        <v>03 - A - 106 - Krystal Marie  Beruty</v>
      </c>
      <c r="F6487" t="str">
        <f>"AICE PSYCH 1 AS"</f>
        <v>AICE PSYCH 1 AS</v>
      </c>
      <c r="G6487" t="str">
        <f>"17-1721"</f>
        <v>17-1721</v>
      </c>
      <c r="H6487" t="str">
        <f>"A"</f>
        <v>A</v>
      </c>
    </row>
    <row r="6488" spans="1:8" x14ac:dyDescent="0.2">
      <c r="A6488" t="str">
        <f t="shared" si="2380"/>
        <v>0620087687</v>
      </c>
      <c r="B6488" t="str">
        <f t="shared" si="2381"/>
        <v>DANELL</v>
      </c>
      <c r="C6488" t="str">
        <f t="shared" si="2382"/>
        <v>GORADA</v>
      </c>
      <c r="D6488">
        <f>11</f>
        <v>11</v>
      </c>
      <c r="E6488" t="str">
        <f>"02 - A - 101 - Milca  Exantus"</f>
        <v>02 - A - 101 - Milca  Exantus</v>
      </c>
      <c r="F6488" t="str">
        <f>"NC STUDY HALL 1"</f>
        <v>NC STUDY HALL 1</v>
      </c>
      <c r="G6488" t="str">
        <f>"21-2145"</f>
        <v>21-2145</v>
      </c>
      <c r="H6488" t="str">
        <f>"A"</f>
        <v>A</v>
      </c>
    </row>
    <row r="6489" spans="1:8" x14ac:dyDescent="0.2">
      <c r="A6489" t="str">
        <f t="shared" si="2380"/>
        <v>0620087687</v>
      </c>
      <c r="B6489" t="str">
        <f t="shared" si="2381"/>
        <v>DANELL</v>
      </c>
      <c r="C6489" t="str">
        <f t="shared" si="2382"/>
        <v>GORADA</v>
      </c>
      <c r="D6489">
        <f>11</f>
        <v>11</v>
      </c>
      <c r="E6489" t="str">
        <f>"07 - B - 101 - Fernando  Vega-Cid"</f>
        <v>07 - B - 101 - Fernando  Vega-Cid</v>
      </c>
      <c r="F6489" t="str">
        <f>"AP PRECALCULUS"</f>
        <v>AP PRECALCULUS</v>
      </c>
      <c r="G6489" t="str">
        <f>"21-2163"</f>
        <v>21-2163</v>
      </c>
      <c r="H6489" t="str">
        <f>"B"</f>
        <v>B</v>
      </c>
    </row>
    <row r="6490" spans="1:8" x14ac:dyDescent="0.2">
      <c r="A6490" t="str">
        <f t="shared" si="2380"/>
        <v>0620087687</v>
      </c>
      <c r="B6490" t="str">
        <f t="shared" si="2381"/>
        <v>DANELL</v>
      </c>
      <c r="C6490" t="str">
        <f t="shared" si="2382"/>
        <v>GORADA</v>
      </c>
      <c r="D6490">
        <f>11</f>
        <v>11</v>
      </c>
      <c r="E6490" t="str">
        <f>"05 - B - 102 - Jacklyn M James"</f>
        <v>05 - B - 102 - Jacklyn M James</v>
      </c>
      <c r="F6490" t="str">
        <f>"AICE ENG LANG AS"</f>
        <v>AICE ENG LANG AS</v>
      </c>
      <c r="G6490" t="str">
        <f>"17-1731"</f>
        <v>17-1731</v>
      </c>
      <c r="H6490" t="str">
        <f>"B"</f>
        <v>B</v>
      </c>
    </row>
    <row r="6491" spans="1:8" x14ac:dyDescent="0.2">
      <c r="A6491" t="str">
        <f t="shared" si="2380"/>
        <v>0620087687</v>
      </c>
      <c r="B6491" t="str">
        <f t="shared" si="2381"/>
        <v>DANELL</v>
      </c>
      <c r="C6491" t="str">
        <f t="shared" si="2382"/>
        <v>GORADA</v>
      </c>
      <c r="D6491">
        <f>11</f>
        <v>11</v>
      </c>
      <c r="E6491" t="str">
        <f>"01 - A - 103 - Scott A Dethloff"</f>
        <v>01 - A - 103 - Scott A Dethloff</v>
      </c>
      <c r="F6491" t="str">
        <f>"AICE THINK SKLS 1 AS"</f>
        <v>AICE THINK SKLS 1 AS</v>
      </c>
      <c r="G6491" t="str">
        <f>"08-812"</f>
        <v>08-812</v>
      </c>
      <c r="H6491" t="str">
        <f>"A"</f>
        <v>A</v>
      </c>
    </row>
    <row r="6492" spans="1:8" x14ac:dyDescent="0.2">
      <c r="A6492" t="str">
        <f t="shared" si="2380"/>
        <v>0620087687</v>
      </c>
      <c r="B6492" t="str">
        <f t="shared" si="2381"/>
        <v>DANELL</v>
      </c>
      <c r="C6492" t="str">
        <f t="shared" si="2382"/>
        <v>GORADA</v>
      </c>
      <c r="D6492">
        <f>11</f>
        <v>11</v>
      </c>
      <c r="E6492" t="str">
        <f>"08 - B - 101 - Marius D Orsolini"</f>
        <v>08 - B - 101 - Marius D Orsolini</v>
      </c>
      <c r="F6492" t="str">
        <f>"CULINARY ARTS 2"</f>
        <v>CULINARY ARTS 2</v>
      </c>
      <c r="G6492" t="str">
        <f>"21-2115"</f>
        <v>21-2115</v>
      </c>
      <c r="H6492" t="str">
        <f>"B"</f>
        <v>B</v>
      </c>
    </row>
    <row r="6493" spans="1:8" x14ac:dyDescent="0.2">
      <c r="A6493" t="str">
        <f t="shared" ref="A6493:A6501" si="2383">"0615004620"</f>
        <v>0615004620</v>
      </c>
      <c r="B6493" t="str">
        <f t="shared" ref="B6493:B6501" si="2384">"JARVIS"</f>
        <v>JARVIS</v>
      </c>
      <c r="C6493" t="str">
        <f t="shared" ref="C6493:C6517" si="2385">"GORDON"</f>
        <v>GORDON</v>
      </c>
      <c r="D6493">
        <f>11</f>
        <v>11</v>
      </c>
      <c r="E6493" t="str">
        <f>"19 - S1 - MTWHF - B18 - Instructor BC"</f>
        <v>19 - S1 - MTWHF - B18 - Instructor BC</v>
      </c>
      <c r="F6493" t="str">
        <f>"COMP &amp; INTERNET LIT"</f>
        <v>COMP &amp; INTERNET LIT</v>
      </c>
      <c r="G6493" t="str">
        <f>"60-DE"</f>
        <v>60-DE</v>
      </c>
      <c r="H6493" t="str">
        <f>"-"</f>
        <v>-</v>
      </c>
    </row>
    <row r="6494" spans="1:8" x14ac:dyDescent="0.2">
      <c r="A6494" t="str">
        <f t="shared" si="2383"/>
        <v>0615004620</v>
      </c>
      <c r="B6494" t="str">
        <f t="shared" si="2384"/>
        <v>JARVIS</v>
      </c>
      <c r="C6494" t="str">
        <f t="shared" si="2385"/>
        <v>GORDON</v>
      </c>
      <c r="D6494">
        <f>11</f>
        <v>11</v>
      </c>
      <c r="E6494" t="str">
        <f>"04 - A - 202 - Daniel S Katz"</f>
        <v>04 - A - 202 - Daniel S Katz</v>
      </c>
      <c r="F6494" t="str">
        <f>"AICE DRAMA 2 A LEVEL"</f>
        <v>AICE DRAMA 2 A LEVEL</v>
      </c>
      <c r="G6494" t="str">
        <f>"05-521"</f>
        <v>05-521</v>
      </c>
      <c r="H6494" t="str">
        <f>"A"</f>
        <v>A</v>
      </c>
    </row>
    <row r="6495" spans="1:8" x14ac:dyDescent="0.2">
      <c r="A6495" t="str">
        <f t="shared" si="2383"/>
        <v>0615004620</v>
      </c>
      <c r="B6495" t="str">
        <f t="shared" si="2384"/>
        <v>JARVIS</v>
      </c>
      <c r="C6495" t="str">
        <f t="shared" si="2385"/>
        <v>GORDON</v>
      </c>
      <c r="D6495">
        <f>11</f>
        <v>11</v>
      </c>
      <c r="E6495" t="str">
        <f>"06 - B - 102 - Stephen T Ripp"</f>
        <v>06 - B - 102 - Stephen T Ripp</v>
      </c>
      <c r="F6495" t="str">
        <f>"AP U.S. HIST"</f>
        <v>AP U.S. HIST</v>
      </c>
      <c r="G6495" t="str">
        <f>"17-1744"</f>
        <v>17-1744</v>
      </c>
      <c r="H6495" t="str">
        <f>"B"</f>
        <v>B</v>
      </c>
    </row>
    <row r="6496" spans="1:8" x14ac:dyDescent="0.2">
      <c r="A6496" t="str">
        <f t="shared" si="2383"/>
        <v>0615004620</v>
      </c>
      <c r="B6496" t="str">
        <f t="shared" si="2384"/>
        <v>JARVIS</v>
      </c>
      <c r="C6496" t="str">
        <f t="shared" si="2385"/>
        <v>GORDON</v>
      </c>
      <c r="D6496">
        <f>11</f>
        <v>11</v>
      </c>
      <c r="E6496" t="str">
        <f>"03 - A - 202 - Jeanne M Bermudez"</f>
        <v>03 - A - 202 - Jeanne M Bermudez</v>
      </c>
      <c r="F6496" t="str">
        <f>"PHYSICS 1 HON"</f>
        <v>PHYSICS 1 HON</v>
      </c>
      <c r="G6496" t="str">
        <f>"21-2141"</f>
        <v>21-2141</v>
      </c>
      <c r="H6496" t="str">
        <f>"A"</f>
        <v>A</v>
      </c>
    </row>
    <row r="6497" spans="1:8" x14ac:dyDescent="0.2">
      <c r="A6497" t="str">
        <f t="shared" si="2383"/>
        <v>0615004620</v>
      </c>
      <c r="B6497" t="str">
        <f t="shared" si="2384"/>
        <v>JARVIS</v>
      </c>
      <c r="C6497" t="str">
        <f t="shared" si="2385"/>
        <v>GORDON</v>
      </c>
      <c r="D6497">
        <f>11</f>
        <v>11</v>
      </c>
      <c r="E6497" t="str">
        <f>"02 - A - 001 - Jazmin S Fletcher"</f>
        <v>02 - A - 001 - Jazmin S Fletcher</v>
      </c>
      <c r="F6497" t="str">
        <f>"NC STUDY HALL 1"</f>
        <v>NC STUDY HALL 1</v>
      </c>
      <c r="G6497" t="str">
        <f>"09-909"</f>
        <v>09-909</v>
      </c>
      <c r="H6497" t="str">
        <f>"A"</f>
        <v>A</v>
      </c>
    </row>
    <row r="6498" spans="1:8" x14ac:dyDescent="0.2">
      <c r="A6498" t="str">
        <f t="shared" si="2383"/>
        <v>0615004620</v>
      </c>
      <c r="B6498" t="str">
        <f t="shared" si="2384"/>
        <v>JARVIS</v>
      </c>
      <c r="C6498" t="str">
        <f t="shared" si="2385"/>
        <v>GORDON</v>
      </c>
      <c r="D6498">
        <f>11</f>
        <v>11</v>
      </c>
      <c r="E6498" t="str">
        <f>"07 - B - 103 - Lisa J London"</f>
        <v>07 - B - 103 - Lisa J London</v>
      </c>
      <c r="F6498" t="str">
        <f>"AP CAPSTONE SEMINAR"</f>
        <v>AP CAPSTONE SEMINAR</v>
      </c>
      <c r="G6498" t="str">
        <f>"17-1714"</f>
        <v>17-1714</v>
      </c>
      <c r="H6498" t="str">
        <f>"B"</f>
        <v>B</v>
      </c>
    </row>
    <row r="6499" spans="1:8" x14ac:dyDescent="0.2">
      <c r="A6499" t="str">
        <f t="shared" si="2383"/>
        <v>0615004620</v>
      </c>
      <c r="B6499" t="str">
        <f t="shared" si="2384"/>
        <v>JARVIS</v>
      </c>
      <c r="C6499" t="str">
        <f t="shared" si="2385"/>
        <v>GORDON</v>
      </c>
      <c r="D6499">
        <f>11</f>
        <v>11</v>
      </c>
      <c r="E6499" t="str">
        <f>"05 - B - 201 - Lisa J London"</f>
        <v>05 - B - 201 - Lisa J London</v>
      </c>
      <c r="F6499" t="str">
        <f>"COMPRE LAW HON"</f>
        <v>COMPRE LAW HON</v>
      </c>
      <c r="G6499" t="str">
        <f>"17-1714"</f>
        <v>17-1714</v>
      </c>
      <c r="H6499" t="str">
        <f>"B"</f>
        <v>B</v>
      </c>
    </row>
    <row r="6500" spans="1:8" x14ac:dyDescent="0.2">
      <c r="A6500" t="str">
        <f t="shared" si="2383"/>
        <v>0615004620</v>
      </c>
      <c r="B6500" t="str">
        <f t="shared" si="2384"/>
        <v>JARVIS</v>
      </c>
      <c r="C6500" t="str">
        <f t="shared" si="2385"/>
        <v>GORDON</v>
      </c>
      <c r="D6500">
        <f>11</f>
        <v>11</v>
      </c>
      <c r="E6500" t="str">
        <f>"01 - A - 101 - Thomas G Handwerg"</f>
        <v>01 - A - 101 - Thomas G Handwerg</v>
      </c>
      <c r="F6500" t="str">
        <f>"PROB STAT W/APPS HON"</f>
        <v>PROB STAT W/APPS HON</v>
      </c>
      <c r="G6500" t="str">
        <f>"21-2146"</f>
        <v>21-2146</v>
      </c>
      <c r="H6500" t="str">
        <f>"A"</f>
        <v>A</v>
      </c>
    </row>
    <row r="6501" spans="1:8" x14ac:dyDescent="0.2">
      <c r="A6501" t="str">
        <f t="shared" si="2383"/>
        <v>0615004620</v>
      </c>
      <c r="B6501" t="str">
        <f t="shared" si="2384"/>
        <v>JARVIS</v>
      </c>
      <c r="C6501" t="str">
        <f t="shared" si="2385"/>
        <v>GORDON</v>
      </c>
      <c r="D6501">
        <f>11</f>
        <v>11</v>
      </c>
      <c r="E6501" t="str">
        <f>"08 - B - 105 - Brandy N Zdenek"</f>
        <v>08 - B - 105 - Brandy N Zdenek</v>
      </c>
      <c r="F6501" t="str">
        <f>"AICE ENG LANG 2 AL"</f>
        <v>AICE ENG LANG 2 AL</v>
      </c>
      <c r="G6501" t="str">
        <f>"17-1704"</f>
        <v>17-1704</v>
      </c>
      <c r="H6501" t="str">
        <f>"B"</f>
        <v>B</v>
      </c>
    </row>
    <row r="6502" spans="1:8" x14ac:dyDescent="0.2">
      <c r="A6502" t="str">
        <f t="shared" ref="A6502:A6509" si="2386">"0613120202"</f>
        <v>0613120202</v>
      </c>
      <c r="B6502" t="str">
        <f t="shared" ref="B6502:B6509" si="2387">"LARISSA"</f>
        <v>LARISSA</v>
      </c>
      <c r="C6502" t="str">
        <f t="shared" si="2385"/>
        <v>GORDON</v>
      </c>
      <c r="D6502">
        <f>11</f>
        <v>11</v>
      </c>
      <c r="E6502" t="str">
        <f>"04 - A - 102 - Jeffrey S Gallagher"</f>
        <v>04 - A - 102 - Jeffrey S Gallagher</v>
      </c>
      <c r="F6502" t="str">
        <f>"ENG HON 3"</f>
        <v>ENG HON 3</v>
      </c>
      <c r="G6502" t="str">
        <f>"17-1724"</f>
        <v>17-1724</v>
      </c>
      <c r="H6502" t="str">
        <f>"A"</f>
        <v>A</v>
      </c>
    </row>
    <row r="6503" spans="1:8" x14ac:dyDescent="0.2">
      <c r="A6503" t="str">
        <f t="shared" si="2386"/>
        <v>0613120202</v>
      </c>
      <c r="B6503" t="str">
        <f t="shared" si="2387"/>
        <v>LARISSA</v>
      </c>
      <c r="C6503" t="str">
        <f t="shared" si="2385"/>
        <v>GORDON</v>
      </c>
      <c r="D6503">
        <f>11</f>
        <v>11</v>
      </c>
      <c r="E6503" t="str">
        <f>"06 - B - 001 - Samantha J Headley"</f>
        <v>06 - B - 001 - Samantha J Headley</v>
      </c>
      <c r="F6503" t="str">
        <f>"MARINE SCI 1 HON"</f>
        <v>MARINE SCI 1 HON</v>
      </c>
      <c r="G6503" t="str">
        <f>"21-2134"</f>
        <v>21-2134</v>
      </c>
      <c r="H6503" t="str">
        <f>"B"</f>
        <v>B</v>
      </c>
    </row>
    <row r="6504" spans="1:8" x14ac:dyDescent="0.2">
      <c r="A6504" t="str">
        <f t="shared" si="2386"/>
        <v>0613120202</v>
      </c>
      <c r="B6504" t="str">
        <f t="shared" si="2387"/>
        <v>LARISSA</v>
      </c>
      <c r="C6504" t="str">
        <f t="shared" si="2385"/>
        <v>GORDON</v>
      </c>
      <c r="D6504">
        <f>11</f>
        <v>11</v>
      </c>
      <c r="E6504" t="str">
        <f>"03 - A - 104 - Kyle  Robbins"</f>
        <v>03 - A - 104 - Kyle  Robbins</v>
      </c>
      <c r="F6504" t="str">
        <f>"US HISTORY"</f>
        <v>US HISTORY</v>
      </c>
      <c r="G6504" t="str">
        <f>"17-1745"</f>
        <v>17-1745</v>
      </c>
      <c r="H6504" t="str">
        <f>"A"</f>
        <v>A</v>
      </c>
    </row>
    <row r="6505" spans="1:8" x14ac:dyDescent="0.2">
      <c r="A6505" t="str">
        <f t="shared" si="2386"/>
        <v>0613120202</v>
      </c>
      <c r="B6505" t="str">
        <f t="shared" si="2387"/>
        <v>LARISSA</v>
      </c>
      <c r="C6505" t="str">
        <f t="shared" si="2385"/>
        <v>GORDON</v>
      </c>
      <c r="D6505">
        <f>11</f>
        <v>11</v>
      </c>
      <c r="E6505" t="str">
        <f>"02 - A - 108 - Stephen T Ripp"</f>
        <v>02 - A - 108 - Stephen T Ripp</v>
      </c>
      <c r="F6505" t="str">
        <f>"NC STUDY HALL 1"</f>
        <v>NC STUDY HALL 1</v>
      </c>
      <c r="G6505" t="str">
        <f>"17-1744"</f>
        <v>17-1744</v>
      </c>
      <c r="H6505" t="str">
        <f>"A"</f>
        <v>A</v>
      </c>
    </row>
    <row r="6506" spans="1:8" x14ac:dyDescent="0.2">
      <c r="A6506" t="str">
        <f t="shared" si="2386"/>
        <v>0613120202</v>
      </c>
      <c r="B6506" t="str">
        <f t="shared" si="2387"/>
        <v>LARISSA</v>
      </c>
      <c r="C6506" t="str">
        <f t="shared" si="2385"/>
        <v>GORDON</v>
      </c>
      <c r="D6506">
        <f>11</f>
        <v>11</v>
      </c>
      <c r="E6506" t="str">
        <f>"07 - B - 106 - James H Mccann"</f>
        <v>07 - B - 106 - James H Mccann</v>
      </c>
      <c r="F6506" t="str">
        <f>"ALGEBRA 2"</f>
        <v>ALGEBRA 2</v>
      </c>
      <c r="G6506" t="str">
        <f>"17-1716"</f>
        <v>17-1716</v>
      </c>
      <c r="H6506" t="str">
        <f>"B"</f>
        <v>B</v>
      </c>
    </row>
    <row r="6507" spans="1:8" x14ac:dyDescent="0.2">
      <c r="A6507" t="str">
        <f t="shared" si="2386"/>
        <v>0613120202</v>
      </c>
      <c r="B6507" t="str">
        <f t="shared" si="2387"/>
        <v>LARISSA</v>
      </c>
      <c r="C6507" t="str">
        <f t="shared" si="2385"/>
        <v>GORDON</v>
      </c>
      <c r="D6507">
        <f>11</f>
        <v>11</v>
      </c>
      <c r="E6507" t="str">
        <f>"05 - B - 101 - Jordana K Hass"</f>
        <v>05 - B - 101 - Jordana K Hass</v>
      </c>
      <c r="F6507" t="str">
        <f>"AP COMP SCI PRIN"</f>
        <v>AP COMP SCI PRIN</v>
      </c>
      <c r="G6507" t="str">
        <f>"08-807"</f>
        <v>08-807</v>
      </c>
      <c r="H6507" t="str">
        <f>"B"</f>
        <v>B</v>
      </c>
    </row>
    <row r="6508" spans="1:8" x14ac:dyDescent="0.2">
      <c r="A6508" t="str">
        <f t="shared" si="2386"/>
        <v>0613120202</v>
      </c>
      <c r="B6508" t="str">
        <f t="shared" si="2387"/>
        <v>LARISSA</v>
      </c>
      <c r="C6508" t="str">
        <f t="shared" si="2385"/>
        <v>GORDON</v>
      </c>
      <c r="D6508">
        <f>11</f>
        <v>11</v>
      </c>
      <c r="E6508" t="str">
        <f>"01 - A - 101 - Joe  Kilpatrick Jr"</f>
        <v>01 - A - 101 - Joe  Kilpatrick Jr</v>
      </c>
      <c r="F6508" t="str">
        <f>"PRE-AICE SPAN 1 IG"</f>
        <v>PRE-AICE SPAN 1 IG</v>
      </c>
      <c r="G6508" t="str">
        <f>"09-912"</f>
        <v>09-912</v>
      </c>
      <c r="H6508" t="str">
        <f>"A"</f>
        <v>A</v>
      </c>
    </row>
    <row r="6509" spans="1:8" x14ac:dyDescent="0.2">
      <c r="A6509" t="str">
        <f t="shared" si="2386"/>
        <v>0613120202</v>
      </c>
      <c r="B6509" t="str">
        <f t="shared" si="2387"/>
        <v>LARISSA</v>
      </c>
      <c r="C6509" t="str">
        <f t="shared" si="2385"/>
        <v>GORDON</v>
      </c>
      <c r="D6509">
        <f>11</f>
        <v>11</v>
      </c>
      <c r="E6509" t="str">
        <f>"08 - B - 001 - Samantha L Martinez"</f>
        <v>08 - B - 001 - Samantha L Martinez</v>
      </c>
      <c r="F6509" t="str">
        <f>"VOCAL ENS 2"</f>
        <v>VOCAL ENS 2</v>
      </c>
      <c r="G6509" t="str">
        <f>"05-505"</f>
        <v>05-505</v>
      </c>
      <c r="H6509" t="str">
        <f>"B"</f>
        <v>B</v>
      </c>
    </row>
    <row r="6510" spans="1:8" x14ac:dyDescent="0.2">
      <c r="A6510" t="str">
        <f t="shared" ref="A6510:A6517" si="2388">"0618082819"</f>
        <v>0618082819</v>
      </c>
      <c r="B6510" t="str">
        <f t="shared" ref="B6510:B6517" si="2389">"MIKALYE"</f>
        <v>MIKALYE</v>
      </c>
      <c r="C6510" t="str">
        <f t="shared" si="2385"/>
        <v>GORDON</v>
      </c>
      <c r="D6510">
        <f>11</f>
        <v>11</v>
      </c>
      <c r="E6510" t="str">
        <f>"04 - A - 102 - Samantha J Headley"</f>
        <v>04 - A - 102 - Samantha J Headley</v>
      </c>
      <c r="F6510" t="str">
        <f>"MARINE SCI 1 HON"</f>
        <v>MARINE SCI 1 HON</v>
      </c>
      <c r="G6510" t="str">
        <f>"21-2134"</f>
        <v>21-2134</v>
      </c>
      <c r="H6510" t="str">
        <f>"A"</f>
        <v>A</v>
      </c>
    </row>
    <row r="6511" spans="1:8" x14ac:dyDescent="0.2">
      <c r="A6511" t="str">
        <f t="shared" si="2388"/>
        <v>0618082819</v>
      </c>
      <c r="B6511" t="str">
        <f t="shared" si="2389"/>
        <v>MIKALYE</v>
      </c>
      <c r="C6511" t="str">
        <f t="shared" si="2385"/>
        <v>GORDON</v>
      </c>
      <c r="D6511">
        <f>11</f>
        <v>11</v>
      </c>
      <c r="E6511" t="str">
        <f>"06 - B - 101 - Bruce A Evans"</f>
        <v>06 - B - 101 - Bruce A Evans</v>
      </c>
      <c r="F6511" t="str">
        <f>"EMERG MED RESP 3 HON"</f>
        <v>EMERG MED RESP 3 HON</v>
      </c>
      <c r="G6511" t="str">
        <f>"21-2142"</f>
        <v>21-2142</v>
      </c>
      <c r="H6511" t="str">
        <f>"B"</f>
        <v>B</v>
      </c>
    </row>
    <row r="6512" spans="1:8" x14ac:dyDescent="0.2">
      <c r="A6512" t="str">
        <f t="shared" si="2388"/>
        <v>0618082819</v>
      </c>
      <c r="B6512" t="str">
        <f t="shared" si="2389"/>
        <v>MIKALYE</v>
      </c>
      <c r="C6512" t="str">
        <f t="shared" si="2385"/>
        <v>GORDON</v>
      </c>
      <c r="D6512">
        <f>11</f>
        <v>11</v>
      </c>
      <c r="E6512" t="str">
        <f>"03 - A - 202 - Bruce A Evans"</f>
        <v>03 - A - 202 - Bruce A Evans</v>
      </c>
      <c r="F6512" t="str">
        <f>"HEALTH SCI FOUND HON"</f>
        <v>HEALTH SCI FOUND HON</v>
      </c>
      <c r="G6512" t="str">
        <f>"21-2142"</f>
        <v>21-2142</v>
      </c>
      <c r="H6512" t="str">
        <f>"A"</f>
        <v>A</v>
      </c>
    </row>
    <row r="6513" spans="1:8" x14ac:dyDescent="0.2">
      <c r="A6513" t="str">
        <f t="shared" si="2388"/>
        <v>0618082819</v>
      </c>
      <c r="B6513" t="str">
        <f t="shared" si="2389"/>
        <v>MIKALYE</v>
      </c>
      <c r="C6513" t="str">
        <f t="shared" si="2385"/>
        <v>GORDON</v>
      </c>
      <c r="D6513">
        <f>11</f>
        <v>11</v>
      </c>
      <c r="E6513" t="str">
        <f>"02 - A - 108 - Stephen T Ripp"</f>
        <v>02 - A - 108 - Stephen T Ripp</v>
      </c>
      <c r="F6513" t="str">
        <f>"NC STUDY HALL 1"</f>
        <v>NC STUDY HALL 1</v>
      </c>
      <c r="G6513" t="str">
        <f>"17-1744"</f>
        <v>17-1744</v>
      </c>
      <c r="H6513" t="str">
        <f>"A"</f>
        <v>A</v>
      </c>
    </row>
    <row r="6514" spans="1:8" x14ac:dyDescent="0.2">
      <c r="A6514" t="str">
        <f t="shared" si="2388"/>
        <v>0618082819</v>
      </c>
      <c r="B6514" t="str">
        <f t="shared" si="2389"/>
        <v>MIKALYE</v>
      </c>
      <c r="C6514" t="str">
        <f t="shared" si="2385"/>
        <v>GORDON</v>
      </c>
      <c r="D6514">
        <f>11</f>
        <v>11</v>
      </c>
      <c r="E6514" t="str">
        <f>"07 - B - 102 - Carleigh R Carmichael"</f>
        <v>07 - B - 102 - Carleigh R Carmichael</v>
      </c>
      <c r="F6514" t="str">
        <f>"LEAD SKLS DEV LH"</f>
        <v>LEAD SKLS DEV LH</v>
      </c>
      <c r="G6514" t="str">
        <f>"20-2072"</f>
        <v>20-2072</v>
      </c>
      <c r="H6514" t="str">
        <f>"B"</f>
        <v>B</v>
      </c>
    </row>
    <row r="6515" spans="1:8" x14ac:dyDescent="0.2">
      <c r="A6515" t="str">
        <f t="shared" si="2388"/>
        <v>0618082819</v>
      </c>
      <c r="B6515" t="str">
        <f t="shared" si="2389"/>
        <v>MIKALYE</v>
      </c>
      <c r="C6515" t="str">
        <f t="shared" si="2385"/>
        <v>GORDON</v>
      </c>
      <c r="D6515">
        <f>11</f>
        <v>11</v>
      </c>
      <c r="E6515" t="str">
        <f>"05 - B - 103 - Heidi M Knopp"</f>
        <v>05 - B - 103 - Heidi M Knopp</v>
      </c>
      <c r="F6515" t="str">
        <f>"ENG HON 3"</f>
        <v>ENG HON 3</v>
      </c>
      <c r="G6515" t="str">
        <f>"17-1723"</f>
        <v>17-1723</v>
      </c>
      <c r="H6515" t="str">
        <f>"B"</f>
        <v>B</v>
      </c>
    </row>
    <row r="6516" spans="1:8" x14ac:dyDescent="0.2">
      <c r="A6516" t="str">
        <f t="shared" si="2388"/>
        <v>0618082819</v>
      </c>
      <c r="B6516" t="str">
        <f t="shared" si="2389"/>
        <v>MIKALYE</v>
      </c>
      <c r="C6516" t="str">
        <f t="shared" si="2385"/>
        <v>GORDON</v>
      </c>
      <c r="D6516">
        <f>11</f>
        <v>11</v>
      </c>
      <c r="E6516" t="str">
        <f>"01 - A - 101 - James H Mccann"</f>
        <v>01 - A - 101 - James H Mccann</v>
      </c>
      <c r="F6516" t="str">
        <f>"ALGEBRA 2"</f>
        <v>ALGEBRA 2</v>
      </c>
      <c r="G6516" t="str">
        <f>"17-1716"</f>
        <v>17-1716</v>
      </c>
      <c r="H6516" t="str">
        <f>"A"</f>
        <v>A</v>
      </c>
    </row>
    <row r="6517" spans="1:8" x14ac:dyDescent="0.2">
      <c r="A6517" t="str">
        <f t="shared" si="2388"/>
        <v>0618082819</v>
      </c>
      <c r="B6517" t="str">
        <f t="shared" si="2389"/>
        <v>MIKALYE</v>
      </c>
      <c r="C6517" t="str">
        <f t="shared" si="2385"/>
        <v>GORDON</v>
      </c>
      <c r="D6517">
        <f>11</f>
        <v>11</v>
      </c>
      <c r="E6517" t="str">
        <f>"08 - B - 109 - Lauren N Logan"</f>
        <v>08 - B - 109 - Lauren N Logan</v>
      </c>
      <c r="F6517" t="str">
        <f>"US HISTORY"</f>
        <v>US HISTORY</v>
      </c>
      <c r="G6517" t="str">
        <f>"17-1754"</f>
        <v>17-1754</v>
      </c>
      <c r="H6517" t="str">
        <f>"B"</f>
        <v>B</v>
      </c>
    </row>
    <row r="6518" spans="1:8" x14ac:dyDescent="0.2">
      <c r="A6518" t="str">
        <f t="shared" ref="A6518:A6525" si="2390">"0623024916"</f>
        <v>0623024916</v>
      </c>
      <c r="B6518" t="str">
        <f t="shared" ref="B6518:B6525" si="2391">"PHAMOUS"</f>
        <v>PHAMOUS</v>
      </c>
      <c r="C6518" t="str">
        <f t="shared" ref="C6518:C6525" si="2392">"GOTOW"</f>
        <v>GOTOW</v>
      </c>
      <c r="D6518">
        <f>12</f>
        <v>12</v>
      </c>
      <c r="E6518" t="str">
        <f>"04 - S1 - A - 105 - Robert O Burger"</f>
        <v>04 - S1 - A - 105 - Robert O Burger</v>
      </c>
      <c r="F6518" t="str">
        <f>"US GOVT"</f>
        <v>US GOVT</v>
      </c>
      <c r="G6518" t="str">
        <f>"17-1755"</f>
        <v>17-1755</v>
      </c>
      <c r="H6518" t="str">
        <f>"A"</f>
        <v>A</v>
      </c>
    </row>
    <row r="6519" spans="1:8" x14ac:dyDescent="0.2">
      <c r="A6519" t="str">
        <f t="shared" si="2390"/>
        <v>0623024916</v>
      </c>
      <c r="B6519" t="str">
        <f t="shared" si="2391"/>
        <v>PHAMOUS</v>
      </c>
      <c r="C6519" t="str">
        <f t="shared" si="2392"/>
        <v>GOTOW</v>
      </c>
      <c r="D6519">
        <f>12</f>
        <v>12</v>
      </c>
      <c r="E6519" t="str">
        <f>"06 - B - 111 - James H Mccann"</f>
        <v>06 - B - 111 - James H Mccann</v>
      </c>
      <c r="F6519" t="str">
        <f>"NC STUDY HALL 1"</f>
        <v>NC STUDY HALL 1</v>
      </c>
      <c r="G6519" t="str">
        <f>"17-1716"</f>
        <v>17-1716</v>
      </c>
      <c r="H6519" t="str">
        <f>"B"</f>
        <v>B</v>
      </c>
    </row>
    <row r="6520" spans="1:8" x14ac:dyDescent="0.2">
      <c r="A6520" t="str">
        <f t="shared" si="2390"/>
        <v>0623024916</v>
      </c>
      <c r="B6520" t="str">
        <f t="shared" si="2391"/>
        <v>PHAMOUS</v>
      </c>
      <c r="C6520" t="str">
        <f t="shared" si="2392"/>
        <v>GOTOW</v>
      </c>
      <c r="D6520">
        <f>12</f>
        <v>12</v>
      </c>
      <c r="E6520" t="str">
        <f>"03 - A - 102 - Cliffon  Saurel"</f>
        <v>03 - A - 102 - Cliffon  Saurel</v>
      </c>
      <c r="F6520" t="str">
        <f>"PHYSICAL SCI"</f>
        <v>PHYSICAL SCI</v>
      </c>
      <c r="G6520" t="str">
        <f>"05-522"</f>
        <v>05-522</v>
      </c>
      <c r="H6520" t="str">
        <f>"A"</f>
        <v>A</v>
      </c>
    </row>
    <row r="6521" spans="1:8" x14ac:dyDescent="0.2">
      <c r="A6521" t="str">
        <f t="shared" si="2390"/>
        <v>0623024916</v>
      </c>
      <c r="B6521" t="str">
        <f t="shared" si="2391"/>
        <v>PHAMOUS</v>
      </c>
      <c r="C6521" t="str">
        <f t="shared" si="2392"/>
        <v>GOTOW</v>
      </c>
      <c r="D6521">
        <f>12</f>
        <v>12</v>
      </c>
      <c r="E6521" t="str">
        <f>"02 - A - 102 - Bruce A Evans"</f>
        <v>02 - A - 102 - Bruce A Evans</v>
      </c>
      <c r="F6521" t="str">
        <f>"EMERG MED RESP 3 HON"</f>
        <v>EMERG MED RESP 3 HON</v>
      </c>
      <c r="G6521" t="str">
        <f>"21-2142"</f>
        <v>21-2142</v>
      </c>
      <c r="H6521" t="str">
        <f>"A"</f>
        <v>A</v>
      </c>
    </row>
    <row r="6522" spans="1:8" x14ac:dyDescent="0.2">
      <c r="A6522" t="str">
        <f t="shared" si="2390"/>
        <v>0623024916</v>
      </c>
      <c r="B6522" t="str">
        <f t="shared" si="2391"/>
        <v>PHAMOUS</v>
      </c>
      <c r="C6522" t="str">
        <f t="shared" si="2392"/>
        <v>GOTOW</v>
      </c>
      <c r="D6522">
        <f>12</f>
        <v>12</v>
      </c>
      <c r="E6522" t="str">
        <f>"07 - B - 104 - Robyn L Trainer"</f>
        <v>07 - B - 104 - Robyn L Trainer</v>
      </c>
      <c r="F6522" t="str">
        <f>"ENG 4"</f>
        <v>ENG 4</v>
      </c>
      <c r="G6522" t="str">
        <f>"17-1734"</f>
        <v>17-1734</v>
      </c>
      <c r="H6522" t="str">
        <f>"B"</f>
        <v>B</v>
      </c>
    </row>
    <row r="6523" spans="1:8" x14ac:dyDescent="0.2">
      <c r="A6523" t="str">
        <f t="shared" si="2390"/>
        <v>0623024916</v>
      </c>
      <c r="B6523" t="str">
        <f t="shared" si="2391"/>
        <v>PHAMOUS</v>
      </c>
      <c r="C6523" t="str">
        <f t="shared" si="2392"/>
        <v>GOTOW</v>
      </c>
      <c r="D6523">
        <f>12</f>
        <v>12</v>
      </c>
      <c r="E6523" t="str">
        <f>"05 - B - 201 - Bruce A Evans"</f>
        <v>05 - B - 201 - Bruce A Evans</v>
      </c>
      <c r="F6523" t="str">
        <f>"HEALTH SCI FOUND HON"</f>
        <v>HEALTH SCI FOUND HON</v>
      </c>
      <c r="G6523" t="str">
        <f>"21-2142"</f>
        <v>21-2142</v>
      </c>
      <c r="H6523" t="str">
        <f>"B"</f>
        <v>B</v>
      </c>
    </row>
    <row r="6524" spans="1:8" x14ac:dyDescent="0.2">
      <c r="A6524" t="str">
        <f t="shared" si="2390"/>
        <v>0623024916</v>
      </c>
      <c r="B6524" t="str">
        <f t="shared" si="2391"/>
        <v>PHAMOUS</v>
      </c>
      <c r="C6524" t="str">
        <f t="shared" si="2392"/>
        <v>GOTOW</v>
      </c>
      <c r="D6524">
        <f>12</f>
        <v>12</v>
      </c>
      <c r="E6524" t="str">
        <f>"01 - A - 102 - Robert H Rindner"</f>
        <v>01 - A - 102 - Robert H Rindner</v>
      </c>
      <c r="F6524" t="str">
        <f>"MATH DATA&amp;FIN LIT H"</f>
        <v>MATH DATA&amp;FIN LIT H</v>
      </c>
      <c r="G6524" t="str">
        <f>"21-2160"</f>
        <v>21-2160</v>
      </c>
      <c r="H6524" t="str">
        <f>"A"</f>
        <v>A</v>
      </c>
    </row>
    <row r="6525" spans="1:8" x14ac:dyDescent="0.2">
      <c r="A6525" t="str">
        <f t="shared" si="2390"/>
        <v>0623024916</v>
      </c>
      <c r="B6525" t="str">
        <f t="shared" si="2391"/>
        <v>PHAMOUS</v>
      </c>
      <c r="C6525" t="str">
        <f t="shared" si="2392"/>
        <v>GOTOW</v>
      </c>
      <c r="D6525">
        <f>12</f>
        <v>12</v>
      </c>
      <c r="E6525" t="str">
        <f>"08 - S1 - B - 101 - Amy Beth  Broyles"</f>
        <v>08 - S1 - B - 101 - Amy Beth  Broyles</v>
      </c>
      <c r="F6525" t="str">
        <f>"PEER COUN 3"</f>
        <v>PEER COUN 3</v>
      </c>
      <c r="G6525" t="str">
        <f>"17-1713"</f>
        <v>17-1713</v>
      </c>
      <c r="H6525" t="str">
        <f>"B"</f>
        <v>B</v>
      </c>
    </row>
    <row r="6526" spans="1:8" x14ac:dyDescent="0.2">
      <c r="A6526" t="str">
        <f t="shared" ref="A6526:A6533" si="2393">"0625003809"</f>
        <v>0625003809</v>
      </c>
      <c r="B6526" t="str">
        <f t="shared" ref="B6526:B6533" si="2394">"Leroy"</f>
        <v>Leroy</v>
      </c>
      <c r="C6526" t="str">
        <f t="shared" ref="C6526:C6533" si="2395">"Graham"</f>
        <v>Graham</v>
      </c>
      <c r="D6526">
        <f>11</f>
        <v>11</v>
      </c>
      <c r="E6526" t="str">
        <f>"04 - A - 203 - Daniel S Tyson"</f>
        <v>04 - A - 203 - Daniel S Tyson</v>
      </c>
      <c r="F6526" t="str">
        <f>"JROTC NAVAL SCI 2"</f>
        <v>JROTC NAVAL SCI 2</v>
      </c>
      <c r="G6526" t="str">
        <f>"05-510"</f>
        <v>05-510</v>
      </c>
      <c r="H6526" t="str">
        <f>"A"</f>
        <v>A</v>
      </c>
    </row>
    <row r="6527" spans="1:8" x14ac:dyDescent="0.2">
      <c r="A6527" t="str">
        <f t="shared" si="2393"/>
        <v>0625003809</v>
      </c>
      <c r="B6527" t="str">
        <f t="shared" si="2394"/>
        <v>Leroy</v>
      </c>
      <c r="C6527" t="str">
        <f t="shared" si="2395"/>
        <v>Graham</v>
      </c>
      <c r="D6527">
        <f>11</f>
        <v>11</v>
      </c>
      <c r="E6527" t="str">
        <f>"06 - B - 204 - Chrystina M Marchionne"</f>
        <v>06 - B - 204 - Chrystina M Marchionne</v>
      </c>
      <c r="F6527" t="str">
        <f>"AICE MEDIASTUDIES AS"</f>
        <v>AICE MEDIASTUDIES AS</v>
      </c>
      <c r="G6527" t="str">
        <f>"05-520"</f>
        <v>05-520</v>
      </c>
      <c r="H6527" t="str">
        <f>"B"</f>
        <v>B</v>
      </c>
    </row>
    <row r="6528" spans="1:8" x14ac:dyDescent="0.2">
      <c r="A6528" t="str">
        <f t="shared" si="2393"/>
        <v>0625003809</v>
      </c>
      <c r="B6528" t="str">
        <f t="shared" si="2394"/>
        <v>Leroy</v>
      </c>
      <c r="C6528" t="str">
        <f t="shared" si="2395"/>
        <v>Graham</v>
      </c>
      <c r="D6528">
        <f>11</f>
        <v>11</v>
      </c>
      <c r="E6528" t="str">
        <f>"03 - A - 104 - Fernando  Vega-Cid"</f>
        <v>03 - A - 104 - Fernando  Vega-Cid</v>
      </c>
      <c r="F6528" t="str">
        <f>"GEOMETRY"</f>
        <v>GEOMETRY</v>
      </c>
      <c r="G6528" t="str">
        <f>"21-2163"</f>
        <v>21-2163</v>
      </c>
      <c r="H6528" t="str">
        <f>"A"</f>
        <v>A</v>
      </c>
    </row>
    <row r="6529" spans="1:8" x14ac:dyDescent="0.2">
      <c r="A6529" t="str">
        <f t="shared" si="2393"/>
        <v>0625003809</v>
      </c>
      <c r="B6529" t="str">
        <f t="shared" si="2394"/>
        <v>Leroy</v>
      </c>
      <c r="C6529" t="str">
        <f t="shared" si="2395"/>
        <v>Graham</v>
      </c>
      <c r="D6529">
        <f>11</f>
        <v>11</v>
      </c>
      <c r="E6529" t="str">
        <f>"02 - A - 104 - Dayna M Foster"</f>
        <v>02 - A - 104 - Dayna M Foster</v>
      </c>
      <c r="F6529" t="str">
        <f>"NC STUDY HALL 1"</f>
        <v>NC STUDY HALL 1</v>
      </c>
      <c r="G6529" t="str">
        <f>"21-2109"</f>
        <v>21-2109</v>
      </c>
      <c r="H6529" t="str">
        <f>"A"</f>
        <v>A</v>
      </c>
    </row>
    <row r="6530" spans="1:8" x14ac:dyDescent="0.2">
      <c r="A6530" t="str">
        <f t="shared" si="2393"/>
        <v>0625003809</v>
      </c>
      <c r="B6530" t="str">
        <f t="shared" si="2394"/>
        <v>Leroy</v>
      </c>
      <c r="C6530" t="str">
        <f t="shared" si="2395"/>
        <v>Graham</v>
      </c>
      <c r="D6530">
        <f>11</f>
        <v>11</v>
      </c>
      <c r="E6530" t="str">
        <f>"07 - B - 002 - Jordana K Hass"</f>
        <v>07 - B - 002 - Jordana K Hass</v>
      </c>
      <c r="F6530" t="str">
        <f>"CHEMISTRY 1 HON"</f>
        <v>CHEMISTRY 1 HON</v>
      </c>
      <c r="G6530" t="str">
        <f>"08-807"</f>
        <v>08-807</v>
      </c>
      <c r="H6530" t="str">
        <f>"B"</f>
        <v>B</v>
      </c>
    </row>
    <row r="6531" spans="1:8" x14ac:dyDescent="0.2">
      <c r="A6531" t="str">
        <f t="shared" si="2393"/>
        <v>0625003809</v>
      </c>
      <c r="B6531" t="str">
        <f t="shared" si="2394"/>
        <v>Leroy</v>
      </c>
      <c r="C6531" t="str">
        <f t="shared" si="2395"/>
        <v>Graham</v>
      </c>
      <c r="D6531">
        <f>11</f>
        <v>11</v>
      </c>
      <c r="E6531" t="str">
        <f>"05 - B - 102 - Jerry S Jiampetti"</f>
        <v>05 - B - 102 - Jerry S Jiampetti</v>
      </c>
      <c r="F6531" t="str">
        <f>"AICE U.S. HIST 1 AS"</f>
        <v>AICE U.S. HIST 1 AS</v>
      </c>
      <c r="G6531" t="str">
        <f>"17-1751"</f>
        <v>17-1751</v>
      </c>
      <c r="H6531" t="str">
        <f>"B"</f>
        <v>B</v>
      </c>
    </row>
    <row r="6532" spans="1:8" x14ac:dyDescent="0.2">
      <c r="A6532" t="str">
        <f t="shared" si="2393"/>
        <v>0625003809</v>
      </c>
      <c r="B6532" t="str">
        <f t="shared" si="2394"/>
        <v>Leroy</v>
      </c>
      <c r="C6532" t="str">
        <f t="shared" si="2395"/>
        <v>Graham</v>
      </c>
      <c r="D6532">
        <f>11</f>
        <v>11</v>
      </c>
      <c r="E6532" t="str">
        <f>"01 - A - 101 - Jacklyn M James"</f>
        <v>01 - A - 101 - Jacklyn M James</v>
      </c>
      <c r="F6532" t="str">
        <f>"AICE ENG LANG AS"</f>
        <v>AICE ENG LANG AS</v>
      </c>
      <c r="G6532" t="str">
        <f>"17-1731"</f>
        <v>17-1731</v>
      </c>
      <c r="H6532" t="str">
        <f>"A"</f>
        <v>A</v>
      </c>
    </row>
    <row r="6533" spans="1:8" x14ac:dyDescent="0.2">
      <c r="A6533" t="str">
        <f t="shared" si="2393"/>
        <v>0625003809</v>
      </c>
      <c r="B6533" t="str">
        <f t="shared" si="2394"/>
        <v>Leroy</v>
      </c>
      <c r="C6533" t="str">
        <f t="shared" si="2395"/>
        <v>Graham</v>
      </c>
      <c r="D6533">
        <f>11</f>
        <v>11</v>
      </c>
      <c r="E6533" t="str">
        <f>"08 - B - 201 - Stacey A Blecker"</f>
        <v>08 - B - 201 - Stacey A Blecker</v>
      </c>
      <c r="F6533" t="str">
        <f>"AICE SOCIOLOGY 1 AS"</f>
        <v>AICE SOCIOLOGY 1 AS</v>
      </c>
      <c r="G6533" t="str">
        <f>"09-926"</f>
        <v>09-926</v>
      </c>
      <c r="H6533" t="str">
        <f>"B"</f>
        <v>B</v>
      </c>
    </row>
    <row r="6534" spans="1:8" x14ac:dyDescent="0.2">
      <c r="A6534" t="str">
        <f t="shared" ref="A6534:A6541" si="2396">"0615139393"</f>
        <v>0615139393</v>
      </c>
      <c r="B6534" t="str">
        <f t="shared" ref="B6534:B6541" si="2397">"TRESURE"</f>
        <v>TRESURE</v>
      </c>
      <c r="C6534" t="str">
        <f t="shared" ref="C6534:C6541" si="2398">"GRAHAM"</f>
        <v>GRAHAM</v>
      </c>
      <c r="D6534">
        <f>10</f>
        <v>10</v>
      </c>
      <c r="E6534" t="str">
        <f>"04 - A - 105 - Jacklyn M James"</f>
        <v>04 - A - 105 - Jacklyn M James</v>
      </c>
      <c r="F6534" t="str">
        <f>"AICE ENG LANG AS"</f>
        <v>AICE ENG LANG AS</v>
      </c>
      <c r="G6534" t="str">
        <f>"17-1731"</f>
        <v>17-1731</v>
      </c>
      <c r="H6534" t="str">
        <f>"A"</f>
        <v>A</v>
      </c>
    </row>
    <row r="6535" spans="1:8" x14ac:dyDescent="0.2">
      <c r="A6535" t="str">
        <f t="shared" si="2396"/>
        <v>0615139393</v>
      </c>
      <c r="B6535" t="str">
        <f t="shared" si="2397"/>
        <v>TRESURE</v>
      </c>
      <c r="C6535" t="str">
        <f t="shared" si="2398"/>
        <v>GRAHAM</v>
      </c>
      <c r="D6535">
        <f>10</f>
        <v>10</v>
      </c>
      <c r="E6535" t="str">
        <f>"06 - B - 113 - Joe  Kilpatrick Jr"</f>
        <v>06 - B - 113 - Joe  Kilpatrick Jr</v>
      </c>
      <c r="F6535" t="str">
        <f>"NC STUDY HALL 1"</f>
        <v>NC STUDY HALL 1</v>
      </c>
      <c r="G6535" t="str">
        <f>"09-912"</f>
        <v>09-912</v>
      </c>
      <c r="H6535" t="str">
        <f>"B"</f>
        <v>B</v>
      </c>
    </row>
    <row r="6536" spans="1:8" x14ac:dyDescent="0.2">
      <c r="A6536" t="str">
        <f t="shared" si="2396"/>
        <v>0615139393</v>
      </c>
      <c r="B6536" t="str">
        <f t="shared" si="2397"/>
        <v>TRESURE</v>
      </c>
      <c r="C6536" t="str">
        <f t="shared" si="2398"/>
        <v>GRAHAM</v>
      </c>
      <c r="D6536">
        <f>10</f>
        <v>10</v>
      </c>
      <c r="E6536" t="str">
        <f>"03 - A - 104 - Brook E Goren"</f>
        <v>03 - A - 104 - Brook E Goren</v>
      </c>
      <c r="F6536" t="str">
        <f>"ALGEBRA 2 HON"</f>
        <v>ALGEBRA 2 HON</v>
      </c>
      <c r="G6536" t="str">
        <f>"21-2158"</f>
        <v>21-2158</v>
      </c>
      <c r="H6536" t="str">
        <f>"A"</f>
        <v>A</v>
      </c>
    </row>
    <row r="6537" spans="1:8" x14ac:dyDescent="0.2">
      <c r="A6537" t="str">
        <f t="shared" si="2396"/>
        <v>0615139393</v>
      </c>
      <c r="B6537" t="str">
        <f t="shared" si="2397"/>
        <v>TRESURE</v>
      </c>
      <c r="C6537" t="str">
        <f t="shared" si="2398"/>
        <v>GRAHAM</v>
      </c>
      <c r="D6537">
        <f>10</f>
        <v>10</v>
      </c>
      <c r="E6537" t="str">
        <f>"02 - A - 102 - Chrystina M Marchionne"</f>
        <v>02 - A - 102 - Chrystina M Marchionne</v>
      </c>
      <c r="F6537" t="str">
        <f>"AICE MEDIASTUDIES AS"</f>
        <v>AICE MEDIASTUDIES AS</v>
      </c>
      <c r="G6537" t="str">
        <f>"05-520"</f>
        <v>05-520</v>
      </c>
      <c r="H6537" t="str">
        <f>"A"</f>
        <v>A</v>
      </c>
    </row>
    <row r="6538" spans="1:8" x14ac:dyDescent="0.2">
      <c r="A6538" t="str">
        <f t="shared" si="2396"/>
        <v>0615139393</v>
      </c>
      <c r="B6538" t="str">
        <f t="shared" si="2397"/>
        <v>TRESURE</v>
      </c>
      <c r="C6538" t="str">
        <f t="shared" si="2398"/>
        <v>GRAHAM</v>
      </c>
      <c r="D6538">
        <f>10</f>
        <v>10</v>
      </c>
      <c r="E6538" t="str">
        <f>"07 - B - 107 - Rosa Elaine  Collado-Duff"</f>
        <v>07 - B - 107 - Rosa Elaine  Collado-Duff</v>
      </c>
      <c r="F6538" t="str">
        <f>"PRE-AICE SPAN 2 IG"</f>
        <v>PRE-AICE SPAN 2 IG</v>
      </c>
      <c r="G6538" t="str">
        <f>"09-913"</f>
        <v>09-913</v>
      </c>
      <c r="H6538" t="str">
        <f>"B"</f>
        <v>B</v>
      </c>
    </row>
    <row r="6539" spans="1:8" x14ac:dyDescent="0.2">
      <c r="A6539" t="str">
        <f t="shared" si="2396"/>
        <v>0615139393</v>
      </c>
      <c r="B6539" t="str">
        <f t="shared" si="2397"/>
        <v>TRESURE</v>
      </c>
      <c r="C6539" t="str">
        <f t="shared" si="2398"/>
        <v>GRAHAM</v>
      </c>
      <c r="D6539">
        <f>10</f>
        <v>10</v>
      </c>
      <c r="E6539" t="str">
        <f>"05 - B - 108 - Valerie J Ruwe"</f>
        <v>05 - B - 108 - Valerie J Ruwe</v>
      </c>
      <c r="F6539" t="str">
        <f>"CHEMISTRY 1 HON"</f>
        <v>CHEMISTRY 1 HON</v>
      </c>
      <c r="G6539" t="str">
        <f>"21-2138"</f>
        <v>21-2138</v>
      </c>
      <c r="H6539" t="str">
        <f>"B"</f>
        <v>B</v>
      </c>
    </row>
    <row r="6540" spans="1:8" x14ac:dyDescent="0.2">
      <c r="A6540" t="str">
        <f t="shared" si="2396"/>
        <v>0615139393</v>
      </c>
      <c r="B6540" t="str">
        <f t="shared" si="2397"/>
        <v>TRESURE</v>
      </c>
      <c r="C6540" t="str">
        <f t="shared" si="2398"/>
        <v>GRAHAM</v>
      </c>
      <c r="D6540">
        <f>10</f>
        <v>10</v>
      </c>
      <c r="E6540" t="str">
        <f>"01 - A - 201 - Stefanie S Scher"</f>
        <v>01 - A - 201 - Stefanie S Scher</v>
      </c>
      <c r="F6540" t="str">
        <f>"AICE PSYCH 1 AS"</f>
        <v>AICE PSYCH 1 AS</v>
      </c>
      <c r="G6540" t="str">
        <f>"17-1735"</f>
        <v>17-1735</v>
      </c>
      <c r="H6540" t="str">
        <f>"A"</f>
        <v>A</v>
      </c>
    </row>
    <row r="6541" spans="1:8" x14ac:dyDescent="0.2">
      <c r="A6541" t="str">
        <f t="shared" si="2396"/>
        <v>0615139393</v>
      </c>
      <c r="B6541" t="str">
        <f t="shared" si="2397"/>
        <v>TRESURE</v>
      </c>
      <c r="C6541" t="str">
        <f t="shared" si="2398"/>
        <v>GRAHAM</v>
      </c>
      <c r="D6541">
        <f>10</f>
        <v>10</v>
      </c>
      <c r="E6541" t="str">
        <f>"08 - B - 201 - Lenecy  Nodarse"</f>
        <v>08 - B - 201 - Lenecy  Nodarse</v>
      </c>
      <c r="F6541" t="str">
        <f>"AICE EURO HIST 1 AS"</f>
        <v>AICE EURO HIST 1 AS</v>
      </c>
      <c r="G6541" t="str">
        <f>"17-1741"</f>
        <v>17-1741</v>
      </c>
      <c r="H6541" t="str">
        <f>"B"</f>
        <v>B</v>
      </c>
    </row>
    <row r="6542" spans="1:8" x14ac:dyDescent="0.2">
      <c r="A6542" t="str">
        <f t="shared" ref="A6542:A6549" si="2399">"0616028316"</f>
        <v>0616028316</v>
      </c>
      <c r="B6542" t="str">
        <f t="shared" ref="B6542:B6549" si="2400">"DANIA"</f>
        <v>DANIA</v>
      </c>
      <c r="C6542" t="str">
        <f t="shared" ref="C6542:C6573" si="2401">"GRANADOS"</f>
        <v>GRANADOS</v>
      </c>
      <c r="D6542">
        <f>10</f>
        <v>10</v>
      </c>
      <c r="E6542" t="str">
        <f>"04 - A - 105 - Milca  Exantus"</f>
        <v>04 - A - 105 - Milca  Exantus</v>
      </c>
      <c r="F6542" t="str">
        <f>"MATH COLLEGE LIB ART"</f>
        <v>MATH COLLEGE LIB ART</v>
      </c>
      <c r="G6542" t="str">
        <f>"21-2145"</f>
        <v>21-2145</v>
      </c>
      <c r="H6542" t="str">
        <f>"A"</f>
        <v>A</v>
      </c>
    </row>
    <row r="6543" spans="1:8" x14ac:dyDescent="0.2">
      <c r="A6543" t="str">
        <f t="shared" si="2399"/>
        <v>0616028316</v>
      </c>
      <c r="B6543" t="str">
        <f t="shared" si="2400"/>
        <v>DANIA</v>
      </c>
      <c r="C6543" t="str">
        <f t="shared" si="2401"/>
        <v>GRANADOS</v>
      </c>
      <c r="D6543">
        <f>10</f>
        <v>10</v>
      </c>
      <c r="E6543" t="str">
        <f>"06 - B - 002 - Lenecy  Nodarse"</f>
        <v>06 - B - 002 - Lenecy  Nodarse</v>
      </c>
      <c r="F6543" t="str">
        <f>"NC STUDY HALL 1"</f>
        <v>NC STUDY HALL 1</v>
      </c>
      <c r="G6543" t="str">
        <f>"17-1741"</f>
        <v>17-1741</v>
      </c>
      <c r="H6543" t="str">
        <f>"B"</f>
        <v>B</v>
      </c>
    </row>
    <row r="6544" spans="1:8" x14ac:dyDescent="0.2">
      <c r="A6544" t="str">
        <f t="shared" si="2399"/>
        <v>0616028316</v>
      </c>
      <c r="B6544" t="str">
        <f t="shared" si="2400"/>
        <v>DANIA</v>
      </c>
      <c r="C6544" t="str">
        <f t="shared" si="2401"/>
        <v>GRANADOS</v>
      </c>
      <c r="D6544">
        <f>10</f>
        <v>10</v>
      </c>
      <c r="E6544" t="str">
        <f>"03 - A - 101 - Samantha L Martinez"</f>
        <v>03 - A - 101 - Samantha L Martinez</v>
      </c>
      <c r="F6544" t="str">
        <f>"VOCAL ENS 1"</f>
        <v>VOCAL ENS 1</v>
      </c>
      <c r="G6544" t="str">
        <f>"05-505"</f>
        <v>05-505</v>
      </c>
      <c r="H6544" t="str">
        <f>"A"</f>
        <v>A</v>
      </c>
    </row>
    <row r="6545" spans="1:8" x14ac:dyDescent="0.2">
      <c r="A6545" t="str">
        <f t="shared" si="2399"/>
        <v>0616028316</v>
      </c>
      <c r="B6545" t="str">
        <f t="shared" si="2400"/>
        <v>DANIA</v>
      </c>
      <c r="C6545" t="str">
        <f t="shared" si="2401"/>
        <v>GRANADOS</v>
      </c>
      <c r="D6545">
        <f>10</f>
        <v>10</v>
      </c>
      <c r="E6545" t="str">
        <f>"02 - A - 101 - Christa T Parisi"</f>
        <v>02 - A - 101 - Christa T Parisi</v>
      </c>
      <c r="F6545" t="str">
        <f>"LRNG STRATEGIES 9-12"</f>
        <v>LRNG STRATEGIES 9-12</v>
      </c>
      <c r="G6545" t="str">
        <f>"20-2072"</f>
        <v>20-2072</v>
      </c>
      <c r="H6545" t="str">
        <f>"A"</f>
        <v>A</v>
      </c>
    </row>
    <row r="6546" spans="1:8" x14ac:dyDescent="0.2">
      <c r="A6546" t="str">
        <f t="shared" si="2399"/>
        <v>0616028316</v>
      </c>
      <c r="B6546" t="str">
        <f t="shared" si="2400"/>
        <v>DANIA</v>
      </c>
      <c r="C6546" t="str">
        <f t="shared" si="2401"/>
        <v>GRANADOS</v>
      </c>
      <c r="D6546">
        <f>10</f>
        <v>10</v>
      </c>
      <c r="E6546" t="str">
        <f>"07 - B - 108 - Jacquelyn M Neeson"</f>
        <v>07 - B - 108 - Jacquelyn M Neeson</v>
      </c>
      <c r="F6546" t="str">
        <f>"ENG 2"</f>
        <v>ENG 2</v>
      </c>
      <c r="G6546" t="str">
        <f>"17-1715"</f>
        <v>17-1715</v>
      </c>
      <c r="H6546" t="str">
        <f>"B"</f>
        <v>B</v>
      </c>
    </row>
    <row r="6547" spans="1:8" x14ac:dyDescent="0.2">
      <c r="A6547" t="str">
        <f t="shared" si="2399"/>
        <v>0616028316</v>
      </c>
      <c r="B6547" t="str">
        <f t="shared" si="2400"/>
        <v>DANIA</v>
      </c>
      <c r="C6547" t="str">
        <f t="shared" si="2401"/>
        <v>GRANADOS</v>
      </c>
      <c r="D6547">
        <f>10</f>
        <v>10</v>
      </c>
      <c r="E6547" t="str">
        <f>"05 - B - 105 - Adam Marcus  Drucker"</f>
        <v>05 - B - 105 - Adam Marcus  Drucker</v>
      </c>
      <c r="F6547" t="str">
        <f>"HOPE-PE V"</f>
        <v>HOPE-PE V</v>
      </c>
      <c r="G6547" t="str">
        <f>"04-254"</f>
        <v>04-254</v>
      </c>
      <c r="H6547" t="str">
        <f>"B"</f>
        <v>B</v>
      </c>
    </row>
    <row r="6548" spans="1:8" x14ac:dyDescent="0.2">
      <c r="A6548" t="str">
        <f t="shared" si="2399"/>
        <v>0616028316</v>
      </c>
      <c r="B6548" t="str">
        <f t="shared" si="2400"/>
        <v>DANIA</v>
      </c>
      <c r="C6548" t="str">
        <f t="shared" si="2401"/>
        <v>GRANADOS</v>
      </c>
      <c r="D6548">
        <f>10</f>
        <v>10</v>
      </c>
      <c r="E6548" t="str">
        <f>"01 - A - 102 - Lytrell T Dixon"</f>
        <v>01 - A - 102 - Lytrell T Dixon</v>
      </c>
      <c r="F6548" t="str">
        <f>"BIOLOGY 1"</f>
        <v>BIOLOGY 1</v>
      </c>
      <c r="G6548" t="str">
        <f>"08-808"</f>
        <v>08-808</v>
      </c>
      <c r="H6548" t="str">
        <f>"A"</f>
        <v>A</v>
      </c>
    </row>
    <row r="6549" spans="1:8" x14ac:dyDescent="0.2">
      <c r="A6549" t="str">
        <f t="shared" si="2399"/>
        <v>0616028316</v>
      </c>
      <c r="B6549" t="str">
        <f t="shared" si="2400"/>
        <v>DANIA</v>
      </c>
      <c r="C6549" t="str">
        <f t="shared" si="2401"/>
        <v>GRANADOS</v>
      </c>
      <c r="D6549">
        <f>10</f>
        <v>10</v>
      </c>
      <c r="E6549" t="str">
        <f>"08 - S1 - B - 102 - Kyle  Robbins"</f>
        <v>08 - S1 - B - 102 - Kyle  Robbins</v>
      </c>
      <c r="F6549" t="str">
        <f>"PERS FIN &amp; MON MGT H"</f>
        <v>PERS FIN &amp; MON MGT H</v>
      </c>
      <c r="G6549" t="str">
        <f>"17-1745"</f>
        <v>17-1745</v>
      </c>
      <c r="H6549" t="str">
        <f>"B"</f>
        <v>B</v>
      </c>
    </row>
    <row r="6550" spans="1:8" x14ac:dyDescent="0.2">
      <c r="A6550" t="str">
        <f t="shared" ref="A6550:A6557" si="2402">"0615029230"</f>
        <v>0615029230</v>
      </c>
      <c r="B6550" t="str">
        <f t="shared" ref="B6550:B6557" si="2403">"JANSSY"</f>
        <v>JANSSY</v>
      </c>
      <c r="C6550" t="str">
        <f t="shared" si="2401"/>
        <v>GRANADOS</v>
      </c>
      <c r="D6550">
        <f>11</f>
        <v>11</v>
      </c>
      <c r="E6550" t="str">
        <f>"04 - A - 205 - Jacqueline R Morphet"</f>
        <v>04 - A - 205 - Jacqueline R Morphet</v>
      </c>
      <c r="F6550" t="str">
        <f>"PHYSICS 1 HON"</f>
        <v>PHYSICS 1 HON</v>
      </c>
      <c r="G6550" t="str">
        <f>"21-2138"</f>
        <v>21-2138</v>
      </c>
      <c r="H6550" t="str">
        <f>"A"</f>
        <v>A</v>
      </c>
    </row>
    <row r="6551" spans="1:8" x14ac:dyDescent="0.2">
      <c r="A6551" t="str">
        <f t="shared" si="2402"/>
        <v>0615029230</v>
      </c>
      <c r="B6551" t="str">
        <f t="shared" si="2403"/>
        <v>JANSSY</v>
      </c>
      <c r="C6551" t="str">
        <f t="shared" si="2401"/>
        <v>GRANADOS</v>
      </c>
      <c r="D6551">
        <f>11</f>
        <v>11</v>
      </c>
      <c r="E6551" t="str">
        <f>"06 - B - 204 - Chrystina M Marchionne"</f>
        <v>06 - B - 204 - Chrystina M Marchionne</v>
      </c>
      <c r="F6551" t="str">
        <f>"AICE MEDIASTUDIES AS"</f>
        <v>AICE MEDIASTUDIES AS</v>
      </c>
      <c r="G6551" t="str">
        <f>"05-520"</f>
        <v>05-520</v>
      </c>
      <c r="H6551" t="str">
        <f>"B"</f>
        <v>B</v>
      </c>
    </row>
    <row r="6552" spans="1:8" x14ac:dyDescent="0.2">
      <c r="A6552" t="str">
        <f t="shared" si="2402"/>
        <v>0615029230</v>
      </c>
      <c r="B6552" t="str">
        <f t="shared" si="2403"/>
        <v>JANSSY</v>
      </c>
      <c r="C6552" t="str">
        <f t="shared" si="2401"/>
        <v>GRANADOS</v>
      </c>
      <c r="D6552">
        <f>11</f>
        <v>11</v>
      </c>
      <c r="E6552" t="str">
        <f>"03 - A - 102 - Thomas G Handwerg"</f>
        <v>03 - A - 102 - Thomas G Handwerg</v>
      </c>
      <c r="F6552" t="str">
        <f>"MATH COLL ALGEBRA"</f>
        <v>MATH COLL ALGEBRA</v>
      </c>
      <c r="G6552" t="str">
        <f>"21-2146"</f>
        <v>21-2146</v>
      </c>
      <c r="H6552" t="str">
        <f>"A"</f>
        <v>A</v>
      </c>
    </row>
    <row r="6553" spans="1:8" x14ac:dyDescent="0.2">
      <c r="A6553" t="str">
        <f t="shared" si="2402"/>
        <v>0615029230</v>
      </c>
      <c r="B6553" t="str">
        <f t="shared" si="2403"/>
        <v>JANSSY</v>
      </c>
      <c r="C6553" t="str">
        <f t="shared" si="2401"/>
        <v>GRANADOS</v>
      </c>
      <c r="D6553">
        <f>11</f>
        <v>11</v>
      </c>
      <c r="E6553" t="str">
        <f>"02 - A - 102 - Fernando  Vega-Cid"</f>
        <v>02 - A - 102 - Fernando  Vega-Cid</v>
      </c>
      <c r="F6553" t="str">
        <f>"NC STUDY HALL 1"</f>
        <v>NC STUDY HALL 1</v>
      </c>
      <c r="G6553" t="str">
        <f>"21-2163"</f>
        <v>21-2163</v>
      </c>
      <c r="H6553" t="str">
        <f>"A"</f>
        <v>A</v>
      </c>
    </row>
    <row r="6554" spans="1:8" x14ac:dyDescent="0.2">
      <c r="A6554" t="str">
        <f t="shared" si="2402"/>
        <v>0615029230</v>
      </c>
      <c r="B6554" t="str">
        <f t="shared" si="2403"/>
        <v>JANSSY</v>
      </c>
      <c r="C6554" t="str">
        <f t="shared" si="2401"/>
        <v>GRANADOS</v>
      </c>
      <c r="D6554">
        <f>11</f>
        <v>11</v>
      </c>
      <c r="E6554" t="str">
        <f>"07 - B - 104 - Jerry S Jiampetti"</f>
        <v>07 - B - 104 - Jerry S Jiampetti</v>
      </c>
      <c r="F6554" t="str">
        <f>"AICE U.S. HIST 1 AS"</f>
        <v>AICE U.S. HIST 1 AS</v>
      </c>
      <c r="G6554" t="str">
        <f>"17-1751"</f>
        <v>17-1751</v>
      </c>
      <c r="H6554" t="str">
        <f>"B"</f>
        <v>B</v>
      </c>
    </row>
    <row r="6555" spans="1:8" x14ac:dyDescent="0.2">
      <c r="A6555" t="str">
        <f t="shared" si="2402"/>
        <v>0615029230</v>
      </c>
      <c r="B6555" t="str">
        <f t="shared" si="2403"/>
        <v>JANSSY</v>
      </c>
      <c r="C6555" t="str">
        <f t="shared" si="2401"/>
        <v>GRANADOS</v>
      </c>
      <c r="D6555">
        <f>11</f>
        <v>11</v>
      </c>
      <c r="E6555" t="str">
        <f>"05 - B - 102 - Jacklyn M James"</f>
        <v>05 - B - 102 - Jacklyn M James</v>
      </c>
      <c r="F6555" t="str">
        <f>"AICE ENG LANG AS"</f>
        <v>AICE ENG LANG AS</v>
      </c>
      <c r="G6555" t="str">
        <f>"17-1731"</f>
        <v>17-1731</v>
      </c>
      <c r="H6555" t="str">
        <f>"B"</f>
        <v>B</v>
      </c>
    </row>
    <row r="6556" spans="1:8" x14ac:dyDescent="0.2">
      <c r="A6556" t="str">
        <f t="shared" si="2402"/>
        <v>0615029230</v>
      </c>
      <c r="B6556" t="str">
        <f t="shared" si="2403"/>
        <v>JANSSY</v>
      </c>
      <c r="C6556" t="str">
        <f t="shared" si="2401"/>
        <v>GRANADOS</v>
      </c>
      <c r="D6556">
        <f>11</f>
        <v>11</v>
      </c>
      <c r="E6556" t="str">
        <f>"01 - A - 101 - Brian M Fitzgerald"</f>
        <v>01 - A - 101 - Brian M Fitzgerald</v>
      </c>
      <c r="F6556" t="str">
        <f>"CERAM/POT 1"</f>
        <v>CERAM/POT 1</v>
      </c>
      <c r="G6556" t="str">
        <f>"09-908"</f>
        <v>09-908</v>
      </c>
      <c r="H6556" t="str">
        <f>"A"</f>
        <v>A</v>
      </c>
    </row>
    <row r="6557" spans="1:8" x14ac:dyDescent="0.2">
      <c r="A6557" t="str">
        <f t="shared" si="2402"/>
        <v>0615029230</v>
      </c>
      <c r="B6557" t="str">
        <f t="shared" si="2403"/>
        <v>JANSSY</v>
      </c>
      <c r="C6557" t="str">
        <f t="shared" si="2401"/>
        <v>GRANADOS</v>
      </c>
      <c r="D6557">
        <f>11</f>
        <v>11</v>
      </c>
      <c r="E6557" t="str">
        <f>"08 - B - 202 - Krystal Marie  Beruty"</f>
        <v>08 - B - 202 - Krystal Marie  Beruty</v>
      </c>
      <c r="F6557" t="str">
        <f>"AICE PSYCH 1 AS"</f>
        <v>AICE PSYCH 1 AS</v>
      </c>
      <c r="G6557" t="str">
        <f>"17-1721"</f>
        <v>17-1721</v>
      </c>
      <c r="H6557" t="str">
        <f>"B"</f>
        <v>B</v>
      </c>
    </row>
    <row r="6558" spans="1:8" x14ac:dyDescent="0.2">
      <c r="A6558" t="str">
        <f t="shared" ref="A6558:A6565" si="2404">"0615042046"</f>
        <v>0615042046</v>
      </c>
      <c r="B6558" t="str">
        <f t="shared" ref="B6558:B6565" si="2405">"NATALY"</f>
        <v>NATALY</v>
      </c>
      <c r="C6558" t="str">
        <f t="shared" si="2401"/>
        <v>GRANADOS</v>
      </c>
      <c r="D6558">
        <f>10</f>
        <v>10</v>
      </c>
      <c r="E6558" t="str">
        <f>"04 - A - 105 - Jacklyn M James"</f>
        <v>04 - A - 105 - Jacklyn M James</v>
      </c>
      <c r="F6558" t="str">
        <f>"AICE ENG LANG AS"</f>
        <v>AICE ENG LANG AS</v>
      </c>
      <c r="G6558" t="str">
        <f>"17-1731"</f>
        <v>17-1731</v>
      </c>
      <c r="H6558" t="str">
        <f>"A"</f>
        <v>A</v>
      </c>
    </row>
    <row r="6559" spans="1:8" x14ac:dyDescent="0.2">
      <c r="A6559" t="str">
        <f t="shared" si="2404"/>
        <v>0615042046</v>
      </c>
      <c r="B6559" t="str">
        <f t="shared" si="2405"/>
        <v>NATALY</v>
      </c>
      <c r="C6559" t="str">
        <f t="shared" si="2401"/>
        <v>GRANADOS</v>
      </c>
      <c r="D6559">
        <f>10</f>
        <v>10</v>
      </c>
      <c r="E6559" t="str">
        <f>"06 - B - 119 - Nikiel  Nesbeth"</f>
        <v>06 - B - 119 - Nikiel  Nesbeth</v>
      </c>
      <c r="F6559" t="str">
        <f>"NC STUDY HALL 1"</f>
        <v>NC STUDY HALL 1</v>
      </c>
      <c r="G6559" t="str">
        <f>"17-1705"</f>
        <v>17-1705</v>
      </c>
      <c r="H6559" t="str">
        <f>"B"</f>
        <v>B</v>
      </c>
    </row>
    <row r="6560" spans="1:8" x14ac:dyDescent="0.2">
      <c r="A6560" t="str">
        <f t="shared" si="2404"/>
        <v>0615042046</v>
      </c>
      <c r="B6560" t="str">
        <f t="shared" si="2405"/>
        <v>NATALY</v>
      </c>
      <c r="C6560" t="str">
        <f t="shared" si="2401"/>
        <v>GRANADOS</v>
      </c>
      <c r="D6560">
        <f>10</f>
        <v>10</v>
      </c>
      <c r="E6560" t="str">
        <f>"03 - S1 - A - 102 - Angela S Adeshina-Morrison"</f>
        <v>03 - S1 - A - 102 - Angela S Adeshina-Morrison</v>
      </c>
      <c r="F6560" t="str">
        <f>"PEER COUN 1"</f>
        <v>PEER COUN 1</v>
      </c>
      <c r="G6560" t="str">
        <f>"05-518"</f>
        <v>05-518</v>
      </c>
      <c r="H6560" t="str">
        <f>"A"</f>
        <v>A</v>
      </c>
    </row>
    <row r="6561" spans="1:8" x14ac:dyDescent="0.2">
      <c r="A6561" t="str">
        <f t="shared" si="2404"/>
        <v>0615042046</v>
      </c>
      <c r="B6561" t="str">
        <f t="shared" si="2405"/>
        <v>NATALY</v>
      </c>
      <c r="C6561" t="str">
        <f t="shared" si="2401"/>
        <v>GRANADOS</v>
      </c>
      <c r="D6561">
        <f>10</f>
        <v>10</v>
      </c>
      <c r="E6561" t="str">
        <f>"02 - A - 104 - Joe  Kilpatrick Jr"</f>
        <v>02 - A - 104 - Joe  Kilpatrick Jr</v>
      </c>
      <c r="F6561" t="str">
        <f>"PRE-AICE SPAN 2 IG"</f>
        <v>PRE-AICE SPAN 2 IG</v>
      </c>
      <c r="G6561" t="str">
        <f>"09-912"</f>
        <v>09-912</v>
      </c>
      <c r="H6561" t="str">
        <f>"A"</f>
        <v>A</v>
      </c>
    </row>
    <row r="6562" spans="1:8" x14ac:dyDescent="0.2">
      <c r="A6562" t="str">
        <f t="shared" si="2404"/>
        <v>0615042046</v>
      </c>
      <c r="B6562" t="str">
        <f t="shared" si="2405"/>
        <v>NATALY</v>
      </c>
      <c r="C6562" t="str">
        <f t="shared" si="2401"/>
        <v>GRANADOS</v>
      </c>
      <c r="D6562">
        <f>10</f>
        <v>10</v>
      </c>
      <c r="E6562" t="str">
        <f>"07 - B - 110 - Ferrie J Arostique"</f>
        <v>07 - B - 110 - Ferrie J Arostique</v>
      </c>
      <c r="F6562" t="str">
        <f>"GEOMETRY"</f>
        <v>GEOMETRY</v>
      </c>
      <c r="G6562" t="str">
        <f>"21-2139"</f>
        <v>21-2139</v>
      </c>
      <c r="H6562" t="str">
        <f>"B"</f>
        <v>B</v>
      </c>
    </row>
    <row r="6563" spans="1:8" x14ac:dyDescent="0.2">
      <c r="A6563" t="str">
        <f t="shared" si="2404"/>
        <v>0615042046</v>
      </c>
      <c r="B6563" t="str">
        <f t="shared" si="2405"/>
        <v>NATALY</v>
      </c>
      <c r="C6563" t="str">
        <f t="shared" si="2401"/>
        <v>GRANADOS</v>
      </c>
      <c r="D6563">
        <f>10</f>
        <v>10</v>
      </c>
      <c r="E6563" t="str">
        <f>"05 - B - 003 - Krystal Marie  Beruty"</f>
        <v>05 - B - 003 - Krystal Marie  Beruty</v>
      </c>
      <c r="F6563" t="str">
        <f>"AICE GLBL PERSP 1 AS"</f>
        <v>AICE GLBL PERSP 1 AS</v>
      </c>
      <c r="G6563" t="str">
        <f>"17-1721"</f>
        <v>17-1721</v>
      </c>
      <c r="H6563" t="str">
        <f>"B"</f>
        <v>B</v>
      </c>
    </row>
    <row r="6564" spans="1:8" x14ac:dyDescent="0.2">
      <c r="A6564" t="str">
        <f t="shared" si="2404"/>
        <v>0615042046</v>
      </c>
      <c r="B6564" t="str">
        <f t="shared" si="2405"/>
        <v>NATALY</v>
      </c>
      <c r="C6564" t="str">
        <f t="shared" si="2401"/>
        <v>GRANADOS</v>
      </c>
      <c r="D6564">
        <f>10</f>
        <v>10</v>
      </c>
      <c r="E6564" t="str">
        <f>"01 - A - 201 - Cheryl L Beach"</f>
        <v>01 - A - 201 - Cheryl L Beach</v>
      </c>
      <c r="F6564" t="str">
        <f>"AICE ENV MGMNT AS"</f>
        <v>AICE ENV MGMNT AS</v>
      </c>
      <c r="G6564" t="str">
        <f>"08-811"</f>
        <v>08-811</v>
      </c>
      <c r="H6564" t="str">
        <f>"A"</f>
        <v>A</v>
      </c>
    </row>
    <row r="6565" spans="1:8" x14ac:dyDescent="0.2">
      <c r="A6565" t="str">
        <f t="shared" si="2404"/>
        <v>0615042046</v>
      </c>
      <c r="B6565" t="str">
        <f t="shared" si="2405"/>
        <v>NATALY</v>
      </c>
      <c r="C6565" t="str">
        <f t="shared" si="2401"/>
        <v>GRANADOS</v>
      </c>
      <c r="D6565">
        <f>10</f>
        <v>10</v>
      </c>
      <c r="E6565" t="str">
        <f>"08 - S1 - B - 102 - Kyle  Robbins"</f>
        <v>08 - S1 - B - 102 - Kyle  Robbins</v>
      </c>
      <c r="F6565" t="str">
        <f>"PERS FIN &amp; MON MGT H"</f>
        <v>PERS FIN &amp; MON MGT H</v>
      </c>
      <c r="G6565" t="str">
        <f>"17-1745"</f>
        <v>17-1745</v>
      </c>
      <c r="H6565" t="str">
        <f>"B"</f>
        <v>B</v>
      </c>
    </row>
    <row r="6566" spans="1:8" x14ac:dyDescent="0.2">
      <c r="A6566" t="str">
        <f t="shared" ref="A6566:A6573" si="2406">"0616073662"</f>
        <v>0616073662</v>
      </c>
      <c r="B6566" t="str">
        <f t="shared" ref="B6566:B6573" si="2407">"OSCAR"</f>
        <v>OSCAR</v>
      </c>
      <c r="C6566" t="str">
        <f t="shared" si="2401"/>
        <v>GRANADOS</v>
      </c>
      <c r="D6566" t="str">
        <f t="shared" ref="D6566:D6573" si="2408">"09"</f>
        <v>09</v>
      </c>
      <c r="E6566" t="str">
        <f>"04 - A - 104 - Adam Marcus  Drucker"</f>
        <v>04 - A - 104 - Adam Marcus  Drucker</v>
      </c>
      <c r="F6566" t="str">
        <f>"HOPE-PE V"</f>
        <v>HOPE-PE V</v>
      </c>
      <c r="G6566" t="str">
        <f>"04-254"</f>
        <v>04-254</v>
      </c>
      <c r="H6566" t="str">
        <f>"A"</f>
        <v>A</v>
      </c>
    </row>
    <row r="6567" spans="1:8" x14ac:dyDescent="0.2">
      <c r="A6567" t="str">
        <f t="shared" si="2406"/>
        <v>0616073662</v>
      </c>
      <c r="B6567" t="str">
        <f t="shared" si="2407"/>
        <v>OSCAR</v>
      </c>
      <c r="C6567" t="str">
        <f t="shared" si="2401"/>
        <v>GRANADOS</v>
      </c>
      <c r="D6567" t="str">
        <f t="shared" si="2408"/>
        <v>09</v>
      </c>
      <c r="E6567" t="str">
        <f>"06 - B - 104 - Rory T Sponsler"</f>
        <v>06 - B - 104 - Rory T Sponsler</v>
      </c>
      <c r="F6567" t="str">
        <f>"PRE-AICE WRLD HST IG"</f>
        <v>PRE-AICE WRLD HST IG</v>
      </c>
      <c r="G6567" t="str">
        <f>"17-1740"</f>
        <v>17-1740</v>
      </c>
      <c r="H6567" t="str">
        <f>"B"</f>
        <v>B</v>
      </c>
    </row>
    <row r="6568" spans="1:8" x14ac:dyDescent="0.2">
      <c r="A6568" t="str">
        <f t="shared" si="2406"/>
        <v>0616073662</v>
      </c>
      <c r="B6568" t="str">
        <f t="shared" si="2407"/>
        <v>OSCAR</v>
      </c>
      <c r="C6568" t="str">
        <f t="shared" si="2401"/>
        <v>GRANADOS</v>
      </c>
      <c r="D6568" t="str">
        <f t="shared" si="2408"/>
        <v>09</v>
      </c>
      <c r="E6568" t="str">
        <f>"03 - A - 001 - Maried P Ramos"</f>
        <v>03 - A - 001 - Maried P Ramos</v>
      </c>
      <c r="F6568" t="str">
        <f>"PRE-AICE MATH 2 IG"</f>
        <v>PRE-AICE MATH 2 IG</v>
      </c>
      <c r="G6568" t="str">
        <f>"21-2159"</f>
        <v>21-2159</v>
      </c>
      <c r="H6568" t="str">
        <f>"A"</f>
        <v>A</v>
      </c>
    </row>
    <row r="6569" spans="1:8" x14ac:dyDescent="0.2">
      <c r="A6569" t="str">
        <f t="shared" si="2406"/>
        <v>0616073662</v>
      </c>
      <c r="B6569" t="str">
        <f t="shared" si="2407"/>
        <v>OSCAR</v>
      </c>
      <c r="C6569" t="str">
        <f t="shared" si="2401"/>
        <v>GRANADOS</v>
      </c>
      <c r="D6569" t="str">
        <f t="shared" si="2408"/>
        <v>09</v>
      </c>
      <c r="E6569" t="str">
        <f>"02 - A - 107 - Cerine S Stewart"</f>
        <v>02 - A - 107 - Cerine S Stewart</v>
      </c>
      <c r="F6569" t="str">
        <f>"NC STUDY HALL 1"</f>
        <v>NC STUDY HALL 1</v>
      </c>
      <c r="G6569" t="str">
        <f>"17-1720"</f>
        <v>17-1720</v>
      </c>
      <c r="H6569" t="str">
        <f>"A"</f>
        <v>A</v>
      </c>
    </row>
    <row r="6570" spans="1:8" x14ac:dyDescent="0.2">
      <c r="A6570" t="str">
        <f t="shared" si="2406"/>
        <v>0616073662</v>
      </c>
      <c r="B6570" t="str">
        <f t="shared" si="2407"/>
        <v>OSCAR</v>
      </c>
      <c r="C6570" t="str">
        <f t="shared" si="2401"/>
        <v>GRANADOS</v>
      </c>
      <c r="D6570" t="str">
        <f t="shared" si="2408"/>
        <v>09</v>
      </c>
      <c r="E6570" t="str">
        <f>"07 - B - 103 - Vanessa J Liburd"</f>
        <v>07 - B - 103 - Vanessa J Liburd</v>
      </c>
      <c r="F6570" t="str">
        <f>"PRE-AICE FRENCH 1 IG"</f>
        <v>PRE-AICE FRENCH 1 IG</v>
      </c>
      <c r="G6570" t="str">
        <f>"05-519"</f>
        <v>05-519</v>
      </c>
      <c r="H6570" t="str">
        <f>"B"</f>
        <v>B</v>
      </c>
    </row>
    <row r="6571" spans="1:8" x14ac:dyDescent="0.2">
      <c r="A6571" t="str">
        <f t="shared" si="2406"/>
        <v>0616073662</v>
      </c>
      <c r="B6571" t="str">
        <f t="shared" si="2407"/>
        <v>OSCAR</v>
      </c>
      <c r="C6571" t="str">
        <f t="shared" si="2401"/>
        <v>GRANADOS</v>
      </c>
      <c r="D6571" t="str">
        <f t="shared" si="2408"/>
        <v>09</v>
      </c>
      <c r="E6571" t="str">
        <f>"05 - B - 103 - Josiah I Lacy"</f>
        <v>05 - B - 103 - Josiah I Lacy</v>
      </c>
      <c r="F6571" t="str">
        <f>"PRE-AICE BIO IG"</f>
        <v>PRE-AICE BIO IG</v>
      </c>
      <c r="G6571" t="str">
        <f>"08-801"</f>
        <v>08-801</v>
      </c>
      <c r="H6571" t="str">
        <f>"B"</f>
        <v>B</v>
      </c>
    </row>
    <row r="6572" spans="1:8" x14ac:dyDescent="0.2">
      <c r="A6572" t="str">
        <f t="shared" si="2406"/>
        <v>0616073662</v>
      </c>
      <c r="B6572" t="str">
        <f t="shared" si="2407"/>
        <v>OSCAR</v>
      </c>
      <c r="C6572" t="str">
        <f t="shared" si="2401"/>
        <v>GRANADOS</v>
      </c>
      <c r="D6572" t="str">
        <f t="shared" si="2408"/>
        <v>09</v>
      </c>
      <c r="E6572" t="str">
        <f>"01 - A - 101 - Cheryl Anne  Berman-Schechter"</f>
        <v>01 - A - 101 - Cheryl Anne  Berman-Schechter</v>
      </c>
      <c r="F6572" t="str">
        <f>"PRE-AICE ENG LANG IG"</f>
        <v>PRE-AICE ENG LANG IG</v>
      </c>
      <c r="G6572" t="str">
        <f>"17-1722"</f>
        <v>17-1722</v>
      </c>
      <c r="H6572" t="str">
        <f>"A"</f>
        <v>A</v>
      </c>
    </row>
    <row r="6573" spans="1:8" x14ac:dyDescent="0.2">
      <c r="A6573" t="str">
        <f t="shared" si="2406"/>
        <v>0616073662</v>
      </c>
      <c r="B6573" t="str">
        <f t="shared" si="2407"/>
        <v>OSCAR</v>
      </c>
      <c r="C6573" t="str">
        <f t="shared" si="2401"/>
        <v>GRANADOS</v>
      </c>
      <c r="D6573" t="str">
        <f t="shared" si="2408"/>
        <v>09</v>
      </c>
      <c r="E6573" t="str">
        <f>"08 - B - 101 - Alejandro  Navarro"</f>
        <v>08 - B - 101 - Alejandro  Navarro</v>
      </c>
      <c r="F6573" t="str">
        <f>"GUITAR 1"</f>
        <v>GUITAR 1</v>
      </c>
      <c r="G6573" t="str">
        <f>"05-504"</f>
        <v>05-504</v>
      </c>
      <c r="H6573" t="str">
        <f>"B"</f>
        <v>B</v>
      </c>
    </row>
    <row r="6574" spans="1:8" x14ac:dyDescent="0.2">
      <c r="A6574" t="str">
        <f t="shared" ref="A6574:A6581" si="2409">"0608132031"</f>
        <v>0608132031</v>
      </c>
      <c r="B6574" t="str">
        <f t="shared" ref="B6574:B6581" si="2410">"CASHA"</f>
        <v>CASHA</v>
      </c>
      <c r="C6574" t="str">
        <f t="shared" ref="C6574:C6613" si="2411">"GRANT"</f>
        <v>GRANT</v>
      </c>
      <c r="D6574">
        <f>12</f>
        <v>12</v>
      </c>
      <c r="E6574" t="str">
        <f>"04 - A - 205 - Robyn L Trainer"</f>
        <v>04 - A - 205 - Robyn L Trainer</v>
      </c>
      <c r="F6574" t="str">
        <f>"ENG 4: FL COLL PREP"</f>
        <v>ENG 4: FL COLL PREP</v>
      </c>
      <c r="G6574" t="str">
        <f>"17-1734"</f>
        <v>17-1734</v>
      </c>
      <c r="H6574" t="str">
        <f>"A"</f>
        <v>A</v>
      </c>
    </row>
    <row r="6575" spans="1:8" x14ac:dyDescent="0.2">
      <c r="A6575" t="str">
        <f t="shared" si="2409"/>
        <v>0608132031</v>
      </c>
      <c r="B6575" t="str">
        <f t="shared" si="2410"/>
        <v>CASHA</v>
      </c>
      <c r="C6575" t="str">
        <f t="shared" si="2411"/>
        <v>GRANT</v>
      </c>
      <c r="D6575">
        <f>12</f>
        <v>12</v>
      </c>
      <c r="E6575" t="str">
        <f>"06 - B - 110 - Barbara L Segal"</f>
        <v>06 - B - 110 - Barbara L Segal</v>
      </c>
      <c r="F6575" t="str">
        <f>"NC STUDY HALL 1"</f>
        <v>NC STUDY HALL 1</v>
      </c>
      <c r="G6575" t="str">
        <f>"17-1742"</f>
        <v>17-1742</v>
      </c>
      <c r="H6575" t="str">
        <f>"B"</f>
        <v>B</v>
      </c>
    </row>
    <row r="6576" spans="1:8" x14ac:dyDescent="0.2">
      <c r="A6576" t="str">
        <f t="shared" si="2409"/>
        <v>0608132031</v>
      </c>
      <c r="B6576" t="str">
        <f t="shared" si="2410"/>
        <v>CASHA</v>
      </c>
      <c r="C6576" t="str">
        <f t="shared" si="2411"/>
        <v>GRANT</v>
      </c>
      <c r="D6576">
        <f>12</f>
        <v>12</v>
      </c>
      <c r="E6576" t="str">
        <f>"03 - S1 - A - 103 - Richard E Dunbar Iii"</f>
        <v>03 - S1 - A - 103 - Richard E Dunbar Iii</v>
      </c>
      <c r="F6576" t="str">
        <f>"WEIGHT TRAIN 3"</f>
        <v>WEIGHT TRAIN 3</v>
      </c>
      <c r="G6576" t="str">
        <f>"05-501"</f>
        <v>05-501</v>
      </c>
      <c r="H6576" t="str">
        <f>"A"</f>
        <v>A</v>
      </c>
    </row>
    <row r="6577" spans="1:8" x14ac:dyDescent="0.2">
      <c r="A6577" t="str">
        <f t="shared" si="2409"/>
        <v>0608132031</v>
      </c>
      <c r="B6577" t="str">
        <f t="shared" si="2410"/>
        <v>CASHA</v>
      </c>
      <c r="C6577" t="str">
        <f t="shared" si="2411"/>
        <v>GRANT</v>
      </c>
      <c r="D6577">
        <f>12</f>
        <v>12</v>
      </c>
      <c r="E6577" t="str">
        <f>"02 - S1 - A - 104 - Robert O Burger"</f>
        <v>02 - S1 - A - 104 - Robert O Burger</v>
      </c>
      <c r="F6577" t="str">
        <f>"US GOVT"</f>
        <v>US GOVT</v>
      </c>
      <c r="G6577" t="str">
        <f>"17-1755"</f>
        <v>17-1755</v>
      </c>
      <c r="H6577" t="str">
        <f>"A"</f>
        <v>A</v>
      </c>
    </row>
    <row r="6578" spans="1:8" x14ac:dyDescent="0.2">
      <c r="A6578" t="str">
        <f t="shared" si="2409"/>
        <v>0608132031</v>
      </c>
      <c r="B6578" t="str">
        <f t="shared" si="2410"/>
        <v>CASHA</v>
      </c>
      <c r="C6578" t="str">
        <f t="shared" si="2411"/>
        <v>GRANT</v>
      </c>
      <c r="D6578">
        <f>12</f>
        <v>12</v>
      </c>
      <c r="E6578" t="str">
        <f>"07 - B - 103 - Nahum  Saint-Preux"</f>
        <v>07 - B - 103 - Nahum  Saint-Preux</v>
      </c>
      <c r="F6578" t="str">
        <f>"INTENS READ 4"</f>
        <v>INTENS READ 4</v>
      </c>
      <c r="G6578" t="str">
        <f>"17-1712"</f>
        <v>17-1712</v>
      </c>
      <c r="H6578" t="str">
        <f>"B"</f>
        <v>B</v>
      </c>
    </row>
    <row r="6579" spans="1:8" x14ac:dyDescent="0.2">
      <c r="A6579" t="str">
        <f t="shared" si="2409"/>
        <v>0608132031</v>
      </c>
      <c r="B6579" t="str">
        <f t="shared" si="2410"/>
        <v>CASHA</v>
      </c>
      <c r="C6579" t="str">
        <f t="shared" si="2411"/>
        <v>GRANT</v>
      </c>
      <c r="D6579">
        <f>12</f>
        <v>12</v>
      </c>
      <c r="E6579" t="str">
        <f>"05 - B - 108 - James H Mccann"</f>
        <v>05 - B - 108 - James H Mccann</v>
      </c>
      <c r="F6579" t="str">
        <f>"ALGEBRA 2"</f>
        <v>ALGEBRA 2</v>
      </c>
      <c r="G6579" t="str">
        <f>"17-1716"</f>
        <v>17-1716</v>
      </c>
      <c r="H6579" t="str">
        <f>"B"</f>
        <v>B</v>
      </c>
    </row>
    <row r="6580" spans="1:8" x14ac:dyDescent="0.2">
      <c r="A6580" t="str">
        <f t="shared" si="2409"/>
        <v>0608132031</v>
      </c>
      <c r="B6580" t="str">
        <f t="shared" si="2410"/>
        <v>CASHA</v>
      </c>
      <c r="C6580" t="str">
        <f t="shared" si="2411"/>
        <v>GRANT</v>
      </c>
      <c r="D6580">
        <f>12</f>
        <v>12</v>
      </c>
      <c r="E6580" t="str">
        <f>"01 - S1 - A - 101 - Bruce A Evans"</f>
        <v>01 - S1 - A - 101 - Bruce A Evans</v>
      </c>
      <c r="F6580" t="str">
        <f>"ELECTROCARD TECH 3HN"</f>
        <v>ELECTROCARD TECH 3HN</v>
      </c>
      <c r="G6580" t="str">
        <f>"21-2142"</f>
        <v>21-2142</v>
      </c>
      <c r="H6580" t="str">
        <f>"A"</f>
        <v>A</v>
      </c>
    </row>
    <row r="6581" spans="1:8" x14ac:dyDescent="0.2">
      <c r="A6581" t="str">
        <f t="shared" si="2409"/>
        <v>0608132031</v>
      </c>
      <c r="B6581" t="str">
        <f t="shared" si="2410"/>
        <v>CASHA</v>
      </c>
      <c r="C6581" t="str">
        <f t="shared" si="2411"/>
        <v>GRANT</v>
      </c>
      <c r="D6581">
        <f>12</f>
        <v>12</v>
      </c>
      <c r="E6581" t="str">
        <f>"08 - S1 - B - 104 - Angela S Adeshina-Morrison"</f>
        <v>08 - S1 - B - 104 - Angela S Adeshina-Morrison</v>
      </c>
      <c r="F6581" t="str">
        <f>"PEER COUN 1"</f>
        <v>PEER COUN 1</v>
      </c>
      <c r="G6581" t="str">
        <f>"05-518"</f>
        <v>05-518</v>
      </c>
      <c r="H6581" t="str">
        <f>"B"</f>
        <v>B</v>
      </c>
    </row>
    <row r="6582" spans="1:8" x14ac:dyDescent="0.2">
      <c r="A6582" t="str">
        <f t="shared" ref="A6582:A6589" si="2412">"0616035993"</f>
        <v>0616035993</v>
      </c>
      <c r="B6582" t="str">
        <f t="shared" ref="B6582:B6589" si="2413">"KAYLEN"</f>
        <v>KAYLEN</v>
      </c>
      <c r="C6582" t="str">
        <f t="shared" si="2411"/>
        <v>GRANT</v>
      </c>
      <c r="D6582">
        <f>10</f>
        <v>10</v>
      </c>
      <c r="E6582" t="str">
        <f>"04 - A - 102 - Samantha L Martinez"</f>
        <v>04 - A - 102 - Samantha L Martinez</v>
      </c>
      <c r="F6582" t="str">
        <f>"KEYBD 1"</f>
        <v>KEYBD 1</v>
      </c>
      <c r="G6582" t="str">
        <f>"05-505"</f>
        <v>05-505</v>
      </c>
      <c r="H6582" t="str">
        <f>"A"</f>
        <v>A</v>
      </c>
    </row>
    <row r="6583" spans="1:8" x14ac:dyDescent="0.2">
      <c r="A6583" t="str">
        <f t="shared" si="2412"/>
        <v>0616035993</v>
      </c>
      <c r="B6583" t="str">
        <f t="shared" si="2413"/>
        <v>KAYLEN</v>
      </c>
      <c r="C6583" t="str">
        <f t="shared" si="2411"/>
        <v>GRANT</v>
      </c>
      <c r="D6583">
        <f>10</f>
        <v>10</v>
      </c>
      <c r="E6583" t="str">
        <f>"06 - B - 108 - Jacklyn M James"</f>
        <v>06 - B - 108 - Jacklyn M James</v>
      </c>
      <c r="F6583" t="str">
        <f>"NC STUDY HALL 1"</f>
        <v>NC STUDY HALL 1</v>
      </c>
      <c r="G6583" t="str">
        <f>"17-1731"</f>
        <v>17-1731</v>
      </c>
      <c r="H6583" t="str">
        <f>"B"</f>
        <v>B</v>
      </c>
    </row>
    <row r="6584" spans="1:8" x14ac:dyDescent="0.2">
      <c r="A6584" t="str">
        <f t="shared" si="2412"/>
        <v>0616035993</v>
      </c>
      <c r="B6584" t="str">
        <f t="shared" si="2413"/>
        <v>KAYLEN</v>
      </c>
      <c r="C6584" t="str">
        <f t="shared" si="2411"/>
        <v>GRANT</v>
      </c>
      <c r="D6584">
        <f>10</f>
        <v>10</v>
      </c>
      <c r="E6584" t="str">
        <f>"03 - A - 204 - Lytrell T Dixon"</f>
        <v>03 - A - 204 - Lytrell T Dixon</v>
      </c>
      <c r="F6584" t="str">
        <f>"BIOLOGY 1"</f>
        <v>BIOLOGY 1</v>
      </c>
      <c r="G6584" t="str">
        <f>"08-808"</f>
        <v>08-808</v>
      </c>
      <c r="H6584" t="str">
        <f>"A"</f>
        <v>A</v>
      </c>
    </row>
    <row r="6585" spans="1:8" x14ac:dyDescent="0.2">
      <c r="A6585" t="str">
        <f t="shared" si="2412"/>
        <v>0616035993</v>
      </c>
      <c r="B6585" t="str">
        <f t="shared" si="2413"/>
        <v>KAYLEN</v>
      </c>
      <c r="C6585" t="str">
        <f t="shared" si="2411"/>
        <v>GRANT</v>
      </c>
      <c r="D6585">
        <f>10</f>
        <v>10</v>
      </c>
      <c r="E6585" t="str">
        <f>"02 - A - 102 - Adam Marcus  Drucker"</f>
        <v>02 - A - 102 - Adam Marcus  Drucker</v>
      </c>
      <c r="F6585" t="str">
        <f>"HOPE-PE V"</f>
        <v>HOPE-PE V</v>
      </c>
      <c r="G6585" t="str">
        <f>"04-254"</f>
        <v>04-254</v>
      </c>
      <c r="H6585" t="str">
        <f>"A"</f>
        <v>A</v>
      </c>
    </row>
    <row r="6586" spans="1:8" x14ac:dyDescent="0.2">
      <c r="A6586" t="str">
        <f t="shared" si="2412"/>
        <v>0616035993</v>
      </c>
      <c r="B6586" t="str">
        <f t="shared" si="2413"/>
        <v>KAYLEN</v>
      </c>
      <c r="C6586" t="str">
        <f t="shared" si="2411"/>
        <v>GRANT</v>
      </c>
      <c r="D6586">
        <f>10</f>
        <v>10</v>
      </c>
      <c r="E6586" t="str">
        <f>"07 - B - 108 - Jacquelyn M Neeson"</f>
        <v>07 - B - 108 - Jacquelyn M Neeson</v>
      </c>
      <c r="F6586" t="str">
        <f>"ENG 2"</f>
        <v>ENG 2</v>
      </c>
      <c r="G6586" t="str">
        <f>"17-1715"</f>
        <v>17-1715</v>
      </c>
      <c r="H6586" t="str">
        <f>"B"</f>
        <v>B</v>
      </c>
    </row>
    <row r="6587" spans="1:8" x14ac:dyDescent="0.2">
      <c r="A6587" t="str">
        <f t="shared" si="2412"/>
        <v>0616035993</v>
      </c>
      <c r="B6587" t="str">
        <f t="shared" si="2413"/>
        <v>KAYLEN</v>
      </c>
      <c r="C6587" t="str">
        <f t="shared" si="2411"/>
        <v>GRANT</v>
      </c>
      <c r="D6587">
        <f>10</f>
        <v>10</v>
      </c>
      <c r="E6587" t="str">
        <f>"05 - S1 - B - 102 - Lissa C Frederique"</f>
        <v>05 - S1 - B - 102 - Lissa C Frederique</v>
      </c>
      <c r="F6587" t="str">
        <f>"PERS FIN &amp; MON MGT H"</f>
        <v>PERS FIN &amp; MON MGT H</v>
      </c>
      <c r="G6587" t="str">
        <f>"17-1754"</f>
        <v>17-1754</v>
      </c>
      <c r="H6587" t="str">
        <f>"B"</f>
        <v>B</v>
      </c>
    </row>
    <row r="6588" spans="1:8" x14ac:dyDescent="0.2">
      <c r="A6588" t="str">
        <f t="shared" si="2412"/>
        <v>0616035993</v>
      </c>
      <c r="B6588" t="str">
        <f t="shared" si="2413"/>
        <v>KAYLEN</v>
      </c>
      <c r="C6588" t="str">
        <f t="shared" si="2411"/>
        <v>GRANT</v>
      </c>
      <c r="D6588">
        <f>10</f>
        <v>10</v>
      </c>
      <c r="E6588" t="str">
        <f>"01 - A - 101 - James H Mccann"</f>
        <v>01 - A - 101 - James H Mccann</v>
      </c>
      <c r="F6588" t="str">
        <f>"ALGEBRA 2"</f>
        <v>ALGEBRA 2</v>
      </c>
      <c r="G6588" t="str">
        <f>"17-1716"</f>
        <v>17-1716</v>
      </c>
      <c r="H6588" t="str">
        <f>"A"</f>
        <v>A</v>
      </c>
    </row>
    <row r="6589" spans="1:8" x14ac:dyDescent="0.2">
      <c r="A6589" t="str">
        <f t="shared" si="2412"/>
        <v>0616035993</v>
      </c>
      <c r="B6589" t="str">
        <f t="shared" si="2413"/>
        <v>KAYLEN</v>
      </c>
      <c r="C6589" t="str">
        <f t="shared" si="2411"/>
        <v>GRANT</v>
      </c>
      <c r="D6589">
        <f>10</f>
        <v>10</v>
      </c>
      <c r="E6589" t="str">
        <f>"08 - S1 - B - 104 - Angela S Adeshina-Morrison"</f>
        <v>08 - S1 - B - 104 - Angela S Adeshina-Morrison</v>
      </c>
      <c r="F6589" t="str">
        <f>"PEER COUN 1"</f>
        <v>PEER COUN 1</v>
      </c>
      <c r="G6589" t="str">
        <f>"05-518"</f>
        <v>05-518</v>
      </c>
      <c r="H6589" t="str">
        <f>"B"</f>
        <v>B</v>
      </c>
    </row>
    <row r="6590" spans="1:8" x14ac:dyDescent="0.2">
      <c r="A6590" t="str">
        <f t="shared" ref="A6590:A6597" si="2414">"0619051787"</f>
        <v>0619051787</v>
      </c>
      <c r="B6590" t="str">
        <f t="shared" ref="B6590:B6597" si="2415">"LLYDIA"</f>
        <v>LLYDIA</v>
      </c>
      <c r="C6590" t="str">
        <f t="shared" si="2411"/>
        <v>GRANT</v>
      </c>
      <c r="D6590">
        <f>10</f>
        <v>10</v>
      </c>
      <c r="E6590" t="str">
        <f>"04 - A - 201 - Brian M Fitzgerald"</f>
        <v>04 - A - 201 - Brian M Fitzgerald</v>
      </c>
      <c r="F6590" t="str">
        <f>"PAINT 2"</f>
        <v>PAINT 2</v>
      </c>
      <c r="G6590" t="str">
        <f>"09-908"</f>
        <v>09-908</v>
      </c>
      <c r="H6590" t="str">
        <f>"A"</f>
        <v>A</v>
      </c>
    </row>
    <row r="6591" spans="1:8" x14ac:dyDescent="0.2">
      <c r="A6591" t="str">
        <f t="shared" si="2414"/>
        <v>0619051787</v>
      </c>
      <c r="B6591" t="str">
        <f t="shared" si="2415"/>
        <v>LLYDIA</v>
      </c>
      <c r="C6591" t="str">
        <f t="shared" si="2411"/>
        <v>GRANT</v>
      </c>
      <c r="D6591">
        <f>10</f>
        <v>10</v>
      </c>
      <c r="E6591" t="str">
        <f>"06 - B - 115 - Scott A Dethloff"</f>
        <v>06 - B - 115 - Scott A Dethloff</v>
      </c>
      <c r="F6591" t="str">
        <f>"NC STUDY HALL 1"</f>
        <v>NC STUDY HALL 1</v>
      </c>
      <c r="G6591" t="str">
        <f>"08-812"</f>
        <v>08-812</v>
      </c>
      <c r="H6591" t="str">
        <f>"B"</f>
        <v>B</v>
      </c>
    </row>
    <row r="6592" spans="1:8" x14ac:dyDescent="0.2">
      <c r="A6592" t="str">
        <f t="shared" si="2414"/>
        <v>0619051787</v>
      </c>
      <c r="B6592" t="str">
        <f t="shared" si="2415"/>
        <v>LLYDIA</v>
      </c>
      <c r="C6592" t="str">
        <f t="shared" si="2411"/>
        <v>GRANT</v>
      </c>
      <c r="D6592">
        <f>10</f>
        <v>10</v>
      </c>
      <c r="E6592" t="str">
        <f>"03 - A - 101 - Helen A Flores"</f>
        <v>03 - A - 101 - Helen A Flores</v>
      </c>
      <c r="F6592" t="str">
        <f>"PRE-AICE MATH 1 IG"</f>
        <v>PRE-AICE MATH 1 IG</v>
      </c>
      <c r="G6592" t="str">
        <f>"21-2101"</f>
        <v>21-2101</v>
      </c>
      <c r="H6592" t="str">
        <f>"A"</f>
        <v>A</v>
      </c>
    </row>
    <row r="6593" spans="1:8" x14ac:dyDescent="0.2">
      <c r="A6593" t="str">
        <f t="shared" si="2414"/>
        <v>0619051787</v>
      </c>
      <c r="B6593" t="str">
        <f t="shared" si="2415"/>
        <v>LLYDIA</v>
      </c>
      <c r="C6593" t="str">
        <f t="shared" si="2411"/>
        <v>GRANT</v>
      </c>
      <c r="D6593">
        <f>10</f>
        <v>10</v>
      </c>
      <c r="E6593" t="str">
        <f>"02 - A - 102 - Marius D Orsolini"</f>
        <v>02 - A - 102 - Marius D Orsolini</v>
      </c>
      <c r="F6593" t="str">
        <f>"CULINARY ARTS 1"</f>
        <v>CULINARY ARTS 1</v>
      </c>
      <c r="G6593" t="str">
        <f>"21-2115"</f>
        <v>21-2115</v>
      </c>
      <c r="H6593" t="str">
        <f>"A"</f>
        <v>A</v>
      </c>
    </row>
    <row r="6594" spans="1:8" x14ac:dyDescent="0.2">
      <c r="A6594" t="str">
        <f t="shared" si="2414"/>
        <v>0619051787</v>
      </c>
      <c r="B6594" t="str">
        <f t="shared" si="2415"/>
        <v>LLYDIA</v>
      </c>
      <c r="C6594" t="str">
        <f t="shared" si="2411"/>
        <v>GRANT</v>
      </c>
      <c r="D6594">
        <f>10</f>
        <v>10</v>
      </c>
      <c r="E6594" t="str">
        <f>"07 - S1 - B - 102 - Arthur  Kulawik"</f>
        <v>07 - S1 - B - 102 - Arthur  Kulawik</v>
      </c>
      <c r="F6594" t="str">
        <f>"PERS FIN &amp; MON MGT H"</f>
        <v>PERS FIN &amp; MON MGT H</v>
      </c>
      <c r="G6594" t="str">
        <f>"05-506"</f>
        <v>05-506</v>
      </c>
      <c r="H6594" t="str">
        <f>"B"</f>
        <v>B</v>
      </c>
    </row>
    <row r="6595" spans="1:8" x14ac:dyDescent="0.2">
      <c r="A6595" t="str">
        <f t="shared" si="2414"/>
        <v>0619051787</v>
      </c>
      <c r="B6595" t="str">
        <f t="shared" si="2415"/>
        <v>LLYDIA</v>
      </c>
      <c r="C6595" t="str">
        <f t="shared" si="2411"/>
        <v>GRANT</v>
      </c>
      <c r="D6595">
        <f>10</f>
        <v>10</v>
      </c>
      <c r="E6595" t="str">
        <f>"05 - B - 003 - Krystal Marie  Beruty"</f>
        <v>05 - B - 003 - Krystal Marie  Beruty</v>
      </c>
      <c r="F6595" t="str">
        <f>"AICE GLBL PERSP 1 AS"</f>
        <v>AICE GLBL PERSP 1 AS</v>
      </c>
      <c r="G6595" t="str">
        <f>"17-1721"</f>
        <v>17-1721</v>
      </c>
      <c r="H6595" t="str">
        <f>"B"</f>
        <v>B</v>
      </c>
    </row>
    <row r="6596" spans="1:8" x14ac:dyDescent="0.2">
      <c r="A6596" t="str">
        <f t="shared" si="2414"/>
        <v>0619051787</v>
      </c>
      <c r="B6596" t="str">
        <f t="shared" si="2415"/>
        <v>LLYDIA</v>
      </c>
      <c r="C6596" t="str">
        <f t="shared" si="2411"/>
        <v>GRANT</v>
      </c>
      <c r="D6596">
        <f>10</f>
        <v>10</v>
      </c>
      <c r="E6596" t="str">
        <f>"01 - A - 201 - Cheryl L Beach"</f>
        <v>01 - A - 201 - Cheryl L Beach</v>
      </c>
      <c r="F6596" t="str">
        <f>"AICE ENV MGMNT AS"</f>
        <v>AICE ENV MGMNT AS</v>
      </c>
      <c r="G6596" t="str">
        <f>"08-811"</f>
        <v>08-811</v>
      </c>
      <c r="H6596" t="str">
        <f>"A"</f>
        <v>A</v>
      </c>
    </row>
    <row r="6597" spans="1:8" x14ac:dyDescent="0.2">
      <c r="A6597" t="str">
        <f t="shared" si="2414"/>
        <v>0619051787</v>
      </c>
      <c r="B6597" t="str">
        <f t="shared" si="2415"/>
        <v>LLYDIA</v>
      </c>
      <c r="C6597" t="str">
        <f t="shared" si="2411"/>
        <v>GRANT</v>
      </c>
      <c r="D6597">
        <f>10</f>
        <v>10</v>
      </c>
      <c r="E6597" t="str">
        <f>"08 - B - 102 - Jacquelyn M Neeson"</f>
        <v>08 - B - 102 - Jacquelyn M Neeson</v>
      </c>
      <c r="F6597" t="str">
        <f>"AICE ENG GEN PAPER 1"</f>
        <v>AICE ENG GEN PAPER 1</v>
      </c>
      <c r="G6597" t="str">
        <f>"17-1715"</f>
        <v>17-1715</v>
      </c>
      <c r="H6597" t="str">
        <f>"B"</f>
        <v>B</v>
      </c>
    </row>
    <row r="6598" spans="1:8" x14ac:dyDescent="0.2">
      <c r="A6598" t="str">
        <f t="shared" ref="A6598:A6605" si="2416">"0616154823"</f>
        <v>0616154823</v>
      </c>
      <c r="B6598" t="str">
        <f t="shared" ref="B6598:B6605" si="2417">"MYA"</f>
        <v>MYA</v>
      </c>
      <c r="C6598" t="str">
        <f t="shared" si="2411"/>
        <v>GRANT</v>
      </c>
      <c r="D6598" t="str">
        <f t="shared" ref="D6598:D6605" si="2418">"09"</f>
        <v>09</v>
      </c>
      <c r="E6598" t="str">
        <f>"04 - A - 104 - Marius D Orsolini"</f>
        <v>04 - A - 104 - Marius D Orsolini</v>
      </c>
      <c r="F6598" t="str">
        <f>"CULINARY ARTS 1"</f>
        <v>CULINARY ARTS 1</v>
      </c>
      <c r="G6598" t="str">
        <f>"21-2115"</f>
        <v>21-2115</v>
      </c>
      <c r="H6598" t="str">
        <f>"A"</f>
        <v>A</v>
      </c>
    </row>
    <row r="6599" spans="1:8" x14ac:dyDescent="0.2">
      <c r="A6599" t="str">
        <f t="shared" si="2416"/>
        <v>0616154823</v>
      </c>
      <c r="B6599" t="str">
        <f t="shared" si="2417"/>
        <v>MYA</v>
      </c>
      <c r="C6599" t="str">
        <f t="shared" si="2411"/>
        <v>GRANT</v>
      </c>
      <c r="D6599" t="str">
        <f t="shared" si="2418"/>
        <v>09</v>
      </c>
      <c r="E6599" t="str">
        <f>"06 - S1 - B - 102 - Daniel S Katz"</f>
        <v>06 - S1 - B - 102 - Daniel S Katz</v>
      </c>
      <c r="F6599" t="str">
        <f>"COURT PROCED"</f>
        <v>COURT PROCED</v>
      </c>
      <c r="G6599" t="str">
        <f>"21-2156"</f>
        <v>21-2156</v>
      </c>
      <c r="H6599" t="str">
        <f>"B"</f>
        <v>B</v>
      </c>
    </row>
    <row r="6600" spans="1:8" x14ac:dyDescent="0.2">
      <c r="A6600" t="str">
        <f t="shared" si="2416"/>
        <v>0616154823</v>
      </c>
      <c r="B6600" t="str">
        <f t="shared" si="2417"/>
        <v>MYA</v>
      </c>
      <c r="C6600" t="str">
        <f t="shared" si="2411"/>
        <v>GRANT</v>
      </c>
      <c r="D6600" t="str">
        <f t="shared" si="2418"/>
        <v>09</v>
      </c>
      <c r="E6600" t="str">
        <f>"03 - A - 102 - Rory T Sponsler"</f>
        <v>03 - A - 102 - Rory T Sponsler</v>
      </c>
      <c r="F6600" t="str">
        <f>"PRE-AICE WRLD HST IG"</f>
        <v>PRE-AICE WRLD HST IG</v>
      </c>
      <c r="G6600" t="str">
        <f>"17-1740"</f>
        <v>17-1740</v>
      </c>
      <c r="H6600" t="str">
        <f>"A"</f>
        <v>A</v>
      </c>
    </row>
    <row r="6601" spans="1:8" x14ac:dyDescent="0.2">
      <c r="A6601" t="str">
        <f t="shared" si="2416"/>
        <v>0616154823</v>
      </c>
      <c r="B6601" t="str">
        <f t="shared" si="2417"/>
        <v>MYA</v>
      </c>
      <c r="C6601" t="str">
        <f t="shared" si="2411"/>
        <v>GRANT</v>
      </c>
      <c r="D6601" t="str">
        <f t="shared" si="2418"/>
        <v>09</v>
      </c>
      <c r="E6601" t="str">
        <f>"02 - A - 113 - Amy Beth  Broyles"</f>
        <v>02 - A - 113 - Amy Beth  Broyles</v>
      </c>
      <c r="F6601" t="str">
        <f>"NC STUDY HALL 1"</f>
        <v>NC STUDY HALL 1</v>
      </c>
      <c r="G6601" t="str">
        <f>"08-802"</f>
        <v>08-802</v>
      </c>
      <c r="H6601" t="str">
        <f>"A"</f>
        <v>A</v>
      </c>
    </row>
    <row r="6602" spans="1:8" x14ac:dyDescent="0.2">
      <c r="A6602" t="str">
        <f t="shared" si="2416"/>
        <v>0616154823</v>
      </c>
      <c r="B6602" t="str">
        <f t="shared" si="2417"/>
        <v>MYA</v>
      </c>
      <c r="C6602" t="str">
        <f t="shared" si="2411"/>
        <v>GRANT</v>
      </c>
      <c r="D6602" t="str">
        <f t="shared" si="2418"/>
        <v>09</v>
      </c>
      <c r="E6602" t="str">
        <f>"07 - B - 105 - Josiah I Lacy"</f>
        <v>07 - B - 105 - Josiah I Lacy</v>
      </c>
      <c r="F6602" t="str">
        <f>"ANAT PHYSIO HON"</f>
        <v>ANAT PHYSIO HON</v>
      </c>
      <c r="G6602" t="str">
        <f>"08-801"</f>
        <v>08-801</v>
      </c>
      <c r="H6602" t="str">
        <f>"B"</f>
        <v>B</v>
      </c>
    </row>
    <row r="6603" spans="1:8" x14ac:dyDescent="0.2">
      <c r="A6603" t="str">
        <f t="shared" si="2416"/>
        <v>0616154823</v>
      </c>
      <c r="B6603" t="str">
        <f t="shared" si="2417"/>
        <v>MYA</v>
      </c>
      <c r="C6603" t="str">
        <f t="shared" si="2411"/>
        <v>GRANT</v>
      </c>
      <c r="D6603" t="str">
        <f t="shared" si="2418"/>
        <v>09</v>
      </c>
      <c r="E6603" t="str">
        <f>"05 - S1 - B - 102 - Richard E Dunbar Iii"</f>
        <v>05 - S1 - B - 102 - Richard E Dunbar Iii</v>
      </c>
      <c r="F6603" t="str">
        <f>"TEAM SPORTS 1"</f>
        <v>TEAM SPORTS 1</v>
      </c>
      <c r="G6603" t="str">
        <f>"04-254"</f>
        <v>04-254</v>
      </c>
      <c r="H6603" t="str">
        <f>"B"</f>
        <v>B</v>
      </c>
    </row>
    <row r="6604" spans="1:8" x14ac:dyDescent="0.2">
      <c r="A6604" t="str">
        <f t="shared" si="2416"/>
        <v>0616154823</v>
      </c>
      <c r="B6604" t="str">
        <f t="shared" si="2417"/>
        <v>MYA</v>
      </c>
      <c r="C6604" t="str">
        <f t="shared" si="2411"/>
        <v>GRANT</v>
      </c>
      <c r="D6604" t="str">
        <f t="shared" si="2418"/>
        <v>09</v>
      </c>
      <c r="E6604" t="str">
        <f>"01 - A - 101 - Cheryl Anne  Berman-Schechter"</f>
        <v>01 - A - 101 - Cheryl Anne  Berman-Schechter</v>
      </c>
      <c r="F6604" t="str">
        <f>"PRE-AICE ENG LANG IG"</f>
        <v>PRE-AICE ENG LANG IG</v>
      </c>
      <c r="G6604" t="str">
        <f>"17-1722"</f>
        <v>17-1722</v>
      </c>
      <c r="H6604" t="str">
        <f>"A"</f>
        <v>A</v>
      </c>
    </row>
    <row r="6605" spans="1:8" x14ac:dyDescent="0.2">
      <c r="A6605" t="str">
        <f t="shared" si="2416"/>
        <v>0616154823</v>
      </c>
      <c r="B6605" t="str">
        <f t="shared" si="2417"/>
        <v>MYA</v>
      </c>
      <c r="C6605" t="str">
        <f t="shared" si="2411"/>
        <v>GRANT</v>
      </c>
      <c r="D6605" t="str">
        <f t="shared" si="2418"/>
        <v>09</v>
      </c>
      <c r="E6605" t="str">
        <f>"08 - B - 105 - Ferrie J Arostique"</f>
        <v>08 - B - 105 - Ferrie J Arostique</v>
      </c>
      <c r="F6605" t="str">
        <f>"PRE-AICE MATH 2 IG"</f>
        <v>PRE-AICE MATH 2 IG</v>
      </c>
      <c r="G6605" t="str">
        <f>"21-2139"</f>
        <v>21-2139</v>
      </c>
      <c r="H6605" t="str">
        <f>"B"</f>
        <v>B</v>
      </c>
    </row>
    <row r="6606" spans="1:8" x14ac:dyDescent="0.2">
      <c r="A6606" t="str">
        <f t="shared" ref="A6606:A6613" si="2419">"0612075735"</f>
        <v>0612075735</v>
      </c>
      <c r="B6606" t="str">
        <f t="shared" ref="B6606:B6613" si="2420">"TRINTON"</f>
        <v>TRINTON</v>
      </c>
      <c r="C6606" t="str">
        <f t="shared" si="2411"/>
        <v>GRANT</v>
      </c>
      <c r="D6606">
        <f>12</f>
        <v>12</v>
      </c>
      <c r="E6606" t="str">
        <f>"04 - S1 - A - 105 - Robert O Burger"</f>
        <v>04 - S1 - A - 105 - Robert O Burger</v>
      </c>
      <c r="F6606" t="str">
        <f>"US GOVT"</f>
        <v>US GOVT</v>
      </c>
      <c r="G6606" t="str">
        <f>"17-1755"</f>
        <v>17-1755</v>
      </c>
      <c r="H6606" t="str">
        <f>"A"</f>
        <v>A</v>
      </c>
    </row>
    <row r="6607" spans="1:8" x14ac:dyDescent="0.2">
      <c r="A6607" t="str">
        <f t="shared" si="2419"/>
        <v>0612075735</v>
      </c>
      <c r="B6607" t="str">
        <f t="shared" si="2420"/>
        <v>TRINTON</v>
      </c>
      <c r="C6607" t="str">
        <f t="shared" si="2411"/>
        <v>GRANT</v>
      </c>
      <c r="D6607">
        <f>12</f>
        <v>12</v>
      </c>
      <c r="E6607" t="str">
        <f>"06 - B - 101 - Cliffon  Saurel"</f>
        <v>06 - B - 101 - Cliffon  Saurel</v>
      </c>
      <c r="F6607" t="str">
        <f>"NC STUDY HALL 1"</f>
        <v>NC STUDY HALL 1</v>
      </c>
      <c r="G6607" t="str">
        <f>"05-522"</f>
        <v>05-522</v>
      </c>
      <c r="H6607" t="str">
        <f>"B"</f>
        <v>B</v>
      </c>
    </row>
    <row r="6608" spans="1:8" x14ac:dyDescent="0.2">
      <c r="A6608" t="str">
        <f t="shared" si="2419"/>
        <v>0612075735</v>
      </c>
      <c r="B6608" t="str">
        <f t="shared" si="2420"/>
        <v>TRINTON</v>
      </c>
      <c r="C6608" t="str">
        <f t="shared" si="2411"/>
        <v>GRANT</v>
      </c>
      <c r="D6608">
        <f>12</f>
        <v>12</v>
      </c>
      <c r="E6608" t="str">
        <f>"03 - S1 - A - 102 - Angela S Adeshina-Morrison"</f>
        <v>03 - S1 - A - 102 - Angela S Adeshina-Morrison</v>
      </c>
      <c r="F6608" t="str">
        <f>"PEER COUN 1"</f>
        <v>PEER COUN 1</v>
      </c>
      <c r="G6608" t="str">
        <f>"05-518"</f>
        <v>05-518</v>
      </c>
      <c r="H6608" t="str">
        <f>"A"</f>
        <v>A</v>
      </c>
    </row>
    <row r="6609" spans="1:8" x14ac:dyDescent="0.2">
      <c r="A6609" t="str">
        <f t="shared" si="2419"/>
        <v>0612075735</v>
      </c>
      <c r="B6609" t="str">
        <f t="shared" si="2420"/>
        <v>TRINTON</v>
      </c>
      <c r="C6609" t="str">
        <f t="shared" si="2411"/>
        <v>GRANT</v>
      </c>
      <c r="D6609">
        <f>12</f>
        <v>12</v>
      </c>
      <c r="E6609" t="str">
        <f>"02 - A - 102 - Adam Marcus  Drucker"</f>
        <v>02 - A - 102 - Adam Marcus  Drucker</v>
      </c>
      <c r="F6609" t="str">
        <f>"HOPE-PE V"</f>
        <v>HOPE-PE V</v>
      </c>
      <c r="G6609" t="str">
        <f>"04-254"</f>
        <v>04-254</v>
      </c>
      <c r="H6609" t="str">
        <f>"A"</f>
        <v>A</v>
      </c>
    </row>
    <row r="6610" spans="1:8" x14ac:dyDescent="0.2">
      <c r="A6610" t="str">
        <f t="shared" si="2419"/>
        <v>0612075735</v>
      </c>
      <c r="B6610" t="str">
        <f t="shared" si="2420"/>
        <v>TRINTON</v>
      </c>
      <c r="C6610" t="str">
        <f t="shared" si="2411"/>
        <v>GRANT</v>
      </c>
      <c r="D6610">
        <f>12</f>
        <v>12</v>
      </c>
      <c r="E6610" t="str">
        <f>"07 - B - 102 - Tina L Lovett"</f>
        <v>07 - B - 102 - Tina L Lovett</v>
      </c>
      <c r="F6610" t="str">
        <f>"MATH DATA &amp; FIN LIT"</f>
        <v>MATH DATA &amp; FIN LIT</v>
      </c>
      <c r="G6610" t="str">
        <f>"21-2153"</f>
        <v>21-2153</v>
      </c>
      <c r="H6610" t="str">
        <f>"B"</f>
        <v>B</v>
      </c>
    </row>
    <row r="6611" spans="1:8" x14ac:dyDescent="0.2">
      <c r="A6611" t="str">
        <f t="shared" si="2419"/>
        <v>0612075735</v>
      </c>
      <c r="B6611" t="str">
        <f t="shared" si="2420"/>
        <v>TRINTON</v>
      </c>
      <c r="C6611" t="str">
        <f t="shared" si="2411"/>
        <v>GRANT</v>
      </c>
      <c r="D6611">
        <f>12</f>
        <v>12</v>
      </c>
      <c r="E6611" t="str">
        <f>"05 - B - 207 - Marielle A Witting"</f>
        <v>05 - B - 207 - Marielle A Witting</v>
      </c>
      <c r="F6611" t="str">
        <f>"ANAT PHYSIO"</f>
        <v>ANAT PHYSIO</v>
      </c>
      <c r="G6611" t="str">
        <f>"08-805"</f>
        <v>08-805</v>
      </c>
      <c r="H6611" t="str">
        <f>"B"</f>
        <v>B</v>
      </c>
    </row>
    <row r="6612" spans="1:8" x14ac:dyDescent="0.2">
      <c r="A6612" t="str">
        <f t="shared" si="2419"/>
        <v>0612075735</v>
      </c>
      <c r="B6612" t="str">
        <f t="shared" si="2420"/>
        <v>TRINTON</v>
      </c>
      <c r="C6612" t="str">
        <f t="shared" si="2411"/>
        <v>GRANT</v>
      </c>
      <c r="D6612">
        <f>12</f>
        <v>12</v>
      </c>
      <c r="E6612" t="str">
        <f>"01 - A - 103 - Robyn L Trainer"</f>
        <v>01 - A - 103 - Robyn L Trainer</v>
      </c>
      <c r="F6612" t="str">
        <f>"ENG 4"</f>
        <v>ENG 4</v>
      </c>
      <c r="G6612" t="str">
        <f>"17-1734"</f>
        <v>17-1734</v>
      </c>
      <c r="H6612" t="str">
        <f>"A"</f>
        <v>A</v>
      </c>
    </row>
    <row r="6613" spans="1:8" x14ac:dyDescent="0.2">
      <c r="A6613" t="str">
        <f t="shared" si="2419"/>
        <v>0612075735</v>
      </c>
      <c r="B6613" t="str">
        <f t="shared" si="2420"/>
        <v>TRINTON</v>
      </c>
      <c r="C6613" t="str">
        <f t="shared" si="2411"/>
        <v>GRANT</v>
      </c>
      <c r="D6613">
        <f>12</f>
        <v>12</v>
      </c>
      <c r="E6613" t="str">
        <f>"08 - B - 103 - Jeanne M Bermudez"</f>
        <v>08 - B - 103 - Jeanne M Bermudez</v>
      </c>
      <c r="F6613" t="str">
        <f>"ADVANCED IT HON"</f>
        <v>ADVANCED IT HON</v>
      </c>
      <c r="G6613" t="str">
        <f>"21-2141"</f>
        <v>21-2141</v>
      </c>
      <c r="H6613" t="str">
        <f>"B"</f>
        <v>B</v>
      </c>
    </row>
    <row r="6614" spans="1:8" x14ac:dyDescent="0.2">
      <c r="A6614" t="str">
        <f t="shared" ref="A6614:A6622" si="2421">"0614033495"</f>
        <v>0614033495</v>
      </c>
      <c r="B6614" t="str">
        <f t="shared" ref="B6614:B6622" si="2422">"DASHAWN"</f>
        <v>DASHAWN</v>
      </c>
      <c r="C6614" t="str">
        <f t="shared" ref="C6614:C6622" si="2423">"GRAY"</f>
        <v>GRAY</v>
      </c>
      <c r="D6614">
        <f>11</f>
        <v>11</v>
      </c>
      <c r="E6614" t="str">
        <f>"04 - A - 106 - Marielle A Witting"</f>
        <v>04 - A - 106 - Marielle A Witting</v>
      </c>
      <c r="F6614" t="str">
        <f>"ANAT PHYSIO"</f>
        <v>ANAT PHYSIO</v>
      </c>
      <c r="G6614" t="str">
        <f>"08-805"</f>
        <v>08-805</v>
      </c>
      <c r="H6614" t="str">
        <f>"A"</f>
        <v>A</v>
      </c>
    </row>
    <row r="6615" spans="1:8" x14ac:dyDescent="0.2">
      <c r="A6615" t="str">
        <f t="shared" si="2421"/>
        <v>0614033495</v>
      </c>
      <c r="B6615" t="str">
        <f t="shared" si="2422"/>
        <v>DASHAWN</v>
      </c>
      <c r="C6615" t="str">
        <f t="shared" si="2423"/>
        <v>GRAY</v>
      </c>
      <c r="D6615">
        <f>11</f>
        <v>11</v>
      </c>
      <c r="E6615" t="str">
        <f>"06 - B - 105 - Elizabeth Ellen  Moran"</f>
        <v>06 - B - 105 - Elizabeth Ellen  Moran</v>
      </c>
      <c r="F6615" t="str">
        <f>"US HISTORY"</f>
        <v>US HISTORY</v>
      </c>
      <c r="G6615" t="str">
        <f>"17-1752"</f>
        <v>17-1752</v>
      </c>
      <c r="H6615" t="str">
        <f>"B"</f>
        <v>B</v>
      </c>
    </row>
    <row r="6616" spans="1:8" x14ac:dyDescent="0.2">
      <c r="A6616" t="str">
        <f t="shared" si="2421"/>
        <v>0614033495</v>
      </c>
      <c r="B6616" t="str">
        <f t="shared" si="2422"/>
        <v>DASHAWN</v>
      </c>
      <c r="C6616" t="str">
        <f t="shared" si="2423"/>
        <v>GRAY</v>
      </c>
      <c r="D6616">
        <f>11</f>
        <v>11</v>
      </c>
      <c r="E6616" t="str">
        <f>"03 - A - 104 - Fernando  Vega-Cid"</f>
        <v>03 - A - 104 - Fernando  Vega-Cid</v>
      </c>
      <c r="F6616" t="str">
        <f>"GEOMETRY"</f>
        <v>GEOMETRY</v>
      </c>
      <c r="G6616" t="str">
        <f>"21-2163"</f>
        <v>21-2163</v>
      </c>
      <c r="H6616" t="str">
        <f>"A"</f>
        <v>A</v>
      </c>
    </row>
    <row r="6617" spans="1:8" x14ac:dyDescent="0.2">
      <c r="A6617" t="str">
        <f t="shared" si="2421"/>
        <v>0614033495</v>
      </c>
      <c r="B6617" t="str">
        <f t="shared" si="2422"/>
        <v>DASHAWN</v>
      </c>
      <c r="C6617" t="str">
        <f t="shared" si="2423"/>
        <v>GRAY</v>
      </c>
      <c r="D6617">
        <f>11</f>
        <v>11</v>
      </c>
      <c r="E6617" t="str">
        <f>"02 - A - 103 - Kelly N Panza"</f>
        <v>02 - A - 103 - Kelly N Panza</v>
      </c>
      <c r="F6617" t="str">
        <f>"NC STUDY HALL 1"</f>
        <v>NC STUDY HALL 1</v>
      </c>
      <c r="G6617" t="str">
        <f>"17-1753"</f>
        <v>17-1753</v>
      </c>
      <c r="H6617" t="str">
        <f>"A"</f>
        <v>A</v>
      </c>
    </row>
    <row r="6618" spans="1:8" x14ac:dyDescent="0.2">
      <c r="A6618" t="str">
        <f t="shared" si="2421"/>
        <v>0614033495</v>
      </c>
      <c r="B6618" t="str">
        <f t="shared" si="2422"/>
        <v>DASHAWN</v>
      </c>
      <c r="C6618" t="str">
        <f t="shared" si="2423"/>
        <v>GRAY</v>
      </c>
      <c r="D6618">
        <f>11</f>
        <v>11</v>
      </c>
      <c r="E6618" t="str">
        <f>"02 - A - 112 - Karen A Toomer"</f>
        <v>02 - A - 112 - Karen A Toomer</v>
      </c>
      <c r="F6618" t="str">
        <f>"LANG THERAPY"</f>
        <v>LANG THERAPY</v>
      </c>
      <c r="G6618" t="str">
        <f>"21-2110"</f>
        <v>21-2110</v>
      </c>
      <c r="H6618" t="str">
        <f>"A"</f>
        <v>A</v>
      </c>
    </row>
    <row r="6619" spans="1:8" x14ac:dyDescent="0.2">
      <c r="A6619" t="str">
        <f t="shared" si="2421"/>
        <v>0614033495</v>
      </c>
      <c r="B6619" t="str">
        <f t="shared" si="2422"/>
        <v>DASHAWN</v>
      </c>
      <c r="C6619" t="str">
        <f t="shared" si="2423"/>
        <v>GRAY</v>
      </c>
      <c r="D6619">
        <f>11</f>
        <v>11</v>
      </c>
      <c r="E6619" t="str">
        <f>"07 - S1 - B - 107 - Richard E Dunbar Iii"</f>
        <v>07 - S1 - B - 107 - Richard E Dunbar Iii</v>
      </c>
      <c r="F6619" t="str">
        <f>"WEIGHT TRAIN 1"</f>
        <v>WEIGHT TRAIN 1</v>
      </c>
      <c r="G6619" t="str">
        <f>"05-501"</f>
        <v>05-501</v>
      </c>
      <c r="H6619" t="str">
        <f>"B"</f>
        <v>B</v>
      </c>
    </row>
    <row r="6620" spans="1:8" x14ac:dyDescent="0.2">
      <c r="A6620" t="str">
        <f t="shared" si="2421"/>
        <v>0614033495</v>
      </c>
      <c r="B6620" t="str">
        <f t="shared" si="2422"/>
        <v>DASHAWN</v>
      </c>
      <c r="C6620" t="str">
        <f t="shared" si="2423"/>
        <v>GRAY</v>
      </c>
      <c r="D6620">
        <f>11</f>
        <v>11</v>
      </c>
      <c r="E6620" t="str">
        <f>"05 - B - 104 - Lisa  Quinn"</f>
        <v>05 - B - 104 - Lisa  Quinn</v>
      </c>
      <c r="F6620" t="str">
        <f>"ENG 3"</f>
        <v>ENG 3</v>
      </c>
      <c r="G6620" t="str">
        <f>"17-1725"</f>
        <v>17-1725</v>
      </c>
      <c r="H6620" t="str">
        <f>"B"</f>
        <v>B</v>
      </c>
    </row>
    <row r="6621" spans="1:8" x14ac:dyDescent="0.2">
      <c r="A6621" t="str">
        <f t="shared" si="2421"/>
        <v>0614033495</v>
      </c>
      <c r="B6621" t="str">
        <f t="shared" si="2422"/>
        <v>DASHAWN</v>
      </c>
      <c r="C6621" t="str">
        <f t="shared" si="2423"/>
        <v>GRAY</v>
      </c>
      <c r="D6621">
        <f>11</f>
        <v>11</v>
      </c>
      <c r="E6621" t="str">
        <f>"01 - A - 101 - Samantha L Martinez"</f>
        <v>01 - A - 101 - Samantha L Martinez</v>
      </c>
      <c r="F6621" t="str">
        <f>"MUSIC WORLD"</f>
        <v>MUSIC WORLD</v>
      </c>
      <c r="G6621" t="str">
        <f>"05-505"</f>
        <v>05-505</v>
      </c>
      <c r="H6621" t="str">
        <f>"A"</f>
        <v>A</v>
      </c>
    </row>
    <row r="6622" spans="1:8" x14ac:dyDescent="0.2">
      <c r="A6622" t="str">
        <f t="shared" si="2421"/>
        <v>0614033495</v>
      </c>
      <c r="B6622" t="str">
        <f t="shared" si="2422"/>
        <v>DASHAWN</v>
      </c>
      <c r="C6622" t="str">
        <f t="shared" si="2423"/>
        <v>GRAY</v>
      </c>
      <c r="D6622">
        <f>11</f>
        <v>11</v>
      </c>
      <c r="E6622" t="str">
        <f>"08 - B - 102 - Carleigh R Carmichael"</f>
        <v>08 - B - 102 - Carleigh R Carmichael</v>
      </c>
      <c r="F6622" t="str">
        <f>"LRNG STRATEGIES 9-12"</f>
        <v>LRNG STRATEGIES 9-12</v>
      </c>
      <c r="G6622" t="str">
        <f>"20-2072"</f>
        <v>20-2072</v>
      </c>
      <c r="H6622" t="str">
        <f>"B"</f>
        <v>B</v>
      </c>
    </row>
    <row r="6623" spans="1:8" x14ac:dyDescent="0.2">
      <c r="A6623" t="str">
        <f t="shared" ref="A6623:A6630" si="2424">"0613099173"</f>
        <v>0613099173</v>
      </c>
      <c r="B6623" t="str">
        <f t="shared" ref="B6623:B6630" si="2425">"MYA"</f>
        <v>MYA</v>
      </c>
      <c r="C6623" t="str">
        <f t="shared" ref="C6623:C6630" si="2426">"GREEN"</f>
        <v>GREEN</v>
      </c>
      <c r="D6623">
        <f>12</f>
        <v>12</v>
      </c>
      <c r="E6623" t="str">
        <f>"04 - S1 - A - 106 - Kelly N Panza"</f>
        <v>04 - S1 - A - 106 - Kelly N Panza</v>
      </c>
      <c r="F6623" t="str">
        <f>"US GOVT HON"</f>
        <v>US GOVT HON</v>
      </c>
      <c r="G6623" t="str">
        <f>"17-1753"</f>
        <v>17-1753</v>
      </c>
      <c r="H6623" t="str">
        <f>"A"</f>
        <v>A</v>
      </c>
    </row>
    <row r="6624" spans="1:8" x14ac:dyDescent="0.2">
      <c r="A6624" t="str">
        <f t="shared" si="2424"/>
        <v>0613099173</v>
      </c>
      <c r="B6624" t="str">
        <f t="shared" si="2425"/>
        <v>MYA</v>
      </c>
      <c r="C6624" t="str">
        <f t="shared" si="2426"/>
        <v>GREEN</v>
      </c>
      <c r="D6624">
        <f>12</f>
        <v>12</v>
      </c>
      <c r="E6624" t="str">
        <f>"06 - B - 114 - Lisa J London"</f>
        <v>06 - B - 114 - Lisa J London</v>
      </c>
      <c r="F6624" t="str">
        <f>"NC STUDY HALL 1"</f>
        <v>NC STUDY HALL 1</v>
      </c>
      <c r="G6624" t="str">
        <f>"17-1714"</f>
        <v>17-1714</v>
      </c>
      <c r="H6624" t="str">
        <f>"B"</f>
        <v>B</v>
      </c>
    </row>
    <row r="6625" spans="1:8" x14ac:dyDescent="0.2">
      <c r="A6625" t="str">
        <f t="shared" si="2424"/>
        <v>0613099173</v>
      </c>
      <c r="B6625" t="str">
        <f t="shared" si="2425"/>
        <v>MYA</v>
      </c>
      <c r="C6625" t="str">
        <f t="shared" si="2426"/>
        <v>GREEN</v>
      </c>
      <c r="D6625">
        <f>12</f>
        <v>12</v>
      </c>
      <c r="E6625" t="str">
        <f>"03 - A - 101 - Chrystina M Marchionne"</f>
        <v>03 - A - 101 - Chrystina M Marchionne</v>
      </c>
      <c r="F6625" t="str">
        <f>"JOURN 2 (YB) LH"</f>
        <v>JOURN 2 (YB) LH</v>
      </c>
      <c r="G6625" t="str">
        <f>"05-520"</f>
        <v>05-520</v>
      </c>
      <c r="H6625" t="str">
        <f>"A"</f>
        <v>A</v>
      </c>
    </row>
    <row r="6626" spans="1:8" x14ac:dyDescent="0.2">
      <c r="A6626" t="str">
        <f t="shared" si="2424"/>
        <v>0613099173</v>
      </c>
      <c r="B6626" t="str">
        <f t="shared" si="2425"/>
        <v>MYA</v>
      </c>
      <c r="C6626" t="str">
        <f t="shared" si="2426"/>
        <v>GREEN</v>
      </c>
      <c r="D6626">
        <f>12</f>
        <v>12</v>
      </c>
      <c r="E6626" t="str">
        <f>"02 - A - 201 - Jeanne M Bermudez"</f>
        <v>02 - A - 201 - Jeanne M Bermudez</v>
      </c>
      <c r="F6626" t="str">
        <f>"AP ENV SCI"</f>
        <v>AP ENV SCI</v>
      </c>
      <c r="G6626" t="str">
        <f>"21-2141"</f>
        <v>21-2141</v>
      </c>
      <c r="H6626" t="str">
        <f>"A"</f>
        <v>A</v>
      </c>
    </row>
    <row r="6627" spans="1:8" x14ac:dyDescent="0.2">
      <c r="A6627" t="str">
        <f t="shared" si="2424"/>
        <v>0613099173</v>
      </c>
      <c r="B6627" t="str">
        <f t="shared" si="2425"/>
        <v>MYA</v>
      </c>
      <c r="C6627" t="str">
        <f t="shared" si="2426"/>
        <v>GREEN</v>
      </c>
      <c r="D6627">
        <f>12</f>
        <v>12</v>
      </c>
      <c r="E6627" t="str">
        <f>"07 - B - 105 - Robert H Rindner"</f>
        <v>07 - B - 105 - Robert H Rindner</v>
      </c>
      <c r="F6627" t="str">
        <f>"MATH DATA&amp;FIN LIT H"</f>
        <v>MATH DATA&amp;FIN LIT H</v>
      </c>
      <c r="G6627" t="str">
        <f>"21-2160"</f>
        <v>21-2160</v>
      </c>
      <c r="H6627" t="str">
        <f>"B"</f>
        <v>B</v>
      </c>
    </row>
    <row r="6628" spans="1:8" x14ac:dyDescent="0.2">
      <c r="A6628" t="str">
        <f t="shared" si="2424"/>
        <v>0613099173</v>
      </c>
      <c r="B6628" t="str">
        <f t="shared" si="2425"/>
        <v>MYA</v>
      </c>
      <c r="C6628" t="str">
        <f t="shared" si="2426"/>
        <v>GREEN</v>
      </c>
      <c r="D6628">
        <f>12</f>
        <v>12</v>
      </c>
      <c r="E6628" t="str">
        <f>"05 - B - 101 - Jordana K Hass"</f>
        <v>05 - B - 101 - Jordana K Hass</v>
      </c>
      <c r="F6628" t="str">
        <f>"AP COMP SCI PRIN"</f>
        <v>AP COMP SCI PRIN</v>
      </c>
      <c r="G6628" t="str">
        <f>"08-807"</f>
        <v>08-807</v>
      </c>
      <c r="H6628" t="str">
        <f>"B"</f>
        <v>B</v>
      </c>
    </row>
    <row r="6629" spans="1:8" x14ac:dyDescent="0.2">
      <c r="A6629" t="str">
        <f t="shared" si="2424"/>
        <v>0613099173</v>
      </c>
      <c r="B6629" t="str">
        <f t="shared" si="2425"/>
        <v>MYA</v>
      </c>
      <c r="C6629" t="str">
        <f t="shared" si="2426"/>
        <v>GREEN</v>
      </c>
      <c r="D6629">
        <f>12</f>
        <v>12</v>
      </c>
      <c r="E6629" t="str">
        <f>"01 - A - 204 - Tina M Jaramillo"</f>
        <v>01 - A - 204 - Tina M Jaramillo</v>
      </c>
      <c r="F6629" t="str">
        <f>"AP ENG LIT COMPO"</f>
        <v>AP ENG LIT COMPO</v>
      </c>
      <c r="G6629" t="str">
        <f>"17-1706"</f>
        <v>17-1706</v>
      </c>
      <c r="H6629" t="str">
        <f>"A"</f>
        <v>A</v>
      </c>
    </row>
    <row r="6630" spans="1:8" x14ac:dyDescent="0.2">
      <c r="A6630" t="str">
        <f t="shared" si="2424"/>
        <v>0613099173</v>
      </c>
      <c r="B6630" t="str">
        <f t="shared" si="2425"/>
        <v>MYA</v>
      </c>
      <c r="C6630" t="str">
        <f t="shared" si="2426"/>
        <v>GREEN</v>
      </c>
      <c r="D6630">
        <f>12</f>
        <v>12</v>
      </c>
      <c r="E6630" t="str">
        <f>"08 - B - 202 - Krystal Marie  Beruty"</f>
        <v>08 - B - 202 - Krystal Marie  Beruty</v>
      </c>
      <c r="F6630" t="str">
        <f>"AICE PSYCH 1 AS"</f>
        <v>AICE PSYCH 1 AS</v>
      </c>
      <c r="G6630" t="str">
        <f>"17-1721"</f>
        <v>17-1721</v>
      </c>
      <c r="H6630" t="str">
        <f>"B"</f>
        <v>B</v>
      </c>
    </row>
    <row r="6631" spans="1:8" x14ac:dyDescent="0.2">
      <c r="A6631" t="str">
        <f t="shared" ref="A6631:A6638" si="2427">"0615108434"</f>
        <v>0615108434</v>
      </c>
      <c r="B6631" t="str">
        <f t="shared" ref="B6631:B6638" si="2428">"ISABELLA"</f>
        <v>ISABELLA</v>
      </c>
      <c r="C6631" t="str">
        <f t="shared" ref="C6631:C6638" si="2429">"GREENBERG"</f>
        <v>GREENBERG</v>
      </c>
      <c r="D6631" t="str">
        <f t="shared" ref="D6631:D6638" si="2430">"09"</f>
        <v>09</v>
      </c>
      <c r="E6631" t="str">
        <f>"04 - A - 004 - Krystal Marie  Beruty"</f>
        <v>04 - A - 004 - Krystal Marie  Beruty</v>
      </c>
      <c r="F6631" t="str">
        <f>"AICE GLBL PERSP 1 AS"</f>
        <v>AICE GLBL PERSP 1 AS</v>
      </c>
      <c r="G6631" t="str">
        <f>"17-1721"</f>
        <v>17-1721</v>
      </c>
      <c r="H6631" t="str">
        <f>"A"</f>
        <v>A</v>
      </c>
    </row>
    <row r="6632" spans="1:8" x14ac:dyDescent="0.2">
      <c r="A6632" t="str">
        <f t="shared" si="2427"/>
        <v>0615108434</v>
      </c>
      <c r="B6632" t="str">
        <f t="shared" si="2428"/>
        <v>ISABELLA</v>
      </c>
      <c r="C6632" t="str">
        <f t="shared" si="2429"/>
        <v>GREENBERG</v>
      </c>
      <c r="D6632" t="str">
        <f t="shared" si="2430"/>
        <v>09</v>
      </c>
      <c r="E6632" t="str">
        <f>"06 - B - 105 - Cerine S Stewart"</f>
        <v>06 - B - 105 - Cerine S Stewart</v>
      </c>
      <c r="F6632" t="str">
        <f>"AICE ENG GEN PAPER 1"</f>
        <v>AICE ENG GEN PAPER 1</v>
      </c>
      <c r="G6632" t="str">
        <f>"17-1720"</f>
        <v>17-1720</v>
      </c>
      <c r="H6632" t="str">
        <f>"B"</f>
        <v>B</v>
      </c>
    </row>
    <row r="6633" spans="1:8" x14ac:dyDescent="0.2">
      <c r="A6633" t="str">
        <f t="shared" si="2427"/>
        <v>0615108434</v>
      </c>
      <c r="B6633" t="str">
        <f t="shared" si="2428"/>
        <v>ISABELLA</v>
      </c>
      <c r="C6633" t="str">
        <f t="shared" si="2429"/>
        <v>GREENBERG</v>
      </c>
      <c r="D6633" t="str">
        <f t="shared" si="2430"/>
        <v>09</v>
      </c>
      <c r="E6633" t="str">
        <f>"03 - S1 - A - 102 - Leslie J Barton"</f>
        <v>03 - S1 - A - 102 - Leslie J Barton</v>
      </c>
      <c r="F6633" t="str">
        <f>"FIRST AID SAFETY"</f>
        <v>FIRST AID SAFETY</v>
      </c>
      <c r="G6633" t="str">
        <f>"05-521"</f>
        <v>05-521</v>
      </c>
      <c r="H6633" t="str">
        <f>"A"</f>
        <v>A</v>
      </c>
    </row>
    <row r="6634" spans="1:8" x14ac:dyDescent="0.2">
      <c r="A6634" t="str">
        <f t="shared" si="2427"/>
        <v>0615108434</v>
      </c>
      <c r="B6634" t="str">
        <f t="shared" si="2428"/>
        <v>ISABELLA</v>
      </c>
      <c r="C6634" t="str">
        <f t="shared" si="2429"/>
        <v>GREENBERG</v>
      </c>
      <c r="D6634" t="str">
        <f t="shared" si="2430"/>
        <v>09</v>
      </c>
      <c r="E6634" t="str">
        <f>"02 - A - 112 - Cheryl Anne  Berman-Schechter"</f>
        <v>02 - A - 112 - Cheryl Anne  Berman-Schechter</v>
      </c>
      <c r="F6634" t="str">
        <f>"NC STUDY HALL 1"</f>
        <v>NC STUDY HALL 1</v>
      </c>
      <c r="G6634" t="str">
        <f>"17-1722"</f>
        <v>17-1722</v>
      </c>
      <c r="H6634" t="str">
        <f>"A"</f>
        <v>A</v>
      </c>
    </row>
    <row r="6635" spans="1:8" x14ac:dyDescent="0.2">
      <c r="A6635" t="str">
        <f t="shared" si="2427"/>
        <v>0615108434</v>
      </c>
      <c r="B6635" t="str">
        <f t="shared" si="2428"/>
        <v>ISABELLA</v>
      </c>
      <c r="C6635" t="str">
        <f t="shared" si="2429"/>
        <v>GREENBERG</v>
      </c>
      <c r="D6635" t="str">
        <f t="shared" si="2430"/>
        <v>09</v>
      </c>
      <c r="E6635" t="str">
        <f>"07 - B - 206 - Cheryl L Beach"</f>
        <v>07 - B - 206 - Cheryl L Beach</v>
      </c>
      <c r="F6635" t="str">
        <f>"AICE ENV MGMNT AS"</f>
        <v>AICE ENV MGMNT AS</v>
      </c>
      <c r="G6635" t="str">
        <f>"08-811"</f>
        <v>08-811</v>
      </c>
      <c r="H6635" t="str">
        <f>"B"</f>
        <v>B</v>
      </c>
    </row>
    <row r="6636" spans="1:8" x14ac:dyDescent="0.2">
      <c r="A6636" t="str">
        <f t="shared" si="2427"/>
        <v>0615108434</v>
      </c>
      <c r="B6636" t="str">
        <f t="shared" si="2428"/>
        <v>ISABELLA</v>
      </c>
      <c r="C6636" t="str">
        <f t="shared" si="2429"/>
        <v>GREENBERG</v>
      </c>
      <c r="D6636" t="str">
        <f t="shared" si="2430"/>
        <v>09</v>
      </c>
      <c r="E6636" t="str">
        <f>"05 - B - 104 - Joe  Kilpatrick Jr"</f>
        <v>05 - B - 104 - Joe  Kilpatrick Jr</v>
      </c>
      <c r="F6636" t="str">
        <f>"PRE-AICE SPAN 1 IG"</f>
        <v>PRE-AICE SPAN 1 IG</v>
      </c>
      <c r="G6636" t="str">
        <f>"09-912"</f>
        <v>09-912</v>
      </c>
      <c r="H6636" t="str">
        <f>"B"</f>
        <v>B</v>
      </c>
    </row>
    <row r="6637" spans="1:8" x14ac:dyDescent="0.2">
      <c r="A6637" t="str">
        <f t="shared" si="2427"/>
        <v>0615108434</v>
      </c>
      <c r="B6637" t="str">
        <f t="shared" si="2428"/>
        <v>ISABELLA</v>
      </c>
      <c r="C6637" t="str">
        <f t="shared" si="2429"/>
        <v>GREENBERG</v>
      </c>
      <c r="D6637" t="str">
        <f t="shared" si="2430"/>
        <v>09</v>
      </c>
      <c r="E6637" t="str">
        <f>"01 - A - 101 - Maried P Ramos"</f>
        <v>01 - A - 101 - Maried P Ramos</v>
      </c>
      <c r="F6637" t="str">
        <f>"ALGEBRA 2 HON"</f>
        <v>ALGEBRA 2 HON</v>
      </c>
      <c r="G6637" t="str">
        <f>"21-2159"</f>
        <v>21-2159</v>
      </c>
      <c r="H6637" t="str">
        <f>"A"</f>
        <v>A</v>
      </c>
    </row>
    <row r="6638" spans="1:8" x14ac:dyDescent="0.2">
      <c r="A6638" t="str">
        <f t="shared" si="2427"/>
        <v>0615108434</v>
      </c>
      <c r="B6638" t="str">
        <f t="shared" si="2428"/>
        <v>ISABELLA</v>
      </c>
      <c r="C6638" t="str">
        <f t="shared" si="2429"/>
        <v>GREENBERG</v>
      </c>
      <c r="D6638" t="str">
        <f t="shared" si="2430"/>
        <v>09</v>
      </c>
      <c r="E6638" t="str">
        <f>"08 - B - 001 - Brian M Fitzgerald"</f>
        <v>08 - B - 001 - Brian M Fitzgerald</v>
      </c>
      <c r="F6638" t="str">
        <f>"CERAM/POT 1"</f>
        <v>CERAM/POT 1</v>
      </c>
      <c r="G6638" t="str">
        <f>"09-908"</f>
        <v>09-908</v>
      </c>
      <c r="H6638" t="str">
        <f>"B"</f>
        <v>B</v>
      </c>
    </row>
    <row r="6639" spans="1:8" x14ac:dyDescent="0.2">
      <c r="A6639" t="str">
        <f t="shared" ref="A6639:A6646" si="2431">"0624044712"</f>
        <v>0624044712</v>
      </c>
      <c r="B6639" t="str">
        <f t="shared" ref="B6639:B6646" si="2432">"JANIYA"</f>
        <v>JANIYA</v>
      </c>
      <c r="C6639" t="str">
        <f t="shared" ref="C6639:C6654" si="2433">"GREENE"</f>
        <v>GREENE</v>
      </c>
      <c r="D6639">
        <f>11</f>
        <v>11</v>
      </c>
      <c r="E6639" t="str">
        <f>"04 - A - 201 - Scott A Dethloff"</f>
        <v>04 - A - 201 - Scott A Dethloff</v>
      </c>
      <c r="F6639" t="str">
        <f>"AICE THINK SKLS 1 AS"</f>
        <v>AICE THINK SKLS 1 AS</v>
      </c>
      <c r="G6639" t="str">
        <f>"08-812"</f>
        <v>08-812</v>
      </c>
      <c r="H6639" t="str">
        <f>"A"</f>
        <v>A</v>
      </c>
    </row>
    <row r="6640" spans="1:8" x14ac:dyDescent="0.2">
      <c r="A6640" t="str">
        <f t="shared" si="2431"/>
        <v>0624044712</v>
      </c>
      <c r="B6640" t="str">
        <f t="shared" si="2432"/>
        <v>JANIYA</v>
      </c>
      <c r="C6640" t="str">
        <f t="shared" si="2433"/>
        <v>GREENE</v>
      </c>
      <c r="D6640">
        <f>11</f>
        <v>11</v>
      </c>
      <c r="E6640" t="str">
        <f>"06 - B - 001 - Lourivaldo  Da Silva"</f>
        <v>06 - B - 001 - Lourivaldo  Da Silva</v>
      </c>
      <c r="F6640" t="str">
        <f>"PRE-CALCULUS HON"</f>
        <v>PRE-CALCULUS HON</v>
      </c>
      <c r="G6640" t="str">
        <f>"20-2079"</f>
        <v>20-2079</v>
      </c>
      <c r="H6640" t="str">
        <f>"B"</f>
        <v>B</v>
      </c>
    </row>
    <row r="6641" spans="1:8" x14ac:dyDescent="0.2">
      <c r="A6641" t="str">
        <f t="shared" si="2431"/>
        <v>0624044712</v>
      </c>
      <c r="B6641" t="str">
        <f t="shared" si="2432"/>
        <v>JANIYA</v>
      </c>
      <c r="C6641" t="str">
        <f t="shared" si="2433"/>
        <v>GREENE</v>
      </c>
      <c r="D6641">
        <f>11</f>
        <v>11</v>
      </c>
      <c r="E6641" t="str">
        <f>"03 - A - 103 - Kelly N Panza"</f>
        <v>03 - A - 103 - Kelly N Panza</v>
      </c>
      <c r="F6641" t="str">
        <f>"AICE GLBL PERSP 1 AS"</f>
        <v>AICE GLBL PERSP 1 AS</v>
      </c>
      <c r="G6641" t="str">
        <f>"17-1753"</f>
        <v>17-1753</v>
      </c>
      <c r="H6641" t="str">
        <f>"A"</f>
        <v>A</v>
      </c>
    </row>
    <row r="6642" spans="1:8" x14ac:dyDescent="0.2">
      <c r="A6642" t="str">
        <f t="shared" si="2431"/>
        <v>0624044712</v>
      </c>
      <c r="B6642" t="str">
        <f t="shared" si="2432"/>
        <v>JANIYA</v>
      </c>
      <c r="C6642" t="str">
        <f t="shared" si="2433"/>
        <v>GREENE</v>
      </c>
      <c r="D6642">
        <f>11</f>
        <v>11</v>
      </c>
      <c r="E6642" t="str">
        <f>"02 - A - 103 - Angela S Adeshina-Morrison"</f>
        <v>02 - A - 103 - Angela S Adeshina-Morrison</v>
      </c>
      <c r="F6642" t="str">
        <f>"NC STUDY HALL 1"</f>
        <v>NC STUDY HALL 1</v>
      </c>
      <c r="G6642" t="str">
        <f>"05-518"</f>
        <v>05-518</v>
      </c>
      <c r="H6642" t="str">
        <f>"A"</f>
        <v>A</v>
      </c>
    </row>
    <row r="6643" spans="1:8" x14ac:dyDescent="0.2">
      <c r="A6643" t="str">
        <f t="shared" si="2431"/>
        <v>0624044712</v>
      </c>
      <c r="B6643" t="str">
        <f t="shared" si="2432"/>
        <v>JANIYA</v>
      </c>
      <c r="C6643" t="str">
        <f t="shared" si="2433"/>
        <v>GREENE</v>
      </c>
      <c r="D6643">
        <f>11</f>
        <v>11</v>
      </c>
      <c r="E6643" t="str">
        <f>"07 - B - 204 - Scott A Dethloff"</f>
        <v>07 - B - 204 - Scott A Dethloff</v>
      </c>
      <c r="F6643" t="str">
        <f>"CHEMISTRY 1"</f>
        <v>CHEMISTRY 1</v>
      </c>
      <c r="G6643" t="str">
        <f>"08-812"</f>
        <v>08-812</v>
      </c>
      <c r="H6643" t="str">
        <f>"B"</f>
        <v>B</v>
      </c>
    </row>
    <row r="6644" spans="1:8" x14ac:dyDescent="0.2">
      <c r="A6644" t="str">
        <f t="shared" si="2431"/>
        <v>0624044712</v>
      </c>
      <c r="B6644" t="str">
        <f t="shared" si="2432"/>
        <v>JANIYA</v>
      </c>
      <c r="C6644" t="str">
        <f t="shared" si="2433"/>
        <v>GREENE</v>
      </c>
      <c r="D6644">
        <f>11</f>
        <v>11</v>
      </c>
      <c r="E6644" t="str">
        <f>"05 - B - 101 - Alejandro  Navarro"</f>
        <v>05 - B - 101 - Alejandro  Navarro</v>
      </c>
      <c r="F6644" t="str">
        <f>"JAZZ ENS 1"</f>
        <v>JAZZ ENS 1</v>
      </c>
      <c r="G6644" t="str">
        <f>"05-504"</f>
        <v>05-504</v>
      </c>
      <c r="H6644" t="str">
        <f>"B"</f>
        <v>B</v>
      </c>
    </row>
    <row r="6645" spans="1:8" x14ac:dyDescent="0.2">
      <c r="A6645" t="str">
        <f t="shared" si="2431"/>
        <v>0624044712</v>
      </c>
      <c r="B6645" t="str">
        <f t="shared" si="2432"/>
        <v>JANIYA</v>
      </c>
      <c r="C6645" t="str">
        <f t="shared" si="2433"/>
        <v>GREENE</v>
      </c>
      <c r="D6645">
        <f>11</f>
        <v>11</v>
      </c>
      <c r="E6645" t="str">
        <f>"01 - A - 101 - Jacklyn M James"</f>
        <v>01 - A - 101 - Jacklyn M James</v>
      </c>
      <c r="F6645" t="str">
        <f>"AICE ENG LANG AS"</f>
        <v>AICE ENG LANG AS</v>
      </c>
      <c r="G6645" t="str">
        <f>"17-1731"</f>
        <v>17-1731</v>
      </c>
      <c r="H6645" t="str">
        <f>"A"</f>
        <v>A</v>
      </c>
    </row>
    <row r="6646" spans="1:8" x14ac:dyDescent="0.2">
      <c r="A6646" t="str">
        <f t="shared" si="2431"/>
        <v>0624044712</v>
      </c>
      <c r="B6646" t="str">
        <f t="shared" si="2432"/>
        <v>JANIYA</v>
      </c>
      <c r="C6646" t="str">
        <f t="shared" si="2433"/>
        <v>GREENE</v>
      </c>
      <c r="D6646">
        <f>11</f>
        <v>11</v>
      </c>
      <c r="E6646" t="str">
        <f>"08 - B - 001 - Jerry S Jiampetti"</f>
        <v>08 - B - 001 - Jerry S Jiampetti</v>
      </c>
      <c r="F6646" t="str">
        <f>"AICE U.S. HIST 1 AS"</f>
        <v>AICE U.S. HIST 1 AS</v>
      </c>
      <c r="G6646" t="str">
        <f>"17-1751"</f>
        <v>17-1751</v>
      </c>
      <c r="H6646" t="str">
        <f>"B"</f>
        <v>B</v>
      </c>
    </row>
    <row r="6647" spans="1:8" x14ac:dyDescent="0.2">
      <c r="A6647" t="str">
        <f t="shared" ref="A6647:A6654" si="2434">"0617037566"</f>
        <v>0617037566</v>
      </c>
      <c r="B6647" t="str">
        <f t="shared" ref="B6647:B6654" si="2435">"NATHANIEL"</f>
        <v>NATHANIEL</v>
      </c>
      <c r="C6647" t="str">
        <f t="shared" si="2433"/>
        <v>GREENE</v>
      </c>
      <c r="D6647">
        <f>12</f>
        <v>12</v>
      </c>
      <c r="E6647" t="str">
        <f>"04 - A - 102 - Daniel S Katz"</f>
        <v>04 - A - 102 - Daniel S Katz</v>
      </c>
      <c r="F6647" t="str">
        <f>"AICE DRAMA 1 AS LEV"</f>
        <v>AICE DRAMA 1 AS LEV</v>
      </c>
      <c r="G6647" t="str">
        <f>"05-521"</f>
        <v>05-521</v>
      </c>
      <c r="H6647" t="str">
        <f>"A"</f>
        <v>A</v>
      </c>
    </row>
    <row r="6648" spans="1:8" x14ac:dyDescent="0.2">
      <c r="A6648" t="str">
        <f t="shared" si="2434"/>
        <v>0617037566</v>
      </c>
      <c r="B6648" t="str">
        <f t="shared" si="2435"/>
        <v>NATHANIEL</v>
      </c>
      <c r="C6648" t="str">
        <f t="shared" si="2433"/>
        <v>GREENE</v>
      </c>
      <c r="D6648">
        <f>12</f>
        <v>12</v>
      </c>
      <c r="E6648" t="str">
        <f>"06 - B - 104 - Lissa C Frederique"</f>
        <v>06 - B - 104 - Lissa C Frederique</v>
      </c>
      <c r="F6648" t="str">
        <f>"NC STUDY HALL 1"</f>
        <v>NC STUDY HALL 1</v>
      </c>
      <c r="G6648" t="str">
        <f>"17-1754"</f>
        <v>17-1754</v>
      </c>
      <c r="H6648" t="str">
        <f>"B"</f>
        <v>B</v>
      </c>
    </row>
    <row r="6649" spans="1:8" x14ac:dyDescent="0.2">
      <c r="A6649" t="str">
        <f t="shared" si="2434"/>
        <v>0617037566</v>
      </c>
      <c r="B6649" t="str">
        <f t="shared" si="2435"/>
        <v>NATHANIEL</v>
      </c>
      <c r="C6649" t="str">
        <f t="shared" si="2433"/>
        <v>GREENE</v>
      </c>
      <c r="D6649">
        <f>12</f>
        <v>12</v>
      </c>
      <c r="E6649" t="str">
        <f>"03 - A - 202 - Jeanne M Bermudez"</f>
        <v>03 - A - 202 - Jeanne M Bermudez</v>
      </c>
      <c r="F6649" t="str">
        <f>"PHYSICS 1 HON"</f>
        <v>PHYSICS 1 HON</v>
      </c>
      <c r="G6649" t="str">
        <f>"21-2141"</f>
        <v>21-2141</v>
      </c>
      <c r="H6649" t="str">
        <f>"A"</f>
        <v>A</v>
      </c>
    </row>
    <row r="6650" spans="1:8" x14ac:dyDescent="0.2">
      <c r="A6650" t="str">
        <f t="shared" si="2434"/>
        <v>0617037566</v>
      </c>
      <c r="B6650" t="str">
        <f t="shared" si="2435"/>
        <v>NATHANIEL</v>
      </c>
      <c r="C6650" t="str">
        <f t="shared" si="2433"/>
        <v>GREENE</v>
      </c>
      <c r="D6650">
        <f>12</f>
        <v>12</v>
      </c>
      <c r="E6650" t="str">
        <f>"02 - S1 - A - 102 - Richard E Dunbar Iii"</f>
        <v>02 - S1 - A - 102 - Richard E Dunbar Iii</v>
      </c>
      <c r="F6650" t="str">
        <f>"WEIGHT TRAIN 3"</f>
        <v>WEIGHT TRAIN 3</v>
      </c>
      <c r="G6650" t="str">
        <f>"05-501"</f>
        <v>05-501</v>
      </c>
      <c r="H6650" t="str">
        <f>"A"</f>
        <v>A</v>
      </c>
    </row>
    <row r="6651" spans="1:8" x14ac:dyDescent="0.2">
      <c r="A6651" t="str">
        <f t="shared" si="2434"/>
        <v>0617037566</v>
      </c>
      <c r="B6651" t="str">
        <f t="shared" si="2435"/>
        <v>NATHANIEL</v>
      </c>
      <c r="C6651" t="str">
        <f t="shared" si="2433"/>
        <v>GREENE</v>
      </c>
      <c r="D6651">
        <f>12</f>
        <v>12</v>
      </c>
      <c r="E6651" t="str">
        <f>"07 - B - 102 - Thomas G Handwerg"</f>
        <v>07 - B - 102 - Thomas G Handwerg</v>
      </c>
      <c r="F6651" t="str">
        <f>"PROB STAT W/APPS HON"</f>
        <v>PROB STAT W/APPS HON</v>
      </c>
      <c r="G6651" t="str">
        <f>"21-2146"</f>
        <v>21-2146</v>
      </c>
      <c r="H6651" t="str">
        <f>"B"</f>
        <v>B</v>
      </c>
    </row>
    <row r="6652" spans="1:8" x14ac:dyDescent="0.2">
      <c r="A6652" t="str">
        <f t="shared" si="2434"/>
        <v>0617037566</v>
      </c>
      <c r="B6652" t="str">
        <f t="shared" si="2435"/>
        <v>NATHANIEL</v>
      </c>
      <c r="C6652" t="str">
        <f t="shared" si="2433"/>
        <v>GREENE</v>
      </c>
      <c r="D6652">
        <f>12</f>
        <v>12</v>
      </c>
      <c r="E6652" t="str">
        <f>"05 - B - 103 - Brandy N Zdenek"</f>
        <v>05 - B - 103 - Brandy N Zdenek</v>
      </c>
      <c r="F6652" t="str">
        <f>"AICE ENG LANG 2 AL"</f>
        <v>AICE ENG LANG 2 AL</v>
      </c>
      <c r="G6652" t="str">
        <f>"17-1704"</f>
        <v>17-1704</v>
      </c>
      <c r="H6652" t="str">
        <f>"B"</f>
        <v>B</v>
      </c>
    </row>
    <row r="6653" spans="1:8" x14ac:dyDescent="0.2">
      <c r="A6653" t="str">
        <f t="shared" si="2434"/>
        <v>0617037566</v>
      </c>
      <c r="B6653" t="str">
        <f t="shared" si="2435"/>
        <v>NATHANIEL</v>
      </c>
      <c r="C6653" t="str">
        <f t="shared" si="2433"/>
        <v>GREENE</v>
      </c>
      <c r="D6653">
        <f>12</f>
        <v>12</v>
      </c>
      <c r="E6653" t="str">
        <f>"01 - S1 - A - 101 - Barbara L Segal"</f>
        <v>01 - S1 - A - 101 - Barbara L Segal</v>
      </c>
      <c r="F6653" t="str">
        <f>"US GOVT HON"</f>
        <v>US GOVT HON</v>
      </c>
      <c r="G6653" t="str">
        <f>"17-1742"</f>
        <v>17-1742</v>
      </c>
      <c r="H6653" t="str">
        <f>"A"</f>
        <v>A</v>
      </c>
    </row>
    <row r="6654" spans="1:8" x14ac:dyDescent="0.2">
      <c r="A6654" t="str">
        <f t="shared" si="2434"/>
        <v>0617037566</v>
      </c>
      <c r="B6654" t="str">
        <f t="shared" si="2435"/>
        <v>NATHANIEL</v>
      </c>
      <c r="C6654" t="str">
        <f t="shared" si="2433"/>
        <v>GREENE</v>
      </c>
      <c r="D6654">
        <f>12</f>
        <v>12</v>
      </c>
      <c r="E6654" t="str">
        <f>"08 - B - 103 - Chrystina M Marchionne"</f>
        <v>08 - B - 103 - Chrystina M Marchionne</v>
      </c>
      <c r="F6654" t="str">
        <f>"JOURN 3 (YB) LH"</f>
        <v>JOURN 3 (YB) LH</v>
      </c>
      <c r="G6654" t="str">
        <f>"05-520"</f>
        <v>05-520</v>
      </c>
      <c r="H6654" t="str">
        <f>"B"</f>
        <v>B</v>
      </c>
    </row>
    <row r="6655" spans="1:8" x14ac:dyDescent="0.2">
      <c r="A6655" t="str">
        <f t="shared" ref="A6655:A6662" si="2436">"0613014323"</f>
        <v>0613014323</v>
      </c>
      <c r="B6655" t="str">
        <f t="shared" ref="B6655:B6662" si="2437">"JOANA"</f>
        <v>JOANA</v>
      </c>
      <c r="C6655" t="str">
        <f t="shared" ref="C6655:C6662" si="2438">"GREGORIO"</f>
        <v>GREGORIO</v>
      </c>
      <c r="D6655">
        <f>12</f>
        <v>12</v>
      </c>
      <c r="E6655" t="str">
        <f>"04 - A - 101 - Thomas G Handwerg"</f>
        <v>04 - A - 101 - Thomas G Handwerg</v>
      </c>
      <c r="F6655" t="str">
        <f>"MATH COLL ALGEBRA"</f>
        <v>MATH COLL ALGEBRA</v>
      </c>
      <c r="G6655" t="str">
        <f>"21-2146"</f>
        <v>21-2146</v>
      </c>
      <c r="H6655" t="str">
        <f>"A"</f>
        <v>A</v>
      </c>
    </row>
    <row r="6656" spans="1:8" x14ac:dyDescent="0.2">
      <c r="A6656" t="str">
        <f t="shared" si="2436"/>
        <v>0613014323</v>
      </c>
      <c r="B6656" t="str">
        <f t="shared" si="2437"/>
        <v>JOANA</v>
      </c>
      <c r="C6656" t="str">
        <f t="shared" si="2438"/>
        <v>GREGORIO</v>
      </c>
      <c r="D6656">
        <f>12</f>
        <v>12</v>
      </c>
      <c r="E6656" t="str">
        <f>"06 - B - 112 - Lisa  Quinn"</f>
        <v>06 - B - 112 - Lisa  Quinn</v>
      </c>
      <c r="F6656" t="str">
        <f>"NC STUDY HALL 1"</f>
        <v>NC STUDY HALL 1</v>
      </c>
      <c r="G6656" t="str">
        <f>"17-1725"</f>
        <v>17-1725</v>
      </c>
      <c r="H6656" t="str">
        <f>"B"</f>
        <v>B</v>
      </c>
    </row>
    <row r="6657" spans="1:8" x14ac:dyDescent="0.2">
      <c r="A6657" t="str">
        <f t="shared" si="2436"/>
        <v>0613014323</v>
      </c>
      <c r="B6657" t="str">
        <f t="shared" si="2437"/>
        <v>JOANA</v>
      </c>
      <c r="C6657" t="str">
        <f t="shared" si="2438"/>
        <v>GREGORIO</v>
      </c>
      <c r="D6657">
        <f>12</f>
        <v>12</v>
      </c>
      <c r="E6657" t="str">
        <f>"03 - A - 102 - Cliffon  Saurel"</f>
        <v>03 - A - 102 - Cliffon  Saurel</v>
      </c>
      <c r="F6657" t="str">
        <f>"PHYSICAL SCI"</f>
        <v>PHYSICAL SCI</v>
      </c>
      <c r="G6657" t="str">
        <f>"05-522"</f>
        <v>05-522</v>
      </c>
      <c r="H6657" t="str">
        <f>"A"</f>
        <v>A</v>
      </c>
    </row>
    <row r="6658" spans="1:8" x14ac:dyDescent="0.2">
      <c r="A6658" t="str">
        <f t="shared" si="2436"/>
        <v>0613014323</v>
      </c>
      <c r="B6658" t="str">
        <f t="shared" si="2437"/>
        <v>JOANA</v>
      </c>
      <c r="C6658" t="str">
        <f t="shared" si="2438"/>
        <v>GREGORIO</v>
      </c>
      <c r="D6658">
        <f>12</f>
        <v>12</v>
      </c>
      <c r="E6658" t="str">
        <f>"02 - S1 - A - 103 - Barbara L Segal"</f>
        <v>02 - S1 - A - 103 - Barbara L Segal</v>
      </c>
      <c r="F6658" t="str">
        <f>"US GOVT HON"</f>
        <v>US GOVT HON</v>
      </c>
      <c r="G6658" t="str">
        <f>"17-1742"</f>
        <v>17-1742</v>
      </c>
      <c r="H6658" t="str">
        <f>"A"</f>
        <v>A</v>
      </c>
    </row>
    <row r="6659" spans="1:8" x14ac:dyDescent="0.2">
      <c r="A6659" t="str">
        <f t="shared" si="2436"/>
        <v>0613014323</v>
      </c>
      <c r="B6659" t="str">
        <f t="shared" si="2437"/>
        <v>JOANA</v>
      </c>
      <c r="C6659" t="str">
        <f t="shared" si="2438"/>
        <v>GREGORIO</v>
      </c>
      <c r="D6659">
        <f>12</f>
        <v>12</v>
      </c>
      <c r="E6659" t="str">
        <f>"07 - B - 202 - Chrystina M Marchionne"</f>
        <v>07 - B - 202 - Chrystina M Marchionne</v>
      </c>
      <c r="F6659" t="str">
        <f>"JOURN 1 (YB) LH"</f>
        <v>JOURN 1 (YB) LH</v>
      </c>
      <c r="G6659" t="str">
        <f>"05-520"</f>
        <v>05-520</v>
      </c>
      <c r="H6659" t="str">
        <f>"B"</f>
        <v>B</v>
      </c>
    </row>
    <row r="6660" spans="1:8" x14ac:dyDescent="0.2">
      <c r="A6660" t="str">
        <f t="shared" si="2436"/>
        <v>0613014323</v>
      </c>
      <c r="B6660" t="str">
        <f t="shared" si="2437"/>
        <v>JOANA</v>
      </c>
      <c r="C6660" t="str">
        <f t="shared" si="2438"/>
        <v>GREGORIO</v>
      </c>
      <c r="D6660">
        <f>12</f>
        <v>12</v>
      </c>
      <c r="E6660" t="str">
        <f>"05 - B - 104 - Jeffrey S Gallagher"</f>
        <v>05 - B - 104 - Jeffrey S Gallagher</v>
      </c>
      <c r="F6660" t="str">
        <f>"ENG HON 4"</f>
        <v>ENG HON 4</v>
      </c>
      <c r="G6660" t="str">
        <f>"17-1724"</f>
        <v>17-1724</v>
      </c>
      <c r="H6660" t="str">
        <f>"B"</f>
        <v>B</v>
      </c>
    </row>
    <row r="6661" spans="1:8" x14ac:dyDescent="0.2">
      <c r="A6661" t="str">
        <f t="shared" si="2436"/>
        <v>0613014323</v>
      </c>
      <c r="B6661" t="str">
        <f t="shared" si="2437"/>
        <v>JOANA</v>
      </c>
      <c r="C6661" t="str">
        <f t="shared" si="2438"/>
        <v>GREGORIO</v>
      </c>
      <c r="D6661">
        <f>12</f>
        <v>12</v>
      </c>
      <c r="E6661" t="str">
        <f>"01 - S1 - A - 101 - Leslie J Barton"</f>
        <v>01 - S1 - A - 101 - Leslie J Barton</v>
      </c>
      <c r="F6661" t="str">
        <f>"FIRST AID SAFETY"</f>
        <v>FIRST AID SAFETY</v>
      </c>
      <c r="G6661" t="str">
        <f>"05-521"</f>
        <v>05-521</v>
      </c>
      <c r="H6661" t="str">
        <f>"A"</f>
        <v>A</v>
      </c>
    </row>
    <row r="6662" spans="1:8" x14ac:dyDescent="0.2">
      <c r="A6662" t="str">
        <f t="shared" si="2436"/>
        <v>0613014323</v>
      </c>
      <c r="B6662" t="str">
        <f t="shared" si="2437"/>
        <v>JOANA</v>
      </c>
      <c r="C6662" t="str">
        <f t="shared" si="2438"/>
        <v>GREGORIO</v>
      </c>
      <c r="D6662">
        <f>12</f>
        <v>12</v>
      </c>
      <c r="E6662" t="str">
        <f>"08 - B - 101 - Rosa Elaine  Collado-Duff"</f>
        <v>08 - B - 101 - Rosa Elaine  Collado-Duff</v>
      </c>
      <c r="F6662" t="str">
        <f>"AP SPANISH LANG &amp; CU"</f>
        <v>AP SPANISH LANG &amp; CU</v>
      </c>
      <c r="G6662" t="str">
        <f>"09-913"</f>
        <v>09-913</v>
      </c>
      <c r="H6662" t="str">
        <f>"B"</f>
        <v>B</v>
      </c>
    </row>
    <row r="6663" spans="1:8" x14ac:dyDescent="0.2">
      <c r="A6663" t="str">
        <f t="shared" ref="A6663:A6670" si="2439">"0614143031"</f>
        <v>0614143031</v>
      </c>
      <c r="B6663" t="str">
        <f t="shared" ref="B6663:B6670" si="2440">"RYAN"</f>
        <v>RYAN</v>
      </c>
      <c r="C6663" t="str">
        <f t="shared" ref="C6663:C6670" si="2441">"GRIESER"</f>
        <v>GRIESER</v>
      </c>
      <c r="D6663" t="str">
        <f t="shared" ref="D6663:D6670" si="2442">"09"</f>
        <v>09</v>
      </c>
      <c r="E6663" t="str">
        <f>"04 - A - 102 - Josiah I Lacy"</f>
        <v>04 - A - 102 - Josiah I Lacy</v>
      </c>
      <c r="F6663" t="str">
        <f>"PRE-AICE BIO IG"</f>
        <v>PRE-AICE BIO IG</v>
      </c>
      <c r="G6663" t="str">
        <f>"08-801"</f>
        <v>08-801</v>
      </c>
      <c r="H6663" t="str">
        <f>"A"</f>
        <v>A</v>
      </c>
    </row>
    <row r="6664" spans="1:8" x14ac:dyDescent="0.2">
      <c r="A6664" t="str">
        <f t="shared" si="2439"/>
        <v>0614143031</v>
      </c>
      <c r="B6664" t="str">
        <f t="shared" si="2440"/>
        <v>RYAN</v>
      </c>
      <c r="C6664" t="str">
        <f t="shared" si="2441"/>
        <v>GRIESER</v>
      </c>
      <c r="D6664" t="str">
        <f t="shared" si="2442"/>
        <v>09</v>
      </c>
      <c r="E6664" t="str">
        <f>"06 - B - 101 - Fernando  Vega-Cid"</f>
        <v>06 - B - 101 - Fernando  Vega-Cid</v>
      </c>
      <c r="F6664" t="str">
        <f>"PRE-AICE MATH 2 IG"</f>
        <v>PRE-AICE MATH 2 IG</v>
      </c>
      <c r="G6664" t="str">
        <f>"21-2163"</f>
        <v>21-2163</v>
      </c>
      <c r="H6664" t="str">
        <f>"B"</f>
        <v>B</v>
      </c>
    </row>
    <row r="6665" spans="1:8" x14ac:dyDescent="0.2">
      <c r="A6665" t="str">
        <f t="shared" si="2439"/>
        <v>0614143031</v>
      </c>
      <c r="B6665" t="str">
        <f t="shared" si="2440"/>
        <v>RYAN</v>
      </c>
      <c r="C6665" t="str">
        <f t="shared" si="2441"/>
        <v>GRIESER</v>
      </c>
      <c r="D6665" t="str">
        <f t="shared" si="2442"/>
        <v>09</v>
      </c>
      <c r="E6665" t="str">
        <f>"03 - A - 102 - Rory T Sponsler"</f>
        <v>03 - A - 102 - Rory T Sponsler</v>
      </c>
      <c r="F6665" t="str">
        <f>"PRE-AICE WRLD HST IG"</f>
        <v>PRE-AICE WRLD HST IG</v>
      </c>
      <c r="G6665" t="str">
        <f>"17-1740"</f>
        <v>17-1740</v>
      </c>
      <c r="H6665" t="str">
        <f>"A"</f>
        <v>A</v>
      </c>
    </row>
    <row r="6666" spans="1:8" x14ac:dyDescent="0.2">
      <c r="A6666" t="str">
        <f t="shared" si="2439"/>
        <v>0614143031</v>
      </c>
      <c r="B6666" t="str">
        <f t="shared" si="2440"/>
        <v>RYAN</v>
      </c>
      <c r="C6666" t="str">
        <f t="shared" si="2441"/>
        <v>GRIESER</v>
      </c>
      <c r="D6666" t="str">
        <f t="shared" si="2442"/>
        <v>09</v>
      </c>
      <c r="E6666" t="str">
        <f>"02 - A - 110 - Maried P Ramos"</f>
        <v>02 - A - 110 - Maried P Ramos</v>
      </c>
      <c r="F6666" t="str">
        <f>"NC STUDY HALL 1"</f>
        <v>NC STUDY HALL 1</v>
      </c>
      <c r="G6666" t="str">
        <f>"21-2159"</f>
        <v>21-2159</v>
      </c>
      <c r="H6666" t="str">
        <f>"A"</f>
        <v>A</v>
      </c>
    </row>
    <row r="6667" spans="1:8" x14ac:dyDescent="0.2">
      <c r="A6667" t="str">
        <f t="shared" si="2439"/>
        <v>0614143031</v>
      </c>
      <c r="B6667" t="str">
        <f t="shared" si="2440"/>
        <v>RYAN</v>
      </c>
      <c r="C6667" t="str">
        <f t="shared" si="2441"/>
        <v>GRIESER</v>
      </c>
      <c r="D6667" t="str">
        <f t="shared" si="2442"/>
        <v>09</v>
      </c>
      <c r="E6667" t="str">
        <f>"07 - B - 101 - Samantha L Martinez"</f>
        <v>07 - B - 101 - Samantha L Martinez</v>
      </c>
      <c r="F6667" t="str">
        <f>"KEYBD 1"</f>
        <v>KEYBD 1</v>
      </c>
      <c r="G6667" t="str">
        <f>"05-505"</f>
        <v>05-505</v>
      </c>
      <c r="H6667" t="str">
        <f>"B"</f>
        <v>B</v>
      </c>
    </row>
    <row r="6668" spans="1:8" x14ac:dyDescent="0.2">
      <c r="A6668" t="str">
        <f t="shared" si="2439"/>
        <v>0614143031</v>
      </c>
      <c r="B6668" t="str">
        <f t="shared" si="2440"/>
        <v>RYAN</v>
      </c>
      <c r="C6668" t="str">
        <f t="shared" si="2441"/>
        <v>GRIESER</v>
      </c>
      <c r="D6668" t="str">
        <f t="shared" si="2442"/>
        <v>09</v>
      </c>
      <c r="E6668" t="str">
        <f>"05 - S1 - B - 103 - Leslie J Barton"</f>
        <v>05 - S1 - B - 103 - Leslie J Barton</v>
      </c>
      <c r="F6668" t="str">
        <f>"FIRST AID SAFETY"</f>
        <v>FIRST AID SAFETY</v>
      </c>
      <c r="G6668" t="str">
        <f>"05-521"</f>
        <v>05-521</v>
      </c>
      <c r="H6668" t="str">
        <f>"B"</f>
        <v>B</v>
      </c>
    </row>
    <row r="6669" spans="1:8" x14ac:dyDescent="0.2">
      <c r="A6669" t="str">
        <f t="shared" si="2439"/>
        <v>0614143031</v>
      </c>
      <c r="B6669" t="str">
        <f t="shared" si="2440"/>
        <v>RYAN</v>
      </c>
      <c r="C6669" t="str">
        <f t="shared" si="2441"/>
        <v>GRIESER</v>
      </c>
      <c r="D6669" t="str">
        <f t="shared" si="2442"/>
        <v>09</v>
      </c>
      <c r="E6669" t="str">
        <f>"01 - A - 101 - Cheryl Anne  Berman-Schechter"</f>
        <v>01 - A - 101 - Cheryl Anne  Berman-Schechter</v>
      </c>
      <c r="F6669" t="str">
        <f>"PRE-AICE ENG LANG IG"</f>
        <v>PRE-AICE ENG LANG IG</v>
      </c>
      <c r="G6669" t="str">
        <f>"17-1722"</f>
        <v>17-1722</v>
      </c>
      <c r="H6669" t="str">
        <f>"A"</f>
        <v>A</v>
      </c>
    </row>
    <row r="6670" spans="1:8" x14ac:dyDescent="0.2">
      <c r="A6670" t="str">
        <f t="shared" si="2439"/>
        <v>0614143031</v>
      </c>
      <c r="B6670" t="str">
        <f t="shared" si="2440"/>
        <v>RYAN</v>
      </c>
      <c r="C6670" t="str">
        <f t="shared" si="2441"/>
        <v>GRIESER</v>
      </c>
      <c r="D6670" t="str">
        <f t="shared" si="2442"/>
        <v>09</v>
      </c>
      <c r="E6670" t="str">
        <f>"08 - B - 108 - Adam Marcus  Drucker"</f>
        <v>08 - B - 108 - Adam Marcus  Drucker</v>
      </c>
      <c r="F6670" t="str">
        <f>"HOPE-PE V"</f>
        <v>HOPE-PE V</v>
      </c>
      <c r="G6670" t="str">
        <f>"04-254"</f>
        <v>04-254</v>
      </c>
      <c r="H6670" t="str">
        <f>"B"</f>
        <v>B</v>
      </c>
    </row>
    <row r="6671" spans="1:8" x14ac:dyDescent="0.2">
      <c r="A6671" t="str">
        <f t="shared" ref="A6671:A6679" si="2443">"0614086860"</f>
        <v>0614086860</v>
      </c>
      <c r="B6671" t="str">
        <f t="shared" ref="B6671:B6679" si="2444">"JAHNEEL"</f>
        <v>JAHNEEL</v>
      </c>
      <c r="C6671" t="str">
        <f t="shared" ref="C6671:C6688" si="2445">"GRIFFIN"</f>
        <v>GRIFFIN</v>
      </c>
      <c r="D6671">
        <f>10</f>
        <v>10</v>
      </c>
      <c r="E6671" t="str">
        <f>"04 - A - 106 - Ferrie J Arostique"</f>
        <v>04 - A - 106 - Ferrie J Arostique</v>
      </c>
      <c r="F6671" t="str">
        <f>"PRE-AICE MATH 2 IG"</f>
        <v>PRE-AICE MATH 2 IG</v>
      </c>
      <c r="G6671" t="str">
        <f>"21-2139"</f>
        <v>21-2139</v>
      </c>
      <c r="H6671" t="str">
        <f>"A"</f>
        <v>A</v>
      </c>
    </row>
    <row r="6672" spans="1:8" x14ac:dyDescent="0.2">
      <c r="A6672" t="str">
        <f t="shared" si="2443"/>
        <v>0614086860</v>
      </c>
      <c r="B6672" t="str">
        <f t="shared" si="2444"/>
        <v>JAHNEEL</v>
      </c>
      <c r="C6672" t="str">
        <f t="shared" si="2445"/>
        <v>GRIFFIN</v>
      </c>
      <c r="D6672">
        <f>10</f>
        <v>10</v>
      </c>
      <c r="E6672" t="str">
        <f>"06 - B - 110 - Jerry S Jiampetti"</f>
        <v>06 - B - 110 - Jerry S Jiampetti</v>
      </c>
      <c r="F6672" t="str">
        <f>"NC STUDY HALL 1"</f>
        <v>NC STUDY HALL 1</v>
      </c>
      <c r="G6672" t="str">
        <f>"17-1751"</f>
        <v>17-1751</v>
      </c>
      <c r="H6672" t="str">
        <f>"B"</f>
        <v>B</v>
      </c>
    </row>
    <row r="6673" spans="1:8" x14ac:dyDescent="0.2">
      <c r="A6673" t="str">
        <f t="shared" si="2443"/>
        <v>0614086860</v>
      </c>
      <c r="B6673" t="str">
        <f t="shared" si="2444"/>
        <v>JAHNEEL</v>
      </c>
      <c r="C6673" t="str">
        <f t="shared" si="2445"/>
        <v>GRIFFIN</v>
      </c>
      <c r="D6673">
        <f>10</f>
        <v>10</v>
      </c>
      <c r="E6673" t="str">
        <f>"06 - B - 106 - Eric  Lopapa"</f>
        <v>06 - B - 106 - Eric  Lopapa</v>
      </c>
      <c r="F6673" t="str">
        <f>"LANG THERAPY"</f>
        <v>LANG THERAPY</v>
      </c>
      <c r="G6673" t="str">
        <f>"21-2110"</f>
        <v>21-2110</v>
      </c>
      <c r="H6673" t="str">
        <f>"B"</f>
        <v>B</v>
      </c>
    </row>
    <row r="6674" spans="1:8" x14ac:dyDescent="0.2">
      <c r="A6674" t="str">
        <f t="shared" si="2443"/>
        <v>0614086860</v>
      </c>
      <c r="B6674" t="str">
        <f t="shared" si="2444"/>
        <v>JAHNEEL</v>
      </c>
      <c r="C6674" t="str">
        <f t="shared" si="2445"/>
        <v>GRIFFIN</v>
      </c>
      <c r="D6674">
        <f>10</f>
        <v>10</v>
      </c>
      <c r="E6674" t="str">
        <f>"03 - A - 103 - Taraneh C Abreu"</f>
        <v>03 - A - 103 - Taraneh C Abreu</v>
      </c>
      <c r="F6674" t="str">
        <f>"INTENS READ 2"</f>
        <v>INTENS READ 2</v>
      </c>
      <c r="G6674" t="str">
        <f>"17-1713"</f>
        <v>17-1713</v>
      </c>
      <c r="H6674" t="str">
        <f>"A"</f>
        <v>A</v>
      </c>
    </row>
    <row r="6675" spans="1:8" x14ac:dyDescent="0.2">
      <c r="A6675" t="str">
        <f t="shared" si="2443"/>
        <v>0614086860</v>
      </c>
      <c r="B6675" t="str">
        <f t="shared" si="2444"/>
        <v>JAHNEEL</v>
      </c>
      <c r="C6675" t="str">
        <f t="shared" si="2445"/>
        <v>GRIFFIN</v>
      </c>
      <c r="D6675">
        <f>10</f>
        <v>10</v>
      </c>
      <c r="E6675" t="str">
        <f>"02 - S1 - A - 101 - James H Mccann"</f>
        <v>02 - S1 - A - 101 - James H Mccann</v>
      </c>
      <c r="F6675" t="str">
        <f>"PERS FIN &amp; MON MGT H"</f>
        <v>PERS FIN &amp; MON MGT H</v>
      </c>
      <c r="G6675" t="str">
        <f>"17-1716"</f>
        <v>17-1716</v>
      </c>
      <c r="H6675" t="str">
        <f>"A"</f>
        <v>A</v>
      </c>
    </row>
    <row r="6676" spans="1:8" x14ac:dyDescent="0.2">
      <c r="A6676" t="str">
        <f t="shared" si="2443"/>
        <v>0614086860</v>
      </c>
      <c r="B6676" t="str">
        <f t="shared" si="2444"/>
        <v>JAHNEEL</v>
      </c>
      <c r="C6676" t="str">
        <f t="shared" si="2445"/>
        <v>GRIFFIN</v>
      </c>
      <c r="D6676">
        <f>10</f>
        <v>10</v>
      </c>
      <c r="E6676" t="str">
        <f>"07 - B - 103 - Vanessa J Liburd"</f>
        <v>07 - B - 103 - Vanessa J Liburd</v>
      </c>
      <c r="F6676" t="str">
        <f>"PRE-AICE FRENCH 1 IG"</f>
        <v>PRE-AICE FRENCH 1 IG</v>
      </c>
      <c r="G6676" t="str">
        <f>"05-519"</f>
        <v>05-519</v>
      </c>
      <c r="H6676" t="str">
        <f>"B"</f>
        <v>B</v>
      </c>
    </row>
    <row r="6677" spans="1:8" x14ac:dyDescent="0.2">
      <c r="A6677" t="str">
        <f t="shared" si="2443"/>
        <v>0614086860</v>
      </c>
      <c r="B6677" t="str">
        <f t="shared" si="2444"/>
        <v>JAHNEEL</v>
      </c>
      <c r="C6677" t="str">
        <f t="shared" si="2445"/>
        <v>GRIFFIN</v>
      </c>
      <c r="D6677">
        <f>10</f>
        <v>10</v>
      </c>
      <c r="E6677" t="str">
        <f>"05 - B - 107 - Nikiel  Nesbeth"</f>
        <v>05 - B - 107 - Nikiel  Nesbeth</v>
      </c>
      <c r="F6677" t="str">
        <f>"ENG 2"</f>
        <v>ENG 2</v>
      </c>
      <c r="G6677" t="str">
        <f>"17-1705"</f>
        <v>17-1705</v>
      </c>
      <c r="H6677" t="str">
        <f>"B"</f>
        <v>B</v>
      </c>
    </row>
    <row r="6678" spans="1:8" x14ac:dyDescent="0.2">
      <c r="A6678" t="str">
        <f t="shared" si="2443"/>
        <v>0614086860</v>
      </c>
      <c r="B6678" t="str">
        <f t="shared" si="2444"/>
        <v>JAHNEEL</v>
      </c>
      <c r="C6678" t="str">
        <f t="shared" si="2445"/>
        <v>GRIFFIN</v>
      </c>
      <c r="D6678">
        <f>10</f>
        <v>10</v>
      </c>
      <c r="E6678" t="str">
        <f>"01 - A - 101 - Brian M Fitzgerald"</f>
        <v>01 - A - 101 - Brian M Fitzgerald</v>
      </c>
      <c r="F6678" t="str">
        <f>"CERAM/POT 1"</f>
        <v>CERAM/POT 1</v>
      </c>
      <c r="G6678" t="str">
        <f>"09-908"</f>
        <v>09-908</v>
      </c>
      <c r="H6678" t="str">
        <f>"A"</f>
        <v>A</v>
      </c>
    </row>
    <row r="6679" spans="1:8" x14ac:dyDescent="0.2">
      <c r="A6679" t="str">
        <f t="shared" si="2443"/>
        <v>0614086860</v>
      </c>
      <c r="B6679" t="str">
        <f t="shared" si="2444"/>
        <v>JAHNEEL</v>
      </c>
      <c r="C6679" t="str">
        <f t="shared" si="2445"/>
        <v>GRIFFIN</v>
      </c>
      <c r="D6679">
        <f>10</f>
        <v>10</v>
      </c>
      <c r="E6679" t="str">
        <f>"08 - B - 108 - Paige Lauren  Brochu"</f>
        <v>08 - B - 108 - Paige Lauren  Brochu</v>
      </c>
      <c r="F6679" t="str">
        <f>"BIOLOGY 1"</f>
        <v>BIOLOGY 1</v>
      </c>
      <c r="G6679" t="str">
        <f>"21-2134"</f>
        <v>21-2134</v>
      </c>
      <c r="H6679" t="str">
        <f>"B"</f>
        <v>B</v>
      </c>
    </row>
    <row r="6680" spans="1:8" x14ac:dyDescent="0.2">
      <c r="A6680" t="str">
        <f t="shared" ref="A6680:A6688" si="2446">"0622060577"</f>
        <v>0622060577</v>
      </c>
      <c r="B6680" t="str">
        <f t="shared" ref="B6680:B6688" si="2447">"JAMYIS"</f>
        <v>JAMYIS</v>
      </c>
      <c r="C6680" t="str">
        <f t="shared" si="2445"/>
        <v>GRIFFIN</v>
      </c>
      <c r="D6680">
        <f>12</f>
        <v>12</v>
      </c>
      <c r="E6680" t="str">
        <f>"04 - A - 102 - Staci M Newton"</f>
        <v>04 - A - 102 - Staci M Newton</v>
      </c>
      <c r="F6680" t="str">
        <f>"ACCESS ENGLISH 1"</f>
        <v>ACCESS ENGLISH 1</v>
      </c>
      <c r="G6680" t="str">
        <f>"21-2103"</f>
        <v>21-2103</v>
      </c>
      <c r="H6680" t="str">
        <f>"A"</f>
        <v>A</v>
      </c>
    </row>
    <row r="6681" spans="1:8" x14ac:dyDescent="0.2">
      <c r="A6681" t="str">
        <f t="shared" si="2446"/>
        <v>0622060577</v>
      </c>
      <c r="B6681" t="str">
        <f t="shared" si="2447"/>
        <v>JAMYIS</v>
      </c>
      <c r="C6681" t="str">
        <f t="shared" si="2445"/>
        <v>GRIFFIN</v>
      </c>
      <c r="D6681">
        <f>12</f>
        <v>12</v>
      </c>
      <c r="E6681" t="str">
        <f>"06 - B - 101 - Justin D Willard"</f>
        <v>06 - B - 101 - Justin D Willard</v>
      </c>
      <c r="F6681" t="str">
        <f>"CAR EXERIENCES: 9-12"</f>
        <v>CAR EXERIENCES: 9-12</v>
      </c>
      <c r="G6681" t="str">
        <f>"21-2111"</f>
        <v>21-2111</v>
      </c>
      <c r="H6681" t="str">
        <f>"B"</f>
        <v>B</v>
      </c>
    </row>
    <row r="6682" spans="1:8" x14ac:dyDescent="0.2">
      <c r="A6682" t="str">
        <f t="shared" si="2446"/>
        <v>0622060577</v>
      </c>
      <c r="B6682" t="str">
        <f t="shared" si="2447"/>
        <v>JAMYIS</v>
      </c>
      <c r="C6682" t="str">
        <f t="shared" si="2445"/>
        <v>GRIFFIN</v>
      </c>
      <c r="D6682">
        <f>12</f>
        <v>12</v>
      </c>
      <c r="E6682" t="str">
        <f>"03 - A - 102 - Staci M Newton"</f>
        <v>03 - A - 102 - Staci M Newton</v>
      </c>
      <c r="F6682" t="str">
        <f>"ACCESS ENGLISH 3"</f>
        <v>ACCESS ENGLISH 3</v>
      </c>
      <c r="G6682" t="str">
        <f>"21-2103"</f>
        <v>21-2103</v>
      </c>
      <c r="H6682" t="str">
        <f>"A"</f>
        <v>A</v>
      </c>
    </row>
    <row r="6683" spans="1:8" x14ac:dyDescent="0.2">
      <c r="A6683" t="str">
        <f t="shared" si="2446"/>
        <v>0622060577</v>
      </c>
      <c r="B6683" t="str">
        <f t="shared" si="2447"/>
        <v>JAMYIS</v>
      </c>
      <c r="C6683" t="str">
        <f t="shared" si="2445"/>
        <v>GRIFFIN</v>
      </c>
      <c r="D6683">
        <f>12</f>
        <v>12</v>
      </c>
      <c r="E6683" t="str">
        <f>"02 - A - 101 - Justin D Willard"</f>
        <v>02 - A - 101 - Justin D Willard</v>
      </c>
      <c r="F6683" t="str">
        <f>"CAREER ED: 9-12"</f>
        <v>CAREER ED: 9-12</v>
      </c>
      <c r="G6683" t="str">
        <f>"21-2111"</f>
        <v>21-2111</v>
      </c>
      <c r="H6683" t="str">
        <f>"A"</f>
        <v>A</v>
      </c>
    </row>
    <row r="6684" spans="1:8" x14ac:dyDescent="0.2">
      <c r="A6684" t="str">
        <f t="shared" si="2446"/>
        <v>0622060577</v>
      </c>
      <c r="B6684" t="str">
        <f t="shared" si="2447"/>
        <v>JAMYIS</v>
      </c>
      <c r="C6684" t="str">
        <f t="shared" si="2445"/>
        <v>GRIFFIN</v>
      </c>
      <c r="D6684">
        <f>12</f>
        <v>12</v>
      </c>
      <c r="E6684" t="str">
        <f>"07 - B - 101 - Justin D Willard"</f>
        <v>07 - B - 101 - Justin D Willard</v>
      </c>
      <c r="F6684" t="str">
        <f>"CAR PLACEMENT: 9-12"</f>
        <v>CAR PLACEMENT: 9-12</v>
      </c>
      <c r="G6684" t="str">
        <f>"21-2111"</f>
        <v>21-2111</v>
      </c>
      <c r="H6684" t="str">
        <f>"B"</f>
        <v>B</v>
      </c>
    </row>
    <row r="6685" spans="1:8" x14ac:dyDescent="0.2">
      <c r="A6685" t="str">
        <f t="shared" si="2446"/>
        <v>0622060577</v>
      </c>
      <c r="B6685" t="str">
        <f t="shared" si="2447"/>
        <v>JAMYIS</v>
      </c>
      <c r="C6685" t="str">
        <f t="shared" si="2445"/>
        <v>GRIFFIN</v>
      </c>
      <c r="D6685">
        <f>12</f>
        <v>12</v>
      </c>
      <c r="E6685" t="str">
        <f>"05 - B - 103 - Justin D Willard"</f>
        <v>05 - B - 103 - Justin D Willard</v>
      </c>
      <c r="F6685" t="str">
        <f>"U SKLS: 9-12"</f>
        <v>U SKLS: 9-12</v>
      </c>
      <c r="G6685" t="str">
        <f>"21-2111"</f>
        <v>21-2111</v>
      </c>
      <c r="H6685" t="str">
        <f>"B"</f>
        <v>B</v>
      </c>
    </row>
    <row r="6686" spans="1:8" x14ac:dyDescent="0.2">
      <c r="A6686" t="str">
        <f t="shared" si="2446"/>
        <v>0622060577</v>
      </c>
      <c r="B6686" t="str">
        <f t="shared" si="2447"/>
        <v>JAMYIS</v>
      </c>
      <c r="C6686" t="str">
        <f t="shared" si="2445"/>
        <v>GRIFFIN</v>
      </c>
      <c r="D6686">
        <f>12</f>
        <v>12</v>
      </c>
      <c r="E6686" t="str">
        <f>"01 - A - 101 - Justin D Willard"</f>
        <v>01 - A - 101 - Justin D Willard</v>
      </c>
      <c r="F6686" t="str">
        <f>"PREP AD LIV"</f>
        <v>PREP AD LIV</v>
      </c>
      <c r="G6686" t="str">
        <f>"21-2111"</f>
        <v>21-2111</v>
      </c>
      <c r="H6686" t="str">
        <f>"A"</f>
        <v>A</v>
      </c>
    </row>
    <row r="6687" spans="1:8" x14ac:dyDescent="0.2">
      <c r="A6687" t="str">
        <f t="shared" si="2446"/>
        <v>0622060577</v>
      </c>
      <c r="B6687" t="str">
        <f t="shared" si="2447"/>
        <v>JAMYIS</v>
      </c>
      <c r="C6687" t="str">
        <f t="shared" si="2445"/>
        <v>GRIFFIN</v>
      </c>
      <c r="D6687">
        <f>12</f>
        <v>12</v>
      </c>
      <c r="E6687" t="str">
        <f>"01 - A - 101 - Eric  Lopapa"</f>
        <v>01 - A - 101 - Eric  Lopapa</v>
      </c>
      <c r="F6687" t="str">
        <f>"LANG THERAPY"</f>
        <v>LANG THERAPY</v>
      </c>
      <c r="G6687" t="str">
        <f>"21-2110"</f>
        <v>21-2110</v>
      </c>
      <c r="H6687" t="str">
        <f>"A"</f>
        <v>A</v>
      </c>
    </row>
    <row r="6688" spans="1:8" x14ac:dyDescent="0.2">
      <c r="A6688" t="str">
        <f t="shared" si="2446"/>
        <v>0622060577</v>
      </c>
      <c r="B6688" t="str">
        <f t="shared" si="2447"/>
        <v>JAMYIS</v>
      </c>
      <c r="C6688" t="str">
        <f t="shared" si="2445"/>
        <v>GRIFFIN</v>
      </c>
      <c r="D6688">
        <f>12</f>
        <v>12</v>
      </c>
      <c r="E6688" t="str">
        <f>"08 - B - 101 - Justin D Willard"</f>
        <v>08 - B - 101 - Justin D Willard</v>
      </c>
      <c r="F6688" t="str">
        <f>"U SKLS: SOC&amp;EMO 9-12"</f>
        <v>U SKLS: SOC&amp;EMO 9-12</v>
      </c>
      <c r="G6688" t="str">
        <f>"21-2111"</f>
        <v>21-2111</v>
      </c>
      <c r="H6688" t="str">
        <f>"B"</f>
        <v>B</v>
      </c>
    </row>
    <row r="6689" spans="1:8" x14ac:dyDescent="0.2">
      <c r="A6689" t="str">
        <f t="shared" ref="A6689:A6696" si="2448">"0614005999"</f>
        <v>0614005999</v>
      </c>
      <c r="B6689" t="str">
        <f t="shared" ref="B6689:B6696" si="2449">"SELENE"</f>
        <v>SELENE</v>
      </c>
      <c r="C6689" t="str">
        <f t="shared" ref="C6689:C6696" si="2450">"GRIFFITH"</f>
        <v>GRIFFITH</v>
      </c>
      <c r="D6689">
        <f>12</f>
        <v>12</v>
      </c>
      <c r="E6689" t="str">
        <f>"04 - A - 201 - Norayda D Suarez"</f>
        <v>04 - A - 201 - Norayda D Suarez</v>
      </c>
      <c r="F6689" t="str">
        <f>"ANAT PHYSIO HON"</f>
        <v>ANAT PHYSIO HON</v>
      </c>
      <c r="G6689" t="str">
        <f>"21-2142"</f>
        <v>21-2142</v>
      </c>
      <c r="H6689" t="str">
        <f>"A"</f>
        <v>A</v>
      </c>
    </row>
    <row r="6690" spans="1:8" x14ac:dyDescent="0.2">
      <c r="A6690" t="str">
        <f t="shared" si="2448"/>
        <v>0614005999</v>
      </c>
      <c r="B6690" t="str">
        <f t="shared" si="2449"/>
        <v>SELENE</v>
      </c>
      <c r="C6690" t="str">
        <f t="shared" si="2450"/>
        <v>GRIFFITH</v>
      </c>
      <c r="D6690">
        <f>12</f>
        <v>12</v>
      </c>
      <c r="E6690" t="str">
        <f>"06 - B - 103 - Stefanie S Scher"</f>
        <v>06 - B - 103 - Stefanie S Scher</v>
      </c>
      <c r="F6690" t="str">
        <f>"NC STUDY HALL 1"</f>
        <v>NC STUDY HALL 1</v>
      </c>
      <c r="G6690" t="str">
        <f>"17-1735"</f>
        <v>17-1735</v>
      </c>
      <c r="H6690" t="str">
        <f>"B"</f>
        <v>B</v>
      </c>
    </row>
    <row r="6691" spans="1:8" x14ac:dyDescent="0.2">
      <c r="A6691" t="str">
        <f t="shared" si="2448"/>
        <v>0614005999</v>
      </c>
      <c r="B6691" t="str">
        <f t="shared" si="2449"/>
        <v>SELENE</v>
      </c>
      <c r="C6691" t="str">
        <f t="shared" si="2450"/>
        <v>GRIFFITH</v>
      </c>
      <c r="D6691">
        <f>12</f>
        <v>12</v>
      </c>
      <c r="E6691" t="str">
        <f>"03 - A - 202 - Bruce A Evans"</f>
        <v>03 - A - 202 - Bruce A Evans</v>
      </c>
      <c r="F6691" t="str">
        <f>"HEALTH SCI FOUND HON"</f>
        <v>HEALTH SCI FOUND HON</v>
      </c>
      <c r="G6691" t="str">
        <f>"21-2142"</f>
        <v>21-2142</v>
      </c>
      <c r="H6691" t="str">
        <f>"A"</f>
        <v>A</v>
      </c>
    </row>
    <row r="6692" spans="1:8" x14ac:dyDescent="0.2">
      <c r="A6692" t="str">
        <f t="shared" si="2448"/>
        <v>0614005999</v>
      </c>
      <c r="B6692" t="str">
        <f t="shared" si="2449"/>
        <v>SELENE</v>
      </c>
      <c r="C6692" t="str">
        <f t="shared" si="2450"/>
        <v>GRIFFITH</v>
      </c>
      <c r="D6692">
        <f>12</f>
        <v>12</v>
      </c>
      <c r="E6692" t="str">
        <f>"02 - A - 102 - Bruce A Evans"</f>
        <v>02 - A - 102 - Bruce A Evans</v>
      </c>
      <c r="F6692" t="str">
        <f>"EMERG MED RESP 3 HON"</f>
        <v>EMERG MED RESP 3 HON</v>
      </c>
      <c r="G6692" t="str">
        <f>"21-2142"</f>
        <v>21-2142</v>
      </c>
      <c r="H6692" t="str">
        <f>"A"</f>
        <v>A</v>
      </c>
    </row>
    <row r="6693" spans="1:8" x14ac:dyDescent="0.2">
      <c r="A6693" t="str">
        <f t="shared" si="2448"/>
        <v>0614005999</v>
      </c>
      <c r="B6693" t="str">
        <f t="shared" si="2449"/>
        <v>SELENE</v>
      </c>
      <c r="C6693" t="str">
        <f t="shared" si="2450"/>
        <v>GRIFFITH</v>
      </c>
      <c r="D6693">
        <f>12</f>
        <v>12</v>
      </c>
      <c r="E6693" t="str">
        <f>"07 - S1 - B - 103 - Robert O Burger"</f>
        <v>07 - S1 - B - 103 - Robert O Burger</v>
      </c>
      <c r="F6693" t="str">
        <f>"US GOVT"</f>
        <v>US GOVT</v>
      </c>
      <c r="G6693" t="str">
        <f>"17-1755"</f>
        <v>17-1755</v>
      </c>
      <c r="H6693" t="str">
        <f>"B"</f>
        <v>B</v>
      </c>
    </row>
    <row r="6694" spans="1:8" x14ac:dyDescent="0.2">
      <c r="A6694" t="str">
        <f t="shared" si="2448"/>
        <v>0614005999</v>
      </c>
      <c r="B6694" t="str">
        <f t="shared" si="2449"/>
        <v>SELENE</v>
      </c>
      <c r="C6694" t="str">
        <f t="shared" si="2450"/>
        <v>GRIFFITH</v>
      </c>
      <c r="D6694">
        <f>12</f>
        <v>12</v>
      </c>
      <c r="E6694" t="str">
        <f>"05 - B - 101 - Brian M Fitzgerald"</f>
        <v>05 - B - 101 - Brian M Fitzgerald</v>
      </c>
      <c r="F6694" t="str">
        <f>"PAINT 1"</f>
        <v>PAINT 1</v>
      </c>
      <c r="G6694" t="str">
        <f>"09-908"</f>
        <v>09-908</v>
      </c>
      <c r="H6694" t="str">
        <f>"B"</f>
        <v>B</v>
      </c>
    </row>
    <row r="6695" spans="1:8" x14ac:dyDescent="0.2">
      <c r="A6695" t="str">
        <f t="shared" si="2448"/>
        <v>0614005999</v>
      </c>
      <c r="B6695" t="str">
        <f t="shared" si="2449"/>
        <v>SELENE</v>
      </c>
      <c r="C6695" t="str">
        <f t="shared" si="2450"/>
        <v>GRIFFITH</v>
      </c>
      <c r="D6695">
        <f>12</f>
        <v>12</v>
      </c>
      <c r="E6695" t="str">
        <f>"01 - A - 102 - Robert H Rindner"</f>
        <v>01 - A - 102 - Robert H Rindner</v>
      </c>
      <c r="F6695" t="str">
        <f>"MATH DATA&amp;FIN LIT H"</f>
        <v>MATH DATA&amp;FIN LIT H</v>
      </c>
      <c r="G6695" t="str">
        <f>"21-2160"</f>
        <v>21-2160</v>
      </c>
      <c r="H6695" t="str">
        <f>"A"</f>
        <v>A</v>
      </c>
    </row>
    <row r="6696" spans="1:8" x14ac:dyDescent="0.2">
      <c r="A6696" t="str">
        <f t="shared" si="2448"/>
        <v>0614005999</v>
      </c>
      <c r="B6696" t="str">
        <f t="shared" si="2449"/>
        <v>SELENE</v>
      </c>
      <c r="C6696" t="str">
        <f t="shared" si="2450"/>
        <v>GRIFFITH</v>
      </c>
      <c r="D6696">
        <f>12</f>
        <v>12</v>
      </c>
      <c r="E6696" t="str">
        <f>"08 - B - 105 - Jeffrey S Gallagher"</f>
        <v>08 - B - 105 - Jeffrey S Gallagher</v>
      </c>
      <c r="F6696" t="str">
        <f>"ENG HON 4"</f>
        <v>ENG HON 4</v>
      </c>
      <c r="G6696" t="str">
        <f>"17-1724"</f>
        <v>17-1724</v>
      </c>
      <c r="H6696" t="str">
        <f>"B"</f>
        <v>B</v>
      </c>
    </row>
    <row r="6697" spans="1:8" x14ac:dyDescent="0.2">
      <c r="A6697" t="str">
        <f t="shared" ref="A6697:A6704" si="2451">"0617064156"</f>
        <v>0617064156</v>
      </c>
      <c r="B6697" t="str">
        <f t="shared" ref="B6697:B6704" si="2452">"KLEO"</f>
        <v>KLEO</v>
      </c>
      <c r="C6697" t="str">
        <f t="shared" ref="C6697:C6704" si="2453">"GROGANS"</f>
        <v>GROGANS</v>
      </c>
      <c r="D6697" t="str">
        <f t="shared" ref="D6697:D6704" si="2454">"09"</f>
        <v>09</v>
      </c>
      <c r="E6697" t="str">
        <f>"04 - A - 102 - Eva T Rimmer"</f>
        <v>04 - A - 102 - Eva T Rimmer</v>
      </c>
      <c r="F6697" t="str">
        <f>"CRIMINAL JUST OPS 1"</f>
        <v>CRIMINAL JUST OPS 1</v>
      </c>
      <c r="G6697" t="str">
        <f>"05-523"</f>
        <v>05-523</v>
      </c>
      <c r="H6697" t="str">
        <f>"A"</f>
        <v>A</v>
      </c>
    </row>
    <row r="6698" spans="1:8" x14ac:dyDescent="0.2">
      <c r="A6698" t="str">
        <f t="shared" si="2451"/>
        <v>0617064156</v>
      </c>
      <c r="B6698" t="str">
        <f t="shared" si="2452"/>
        <v>KLEO</v>
      </c>
      <c r="C6698" t="str">
        <f t="shared" si="2453"/>
        <v>GROGANS</v>
      </c>
      <c r="D6698" t="str">
        <f t="shared" si="2454"/>
        <v>09</v>
      </c>
      <c r="E6698" t="str">
        <f>"06 - B - 104 - Byron G Montenegro"</f>
        <v>06 - B - 104 - Byron G Montenegro</v>
      </c>
      <c r="F6698" t="str">
        <f>"AICE MARINE SCI 1 AS"</f>
        <v>AICE MARINE SCI 1 AS</v>
      </c>
      <c r="G6698" t="str">
        <f>"21-2144"</f>
        <v>21-2144</v>
      </c>
      <c r="H6698" t="str">
        <f>"B"</f>
        <v>B</v>
      </c>
    </row>
    <row r="6699" spans="1:8" x14ac:dyDescent="0.2">
      <c r="A6699" t="str">
        <f t="shared" si="2451"/>
        <v>0617064156</v>
      </c>
      <c r="B6699" t="str">
        <f t="shared" si="2452"/>
        <v>KLEO</v>
      </c>
      <c r="C6699" t="str">
        <f t="shared" si="2453"/>
        <v>GROGANS</v>
      </c>
      <c r="D6699" t="str">
        <f t="shared" si="2454"/>
        <v>09</v>
      </c>
      <c r="E6699" t="str">
        <f>"03 - A - 101 - Helen A Flores"</f>
        <v>03 - A - 101 - Helen A Flores</v>
      </c>
      <c r="F6699" t="str">
        <f>"PRE-AICE MATH 1 IG"</f>
        <v>PRE-AICE MATH 1 IG</v>
      </c>
      <c r="G6699" t="str">
        <f>"21-2101"</f>
        <v>21-2101</v>
      </c>
      <c r="H6699" t="str">
        <f>"A"</f>
        <v>A</v>
      </c>
    </row>
    <row r="6700" spans="1:8" x14ac:dyDescent="0.2">
      <c r="A6700" t="str">
        <f t="shared" si="2451"/>
        <v>0617064156</v>
      </c>
      <c r="B6700" t="str">
        <f t="shared" si="2452"/>
        <v>KLEO</v>
      </c>
      <c r="C6700" t="str">
        <f t="shared" si="2453"/>
        <v>GROGANS</v>
      </c>
      <c r="D6700" t="str">
        <f t="shared" si="2454"/>
        <v>09</v>
      </c>
      <c r="E6700" t="str">
        <f>"02 - A - 105 - Elizabeth R Walker"</f>
        <v>02 - A - 105 - Elizabeth R Walker</v>
      </c>
      <c r="F6700" t="str">
        <f>"NC STUDY HALL 1"</f>
        <v>NC STUDY HALL 1</v>
      </c>
      <c r="G6700" t="str">
        <f>"17-1703"</f>
        <v>17-1703</v>
      </c>
      <c r="H6700" t="str">
        <f>"A"</f>
        <v>A</v>
      </c>
    </row>
    <row r="6701" spans="1:8" x14ac:dyDescent="0.2">
      <c r="A6701" t="str">
        <f t="shared" si="2451"/>
        <v>0617064156</v>
      </c>
      <c r="B6701" t="str">
        <f t="shared" si="2452"/>
        <v>KLEO</v>
      </c>
      <c r="C6701" t="str">
        <f t="shared" si="2453"/>
        <v>GROGANS</v>
      </c>
      <c r="D6701" t="str">
        <f t="shared" si="2454"/>
        <v>09</v>
      </c>
      <c r="E6701" t="str">
        <f>"07 - B - 105 - Paige Lauren  Brochu"</f>
        <v>07 - B - 105 - Paige Lauren  Brochu</v>
      </c>
      <c r="F6701" t="str">
        <f>"PRE-AICE BIO IG"</f>
        <v>PRE-AICE BIO IG</v>
      </c>
      <c r="G6701" t="str">
        <f>"21-2134"</f>
        <v>21-2134</v>
      </c>
      <c r="H6701" t="str">
        <f>"B"</f>
        <v>B</v>
      </c>
    </row>
    <row r="6702" spans="1:8" x14ac:dyDescent="0.2">
      <c r="A6702" t="str">
        <f t="shared" si="2451"/>
        <v>0617064156</v>
      </c>
      <c r="B6702" t="str">
        <f t="shared" si="2452"/>
        <v>KLEO</v>
      </c>
      <c r="C6702" t="str">
        <f t="shared" si="2453"/>
        <v>GROGANS</v>
      </c>
      <c r="D6702" t="str">
        <f t="shared" si="2454"/>
        <v>09</v>
      </c>
      <c r="E6702" t="str">
        <f>"05 - B - 204 - Elizabeth R Walker"</f>
        <v>05 - B - 204 - Elizabeth R Walker</v>
      </c>
      <c r="F6702" t="str">
        <f>"AICE ENG GEN PAPER 1"</f>
        <v>AICE ENG GEN PAPER 1</v>
      </c>
      <c r="G6702" t="str">
        <f>"17-1703"</f>
        <v>17-1703</v>
      </c>
      <c r="H6702" t="str">
        <f>"B"</f>
        <v>B</v>
      </c>
    </row>
    <row r="6703" spans="1:8" x14ac:dyDescent="0.2">
      <c r="A6703" t="str">
        <f t="shared" si="2451"/>
        <v>0617064156</v>
      </c>
      <c r="B6703" t="str">
        <f t="shared" si="2452"/>
        <v>KLEO</v>
      </c>
      <c r="C6703" t="str">
        <f t="shared" si="2453"/>
        <v>GROGANS</v>
      </c>
      <c r="D6703" t="str">
        <f t="shared" si="2454"/>
        <v>09</v>
      </c>
      <c r="E6703" t="str">
        <f>"01 - A - 006 - Emmily A Sarmiento"</f>
        <v>01 - A - 006 - Emmily A Sarmiento</v>
      </c>
      <c r="F6703" t="str">
        <f>"AICE GLBL PERSP 1 AS"</f>
        <v>AICE GLBL PERSP 1 AS</v>
      </c>
      <c r="G6703" t="str">
        <f>"17-1743"</f>
        <v>17-1743</v>
      </c>
      <c r="H6703" t="str">
        <f>"A"</f>
        <v>A</v>
      </c>
    </row>
    <row r="6704" spans="1:8" x14ac:dyDescent="0.2">
      <c r="A6704" t="str">
        <f t="shared" si="2451"/>
        <v>0617064156</v>
      </c>
      <c r="B6704" t="str">
        <f t="shared" si="2452"/>
        <v>KLEO</v>
      </c>
      <c r="C6704" t="str">
        <f t="shared" si="2453"/>
        <v>GROGANS</v>
      </c>
      <c r="D6704" t="str">
        <f t="shared" si="2454"/>
        <v>09</v>
      </c>
      <c r="E6704" t="str">
        <f>"08 - B - 103 - Jeanne M Bermudez"</f>
        <v>08 - B - 103 - Jeanne M Bermudez</v>
      </c>
      <c r="F6704" t="str">
        <f>"ADVANCED IT HON"</f>
        <v>ADVANCED IT HON</v>
      </c>
      <c r="G6704" t="str">
        <f>"21-2141"</f>
        <v>21-2141</v>
      </c>
      <c r="H6704" t="str">
        <f>"B"</f>
        <v>B</v>
      </c>
    </row>
    <row r="6705" spans="1:8" x14ac:dyDescent="0.2">
      <c r="A6705" t="str">
        <f t="shared" ref="A6705:A6712" si="2455">"0626006297"</f>
        <v>0626006297</v>
      </c>
      <c r="B6705" t="str">
        <f t="shared" ref="B6705:B6712" si="2456">"Lana"</f>
        <v>Lana</v>
      </c>
      <c r="C6705" t="str">
        <f t="shared" ref="C6705:C6712" si="2457">"Groth"</f>
        <v>Groth</v>
      </c>
      <c r="D6705">
        <f>12</f>
        <v>12</v>
      </c>
      <c r="E6705" t="str">
        <f>"04 - A - 102 - Samantha J Headley"</f>
        <v>04 - A - 102 - Samantha J Headley</v>
      </c>
      <c r="F6705" t="str">
        <f>"MARINE SCI 1 HON"</f>
        <v>MARINE SCI 1 HON</v>
      </c>
      <c r="G6705" t="str">
        <f>"21-2134"</f>
        <v>21-2134</v>
      </c>
      <c r="H6705" t="str">
        <f>"A"</f>
        <v>A</v>
      </c>
    </row>
    <row r="6706" spans="1:8" x14ac:dyDescent="0.2">
      <c r="A6706" t="str">
        <f t="shared" si="2455"/>
        <v>0626006297</v>
      </c>
      <c r="B6706" t="str">
        <f t="shared" si="2456"/>
        <v>Lana</v>
      </c>
      <c r="C6706" t="str">
        <f t="shared" si="2457"/>
        <v>Groth</v>
      </c>
      <c r="D6706">
        <f>12</f>
        <v>12</v>
      </c>
      <c r="E6706" t="str">
        <f>"06 - B - 104 - Lissa C Frederique"</f>
        <v>06 - B - 104 - Lissa C Frederique</v>
      </c>
      <c r="F6706" t="str">
        <f>"NC STUDY HALL 1"</f>
        <v>NC STUDY HALL 1</v>
      </c>
      <c r="G6706" t="str">
        <f>"17-1754"</f>
        <v>17-1754</v>
      </c>
      <c r="H6706" t="str">
        <f>"B"</f>
        <v>B</v>
      </c>
    </row>
    <row r="6707" spans="1:8" x14ac:dyDescent="0.2">
      <c r="A6707" t="str">
        <f t="shared" si="2455"/>
        <v>0626006297</v>
      </c>
      <c r="B6707" t="str">
        <f t="shared" si="2456"/>
        <v>Lana</v>
      </c>
      <c r="C6707" t="str">
        <f t="shared" si="2457"/>
        <v>Groth</v>
      </c>
      <c r="D6707">
        <f>12</f>
        <v>12</v>
      </c>
      <c r="E6707" t="str">
        <f>"03 - A - 101 - Tina L Lovett"</f>
        <v>03 - A - 101 - Tina L Lovett</v>
      </c>
      <c r="F6707" t="str">
        <f>"MATH DATA &amp; FIN LIT"</f>
        <v>MATH DATA &amp; FIN LIT</v>
      </c>
      <c r="G6707" t="str">
        <f>"21-2153"</f>
        <v>21-2153</v>
      </c>
      <c r="H6707" t="str">
        <f>"A"</f>
        <v>A</v>
      </c>
    </row>
    <row r="6708" spans="1:8" x14ac:dyDescent="0.2">
      <c r="A6708" t="str">
        <f t="shared" si="2455"/>
        <v>0626006297</v>
      </c>
      <c r="B6708" t="str">
        <f t="shared" si="2456"/>
        <v>Lana</v>
      </c>
      <c r="C6708" t="str">
        <f t="shared" si="2457"/>
        <v>Groth</v>
      </c>
      <c r="D6708">
        <f>12</f>
        <v>12</v>
      </c>
      <c r="E6708" t="str">
        <f>"02 - S1 - A - 104 - Robert O Burger"</f>
        <v>02 - S1 - A - 104 - Robert O Burger</v>
      </c>
      <c r="F6708" t="str">
        <f>"US GOVT"</f>
        <v>US GOVT</v>
      </c>
      <c r="G6708" t="str">
        <f>"17-1755"</f>
        <v>17-1755</v>
      </c>
      <c r="H6708" t="str">
        <f>"A"</f>
        <v>A</v>
      </c>
    </row>
    <row r="6709" spans="1:8" x14ac:dyDescent="0.2">
      <c r="A6709" t="str">
        <f t="shared" si="2455"/>
        <v>0626006297</v>
      </c>
      <c r="B6709" t="str">
        <f t="shared" si="2456"/>
        <v>Lana</v>
      </c>
      <c r="C6709" t="str">
        <f t="shared" si="2457"/>
        <v>Groth</v>
      </c>
      <c r="D6709">
        <f>12</f>
        <v>12</v>
      </c>
      <c r="E6709" t="str">
        <f>"07 - B - 103 - Nahum  Saint-Preux"</f>
        <v>07 - B - 103 - Nahum  Saint-Preux</v>
      </c>
      <c r="F6709" t="str">
        <f>"INTENS READ 4"</f>
        <v>INTENS READ 4</v>
      </c>
      <c r="G6709" t="str">
        <f>"17-1712"</f>
        <v>17-1712</v>
      </c>
      <c r="H6709" t="str">
        <f>"B"</f>
        <v>B</v>
      </c>
    </row>
    <row r="6710" spans="1:8" x14ac:dyDescent="0.2">
      <c r="A6710" t="str">
        <f t="shared" si="2455"/>
        <v>0626006297</v>
      </c>
      <c r="B6710" t="str">
        <f t="shared" si="2456"/>
        <v>Lana</v>
      </c>
      <c r="C6710" t="str">
        <f t="shared" si="2457"/>
        <v>Groth</v>
      </c>
      <c r="D6710">
        <f>12</f>
        <v>12</v>
      </c>
      <c r="E6710" t="str">
        <f>"05 - B - 102 - Jeanne M Bermudez"</f>
        <v>05 - B - 102 - Jeanne M Bermudez</v>
      </c>
      <c r="F6710" t="str">
        <f>"ADVANCED IT HON"</f>
        <v>ADVANCED IT HON</v>
      </c>
      <c r="G6710" t="str">
        <f>"21-2141"</f>
        <v>21-2141</v>
      </c>
      <c r="H6710" t="str">
        <f>"B"</f>
        <v>B</v>
      </c>
    </row>
    <row r="6711" spans="1:8" x14ac:dyDescent="0.2">
      <c r="A6711" t="str">
        <f t="shared" si="2455"/>
        <v>0626006297</v>
      </c>
      <c r="B6711" t="str">
        <f t="shared" si="2456"/>
        <v>Lana</v>
      </c>
      <c r="C6711" t="str">
        <f t="shared" si="2457"/>
        <v>Groth</v>
      </c>
      <c r="D6711">
        <f>12</f>
        <v>12</v>
      </c>
      <c r="E6711" t="str">
        <f>"01 - A - 101 - Angela S Adeshina-Morrison"</f>
        <v>01 - A - 101 - Angela S Adeshina-Morrison</v>
      </c>
      <c r="F6711" t="str">
        <f>"MARKETING ESSENTIALS"</f>
        <v>MARKETING ESSENTIALS</v>
      </c>
      <c r="G6711" t="str">
        <f>"05-518"</f>
        <v>05-518</v>
      </c>
      <c r="H6711" t="str">
        <f>"A"</f>
        <v>A</v>
      </c>
    </row>
    <row r="6712" spans="1:8" x14ac:dyDescent="0.2">
      <c r="A6712" t="str">
        <f t="shared" si="2455"/>
        <v>0626006297</v>
      </c>
      <c r="B6712" t="str">
        <f t="shared" si="2456"/>
        <v>Lana</v>
      </c>
      <c r="C6712" t="str">
        <f t="shared" si="2457"/>
        <v>Groth</v>
      </c>
      <c r="D6712">
        <f>12</f>
        <v>12</v>
      </c>
      <c r="E6712" t="str">
        <f>"08 - B - 206 - Robyn L Trainer"</f>
        <v>08 - B - 206 - Robyn L Trainer</v>
      </c>
      <c r="F6712" t="str">
        <f>"ENG 4: FL COLL PREP"</f>
        <v>ENG 4: FL COLL PREP</v>
      </c>
      <c r="G6712" t="str">
        <f>"17-1734"</f>
        <v>17-1734</v>
      </c>
      <c r="H6712" t="str">
        <f>"B"</f>
        <v>B</v>
      </c>
    </row>
    <row r="6713" spans="1:8" x14ac:dyDescent="0.2">
      <c r="A6713" t="str">
        <f t="shared" ref="A6713:A6720" si="2458">"0626004833"</f>
        <v>0626004833</v>
      </c>
      <c r="B6713" t="str">
        <f t="shared" ref="B6713:B6720" si="2459">"BENJAMIN"</f>
        <v>BENJAMIN</v>
      </c>
      <c r="C6713" t="str">
        <f t="shared" ref="C6713:C6720" si="2460">"GRYNBAUM"</f>
        <v>GRYNBAUM</v>
      </c>
      <c r="D6713">
        <f>10</f>
        <v>10</v>
      </c>
      <c r="E6713" t="str">
        <f>"04 - A - 104 - Laselleda D Shaw"</f>
        <v>04 - A - 104 - Laselleda D Shaw</v>
      </c>
      <c r="F6713" t="str">
        <f>"INTENS READ 2"</f>
        <v>INTENS READ 2</v>
      </c>
      <c r="G6713" t="str">
        <f>"17-1723"</f>
        <v>17-1723</v>
      </c>
      <c r="H6713" t="str">
        <f>"A"</f>
        <v>A</v>
      </c>
    </row>
    <row r="6714" spans="1:8" x14ac:dyDescent="0.2">
      <c r="A6714" t="str">
        <f t="shared" si="2458"/>
        <v>0626004833</v>
      </c>
      <c r="B6714" t="str">
        <f t="shared" si="2459"/>
        <v>BENJAMIN</v>
      </c>
      <c r="C6714" t="str">
        <f t="shared" si="2460"/>
        <v>GRYNBAUM</v>
      </c>
      <c r="D6714">
        <f>10</f>
        <v>10</v>
      </c>
      <c r="E6714" t="str">
        <f>"06 - B - 118 - Jeanne M Bermudez"</f>
        <v>06 - B - 118 - Jeanne M Bermudez</v>
      </c>
      <c r="F6714" t="str">
        <f>"NC STUDY HALL 1"</f>
        <v>NC STUDY HALL 1</v>
      </c>
      <c r="G6714" t="str">
        <f>"21-2141"</f>
        <v>21-2141</v>
      </c>
      <c r="H6714" t="str">
        <f>"B"</f>
        <v>B</v>
      </c>
    </row>
    <row r="6715" spans="1:8" x14ac:dyDescent="0.2">
      <c r="A6715" t="str">
        <f t="shared" si="2458"/>
        <v>0626004833</v>
      </c>
      <c r="B6715" t="str">
        <f t="shared" si="2459"/>
        <v>BENJAMIN</v>
      </c>
      <c r="C6715" t="str">
        <f t="shared" si="2460"/>
        <v>GRYNBAUM</v>
      </c>
      <c r="D6715">
        <f>10</f>
        <v>10</v>
      </c>
      <c r="E6715" t="str">
        <f>"03 - A - 103 - Jacquelyn M Neeson"</f>
        <v>03 - A - 103 - Jacquelyn M Neeson</v>
      </c>
      <c r="F6715" t="str">
        <f>"ENG 2"</f>
        <v>ENG 2</v>
      </c>
      <c r="G6715" t="str">
        <f>"17-1715"</f>
        <v>17-1715</v>
      </c>
      <c r="H6715" t="str">
        <f>"A"</f>
        <v>A</v>
      </c>
    </row>
    <row r="6716" spans="1:8" x14ac:dyDescent="0.2">
      <c r="A6716" t="str">
        <f t="shared" si="2458"/>
        <v>0626004833</v>
      </c>
      <c r="B6716" t="str">
        <f t="shared" si="2459"/>
        <v>BENJAMIN</v>
      </c>
      <c r="C6716" t="str">
        <f t="shared" si="2460"/>
        <v>GRYNBAUM</v>
      </c>
      <c r="D6716">
        <f>10</f>
        <v>10</v>
      </c>
      <c r="E6716" t="str">
        <f>"02 - A - 102 - Adam Marcus  Drucker"</f>
        <v>02 - A - 102 - Adam Marcus  Drucker</v>
      </c>
      <c r="F6716" t="str">
        <f>"HOPE-PE V"</f>
        <v>HOPE-PE V</v>
      </c>
      <c r="G6716" t="str">
        <f>"04-254"</f>
        <v>04-254</v>
      </c>
      <c r="H6716" t="str">
        <f>"A"</f>
        <v>A</v>
      </c>
    </row>
    <row r="6717" spans="1:8" x14ac:dyDescent="0.2">
      <c r="A6717" t="str">
        <f t="shared" si="2458"/>
        <v>0626004833</v>
      </c>
      <c r="B6717" t="str">
        <f t="shared" si="2459"/>
        <v>BENJAMIN</v>
      </c>
      <c r="C6717" t="str">
        <f t="shared" si="2460"/>
        <v>GRYNBAUM</v>
      </c>
      <c r="D6717">
        <f>10</f>
        <v>10</v>
      </c>
      <c r="E6717" t="str">
        <f>"07 - B - 104 - Marielle A Witting"</f>
        <v>07 - B - 104 - Marielle A Witting</v>
      </c>
      <c r="F6717" t="str">
        <f>"ANAT PHYSIO"</f>
        <v>ANAT PHYSIO</v>
      </c>
      <c r="G6717" t="str">
        <f>"08-805"</f>
        <v>08-805</v>
      </c>
      <c r="H6717" t="str">
        <f>"B"</f>
        <v>B</v>
      </c>
    </row>
    <row r="6718" spans="1:8" x14ac:dyDescent="0.2">
      <c r="A6718" t="str">
        <f t="shared" si="2458"/>
        <v>0626004833</v>
      </c>
      <c r="B6718" t="str">
        <f t="shared" si="2459"/>
        <v>BENJAMIN</v>
      </c>
      <c r="C6718" t="str">
        <f t="shared" si="2460"/>
        <v>GRYNBAUM</v>
      </c>
      <c r="D6718">
        <f>10</f>
        <v>10</v>
      </c>
      <c r="E6718" t="str">
        <f>"05 - B - 106 - Milca  Exantus"</f>
        <v>05 - B - 106 - Milca  Exantus</v>
      </c>
      <c r="F6718" t="str">
        <f>"MATH COLLEGE LIB ART"</f>
        <v>MATH COLLEGE LIB ART</v>
      </c>
      <c r="G6718" t="str">
        <f>"21-2145"</f>
        <v>21-2145</v>
      </c>
      <c r="H6718" t="str">
        <f>"B"</f>
        <v>B</v>
      </c>
    </row>
    <row r="6719" spans="1:8" x14ac:dyDescent="0.2">
      <c r="A6719" t="str">
        <f t="shared" si="2458"/>
        <v>0626004833</v>
      </c>
      <c r="B6719" t="str">
        <f t="shared" si="2459"/>
        <v>BENJAMIN</v>
      </c>
      <c r="C6719" t="str">
        <f t="shared" si="2460"/>
        <v>GRYNBAUM</v>
      </c>
      <c r="D6719">
        <f>10</f>
        <v>10</v>
      </c>
      <c r="E6719" t="str">
        <f>"01 - A - 101 - Vanessa J Pena"</f>
        <v>01 - A - 101 - Vanessa J Pena</v>
      </c>
      <c r="F6719" t="str">
        <f>"DEV LANG ARTS ESOL-R"</f>
        <v>DEV LANG ARTS ESOL-R</v>
      </c>
      <c r="G6719" t="str">
        <f>"09-926"</f>
        <v>09-926</v>
      </c>
      <c r="H6719" t="str">
        <f>"A"</f>
        <v>A</v>
      </c>
    </row>
    <row r="6720" spans="1:8" x14ac:dyDescent="0.2">
      <c r="A6720" t="str">
        <f t="shared" si="2458"/>
        <v>0626004833</v>
      </c>
      <c r="B6720" t="str">
        <f t="shared" si="2459"/>
        <v>BENJAMIN</v>
      </c>
      <c r="C6720" t="str">
        <f t="shared" si="2460"/>
        <v>GRYNBAUM</v>
      </c>
      <c r="D6720">
        <f>10</f>
        <v>10</v>
      </c>
      <c r="E6720" t="str">
        <f>"08 - B - 101 - Jazmin S Fletcher"</f>
        <v>08 - B - 101 - Jazmin S Fletcher</v>
      </c>
      <c r="F6720" t="str">
        <f>"PRE-AICE DRAMA 1G"</f>
        <v>PRE-AICE DRAMA 1G</v>
      </c>
      <c r="G6720" t="str">
        <f>"09-909"</f>
        <v>09-909</v>
      </c>
      <c r="H6720" t="str">
        <f>"B"</f>
        <v>B</v>
      </c>
    </row>
    <row r="6721" spans="1:8" x14ac:dyDescent="0.2">
      <c r="A6721" t="str">
        <f t="shared" ref="A6721:A6728" si="2461">"0615131164"</f>
        <v>0615131164</v>
      </c>
      <c r="B6721" t="str">
        <f t="shared" ref="B6721:B6728" si="2462">"EXAVIER"</f>
        <v>EXAVIER</v>
      </c>
      <c r="C6721" t="str">
        <f t="shared" ref="C6721:C6728" si="2463">"GRZYWACZ"</f>
        <v>GRZYWACZ</v>
      </c>
      <c r="D6721" t="str">
        <f t="shared" ref="D6721:D6728" si="2464">"09"</f>
        <v>09</v>
      </c>
      <c r="E6721" t="str">
        <f>"04 - A - 104 - Adam Marcus  Drucker"</f>
        <v>04 - A - 104 - Adam Marcus  Drucker</v>
      </c>
      <c r="F6721" t="str">
        <f>"HOPE-PE V"</f>
        <v>HOPE-PE V</v>
      </c>
      <c r="G6721" t="str">
        <f>"04-254"</f>
        <v>04-254</v>
      </c>
      <c r="H6721" t="str">
        <f>"A"</f>
        <v>A</v>
      </c>
    </row>
    <row r="6722" spans="1:8" x14ac:dyDescent="0.2">
      <c r="A6722" t="str">
        <f t="shared" si="2461"/>
        <v>0615131164</v>
      </c>
      <c r="B6722" t="str">
        <f t="shared" si="2462"/>
        <v>EXAVIER</v>
      </c>
      <c r="C6722" t="str">
        <f t="shared" si="2463"/>
        <v>GRZYWACZ</v>
      </c>
      <c r="D6722" t="str">
        <f t="shared" si="2464"/>
        <v>09</v>
      </c>
      <c r="E6722" t="str">
        <f>"06 - B - 202 - Samantha L Martinez"</f>
        <v>06 - B - 202 - Samantha L Martinez</v>
      </c>
      <c r="F6722" t="str">
        <f>"GUITAR 1"</f>
        <v>GUITAR 1</v>
      </c>
      <c r="G6722" t="str">
        <f>"05-505"</f>
        <v>05-505</v>
      </c>
      <c r="H6722" t="str">
        <f>"B"</f>
        <v>B</v>
      </c>
    </row>
    <row r="6723" spans="1:8" x14ac:dyDescent="0.2">
      <c r="A6723" t="str">
        <f t="shared" si="2461"/>
        <v>0615131164</v>
      </c>
      <c r="B6723" t="str">
        <f t="shared" si="2462"/>
        <v>EXAVIER</v>
      </c>
      <c r="C6723" t="str">
        <f t="shared" si="2463"/>
        <v>GRZYWACZ</v>
      </c>
      <c r="D6723" t="str">
        <f t="shared" si="2464"/>
        <v>09</v>
      </c>
      <c r="E6723" t="str">
        <f>"03 - A - 203 - Elizabeth R Walker"</f>
        <v>03 - A - 203 - Elizabeth R Walker</v>
      </c>
      <c r="F6723" t="str">
        <f>"AICE ENG GEN PAPER 1"</f>
        <v>AICE ENG GEN PAPER 1</v>
      </c>
      <c r="G6723" t="str">
        <f>"17-1703"</f>
        <v>17-1703</v>
      </c>
      <c r="H6723" t="str">
        <f>"A"</f>
        <v>A</v>
      </c>
    </row>
    <row r="6724" spans="1:8" x14ac:dyDescent="0.2">
      <c r="A6724" t="str">
        <f t="shared" si="2461"/>
        <v>0615131164</v>
      </c>
      <c r="B6724" t="str">
        <f t="shared" si="2462"/>
        <v>EXAVIER</v>
      </c>
      <c r="C6724" t="str">
        <f t="shared" si="2463"/>
        <v>GRZYWACZ</v>
      </c>
      <c r="D6724" t="str">
        <f t="shared" si="2464"/>
        <v>09</v>
      </c>
      <c r="E6724" t="str">
        <f>"02 - A - 107 - Cerine S Stewart"</f>
        <v>02 - A - 107 - Cerine S Stewart</v>
      </c>
      <c r="F6724" t="str">
        <f>"NC STUDY HALL 1"</f>
        <v>NC STUDY HALL 1</v>
      </c>
      <c r="G6724" t="str">
        <f>"17-1720"</f>
        <v>17-1720</v>
      </c>
      <c r="H6724" t="str">
        <f>"A"</f>
        <v>A</v>
      </c>
    </row>
    <row r="6725" spans="1:8" x14ac:dyDescent="0.2">
      <c r="A6725" t="str">
        <f t="shared" si="2461"/>
        <v>0615131164</v>
      </c>
      <c r="B6725" t="str">
        <f t="shared" si="2462"/>
        <v>EXAVIER</v>
      </c>
      <c r="C6725" t="str">
        <f t="shared" si="2463"/>
        <v>GRZYWACZ</v>
      </c>
      <c r="D6725" t="str">
        <f t="shared" si="2464"/>
        <v>09</v>
      </c>
      <c r="E6725" t="str">
        <f>"07 - B - 201 - Angela S Adeshina-Morrison"</f>
        <v>07 - B - 201 - Angela S Adeshina-Morrison</v>
      </c>
      <c r="F6725" t="str">
        <f>"BUSINESS OWNER HON"</f>
        <v>BUSINESS OWNER HON</v>
      </c>
      <c r="G6725" t="str">
        <f>"05-518"</f>
        <v>05-518</v>
      </c>
      <c r="H6725" t="str">
        <f>"B"</f>
        <v>B</v>
      </c>
    </row>
    <row r="6726" spans="1:8" x14ac:dyDescent="0.2">
      <c r="A6726" t="str">
        <f t="shared" si="2461"/>
        <v>0615131164</v>
      </c>
      <c r="B6726" t="str">
        <f t="shared" si="2462"/>
        <v>EXAVIER</v>
      </c>
      <c r="C6726" t="str">
        <f t="shared" si="2463"/>
        <v>GRZYWACZ</v>
      </c>
      <c r="D6726" t="str">
        <f t="shared" si="2464"/>
        <v>09</v>
      </c>
      <c r="E6726" t="str">
        <f>"05 - B - 104 - Maried P Ramos"</f>
        <v>05 - B - 104 - Maried P Ramos</v>
      </c>
      <c r="F6726" t="str">
        <f>"PRE-AICE MATH 2 IG"</f>
        <v>PRE-AICE MATH 2 IG</v>
      </c>
      <c r="G6726" t="str">
        <f>"21-2159"</f>
        <v>21-2159</v>
      </c>
      <c r="H6726" t="str">
        <f>"B"</f>
        <v>B</v>
      </c>
    </row>
    <row r="6727" spans="1:8" x14ac:dyDescent="0.2">
      <c r="A6727" t="str">
        <f t="shared" si="2461"/>
        <v>0615131164</v>
      </c>
      <c r="B6727" t="str">
        <f t="shared" si="2462"/>
        <v>EXAVIER</v>
      </c>
      <c r="C6727" t="str">
        <f t="shared" si="2463"/>
        <v>GRZYWACZ</v>
      </c>
      <c r="D6727" t="str">
        <f t="shared" si="2464"/>
        <v>09</v>
      </c>
      <c r="E6727" t="str">
        <f>"01 - A - 101 - Rory T Sponsler"</f>
        <v>01 - A - 101 - Rory T Sponsler</v>
      </c>
      <c r="F6727" t="str">
        <f>"PRE-AICE WRLD HST IG"</f>
        <v>PRE-AICE WRLD HST IG</v>
      </c>
      <c r="G6727" t="str">
        <f>"17-1740"</f>
        <v>17-1740</v>
      </c>
      <c r="H6727" t="str">
        <f>"A"</f>
        <v>A</v>
      </c>
    </row>
    <row r="6728" spans="1:8" x14ac:dyDescent="0.2">
      <c r="A6728" t="str">
        <f t="shared" si="2461"/>
        <v>0615131164</v>
      </c>
      <c r="B6728" t="str">
        <f t="shared" si="2462"/>
        <v>EXAVIER</v>
      </c>
      <c r="C6728" t="str">
        <f t="shared" si="2463"/>
        <v>GRZYWACZ</v>
      </c>
      <c r="D6728" t="str">
        <f t="shared" si="2464"/>
        <v>09</v>
      </c>
      <c r="E6728" t="str">
        <f>"08 - B - 102 - Josiah I Lacy"</f>
        <v>08 - B - 102 - Josiah I Lacy</v>
      </c>
      <c r="F6728" t="str">
        <f>"ANAT PHYSIO HON"</f>
        <v>ANAT PHYSIO HON</v>
      </c>
      <c r="G6728" t="str">
        <f>"08-801"</f>
        <v>08-801</v>
      </c>
      <c r="H6728" t="str">
        <f>"B"</f>
        <v>B</v>
      </c>
    </row>
    <row r="6729" spans="1:8" x14ac:dyDescent="0.2">
      <c r="A6729" t="str">
        <f t="shared" ref="A6729:A6736" si="2465">"0620031761"</f>
        <v>0620031761</v>
      </c>
      <c r="B6729" t="str">
        <f t="shared" ref="B6729:B6736" si="2466">"BEATRICE"</f>
        <v>BEATRICE</v>
      </c>
      <c r="C6729" t="str">
        <f t="shared" ref="C6729:C6736" si="2467">"GUARINO"</f>
        <v>GUARINO</v>
      </c>
      <c r="D6729">
        <f>11</f>
        <v>11</v>
      </c>
      <c r="E6729" t="str">
        <f>"04 - A - 102 - Lisa J London"</f>
        <v>04 - A - 102 - Lisa J London</v>
      </c>
      <c r="F6729" t="str">
        <f>"AP CAPSTONE SEMINAR"</f>
        <v>AP CAPSTONE SEMINAR</v>
      </c>
      <c r="G6729" t="str">
        <f>"17-1714"</f>
        <v>17-1714</v>
      </c>
      <c r="H6729" t="str">
        <f>"A"</f>
        <v>A</v>
      </c>
    </row>
    <row r="6730" spans="1:8" x14ac:dyDescent="0.2">
      <c r="A6730" t="str">
        <f t="shared" si="2465"/>
        <v>0620031761</v>
      </c>
      <c r="B6730" t="str">
        <f t="shared" si="2466"/>
        <v>BEATRICE</v>
      </c>
      <c r="C6730" t="str">
        <f t="shared" si="2467"/>
        <v>GUARINO</v>
      </c>
      <c r="D6730">
        <f>11</f>
        <v>11</v>
      </c>
      <c r="E6730" t="str">
        <f>"06 - B - 102 - Stephen T Ripp"</f>
        <v>06 - B - 102 - Stephen T Ripp</v>
      </c>
      <c r="F6730" t="str">
        <f>"AP U.S. HIST"</f>
        <v>AP U.S. HIST</v>
      </c>
      <c r="G6730" t="str">
        <f>"17-1744"</f>
        <v>17-1744</v>
      </c>
      <c r="H6730" t="str">
        <f>"B"</f>
        <v>B</v>
      </c>
    </row>
    <row r="6731" spans="1:8" x14ac:dyDescent="0.2">
      <c r="A6731" t="str">
        <f t="shared" si="2465"/>
        <v>0620031761</v>
      </c>
      <c r="B6731" t="str">
        <f t="shared" si="2466"/>
        <v>BEATRICE</v>
      </c>
      <c r="C6731" t="str">
        <f t="shared" si="2467"/>
        <v>GUARINO</v>
      </c>
      <c r="D6731">
        <f>11</f>
        <v>11</v>
      </c>
      <c r="E6731" t="str">
        <f>"03 - A - 201 - Chrystina M Marchionne"</f>
        <v>03 - A - 201 - Chrystina M Marchionne</v>
      </c>
      <c r="F6731" t="str">
        <f>"JOURN 1 (YB) LH"</f>
        <v>JOURN 1 (YB) LH</v>
      </c>
      <c r="G6731" t="str">
        <f>"05-520"</f>
        <v>05-520</v>
      </c>
      <c r="H6731" t="str">
        <f>"A"</f>
        <v>A</v>
      </c>
    </row>
    <row r="6732" spans="1:8" x14ac:dyDescent="0.2">
      <c r="A6732" t="str">
        <f t="shared" si="2465"/>
        <v>0620031761</v>
      </c>
      <c r="B6732" t="str">
        <f t="shared" si="2466"/>
        <v>BEATRICE</v>
      </c>
      <c r="C6732" t="str">
        <f t="shared" si="2467"/>
        <v>GUARINO</v>
      </c>
      <c r="D6732">
        <f>11</f>
        <v>11</v>
      </c>
      <c r="E6732" t="str">
        <f>"02 - A - 113 - Byron G Montenegro"</f>
        <v>02 - A - 113 - Byron G Montenegro</v>
      </c>
      <c r="F6732" t="str">
        <f>"NC STUDY HALL 1"</f>
        <v>NC STUDY HALL 1</v>
      </c>
      <c r="G6732" t="str">
        <f>"21-2144"</f>
        <v>21-2144</v>
      </c>
      <c r="H6732" t="str">
        <f>"A"</f>
        <v>A</v>
      </c>
    </row>
    <row r="6733" spans="1:8" x14ac:dyDescent="0.2">
      <c r="A6733" t="str">
        <f t="shared" si="2465"/>
        <v>0620031761</v>
      </c>
      <c r="B6733" t="str">
        <f t="shared" si="2466"/>
        <v>BEATRICE</v>
      </c>
      <c r="C6733" t="str">
        <f t="shared" si="2467"/>
        <v>GUARINO</v>
      </c>
      <c r="D6733">
        <f>11</f>
        <v>11</v>
      </c>
      <c r="E6733" t="str">
        <f>"07 - B - 101 - Fernando  Vega-Cid"</f>
        <v>07 - B - 101 - Fernando  Vega-Cid</v>
      </c>
      <c r="F6733" t="str">
        <f>"AP PRECALCULUS"</f>
        <v>AP PRECALCULUS</v>
      </c>
      <c r="G6733" t="str">
        <f>"21-2163"</f>
        <v>21-2163</v>
      </c>
      <c r="H6733" t="str">
        <f>"B"</f>
        <v>B</v>
      </c>
    </row>
    <row r="6734" spans="1:8" x14ac:dyDescent="0.2">
      <c r="A6734" t="str">
        <f t="shared" si="2465"/>
        <v>0620031761</v>
      </c>
      <c r="B6734" t="str">
        <f t="shared" si="2466"/>
        <v>BEATRICE</v>
      </c>
      <c r="C6734" t="str">
        <f t="shared" si="2467"/>
        <v>GUARINO</v>
      </c>
      <c r="D6734">
        <f>11</f>
        <v>11</v>
      </c>
      <c r="E6734" t="str">
        <f>"05 - B - 201 - Scott A Dethloff"</f>
        <v>05 - B - 201 - Scott A Dethloff</v>
      </c>
      <c r="F6734" t="str">
        <f>"AP CHEM"</f>
        <v>AP CHEM</v>
      </c>
      <c r="G6734" t="str">
        <f>"08-812"</f>
        <v>08-812</v>
      </c>
      <c r="H6734" t="str">
        <f>"B"</f>
        <v>B</v>
      </c>
    </row>
    <row r="6735" spans="1:8" x14ac:dyDescent="0.2">
      <c r="A6735" t="str">
        <f t="shared" si="2465"/>
        <v>0620031761</v>
      </c>
      <c r="B6735" t="str">
        <f t="shared" si="2466"/>
        <v>BEATRICE</v>
      </c>
      <c r="C6735" t="str">
        <f t="shared" si="2467"/>
        <v>GUARINO</v>
      </c>
      <c r="D6735">
        <f>11</f>
        <v>11</v>
      </c>
      <c r="E6735" t="str">
        <f>"01 - A - 101 - Daniel S Katz"</f>
        <v>01 - A - 101 - Daniel S Katz</v>
      </c>
      <c r="F6735" t="str">
        <f>"EXEC INTERN 4 LH"</f>
        <v>EXEC INTERN 4 LH</v>
      </c>
      <c r="G6735" t="str">
        <f>"21-2156"</f>
        <v>21-2156</v>
      </c>
      <c r="H6735" t="str">
        <f>"A"</f>
        <v>A</v>
      </c>
    </row>
    <row r="6736" spans="1:8" x14ac:dyDescent="0.2">
      <c r="A6736" t="str">
        <f t="shared" si="2465"/>
        <v>0620031761</v>
      </c>
      <c r="B6736" t="str">
        <f t="shared" si="2466"/>
        <v>BEATRICE</v>
      </c>
      <c r="C6736" t="str">
        <f t="shared" si="2467"/>
        <v>GUARINO</v>
      </c>
      <c r="D6736">
        <f>11</f>
        <v>11</v>
      </c>
      <c r="E6736" t="str">
        <f>"08 - B - 105 - Brandy N Zdenek"</f>
        <v>08 - B - 105 - Brandy N Zdenek</v>
      </c>
      <c r="F6736" t="str">
        <f>"AICE ENG LANG 2 AL"</f>
        <v>AICE ENG LANG 2 AL</v>
      </c>
      <c r="G6736" t="str">
        <f>"17-1704"</f>
        <v>17-1704</v>
      </c>
      <c r="H6736" t="str">
        <f>"B"</f>
        <v>B</v>
      </c>
    </row>
    <row r="6737" spans="1:8" x14ac:dyDescent="0.2">
      <c r="A6737" t="str">
        <f t="shared" ref="A6737:A6744" si="2468">"0614136684"</f>
        <v>0614136684</v>
      </c>
      <c r="B6737" t="str">
        <f t="shared" ref="B6737:B6744" si="2469">"DANIEL"</f>
        <v>DANIEL</v>
      </c>
      <c r="C6737" t="str">
        <f t="shared" ref="C6737:C6752" si="2470">"GUERRA"</f>
        <v>GUERRA</v>
      </c>
      <c r="D6737">
        <f>11</f>
        <v>11</v>
      </c>
      <c r="E6737" t="str">
        <f>"04 - A - 101 - Thomas G Handwerg"</f>
        <v>04 - A - 101 - Thomas G Handwerg</v>
      </c>
      <c r="F6737" t="str">
        <f>"MATH COLL ALGEBRA"</f>
        <v>MATH COLL ALGEBRA</v>
      </c>
      <c r="G6737" t="str">
        <f>"21-2146"</f>
        <v>21-2146</v>
      </c>
      <c r="H6737" t="str">
        <f>"A"</f>
        <v>A</v>
      </c>
    </row>
    <row r="6738" spans="1:8" x14ac:dyDescent="0.2">
      <c r="A6738" t="str">
        <f t="shared" si="2468"/>
        <v>0614136684</v>
      </c>
      <c r="B6738" t="str">
        <f t="shared" si="2469"/>
        <v>DANIEL</v>
      </c>
      <c r="C6738" t="str">
        <f t="shared" si="2470"/>
        <v>GUERRA</v>
      </c>
      <c r="D6738">
        <f>11</f>
        <v>11</v>
      </c>
      <c r="E6738" t="str">
        <f>"06 - B - 001 - Samantha J Headley"</f>
        <v>06 - B - 001 - Samantha J Headley</v>
      </c>
      <c r="F6738" t="str">
        <f>"MARINE SCI 1 HON"</f>
        <v>MARINE SCI 1 HON</v>
      </c>
      <c r="G6738" t="str">
        <f>"21-2134"</f>
        <v>21-2134</v>
      </c>
      <c r="H6738" t="str">
        <f>"B"</f>
        <v>B</v>
      </c>
    </row>
    <row r="6739" spans="1:8" x14ac:dyDescent="0.2">
      <c r="A6739" t="str">
        <f t="shared" si="2468"/>
        <v>0614136684</v>
      </c>
      <c r="B6739" t="str">
        <f t="shared" si="2469"/>
        <v>DANIEL</v>
      </c>
      <c r="C6739" t="str">
        <f t="shared" si="2470"/>
        <v>GUERRA</v>
      </c>
      <c r="D6739">
        <f>11</f>
        <v>11</v>
      </c>
      <c r="E6739" t="str">
        <f>"03 - A - 106 - Jerry S Jiampetti"</f>
        <v>03 - A - 106 - Jerry S Jiampetti</v>
      </c>
      <c r="F6739" t="str">
        <f>"US HISTORY HON"</f>
        <v>US HISTORY HON</v>
      </c>
      <c r="G6739" t="str">
        <f>"17-1751"</f>
        <v>17-1751</v>
      </c>
      <c r="H6739" t="str">
        <f>"A"</f>
        <v>A</v>
      </c>
    </row>
    <row r="6740" spans="1:8" x14ac:dyDescent="0.2">
      <c r="A6740" t="str">
        <f t="shared" si="2468"/>
        <v>0614136684</v>
      </c>
      <c r="B6740" t="str">
        <f t="shared" si="2469"/>
        <v>DANIEL</v>
      </c>
      <c r="C6740" t="str">
        <f t="shared" si="2470"/>
        <v>GUERRA</v>
      </c>
      <c r="D6740">
        <f>11</f>
        <v>11</v>
      </c>
      <c r="E6740" t="str">
        <f>"02 - A - 112 - Brandy N Zdenek"</f>
        <v>02 - A - 112 - Brandy N Zdenek</v>
      </c>
      <c r="F6740" t="str">
        <f>"NC STUDY HALL 1"</f>
        <v>NC STUDY HALL 1</v>
      </c>
      <c r="G6740" t="str">
        <f>"17-1704"</f>
        <v>17-1704</v>
      </c>
      <c r="H6740" t="str">
        <f>"A"</f>
        <v>A</v>
      </c>
    </row>
    <row r="6741" spans="1:8" x14ac:dyDescent="0.2">
      <c r="A6741" t="str">
        <f t="shared" si="2468"/>
        <v>0614136684</v>
      </c>
      <c r="B6741" t="str">
        <f t="shared" si="2469"/>
        <v>DANIEL</v>
      </c>
      <c r="C6741" t="str">
        <f t="shared" si="2470"/>
        <v>GUERRA</v>
      </c>
      <c r="D6741">
        <f>11</f>
        <v>11</v>
      </c>
      <c r="E6741" t="str">
        <f>"07 - B - 101 - Jeanne M Bermudez"</f>
        <v>07 - B - 101 - Jeanne M Bermudez</v>
      </c>
      <c r="F6741" t="str">
        <f>"FOUND OF PROGRAM HON"</f>
        <v>FOUND OF PROGRAM HON</v>
      </c>
      <c r="G6741" t="str">
        <f>"21-2141"</f>
        <v>21-2141</v>
      </c>
      <c r="H6741" t="str">
        <f>"B"</f>
        <v>B</v>
      </c>
    </row>
    <row r="6742" spans="1:8" x14ac:dyDescent="0.2">
      <c r="A6742" t="str">
        <f t="shared" si="2468"/>
        <v>0614136684</v>
      </c>
      <c r="B6742" t="str">
        <f t="shared" si="2469"/>
        <v>DANIEL</v>
      </c>
      <c r="C6742" t="str">
        <f t="shared" si="2470"/>
        <v>GUERRA</v>
      </c>
      <c r="D6742">
        <f>11</f>
        <v>11</v>
      </c>
      <c r="E6742" t="str">
        <f>"05 - B - 102 - Jacklyn M James"</f>
        <v>05 - B - 102 - Jacklyn M James</v>
      </c>
      <c r="F6742" t="str">
        <f>"AICE ENG LANG AS"</f>
        <v>AICE ENG LANG AS</v>
      </c>
      <c r="G6742" t="str">
        <f>"17-1731"</f>
        <v>17-1731</v>
      </c>
      <c r="H6742" t="str">
        <f>"B"</f>
        <v>B</v>
      </c>
    </row>
    <row r="6743" spans="1:8" x14ac:dyDescent="0.2">
      <c r="A6743" t="str">
        <f t="shared" si="2468"/>
        <v>0614136684</v>
      </c>
      <c r="B6743" t="str">
        <f t="shared" si="2469"/>
        <v>DANIEL</v>
      </c>
      <c r="C6743" t="str">
        <f t="shared" si="2470"/>
        <v>GUERRA</v>
      </c>
      <c r="D6743">
        <f>11</f>
        <v>11</v>
      </c>
      <c r="E6743" t="str">
        <f>"01 - A - 101 - Angela S Adeshina-Morrison"</f>
        <v>01 - A - 101 - Angela S Adeshina-Morrison</v>
      </c>
      <c r="F6743" t="str">
        <f>"MARKETING ESSENTIALS"</f>
        <v>MARKETING ESSENTIALS</v>
      </c>
      <c r="G6743" t="str">
        <f>"05-518"</f>
        <v>05-518</v>
      </c>
      <c r="H6743" t="str">
        <f>"A"</f>
        <v>A</v>
      </c>
    </row>
    <row r="6744" spans="1:8" x14ac:dyDescent="0.2">
      <c r="A6744" t="str">
        <f t="shared" si="2468"/>
        <v>0614136684</v>
      </c>
      <c r="B6744" t="str">
        <f t="shared" si="2469"/>
        <v>DANIEL</v>
      </c>
      <c r="C6744" t="str">
        <f t="shared" si="2470"/>
        <v>GUERRA</v>
      </c>
      <c r="D6744">
        <f>11</f>
        <v>11</v>
      </c>
      <c r="E6744" t="str">
        <f>"08 - B - 101 - Marius D Orsolini"</f>
        <v>08 - B - 101 - Marius D Orsolini</v>
      </c>
      <c r="F6744" t="str">
        <f>"CULINARY ARTS 2"</f>
        <v>CULINARY ARTS 2</v>
      </c>
      <c r="G6744" t="str">
        <f>"21-2115"</f>
        <v>21-2115</v>
      </c>
      <c r="H6744" t="str">
        <f>"B"</f>
        <v>B</v>
      </c>
    </row>
    <row r="6745" spans="1:8" x14ac:dyDescent="0.2">
      <c r="A6745" t="str">
        <f t="shared" ref="A6745:A6752" si="2471">"0614000015"</f>
        <v>0614000015</v>
      </c>
      <c r="B6745" t="str">
        <f t="shared" ref="B6745:B6752" si="2472">"JENNIFER"</f>
        <v>JENNIFER</v>
      </c>
      <c r="C6745" t="str">
        <f t="shared" si="2470"/>
        <v>GUERRA</v>
      </c>
      <c r="D6745">
        <f>12</f>
        <v>12</v>
      </c>
      <c r="E6745" t="str">
        <f>"04 - A - 101 - Stefanie S Scher"</f>
        <v>04 - A - 101 - Stefanie S Scher</v>
      </c>
      <c r="F6745" t="str">
        <f>"AP PSYCH"</f>
        <v>AP PSYCH</v>
      </c>
      <c r="G6745" t="str">
        <f>"17-1735"</f>
        <v>17-1735</v>
      </c>
      <c r="H6745" t="str">
        <f>"A"</f>
        <v>A</v>
      </c>
    </row>
    <row r="6746" spans="1:8" x14ac:dyDescent="0.2">
      <c r="A6746" t="str">
        <f t="shared" si="2471"/>
        <v>0614000015</v>
      </c>
      <c r="B6746" t="str">
        <f t="shared" si="2472"/>
        <v>JENNIFER</v>
      </c>
      <c r="C6746" t="str">
        <f t="shared" si="2470"/>
        <v>GUERRA</v>
      </c>
      <c r="D6746">
        <f>12</f>
        <v>12</v>
      </c>
      <c r="E6746" t="str">
        <f>"06 - B - 107 - Pamela M Corzo"</f>
        <v>06 - B - 107 - Pamela M Corzo</v>
      </c>
      <c r="F6746" t="str">
        <f>"NC STUDY HALL 1"</f>
        <v>NC STUDY HALL 1</v>
      </c>
      <c r="G6746" t="str">
        <f>"21-2133"</f>
        <v>21-2133</v>
      </c>
      <c r="H6746" t="str">
        <f>"B"</f>
        <v>B</v>
      </c>
    </row>
    <row r="6747" spans="1:8" x14ac:dyDescent="0.2">
      <c r="A6747" t="str">
        <f t="shared" si="2471"/>
        <v>0614000015</v>
      </c>
      <c r="B6747" t="str">
        <f t="shared" si="2472"/>
        <v>JENNIFER</v>
      </c>
      <c r="C6747" t="str">
        <f t="shared" si="2470"/>
        <v>GUERRA</v>
      </c>
      <c r="D6747">
        <f>12</f>
        <v>12</v>
      </c>
      <c r="E6747" t="str">
        <f>"03 - A - 101 - Lisa J London"</f>
        <v>03 - A - 101 - Lisa J London</v>
      </c>
      <c r="F6747" t="str">
        <f>"AP CAPSTONE RESEARCH"</f>
        <v>AP CAPSTONE RESEARCH</v>
      </c>
      <c r="G6747" t="str">
        <f>"17-1714"</f>
        <v>17-1714</v>
      </c>
      <c r="H6747" t="str">
        <f>"A"</f>
        <v>A</v>
      </c>
    </row>
    <row r="6748" spans="1:8" x14ac:dyDescent="0.2">
      <c r="A6748" t="str">
        <f t="shared" si="2471"/>
        <v>0614000015</v>
      </c>
      <c r="B6748" t="str">
        <f t="shared" si="2472"/>
        <v>JENNIFER</v>
      </c>
      <c r="C6748" t="str">
        <f t="shared" si="2470"/>
        <v>GUERRA</v>
      </c>
      <c r="D6748">
        <f>12</f>
        <v>12</v>
      </c>
      <c r="E6748" t="str">
        <f>"02 - A - 102 - Marielle A Witting"</f>
        <v>02 - A - 102 - Marielle A Witting</v>
      </c>
      <c r="F6748" t="str">
        <f>"AP BIO"</f>
        <v>AP BIO</v>
      </c>
      <c r="G6748" t="str">
        <f>"08-805"</f>
        <v>08-805</v>
      </c>
      <c r="H6748" t="str">
        <f>"A"</f>
        <v>A</v>
      </c>
    </row>
    <row r="6749" spans="1:8" x14ac:dyDescent="0.2">
      <c r="A6749" t="str">
        <f t="shared" si="2471"/>
        <v>0614000015</v>
      </c>
      <c r="B6749" t="str">
        <f t="shared" si="2472"/>
        <v>JENNIFER</v>
      </c>
      <c r="C6749" t="str">
        <f t="shared" si="2470"/>
        <v>GUERRA</v>
      </c>
      <c r="D6749">
        <f>12</f>
        <v>12</v>
      </c>
      <c r="E6749" t="str">
        <f>"07 - S1 - B - 101 - Stephen T Ripp"</f>
        <v>07 - S1 - B - 101 - Stephen T Ripp</v>
      </c>
      <c r="F6749" t="str">
        <f>"AP US GOVT/POL"</f>
        <v>AP US GOVT/POL</v>
      </c>
      <c r="G6749" t="str">
        <f>"17-1744"</f>
        <v>17-1744</v>
      </c>
      <c r="H6749" t="str">
        <f>"B"</f>
        <v>B</v>
      </c>
    </row>
    <row r="6750" spans="1:8" x14ac:dyDescent="0.2">
      <c r="A6750" t="str">
        <f t="shared" si="2471"/>
        <v>0614000015</v>
      </c>
      <c r="B6750" t="str">
        <f t="shared" si="2472"/>
        <v>JENNIFER</v>
      </c>
      <c r="C6750" t="str">
        <f t="shared" si="2470"/>
        <v>GUERRA</v>
      </c>
      <c r="D6750">
        <f>12</f>
        <v>12</v>
      </c>
      <c r="E6750" t="str">
        <f>"05 - B - 103 - Chrystina M Marchionne"</f>
        <v>05 - B - 103 - Chrystina M Marchionne</v>
      </c>
      <c r="F6750" t="str">
        <f>"AICE MEDIA STUDIES A"</f>
        <v>AICE MEDIA STUDIES A</v>
      </c>
      <c r="G6750" t="str">
        <f>"05-520"</f>
        <v>05-520</v>
      </c>
      <c r="H6750" t="str">
        <f>"B"</f>
        <v>B</v>
      </c>
    </row>
    <row r="6751" spans="1:8" x14ac:dyDescent="0.2">
      <c r="A6751" t="str">
        <f t="shared" si="2471"/>
        <v>0614000015</v>
      </c>
      <c r="B6751" t="str">
        <f t="shared" si="2472"/>
        <v>JENNIFER</v>
      </c>
      <c r="C6751" t="str">
        <f t="shared" si="2470"/>
        <v>GUERRA</v>
      </c>
      <c r="D6751">
        <f>12</f>
        <v>12</v>
      </c>
      <c r="E6751" t="str">
        <f>"01 - A - 204 - Tina M Jaramillo"</f>
        <v>01 - A - 204 - Tina M Jaramillo</v>
      </c>
      <c r="F6751" t="str">
        <f>"AP ENG LIT COMPO"</f>
        <v>AP ENG LIT COMPO</v>
      </c>
      <c r="G6751" t="str">
        <f>"17-1706"</f>
        <v>17-1706</v>
      </c>
      <c r="H6751" t="str">
        <f>"A"</f>
        <v>A</v>
      </c>
    </row>
    <row r="6752" spans="1:8" x14ac:dyDescent="0.2">
      <c r="A6752" t="str">
        <f t="shared" si="2471"/>
        <v>0614000015</v>
      </c>
      <c r="B6752" t="str">
        <f t="shared" si="2472"/>
        <v>JENNIFER</v>
      </c>
      <c r="C6752" t="str">
        <f t="shared" si="2470"/>
        <v>GUERRA</v>
      </c>
      <c r="D6752">
        <f>12</f>
        <v>12</v>
      </c>
      <c r="E6752" t="str">
        <f>"08 - B - 102 - Pamela M Corzo"</f>
        <v>08 - B - 102 - Pamela M Corzo</v>
      </c>
      <c r="F6752" t="str">
        <f>"AP STAT"</f>
        <v>AP STAT</v>
      </c>
      <c r="G6752" t="str">
        <f>"21-2133"</f>
        <v>21-2133</v>
      </c>
      <c r="H6752" t="str">
        <f>"B"</f>
        <v>B</v>
      </c>
    </row>
    <row r="6753" spans="1:8" x14ac:dyDescent="0.2">
      <c r="A6753" t="str">
        <f t="shared" ref="A6753:A6760" si="2473">"0615043612"</f>
        <v>0615043612</v>
      </c>
      <c r="B6753" t="str">
        <f t="shared" ref="B6753:B6760" si="2474">"ISABELLA"</f>
        <v>ISABELLA</v>
      </c>
      <c r="C6753" t="str">
        <f t="shared" ref="C6753:C6760" si="2475">"GUERRERO"</f>
        <v>GUERRERO</v>
      </c>
      <c r="D6753">
        <f>11</f>
        <v>11</v>
      </c>
      <c r="E6753" t="str">
        <f>"04 - A - 102 - Brandy N Zdenek"</f>
        <v>04 - A - 102 - Brandy N Zdenek</v>
      </c>
      <c r="F6753" t="str">
        <f>"AICE ENG LANG 2 AL"</f>
        <v>AICE ENG LANG 2 AL</v>
      </c>
      <c r="G6753" t="str">
        <f>"17-1704"</f>
        <v>17-1704</v>
      </c>
      <c r="H6753" t="str">
        <f>"A"</f>
        <v>A</v>
      </c>
    </row>
    <row r="6754" spans="1:8" x14ac:dyDescent="0.2">
      <c r="A6754" t="str">
        <f t="shared" si="2473"/>
        <v>0615043612</v>
      </c>
      <c r="B6754" t="str">
        <f t="shared" si="2474"/>
        <v>ISABELLA</v>
      </c>
      <c r="C6754" t="str">
        <f t="shared" si="2475"/>
        <v>GUERRERO</v>
      </c>
      <c r="D6754">
        <f>11</f>
        <v>11</v>
      </c>
      <c r="E6754" t="str">
        <f>"06 - B - 103 - Helen A Flores"</f>
        <v>06 - B - 103 - Helen A Flores</v>
      </c>
      <c r="F6754" t="str">
        <f>"ALGEBRA 2"</f>
        <v>ALGEBRA 2</v>
      </c>
      <c r="G6754" t="str">
        <f>"21-2101"</f>
        <v>21-2101</v>
      </c>
      <c r="H6754" t="str">
        <f>"B"</f>
        <v>B</v>
      </c>
    </row>
    <row r="6755" spans="1:8" x14ac:dyDescent="0.2">
      <c r="A6755" t="str">
        <f t="shared" si="2473"/>
        <v>0615043612</v>
      </c>
      <c r="B6755" t="str">
        <f t="shared" si="2474"/>
        <v>ISABELLA</v>
      </c>
      <c r="C6755" t="str">
        <f t="shared" si="2475"/>
        <v>GUERRERO</v>
      </c>
      <c r="D6755">
        <f>11</f>
        <v>11</v>
      </c>
      <c r="E6755" t="str">
        <f>"03 - A - 204 - Norayda D Suarez"</f>
        <v>03 - A - 204 - Norayda D Suarez</v>
      </c>
      <c r="F6755" t="str">
        <f>"ANAT PHYSIO HON"</f>
        <v>ANAT PHYSIO HON</v>
      </c>
      <c r="G6755" t="str">
        <f>"21-2144"</f>
        <v>21-2144</v>
      </c>
      <c r="H6755" t="str">
        <f>"A"</f>
        <v>A</v>
      </c>
    </row>
    <row r="6756" spans="1:8" x14ac:dyDescent="0.2">
      <c r="A6756" t="str">
        <f t="shared" si="2473"/>
        <v>0615043612</v>
      </c>
      <c r="B6756" t="str">
        <f t="shared" si="2474"/>
        <v>ISABELLA</v>
      </c>
      <c r="C6756" t="str">
        <f t="shared" si="2475"/>
        <v>GUERRERO</v>
      </c>
      <c r="D6756">
        <f>11</f>
        <v>11</v>
      </c>
      <c r="E6756" t="str">
        <f>"02 - A - 105 - Leslie J Barton"</f>
        <v>02 - A - 105 - Leslie J Barton</v>
      </c>
      <c r="F6756" t="str">
        <f>"NC STUDY HALL 1"</f>
        <v>NC STUDY HALL 1</v>
      </c>
      <c r="G6756" t="str">
        <f>"05-521"</f>
        <v>05-521</v>
      </c>
      <c r="H6756" t="str">
        <f>"A"</f>
        <v>A</v>
      </c>
    </row>
    <row r="6757" spans="1:8" x14ac:dyDescent="0.2">
      <c r="A6757" t="str">
        <f t="shared" si="2473"/>
        <v>0615043612</v>
      </c>
      <c r="B6757" t="str">
        <f t="shared" si="2474"/>
        <v>ISABELLA</v>
      </c>
      <c r="C6757" t="str">
        <f t="shared" si="2475"/>
        <v>GUERRERO</v>
      </c>
      <c r="D6757">
        <f>11</f>
        <v>11</v>
      </c>
      <c r="E6757" t="str">
        <f>"07 - B - 107 - Adam Marcus  Drucker"</f>
        <v>07 - B - 107 - Adam Marcus  Drucker</v>
      </c>
      <c r="F6757" t="str">
        <f>"HOPE-PE V"</f>
        <v>HOPE-PE V</v>
      </c>
      <c r="G6757" t="str">
        <f>"04-254"</f>
        <v>04-254</v>
      </c>
      <c r="H6757" t="str">
        <f>"B"</f>
        <v>B</v>
      </c>
    </row>
    <row r="6758" spans="1:8" x14ac:dyDescent="0.2">
      <c r="A6758" t="str">
        <f t="shared" si="2473"/>
        <v>0615043612</v>
      </c>
      <c r="B6758" t="str">
        <f t="shared" si="2474"/>
        <v>ISABELLA</v>
      </c>
      <c r="C6758" t="str">
        <f t="shared" si="2475"/>
        <v>GUERRERO</v>
      </c>
      <c r="D6758">
        <f>11</f>
        <v>11</v>
      </c>
      <c r="E6758" t="str">
        <f>"05 - B - 102 - Jerry S Jiampetti"</f>
        <v>05 - B - 102 - Jerry S Jiampetti</v>
      </c>
      <c r="F6758" t="str">
        <f>"AICE U.S. HIST 1 AS"</f>
        <v>AICE U.S. HIST 1 AS</v>
      </c>
      <c r="G6758" t="str">
        <f>"17-1751"</f>
        <v>17-1751</v>
      </c>
      <c r="H6758" t="str">
        <f>"B"</f>
        <v>B</v>
      </c>
    </row>
    <row r="6759" spans="1:8" x14ac:dyDescent="0.2">
      <c r="A6759" t="str">
        <f t="shared" si="2473"/>
        <v>0615043612</v>
      </c>
      <c r="B6759" t="str">
        <f t="shared" si="2474"/>
        <v>ISABELLA</v>
      </c>
      <c r="C6759" t="str">
        <f t="shared" si="2475"/>
        <v>GUERRERO</v>
      </c>
      <c r="D6759">
        <f>11</f>
        <v>11</v>
      </c>
      <c r="E6759" t="str">
        <f>"01 - A - 201 - Chrystina M Marchionne"</f>
        <v>01 - A - 201 - Chrystina M Marchionne</v>
      </c>
      <c r="F6759" t="str">
        <f>"AICE MEDIASTUDIES AS"</f>
        <v>AICE MEDIASTUDIES AS</v>
      </c>
      <c r="G6759" t="str">
        <f>"05-520"</f>
        <v>05-520</v>
      </c>
      <c r="H6759" t="str">
        <f>"A"</f>
        <v>A</v>
      </c>
    </row>
    <row r="6760" spans="1:8" x14ac:dyDescent="0.2">
      <c r="A6760" t="str">
        <f t="shared" si="2473"/>
        <v>0615043612</v>
      </c>
      <c r="B6760" t="str">
        <f t="shared" si="2474"/>
        <v>ISABELLA</v>
      </c>
      <c r="C6760" t="str">
        <f t="shared" si="2475"/>
        <v>GUERRERO</v>
      </c>
      <c r="D6760">
        <f>11</f>
        <v>11</v>
      </c>
      <c r="E6760" t="str">
        <f>"08 - B - 202 - Krystal Marie  Beruty"</f>
        <v>08 - B - 202 - Krystal Marie  Beruty</v>
      </c>
      <c r="F6760" t="str">
        <f>"AICE PSYCH 1 AS"</f>
        <v>AICE PSYCH 1 AS</v>
      </c>
      <c r="G6760" t="str">
        <f>"17-1721"</f>
        <v>17-1721</v>
      </c>
      <c r="H6760" t="str">
        <f>"B"</f>
        <v>B</v>
      </c>
    </row>
    <row r="6761" spans="1:8" x14ac:dyDescent="0.2">
      <c r="A6761" t="str">
        <f t="shared" ref="A6761:A6768" si="2476">"0617136212"</f>
        <v>0617136212</v>
      </c>
      <c r="B6761" t="str">
        <f t="shared" ref="B6761:B6768" si="2477">"ENELIO"</f>
        <v>ENELIO</v>
      </c>
      <c r="C6761" t="str">
        <f t="shared" ref="C6761:C6768" si="2478">"GUERRERO PEREZ"</f>
        <v>GUERRERO PEREZ</v>
      </c>
      <c r="D6761" t="str">
        <f t="shared" ref="D6761:D6768" si="2479">"09"</f>
        <v>09</v>
      </c>
      <c r="E6761" t="str">
        <f>"04 - A - 005 - Emmily A Sarmiento"</f>
        <v>04 - A - 005 - Emmily A Sarmiento</v>
      </c>
      <c r="F6761" t="str">
        <f>"AICE GLBL PERSP 1 AS"</f>
        <v>AICE GLBL PERSP 1 AS</v>
      </c>
      <c r="G6761" t="str">
        <f>"17-1743"</f>
        <v>17-1743</v>
      </c>
      <c r="H6761" t="str">
        <f>"A"</f>
        <v>A</v>
      </c>
    </row>
    <row r="6762" spans="1:8" x14ac:dyDescent="0.2">
      <c r="A6762" t="str">
        <f t="shared" si="2476"/>
        <v>0617136212</v>
      </c>
      <c r="B6762" t="str">
        <f t="shared" si="2477"/>
        <v>ENELIO</v>
      </c>
      <c r="C6762" t="str">
        <f t="shared" si="2478"/>
        <v>GUERRERO PEREZ</v>
      </c>
      <c r="D6762" t="str">
        <f t="shared" si="2479"/>
        <v>09</v>
      </c>
      <c r="E6762" t="str">
        <f>"06 - B - 102 - Angela S Adeshina-Morrison"</f>
        <v>06 - B - 102 - Angela S Adeshina-Morrison</v>
      </c>
      <c r="F6762" t="str">
        <f>"MARKETING ESSENTIALS"</f>
        <v>MARKETING ESSENTIALS</v>
      </c>
      <c r="G6762" t="str">
        <f>"05-518"</f>
        <v>05-518</v>
      </c>
      <c r="H6762" t="str">
        <f>"B"</f>
        <v>B</v>
      </c>
    </row>
    <row r="6763" spans="1:8" x14ac:dyDescent="0.2">
      <c r="A6763" t="str">
        <f t="shared" si="2476"/>
        <v>0617136212</v>
      </c>
      <c r="B6763" t="str">
        <f t="shared" si="2477"/>
        <v>ENELIO</v>
      </c>
      <c r="C6763" t="str">
        <f t="shared" si="2478"/>
        <v>GUERRERO PEREZ</v>
      </c>
      <c r="D6763" t="str">
        <f t="shared" si="2479"/>
        <v>09</v>
      </c>
      <c r="E6763" t="str">
        <f>"03 - A - 001 - Maried P Ramos"</f>
        <v>03 - A - 001 - Maried P Ramos</v>
      </c>
      <c r="F6763" t="str">
        <f>"PRE-AICE MATH 2 IG"</f>
        <v>PRE-AICE MATH 2 IG</v>
      </c>
      <c r="G6763" t="str">
        <f>"21-2159"</f>
        <v>21-2159</v>
      </c>
      <c r="H6763" t="str">
        <f>"A"</f>
        <v>A</v>
      </c>
    </row>
    <row r="6764" spans="1:8" x14ac:dyDescent="0.2">
      <c r="A6764" t="str">
        <f t="shared" si="2476"/>
        <v>0617136212</v>
      </c>
      <c r="B6764" t="str">
        <f t="shared" si="2477"/>
        <v>ENELIO</v>
      </c>
      <c r="C6764" t="str">
        <f t="shared" si="2478"/>
        <v>GUERRERO PEREZ</v>
      </c>
      <c r="D6764" t="str">
        <f t="shared" si="2479"/>
        <v>09</v>
      </c>
      <c r="E6764" t="str">
        <f>"02 - A - 108 - Rory T Sponsler"</f>
        <v>02 - A - 108 - Rory T Sponsler</v>
      </c>
      <c r="F6764" t="str">
        <f>"NC STUDY HALL 1"</f>
        <v>NC STUDY HALL 1</v>
      </c>
      <c r="G6764" t="str">
        <f>"17-1740"</f>
        <v>17-1740</v>
      </c>
      <c r="H6764" t="str">
        <f>"A"</f>
        <v>A</v>
      </c>
    </row>
    <row r="6765" spans="1:8" x14ac:dyDescent="0.2">
      <c r="A6765" t="str">
        <f t="shared" si="2476"/>
        <v>0617136212</v>
      </c>
      <c r="B6765" t="str">
        <f t="shared" si="2477"/>
        <v>ENELIO</v>
      </c>
      <c r="C6765" t="str">
        <f t="shared" si="2478"/>
        <v>GUERRERO PEREZ</v>
      </c>
      <c r="D6765" t="str">
        <f t="shared" si="2479"/>
        <v>09</v>
      </c>
      <c r="E6765" t="str">
        <f>"07 - B - 105 - Joe  Kilpatrick Jr"</f>
        <v>07 - B - 105 - Joe  Kilpatrick Jr</v>
      </c>
      <c r="F6765" t="str">
        <f>"PRE-AICE SPAN 1 IG"</f>
        <v>PRE-AICE SPAN 1 IG</v>
      </c>
      <c r="G6765" t="str">
        <f>"09-912"</f>
        <v>09-912</v>
      </c>
      <c r="H6765" t="str">
        <f>"B"</f>
        <v>B</v>
      </c>
    </row>
    <row r="6766" spans="1:8" x14ac:dyDescent="0.2">
      <c r="A6766" t="str">
        <f t="shared" si="2476"/>
        <v>0617136212</v>
      </c>
      <c r="B6766" t="str">
        <f t="shared" si="2477"/>
        <v>ENELIO</v>
      </c>
      <c r="C6766" t="str">
        <f t="shared" si="2478"/>
        <v>GUERRERO PEREZ</v>
      </c>
      <c r="D6766" t="str">
        <f t="shared" si="2479"/>
        <v>09</v>
      </c>
      <c r="E6766" t="str">
        <f>"05 - B - 204 - Elizabeth R Walker"</f>
        <v>05 - B - 204 - Elizabeth R Walker</v>
      </c>
      <c r="F6766" t="str">
        <f>"AICE ENG GEN PAPER 1"</f>
        <v>AICE ENG GEN PAPER 1</v>
      </c>
      <c r="G6766" t="str">
        <f>"17-1703"</f>
        <v>17-1703</v>
      </c>
      <c r="H6766" t="str">
        <f>"B"</f>
        <v>B</v>
      </c>
    </row>
    <row r="6767" spans="1:8" x14ac:dyDescent="0.2">
      <c r="A6767" t="str">
        <f t="shared" si="2476"/>
        <v>0617136212</v>
      </c>
      <c r="B6767" t="str">
        <f t="shared" si="2477"/>
        <v>ENELIO</v>
      </c>
      <c r="C6767" t="str">
        <f t="shared" si="2478"/>
        <v>GUERRERO PEREZ</v>
      </c>
      <c r="D6767" t="str">
        <f t="shared" si="2479"/>
        <v>09</v>
      </c>
      <c r="E6767" t="str">
        <f>"01 - A - 201 - Cheryl L Beach"</f>
        <v>01 - A - 201 - Cheryl L Beach</v>
      </c>
      <c r="F6767" t="str">
        <f>"AICE ENV MGMNT AS"</f>
        <v>AICE ENV MGMNT AS</v>
      </c>
      <c r="G6767" t="str">
        <f>"08-811"</f>
        <v>08-811</v>
      </c>
      <c r="H6767" t="str">
        <f>"A"</f>
        <v>A</v>
      </c>
    </row>
    <row r="6768" spans="1:8" x14ac:dyDescent="0.2">
      <c r="A6768" t="str">
        <f t="shared" si="2476"/>
        <v>0617136212</v>
      </c>
      <c r="B6768" t="str">
        <f t="shared" si="2477"/>
        <v>ENELIO</v>
      </c>
      <c r="C6768" t="str">
        <f t="shared" si="2478"/>
        <v>GUERRERO PEREZ</v>
      </c>
      <c r="D6768" t="str">
        <f t="shared" si="2479"/>
        <v>09</v>
      </c>
      <c r="E6768" t="str">
        <f>"08 - B - 108 - Adam Marcus  Drucker"</f>
        <v>08 - B - 108 - Adam Marcus  Drucker</v>
      </c>
      <c r="F6768" t="str">
        <f>"HOPE-PE V"</f>
        <v>HOPE-PE V</v>
      </c>
      <c r="G6768" t="str">
        <f>"04-254"</f>
        <v>04-254</v>
      </c>
      <c r="H6768" t="str">
        <f>"B"</f>
        <v>B</v>
      </c>
    </row>
    <row r="6769" spans="1:8" x14ac:dyDescent="0.2">
      <c r="A6769" t="str">
        <f t="shared" ref="A6769:A6776" si="2480">"0623114211"</f>
        <v>0623114211</v>
      </c>
      <c r="B6769" t="str">
        <f t="shared" ref="B6769:B6776" si="2481">"MARIA"</f>
        <v>MARIA</v>
      </c>
      <c r="C6769" t="str">
        <f t="shared" ref="C6769:C6776" si="2482">"GUERRERO SIERRA"</f>
        <v>GUERRERO SIERRA</v>
      </c>
      <c r="D6769">
        <f>11</f>
        <v>11</v>
      </c>
      <c r="E6769" t="str">
        <f>"04 - S1 - A - 101 - Nahum  Saint-Preux"</f>
        <v>04 - S1 - A - 101 - Nahum  Saint-Preux</v>
      </c>
      <c r="F6769" t="str">
        <f>"CRIT THINK ST SKLS"</f>
        <v>CRIT THINK ST SKLS</v>
      </c>
      <c r="G6769" t="str">
        <f>"17-1712"</f>
        <v>17-1712</v>
      </c>
      <c r="H6769" t="str">
        <f>"A"</f>
        <v>A</v>
      </c>
    </row>
    <row r="6770" spans="1:8" x14ac:dyDescent="0.2">
      <c r="A6770" t="str">
        <f t="shared" si="2480"/>
        <v>0623114211</v>
      </c>
      <c r="B6770" t="str">
        <f t="shared" si="2481"/>
        <v>MARIA</v>
      </c>
      <c r="C6770" t="str">
        <f t="shared" si="2482"/>
        <v>GUERRERO SIERRA</v>
      </c>
      <c r="D6770">
        <f>11</f>
        <v>11</v>
      </c>
      <c r="E6770" t="str">
        <f>"06 - B - 108 - Milca  Exantus"</f>
        <v>06 - B - 108 - Milca  Exantus</v>
      </c>
      <c r="F6770" t="str">
        <f>"MATH COLLEGE LIB ART"</f>
        <v>MATH COLLEGE LIB ART</v>
      </c>
      <c r="G6770" t="str">
        <f>"21-2145"</f>
        <v>21-2145</v>
      </c>
      <c r="H6770" t="str">
        <f>"B"</f>
        <v>B</v>
      </c>
    </row>
    <row r="6771" spans="1:8" x14ac:dyDescent="0.2">
      <c r="A6771" t="str">
        <f t="shared" si="2480"/>
        <v>0623114211</v>
      </c>
      <c r="B6771" t="str">
        <f t="shared" si="2481"/>
        <v>MARIA</v>
      </c>
      <c r="C6771" t="str">
        <f t="shared" si="2482"/>
        <v>GUERRERO SIERRA</v>
      </c>
      <c r="D6771">
        <f>11</f>
        <v>11</v>
      </c>
      <c r="E6771" t="str">
        <f>"03 - A - 104 - Kyle  Robbins"</f>
        <v>03 - A - 104 - Kyle  Robbins</v>
      </c>
      <c r="F6771" t="str">
        <f>"US HISTORY"</f>
        <v>US HISTORY</v>
      </c>
      <c r="G6771" t="str">
        <f>"17-1745"</f>
        <v>17-1745</v>
      </c>
      <c r="H6771" t="str">
        <f>"A"</f>
        <v>A</v>
      </c>
    </row>
    <row r="6772" spans="1:8" x14ac:dyDescent="0.2">
      <c r="A6772" t="str">
        <f t="shared" si="2480"/>
        <v>0623114211</v>
      </c>
      <c r="B6772" t="str">
        <f t="shared" si="2481"/>
        <v>MARIA</v>
      </c>
      <c r="C6772" t="str">
        <f t="shared" si="2482"/>
        <v>GUERRERO SIERRA</v>
      </c>
      <c r="D6772">
        <f>11</f>
        <v>11</v>
      </c>
      <c r="E6772" t="str">
        <f>"02 - A - 106 - Heidi M Knopp"</f>
        <v>02 - A - 106 - Heidi M Knopp</v>
      </c>
      <c r="F6772" t="str">
        <f>"NC STUDY HALL 1"</f>
        <v>NC STUDY HALL 1</v>
      </c>
      <c r="G6772" t="str">
        <f>"17-1735"</f>
        <v>17-1735</v>
      </c>
      <c r="H6772" t="str">
        <f>"A"</f>
        <v>A</v>
      </c>
    </row>
    <row r="6773" spans="1:8" x14ac:dyDescent="0.2">
      <c r="A6773" t="str">
        <f t="shared" si="2480"/>
        <v>0623114211</v>
      </c>
      <c r="B6773" t="str">
        <f t="shared" si="2481"/>
        <v>MARIA</v>
      </c>
      <c r="C6773" t="str">
        <f t="shared" si="2482"/>
        <v>GUERRERO SIERRA</v>
      </c>
      <c r="D6773">
        <f>11</f>
        <v>11</v>
      </c>
      <c r="E6773" t="str">
        <f>"07 - B - 104 - Marielle A Witting"</f>
        <v>07 - B - 104 - Marielle A Witting</v>
      </c>
      <c r="F6773" t="str">
        <f>"ANAT PHYSIO"</f>
        <v>ANAT PHYSIO</v>
      </c>
      <c r="G6773" t="str">
        <f>"08-805"</f>
        <v>08-805</v>
      </c>
      <c r="H6773" t="str">
        <f>"B"</f>
        <v>B</v>
      </c>
    </row>
    <row r="6774" spans="1:8" x14ac:dyDescent="0.2">
      <c r="A6774" t="str">
        <f t="shared" si="2480"/>
        <v>0623114211</v>
      </c>
      <c r="B6774" t="str">
        <f t="shared" si="2481"/>
        <v>MARIA</v>
      </c>
      <c r="C6774" t="str">
        <f t="shared" si="2482"/>
        <v>GUERRERO SIERRA</v>
      </c>
      <c r="D6774">
        <f>11</f>
        <v>11</v>
      </c>
      <c r="E6774" t="str">
        <f>"05 - B - 104 - Lisa  Quinn"</f>
        <v>05 - B - 104 - Lisa  Quinn</v>
      </c>
      <c r="F6774" t="str">
        <f>"ENG 3"</f>
        <v>ENG 3</v>
      </c>
      <c r="G6774" t="str">
        <f>"17-1725"</f>
        <v>17-1725</v>
      </c>
      <c r="H6774" t="str">
        <f>"B"</f>
        <v>B</v>
      </c>
    </row>
    <row r="6775" spans="1:8" x14ac:dyDescent="0.2">
      <c r="A6775" t="str">
        <f t="shared" si="2480"/>
        <v>0623114211</v>
      </c>
      <c r="B6775" t="str">
        <f t="shared" si="2481"/>
        <v>MARIA</v>
      </c>
      <c r="C6775" t="str">
        <f t="shared" si="2482"/>
        <v>GUERRERO SIERRA</v>
      </c>
      <c r="D6775">
        <f>11</f>
        <v>11</v>
      </c>
      <c r="E6775" t="str">
        <f>"01 - A - 101 - Nahum  Saint-Preux"</f>
        <v>01 - A - 101 - Nahum  Saint-Preux</v>
      </c>
      <c r="F6775" t="str">
        <f>"INTENS READ 3"</f>
        <v>INTENS READ 3</v>
      </c>
      <c r="G6775" t="str">
        <f>"17-1712"</f>
        <v>17-1712</v>
      </c>
      <c r="H6775" t="str">
        <f>"A"</f>
        <v>A</v>
      </c>
    </row>
    <row r="6776" spans="1:8" x14ac:dyDescent="0.2">
      <c r="A6776" t="str">
        <f t="shared" si="2480"/>
        <v>0623114211</v>
      </c>
      <c r="B6776" t="str">
        <f t="shared" si="2481"/>
        <v>MARIA</v>
      </c>
      <c r="C6776" t="str">
        <f t="shared" si="2482"/>
        <v>GUERRERO SIERRA</v>
      </c>
      <c r="D6776">
        <f>11</f>
        <v>11</v>
      </c>
      <c r="E6776" t="str">
        <f>"08 - B - 105 - Daniel S Tyson"</f>
        <v>08 - B - 105 - Daniel S Tyson</v>
      </c>
      <c r="F6776" t="str">
        <f>"JROTC NAVAL SCI 1"</f>
        <v>JROTC NAVAL SCI 1</v>
      </c>
      <c r="G6776" t="str">
        <f>"05-510"</f>
        <v>05-510</v>
      </c>
      <c r="H6776" t="str">
        <f>"B"</f>
        <v>B</v>
      </c>
    </row>
    <row r="6777" spans="1:8" x14ac:dyDescent="0.2">
      <c r="A6777" t="str">
        <f t="shared" ref="A6777:A6784" si="2483">"0621027471"</f>
        <v>0621027471</v>
      </c>
      <c r="B6777" t="str">
        <f t="shared" ref="B6777:B6784" si="2484">"ZAKYLAH"</f>
        <v>ZAKYLAH</v>
      </c>
      <c r="C6777" t="str">
        <f t="shared" ref="C6777:C6792" si="2485">"GUERRIER"</f>
        <v>GUERRIER</v>
      </c>
      <c r="D6777">
        <f>11</f>
        <v>11</v>
      </c>
      <c r="E6777" t="str">
        <f>"04 - A - 102 - Brandy N Zdenek"</f>
        <v>04 - A - 102 - Brandy N Zdenek</v>
      </c>
      <c r="F6777" t="str">
        <f>"AICE ENG LANG 2 AL"</f>
        <v>AICE ENG LANG 2 AL</v>
      </c>
      <c r="G6777" t="str">
        <f>"17-1704"</f>
        <v>17-1704</v>
      </c>
      <c r="H6777" t="str">
        <f>"A"</f>
        <v>A</v>
      </c>
    </row>
    <row r="6778" spans="1:8" x14ac:dyDescent="0.2">
      <c r="A6778" t="str">
        <f t="shared" si="2483"/>
        <v>0621027471</v>
      </c>
      <c r="B6778" t="str">
        <f t="shared" si="2484"/>
        <v>ZAKYLAH</v>
      </c>
      <c r="C6778" t="str">
        <f t="shared" si="2485"/>
        <v>GUERRIER</v>
      </c>
      <c r="D6778">
        <f>11</f>
        <v>11</v>
      </c>
      <c r="E6778" t="str">
        <f>"06 - B - 002 - Kyle  Robbins"</f>
        <v>06 - B - 002 - Kyle  Robbins</v>
      </c>
      <c r="F6778" t="str">
        <f>"US HISTORY HON"</f>
        <v>US HISTORY HON</v>
      </c>
      <c r="G6778" t="str">
        <f>"17-1745"</f>
        <v>17-1745</v>
      </c>
      <c r="H6778" t="str">
        <f>"B"</f>
        <v>B</v>
      </c>
    </row>
    <row r="6779" spans="1:8" x14ac:dyDescent="0.2">
      <c r="A6779" t="str">
        <f t="shared" si="2483"/>
        <v>0621027471</v>
      </c>
      <c r="B6779" t="str">
        <f t="shared" si="2484"/>
        <v>ZAKYLAH</v>
      </c>
      <c r="C6779" t="str">
        <f t="shared" si="2485"/>
        <v>GUERRIER</v>
      </c>
      <c r="D6779">
        <f>11</f>
        <v>11</v>
      </c>
      <c r="E6779" t="str">
        <f>"03 - A - 201 - Christa T Parisi"</f>
        <v>03 - A - 201 - Christa T Parisi</v>
      </c>
      <c r="F6779" t="str">
        <f>"DANCE TECHNQS 1"</f>
        <v>DANCE TECHNQS 1</v>
      </c>
      <c r="G6779" t="str">
        <f>"05-503"</f>
        <v>05-503</v>
      </c>
      <c r="H6779" t="str">
        <f>"A"</f>
        <v>A</v>
      </c>
    </row>
    <row r="6780" spans="1:8" x14ac:dyDescent="0.2">
      <c r="A6780" t="str">
        <f t="shared" si="2483"/>
        <v>0621027471</v>
      </c>
      <c r="B6780" t="str">
        <f t="shared" si="2484"/>
        <v>ZAKYLAH</v>
      </c>
      <c r="C6780" t="str">
        <f t="shared" si="2485"/>
        <v>GUERRIER</v>
      </c>
      <c r="D6780">
        <f>11</f>
        <v>11</v>
      </c>
      <c r="E6780" t="str">
        <f>"02 - A - 114 - Eva T Rimmer"</f>
        <v>02 - A - 114 - Eva T Rimmer</v>
      </c>
      <c r="F6780" t="str">
        <f>"NC STUDY HALL 1"</f>
        <v>NC STUDY HALL 1</v>
      </c>
      <c r="G6780" t="str">
        <f>"05-523"</f>
        <v>05-523</v>
      </c>
      <c r="H6780" t="str">
        <f>"A"</f>
        <v>A</v>
      </c>
    </row>
    <row r="6781" spans="1:8" x14ac:dyDescent="0.2">
      <c r="A6781" t="str">
        <f t="shared" si="2483"/>
        <v>0621027471</v>
      </c>
      <c r="B6781" t="str">
        <f t="shared" si="2484"/>
        <v>ZAKYLAH</v>
      </c>
      <c r="C6781" t="str">
        <f t="shared" si="2485"/>
        <v>GUERRIER</v>
      </c>
      <c r="D6781">
        <f>11</f>
        <v>11</v>
      </c>
      <c r="E6781" t="str">
        <f>"07 - B - 102 - Lourivaldo  Da Silva"</f>
        <v>07 - B - 102 - Lourivaldo  Da Silva</v>
      </c>
      <c r="F6781" t="str">
        <f>"ALGEBRA 2 HON"</f>
        <v>ALGEBRA 2 HON</v>
      </c>
      <c r="G6781" t="str">
        <f>"20-2079"</f>
        <v>20-2079</v>
      </c>
      <c r="H6781" t="str">
        <f>"B"</f>
        <v>B</v>
      </c>
    </row>
    <row r="6782" spans="1:8" x14ac:dyDescent="0.2">
      <c r="A6782" t="str">
        <f t="shared" si="2483"/>
        <v>0621027471</v>
      </c>
      <c r="B6782" t="str">
        <f t="shared" si="2484"/>
        <v>ZAKYLAH</v>
      </c>
      <c r="C6782" t="str">
        <f t="shared" si="2485"/>
        <v>GUERRIER</v>
      </c>
      <c r="D6782">
        <f>11</f>
        <v>11</v>
      </c>
      <c r="E6782" t="str">
        <f>"05 - B - 001 - Stefanie S Scher"</f>
        <v>05 - B - 001 - Stefanie S Scher</v>
      </c>
      <c r="F6782" t="str">
        <f>"AICE PSYCH 1 AS"</f>
        <v>AICE PSYCH 1 AS</v>
      </c>
      <c r="G6782" t="str">
        <f>"17-1735"</f>
        <v>17-1735</v>
      </c>
      <c r="H6782" t="str">
        <f>"B"</f>
        <v>B</v>
      </c>
    </row>
    <row r="6783" spans="1:8" x14ac:dyDescent="0.2">
      <c r="A6783" t="str">
        <f t="shared" si="2483"/>
        <v>0621027471</v>
      </c>
      <c r="B6783" t="str">
        <f t="shared" si="2484"/>
        <v>ZAKYLAH</v>
      </c>
      <c r="C6783" t="str">
        <f t="shared" si="2485"/>
        <v>GUERRIER</v>
      </c>
      <c r="D6783">
        <f>11</f>
        <v>11</v>
      </c>
      <c r="E6783" t="str">
        <f>"01 - S1 - A - 101 - Lissa C Frederique"</f>
        <v>01 - S1 - A - 101 - Lissa C Frederique</v>
      </c>
      <c r="F6783" t="str">
        <f>"PERS FIN &amp; MON MGT H"</f>
        <v>PERS FIN &amp; MON MGT H</v>
      </c>
      <c r="G6783" t="str">
        <f>"17-1754"</f>
        <v>17-1754</v>
      </c>
      <c r="H6783" t="str">
        <f>"A"</f>
        <v>A</v>
      </c>
    </row>
    <row r="6784" spans="1:8" x14ac:dyDescent="0.2">
      <c r="A6784" t="str">
        <f t="shared" si="2483"/>
        <v>0621027471</v>
      </c>
      <c r="B6784" t="str">
        <f t="shared" si="2484"/>
        <v>ZAKYLAH</v>
      </c>
      <c r="C6784" t="str">
        <f t="shared" si="2485"/>
        <v>GUERRIER</v>
      </c>
      <c r="D6784">
        <f>11</f>
        <v>11</v>
      </c>
      <c r="E6784" t="str">
        <f>"08 - B - 103 - Marielle A Witting"</f>
        <v>08 - B - 103 - Marielle A Witting</v>
      </c>
      <c r="F6784" t="str">
        <f>"AP BIO"</f>
        <v>AP BIO</v>
      </c>
      <c r="G6784" t="str">
        <f>"08-805"</f>
        <v>08-805</v>
      </c>
      <c r="H6784" t="str">
        <f>"B"</f>
        <v>B</v>
      </c>
    </row>
    <row r="6785" spans="1:8" x14ac:dyDescent="0.2">
      <c r="A6785" t="str">
        <f t="shared" ref="A6785:A6792" si="2486">"0621026586"</f>
        <v>0621026586</v>
      </c>
      <c r="B6785" t="str">
        <f t="shared" ref="B6785:B6792" si="2487">"ZOEY"</f>
        <v>ZOEY</v>
      </c>
      <c r="C6785" t="str">
        <f t="shared" si="2485"/>
        <v>GUERRIER</v>
      </c>
      <c r="D6785" t="str">
        <f t="shared" ref="D6785:D6801" si="2488">"09"</f>
        <v>09</v>
      </c>
      <c r="E6785" t="str">
        <f>"04 - A - 004 - Krystal Marie  Beruty"</f>
        <v>04 - A - 004 - Krystal Marie  Beruty</v>
      </c>
      <c r="F6785" t="str">
        <f>"AICE GLBL PERSP 1 AS"</f>
        <v>AICE GLBL PERSP 1 AS</v>
      </c>
      <c r="G6785" t="str">
        <f>"17-1721"</f>
        <v>17-1721</v>
      </c>
      <c r="H6785" t="str">
        <f>"A"</f>
        <v>A</v>
      </c>
    </row>
    <row r="6786" spans="1:8" x14ac:dyDescent="0.2">
      <c r="A6786" t="str">
        <f t="shared" si="2486"/>
        <v>0621026586</v>
      </c>
      <c r="B6786" t="str">
        <f t="shared" si="2487"/>
        <v>ZOEY</v>
      </c>
      <c r="C6786" t="str">
        <f t="shared" si="2485"/>
        <v>GUERRIER</v>
      </c>
      <c r="D6786" t="str">
        <f t="shared" si="2488"/>
        <v>09</v>
      </c>
      <c r="E6786" t="str">
        <f>"06 - B - 202 - Brian M Fitzgerald"</f>
        <v>06 - B - 202 - Brian M Fitzgerald</v>
      </c>
      <c r="F6786" t="str">
        <f>"DRAW 1"</f>
        <v>DRAW 1</v>
      </c>
      <c r="G6786" t="str">
        <f>"09-908"</f>
        <v>09-908</v>
      </c>
      <c r="H6786" t="str">
        <f>"B"</f>
        <v>B</v>
      </c>
    </row>
    <row r="6787" spans="1:8" x14ac:dyDescent="0.2">
      <c r="A6787" t="str">
        <f t="shared" si="2486"/>
        <v>0621026586</v>
      </c>
      <c r="B6787" t="str">
        <f t="shared" si="2487"/>
        <v>ZOEY</v>
      </c>
      <c r="C6787" t="str">
        <f t="shared" si="2485"/>
        <v>GUERRIER</v>
      </c>
      <c r="D6787" t="str">
        <f t="shared" si="2488"/>
        <v>09</v>
      </c>
      <c r="E6787" t="str">
        <f>"03 - A - 201 - Joe  Kilpatrick Jr"</f>
        <v>03 - A - 201 - Joe  Kilpatrick Jr</v>
      </c>
      <c r="F6787" t="str">
        <f>"PRE-AICE SPAN 2 IG"</f>
        <v>PRE-AICE SPAN 2 IG</v>
      </c>
      <c r="G6787" t="str">
        <f>"09-912"</f>
        <v>09-912</v>
      </c>
      <c r="H6787" t="str">
        <f>"A"</f>
        <v>A</v>
      </c>
    </row>
    <row r="6788" spans="1:8" x14ac:dyDescent="0.2">
      <c r="A6788" t="str">
        <f t="shared" si="2486"/>
        <v>0621026586</v>
      </c>
      <c r="B6788" t="str">
        <f t="shared" si="2487"/>
        <v>ZOEY</v>
      </c>
      <c r="C6788" t="str">
        <f t="shared" si="2485"/>
        <v>GUERRIER</v>
      </c>
      <c r="D6788" t="str">
        <f t="shared" si="2488"/>
        <v>09</v>
      </c>
      <c r="E6788" t="str">
        <f>"02 - A - 106 - Helen A Flores"</f>
        <v>02 - A - 106 - Helen A Flores</v>
      </c>
      <c r="F6788" t="str">
        <f>"NC STUDY HALL 1"</f>
        <v>NC STUDY HALL 1</v>
      </c>
      <c r="G6788" t="str">
        <f>"21-2101"</f>
        <v>21-2101</v>
      </c>
      <c r="H6788" t="str">
        <f>"A"</f>
        <v>A</v>
      </c>
    </row>
    <row r="6789" spans="1:8" x14ac:dyDescent="0.2">
      <c r="A6789" t="str">
        <f t="shared" si="2486"/>
        <v>0621026586</v>
      </c>
      <c r="B6789" t="str">
        <f t="shared" si="2487"/>
        <v>ZOEY</v>
      </c>
      <c r="C6789" t="str">
        <f t="shared" si="2485"/>
        <v>GUERRIER</v>
      </c>
      <c r="D6789" t="str">
        <f t="shared" si="2488"/>
        <v>09</v>
      </c>
      <c r="E6789" t="str">
        <f>"07 - B - 001 - Cheryl Anne  Berman-Schechter"</f>
        <v>07 - B - 001 - Cheryl Anne  Berman-Schechter</v>
      </c>
      <c r="F6789" t="str">
        <f>"AICE ENG GEN PAPER 1"</f>
        <v>AICE ENG GEN PAPER 1</v>
      </c>
      <c r="G6789" t="str">
        <f>"17-1722"</f>
        <v>17-1722</v>
      </c>
      <c r="H6789" t="str">
        <f>"B"</f>
        <v>B</v>
      </c>
    </row>
    <row r="6790" spans="1:8" x14ac:dyDescent="0.2">
      <c r="A6790" t="str">
        <f t="shared" si="2486"/>
        <v>0621026586</v>
      </c>
      <c r="B6790" t="str">
        <f t="shared" si="2487"/>
        <v>ZOEY</v>
      </c>
      <c r="C6790" t="str">
        <f t="shared" si="2485"/>
        <v>GUERRIER</v>
      </c>
      <c r="D6790" t="str">
        <f t="shared" si="2488"/>
        <v>09</v>
      </c>
      <c r="E6790" t="str">
        <f>"05 - B - 204 - Cheryl L Beach"</f>
        <v>05 - B - 204 - Cheryl L Beach</v>
      </c>
      <c r="F6790" t="str">
        <f>"AICE ENV MGMNT AS"</f>
        <v>AICE ENV MGMNT AS</v>
      </c>
      <c r="G6790" t="str">
        <f>"08-811"</f>
        <v>08-811</v>
      </c>
      <c r="H6790" t="str">
        <f>"B"</f>
        <v>B</v>
      </c>
    </row>
    <row r="6791" spans="1:8" x14ac:dyDescent="0.2">
      <c r="A6791" t="str">
        <f t="shared" si="2486"/>
        <v>0621026586</v>
      </c>
      <c r="B6791" t="str">
        <f t="shared" si="2487"/>
        <v>ZOEY</v>
      </c>
      <c r="C6791" t="str">
        <f t="shared" si="2485"/>
        <v>GUERRIER</v>
      </c>
      <c r="D6791" t="str">
        <f t="shared" si="2488"/>
        <v>09</v>
      </c>
      <c r="E6791" t="str">
        <f>"01 - A - 101 - Maried P Ramos"</f>
        <v>01 - A - 101 - Maried P Ramos</v>
      </c>
      <c r="F6791" t="str">
        <f>"ALGEBRA 2 HON"</f>
        <v>ALGEBRA 2 HON</v>
      </c>
      <c r="G6791" t="str">
        <f>"21-2159"</f>
        <v>21-2159</v>
      </c>
      <c r="H6791" t="str">
        <f>"A"</f>
        <v>A</v>
      </c>
    </row>
    <row r="6792" spans="1:8" x14ac:dyDescent="0.2">
      <c r="A6792" t="str">
        <f t="shared" si="2486"/>
        <v>0621026586</v>
      </c>
      <c r="B6792" t="str">
        <f t="shared" si="2487"/>
        <v>ZOEY</v>
      </c>
      <c r="C6792" t="str">
        <f t="shared" si="2485"/>
        <v>GUERRIER</v>
      </c>
      <c r="D6792" t="str">
        <f t="shared" si="2488"/>
        <v>09</v>
      </c>
      <c r="E6792" t="str">
        <f>"08 - B - 201 - Tina M Jaramillo"</f>
        <v>08 - B - 201 - Tina M Jaramillo</v>
      </c>
      <c r="F6792" t="str">
        <f>"CREATIVE WRIT 3 HON"</f>
        <v>CREATIVE WRIT 3 HON</v>
      </c>
      <c r="G6792" t="str">
        <f>"17-1706"</f>
        <v>17-1706</v>
      </c>
      <c r="H6792" t="str">
        <f>"B"</f>
        <v>B</v>
      </c>
    </row>
    <row r="6793" spans="1:8" x14ac:dyDescent="0.2">
      <c r="A6793" t="str">
        <f t="shared" ref="A6793:A6801" si="2489">"0616028496"</f>
        <v>0616028496</v>
      </c>
      <c r="B6793" t="str">
        <f t="shared" ref="B6793:B6801" si="2490">"JAZMINE"</f>
        <v>JAZMINE</v>
      </c>
      <c r="C6793" t="str">
        <f t="shared" ref="C6793:C6801" si="2491">"GUEVARA"</f>
        <v>GUEVARA</v>
      </c>
      <c r="D6793" t="str">
        <f t="shared" si="2488"/>
        <v>09</v>
      </c>
      <c r="E6793" t="str">
        <f>"04 - A - 102 - Eva T Rimmer"</f>
        <v>04 - A - 102 - Eva T Rimmer</v>
      </c>
      <c r="F6793" t="str">
        <f>"CRIMINAL JUST OPS 1"</f>
        <v>CRIMINAL JUST OPS 1</v>
      </c>
      <c r="G6793" t="str">
        <f>"05-523"</f>
        <v>05-523</v>
      </c>
      <c r="H6793" t="str">
        <f>"A"</f>
        <v>A</v>
      </c>
    </row>
    <row r="6794" spans="1:8" x14ac:dyDescent="0.2">
      <c r="A6794" t="str">
        <f t="shared" si="2489"/>
        <v>0616028496</v>
      </c>
      <c r="B6794" t="str">
        <f t="shared" si="2490"/>
        <v>JAZMINE</v>
      </c>
      <c r="C6794" t="str">
        <f t="shared" si="2491"/>
        <v>GUEVARA</v>
      </c>
      <c r="D6794" t="str">
        <f t="shared" si="2488"/>
        <v>09</v>
      </c>
      <c r="E6794" t="str">
        <f>"06 - B - 104 - Laselleda D Shaw"</f>
        <v>06 - B - 104 - Laselleda D Shaw</v>
      </c>
      <c r="F6794" t="str">
        <f>"INTENS READ 1"</f>
        <v>INTENS READ 1</v>
      </c>
      <c r="G6794" t="str">
        <f>"17-1723"</f>
        <v>17-1723</v>
      </c>
      <c r="H6794" t="str">
        <f>"B"</f>
        <v>B</v>
      </c>
    </row>
    <row r="6795" spans="1:8" x14ac:dyDescent="0.2">
      <c r="A6795" t="str">
        <f t="shared" si="2489"/>
        <v>0616028496</v>
      </c>
      <c r="B6795" t="str">
        <f t="shared" si="2490"/>
        <v>JAZMINE</v>
      </c>
      <c r="C6795" t="str">
        <f t="shared" si="2491"/>
        <v>GUEVARA</v>
      </c>
      <c r="D6795" t="str">
        <f t="shared" si="2488"/>
        <v>09</v>
      </c>
      <c r="E6795" t="str">
        <f>"03 - A - 101 - Milca  Exantus"</f>
        <v>03 - A - 101 - Milca  Exantus</v>
      </c>
      <c r="F6795" t="str">
        <f>"ALGEBRA 1-A"</f>
        <v>ALGEBRA 1-A</v>
      </c>
      <c r="G6795" t="str">
        <f>"21-2145"</f>
        <v>21-2145</v>
      </c>
      <c r="H6795" t="str">
        <f>"A"</f>
        <v>A</v>
      </c>
    </row>
    <row r="6796" spans="1:8" x14ac:dyDescent="0.2">
      <c r="A6796" t="str">
        <f t="shared" si="2489"/>
        <v>0616028496</v>
      </c>
      <c r="B6796" t="str">
        <f t="shared" si="2490"/>
        <v>JAZMINE</v>
      </c>
      <c r="C6796" t="str">
        <f t="shared" si="2491"/>
        <v>GUEVARA</v>
      </c>
      <c r="D6796" t="str">
        <f t="shared" si="2488"/>
        <v>09</v>
      </c>
      <c r="E6796" t="str">
        <f>"02 - A - 115 - Lourivaldo  Da Silva"</f>
        <v>02 - A - 115 - Lourivaldo  Da Silva</v>
      </c>
      <c r="F6796" t="str">
        <f>"NC STUDY HALL 1"</f>
        <v>NC STUDY HALL 1</v>
      </c>
      <c r="G6796" t="str">
        <f>"20-2079"</f>
        <v>20-2079</v>
      </c>
      <c r="H6796" t="str">
        <f>"A"</f>
        <v>A</v>
      </c>
    </row>
    <row r="6797" spans="1:8" x14ac:dyDescent="0.2">
      <c r="A6797" t="str">
        <f t="shared" si="2489"/>
        <v>0616028496</v>
      </c>
      <c r="B6797" t="str">
        <f t="shared" si="2490"/>
        <v>JAZMINE</v>
      </c>
      <c r="C6797" t="str">
        <f t="shared" si="2491"/>
        <v>GUEVARA</v>
      </c>
      <c r="D6797" t="str">
        <f t="shared" si="2488"/>
        <v>09</v>
      </c>
      <c r="E6797" t="str">
        <f>"02 - A - 102 - Eric  Lopapa"</f>
        <v>02 - A - 102 - Eric  Lopapa</v>
      </c>
      <c r="F6797" t="str">
        <f>"LANG THERAPY"</f>
        <v>LANG THERAPY</v>
      </c>
      <c r="G6797" t="str">
        <f>"21-2110"</f>
        <v>21-2110</v>
      </c>
      <c r="H6797" t="str">
        <f>"A"</f>
        <v>A</v>
      </c>
    </row>
    <row r="6798" spans="1:8" x14ac:dyDescent="0.2">
      <c r="A6798" t="str">
        <f t="shared" si="2489"/>
        <v>0616028496</v>
      </c>
      <c r="B6798" t="str">
        <f t="shared" si="2490"/>
        <v>JAZMINE</v>
      </c>
      <c r="C6798" t="str">
        <f t="shared" si="2491"/>
        <v>GUEVARA</v>
      </c>
      <c r="D6798" t="str">
        <f t="shared" si="2488"/>
        <v>09</v>
      </c>
      <c r="E6798" t="str">
        <f>"07 - B - 104 - Lissa C Frederique"</f>
        <v>07 - B - 104 - Lissa C Frederique</v>
      </c>
      <c r="F6798" t="str">
        <f>"WORLD HISTORY"</f>
        <v>WORLD HISTORY</v>
      </c>
      <c r="G6798" t="str">
        <f>"17-1754"</f>
        <v>17-1754</v>
      </c>
      <c r="H6798" t="str">
        <f>"B"</f>
        <v>B</v>
      </c>
    </row>
    <row r="6799" spans="1:8" x14ac:dyDescent="0.2">
      <c r="A6799" t="str">
        <f t="shared" si="2489"/>
        <v>0616028496</v>
      </c>
      <c r="B6799" t="str">
        <f t="shared" si="2490"/>
        <v>JAZMINE</v>
      </c>
      <c r="C6799" t="str">
        <f t="shared" si="2491"/>
        <v>GUEVARA</v>
      </c>
      <c r="D6799" t="str">
        <f t="shared" si="2488"/>
        <v>09</v>
      </c>
      <c r="E6799" t="str">
        <f>"05 - B - 105 - Adam Marcus  Drucker"</f>
        <v>05 - B - 105 - Adam Marcus  Drucker</v>
      </c>
      <c r="F6799" t="str">
        <f>"HOPE-PE V"</f>
        <v>HOPE-PE V</v>
      </c>
      <c r="G6799" t="str">
        <f>"04-254"</f>
        <v>04-254</v>
      </c>
      <c r="H6799" t="str">
        <f>"B"</f>
        <v>B</v>
      </c>
    </row>
    <row r="6800" spans="1:8" x14ac:dyDescent="0.2">
      <c r="A6800" t="str">
        <f t="shared" si="2489"/>
        <v>0616028496</v>
      </c>
      <c r="B6800" t="str">
        <f t="shared" si="2490"/>
        <v>JAZMINE</v>
      </c>
      <c r="C6800" t="str">
        <f t="shared" si="2491"/>
        <v>GUEVARA</v>
      </c>
      <c r="D6800" t="str">
        <f t="shared" si="2488"/>
        <v>09</v>
      </c>
      <c r="E6800" t="str">
        <f>"01 - A - 101 - Cerine S Stewart"</f>
        <v>01 - A - 101 - Cerine S Stewart</v>
      </c>
      <c r="F6800" t="str">
        <f>"ENG 1"</f>
        <v>ENG 1</v>
      </c>
      <c r="G6800" t="str">
        <f>"17-1720"</f>
        <v>17-1720</v>
      </c>
      <c r="H6800" t="str">
        <f>"A"</f>
        <v>A</v>
      </c>
    </row>
    <row r="6801" spans="1:8" x14ac:dyDescent="0.2">
      <c r="A6801" t="str">
        <f t="shared" si="2489"/>
        <v>0616028496</v>
      </c>
      <c r="B6801" t="str">
        <f t="shared" si="2490"/>
        <v>JAZMINE</v>
      </c>
      <c r="C6801" t="str">
        <f t="shared" si="2491"/>
        <v>GUEVARA</v>
      </c>
      <c r="D6801" t="str">
        <f t="shared" si="2488"/>
        <v>09</v>
      </c>
      <c r="E6801" t="str">
        <f>"08 - B - 105 - Samantha J Headley"</f>
        <v>08 - B - 105 - Samantha J Headley</v>
      </c>
      <c r="F6801" t="str">
        <f>"ENV SCI"</f>
        <v>ENV SCI</v>
      </c>
      <c r="G6801" t="str">
        <f>"08-802"</f>
        <v>08-802</v>
      </c>
      <c r="H6801" t="str">
        <f>"B"</f>
        <v>B</v>
      </c>
    </row>
    <row r="6802" spans="1:8" x14ac:dyDescent="0.2">
      <c r="A6802" t="str">
        <f t="shared" ref="A6802:A6809" si="2492">"0616083842"</f>
        <v>0616083842</v>
      </c>
      <c r="B6802" t="str">
        <f t="shared" ref="B6802:B6809" si="2493">"ROCCO"</f>
        <v>ROCCO</v>
      </c>
      <c r="C6802" t="str">
        <f t="shared" ref="C6802:C6809" si="2494">"GUGLIELMO"</f>
        <v>GUGLIELMO</v>
      </c>
      <c r="D6802">
        <f>10</f>
        <v>10</v>
      </c>
      <c r="E6802" t="str">
        <f>"04 - A - 102 - Byron G Montenegro"</f>
        <v>04 - A - 102 - Byron G Montenegro</v>
      </c>
      <c r="F6802" t="str">
        <f>"AICE MARINE SCI 1 AS"</f>
        <v>AICE MARINE SCI 1 AS</v>
      </c>
      <c r="G6802" t="str">
        <f>"21-2144"</f>
        <v>21-2144</v>
      </c>
      <c r="H6802" t="str">
        <f>"A"</f>
        <v>A</v>
      </c>
    </row>
    <row r="6803" spans="1:8" x14ac:dyDescent="0.2">
      <c r="A6803" t="str">
        <f t="shared" si="2492"/>
        <v>0616083842</v>
      </c>
      <c r="B6803" t="str">
        <f t="shared" si="2493"/>
        <v>ROCCO</v>
      </c>
      <c r="C6803" t="str">
        <f t="shared" si="2494"/>
        <v>GUGLIELMO</v>
      </c>
      <c r="D6803">
        <f>10</f>
        <v>10</v>
      </c>
      <c r="E6803" t="str">
        <f>"06 - B - 105 - Jeffrey S Gallagher"</f>
        <v>06 - B - 105 - Jeffrey S Gallagher</v>
      </c>
      <c r="F6803" t="str">
        <f>"NC STUDY HALL 1"</f>
        <v>NC STUDY HALL 1</v>
      </c>
      <c r="G6803" t="str">
        <f>"17-1724"</f>
        <v>17-1724</v>
      </c>
      <c r="H6803" t="str">
        <f>"B"</f>
        <v>B</v>
      </c>
    </row>
    <row r="6804" spans="1:8" x14ac:dyDescent="0.2">
      <c r="A6804" t="str">
        <f t="shared" si="2492"/>
        <v>0616083842</v>
      </c>
      <c r="B6804" t="str">
        <f t="shared" si="2493"/>
        <v>ROCCO</v>
      </c>
      <c r="C6804" t="str">
        <f t="shared" si="2494"/>
        <v>GUGLIELMO</v>
      </c>
      <c r="D6804">
        <f>10</f>
        <v>10</v>
      </c>
      <c r="E6804" t="str">
        <f>"03 - A - 103 - Kelly N Panza"</f>
        <v>03 - A - 103 - Kelly N Panza</v>
      </c>
      <c r="F6804" t="str">
        <f>"AICE GLBL PERSP 1 AS"</f>
        <v>AICE GLBL PERSP 1 AS</v>
      </c>
      <c r="G6804" t="str">
        <f>"17-1753"</f>
        <v>17-1753</v>
      </c>
      <c r="H6804" t="str">
        <f>"A"</f>
        <v>A</v>
      </c>
    </row>
    <row r="6805" spans="1:8" x14ac:dyDescent="0.2">
      <c r="A6805" t="str">
        <f t="shared" si="2492"/>
        <v>0616083842</v>
      </c>
      <c r="B6805" t="str">
        <f t="shared" si="2493"/>
        <v>ROCCO</v>
      </c>
      <c r="C6805" t="str">
        <f t="shared" si="2494"/>
        <v>GUGLIELMO</v>
      </c>
      <c r="D6805">
        <f>10</f>
        <v>10</v>
      </c>
      <c r="E6805" t="str">
        <f>"02 - A - 105 - Semra  Bahadir"</f>
        <v>02 - A - 105 - Semra  Bahadir</v>
      </c>
      <c r="F6805" t="str">
        <f>"ALGEBRA 2"</f>
        <v>ALGEBRA 2</v>
      </c>
      <c r="G6805" t="str">
        <f>"21-2107"</f>
        <v>21-2107</v>
      </c>
      <c r="H6805" t="str">
        <f>"A"</f>
        <v>A</v>
      </c>
    </row>
    <row r="6806" spans="1:8" x14ac:dyDescent="0.2">
      <c r="A6806" t="str">
        <f t="shared" si="2492"/>
        <v>0616083842</v>
      </c>
      <c r="B6806" t="str">
        <f t="shared" si="2493"/>
        <v>ROCCO</v>
      </c>
      <c r="C6806" t="str">
        <f t="shared" si="2494"/>
        <v>GUGLIELMO</v>
      </c>
      <c r="D6806">
        <f>10</f>
        <v>10</v>
      </c>
      <c r="E6806" t="str">
        <f>"07 - B - 102 - Timothy J Lawrence"</f>
        <v>07 - B - 102 - Timothy J Lawrence</v>
      </c>
      <c r="F6806" t="str">
        <f>"AICE PHYS ED 1 AS"</f>
        <v>AICE PHYS ED 1 AS</v>
      </c>
      <c r="G6806" t="str">
        <f>"05-523"</f>
        <v>05-523</v>
      </c>
      <c r="H6806" t="str">
        <f>"B"</f>
        <v>B</v>
      </c>
    </row>
    <row r="6807" spans="1:8" x14ac:dyDescent="0.2">
      <c r="A6807" t="str">
        <f t="shared" si="2492"/>
        <v>0616083842</v>
      </c>
      <c r="B6807" t="str">
        <f t="shared" si="2493"/>
        <v>ROCCO</v>
      </c>
      <c r="C6807" t="str">
        <f t="shared" si="2494"/>
        <v>GUGLIELMO</v>
      </c>
      <c r="D6807">
        <f>10</f>
        <v>10</v>
      </c>
      <c r="E6807" t="str">
        <f>"05 - B - 104 - Joe  Kilpatrick Jr"</f>
        <v>05 - B - 104 - Joe  Kilpatrick Jr</v>
      </c>
      <c r="F6807" t="str">
        <f>"PRE-AICE SPAN 1 IG"</f>
        <v>PRE-AICE SPAN 1 IG</v>
      </c>
      <c r="G6807" t="str">
        <f>"09-912"</f>
        <v>09-912</v>
      </c>
      <c r="H6807" t="str">
        <f>"B"</f>
        <v>B</v>
      </c>
    </row>
    <row r="6808" spans="1:8" x14ac:dyDescent="0.2">
      <c r="A6808" t="str">
        <f t="shared" si="2492"/>
        <v>0616083842</v>
      </c>
      <c r="B6808" t="str">
        <f t="shared" si="2493"/>
        <v>ROCCO</v>
      </c>
      <c r="C6808" t="str">
        <f t="shared" si="2494"/>
        <v>GUGLIELMO</v>
      </c>
      <c r="D6808">
        <f>10</f>
        <v>10</v>
      </c>
      <c r="E6808" t="str">
        <f>"01 - A - 101 - Courtney E Hambright"</f>
        <v>01 - A - 101 - Courtney E Hambright</v>
      </c>
      <c r="F6808" t="str">
        <f>"AICE ENG LANG AS"</f>
        <v>AICE ENG LANG AS</v>
      </c>
      <c r="G6808" t="str">
        <f>"17-1711"</f>
        <v>17-1711</v>
      </c>
      <c r="H6808" t="str">
        <f>"A"</f>
        <v>A</v>
      </c>
    </row>
    <row r="6809" spans="1:8" x14ac:dyDescent="0.2">
      <c r="A6809" t="str">
        <f t="shared" si="2492"/>
        <v>0616083842</v>
      </c>
      <c r="B6809" t="str">
        <f t="shared" si="2493"/>
        <v>ROCCO</v>
      </c>
      <c r="C6809" t="str">
        <f t="shared" si="2494"/>
        <v>GUGLIELMO</v>
      </c>
      <c r="D6809">
        <f>10</f>
        <v>10</v>
      </c>
      <c r="E6809" t="str">
        <f>"08 - S1 - B - 105 - James H Mccann"</f>
        <v>08 - S1 - B - 105 - James H Mccann</v>
      </c>
      <c r="F6809" t="str">
        <f>"PERS FIN &amp; MON MGT H"</f>
        <v>PERS FIN &amp; MON MGT H</v>
      </c>
      <c r="G6809" t="str">
        <f>"17-1716"</f>
        <v>17-1716</v>
      </c>
      <c r="H6809" t="str">
        <f>"B"</f>
        <v>B</v>
      </c>
    </row>
    <row r="6810" spans="1:8" x14ac:dyDescent="0.2">
      <c r="A6810" t="str">
        <f t="shared" ref="A6810:A6817" si="2495">"0616147172"</f>
        <v>0616147172</v>
      </c>
      <c r="B6810" t="str">
        <f t="shared" ref="B6810:B6817" si="2496">"MARIA"</f>
        <v>MARIA</v>
      </c>
      <c r="C6810" t="str">
        <f t="shared" ref="C6810:C6817" si="2497">"GUILARTE OLIVA"</f>
        <v>GUILARTE OLIVA</v>
      </c>
      <c r="D6810" t="str">
        <f t="shared" ref="D6810:D6817" si="2498">"09"</f>
        <v>09</v>
      </c>
      <c r="E6810" t="str">
        <f>"04 - A - 104 - Brook E Goren"</f>
        <v>04 - A - 104 - Brook E Goren</v>
      </c>
      <c r="F6810" t="str">
        <f>"ALGEBRA 2 HON"</f>
        <v>ALGEBRA 2 HON</v>
      </c>
      <c r="G6810" t="str">
        <f>"21-2158"</f>
        <v>21-2158</v>
      </c>
      <c r="H6810" t="str">
        <f>"A"</f>
        <v>A</v>
      </c>
    </row>
    <row r="6811" spans="1:8" x14ac:dyDescent="0.2">
      <c r="A6811" t="str">
        <f t="shared" si="2495"/>
        <v>0616147172</v>
      </c>
      <c r="B6811" t="str">
        <f t="shared" si="2496"/>
        <v>MARIA</v>
      </c>
      <c r="C6811" t="str">
        <f t="shared" si="2497"/>
        <v>GUILARTE OLIVA</v>
      </c>
      <c r="D6811" t="str">
        <f t="shared" si="2498"/>
        <v>09</v>
      </c>
      <c r="E6811" t="str">
        <f>"06 - B - 110 - Krystal Marie  Beruty"</f>
        <v>06 - B - 110 - Krystal Marie  Beruty</v>
      </c>
      <c r="F6811" t="str">
        <f>"AICE GLBL PERSP 1 AS"</f>
        <v>AICE GLBL PERSP 1 AS</v>
      </c>
      <c r="G6811" t="str">
        <f>"17-1721"</f>
        <v>17-1721</v>
      </c>
      <c r="H6811" t="str">
        <f>"B"</f>
        <v>B</v>
      </c>
    </row>
    <row r="6812" spans="1:8" x14ac:dyDescent="0.2">
      <c r="A6812" t="str">
        <f t="shared" si="2495"/>
        <v>0616147172</v>
      </c>
      <c r="B6812" t="str">
        <f t="shared" si="2496"/>
        <v>MARIA</v>
      </c>
      <c r="C6812" t="str">
        <f t="shared" si="2497"/>
        <v>GUILARTE OLIVA</v>
      </c>
      <c r="D6812" t="str">
        <f t="shared" si="2498"/>
        <v>09</v>
      </c>
      <c r="E6812" t="str">
        <f>"03 - A - 202 - Cheryl L Beach"</f>
        <v>03 - A - 202 - Cheryl L Beach</v>
      </c>
      <c r="F6812" t="str">
        <f>"AICE ENV MGMNT AS"</f>
        <v>AICE ENV MGMNT AS</v>
      </c>
      <c r="G6812" t="str">
        <f>"08-811"</f>
        <v>08-811</v>
      </c>
      <c r="H6812" t="str">
        <f>"A"</f>
        <v>A</v>
      </c>
    </row>
    <row r="6813" spans="1:8" x14ac:dyDescent="0.2">
      <c r="A6813" t="str">
        <f t="shared" si="2495"/>
        <v>0616147172</v>
      </c>
      <c r="B6813" t="str">
        <f t="shared" si="2496"/>
        <v>MARIA</v>
      </c>
      <c r="C6813" t="str">
        <f t="shared" si="2497"/>
        <v>GUILARTE OLIVA</v>
      </c>
      <c r="D6813" t="str">
        <f t="shared" si="2498"/>
        <v>09</v>
      </c>
      <c r="E6813" t="str">
        <f>"02 - A - 101 - Josiah I Lacy"</f>
        <v>02 - A - 101 - Josiah I Lacy</v>
      </c>
      <c r="F6813" t="str">
        <f>"NC STUDY HALL 1"</f>
        <v>NC STUDY HALL 1</v>
      </c>
      <c r="G6813" t="str">
        <f>"08-801"</f>
        <v>08-801</v>
      </c>
      <c r="H6813" t="str">
        <f>"A"</f>
        <v>A</v>
      </c>
    </row>
    <row r="6814" spans="1:8" x14ac:dyDescent="0.2">
      <c r="A6814" t="str">
        <f t="shared" si="2495"/>
        <v>0616147172</v>
      </c>
      <c r="B6814" t="str">
        <f t="shared" si="2496"/>
        <v>MARIA</v>
      </c>
      <c r="C6814" t="str">
        <f t="shared" si="2497"/>
        <v>GUILARTE OLIVA</v>
      </c>
      <c r="D6814" t="str">
        <f t="shared" si="2498"/>
        <v>09</v>
      </c>
      <c r="E6814" t="str">
        <f>"07 - B - 105 - Joe  Kilpatrick Jr"</f>
        <v>07 - B - 105 - Joe  Kilpatrick Jr</v>
      </c>
      <c r="F6814" t="str">
        <f>"PRE-AICE SPAN 1 IG"</f>
        <v>PRE-AICE SPAN 1 IG</v>
      </c>
      <c r="G6814" t="str">
        <f>"09-912"</f>
        <v>09-912</v>
      </c>
      <c r="H6814" t="str">
        <f>"B"</f>
        <v>B</v>
      </c>
    </row>
    <row r="6815" spans="1:8" x14ac:dyDescent="0.2">
      <c r="A6815" t="str">
        <f t="shared" si="2495"/>
        <v>0616147172</v>
      </c>
      <c r="B6815" t="str">
        <f t="shared" si="2496"/>
        <v>MARIA</v>
      </c>
      <c r="C6815" t="str">
        <f t="shared" si="2497"/>
        <v>GUILARTE OLIVA</v>
      </c>
      <c r="D6815" t="str">
        <f t="shared" si="2498"/>
        <v>09</v>
      </c>
      <c r="E6815" t="str">
        <f>"05 - B - 002 - Cheryl Anne  Berman-Schechter"</f>
        <v>05 - B - 002 - Cheryl Anne  Berman-Schechter</v>
      </c>
      <c r="F6815" t="str">
        <f>"AICE ENG GEN PAPER 1"</f>
        <v>AICE ENG GEN PAPER 1</v>
      </c>
      <c r="G6815" t="str">
        <f>"17-1722"</f>
        <v>17-1722</v>
      </c>
      <c r="H6815" t="str">
        <f>"B"</f>
        <v>B</v>
      </c>
    </row>
    <row r="6816" spans="1:8" x14ac:dyDescent="0.2">
      <c r="A6816" t="str">
        <f t="shared" si="2495"/>
        <v>0616147172</v>
      </c>
      <c r="B6816" t="str">
        <f t="shared" si="2496"/>
        <v>MARIA</v>
      </c>
      <c r="C6816" t="str">
        <f t="shared" si="2497"/>
        <v>GUILARTE OLIVA</v>
      </c>
      <c r="D6816" t="str">
        <f t="shared" si="2498"/>
        <v>09</v>
      </c>
      <c r="E6816" t="str">
        <f>"01 - A - 101 - Angela S Adeshina-Morrison"</f>
        <v>01 - A - 101 - Angela S Adeshina-Morrison</v>
      </c>
      <c r="F6816" t="str">
        <f>"MARKETING ESSENTIALS"</f>
        <v>MARKETING ESSENTIALS</v>
      </c>
      <c r="G6816" t="str">
        <f>"05-518"</f>
        <v>05-518</v>
      </c>
      <c r="H6816" t="str">
        <f>"A"</f>
        <v>A</v>
      </c>
    </row>
    <row r="6817" spans="1:8" x14ac:dyDescent="0.2">
      <c r="A6817" t="str">
        <f t="shared" si="2495"/>
        <v>0616147172</v>
      </c>
      <c r="B6817" t="str">
        <f t="shared" si="2496"/>
        <v>MARIA</v>
      </c>
      <c r="C6817" t="str">
        <f t="shared" si="2497"/>
        <v>GUILARTE OLIVA</v>
      </c>
      <c r="D6817" t="str">
        <f t="shared" si="2498"/>
        <v>09</v>
      </c>
      <c r="E6817" t="str">
        <f>"08 - B - 001 - Chrystina M Marchionne"</f>
        <v>08 - B - 001 - Chrystina M Marchionne</v>
      </c>
      <c r="F6817" t="str">
        <f>"JOURN 1 (YB) LH"</f>
        <v>JOURN 1 (YB) LH</v>
      </c>
      <c r="G6817" t="str">
        <f>"05-520"</f>
        <v>05-520</v>
      </c>
      <c r="H6817" t="str">
        <f>"B"</f>
        <v>B</v>
      </c>
    </row>
    <row r="6818" spans="1:8" x14ac:dyDescent="0.2">
      <c r="A6818" t="str">
        <f t="shared" ref="A6818:A6825" si="2499">"0616005154"</f>
        <v>0616005154</v>
      </c>
      <c r="B6818" t="str">
        <f t="shared" ref="B6818:B6825" si="2500">"ANDRES"</f>
        <v>ANDRES</v>
      </c>
      <c r="C6818" t="str">
        <f t="shared" ref="C6818:C6825" si="2501">"GUINAND"</f>
        <v>GUINAND</v>
      </c>
      <c r="D6818">
        <f>10</f>
        <v>10</v>
      </c>
      <c r="E6818" t="str">
        <f>"04 - A - 103 - Lourivaldo  Da Silva"</f>
        <v>04 - A - 103 - Lourivaldo  Da Silva</v>
      </c>
      <c r="F6818" t="str">
        <f>"PRE-CALCULUS HON"</f>
        <v>PRE-CALCULUS HON</v>
      </c>
      <c r="G6818" t="str">
        <f>"20-2079"</f>
        <v>20-2079</v>
      </c>
      <c r="H6818" t="str">
        <f>"A"</f>
        <v>A</v>
      </c>
    </row>
    <row r="6819" spans="1:8" x14ac:dyDescent="0.2">
      <c r="A6819" t="str">
        <f t="shared" si="2499"/>
        <v>0616005154</v>
      </c>
      <c r="B6819" t="str">
        <f t="shared" si="2500"/>
        <v>ANDRES</v>
      </c>
      <c r="C6819" t="str">
        <f t="shared" si="2501"/>
        <v>GUINAND</v>
      </c>
      <c r="D6819">
        <f>10</f>
        <v>10</v>
      </c>
      <c r="E6819" t="str">
        <f>"06 - B - 110 - Jerry S Jiampetti"</f>
        <v>06 - B - 110 - Jerry S Jiampetti</v>
      </c>
      <c r="F6819" t="str">
        <f>"NC STUDY HALL 1"</f>
        <v>NC STUDY HALL 1</v>
      </c>
      <c r="G6819" t="str">
        <f>"17-1751"</f>
        <v>17-1751</v>
      </c>
      <c r="H6819" t="str">
        <f>"B"</f>
        <v>B</v>
      </c>
    </row>
    <row r="6820" spans="1:8" x14ac:dyDescent="0.2">
      <c r="A6820" t="str">
        <f t="shared" si="2499"/>
        <v>0616005154</v>
      </c>
      <c r="B6820" t="str">
        <f t="shared" si="2500"/>
        <v>ANDRES</v>
      </c>
      <c r="C6820" t="str">
        <f t="shared" si="2501"/>
        <v>GUINAND</v>
      </c>
      <c r="D6820">
        <f>10</f>
        <v>10</v>
      </c>
      <c r="E6820" t="str">
        <f>"03 - A - 002 - Lenecy  Nodarse"</f>
        <v>03 - A - 002 - Lenecy  Nodarse</v>
      </c>
      <c r="F6820" t="str">
        <f>"AICE EURO HIST 1 AS"</f>
        <v>AICE EURO HIST 1 AS</v>
      </c>
      <c r="G6820" t="str">
        <f>"17-1741"</f>
        <v>17-1741</v>
      </c>
      <c r="H6820" t="str">
        <f>"A"</f>
        <v>A</v>
      </c>
    </row>
    <row r="6821" spans="1:8" x14ac:dyDescent="0.2">
      <c r="A6821" t="str">
        <f t="shared" si="2499"/>
        <v>0616005154</v>
      </c>
      <c r="B6821" t="str">
        <f t="shared" si="2500"/>
        <v>ANDRES</v>
      </c>
      <c r="C6821" t="str">
        <f t="shared" si="2501"/>
        <v>GUINAND</v>
      </c>
      <c r="D6821">
        <f>10</f>
        <v>10</v>
      </c>
      <c r="E6821" t="str">
        <f>"02 - A - 102 - Jacklyn M James"</f>
        <v>02 - A - 102 - Jacklyn M James</v>
      </c>
      <c r="F6821" t="str">
        <f>"AICE ENG LANG AS"</f>
        <v>AICE ENG LANG AS</v>
      </c>
      <c r="G6821" t="str">
        <f>"17-1731"</f>
        <v>17-1731</v>
      </c>
      <c r="H6821" t="str">
        <f>"A"</f>
        <v>A</v>
      </c>
    </row>
    <row r="6822" spans="1:8" x14ac:dyDescent="0.2">
      <c r="A6822" t="str">
        <f t="shared" si="2499"/>
        <v>0616005154</v>
      </c>
      <c r="B6822" t="str">
        <f t="shared" si="2500"/>
        <v>ANDRES</v>
      </c>
      <c r="C6822" t="str">
        <f t="shared" si="2501"/>
        <v>GUINAND</v>
      </c>
      <c r="D6822">
        <f>10</f>
        <v>10</v>
      </c>
      <c r="E6822" t="str">
        <f>"07 - S1 - B - 103 - Leslie J Barton"</f>
        <v>07 - S1 - B - 103 - Leslie J Barton</v>
      </c>
      <c r="F6822" t="str">
        <f>"TEAM SPORTS 1"</f>
        <v>TEAM SPORTS 1</v>
      </c>
      <c r="G6822" t="str">
        <f>"04-254"</f>
        <v>04-254</v>
      </c>
      <c r="H6822" t="str">
        <f>"B"</f>
        <v>B</v>
      </c>
    </row>
    <row r="6823" spans="1:8" x14ac:dyDescent="0.2">
      <c r="A6823" t="str">
        <f t="shared" si="2499"/>
        <v>0616005154</v>
      </c>
      <c r="B6823" t="str">
        <f t="shared" si="2500"/>
        <v>ANDRES</v>
      </c>
      <c r="C6823" t="str">
        <f t="shared" si="2501"/>
        <v>GUINAND</v>
      </c>
      <c r="D6823">
        <f>10</f>
        <v>10</v>
      </c>
      <c r="E6823" t="str">
        <f>"05 - B - 003 - Krystal Marie  Beruty"</f>
        <v>05 - B - 003 - Krystal Marie  Beruty</v>
      </c>
      <c r="F6823" t="str">
        <f>"AICE GLBL PERSP 1 AS"</f>
        <v>AICE GLBL PERSP 1 AS</v>
      </c>
      <c r="G6823" t="str">
        <f>"17-1721"</f>
        <v>17-1721</v>
      </c>
      <c r="H6823" t="str">
        <f>"B"</f>
        <v>B</v>
      </c>
    </row>
    <row r="6824" spans="1:8" x14ac:dyDescent="0.2">
      <c r="A6824" t="str">
        <f t="shared" si="2499"/>
        <v>0616005154</v>
      </c>
      <c r="B6824" t="str">
        <f t="shared" si="2500"/>
        <v>ANDRES</v>
      </c>
      <c r="C6824" t="str">
        <f t="shared" si="2501"/>
        <v>GUINAND</v>
      </c>
      <c r="D6824">
        <f>10</f>
        <v>10</v>
      </c>
      <c r="E6824" t="str">
        <f>"01 - A - 201 - Cheryl L Beach"</f>
        <v>01 - A - 201 - Cheryl L Beach</v>
      </c>
      <c r="F6824" t="str">
        <f>"AICE ENV MGMNT AS"</f>
        <v>AICE ENV MGMNT AS</v>
      </c>
      <c r="G6824" t="str">
        <f>"08-811"</f>
        <v>08-811</v>
      </c>
      <c r="H6824" t="str">
        <f>"A"</f>
        <v>A</v>
      </c>
    </row>
    <row r="6825" spans="1:8" x14ac:dyDescent="0.2">
      <c r="A6825" t="str">
        <f t="shared" si="2499"/>
        <v>0616005154</v>
      </c>
      <c r="B6825" t="str">
        <f t="shared" si="2500"/>
        <v>ANDRES</v>
      </c>
      <c r="C6825" t="str">
        <f t="shared" si="2501"/>
        <v>GUINAND</v>
      </c>
      <c r="D6825">
        <f>10</f>
        <v>10</v>
      </c>
      <c r="E6825" t="str">
        <f>"08 - B - 206 - Daniel S Katz"</f>
        <v>08 - B - 206 - Daniel S Katz</v>
      </c>
      <c r="F6825" t="str">
        <f>"AICE MEDIASTUDIES AS"</f>
        <v>AICE MEDIASTUDIES AS</v>
      </c>
      <c r="G6825" t="str">
        <f>"05-521"</f>
        <v>05-521</v>
      </c>
      <c r="H6825" t="str">
        <f>"B"</f>
        <v>B</v>
      </c>
    </row>
    <row r="6826" spans="1:8" x14ac:dyDescent="0.2">
      <c r="A6826" t="str">
        <f t="shared" ref="A6826:A6833" si="2502">"0614011375"</f>
        <v>0614011375</v>
      </c>
      <c r="B6826" t="str">
        <f t="shared" ref="B6826:B6833" si="2503">"MY KAYLA"</f>
        <v>MY KAYLA</v>
      </c>
      <c r="C6826" t="str">
        <f t="shared" ref="C6826:C6833" si="2504">"GUNNING"</f>
        <v>GUNNING</v>
      </c>
      <c r="D6826">
        <f>12</f>
        <v>12</v>
      </c>
      <c r="E6826" t="str">
        <f>"04 - A - 201 - Alejandro  Navarro"</f>
        <v>04 - A - 201 - Alejandro  Navarro</v>
      </c>
      <c r="F6826" t="str">
        <f>"BAND 4"</f>
        <v>BAND 4</v>
      </c>
      <c r="G6826" t="str">
        <f>"05-504"</f>
        <v>05-504</v>
      </c>
      <c r="H6826" t="str">
        <f>"A"</f>
        <v>A</v>
      </c>
    </row>
    <row r="6827" spans="1:8" x14ac:dyDescent="0.2">
      <c r="A6827" t="str">
        <f t="shared" si="2502"/>
        <v>0614011375</v>
      </c>
      <c r="B6827" t="str">
        <f t="shared" si="2503"/>
        <v>MY KAYLA</v>
      </c>
      <c r="C6827" t="str">
        <f t="shared" si="2504"/>
        <v>GUNNING</v>
      </c>
      <c r="D6827">
        <f>12</f>
        <v>12</v>
      </c>
      <c r="E6827" t="str">
        <f>"06 - B - 104 - Lissa C Frederique"</f>
        <v>06 - B - 104 - Lissa C Frederique</v>
      </c>
      <c r="F6827" t="str">
        <f>"NC STUDY HALL 1"</f>
        <v>NC STUDY HALL 1</v>
      </c>
      <c r="G6827" t="str">
        <f>"17-1754"</f>
        <v>17-1754</v>
      </c>
      <c r="H6827" t="str">
        <f>"B"</f>
        <v>B</v>
      </c>
    </row>
    <row r="6828" spans="1:8" x14ac:dyDescent="0.2">
      <c r="A6828" t="str">
        <f t="shared" si="2502"/>
        <v>0614011375</v>
      </c>
      <c r="B6828" t="str">
        <f t="shared" si="2503"/>
        <v>MY KAYLA</v>
      </c>
      <c r="C6828" t="str">
        <f t="shared" si="2504"/>
        <v>GUNNING</v>
      </c>
      <c r="D6828">
        <f>12</f>
        <v>12</v>
      </c>
      <c r="E6828" t="str">
        <f>"03 - A - 101 - Lourivaldo  Da Silva"</f>
        <v>03 - A - 101 - Lourivaldo  Da Silva</v>
      </c>
      <c r="F6828" t="str">
        <f>"AP STAT"</f>
        <v>AP STAT</v>
      </c>
      <c r="G6828" t="str">
        <f>"20-2079"</f>
        <v>20-2079</v>
      </c>
      <c r="H6828" t="str">
        <f>"A"</f>
        <v>A</v>
      </c>
    </row>
    <row r="6829" spans="1:8" x14ac:dyDescent="0.2">
      <c r="A6829" t="str">
        <f t="shared" si="2502"/>
        <v>0614011375</v>
      </c>
      <c r="B6829" t="str">
        <f t="shared" si="2503"/>
        <v>MY KAYLA</v>
      </c>
      <c r="C6829" t="str">
        <f t="shared" si="2504"/>
        <v>GUNNING</v>
      </c>
      <c r="D6829">
        <f>12</f>
        <v>12</v>
      </c>
      <c r="E6829" t="str">
        <f>"02 - A - 102 - Marielle A Witting"</f>
        <v>02 - A - 102 - Marielle A Witting</v>
      </c>
      <c r="F6829" t="str">
        <f>"AP BIO"</f>
        <v>AP BIO</v>
      </c>
      <c r="G6829" t="str">
        <f>"08-805"</f>
        <v>08-805</v>
      </c>
      <c r="H6829" t="str">
        <f>"A"</f>
        <v>A</v>
      </c>
    </row>
    <row r="6830" spans="1:8" x14ac:dyDescent="0.2">
      <c r="A6830" t="str">
        <f t="shared" si="2502"/>
        <v>0614011375</v>
      </c>
      <c r="B6830" t="str">
        <f t="shared" si="2503"/>
        <v>MY KAYLA</v>
      </c>
      <c r="C6830" t="str">
        <f t="shared" si="2504"/>
        <v>GUNNING</v>
      </c>
      <c r="D6830">
        <f>12</f>
        <v>12</v>
      </c>
      <c r="E6830" t="str">
        <f>"07 - S1 - B - 101 - Stephen T Ripp"</f>
        <v>07 - S1 - B - 101 - Stephen T Ripp</v>
      </c>
      <c r="F6830" t="str">
        <f>"AP US GOVT/POL"</f>
        <v>AP US GOVT/POL</v>
      </c>
      <c r="G6830" t="str">
        <f>"17-1744"</f>
        <v>17-1744</v>
      </c>
      <c r="H6830" t="str">
        <f>"B"</f>
        <v>B</v>
      </c>
    </row>
    <row r="6831" spans="1:8" x14ac:dyDescent="0.2">
      <c r="A6831" t="str">
        <f t="shared" si="2502"/>
        <v>0614011375</v>
      </c>
      <c r="B6831" t="str">
        <f t="shared" si="2503"/>
        <v>MY KAYLA</v>
      </c>
      <c r="C6831" t="str">
        <f t="shared" si="2504"/>
        <v>GUNNING</v>
      </c>
      <c r="D6831">
        <f>12</f>
        <v>12</v>
      </c>
      <c r="E6831" t="str">
        <f>"05 - B - 105 - Norayda D Suarez"</f>
        <v>05 - B - 105 - Norayda D Suarez</v>
      </c>
      <c r="F6831" t="str">
        <f>"RESEARCH 1 LH"</f>
        <v>RESEARCH 1 LH</v>
      </c>
      <c r="G6831">
        <f>2041</f>
        <v>2041</v>
      </c>
      <c r="H6831" t="str">
        <f>"B"</f>
        <v>B</v>
      </c>
    </row>
    <row r="6832" spans="1:8" x14ac:dyDescent="0.2">
      <c r="A6832" t="str">
        <f t="shared" si="2502"/>
        <v>0614011375</v>
      </c>
      <c r="B6832" t="str">
        <f t="shared" si="2503"/>
        <v>MY KAYLA</v>
      </c>
      <c r="C6832" t="str">
        <f t="shared" si="2504"/>
        <v>GUNNING</v>
      </c>
      <c r="D6832">
        <f>12</f>
        <v>12</v>
      </c>
      <c r="E6832" t="str">
        <f>"01 - A - 204 - Tina M Jaramillo"</f>
        <v>01 - A - 204 - Tina M Jaramillo</v>
      </c>
      <c r="F6832" t="str">
        <f>"AP ENG LIT COMPO"</f>
        <v>AP ENG LIT COMPO</v>
      </c>
      <c r="G6832" t="str">
        <f>"17-1706"</f>
        <v>17-1706</v>
      </c>
      <c r="H6832" t="str">
        <f>"A"</f>
        <v>A</v>
      </c>
    </row>
    <row r="6833" spans="1:8" x14ac:dyDescent="0.2">
      <c r="A6833" t="str">
        <f t="shared" si="2502"/>
        <v>0614011375</v>
      </c>
      <c r="B6833" t="str">
        <f t="shared" si="2503"/>
        <v>MY KAYLA</v>
      </c>
      <c r="C6833" t="str">
        <f t="shared" si="2504"/>
        <v>GUNNING</v>
      </c>
      <c r="D6833">
        <f>12</f>
        <v>12</v>
      </c>
      <c r="E6833" t="str">
        <f>"08 - B - 102 - Lisa J London"</f>
        <v>08 - B - 102 - Lisa J London</v>
      </c>
      <c r="F6833" t="str">
        <f>"AP CAPSTONE RESEARCH"</f>
        <v>AP CAPSTONE RESEARCH</v>
      </c>
      <c r="G6833" t="str">
        <f>"17-1714"</f>
        <v>17-1714</v>
      </c>
      <c r="H6833" t="str">
        <f>"B"</f>
        <v>B</v>
      </c>
    </row>
    <row r="6834" spans="1:8" x14ac:dyDescent="0.2">
      <c r="A6834" t="str">
        <f t="shared" ref="A6834:A6842" si="2505">"0614105997"</f>
        <v>0614105997</v>
      </c>
      <c r="B6834" t="str">
        <f t="shared" ref="B6834:B6842" si="2506">"DONOVAN"</f>
        <v>DONOVAN</v>
      </c>
      <c r="C6834" t="str">
        <f t="shared" ref="C6834:C6850" si="2507">"GUTIERREZ"</f>
        <v>GUTIERREZ</v>
      </c>
      <c r="D6834">
        <f>11</f>
        <v>11</v>
      </c>
      <c r="E6834" t="str">
        <f>"19 - S1 - MTWHF - UF - Instructor UF"</f>
        <v>19 - S1 - MTWHF - UF - Instructor UF</v>
      </c>
      <c r="F6834" t="str">
        <f>"INTRO SPORTS MGMT"</f>
        <v>INTRO SPORTS MGMT</v>
      </c>
      <c r="G6834" t="str">
        <f>"60-DE"</f>
        <v>60-DE</v>
      </c>
      <c r="H6834" t="str">
        <f>"-"</f>
        <v>-</v>
      </c>
    </row>
    <row r="6835" spans="1:8" x14ac:dyDescent="0.2">
      <c r="A6835" t="str">
        <f t="shared" si="2505"/>
        <v>0614105997</v>
      </c>
      <c r="B6835" t="str">
        <f t="shared" si="2506"/>
        <v>DONOVAN</v>
      </c>
      <c r="C6835" t="str">
        <f t="shared" si="2507"/>
        <v>GUTIERREZ</v>
      </c>
      <c r="D6835">
        <f>11</f>
        <v>11</v>
      </c>
      <c r="E6835" t="str">
        <f>"04 - A - 101 - Stephen T Ripp"</f>
        <v>04 - A - 101 - Stephen T Ripp</v>
      </c>
      <c r="F6835" t="str">
        <f>"AP U.S. HIST"</f>
        <v>AP U.S. HIST</v>
      </c>
      <c r="G6835" t="str">
        <f>"17-1744"</f>
        <v>17-1744</v>
      </c>
      <c r="H6835" t="str">
        <f>"A"</f>
        <v>A</v>
      </c>
    </row>
    <row r="6836" spans="1:8" x14ac:dyDescent="0.2">
      <c r="A6836" t="str">
        <f t="shared" si="2505"/>
        <v>0614105997</v>
      </c>
      <c r="B6836" t="str">
        <f t="shared" si="2506"/>
        <v>DONOVAN</v>
      </c>
      <c r="C6836" t="str">
        <f t="shared" si="2507"/>
        <v>GUTIERREZ</v>
      </c>
      <c r="D6836">
        <f>11</f>
        <v>11</v>
      </c>
      <c r="E6836" t="str">
        <f>"06 - B - 112 - Lisa  Quinn"</f>
        <v>06 - B - 112 - Lisa  Quinn</v>
      </c>
      <c r="F6836" t="str">
        <f>"NC STUDY HALL 1"</f>
        <v>NC STUDY HALL 1</v>
      </c>
      <c r="G6836" t="str">
        <f>"17-1725"</f>
        <v>17-1725</v>
      </c>
      <c r="H6836" t="str">
        <f>"B"</f>
        <v>B</v>
      </c>
    </row>
    <row r="6837" spans="1:8" x14ac:dyDescent="0.2">
      <c r="A6837" t="str">
        <f t="shared" si="2505"/>
        <v>0614105997</v>
      </c>
      <c r="B6837" t="str">
        <f t="shared" si="2506"/>
        <v>DONOVAN</v>
      </c>
      <c r="C6837" t="str">
        <f t="shared" si="2507"/>
        <v>GUTIERREZ</v>
      </c>
      <c r="D6837">
        <f>11</f>
        <v>11</v>
      </c>
      <c r="E6837" t="str">
        <f>"03 - A - 201 - Chrystina M Marchionne"</f>
        <v>03 - A - 201 - Chrystina M Marchionne</v>
      </c>
      <c r="F6837" t="str">
        <f>"JOURN 1 (YB) LH"</f>
        <v>JOURN 1 (YB) LH</v>
      </c>
      <c r="G6837" t="str">
        <f>"05-520"</f>
        <v>05-520</v>
      </c>
      <c r="H6837" t="str">
        <f>"A"</f>
        <v>A</v>
      </c>
    </row>
    <row r="6838" spans="1:8" x14ac:dyDescent="0.2">
      <c r="A6838" t="str">
        <f t="shared" si="2505"/>
        <v>0614105997</v>
      </c>
      <c r="B6838" t="str">
        <f t="shared" si="2506"/>
        <v>DONOVAN</v>
      </c>
      <c r="C6838" t="str">
        <f t="shared" si="2507"/>
        <v>GUTIERREZ</v>
      </c>
      <c r="D6838">
        <f>11</f>
        <v>11</v>
      </c>
      <c r="E6838" t="str">
        <f>"02 - A - 112 - Brandy N Zdenek"</f>
        <v>02 - A - 112 - Brandy N Zdenek</v>
      </c>
      <c r="F6838" t="str">
        <f>"NC STUDY HALL 1"</f>
        <v>NC STUDY HALL 1</v>
      </c>
      <c r="G6838" t="str">
        <f>"17-1704"</f>
        <v>17-1704</v>
      </c>
      <c r="H6838" t="str">
        <f>"A"</f>
        <v>A</v>
      </c>
    </row>
    <row r="6839" spans="1:8" x14ac:dyDescent="0.2">
      <c r="A6839" t="str">
        <f t="shared" si="2505"/>
        <v>0614105997</v>
      </c>
      <c r="B6839" t="str">
        <f t="shared" si="2506"/>
        <v>DONOVAN</v>
      </c>
      <c r="C6839" t="str">
        <f t="shared" si="2507"/>
        <v>GUTIERREZ</v>
      </c>
      <c r="D6839">
        <f>11</f>
        <v>11</v>
      </c>
      <c r="E6839" t="str">
        <f>"07 - B - 101 - Fernando  Vega-Cid"</f>
        <v>07 - B - 101 - Fernando  Vega-Cid</v>
      </c>
      <c r="F6839" t="str">
        <f>"AP PRECALCULUS"</f>
        <v>AP PRECALCULUS</v>
      </c>
      <c r="G6839" t="str">
        <f>"21-2163"</f>
        <v>21-2163</v>
      </c>
      <c r="H6839" t="str">
        <f>"B"</f>
        <v>B</v>
      </c>
    </row>
    <row r="6840" spans="1:8" x14ac:dyDescent="0.2">
      <c r="A6840" t="str">
        <f t="shared" si="2505"/>
        <v>0614105997</v>
      </c>
      <c r="B6840" t="str">
        <f t="shared" si="2506"/>
        <v>DONOVAN</v>
      </c>
      <c r="C6840" t="str">
        <f t="shared" si="2507"/>
        <v>GUTIERREZ</v>
      </c>
      <c r="D6840">
        <f>11</f>
        <v>11</v>
      </c>
      <c r="E6840" t="str">
        <f>"05 - B - 103 - Tina M Jaramillo"</f>
        <v>05 - B - 103 - Tina M Jaramillo</v>
      </c>
      <c r="F6840" t="str">
        <f>"AP ENG COMPO"</f>
        <v>AP ENG COMPO</v>
      </c>
      <c r="G6840" t="str">
        <f>"17-1706"</f>
        <v>17-1706</v>
      </c>
      <c r="H6840" t="str">
        <f>"B"</f>
        <v>B</v>
      </c>
    </row>
    <row r="6841" spans="1:8" x14ac:dyDescent="0.2">
      <c r="A6841" t="str">
        <f t="shared" si="2505"/>
        <v>0614105997</v>
      </c>
      <c r="B6841" t="str">
        <f t="shared" si="2506"/>
        <v>DONOVAN</v>
      </c>
      <c r="C6841" t="str">
        <f t="shared" si="2507"/>
        <v>GUTIERREZ</v>
      </c>
      <c r="D6841">
        <f>11</f>
        <v>11</v>
      </c>
      <c r="E6841" t="str">
        <f>"01 - A - 101 - Kelly N Panza"</f>
        <v>01 - A - 101 - Kelly N Panza</v>
      </c>
      <c r="F6841" t="str">
        <f>"AP HUMAN GEOG"</f>
        <v>AP HUMAN GEOG</v>
      </c>
      <c r="G6841" t="str">
        <f>"17-1753"</f>
        <v>17-1753</v>
      </c>
      <c r="H6841" t="str">
        <f>"A"</f>
        <v>A</v>
      </c>
    </row>
    <row r="6842" spans="1:8" x14ac:dyDescent="0.2">
      <c r="A6842" t="str">
        <f t="shared" si="2505"/>
        <v>0614105997</v>
      </c>
      <c r="B6842" t="str">
        <f t="shared" si="2506"/>
        <v>DONOVAN</v>
      </c>
      <c r="C6842" t="str">
        <f t="shared" si="2507"/>
        <v>GUTIERREZ</v>
      </c>
      <c r="D6842">
        <f>11</f>
        <v>11</v>
      </c>
      <c r="E6842" t="str">
        <f>"08 - B - 103 - Marielle A Witting"</f>
        <v>08 - B - 103 - Marielle A Witting</v>
      </c>
      <c r="F6842" t="str">
        <f>"AP BIO"</f>
        <v>AP BIO</v>
      </c>
      <c r="G6842" t="str">
        <f>"08-805"</f>
        <v>08-805</v>
      </c>
      <c r="H6842" t="str">
        <f>"B"</f>
        <v>B</v>
      </c>
    </row>
    <row r="6843" spans="1:8" x14ac:dyDescent="0.2">
      <c r="A6843" t="str">
        <f t="shared" ref="A6843:A6850" si="2508">"0614007533"</f>
        <v>0614007533</v>
      </c>
      <c r="B6843" t="str">
        <f t="shared" ref="B6843:B6850" si="2509">"ETHAN"</f>
        <v>ETHAN</v>
      </c>
      <c r="C6843" t="str">
        <f t="shared" si="2507"/>
        <v>GUTIERREZ</v>
      </c>
      <c r="D6843">
        <f>10</f>
        <v>10</v>
      </c>
      <c r="E6843" t="str">
        <f>"04 - A - 101 - Pamela M Corzo"</f>
        <v>04 - A - 101 - Pamela M Corzo</v>
      </c>
      <c r="F6843" t="str">
        <f>"CALCULUS HON"</f>
        <v>CALCULUS HON</v>
      </c>
      <c r="G6843" t="str">
        <f>"21-2133"</f>
        <v>21-2133</v>
      </c>
      <c r="H6843" t="str">
        <f>"A"</f>
        <v>A</v>
      </c>
    </row>
    <row r="6844" spans="1:8" x14ac:dyDescent="0.2">
      <c r="A6844" t="str">
        <f t="shared" si="2508"/>
        <v>0614007533</v>
      </c>
      <c r="B6844" t="str">
        <f t="shared" si="2509"/>
        <v>ETHAN</v>
      </c>
      <c r="C6844" t="str">
        <f t="shared" si="2507"/>
        <v>GUTIERREZ</v>
      </c>
      <c r="D6844">
        <f>10</f>
        <v>10</v>
      </c>
      <c r="E6844" t="str">
        <f>"06 - B - 112 - Tina M Jaramillo"</f>
        <v>06 - B - 112 - Tina M Jaramillo</v>
      </c>
      <c r="F6844" t="str">
        <f>"NC STUDY HALL 1"</f>
        <v>NC STUDY HALL 1</v>
      </c>
      <c r="G6844" t="str">
        <f>"17-1706"</f>
        <v>17-1706</v>
      </c>
      <c r="H6844" t="str">
        <f>"B"</f>
        <v>B</v>
      </c>
    </row>
    <row r="6845" spans="1:8" x14ac:dyDescent="0.2">
      <c r="A6845" t="str">
        <f t="shared" si="2508"/>
        <v>0614007533</v>
      </c>
      <c r="B6845" t="str">
        <f t="shared" si="2509"/>
        <v>ETHAN</v>
      </c>
      <c r="C6845" t="str">
        <f t="shared" si="2507"/>
        <v>GUTIERREZ</v>
      </c>
      <c r="D6845">
        <f>10</f>
        <v>10</v>
      </c>
      <c r="E6845" t="str">
        <f>"03 - A - 002 - Lenecy  Nodarse"</f>
        <v>03 - A - 002 - Lenecy  Nodarse</v>
      </c>
      <c r="F6845" t="str">
        <f>"AICE EURO HIST 1 AS"</f>
        <v>AICE EURO HIST 1 AS</v>
      </c>
      <c r="G6845" t="str">
        <f>"17-1741"</f>
        <v>17-1741</v>
      </c>
      <c r="H6845" t="str">
        <f>"A"</f>
        <v>A</v>
      </c>
    </row>
    <row r="6846" spans="1:8" x14ac:dyDescent="0.2">
      <c r="A6846" t="str">
        <f t="shared" si="2508"/>
        <v>0614007533</v>
      </c>
      <c r="B6846" t="str">
        <f t="shared" si="2509"/>
        <v>ETHAN</v>
      </c>
      <c r="C6846" t="str">
        <f t="shared" si="2507"/>
        <v>GUTIERREZ</v>
      </c>
      <c r="D6846">
        <f>10</f>
        <v>10</v>
      </c>
      <c r="E6846" t="str">
        <f>"02 - A - 102 - Jacklyn M James"</f>
        <v>02 - A - 102 - Jacklyn M James</v>
      </c>
      <c r="F6846" t="str">
        <f>"AICE ENG LANG AS"</f>
        <v>AICE ENG LANG AS</v>
      </c>
      <c r="G6846" t="str">
        <f>"17-1731"</f>
        <v>17-1731</v>
      </c>
      <c r="H6846" t="str">
        <f>"A"</f>
        <v>A</v>
      </c>
    </row>
    <row r="6847" spans="1:8" x14ac:dyDescent="0.2">
      <c r="A6847" t="str">
        <f t="shared" si="2508"/>
        <v>0614007533</v>
      </c>
      <c r="B6847" t="str">
        <f t="shared" si="2509"/>
        <v>ETHAN</v>
      </c>
      <c r="C6847" t="str">
        <f t="shared" si="2507"/>
        <v>GUTIERREZ</v>
      </c>
      <c r="D6847">
        <f>10</f>
        <v>10</v>
      </c>
      <c r="E6847" t="str">
        <f>"07 - B - 002 - Jordana K Hass"</f>
        <v>07 - B - 002 - Jordana K Hass</v>
      </c>
      <c r="F6847" t="str">
        <f>"CHEMISTRY 1 HON"</f>
        <v>CHEMISTRY 1 HON</v>
      </c>
      <c r="G6847" t="str">
        <f>"08-807"</f>
        <v>08-807</v>
      </c>
      <c r="H6847" t="str">
        <f>"B"</f>
        <v>B</v>
      </c>
    </row>
    <row r="6848" spans="1:8" x14ac:dyDescent="0.2">
      <c r="A6848" t="str">
        <f t="shared" si="2508"/>
        <v>0614007533</v>
      </c>
      <c r="B6848" t="str">
        <f t="shared" si="2509"/>
        <v>ETHAN</v>
      </c>
      <c r="C6848" t="str">
        <f t="shared" si="2507"/>
        <v>GUTIERREZ</v>
      </c>
      <c r="D6848">
        <f>10</f>
        <v>10</v>
      </c>
      <c r="E6848" t="str">
        <f>"05 - B - 202 - Daniel S Katz"</f>
        <v>05 - B - 202 - Daniel S Katz</v>
      </c>
      <c r="F6848" t="str">
        <f>"EXEC INTERN 3 LH"</f>
        <v>EXEC INTERN 3 LH</v>
      </c>
      <c r="G6848" t="str">
        <f>"21-2156"</f>
        <v>21-2156</v>
      </c>
      <c r="H6848" t="str">
        <f>"B"</f>
        <v>B</v>
      </c>
    </row>
    <row r="6849" spans="1:8" x14ac:dyDescent="0.2">
      <c r="A6849" t="str">
        <f t="shared" si="2508"/>
        <v>0614007533</v>
      </c>
      <c r="B6849" t="str">
        <f t="shared" si="2509"/>
        <v>ETHAN</v>
      </c>
      <c r="C6849" t="str">
        <f t="shared" si="2507"/>
        <v>GUTIERREZ</v>
      </c>
      <c r="D6849">
        <f>10</f>
        <v>10</v>
      </c>
      <c r="E6849" t="str">
        <f>"01 - A - 201 - Stefanie S Scher"</f>
        <v>01 - A - 201 - Stefanie S Scher</v>
      </c>
      <c r="F6849" t="str">
        <f>"AICE PSYCH 1 AS"</f>
        <v>AICE PSYCH 1 AS</v>
      </c>
      <c r="G6849" t="str">
        <f>"17-1735"</f>
        <v>17-1735</v>
      </c>
      <c r="H6849" t="str">
        <f>"A"</f>
        <v>A</v>
      </c>
    </row>
    <row r="6850" spans="1:8" x14ac:dyDescent="0.2">
      <c r="A6850" t="str">
        <f t="shared" si="2508"/>
        <v>0614007533</v>
      </c>
      <c r="B6850" t="str">
        <f t="shared" si="2509"/>
        <v>ETHAN</v>
      </c>
      <c r="C6850" t="str">
        <f t="shared" si="2507"/>
        <v>GUTIERREZ</v>
      </c>
      <c r="D6850">
        <f>10</f>
        <v>10</v>
      </c>
      <c r="E6850" t="str">
        <f>"08 - B - 201 - Vanessa J Liburd"</f>
        <v>08 - B - 201 - Vanessa J Liburd</v>
      </c>
      <c r="F6850" t="str">
        <f>"FRENCH 3 HON"</f>
        <v>FRENCH 3 HON</v>
      </c>
      <c r="G6850" t="str">
        <f>"05-519"</f>
        <v>05-519</v>
      </c>
      <c r="H6850" t="str">
        <f>"B"</f>
        <v>B</v>
      </c>
    </row>
    <row r="6851" spans="1:8" x14ac:dyDescent="0.2">
      <c r="A6851" t="str">
        <f t="shared" ref="A6851:A6858" si="2510">"0620109771"</f>
        <v>0620109771</v>
      </c>
      <c r="B6851" t="str">
        <f t="shared" ref="B6851:B6858" si="2511">"LIS"</f>
        <v>LIS</v>
      </c>
      <c r="C6851" t="str">
        <f t="shared" ref="C6851:C6858" si="2512">"GUT ZEN"</f>
        <v>GUT ZEN</v>
      </c>
      <c r="D6851" t="str">
        <f t="shared" ref="D6851:D6866" si="2513">"09"</f>
        <v>09</v>
      </c>
      <c r="E6851" t="str">
        <f>"04 - A - 004 - Krystal Marie  Beruty"</f>
        <v>04 - A - 004 - Krystal Marie  Beruty</v>
      </c>
      <c r="F6851" t="str">
        <f>"AICE GLBL PERSP 1 AS"</f>
        <v>AICE GLBL PERSP 1 AS</v>
      </c>
      <c r="G6851" t="str">
        <f>"17-1721"</f>
        <v>17-1721</v>
      </c>
      <c r="H6851" t="str">
        <f>"A"</f>
        <v>A</v>
      </c>
    </row>
    <row r="6852" spans="1:8" x14ac:dyDescent="0.2">
      <c r="A6852" t="str">
        <f t="shared" si="2510"/>
        <v>0620109771</v>
      </c>
      <c r="B6852" t="str">
        <f t="shared" si="2511"/>
        <v>LIS</v>
      </c>
      <c r="C6852" t="str">
        <f t="shared" si="2512"/>
        <v>GUT ZEN</v>
      </c>
      <c r="D6852" t="str">
        <f t="shared" si="2513"/>
        <v>09</v>
      </c>
      <c r="E6852" t="str">
        <f>"06 - B - 104 - Byron G Montenegro"</f>
        <v>06 - B - 104 - Byron G Montenegro</v>
      </c>
      <c r="F6852" t="str">
        <f>"AICE MARINE SCI 1 AS"</f>
        <v>AICE MARINE SCI 1 AS</v>
      </c>
      <c r="G6852" t="str">
        <f>"21-2144"</f>
        <v>21-2144</v>
      </c>
      <c r="H6852" t="str">
        <f>"B"</f>
        <v>B</v>
      </c>
    </row>
    <row r="6853" spans="1:8" x14ac:dyDescent="0.2">
      <c r="A6853" t="str">
        <f t="shared" si="2510"/>
        <v>0620109771</v>
      </c>
      <c r="B6853" t="str">
        <f t="shared" si="2511"/>
        <v>LIS</v>
      </c>
      <c r="C6853" t="str">
        <f t="shared" si="2512"/>
        <v>GUT ZEN</v>
      </c>
      <c r="D6853" t="str">
        <f t="shared" si="2513"/>
        <v>09</v>
      </c>
      <c r="E6853" t="str">
        <f>"03 - A - 005 - Cerine S Stewart"</f>
        <v>03 - A - 005 - Cerine S Stewart</v>
      </c>
      <c r="F6853" t="str">
        <f>"AICE ENG GEN PAPER 1"</f>
        <v>AICE ENG GEN PAPER 1</v>
      </c>
      <c r="G6853" t="str">
        <f>"17-1720"</f>
        <v>17-1720</v>
      </c>
      <c r="H6853" t="str">
        <f>"A"</f>
        <v>A</v>
      </c>
    </row>
    <row r="6854" spans="1:8" x14ac:dyDescent="0.2">
      <c r="A6854" t="str">
        <f t="shared" si="2510"/>
        <v>0620109771</v>
      </c>
      <c r="B6854" t="str">
        <f t="shared" si="2511"/>
        <v>LIS</v>
      </c>
      <c r="C6854" t="str">
        <f t="shared" si="2512"/>
        <v>GUT ZEN</v>
      </c>
      <c r="D6854" t="str">
        <f t="shared" si="2513"/>
        <v>09</v>
      </c>
      <c r="E6854" t="str">
        <f>"02 - A - 103 - Arthur  Kulawik"</f>
        <v>02 - A - 103 - Arthur  Kulawik</v>
      </c>
      <c r="F6854" t="str">
        <f>"NC STUDY HALL 1"</f>
        <v>NC STUDY HALL 1</v>
      </c>
      <c r="G6854" t="str">
        <f>"05-506"</f>
        <v>05-506</v>
      </c>
      <c r="H6854" t="str">
        <f>"A"</f>
        <v>A</v>
      </c>
    </row>
    <row r="6855" spans="1:8" x14ac:dyDescent="0.2">
      <c r="A6855" t="str">
        <f t="shared" si="2510"/>
        <v>0620109771</v>
      </c>
      <c r="B6855" t="str">
        <f t="shared" si="2511"/>
        <v>LIS</v>
      </c>
      <c r="C6855" t="str">
        <f t="shared" si="2512"/>
        <v>GUT ZEN</v>
      </c>
      <c r="D6855" t="str">
        <f t="shared" si="2513"/>
        <v>09</v>
      </c>
      <c r="E6855" t="str">
        <f>"07 - B - 002 - Rachel M Montrose"</f>
        <v>07 - B - 002 - Rachel M Montrose</v>
      </c>
      <c r="F6855" t="str">
        <f>"JOURN 1 (NP) LH"</f>
        <v>JOURN 1 (NP) LH</v>
      </c>
      <c r="G6855" t="str">
        <f>"05-521"</f>
        <v>05-521</v>
      </c>
      <c r="H6855" t="str">
        <f>"B"</f>
        <v>B</v>
      </c>
    </row>
    <row r="6856" spans="1:8" x14ac:dyDescent="0.2">
      <c r="A6856" t="str">
        <f t="shared" si="2510"/>
        <v>0620109771</v>
      </c>
      <c r="B6856" t="str">
        <f t="shared" si="2511"/>
        <v>LIS</v>
      </c>
      <c r="C6856" t="str">
        <f t="shared" si="2512"/>
        <v>GUT ZEN</v>
      </c>
      <c r="D6856" t="str">
        <f t="shared" si="2513"/>
        <v>09</v>
      </c>
      <c r="E6856" t="str">
        <f>"05 - B - 104 - Maried P Ramos"</f>
        <v>05 - B - 104 - Maried P Ramos</v>
      </c>
      <c r="F6856" t="str">
        <f>"PRE-AICE MATH 2 IG"</f>
        <v>PRE-AICE MATH 2 IG</v>
      </c>
      <c r="G6856" t="str">
        <f>"21-2159"</f>
        <v>21-2159</v>
      </c>
      <c r="H6856" t="str">
        <f>"B"</f>
        <v>B</v>
      </c>
    </row>
    <row r="6857" spans="1:8" x14ac:dyDescent="0.2">
      <c r="A6857" t="str">
        <f t="shared" si="2510"/>
        <v>0620109771</v>
      </c>
      <c r="B6857" t="str">
        <f t="shared" si="2511"/>
        <v>LIS</v>
      </c>
      <c r="C6857" t="str">
        <f t="shared" si="2512"/>
        <v>GUT ZEN</v>
      </c>
      <c r="D6857" t="str">
        <f t="shared" si="2513"/>
        <v>09</v>
      </c>
      <c r="E6857" t="str">
        <f>"01 - A - 101 - Adam Marcus  Drucker"</f>
        <v>01 - A - 101 - Adam Marcus  Drucker</v>
      </c>
      <c r="F6857" t="str">
        <f>"HOPE-PE V"</f>
        <v>HOPE-PE V</v>
      </c>
      <c r="G6857" t="str">
        <f>"04-254"</f>
        <v>04-254</v>
      </c>
      <c r="H6857" t="str">
        <f>"A"</f>
        <v>A</v>
      </c>
    </row>
    <row r="6858" spans="1:8" x14ac:dyDescent="0.2">
      <c r="A6858" t="str">
        <f t="shared" si="2510"/>
        <v>0620109771</v>
      </c>
      <c r="B6858" t="str">
        <f t="shared" si="2511"/>
        <v>LIS</v>
      </c>
      <c r="C6858" t="str">
        <f t="shared" si="2512"/>
        <v>GUT ZEN</v>
      </c>
      <c r="D6858" t="str">
        <f t="shared" si="2513"/>
        <v>09</v>
      </c>
      <c r="E6858" t="str">
        <f>"08 - B - 102 - Robert H Rindner"</f>
        <v>08 - B - 102 - Robert H Rindner</v>
      </c>
      <c r="F6858" t="str">
        <f>"TV PRODUCTION TECH 1"</f>
        <v>TV PRODUCTION TECH 1</v>
      </c>
      <c r="G6858" t="str">
        <f>"21-2160"</f>
        <v>21-2160</v>
      </c>
      <c r="H6858" t="str">
        <f>"B"</f>
        <v>B</v>
      </c>
    </row>
    <row r="6859" spans="1:8" x14ac:dyDescent="0.2">
      <c r="A6859" t="str">
        <f t="shared" ref="A6859:A6866" si="2514">"0618027111"</f>
        <v>0618027111</v>
      </c>
      <c r="B6859" t="str">
        <f t="shared" ref="B6859:B6866" si="2515">"ALEJANDRO"</f>
        <v>ALEJANDRO</v>
      </c>
      <c r="C6859" t="str">
        <f t="shared" ref="C6859:C6874" si="2516">"GUZMAN"</f>
        <v>GUZMAN</v>
      </c>
      <c r="D6859" t="str">
        <f t="shared" si="2513"/>
        <v>09</v>
      </c>
      <c r="E6859" t="str">
        <f>"04 - A - 203 - Cheryl L Beach"</f>
        <v>04 - A - 203 - Cheryl L Beach</v>
      </c>
      <c r="F6859" t="str">
        <f>"AICE ENV MGMNT AS"</f>
        <v>AICE ENV MGMNT AS</v>
      </c>
      <c r="G6859" t="str">
        <f>"08-811"</f>
        <v>08-811</v>
      </c>
      <c r="H6859" t="str">
        <f>"A"</f>
        <v>A</v>
      </c>
    </row>
    <row r="6860" spans="1:8" x14ac:dyDescent="0.2">
      <c r="A6860" t="str">
        <f t="shared" si="2514"/>
        <v>0618027111</v>
      </c>
      <c r="B6860" t="str">
        <f t="shared" si="2515"/>
        <v>ALEJANDRO</v>
      </c>
      <c r="C6860" t="str">
        <f t="shared" si="2516"/>
        <v>GUZMAN</v>
      </c>
      <c r="D6860" t="str">
        <f t="shared" si="2513"/>
        <v>09</v>
      </c>
      <c r="E6860" t="str">
        <f>"06 - S1 - B - 104 - Leslie J Barton"</f>
        <v>06 - S1 - B - 104 - Leslie J Barton</v>
      </c>
      <c r="F6860" t="str">
        <f>"FIRST AID SAFETY"</f>
        <v>FIRST AID SAFETY</v>
      </c>
      <c r="G6860" t="str">
        <f>"05-521"</f>
        <v>05-521</v>
      </c>
      <c r="H6860" t="str">
        <f>"B"</f>
        <v>B</v>
      </c>
    </row>
    <row r="6861" spans="1:8" x14ac:dyDescent="0.2">
      <c r="A6861" t="str">
        <f t="shared" si="2514"/>
        <v>0618027111</v>
      </c>
      <c r="B6861" t="str">
        <f t="shared" si="2515"/>
        <v>ALEJANDRO</v>
      </c>
      <c r="C6861" t="str">
        <f t="shared" si="2516"/>
        <v>GUZMAN</v>
      </c>
      <c r="D6861" t="str">
        <f t="shared" si="2513"/>
        <v>09</v>
      </c>
      <c r="E6861" t="str">
        <f>"03 - A - 001 - Maried P Ramos"</f>
        <v>03 - A - 001 - Maried P Ramos</v>
      </c>
      <c r="F6861" t="str">
        <f>"PRE-AICE MATH 2 IG"</f>
        <v>PRE-AICE MATH 2 IG</v>
      </c>
      <c r="G6861" t="str">
        <f>"21-2159"</f>
        <v>21-2159</v>
      </c>
      <c r="H6861" t="str">
        <f>"A"</f>
        <v>A</v>
      </c>
    </row>
    <row r="6862" spans="1:8" x14ac:dyDescent="0.2">
      <c r="A6862" t="str">
        <f t="shared" si="2514"/>
        <v>0618027111</v>
      </c>
      <c r="B6862" t="str">
        <f t="shared" si="2515"/>
        <v>ALEJANDRO</v>
      </c>
      <c r="C6862" t="str">
        <f t="shared" si="2516"/>
        <v>GUZMAN</v>
      </c>
      <c r="D6862" t="str">
        <f t="shared" si="2513"/>
        <v>09</v>
      </c>
      <c r="E6862" t="str">
        <f>"02 - A - 114 - Laselleda D Shaw"</f>
        <v>02 - A - 114 - Laselleda D Shaw</v>
      </c>
      <c r="F6862" t="str">
        <f>"NC STUDY HALL 1"</f>
        <v>NC STUDY HALL 1</v>
      </c>
      <c r="G6862" t="str">
        <f>"17-1723"</f>
        <v>17-1723</v>
      </c>
      <c r="H6862" t="str">
        <f>"A"</f>
        <v>A</v>
      </c>
    </row>
    <row r="6863" spans="1:8" x14ac:dyDescent="0.2">
      <c r="A6863" t="str">
        <f t="shared" si="2514"/>
        <v>0618027111</v>
      </c>
      <c r="B6863" t="str">
        <f t="shared" si="2515"/>
        <v>ALEJANDRO</v>
      </c>
      <c r="C6863" t="str">
        <f t="shared" si="2516"/>
        <v>GUZMAN</v>
      </c>
      <c r="D6863" t="str">
        <f t="shared" si="2513"/>
        <v>09</v>
      </c>
      <c r="E6863" t="str">
        <f>"07 - B - 201 - Angela S Adeshina-Morrison"</f>
        <v>07 - B - 201 - Angela S Adeshina-Morrison</v>
      </c>
      <c r="F6863" t="str">
        <f>"BUSINESS OWNER HON"</f>
        <v>BUSINESS OWNER HON</v>
      </c>
      <c r="G6863" t="str">
        <f>"05-518"</f>
        <v>05-518</v>
      </c>
      <c r="H6863" t="str">
        <f>"B"</f>
        <v>B</v>
      </c>
    </row>
    <row r="6864" spans="1:8" x14ac:dyDescent="0.2">
      <c r="A6864" t="str">
        <f t="shared" si="2514"/>
        <v>0618027111</v>
      </c>
      <c r="B6864" t="str">
        <f t="shared" si="2515"/>
        <v>ALEJANDRO</v>
      </c>
      <c r="C6864" t="str">
        <f t="shared" si="2516"/>
        <v>GUZMAN</v>
      </c>
      <c r="D6864" t="str">
        <f t="shared" si="2513"/>
        <v>09</v>
      </c>
      <c r="E6864" t="str">
        <f>"05 - B - 103 - Eva T Rimmer"</f>
        <v>05 - B - 103 - Eva T Rimmer</v>
      </c>
      <c r="F6864" t="str">
        <f>"CRIMINAL JUST OPS 1"</f>
        <v>CRIMINAL JUST OPS 1</v>
      </c>
      <c r="G6864" t="str">
        <f>"05-523"</f>
        <v>05-523</v>
      </c>
      <c r="H6864" t="str">
        <f>"B"</f>
        <v>B</v>
      </c>
    </row>
    <row r="6865" spans="1:8" x14ac:dyDescent="0.2">
      <c r="A6865" t="str">
        <f t="shared" si="2514"/>
        <v>0618027111</v>
      </c>
      <c r="B6865" t="str">
        <f t="shared" si="2515"/>
        <v>ALEJANDRO</v>
      </c>
      <c r="C6865" t="str">
        <f t="shared" si="2516"/>
        <v>GUZMAN</v>
      </c>
      <c r="D6865" t="str">
        <f t="shared" si="2513"/>
        <v>09</v>
      </c>
      <c r="E6865" t="str">
        <f>"01 - A - 006 - Emmily A Sarmiento"</f>
        <v>01 - A - 006 - Emmily A Sarmiento</v>
      </c>
      <c r="F6865" t="str">
        <f>"AICE GLBL PERSP 1 AS"</f>
        <v>AICE GLBL PERSP 1 AS</v>
      </c>
      <c r="G6865" t="str">
        <f>"17-1743"</f>
        <v>17-1743</v>
      </c>
      <c r="H6865" t="str">
        <f>"A"</f>
        <v>A</v>
      </c>
    </row>
    <row r="6866" spans="1:8" x14ac:dyDescent="0.2">
      <c r="A6866" t="str">
        <f t="shared" si="2514"/>
        <v>0618027111</v>
      </c>
      <c r="B6866" t="str">
        <f t="shared" si="2515"/>
        <v>ALEJANDRO</v>
      </c>
      <c r="C6866" t="str">
        <f t="shared" si="2516"/>
        <v>GUZMAN</v>
      </c>
      <c r="D6866" t="str">
        <f t="shared" si="2513"/>
        <v>09</v>
      </c>
      <c r="E6866" t="str">
        <f>"08 - B - 004 - Cheryl Anne  Berman-Schechter"</f>
        <v>08 - B - 004 - Cheryl Anne  Berman-Schechter</v>
      </c>
      <c r="F6866" t="str">
        <f>"AICE ENG GEN PAPER 1"</f>
        <v>AICE ENG GEN PAPER 1</v>
      </c>
      <c r="G6866" t="str">
        <f>"17-1722"</f>
        <v>17-1722</v>
      </c>
      <c r="H6866" t="str">
        <f>"B"</f>
        <v>B</v>
      </c>
    </row>
    <row r="6867" spans="1:8" x14ac:dyDescent="0.2">
      <c r="A6867" t="str">
        <f t="shared" ref="A6867:A6874" si="2517">"0618026889"</f>
        <v>0618026889</v>
      </c>
      <c r="B6867" t="str">
        <f t="shared" ref="B6867:B6874" si="2518">"JORDY"</f>
        <v>JORDY</v>
      </c>
      <c r="C6867" t="str">
        <f t="shared" si="2516"/>
        <v>GUZMAN</v>
      </c>
      <c r="D6867">
        <f>12</f>
        <v>12</v>
      </c>
      <c r="E6867" t="str">
        <f>"04 - A - 103 - Cliffon  Saurel"</f>
        <v>04 - A - 103 - Cliffon  Saurel</v>
      </c>
      <c r="F6867" t="str">
        <f>"PHYSICAL SCI"</f>
        <v>PHYSICAL SCI</v>
      </c>
      <c r="G6867" t="str">
        <f>"05-522"</f>
        <v>05-522</v>
      </c>
      <c r="H6867" t="str">
        <f>"A"</f>
        <v>A</v>
      </c>
    </row>
    <row r="6868" spans="1:8" x14ac:dyDescent="0.2">
      <c r="A6868" t="str">
        <f t="shared" si="2517"/>
        <v>0618026889</v>
      </c>
      <c r="B6868" t="str">
        <f t="shared" si="2518"/>
        <v>JORDY</v>
      </c>
      <c r="C6868" t="str">
        <f t="shared" si="2516"/>
        <v>GUZMAN</v>
      </c>
      <c r="D6868">
        <f>12</f>
        <v>12</v>
      </c>
      <c r="E6868" t="str">
        <f>"06 - B - 108 - Jacquelyn M Neeson"</f>
        <v>06 - B - 108 - Jacquelyn M Neeson</v>
      </c>
      <c r="F6868" t="str">
        <f>"NC STUDY HALL 1"</f>
        <v>NC STUDY HALL 1</v>
      </c>
      <c r="G6868" t="str">
        <f>"17-1715"</f>
        <v>17-1715</v>
      </c>
      <c r="H6868" t="str">
        <f>"B"</f>
        <v>B</v>
      </c>
    </row>
    <row r="6869" spans="1:8" x14ac:dyDescent="0.2">
      <c r="A6869" t="str">
        <f t="shared" si="2517"/>
        <v>0618026889</v>
      </c>
      <c r="B6869" t="str">
        <f t="shared" si="2518"/>
        <v>JORDY</v>
      </c>
      <c r="C6869" t="str">
        <f t="shared" si="2516"/>
        <v>GUZMAN</v>
      </c>
      <c r="D6869">
        <f>12</f>
        <v>12</v>
      </c>
      <c r="E6869" t="str">
        <f>"03 - S1 - A - 103 - Richard E Dunbar Iii"</f>
        <v>03 - S1 - A - 103 - Richard E Dunbar Iii</v>
      </c>
      <c r="F6869" t="str">
        <f>"WEIGHT TRAIN 1"</f>
        <v>WEIGHT TRAIN 1</v>
      </c>
      <c r="G6869" t="str">
        <f>"05-501"</f>
        <v>05-501</v>
      </c>
      <c r="H6869" t="str">
        <f>"A"</f>
        <v>A</v>
      </c>
    </row>
    <row r="6870" spans="1:8" x14ac:dyDescent="0.2">
      <c r="A6870" t="str">
        <f t="shared" si="2517"/>
        <v>0618026889</v>
      </c>
      <c r="B6870" t="str">
        <f t="shared" si="2518"/>
        <v>JORDY</v>
      </c>
      <c r="C6870" t="str">
        <f t="shared" si="2516"/>
        <v>GUZMAN</v>
      </c>
      <c r="D6870">
        <f>12</f>
        <v>12</v>
      </c>
      <c r="E6870" t="str">
        <f>"02 - S1 - A - 104 - Robert O Burger"</f>
        <v>02 - S1 - A - 104 - Robert O Burger</v>
      </c>
      <c r="F6870" t="str">
        <f>"US GOVT"</f>
        <v>US GOVT</v>
      </c>
      <c r="G6870" t="str">
        <f>"17-1755"</f>
        <v>17-1755</v>
      </c>
      <c r="H6870" t="str">
        <f>"A"</f>
        <v>A</v>
      </c>
    </row>
    <row r="6871" spans="1:8" x14ac:dyDescent="0.2">
      <c r="A6871" t="str">
        <f t="shared" si="2517"/>
        <v>0618026889</v>
      </c>
      <c r="B6871" t="str">
        <f t="shared" si="2518"/>
        <v>JORDY</v>
      </c>
      <c r="C6871" t="str">
        <f t="shared" si="2516"/>
        <v>GUZMAN</v>
      </c>
      <c r="D6871">
        <f>12</f>
        <v>12</v>
      </c>
      <c r="E6871" t="str">
        <f>"07 - B - 104 - Robyn L Trainer"</f>
        <v>07 - B - 104 - Robyn L Trainer</v>
      </c>
      <c r="F6871" t="str">
        <f>"ENG 4"</f>
        <v>ENG 4</v>
      </c>
      <c r="G6871" t="str">
        <f>"17-1734"</f>
        <v>17-1734</v>
      </c>
      <c r="H6871" t="str">
        <f>"B"</f>
        <v>B</v>
      </c>
    </row>
    <row r="6872" spans="1:8" x14ac:dyDescent="0.2">
      <c r="A6872" t="str">
        <f t="shared" si="2517"/>
        <v>0618026889</v>
      </c>
      <c r="B6872" t="str">
        <f t="shared" si="2518"/>
        <v>JORDY</v>
      </c>
      <c r="C6872" t="str">
        <f t="shared" si="2516"/>
        <v>GUZMAN</v>
      </c>
      <c r="D6872">
        <f>12</f>
        <v>12</v>
      </c>
      <c r="E6872" t="str">
        <f>"05 - B - 102 - Jeanne M Bermudez"</f>
        <v>05 - B - 102 - Jeanne M Bermudez</v>
      </c>
      <c r="F6872" t="str">
        <f>"ADVANCED IT HON"</f>
        <v>ADVANCED IT HON</v>
      </c>
      <c r="G6872" t="str">
        <f>"21-2141"</f>
        <v>21-2141</v>
      </c>
      <c r="H6872" t="str">
        <f>"B"</f>
        <v>B</v>
      </c>
    </row>
    <row r="6873" spans="1:8" x14ac:dyDescent="0.2">
      <c r="A6873" t="str">
        <f t="shared" si="2517"/>
        <v>0618026889</v>
      </c>
      <c r="B6873" t="str">
        <f t="shared" si="2518"/>
        <v>JORDY</v>
      </c>
      <c r="C6873" t="str">
        <f t="shared" si="2516"/>
        <v>GUZMAN</v>
      </c>
      <c r="D6873">
        <f>12</f>
        <v>12</v>
      </c>
      <c r="E6873" t="str">
        <f>"01 - A - 103 - Semra  Bahadir"</f>
        <v>01 - A - 103 - Semra  Bahadir</v>
      </c>
      <c r="F6873" t="str">
        <f>"MATH COLL ALGEBRA"</f>
        <v>MATH COLL ALGEBRA</v>
      </c>
      <c r="G6873" t="str">
        <f>"21-2107"</f>
        <v>21-2107</v>
      </c>
      <c r="H6873" t="str">
        <f>"A"</f>
        <v>A</v>
      </c>
    </row>
    <row r="6874" spans="1:8" x14ac:dyDescent="0.2">
      <c r="A6874" t="str">
        <f t="shared" si="2517"/>
        <v>0618026889</v>
      </c>
      <c r="B6874" t="str">
        <f t="shared" si="2518"/>
        <v>JORDY</v>
      </c>
      <c r="C6874" t="str">
        <f t="shared" si="2516"/>
        <v>GUZMAN</v>
      </c>
      <c r="D6874">
        <f>12</f>
        <v>12</v>
      </c>
      <c r="E6874" t="str">
        <f>"08 - S1 - B - 102 - Nahum  Saint-Preux"</f>
        <v>08 - S1 - B - 102 - Nahum  Saint-Preux</v>
      </c>
      <c r="F6874" t="str">
        <f>"CRIT THINK ST SKLS"</f>
        <v>CRIT THINK ST SKLS</v>
      </c>
      <c r="G6874" t="str">
        <f>"17-1712"</f>
        <v>17-1712</v>
      </c>
      <c r="H6874" t="str">
        <f>"B"</f>
        <v>B</v>
      </c>
    </row>
    <row r="6875" spans="1:8" x14ac:dyDescent="0.2">
      <c r="A6875" t="str">
        <f t="shared" ref="A6875:A6882" si="2519">"0614128430"</f>
        <v>0614128430</v>
      </c>
      <c r="B6875" t="str">
        <f t="shared" ref="B6875:B6882" si="2520">"LUCAS"</f>
        <v>LUCAS</v>
      </c>
      <c r="C6875" t="str">
        <f t="shared" ref="C6875:C6882" si="2521">"HALE-FLOREZ"</f>
        <v>HALE-FLOREZ</v>
      </c>
      <c r="D6875">
        <f>11</f>
        <v>11</v>
      </c>
      <c r="E6875" t="str">
        <f>"04 - A - 102 - Fernando  Vega-Cid"</f>
        <v>04 - A - 102 - Fernando  Vega-Cid</v>
      </c>
      <c r="F6875" t="str">
        <f>"PRE-CALCULUS HON"</f>
        <v>PRE-CALCULUS HON</v>
      </c>
      <c r="G6875" t="str">
        <f>"21-2163"</f>
        <v>21-2163</v>
      </c>
      <c r="H6875" t="str">
        <f>"A"</f>
        <v>A</v>
      </c>
    </row>
    <row r="6876" spans="1:8" x14ac:dyDescent="0.2">
      <c r="A6876" t="str">
        <f t="shared" si="2519"/>
        <v>0614128430</v>
      </c>
      <c r="B6876" t="str">
        <f t="shared" si="2520"/>
        <v>LUCAS</v>
      </c>
      <c r="C6876" t="str">
        <f t="shared" si="2521"/>
        <v>HALE-FLOREZ</v>
      </c>
      <c r="D6876">
        <f>11</f>
        <v>11</v>
      </c>
      <c r="E6876" t="str">
        <f>"06 - B - 206 - Jacqueline R Morphet"</f>
        <v>06 - B - 206 - Jacqueline R Morphet</v>
      </c>
      <c r="F6876" t="str">
        <f>"PHYSICS 1 HON"</f>
        <v>PHYSICS 1 HON</v>
      </c>
      <c r="G6876" t="str">
        <f>"21-2138"</f>
        <v>21-2138</v>
      </c>
      <c r="H6876" t="str">
        <f>"B"</f>
        <v>B</v>
      </c>
    </row>
    <row r="6877" spans="1:8" x14ac:dyDescent="0.2">
      <c r="A6877" t="str">
        <f t="shared" si="2519"/>
        <v>0614128430</v>
      </c>
      <c r="B6877" t="str">
        <f t="shared" si="2520"/>
        <v>LUCAS</v>
      </c>
      <c r="C6877" t="str">
        <f t="shared" si="2521"/>
        <v>HALE-FLOREZ</v>
      </c>
      <c r="D6877">
        <f>11</f>
        <v>11</v>
      </c>
      <c r="E6877" t="str">
        <f>"03 - A - 104 - Kyle  Robbins"</f>
        <v>03 - A - 104 - Kyle  Robbins</v>
      </c>
      <c r="F6877" t="str">
        <f>"US HISTORY"</f>
        <v>US HISTORY</v>
      </c>
      <c r="G6877" t="str">
        <f>"17-1745"</f>
        <v>17-1745</v>
      </c>
      <c r="H6877" t="str">
        <f>"A"</f>
        <v>A</v>
      </c>
    </row>
    <row r="6878" spans="1:8" x14ac:dyDescent="0.2">
      <c r="A6878" t="str">
        <f t="shared" si="2519"/>
        <v>0614128430</v>
      </c>
      <c r="B6878" t="str">
        <f t="shared" si="2520"/>
        <v>LUCAS</v>
      </c>
      <c r="C6878" t="str">
        <f t="shared" si="2521"/>
        <v>HALE-FLOREZ</v>
      </c>
      <c r="D6878">
        <f>11</f>
        <v>11</v>
      </c>
      <c r="E6878" t="str">
        <f>"02 - A - 113 - Byron G Montenegro"</f>
        <v>02 - A - 113 - Byron G Montenegro</v>
      </c>
      <c r="F6878" t="str">
        <f>"NC STUDY HALL 1"</f>
        <v>NC STUDY HALL 1</v>
      </c>
      <c r="G6878" t="str">
        <f>"21-2144"</f>
        <v>21-2144</v>
      </c>
      <c r="H6878" t="str">
        <f>"A"</f>
        <v>A</v>
      </c>
    </row>
    <row r="6879" spans="1:8" x14ac:dyDescent="0.2">
      <c r="A6879" t="str">
        <f t="shared" si="2519"/>
        <v>0614128430</v>
      </c>
      <c r="B6879" t="str">
        <f t="shared" si="2520"/>
        <v>LUCAS</v>
      </c>
      <c r="C6879" t="str">
        <f t="shared" si="2521"/>
        <v>HALE-FLOREZ</v>
      </c>
      <c r="D6879">
        <f>11</f>
        <v>11</v>
      </c>
      <c r="E6879" t="str">
        <f>"07 - S1 - B - 107 - Richard E Dunbar Iii"</f>
        <v>07 - S1 - B - 107 - Richard E Dunbar Iii</v>
      </c>
      <c r="F6879" t="str">
        <f>"WEIGHT TRAIN 1"</f>
        <v>WEIGHT TRAIN 1</v>
      </c>
      <c r="G6879" t="str">
        <f>"05-501"</f>
        <v>05-501</v>
      </c>
      <c r="H6879" t="str">
        <f>"B"</f>
        <v>B</v>
      </c>
    </row>
    <row r="6880" spans="1:8" x14ac:dyDescent="0.2">
      <c r="A6880" t="str">
        <f t="shared" si="2519"/>
        <v>0614128430</v>
      </c>
      <c r="B6880" t="str">
        <f t="shared" si="2520"/>
        <v>LUCAS</v>
      </c>
      <c r="C6880" t="str">
        <f t="shared" si="2521"/>
        <v>HALE-FLOREZ</v>
      </c>
      <c r="D6880">
        <f>11</f>
        <v>11</v>
      </c>
      <c r="E6880" t="str">
        <f>"05 - B - 103 - Chrystina M Marchionne"</f>
        <v>05 - B - 103 - Chrystina M Marchionne</v>
      </c>
      <c r="F6880" t="str">
        <f>"AICE MEDIA STUDIES A"</f>
        <v>AICE MEDIA STUDIES A</v>
      </c>
      <c r="G6880" t="str">
        <f>"05-520"</f>
        <v>05-520</v>
      </c>
      <c r="H6880" t="str">
        <f>"B"</f>
        <v>B</v>
      </c>
    </row>
    <row r="6881" spans="1:8" x14ac:dyDescent="0.2">
      <c r="A6881" t="str">
        <f t="shared" si="2519"/>
        <v>0614128430</v>
      </c>
      <c r="B6881" t="str">
        <f t="shared" si="2520"/>
        <v>LUCAS</v>
      </c>
      <c r="C6881" t="str">
        <f t="shared" si="2521"/>
        <v>HALE-FLOREZ</v>
      </c>
      <c r="D6881">
        <f>11</f>
        <v>11</v>
      </c>
      <c r="E6881" t="str">
        <f>"01 - A - 101 - Heidi M Knopp"</f>
        <v>01 - A - 101 - Heidi M Knopp</v>
      </c>
      <c r="F6881" t="str">
        <f>"ENG HON 3"</f>
        <v>ENG HON 3</v>
      </c>
      <c r="G6881" t="str">
        <f>"17-1752"</f>
        <v>17-1752</v>
      </c>
      <c r="H6881" t="str">
        <f>"A"</f>
        <v>A</v>
      </c>
    </row>
    <row r="6882" spans="1:8" x14ac:dyDescent="0.2">
      <c r="A6882" t="str">
        <f t="shared" si="2519"/>
        <v>0614128430</v>
      </c>
      <c r="B6882" t="str">
        <f t="shared" si="2520"/>
        <v>LUCAS</v>
      </c>
      <c r="C6882" t="str">
        <f t="shared" si="2521"/>
        <v>HALE-FLOREZ</v>
      </c>
      <c r="D6882">
        <f>11</f>
        <v>11</v>
      </c>
      <c r="E6882" t="str">
        <f>"08 - B - 202 - Krystal Marie  Beruty"</f>
        <v>08 - B - 202 - Krystal Marie  Beruty</v>
      </c>
      <c r="F6882" t="str">
        <f>"AICE PSYCH 1 AS"</f>
        <v>AICE PSYCH 1 AS</v>
      </c>
      <c r="G6882" t="str">
        <f>"17-1721"</f>
        <v>17-1721</v>
      </c>
      <c r="H6882" t="str">
        <f>"B"</f>
        <v>B</v>
      </c>
    </row>
    <row r="6883" spans="1:8" x14ac:dyDescent="0.2">
      <c r="A6883" t="str">
        <f t="shared" ref="A6883:A6890" si="2522">"0614028638"</f>
        <v>0614028638</v>
      </c>
      <c r="B6883" t="str">
        <f t="shared" ref="B6883:B6890" si="2523">"DONNELL"</f>
        <v>DONNELL</v>
      </c>
      <c r="C6883" t="str">
        <f t="shared" ref="C6883:C6930" si="2524">"HALL"</f>
        <v>HALL</v>
      </c>
      <c r="D6883">
        <f>11</f>
        <v>11</v>
      </c>
      <c r="E6883" t="str">
        <f>"04 - A - 102 - Jeffrey S Gallagher"</f>
        <v>04 - A - 102 - Jeffrey S Gallagher</v>
      </c>
      <c r="F6883" t="str">
        <f>"ENG HON 3"</f>
        <v>ENG HON 3</v>
      </c>
      <c r="G6883" t="str">
        <f>"17-1724"</f>
        <v>17-1724</v>
      </c>
      <c r="H6883" t="str">
        <f>"A"</f>
        <v>A</v>
      </c>
    </row>
    <row r="6884" spans="1:8" x14ac:dyDescent="0.2">
      <c r="A6884" t="str">
        <f t="shared" si="2522"/>
        <v>0614028638</v>
      </c>
      <c r="B6884" t="str">
        <f t="shared" si="2523"/>
        <v>DONNELL</v>
      </c>
      <c r="C6884" t="str">
        <f t="shared" si="2524"/>
        <v>HALL</v>
      </c>
      <c r="D6884">
        <f>11</f>
        <v>11</v>
      </c>
      <c r="E6884" t="str">
        <f>"06 - B - 102 - Angela S Adeshina-Morrison"</f>
        <v>06 - B - 102 - Angela S Adeshina-Morrison</v>
      </c>
      <c r="F6884" t="str">
        <f>"MARKETING ESSENTIALS"</f>
        <v>MARKETING ESSENTIALS</v>
      </c>
      <c r="G6884" t="str">
        <f>"05-518"</f>
        <v>05-518</v>
      </c>
      <c r="H6884" t="str">
        <f>"B"</f>
        <v>B</v>
      </c>
    </row>
    <row r="6885" spans="1:8" x14ac:dyDescent="0.2">
      <c r="A6885" t="str">
        <f t="shared" si="2522"/>
        <v>0614028638</v>
      </c>
      <c r="B6885" t="str">
        <f t="shared" si="2523"/>
        <v>DONNELL</v>
      </c>
      <c r="C6885" t="str">
        <f t="shared" si="2524"/>
        <v>HALL</v>
      </c>
      <c r="D6885">
        <f>11</f>
        <v>11</v>
      </c>
      <c r="E6885" t="str">
        <f>"03 - A - 102 - Nahum  Saint-Preux"</f>
        <v>03 - A - 102 - Nahum  Saint-Preux</v>
      </c>
      <c r="F6885" t="str">
        <f>"INTENS READ 3"</f>
        <v>INTENS READ 3</v>
      </c>
      <c r="G6885" t="str">
        <f>"17-1712"</f>
        <v>17-1712</v>
      </c>
      <c r="H6885" t="str">
        <f>"A"</f>
        <v>A</v>
      </c>
    </row>
    <row r="6886" spans="1:8" x14ac:dyDescent="0.2">
      <c r="A6886" t="str">
        <f t="shared" si="2522"/>
        <v>0614028638</v>
      </c>
      <c r="B6886" t="str">
        <f t="shared" si="2523"/>
        <v>DONNELL</v>
      </c>
      <c r="C6886" t="str">
        <f t="shared" si="2524"/>
        <v>HALL</v>
      </c>
      <c r="D6886">
        <f>11</f>
        <v>11</v>
      </c>
      <c r="E6886" t="str">
        <f>"02 - A - 104 - Dayna M Foster"</f>
        <v>02 - A - 104 - Dayna M Foster</v>
      </c>
      <c r="F6886" t="str">
        <f>"NC STUDY HALL 1"</f>
        <v>NC STUDY HALL 1</v>
      </c>
      <c r="G6886" t="str">
        <f>"21-2109"</f>
        <v>21-2109</v>
      </c>
      <c r="H6886" t="str">
        <f>"A"</f>
        <v>A</v>
      </c>
    </row>
    <row r="6887" spans="1:8" x14ac:dyDescent="0.2">
      <c r="A6887" t="str">
        <f t="shared" si="2522"/>
        <v>0614028638</v>
      </c>
      <c r="B6887" t="str">
        <f t="shared" si="2523"/>
        <v>DONNELL</v>
      </c>
      <c r="C6887" t="str">
        <f t="shared" si="2524"/>
        <v>HALL</v>
      </c>
      <c r="D6887">
        <f>11</f>
        <v>11</v>
      </c>
      <c r="E6887" t="str">
        <f>"07 - B - 104 - Marielle A Witting"</f>
        <v>07 - B - 104 - Marielle A Witting</v>
      </c>
      <c r="F6887" t="str">
        <f>"ANAT PHYSIO"</f>
        <v>ANAT PHYSIO</v>
      </c>
      <c r="G6887" t="str">
        <f>"08-805"</f>
        <v>08-805</v>
      </c>
      <c r="H6887" t="str">
        <f>"B"</f>
        <v>B</v>
      </c>
    </row>
    <row r="6888" spans="1:8" x14ac:dyDescent="0.2">
      <c r="A6888" t="str">
        <f t="shared" si="2522"/>
        <v>0614028638</v>
      </c>
      <c r="B6888" t="str">
        <f t="shared" si="2523"/>
        <v>DONNELL</v>
      </c>
      <c r="C6888" t="str">
        <f t="shared" si="2524"/>
        <v>HALL</v>
      </c>
      <c r="D6888">
        <f>11</f>
        <v>11</v>
      </c>
      <c r="E6888" t="str">
        <f>"05 - B - 104 - Daniel S Tyson"</f>
        <v>05 - B - 104 - Daniel S Tyson</v>
      </c>
      <c r="F6888" t="str">
        <f>"JROTC NAVAL SCI 3"</f>
        <v>JROTC NAVAL SCI 3</v>
      </c>
      <c r="G6888" t="str">
        <f>"05-510"</f>
        <v>05-510</v>
      </c>
      <c r="H6888" t="str">
        <f>"B"</f>
        <v>B</v>
      </c>
    </row>
    <row r="6889" spans="1:8" x14ac:dyDescent="0.2">
      <c r="A6889" t="str">
        <f t="shared" si="2522"/>
        <v>0614028638</v>
      </c>
      <c r="B6889" t="str">
        <f t="shared" si="2523"/>
        <v>DONNELL</v>
      </c>
      <c r="C6889" t="str">
        <f t="shared" si="2524"/>
        <v>HALL</v>
      </c>
      <c r="D6889">
        <f>11</f>
        <v>11</v>
      </c>
      <c r="E6889" t="str">
        <f>"01 - A - 103 - Semra  Bahadir"</f>
        <v>01 - A - 103 - Semra  Bahadir</v>
      </c>
      <c r="F6889" t="str">
        <f>"MATH COLL ALGEBRA"</f>
        <v>MATH COLL ALGEBRA</v>
      </c>
      <c r="G6889" t="str">
        <f>"21-2107"</f>
        <v>21-2107</v>
      </c>
      <c r="H6889" t="str">
        <f>"A"</f>
        <v>A</v>
      </c>
    </row>
    <row r="6890" spans="1:8" x14ac:dyDescent="0.2">
      <c r="A6890" t="str">
        <f t="shared" si="2522"/>
        <v>0614028638</v>
      </c>
      <c r="B6890" t="str">
        <f t="shared" si="2523"/>
        <v>DONNELL</v>
      </c>
      <c r="C6890" t="str">
        <f t="shared" si="2524"/>
        <v>HALL</v>
      </c>
      <c r="D6890">
        <f>11</f>
        <v>11</v>
      </c>
      <c r="E6890" t="str">
        <f>"08 - B - 109 - Lauren N Logan"</f>
        <v>08 - B - 109 - Lauren N Logan</v>
      </c>
      <c r="F6890" t="str">
        <f>"US HISTORY"</f>
        <v>US HISTORY</v>
      </c>
      <c r="G6890" t="str">
        <f>"17-1754"</f>
        <v>17-1754</v>
      </c>
      <c r="H6890" t="str">
        <f>"B"</f>
        <v>B</v>
      </c>
    </row>
    <row r="6891" spans="1:8" x14ac:dyDescent="0.2">
      <c r="A6891" t="str">
        <f t="shared" ref="A6891:A6898" si="2525">"0617041112"</f>
        <v>0617041112</v>
      </c>
      <c r="B6891" t="str">
        <f t="shared" ref="B6891:B6898" si="2526">"ELLANI"</f>
        <v>ELLANI</v>
      </c>
      <c r="C6891" t="str">
        <f t="shared" si="2524"/>
        <v>HALL</v>
      </c>
      <c r="D6891" t="str">
        <f t="shared" ref="D6891:D6898" si="2527">"09"</f>
        <v>09</v>
      </c>
      <c r="E6891" t="str">
        <f>"04 - A - 105 - Carol S Moore"</f>
        <v>04 - A - 105 - Carol S Moore</v>
      </c>
      <c r="F6891" t="str">
        <f>"PRE-AICE WRLD HST IG"</f>
        <v>PRE-AICE WRLD HST IG</v>
      </c>
      <c r="G6891" t="str">
        <f>"17-1733"</f>
        <v>17-1733</v>
      </c>
      <c r="H6891" t="str">
        <f>"A"</f>
        <v>A</v>
      </c>
    </row>
    <row r="6892" spans="1:8" x14ac:dyDescent="0.2">
      <c r="A6892" t="str">
        <f t="shared" si="2525"/>
        <v>0617041112</v>
      </c>
      <c r="B6892" t="str">
        <f t="shared" si="2526"/>
        <v>ELLANI</v>
      </c>
      <c r="C6892" t="str">
        <f t="shared" si="2524"/>
        <v>HALL</v>
      </c>
      <c r="D6892" t="str">
        <f t="shared" si="2527"/>
        <v>09</v>
      </c>
      <c r="E6892" t="str">
        <f>"06 - B - 105 - Dayna M Foster"</f>
        <v>06 - B - 105 - Dayna M Foster</v>
      </c>
      <c r="F6892" t="str">
        <f>"ALGEBRA 1"</f>
        <v>ALGEBRA 1</v>
      </c>
      <c r="G6892" t="str">
        <f>"21-2109"</f>
        <v>21-2109</v>
      </c>
      <c r="H6892" t="str">
        <f>"B"</f>
        <v>B</v>
      </c>
    </row>
    <row r="6893" spans="1:8" x14ac:dyDescent="0.2">
      <c r="A6893" t="str">
        <f t="shared" si="2525"/>
        <v>0617041112</v>
      </c>
      <c r="B6893" t="str">
        <f t="shared" si="2526"/>
        <v>ELLANI</v>
      </c>
      <c r="C6893" t="str">
        <f t="shared" si="2524"/>
        <v>HALL</v>
      </c>
      <c r="D6893" t="str">
        <f t="shared" si="2527"/>
        <v>09</v>
      </c>
      <c r="E6893" t="str">
        <f>"03 - A - 101 - Dayna M Foster"</f>
        <v>03 - A - 101 - Dayna M Foster</v>
      </c>
      <c r="F6893" t="str">
        <f>"FDN SKLS MATH 9-12"</f>
        <v>FDN SKLS MATH 9-12</v>
      </c>
      <c r="G6893" t="str">
        <f>"21-2109"</f>
        <v>21-2109</v>
      </c>
      <c r="H6893" t="str">
        <f>"A"</f>
        <v>A</v>
      </c>
    </row>
    <row r="6894" spans="1:8" x14ac:dyDescent="0.2">
      <c r="A6894" t="str">
        <f t="shared" si="2525"/>
        <v>0617041112</v>
      </c>
      <c r="B6894" t="str">
        <f t="shared" si="2526"/>
        <v>ELLANI</v>
      </c>
      <c r="C6894" t="str">
        <f t="shared" si="2524"/>
        <v>HALL</v>
      </c>
      <c r="D6894" t="str">
        <f t="shared" si="2527"/>
        <v>09</v>
      </c>
      <c r="E6894" t="str">
        <f>"02 - A - 101 - Milca  Exantus"</f>
        <v>02 - A - 101 - Milca  Exantus</v>
      </c>
      <c r="F6894" t="str">
        <f>"NC STUDY HALL 1"</f>
        <v>NC STUDY HALL 1</v>
      </c>
      <c r="G6894" t="str">
        <f>"21-2145"</f>
        <v>21-2145</v>
      </c>
      <c r="H6894" t="str">
        <f>"A"</f>
        <v>A</v>
      </c>
    </row>
    <row r="6895" spans="1:8" x14ac:dyDescent="0.2">
      <c r="A6895" t="str">
        <f t="shared" si="2525"/>
        <v>0617041112</v>
      </c>
      <c r="B6895" t="str">
        <f t="shared" si="2526"/>
        <v>ELLANI</v>
      </c>
      <c r="C6895" t="str">
        <f t="shared" si="2524"/>
        <v>HALL</v>
      </c>
      <c r="D6895" t="str">
        <f t="shared" si="2527"/>
        <v>09</v>
      </c>
      <c r="E6895" t="str">
        <f>"07 - B - 101 - Samantha L Martinez"</f>
        <v>07 - B - 101 - Samantha L Martinez</v>
      </c>
      <c r="F6895" t="str">
        <f>"KEYBD 1"</f>
        <v>KEYBD 1</v>
      </c>
      <c r="G6895" t="str">
        <f>"05-505"</f>
        <v>05-505</v>
      </c>
      <c r="H6895" t="str">
        <f>"B"</f>
        <v>B</v>
      </c>
    </row>
    <row r="6896" spans="1:8" x14ac:dyDescent="0.2">
      <c r="A6896" t="str">
        <f t="shared" si="2525"/>
        <v>0617041112</v>
      </c>
      <c r="B6896" t="str">
        <f t="shared" si="2526"/>
        <v>ELLANI</v>
      </c>
      <c r="C6896" t="str">
        <f t="shared" si="2524"/>
        <v>HALL</v>
      </c>
      <c r="D6896" t="str">
        <f t="shared" si="2527"/>
        <v>09</v>
      </c>
      <c r="E6896" t="str">
        <f>"05 - B - 103 - Josiah I Lacy"</f>
        <v>05 - B - 103 - Josiah I Lacy</v>
      </c>
      <c r="F6896" t="str">
        <f>"PRE-AICE BIO IG"</f>
        <v>PRE-AICE BIO IG</v>
      </c>
      <c r="G6896" t="str">
        <f>"08-801"</f>
        <v>08-801</v>
      </c>
      <c r="H6896" t="str">
        <f>"B"</f>
        <v>B</v>
      </c>
    </row>
    <row r="6897" spans="1:8" x14ac:dyDescent="0.2">
      <c r="A6897" t="str">
        <f t="shared" si="2525"/>
        <v>0617041112</v>
      </c>
      <c r="B6897" t="str">
        <f t="shared" si="2526"/>
        <v>ELLANI</v>
      </c>
      <c r="C6897" t="str">
        <f t="shared" si="2524"/>
        <v>HALL</v>
      </c>
      <c r="D6897" t="str">
        <f t="shared" si="2527"/>
        <v>09</v>
      </c>
      <c r="E6897" t="str">
        <f>"01 - A - 101 - Cheryl Anne  Berman-Schechter"</f>
        <v>01 - A - 101 - Cheryl Anne  Berman-Schechter</v>
      </c>
      <c r="F6897" t="str">
        <f>"PRE-AICE ENG LANG IG"</f>
        <v>PRE-AICE ENG LANG IG</v>
      </c>
      <c r="G6897" t="str">
        <f>"17-1722"</f>
        <v>17-1722</v>
      </c>
      <c r="H6897" t="str">
        <f>"A"</f>
        <v>A</v>
      </c>
    </row>
    <row r="6898" spans="1:8" x14ac:dyDescent="0.2">
      <c r="A6898" t="str">
        <f t="shared" si="2525"/>
        <v>0617041112</v>
      </c>
      <c r="B6898" t="str">
        <f t="shared" si="2526"/>
        <v>ELLANI</v>
      </c>
      <c r="C6898" t="str">
        <f t="shared" si="2524"/>
        <v>HALL</v>
      </c>
      <c r="D6898" t="str">
        <f t="shared" si="2527"/>
        <v>09</v>
      </c>
      <c r="E6898" t="str">
        <f>"08 - B - 001 - Brian M Fitzgerald"</f>
        <v>08 - B - 001 - Brian M Fitzgerald</v>
      </c>
      <c r="F6898" t="str">
        <f>"CERAM/POT 1"</f>
        <v>CERAM/POT 1</v>
      </c>
      <c r="G6898" t="str">
        <f>"09-908"</f>
        <v>09-908</v>
      </c>
      <c r="H6898" t="str">
        <f>"B"</f>
        <v>B</v>
      </c>
    </row>
    <row r="6899" spans="1:8" x14ac:dyDescent="0.2">
      <c r="A6899" t="str">
        <f t="shared" ref="A6899:A6906" si="2528">"0614048100"</f>
        <v>0614048100</v>
      </c>
      <c r="B6899" t="str">
        <f t="shared" ref="B6899:B6906" si="2529">"JUEL"</f>
        <v>JUEL</v>
      </c>
      <c r="C6899" t="str">
        <f t="shared" si="2524"/>
        <v>HALL</v>
      </c>
      <c r="D6899">
        <f>12</f>
        <v>12</v>
      </c>
      <c r="E6899" t="str">
        <f>"04 - A - 101 - Christa T Parisi"</f>
        <v>04 - A - 101 - Christa T Parisi</v>
      </c>
      <c r="F6899" t="str">
        <f>"DANCE TECHNQS 2"</f>
        <v>DANCE TECHNQS 2</v>
      </c>
      <c r="G6899" t="str">
        <f>"05-503"</f>
        <v>05-503</v>
      </c>
      <c r="H6899" t="str">
        <f>"A"</f>
        <v>A</v>
      </c>
    </row>
    <row r="6900" spans="1:8" x14ac:dyDescent="0.2">
      <c r="A6900" t="str">
        <f t="shared" si="2528"/>
        <v>0614048100</v>
      </c>
      <c r="B6900" t="str">
        <f t="shared" si="2529"/>
        <v>JUEL</v>
      </c>
      <c r="C6900" t="str">
        <f t="shared" si="2524"/>
        <v>HALL</v>
      </c>
      <c r="D6900">
        <f>12</f>
        <v>12</v>
      </c>
      <c r="E6900" t="str">
        <f>"06 - B - 113 - Marielle A Witting"</f>
        <v>06 - B - 113 - Marielle A Witting</v>
      </c>
      <c r="F6900" t="str">
        <f>"NC STUDY HALL 1"</f>
        <v>NC STUDY HALL 1</v>
      </c>
      <c r="G6900" t="str">
        <f>"08-805"</f>
        <v>08-805</v>
      </c>
      <c r="H6900" t="str">
        <f>"B"</f>
        <v>B</v>
      </c>
    </row>
    <row r="6901" spans="1:8" x14ac:dyDescent="0.2">
      <c r="A6901" t="str">
        <f t="shared" si="2528"/>
        <v>0614048100</v>
      </c>
      <c r="B6901" t="str">
        <f t="shared" si="2529"/>
        <v>JUEL</v>
      </c>
      <c r="C6901" t="str">
        <f t="shared" si="2524"/>
        <v>HALL</v>
      </c>
      <c r="D6901">
        <f>12</f>
        <v>12</v>
      </c>
      <c r="E6901" t="str">
        <f>"03 - S1 - A - 002 - Barbara L Segal"</f>
        <v>03 - S1 - A - 002 - Barbara L Segal</v>
      </c>
      <c r="F6901" t="str">
        <f>"US GOVT"</f>
        <v>US GOVT</v>
      </c>
      <c r="G6901" t="str">
        <f>"17-1742"</f>
        <v>17-1742</v>
      </c>
      <c r="H6901" t="str">
        <f>"A"</f>
        <v>A</v>
      </c>
    </row>
    <row r="6902" spans="1:8" x14ac:dyDescent="0.2">
      <c r="A6902" t="str">
        <f t="shared" si="2528"/>
        <v>0614048100</v>
      </c>
      <c r="B6902" t="str">
        <f t="shared" si="2529"/>
        <v>JUEL</v>
      </c>
      <c r="C6902" t="str">
        <f t="shared" si="2524"/>
        <v>HALL</v>
      </c>
      <c r="D6902">
        <f>12</f>
        <v>12</v>
      </c>
      <c r="E6902" t="str">
        <f>"02 - A - 102 - Jeffrey S Gallagher"</f>
        <v>02 - A - 102 - Jeffrey S Gallagher</v>
      </c>
      <c r="F6902" t="str">
        <f>"ENG HON 4"</f>
        <v>ENG HON 4</v>
      </c>
      <c r="G6902" t="str">
        <f>"17-1724"</f>
        <v>17-1724</v>
      </c>
      <c r="H6902" t="str">
        <f>"A"</f>
        <v>A</v>
      </c>
    </row>
    <row r="6903" spans="1:8" x14ac:dyDescent="0.2">
      <c r="A6903" t="str">
        <f t="shared" si="2528"/>
        <v>0614048100</v>
      </c>
      <c r="B6903" t="str">
        <f t="shared" si="2529"/>
        <v>JUEL</v>
      </c>
      <c r="C6903" t="str">
        <f t="shared" si="2524"/>
        <v>HALL</v>
      </c>
      <c r="D6903">
        <f>12</f>
        <v>12</v>
      </c>
      <c r="E6903" t="str">
        <f>"07 - B - 106 - Norayda D Suarez"</f>
        <v>07 - B - 106 - Norayda D Suarez</v>
      </c>
      <c r="F6903" t="str">
        <f>"RESEARCH 1 LH"</f>
        <v>RESEARCH 1 LH</v>
      </c>
      <c r="G6903">
        <f>2041</f>
        <v>2041</v>
      </c>
      <c r="H6903" t="str">
        <f>"B"</f>
        <v>B</v>
      </c>
    </row>
    <row r="6904" spans="1:8" x14ac:dyDescent="0.2">
      <c r="A6904" t="str">
        <f t="shared" si="2528"/>
        <v>0614048100</v>
      </c>
      <c r="B6904" t="str">
        <f t="shared" si="2529"/>
        <v>JUEL</v>
      </c>
      <c r="C6904" t="str">
        <f t="shared" si="2524"/>
        <v>HALL</v>
      </c>
      <c r="D6904">
        <f>12</f>
        <v>12</v>
      </c>
      <c r="E6904" t="str">
        <f>"05 - B - 201 - Jazmin S Fletcher"</f>
        <v>05 - B - 201 - Jazmin S Fletcher</v>
      </c>
      <c r="F6904" t="str">
        <f>"THEATRE 1"</f>
        <v>THEATRE 1</v>
      </c>
      <c r="G6904" t="str">
        <f>"09-909"</f>
        <v>09-909</v>
      </c>
      <c r="H6904" t="str">
        <f>"B"</f>
        <v>B</v>
      </c>
    </row>
    <row r="6905" spans="1:8" x14ac:dyDescent="0.2">
      <c r="A6905" t="str">
        <f t="shared" si="2528"/>
        <v>0614048100</v>
      </c>
      <c r="B6905" t="str">
        <f t="shared" si="2529"/>
        <v>JUEL</v>
      </c>
      <c r="C6905" t="str">
        <f t="shared" si="2524"/>
        <v>HALL</v>
      </c>
      <c r="D6905">
        <f>12</f>
        <v>12</v>
      </c>
      <c r="E6905" t="str">
        <f>"01 - A - 102 - Robert H Rindner"</f>
        <v>01 - A - 102 - Robert H Rindner</v>
      </c>
      <c r="F6905" t="str">
        <f>"MATH DATA&amp;FIN LIT H"</f>
        <v>MATH DATA&amp;FIN LIT H</v>
      </c>
      <c r="G6905" t="str">
        <f>"21-2160"</f>
        <v>21-2160</v>
      </c>
      <c r="H6905" t="str">
        <f>"A"</f>
        <v>A</v>
      </c>
    </row>
    <row r="6906" spans="1:8" x14ac:dyDescent="0.2">
      <c r="A6906" t="str">
        <f t="shared" si="2528"/>
        <v>0614048100</v>
      </c>
      <c r="B6906" t="str">
        <f t="shared" si="2529"/>
        <v>JUEL</v>
      </c>
      <c r="C6906" t="str">
        <f t="shared" si="2524"/>
        <v>HALL</v>
      </c>
      <c r="D6906">
        <f>12</f>
        <v>12</v>
      </c>
      <c r="E6906" t="str">
        <f>"08 - S1 - B - 102 - Nahum  Saint-Preux"</f>
        <v>08 - S1 - B - 102 - Nahum  Saint-Preux</v>
      </c>
      <c r="F6906" t="str">
        <f>"CRIT THINK ST SKLS"</f>
        <v>CRIT THINK ST SKLS</v>
      </c>
      <c r="G6906" t="str">
        <f>"17-1712"</f>
        <v>17-1712</v>
      </c>
      <c r="H6906" t="str">
        <f>"B"</f>
        <v>B</v>
      </c>
    </row>
    <row r="6907" spans="1:8" x14ac:dyDescent="0.2">
      <c r="A6907" t="str">
        <f t="shared" ref="A6907:A6914" si="2530">"0609059023"</f>
        <v>0609059023</v>
      </c>
      <c r="B6907" t="str">
        <f t="shared" ref="B6907:B6914" si="2531">"SHAWN"</f>
        <v>SHAWN</v>
      </c>
      <c r="C6907" t="str">
        <f t="shared" si="2524"/>
        <v>HALL</v>
      </c>
      <c r="D6907">
        <f>10</f>
        <v>10</v>
      </c>
      <c r="E6907" t="str">
        <f>"04 - S1 - A - 101 - Kyle  Robbins"</f>
        <v>04 - S1 - A - 101 - Kyle  Robbins</v>
      </c>
      <c r="F6907" t="str">
        <f>"PERS FIN &amp; MON MGT H"</f>
        <v>PERS FIN &amp; MON MGT H</v>
      </c>
      <c r="G6907" t="str">
        <f>"17-1745"</f>
        <v>17-1745</v>
      </c>
      <c r="H6907" t="str">
        <f>"A"</f>
        <v>A</v>
      </c>
    </row>
    <row r="6908" spans="1:8" x14ac:dyDescent="0.2">
      <c r="A6908" t="str">
        <f t="shared" si="2530"/>
        <v>0609059023</v>
      </c>
      <c r="B6908" t="str">
        <f t="shared" si="2531"/>
        <v>SHAWN</v>
      </c>
      <c r="C6908" t="str">
        <f t="shared" si="2524"/>
        <v>HALL</v>
      </c>
      <c r="D6908">
        <f>10</f>
        <v>10</v>
      </c>
      <c r="E6908" t="str">
        <f>"06 - B - 004 - Robert O Burger"</f>
        <v>06 - B - 004 - Robert O Burger</v>
      </c>
      <c r="F6908" t="str">
        <f>"NC STUDY HALL 1"</f>
        <v>NC STUDY HALL 1</v>
      </c>
      <c r="G6908" t="str">
        <f>"17-1755"</f>
        <v>17-1755</v>
      </c>
      <c r="H6908" t="str">
        <f>"B"</f>
        <v>B</v>
      </c>
    </row>
    <row r="6909" spans="1:8" x14ac:dyDescent="0.2">
      <c r="A6909" t="str">
        <f t="shared" si="2530"/>
        <v>0609059023</v>
      </c>
      <c r="B6909" t="str">
        <f t="shared" si="2531"/>
        <v>SHAWN</v>
      </c>
      <c r="C6909" t="str">
        <f t="shared" si="2524"/>
        <v>HALL</v>
      </c>
      <c r="D6909">
        <f>10</f>
        <v>10</v>
      </c>
      <c r="E6909" t="str">
        <f>"03 - A - 206 - Josiah I Lacy"</f>
        <v>03 - A - 206 - Josiah I Lacy</v>
      </c>
      <c r="F6909" t="str">
        <f>"BIOLOGY 1"</f>
        <v>BIOLOGY 1</v>
      </c>
      <c r="G6909" t="str">
        <f>"08-801"</f>
        <v>08-801</v>
      </c>
      <c r="H6909" t="str">
        <f>"A"</f>
        <v>A</v>
      </c>
    </row>
    <row r="6910" spans="1:8" x14ac:dyDescent="0.2">
      <c r="A6910" t="str">
        <f t="shared" si="2530"/>
        <v>0609059023</v>
      </c>
      <c r="B6910" t="str">
        <f t="shared" si="2531"/>
        <v>SHAWN</v>
      </c>
      <c r="C6910" t="str">
        <f t="shared" si="2524"/>
        <v>HALL</v>
      </c>
      <c r="D6910">
        <f>10</f>
        <v>10</v>
      </c>
      <c r="E6910" t="str">
        <f>"02 - A - 102 - Daniel S Tyson"</f>
        <v>02 - A - 102 - Daniel S Tyson</v>
      </c>
      <c r="F6910" t="str">
        <f>"JROTC NAVAL SCI 1"</f>
        <v>JROTC NAVAL SCI 1</v>
      </c>
      <c r="G6910" t="str">
        <f>"05-510"</f>
        <v>05-510</v>
      </c>
      <c r="H6910" t="str">
        <f>"A"</f>
        <v>A</v>
      </c>
    </row>
    <row r="6911" spans="1:8" x14ac:dyDescent="0.2">
      <c r="A6911" t="str">
        <f t="shared" si="2530"/>
        <v>0609059023</v>
      </c>
      <c r="B6911" t="str">
        <f t="shared" si="2531"/>
        <v>SHAWN</v>
      </c>
      <c r="C6911" t="str">
        <f t="shared" si="2524"/>
        <v>HALL</v>
      </c>
      <c r="D6911">
        <f>10</f>
        <v>10</v>
      </c>
      <c r="E6911" t="str">
        <f>"07 - B - 106 - Taraneh C Abreu"</f>
        <v>07 - B - 106 - Taraneh C Abreu</v>
      </c>
      <c r="F6911" t="str">
        <f>"INTENS READ 2"</f>
        <v>INTENS READ 2</v>
      </c>
      <c r="G6911" t="str">
        <f>"17-1713"</f>
        <v>17-1713</v>
      </c>
      <c r="H6911" t="str">
        <f>"B"</f>
        <v>B</v>
      </c>
    </row>
    <row r="6912" spans="1:8" x14ac:dyDescent="0.2">
      <c r="A6912" t="str">
        <f t="shared" si="2530"/>
        <v>0609059023</v>
      </c>
      <c r="B6912" t="str">
        <f t="shared" si="2531"/>
        <v>SHAWN</v>
      </c>
      <c r="C6912" t="str">
        <f t="shared" si="2524"/>
        <v>HALL</v>
      </c>
      <c r="D6912">
        <f>10</f>
        <v>10</v>
      </c>
      <c r="E6912" t="str">
        <f>"05 - B - 106 - Jacquelyn M Neeson"</f>
        <v>05 - B - 106 - Jacquelyn M Neeson</v>
      </c>
      <c r="F6912" t="str">
        <f>"ENG 2"</f>
        <v>ENG 2</v>
      </c>
      <c r="G6912" t="str">
        <f>"17-1715"</f>
        <v>17-1715</v>
      </c>
      <c r="H6912" t="str">
        <f>"B"</f>
        <v>B</v>
      </c>
    </row>
    <row r="6913" spans="1:8" x14ac:dyDescent="0.2">
      <c r="A6913" t="str">
        <f t="shared" si="2530"/>
        <v>0609059023</v>
      </c>
      <c r="B6913" t="str">
        <f t="shared" si="2531"/>
        <v>SHAWN</v>
      </c>
      <c r="C6913" t="str">
        <f t="shared" si="2524"/>
        <v>HALL</v>
      </c>
      <c r="D6913">
        <f>10</f>
        <v>10</v>
      </c>
      <c r="E6913" t="str">
        <f>"01 - A - 101 - Ferrie J Arostique"</f>
        <v>01 - A - 101 - Ferrie J Arostique</v>
      </c>
      <c r="F6913" t="str">
        <f>"GEOMETRY"</f>
        <v>GEOMETRY</v>
      </c>
      <c r="G6913" t="str">
        <f>"21-2139"</f>
        <v>21-2139</v>
      </c>
      <c r="H6913" t="str">
        <f>"A"</f>
        <v>A</v>
      </c>
    </row>
    <row r="6914" spans="1:8" x14ac:dyDescent="0.2">
      <c r="A6914" t="str">
        <f t="shared" si="2530"/>
        <v>0609059023</v>
      </c>
      <c r="B6914" t="str">
        <f t="shared" si="2531"/>
        <v>SHAWN</v>
      </c>
      <c r="C6914" t="str">
        <f t="shared" si="2524"/>
        <v>HALL</v>
      </c>
      <c r="D6914">
        <f>10</f>
        <v>10</v>
      </c>
      <c r="E6914" t="str">
        <f>"08 - B - 108 - Adam Marcus  Drucker"</f>
        <v>08 - B - 108 - Adam Marcus  Drucker</v>
      </c>
      <c r="F6914" t="str">
        <f>"HOPE-PE V"</f>
        <v>HOPE-PE V</v>
      </c>
      <c r="G6914" t="str">
        <f>"04-254"</f>
        <v>04-254</v>
      </c>
      <c r="H6914" t="str">
        <f>"B"</f>
        <v>B</v>
      </c>
    </row>
    <row r="6915" spans="1:8" x14ac:dyDescent="0.2">
      <c r="A6915" t="str">
        <f t="shared" ref="A6915:A6922" si="2532">"0623051082"</f>
        <v>0623051082</v>
      </c>
      <c r="B6915" t="str">
        <f t="shared" ref="B6915:B6922" si="2533">"TA'NIYAH"</f>
        <v>TA'NIYAH</v>
      </c>
      <c r="C6915" t="str">
        <f t="shared" si="2524"/>
        <v>HALL</v>
      </c>
      <c r="D6915">
        <f>11</f>
        <v>11</v>
      </c>
      <c r="E6915" t="str">
        <f>"04 - A - 102 - Jordana K Hass"</f>
        <v>04 - A - 102 - Jordana K Hass</v>
      </c>
      <c r="F6915" t="str">
        <f>"CHEMISTRY 1"</f>
        <v>CHEMISTRY 1</v>
      </c>
      <c r="G6915" t="str">
        <f>"08-807"</f>
        <v>08-807</v>
      </c>
      <c r="H6915" t="str">
        <f>"A"</f>
        <v>A</v>
      </c>
    </row>
    <row r="6916" spans="1:8" x14ac:dyDescent="0.2">
      <c r="A6916" t="str">
        <f t="shared" si="2532"/>
        <v>0623051082</v>
      </c>
      <c r="B6916" t="str">
        <f t="shared" si="2533"/>
        <v>TA'NIYAH</v>
      </c>
      <c r="C6916" t="str">
        <f t="shared" si="2524"/>
        <v>HALL</v>
      </c>
      <c r="D6916">
        <f>11</f>
        <v>11</v>
      </c>
      <c r="E6916" t="str">
        <f>"06 - B - 104 - Nahum  Saint-Preux"</f>
        <v>06 - B - 104 - Nahum  Saint-Preux</v>
      </c>
      <c r="F6916" t="str">
        <f>"INTENS READ 3"</f>
        <v>INTENS READ 3</v>
      </c>
      <c r="G6916" t="str">
        <f>"17-1712"</f>
        <v>17-1712</v>
      </c>
      <c r="H6916" t="str">
        <f>"B"</f>
        <v>B</v>
      </c>
    </row>
    <row r="6917" spans="1:8" x14ac:dyDescent="0.2">
      <c r="A6917" t="str">
        <f t="shared" si="2532"/>
        <v>0623051082</v>
      </c>
      <c r="B6917" t="str">
        <f t="shared" si="2533"/>
        <v>TA'NIYAH</v>
      </c>
      <c r="C6917" t="str">
        <f t="shared" si="2524"/>
        <v>HALL</v>
      </c>
      <c r="D6917">
        <f>11</f>
        <v>11</v>
      </c>
      <c r="E6917" t="str">
        <f>"03 - A - 101 - Carleigh R Carmichael"</f>
        <v>03 - A - 101 - Carleigh R Carmichael</v>
      </c>
      <c r="F6917" t="str">
        <f>"LEAD TECHQS HONORS"</f>
        <v>LEAD TECHQS HONORS</v>
      </c>
      <c r="G6917" t="str">
        <f>"20-2072"</f>
        <v>20-2072</v>
      </c>
      <c r="H6917" t="str">
        <f>"A"</f>
        <v>A</v>
      </c>
    </row>
    <row r="6918" spans="1:8" x14ac:dyDescent="0.2">
      <c r="A6918" t="str">
        <f t="shared" si="2532"/>
        <v>0623051082</v>
      </c>
      <c r="B6918" t="str">
        <f t="shared" si="2533"/>
        <v>TA'NIYAH</v>
      </c>
      <c r="C6918" t="str">
        <f t="shared" si="2524"/>
        <v>HALL</v>
      </c>
      <c r="D6918">
        <f>11</f>
        <v>11</v>
      </c>
      <c r="E6918" t="str">
        <f>"02 - A - 001 - Courtney E Hambright"</f>
        <v>02 - A - 001 - Courtney E Hambright</v>
      </c>
      <c r="F6918" t="str">
        <f>"NC STUDY HALL 1"</f>
        <v>NC STUDY HALL 1</v>
      </c>
      <c r="G6918" t="str">
        <f>"17-1711"</f>
        <v>17-1711</v>
      </c>
      <c r="H6918" t="str">
        <f>"A"</f>
        <v>A</v>
      </c>
    </row>
    <row r="6919" spans="1:8" x14ac:dyDescent="0.2">
      <c r="A6919" t="str">
        <f t="shared" si="2532"/>
        <v>0623051082</v>
      </c>
      <c r="B6919" t="str">
        <f t="shared" si="2533"/>
        <v>TA'NIYAH</v>
      </c>
      <c r="C6919" t="str">
        <f t="shared" si="2524"/>
        <v>HALL</v>
      </c>
      <c r="D6919">
        <f>11</f>
        <v>11</v>
      </c>
      <c r="E6919" t="str">
        <f>"07 - B - 201 - Angela S Adeshina-Morrison"</f>
        <v>07 - B - 201 - Angela S Adeshina-Morrison</v>
      </c>
      <c r="F6919" t="str">
        <f>"BUSINESS OWNER HON"</f>
        <v>BUSINESS OWNER HON</v>
      </c>
      <c r="G6919" t="str">
        <f>"05-518"</f>
        <v>05-518</v>
      </c>
      <c r="H6919" t="str">
        <f>"B"</f>
        <v>B</v>
      </c>
    </row>
    <row r="6920" spans="1:8" x14ac:dyDescent="0.2">
      <c r="A6920" t="str">
        <f t="shared" si="2532"/>
        <v>0623051082</v>
      </c>
      <c r="B6920" t="str">
        <f t="shared" si="2533"/>
        <v>TA'NIYAH</v>
      </c>
      <c r="C6920" t="str">
        <f t="shared" si="2524"/>
        <v>HALL</v>
      </c>
      <c r="D6920">
        <f>11</f>
        <v>11</v>
      </c>
      <c r="E6920" t="str">
        <f>"05 - B - 109 - Ferrie J Arostique"</f>
        <v>05 - B - 109 - Ferrie J Arostique</v>
      </c>
      <c r="F6920" t="str">
        <f>"GEOMETRY"</f>
        <v>GEOMETRY</v>
      </c>
      <c r="G6920" t="str">
        <f>"21-2139"</f>
        <v>21-2139</v>
      </c>
      <c r="H6920" t="str">
        <f>"B"</f>
        <v>B</v>
      </c>
    </row>
    <row r="6921" spans="1:8" x14ac:dyDescent="0.2">
      <c r="A6921" t="str">
        <f t="shared" si="2532"/>
        <v>0623051082</v>
      </c>
      <c r="B6921" t="str">
        <f t="shared" si="2533"/>
        <v>TA'NIYAH</v>
      </c>
      <c r="C6921" t="str">
        <f t="shared" si="2524"/>
        <v>HALL</v>
      </c>
      <c r="D6921">
        <f>11</f>
        <v>11</v>
      </c>
      <c r="E6921" t="str">
        <f>"01 - A - 101 - Heidi M Knopp"</f>
        <v>01 - A - 101 - Heidi M Knopp</v>
      </c>
      <c r="F6921" t="str">
        <f>"ENG HON 3"</f>
        <v>ENG HON 3</v>
      </c>
      <c r="G6921" t="str">
        <f>"17-1752"</f>
        <v>17-1752</v>
      </c>
      <c r="H6921" t="str">
        <f>"A"</f>
        <v>A</v>
      </c>
    </row>
    <row r="6922" spans="1:8" x14ac:dyDescent="0.2">
      <c r="A6922" t="str">
        <f t="shared" si="2532"/>
        <v>0623051082</v>
      </c>
      <c r="B6922" t="str">
        <f t="shared" si="2533"/>
        <v>TA'NIYAH</v>
      </c>
      <c r="C6922" t="str">
        <f t="shared" si="2524"/>
        <v>HALL</v>
      </c>
      <c r="D6922">
        <f>11</f>
        <v>11</v>
      </c>
      <c r="E6922" t="str">
        <f>"08 - B - 109 - Lauren N Logan"</f>
        <v>08 - B - 109 - Lauren N Logan</v>
      </c>
      <c r="F6922" t="str">
        <f>"US HISTORY"</f>
        <v>US HISTORY</v>
      </c>
      <c r="G6922" t="str">
        <f>"17-1754"</f>
        <v>17-1754</v>
      </c>
      <c r="H6922" t="str">
        <f>"B"</f>
        <v>B</v>
      </c>
    </row>
    <row r="6923" spans="1:8" x14ac:dyDescent="0.2">
      <c r="A6923" t="str">
        <f t="shared" ref="A6923:A6930" si="2534">"0619072955"</f>
        <v>0619072955</v>
      </c>
      <c r="B6923" t="str">
        <f t="shared" ref="B6923:B6930" si="2535">"ZAIREA"</f>
        <v>ZAIREA</v>
      </c>
      <c r="C6923" t="str">
        <f t="shared" si="2524"/>
        <v>HALL</v>
      </c>
      <c r="D6923" t="str">
        <f t="shared" ref="D6923:D6930" si="2536">"09"</f>
        <v>09</v>
      </c>
      <c r="E6923" t="str">
        <f>"04 - A - 102 - Eva T Rimmer"</f>
        <v>04 - A - 102 - Eva T Rimmer</v>
      </c>
      <c r="F6923" t="str">
        <f>"CRIMINAL JUST OPS 1"</f>
        <v>CRIMINAL JUST OPS 1</v>
      </c>
      <c r="G6923" t="str">
        <f>"05-523"</f>
        <v>05-523</v>
      </c>
      <c r="H6923" t="str">
        <f>"A"</f>
        <v>A</v>
      </c>
    </row>
    <row r="6924" spans="1:8" x14ac:dyDescent="0.2">
      <c r="A6924" t="str">
        <f t="shared" si="2534"/>
        <v>0619072955</v>
      </c>
      <c r="B6924" t="str">
        <f t="shared" si="2535"/>
        <v>ZAIREA</v>
      </c>
      <c r="C6924" t="str">
        <f t="shared" si="2524"/>
        <v>HALL</v>
      </c>
      <c r="D6924" t="str">
        <f t="shared" si="2536"/>
        <v>09</v>
      </c>
      <c r="E6924" t="str">
        <f>"06 - S1 - B - 102 - Daniel S Katz"</f>
        <v>06 - S1 - B - 102 - Daniel S Katz</v>
      </c>
      <c r="F6924" t="str">
        <f>"COURT PROCED"</f>
        <v>COURT PROCED</v>
      </c>
      <c r="G6924" t="str">
        <f>"21-2156"</f>
        <v>21-2156</v>
      </c>
      <c r="H6924" t="str">
        <f>"B"</f>
        <v>B</v>
      </c>
    </row>
    <row r="6925" spans="1:8" x14ac:dyDescent="0.2">
      <c r="A6925" t="str">
        <f t="shared" si="2534"/>
        <v>0619072955</v>
      </c>
      <c r="B6925" t="str">
        <f t="shared" si="2535"/>
        <v>ZAIREA</v>
      </c>
      <c r="C6925" t="str">
        <f t="shared" si="2524"/>
        <v>HALL</v>
      </c>
      <c r="D6925" t="str">
        <f t="shared" si="2536"/>
        <v>09</v>
      </c>
      <c r="E6925" t="str">
        <f>"03 - A - 102 - Semra  Bahadir"</f>
        <v>03 - A - 102 - Semra  Bahadir</v>
      </c>
      <c r="F6925" t="str">
        <f>"ALGEBRA 2"</f>
        <v>ALGEBRA 2</v>
      </c>
      <c r="G6925" t="str">
        <f>"21-2107"</f>
        <v>21-2107</v>
      </c>
      <c r="H6925" t="str">
        <f>"A"</f>
        <v>A</v>
      </c>
    </row>
    <row r="6926" spans="1:8" x14ac:dyDescent="0.2">
      <c r="A6926" t="str">
        <f t="shared" si="2534"/>
        <v>0619072955</v>
      </c>
      <c r="B6926" t="str">
        <f t="shared" si="2535"/>
        <v>ZAIREA</v>
      </c>
      <c r="C6926" t="str">
        <f t="shared" si="2524"/>
        <v>HALL</v>
      </c>
      <c r="D6926" t="str">
        <f t="shared" si="2536"/>
        <v>09</v>
      </c>
      <c r="E6926" t="str">
        <f>"02 - A - 116 - Tina L Lovett"</f>
        <v>02 - A - 116 - Tina L Lovett</v>
      </c>
      <c r="F6926" t="str">
        <f>"NC STUDY HALL 1"</f>
        <v>NC STUDY HALL 1</v>
      </c>
      <c r="G6926" t="str">
        <f>"21-2153"</f>
        <v>21-2153</v>
      </c>
      <c r="H6926" t="str">
        <f>"A"</f>
        <v>A</v>
      </c>
    </row>
    <row r="6927" spans="1:8" x14ac:dyDescent="0.2">
      <c r="A6927" t="str">
        <f t="shared" si="2534"/>
        <v>0619072955</v>
      </c>
      <c r="B6927" t="str">
        <f t="shared" si="2535"/>
        <v>ZAIREA</v>
      </c>
      <c r="C6927" t="str">
        <f t="shared" si="2524"/>
        <v>HALL</v>
      </c>
      <c r="D6927" t="str">
        <f t="shared" si="2536"/>
        <v>09</v>
      </c>
      <c r="E6927" t="str">
        <f>"07 - B - 206 - Cheryl L Beach"</f>
        <v>07 - B - 206 - Cheryl L Beach</v>
      </c>
      <c r="F6927" t="str">
        <f>"AICE ENV MGMNT AS"</f>
        <v>AICE ENV MGMNT AS</v>
      </c>
      <c r="G6927" t="str">
        <f>"08-811"</f>
        <v>08-811</v>
      </c>
      <c r="H6927" t="str">
        <f>"B"</f>
        <v>B</v>
      </c>
    </row>
    <row r="6928" spans="1:8" x14ac:dyDescent="0.2">
      <c r="A6928" t="str">
        <f t="shared" si="2534"/>
        <v>0619072955</v>
      </c>
      <c r="B6928" t="str">
        <f t="shared" si="2535"/>
        <v>ZAIREA</v>
      </c>
      <c r="C6928" t="str">
        <f t="shared" si="2524"/>
        <v>HALL</v>
      </c>
      <c r="D6928" t="str">
        <f t="shared" si="2536"/>
        <v>09</v>
      </c>
      <c r="E6928" t="str">
        <f>"05 - B - 001 - Kelly N Panza"</f>
        <v>05 - B - 001 - Kelly N Panza</v>
      </c>
      <c r="F6928" t="str">
        <f>"AICE GLBL PERSP 1 AS"</f>
        <v>AICE GLBL PERSP 1 AS</v>
      </c>
      <c r="G6928" t="str">
        <f>"17-1753"</f>
        <v>17-1753</v>
      </c>
      <c r="H6928" t="str">
        <f>"B"</f>
        <v>B</v>
      </c>
    </row>
    <row r="6929" spans="1:8" x14ac:dyDescent="0.2">
      <c r="A6929" t="str">
        <f t="shared" si="2534"/>
        <v>0619072955</v>
      </c>
      <c r="B6929" t="str">
        <f t="shared" si="2535"/>
        <v>ZAIREA</v>
      </c>
      <c r="C6929" t="str">
        <f t="shared" si="2524"/>
        <v>HALL</v>
      </c>
      <c r="D6929" t="str">
        <f t="shared" si="2536"/>
        <v>09</v>
      </c>
      <c r="E6929" t="str">
        <f>"01 - A - 101 - Joe  Kilpatrick Jr"</f>
        <v>01 - A - 101 - Joe  Kilpatrick Jr</v>
      </c>
      <c r="F6929" t="str">
        <f>"PRE-AICE SPAN 1 IG"</f>
        <v>PRE-AICE SPAN 1 IG</v>
      </c>
      <c r="G6929" t="str">
        <f>"09-912"</f>
        <v>09-912</v>
      </c>
      <c r="H6929" t="str">
        <f>"A"</f>
        <v>A</v>
      </c>
    </row>
    <row r="6930" spans="1:8" x14ac:dyDescent="0.2">
      <c r="A6930" t="str">
        <f t="shared" si="2534"/>
        <v>0619072955</v>
      </c>
      <c r="B6930" t="str">
        <f t="shared" si="2535"/>
        <v>ZAIREA</v>
      </c>
      <c r="C6930" t="str">
        <f t="shared" si="2524"/>
        <v>HALL</v>
      </c>
      <c r="D6930" t="str">
        <f t="shared" si="2536"/>
        <v>09</v>
      </c>
      <c r="E6930" t="str">
        <f>"08 - B - 201 - Elizabeth R Walker"</f>
        <v>08 - B - 201 - Elizabeth R Walker</v>
      </c>
      <c r="F6930" t="str">
        <f>"AICE ENG GEN PAPER 1"</f>
        <v>AICE ENG GEN PAPER 1</v>
      </c>
      <c r="G6930" t="str">
        <f>"17-1703"</f>
        <v>17-1703</v>
      </c>
      <c r="H6930" t="str">
        <f>"B"</f>
        <v>B</v>
      </c>
    </row>
    <row r="6931" spans="1:8" x14ac:dyDescent="0.2">
      <c r="A6931" t="str">
        <f t="shared" ref="A6931:A6938" si="2537">"0613083257"</f>
        <v>0613083257</v>
      </c>
      <c r="B6931" t="str">
        <f t="shared" ref="B6931:B6938" si="2538">"MADISON"</f>
        <v>MADISON</v>
      </c>
      <c r="C6931" t="str">
        <f t="shared" ref="C6931:C6938" si="2539">"HALLORAN"</f>
        <v>HALLORAN</v>
      </c>
      <c r="D6931">
        <f>12</f>
        <v>12</v>
      </c>
      <c r="E6931" t="str">
        <f>"04 - S1 - A - 101 - Barbara L Segal"</f>
        <v>04 - S1 - A - 101 - Barbara L Segal</v>
      </c>
      <c r="F6931" t="str">
        <f>"AP US GOVT/POL"</f>
        <v>AP US GOVT/POL</v>
      </c>
      <c r="G6931" t="str">
        <f>"17-1742"</f>
        <v>17-1742</v>
      </c>
      <c r="H6931" t="str">
        <f>"A"</f>
        <v>A</v>
      </c>
    </row>
    <row r="6932" spans="1:8" x14ac:dyDescent="0.2">
      <c r="A6932" t="str">
        <f t="shared" si="2537"/>
        <v>0613083257</v>
      </c>
      <c r="B6932" t="str">
        <f t="shared" si="2538"/>
        <v>MADISON</v>
      </c>
      <c r="C6932" t="str">
        <f t="shared" si="2539"/>
        <v>HALLORAN</v>
      </c>
      <c r="D6932">
        <f>12</f>
        <v>12</v>
      </c>
      <c r="E6932" t="str">
        <f>"06 - B - 112 - Lisa  Quinn"</f>
        <v>06 - B - 112 - Lisa  Quinn</v>
      </c>
      <c r="F6932" t="str">
        <f>"NC STUDY HALL 1"</f>
        <v>NC STUDY HALL 1</v>
      </c>
      <c r="G6932" t="str">
        <f>"17-1725"</f>
        <v>17-1725</v>
      </c>
      <c r="H6932" t="str">
        <f>"B"</f>
        <v>B</v>
      </c>
    </row>
    <row r="6933" spans="1:8" x14ac:dyDescent="0.2">
      <c r="A6933" t="str">
        <f t="shared" si="2537"/>
        <v>0613083257</v>
      </c>
      <c r="B6933" t="str">
        <f t="shared" si="2538"/>
        <v>MADISON</v>
      </c>
      <c r="C6933" t="str">
        <f t="shared" si="2539"/>
        <v>HALLORAN</v>
      </c>
      <c r="D6933">
        <f>12</f>
        <v>12</v>
      </c>
      <c r="E6933" t="str">
        <f>"03 - A - 202 - Jeanne M Bermudez"</f>
        <v>03 - A - 202 - Jeanne M Bermudez</v>
      </c>
      <c r="F6933" t="str">
        <f>"PHYSICS 1 HON"</f>
        <v>PHYSICS 1 HON</v>
      </c>
      <c r="G6933" t="str">
        <f>"21-2141"</f>
        <v>21-2141</v>
      </c>
      <c r="H6933" t="str">
        <f>"A"</f>
        <v>A</v>
      </c>
    </row>
    <row r="6934" spans="1:8" x14ac:dyDescent="0.2">
      <c r="A6934" t="str">
        <f t="shared" si="2537"/>
        <v>0613083257</v>
      </c>
      <c r="B6934" t="str">
        <f t="shared" si="2538"/>
        <v>MADISON</v>
      </c>
      <c r="C6934" t="str">
        <f t="shared" si="2539"/>
        <v>HALLORAN</v>
      </c>
      <c r="D6934">
        <f>12</f>
        <v>12</v>
      </c>
      <c r="E6934" t="str">
        <f>"02 - A - 107 - Tina M Jaramillo"</f>
        <v>02 - A - 107 - Tina M Jaramillo</v>
      </c>
      <c r="F6934" t="str">
        <f>"AP ENG LIT COMPO"</f>
        <v>AP ENG LIT COMPO</v>
      </c>
      <c r="G6934" t="str">
        <f>"17-1706"</f>
        <v>17-1706</v>
      </c>
      <c r="H6934" t="str">
        <f>"A"</f>
        <v>A</v>
      </c>
    </row>
    <row r="6935" spans="1:8" x14ac:dyDescent="0.2">
      <c r="A6935" t="str">
        <f t="shared" si="2537"/>
        <v>0613083257</v>
      </c>
      <c r="B6935" t="str">
        <f t="shared" si="2538"/>
        <v>MADISON</v>
      </c>
      <c r="C6935" t="str">
        <f t="shared" si="2539"/>
        <v>HALLORAN</v>
      </c>
      <c r="D6935">
        <f>12</f>
        <v>12</v>
      </c>
      <c r="E6935" t="str">
        <f>"07 - S1 - B - 101 - Daniel S Katz"</f>
        <v>07 - S1 - B - 101 - Daniel S Katz</v>
      </c>
      <c r="F6935" t="str">
        <f>"CRIMINAL LAW"</f>
        <v>CRIMINAL LAW</v>
      </c>
      <c r="G6935" t="str">
        <f>"21-2156"</f>
        <v>21-2156</v>
      </c>
      <c r="H6935" t="str">
        <f>"B"</f>
        <v>B</v>
      </c>
    </row>
    <row r="6936" spans="1:8" x14ac:dyDescent="0.2">
      <c r="A6936" t="str">
        <f t="shared" si="2537"/>
        <v>0613083257</v>
      </c>
      <c r="B6936" t="str">
        <f t="shared" si="2538"/>
        <v>MADISON</v>
      </c>
      <c r="C6936" t="str">
        <f t="shared" si="2539"/>
        <v>HALLORAN</v>
      </c>
      <c r="D6936">
        <f>12</f>
        <v>12</v>
      </c>
      <c r="E6936" t="str">
        <f>"05 - B - 102 - Dorothy D Moore"</f>
        <v>05 - B - 102 - Dorothy D Moore</v>
      </c>
      <c r="F6936" t="str">
        <f>"FORC SCI 1 LH"</f>
        <v>FORC SCI 1 LH</v>
      </c>
      <c r="G6936" t="str">
        <f>"08-803"</f>
        <v>08-803</v>
      </c>
      <c r="H6936" t="str">
        <f>"B"</f>
        <v>B</v>
      </c>
    </row>
    <row r="6937" spans="1:8" x14ac:dyDescent="0.2">
      <c r="A6937" t="str">
        <f t="shared" si="2537"/>
        <v>0613083257</v>
      </c>
      <c r="B6937" t="str">
        <f t="shared" si="2538"/>
        <v>MADISON</v>
      </c>
      <c r="C6937" t="str">
        <f t="shared" si="2539"/>
        <v>HALLORAN</v>
      </c>
      <c r="D6937">
        <f>12</f>
        <v>12</v>
      </c>
      <c r="E6937" t="str">
        <f>"01 - A - 101 - Thomas G Handwerg"</f>
        <v>01 - A - 101 - Thomas G Handwerg</v>
      </c>
      <c r="F6937" t="str">
        <f>"PROB STAT W/APPS HON"</f>
        <v>PROB STAT W/APPS HON</v>
      </c>
      <c r="G6937" t="str">
        <f>"21-2146"</f>
        <v>21-2146</v>
      </c>
      <c r="H6937" t="str">
        <f>"A"</f>
        <v>A</v>
      </c>
    </row>
    <row r="6938" spans="1:8" x14ac:dyDescent="0.2">
      <c r="A6938" t="str">
        <f t="shared" si="2537"/>
        <v>0613083257</v>
      </c>
      <c r="B6938" t="str">
        <f t="shared" si="2538"/>
        <v>MADISON</v>
      </c>
      <c r="C6938" t="str">
        <f t="shared" si="2539"/>
        <v>HALLORAN</v>
      </c>
      <c r="D6938">
        <f>12</f>
        <v>12</v>
      </c>
      <c r="E6938" t="str">
        <f>"08 - B - 001 - Brian M Fitzgerald"</f>
        <v>08 - B - 001 - Brian M Fitzgerald</v>
      </c>
      <c r="F6938" t="str">
        <f>"CERAM/POT 1"</f>
        <v>CERAM/POT 1</v>
      </c>
      <c r="G6938" t="str">
        <f>"09-908"</f>
        <v>09-908</v>
      </c>
      <c r="H6938" t="str">
        <f>"B"</f>
        <v>B</v>
      </c>
    </row>
    <row r="6939" spans="1:8" x14ac:dyDescent="0.2">
      <c r="A6939" t="str">
        <f t="shared" ref="A6939:A6946" si="2540">"0615112754"</f>
        <v>0615112754</v>
      </c>
      <c r="B6939" t="str">
        <f t="shared" ref="B6939:B6946" si="2541">"SOFIA"</f>
        <v>SOFIA</v>
      </c>
      <c r="C6939" t="str">
        <f t="shared" ref="C6939:C6946" si="2542">"HAMRAOUI"</f>
        <v>HAMRAOUI</v>
      </c>
      <c r="D6939">
        <f>10</f>
        <v>10</v>
      </c>
      <c r="E6939" t="str">
        <f>"04 - A - 104 - Courtney E Hambright"</f>
        <v>04 - A - 104 - Courtney E Hambright</v>
      </c>
      <c r="F6939" t="str">
        <f>"AICE ENG LANG AS"</f>
        <v>AICE ENG LANG AS</v>
      </c>
      <c r="G6939" t="str">
        <f>"17-1711"</f>
        <v>17-1711</v>
      </c>
      <c r="H6939" t="str">
        <f>"A"</f>
        <v>A</v>
      </c>
    </row>
    <row r="6940" spans="1:8" x14ac:dyDescent="0.2">
      <c r="A6940" t="str">
        <f t="shared" si="2540"/>
        <v>0615112754</v>
      </c>
      <c r="B6940" t="str">
        <f t="shared" si="2541"/>
        <v>SOFIA</v>
      </c>
      <c r="C6940" t="str">
        <f t="shared" si="2542"/>
        <v>HAMRAOUI</v>
      </c>
      <c r="D6940">
        <f>10</f>
        <v>10</v>
      </c>
      <c r="E6940" t="str">
        <f>"06 - B - 104 - Robert H Rindner"</f>
        <v>06 - B - 104 - Robert H Rindner</v>
      </c>
      <c r="F6940" t="str">
        <f>"NC STUDY HALL 1"</f>
        <v>NC STUDY HALL 1</v>
      </c>
      <c r="G6940" t="str">
        <f>"21-2160"</f>
        <v>21-2160</v>
      </c>
      <c r="H6940" t="str">
        <f>"B"</f>
        <v>B</v>
      </c>
    </row>
    <row r="6941" spans="1:8" x14ac:dyDescent="0.2">
      <c r="A6941" t="str">
        <f t="shared" si="2540"/>
        <v>0615112754</v>
      </c>
      <c r="B6941" t="str">
        <f t="shared" si="2541"/>
        <v>SOFIA</v>
      </c>
      <c r="C6941" t="str">
        <f t="shared" si="2542"/>
        <v>HAMRAOUI</v>
      </c>
      <c r="D6941">
        <f>10</f>
        <v>10</v>
      </c>
      <c r="E6941" t="str">
        <f>"03 - A - 102 - Semra  Bahadir"</f>
        <v>03 - A - 102 - Semra  Bahadir</v>
      </c>
      <c r="F6941" t="str">
        <f>"ALGEBRA 2"</f>
        <v>ALGEBRA 2</v>
      </c>
      <c r="G6941" t="str">
        <f>"21-2107"</f>
        <v>21-2107</v>
      </c>
      <c r="H6941" t="str">
        <f>"A"</f>
        <v>A</v>
      </c>
    </row>
    <row r="6942" spans="1:8" x14ac:dyDescent="0.2">
      <c r="A6942" t="str">
        <f t="shared" si="2540"/>
        <v>0615112754</v>
      </c>
      <c r="B6942" t="str">
        <f t="shared" si="2541"/>
        <v>SOFIA</v>
      </c>
      <c r="C6942" t="str">
        <f t="shared" si="2542"/>
        <v>HAMRAOUI</v>
      </c>
      <c r="D6942">
        <f>10</f>
        <v>10</v>
      </c>
      <c r="E6942" t="str">
        <f>"02 - A - 202 - Daniel S Tyson"</f>
        <v>02 - A - 202 - Daniel S Tyson</v>
      </c>
      <c r="F6942" t="str">
        <f>"JROTC NAVAL SCI 2"</f>
        <v>JROTC NAVAL SCI 2</v>
      </c>
      <c r="G6942" t="str">
        <f>"05-510"</f>
        <v>05-510</v>
      </c>
      <c r="H6942" t="str">
        <f>"A"</f>
        <v>A</v>
      </c>
    </row>
    <row r="6943" spans="1:8" x14ac:dyDescent="0.2">
      <c r="A6943" t="str">
        <f t="shared" si="2540"/>
        <v>0615112754</v>
      </c>
      <c r="B6943" t="str">
        <f t="shared" si="2541"/>
        <v>SOFIA</v>
      </c>
      <c r="C6943" t="str">
        <f t="shared" si="2542"/>
        <v>HAMRAOUI</v>
      </c>
      <c r="D6943">
        <f>10</f>
        <v>10</v>
      </c>
      <c r="E6943" t="str">
        <f>"07 - B - 204 - Elizabeth Ellen  Moran"</f>
        <v>07 - B - 204 - Elizabeth Ellen  Moran</v>
      </c>
      <c r="F6943" t="str">
        <f>"AICE EURO HIST 1 AS"</f>
        <v>AICE EURO HIST 1 AS</v>
      </c>
      <c r="G6943" t="str">
        <f>"17-1752"</f>
        <v>17-1752</v>
      </c>
      <c r="H6943" t="str">
        <f>"B"</f>
        <v>B</v>
      </c>
    </row>
    <row r="6944" spans="1:8" x14ac:dyDescent="0.2">
      <c r="A6944" t="str">
        <f t="shared" si="2540"/>
        <v>0615112754</v>
      </c>
      <c r="B6944" t="str">
        <f t="shared" si="2541"/>
        <v>SOFIA</v>
      </c>
      <c r="C6944" t="str">
        <f t="shared" si="2542"/>
        <v>HAMRAOUI</v>
      </c>
      <c r="D6944">
        <f>10</f>
        <v>10</v>
      </c>
      <c r="E6944" t="str">
        <f>"05 - B - 203 - Chrystina M Marchionne"</f>
        <v>05 - B - 203 - Chrystina M Marchionne</v>
      </c>
      <c r="F6944" t="str">
        <f>"AICE MEDIASTUDIES AS"</f>
        <v>AICE MEDIASTUDIES AS</v>
      </c>
      <c r="G6944" t="str">
        <f>"05-520"</f>
        <v>05-520</v>
      </c>
      <c r="H6944" t="str">
        <f>"B"</f>
        <v>B</v>
      </c>
    </row>
    <row r="6945" spans="1:8" x14ac:dyDescent="0.2">
      <c r="A6945" t="str">
        <f t="shared" si="2540"/>
        <v>0615112754</v>
      </c>
      <c r="B6945" t="str">
        <f t="shared" si="2541"/>
        <v>SOFIA</v>
      </c>
      <c r="C6945" t="str">
        <f t="shared" si="2542"/>
        <v>HAMRAOUI</v>
      </c>
      <c r="D6945">
        <f>10</f>
        <v>10</v>
      </c>
      <c r="E6945" t="str">
        <f>"01 - A - 107 - Valerie J Ruwe"</f>
        <v>01 - A - 107 - Valerie J Ruwe</v>
      </c>
      <c r="F6945" t="str">
        <f>"CHEMISTRY 1 HON"</f>
        <v>CHEMISTRY 1 HON</v>
      </c>
      <c r="G6945" t="str">
        <f>"21-2134"</f>
        <v>21-2134</v>
      </c>
      <c r="H6945" t="str">
        <f>"A"</f>
        <v>A</v>
      </c>
    </row>
    <row r="6946" spans="1:8" x14ac:dyDescent="0.2">
      <c r="A6946" t="str">
        <f t="shared" si="2540"/>
        <v>0615112754</v>
      </c>
      <c r="B6946" t="str">
        <f t="shared" si="2541"/>
        <v>SOFIA</v>
      </c>
      <c r="C6946" t="str">
        <f t="shared" si="2542"/>
        <v>HAMRAOUI</v>
      </c>
      <c r="D6946">
        <f>10</f>
        <v>10</v>
      </c>
      <c r="E6946" t="str">
        <f>"08 - B - 101 - Jordana K Hass"</f>
        <v>08 - B - 101 - Jordana K Hass</v>
      </c>
      <c r="F6946" t="str">
        <f>"AICE INFO TECH 1 AS"</f>
        <v>AICE INFO TECH 1 AS</v>
      </c>
      <c r="G6946" t="str">
        <f>"08-807"</f>
        <v>08-807</v>
      </c>
      <c r="H6946" t="str">
        <f>"B"</f>
        <v>B</v>
      </c>
    </row>
    <row r="6947" spans="1:8" x14ac:dyDescent="0.2">
      <c r="A6947" t="str">
        <f t="shared" ref="A6947:A6954" si="2543">"0615098740"</f>
        <v>0615098740</v>
      </c>
      <c r="B6947" t="str">
        <f t="shared" ref="B6947:B6954" si="2544">"STEPHEN"</f>
        <v>STEPHEN</v>
      </c>
      <c r="C6947" t="str">
        <f t="shared" ref="C6947:C6954" si="2545">"HANKERSON"</f>
        <v>HANKERSON</v>
      </c>
      <c r="D6947" t="str">
        <f t="shared" ref="D6947:D6954" si="2546">"09"</f>
        <v>09</v>
      </c>
      <c r="E6947" t="str">
        <f>"04 - A - 101 - Jeanne M Bermudez"</f>
        <v>04 - A - 101 - Jeanne M Bermudez</v>
      </c>
      <c r="F6947" t="str">
        <f>"ADVANCED IT HON"</f>
        <v>ADVANCED IT HON</v>
      </c>
      <c r="G6947" t="str">
        <f>"21-2141"</f>
        <v>21-2141</v>
      </c>
      <c r="H6947" t="str">
        <f>"A"</f>
        <v>A</v>
      </c>
    </row>
    <row r="6948" spans="1:8" x14ac:dyDescent="0.2">
      <c r="A6948" t="str">
        <f t="shared" si="2543"/>
        <v>0615098740</v>
      </c>
      <c r="B6948" t="str">
        <f t="shared" si="2544"/>
        <v>STEPHEN</v>
      </c>
      <c r="C6948" t="str">
        <f t="shared" si="2545"/>
        <v>HANKERSON</v>
      </c>
      <c r="D6948" t="str">
        <f t="shared" si="2546"/>
        <v>09</v>
      </c>
      <c r="E6948" t="str">
        <f>"06 - S1 - B - 104 - Leslie J Barton"</f>
        <v>06 - S1 - B - 104 - Leslie J Barton</v>
      </c>
      <c r="F6948" t="str">
        <f>"FIRST AID SAFETY"</f>
        <v>FIRST AID SAFETY</v>
      </c>
      <c r="G6948" t="str">
        <f>"05-521"</f>
        <v>05-521</v>
      </c>
      <c r="H6948" t="str">
        <f>"B"</f>
        <v>B</v>
      </c>
    </row>
    <row r="6949" spans="1:8" x14ac:dyDescent="0.2">
      <c r="A6949" t="str">
        <f t="shared" si="2543"/>
        <v>0615098740</v>
      </c>
      <c r="B6949" t="str">
        <f t="shared" si="2544"/>
        <v>STEPHEN</v>
      </c>
      <c r="C6949" t="str">
        <f t="shared" si="2545"/>
        <v>HANKERSON</v>
      </c>
      <c r="D6949" t="str">
        <f t="shared" si="2546"/>
        <v>09</v>
      </c>
      <c r="E6949" t="str">
        <f>"03 - A - 101 - Milca  Exantus"</f>
        <v>03 - A - 101 - Milca  Exantus</v>
      </c>
      <c r="F6949" t="str">
        <f>"ALGEBRA 1-A"</f>
        <v>ALGEBRA 1-A</v>
      </c>
      <c r="G6949" t="str">
        <f>"21-2145"</f>
        <v>21-2145</v>
      </c>
      <c r="H6949" t="str">
        <f>"A"</f>
        <v>A</v>
      </c>
    </row>
    <row r="6950" spans="1:8" x14ac:dyDescent="0.2">
      <c r="A6950" t="str">
        <f t="shared" si="2543"/>
        <v>0615098740</v>
      </c>
      <c r="B6950" t="str">
        <f t="shared" si="2544"/>
        <v>STEPHEN</v>
      </c>
      <c r="C6950" t="str">
        <f t="shared" si="2545"/>
        <v>HANKERSON</v>
      </c>
      <c r="D6950" t="str">
        <f t="shared" si="2546"/>
        <v>09</v>
      </c>
      <c r="E6950" t="str">
        <f>"02 - A - 104 - Jazmin S Fletcher"</f>
        <v>02 - A - 104 - Jazmin S Fletcher</v>
      </c>
      <c r="F6950" t="str">
        <f>"NC STUDY HALL 1"</f>
        <v>NC STUDY HALL 1</v>
      </c>
      <c r="G6950" t="str">
        <f>"09-909"</f>
        <v>09-909</v>
      </c>
      <c r="H6950" t="str">
        <f>"A"</f>
        <v>A</v>
      </c>
    </row>
    <row r="6951" spans="1:8" x14ac:dyDescent="0.2">
      <c r="A6951" t="str">
        <f t="shared" si="2543"/>
        <v>0615098740</v>
      </c>
      <c r="B6951" t="str">
        <f t="shared" si="2544"/>
        <v>STEPHEN</v>
      </c>
      <c r="C6951" t="str">
        <f t="shared" si="2545"/>
        <v>HANKERSON</v>
      </c>
      <c r="D6951" t="str">
        <f t="shared" si="2546"/>
        <v>09</v>
      </c>
      <c r="E6951" t="str">
        <f>"07 - S1 - B - 107 - Richard E Dunbar Iii"</f>
        <v>07 - S1 - B - 107 - Richard E Dunbar Iii</v>
      </c>
      <c r="F6951" t="str">
        <f>"WEIGHT TRAIN 1"</f>
        <v>WEIGHT TRAIN 1</v>
      </c>
      <c r="G6951" t="str">
        <f>"05-501"</f>
        <v>05-501</v>
      </c>
      <c r="H6951" t="str">
        <f>"B"</f>
        <v>B</v>
      </c>
    </row>
    <row r="6952" spans="1:8" x14ac:dyDescent="0.2">
      <c r="A6952" t="str">
        <f t="shared" si="2543"/>
        <v>0615098740</v>
      </c>
      <c r="B6952" t="str">
        <f t="shared" si="2544"/>
        <v>STEPHEN</v>
      </c>
      <c r="C6952" t="str">
        <f t="shared" si="2545"/>
        <v>HANKERSON</v>
      </c>
      <c r="D6952" t="str">
        <f t="shared" si="2546"/>
        <v>09</v>
      </c>
      <c r="E6952" t="str">
        <f>"05 - B - 103 - Josiah I Lacy"</f>
        <v>05 - B - 103 - Josiah I Lacy</v>
      </c>
      <c r="F6952" t="str">
        <f>"PRE-AICE BIO IG"</f>
        <v>PRE-AICE BIO IG</v>
      </c>
      <c r="G6952" t="str">
        <f>"08-801"</f>
        <v>08-801</v>
      </c>
      <c r="H6952" t="str">
        <f>"B"</f>
        <v>B</v>
      </c>
    </row>
    <row r="6953" spans="1:8" x14ac:dyDescent="0.2">
      <c r="A6953" t="str">
        <f t="shared" si="2543"/>
        <v>0615098740</v>
      </c>
      <c r="B6953" t="str">
        <f t="shared" si="2544"/>
        <v>STEPHEN</v>
      </c>
      <c r="C6953" t="str">
        <f t="shared" si="2545"/>
        <v>HANKERSON</v>
      </c>
      <c r="D6953" t="str">
        <f t="shared" si="2546"/>
        <v>09</v>
      </c>
      <c r="E6953" t="str">
        <f>"01 - A - 101 - Cheryl Anne  Berman-Schechter"</f>
        <v>01 - A - 101 - Cheryl Anne  Berman-Schechter</v>
      </c>
      <c r="F6953" t="str">
        <f>"PRE-AICE ENG LANG IG"</f>
        <v>PRE-AICE ENG LANG IG</v>
      </c>
      <c r="G6953" t="str">
        <f>"17-1722"</f>
        <v>17-1722</v>
      </c>
      <c r="H6953" t="str">
        <f>"A"</f>
        <v>A</v>
      </c>
    </row>
    <row r="6954" spans="1:8" x14ac:dyDescent="0.2">
      <c r="A6954" t="str">
        <f t="shared" si="2543"/>
        <v>0615098740</v>
      </c>
      <c r="B6954" t="str">
        <f t="shared" si="2544"/>
        <v>STEPHEN</v>
      </c>
      <c r="C6954" t="str">
        <f t="shared" si="2545"/>
        <v>HANKERSON</v>
      </c>
      <c r="D6954" t="str">
        <f t="shared" si="2546"/>
        <v>09</v>
      </c>
      <c r="E6954" t="str">
        <f>"08 - B - 109 - Rory T Sponsler"</f>
        <v>08 - B - 109 - Rory T Sponsler</v>
      </c>
      <c r="F6954" t="str">
        <f>"PRE-AICE WRLD HST IG"</f>
        <v>PRE-AICE WRLD HST IG</v>
      </c>
      <c r="G6954" t="str">
        <f>"17-1740"</f>
        <v>17-1740</v>
      </c>
      <c r="H6954" t="str">
        <f>"B"</f>
        <v>B</v>
      </c>
    </row>
    <row r="6955" spans="1:8" x14ac:dyDescent="0.2">
      <c r="A6955" t="str">
        <f t="shared" ref="A6955:A6962" si="2547">"0614092067"</f>
        <v>0614092067</v>
      </c>
      <c r="B6955" t="str">
        <f t="shared" ref="B6955:B6962" si="2548">"ASHLEY"</f>
        <v>ASHLEY</v>
      </c>
      <c r="C6955" t="str">
        <f t="shared" ref="C6955:C6970" si="2549">"HANNA"</f>
        <v>HANNA</v>
      </c>
      <c r="D6955">
        <f>11</f>
        <v>11</v>
      </c>
      <c r="E6955" t="str">
        <f>"04 - A - 102 - Jeffrey S Gallagher"</f>
        <v>04 - A - 102 - Jeffrey S Gallagher</v>
      </c>
      <c r="F6955" t="str">
        <f>"ENG HON 3"</f>
        <v>ENG HON 3</v>
      </c>
      <c r="G6955" t="str">
        <f>"17-1724"</f>
        <v>17-1724</v>
      </c>
      <c r="H6955" t="str">
        <f>"A"</f>
        <v>A</v>
      </c>
    </row>
    <row r="6956" spans="1:8" x14ac:dyDescent="0.2">
      <c r="A6956" t="str">
        <f t="shared" si="2547"/>
        <v>0614092067</v>
      </c>
      <c r="B6956" t="str">
        <f t="shared" si="2548"/>
        <v>ASHLEY</v>
      </c>
      <c r="C6956" t="str">
        <f t="shared" si="2549"/>
        <v>HANNA</v>
      </c>
      <c r="D6956">
        <f>11</f>
        <v>11</v>
      </c>
      <c r="E6956" t="str">
        <f>"06 - B - 001 - Samantha J Headley"</f>
        <v>06 - B - 001 - Samantha J Headley</v>
      </c>
      <c r="F6956" t="str">
        <f>"MARINE SCI 1 HON"</f>
        <v>MARINE SCI 1 HON</v>
      </c>
      <c r="G6956" t="str">
        <f>"21-2134"</f>
        <v>21-2134</v>
      </c>
      <c r="H6956" t="str">
        <f>"B"</f>
        <v>B</v>
      </c>
    </row>
    <row r="6957" spans="1:8" x14ac:dyDescent="0.2">
      <c r="A6957" t="str">
        <f t="shared" si="2547"/>
        <v>0614092067</v>
      </c>
      <c r="B6957" t="str">
        <f t="shared" si="2548"/>
        <v>ASHLEY</v>
      </c>
      <c r="C6957" t="str">
        <f t="shared" si="2549"/>
        <v>HANNA</v>
      </c>
      <c r="D6957">
        <f>11</f>
        <v>11</v>
      </c>
      <c r="E6957" t="str">
        <f>"03 - A - 104 - Fernando  Vega-Cid"</f>
        <v>03 - A - 104 - Fernando  Vega-Cid</v>
      </c>
      <c r="F6957" t="str">
        <f>"GEOMETRY"</f>
        <v>GEOMETRY</v>
      </c>
      <c r="G6957" t="str">
        <f>"21-2163"</f>
        <v>21-2163</v>
      </c>
      <c r="H6957" t="str">
        <f>"A"</f>
        <v>A</v>
      </c>
    </row>
    <row r="6958" spans="1:8" x14ac:dyDescent="0.2">
      <c r="A6958" t="str">
        <f t="shared" si="2547"/>
        <v>0614092067</v>
      </c>
      <c r="B6958" t="str">
        <f t="shared" si="2548"/>
        <v>ASHLEY</v>
      </c>
      <c r="C6958" t="str">
        <f t="shared" si="2549"/>
        <v>HANNA</v>
      </c>
      <c r="D6958">
        <f>11</f>
        <v>11</v>
      </c>
      <c r="E6958" t="str">
        <f>"02 - A - 101 - Timothy J Lawrence"</f>
        <v>02 - A - 101 - Timothy J Lawrence</v>
      </c>
      <c r="F6958" t="str">
        <f>"NC STUDY HALL 1"</f>
        <v>NC STUDY HALL 1</v>
      </c>
      <c r="G6958" t="str">
        <f>"05-522"</f>
        <v>05-522</v>
      </c>
      <c r="H6958" t="str">
        <f>"A"</f>
        <v>A</v>
      </c>
    </row>
    <row r="6959" spans="1:8" x14ac:dyDescent="0.2">
      <c r="A6959" t="str">
        <f t="shared" si="2547"/>
        <v>0614092067</v>
      </c>
      <c r="B6959" t="str">
        <f t="shared" si="2548"/>
        <v>ASHLEY</v>
      </c>
      <c r="C6959" t="str">
        <f t="shared" si="2549"/>
        <v>HANNA</v>
      </c>
      <c r="D6959">
        <f>11</f>
        <v>11</v>
      </c>
      <c r="E6959" t="str">
        <f>"07 - B - 002 - Jazmin S Fletcher"</f>
        <v>07 - B - 002 - Jazmin S Fletcher</v>
      </c>
      <c r="F6959" t="str">
        <f>"THEATRE 1"</f>
        <v>THEATRE 1</v>
      </c>
      <c r="G6959" t="str">
        <f>"09-909"</f>
        <v>09-909</v>
      </c>
      <c r="H6959" t="str">
        <f>"B"</f>
        <v>B</v>
      </c>
    </row>
    <row r="6960" spans="1:8" x14ac:dyDescent="0.2">
      <c r="A6960" t="str">
        <f t="shared" si="2547"/>
        <v>0614092067</v>
      </c>
      <c r="B6960" t="str">
        <f t="shared" si="2548"/>
        <v>ASHLEY</v>
      </c>
      <c r="C6960" t="str">
        <f t="shared" si="2549"/>
        <v>HANNA</v>
      </c>
      <c r="D6960">
        <f>11</f>
        <v>11</v>
      </c>
      <c r="E6960" t="str">
        <f>"05 - B - 107 - Elizabeth Ellen  Moran"</f>
        <v>05 - B - 107 - Elizabeth Ellen  Moran</v>
      </c>
      <c r="F6960" t="str">
        <f>"US HISTORY"</f>
        <v>US HISTORY</v>
      </c>
      <c r="G6960" t="str">
        <f>"17-1752"</f>
        <v>17-1752</v>
      </c>
      <c r="H6960" t="str">
        <f>"B"</f>
        <v>B</v>
      </c>
    </row>
    <row r="6961" spans="1:8" x14ac:dyDescent="0.2">
      <c r="A6961" t="str">
        <f t="shared" si="2547"/>
        <v>0614092067</v>
      </c>
      <c r="B6961" t="str">
        <f t="shared" si="2548"/>
        <v>ASHLEY</v>
      </c>
      <c r="C6961" t="str">
        <f t="shared" si="2549"/>
        <v>HANNA</v>
      </c>
      <c r="D6961">
        <f>11</f>
        <v>11</v>
      </c>
      <c r="E6961" t="str">
        <f>"01 - A - 101 - Samantha L Martinez"</f>
        <v>01 - A - 101 - Samantha L Martinez</v>
      </c>
      <c r="F6961" t="str">
        <f>"MUSIC WORLD"</f>
        <v>MUSIC WORLD</v>
      </c>
      <c r="G6961" t="str">
        <f>"05-505"</f>
        <v>05-505</v>
      </c>
      <c r="H6961" t="str">
        <f>"A"</f>
        <v>A</v>
      </c>
    </row>
    <row r="6962" spans="1:8" x14ac:dyDescent="0.2">
      <c r="A6962" t="str">
        <f t="shared" si="2547"/>
        <v>0614092067</v>
      </c>
      <c r="B6962" t="str">
        <f t="shared" si="2548"/>
        <v>ASHLEY</v>
      </c>
      <c r="C6962" t="str">
        <f t="shared" si="2549"/>
        <v>HANNA</v>
      </c>
      <c r="D6962">
        <f>11</f>
        <v>11</v>
      </c>
      <c r="E6962" t="str">
        <f>"08 - B - 101 - Robert H Rindner"</f>
        <v>08 - B - 101 - Robert H Rindner</v>
      </c>
      <c r="F6962" t="str">
        <f>"TV PRODUCTION TECH 2"</f>
        <v>TV PRODUCTION TECH 2</v>
      </c>
      <c r="G6962" t="str">
        <f>"21-2160"</f>
        <v>21-2160</v>
      </c>
      <c r="H6962" t="str">
        <f>"B"</f>
        <v>B</v>
      </c>
    </row>
    <row r="6963" spans="1:8" x14ac:dyDescent="0.2">
      <c r="A6963" t="str">
        <f t="shared" ref="A6963:A6970" si="2550">"0622101401"</f>
        <v>0622101401</v>
      </c>
      <c r="B6963" t="str">
        <f t="shared" ref="B6963:B6970" si="2551">"SKYLAR"</f>
        <v>SKYLAR</v>
      </c>
      <c r="C6963" t="str">
        <f t="shared" si="2549"/>
        <v>HANNA</v>
      </c>
      <c r="D6963" t="str">
        <f t="shared" ref="D6963:D6970" si="2552">"09"</f>
        <v>09</v>
      </c>
      <c r="E6963" t="str">
        <f>"04 - A - 104 - Brook E Goren"</f>
        <v>04 - A - 104 - Brook E Goren</v>
      </c>
      <c r="F6963" t="str">
        <f>"ALGEBRA 2 HON"</f>
        <v>ALGEBRA 2 HON</v>
      </c>
      <c r="G6963" t="str">
        <f>"21-2158"</f>
        <v>21-2158</v>
      </c>
      <c r="H6963" t="str">
        <f>"A"</f>
        <v>A</v>
      </c>
    </row>
    <row r="6964" spans="1:8" x14ac:dyDescent="0.2">
      <c r="A6964" t="str">
        <f t="shared" si="2550"/>
        <v>0622101401</v>
      </c>
      <c r="B6964" t="str">
        <f t="shared" si="2551"/>
        <v>SKYLAR</v>
      </c>
      <c r="C6964" t="str">
        <f t="shared" si="2549"/>
        <v>HANNA</v>
      </c>
      <c r="D6964" t="str">
        <f t="shared" si="2552"/>
        <v>09</v>
      </c>
      <c r="E6964" t="str">
        <f>"06 - B - 110 - Krystal Marie  Beruty"</f>
        <v>06 - B - 110 - Krystal Marie  Beruty</v>
      </c>
      <c r="F6964" t="str">
        <f>"AICE GLBL PERSP 1 AS"</f>
        <v>AICE GLBL PERSP 1 AS</v>
      </c>
      <c r="G6964" t="str">
        <f>"17-1721"</f>
        <v>17-1721</v>
      </c>
      <c r="H6964" t="str">
        <f>"B"</f>
        <v>B</v>
      </c>
    </row>
    <row r="6965" spans="1:8" x14ac:dyDescent="0.2">
      <c r="A6965" t="str">
        <f t="shared" si="2550"/>
        <v>0622101401</v>
      </c>
      <c r="B6965" t="str">
        <f t="shared" si="2551"/>
        <v>SKYLAR</v>
      </c>
      <c r="C6965" t="str">
        <f t="shared" si="2549"/>
        <v>HANNA</v>
      </c>
      <c r="D6965" t="str">
        <f t="shared" si="2552"/>
        <v>09</v>
      </c>
      <c r="E6965" t="str">
        <f>"03 - A - 101 - Eva T Rimmer"</f>
        <v>03 - A - 101 - Eva T Rimmer</v>
      </c>
      <c r="F6965" t="str">
        <f>"CRIMINAL JUST OPS 1"</f>
        <v>CRIMINAL JUST OPS 1</v>
      </c>
      <c r="G6965" t="str">
        <f>"05-523"</f>
        <v>05-523</v>
      </c>
      <c r="H6965" t="str">
        <f>"A"</f>
        <v>A</v>
      </c>
    </row>
    <row r="6966" spans="1:8" x14ac:dyDescent="0.2">
      <c r="A6966" t="str">
        <f t="shared" si="2550"/>
        <v>0622101401</v>
      </c>
      <c r="B6966" t="str">
        <f t="shared" si="2551"/>
        <v>SKYLAR</v>
      </c>
      <c r="C6966" t="str">
        <f t="shared" si="2549"/>
        <v>HANNA</v>
      </c>
      <c r="D6966" t="str">
        <f t="shared" si="2552"/>
        <v>09</v>
      </c>
      <c r="E6966" t="str">
        <f>"02 - A - 113 - Amy Beth  Broyles"</f>
        <v>02 - A - 113 - Amy Beth  Broyles</v>
      </c>
      <c r="F6966" t="str">
        <f>"NC STUDY HALL 1"</f>
        <v>NC STUDY HALL 1</v>
      </c>
      <c r="G6966" t="str">
        <f>"08-802"</f>
        <v>08-802</v>
      </c>
      <c r="H6966" t="str">
        <f>"A"</f>
        <v>A</v>
      </c>
    </row>
    <row r="6967" spans="1:8" x14ac:dyDescent="0.2">
      <c r="A6967" t="str">
        <f t="shared" si="2550"/>
        <v>0622101401</v>
      </c>
      <c r="B6967" t="str">
        <f t="shared" si="2551"/>
        <v>SKYLAR</v>
      </c>
      <c r="C6967" t="str">
        <f t="shared" si="2549"/>
        <v>HANNA</v>
      </c>
      <c r="D6967" t="str">
        <f t="shared" si="2552"/>
        <v>09</v>
      </c>
      <c r="E6967" t="str">
        <f>"07 - B - 101 - Alejandro  Navarro"</f>
        <v>07 - B - 101 - Alejandro  Navarro</v>
      </c>
      <c r="F6967" t="str">
        <f>"EURHY 1"</f>
        <v>EURHY 1</v>
      </c>
      <c r="G6967" t="str">
        <f>"05-504"</f>
        <v>05-504</v>
      </c>
      <c r="H6967" t="str">
        <f>"B"</f>
        <v>B</v>
      </c>
    </row>
    <row r="6968" spans="1:8" x14ac:dyDescent="0.2">
      <c r="A6968" t="str">
        <f t="shared" si="2550"/>
        <v>0622101401</v>
      </c>
      <c r="B6968" t="str">
        <f t="shared" si="2551"/>
        <v>SKYLAR</v>
      </c>
      <c r="C6968" t="str">
        <f t="shared" si="2549"/>
        <v>HANNA</v>
      </c>
      <c r="D6968" t="str">
        <f t="shared" si="2552"/>
        <v>09</v>
      </c>
      <c r="E6968" t="str">
        <f>"05 - B - 101 - Arthur  Kulawik"</f>
        <v>05 - B - 101 - Arthur  Kulawik</v>
      </c>
      <c r="F6968" t="str">
        <f>"DEBATE 2 LH"</f>
        <v>DEBATE 2 LH</v>
      </c>
      <c r="G6968" t="str">
        <f>"05-506"</f>
        <v>05-506</v>
      </c>
      <c r="H6968" t="str">
        <f>"B"</f>
        <v>B</v>
      </c>
    </row>
    <row r="6969" spans="1:8" x14ac:dyDescent="0.2">
      <c r="A6969" t="str">
        <f t="shared" si="2550"/>
        <v>0622101401</v>
      </c>
      <c r="B6969" t="str">
        <f t="shared" si="2551"/>
        <v>SKYLAR</v>
      </c>
      <c r="C6969" t="str">
        <f t="shared" si="2549"/>
        <v>HANNA</v>
      </c>
      <c r="D6969" t="str">
        <f t="shared" si="2552"/>
        <v>09</v>
      </c>
      <c r="E6969" t="str">
        <f>"01 - A - 101 - Byron G Montenegro"</f>
        <v>01 - A - 101 - Byron G Montenegro</v>
      </c>
      <c r="F6969" t="str">
        <f>"AICE MARINE SCI 1 AS"</f>
        <v>AICE MARINE SCI 1 AS</v>
      </c>
      <c r="G6969" t="str">
        <f>"21-2144"</f>
        <v>21-2144</v>
      </c>
      <c r="H6969" t="str">
        <f>"A"</f>
        <v>A</v>
      </c>
    </row>
    <row r="6970" spans="1:8" x14ac:dyDescent="0.2">
      <c r="A6970" t="str">
        <f t="shared" si="2550"/>
        <v>0622101401</v>
      </c>
      <c r="B6970" t="str">
        <f t="shared" si="2551"/>
        <v>SKYLAR</v>
      </c>
      <c r="C6970" t="str">
        <f t="shared" si="2549"/>
        <v>HANNA</v>
      </c>
      <c r="D6970" t="str">
        <f t="shared" si="2552"/>
        <v>09</v>
      </c>
      <c r="E6970" t="str">
        <f>"08 - B - 004 - Cheryl Anne  Berman-Schechter"</f>
        <v>08 - B - 004 - Cheryl Anne  Berman-Schechter</v>
      </c>
      <c r="F6970" t="str">
        <f>"AICE ENG GEN PAPER 1"</f>
        <v>AICE ENG GEN PAPER 1</v>
      </c>
      <c r="G6970" t="str">
        <f>"17-1722"</f>
        <v>17-1722</v>
      </c>
      <c r="H6970" t="str">
        <f>"B"</f>
        <v>B</v>
      </c>
    </row>
    <row r="6971" spans="1:8" x14ac:dyDescent="0.2">
      <c r="A6971" t="str">
        <f t="shared" ref="A6971:A6978" si="2553">"0615023113"</f>
        <v>0615023113</v>
      </c>
      <c r="B6971" t="str">
        <f t="shared" ref="B6971:B6978" si="2554">"MAYA"</f>
        <v>MAYA</v>
      </c>
      <c r="C6971" t="str">
        <f t="shared" ref="C6971:C6978" si="2555">"HARDCASTLE"</f>
        <v>HARDCASTLE</v>
      </c>
      <c r="D6971">
        <f>11</f>
        <v>11</v>
      </c>
      <c r="E6971" t="str">
        <f>"04 - A - 102 - Fernando  Vega-Cid"</f>
        <v>04 - A - 102 - Fernando  Vega-Cid</v>
      </c>
      <c r="F6971" t="str">
        <f>"PRE-CALCULUS HON"</f>
        <v>PRE-CALCULUS HON</v>
      </c>
      <c r="G6971" t="str">
        <f>"21-2163"</f>
        <v>21-2163</v>
      </c>
      <c r="H6971" t="str">
        <f>"A"</f>
        <v>A</v>
      </c>
    </row>
    <row r="6972" spans="1:8" x14ac:dyDescent="0.2">
      <c r="A6972" t="str">
        <f t="shared" si="2553"/>
        <v>0615023113</v>
      </c>
      <c r="B6972" t="str">
        <f t="shared" si="2554"/>
        <v>MAYA</v>
      </c>
      <c r="C6972" t="str">
        <f t="shared" si="2555"/>
        <v>HARDCASTLE</v>
      </c>
      <c r="D6972">
        <f>11</f>
        <v>11</v>
      </c>
      <c r="E6972" t="str">
        <f>"06 - B - 204 - Chrystina M Marchionne"</f>
        <v>06 - B - 204 - Chrystina M Marchionne</v>
      </c>
      <c r="F6972" t="str">
        <f>"AICE MEDIASTUDIES AS"</f>
        <v>AICE MEDIASTUDIES AS</v>
      </c>
      <c r="G6972" t="str">
        <f>"05-520"</f>
        <v>05-520</v>
      </c>
      <c r="H6972" t="str">
        <f>"B"</f>
        <v>B</v>
      </c>
    </row>
    <row r="6973" spans="1:8" x14ac:dyDescent="0.2">
      <c r="A6973" t="str">
        <f t="shared" si="2553"/>
        <v>0615023113</v>
      </c>
      <c r="B6973" t="str">
        <f t="shared" si="2554"/>
        <v>MAYA</v>
      </c>
      <c r="C6973" t="str">
        <f t="shared" si="2555"/>
        <v>HARDCASTLE</v>
      </c>
      <c r="D6973">
        <f>11</f>
        <v>11</v>
      </c>
      <c r="E6973" t="str">
        <f>"03 - A - 101 - Brian M Fitzgerald"</f>
        <v>03 - A - 101 - Brian M Fitzgerald</v>
      </c>
      <c r="F6973" t="str">
        <f>"SCULPT 1"</f>
        <v>SCULPT 1</v>
      </c>
      <c r="G6973" t="str">
        <f>"09-908"</f>
        <v>09-908</v>
      </c>
      <c r="H6973" t="str">
        <f>"A"</f>
        <v>A</v>
      </c>
    </row>
    <row r="6974" spans="1:8" x14ac:dyDescent="0.2">
      <c r="A6974" t="str">
        <f t="shared" si="2553"/>
        <v>0615023113</v>
      </c>
      <c r="B6974" t="str">
        <f t="shared" si="2554"/>
        <v>MAYA</v>
      </c>
      <c r="C6974" t="str">
        <f t="shared" si="2555"/>
        <v>HARDCASTLE</v>
      </c>
      <c r="D6974">
        <f>11</f>
        <v>11</v>
      </c>
      <c r="E6974" t="str">
        <f>"02 - A - 113 - Byron G Montenegro"</f>
        <v>02 - A - 113 - Byron G Montenegro</v>
      </c>
      <c r="F6974" t="str">
        <f>"NC STUDY HALL 1"</f>
        <v>NC STUDY HALL 1</v>
      </c>
      <c r="G6974" t="str">
        <f>"21-2144"</f>
        <v>21-2144</v>
      </c>
      <c r="H6974" t="str">
        <f>"A"</f>
        <v>A</v>
      </c>
    </row>
    <row r="6975" spans="1:8" x14ac:dyDescent="0.2">
      <c r="A6975" t="str">
        <f t="shared" si="2553"/>
        <v>0615023113</v>
      </c>
      <c r="B6975" t="str">
        <f t="shared" si="2554"/>
        <v>MAYA</v>
      </c>
      <c r="C6975" t="str">
        <f t="shared" si="2555"/>
        <v>HARDCASTLE</v>
      </c>
      <c r="D6975">
        <f>11</f>
        <v>11</v>
      </c>
      <c r="E6975" t="str">
        <f>"07 - B - 104 - Jerry S Jiampetti"</f>
        <v>07 - B - 104 - Jerry S Jiampetti</v>
      </c>
      <c r="F6975" t="str">
        <f>"AICE U.S. HIST 1 AS"</f>
        <v>AICE U.S. HIST 1 AS</v>
      </c>
      <c r="G6975" t="str">
        <f>"17-1751"</f>
        <v>17-1751</v>
      </c>
      <c r="H6975" t="str">
        <f>"B"</f>
        <v>B</v>
      </c>
    </row>
    <row r="6976" spans="1:8" x14ac:dyDescent="0.2">
      <c r="A6976" t="str">
        <f t="shared" si="2553"/>
        <v>0615023113</v>
      </c>
      <c r="B6976" t="str">
        <f t="shared" si="2554"/>
        <v>MAYA</v>
      </c>
      <c r="C6976" t="str">
        <f t="shared" si="2555"/>
        <v>HARDCASTLE</v>
      </c>
      <c r="D6976">
        <f>11</f>
        <v>11</v>
      </c>
      <c r="E6976" t="str">
        <f>"05 - B - 201 - Scott A Dethloff"</f>
        <v>05 - B - 201 - Scott A Dethloff</v>
      </c>
      <c r="F6976" t="str">
        <f>"AP CHEM"</f>
        <v>AP CHEM</v>
      </c>
      <c r="G6976" t="str">
        <f>"08-812"</f>
        <v>08-812</v>
      </c>
      <c r="H6976" t="str">
        <f>"B"</f>
        <v>B</v>
      </c>
    </row>
    <row r="6977" spans="1:8" x14ac:dyDescent="0.2">
      <c r="A6977" t="str">
        <f t="shared" si="2553"/>
        <v>0615023113</v>
      </c>
      <c r="B6977" t="str">
        <f t="shared" si="2554"/>
        <v>MAYA</v>
      </c>
      <c r="C6977" t="str">
        <f t="shared" si="2555"/>
        <v>HARDCASTLE</v>
      </c>
      <c r="D6977">
        <f>11</f>
        <v>11</v>
      </c>
      <c r="E6977" t="str">
        <f>"01 - A - 101 - Brandy N Zdenek"</f>
        <v>01 - A - 101 - Brandy N Zdenek</v>
      </c>
      <c r="F6977" t="str">
        <f>"AICE ENG LANG 2 AL"</f>
        <v>AICE ENG LANG 2 AL</v>
      </c>
      <c r="G6977" t="str">
        <f>"17-1704"</f>
        <v>17-1704</v>
      </c>
      <c r="H6977" t="str">
        <f>"A"</f>
        <v>A</v>
      </c>
    </row>
    <row r="6978" spans="1:8" x14ac:dyDescent="0.2">
      <c r="A6978" t="str">
        <f t="shared" si="2553"/>
        <v>0615023113</v>
      </c>
      <c r="B6978" t="str">
        <f t="shared" si="2554"/>
        <v>MAYA</v>
      </c>
      <c r="C6978" t="str">
        <f t="shared" si="2555"/>
        <v>HARDCASTLE</v>
      </c>
      <c r="D6978">
        <f>11</f>
        <v>11</v>
      </c>
      <c r="E6978" t="str">
        <f>"08 - B - 202 - Krystal Marie  Beruty"</f>
        <v>08 - B - 202 - Krystal Marie  Beruty</v>
      </c>
      <c r="F6978" t="str">
        <f>"AICE PSYCH 1 AS"</f>
        <v>AICE PSYCH 1 AS</v>
      </c>
      <c r="G6978" t="str">
        <f>"17-1721"</f>
        <v>17-1721</v>
      </c>
      <c r="H6978" t="str">
        <f>"B"</f>
        <v>B</v>
      </c>
    </row>
    <row r="6979" spans="1:8" x14ac:dyDescent="0.2">
      <c r="A6979" t="str">
        <f t="shared" ref="A6979:A6986" si="2556">"0623101935"</f>
        <v>0623101935</v>
      </c>
      <c r="B6979" t="str">
        <f t="shared" ref="B6979:B6986" si="2557">"KENDEARIS"</f>
        <v>KENDEARIS</v>
      </c>
      <c r="C6979" t="str">
        <f t="shared" ref="C6979:C6996" si="2558">"HARDEN"</f>
        <v>HARDEN</v>
      </c>
      <c r="D6979">
        <f>10</f>
        <v>10</v>
      </c>
      <c r="E6979" t="str">
        <f>"04 - S1 - A - 101 - Kyle  Robbins"</f>
        <v>04 - S1 - A - 101 - Kyle  Robbins</v>
      </c>
      <c r="F6979" t="str">
        <f>"PERS FIN &amp; MON MGT H"</f>
        <v>PERS FIN &amp; MON MGT H</v>
      </c>
      <c r="G6979" t="str">
        <f>"17-1745"</f>
        <v>17-1745</v>
      </c>
      <c r="H6979" t="str">
        <f>"A"</f>
        <v>A</v>
      </c>
    </row>
    <row r="6980" spans="1:8" x14ac:dyDescent="0.2">
      <c r="A6980" t="str">
        <f t="shared" si="2556"/>
        <v>0623101935</v>
      </c>
      <c r="B6980" t="str">
        <f t="shared" si="2557"/>
        <v>KENDEARIS</v>
      </c>
      <c r="C6980" t="str">
        <f t="shared" si="2558"/>
        <v>HARDEN</v>
      </c>
      <c r="D6980">
        <f>10</f>
        <v>10</v>
      </c>
      <c r="E6980" t="str">
        <f>"06 - B - 001 - Ferrie J Arostique"</f>
        <v>06 - B - 001 - Ferrie J Arostique</v>
      </c>
      <c r="F6980" t="str">
        <f>"NC STUDY HALL 1"</f>
        <v>NC STUDY HALL 1</v>
      </c>
      <c r="G6980" t="str">
        <f>"21-2139"</f>
        <v>21-2139</v>
      </c>
      <c r="H6980" t="str">
        <f>"B"</f>
        <v>B</v>
      </c>
    </row>
    <row r="6981" spans="1:8" x14ac:dyDescent="0.2">
      <c r="A6981" t="str">
        <f t="shared" si="2556"/>
        <v>0623101935</v>
      </c>
      <c r="B6981" t="str">
        <f t="shared" si="2557"/>
        <v>KENDEARIS</v>
      </c>
      <c r="C6981" t="str">
        <f t="shared" si="2558"/>
        <v>HARDEN</v>
      </c>
      <c r="D6981">
        <f>10</f>
        <v>10</v>
      </c>
      <c r="E6981" t="str">
        <f>"03 - A - 206 - Josiah I Lacy"</f>
        <v>03 - A - 206 - Josiah I Lacy</v>
      </c>
      <c r="F6981" t="str">
        <f>"BIOLOGY 1"</f>
        <v>BIOLOGY 1</v>
      </c>
      <c r="G6981" t="str">
        <f>"08-801"</f>
        <v>08-801</v>
      </c>
      <c r="H6981" t="str">
        <f>"A"</f>
        <v>A</v>
      </c>
    </row>
    <row r="6982" spans="1:8" x14ac:dyDescent="0.2">
      <c r="A6982" t="str">
        <f t="shared" si="2556"/>
        <v>0623101935</v>
      </c>
      <c r="B6982" t="str">
        <f t="shared" si="2557"/>
        <v>KENDEARIS</v>
      </c>
      <c r="C6982" t="str">
        <f t="shared" si="2558"/>
        <v>HARDEN</v>
      </c>
      <c r="D6982">
        <f>10</f>
        <v>10</v>
      </c>
      <c r="E6982" t="str">
        <f>"02 - A - 102 - Nikiel  Nesbeth"</f>
        <v>02 - A - 102 - Nikiel  Nesbeth</v>
      </c>
      <c r="F6982" t="str">
        <f>"ENG 2"</f>
        <v>ENG 2</v>
      </c>
      <c r="G6982" t="str">
        <f>"17-1705"</f>
        <v>17-1705</v>
      </c>
      <c r="H6982" t="str">
        <f>"A"</f>
        <v>A</v>
      </c>
    </row>
    <row r="6983" spans="1:8" x14ac:dyDescent="0.2">
      <c r="A6983" t="str">
        <f t="shared" si="2556"/>
        <v>0623101935</v>
      </c>
      <c r="B6983" t="str">
        <f t="shared" si="2557"/>
        <v>KENDEARIS</v>
      </c>
      <c r="C6983" t="str">
        <f t="shared" si="2558"/>
        <v>HARDEN</v>
      </c>
      <c r="D6983">
        <f>10</f>
        <v>10</v>
      </c>
      <c r="E6983" t="str">
        <f>"07 - B - 106 - Taraneh C Abreu"</f>
        <v>07 - B - 106 - Taraneh C Abreu</v>
      </c>
      <c r="F6983" t="str">
        <f>"INTENS READ 2"</f>
        <v>INTENS READ 2</v>
      </c>
      <c r="G6983" t="str">
        <f>"17-1713"</f>
        <v>17-1713</v>
      </c>
      <c r="H6983" t="str">
        <f>"B"</f>
        <v>B</v>
      </c>
    </row>
    <row r="6984" spans="1:8" x14ac:dyDescent="0.2">
      <c r="A6984" t="str">
        <f t="shared" si="2556"/>
        <v>0623101935</v>
      </c>
      <c r="B6984" t="str">
        <f t="shared" si="2557"/>
        <v>KENDEARIS</v>
      </c>
      <c r="C6984" t="str">
        <f t="shared" si="2558"/>
        <v>HARDEN</v>
      </c>
      <c r="D6984">
        <f>10</f>
        <v>10</v>
      </c>
      <c r="E6984" t="str">
        <f>"05 - B - 106 - Fernando  Vega-Cid"</f>
        <v>05 - B - 106 - Fernando  Vega-Cid</v>
      </c>
      <c r="F6984" t="str">
        <f>"GEOMETRY"</f>
        <v>GEOMETRY</v>
      </c>
      <c r="G6984" t="str">
        <f>"21-2163"</f>
        <v>21-2163</v>
      </c>
      <c r="H6984" t="str">
        <f>"B"</f>
        <v>B</v>
      </c>
    </row>
    <row r="6985" spans="1:8" x14ac:dyDescent="0.2">
      <c r="A6985" t="str">
        <f t="shared" si="2556"/>
        <v>0623101935</v>
      </c>
      <c r="B6985" t="str">
        <f t="shared" si="2557"/>
        <v>KENDEARIS</v>
      </c>
      <c r="C6985" t="str">
        <f t="shared" si="2558"/>
        <v>HARDEN</v>
      </c>
      <c r="D6985">
        <f>10</f>
        <v>10</v>
      </c>
      <c r="E6985" t="str">
        <f>"01 - A - 101 - Adam Marcus  Drucker"</f>
        <v>01 - A - 101 - Adam Marcus  Drucker</v>
      </c>
      <c r="F6985" t="str">
        <f>"HOPE-PE V"</f>
        <v>HOPE-PE V</v>
      </c>
      <c r="G6985" t="str">
        <f>"04-254"</f>
        <v>04-254</v>
      </c>
      <c r="H6985" t="str">
        <f>"A"</f>
        <v>A</v>
      </c>
    </row>
    <row r="6986" spans="1:8" x14ac:dyDescent="0.2">
      <c r="A6986" t="str">
        <f t="shared" si="2556"/>
        <v>0623101935</v>
      </c>
      <c r="B6986" t="str">
        <f t="shared" si="2557"/>
        <v>KENDEARIS</v>
      </c>
      <c r="C6986" t="str">
        <f t="shared" si="2558"/>
        <v>HARDEN</v>
      </c>
      <c r="D6986">
        <f>10</f>
        <v>10</v>
      </c>
      <c r="E6986" t="str">
        <f>"08 - S1 - B - 104 - Angela S Adeshina-Morrison"</f>
        <v>08 - S1 - B - 104 - Angela S Adeshina-Morrison</v>
      </c>
      <c r="F6986" t="str">
        <f>"PEER COUN 1"</f>
        <v>PEER COUN 1</v>
      </c>
      <c r="G6986" t="str">
        <f>"05-518"</f>
        <v>05-518</v>
      </c>
      <c r="H6986" t="str">
        <f>"B"</f>
        <v>B</v>
      </c>
    </row>
    <row r="6987" spans="1:8" x14ac:dyDescent="0.2">
      <c r="A6987" t="str">
        <f t="shared" ref="A6987:A6996" si="2559">"0623101938"</f>
        <v>0623101938</v>
      </c>
      <c r="B6987" t="str">
        <f t="shared" ref="B6987:B6996" si="2560">"TARONE"</f>
        <v>TARONE</v>
      </c>
      <c r="C6987" t="str">
        <f t="shared" si="2558"/>
        <v>HARDEN</v>
      </c>
      <c r="D6987" t="str">
        <f t="shared" ref="D6987:D6996" si="2561">"09"</f>
        <v>09</v>
      </c>
      <c r="E6987" t="str">
        <f>"04 - A - 104 - Adam Marcus  Drucker"</f>
        <v>04 - A - 104 - Adam Marcus  Drucker</v>
      </c>
      <c r="F6987" t="str">
        <f>"HOPE-PE V"</f>
        <v>HOPE-PE V</v>
      </c>
      <c r="G6987" t="str">
        <f>"04-254"</f>
        <v>04-254</v>
      </c>
      <c r="H6987" t="str">
        <f>"A"</f>
        <v>A</v>
      </c>
    </row>
    <row r="6988" spans="1:8" x14ac:dyDescent="0.2">
      <c r="A6988" t="str">
        <f t="shared" si="2559"/>
        <v>0623101938</v>
      </c>
      <c r="B6988" t="str">
        <f t="shared" si="2560"/>
        <v>TARONE</v>
      </c>
      <c r="C6988" t="str">
        <f t="shared" si="2558"/>
        <v>HARDEN</v>
      </c>
      <c r="D6988" t="str">
        <f t="shared" si="2561"/>
        <v>09</v>
      </c>
      <c r="E6988" t="str">
        <f>"06 - B - 002 - Amy Beth  Broyles"</f>
        <v>06 - B - 002 - Amy Beth  Broyles</v>
      </c>
      <c r="F6988" t="str">
        <f>"ENV SCI"</f>
        <v>ENV SCI</v>
      </c>
      <c r="G6988" t="str">
        <f>"08-802"</f>
        <v>08-802</v>
      </c>
      <c r="H6988" t="str">
        <f>"B"</f>
        <v>B</v>
      </c>
    </row>
    <row r="6989" spans="1:8" x14ac:dyDescent="0.2">
      <c r="A6989" t="str">
        <f t="shared" si="2559"/>
        <v>0623101938</v>
      </c>
      <c r="B6989" t="str">
        <f t="shared" si="2560"/>
        <v>TARONE</v>
      </c>
      <c r="C6989" t="str">
        <f t="shared" si="2558"/>
        <v>HARDEN</v>
      </c>
      <c r="D6989" t="str">
        <f t="shared" si="2561"/>
        <v>09</v>
      </c>
      <c r="E6989" t="str">
        <f>"03 - A - 109 - Lissa C Frederique"</f>
        <v>03 - A - 109 - Lissa C Frederique</v>
      </c>
      <c r="F6989" t="str">
        <f>"WORLD HISTORY"</f>
        <v>WORLD HISTORY</v>
      </c>
      <c r="G6989" t="str">
        <f>"17-1754"</f>
        <v>17-1754</v>
      </c>
      <c r="H6989" t="str">
        <f>"A"</f>
        <v>A</v>
      </c>
    </row>
    <row r="6990" spans="1:8" x14ac:dyDescent="0.2">
      <c r="A6990" t="str">
        <f t="shared" si="2559"/>
        <v>0623101938</v>
      </c>
      <c r="B6990" t="str">
        <f t="shared" si="2560"/>
        <v>TARONE</v>
      </c>
      <c r="C6990" t="str">
        <f t="shared" si="2558"/>
        <v>HARDEN</v>
      </c>
      <c r="D6990" t="str">
        <f t="shared" si="2561"/>
        <v>09</v>
      </c>
      <c r="E6990" t="str">
        <f>"02 - A - 114 - Laselleda D Shaw"</f>
        <v>02 - A - 114 - Laselleda D Shaw</v>
      </c>
      <c r="F6990" t="str">
        <f>"NC STUDY HALL 1"</f>
        <v>NC STUDY HALL 1</v>
      </c>
      <c r="G6990" t="str">
        <f>"17-1723"</f>
        <v>17-1723</v>
      </c>
      <c r="H6990" t="str">
        <f>"A"</f>
        <v>A</v>
      </c>
    </row>
    <row r="6991" spans="1:8" x14ac:dyDescent="0.2">
      <c r="A6991" t="str">
        <f t="shared" si="2559"/>
        <v>0623101938</v>
      </c>
      <c r="B6991" t="str">
        <f t="shared" si="2560"/>
        <v>TARONE</v>
      </c>
      <c r="C6991" t="str">
        <f t="shared" si="2558"/>
        <v>HARDEN</v>
      </c>
      <c r="D6991" t="str">
        <f t="shared" si="2561"/>
        <v>09</v>
      </c>
      <c r="E6991" t="str">
        <f>"02 - A - 102 - Eric  Lopapa"</f>
        <v>02 - A - 102 - Eric  Lopapa</v>
      </c>
      <c r="F6991" t="str">
        <f>"LANG THERAPY"</f>
        <v>LANG THERAPY</v>
      </c>
      <c r="G6991" t="str">
        <f>"21-2110"</f>
        <v>21-2110</v>
      </c>
      <c r="H6991" t="str">
        <f>"A"</f>
        <v>A</v>
      </c>
    </row>
    <row r="6992" spans="1:8" x14ac:dyDescent="0.2">
      <c r="A6992" t="str">
        <f t="shared" si="2559"/>
        <v>0623101938</v>
      </c>
      <c r="B6992" t="str">
        <f t="shared" si="2560"/>
        <v>TARONE</v>
      </c>
      <c r="C6992" t="str">
        <f t="shared" si="2558"/>
        <v>HARDEN</v>
      </c>
      <c r="D6992" t="str">
        <f t="shared" si="2561"/>
        <v>09</v>
      </c>
      <c r="E6992" t="str">
        <f>"02 - A - 102 - Eric  Lopapa"</f>
        <v>02 - A - 102 - Eric  Lopapa</v>
      </c>
      <c r="F6992" t="str">
        <f>"SPEECH THRPY"</f>
        <v>SPEECH THRPY</v>
      </c>
      <c r="G6992" t="str">
        <f>"21-2110"</f>
        <v>21-2110</v>
      </c>
      <c r="H6992" t="str">
        <f>"A"</f>
        <v>A</v>
      </c>
    </row>
    <row r="6993" spans="1:8" x14ac:dyDescent="0.2">
      <c r="A6993" t="str">
        <f t="shared" si="2559"/>
        <v>0623101938</v>
      </c>
      <c r="B6993" t="str">
        <f t="shared" si="2560"/>
        <v>TARONE</v>
      </c>
      <c r="C6993" t="str">
        <f t="shared" si="2558"/>
        <v>HARDEN</v>
      </c>
      <c r="D6993" t="str">
        <f t="shared" si="2561"/>
        <v>09</v>
      </c>
      <c r="E6993" t="str">
        <f>"07 - B - 106 - Dayna M Foster"</f>
        <v>07 - B - 106 - Dayna M Foster</v>
      </c>
      <c r="F6993" t="str">
        <f>"FDN SKLS MATH 9-12"</f>
        <v>FDN SKLS MATH 9-12</v>
      </c>
      <c r="G6993" t="str">
        <f>"21-2109"</f>
        <v>21-2109</v>
      </c>
      <c r="H6993" t="str">
        <f>"B"</f>
        <v>B</v>
      </c>
    </row>
    <row r="6994" spans="1:8" x14ac:dyDescent="0.2">
      <c r="A6994" t="str">
        <f t="shared" si="2559"/>
        <v>0623101938</v>
      </c>
      <c r="B6994" t="str">
        <f t="shared" si="2560"/>
        <v>TARONE</v>
      </c>
      <c r="C6994" t="str">
        <f t="shared" si="2558"/>
        <v>HARDEN</v>
      </c>
      <c r="D6994" t="str">
        <f t="shared" si="2561"/>
        <v>09</v>
      </c>
      <c r="E6994" t="str">
        <f>"05 - B - 104 - Cerine S Stewart"</f>
        <v>05 - B - 104 - Cerine S Stewart</v>
      </c>
      <c r="F6994" t="str">
        <f>"ENG 1"</f>
        <v>ENG 1</v>
      </c>
      <c r="G6994" t="str">
        <f>"17-1720"</f>
        <v>17-1720</v>
      </c>
      <c r="H6994" t="str">
        <f>"B"</f>
        <v>B</v>
      </c>
    </row>
    <row r="6995" spans="1:8" x14ac:dyDescent="0.2">
      <c r="A6995" t="str">
        <f t="shared" si="2559"/>
        <v>0623101938</v>
      </c>
      <c r="B6995" t="str">
        <f t="shared" si="2560"/>
        <v>TARONE</v>
      </c>
      <c r="C6995" t="str">
        <f t="shared" si="2558"/>
        <v>HARDEN</v>
      </c>
      <c r="D6995" t="str">
        <f t="shared" si="2561"/>
        <v>09</v>
      </c>
      <c r="E6995" t="str">
        <f>"01 - A - 108 - Dayna M Foster"</f>
        <v>01 - A - 108 - Dayna M Foster</v>
      </c>
      <c r="F6995" t="str">
        <f>"ALGEBRA 1"</f>
        <v>ALGEBRA 1</v>
      </c>
      <c r="G6995" t="str">
        <f>"21-2109"</f>
        <v>21-2109</v>
      </c>
      <c r="H6995" t="str">
        <f>"A"</f>
        <v>A</v>
      </c>
    </row>
    <row r="6996" spans="1:8" x14ac:dyDescent="0.2">
      <c r="A6996" t="str">
        <f t="shared" si="2559"/>
        <v>0623101938</v>
      </c>
      <c r="B6996" t="str">
        <f t="shared" si="2560"/>
        <v>TARONE</v>
      </c>
      <c r="C6996" t="str">
        <f t="shared" si="2558"/>
        <v>HARDEN</v>
      </c>
      <c r="D6996" t="str">
        <f t="shared" si="2561"/>
        <v>09</v>
      </c>
      <c r="E6996" t="str">
        <f>"08 - B - 106 - Laselleda D Shaw"</f>
        <v>08 - B - 106 - Laselleda D Shaw</v>
      </c>
      <c r="F6996" t="str">
        <f>"INTENS READ 1"</f>
        <v>INTENS READ 1</v>
      </c>
      <c r="G6996" t="str">
        <f>"17-1723"</f>
        <v>17-1723</v>
      </c>
      <c r="H6996" t="str">
        <f>"B"</f>
        <v>B</v>
      </c>
    </row>
    <row r="6997" spans="1:8" x14ac:dyDescent="0.2">
      <c r="A6997" t="str">
        <f t="shared" ref="A6997:A7005" si="2562">"0614029866"</f>
        <v>0614029866</v>
      </c>
      <c r="B6997" t="str">
        <f t="shared" ref="B6997:B7005" si="2563">"MARISSA"</f>
        <v>MARISSA</v>
      </c>
      <c r="C6997" t="str">
        <f t="shared" ref="C6997:C7005" si="2564">"HARDY"</f>
        <v>HARDY</v>
      </c>
      <c r="D6997">
        <f>12</f>
        <v>12</v>
      </c>
      <c r="E6997" t="str">
        <f>"19 - S1 - MTWHF - UF - Instructor UF"</f>
        <v>19 - S1 - MTWHF - UF - Instructor UF</v>
      </c>
      <c r="F6997" t="str">
        <f>"PERSONAL FAMILY HLTH"</f>
        <v>PERSONAL FAMILY HLTH</v>
      </c>
      <c r="G6997" t="str">
        <f>"60-DE"</f>
        <v>60-DE</v>
      </c>
      <c r="H6997" t="str">
        <f>"-"</f>
        <v>-</v>
      </c>
    </row>
    <row r="6998" spans="1:8" x14ac:dyDescent="0.2">
      <c r="A6998" t="str">
        <f t="shared" si="2562"/>
        <v>0614029866</v>
      </c>
      <c r="B6998" t="str">
        <f t="shared" si="2563"/>
        <v>MARISSA</v>
      </c>
      <c r="C6998" t="str">
        <f t="shared" si="2564"/>
        <v>HARDY</v>
      </c>
      <c r="D6998">
        <f>12</f>
        <v>12</v>
      </c>
      <c r="E6998" t="str">
        <f>"04 - S1 - A - 101 - Barbara L Segal"</f>
        <v>04 - S1 - A - 101 - Barbara L Segal</v>
      </c>
      <c r="F6998" t="str">
        <f>"AP US GOVT/POL"</f>
        <v>AP US GOVT/POL</v>
      </c>
      <c r="G6998" t="str">
        <f>"17-1742"</f>
        <v>17-1742</v>
      </c>
      <c r="H6998" t="str">
        <f>"A"</f>
        <v>A</v>
      </c>
    </row>
    <row r="6999" spans="1:8" x14ac:dyDescent="0.2">
      <c r="A6999" t="str">
        <f t="shared" si="2562"/>
        <v>0614029866</v>
      </c>
      <c r="B6999" t="str">
        <f t="shared" si="2563"/>
        <v>MARISSA</v>
      </c>
      <c r="C6999" t="str">
        <f t="shared" si="2564"/>
        <v>HARDY</v>
      </c>
      <c r="D6999">
        <f>12</f>
        <v>12</v>
      </c>
      <c r="E6999" t="str">
        <f>"06 - B - 109 - Carol S Moore"</f>
        <v>06 - B - 109 - Carol S Moore</v>
      </c>
      <c r="F6999" t="str">
        <f>"NC STUDY HALL 1"</f>
        <v>NC STUDY HALL 1</v>
      </c>
      <c r="G6999" t="str">
        <f>"17-1733"</f>
        <v>17-1733</v>
      </c>
      <c r="H6999" t="str">
        <f>"B"</f>
        <v>B</v>
      </c>
    </row>
    <row r="7000" spans="1:8" x14ac:dyDescent="0.2">
      <c r="A7000" t="str">
        <f t="shared" si="2562"/>
        <v>0614029866</v>
      </c>
      <c r="B7000" t="str">
        <f t="shared" si="2563"/>
        <v>MARISSA</v>
      </c>
      <c r="C7000" t="str">
        <f t="shared" si="2564"/>
        <v>HARDY</v>
      </c>
      <c r="D7000">
        <f>12</f>
        <v>12</v>
      </c>
      <c r="E7000" t="str">
        <f>"03 - A - 102 - Carleigh R Carmichael"</f>
        <v>03 - A - 102 - Carleigh R Carmichael</v>
      </c>
      <c r="F7000" t="str">
        <f>"LEADER STRATS HONORS"</f>
        <v>LEADER STRATS HONORS</v>
      </c>
      <c r="G7000" t="str">
        <f>"20-2072"</f>
        <v>20-2072</v>
      </c>
      <c r="H7000" t="str">
        <f>"A"</f>
        <v>A</v>
      </c>
    </row>
    <row r="7001" spans="1:8" x14ac:dyDescent="0.2">
      <c r="A7001" t="str">
        <f t="shared" si="2562"/>
        <v>0614029866</v>
      </c>
      <c r="B7001" t="str">
        <f t="shared" si="2563"/>
        <v>MARISSA</v>
      </c>
      <c r="C7001" t="str">
        <f t="shared" si="2564"/>
        <v>HARDY</v>
      </c>
      <c r="D7001">
        <f>12</f>
        <v>12</v>
      </c>
      <c r="E7001" t="str">
        <f>"02 - A - 204 - Jacqueline R Morphet"</f>
        <v>02 - A - 204 - Jacqueline R Morphet</v>
      </c>
      <c r="F7001" t="str">
        <f>"PHYSICS 1 HON"</f>
        <v>PHYSICS 1 HON</v>
      </c>
      <c r="G7001" t="str">
        <f>"21-2138"</f>
        <v>21-2138</v>
      </c>
      <c r="H7001" t="str">
        <f>"A"</f>
        <v>A</v>
      </c>
    </row>
    <row r="7002" spans="1:8" x14ac:dyDescent="0.2">
      <c r="A7002" t="str">
        <f t="shared" si="2562"/>
        <v>0614029866</v>
      </c>
      <c r="B7002" t="str">
        <f t="shared" si="2563"/>
        <v>MARISSA</v>
      </c>
      <c r="C7002" t="str">
        <f t="shared" si="2564"/>
        <v>HARDY</v>
      </c>
      <c r="D7002">
        <f>12</f>
        <v>12</v>
      </c>
      <c r="E7002" t="str">
        <f>"07 - B - 102 - Courtney E Hambright"</f>
        <v>07 - B - 102 - Courtney E Hambright</v>
      </c>
      <c r="F7002" t="str">
        <f>"AP ENG LIT COMPO"</f>
        <v>AP ENG LIT COMPO</v>
      </c>
      <c r="G7002" t="str">
        <f>"17-1711"</f>
        <v>17-1711</v>
      </c>
      <c r="H7002" t="str">
        <f>"B"</f>
        <v>B</v>
      </c>
    </row>
    <row r="7003" spans="1:8" x14ac:dyDescent="0.2">
      <c r="A7003" t="str">
        <f t="shared" si="2562"/>
        <v>0614029866</v>
      </c>
      <c r="B7003" t="str">
        <f t="shared" si="2563"/>
        <v>MARISSA</v>
      </c>
      <c r="C7003" t="str">
        <f t="shared" si="2564"/>
        <v>HARDY</v>
      </c>
      <c r="D7003">
        <f>12</f>
        <v>12</v>
      </c>
      <c r="E7003" t="str">
        <f>"05 - B - 102 - Dorothy D Moore"</f>
        <v>05 - B - 102 - Dorothy D Moore</v>
      </c>
      <c r="F7003" t="str">
        <f>"FORC SCI 1 LH"</f>
        <v>FORC SCI 1 LH</v>
      </c>
      <c r="G7003" t="str">
        <f>"08-803"</f>
        <v>08-803</v>
      </c>
      <c r="H7003" t="str">
        <f>"B"</f>
        <v>B</v>
      </c>
    </row>
    <row r="7004" spans="1:8" x14ac:dyDescent="0.2">
      <c r="A7004" t="str">
        <f t="shared" si="2562"/>
        <v>0614029866</v>
      </c>
      <c r="B7004" t="str">
        <f t="shared" si="2563"/>
        <v>MARISSA</v>
      </c>
      <c r="C7004" t="str">
        <f t="shared" si="2564"/>
        <v>HARDY</v>
      </c>
      <c r="D7004">
        <f>12</f>
        <v>12</v>
      </c>
      <c r="E7004" t="str">
        <f>"01 - A - 101 - Kelly N Panza"</f>
        <v>01 - A - 101 - Kelly N Panza</v>
      </c>
      <c r="F7004" t="str">
        <f>"AP HUMAN GEOG"</f>
        <v>AP HUMAN GEOG</v>
      </c>
      <c r="G7004" t="str">
        <f>"17-1753"</f>
        <v>17-1753</v>
      </c>
      <c r="H7004" t="str">
        <f>"A"</f>
        <v>A</v>
      </c>
    </row>
    <row r="7005" spans="1:8" x14ac:dyDescent="0.2">
      <c r="A7005" t="str">
        <f t="shared" si="2562"/>
        <v>0614029866</v>
      </c>
      <c r="B7005" t="str">
        <f t="shared" si="2563"/>
        <v>MARISSA</v>
      </c>
      <c r="C7005" t="str">
        <f t="shared" si="2564"/>
        <v>HARDY</v>
      </c>
      <c r="D7005">
        <f>12</f>
        <v>12</v>
      </c>
      <c r="E7005" t="str">
        <f>"08 - B - 107 - Taraneh C Abreu"</f>
        <v>08 - B - 107 - Taraneh C Abreu</v>
      </c>
      <c r="F7005" t="str">
        <f>"RESEARCH 1 LH"</f>
        <v>RESEARCH 1 LH</v>
      </c>
      <c r="G7005">
        <f>2041</f>
        <v>2041</v>
      </c>
      <c r="H7005" t="str">
        <f>"B"</f>
        <v>B</v>
      </c>
    </row>
    <row r="7006" spans="1:8" x14ac:dyDescent="0.2">
      <c r="A7006" t="str">
        <f t="shared" ref="A7006:A7013" si="2565">"0617040887"</f>
        <v>0617040887</v>
      </c>
      <c r="B7006" t="str">
        <f t="shared" ref="B7006:B7013" si="2566">"AUBREY"</f>
        <v>AUBREY</v>
      </c>
      <c r="C7006" t="str">
        <f t="shared" ref="C7006:C7013" si="2567">"HARGRAVE"</f>
        <v>HARGRAVE</v>
      </c>
      <c r="D7006" t="str">
        <f t="shared" ref="D7006:D7013" si="2568">"09"</f>
        <v>09</v>
      </c>
      <c r="E7006" t="str">
        <f>"04 - S1 - A - 101 - Leslie J Barton"</f>
        <v>04 - S1 - A - 101 - Leslie J Barton</v>
      </c>
      <c r="F7006" t="str">
        <f>"TEAM SPORTS 1"</f>
        <v>TEAM SPORTS 1</v>
      </c>
      <c r="G7006" t="str">
        <f>"04-254"</f>
        <v>04-254</v>
      </c>
      <c r="H7006" t="str">
        <f>"A"</f>
        <v>A</v>
      </c>
    </row>
    <row r="7007" spans="1:8" x14ac:dyDescent="0.2">
      <c r="A7007" t="str">
        <f t="shared" si="2565"/>
        <v>0617040887</v>
      </c>
      <c r="B7007" t="str">
        <f t="shared" si="2566"/>
        <v>AUBREY</v>
      </c>
      <c r="C7007" t="str">
        <f t="shared" si="2567"/>
        <v>HARGRAVE</v>
      </c>
      <c r="D7007" t="str">
        <f t="shared" si="2568"/>
        <v>09</v>
      </c>
      <c r="E7007" t="str">
        <f>"06 - B - 101 - Fernando  Vega-Cid"</f>
        <v>06 - B - 101 - Fernando  Vega-Cid</v>
      </c>
      <c r="F7007" t="str">
        <f>"PRE-AICE MATH 2 IG"</f>
        <v>PRE-AICE MATH 2 IG</v>
      </c>
      <c r="G7007" t="str">
        <f>"21-2163"</f>
        <v>21-2163</v>
      </c>
      <c r="H7007" t="str">
        <f>"B"</f>
        <v>B</v>
      </c>
    </row>
    <row r="7008" spans="1:8" x14ac:dyDescent="0.2">
      <c r="A7008" t="str">
        <f t="shared" si="2565"/>
        <v>0617040887</v>
      </c>
      <c r="B7008" t="str">
        <f t="shared" si="2566"/>
        <v>AUBREY</v>
      </c>
      <c r="C7008" t="str">
        <f t="shared" si="2567"/>
        <v>HARGRAVE</v>
      </c>
      <c r="D7008" t="str">
        <f t="shared" si="2568"/>
        <v>09</v>
      </c>
      <c r="E7008" t="str">
        <f>"03 - A - 005 - Cerine S Stewart"</f>
        <v>03 - A - 005 - Cerine S Stewart</v>
      </c>
      <c r="F7008" t="str">
        <f>"AICE ENG GEN PAPER 1"</f>
        <v>AICE ENG GEN PAPER 1</v>
      </c>
      <c r="G7008" t="str">
        <f>"17-1720"</f>
        <v>17-1720</v>
      </c>
      <c r="H7008" t="str">
        <f>"A"</f>
        <v>A</v>
      </c>
    </row>
    <row r="7009" spans="1:8" x14ac:dyDescent="0.2">
      <c r="A7009" t="str">
        <f t="shared" si="2565"/>
        <v>0617040887</v>
      </c>
      <c r="B7009" t="str">
        <f t="shared" si="2566"/>
        <v>AUBREY</v>
      </c>
      <c r="C7009" t="str">
        <f t="shared" si="2567"/>
        <v>HARGRAVE</v>
      </c>
      <c r="D7009" t="str">
        <f t="shared" si="2568"/>
        <v>09</v>
      </c>
      <c r="E7009" t="str">
        <f>"02 - A - 108 - Rory T Sponsler"</f>
        <v>02 - A - 108 - Rory T Sponsler</v>
      </c>
      <c r="F7009" t="str">
        <f>"NC STUDY HALL 1"</f>
        <v>NC STUDY HALL 1</v>
      </c>
      <c r="G7009" t="str">
        <f>"17-1740"</f>
        <v>17-1740</v>
      </c>
      <c r="H7009" t="str">
        <f>"A"</f>
        <v>A</v>
      </c>
    </row>
    <row r="7010" spans="1:8" x14ac:dyDescent="0.2">
      <c r="A7010" t="str">
        <f t="shared" si="2565"/>
        <v>0617040887</v>
      </c>
      <c r="B7010" t="str">
        <f t="shared" si="2566"/>
        <v>AUBREY</v>
      </c>
      <c r="C7010" t="str">
        <f t="shared" si="2567"/>
        <v>HARGRAVE</v>
      </c>
      <c r="D7010" t="str">
        <f t="shared" si="2568"/>
        <v>09</v>
      </c>
      <c r="E7010" t="str">
        <f>"07 - B - 105 - Joe  Kilpatrick Jr"</f>
        <v>07 - B - 105 - Joe  Kilpatrick Jr</v>
      </c>
      <c r="F7010" t="str">
        <f>"PRE-AICE SPAN 1 IG"</f>
        <v>PRE-AICE SPAN 1 IG</v>
      </c>
      <c r="G7010" t="str">
        <f>"09-912"</f>
        <v>09-912</v>
      </c>
      <c r="H7010" t="str">
        <f>"B"</f>
        <v>B</v>
      </c>
    </row>
    <row r="7011" spans="1:8" x14ac:dyDescent="0.2">
      <c r="A7011" t="str">
        <f t="shared" si="2565"/>
        <v>0617040887</v>
      </c>
      <c r="B7011" t="str">
        <f t="shared" si="2566"/>
        <v>AUBREY</v>
      </c>
      <c r="C7011" t="str">
        <f t="shared" si="2567"/>
        <v>HARGRAVE</v>
      </c>
      <c r="D7011" t="str">
        <f t="shared" si="2568"/>
        <v>09</v>
      </c>
      <c r="E7011" t="str">
        <f>"05 - B - 102 - Emmily A Sarmiento"</f>
        <v>05 - B - 102 - Emmily A Sarmiento</v>
      </c>
      <c r="F7011" t="str">
        <f>"LEAD SKLS DEV LH"</f>
        <v>LEAD SKLS DEV LH</v>
      </c>
      <c r="G7011" t="str">
        <f>"17-1743"</f>
        <v>17-1743</v>
      </c>
      <c r="H7011" t="str">
        <f>"B"</f>
        <v>B</v>
      </c>
    </row>
    <row r="7012" spans="1:8" x14ac:dyDescent="0.2">
      <c r="A7012" t="str">
        <f t="shared" si="2565"/>
        <v>0617040887</v>
      </c>
      <c r="B7012" t="str">
        <f t="shared" si="2566"/>
        <v>AUBREY</v>
      </c>
      <c r="C7012" t="str">
        <f t="shared" si="2567"/>
        <v>HARGRAVE</v>
      </c>
      <c r="D7012" t="str">
        <f t="shared" si="2568"/>
        <v>09</v>
      </c>
      <c r="E7012" t="str">
        <f>"01 - A - 101 - Rory T Sponsler"</f>
        <v>01 - A - 101 - Rory T Sponsler</v>
      </c>
      <c r="F7012" t="str">
        <f>"PRE-AICE WRLD HST IG"</f>
        <v>PRE-AICE WRLD HST IG</v>
      </c>
      <c r="G7012" t="str">
        <f>"17-1740"</f>
        <v>17-1740</v>
      </c>
      <c r="H7012" t="str">
        <f>"A"</f>
        <v>A</v>
      </c>
    </row>
    <row r="7013" spans="1:8" x14ac:dyDescent="0.2">
      <c r="A7013" t="str">
        <f t="shared" si="2565"/>
        <v>0617040887</v>
      </c>
      <c r="B7013" t="str">
        <f t="shared" si="2566"/>
        <v>AUBREY</v>
      </c>
      <c r="C7013" t="str">
        <f t="shared" si="2567"/>
        <v>HARGRAVE</v>
      </c>
      <c r="D7013" t="str">
        <f t="shared" si="2568"/>
        <v>09</v>
      </c>
      <c r="E7013" t="str">
        <f>"08 - B - 202 - Dorothy D Moore"</f>
        <v>08 - B - 202 - Dorothy D Moore</v>
      </c>
      <c r="F7013" t="str">
        <f>"HEALTH SCI 1/A&amp;P HON"</f>
        <v>HEALTH SCI 1/A&amp;P HON</v>
      </c>
      <c r="G7013" t="str">
        <f>"08-803"</f>
        <v>08-803</v>
      </c>
      <c r="H7013" t="str">
        <f>"B"</f>
        <v>B</v>
      </c>
    </row>
    <row r="7014" spans="1:8" x14ac:dyDescent="0.2">
      <c r="A7014" t="str">
        <f t="shared" ref="A7014:A7021" si="2569">"0618101287"</f>
        <v>0618101287</v>
      </c>
      <c r="B7014" t="str">
        <f t="shared" ref="B7014:B7021" si="2570">"CHRISTINA"</f>
        <v>CHRISTINA</v>
      </c>
      <c r="C7014" t="str">
        <f t="shared" ref="C7014:C7045" si="2571">"HARRELL"</f>
        <v>HARRELL</v>
      </c>
      <c r="D7014">
        <f>12</f>
        <v>12</v>
      </c>
      <c r="E7014" t="str">
        <f>"04 - A - 101 - Alejandro  Navarro"</f>
        <v>04 - A - 101 - Alejandro  Navarro</v>
      </c>
      <c r="F7014" t="str">
        <f>"BAND 6 HON"</f>
        <v>BAND 6 HON</v>
      </c>
      <c r="G7014" t="str">
        <f>"05-504"</f>
        <v>05-504</v>
      </c>
      <c r="H7014" t="str">
        <f>"A"</f>
        <v>A</v>
      </c>
    </row>
    <row r="7015" spans="1:8" x14ac:dyDescent="0.2">
      <c r="A7015" t="str">
        <f t="shared" si="2569"/>
        <v>0618101287</v>
      </c>
      <c r="B7015" t="str">
        <f t="shared" si="2570"/>
        <v>CHRISTINA</v>
      </c>
      <c r="C7015" t="str">
        <f t="shared" si="2571"/>
        <v>HARRELL</v>
      </c>
      <c r="D7015">
        <f>12</f>
        <v>12</v>
      </c>
      <c r="E7015" t="str">
        <f>"06 - B - 111 - James H Mccann"</f>
        <v>06 - B - 111 - James H Mccann</v>
      </c>
      <c r="F7015" t="str">
        <f>"NC STUDY HALL 1"</f>
        <v>NC STUDY HALL 1</v>
      </c>
      <c r="G7015" t="str">
        <f>"17-1716"</f>
        <v>17-1716</v>
      </c>
      <c r="H7015" t="str">
        <f>"B"</f>
        <v>B</v>
      </c>
    </row>
    <row r="7016" spans="1:8" x14ac:dyDescent="0.2">
      <c r="A7016" t="str">
        <f t="shared" si="2569"/>
        <v>0618101287</v>
      </c>
      <c r="B7016" t="str">
        <f t="shared" si="2570"/>
        <v>CHRISTINA</v>
      </c>
      <c r="C7016" t="str">
        <f t="shared" si="2571"/>
        <v>HARRELL</v>
      </c>
      <c r="D7016">
        <f>12</f>
        <v>12</v>
      </c>
      <c r="E7016" t="str">
        <f>"03 - A - 101 - Scott A Dethloff"</f>
        <v>03 - A - 101 - Scott A Dethloff</v>
      </c>
      <c r="F7016" t="str">
        <f>"CHEMISTRY 1 HON"</f>
        <v>CHEMISTRY 1 HON</v>
      </c>
      <c r="G7016" t="str">
        <f>"08-812"</f>
        <v>08-812</v>
      </c>
      <c r="H7016" t="str">
        <f>"A"</f>
        <v>A</v>
      </c>
    </row>
    <row r="7017" spans="1:8" x14ac:dyDescent="0.2">
      <c r="A7017" t="str">
        <f t="shared" si="2569"/>
        <v>0618101287</v>
      </c>
      <c r="B7017" t="str">
        <f t="shared" si="2570"/>
        <v>CHRISTINA</v>
      </c>
      <c r="C7017" t="str">
        <f t="shared" si="2571"/>
        <v>HARRELL</v>
      </c>
      <c r="D7017">
        <f>12</f>
        <v>12</v>
      </c>
      <c r="E7017" t="str">
        <f>"02 - A - 102 - Marielle A Witting"</f>
        <v>02 - A - 102 - Marielle A Witting</v>
      </c>
      <c r="F7017" t="str">
        <f>"AP BIO"</f>
        <v>AP BIO</v>
      </c>
      <c r="G7017" t="str">
        <f>"08-805"</f>
        <v>08-805</v>
      </c>
      <c r="H7017" t="str">
        <f>"A"</f>
        <v>A</v>
      </c>
    </row>
    <row r="7018" spans="1:8" x14ac:dyDescent="0.2">
      <c r="A7018" t="str">
        <f t="shared" si="2569"/>
        <v>0618101287</v>
      </c>
      <c r="B7018" t="str">
        <f t="shared" si="2570"/>
        <v>CHRISTINA</v>
      </c>
      <c r="C7018" t="str">
        <f t="shared" si="2571"/>
        <v>HARRELL</v>
      </c>
      <c r="D7018">
        <f>12</f>
        <v>12</v>
      </c>
      <c r="E7018" t="str">
        <f>"07 - S1 - B - 102 - Barbara L Segal"</f>
        <v>07 - S1 - B - 102 - Barbara L Segal</v>
      </c>
      <c r="F7018" t="str">
        <f>"AP US GOVT/POL"</f>
        <v>AP US GOVT/POL</v>
      </c>
      <c r="G7018" t="str">
        <f>"17-1742"</f>
        <v>17-1742</v>
      </c>
      <c r="H7018" t="str">
        <f>"B"</f>
        <v>B</v>
      </c>
    </row>
    <row r="7019" spans="1:8" x14ac:dyDescent="0.2">
      <c r="A7019" t="str">
        <f t="shared" si="2569"/>
        <v>0618101287</v>
      </c>
      <c r="B7019" t="str">
        <f t="shared" si="2570"/>
        <v>CHRISTINA</v>
      </c>
      <c r="C7019" t="str">
        <f t="shared" si="2571"/>
        <v>HARRELL</v>
      </c>
      <c r="D7019">
        <f>12</f>
        <v>12</v>
      </c>
      <c r="E7019" t="str">
        <f>"05 - B - 101 - Alejandro  Navarro"</f>
        <v>05 - B - 101 - Alejandro  Navarro</v>
      </c>
      <c r="F7019" t="str">
        <f>"JAZZ ENS 1"</f>
        <v>JAZZ ENS 1</v>
      </c>
      <c r="G7019" t="str">
        <f>"05-504"</f>
        <v>05-504</v>
      </c>
      <c r="H7019" t="str">
        <f>"B"</f>
        <v>B</v>
      </c>
    </row>
    <row r="7020" spans="1:8" x14ac:dyDescent="0.2">
      <c r="A7020" t="str">
        <f t="shared" si="2569"/>
        <v>0618101287</v>
      </c>
      <c r="B7020" t="str">
        <f t="shared" si="2570"/>
        <v>CHRISTINA</v>
      </c>
      <c r="C7020" t="str">
        <f t="shared" si="2571"/>
        <v>HARRELL</v>
      </c>
      <c r="D7020">
        <f>12</f>
        <v>12</v>
      </c>
      <c r="E7020" t="str">
        <f>"01 - A - 204 - Tina M Jaramillo"</f>
        <v>01 - A - 204 - Tina M Jaramillo</v>
      </c>
      <c r="F7020" t="str">
        <f>"AP ENG LIT COMPO"</f>
        <v>AP ENG LIT COMPO</v>
      </c>
      <c r="G7020" t="str">
        <f>"17-1706"</f>
        <v>17-1706</v>
      </c>
      <c r="H7020" t="str">
        <f>"A"</f>
        <v>A</v>
      </c>
    </row>
    <row r="7021" spans="1:8" x14ac:dyDescent="0.2">
      <c r="A7021" t="str">
        <f t="shared" si="2569"/>
        <v>0618101287</v>
      </c>
      <c r="B7021" t="str">
        <f t="shared" si="2570"/>
        <v>CHRISTINA</v>
      </c>
      <c r="C7021" t="str">
        <f t="shared" si="2571"/>
        <v>HARRELL</v>
      </c>
      <c r="D7021">
        <f>12</f>
        <v>12</v>
      </c>
      <c r="E7021" t="str">
        <f>"08 - S1 - B - 104 - Leslie J Barton"</f>
        <v>08 - S1 - B - 104 - Leslie J Barton</v>
      </c>
      <c r="F7021" t="str">
        <f>"TEAM SPORTS 1"</f>
        <v>TEAM SPORTS 1</v>
      </c>
      <c r="G7021" t="str">
        <f>"04-254"</f>
        <v>04-254</v>
      </c>
      <c r="H7021" t="str">
        <f>"B"</f>
        <v>B</v>
      </c>
    </row>
    <row r="7022" spans="1:8" x14ac:dyDescent="0.2">
      <c r="A7022" t="str">
        <f t="shared" ref="A7022:A7029" si="2572">"0617102287"</f>
        <v>0617102287</v>
      </c>
      <c r="B7022" t="str">
        <f t="shared" ref="B7022:B7029" si="2573">"KIANA"</f>
        <v>KIANA</v>
      </c>
      <c r="C7022" t="str">
        <f t="shared" si="2571"/>
        <v>HARRELL</v>
      </c>
      <c r="D7022" t="str">
        <f t="shared" ref="D7022:D7037" si="2574">"09"</f>
        <v>09</v>
      </c>
      <c r="E7022" t="str">
        <f>"04 - A - 106 - Lissa C Frederique"</f>
        <v>04 - A - 106 - Lissa C Frederique</v>
      </c>
      <c r="F7022" t="str">
        <f>"WORLD HISTORY"</f>
        <v>WORLD HISTORY</v>
      </c>
      <c r="G7022" t="str">
        <f>"17-1754"</f>
        <v>17-1754</v>
      </c>
      <c r="H7022" t="str">
        <f>"A"</f>
        <v>A</v>
      </c>
    </row>
    <row r="7023" spans="1:8" x14ac:dyDescent="0.2">
      <c r="A7023" t="str">
        <f t="shared" si="2572"/>
        <v>0617102287</v>
      </c>
      <c r="B7023" t="str">
        <f t="shared" si="2573"/>
        <v>KIANA</v>
      </c>
      <c r="C7023" t="str">
        <f t="shared" si="2571"/>
        <v>HARRELL</v>
      </c>
      <c r="D7023" t="str">
        <f t="shared" si="2574"/>
        <v>09</v>
      </c>
      <c r="E7023" t="str">
        <f>"06 - B - 102 - Angela S Adeshina-Morrison"</f>
        <v>06 - B - 102 - Angela S Adeshina-Morrison</v>
      </c>
      <c r="F7023" t="str">
        <f>"MARKETING ESSENTIALS"</f>
        <v>MARKETING ESSENTIALS</v>
      </c>
      <c r="G7023" t="str">
        <f>"05-518"</f>
        <v>05-518</v>
      </c>
      <c r="H7023" t="str">
        <f>"B"</f>
        <v>B</v>
      </c>
    </row>
    <row r="7024" spans="1:8" x14ac:dyDescent="0.2">
      <c r="A7024" t="str">
        <f t="shared" si="2572"/>
        <v>0617102287</v>
      </c>
      <c r="B7024" t="str">
        <f t="shared" si="2573"/>
        <v>KIANA</v>
      </c>
      <c r="C7024" t="str">
        <f t="shared" si="2571"/>
        <v>HARRELL</v>
      </c>
      <c r="D7024" t="str">
        <f t="shared" si="2574"/>
        <v>09</v>
      </c>
      <c r="E7024" t="str">
        <f>"03 - A - 101 - Samantha L Martinez"</f>
        <v>03 - A - 101 - Samantha L Martinez</v>
      </c>
      <c r="F7024" t="str">
        <f>"VOCAL ENS 1"</f>
        <v>VOCAL ENS 1</v>
      </c>
      <c r="G7024" t="str">
        <f>"05-505"</f>
        <v>05-505</v>
      </c>
      <c r="H7024" t="str">
        <f>"A"</f>
        <v>A</v>
      </c>
    </row>
    <row r="7025" spans="1:8" x14ac:dyDescent="0.2">
      <c r="A7025" t="str">
        <f t="shared" si="2572"/>
        <v>0617102287</v>
      </c>
      <c r="B7025" t="str">
        <f t="shared" si="2573"/>
        <v>KIANA</v>
      </c>
      <c r="C7025" t="str">
        <f t="shared" si="2571"/>
        <v>HARRELL</v>
      </c>
      <c r="D7025" t="str">
        <f t="shared" si="2574"/>
        <v>09</v>
      </c>
      <c r="E7025" t="str">
        <f>"02 - A - 102 - Samantha J Headley"</f>
        <v>02 - A - 102 - Samantha J Headley</v>
      </c>
      <c r="F7025" t="str">
        <f>"NC STUDY HALL 1"</f>
        <v>NC STUDY HALL 1</v>
      </c>
      <c r="G7025" t="str">
        <f>"21-2134"</f>
        <v>21-2134</v>
      </c>
      <c r="H7025" t="str">
        <f>"A"</f>
        <v>A</v>
      </c>
    </row>
    <row r="7026" spans="1:8" x14ac:dyDescent="0.2">
      <c r="A7026" t="str">
        <f t="shared" si="2572"/>
        <v>0617102287</v>
      </c>
      <c r="B7026" t="str">
        <f t="shared" si="2573"/>
        <v>KIANA</v>
      </c>
      <c r="C7026" t="str">
        <f t="shared" si="2571"/>
        <v>HARRELL</v>
      </c>
      <c r="D7026" t="str">
        <f t="shared" si="2574"/>
        <v>09</v>
      </c>
      <c r="E7026" t="str">
        <f>"07 - B - 110 - Ferrie J Arostique"</f>
        <v>07 - B - 110 - Ferrie J Arostique</v>
      </c>
      <c r="F7026" t="str">
        <f>"GEOMETRY"</f>
        <v>GEOMETRY</v>
      </c>
      <c r="G7026" t="str">
        <f>"21-2139"</f>
        <v>21-2139</v>
      </c>
      <c r="H7026" t="str">
        <f>"B"</f>
        <v>B</v>
      </c>
    </row>
    <row r="7027" spans="1:8" x14ac:dyDescent="0.2">
      <c r="A7027" t="str">
        <f t="shared" si="2572"/>
        <v>0617102287</v>
      </c>
      <c r="B7027" t="str">
        <f t="shared" si="2573"/>
        <v>KIANA</v>
      </c>
      <c r="C7027" t="str">
        <f t="shared" si="2571"/>
        <v>HARRELL</v>
      </c>
      <c r="D7027" t="str">
        <f t="shared" si="2574"/>
        <v>09</v>
      </c>
      <c r="E7027" t="str">
        <f>"05 - S1 - B - 102 - Richard E Dunbar Iii"</f>
        <v>05 - S1 - B - 102 - Richard E Dunbar Iii</v>
      </c>
      <c r="F7027" t="str">
        <f>"TEAM SPORTS 1"</f>
        <v>TEAM SPORTS 1</v>
      </c>
      <c r="G7027" t="str">
        <f>"04-254"</f>
        <v>04-254</v>
      </c>
      <c r="H7027" t="str">
        <f>"B"</f>
        <v>B</v>
      </c>
    </row>
    <row r="7028" spans="1:8" x14ac:dyDescent="0.2">
      <c r="A7028" t="str">
        <f t="shared" si="2572"/>
        <v>0617102287</v>
      </c>
      <c r="B7028" t="str">
        <f t="shared" si="2573"/>
        <v>KIANA</v>
      </c>
      <c r="C7028" t="str">
        <f t="shared" si="2571"/>
        <v>HARRELL</v>
      </c>
      <c r="D7028" t="str">
        <f t="shared" si="2574"/>
        <v>09</v>
      </c>
      <c r="E7028" t="str">
        <f>"01 - A - 103 - Amy Beth  Broyles"</f>
        <v>01 - A - 103 - Amy Beth  Broyles</v>
      </c>
      <c r="F7028" t="str">
        <f>"ENV SCI"</f>
        <v>ENV SCI</v>
      </c>
      <c r="G7028" t="str">
        <f>"08-802"</f>
        <v>08-802</v>
      </c>
      <c r="H7028" t="str">
        <f>"A"</f>
        <v>A</v>
      </c>
    </row>
    <row r="7029" spans="1:8" x14ac:dyDescent="0.2">
      <c r="A7029" t="str">
        <f t="shared" si="2572"/>
        <v>0617102287</v>
      </c>
      <c r="B7029" t="str">
        <f t="shared" si="2573"/>
        <v>KIANA</v>
      </c>
      <c r="C7029" t="str">
        <f t="shared" si="2571"/>
        <v>HARRELL</v>
      </c>
      <c r="D7029" t="str">
        <f t="shared" si="2574"/>
        <v>09</v>
      </c>
      <c r="E7029" t="str">
        <f>"08 - B - 108 - Cerine S Stewart"</f>
        <v>08 - B - 108 - Cerine S Stewart</v>
      </c>
      <c r="F7029" t="str">
        <f>"ENG 1"</f>
        <v>ENG 1</v>
      </c>
      <c r="G7029" t="str">
        <f>"17-1720"</f>
        <v>17-1720</v>
      </c>
      <c r="H7029" t="str">
        <f>"B"</f>
        <v>B</v>
      </c>
    </row>
    <row r="7030" spans="1:8" x14ac:dyDescent="0.2">
      <c r="A7030" t="str">
        <f t="shared" ref="A7030:A7037" si="2575">"0617102566"</f>
        <v>0617102566</v>
      </c>
      <c r="B7030" t="str">
        <f t="shared" ref="B7030:B7037" si="2576">"KIARA"</f>
        <v>KIARA</v>
      </c>
      <c r="C7030" t="str">
        <f t="shared" si="2571"/>
        <v>HARRELL</v>
      </c>
      <c r="D7030" t="str">
        <f t="shared" si="2574"/>
        <v>09</v>
      </c>
      <c r="E7030" t="str">
        <f>"04 - A - 107 - Amy Beth  Broyles"</f>
        <v>04 - A - 107 - Amy Beth  Broyles</v>
      </c>
      <c r="F7030" t="str">
        <f>"ENV SCI"</f>
        <v>ENV SCI</v>
      </c>
      <c r="G7030" t="str">
        <f>"08-802"</f>
        <v>08-802</v>
      </c>
      <c r="H7030" t="str">
        <f>"A"</f>
        <v>A</v>
      </c>
    </row>
    <row r="7031" spans="1:8" x14ac:dyDescent="0.2">
      <c r="A7031" t="str">
        <f t="shared" si="2575"/>
        <v>0617102566</v>
      </c>
      <c r="B7031" t="str">
        <f t="shared" si="2576"/>
        <v>KIARA</v>
      </c>
      <c r="C7031" t="str">
        <f t="shared" si="2571"/>
        <v>HARRELL</v>
      </c>
      <c r="D7031" t="str">
        <f t="shared" si="2574"/>
        <v>09</v>
      </c>
      <c r="E7031" t="str">
        <f>"06 - S1 - B - 104 - Leslie J Barton"</f>
        <v>06 - S1 - B - 104 - Leslie J Barton</v>
      </c>
      <c r="F7031" t="str">
        <f>"FIRST AID SAFETY"</f>
        <v>FIRST AID SAFETY</v>
      </c>
      <c r="G7031" t="str">
        <f>"05-521"</f>
        <v>05-521</v>
      </c>
      <c r="H7031" t="str">
        <f>"B"</f>
        <v>B</v>
      </c>
    </row>
    <row r="7032" spans="1:8" x14ac:dyDescent="0.2">
      <c r="A7032" t="str">
        <f t="shared" si="2575"/>
        <v>0617102566</v>
      </c>
      <c r="B7032" t="str">
        <f t="shared" si="2576"/>
        <v>KIARA</v>
      </c>
      <c r="C7032" t="str">
        <f t="shared" si="2571"/>
        <v>HARRELL</v>
      </c>
      <c r="D7032" t="str">
        <f t="shared" si="2574"/>
        <v>09</v>
      </c>
      <c r="E7032" t="str">
        <f>"03 - A - 104 - Fernando  Vega-Cid"</f>
        <v>03 - A - 104 - Fernando  Vega-Cid</v>
      </c>
      <c r="F7032" t="str">
        <f>"GEOMETRY"</f>
        <v>GEOMETRY</v>
      </c>
      <c r="G7032" t="str">
        <f>"21-2163"</f>
        <v>21-2163</v>
      </c>
      <c r="H7032" t="str">
        <f>"A"</f>
        <v>A</v>
      </c>
    </row>
    <row r="7033" spans="1:8" x14ac:dyDescent="0.2">
      <c r="A7033" t="str">
        <f t="shared" si="2575"/>
        <v>0617102566</v>
      </c>
      <c r="B7033" t="str">
        <f t="shared" si="2576"/>
        <v>KIARA</v>
      </c>
      <c r="C7033" t="str">
        <f t="shared" si="2571"/>
        <v>HARRELL</v>
      </c>
      <c r="D7033" t="str">
        <f t="shared" si="2574"/>
        <v>09</v>
      </c>
      <c r="E7033" t="str">
        <f>"02 - A - 114 - Laselleda D Shaw"</f>
        <v>02 - A - 114 - Laselleda D Shaw</v>
      </c>
      <c r="F7033" t="str">
        <f>"NC STUDY HALL 1"</f>
        <v>NC STUDY HALL 1</v>
      </c>
      <c r="G7033" t="str">
        <f>"17-1723"</f>
        <v>17-1723</v>
      </c>
      <c r="H7033" t="str">
        <f>"A"</f>
        <v>A</v>
      </c>
    </row>
    <row r="7034" spans="1:8" x14ac:dyDescent="0.2">
      <c r="A7034" t="str">
        <f t="shared" si="2575"/>
        <v>0617102566</v>
      </c>
      <c r="B7034" t="str">
        <f t="shared" si="2576"/>
        <v>KIARA</v>
      </c>
      <c r="C7034" t="str">
        <f t="shared" si="2571"/>
        <v>HARRELL</v>
      </c>
      <c r="D7034" t="str">
        <f t="shared" si="2574"/>
        <v>09</v>
      </c>
      <c r="E7034" t="str">
        <f>"07 - B - 107 - Cerine S Stewart"</f>
        <v>07 - B - 107 - Cerine S Stewart</v>
      </c>
      <c r="F7034" t="str">
        <f>"ENG 1"</f>
        <v>ENG 1</v>
      </c>
      <c r="G7034" t="str">
        <f>"17-1720"</f>
        <v>17-1720</v>
      </c>
      <c r="H7034" t="str">
        <f>"B"</f>
        <v>B</v>
      </c>
    </row>
    <row r="7035" spans="1:8" x14ac:dyDescent="0.2">
      <c r="A7035" t="str">
        <f t="shared" si="2575"/>
        <v>0617102566</v>
      </c>
      <c r="B7035" t="str">
        <f t="shared" si="2576"/>
        <v>KIARA</v>
      </c>
      <c r="C7035" t="str">
        <f t="shared" si="2571"/>
        <v>HARRELL</v>
      </c>
      <c r="D7035" t="str">
        <f t="shared" si="2574"/>
        <v>09</v>
      </c>
      <c r="E7035" t="str">
        <f>"05 - S1 - B - 102 - Richard E Dunbar Iii"</f>
        <v>05 - S1 - B - 102 - Richard E Dunbar Iii</v>
      </c>
      <c r="F7035" t="str">
        <f>"TEAM SPORTS 1"</f>
        <v>TEAM SPORTS 1</v>
      </c>
      <c r="G7035" t="str">
        <f>"04-254"</f>
        <v>04-254</v>
      </c>
      <c r="H7035" t="str">
        <f>"B"</f>
        <v>B</v>
      </c>
    </row>
    <row r="7036" spans="1:8" x14ac:dyDescent="0.2">
      <c r="A7036" t="str">
        <f t="shared" si="2575"/>
        <v>0617102566</v>
      </c>
      <c r="B7036" t="str">
        <f t="shared" si="2576"/>
        <v>KIARA</v>
      </c>
      <c r="C7036" t="str">
        <f t="shared" si="2571"/>
        <v>HARRELL</v>
      </c>
      <c r="D7036" t="str">
        <f t="shared" si="2574"/>
        <v>09</v>
      </c>
      <c r="E7036" t="str">
        <f>"01 - A - 107 - Jazmin S Fletcher"</f>
        <v>01 - A - 107 - Jazmin S Fletcher</v>
      </c>
      <c r="F7036" t="str">
        <f>"WORLD HISTORY"</f>
        <v>WORLD HISTORY</v>
      </c>
      <c r="G7036" t="str">
        <f>"09-909"</f>
        <v>09-909</v>
      </c>
      <c r="H7036" t="str">
        <f>"A"</f>
        <v>A</v>
      </c>
    </row>
    <row r="7037" spans="1:8" x14ac:dyDescent="0.2">
      <c r="A7037" t="str">
        <f t="shared" si="2575"/>
        <v>0617102566</v>
      </c>
      <c r="B7037" t="str">
        <f t="shared" si="2576"/>
        <v>KIARA</v>
      </c>
      <c r="C7037" t="str">
        <f t="shared" si="2571"/>
        <v>HARRELL</v>
      </c>
      <c r="D7037" t="str">
        <f t="shared" si="2574"/>
        <v>09</v>
      </c>
      <c r="E7037" t="str">
        <f>"08 - S1 - B - 104 - Angela S Adeshina-Morrison"</f>
        <v>08 - S1 - B - 104 - Angela S Adeshina-Morrison</v>
      </c>
      <c r="F7037" t="str">
        <f>"PEER COUN 1"</f>
        <v>PEER COUN 1</v>
      </c>
      <c r="G7037" t="str">
        <f>"05-518"</f>
        <v>05-518</v>
      </c>
      <c r="H7037" t="str">
        <f>"B"</f>
        <v>B</v>
      </c>
    </row>
    <row r="7038" spans="1:8" x14ac:dyDescent="0.2">
      <c r="A7038" t="str">
        <f t="shared" ref="A7038:A7045" si="2577">"0615086121"</f>
        <v>0615086121</v>
      </c>
      <c r="B7038" t="str">
        <f t="shared" ref="B7038:B7045" si="2578">"KIMARA"</f>
        <v>KIMARA</v>
      </c>
      <c r="C7038" t="str">
        <f t="shared" si="2571"/>
        <v>HARRELL</v>
      </c>
      <c r="D7038">
        <f>10</f>
        <v>10</v>
      </c>
      <c r="E7038" t="str">
        <f>"04 - A - 102 - Daniel S Katz"</f>
        <v>04 - A - 102 - Daniel S Katz</v>
      </c>
      <c r="F7038" t="str">
        <f>"AICE DRAMA 1 AS LEV"</f>
        <v>AICE DRAMA 1 AS LEV</v>
      </c>
      <c r="G7038" t="str">
        <f>"05-521"</f>
        <v>05-521</v>
      </c>
      <c r="H7038" t="str">
        <f>"A"</f>
        <v>A</v>
      </c>
    </row>
    <row r="7039" spans="1:8" x14ac:dyDescent="0.2">
      <c r="A7039" t="str">
        <f t="shared" si="2577"/>
        <v>0615086121</v>
      </c>
      <c r="B7039" t="str">
        <f t="shared" si="2578"/>
        <v>KIMARA</v>
      </c>
      <c r="C7039" t="str">
        <f t="shared" si="2571"/>
        <v>HARRELL</v>
      </c>
      <c r="D7039">
        <f>10</f>
        <v>10</v>
      </c>
      <c r="E7039" t="str">
        <f>"06 - B - 116 - Jordana K Hass"</f>
        <v>06 - B - 116 - Jordana K Hass</v>
      </c>
      <c r="F7039" t="str">
        <f>"NC STUDY HALL 1"</f>
        <v>NC STUDY HALL 1</v>
      </c>
      <c r="G7039" t="str">
        <f>"08-807"</f>
        <v>08-807</v>
      </c>
      <c r="H7039" t="str">
        <f>"B"</f>
        <v>B</v>
      </c>
    </row>
    <row r="7040" spans="1:8" x14ac:dyDescent="0.2">
      <c r="A7040" t="str">
        <f t="shared" si="2577"/>
        <v>0615086121</v>
      </c>
      <c r="B7040" t="str">
        <f t="shared" si="2578"/>
        <v>KIMARA</v>
      </c>
      <c r="C7040" t="str">
        <f t="shared" si="2571"/>
        <v>HARRELL</v>
      </c>
      <c r="D7040">
        <f>10</f>
        <v>10</v>
      </c>
      <c r="E7040" t="str">
        <f>"03 - A - 204 - Norayda D Suarez"</f>
        <v>03 - A - 204 - Norayda D Suarez</v>
      </c>
      <c r="F7040" t="str">
        <f>"ANAT PHYSIO HON"</f>
        <v>ANAT PHYSIO HON</v>
      </c>
      <c r="G7040" t="str">
        <f>"21-2144"</f>
        <v>21-2144</v>
      </c>
      <c r="H7040" t="str">
        <f>"A"</f>
        <v>A</v>
      </c>
    </row>
    <row r="7041" spans="1:8" x14ac:dyDescent="0.2">
      <c r="A7041" t="str">
        <f t="shared" si="2577"/>
        <v>0615086121</v>
      </c>
      <c r="B7041" t="str">
        <f t="shared" si="2578"/>
        <v>KIMARA</v>
      </c>
      <c r="C7041" t="str">
        <f t="shared" si="2571"/>
        <v>HARRELL</v>
      </c>
      <c r="D7041">
        <f>10</f>
        <v>10</v>
      </c>
      <c r="E7041" t="str">
        <f>"02 - A - 103 - Lenecy  Nodarse"</f>
        <v>02 - A - 103 - Lenecy  Nodarse</v>
      </c>
      <c r="F7041" t="str">
        <f>"AICE EURO HIST 1 AS"</f>
        <v>AICE EURO HIST 1 AS</v>
      </c>
      <c r="G7041" t="str">
        <f>"17-1741"</f>
        <v>17-1741</v>
      </c>
      <c r="H7041" t="str">
        <f>"A"</f>
        <v>A</v>
      </c>
    </row>
    <row r="7042" spans="1:8" x14ac:dyDescent="0.2">
      <c r="A7042" t="str">
        <f t="shared" si="2577"/>
        <v>0615086121</v>
      </c>
      <c r="B7042" t="str">
        <f t="shared" si="2578"/>
        <v>KIMARA</v>
      </c>
      <c r="C7042" t="str">
        <f t="shared" si="2571"/>
        <v>HARRELL</v>
      </c>
      <c r="D7042">
        <f>10</f>
        <v>10</v>
      </c>
      <c r="E7042" t="str">
        <f>"07 - B - 107 - Jacklyn M James"</f>
        <v>07 - B - 107 - Jacklyn M James</v>
      </c>
      <c r="F7042" t="str">
        <f>"AICE ENG LANG AS"</f>
        <v>AICE ENG LANG AS</v>
      </c>
      <c r="G7042" t="str">
        <f>"17-1731"</f>
        <v>17-1731</v>
      </c>
      <c r="H7042" t="str">
        <f>"B"</f>
        <v>B</v>
      </c>
    </row>
    <row r="7043" spans="1:8" x14ac:dyDescent="0.2">
      <c r="A7043" t="str">
        <f t="shared" si="2577"/>
        <v>0615086121</v>
      </c>
      <c r="B7043" t="str">
        <f t="shared" si="2578"/>
        <v>KIMARA</v>
      </c>
      <c r="C7043" t="str">
        <f t="shared" si="2571"/>
        <v>HARRELL</v>
      </c>
      <c r="D7043">
        <f>10</f>
        <v>10</v>
      </c>
      <c r="E7043" t="str">
        <f>"05 - B - 001 - Stefanie S Scher"</f>
        <v>05 - B - 001 - Stefanie S Scher</v>
      </c>
      <c r="F7043" t="str">
        <f>"AICE PSYCH 1 AS"</f>
        <v>AICE PSYCH 1 AS</v>
      </c>
      <c r="G7043" t="str">
        <f>"17-1735"</f>
        <v>17-1735</v>
      </c>
      <c r="H7043" t="str">
        <f>"B"</f>
        <v>B</v>
      </c>
    </row>
    <row r="7044" spans="1:8" x14ac:dyDescent="0.2">
      <c r="A7044" t="str">
        <f t="shared" si="2577"/>
        <v>0615086121</v>
      </c>
      <c r="B7044" t="str">
        <f t="shared" si="2578"/>
        <v>KIMARA</v>
      </c>
      <c r="C7044" t="str">
        <f t="shared" si="2571"/>
        <v>HARRELL</v>
      </c>
      <c r="D7044">
        <f>10</f>
        <v>10</v>
      </c>
      <c r="E7044" t="str">
        <f>"01 - A - 101 - Thomas G Handwerg"</f>
        <v>01 - A - 101 - Thomas G Handwerg</v>
      </c>
      <c r="F7044" t="str">
        <f>"PROB STAT W/APPS HON"</f>
        <v>PROB STAT W/APPS HON</v>
      </c>
      <c r="G7044" t="str">
        <f>"21-2146"</f>
        <v>21-2146</v>
      </c>
      <c r="H7044" t="str">
        <f>"A"</f>
        <v>A</v>
      </c>
    </row>
    <row r="7045" spans="1:8" x14ac:dyDescent="0.2">
      <c r="A7045" t="str">
        <f t="shared" si="2577"/>
        <v>0615086121</v>
      </c>
      <c r="B7045" t="str">
        <f t="shared" si="2578"/>
        <v>KIMARA</v>
      </c>
      <c r="C7045" t="str">
        <f t="shared" si="2571"/>
        <v>HARRELL</v>
      </c>
      <c r="D7045">
        <f>10</f>
        <v>10</v>
      </c>
      <c r="E7045" t="str">
        <f>"08 - B - 206 - Daniel S Katz"</f>
        <v>08 - B - 206 - Daniel S Katz</v>
      </c>
      <c r="F7045" t="str">
        <f>"AICE MEDIASTUDIES AS"</f>
        <v>AICE MEDIASTUDIES AS</v>
      </c>
      <c r="G7045" t="str">
        <f>"05-521"</f>
        <v>05-521</v>
      </c>
      <c r="H7045" t="str">
        <f>"B"</f>
        <v>B</v>
      </c>
    </row>
    <row r="7046" spans="1:8" x14ac:dyDescent="0.2">
      <c r="A7046" t="str">
        <f t="shared" ref="A7046:A7053" si="2579">"0615093749"</f>
        <v>0615093749</v>
      </c>
      <c r="B7046" t="str">
        <f t="shared" ref="B7046:B7053" si="2580">"JACOBEN"</f>
        <v>JACOBEN</v>
      </c>
      <c r="C7046" t="str">
        <f t="shared" ref="C7046:C7078" si="2581">"HARRIS"</f>
        <v>HARRIS</v>
      </c>
      <c r="D7046" t="str">
        <f t="shared" ref="D7046:D7053" si="2582">"09"</f>
        <v>09</v>
      </c>
      <c r="E7046" t="str">
        <f>"04 - A - 101 - Chrystina M Marchionne"</f>
        <v>04 - A - 101 - Chrystina M Marchionne</v>
      </c>
      <c r="F7046" t="str">
        <f>"THEA CIN &amp; FILM LH"</f>
        <v>THEA CIN &amp; FILM LH</v>
      </c>
      <c r="G7046" t="str">
        <f>"05-520"</f>
        <v>05-520</v>
      </c>
      <c r="H7046" t="str">
        <f>"A"</f>
        <v>A</v>
      </c>
    </row>
    <row r="7047" spans="1:8" x14ac:dyDescent="0.2">
      <c r="A7047" t="str">
        <f t="shared" si="2579"/>
        <v>0615093749</v>
      </c>
      <c r="B7047" t="str">
        <f t="shared" si="2580"/>
        <v>JACOBEN</v>
      </c>
      <c r="C7047" t="str">
        <f t="shared" si="2581"/>
        <v>HARRIS</v>
      </c>
      <c r="D7047" t="str">
        <f t="shared" si="2582"/>
        <v>09</v>
      </c>
      <c r="E7047" t="str">
        <f>"06 - B - 106 - Marius D Orsolini"</f>
        <v>06 - B - 106 - Marius D Orsolini</v>
      </c>
      <c r="F7047" t="str">
        <f>"CULINARY ARTS 1"</f>
        <v>CULINARY ARTS 1</v>
      </c>
      <c r="G7047" t="str">
        <f>"21-2115"</f>
        <v>21-2115</v>
      </c>
      <c r="H7047" t="str">
        <f>"B"</f>
        <v>B</v>
      </c>
    </row>
    <row r="7048" spans="1:8" x14ac:dyDescent="0.2">
      <c r="A7048" t="str">
        <f t="shared" si="2579"/>
        <v>0615093749</v>
      </c>
      <c r="B7048" t="str">
        <f t="shared" si="2580"/>
        <v>JACOBEN</v>
      </c>
      <c r="C7048" t="str">
        <f t="shared" si="2581"/>
        <v>HARRIS</v>
      </c>
      <c r="D7048" t="str">
        <f t="shared" si="2582"/>
        <v>09</v>
      </c>
      <c r="E7048" t="str">
        <f>"03 - A - 203 - Elizabeth R Walker"</f>
        <v>03 - A - 203 - Elizabeth R Walker</v>
      </c>
      <c r="F7048" t="str">
        <f>"AICE ENG GEN PAPER 1"</f>
        <v>AICE ENG GEN PAPER 1</v>
      </c>
      <c r="G7048" t="str">
        <f>"17-1703"</f>
        <v>17-1703</v>
      </c>
      <c r="H7048" t="str">
        <f>"A"</f>
        <v>A</v>
      </c>
    </row>
    <row r="7049" spans="1:8" x14ac:dyDescent="0.2">
      <c r="A7049" t="str">
        <f t="shared" si="2579"/>
        <v>0615093749</v>
      </c>
      <c r="B7049" t="str">
        <f t="shared" si="2580"/>
        <v>JACOBEN</v>
      </c>
      <c r="C7049" t="str">
        <f t="shared" si="2581"/>
        <v>HARRIS</v>
      </c>
      <c r="D7049" t="str">
        <f t="shared" si="2582"/>
        <v>09</v>
      </c>
      <c r="E7049" t="str">
        <f>"02 - A - 113 - Amy Beth  Broyles"</f>
        <v>02 - A - 113 - Amy Beth  Broyles</v>
      </c>
      <c r="F7049" t="str">
        <f>"NC STUDY HALL 1"</f>
        <v>NC STUDY HALL 1</v>
      </c>
      <c r="G7049" t="str">
        <f>"08-802"</f>
        <v>08-802</v>
      </c>
      <c r="H7049" t="str">
        <f>"A"</f>
        <v>A</v>
      </c>
    </row>
    <row r="7050" spans="1:8" x14ac:dyDescent="0.2">
      <c r="A7050" t="str">
        <f t="shared" si="2579"/>
        <v>0615093749</v>
      </c>
      <c r="B7050" t="str">
        <f t="shared" si="2580"/>
        <v>JACOBEN</v>
      </c>
      <c r="C7050" t="str">
        <f t="shared" si="2581"/>
        <v>HARRIS</v>
      </c>
      <c r="D7050" t="str">
        <f t="shared" si="2582"/>
        <v>09</v>
      </c>
      <c r="E7050" t="str">
        <f>"07 - B - 206 - Cheryl L Beach"</f>
        <v>07 - B - 206 - Cheryl L Beach</v>
      </c>
      <c r="F7050" t="str">
        <f>"AICE ENV MGMNT AS"</f>
        <v>AICE ENV MGMNT AS</v>
      </c>
      <c r="G7050" t="str">
        <f>"08-811"</f>
        <v>08-811</v>
      </c>
      <c r="H7050" t="str">
        <f>"B"</f>
        <v>B</v>
      </c>
    </row>
    <row r="7051" spans="1:8" x14ac:dyDescent="0.2">
      <c r="A7051" t="str">
        <f t="shared" si="2579"/>
        <v>0615093749</v>
      </c>
      <c r="B7051" t="str">
        <f t="shared" si="2580"/>
        <v>JACOBEN</v>
      </c>
      <c r="C7051" t="str">
        <f t="shared" si="2581"/>
        <v>HARRIS</v>
      </c>
      <c r="D7051" t="str">
        <f t="shared" si="2582"/>
        <v>09</v>
      </c>
      <c r="E7051" t="str">
        <f>"05 - B - 103 - Josiah I Lacy"</f>
        <v>05 - B - 103 - Josiah I Lacy</v>
      </c>
      <c r="F7051" t="str">
        <f>"PRE-AICE BIO IG"</f>
        <v>PRE-AICE BIO IG</v>
      </c>
      <c r="G7051" t="str">
        <f>"08-801"</f>
        <v>08-801</v>
      </c>
      <c r="H7051" t="str">
        <f>"B"</f>
        <v>B</v>
      </c>
    </row>
    <row r="7052" spans="1:8" x14ac:dyDescent="0.2">
      <c r="A7052" t="str">
        <f t="shared" si="2579"/>
        <v>0615093749</v>
      </c>
      <c r="B7052" t="str">
        <f t="shared" si="2580"/>
        <v>JACOBEN</v>
      </c>
      <c r="C7052" t="str">
        <f t="shared" si="2581"/>
        <v>HARRIS</v>
      </c>
      <c r="D7052" t="str">
        <f t="shared" si="2582"/>
        <v>09</v>
      </c>
      <c r="E7052" t="str">
        <f>"01 - A - 002 - Krystal Marie  Beruty"</f>
        <v>01 - A - 002 - Krystal Marie  Beruty</v>
      </c>
      <c r="F7052" t="str">
        <f>"AICE GLBL PERSP 1 AS"</f>
        <v>AICE GLBL PERSP 1 AS</v>
      </c>
      <c r="G7052" t="str">
        <f>"17-1721"</f>
        <v>17-1721</v>
      </c>
      <c r="H7052" t="str">
        <f>"A"</f>
        <v>A</v>
      </c>
    </row>
    <row r="7053" spans="1:8" x14ac:dyDescent="0.2">
      <c r="A7053" t="str">
        <f t="shared" si="2579"/>
        <v>0615093749</v>
      </c>
      <c r="B7053" t="str">
        <f t="shared" si="2580"/>
        <v>JACOBEN</v>
      </c>
      <c r="C7053" t="str">
        <f t="shared" si="2581"/>
        <v>HARRIS</v>
      </c>
      <c r="D7053" t="str">
        <f t="shared" si="2582"/>
        <v>09</v>
      </c>
      <c r="E7053" t="str">
        <f>"08 - B - 105 - Ferrie J Arostique"</f>
        <v>08 - B - 105 - Ferrie J Arostique</v>
      </c>
      <c r="F7053" t="str">
        <f>"PRE-AICE MATH 2 IG"</f>
        <v>PRE-AICE MATH 2 IG</v>
      </c>
      <c r="G7053" t="str">
        <f>"21-2139"</f>
        <v>21-2139</v>
      </c>
      <c r="H7053" t="str">
        <f>"B"</f>
        <v>B</v>
      </c>
    </row>
    <row r="7054" spans="1:8" x14ac:dyDescent="0.2">
      <c r="A7054" t="str">
        <f t="shared" ref="A7054:A7061" si="2583">"0614076552"</f>
        <v>0614076552</v>
      </c>
      <c r="B7054" t="str">
        <f t="shared" ref="B7054:B7061" si="2584">"JAHMIL"</f>
        <v>JAHMIL</v>
      </c>
      <c r="C7054" t="str">
        <f t="shared" si="2581"/>
        <v>HARRIS</v>
      </c>
      <c r="D7054">
        <f>10</f>
        <v>10</v>
      </c>
      <c r="E7054" t="str">
        <f>"04 - A - 205 - Lytrell T Dixon"</f>
        <v>04 - A - 205 - Lytrell T Dixon</v>
      </c>
      <c r="F7054" t="str">
        <f>"BIOLOGY 1"</f>
        <v>BIOLOGY 1</v>
      </c>
      <c r="G7054" t="str">
        <f>"08-808"</f>
        <v>08-808</v>
      </c>
      <c r="H7054" t="str">
        <f>"A"</f>
        <v>A</v>
      </c>
    </row>
    <row r="7055" spans="1:8" x14ac:dyDescent="0.2">
      <c r="A7055" t="str">
        <f t="shared" si="2583"/>
        <v>0614076552</v>
      </c>
      <c r="B7055" t="str">
        <f t="shared" si="2584"/>
        <v>JAHMIL</v>
      </c>
      <c r="C7055" t="str">
        <f t="shared" si="2581"/>
        <v>HARRIS</v>
      </c>
      <c r="D7055">
        <f>10</f>
        <v>10</v>
      </c>
      <c r="E7055" t="str">
        <f>"06 - B - 104 - Robert H Rindner"</f>
        <v>06 - B - 104 - Robert H Rindner</v>
      </c>
      <c r="F7055" t="str">
        <f>"NC STUDY HALL 1"</f>
        <v>NC STUDY HALL 1</v>
      </c>
      <c r="G7055" t="str">
        <f>"21-2160"</f>
        <v>21-2160</v>
      </c>
      <c r="H7055" t="str">
        <f>"B"</f>
        <v>B</v>
      </c>
    </row>
    <row r="7056" spans="1:8" x14ac:dyDescent="0.2">
      <c r="A7056" t="str">
        <f t="shared" si="2583"/>
        <v>0614076552</v>
      </c>
      <c r="B7056" t="str">
        <f t="shared" si="2584"/>
        <v>JAHMIL</v>
      </c>
      <c r="C7056" t="str">
        <f t="shared" si="2581"/>
        <v>HARRIS</v>
      </c>
      <c r="D7056">
        <f>10</f>
        <v>10</v>
      </c>
      <c r="E7056" t="str">
        <f>"03 - A - 104 - Fernando  Vega-Cid"</f>
        <v>03 - A - 104 - Fernando  Vega-Cid</v>
      </c>
      <c r="F7056" t="str">
        <f>"GEOMETRY"</f>
        <v>GEOMETRY</v>
      </c>
      <c r="G7056" t="str">
        <f>"21-2163"</f>
        <v>21-2163</v>
      </c>
      <c r="H7056" t="str">
        <f>"A"</f>
        <v>A</v>
      </c>
    </row>
    <row r="7057" spans="1:8" x14ac:dyDescent="0.2">
      <c r="A7057" t="str">
        <f t="shared" si="2583"/>
        <v>0614076552</v>
      </c>
      <c r="B7057" t="str">
        <f t="shared" si="2584"/>
        <v>JAHMIL</v>
      </c>
      <c r="C7057" t="str">
        <f t="shared" si="2581"/>
        <v>HARRIS</v>
      </c>
      <c r="D7057">
        <f>10</f>
        <v>10</v>
      </c>
      <c r="E7057" t="str">
        <f>"02 - S1 - A - 102 - Richard E Dunbar Iii"</f>
        <v>02 - S1 - A - 102 - Richard E Dunbar Iii</v>
      </c>
      <c r="F7057" t="str">
        <f>"WEIGHT TRAIN 1"</f>
        <v>WEIGHT TRAIN 1</v>
      </c>
      <c r="G7057" t="str">
        <f>"05-501"</f>
        <v>05-501</v>
      </c>
      <c r="H7057" t="str">
        <f>"A"</f>
        <v>A</v>
      </c>
    </row>
    <row r="7058" spans="1:8" x14ac:dyDescent="0.2">
      <c r="A7058" t="str">
        <f t="shared" si="2583"/>
        <v>0614076552</v>
      </c>
      <c r="B7058" t="str">
        <f t="shared" si="2584"/>
        <v>JAHMIL</v>
      </c>
      <c r="C7058" t="str">
        <f t="shared" si="2581"/>
        <v>HARRIS</v>
      </c>
      <c r="D7058">
        <f>10</f>
        <v>10</v>
      </c>
      <c r="E7058" t="str">
        <f>"07 - B - 102 - Nikiel  Nesbeth"</f>
        <v>07 - B - 102 - Nikiel  Nesbeth</v>
      </c>
      <c r="F7058" t="str">
        <f>"PRE-AICE ENG LIT IG"</f>
        <v>PRE-AICE ENG LIT IG</v>
      </c>
      <c r="G7058" t="str">
        <f>"17-1705"</f>
        <v>17-1705</v>
      </c>
      <c r="H7058" t="str">
        <f>"B"</f>
        <v>B</v>
      </c>
    </row>
    <row r="7059" spans="1:8" x14ac:dyDescent="0.2">
      <c r="A7059" t="str">
        <f t="shared" si="2583"/>
        <v>0614076552</v>
      </c>
      <c r="B7059" t="str">
        <f t="shared" si="2584"/>
        <v>JAHMIL</v>
      </c>
      <c r="C7059" t="str">
        <f t="shared" si="2581"/>
        <v>HARRIS</v>
      </c>
      <c r="D7059">
        <f>10</f>
        <v>10</v>
      </c>
      <c r="E7059" t="str">
        <f>"05 - B - 104 - Joe  Kilpatrick Jr"</f>
        <v>05 - B - 104 - Joe  Kilpatrick Jr</v>
      </c>
      <c r="F7059" t="str">
        <f>"PRE-AICE SPAN 1 IG"</f>
        <v>PRE-AICE SPAN 1 IG</v>
      </c>
      <c r="G7059" t="str">
        <f>"09-912"</f>
        <v>09-912</v>
      </c>
      <c r="H7059" t="str">
        <f>"B"</f>
        <v>B</v>
      </c>
    </row>
    <row r="7060" spans="1:8" x14ac:dyDescent="0.2">
      <c r="A7060" t="str">
        <f t="shared" si="2583"/>
        <v>0614076552</v>
      </c>
      <c r="B7060" t="str">
        <f t="shared" si="2584"/>
        <v>JAHMIL</v>
      </c>
      <c r="C7060" t="str">
        <f t="shared" si="2581"/>
        <v>HARRIS</v>
      </c>
      <c r="D7060">
        <f>10</f>
        <v>10</v>
      </c>
      <c r="E7060" t="str">
        <f>"01 - A - 107 - Jazmin S Fletcher"</f>
        <v>01 - A - 107 - Jazmin S Fletcher</v>
      </c>
      <c r="F7060" t="str">
        <f>"WORLD HISTORY"</f>
        <v>WORLD HISTORY</v>
      </c>
      <c r="G7060" t="str">
        <f>"09-909"</f>
        <v>09-909</v>
      </c>
      <c r="H7060" t="str">
        <f>"A"</f>
        <v>A</v>
      </c>
    </row>
    <row r="7061" spans="1:8" x14ac:dyDescent="0.2">
      <c r="A7061" t="str">
        <f t="shared" si="2583"/>
        <v>0614076552</v>
      </c>
      <c r="B7061" t="str">
        <f t="shared" si="2584"/>
        <v>JAHMIL</v>
      </c>
      <c r="C7061" t="str">
        <f t="shared" si="2581"/>
        <v>HARRIS</v>
      </c>
      <c r="D7061">
        <f>10</f>
        <v>10</v>
      </c>
      <c r="E7061" t="str">
        <f>"08 - B - 101 - Jazmin S Fletcher"</f>
        <v>08 - B - 101 - Jazmin S Fletcher</v>
      </c>
      <c r="F7061" t="str">
        <f>"PRE-AICE DRAMA 1G"</f>
        <v>PRE-AICE DRAMA 1G</v>
      </c>
      <c r="G7061" t="str">
        <f>"09-909"</f>
        <v>09-909</v>
      </c>
      <c r="H7061" t="str">
        <f>"B"</f>
        <v>B</v>
      </c>
    </row>
    <row r="7062" spans="1:8" x14ac:dyDescent="0.2">
      <c r="A7062" t="str">
        <f t="shared" ref="A7062:A7069" si="2585">"0616128173"</f>
        <v>0616128173</v>
      </c>
      <c r="B7062" t="str">
        <f t="shared" ref="B7062:B7069" si="2586">"JAXSON"</f>
        <v>JAXSON</v>
      </c>
      <c r="C7062" t="str">
        <f t="shared" si="2581"/>
        <v>HARRIS</v>
      </c>
      <c r="D7062" t="str">
        <f t="shared" ref="D7062:D7078" si="2587">"09"</f>
        <v>09</v>
      </c>
      <c r="E7062" t="str">
        <f>"04 - A - 102 - Elizabeth R Walker"</f>
        <v>04 - A - 102 - Elizabeth R Walker</v>
      </c>
      <c r="F7062" t="str">
        <f>"AICE ENG GEN PAPER 1"</f>
        <v>AICE ENG GEN PAPER 1</v>
      </c>
      <c r="G7062" t="str">
        <f>"17-1703"</f>
        <v>17-1703</v>
      </c>
      <c r="H7062" t="str">
        <f>"A"</f>
        <v>A</v>
      </c>
    </row>
    <row r="7063" spans="1:8" x14ac:dyDescent="0.2">
      <c r="A7063" t="str">
        <f t="shared" si="2585"/>
        <v>0616128173</v>
      </c>
      <c r="B7063" t="str">
        <f t="shared" si="2586"/>
        <v>JAXSON</v>
      </c>
      <c r="C7063" t="str">
        <f t="shared" si="2581"/>
        <v>HARRIS</v>
      </c>
      <c r="D7063" t="str">
        <f t="shared" si="2587"/>
        <v>09</v>
      </c>
      <c r="E7063" t="str">
        <f>"06 - B - 101 - Fernando  Vega-Cid"</f>
        <v>06 - B - 101 - Fernando  Vega-Cid</v>
      </c>
      <c r="F7063" t="str">
        <f>"PRE-AICE MATH 2 IG"</f>
        <v>PRE-AICE MATH 2 IG</v>
      </c>
      <c r="G7063" t="str">
        <f>"21-2163"</f>
        <v>21-2163</v>
      </c>
      <c r="H7063" t="str">
        <f>"B"</f>
        <v>B</v>
      </c>
    </row>
    <row r="7064" spans="1:8" x14ac:dyDescent="0.2">
      <c r="A7064" t="str">
        <f t="shared" si="2585"/>
        <v>0616128173</v>
      </c>
      <c r="B7064" t="str">
        <f t="shared" si="2586"/>
        <v>JAXSON</v>
      </c>
      <c r="C7064" t="str">
        <f t="shared" si="2581"/>
        <v>HARRIS</v>
      </c>
      <c r="D7064" t="str">
        <f t="shared" si="2587"/>
        <v>09</v>
      </c>
      <c r="E7064" t="str">
        <f>"03 - A - 102 - Rory T Sponsler"</f>
        <v>03 - A - 102 - Rory T Sponsler</v>
      </c>
      <c r="F7064" t="str">
        <f>"PRE-AICE WRLD HST IG"</f>
        <v>PRE-AICE WRLD HST IG</v>
      </c>
      <c r="G7064" t="str">
        <f>"17-1740"</f>
        <v>17-1740</v>
      </c>
      <c r="H7064" t="str">
        <f>"A"</f>
        <v>A</v>
      </c>
    </row>
    <row r="7065" spans="1:8" x14ac:dyDescent="0.2">
      <c r="A7065" t="str">
        <f t="shared" si="2585"/>
        <v>0616128173</v>
      </c>
      <c r="B7065" t="str">
        <f t="shared" si="2586"/>
        <v>JAXSON</v>
      </c>
      <c r="C7065" t="str">
        <f t="shared" si="2581"/>
        <v>HARRIS</v>
      </c>
      <c r="D7065" t="str">
        <f t="shared" si="2587"/>
        <v>09</v>
      </c>
      <c r="E7065" t="str">
        <f>"02 - A - 115 - Lourivaldo  Da Silva"</f>
        <v>02 - A - 115 - Lourivaldo  Da Silva</v>
      </c>
      <c r="F7065" t="str">
        <f>"NC STUDY HALL 1"</f>
        <v>NC STUDY HALL 1</v>
      </c>
      <c r="G7065" t="str">
        <f>"20-2079"</f>
        <v>20-2079</v>
      </c>
      <c r="H7065" t="str">
        <f>"A"</f>
        <v>A</v>
      </c>
    </row>
    <row r="7066" spans="1:8" x14ac:dyDescent="0.2">
      <c r="A7066" t="str">
        <f t="shared" si="2585"/>
        <v>0616128173</v>
      </c>
      <c r="B7066" t="str">
        <f t="shared" si="2586"/>
        <v>JAXSON</v>
      </c>
      <c r="C7066" t="str">
        <f t="shared" si="2581"/>
        <v>HARRIS</v>
      </c>
      <c r="D7066" t="str">
        <f t="shared" si="2587"/>
        <v>09</v>
      </c>
      <c r="E7066" t="str">
        <f>"07 - B - 103 - Vanessa J Liburd"</f>
        <v>07 - B - 103 - Vanessa J Liburd</v>
      </c>
      <c r="F7066" t="str">
        <f>"PRE-AICE FRENCH 1 IG"</f>
        <v>PRE-AICE FRENCH 1 IG</v>
      </c>
      <c r="G7066" t="str">
        <f>"05-519"</f>
        <v>05-519</v>
      </c>
      <c r="H7066" t="str">
        <f>"B"</f>
        <v>B</v>
      </c>
    </row>
    <row r="7067" spans="1:8" x14ac:dyDescent="0.2">
      <c r="A7067" t="str">
        <f t="shared" si="2585"/>
        <v>0616128173</v>
      </c>
      <c r="B7067" t="str">
        <f t="shared" si="2586"/>
        <v>JAXSON</v>
      </c>
      <c r="C7067" t="str">
        <f t="shared" si="2581"/>
        <v>HARRIS</v>
      </c>
      <c r="D7067" t="str">
        <f t="shared" si="2587"/>
        <v>09</v>
      </c>
      <c r="E7067" t="str">
        <f>"05 - B - 201 - Jazmin S Fletcher"</f>
        <v>05 - B - 201 - Jazmin S Fletcher</v>
      </c>
      <c r="F7067" t="str">
        <f>"THEATRE 1"</f>
        <v>THEATRE 1</v>
      </c>
      <c r="G7067" t="str">
        <f>"09-909"</f>
        <v>09-909</v>
      </c>
      <c r="H7067" t="str">
        <f>"B"</f>
        <v>B</v>
      </c>
    </row>
    <row r="7068" spans="1:8" x14ac:dyDescent="0.2">
      <c r="A7068" t="str">
        <f t="shared" si="2585"/>
        <v>0616128173</v>
      </c>
      <c r="B7068" t="str">
        <f t="shared" si="2586"/>
        <v>JAXSON</v>
      </c>
      <c r="C7068" t="str">
        <f t="shared" si="2581"/>
        <v>HARRIS</v>
      </c>
      <c r="D7068" t="str">
        <f t="shared" si="2587"/>
        <v>09</v>
      </c>
      <c r="E7068" t="str">
        <f>"01 - A - 101 - Marius D Orsolini"</f>
        <v>01 - A - 101 - Marius D Orsolini</v>
      </c>
      <c r="F7068" t="str">
        <f>"CULINARY ARTS 1"</f>
        <v>CULINARY ARTS 1</v>
      </c>
      <c r="G7068" t="str">
        <f>"21-2115"</f>
        <v>21-2115</v>
      </c>
      <c r="H7068" t="str">
        <f>"A"</f>
        <v>A</v>
      </c>
    </row>
    <row r="7069" spans="1:8" x14ac:dyDescent="0.2">
      <c r="A7069" t="str">
        <f t="shared" si="2585"/>
        <v>0616128173</v>
      </c>
      <c r="B7069" t="str">
        <f t="shared" si="2586"/>
        <v>JAXSON</v>
      </c>
      <c r="C7069" t="str">
        <f t="shared" si="2581"/>
        <v>HARRIS</v>
      </c>
      <c r="D7069" t="str">
        <f t="shared" si="2587"/>
        <v>09</v>
      </c>
      <c r="E7069" t="str">
        <f>"08 - B - 102 - Josiah I Lacy"</f>
        <v>08 - B - 102 - Josiah I Lacy</v>
      </c>
      <c r="F7069" t="str">
        <f>"ANAT PHYSIO HON"</f>
        <v>ANAT PHYSIO HON</v>
      </c>
      <c r="G7069" t="str">
        <f>"08-801"</f>
        <v>08-801</v>
      </c>
      <c r="H7069" t="str">
        <f>"B"</f>
        <v>B</v>
      </c>
    </row>
    <row r="7070" spans="1:8" x14ac:dyDescent="0.2">
      <c r="A7070" t="str">
        <f t="shared" ref="A7070:A7078" si="2588">"0616055586"</f>
        <v>0616055586</v>
      </c>
      <c r="B7070" t="str">
        <f t="shared" ref="B7070:B7078" si="2589">"SARAI"</f>
        <v>SARAI</v>
      </c>
      <c r="C7070" t="str">
        <f t="shared" si="2581"/>
        <v>HARRIS</v>
      </c>
      <c r="D7070" t="str">
        <f t="shared" si="2587"/>
        <v>09</v>
      </c>
      <c r="E7070" t="str">
        <f>"04 - A - 103 - Lenecy  Nodarse"</f>
        <v>04 - A - 103 - Lenecy  Nodarse</v>
      </c>
      <c r="F7070" t="str">
        <f>"WORLD HISTORY"</f>
        <v>WORLD HISTORY</v>
      </c>
      <c r="G7070" t="str">
        <f>"17-1741"</f>
        <v>17-1741</v>
      </c>
      <c r="H7070" t="str">
        <f>"A"</f>
        <v>A</v>
      </c>
    </row>
    <row r="7071" spans="1:8" x14ac:dyDescent="0.2">
      <c r="A7071" t="str">
        <f t="shared" si="2588"/>
        <v>0616055586</v>
      </c>
      <c r="B7071" t="str">
        <f t="shared" si="2589"/>
        <v>SARAI</v>
      </c>
      <c r="C7071" t="str">
        <f t="shared" si="2581"/>
        <v>HARRIS</v>
      </c>
      <c r="D7071" t="str">
        <f t="shared" si="2587"/>
        <v>09</v>
      </c>
      <c r="E7071" t="str">
        <f>"06 - B - 105 - Tina L Lovett"</f>
        <v>06 - B - 105 - Tina L Lovett</v>
      </c>
      <c r="F7071" t="str">
        <f>"FDN SKLS MATH 9-12"</f>
        <v>FDN SKLS MATH 9-12</v>
      </c>
      <c r="G7071" t="str">
        <f>"21-2153"</f>
        <v>21-2153</v>
      </c>
      <c r="H7071" t="str">
        <f>"B"</f>
        <v>B</v>
      </c>
    </row>
    <row r="7072" spans="1:8" x14ac:dyDescent="0.2">
      <c r="A7072" t="str">
        <f t="shared" si="2588"/>
        <v>0616055586</v>
      </c>
      <c r="B7072" t="str">
        <f t="shared" si="2589"/>
        <v>SARAI</v>
      </c>
      <c r="C7072" t="str">
        <f t="shared" si="2581"/>
        <v>HARRIS</v>
      </c>
      <c r="D7072" t="str">
        <f t="shared" si="2587"/>
        <v>09</v>
      </c>
      <c r="E7072" t="str">
        <f>"03 - A - 102 - Laselleda D Shaw"</f>
        <v>03 - A - 102 - Laselleda D Shaw</v>
      </c>
      <c r="F7072" t="str">
        <f>"INTENS READ 1"</f>
        <v>INTENS READ 1</v>
      </c>
      <c r="G7072" t="str">
        <f>"17-1723"</f>
        <v>17-1723</v>
      </c>
      <c r="H7072" t="str">
        <f>"A"</f>
        <v>A</v>
      </c>
    </row>
    <row r="7073" spans="1:8" x14ac:dyDescent="0.2">
      <c r="A7073" t="str">
        <f t="shared" si="2588"/>
        <v>0616055586</v>
      </c>
      <c r="B7073" t="str">
        <f t="shared" si="2589"/>
        <v>SARAI</v>
      </c>
      <c r="C7073" t="str">
        <f t="shared" si="2581"/>
        <v>HARRIS</v>
      </c>
      <c r="D7073" t="str">
        <f t="shared" si="2587"/>
        <v>09</v>
      </c>
      <c r="E7073" t="str">
        <f>"02 - A - 113 - Amy Beth  Broyles"</f>
        <v>02 - A - 113 - Amy Beth  Broyles</v>
      </c>
      <c r="F7073" t="str">
        <f>"NC STUDY HALL 1"</f>
        <v>NC STUDY HALL 1</v>
      </c>
      <c r="G7073" t="str">
        <f>"08-802"</f>
        <v>08-802</v>
      </c>
      <c r="H7073" t="str">
        <f>"A"</f>
        <v>A</v>
      </c>
    </row>
    <row r="7074" spans="1:8" x14ac:dyDescent="0.2">
      <c r="A7074" t="str">
        <f t="shared" si="2588"/>
        <v>0616055586</v>
      </c>
      <c r="B7074" t="str">
        <f t="shared" si="2589"/>
        <v>SARAI</v>
      </c>
      <c r="C7074" t="str">
        <f t="shared" si="2581"/>
        <v>HARRIS</v>
      </c>
      <c r="D7074" t="str">
        <f t="shared" si="2587"/>
        <v>09</v>
      </c>
      <c r="E7074" t="str">
        <f>"07 - B - 101 - Alejandro  Navarro"</f>
        <v>07 - B - 101 - Alejandro  Navarro</v>
      </c>
      <c r="F7074" t="str">
        <f>"EURHY 1"</f>
        <v>EURHY 1</v>
      </c>
      <c r="G7074" t="str">
        <f>"05-504"</f>
        <v>05-504</v>
      </c>
      <c r="H7074" t="str">
        <f>"B"</f>
        <v>B</v>
      </c>
    </row>
    <row r="7075" spans="1:8" x14ac:dyDescent="0.2">
      <c r="A7075" t="str">
        <f t="shared" si="2588"/>
        <v>0616055586</v>
      </c>
      <c r="B7075" t="str">
        <f t="shared" si="2589"/>
        <v>SARAI</v>
      </c>
      <c r="C7075" t="str">
        <f t="shared" si="2581"/>
        <v>HARRIS</v>
      </c>
      <c r="D7075" t="str">
        <f t="shared" si="2587"/>
        <v>09</v>
      </c>
      <c r="E7075" t="str">
        <f>"05 - B - 202 - Amy Beth  Broyles"</f>
        <v>05 - B - 202 - Amy Beth  Broyles</v>
      </c>
      <c r="F7075" t="str">
        <f>"ENV SCI"</f>
        <v>ENV SCI</v>
      </c>
      <c r="G7075" t="str">
        <f>"08-802"</f>
        <v>08-802</v>
      </c>
      <c r="H7075" t="str">
        <f>"B"</f>
        <v>B</v>
      </c>
    </row>
    <row r="7076" spans="1:8" x14ac:dyDescent="0.2">
      <c r="A7076" t="str">
        <f t="shared" si="2588"/>
        <v>0616055586</v>
      </c>
      <c r="B7076" t="str">
        <f t="shared" si="2589"/>
        <v>SARAI</v>
      </c>
      <c r="C7076" t="str">
        <f t="shared" si="2581"/>
        <v>HARRIS</v>
      </c>
      <c r="D7076" t="str">
        <f t="shared" si="2587"/>
        <v>09</v>
      </c>
      <c r="E7076" t="str">
        <f>"01 - A - 101 - Tina L Lovett"</f>
        <v>01 - A - 101 - Tina L Lovett</v>
      </c>
      <c r="F7076" t="str">
        <f>"ALGEBRA 1"</f>
        <v>ALGEBRA 1</v>
      </c>
      <c r="G7076" t="str">
        <f>"21-2153"</f>
        <v>21-2153</v>
      </c>
      <c r="H7076" t="str">
        <f>"A"</f>
        <v>A</v>
      </c>
    </row>
    <row r="7077" spans="1:8" x14ac:dyDescent="0.2">
      <c r="A7077" t="str">
        <f t="shared" si="2588"/>
        <v>0616055586</v>
      </c>
      <c r="B7077" t="str">
        <f t="shared" si="2589"/>
        <v>SARAI</v>
      </c>
      <c r="C7077" t="str">
        <f t="shared" si="2581"/>
        <v>HARRIS</v>
      </c>
      <c r="D7077" t="str">
        <f t="shared" si="2587"/>
        <v>09</v>
      </c>
      <c r="E7077" t="str">
        <f>"01 - A - 101 - Eric  Lopapa"</f>
        <v>01 - A - 101 - Eric  Lopapa</v>
      </c>
      <c r="F7077" t="str">
        <f>"LANG THERAPY"</f>
        <v>LANG THERAPY</v>
      </c>
      <c r="G7077" t="str">
        <f>"21-2110"</f>
        <v>21-2110</v>
      </c>
      <c r="H7077" t="str">
        <f>"A"</f>
        <v>A</v>
      </c>
    </row>
    <row r="7078" spans="1:8" x14ac:dyDescent="0.2">
      <c r="A7078" t="str">
        <f t="shared" si="2588"/>
        <v>0616055586</v>
      </c>
      <c r="B7078" t="str">
        <f t="shared" si="2589"/>
        <v>SARAI</v>
      </c>
      <c r="C7078" t="str">
        <f t="shared" si="2581"/>
        <v>HARRIS</v>
      </c>
      <c r="D7078" t="str">
        <f t="shared" si="2587"/>
        <v>09</v>
      </c>
      <c r="E7078" t="str">
        <f>"08 - B - 108 - Cerine S Stewart"</f>
        <v>08 - B - 108 - Cerine S Stewart</v>
      </c>
      <c r="F7078" t="str">
        <f>"ENG 1"</f>
        <v>ENG 1</v>
      </c>
      <c r="G7078" t="str">
        <f>"17-1720"</f>
        <v>17-1720</v>
      </c>
      <c r="H7078" t="str">
        <f>"B"</f>
        <v>B</v>
      </c>
    </row>
    <row r="7079" spans="1:8" x14ac:dyDescent="0.2">
      <c r="A7079" t="str">
        <f t="shared" ref="A7079:A7086" si="2590">"0624027879"</f>
        <v>0624027879</v>
      </c>
      <c r="B7079" t="str">
        <f t="shared" ref="B7079:B7086" si="2591">"ZERIA"</f>
        <v>ZERIA</v>
      </c>
      <c r="C7079" t="str">
        <f t="shared" ref="C7079:C7094" si="2592">"HARRIS-FRANCIS"</f>
        <v>HARRIS-FRANCIS</v>
      </c>
      <c r="D7079">
        <f>12</f>
        <v>12</v>
      </c>
      <c r="E7079" t="str">
        <f>"04 - S1 - A - 101 - Barbara L Segal"</f>
        <v>04 - S1 - A - 101 - Barbara L Segal</v>
      </c>
      <c r="F7079" t="str">
        <f>"AP US GOVT/POL"</f>
        <v>AP US GOVT/POL</v>
      </c>
      <c r="G7079" t="str">
        <f>"17-1742"</f>
        <v>17-1742</v>
      </c>
      <c r="H7079" t="str">
        <f>"A"</f>
        <v>A</v>
      </c>
    </row>
    <row r="7080" spans="1:8" x14ac:dyDescent="0.2">
      <c r="A7080" t="str">
        <f t="shared" si="2590"/>
        <v>0624027879</v>
      </c>
      <c r="B7080" t="str">
        <f t="shared" si="2591"/>
        <v>ZERIA</v>
      </c>
      <c r="C7080" t="str">
        <f t="shared" si="2592"/>
        <v>HARRIS-FRANCIS</v>
      </c>
      <c r="D7080">
        <f>12</f>
        <v>12</v>
      </c>
      <c r="E7080" t="str">
        <f>"06 - B - 101 - Cliffon  Saurel"</f>
        <v>06 - B - 101 - Cliffon  Saurel</v>
      </c>
      <c r="F7080" t="str">
        <f>"NC STUDY HALL 1"</f>
        <v>NC STUDY HALL 1</v>
      </c>
      <c r="G7080" t="str">
        <f>"05-522"</f>
        <v>05-522</v>
      </c>
      <c r="H7080" t="str">
        <f>"B"</f>
        <v>B</v>
      </c>
    </row>
    <row r="7081" spans="1:8" x14ac:dyDescent="0.2">
      <c r="A7081" t="str">
        <f t="shared" si="2590"/>
        <v>0624027879</v>
      </c>
      <c r="B7081" t="str">
        <f t="shared" si="2591"/>
        <v>ZERIA</v>
      </c>
      <c r="C7081" t="str">
        <f t="shared" si="2592"/>
        <v>HARRIS-FRANCIS</v>
      </c>
      <c r="D7081">
        <f>12</f>
        <v>12</v>
      </c>
      <c r="E7081" t="str">
        <f>"03 - A - 101 - Jeffrey S Gallagher"</f>
        <v>03 - A - 101 - Jeffrey S Gallagher</v>
      </c>
      <c r="F7081" t="str">
        <f>"ENG HON 4"</f>
        <v>ENG HON 4</v>
      </c>
      <c r="G7081" t="str">
        <f>"17-1724"</f>
        <v>17-1724</v>
      </c>
      <c r="H7081" t="str">
        <f>"A"</f>
        <v>A</v>
      </c>
    </row>
    <row r="7082" spans="1:8" x14ac:dyDescent="0.2">
      <c r="A7082" t="str">
        <f t="shared" si="2590"/>
        <v>0624027879</v>
      </c>
      <c r="B7082" t="str">
        <f t="shared" si="2591"/>
        <v>ZERIA</v>
      </c>
      <c r="C7082" t="str">
        <f t="shared" si="2592"/>
        <v>HARRIS-FRANCIS</v>
      </c>
      <c r="D7082">
        <f>12</f>
        <v>12</v>
      </c>
      <c r="E7082" t="str">
        <f>"02 - A - 104 - Joe  Kilpatrick Jr"</f>
        <v>02 - A - 104 - Joe  Kilpatrick Jr</v>
      </c>
      <c r="F7082" t="str">
        <f>"PRE-AICE SPAN 2 IG"</f>
        <v>PRE-AICE SPAN 2 IG</v>
      </c>
      <c r="G7082" t="str">
        <f>"09-912"</f>
        <v>09-912</v>
      </c>
      <c r="H7082" t="str">
        <f>"A"</f>
        <v>A</v>
      </c>
    </row>
    <row r="7083" spans="1:8" x14ac:dyDescent="0.2">
      <c r="A7083" t="str">
        <f t="shared" si="2590"/>
        <v>0624027879</v>
      </c>
      <c r="B7083" t="str">
        <f t="shared" si="2591"/>
        <v>ZERIA</v>
      </c>
      <c r="C7083" t="str">
        <f t="shared" si="2592"/>
        <v>HARRIS-FRANCIS</v>
      </c>
      <c r="D7083">
        <f>12</f>
        <v>12</v>
      </c>
      <c r="E7083" t="str">
        <f>"07 - B - 101 - Samantha L Martinez"</f>
        <v>07 - B - 101 - Samantha L Martinez</v>
      </c>
      <c r="F7083" t="str">
        <f>"KEYBD 1"</f>
        <v>KEYBD 1</v>
      </c>
      <c r="G7083" t="str">
        <f>"05-505"</f>
        <v>05-505</v>
      </c>
      <c r="H7083" t="str">
        <f>"B"</f>
        <v>B</v>
      </c>
    </row>
    <row r="7084" spans="1:8" x14ac:dyDescent="0.2">
      <c r="A7084" t="str">
        <f t="shared" si="2590"/>
        <v>0624027879</v>
      </c>
      <c r="B7084" t="str">
        <f t="shared" si="2591"/>
        <v>ZERIA</v>
      </c>
      <c r="C7084" t="str">
        <f t="shared" si="2592"/>
        <v>HARRIS-FRANCIS</v>
      </c>
      <c r="D7084">
        <f>12</f>
        <v>12</v>
      </c>
      <c r="E7084" t="str">
        <f>"05 - B - 102 - Dorothy D Moore"</f>
        <v>05 - B - 102 - Dorothy D Moore</v>
      </c>
      <c r="F7084" t="str">
        <f>"FORC SCI 1 LH"</f>
        <v>FORC SCI 1 LH</v>
      </c>
      <c r="G7084" t="str">
        <f>"08-803"</f>
        <v>08-803</v>
      </c>
      <c r="H7084" t="str">
        <f>"B"</f>
        <v>B</v>
      </c>
    </row>
    <row r="7085" spans="1:8" x14ac:dyDescent="0.2">
      <c r="A7085" t="str">
        <f t="shared" si="2590"/>
        <v>0624027879</v>
      </c>
      <c r="B7085" t="str">
        <f t="shared" si="2591"/>
        <v>ZERIA</v>
      </c>
      <c r="C7085" t="str">
        <f t="shared" si="2592"/>
        <v>HARRIS-FRANCIS</v>
      </c>
      <c r="D7085">
        <f>12</f>
        <v>12</v>
      </c>
      <c r="E7085" t="str">
        <f>"01 - A - 101 - Norayda D Suarez"</f>
        <v>01 - A - 101 - Norayda D Suarez</v>
      </c>
      <c r="F7085" t="str">
        <f>"RESEARCH 1 LH"</f>
        <v>RESEARCH 1 LH</v>
      </c>
      <c r="G7085">
        <f>2041</f>
        <v>2041</v>
      </c>
      <c r="H7085" t="str">
        <f>"A"</f>
        <v>A</v>
      </c>
    </row>
    <row r="7086" spans="1:8" x14ac:dyDescent="0.2">
      <c r="A7086" t="str">
        <f t="shared" si="2590"/>
        <v>0624027879</v>
      </c>
      <c r="B7086" t="str">
        <f t="shared" si="2591"/>
        <v>ZERIA</v>
      </c>
      <c r="C7086" t="str">
        <f t="shared" si="2592"/>
        <v>HARRIS-FRANCIS</v>
      </c>
      <c r="D7086">
        <f>12</f>
        <v>12</v>
      </c>
      <c r="E7086" t="str">
        <f>"08 - B - 102 - Pamela M Corzo"</f>
        <v>08 - B - 102 - Pamela M Corzo</v>
      </c>
      <c r="F7086" t="str">
        <f>"AP STAT"</f>
        <v>AP STAT</v>
      </c>
      <c r="G7086" t="str">
        <f>"21-2133"</f>
        <v>21-2133</v>
      </c>
      <c r="H7086" t="str">
        <f>"B"</f>
        <v>B</v>
      </c>
    </row>
    <row r="7087" spans="1:8" x14ac:dyDescent="0.2">
      <c r="A7087" t="str">
        <f t="shared" ref="A7087:A7094" si="2593">"0624027924"</f>
        <v>0624027924</v>
      </c>
      <c r="B7087" t="str">
        <f t="shared" ref="B7087:B7094" si="2594">"ZERINA"</f>
        <v>ZERINA</v>
      </c>
      <c r="C7087" t="str">
        <f t="shared" si="2592"/>
        <v>HARRIS-FRANCIS</v>
      </c>
      <c r="D7087">
        <f>12</f>
        <v>12</v>
      </c>
      <c r="E7087" t="str">
        <f>"04 - A - 106 - Tina M Jaramillo"</f>
        <v>04 - A - 106 - Tina M Jaramillo</v>
      </c>
      <c r="F7087" t="str">
        <f>"AP ENG LIT COMPO"</f>
        <v>AP ENG LIT COMPO</v>
      </c>
      <c r="G7087" t="str">
        <f>"17-1706"</f>
        <v>17-1706</v>
      </c>
      <c r="H7087" t="str">
        <f>"A"</f>
        <v>A</v>
      </c>
    </row>
    <row r="7088" spans="1:8" x14ac:dyDescent="0.2">
      <c r="A7088" t="str">
        <f t="shared" si="2593"/>
        <v>0624027924</v>
      </c>
      <c r="B7088" t="str">
        <f t="shared" si="2594"/>
        <v>ZERINA</v>
      </c>
      <c r="C7088" t="str">
        <f t="shared" si="2592"/>
        <v>HARRIS-FRANCIS</v>
      </c>
      <c r="D7088">
        <f>12</f>
        <v>12</v>
      </c>
      <c r="E7088" t="str">
        <f>"06 - B - 001 - Robert O Burger"</f>
        <v>06 - B - 001 - Robert O Burger</v>
      </c>
      <c r="F7088" t="str">
        <f>"NC STUDY HALL 1"</f>
        <v>NC STUDY HALL 1</v>
      </c>
      <c r="G7088" t="str">
        <f>"17-1755"</f>
        <v>17-1755</v>
      </c>
      <c r="H7088" t="str">
        <f>"B"</f>
        <v>B</v>
      </c>
    </row>
    <row r="7089" spans="1:8" x14ac:dyDescent="0.2">
      <c r="A7089" t="str">
        <f t="shared" si="2593"/>
        <v>0624027924</v>
      </c>
      <c r="B7089" t="str">
        <f t="shared" si="2594"/>
        <v>ZERINA</v>
      </c>
      <c r="C7089" t="str">
        <f t="shared" si="2592"/>
        <v>HARRIS-FRANCIS</v>
      </c>
      <c r="D7089">
        <f>12</f>
        <v>12</v>
      </c>
      <c r="E7089" t="str">
        <f>"03 - A - 101 - Dorothy D Moore"</f>
        <v>03 - A - 101 - Dorothy D Moore</v>
      </c>
      <c r="F7089" t="str">
        <f>"FORC SCI 1 LH"</f>
        <v>FORC SCI 1 LH</v>
      </c>
      <c r="G7089" t="str">
        <f>"08-803"</f>
        <v>08-803</v>
      </c>
      <c r="H7089" t="str">
        <f>"A"</f>
        <v>A</v>
      </c>
    </row>
    <row r="7090" spans="1:8" x14ac:dyDescent="0.2">
      <c r="A7090" t="str">
        <f t="shared" si="2593"/>
        <v>0624027924</v>
      </c>
      <c r="B7090" t="str">
        <f t="shared" si="2594"/>
        <v>ZERINA</v>
      </c>
      <c r="C7090" t="str">
        <f t="shared" si="2592"/>
        <v>HARRIS-FRANCIS</v>
      </c>
      <c r="D7090">
        <f>12</f>
        <v>12</v>
      </c>
      <c r="E7090" t="str">
        <f>"02 - A - 104 - Joe  Kilpatrick Jr"</f>
        <v>02 - A - 104 - Joe  Kilpatrick Jr</v>
      </c>
      <c r="F7090" t="str">
        <f>"PRE-AICE SPAN 2 IG"</f>
        <v>PRE-AICE SPAN 2 IG</v>
      </c>
      <c r="G7090" t="str">
        <f>"09-912"</f>
        <v>09-912</v>
      </c>
      <c r="H7090" t="str">
        <f>"A"</f>
        <v>A</v>
      </c>
    </row>
    <row r="7091" spans="1:8" x14ac:dyDescent="0.2">
      <c r="A7091" t="str">
        <f t="shared" si="2593"/>
        <v>0624027924</v>
      </c>
      <c r="B7091" t="str">
        <f t="shared" si="2594"/>
        <v>ZERINA</v>
      </c>
      <c r="C7091" t="str">
        <f t="shared" si="2592"/>
        <v>HARRIS-FRANCIS</v>
      </c>
      <c r="D7091">
        <f>12</f>
        <v>12</v>
      </c>
      <c r="E7091" t="str">
        <f>"07 - S1 - B - 101 - Stephen T Ripp"</f>
        <v>07 - S1 - B - 101 - Stephen T Ripp</v>
      </c>
      <c r="F7091" t="str">
        <f>"AP US GOVT/POL"</f>
        <v>AP US GOVT/POL</v>
      </c>
      <c r="G7091" t="str">
        <f>"17-1744"</f>
        <v>17-1744</v>
      </c>
      <c r="H7091" t="str">
        <f>"B"</f>
        <v>B</v>
      </c>
    </row>
    <row r="7092" spans="1:8" x14ac:dyDescent="0.2">
      <c r="A7092" t="str">
        <f t="shared" si="2593"/>
        <v>0624027924</v>
      </c>
      <c r="B7092" t="str">
        <f t="shared" si="2594"/>
        <v>ZERINA</v>
      </c>
      <c r="C7092" t="str">
        <f t="shared" si="2592"/>
        <v>HARRIS-FRANCIS</v>
      </c>
      <c r="D7092">
        <f>12</f>
        <v>12</v>
      </c>
      <c r="E7092" t="str">
        <f>"05 - B - 101 - Brian M Fitzgerald"</f>
        <v>05 - B - 101 - Brian M Fitzgerald</v>
      </c>
      <c r="F7092" t="str">
        <f>"PAINT 1"</f>
        <v>PAINT 1</v>
      </c>
      <c r="G7092" t="str">
        <f>"09-908"</f>
        <v>09-908</v>
      </c>
      <c r="H7092" t="str">
        <f>"B"</f>
        <v>B</v>
      </c>
    </row>
    <row r="7093" spans="1:8" x14ac:dyDescent="0.2">
      <c r="A7093" t="str">
        <f t="shared" si="2593"/>
        <v>0624027924</v>
      </c>
      <c r="B7093" t="str">
        <f t="shared" si="2594"/>
        <v>ZERINA</v>
      </c>
      <c r="C7093" t="str">
        <f t="shared" si="2592"/>
        <v>HARRIS-FRANCIS</v>
      </c>
      <c r="D7093">
        <f>12</f>
        <v>12</v>
      </c>
      <c r="E7093" t="str">
        <f>"01 - A - 101 - Norayda D Suarez"</f>
        <v>01 - A - 101 - Norayda D Suarez</v>
      </c>
      <c r="F7093" t="str">
        <f>"RESEARCH 1 LH"</f>
        <v>RESEARCH 1 LH</v>
      </c>
      <c r="G7093">
        <f>2041</f>
        <v>2041</v>
      </c>
      <c r="H7093" t="str">
        <f>"A"</f>
        <v>A</v>
      </c>
    </row>
    <row r="7094" spans="1:8" x14ac:dyDescent="0.2">
      <c r="A7094" t="str">
        <f t="shared" si="2593"/>
        <v>0624027924</v>
      </c>
      <c r="B7094" t="str">
        <f t="shared" si="2594"/>
        <v>ZERINA</v>
      </c>
      <c r="C7094" t="str">
        <f t="shared" si="2592"/>
        <v>HARRIS-FRANCIS</v>
      </c>
      <c r="D7094">
        <f>12</f>
        <v>12</v>
      </c>
      <c r="E7094" t="str">
        <f>"08 - B - 102 - Pamela M Corzo"</f>
        <v>08 - B - 102 - Pamela M Corzo</v>
      </c>
      <c r="F7094" t="str">
        <f>"AP STAT"</f>
        <v>AP STAT</v>
      </c>
      <c r="G7094" t="str">
        <f>"21-2133"</f>
        <v>21-2133</v>
      </c>
      <c r="H7094" t="str">
        <f>"B"</f>
        <v>B</v>
      </c>
    </row>
    <row r="7095" spans="1:8" x14ac:dyDescent="0.2">
      <c r="A7095" t="str">
        <f t="shared" ref="A7095:A7102" si="2595">"0616104014"</f>
        <v>0616104014</v>
      </c>
      <c r="B7095" t="str">
        <f t="shared" ref="B7095:B7102" si="2596">"GABRIELLA"</f>
        <v>GABRIELLA</v>
      </c>
      <c r="C7095" t="str">
        <f t="shared" ref="C7095:C7102" si="2597">"HARRISON"</f>
        <v>HARRISON</v>
      </c>
      <c r="D7095" t="str">
        <f t="shared" ref="D7095:D7102" si="2598">"09"</f>
        <v>09</v>
      </c>
      <c r="E7095" t="str">
        <f>"04 - A - 104 - Marius D Orsolini"</f>
        <v>04 - A - 104 - Marius D Orsolini</v>
      </c>
      <c r="F7095" t="str">
        <f>"CULINARY ARTS 1"</f>
        <v>CULINARY ARTS 1</v>
      </c>
      <c r="G7095" t="str">
        <f>"21-2115"</f>
        <v>21-2115</v>
      </c>
      <c r="H7095" t="str">
        <f>"A"</f>
        <v>A</v>
      </c>
    </row>
    <row r="7096" spans="1:8" x14ac:dyDescent="0.2">
      <c r="A7096" t="str">
        <f t="shared" si="2595"/>
        <v>0616104014</v>
      </c>
      <c r="B7096" t="str">
        <f t="shared" si="2596"/>
        <v>GABRIELLA</v>
      </c>
      <c r="C7096" t="str">
        <f t="shared" si="2597"/>
        <v>HARRISON</v>
      </c>
      <c r="D7096" t="str">
        <f t="shared" si="2598"/>
        <v>09</v>
      </c>
      <c r="E7096" t="str">
        <f>"06 - B - 110 - Krystal Marie  Beruty"</f>
        <v>06 - B - 110 - Krystal Marie  Beruty</v>
      </c>
      <c r="F7096" t="str">
        <f>"AICE GLBL PERSP 1 AS"</f>
        <v>AICE GLBL PERSP 1 AS</v>
      </c>
      <c r="G7096" t="str">
        <f>"17-1721"</f>
        <v>17-1721</v>
      </c>
      <c r="H7096" t="str">
        <f>"B"</f>
        <v>B</v>
      </c>
    </row>
    <row r="7097" spans="1:8" x14ac:dyDescent="0.2">
      <c r="A7097" t="str">
        <f t="shared" si="2595"/>
        <v>0616104014</v>
      </c>
      <c r="B7097" t="str">
        <f t="shared" si="2596"/>
        <v>GABRIELLA</v>
      </c>
      <c r="C7097" t="str">
        <f t="shared" si="2597"/>
        <v>HARRISON</v>
      </c>
      <c r="D7097" t="str">
        <f t="shared" si="2598"/>
        <v>09</v>
      </c>
      <c r="E7097" t="str">
        <f>"03 - A - 202 - Cheryl L Beach"</f>
        <v>03 - A - 202 - Cheryl L Beach</v>
      </c>
      <c r="F7097" t="str">
        <f>"AICE ENV MGMNT AS"</f>
        <v>AICE ENV MGMNT AS</v>
      </c>
      <c r="G7097" t="str">
        <f>"08-811"</f>
        <v>08-811</v>
      </c>
      <c r="H7097" t="str">
        <f>"A"</f>
        <v>A</v>
      </c>
    </row>
    <row r="7098" spans="1:8" x14ac:dyDescent="0.2">
      <c r="A7098" t="str">
        <f t="shared" si="2595"/>
        <v>0616104014</v>
      </c>
      <c r="B7098" t="str">
        <f t="shared" si="2596"/>
        <v>GABRIELLA</v>
      </c>
      <c r="C7098" t="str">
        <f t="shared" si="2597"/>
        <v>HARRISON</v>
      </c>
      <c r="D7098" t="str">
        <f t="shared" si="2598"/>
        <v>09</v>
      </c>
      <c r="E7098" t="str">
        <f>"02 - A - 111 - Cheryl L Beach"</f>
        <v>02 - A - 111 - Cheryl L Beach</v>
      </c>
      <c r="F7098" t="str">
        <f>"NC STUDY HALL 1"</f>
        <v>NC STUDY HALL 1</v>
      </c>
      <c r="G7098" t="str">
        <f>"08-811"</f>
        <v>08-811</v>
      </c>
      <c r="H7098" t="str">
        <f>"A"</f>
        <v>A</v>
      </c>
    </row>
    <row r="7099" spans="1:8" x14ac:dyDescent="0.2">
      <c r="A7099" t="str">
        <f t="shared" si="2595"/>
        <v>0616104014</v>
      </c>
      <c r="B7099" t="str">
        <f t="shared" si="2596"/>
        <v>GABRIELLA</v>
      </c>
      <c r="C7099" t="str">
        <f t="shared" si="2597"/>
        <v>HARRISON</v>
      </c>
      <c r="D7099" t="str">
        <f t="shared" si="2598"/>
        <v>09</v>
      </c>
      <c r="E7099" t="str">
        <f>"07 - B - 001 - Cheryl Anne  Berman-Schechter"</f>
        <v>07 - B - 001 - Cheryl Anne  Berman-Schechter</v>
      </c>
      <c r="F7099" t="str">
        <f>"AICE ENG GEN PAPER 1"</f>
        <v>AICE ENG GEN PAPER 1</v>
      </c>
      <c r="G7099" t="str">
        <f>"17-1722"</f>
        <v>17-1722</v>
      </c>
      <c r="H7099" t="str">
        <f>"B"</f>
        <v>B</v>
      </c>
    </row>
    <row r="7100" spans="1:8" x14ac:dyDescent="0.2">
      <c r="A7100" t="str">
        <f t="shared" si="2595"/>
        <v>0616104014</v>
      </c>
      <c r="B7100" t="str">
        <f t="shared" si="2596"/>
        <v>GABRIELLA</v>
      </c>
      <c r="C7100" t="str">
        <f t="shared" si="2597"/>
        <v>HARRISON</v>
      </c>
      <c r="D7100" t="str">
        <f t="shared" si="2598"/>
        <v>09</v>
      </c>
      <c r="E7100" t="str">
        <f>"05 - B - 103 - Eva T Rimmer"</f>
        <v>05 - B - 103 - Eva T Rimmer</v>
      </c>
      <c r="F7100" t="str">
        <f>"CRIMINAL JUST OPS 1"</f>
        <v>CRIMINAL JUST OPS 1</v>
      </c>
      <c r="G7100" t="str">
        <f>"05-523"</f>
        <v>05-523</v>
      </c>
      <c r="H7100" t="str">
        <f>"B"</f>
        <v>B</v>
      </c>
    </row>
    <row r="7101" spans="1:8" x14ac:dyDescent="0.2">
      <c r="A7101" t="str">
        <f t="shared" si="2595"/>
        <v>0616104014</v>
      </c>
      <c r="B7101" t="str">
        <f t="shared" si="2596"/>
        <v>GABRIELLA</v>
      </c>
      <c r="C7101" t="str">
        <f t="shared" si="2597"/>
        <v>HARRISON</v>
      </c>
      <c r="D7101" t="str">
        <f t="shared" si="2598"/>
        <v>09</v>
      </c>
      <c r="E7101" t="str">
        <f>"01 - A - 101 - Maried P Ramos"</f>
        <v>01 - A - 101 - Maried P Ramos</v>
      </c>
      <c r="F7101" t="str">
        <f>"ALGEBRA 2 HON"</f>
        <v>ALGEBRA 2 HON</v>
      </c>
      <c r="G7101" t="str">
        <f>"21-2159"</f>
        <v>21-2159</v>
      </c>
      <c r="H7101" t="str">
        <f>"A"</f>
        <v>A</v>
      </c>
    </row>
    <row r="7102" spans="1:8" x14ac:dyDescent="0.2">
      <c r="A7102" t="str">
        <f t="shared" si="2595"/>
        <v>0616104014</v>
      </c>
      <c r="B7102" t="str">
        <f t="shared" si="2596"/>
        <v>GABRIELLA</v>
      </c>
      <c r="C7102" t="str">
        <f t="shared" si="2597"/>
        <v>HARRISON</v>
      </c>
      <c r="D7102" t="str">
        <f t="shared" si="2598"/>
        <v>09</v>
      </c>
      <c r="E7102" t="str">
        <f>"08 - B - 202 - Dorothy D Moore"</f>
        <v>08 - B - 202 - Dorothy D Moore</v>
      </c>
      <c r="F7102" t="str">
        <f>"HEALTH SCI 1/A&amp;P HON"</f>
        <v>HEALTH SCI 1/A&amp;P HON</v>
      </c>
      <c r="G7102" t="str">
        <f>"08-803"</f>
        <v>08-803</v>
      </c>
      <c r="H7102" t="str">
        <f>"B"</f>
        <v>B</v>
      </c>
    </row>
    <row r="7103" spans="1:8" x14ac:dyDescent="0.2">
      <c r="A7103" t="str">
        <f t="shared" ref="A7103:A7110" si="2599">"0616008105"</f>
        <v>0616008105</v>
      </c>
      <c r="B7103" t="str">
        <f t="shared" ref="B7103:B7110" si="2600">"ALYSSA"</f>
        <v>ALYSSA</v>
      </c>
      <c r="C7103" t="str">
        <f t="shared" ref="C7103:C7118" si="2601">"HARTT"</f>
        <v>HARTT</v>
      </c>
      <c r="D7103">
        <f>10</f>
        <v>10</v>
      </c>
      <c r="E7103" t="str">
        <f>"04 - A - 104 - Marius D Orsolini"</f>
        <v>04 - A - 104 - Marius D Orsolini</v>
      </c>
      <c r="F7103" t="str">
        <f>"CULINARY ARTS 1"</f>
        <v>CULINARY ARTS 1</v>
      </c>
      <c r="G7103" t="str">
        <f>"21-2115"</f>
        <v>21-2115</v>
      </c>
      <c r="H7103" t="str">
        <f>"A"</f>
        <v>A</v>
      </c>
    </row>
    <row r="7104" spans="1:8" x14ac:dyDescent="0.2">
      <c r="A7104" t="str">
        <f t="shared" si="2599"/>
        <v>0616008105</v>
      </c>
      <c r="B7104" t="str">
        <f t="shared" si="2600"/>
        <v>ALYSSA</v>
      </c>
      <c r="C7104" t="str">
        <f t="shared" si="2601"/>
        <v>HARTT</v>
      </c>
      <c r="D7104">
        <f>10</f>
        <v>10</v>
      </c>
      <c r="E7104" t="str">
        <f>"06 - B - 115 - Scott A Dethloff"</f>
        <v>06 - B - 115 - Scott A Dethloff</v>
      </c>
      <c r="F7104" t="str">
        <f>"NC STUDY HALL 1"</f>
        <v>NC STUDY HALL 1</v>
      </c>
      <c r="G7104" t="str">
        <f>"08-812"</f>
        <v>08-812</v>
      </c>
      <c r="H7104" t="str">
        <f>"B"</f>
        <v>B</v>
      </c>
    </row>
    <row r="7105" spans="1:8" x14ac:dyDescent="0.2">
      <c r="A7105" t="str">
        <f t="shared" si="2599"/>
        <v>0616008105</v>
      </c>
      <c r="B7105" t="str">
        <f t="shared" si="2600"/>
        <v>ALYSSA</v>
      </c>
      <c r="C7105" t="str">
        <f t="shared" si="2601"/>
        <v>HARTT</v>
      </c>
      <c r="D7105">
        <f>10</f>
        <v>10</v>
      </c>
      <c r="E7105" t="str">
        <f>"03 - A - 208 - Marielle A Witting"</f>
        <v>03 - A - 208 - Marielle A Witting</v>
      </c>
      <c r="F7105" t="str">
        <f>"ANAT PHYSIO"</f>
        <v>ANAT PHYSIO</v>
      </c>
      <c r="G7105" t="str">
        <f>"08-805"</f>
        <v>08-805</v>
      </c>
      <c r="H7105" t="str">
        <f>"A"</f>
        <v>A</v>
      </c>
    </row>
    <row r="7106" spans="1:8" x14ac:dyDescent="0.2">
      <c r="A7106" t="str">
        <f t="shared" si="2599"/>
        <v>0616008105</v>
      </c>
      <c r="B7106" t="str">
        <f t="shared" si="2600"/>
        <v>ALYSSA</v>
      </c>
      <c r="C7106" t="str">
        <f t="shared" si="2601"/>
        <v>HARTT</v>
      </c>
      <c r="D7106">
        <f>10</f>
        <v>10</v>
      </c>
      <c r="E7106" t="str">
        <f>"02 - S1 - A - 101 - Carol S Moore"</f>
        <v>02 - S1 - A - 101 - Carol S Moore</v>
      </c>
      <c r="F7106" t="str">
        <f>"PER CAR SCH DEV 1 LH"</f>
        <v>PER CAR SCH DEV 1 LH</v>
      </c>
      <c r="G7106" t="str">
        <f>"17-1733"</f>
        <v>17-1733</v>
      </c>
      <c r="H7106" t="str">
        <f>"A"</f>
        <v>A</v>
      </c>
    </row>
    <row r="7107" spans="1:8" x14ac:dyDescent="0.2">
      <c r="A7107" t="str">
        <f t="shared" si="2599"/>
        <v>0616008105</v>
      </c>
      <c r="B7107" t="str">
        <f t="shared" si="2600"/>
        <v>ALYSSA</v>
      </c>
      <c r="C7107" t="str">
        <f t="shared" si="2601"/>
        <v>HARTT</v>
      </c>
      <c r="D7107">
        <f>10</f>
        <v>10</v>
      </c>
      <c r="E7107" t="str">
        <f>"07 - B - 102 - Nikiel  Nesbeth"</f>
        <v>07 - B - 102 - Nikiel  Nesbeth</v>
      </c>
      <c r="F7107" t="str">
        <f>"PRE-AICE ENG LIT IG"</f>
        <v>PRE-AICE ENG LIT IG</v>
      </c>
      <c r="G7107" t="str">
        <f>"17-1705"</f>
        <v>17-1705</v>
      </c>
      <c r="H7107" t="str">
        <f>"B"</f>
        <v>B</v>
      </c>
    </row>
    <row r="7108" spans="1:8" x14ac:dyDescent="0.2">
      <c r="A7108" t="str">
        <f t="shared" si="2599"/>
        <v>0616008105</v>
      </c>
      <c r="B7108" t="str">
        <f t="shared" si="2600"/>
        <v>ALYSSA</v>
      </c>
      <c r="C7108" t="str">
        <f t="shared" si="2601"/>
        <v>HARTT</v>
      </c>
      <c r="D7108">
        <f>10</f>
        <v>10</v>
      </c>
      <c r="E7108" t="str">
        <f>"05 - B - 106 - Milca  Exantus"</f>
        <v>05 - B - 106 - Milca  Exantus</v>
      </c>
      <c r="F7108" t="str">
        <f>"MATH COLLEGE LIB ART"</f>
        <v>MATH COLLEGE LIB ART</v>
      </c>
      <c r="G7108" t="str">
        <f>"21-2145"</f>
        <v>21-2145</v>
      </c>
      <c r="H7108" t="str">
        <f>"B"</f>
        <v>B</v>
      </c>
    </row>
    <row r="7109" spans="1:8" x14ac:dyDescent="0.2">
      <c r="A7109" t="str">
        <f t="shared" si="2599"/>
        <v>0616008105</v>
      </c>
      <c r="B7109" t="str">
        <f t="shared" si="2600"/>
        <v>ALYSSA</v>
      </c>
      <c r="C7109" t="str">
        <f t="shared" si="2601"/>
        <v>HARTT</v>
      </c>
      <c r="D7109">
        <f>10</f>
        <v>10</v>
      </c>
      <c r="E7109" t="str">
        <f>"01 - A - 101 - Joe  Kilpatrick Jr"</f>
        <v>01 - A - 101 - Joe  Kilpatrick Jr</v>
      </c>
      <c r="F7109" t="str">
        <f>"PRE-AICE SPAN 1 IG"</f>
        <v>PRE-AICE SPAN 1 IG</v>
      </c>
      <c r="G7109" t="str">
        <f>"09-912"</f>
        <v>09-912</v>
      </c>
      <c r="H7109" t="str">
        <f>"A"</f>
        <v>A</v>
      </c>
    </row>
    <row r="7110" spans="1:8" x14ac:dyDescent="0.2">
      <c r="A7110" t="str">
        <f t="shared" si="2599"/>
        <v>0616008105</v>
      </c>
      <c r="B7110" t="str">
        <f t="shared" si="2600"/>
        <v>ALYSSA</v>
      </c>
      <c r="C7110" t="str">
        <f t="shared" si="2601"/>
        <v>HARTT</v>
      </c>
      <c r="D7110">
        <f>10</f>
        <v>10</v>
      </c>
      <c r="E7110" t="str">
        <f>"08 - S1 - B - 101 - Amy Beth  Broyles"</f>
        <v>08 - S1 - B - 101 - Amy Beth  Broyles</v>
      </c>
      <c r="F7110" t="str">
        <f>"PEER COUN 3"</f>
        <v>PEER COUN 3</v>
      </c>
      <c r="G7110" t="str">
        <f>"17-1713"</f>
        <v>17-1713</v>
      </c>
      <c r="H7110" t="str">
        <f>"B"</f>
        <v>B</v>
      </c>
    </row>
    <row r="7111" spans="1:8" x14ac:dyDescent="0.2">
      <c r="A7111" t="str">
        <f t="shared" ref="A7111:A7118" si="2602">"0613116796"</f>
        <v>0613116796</v>
      </c>
      <c r="B7111" t="str">
        <f t="shared" ref="B7111:B7118" si="2603">"LUKA"</f>
        <v>LUKA</v>
      </c>
      <c r="C7111" t="str">
        <f t="shared" si="2601"/>
        <v>HARTT</v>
      </c>
      <c r="D7111">
        <f>12</f>
        <v>12</v>
      </c>
      <c r="E7111" t="str">
        <f>"04 - A - 106 - Tina M Jaramillo"</f>
        <v>04 - A - 106 - Tina M Jaramillo</v>
      </c>
      <c r="F7111" t="str">
        <f>"AP ENG LIT COMPO"</f>
        <v>AP ENG LIT COMPO</v>
      </c>
      <c r="G7111" t="str">
        <f>"17-1706"</f>
        <v>17-1706</v>
      </c>
      <c r="H7111" t="str">
        <f>"A"</f>
        <v>A</v>
      </c>
    </row>
    <row r="7112" spans="1:8" x14ac:dyDescent="0.2">
      <c r="A7112" t="str">
        <f t="shared" si="2602"/>
        <v>0613116796</v>
      </c>
      <c r="B7112" t="str">
        <f t="shared" si="2603"/>
        <v>LUKA</v>
      </c>
      <c r="C7112" t="str">
        <f t="shared" si="2601"/>
        <v>HARTT</v>
      </c>
      <c r="D7112">
        <f>12</f>
        <v>12</v>
      </c>
      <c r="E7112" t="str">
        <f>"06 - B - 114 - Lisa J London"</f>
        <v>06 - B - 114 - Lisa J London</v>
      </c>
      <c r="F7112" t="str">
        <f>"NC STUDY HALL 1"</f>
        <v>NC STUDY HALL 1</v>
      </c>
      <c r="G7112" t="str">
        <f>"17-1714"</f>
        <v>17-1714</v>
      </c>
      <c r="H7112" t="str">
        <f>"B"</f>
        <v>B</v>
      </c>
    </row>
    <row r="7113" spans="1:8" x14ac:dyDescent="0.2">
      <c r="A7113" t="str">
        <f t="shared" si="2602"/>
        <v>0613116796</v>
      </c>
      <c r="B7113" t="str">
        <f t="shared" si="2603"/>
        <v>LUKA</v>
      </c>
      <c r="C7113" t="str">
        <f t="shared" si="2601"/>
        <v>HARTT</v>
      </c>
      <c r="D7113">
        <f>12</f>
        <v>12</v>
      </c>
      <c r="E7113" t="str">
        <f>"03 - A - 101 - Lourivaldo  Da Silva"</f>
        <v>03 - A - 101 - Lourivaldo  Da Silva</v>
      </c>
      <c r="F7113" t="str">
        <f>"AP STAT"</f>
        <v>AP STAT</v>
      </c>
      <c r="G7113" t="str">
        <f>"20-2079"</f>
        <v>20-2079</v>
      </c>
      <c r="H7113" t="str">
        <f>"A"</f>
        <v>A</v>
      </c>
    </row>
    <row r="7114" spans="1:8" x14ac:dyDescent="0.2">
      <c r="A7114" t="str">
        <f t="shared" si="2602"/>
        <v>0613116796</v>
      </c>
      <c r="B7114" t="str">
        <f t="shared" si="2603"/>
        <v>LUKA</v>
      </c>
      <c r="C7114" t="str">
        <f t="shared" si="2601"/>
        <v>HARTT</v>
      </c>
      <c r="D7114">
        <f>12</f>
        <v>12</v>
      </c>
      <c r="E7114" t="str">
        <f>"02 - A - 102 - Marielle A Witting"</f>
        <v>02 - A - 102 - Marielle A Witting</v>
      </c>
      <c r="F7114" t="str">
        <f>"AP BIO"</f>
        <v>AP BIO</v>
      </c>
      <c r="G7114" t="str">
        <f>"08-805"</f>
        <v>08-805</v>
      </c>
      <c r="H7114" t="str">
        <f>"A"</f>
        <v>A</v>
      </c>
    </row>
    <row r="7115" spans="1:8" x14ac:dyDescent="0.2">
      <c r="A7115" t="str">
        <f t="shared" si="2602"/>
        <v>0613116796</v>
      </c>
      <c r="B7115" t="str">
        <f t="shared" si="2603"/>
        <v>LUKA</v>
      </c>
      <c r="C7115" t="str">
        <f t="shared" si="2601"/>
        <v>HARTT</v>
      </c>
      <c r="D7115">
        <f>12</f>
        <v>12</v>
      </c>
      <c r="E7115" t="str">
        <f>"07 - B - 201 - Jacqueline R Morphet"</f>
        <v>07 - B - 201 - Jacqueline R Morphet</v>
      </c>
      <c r="F7115" t="str">
        <f>"AP PHYSICS C: ME"</f>
        <v>AP PHYSICS C: ME</v>
      </c>
      <c r="G7115" t="str">
        <f>"21-2138"</f>
        <v>21-2138</v>
      </c>
      <c r="H7115" t="str">
        <f>"B"</f>
        <v>B</v>
      </c>
    </row>
    <row r="7116" spans="1:8" x14ac:dyDescent="0.2">
      <c r="A7116" t="str">
        <f t="shared" si="2602"/>
        <v>0613116796</v>
      </c>
      <c r="B7116" t="str">
        <f t="shared" si="2603"/>
        <v>LUKA</v>
      </c>
      <c r="C7116" t="str">
        <f t="shared" si="2601"/>
        <v>HARTT</v>
      </c>
      <c r="D7116">
        <f>12</f>
        <v>12</v>
      </c>
      <c r="E7116" t="str">
        <f>"05 - B - 201 - Scott A Dethloff"</f>
        <v>05 - B - 201 - Scott A Dethloff</v>
      </c>
      <c r="F7116" t="str">
        <f>"AP CHEM"</f>
        <v>AP CHEM</v>
      </c>
      <c r="G7116" t="str">
        <f>"08-812"</f>
        <v>08-812</v>
      </c>
      <c r="H7116" t="str">
        <f>"B"</f>
        <v>B</v>
      </c>
    </row>
    <row r="7117" spans="1:8" x14ac:dyDescent="0.2">
      <c r="A7117" t="str">
        <f t="shared" si="2602"/>
        <v>0613116796</v>
      </c>
      <c r="B7117" t="str">
        <f t="shared" si="2603"/>
        <v>LUKA</v>
      </c>
      <c r="C7117" t="str">
        <f t="shared" si="2601"/>
        <v>HARTT</v>
      </c>
      <c r="D7117">
        <f>12</f>
        <v>12</v>
      </c>
      <c r="E7117" t="str">
        <f>"01 - A - 201 - Pamela M Corzo"</f>
        <v>01 - A - 201 - Pamela M Corzo</v>
      </c>
      <c r="F7117" t="str">
        <f>"AP CALCULUS BC"</f>
        <v>AP CALCULUS BC</v>
      </c>
      <c r="G7117" t="str">
        <f>"21-2133"</f>
        <v>21-2133</v>
      </c>
      <c r="H7117" t="str">
        <f>"A"</f>
        <v>A</v>
      </c>
    </row>
    <row r="7118" spans="1:8" x14ac:dyDescent="0.2">
      <c r="A7118" t="str">
        <f t="shared" si="2602"/>
        <v>0613116796</v>
      </c>
      <c r="B7118" t="str">
        <f t="shared" si="2603"/>
        <v>LUKA</v>
      </c>
      <c r="C7118" t="str">
        <f t="shared" si="2601"/>
        <v>HARTT</v>
      </c>
      <c r="D7118">
        <f>12</f>
        <v>12</v>
      </c>
      <c r="E7118" t="str">
        <f>"08 - S1 - B - 102 - Stephen T Ripp"</f>
        <v>08 - S1 - B - 102 - Stephen T Ripp</v>
      </c>
      <c r="F7118" t="str">
        <f>"AP US GOVT/POL"</f>
        <v>AP US GOVT/POL</v>
      </c>
      <c r="G7118" t="str">
        <f>"17-1744"</f>
        <v>17-1744</v>
      </c>
      <c r="H7118" t="str">
        <f>"B"</f>
        <v>B</v>
      </c>
    </row>
    <row r="7119" spans="1:8" x14ac:dyDescent="0.2">
      <c r="A7119" t="str">
        <f t="shared" ref="A7119:A7126" si="2604">"0615112570"</f>
        <v>0615112570</v>
      </c>
      <c r="B7119" t="str">
        <f t="shared" ref="B7119:B7126" si="2605">"JACKSON"</f>
        <v>JACKSON</v>
      </c>
      <c r="C7119" t="str">
        <f t="shared" ref="C7119:C7126" si="2606">"HARVEY"</f>
        <v>HARVEY</v>
      </c>
      <c r="D7119">
        <f>10</f>
        <v>10</v>
      </c>
      <c r="E7119" t="str">
        <f>"04 - A - 106 - Ferrie J Arostique"</f>
        <v>04 - A - 106 - Ferrie J Arostique</v>
      </c>
      <c r="F7119" t="str">
        <f>"PRE-AICE MATH 2 IG"</f>
        <v>PRE-AICE MATH 2 IG</v>
      </c>
      <c r="G7119" t="str">
        <f>"21-2139"</f>
        <v>21-2139</v>
      </c>
      <c r="H7119" t="str">
        <f>"A"</f>
        <v>A</v>
      </c>
    </row>
    <row r="7120" spans="1:8" x14ac:dyDescent="0.2">
      <c r="A7120" t="str">
        <f t="shared" si="2604"/>
        <v>0615112570</v>
      </c>
      <c r="B7120" t="str">
        <f t="shared" si="2605"/>
        <v>JACKSON</v>
      </c>
      <c r="C7120" t="str">
        <f t="shared" si="2606"/>
        <v>HARVEY</v>
      </c>
      <c r="D7120">
        <f>10</f>
        <v>10</v>
      </c>
      <c r="E7120" t="str">
        <f>"06 - B - 110 - Jerry S Jiampetti"</f>
        <v>06 - B - 110 - Jerry S Jiampetti</v>
      </c>
      <c r="F7120" t="str">
        <f>"NC STUDY HALL 1"</f>
        <v>NC STUDY HALL 1</v>
      </c>
      <c r="G7120" t="str">
        <f>"17-1751"</f>
        <v>17-1751</v>
      </c>
      <c r="H7120" t="str">
        <f>"B"</f>
        <v>B</v>
      </c>
    </row>
    <row r="7121" spans="1:8" x14ac:dyDescent="0.2">
      <c r="A7121" t="str">
        <f t="shared" si="2604"/>
        <v>0615112570</v>
      </c>
      <c r="B7121" t="str">
        <f t="shared" si="2605"/>
        <v>JACKSON</v>
      </c>
      <c r="C7121" t="str">
        <f t="shared" si="2606"/>
        <v>HARVEY</v>
      </c>
      <c r="D7121">
        <f>10</f>
        <v>10</v>
      </c>
      <c r="E7121" t="str">
        <f>"03 - A - 202 - Cheryl L Beach"</f>
        <v>03 - A - 202 - Cheryl L Beach</v>
      </c>
      <c r="F7121" t="str">
        <f>"AICE ENV MGMNT AS"</f>
        <v>AICE ENV MGMNT AS</v>
      </c>
      <c r="G7121" t="str">
        <f>"08-811"</f>
        <v>08-811</v>
      </c>
      <c r="H7121" t="str">
        <f>"A"</f>
        <v>A</v>
      </c>
    </row>
    <row r="7122" spans="1:8" x14ac:dyDescent="0.2">
      <c r="A7122" t="str">
        <f t="shared" si="2604"/>
        <v>0615112570</v>
      </c>
      <c r="B7122" t="str">
        <f t="shared" si="2605"/>
        <v>JACKSON</v>
      </c>
      <c r="C7122" t="str">
        <f t="shared" si="2606"/>
        <v>HARVEY</v>
      </c>
      <c r="D7122">
        <f>10</f>
        <v>10</v>
      </c>
      <c r="E7122" t="str">
        <f>"02 - A - 205 - Emmily A Sarmiento"</f>
        <v>02 - A - 205 - Emmily A Sarmiento</v>
      </c>
      <c r="F7122" t="str">
        <f>"AICE GLBL PERSP 1 AS"</f>
        <v>AICE GLBL PERSP 1 AS</v>
      </c>
      <c r="G7122" t="str">
        <f>"17-1743"</f>
        <v>17-1743</v>
      </c>
      <c r="H7122" t="str">
        <f>"A"</f>
        <v>A</v>
      </c>
    </row>
    <row r="7123" spans="1:8" x14ac:dyDescent="0.2">
      <c r="A7123" t="str">
        <f t="shared" si="2604"/>
        <v>0615112570</v>
      </c>
      <c r="B7123" t="str">
        <f t="shared" si="2605"/>
        <v>JACKSON</v>
      </c>
      <c r="C7123" t="str">
        <f t="shared" si="2606"/>
        <v>HARVEY</v>
      </c>
      <c r="D7123">
        <f>10</f>
        <v>10</v>
      </c>
      <c r="E7123" t="str">
        <f>"07 - B - 101 - Lisa  Quinn"</f>
        <v>07 - B - 101 - Lisa  Quinn</v>
      </c>
      <c r="F7123" t="str">
        <f>"RESEARCH 1"</f>
        <v>RESEARCH 1</v>
      </c>
      <c r="G7123" t="str">
        <f>"17-1725"</f>
        <v>17-1725</v>
      </c>
      <c r="H7123" t="str">
        <f>"B"</f>
        <v>B</v>
      </c>
    </row>
    <row r="7124" spans="1:8" x14ac:dyDescent="0.2">
      <c r="A7124" t="str">
        <f t="shared" si="2604"/>
        <v>0615112570</v>
      </c>
      <c r="B7124" t="str">
        <f t="shared" si="2605"/>
        <v>JACKSON</v>
      </c>
      <c r="C7124" t="str">
        <f t="shared" si="2606"/>
        <v>HARVEY</v>
      </c>
      <c r="D7124">
        <f>10</f>
        <v>10</v>
      </c>
      <c r="E7124" t="str">
        <f>"05 - B - 104 - Joe  Kilpatrick Jr"</f>
        <v>05 - B - 104 - Joe  Kilpatrick Jr</v>
      </c>
      <c r="F7124" t="str">
        <f>"PRE-AICE SPAN 1 IG"</f>
        <v>PRE-AICE SPAN 1 IG</v>
      </c>
      <c r="G7124" t="str">
        <f>"09-912"</f>
        <v>09-912</v>
      </c>
      <c r="H7124" t="str">
        <f>"B"</f>
        <v>B</v>
      </c>
    </row>
    <row r="7125" spans="1:8" x14ac:dyDescent="0.2">
      <c r="A7125" t="str">
        <f t="shared" si="2604"/>
        <v>0615112570</v>
      </c>
      <c r="B7125" t="str">
        <f t="shared" si="2605"/>
        <v>JACKSON</v>
      </c>
      <c r="C7125" t="str">
        <f t="shared" si="2606"/>
        <v>HARVEY</v>
      </c>
      <c r="D7125">
        <f>10</f>
        <v>10</v>
      </c>
      <c r="E7125" t="str">
        <f>"01 - A - 101 - Josiah I Lacy"</f>
        <v>01 - A - 101 - Josiah I Lacy</v>
      </c>
      <c r="F7125" t="str">
        <f>"PRE-AICE BIO IG"</f>
        <v>PRE-AICE BIO IG</v>
      </c>
      <c r="G7125" t="str">
        <f>"08-801"</f>
        <v>08-801</v>
      </c>
      <c r="H7125" t="str">
        <f>"A"</f>
        <v>A</v>
      </c>
    </row>
    <row r="7126" spans="1:8" x14ac:dyDescent="0.2">
      <c r="A7126" t="str">
        <f t="shared" si="2604"/>
        <v>0615112570</v>
      </c>
      <c r="B7126" t="str">
        <f t="shared" si="2605"/>
        <v>JACKSON</v>
      </c>
      <c r="C7126" t="str">
        <f t="shared" si="2606"/>
        <v>HARVEY</v>
      </c>
      <c r="D7126">
        <f>10</f>
        <v>10</v>
      </c>
      <c r="E7126" t="str">
        <f>"08 - B - 102 - Jacquelyn M Neeson"</f>
        <v>08 - B - 102 - Jacquelyn M Neeson</v>
      </c>
      <c r="F7126" t="str">
        <f>"AICE ENG GEN PAPER 1"</f>
        <v>AICE ENG GEN PAPER 1</v>
      </c>
      <c r="G7126" t="str">
        <f>"17-1715"</f>
        <v>17-1715</v>
      </c>
      <c r="H7126" t="str">
        <f>"B"</f>
        <v>B</v>
      </c>
    </row>
    <row r="7127" spans="1:8" x14ac:dyDescent="0.2">
      <c r="A7127" t="str">
        <f t="shared" ref="A7127:A7134" si="2607">"0623090721"</f>
        <v>0623090721</v>
      </c>
      <c r="B7127" t="str">
        <f t="shared" ref="B7127:B7134" si="2608">"DARIIA"</f>
        <v>DARIIA</v>
      </c>
      <c r="C7127" t="str">
        <f t="shared" ref="C7127:C7134" si="2609">"HASPARIAN"</f>
        <v>HASPARIAN</v>
      </c>
      <c r="D7127">
        <f>11</f>
        <v>11</v>
      </c>
      <c r="E7127" t="str">
        <f>"04 - S1 - A - 103 - James H Mccann"</f>
        <v>04 - S1 - A - 103 - James H Mccann</v>
      </c>
      <c r="F7127" t="str">
        <f>"PERS FIN &amp; MON MGT H"</f>
        <v>PERS FIN &amp; MON MGT H</v>
      </c>
      <c r="G7127" t="str">
        <f>"17-1716"</f>
        <v>17-1716</v>
      </c>
      <c r="H7127" t="str">
        <f>"A"</f>
        <v>A</v>
      </c>
    </row>
    <row r="7128" spans="1:8" x14ac:dyDescent="0.2">
      <c r="A7128" t="str">
        <f t="shared" si="2607"/>
        <v>0623090721</v>
      </c>
      <c r="B7128" t="str">
        <f t="shared" si="2608"/>
        <v>DARIIA</v>
      </c>
      <c r="C7128" t="str">
        <f t="shared" si="2609"/>
        <v>HASPARIAN</v>
      </c>
      <c r="D7128">
        <f>11</f>
        <v>11</v>
      </c>
      <c r="E7128" t="str">
        <f>"06 - B - 108 - Milca  Exantus"</f>
        <v>06 - B - 108 - Milca  Exantus</v>
      </c>
      <c r="F7128" t="str">
        <f>"MATH COLLEGE LIB ART"</f>
        <v>MATH COLLEGE LIB ART</v>
      </c>
      <c r="G7128" t="str">
        <f>"21-2145"</f>
        <v>21-2145</v>
      </c>
      <c r="H7128" t="str">
        <f>"B"</f>
        <v>B</v>
      </c>
    </row>
    <row r="7129" spans="1:8" x14ac:dyDescent="0.2">
      <c r="A7129" t="str">
        <f t="shared" si="2607"/>
        <v>0623090721</v>
      </c>
      <c r="B7129" t="str">
        <f t="shared" si="2608"/>
        <v>DARIIA</v>
      </c>
      <c r="C7129" t="str">
        <f t="shared" si="2609"/>
        <v>HASPARIAN</v>
      </c>
      <c r="D7129">
        <f>11</f>
        <v>11</v>
      </c>
      <c r="E7129" t="str">
        <f>"03 - A - 102 - Nahum  Saint-Preux"</f>
        <v>03 - A - 102 - Nahum  Saint-Preux</v>
      </c>
      <c r="F7129" t="str">
        <f>"INTENS READ 3"</f>
        <v>INTENS READ 3</v>
      </c>
      <c r="G7129" t="str">
        <f>"17-1712"</f>
        <v>17-1712</v>
      </c>
      <c r="H7129" t="str">
        <f>"A"</f>
        <v>A</v>
      </c>
    </row>
    <row r="7130" spans="1:8" x14ac:dyDescent="0.2">
      <c r="A7130" t="str">
        <f t="shared" si="2607"/>
        <v>0623090721</v>
      </c>
      <c r="B7130" t="str">
        <f t="shared" si="2608"/>
        <v>DARIIA</v>
      </c>
      <c r="C7130" t="str">
        <f t="shared" si="2609"/>
        <v>HASPARIAN</v>
      </c>
      <c r="D7130">
        <f>11</f>
        <v>11</v>
      </c>
      <c r="E7130" t="str">
        <f>"02 - A - 102 - Brook E Goren"</f>
        <v>02 - A - 102 - Brook E Goren</v>
      </c>
      <c r="F7130" t="str">
        <f>"NC STUDY HALL 1"</f>
        <v>NC STUDY HALL 1</v>
      </c>
      <c r="G7130" t="str">
        <f>"21-2158"</f>
        <v>21-2158</v>
      </c>
      <c r="H7130" t="str">
        <f>"A"</f>
        <v>A</v>
      </c>
    </row>
    <row r="7131" spans="1:8" x14ac:dyDescent="0.2">
      <c r="A7131" t="str">
        <f t="shared" si="2607"/>
        <v>0623090721</v>
      </c>
      <c r="B7131" t="str">
        <f t="shared" si="2608"/>
        <v>DARIIA</v>
      </c>
      <c r="C7131" t="str">
        <f t="shared" si="2609"/>
        <v>HASPARIAN</v>
      </c>
      <c r="D7131">
        <f>11</f>
        <v>11</v>
      </c>
      <c r="E7131" t="str">
        <f>"07 - B - 104 - Marielle A Witting"</f>
        <v>07 - B - 104 - Marielle A Witting</v>
      </c>
      <c r="F7131" t="str">
        <f>"ANAT PHYSIO"</f>
        <v>ANAT PHYSIO</v>
      </c>
      <c r="G7131" t="str">
        <f>"08-805"</f>
        <v>08-805</v>
      </c>
      <c r="H7131" t="str">
        <f>"B"</f>
        <v>B</v>
      </c>
    </row>
    <row r="7132" spans="1:8" x14ac:dyDescent="0.2">
      <c r="A7132" t="str">
        <f t="shared" si="2607"/>
        <v>0623090721</v>
      </c>
      <c r="B7132" t="str">
        <f t="shared" si="2608"/>
        <v>DARIIA</v>
      </c>
      <c r="C7132" t="str">
        <f t="shared" si="2609"/>
        <v>HASPARIAN</v>
      </c>
      <c r="D7132">
        <f>11</f>
        <v>11</v>
      </c>
      <c r="E7132" t="str">
        <f>"05 - B - 201 - Jazmin S Fletcher"</f>
        <v>05 - B - 201 - Jazmin S Fletcher</v>
      </c>
      <c r="F7132" t="str">
        <f>"THEATRE 1"</f>
        <v>THEATRE 1</v>
      </c>
      <c r="G7132" t="str">
        <f>"09-909"</f>
        <v>09-909</v>
      </c>
      <c r="H7132" t="str">
        <f>"B"</f>
        <v>B</v>
      </c>
    </row>
    <row r="7133" spans="1:8" x14ac:dyDescent="0.2">
      <c r="A7133" t="str">
        <f t="shared" si="2607"/>
        <v>0623090721</v>
      </c>
      <c r="B7133" t="str">
        <f t="shared" si="2608"/>
        <v>DARIIA</v>
      </c>
      <c r="C7133" t="str">
        <f t="shared" si="2609"/>
        <v>HASPARIAN</v>
      </c>
      <c r="D7133">
        <f>11</f>
        <v>11</v>
      </c>
      <c r="E7133" t="str">
        <f>"01 - A - 101 - Kyle  Robbins"</f>
        <v>01 - A - 101 - Kyle  Robbins</v>
      </c>
      <c r="F7133" t="str">
        <f>"US HISTORY"</f>
        <v>US HISTORY</v>
      </c>
      <c r="G7133" t="str">
        <f>"17-1745"</f>
        <v>17-1745</v>
      </c>
      <c r="H7133" t="str">
        <f>"A"</f>
        <v>A</v>
      </c>
    </row>
    <row r="7134" spans="1:8" x14ac:dyDescent="0.2">
      <c r="A7134" t="str">
        <f t="shared" si="2607"/>
        <v>0623090721</v>
      </c>
      <c r="B7134" t="str">
        <f t="shared" si="2608"/>
        <v>DARIIA</v>
      </c>
      <c r="C7134" t="str">
        <f t="shared" si="2609"/>
        <v>HASPARIAN</v>
      </c>
      <c r="D7134">
        <f>11</f>
        <v>11</v>
      </c>
      <c r="E7134" t="str">
        <f>"08 - B - 106 - Lisa  Quinn"</f>
        <v>08 - B - 106 - Lisa  Quinn</v>
      </c>
      <c r="F7134" t="str">
        <f>"ENG 3"</f>
        <v>ENG 3</v>
      </c>
      <c r="G7134" t="str">
        <f>"17-1725"</f>
        <v>17-1725</v>
      </c>
      <c r="H7134" t="str">
        <f>"B"</f>
        <v>B</v>
      </c>
    </row>
    <row r="7135" spans="1:8" x14ac:dyDescent="0.2">
      <c r="A7135" t="str">
        <f t="shared" ref="A7135:A7142" si="2610">"0616008108"</f>
        <v>0616008108</v>
      </c>
      <c r="B7135" t="str">
        <f t="shared" ref="B7135:B7142" si="2611">"YOUSSEF"</f>
        <v>YOUSSEF</v>
      </c>
      <c r="C7135" t="str">
        <f t="shared" ref="C7135:C7142" si="2612">"HASSABALLA"</f>
        <v>HASSABALLA</v>
      </c>
      <c r="D7135">
        <f>10</f>
        <v>10</v>
      </c>
      <c r="E7135" t="str">
        <f>"04 - A - 102 - Fernando  Vega-Cid"</f>
        <v>04 - A - 102 - Fernando  Vega-Cid</v>
      </c>
      <c r="F7135" t="str">
        <f>"PRE-CALCULUS HON"</f>
        <v>PRE-CALCULUS HON</v>
      </c>
      <c r="G7135" t="str">
        <f>"21-2163"</f>
        <v>21-2163</v>
      </c>
      <c r="H7135" t="str">
        <f>"A"</f>
        <v>A</v>
      </c>
    </row>
    <row r="7136" spans="1:8" x14ac:dyDescent="0.2">
      <c r="A7136" t="str">
        <f t="shared" si="2610"/>
        <v>0616008108</v>
      </c>
      <c r="B7136" t="str">
        <f t="shared" si="2611"/>
        <v>YOUSSEF</v>
      </c>
      <c r="C7136" t="str">
        <f t="shared" si="2612"/>
        <v>HASSABALLA</v>
      </c>
      <c r="D7136">
        <f>10</f>
        <v>10</v>
      </c>
      <c r="E7136" t="str">
        <f>"06 - B - 116 - Jordana K Hass"</f>
        <v>06 - B - 116 - Jordana K Hass</v>
      </c>
      <c r="F7136" t="str">
        <f>"NC STUDY HALL 1"</f>
        <v>NC STUDY HALL 1</v>
      </c>
      <c r="G7136" t="str">
        <f>"08-807"</f>
        <v>08-807</v>
      </c>
      <c r="H7136" t="str">
        <f>"B"</f>
        <v>B</v>
      </c>
    </row>
    <row r="7137" spans="1:8" x14ac:dyDescent="0.2">
      <c r="A7137" t="str">
        <f t="shared" si="2610"/>
        <v>0616008108</v>
      </c>
      <c r="B7137" t="str">
        <f t="shared" si="2611"/>
        <v>YOUSSEF</v>
      </c>
      <c r="C7137" t="str">
        <f t="shared" si="2612"/>
        <v>HASSABALLA</v>
      </c>
      <c r="D7137">
        <f>10</f>
        <v>10</v>
      </c>
      <c r="E7137" t="str">
        <f>"03 - A - 101 - Timothy J Lawrence"</f>
        <v>03 - A - 101 - Timothy J Lawrence</v>
      </c>
      <c r="F7137" t="str">
        <f>"AICE PHYS ED 1 AS"</f>
        <v>AICE PHYS ED 1 AS</v>
      </c>
      <c r="G7137" t="str">
        <f>"05-519"</f>
        <v>05-519</v>
      </c>
      <c r="H7137" t="str">
        <f>"A"</f>
        <v>A</v>
      </c>
    </row>
    <row r="7138" spans="1:8" x14ac:dyDescent="0.2">
      <c r="A7138" t="str">
        <f t="shared" si="2610"/>
        <v>0616008108</v>
      </c>
      <c r="B7138" t="str">
        <f t="shared" si="2611"/>
        <v>YOUSSEF</v>
      </c>
      <c r="C7138" t="str">
        <f t="shared" si="2612"/>
        <v>HASSABALLA</v>
      </c>
      <c r="D7138">
        <f>10</f>
        <v>10</v>
      </c>
      <c r="E7138" t="str">
        <f>"02 - A - 205 - Emmily A Sarmiento"</f>
        <v>02 - A - 205 - Emmily A Sarmiento</v>
      </c>
      <c r="F7138" t="str">
        <f>"AICE GLBL PERSP 1 AS"</f>
        <v>AICE GLBL PERSP 1 AS</v>
      </c>
      <c r="G7138" t="str">
        <f>"17-1743"</f>
        <v>17-1743</v>
      </c>
      <c r="H7138" t="str">
        <f>"A"</f>
        <v>A</v>
      </c>
    </row>
    <row r="7139" spans="1:8" x14ac:dyDescent="0.2">
      <c r="A7139" t="str">
        <f t="shared" si="2610"/>
        <v>0616008108</v>
      </c>
      <c r="B7139" t="str">
        <f t="shared" si="2611"/>
        <v>YOUSSEF</v>
      </c>
      <c r="C7139" t="str">
        <f t="shared" si="2612"/>
        <v>HASSABALLA</v>
      </c>
      <c r="D7139">
        <f>10</f>
        <v>10</v>
      </c>
      <c r="E7139" t="str">
        <f>"07 - B - 107 - Rosa Elaine  Collado-Duff"</f>
        <v>07 - B - 107 - Rosa Elaine  Collado-Duff</v>
      </c>
      <c r="F7139" t="str">
        <f>"PRE-AICE SPAN 2 IG"</f>
        <v>PRE-AICE SPAN 2 IG</v>
      </c>
      <c r="G7139" t="str">
        <f>"09-913"</f>
        <v>09-913</v>
      </c>
      <c r="H7139" t="str">
        <f>"B"</f>
        <v>B</v>
      </c>
    </row>
    <row r="7140" spans="1:8" x14ac:dyDescent="0.2">
      <c r="A7140" t="str">
        <f t="shared" si="2610"/>
        <v>0616008108</v>
      </c>
      <c r="B7140" t="str">
        <f t="shared" si="2611"/>
        <v>YOUSSEF</v>
      </c>
      <c r="C7140" t="str">
        <f t="shared" si="2612"/>
        <v>HASSABALLA</v>
      </c>
      <c r="D7140">
        <f>10</f>
        <v>10</v>
      </c>
      <c r="E7140" t="str">
        <f>"05 - B - 108 - Valerie J Ruwe"</f>
        <v>05 - B - 108 - Valerie J Ruwe</v>
      </c>
      <c r="F7140" t="str">
        <f>"CHEMISTRY 1 HON"</f>
        <v>CHEMISTRY 1 HON</v>
      </c>
      <c r="G7140" t="str">
        <f>"21-2138"</f>
        <v>21-2138</v>
      </c>
      <c r="H7140" t="str">
        <f>"B"</f>
        <v>B</v>
      </c>
    </row>
    <row r="7141" spans="1:8" x14ac:dyDescent="0.2">
      <c r="A7141" t="str">
        <f t="shared" si="2610"/>
        <v>0616008108</v>
      </c>
      <c r="B7141" t="str">
        <f t="shared" si="2611"/>
        <v>YOUSSEF</v>
      </c>
      <c r="C7141" t="str">
        <f t="shared" si="2612"/>
        <v>HASSABALLA</v>
      </c>
      <c r="D7141">
        <f>10</f>
        <v>10</v>
      </c>
      <c r="E7141" t="str">
        <f>"01 - A - 201 - Cheryl L Beach"</f>
        <v>01 - A - 201 - Cheryl L Beach</v>
      </c>
      <c r="F7141" t="str">
        <f>"AICE ENV MGMNT AS"</f>
        <v>AICE ENV MGMNT AS</v>
      </c>
      <c r="G7141" t="str">
        <f>"08-811"</f>
        <v>08-811</v>
      </c>
      <c r="H7141" t="str">
        <f>"A"</f>
        <v>A</v>
      </c>
    </row>
    <row r="7142" spans="1:8" x14ac:dyDescent="0.2">
      <c r="A7142" t="str">
        <f t="shared" si="2610"/>
        <v>0616008108</v>
      </c>
      <c r="B7142" t="str">
        <f t="shared" si="2611"/>
        <v>YOUSSEF</v>
      </c>
      <c r="C7142" t="str">
        <f t="shared" si="2612"/>
        <v>HASSABALLA</v>
      </c>
      <c r="D7142">
        <f>10</f>
        <v>10</v>
      </c>
      <c r="E7142" t="str">
        <f>"08 - B - 001 - Jacklyn M James"</f>
        <v>08 - B - 001 - Jacklyn M James</v>
      </c>
      <c r="F7142" t="str">
        <f>"AICE ENG LANG AS"</f>
        <v>AICE ENG LANG AS</v>
      </c>
      <c r="G7142" t="str">
        <f>"17-1731"</f>
        <v>17-1731</v>
      </c>
      <c r="H7142" t="str">
        <f>"B"</f>
        <v>B</v>
      </c>
    </row>
    <row r="7143" spans="1:8" x14ac:dyDescent="0.2">
      <c r="A7143" t="str">
        <f t="shared" ref="A7143:A7150" si="2613">"0614143137"</f>
        <v>0614143137</v>
      </c>
      <c r="B7143" t="str">
        <f t="shared" ref="B7143:B7150" si="2614">"BISON"</f>
        <v>BISON</v>
      </c>
      <c r="C7143" t="str">
        <f t="shared" ref="C7143:C7158" si="2615">"HAWKINS"</f>
        <v>HAWKINS</v>
      </c>
      <c r="D7143">
        <f>11</f>
        <v>11</v>
      </c>
      <c r="E7143" t="str">
        <f>"04 - A - 108 - Maried P Ramos"</f>
        <v>04 - A - 108 - Maried P Ramos</v>
      </c>
      <c r="F7143" t="str">
        <f>"GEOMETRY"</f>
        <v>GEOMETRY</v>
      </c>
      <c r="G7143" t="str">
        <f>"21-2159"</f>
        <v>21-2159</v>
      </c>
      <c r="H7143" t="str">
        <f>"A"</f>
        <v>A</v>
      </c>
    </row>
    <row r="7144" spans="1:8" x14ac:dyDescent="0.2">
      <c r="A7144" t="str">
        <f t="shared" si="2613"/>
        <v>0614143137</v>
      </c>
      <c r="B7144" t="str">
        <f t="shared" si="2614"/>
        <v>BISON</v>
      </c>
      <c r="C7144" t="str">
        <f t="shared" si="2615"/>
        <v>HAWKINS</v>
      </c>
      <c r="D7144">
        <f>11</f>
        <v>11</v>
      </c>
      <c r="E7144" t="str">
        <f>"06 - B - 105 - Arthur  Kulawik"</f>
        <v>06 - B - 105 - Arthur  Kulawik</v>
      </c>
      <c r="F7144" t="str">
        <f>"ENG 3"</f>
        <v>ENG 3</v>
      </c>
      <c r="G7144" t="str">
        <f>"05-506"</f>
        <v>05-506</v>
      </c>
      <c r="H7144" t="str">
        <f>"B"</f>
        <v>B</v>
      </c>
    </row>
    <row r="7145" spans="1:8" x14ac:dyDescent="0.2">
      <c r="A7145" t="str">
        <f t="shared" si="2613"/>
        <v>0614143137</v>
      </c>
      <c r="B7145" t="str">
        <f t="shared" si="2614"/>
        <v>BISON</v>
      </c>
      <c r="C7145" t="str">
        <f t="shared" si="2615"/>
        <v>HAWKINS</v>
      </c>
      <c r="D7145">
        <f>11</f>
        <v>11</v>
      </c>
      <c r="E7145" t="str">
        <f>"03 - A - 104 - Kyle  Robbins"</f>
        <v>03 - A - 104 - Kyle  Robbins</v>
      </c>
      <c r="F7145" t="str">
        <f>"US HISTORY"</f>
        <v>US HISTORY</v>
      </c>
      <c r="G7145" t="str">
        <f>"17-1745"</f>
        <v>17-1745</v>
      </c>
      <c r="H7145" t="str">
        <f>"A"</f>
        <v>A</v>
      </c>
    </row>
    <row r="7146" spans="1:8" x14ac:dyDescent="0.2">
      <c r="A7146" t="str">
        <f t="shared" si="2613"/>
        <v>0614143137</v>
      </c>
      <c r="B7146" t="str">
        <f t="shared" si="2614"/>
        <v>BISON</v>
      </c>
      <c r="C7146" t="str">
        <f t="shared" si="2615"/>
        <v>HAWKINS</v>
      </c>
      <c r="D7146">
        <f>11</f>
        <v>11</v>
      </c>
      <c r="E7146" t="str">
        <f>"02 - A - 106 - Heidi M Knopp"</f>
        <v>02 - A - 106 - Heidi M Knopp</v>
      </c>
      <c r="F7146" t="str">
        <f>"NC STUDY HALL 1"</f>
        <v>NC STUDY HALL 1</v>
      </c>
      <c r="G7146" t="str">
        <f>"17-1735"</f>
        <v>17-1735</v>
      </c>
      <c r="H7146" t="str">
        <f>"A"</f>
        <v>A</v>
      </c>
    </row>
    <row r="7147" spans="1:8" x14ac:dyDescent="0.2">
      <c r="A7147" t="str">
        <f t="shared" si="2613"/>
        <v>0614143137</v>
      </c>
      <c r="B7147" t="str">
        <f t="shared" si="2614"/>
        <v>BISON</v>
      </c>
      <c r="C7147" t="str">
        <f t="shared" si="2615"/>
        <v>HAWKINS</v>
      </c>
      <c r="D7147">
        <f>11</f>
        <v>11</v>
      </c>
      <c r="E7147" t="str">
        <f>"07 - B - 002 - Jazmin S Fletcher"</f>
        <v>07 - B - 002 - Jazmin S Fletcher</v>
      </c>
      <c r="F7147" t="str">
        <f>"THEATRE 1"</f>
        <v>THEATRE 1</v>
      </c>
      <c r="G7147" t="str">
        <f>"09-909"</f>
        <v>09-909</v>
      </c>
      <c r="H7147" t="str">
        <f>"B"</f>
        <v>B</v>
      </c>
    </row>
    <row r="7148" spans="1:8" x14ac:dyDescent="0.2">
      <c r="A7148" t="str">
        <f t="shared" si="2613"/>
        <v>0614143137</v>
      </c>
      <c r="B7148" t="str">
        <f t="shared" si="2614"/>
        <v>BISON</v>
      </c>
      <c r="C7148" t="str">
        <f t="shared" si="2615"/>
        <v>HAWKINS</v>
      </c>
      <c r="D7148">
        <f>11</f>
        <v>11</v>
      </c>
      <c r="E7148" t="str">
        <f>"05 - B - 207 - Marielle A Witting"</f>
        <v>05 - B - 207 - Marielle A Witting</v>
      </c>
      <c r="F7148" t="str">
        <f>"ANAT PHYSIO"</f>
        <v>ANAT PHYSIO</v>
      </c>
      <c r="G7148" t="str">
        <f>"08-805"</f>
        <v>08-805</v>
      </c>
      <c r="H7148" t="str">
        <f>"B"</f>
        <v>B</v>
      </c>
    </row>
    <row r="7149" spans="1:8" x14ac:dyDescent="0.2">
      <c r="A7149" t="str">
        <f t="shared" si="2613"/>
        <v>0614143137</v>
      </c>
      <c r="B7149" t="str">
        <f t="shared" si="2614"/>
        <v>BISON</v>
      </c>
      <c r="C7149" t="str">
        <f t="shared" si="2615"/>
        <v>HAWKINS</v>
      </c>
      <c r="D7149">
        <f>11</f>
        <v>11</v>
      </c>
      <c r="E7149" t="str">
        <f>"01 - A - 101 - Adam Marcus  Drucker"</f>
        <v>01 - A - 101 - Adam Marcus  Drucker</v>
      </c>
      <c r="F7149" t="str">
        <f>"HOPE-PE V"</f>
        <v>HOPE-PE V</v>
      </c>
      <c r="G7149" t="str">
        <f>"04-254"</f>
        <v>04-254</v>
      </c>
      <c r="H7149" t="str">
        <f>"A"</f>
        <v>A</v>
      </c>
    </row>
    <row r="7150" spans="1:8" x14ac:dyDescent="0.2">
      <c r="A7150" t="str">
        <f t="shared" si="2613"/>
        <v>0614143137</v>
      </c>
      <c r="B7150" t="str">
        <f t="shared" si="2614"/>
        <v>BISON</v>
      </c>
      <c r="C7150" t="str">
        <f t="shared" si="2615"/>
        <v>HAWKINS</v>
      </c>
      <c r="D7150">
        <f>11</f>
        <v>11</v>
      </c>
      <c r="E7150" t="str">
        <f>"08 - B - 102 - Robert H Rindner"</f>
        <v>08 - B - 102 - Robert H Rindner</v>
      </c>
      <c r="F7150" t="str">
        <f>"TV PRODUCTION TECH 1"</f>
        <v>TV PRODUCTION TECH 1</v>
      </c>
      <c r="G7150" t="str">
        <f>"21-2160"</f>
        <v>21-2160</v>
      </c>
      <c r="H7150" t="str">
        <f>"B"</f>
        <v>B</v>
      </c>
    </row>
    <row r="7151" spans="1:8" x14ac:dyDescent="0.2">
      <c r="A7151" t="str">
        <f t="shared" ref="A7151:A7158" si="2616">"0614041765"</f>
        <v>0614041765</v>
      </c>
      <c r="B7151" t="str">
        <f t="shared" ref="B7151:B7158" si="2617">"NYA"</f>
        <v>NYA</v>
      </c>
      <c r="C7151" t="str">
        <f t="shared" si="2615"/>
        <v>HAWKINS</v>
      </c>
      <c r="D7151">
        <f>11</f>
        <v>11</v>
      </c>
      <c r="E7151" t="str">
        <f>"04 - A - 005 - Emmily A Sarmiento"</f>
        <v>04 - A - 005 - Emmily A Sarmiento</v>
      </c>
      <c r="F7151" t="str">
        <f>"AICE GLBL PERSP 1 AS"</f>
        <v>AICE GLBL PERSP 1 AS</v>
      </c>
      <c r="G7151" t="str">
        <f>"17-1743"</f>
        <v>17-1743</v>
      </c>
      <c r="H7151" t="str">
        <f>"A"</f>
        <v>A</v>
      </c>
    </row>
    <row r="7152" spans="1:8" x14ac:dyDescent="0.2">
      <c r="A7152" t="str">
        <f t="shared" si="2616"/>
        <v>0614041765</v>
      </c>
      <c r="B7152" t="str">
        <f t="shared" si="2617"/>
        <v>NYA</v>
      </c>
      <c r="C7152" t="str">
        <f t="shared" si="2615"/>
        <v>HAWKINS</v>
      </c>
      <c r="D7152">
        <f>11</f>
        <v>11</v>
      </c>
      <c r="E7152" t="str">
        <f>"06 - B - 104 - Byron G Montenegro"</f>
        <v>06 - B - 104 - Byron G Montenegro</v>
      </c>
      <c r="F7152" t="str">
        <f>"AICE MARINE SCI 1 AS"</f>
        <v>AICE MARINE SCI 1 AS</v>
      </c>
      <c r="G7152" t="str">
        <f>"21-2144"</f>
        <v>21-2144</v>
      </c>
      <c r="H7152" t="str">
        <f>"B"</f>
        <v>B</v>
      </c>
    </row>
    <row r="7153" spans="1:8" x14ac:dyDescent="0.2">
      <c r="A7153" t="str">
        <f t="shared" si="2616"/>
        <v>0614041765</v>
      </c>
      <c r="B7153" t="str">
        <f t="shared" si="2617"/>
        <v>NYA</v>
      </c>
      <c r="C7153" t="str">
        <f t="shared" si="2615"/>
        <v>HAWKINS</v>
      </c>
      <c r="D7153">
        <f>11</f>
        <v>11</v>
      </c>
      <c r="E7153" t="str">
        <f>"03 - A - 103 - Courtney E Hambright"</f>
        <v>03 - A - 103 - Courtney E Hambright</v>
      </c>
      <c r="F7153" t="str">
        <f>"AICE ENG LANG AS"</f>
        <v>AICE ENG LANG AS</v>
      </c>
      <c r="G7153" t="str">
        <f>"17-1711"</f>
        <v>17-1711</v>
      </c>
      <c r="H7153" t="str">
        <f>"A"</f>
        <v>A</v>
      </c>
    </row>
    <row r="7154" spans="1:8" x14ac:dyDescent="0.2">
      <c r="A7154" t="str">
        <f t="shared" si="2616"/>
        <v>0614041765</v>
      </c>
      <c r="B7154" t="str">
        <f t="shared" si="2617"/>
        <v>NYA</v>
      </c>
      <c r="C7154" t="str">
        <f t="shared" si="2615"/>
        <v>HAWKINS</v>
      </c>
      <c r="D7154">
        <f>11</f>
        <v>11</v>
      </c>
      <c r="E7154" t="str">
        <f>"02 - A - 105 - Leslie J Barton"</f>
        <v>02 - A - 105 - Leslie J Barton</v>
      </c>
      <c r="F7154" t="str">
        <f>"NC STUDY HALL 1"</f>
        <v>NC STUDY HALL 1</v>
      </c>
      <c r="G7154" t="str">
        <f>"05-521"</f>
        <v>05-521</v>
      </c>
      <c r="H7154" t="str">
        <f>"A"</f>
        <v>A</v>
      </c>
    </row>
    <row r="7155" spans="1:8" x14ac:dyDescent="0.2">
      <c r="A7155" t="str">
        <f t="shared" si="2616"/>
        <v>0614041765</v>
      </c>
      <c r="B7155" t="str">
        <f t="shared" si="2617"/>
        <v>NYA</v>
      </c>
      <c r="C7155" t="str">
        <f t="shared" si="2615"/>
        <v>HAWKINS</v>
      </c>
      <c r="D7155">
        <f>11</f>
        <v>11</v>
      </c>
      <c r="E7155" t="str">
        <f>"07 - B - 101 - Samantha L Martinez"</f>
        <v>07 - B - 101 - Samantha L Martinez</v>
      </c>
      <c r="F7155" t="str">
        <f>"KEYBD 1"</f>
        <v>KEYBD 1</v>
      </c>
      <c r="G7155" t="str">
        <f>"05-505"</f>
        <v>05-505</v>
      </c>
      <c r="H7155" t="str">
        <f>"B"</f>
        <v>B</v>
      </c>
    </row>
    <row r="7156" spans="1:8" x14ac:dyDescent="0.2">
      <c r="A7156" t="str">
        <f t="shared" si="2616"/>
        <v>0614041765</v>
      </c>
      <c r="B7156" t="str">
        <f t="shared" si="2617"/>
        <v>NYA</v>
      </c>
      <c r="C7156" t="str">
        <f t="shared" si="2615"/>
        <v>HAWKINS</v>
      </c>
      <c r="D7156">
        <f>11</f>
        <v>11</v>
      </c>
      <c r="E7156" t="str">
        <f>"05 - B - 102 - Jerry S Jiampetti"</f>
        <v>05 - B - 102 - Jerry S Jiampetti</v>
      </c>
      <c r="F7156" t="str">
        <f>"AICE U.S. HIST 1 AS"</f>
        <v>AICE U.S. HIST 1 AS</v>
      </c>
      <c r="G7156" t="str">
        <f>"17-1751"</f>
        <v>17-1751</v>
      </c>
      <c r="H7156" t="str">
        <f>"B"</f>
        <v>B</v>
      </c>
    </row>
    <row r="7157" spans="1:8" x14ac:dyDescent="0.2">
      <c r="A7157" t="str">
        <f t="shared" si="2616"/>
        <v>0614041765</v>
      </c>
      <c r="B7157" t="str">
        <f t="shared" si="2617"/>
        <v>NYA</v>
      </c>
      <c r="C7157" t="str">
        <f t="shared" si="2615"/>
        <v>HAWKINS</v>
      </c>
      <c r="D7157">
        <f>11</f>
        <v>11</v>
      </c>
      <c r="E7157" t="str">
        <f>"01 - A - 101 - Thomas G Handwerg"</f>
        <v>01 - A - 101 - Thomas G Handwerg</v>
      </c>
      <c r="F7157" t="str">
        <f>"PROB STAT W/APPS HON"</f>
        <v>PROB STAT W/APPS HON</v>
      </c>
      <c r="G7157" t="str">
        <f>"21-2146"</f>
        <v>21-2146</v>
      </c>
      <c r="H7157" t="str">
        <f>"A"</f>
        <v>A</v>
      </c>
    </row>
    <row r="7158" spans="1:8" x14ac:dyDescent="0.2">
      <c r="A7158" t="str">
        <f t="shared" si="2616"/>
        <v>0614041765</v>
      </c>
      <c r="B7158" t="str">
        <f t="shared" si="2617"/>
        <v>NYA</v>
      </c>
      <c r="C7158" t="str">
        <f t="shared" si="2615"/>
        <v>HAWKINS</v>
      </c>
      <c r="D7158">
        <f>11</f>
        <v>11</v>
      </c>
      <c r="E7158" t="str">
        <f>"08 - B - 205 - Daniel S Tyson"</f>
        <v>08 - B - 205 - Daniel S Tyson</v>
      </c>
      <c r="F7158" t="str">
        <f>"JROTC NAVAL SCI 3"</f>
        <v>JROTC NAVAL SCI 3</v>
      </c>
      <c r="G7158" t="str">
        <f>"05-510"</f>
        <v>05-510</v>
      </c>
      <c r="H7158" t="str">
        <f>"B"</f>
        <v>B</v>
      </c>
    </row>
    <row r="7159" spans="1:8" x14ac:dyDescent="0.2">
      <c r="A7159" t="str">
        <f t="shared" ref="A7159:A7166" si="2618">"0614121039"</f>
        <v>0614121039</v>
      </c>
      <c r="B7159" t="str">
        <f t="shared" ref="B7159:B7166" si="2619">"ALBI"</f>
        <v>ALBI</v>
      </c>
      <c r="C7159" t="str">
        <f t="shared" ref="C7159:C7166" si="2620">"HAXHI"</f>
        <v>HAXHI</v>
      </c>
      <c r="D7159">
        <f>11</f>
        <v>11</v>
      </c>
      <c r="E7159" t="str">
        <f>"04 - A - 102 - Lisa J London"</f>
        <v>04 - A - 102 - Lisa J London</v>
      </c>
      <c r="F7159" t="str">
        <f>"AP CAPSTONE SEMINAR"</f>
        <v>AP CAPSTONE SEMINAR</v>
      </c>
      <c r="G7159" t="str">
        <f>"17-1714"</f>
        <v>17-1714</v>
      </c>
      <c r="H7159" t="str">
        <f>"A"</f>
        <v>A</v>
      </c>
    </row>
    <row r="7160" spans="1:8" x14ac:dyDescent="0.2">
      <c r="A7160" t="str">
        <f t="shared" si="2618"/>
        <v>0614121039</v>
      </c>
      <c r="B7160" t="str">
        <f t="shared" si="2619"/>
        <v>ALBI</v>
      </c>
      <c r="C7160" t="str">
        <f t="shared" si="2620"/>
        <v>HAXHI</v>
      </c>
      <c r="D7160">
        <f>11</f>
        <v>11</v>
      </c>
      <c r="E7160" t="str">
        <f>"06 - B - 206 - Jacqueline R Morphet"</f>
        <v>06 - B - 206 - Jacqueline R Morphet</v>
      </c>
      <c r="F7160" t="str">
        <f>"PHYSICS 1 HON"</f>
        <v>PHYSICS 1 HON</v>
      </c>
      <c r="G7160" t="str">
        <f>"21-2138"</f>
        <v>21-2138</v>
      </c>
      <c r="H7160" t="str">
        <f>"B"</f>
        <v>B</v>
      </c>
    </row>
    <row r="7161" spans="1:8" x14ac:dyDescent="0.2">
      <c r="A7161" t="str">
        <f t="shared" si="2618"/>
        <v>0614121039</v>
      </c>
      <c r="B7161" t="str">
        <f t="shared" si="2619"/>
        <v>ALBI</v>
      </c>
      <c r="C7161" t="str">
        <f t="shared" si="2620"/>
        <v>HAXHI</v>
      </c>
      <c r="D7161">
        <f>11</f>
        <v>11</v>
      </c>
      <c r="E7161" t="str">
        <f>"03 - A - 101 - Dorothy D Moore"</f>
        <v>03 - A - 101 - Dorothy D Moore</v>
      </c>
      <c r="F7161" t="str">
        <f>"FORC SCI 1 LH"</f>
        <v>FORC SCI 1 LH</v>
      </c>
      <c r="G7161" t="str">
        <f>"08-803"</f>
        <v>08-803</v>
      </c>
      <c r="H7161" t="str">
        <f>"A"</f>
        <v>A</v>
      </c>
    </row>
    <row r="7162" spans="1:8" x14ac:dyDescent="0.2">
      <c r="A7162" t="str">
        <f t="shared" si="2618"/>
        <v>0614121039</v>
      </c>
      <c r="B7162" t="str">
        <f t="shared" si="2619"/>
        <v>ALBI</v>
      </c>
      <c r="C7162" t="str">
        <f t="shared" si="2620"/>
        <v>HAXHI</v>
      </c>
      <c r="D7162">
        <f>11</f>
        <v>11</v>
      </c>
      <c r="E7162" t="str">
        <f>"02 - A - 108 - Stephen T Ripp"</f>
        <v>02 - A - 108 - Stephen T Ripp</v>
      </c>
      <c r="F7162" t="str">
        <f>"NC STUDY HALL 1"</f>
        <v>NC STUDY HALL 1</v>
      </c>
      <c r="G7162" t="str">
        <f>"17-1744"</f>
        <v>17-1744</v>
      </c>
      <c r="H7162" t="str">
        <f>"A"</f>
        <v>A</v>
      </c>
    </row>
    <row r="7163" spans="1:8" x14ac:dyDescent="0.2">
      <c r="A7163" t="str">
        <f t="shared" si="2618"/>
        <v>0614121039</v>
      </c>
      <c r="B7163" t="str">
        <f t="shared" si="2619"/>
        <v>ALBI</v>
      </c>
      <c r="C7163" t="str">
        <f t="shared" si="2620"/>
        <v>HAXHI</v>
      </c>
      <c r="D7163">
        <f>11</f>
        <v>11</v>
      </c>
      <c r="E7163" t="str">
        <f>"07 - B - 101 - Fernando  Vega-Cid"</f>
        <v>07 - B - 101 - Fernando  Vega-Cid</v>
      </c>
      <c r="F7163" t="str">
        <f>"AP PRECALCULUS"</f>
        <v>AP PRECALCULUS</v>
      </c>
      <c r="G7163" t="str">
        <f>"21-2163"</f>
        <v>21-2163</v>
      </c>
      <c r="H7163" t="str">
        <f>"B"</f>
        <v>B</v>
      </c>
    </row>
    <row r="7164" spans="1:8" x14ac:dyDescent="0.2">
      <c r="A7164" t="str">
        <f t="shared" si="2618"/>
        <v>0614121039</v>
      </c>
      <c r="B7164" t="str">
        <f t="shared" si="2619"/>
        <v>ALBI</v>
      </c>
      <c r="C7164" t="str">
        <f t="shared" si="2620"/>
        <v>HAXHI</v>
      </c>
      <c r="D7164">
        <f>11</f>
        <v>11</v>
      </c>
      <c r="E7164" t="str">
        <f>"05 - B - 103 - Brandy N Zdenek"</f>
        <v>05 - B - 103 - Brandy N Zdenek</v>
      </c>
      <c r="F7164" t="str">
        <f>"AICE ENG LANG 2 AL"</f>
        <v>AICE ENG LANG 2 AL</v>
      </c>
      <c r="G7164" t="str">
        <f>"17-1704"</f>
        <v>17-1704</v>
      </c>
      <c r="H7164" t="str">
        <f>"B"</f>
        <v>B</v>
      </c>
    </row>
    <row r="7165" spans="1:8" x14ac:dyDescent="0.2">
      <c r="A7165" t="str">
        <f t="shared" si="2618"/>
        <v>0614121039</v>
      </c>
      <c r="B7165" t="str">
        <f t="shared" si="2619"/>
        <v>ALBI</v>
      </c>
      <c r="C7165" t="str">
        <f t="shared" si="2620"/>
        <v>HAXHI</v>
      </c>
      <c r="D7165">
        <f>11</f>
        <v>11</v>
      </c>
      <c r="E7165" t="str">
        <f>"01 - A - 001 - Stephen T Ripp"</f>
        <v>01 - A - 001 - Stephen T Ripp</v>
      </c>
      <c r="F7165" t="str">
        <f>"AP U.S. HIST"</f>
        <v>AP U.S. HIST</v>
      </c>
      <c r="G7165" t="str">
        <f>"17-1744"</f>
        <v>17-1744</v>
      </c>
      <c r="H7165" t="str">
        <f>"A"</f>
        <v>A</v>
      </c>
    </row>
    <row r="7166" spans="1:8" x14ac:dyDescent="0.2">
      <c r="A7166" t="str">
        <f t="shared" si="2618"/>
        <v>0614121039</v>
      </c>
      <c r="B7166" t="str">
        <f t="shared" si="2619"/>
        <v>ALBI</v>
      </c>
      <c r="C7166" t="str">
        <f t="shared" si="2620"/>
        <v>HAXHI</v>
      </c>
      <c r="D7166">
        <f>11</f>
        <v>11</v>
      </c>
      <c r="E7166" t="str">
        <f>"08 - B - 103 - Marielle A Witting"</f>
        <v>08 - B - 103 - Marielle A Witting</v>
      </c>
      <c r="F7166" t="str">
        <f>"AP BIO"</f>
        <v>AP BIO</v>
      </c>
      <c r="G7166" t="str">
        <f>"08-805"</f>
        <v>08-805</v>
      </c>
      <c r="H7166" t="str">
        <f>"B"</f>
        <v>B</v>
      </c>
    </row>
    <row r="7167" spans="1:8" x14ac:dyDescent="0.2">
      <c r="A7167" t="str">
        <f t="shared" ref="A7167:A7174" si="2621">"0615120694"</f>
        <v>0615120694</v>
      </c>
      <c r="B7167" t="str">
        <f t="shared" ref="B7167:B7174" si="2622">"BRAYDEN"</f>
        <v>BRAYDEN</v>
      </c>
      <c r="C7167" t="str">
        <f t="shared" ref="C7167:C7174" si="2623">"HAYES"</f>
        <v>HAYES</v>
      </c>
      <c r="D7167">
        <f>10</f>
        <v>10</v>
      </c>
      <c r="E7167" t="str">
        <f>"04 - A - 104 - Marius D Orsolini"</f>
        <v>04 - A - 104 - Marius D Orsolini</v>
      </c>
      <c r="F7167" t="str">
        <f>"CULINARY ARTS 1"</f>
        <v>CULINARY ARTS 1</v>
      </c>
      <c r="G7167" t="str">
        <f>"21-2115"</f>
        <v>21-2115</v>
      </c>
      <c r="H7167" t="str">
        <f>"A"</f>
        <v>A</v>
      </c>
    </row>
    <row r="7168" spans="1:8" x14ac:dyDescent="0.2">
      <c r="A7168" t="str">
        <f t="shared" si="2621"/>
        <v>0615120694</v>
      </c>
      <c r="B7168" t="str">
        <f t="shared" si="2622"/>
        <v>BRAYDEN</v>
      </c>
      <c r="C7168" t="str">
        <f t="shared" si="2623"/>
        <v>HAYES</v>
      </c>
      <c r="D7168">
        <f>10</f>
        <v>10</v>
      </c>
      <c r="E7168" t="str">
        <f>"06 - B - 109 - Semra  Bahadir"</f>
        <v>06 - B - 109 - Semra  Bahadir</v>
      </c>
      <c r="F7168" t="str">
        <f>"NC STUDY HALL 1"</f>
        <v>NC STUDY HALL 1</v>
      </c>
      <c r="G7168" t="str">
        <f>"21-2107"</f>
        <v>21-2107</v>
      </c>
      <c r="H7168" t="str">
        <f>"B"</f>
        <v>B</v>
      </c>
    </row>
    <row r="7169" spans="1:8" x14ac:dyDescent="0.2">
      <c r="A7169" t="str">
        <f t="shared" si="2621"/>
        <v>0615120694</v>
      </c>
      <c r="B7169" t="str">
        <f t="shared" si="2622"/>
        <v>BRAYDEN</v>
      </c>
      <c r="C7169" t="str">
        <f t="shared" si="2623"/>
        <v>HAYES</v>
      </c>
      <c r="D7169">
        <f>10</f>
        <v>10</v>
      </c>
      <c r="E7169" t="str">
        <f>"03 - A - 206 - Josiah I Lacy"</f>
        <v>03 - A - 206 - Josiah I Lacy</v>
      </c>
      <c r="F7169" t="str">
        <f>"BIOLOGY 1"</f>
        <v>BIOLOGY 1</v>
      </c>
      <c r="G7169" t="str">
        <f>"08-801"</f>
        <v>08-801</v>
      </c>
      <c r="H7169" t="str">
        <f>"A"</f>
        <v>A</v>
      </c>
    </row>
    <row r="7170" spans="1:8" x14ac:dyDescent="0.2">
      <c r="A7170" t="str">
        <f t="shared" si="2621"/>
        <v>0615120694</v>
      </c>
      <c r="B7170" t="str">
        <f t="shared" si="2622"/>
        <v>BRAYDEN</v>
      </c>
      <c r="C7170" t="str">
        <f t="shared" si="2623"/>
        <v>HAYES</v>
      </c>
      <c r="D7170">
        <f>10</f>
        <v>10</v>
      </c>
      <c r="E7170" t="str">
        <f>"02 - A - 105 - Semra  Bahadir"</f>
        <v>02 - A - 105 - Semra  Bahadir</v>
      </c>
      <c r="F7170" t="str">
        <f>"ALGEBRA 2"</f>
        <v>ALGEBRA 2</v>
      </c>
      <c r="G7170" t="str">
        <f>"21-2107"</f>
        <v>21-2107</v>
      </c>
      <c r="H7170" t="str">
        <f>"A"</f>
        <v>A</v>
      </c>
    </row>
    <row r="7171" spans="1:8" x14ac:dyDescent="0.2">
      <c r="A7171" t="str">
        <f t="shared" si="2621"/>
        <v>0615120694</v>
      </c>
      <c r="B7171" t="str">
        <f t="shared" si="2622"/>
        <v>BRAYDEN</v>
      </c>
      <c r="C7171" t="str">
        <f t="shared" si="2623"/>
        <v>HAYES</v>
      </c>
      <c r="D7171">
        <f>10</f>
        <v>10</v>
      </c>
      <c r="E7171" t="str">
        <f>"07 - B - 106 - Taraneh C Abreu"</f>
        <v>07 - B - 106 - Taraneh C Abreu</v>
      </c>
      <c r="F7171" t="str">
        <f>"INTENS READ 2"</f>
        <v>INTENS READ 2</v>
      </c>
      <c r="G7171" t="str">
        <f>"17-1713"</f>
        <v>17-1713</v>
      </c>
      <c r="H7171" t="str">
        <f>"B"</f>
        <v>B</v>
      </c>
    </row>
    <row r="7172" spans="1:8" x14ac:dyDescent="0.2">
      <c r="A7172" t="str">
        <f t="shared" si="2621"/>
        <v>0615120694</v>
      </c>
      <c r="B7172" t="str">
        <f t="shared" si="2622"/>
        <v>BRAYDEN</v>
      </c>
      <c r="C7172" t="str">
        <f t="shared" si="2623"/>
        <v>HAYES</v>
      </c>
      <c r="D7172">
        <f>10</f>
        <v>10</v>
      </c>
      <c r="E7172" t="str">
        <f>"05 - B - 107 - Nikiel  Nesbeth"</f>
        <v>05 - B - 107 - Nikiel  Nesbeth</v>
      </c>
      <c r="F7172" t="str">
        <f>"ENG 2"</f>
        <v>ENG 2</v>
      </c>
      <c r="G7172" t="str">
        <f>"17-1705"</f>
        <v>17-1705</v>
      </c>
      <c r="H7172" t="str">
        <f>"B"</f>
        <v>B</v>
      </c>
    </row>
    <row r="7173" spans="1:8" x14ac:dyDescent="0.2">
      <c r="A7173" t="str">
        <f t="shared" si="2621"/>
        <v>0615120694</v>
      </c>
      <c r="B7173" t="str">
        <f t="shared" si="2622"/>
        <v>BRAYDEN</v>
      </c>
      <c r="C7173" t="str">
        <f t="shared" si="2623"/>
        <v>HAYES</v>
      </c>
      <c r="D7173">
        <f>10</f>
        <v>10</v>
      </c>
      <c r="E7173" t="str">
        <f>"01 - A - 101 - Eva T Rimmer"</f>
        <v>01 - A - 101 - Eva T Rimmer</v>
      </c>
      <c r="F7173" t="str">
        <f>"CRIMINAL JUST OPS 2"</f>
        <v>CRIMINAL JUST OPS 2</v>
      </c>
      <c r="G7173" t="str">
        <f>"05-523"</f>
        <v>05-523</v>
      </c>
      <c r="H7173" t="str">
        <f>"A"</f>
        <v>A</v>
      </c>
    </row>
    <row r="7174" spans="1:8" x14ac:dyDescent="0.2">
      <c r="A7174" t="str">
        <f t="shared" si="2621"/>
        <v>0615120694</v>
      </c>
      <c r="B7174" t="str">
        <f t="shared" si="2622"/>
        <v>BRAYDEN</v>
      </c>
      <c r="C7174" t="str">
        <f t="shared" si="2623"/>
        <v>HAYES</v>
      </c>
      <c r="D7174">
        <f>10</f>
        <v>10</v>
      </c>
      <c r="E7174" t="str">
        <f>"08 - S1 - B - 105 - James H Mccann"</f>
        <v>08 - S1 - B - 105 - James H Mccann</v>
      </c>
      <c r="F7174" t="str">
        <f>"PERS FIN &amp; MON MGT H"</f>
        <v>PERS FIN &amp; MON MGT H</v>
      </c>
      <c r="G7174" t="str">
        <f>"17-1716"</f>
        <v>17-1716</v>
      </c>
      <c r="H7174" t="str">
        <f>"B"</f>
        <v>B</v>
      </c>
    </row>
    <row r="7175" spans="1:8" x14ac:dyDescent="0.2">
      <c r="A7175" t="str">
        <f t="shared" ref="A7175:A7182" si="2624">"0623090199"</f>
        <v>0623090199</v>
      </c>
      <c r="B7175" t="str">
        <f t="shared" ref="B7175:B7182" si="2625">"JOSHUA"</f>
        <v>JOSHUA</v>
      </c>
      <c r="C7175" t="str">
        <f t="shared" ref="C7175:C7182" si="2626">"HAYLES"</f>
        <v>HAYLES</v>
      </c>
      <c r="D7175">
        <f>12</f>
        <v>12</v>
      </c>
      <c r="E7175" t="str">
        <f>"04 - A - 102 - Tiffany L Colon"</f>
        <v>04 - A - 102 - Tiffany L Colon</v>
      </c>
      <c r="F7175" t="str">
        <f>"U SKLS: SOC&amp;EMO 9-12"</f>
        <v>U SKLS: SOC&amp;EMO 9-12</v>
      </c>
      <c r="G7175">
        <f>2044</f>
        <v>2044</v>
      </c>
      <c r="H7175" t="str">
        <f>"A"</f>
        <v>A</v>
      </c>
    </row>
    <row r="7176" spans="1:8" x14ac:dyDescent="0.2">
      <c r="A7176" t="str">
        <f t="shared" si="2624"/>
        <v>0623090199</v>
      </c>
      <c r="B7176" t="str">
        <f t="shared" si="2625"/>
        <v>JOSHUA</v>
      </c>
      <c r="C7176" t="str">
        <f t="shared" si="2626"/>
        <v>HAYLES</v>
      </c>
      <c r="D7176">
        <f>12</f>
        <v>12</v>
      </c>
      <c r="E7176" t="str">
        <f>"06 - B - 101 - Gail S Markowitz"</f>
        <v>06 - B - 101 - Gail S Markowitz</v>
      </c>
      <c r="F7176" t="str">
        <f>"CAR EXERIENCES: 9-12"</f>
        <v>CAR EXERIENCES: 9-12</v>
      </c>
      <c r="G7176">
        <f>1730</f>
        <v>1730</v>
      </c>
      <c r="H7176" t="str">
        <f>"B"</f>
        <v>B</v>
      </c>
    </row>
    <row r="7177" spans="1:8" x14ac:dyDescent="0.2">
      <c r="A7177" t="str">
        <f t="shared" si="2624"/>
        <v>0623090199</v>
      </c>
      <c r="B7177" t="str">
        <f t="shared" si="2625"/>
        <v>JOSHUA</v>
      </c>
      <c r="C7177" t="str">
        <f t="shared" si="2626"/>
        <v>HAYLES</v>
      </c>
      <c r="D7177">
        <f>12</f>
        <v>12</v>
      </c>
      <c r="E7177" t="str">
        <f>"03 - A - 101 - Gail S Markowitz"</f>
        <v>03 - A - 101 - Gail S Markowitz</v>
      </c>
      <c r="F7177" t="str">
        <f>"SELF-DETERMINATION"</f>
        <v>SELF-DETERMINATION</v>
      </c>
      <c r="G7177">
        <f>1730</f>
        <v>1730</v>
      </c>
      <c r="H7177" t="str">
        <f>"A"</f>
        <v>A</v>
      </c>
    </row>
    <row r="7178" spans="1:8" x14ac:dyDescent="0.2">
      <c r="A7178" t="str">
        <f t="shared" si="2624"/>
        <v>0623090199</v>
      </c>
      <c r="B7178" t="str">
        <f t="shared" si="2625"/>
        <v>JOSHUA</v>
      </c>
      <c r="C7178" t="str">
        <f t="shared" si="2626"/>
        <v>HAYLES</v>
      </c>
      <c r="D7178">
        <f>12</f>
        <v>12</v>
      </c>
      <c r="E7178" t="str">
        <f>"02 - A - 101 - Gail S Markowitz"</f>
        <v>02 - A - 101 - Gail S Markowitz</v>
      </c>
      <c r="F7178" t="str">
        <f>"CAREER ED: 9-12"</f>
        <v>CAREER ED: 9-12</v>
      </c>
      <c r="G7178">
        <f>1730</f>
        <v>1730</v>
      </c>
      <c r="H7178" t="str">
        <f>"A"</f>
        <v>A</v>
      </c>
    </row>
    <row r="7179" spans="1:8" x14ac:dyDescent="0.2">
      <c r="A7179" t="str">
        <f t="shared" si="2624"/>
        <v>0623090199</v>
      </c>
      <c r="B7179" t="str">
        <f t="shared" si="2625"/>
        <v>JOSHUA</v>
      </c>
      <c r="C7179" t="str">
        <f t="shared" si="2626"/>
        <v>HAYLES</v>
      </c>
      <c r="D7179">
        <f>12</f>
        <v>12</v>
      </c>
      <c r="E7179" t="str">
        <f>"07 - B - 101 - Gail S Markowitz"</f>
        <v>07 - B - 101 - Gail S Markowitz</v>
      </c>
      <c r="F7179" t="str">
        <f>"CAR PLACEMENT: 9-12"</f>
        <v>CAR PLACEMENT: 9-12</v>
      </c>
      <c r="G7179">
        <f>1730</f>
        <v>1730</v>
      </c>
      <c r="H7179" t="str">
        <f>"B"</f>
        <v>B</v>
      </c>
    </row>
    <row r="7180" spans="1:8" x14ac:dyDescent="0.2">
      <c r="A7180" t="str">
        <f t="shared" si="2624"/>
        <v>0623090199</v>
      </c>
      <c r="B7180" t="str">
        <f t="shared" si="2625"/>
        <v>JOSHUA</v>
      </c>
      <c r="C7180" t="str">
        <f t="shared" si="2626"/>
        <v>HAYLES</v>
      </c>
      <c r="D7180">
        <f>12</f>
        <v>12</v>
      </c>
      <c r="E7180" t="str">
        <f>"05 - B - 101 - Gail S Markowitz"</f>
        <v>05 - B - 101 - Gail S Markowitz</v>
      </c>
      <c r="F7180" t="str">
        <f>"U SKLS: 9-12"</f>
        <v>U SKLS: 9-12</v>
      </c>
      <c r="G7180">
        <f>1730</f>
        <v>1730</v>
      </c>
      <c r="H7180" t="str">
        <f>"B"</f>
        <v>B</v>
      </c>
    </row>
    <row r="7181" spans="1:8" x14ac:dyDescent="0.2">
      <c r="A7181" t="str">
        <f t="shared" si="2624"/>
        <v>0623090199</v>
      </c>
      <c r="B7181" t="str">
        <f t="shared" si="2625"/>
        <v>JOSHUA</v>
      </c>
      <c r="C7181" t="str">
        <f t="shared" si="2626"/>
        <v>HAYLES</v>
      </c>
      <c r="D7181">
        <f>12</f>
        <v>12</v>
      </c>
      <c r="E7181" t="str">
        <f>"01 - A - 101 - Gail S Markowitz"</f>
        <v>01 - A - 101 - Gail S Markowitz</v>
      </c>
      <c r="F7181" t="str">
        <f>"PREP AD LIV"</f>
        <v>PREP AD LIV</v>
      </c>
      <c r="G7181">
        <f>1730</f>
        <v>1730</v>
      </c>
      <c r="H7181" t="str">
        <f>"A"</f>
        <v>A</v>
      </c>
    </row>
    <row r="7182" spans="1:8" x14ac:dyDescent="0.2">
      <c r="A7182" t="str">
        <f t="shared" si="2624"/>
        <v>0623090199</v>
      </c>
      <c r="B7182" t="str">
        <f t="shared" si="2625"/>
        <v>JOSHUA</v>
      </c>
      <c r="C7182" t="str">
        <f t="shared" si="2626"/>
        <v>HAYLES</v>
      </c>
      <c r="D7182">
        <f>12</f>
        <v>12</v>
      </c>
      <c r="E7182" t="str">
        <f>"08 - B - 101 - Gail S Markowitz"</f>
        <v>08 - B - 101 - Gail S Markowitz</v>
      </c>
      <c r="F7182" t="str">
        <f>"U SKLS: SOC&amp;EMO 9-12"</f>
        <v>U SKLS: SOC&amp;EMO 9-12</v>
      </c>
      <c r="G7182">
        <f>1730</f>
        <v>1730</v>
      </c>
      <c r="H7182" t="str">
        <f>"B"</f>
        <v>B</v>
      </c>
    </row>
    <row r="7183" spans="1:8" x14ac:dyDescent="0.2">
      <c r="A7183" t="str">
        <f t="shared" ref="A7183:A7190" si="2627">"0614102956"</f>
        <v>0614102956</v>
      </c>
      <c r="B7183" t="str">
        <f t="shared" ref="B7183:B7190" si="2628">"ELLIA"</f>
        <v>ELLIA</v>
      </c>
      <c r="C7183" t="str">
        <f t="shared" ref="C7183:C7190" si="2629">"HAYNES"</f>
        <v>HAYNES</v>
      </c>
      <c r="D7183">
        <f>11</f>
        <v>11</v>
      </c>
      <c r="E7183" t="str">
        <f>"04 - A - 103 - Cliffon  Saurel"</f>
        <v>04 - A - 103 - Cliffon  Saurel</v>
      </c>
      <c r="F7183" t="str">
        <f>"PHYSICAL SCI"</f>
        <v>PHYSICAL SCI</v>
      </c>
      <c r="G7183" t="str">
        <f>"05-522"</f>
        <v>05-522</v>
      </c>
      <c r="H7183" t="str">
        <f>"A"</f>
        <v>A</v>
      </c>
    </row>
    <row r="7184" spans="1:8" x14ac:dyDescent="0.2">
      <c r="A7184" t="str">
        <f t="shared" si="2627"/>
        <v>0614102956</v>
      </c>
      <c r="B7184" t="str">
        <f t="shared" si="2628"/>
        <v>ELLIA</v>
      </c>
      <c r="C7184" t="str">
        <f t="shared" si="2629"/>
        <v>HAYNES</v>
      </c>
      <c r="D7184">
        <f>11</f>
        <v>11</v>
      </c>
      <c r="E7184" t="str">
        <f>"06 - B - 105 - Arthur  Kulawik"</f>
        <v>06 - B - 105 - Arthur  Kulawik</v>
      </c>
      <c r="F7184" t="str">
        <f>"ENG 3"</f>
        <v>ENG 3</v>
      </c>
      <c r="G7184" t="str">
        <f>"05-506"</f>
        <v>05-506</v>
      </c>
      <c r="H7184" t="str">
        <f>"B"</f>
        <v>B</v>
      </c>
    </row>
    <row r="7185" spans="1:8" x14ac:dyDescent="0.2">
      <c r="A7185" t="str">
        <f t="shared" si="2627"/>
        <v>0614102956</v>
      </c>
      <c r="B7185" t="str">
        <f t="shared" si="2628"/>
        <v>ELLIA</v>
      </c>
      <c r="C7185" t="str">
        <f t="shared" si="2629"/>
        <v>HAYNES</v>
      </c>
      <c r="D7185">
        <f>11</f>
        <v>11</v>
      </c>
      <c r="E7185" t="str">
        <f>"03 - A - 102 - Thomas G Handwerg"</f>
        <v>03 - A - 102 - Thomas G Handwerg</v>
      </c>
      <c r="F7185" t="str">
        <f>"MATH COLL ALGEBRA"</f>
        <v>MATH COLL ALGEBRA</v>
      </c>
      <c r="G7185" t="str">
        <f>"21-2146"</f>
        <v>21-2146</v>
      </c>
      <c r="H7185" t="str">
        <f>"A"</f>
        <v>A</v>
      </c>
    </row>
    <row r="7186" spans="1:8" x14ac:dyDescent="0.2">
      <c r="A7186" t="str">
        <f t="shared" si="2627"/>
        <v>0614102956</v>
      </c>
      <c r="B7186" t="str">
        <f t="shared" si="2628"/>
        <v>ELLIA</v>
      </c>
      <c r="C7186" t="str">
        <f t="shared" si="2629"/>
        <v>HAYNES</v>
      </c>
      <c r="D7186">
        <f>11</f>
        <v>11</v>
      </c>
      <c r="E7186" t="str">
        <f>"02 - A - 103 - Kelly N Panza"</f>
        <v>02 - A - 103 - Kelly N Panza</v>
      </c>
      <c r="F7186" t="str">
        <f>"NC STUDY HALL 1"</f>
        <v>NC STUDY HALL 1</v>
      </c>
      <c r="G7186" t="str">
        <f>"17-1753"</f>
        <v>17-1753</v>
      </c>
      <c r="H7186" t="str">
        <f>"A"</f>
        <v>A</v>
      </c>
    </row>
    <row r="7187" spans="1:8" x14ac:dyDescent="0.2">
      <c r="A7187" t="str">
        <f t="shared" si="2627"/>
        <v>0614102956</v>
      </c>
      <c r="B7187" t="str">
        <f t="shared" si="2628"/>
        <v>ELLIA</v>
      </c>
      <c r="C7187" t="str">
        <f t="shared" si="2629"/>
        <v>HAYNES</v>
      </c>
      <c r="D7187">
        <f>11</f>
        <v>11</v>
      </c>
      <c r="E7187" t="str">
        <f>"07 - B - 107 - Adam Marcus  Drucker"</f>
        <v>07 - B - 107 - Adam Marcus  Drucker</v>
      </c>
      <c r="F7187" t="str">
        <f>"HOPE-PE V"</f>
        <v>HOPE-PE V</v>
      </c>
      <c r="G7187" t="str">
        <f>"04-254"</f>
        <v>04-254</v>
      </c>
      <c r="H7187" t="str">
        <f>"B"</f>
        <v>B</v>
      </c>
    </row>
    <row r="7188" spans="1:8" x14ac:dyDescent="0.2">
      <c r="A7188" t="str">
        <f t="shared" si="2627"/>
        <v>0614102956</v>
      </c>
      <c r="B7188" t="str">
        <f t="shared" si="2628"/>
        <v>ELLIA</v>
      </c>
      <c r="C7188" t="str">
        <f t="shared" si="2629"/>
        <v>HAYNES</v>
      </c>
      <c r="D7188">
        <f>11</f>
        <v>11</v>
      </c>
      <c r="E7188" t="str">
        <f>"05 - B - 107 - Elizabeth Ellen  Moran"</f>
        <v>05 - B - 107 - Elizabeth Ellen  Moran</v>
      </c>
      <c r="F7188" t="str">
        <f>"US HISTORY"</f>
        <v>US HISTORY</v>
      </c>
      <c r="G7188" t="str">
        <f>"17-1752"</f>
        <v>17-1752</v>
      </c>
      <c r="H7188" t="str">
        <f>"B"</f>
        <v>B</v>
      </c>
    </row>
    <row r="7189" spans="1:8" x14ac:dyDescent="0.2">
      <c r="A7189" t="str">
        <f t="shared" si="2627"/>
        <v>0614102956</v>
      </c>
      <c r="B7189" t="str">
        <f t="shared" si="2628"/>
        <v>ELLIA</v>
      </c>
      <c r="C7189" t="str">
        <f t="shared" si="2629"/>
        <v>HAYNES</v>
      </c>
      <c r="D7189">
        <f>11</f>
        <v>11</v>
      </c>
      <c r="E7189" t="str">
        <f>"01 - A - 101 - Nahum  Saint-Preux"</f>
        <v>01 - A - 101 - Nahum  Saint-Preux</v>
      </c>
      <c r="F7189" t="str">
        <f>"INTENS READ 3"</f>
        <v>INTENS READ 3</v>
      </c>
      <c r="G7189" t="str">
        <f>"17-1712"</f>
        <v>17-1712</v>
      </c>
      <c r="H7189" t="str">
        <f>"A"</f>
        <v>A</v>
      </c>
    </row>
    <row r="7190" spans="1:8" x14ac:dyDescent="0.2">
      <c r="A7190" t="str">
        <f t="shared" si="2627"/>
        <v>0614102956</v>
      </c>
      <c r="B7190" t="str">
        <f t="shared" si="2628"/>
        <v>ELLIA</v>
      </c>
      <c r="C7190" t="str">
        <f t="shared" si="2629"/>
        <v>HAYNES</v>
      </c>
      <c r="D7190">
        <f>11</f>
        <v>11</v>
      </c>
      <c r="E7190" t="str">
        <f>"08 - B - 103 - Chrystina M Marchionne"</f>
        <v>08 - B - 103 - Chrystina M Marchionne</v>
      </c>
      <c r="F7190" t="str">
        <f>"JOURN 3 (YB) LH"</f>
        <v>JOURN 3 (YB) LH</v>
      </c>
      <c r="G7190" t="str">
        <f>"05-520"</f>
        <v>05-520</v>
      </c>
      <c r="H7190" t="str">
        <f>"B"</f>
        <v>B</v>
      </c>
    </row>
    <row r="7191" spans="1:8" x14ac:dyDescent="0.2">
      <c r="A7191" t="str">
        <f t="shared" ref="A7191:A7198" si="2630">"0620019445"</f>
        <v>0620019445</v>
      </c>
      <c r="B7191" t="str">
        <f t="shared" ref="B7191:B7198" si="2631">"AARON"</f>
        <v>AARON</v>
      </c>
      <c r="C7191" t="str">
        <f t="shared" ref="C7191:C7206" si="2632">"HEDGMON"</f>
        <v>HEDGMON</v>
      </c>
      <c r="D7191">
        <f>10</f>
        <v>10</v>
      </c>
      <c r="E7191" t="str">
        <f>"04 - A - 104 - Nikiel  Nesbeth"</f>
        <v>04 - A - 104 - Nikiel  Nesbeth</v>
      </c>
      <c r="F7191" t="str">
        <f>"ENG 2"</f>
        <v>ENG 2</v>
      </c>
      <c r="G7191" t="str">
        <f>"17-1705"</f>
        <v>17-1705</v>
      </c>
      <c r="H7191" t="str">
        <f>"A"</f>
        <v>A</v>
      </c>
    </row>
    <row r="7192" spans="1:8" x14ac:dyDescent="0.2">
      <c r="A7192" t="str">
        <f t="shared" si="2630"/>
        <v>0620019445</v>
      </c>
      <c r="B7192" t="str">
        <f t="shared" si="2631"/>
        <v>AARON</v>
      </c>
      <c r="C7192" t="str">
        <f t="shared" si="2632"/>
        <v>HEDGMON</v>
      </c>
      <c r="D7192">
        <f>10</f>
        <v>10</v>
      </c>
      <c r="E7192" t="str">
        <f>"06 - B - 104 - Robert H Rindner"</f>
        <v>06 - B - 104 - Robert H Rindner</v>
      </c>
      <c r="F7192" t="str">
        <f>"NC STUDY HALL 1"</f>
        <v>NC STUDY HALL 1</v>
      </c>
      <c r="G7192" t="str">
        <f>"21-2160"</f>
        <v>21-2160</v>
      </c>
      <c r="H7192" t="str">
        <f>"B"</f>
        <v>B</v>
      </c>
    </row>
    <row r="7193" spans="1:8" x14ac:dyDescent="0.2">
      <c r="A7193" t="str">
        <f t="shared" si="2630"/>
        <v>0620019445</v>
      </c>
      <c r="B7193" t="str">
        <f t="shared" si="2631"/>
        <v>AARON</v>
      </c>
      <c r="C7193" t="str">
        <f t="shared" si="2632"/>
        <v>HEDGMON</v>
      </c>
      <c r="D7193">
        <f>10</f>
        <v>10</v>
      </c>
      <c r="E7193" t="str">
        <f>"03 - A - 103 - Taraneh C Abreu"</f>
        <v>03 - A - 103 - Taraneh C Abreu</v>
      </c>
      <c r="F7193" t="str">
        <f>"INTENS READ 2"</f>
        <v>INTENS READ 2</v>
      </c>
      <c r="G7193" t="str">
        <f>"17-1713"</f>
        <v>17-1713</v>
      </c>
      <c r="H7193" t="str">
        <f>"A"</f>
        <v>A</v>
      </c>
    </row>
    <row r="7194" spans="1:8" x14ac:dyDescent="0.2">
      <c r="A7194" t="str">
        <f t="shared" si="2630"/>
        <v>0620019445</v>
      </c>
      <c r="B7194" t="str">
        <f t="shared" si="2631"/>
        <v>AARON</v>
      </c>
      <c r="C7194" t="str">
        <f t="shared" si="2632"/>
        <v>HEDGMON</v>
      </c>
      <c r="D7194">
        <f>10</f>
        <v>10</v>
      </c>
      <c r="E7194" t="str">
        <f>"02 - A - 101 - Christa T Parisi"</f>
        <v>02 - A - 101 - Christa T Parisi</v>
      </c>
      <c r="F7194" t="str">
        <f>"LRNG STRATEGIES 9-12"</f>
        <v>LRNG STRATEGIES 9-12</v>
      </c>
      <c r="G7194" t="str">
        <f>"20-2072"</f>
        <v>20-2072</v>
      </c>
      <c r="H7194" t="str">
        <f>"A"</f>
        <v>A</v>
      </c>
    </row>
    <row r="7195" spans="1:8" x14ac:dyDescent="0.2">
      <c r="A7195" t="str">
        <f t="shared" si="2630"/>
        <v>0620019445</v>
      </c>
      <c r="B7195" t="str">
        <f t="shared" si="2631"/>
        <v>AARON</v>
      </c>
      <c r="C7195" t="str">
        <f t="shared" si="2632"/>
        <v>HEDGMON</v>
      </c>
      <c r="D7195">
        <f>10</f>
        <v>10</v>
      </c>
      <c r="E7195" t="str">
        <f>"07 - S1 - B - 107 - Richard E Dunbar Iii"</f>
        <v>07 - S1 - B - 107 - Richard E Dunbar Iii</v>
      </c>
      <c r="F7195" t="str">
        <f>"WEIGHT TRAIN 1"</f>
        <v>WEIGHT TRAIN 1</v>
      </c>
      <c r="G7195" t="str">
        <f>"05-501"</f>
        <v>05-501</v>
      </c>
      <c r="H7195" t="str">
        <f>"B"</f>
        <v>B</v>
      </c>
    </row>
    <row r="7196" spans="1:8" x14ac:dyDescent="0.2">
      <c r="A7196" t="str">
        <f t="shared" si="2630"/>
        <v>0620019445</v>
      </c>
      <c r="B7196" t="str">
        <f t="shared" si="2631"/>
        <v>AARON</v>
      </c>
      <c r="C7196" t="str">
        <f t="shared" si="2632"/>
        <v>HEDGMON</v>
      </c>
      <c r="D7196">
        <f>10</f>
        <v>10</v>
      </c>
      <c r="E7196" t="str">
        <f>"05 - B - 106 - Milca  Exantus"</f>
        <v>05 - B - 106 - Milca  Exantus</v>
      </c>
      <c r="F7196" t="str">
        <f>"MATH COLLEGE LIB ART"</f>
        <v>MATH COLLEGE LIB ART</v>
      </c>
      <c r="G7196" t="str">
        <f>"21-2145"</f>
        <v>21-2145</v>
      </c>
      <c r="H7196" t="str">
        <f>"B"</f>
        <v>B</v>
      </c>
    </row>
    <row r="7197" spans="1:8" x14ac:dyDescent="0.2">
      <c r="A7197" t="str">
        <f t="shared" si="2630"/>
        <v>0620019445</v>
      </c>
      <c r="B7197" t="str">
        <f t="shared" si="2631"/>
        <v>AARON</v>
      </c>
      <c r="C7197" t="str">
        <f t="shared" si="2632"/>
        <v>HEDGMON</v>
      </c>
      <c r="D7197">
        <f>10</f>
        <v>10</v>
      </c>
      <c r="E7197" t="str">
        <f>"01 - A - 102 - Lytrell T Dixon"</f>
        <v>01 - A - 102 - Lytrell T Dixon</v>
      </c>
      <c r="F7197" t="str">
        <f>"BIOLOGY 1"</f>
        <v>BIOLOGY 1</v>
      </c>
      <c r="G7197" t="str">
        <f>"08-808"</f>
        <v>08-808</v>
      </c>
      <c r="H7197" t="str">
        <f>"A"</f>
        <v>A</v>
      </c>
    </row>
    <row r="7198" spans="1:8" x14ac:dyDescent="0.2">
      <c r="A7198" t="str">
        <f t="shared" si="2630"/>
        <v>0620019445</v>
      </c>
      <c r="B7198" t="str">
        <f t="shared" si="2631"/>
        <v>AARON</v>
      </c>
      <c r="C7198" t="str">
        <f t="shared" si="2632"/>
        <v>HEDGMON</v>
      </c>
      <c r="D7198">
        <f>10</f>
        <v>10</v>
      </c>
      <c r="E7198" t="str">
        <f>"08 - S1 - B - 105 - James H Mccann"</f>
        <v>08 - S1 - B - 105 - James H Mccann</v>
      </c>
      <c r="F7198" t="str">
        <f>"PERS FIN &amp; MON MGT H"</f>
        <v>PERS FIN &amp; MON MGT H</v>
      </c>
      <c r="G7198" t="str">
        <f>"17-1716"</f>
        <v>17-1716</v>
      </c>
      <c r="H7198" t="str">
        <f>"B"</f>
        <v>B</v>
      </c>
    </row>
    <row r="7199" spans="1:8" x14ac:dyDescent="0.2">
      <c r="A7199" t="str">
        <f t="shared" ref="A7199:A7206" si="2633">"0620019487"</f>
        <v>0620019487</v>
      </c>
      <c r="B7199" t="str">
        <f t="shared" ref="B7199:B7206" si="2634">"AIDEN"</f>
        <v>AIDEN</v>
      </c>
      <c r="C7199" t="str">
        <f t="shared" si="2632"/>
        <v>HEDGMON</v>
      </c>
      <c r="D7199">
        <f>11</f>
        <v>11</v>
      </c>
      <c r="E7199" t="str">
        <f>"04 - S1 - A - 103 - Rory T Sponsler"</f>
        <v>04 - S1 - A - 103 - Rory T Sponsler</v>
      </c>
      <c r="F7199" t="str">
        <f>"WOMENS STUDIES LH"</f>
        <v>WOMENS STUDIES LH</v>
      </c>
      <c r="G7199" t="str">
        <f>"17-1740"</f>
        <v>17-1740</v>
      </c>
      <c r="H7199" t="str">
        <f>"A"</f>
        <v>A</v>
      </c>
    </row>
    <row r="7200" spans="1:8" x14ac:dyDescent="0.2">
      <c r="A7200" t="str">
        <f t="shared" si="2633"/>
        <v>0620019487</v>
      </c>
      <c r="B7200" t="str">
        <f t="shared" si="2634"/>
        <v>AIDEN</v>
      </c>
      <c r="C7200" t="str">
        <f t="shared" si="2632"/>
        <v>HEDGMON</v>
      </c>
      <c r="D7200">
        <f>11</f>
        <v>11</v>
      </c>
      <c r="E7200" t="str">
        <f>"06 - B - 105 - Arthur  Kulawik"</f>
        <v>06 - B - 105 - Arthur  Kulawik</v>
      </c>
      <c r="F7200" t="str">
        <f>"ENG 3"</f>
        <v>ENG 3</v>
      </c>
      <c r="G7200" t="str">
        <f>"05-506"</f>
        <v>05-506</v>
      </c>
      <c r="H7200" t="str">
        <f>"B"</f>
        <v>B</v>
      </c>
    </row>
    <row r="7201" spans="1:8" x14ac:dyDescent="0.2">
      <c r="A7201" t="str">
        <f t="shared" si="2633"/>
        <v>0620019487</v>
      </c>
      <c r="B7201" t="str">
        <f t="shared" si="2634"/>
        <v>AIDEN</v>
      </c>
      <c r="C7201" t="str">
        <f t="shared" si="2632"/>
        <v>HEDGMON</v>
      </c>
      <c r="D7201">
        <f>11</f>
        <v>11</v>
      </c>
      <c r="E7201" t="str">
        <f>"03 - A - 102 - Nahum  Saint-Preux"</f>
        <v>03 - A - 102 - Nahum  Saint-Preux</v>
      </c>
      <c r="F7201" t="str">
        <f>"INTENS READ 3"</f>
        <v>INTENS READ 3</v>
      </c>
      <c r="G7201" t="str">
        <f>"17-1712"</f>
        <v>17-1712</v>
      </c>
      <c r="H7201" t="str">
        <f>"A"</f>
        <v>A</v>
      </c>
    </row>
    <row r="7202" spans="1:8" x14ac:dyDescent="0.2">
      <c r="A7202" t="str">
        <f t="shared" si="2633"/>
        <v>0620019487</v>
      </c>
      <c r="B7202" t="str">
        <f t="shared" si="2634"/>
        <v>AIDEN</v>
      </c>
      <c r="C7202" t="str">
        <f t="shared" si="2632"/>
        <v>HEDGMON</v>
      </c>
      <c r="D7202">
        <f>11</f>
        <v>11</v>
      </c>
      <c r="E7202" t="str">
        <f>"02 - A - 102 - Brook E Goren"</f>
        <v>02 - A - 102 - Brook E Goren</v>
      </c>
      <c r="F7202" t="str">
        <f>"NC STUDY HALL 1"</f>
        <v>NC STUDY HALL 1</v>
      </c>
      <c r="G7202" t="str">
        <f>"21-2158"</f>
        <v>21-2158</v>
      </c>
      <c r="H7202" t="str">
        <f>"A"</f>
        <v>A</v>
      </c>
    </row>
    <row r="7203" spans="1:8" x14ac:dyDescent="0.2">
      <c r="A7203" t="str">
        <f t="shared" si="2633"/>
        <v>0620019487</v>
      </c>
      <c r="B7203" t="str">
        <f t="shared" si="2634"/>
        <v>AIDEN</v>
      </c>
      <c r="C7203" t="str">
        <f t="shared" si="2632"/>
        <v>HEDGMON</v>
      </c>
      <c r="D7203">
        <f>11</f>
        <v>11</v>
      </c>
      <c r="E7203" t="str">
        <f>"07 - B - 105 - Cliffon  Saurel"</f>
        <v>07 - B - 105 - Cliffon  Saurel</v>
      </c>
      <c r="F7203" t="str">
        <f>"PHYSICAL SCI"</f>
        <v>PHYSICAL SCI</v>
      </c>
      <c r="G7203" t="str">
        <f>"05-522"</f>
        <v>05-522</v>
      </c>
      <c r="H7203" t="str">
        <f>"B"</f>
        <v>B</v>
      </c>
    </row>
    <row r="7204" spans="1:8" x14ac:dyDescent="0.2">
      <c r="A7204" t="str">
        <f t="shared" si="2633"/>
        <v>0620019487</v>
      </c>
      <c r="B7204" t="str">
        <f t="shared" si="2634"/>
        <v>AIDEN</v>
      </c>
      <c r="C7204" t="str">
        <f t="shared" si="2632"/>
        <v>HEDGMON</v>
      </c>
      <c r="D7204">
        <f>11</f>
        <v>11</v>
      </c>
      <c r="E7204" t="str">
        <f>"05 - B - 101 - Angela S Adeshina-Morrison"</f>
        <v>05 - B - 101 - Angela S Adeshina-Morrison</v>
      </c>
      <c r="F7204" t="str">
        <f>"MKT MANAGEMENT LH"</f>
        <v>MKT MANAGEMENT LH</v>
      </c>
      <c r="G7204" t="str">
        <f>"05-518"</f>
        <v>05-518</v>
      </c>
      <c r="H7204" t="str">
        <f>"B"</f>
        <v>B</v>
      </c>
    </row>
    <row r="7205" spans="1:8" x14ac:dyDescent="0.2">
      <c r="A7205" t="str">
        <f t="shared" si="2633"/>
        <v>0620019487</v>
      </c>
      <c r="B7205" t="str">
        <f t="shared" si="2634"/>
        <v>AIDEN</v>
      </c>
      <c r="C7205" t="str">
        <f t="shared" si="2632"/>
        <v>HEDGMON</v>
      </c>
      <c r="D7205">
        <f>11</f>
        <v>11</v>
      </c>
      <c r="E7205" t="str">
        <f>"01 - A - 101 - Ferrie J Arostique"</f>
        <v>01 - A - 101 - Ferrie J Arostique</v>
      </c>
      <c r="F7205" t="str">
        <f>"GEOMETRY"</f>
        <v>GEOMETRY</v>
      </c>
      <c r="G7205" t="str">
        <f>"21-2139"</f>
        <v>21-2139</v>
      </c>
      <c r="H7205" t="str">
        <f>"A"</f>
        <v>A</v>
      </c>
    </row>
    <row r="7206" spans="1:8" x14ac:dyDescent="0.2">
      <c r="A7206" t="str">
        <f t="shared" si="2633"/>
        <v>0620019487</v>
      </c>
      <c r="B7206" t="str">
        <f t="shared" si="2634"/>
        <v>AIDEN</v>
      </c>
      <c r="C7206" t="str">
        <f t="shared" si="2632"/>
        <v>HEDGMON</v>
      </c>
      <c r="D7206">
        <f>11</f>
        <v>11</v>
      </c>
      <c r="E7206" t="str">
        <f>"08 - B - 103 - Jeanne M Bermudez"</f>
        <v>08 - B - 103 - Jeanne M Bermudez</v>
      </c>
      <c r="F7206" t="str">
        <f>"ADVANCED IT HON"</f>
        <v>ADVANCED IT HON</v>
      </c>
      <c r="G7206" t="str">
        <f>"21-2141"</f>
        <v>21-2141</v>
      </c>
      <c r="H7206" t="str">
        <f>"B"</f>
        <v>B</v>
      </c>
    </row>
    <row r="7207" spans="1:8" x14ac:dyDescent="0.2">
      <c r="A7207" t="str">
        <f t="shared" ref="A7207:A7215" si="2635">"0618018294"</f>
        <v>0618018294</v>
      </c>
      <c r="B7207" t="str">
        <f t="shared" ref="B7207:B7215" si="2636">"REBECCA"</f>
        <v>REBECCA</v>
      </c>
      <c r="C7207" t="str">
        <f t="shared" ref="C7207:C7215" si="2637">"HELD"</f>
        <v>HELD</v>
      </c>
      <c r="D7207">
        <f>11</f>
        <v>11</v>
      </c>
      <c r="E7207" t="str">
        <f>"19 - S1 - MTWHF - BCC - Instructor BC"</f>
        <v>19 - S1 - MTWHF - BCC - Instructor BC</v>
      </c>
      <c r="F7207" t="str">
        <f>"INTRO TO PHILOSOPHY"</f>
        <v>INTRO TO PHILOSOPHY</v>
      </c>
      <c r="G7207" t="str">
        <f>"60-DE"</f>
        <v>60-DE</v>
      </c>
      <c r="H7207" t="str">
        <f>"-"</f>
        <v>-</v>
      </c>
    </row>
    <row r="7208" spans="1:8" x14ac:dyDescent="0.2">
      <c r="A7208" t="str">
        <f t="shared" si="2635"/>
        <v>0618018294</v>
      </c>
      <c r="B7208" t="str">
        <f t="shared" si="2636"/>
        <v>REBECCA</v>
      </c>
      <c r="C7208" t="str">
        <f t="shared" si="2637"/>
        <v>HELD</v>
      </c>
      <c r="D7208">
        <f>11</f>
        <v>11</v>
      </c>
      <c r="E7208" t="str">
        <f>"04 - A - 101 - Stephen T Ripp"</f>
        <v>04 - A - 101 - Stephen T Ripp</v>
      </c>
      <c r="F7208" t="str">
        <f>"AP U.S. HIST"</f>
        <v>AP U.S. HIST</v>
      </c>
      <c r="G7208" t="str">
        <f>"17-1744"</f>
        <v>17-1744</v>
      </c>
      <c r="H7208" t="str">
        <f>"A"</f>
        <v>A</v>
      </c>
    </row>
    <row r="7209" spans="1:8" x14ac:dyDescent="0.2">
      <c r="A7209" t="str">
        <f t="shared" si="2635"/>
        <v>0618018294</v>
      </c>
      <c r="B7209" t="str">
        <f t="shared" si="2636"/>
        <v>REBECCA</v>
      </c>
      <c r="C7209" t="str">
        <f t="shared" si="2637"/>
        <v>HELD</v>
      </c>
      <c r="D7209">
        <f>11</f>
        <v>11</v>
      </c>
      <c r="E7209" t="str">
        <f>"06 - B - 101 - Bruce A Evans"</f>
        <v>06 - B - 101 - Bruce A Evans</v>
      </c>
      <c r="F7209" t="str">
        <f>"EMERG MED RESP 3 HON"</f>
        <v>EMERG MED RESP 3 HON</v>
      </c>
      <c r="G7209" t="str">
        <f>"21-2142"</f>
        <v>21-2142</v>
      </c>
      <c r="H7209" t="str">
        <f>"B"</f>
        <v>B</v>
      </c>
    </row>
    <row r="7210" spans="1:8" x14ac:dyDescent="0.2">
      <c r="A7210" t="str">
        <f t="shared" si="2635"/>
        <v>0618018294</v>
      </c>
      <c r="B7210" t="str">
        <f t="shared" si="2636"/>
        <v>REBECCA</v>
      </c>
      <c r="C7210" t="str">
        <f t="shared" si="2637"/>
        <v>HELD</v>
      </c>
      <c r="D7210">
        <f>11</f>
        <v>11</v>
      </c>
      <c r="E7210" t="str">
        <f>"03 - A - 202 - Bruce A Evans"</f>
        <v>03 - A - 202 - Bruce A Evans</v>
      </c>
      <c r="F7210" t="str">
        <f>"HEALTH SCI FOUND HON"</f>
        <v>HEALTH SCI FOUND HON</v>
      </c>
      <c r="G7210" t="str">
        <f>"21-2142"</f>
        <v>21-2142</v>
      </c>
      <c r="H7210" t="str">
        <f>"A"</f>
        <v>A</v>
      </c>
    </row>
    <row r="7211" spans="1:8" x14ac:dyDescent="0.2">
      <c r="A7211" t="str">
        <f t="shared" si="2635"/>
        <v>0618018294</v>
      </c>
      <c r="B7211" t="str">
        <f t="shared" si="2636"/>
        <v>REBECCA</v>
      </c>
      <c r="C7211" t="str">
        <f t="shared" si="2637"/>
        <v>HELD</v>
      </c>
      <c r="D7211">
        <f>11</f>
        <v>11</v>
      </c>
      <c r="E7211" t="str">
        <f>"02 - A - 101 - Timothy J Lawrence"</f>
        <v>02 - A - 101 - Timothy J Lawrence</v>
      </c>
      <c r="F7211" t="str">
        <f>"NC STUDY HALL 1"</f>
        <v>NC STUDY HALL 1</v>
      </c>
      <c r="G7211" t="str">
        <f>"05-522"</f>
        <v>05-522</v>
      </c>
      <c r="H7211" t="str">
        <f>"A"</f>
        <v>A</v>
      </c>
    </row>
    <row r="7212" spans="1:8" x14ac:dyDescent="0.2">
      <c r="A7212" t="str">
        <f t="shared" si="2635"/>
        <v>0618018294</v>
      </c>
      <c r="B7212" t="str">
        <f t="shared" si="2636"/>
        <v>REBECCA</v>
      </c>
      <c r="C7212" t="str">
        <f t="shared" si="2637"/>
        <v>HELD</v>
      </c>
      <c r="D7212">
        <f>11</f>
        <v>11</v>
      </c>
      <c r="E7212" t="str">
        <f>"07 - B - 105 - Josiah I Lacy"</f>
        <v>07 - B - 105 - Josiah I Lacy</v>
      </c>
      <c r="F7212" t="str">
        <f>"ANAT PHYSIO HON"</f>
        <v>ANAT PHYSIO HON</v>
      </c>
      <c r="G7212" t="str">
        <f>"08-801"</f>
        <v>08-801</v>
      </c>
      <c r="H7212" t="str">
        <f>"B"</f>
        <v>B</v>
      </c>
    </row>
    <row r="7213" spans="1:8" x14ac:dyDescent="0.2">
      <c r="A7213" t="str">
        <f t="shared" si="2635"/>
        <v>0618018294</v>
      </c>
      <c r="B7213" t="str">
        <f t="shared" si="2636"/>
        <v>REBECCA</v>
      </c>
      <c r="C7213" t="str">
        <f t="shared" si="2637"/>
        <v>HELD</v>
      </c>
      <c r="D7213">
        <f>11</f>
        <v>11</v>
      </c>
      <c r="E7213" t="str">
        <f>"05 - B - 104 - Lourivaldo  Da Silva"</f>
        <v>05 - B - 104 - Lourivaldo  Da Silva</v>
      </c>
      <c r="F7213" t="str">
        <f>"PRE-CALCULUS HON"</f>
        <v>PRE-CALCULUS HON</v>
      </c>
      <c r="G7213" t="str">
        <f>"20-2079"</f>
        <v>20-2079</v>
      </c>
      <c r="H7213" t="str">
        <f>"B"</f>
        <v>B</v>
      </c>
    </row>
    <row r="7214" spans="1:8" x14ac:dyDescent="0.2">
      <c r="A7214" t="str">
        <f t="shared" si="2635"/>
        <v>0618018294</v>
      </c>
      <c r="B7214" t="str">
        <f t="shared" si="2636"/>
        <v>REBECCA</v>
      </c>
      <c r="C7214" t="str">
        <f t="shared" si="2637"/>
        <v>HELD</v>
      </c>
      <c r="D7214">
        <f>11</f>
        <v>11</v>
      </c>
      <c r="E7214" t="str">
        <f>"01 - A - 101 - Lisa J London"</f>
        <v>01 - A - 101 - Lisa J London</v>
      </c>
      <c r="F7214" t="str">
        <f>"AP CAPSTONE SEMINAR"</f>
        <v>AP CAPSTONE SEMINAR</v>
      </c>
      <c r="G7214" t="str">
        <f>"17-1714"</f>
        <v>17-1714</v>
      </c>
      <c r="H7214" t="str">
        <f>"A"</f>
        <v>A</v>
      </c>
    </row>
    <row r="7215" spans="1:8" x14ac:dyDescent="0.2">
      <c r="A7215" t="str">
        <f t="shared" si="2635"/>
        <v>0618018294</v>
      </c>
      <c r="B7215" t="str">
        <f t="shared" si="2636"/>
        <v>REBECCA</v>
      </c>
      <c r="C7215" t="str">
        <f t="shared" si="2637"/>
        <v>HELD</v>
      </c>
      <c r="D7215">
        <f>11</f>
        <v>11</v>
      </c>
      <c r="E7215" t="str">
        <f>"08 - B - 105 - Brandy N Zdenek"</f>
        <v>08 - B - 105 - Brandy N Zdenek</v>
      </c>
      <c r="F7215" t="str">
        <f>"AICE ENG LANG 2 AL"</f>
        <v>AICE ENG LANG 2 AL</v>
      </c>
      <c r="G7215" t="str">
        <f>"17-1704"</f>
        <v>17-1704</v>
      </c>
      <c r="H7215" t="str">
        <f>"B"</f>
        <v>B</v>
      </c>
    </row>
    <row r="7216" spans="1:8" x14ac:dyDescent="0.2">
      <c r="A7216" t="str">
        <f t="shared" ref="A7216:A7223" si="2638">"0612075300"</f>
        <v>0612075300</v>
      </c>
      <c r="B7216" t="str">
        <f t="shared" ref="B7216:B7223" si="2639">"JAMES"</f>
        <v>JAMES</v>
      </c>
      <c r="C7216" t="str">
        <f t="shared" ref="C7216:C7223" si="2640">"HEMPLE"</f>
        <v>HEMPLE</v>
      </c>
      <c r="D7216">
        <f>11</f>
        <v>11</v>
      </c>
      <c r="E7216" t="str">
        <f>"04 - A - 201 - Scott A Dethloff"</f>
        <v>04 - A - 201 - Scott A Dethloff</v>
      </c>
      <c r="F7216" t="str">
        <f>"AICE THINK SKLS 1 AS"</f>
        <v>AICE THINK SKLS 1 AS</v>
      </c>
      <c r="G7216" t="str">
        <f>"08-812"</f>
        <v>08-812</v>
      </c>
      <c r="H7216" t="str">
        <f>"A"</f>
        <v>A</v>
      </c>
    </row>
    <row r="7217" spans="1:8" x14ac:dyDescent="0.2">
      <c r="A7217" t="str">
        <f t="shared" si="2638"/>
        <v>0612075300</v>
      </c>
      <c r="B7217" t="str">
        <f t="shared" si="2639"/>
        <v>JAMES</v>
      </c>
      <c r="C7217" t="str">
        <f t="shared" si="2640"/>
        <v>HEMPLE</v>
      </c>
      <c r="D7217">
        <f>11</f>
        <v>11</v>
      </c>
      <c r="E7217" t="str">
        <f>"06 - B - 204 - Chrystina M Marchionne"</f>
        <v>06 - B - 204 - Chrystina M Marchionne</v>
      </c>
      <c r="F7217" t="str">
        <f>"AICE MEDIASTUDIES AS"</f>
        <v>AICE MEDIASTUDIES AS</v>
      </c>
      <c r="G7217" t="str">
        <f>"05-520"</f>
        <v>05-520</v>
      </c>
      <c r="H7217" t="str">
        <f>"B"</f>
        <v>B</v>
      </c>
    </row>
    <row r="7218" spans="1:8" x14ac:dyDescent="0.2">
      <c r="A7218" t="str">
        <f t="shared" si="2638"/>
        <v>0612075300</v>
      </c>
      <c r="B7218" t="str">
        <f t="shared" si="2639"/>
        <v>JAMES</v>
      </c>
      <c r="C7218" t="str">
        <f t="shared" si="2640"/>
        <v>HEMPLE</v>
      </c>
      <c r="D7218">
        <f>11</f>
        <v>11</v>
      </c>
      <c r="E7218" t="str">
        <f>"03 - A - 106 - Krystal Marie  Beruty"</f>
        <v>03 - A - 106 - Krystal Marie  Beruty</v>
      </c>
      <c r="F7218" t="str">
        <f>"AICE PSYCH 1 AS"</f>
        <v>AICE PSYCH 1 AS</v>
      </c>
      <c r="G7218" t="str">
        <f>"17-1721"</f>
        <v>17-1721</v>
      </c>
      <c r="H7218" t="str">
        <f>"A"</f>
        <v>A</v>
      </c>
    </row>
    <row r="7219" spans="1:8" x14ac:dyDescent="0.2">
      <c r="A7219" t="str">
        <f t="shared" si="2638"/>
        <v>0612075300</v>
      </c>
      <c r="B7219" t="str">
        <f t="shared" si="2639"/>
        <v>JAMES</v>
      </c>
      <c r="C7219" t="str">
        <f t="shared" si="2640"/>
        <v>HEMPLE</v>
      </c>
      <c r="D7219">
        <f>11</f>
        <v>11</v>
      </c>
      <c r="E7219" t="str">
        <f>"02 - A - 117 - Kyle  Robbins"</f>
        <v>02 - A - 117 - Kyle  Robbins</v>
      </c>
      <c r="F7219" t="str">
        <f>"NC STUDY HALL 1"</f>
        <v>NC STUDY HALL 1</v>
      </c>
      <c r="G7219" t="str">
        <f>"17-1745"</f>
        <v>17-1745</v>
      </c>
      <c r="H7219" t="str">
        <f>"A"</f>
        <v>A</v>
      </c>
    </row>
    <row r="7220" spans="1:8" x14ac:dyDescent="0.2">
      <c r="A7220" t="str">
        <f t="shared" si="2638"/>
        <v>0612075300</v>
      </c>
      <c r="B7220" t="str">
        <f t="shared" si="2639"/>
        <v>JAMES</v>
      </c>
      <c r="C7220" t="str">
        <f t="shared" si="2640"/>
        <v>HEMPLE</v>
      </c>
      <c r="D7220">
        <f>11</f>
        <v>11</v>
      </c>
      <c r="E7220" t="str">
        <f>"07 - B - 101 - Fernando  Vega-Cid"</f>
        <v>07 - B - 101 - Fernando  Vega-Cid</v>
      </c>
      <c r="F7220" t="str">
        <f>"AP PRECALCULUS"</f>
        <v>AP PRECALCULUS</v>
      </c>
      <c r="G7220" t="str">
        <f>"21-2163"</f>
        <v>21-2163</v>
      </c>
      <c r="H7220" t="str">
        <f>"B"</f>
        <v>B</v>
      </c>
    </row>
    <row r="7221" spans="1:8" x14ac:dyDescent="0.2">
      <c r="A7221" t="str">
        <f t="shared" si="2638"/>
        <v>0612075300</v>
      </c>
      <c r="B7221" t="str">
        <f t="shared" si="2639"/>
        <v>JAMES</v>
      </c>
      <c r="C7221" t="str">
        <f t="shared" si="2640"/>
        <v>HEMPLE</v>
      </c>
      <c r="D7221">
        <f>11</f>
        <v>11</v>
      </c>
      <c r="E7221" t="str">
        <f>"05 - B - 201 - Scott A Dethloff"</f>
        <v>05 - B - 201 - Scott A Dethloff</v>
      </c>
      <c r="F7221" t="str">
        <f>"AP CHEM"</f>
        <v>AP CHEM</v>
      </c>
      <c r="G7221" t="str">
        <f>"08-812"</f>
        <v>08-812</v>
      </c>
      <c r="H7221" t="str">
        <f>"B"</f>
        <v>B</v>
      </c>
    </row>
    <row r="7222" spans="1:8" x14ac:dyDescent="0.2">
      <c r="A7222" t="str">
        <f t="shared" si="2638"/>
        <v>0612075300</v>
      </c>
      <c r="B7222" t="str">
        <f t="shared" si="2639"/>
        <v>JAMES</v>
      </c>
      <c r="C7222" t="str">
        <f t="shared" si="2640"/>
        <v>HEMPLE</v>
      </c>
      <c r="D7222">
        <f>11</f>
        <v>11</v>
      </c>
      <c r="E7222" t="str">
        <f>"01 - A - 101 - Jacklyn M James"</f>
        <v>01 - A - 101 - Jacklyn M James</v>
      </c>
      <c r="F7222" t="str">
        <f>"AICE ENG LANG AS"</f>
        <v>AICE ENG LANG AS</v>
      </c>
      <c r="G7222" t="str">
        <f>"17-1731"</f>
        <v>17-1731</v>
      </c>
      <c r="H7222" t="str">
        <f>"A"</f>
        <v>A</v>
      </c>
    </row>
    <row r="7223" spans="1:8" x14ac:dyDescent="0.2">
      <c r="A7223" t="str">
        <f t="shared" si="2638"/>
        <v>0612075300</v>
      </c>
      <c r="B7223" t="str">
        <f t="shared" si="2639"/>
        <v>JAMES</v>
      </c>
      <c r="C7223" t="str">
        <f t="shared" si="2640"/>
        <v>HEMPLE</v>
      </c>
      <c r="D7223">
        <f>11</f>
        <v>11</v>
      </c>
      <c r="E7223" t="str">
        <f>"08 - B - 001 - Jerry S Jiampetti"</f>
        <v>08 - B - 001 - Jerry S Jiampetti</v>
      </c>
      <c r="F7223" t="str">
        <f>"AICE U.S. HIST 1 AS"</f>
        <v>AICE U.S. HIST 1 AS</v>
      </c>
      <c r="G7223" t="str">
        <f>"17-1751"</f>
        <v>17-1751</v>
      </c>
      <c r="H7223" t="str">
        <f>"B"</f>
        <v>B</v>
      </c>
    </row>
    <row r="7224" spans="1:8" x14ac:dyDescent="0.2">
      <c r="A7224" t="str">
        <f t="shared" ref="A7224:A7231" si="2641">"0617057643"</f>
        <v>0617057643</v>
      </c>
      <c r="B7224" t="str">
        <f t="shared" ref="B7224:B7231" si="2642">"MASEN"</f>
        <v>MASEN</v>
      </c>
      <c r="C7224" t="str">
        <f t="shared" ref="C7224:C7239" si="2643">"HENDEE"</f>
        <v>HENDEE</v>
      </c>
      <c r="D7224" t="str">
        <f t="shared" ref="D7224:D7231" si="2644">"09"</f>
        <v>09</v>
      </c>
      <c r="E7224" t="str">
        <f>"04 - A - 101 - Chrystina M Marchionne"</f>
        <v>04 - A - 101 - Chrystina M Marchionne</v>
      </c>
      <c r="F7224" t="str">
        <f>"THEA CIN &amp; FILM LH"</f>
        <v>THEA CIN &amp; FILM LH</v>
      </c>
      <c r="G7224" t="str">
        <f>"05-520"</f>
        <v>05-520</v>
      </c>
      <c r="H7224" t="str">
        <f>"A"</f>
        <v>A</v>
      </c>
    </row>
    <row r="7225" spans="1:8" x14ac:dyDescent="0.2">
      <c r="A7225" t="str">
        <f t="shared" si="2641"/>
        <v>0617057643</v>
      </c>
      <c r="B7225" t="str">
        <f t="shared" si="2642"/>
        <v>MASEN</v>
      </c>
      <c r="C7225" t="str">
        <f t="shared" si="2643"/>
        <v>HENDEE</v>
      </c>
      <c r="D7225" t="str">
        <f t="shared" si="2644"/>
        <v>09</v>
      </c>
      <c r="E7225" t="str">
        <f>"06 - B - 104 - Lytrell T Dixon"</f>
        <v>06 - B - 104 - Lytrell T Dixon</v>
      </c>
      <c r="F7225" t="str">
        <f>"PRE-AICE BIO IG"</f>
        <v>PRE-AICE BIO IG</v>
      </c>
      <c r="G7225" t="str">
        <f>"08-808"</f>
        <v>08-808</v>
      </c>
      <c r="H7225" t="str">
        <f>"B"</f>
        <v>B</v>
      </c>
    </row>
    <row r="7226" spans="1:8" x14ac:dyDescent="0.2">
      <c r="A7226" t="str">
        <f t="shared" si="2641"/>
        <v>0617057643</v>
      </c>
      <c r="B7226" t="str">
        <f t="shared" si="2642"/>
        <v>MASEN</v>
      </c>
      <c r="C7226" t="str">
        <f t="shared" si="2643"/>
        <v>HENDEE</v>
      </c>
      <c r="D7226" t="str">
        <f t="shared" si="2644"/>
        <v>09</v>
      </c>
      <c r="E7226" t="str">
        <f>"03 - S1 - A - 102 - Angela S Adeshina-Morrison"</f>
        <v>03 - S1 - A - 102 - Angela S Adeshina-Morrison</v>
      </c>
      <c r="F7226" t="str">
        <f>"PEER COUN 1"</f>
        <v>PEER COUN 1</v>
      </c>
      <c r="G7226" t="str">
        <f>"05-518"</f>
        <v>05-518</v>
      </c>
      <c r="H7226" t="str">
        <f>"A"</f>
        <v>A</v>
      </c>
    </row>
    <row r="7227" spans="1:8" x14ac:dyDescent="0.2">
      <c r="A7227" t="str">
        <f t="shared" si="2641"/>
        <v>0617057643</v>
      </c>
      <c r="B7227" t="str">
        <f t="shared" si="2642"/>
        <v>MASEN</v>
      </c>
      <c r="C7227" t="str">
        <f t="shared" si="2643"/>
        <v>HENDEE</v>
      </c>
      <c r="D7227" t="str">
        <f t="shared" si="2644"/>
        <v>09</v>
      </c>
      <c r="E7227" t="str">
        <f>"02 - A - 109 - Krystal Marie  Beruty"</f>
        <v>02 - A - 109 - Krystal Marie  Beruty</v>
      </c>
      <c r="F7227" t="str">
        <f>"NC STUDY HALL 1"</f>
        <v>NC STUDY HALL 1</v>
      </c>
      <c r="G7227" t="str">
        <f>"17-1721"</f>
        <v>17-1721</v>
      </c>
      <c r="H7227" t="str">
        <f>"A"</f>
        <v>A</v>
      </c>
    </row>
    <row r="7228" spans="1:8" x14ac:dyDescent="0.2">
      <c r="A7228" t="str">
        <f t="shared" si="2641"/>
        <v>0617057643</v>
      </c>
      <c r="B7228" t="str">
        <f t="shared" si="2642"/>
        <v>MASEN</v>
      </c>
      <c r="C7228" t="str">
        <f t="shared" si="2643"/>
        <v>HENDEE</v>
      </c>
      <c r="D7228" t="str">
        <f t="shared" si="2644"/>
        <v>09</v>
      </c>
      <c r="E7228" t="str">
        <f>"07 - B - 001 - Carol S Moore"</f>
        <v>07 - B - 001 - Carol S Moore</v>
      </c>
      <c r="F7228" t="str">
        <f>"PRE-AICE WRLD HST IG"</f>
        <v>PRE-AICE WRLD HST IG</v>
      </c>
      <c r="G7228" t="str">
        <f>"17-1733"</f>
        <v>17-1733</v>
      </c>
      <c r="H7228" t="str">
        <f>"B"</f>
        <v>B</v>
      </c>
    </row>
    <row r="7229" spans="1:8" x14ac:dyDescent="0.2">
      <c r="A7229" t="str">
        <f t="shared" si="2641"/>
        <v>0617057643</v>
      </c>
      <c r="B7229" t="str">
        <f t="shared" si="2642"/>
        <v>MASEN</v>
      </c>
      <c r="C7229" t="str">
        <f t="shared" si="2643"/>
        <v>HENDEE</v>
      </c>
      <c r="D7229" t="str">
        <f t="shared" si="2644"/>
        <v>09</v>
      </c>
      <c r="E7229" t="str">
        <f>"05 - B - 104 - Maried P Ramos"</f>
        <v>05 - B - 104 - Maried P Ramos</v>
      </c>
      <c r="F7229" t="str">
        <f>"PRE-AICE MATH 2 IG"</f>
        <v>PRE-AICE MATH 2 IG</v>
      </c>
      <c r="G7229" t="str">
        <f>"21-2159"</f>
        <v>21-2159</v>
      </c>
      <c r="H7229" t="str">
        <f>"B"</f>
        <v>B</v>
      </c>
    </row>
    <row r="7230" spans="1:8" x14ac:dyDescent="0.2">
      <c r="A7230" t="str">
        <f t="shared" si="2641"/>
        <v>0617057643</v>
      </c>
      <c r="B7230" t="str">
        <f t="shared" si="2642"/>
        <v>MASEN</v>
      </c>
      <c r="C7230" t="str">
        <f t="shared" si="2643"/>
        <v>HENDEE</v>
      </c>
      <c r="D7230" t="str">
        <f t="shared" si="2644"/>
        <v>09</v>
      </c>
      <c r="E7230" t="str">
        <f>"01 - A - 101 - Elizabeth R Walker"</f>
        <v>01 - A - 101 - Elizabeth R Walker</v>
      </c>
      <c r="F7230" t="str">
        <f>"AICE ENG GEN PAPER 1"</f>
        <v>AICE ENG GEN PAPER 1</v>
      </c>
      <c r="G7230" t="str">
        <f>"17-1703"</f>
        <v>17-1703</v>
      </c>
      <c r="H7230" t="str">
        <f>"A"</f>
        <v>A</v>
      </c>
    </row>
    <row r="7231" spans="1:8" x14ac:dyDescent="0.2">
      <c r="A7231" t="str">
        <f t="shared" si="2641"/>
        <v>0617057643</v>
      </c>
      <c r="B7231" t="str">
        <f t="shared" si="2642"/>
        <v>MASEN</v>
      </c>
      <c r="C7231" t="str">
        <f t="shared" si="2643"/>
        <v>HENDEE</v>
      </c>
      <c r="D7231" t="str">
        <f t="shared" si="2644"/>
        <v>09</v>
      </c>
      <c r="E7231" t="str">
        <f>"08 - B - 108 - Adam Marcus  Drucker"</f>
        <v>08 - B - 108 - Adam Marcus  Drucker</v>
      </c>
      <c r="F7231" t="str">
        <f>"HOPE-PE V"</f>
        <v>HOPE-PE V</v>
      </c>
      <c r="G7231" t="str">
        <f>"04-254"</f>
        <v>04-254</v>
      </c>
      <c r="H7231" t="str">
        <f>"B"</f>
        <v>B</v>
      </c>
    </row>
    <row r="7232" spans="1:8" x14ac:dyDescent="0.2">
      <c r="A7232" t="str">
        <f t="shared" ref="A7232:A7239" si="2645">"0614010191"</f>
        <v>0614010191</v>
      </c>
      <c r="B7232" t="str">
        <f t="shared" ref="B7232:B7239" si="2646">"MYLES"</f>
        <v>MYLES</v>
      </c>
      <c r="C7232" t="str">
        <f t="shared" si="2643"/>
        <v>HENDEE</v>
      </c>
      <c r="D7232">
        <f>12</f>
        <v>12</v>
      </c>
      <c r="E7232" t="str">
        <f>"04 - A - 104 - Robert H Rindner"</f>
        <v>04 - A - 104 - Robert H Rindner</v>
      </c>
      <c r="F7232" t="str">
        <f>"MATH DATA&amp;FIN LIT H"</f>
        <v>MATH DATA&amp;FIN LIT H</v>
      </c>
      <c r="G7232" t="str">
        <f>"21-2160"</f>
        <v>21-2160</v>
      </c>
      <c r="H7232" t="str">
        <f>"A"</f>
        <v>A</v>
      </c>
    </row>
    <row r="7233" spans="1:8" x14ac:dyDescent="0.2">
      <c r="A7233" t="str">
        <f t="shared" si="2645"/>
        <v>0614010191</v>
      </c>
      <c r="B7233" t="str">
        <f t="shared" si="2646"/>
        <v>MYLES</v>
      </c>
      <c r="C7233" t="str">
        <f t="shared" si="2643"/>
        <v>HENDEE</v>
      </c>
      <c r="D7233">
        <f>12</f>
        <v>12</v>
      </c>
      <c r="E7233" t="str">
        <f>"06 - B - 102 - Andrea A Amison"</f>
        <v>06 - B - 102 - Andrea A Amison</v>
      </c>
      <c r="F7233" t="str">
        <f>"NC STUDY HALL 1"</f>
        <v>NC STUDY HALL 1</v>
      </c>
      <c r="G7233" t="str">
        <f>"09-922C"</f>
        <v>09-922C</v>
      </c>
      <c r="H7233" t="str">
        <f>"B"</f>
        <v>B</v>
      </c>
    </row>
    <row r="7234" spans="1:8" x14ac:dyDescent="0.2">
      <c r="A7234" t="str">
        <f t="shared" si="2645"/>
        <v>0614010191</v>
      </c>
      <c r="B7234" t="str">
        <f t="shared" si="2646"/>
        <v>MYLES</v>
      </c>
      <c r="C7234" t="str">
        <f t="shared" si="2643"/>
        <v>HENDEE</v>
      </c>
      <c r="D7234">
        <f>12</f>
        <v>12</v>
      </c>
      <c r="E7234" t="str">
        <f>"03 - S1 - A - 102 - Leslie J Barton"</f>
        <v>03 - S1 - A - 102 - Leslie J Barton</v>
      </c>
      <c r="F7234" t="str">
        <f>"FIRST AID SAFETY"</f>
        <v>FIRST AID SAFETY</v>
      </c>
      <c r="G7234" t="str">
        <f>"05-521"</f>
        <v>05-521</v>
      </c>
      <c r="H7234" t="str">
        <f>"A"</f>
        <v>A</v>
      </c>
    </row>
    <row r="7235" spans="1:8" x14ac:dyDescent="0.2">
      <c r="A7235" t="str">
        <f t="shared" si="2645"/>
        <v>0614010191</v>
      </c>
      <c r="B7235" t="str">
        <f t="shared" si="2646"/>
        <v>MYLES</v>
      </c>
      <c r="C7235" t="str">
        <f t="shared" si="2643"/>
        <v>HENDEE</v>
      </c>
      <c r="D7235">
        <f>12</f>
        <v>12</v>
      </c>
      <c r="E7235" t="str">
        <f>"02 - A - 101 - Brian M Fitzgerald"</f>
        <v>02 - A - 101 - Brian M Fitzgerald</v>
      </c>
      <c r="F7235" t="str">
        <f>"DRAW 1"</f>
        <v>DRAW 1</v>
      </c>
      <c r="G7235" t="str">
        <f>"09-908"</f>
        <v>09-908</v>
      </c>
      <c r="H7235" t="str">
        <f>"A"</f>
        <v>A</v>
      </c>
    </row>
    <row r="7236" spans="1:8" x14ac:dyDescent="0.2">
      <c r="A7236" t="str">
        <f t="shared" si="2645"/>
        <v>0614010191</v>
      </c>
      <c r="B7236" t="str">
        <f t="shared" si="2646"/>
        <v>MYLES</v>
      </c>
      <c r="C7236" t="str">
        <f t="shared" si="2643"/>
        <v>HENDEE</v>
      </c>
      <c r="D7236">
        <f>12</f>
        <v>12</v>
      </c>
      <c r="E7236" t="str">
        <f>"07 - B - 105 - Cliffon  Saurel"</f>
        <v>07 - B - 105 - Cliffon  Saurel</v>
      </c>
      <c r="F7236" t="str">
        <f>"PHYSICAL SCI"</f>
        <v>PHYSICAL SCI</v>
      </c>
      <c r="G7236" t="str">
        <f>"05-522"</f>
        <v>05-522</v>
      </c>
      <c r="H7236" t="str">
        <f>"B"</f>
        <v>B</v>
      </c>
    </row>
    <row r="7237" spans="1:8" x14ac:dyDescent="0.2">
      <c r="A7237" t="str">
        <f t="shared" si="2645"/>
        <v>0614010191</v>
      </c>
      <c r="B7237" t="str">
        <f t="shared" si="2646"/>
        <v>MYLES</v>
      </c>
      <c r="C7237" t="str">
        <f t="shared" si="2643"/>
        <v>HENDEE</v>
      </c>
      <c r="D7237">
        <f>12</f>
        <v>12</v>
      </c>
      <c r="E7237" t="str">
        <f>"05 - S1 - B - 102 - Barbara L Segal"</f>
        <v>05 - S1 - B - 102 - Barbara L Segal</v>
      </c>
      <c r="F7237" t="str">
        <f>"US GOVT HON"</f>
        <v>US GOVT HON</v>
      </c>
      <c r="G7237" t="str">
        <f>"17-1742"</f>
        <v>17-1742</v>
      </c>
      <c r="H7237" t="str">
        <f>"B"</f>
        <v>B</v>
      </c>
    </row>
    <row r="7238" spans="1:8" x14ac:dyDescent="0.2">
      <c r="A7238" t="str">
        <f t="shared" si="2645"/>
        <v>0614010191</v>
      </c>
      <c r="B7238" t="str">
        <f t="shared" si="2646"/>
        <v>MYLES</v>
      </c>
      <c r="C7238" t="str">
        <f t="shared" si="2643"/>
        <v>HENDEE</v>
      </c>
      <c r="D7238">
        <f>12</f>
        <v>12</v>
      </c>
      <c r="E7238" t="str">
        <f>"01 - A - 103 - Jeffrey S Gallagher"</f>
        <v>01 - A - 103 - Jeffrey S Gallagher</v>
      </c>
      <c r="F7238" t="str">
        <f>"ENG HON 4"</f>
        <v>ENG HON 4</v>
      </c>
      <c r="G7238" t="str">
        <f>"17-1724"</f>
        <v>17-1724</v>
      </c>
      <c r="H7238" t="str">
        <f>"A"</f>
        <v>A</v>
      </c>
    </row>
    <row r="7239" spans="1:8" x14ac:dyDescent="0.2">
      <c r="A7239" t="str">
        <f t="shared" si="2645"/>
        <v>0614010191</v>
      </c>
      <c r="B7239" t="str">
        <f t="shared" si="2646"/>
        <v>MYLES</v>
      </c>
      <c r="C7239" t="str">
        <f t="shared" si="2643"/>
        <v>HENDEE</v>
      </c>
      <c r="D7239">
        <f>12</f>
        <v>12</v>
      </c>
      <c r="E7239" t="str">
        <f>"08 - S1 - B - 104 - Richard E Dunbar Iii"</f>
        <v>08 - S1 - B - 104 - Richard E Dunbar Iii</v>
      </c>
      <c r="F7239" t="str">
        <f>"WEIGHT TRAIN 3"</f>
        <v>WEIGHT TRAIN 3</v>
      </c>
      <c r="G7239" t="str">
        <f>"05-501"</f>
        <v>05-501</v>
      </c>
      <c r="H7239" t="str">
        <f>"B"</f>
        <v>B</v>
      </c>
    </row>
    <row r="7240" spans="1:8" x14ac:dyDescent="0.2">
      <c r="A7240" t="str">
        <f t="shared" ref="A7240:A7247" si="2647">"0625001001"</f>
        <v>0625001001</v>
      </c>
      <c r="B7240" t="str">
        <f t="shared" ref="B7240:B7247" si="2648">"Daniel"</f>
        <v>Daniel</v>
      </c>
      <c r="C7240" t="str">
        <f t="shared" ref="C7240:C7247" si="2649">"Henderson"</f>
        <v>Henderson</v>
      </c>
      <c r="D7240">
        <f>10</f>
        <v>10</v>
      </c>
      <c r="E7240" t="str">
        <f>"04 - A - 201 - Scott A Dethloff"</f>
        <v>04 - A - 201 - Scott A Dethloff</v>
      </c>
      <c r="F7240" t="str">
        <f>"AICE THINK SKLS 1 AS"</f>
        <v>AICE THINK SKLS 1 AS</v>
      </c>
      <c r="G7240" t="str">
        <f>"08-812"</f>
        <v>08-812</v>
      </c>
      <c r="H7240" t="str">
        <f>"A"</f>
        <v>A</v>
      </c>
    </row>
    <row r="7241" spans="1:8" x14ac:dyDescent="0.2">
      <c r="A7241" t="str">
        <f t="shared" si="2647"/>
        <v>0625001001</v>
      </c>
      <c r="B7241" t="str">
        <f t="shared" si="2648"/>
        <v>Daniel</v>
      </c>
      <c r="C7241" t="str">
        <f t="shared" si="2649"/>
        <v>Henderson</v>
      </c>
      <c r="D7241">
        <f>10</f>
        <v>10</v>
      </c>
      <c r="E7241" t="str">
        <f>"06 - B - 118 - Jeanne M Bermudez"</f>
        <v>06 - B - 118 - Jeanne M Bermudez</v>
      </c>
      <c r="F7241" t="str">
        <f>"NC STUDY HALL 1"</f>
        <v>NC STUDY HALL 1</v>
      </c>
      <c r="G7241" t="str">
        <f>"21-2141"</f>
        <v>21-2141</v>
      </c>
      <c r="H7241" t="str">
        <f>"B"</f>
        <v>B</v>
      </c>
    </row>
    <row r="7242" spans="1:8" x14ac:dyDescent="0.2">
      <c r="A7242" t="str">
        <f t="shared" si="2647"/>
        <v>0625001001</v>
      </c>
      <c r="B7242" t="str">
        <f t="shared" si="2648"/>
        <v>Daniel</v>
      </c>
      <c r="C7242" t="str">
        <f t="shared" si="2649"/>
        <v>Henderson</v>
      </c>
      <c r="D7242">
        <f>10</f>
        <v>10</v>
      </c>
      <c r="E7242" t="str">
        <f>"03 - A - 101 - Scott A Dethloff"</f>
        <v>03 - A - 101 - Scott A Dethloff</v>
      </c>
      <c r="F7242" t="str">
        <f>"CHEMISTRY 1 HON"</f>
        <v>CHEMISTRY 1 HON</v>
      </c>
      <c r="G7242" t="str">
        <f>"08-812"</f>
        <v>08-812</v>
      </c>
      <c r="H7242" t="str">
        <f>"A"</f>
        <v>A</v>
      </c>
    </row>
    <row r="7243" spans="1:8" x14ac:dyDescent="0.2">
      <c r="A7243" t="str">
        <f t="shared" si="2647"/>
        <v>0625001001</v>
      </c>
      <c r="B7243" t="str">
        <f t="shared" si="2648"/>
        <v>Daniel</v>
      </c>
      <c r="C7243" t="str">
        <f t="shared" si="2649"/>
        <v>Henderson</v>
      </c>
      <c r="D7243">
        <f>10</f>
        <v>10</v>
      </c>
      <c r="E7243" t="str">
        <f>"02 - A - 102 - Jacklyn M James"</f>
        <v>02 - A - 102 - Jacklyn M James</v>
      </c>
      <c r="F7243" t="str">
        <f>"AICE ENG LANG AS"</f>
        <v>AICE ENG LANG AS</v>
      </c>
      <c r="G7243" t="str">
        <f>"17-1731"</f>
        <v>17-1731</v>
      </c>
      <c r="H7243" t="str">
        <f>"A"</f>
        <v>A</v>
      </c>
    </row>
    <row r="7244" spans="1:8" x14ac:dyDescent="0.2">
      <c r="A7244" t="str">
        <f t="shared" si="2647"/>
        <v>0625001001</v>
      </c>
      <c r="B7244" t="str">
        <f t="shared" si="2648"/>
        <v>Daniel</v>
      </c>
      <c r="C7244" t="str">
        <f t="shared" si="2649"/>
        <v>Henderson</v>
      </c>
      <c r="D7244">
        <f>10</f>
        <v>10</v>
      </c>
      <c r="E7244" t="str">
        <f>"07 - B - 101 - Fernando  Vega-Cid"</f>
        <v>07 - B - 101 - Fernando  Vega-Cid</v>
      </c>
      <c r="F7244" t="str">
        <f>"AP PRECALCULUS"</f>
        <v>AP PRECALCULUS</v>
      </c>
      <c r="G7244" t="str">
        <f>"21-2163"</f>
        <v>21-2163</v>
      </c>
      <c r="H7244" t="str">
        <f>"B"</f>
        <v>B</v>
      </c>
    </row>
    <row r="7245" spans="1:8" x14ac:dyDescent="0.2">
      <c r="A7245" t="str">
        <f t="shared" si="2647"/>
        <v>0625001001</v>
      </c>
      <c r="B7245" t="str">
        <f t="shared" si="2648"/>
        <v>Daniel</v>
      </c>
      <c r="C7245" t="str">
        <f t="shared" si="2649"/>
        <v>Henderson</v>
      </c>
      <c r="D7245">
        <f>10</f>
        <v>10</v>
      </c>
      <c r="E7245" t="str">
        <f>"05 - B - 104 - Joe  Kilpatrick Jr"</f>
        <v>05 - B - 104 - Joe  Kilpatrick Jr</v>
      </c>
      <c r="F7245" t="str">
        <f>"PRE-AICE SPAN 1 IG"</f>
        <v>PRE-AICE SPAN 1 IG</v>
      </c>
      <c r="G7245" t="str">
        <f>"09-912"</f>
        <v>09-912</v>
      </c>
      <c r="H7245" t="str">
        <f>"B"</f>
        <v>B</v>
      </c>
    </row>
    <row r="7246" spans="1:8" x14ac:dyDescent="0.2">
      <c r="A7246" t="str">
        <f t="shared" si="2647"/>
        <v>0625001001</v>
      </c>
      <c r="B7246" t="str">
        <f t="shared" si="2648"/>
        <v>Daniel</v>
      </c>
      <c r="C7246" t="str">
        <f t="shared" si="2649"/>
        <v>Henderson</v>
      </c>
      <c r="D7246">
        <f>10</f>
        <v>10</v>
      </c>
      <c r="E7246" t="str">
        <f>"01 - A - 001 - Lenecy  Nodarse"</f>
        <v>01 - A - 001 - Lenecy  Nodarse</v>
      </c>
      <c r="F7246" t="str">
        <f>"AICE EURO HIST 1 AS"</f>
        <v>AICE EURO HIST 1 AS</v>
      </c>
      <c r="G7246" t="str">
        <f>"17-1741"</f>
        <v>17-1741</v>
      </c>
      <c r="H7246" t="str">
        <f>"A"</f>
        <v>A</v>
      </c>
    </row>
    <row r="7247" spans="1:8" x14ac:dyDescent="0.2">
      <c r="A7247" t="str">
        <f t="shared" si="2647"/>
        <v>0625001001</v>
      </c>
      <c r="B7247" t="str">
        <f t="shared" si="2648"/>
        <v>Daniel</v>
      </c>
      <c r="C7247" t="str">
        <f t="shared" si="2649"/>
        <v>Henderson</v>
      </c>
      <c r="D7247">
        <f>10</f>
        <v>10</v>
      </c>
      <c r="E7247" t="str">
        <f>"08 - B - 202 - Krystal Marie  Beruty"</f>
        <v>08 - B - 202 - Krystal Marie  Beruty</v>
      </c>
      <c r="F7247" t="str">
        <f>"AICE PSYCH 1 AS"</f>
        <v>AICE PSYCH 1 AS</v>
      </c>
      <c r="G7247" t="str">
        <f>"17-1721"</f>
        <v>17-1721</v>
      </c>
      <c r="H7247" t="str">
        <f>"B"</f>
        <v>B</v>
      </c>
    </row>
    <row r="7248" spans="1:8" x14ac:dyDescent="0.2">
      <c r="A7248" t="str">
        <f t="shared" ref="A7248:A7255" si="2650">"0615020862"</f>
        <v>0615020862</v>
      </c>
      <c r="B7248" t="str">
        <f t="shared" ref="B7248:B7255" si="2651">"SHAMAR"</f>
        <v>SHAMAR</v>
      </c>
      <c r="C7248" t="str">
        <f t="shared" ref="C7248:C7255" si="2652">"HENLEY"</f>
        <v>HENLEY</v>
      </c>
      <c r="D7248">
        <f>10</f>
        <v>10</v>
      </c>
      <c r="E7248" t="str">
        <f>"04 - A - 102 - Tina L Lovett"</f>
        <v>04 - A - 102 - Tina L Lovett</v>
      </c>
      <c r="F7248" t="str">
        <f>"ALGEBRA 1"</f>
        <v>ALGEBRA 1</v>
      </c>
      <c r="G7248" t="str">
        <f>"21-2153"</f>
        <v>21-2153</v>
      </c>
      <c r="H7248" t="str">
        <f>"A"</f>
        <v>A</v>
      </c>
    </row>
    <row r="7249" spans="1:8" x14ac:dyDescent="0.2">
      <c r="A7249" t="str">
        <f t="shared" si="2650"/>
        <v>0615020862</v>
      </c>
      <c r="B7249" t="str">
        <f t="shared" si="2651"/>
        <v>SHAMAR</v>
      </c>
      <c r="C7249" t="str">
        <f t="shared" si="2652"/>
        <v>HENLEY</v>
      </c>
      <c r="D7249">
        <f>10</f>
        <v>10</v>
      </c>
      <c r="E7249" t="str">
        <f>"06 - B - 114 - Richard E Dunbar Iii"</f>
        <v>06 - B - 114 - Richard E Dunbar Iii</v>
      </c>
      <c r="F7249" t="str">
        <f>"NC STUDY HALL 1"</f>
        <v>NC STUDY HALL 1</v>
      </c>
      <c r="G7249" t="str">
        <f>"17-1703"</f>
        <v>17-1703</v>
      </c>
      <c r="H7249" t="str">
        <f>"B"</f>
        <v>B</v>
      </c>
    </row>
    <row r="7250" spans="1:8" x14ac:dyDescent="0.2">
      <c r="A7250" t="str">
        <f t="shared" si="2650"/>
        <v>0615020862</v>
      </c>
      <c r="B7250" t="str">
        <f t="shared" si="2651"/>
        <v>SHAMAR</v>
      </c>
      <c r="C7250" t="str">
        <f t="shared" si="2652"/>
        <v>HENLEY</v>
      </c>
      <c r="D7250">
        <f>10</f>
        <v>10</v>
      </c>
      <c r="E7250" t="str">
        <f>"03 - A - 103 - Taraneh C Abreu"</f>
        <v>03 - A - 103 - Taraneh C Abreu</v>
      </c>
      <c r="F7250" t="str">
        <f>"INTENS READ 2"</f>
        <v>INTENS READ 2</v>
      </c>
      <c r="G7250" t="str">
        <f>"17-1713"</f>
        <v>17-1713</v>
      </c>
      <c r="H7250" t="str">
        <f>"A"</f>
        <v>A</v>
      </c>
    </row>
    <row r="7251" spans="1:8" x14ac:dyDescent="0.2">
      <c r="A7251" t="str">
        <f t="shared" si="2650"/>
        <v>0615020862</v>
      </c>
      <c r="B7251" t="str">
        <f t="shared" si="2651"/>
        <v>SHAMAR</v>
      </c>
      <c r="C7251" t="str">
        <f t="shared" si="2652"/>
        <v>HENLEY</v>
      </c>
      <c r="D7251">
        <f>10</f>
        <v>10</v>
      </c>
      <c r="E7251" t="str">
        <f>"02 - A - 102 - Nikiel  Nesbeth"</f>
        <v>02 - A - 102 - Nikiel  Nesbeth</v>
      </c>
      <c r="F7251" t="str">
        <f>"ENG 2"</f>
        <v>ENG 2</v>
      </c>
      <c r="G7251" t="str">
        <f>"17-1705"</f>
        <v>17-1705</v>
      </c>
      <c r="H7251" t="str">
        <f>"A"</f>
        <v>A</v>
      </c>
    </row>
    <row r="7252" spans="1:8" x14ac:dyDescent="0.2">
      <c r="A7252" t="str">
        <f t="shared" si="2650"/>
        <v>0615020862</v>
      </c>
      <c r="B7252" t="str">
        <f t="shared" si="2651"/>
        <v>SHAMAR</v>
      </c>
      <c r="C7252" t="str">
        <f t="shared" si="2652"/>
        <v>HENLEY</v>
      </c>
      <c r="D7252">
        <f>10</f>
        <v>10</v>
      </c>
      <c r="E7252" t="str">
        <f>"07 - B - 107 - Lytrell T Dixon"</f>
        <v>07 - B - 107 - Lytrell T Dixon</v>
      </c>
      <c r="F7252" t="str">
        <f>"BIOLOGY 1"</f>
        <v>BIOLOGY 1</v>
      </c>
      <c r="G7252" t="str">
        <f>"08-808"</f>
        <v>08-808</v>
      </c>
      <c r="H7252" t="str">
        <f>"B"</f>
        <v>B</v>
      </c>
    </row>
    <row r="7253" spans="1:8" x14ac:dyDescent="0.2">
      <c r="A7253" t="str">
        <f t="shared" si="2650"/>
        <v>0615020862</v>
      </c>
      <c r="B7253" t="str">
        <f t="shared" si="2651"/>
        <v>SHAMAR</v>
      </c>
      <c r="C7253" t="str">
        <f t="shared" si="2652"/>
        <v>HENLEY</v>
      </c>
      <c r="D7253">
        <f>10</f>
        <v>10</v>
      </c>
      <c r="E7253" t="str">
        <f>"05 - B - 102 - Dorothy D Moore"</f>
        <v>05 - B - 102 - Dorothy D Moore</v>
      </c>
      <c r="F7253" t="str">
        <f>"FORC SCI 1 LH"</f>
        <v>FORC SCI 1 LH</v>
      </c>
      <c r="G7253" t="str">
        <f>"08-803"</f>
        <v>08-803</v>
      </c>
      <c r="H7253" t="str">
        <f>"B"</f>
        <v>B</v>
      </c>
    </row>
    <row r="7254" spans="1:8" x14ac:dyDescent="0.2">
      <c r="A7254" t="str">
        <f t="shared" si="2650"/>
        <v>0615020862</v>
      </c>
      <c r="B7254" t="str">
        <f t="shared" si="2651"/>
        <v>SHAMAR</v>
      </c>
      <c r="C7254" t="str">
        <f t="shared" si="2652"/>
        <v>HENLEY</v>
      </c>
      <c r="D7254">
        <f>10</f>
        <v>10</v>
      </c>
      <c r="E7254" t="str">
        <f>"01 - A - 101 - Adam Marcus  Drucker"</f>
        <v>01 - A - 101 - Adam Marcus  Drucker</v>
      </c>
      <c r="F7254" t="str">
        <f>"HOPE-PE V"</f>
        <v>HOPE-PE V</v>
      </c>
      <c r="G7254" t="str">
        <f>"04-254"</f>
        <v>04-254</v>
      </c>
      <c r="H7254" t="str">
        <f>"A"</f>
        <v>A</v>
      </c>
    </row>
    <row r="7255" spans="1:8" x14ac:dyDescent="0.2">
      <c r="A7255" t="str">
        <f t="shared" si="2650"/>
        <v>0615020862</v>
      </c>
      <c r="B7255" t="str">
        <f t="shared" si="2651"/>
        <v>SHAMAR</v>
      </c>
      <c r="C7255" t="str">
        <f t="shared" si="2652"/>
        <v>HENLEY</v>
      </c>
      <c r="D7255">
        <f>10</f>
        <v>10</v>
      </c>
      <c r="E7255" t="str">
        <f>"08 - B - 108 - Tina L Lovett"</f>
        <v>08 - B - 108 - Tina L Lovett</v>
      </c>
      <c r="F7255" t="str">
        <f>"FDN SKLS MATH 9-12"</f>
        <v>FDN SKLS MATH 9-12</v>
      </c>
      <c r="G7255" t="str">
        <f>"21-2153"</f>
        <v>21-2153</v>
      </c>
      <c r="H7255" t="str">
        <f>"B"</f>
        <v>B</v>
      </c>
    </row>
    <row r="7256" spans="1:8" x14ac:dyDescent="0.2">
      <c r="A7256" t="str">
        <f t="shared" ref="A7256:A7264" si="2653">"0616028538"</f>
        <v>0616028538</v>
      </c>
      <c r="B7256" t="str">
        <f t="shared" ref="B7256:B7264" si="2654">"JASLYN"</f>
        <v>JASLYN</v>
      </c>
      <c r="C7256" t="str">
        <f t="shared" ref="C7256:C7264" si="2655">"HENRIQUEZ REYES"</f>
        <v>HENRIQUEZ REYES</v>
      </c>
      <c r="D7256" t="str">
        <f t="shared" ref="D7256:D7264" si="2656">"09"</f>
        <v>09</v>
      </c>
      <c r="E7256" t="str">
        <f>"04 - A - 104 - Helen A Flores"</f>
        <v>04 - A - 104 - Helen A Flores</v>
      </c>
      <c r="F7256" t="str">
        <f>"FDN SKLS MATH 9-12"</f>
        <v>FDN SKLS MATH 9-12</v>
      </c>
      <c r="G7256" t="str">
        <f>"21-2101"</f>
        <v>21-2101</v>
      </c>
      <c r="H7256" t="str">
        <f>"A"</f>
        <v>A</v>
      </c>
    </row>
    <row r="7257" spans="1:8" x14ac:dyDescent="0.2">
      <c r="A7257" t="str">
        <f t="shared" si="2653"/>
        <v>0616028538</v>
      </c>
      <c r="B7257" t="str">
        <f t="shared" si="2654"/>
        <v>JASLYN</v>
      </c>
      <c r="C7257" t="str">
        <f t="shared" si="2655"/>
        <v>HENRIQUEZ REYES</v>
      </c>
      <c r="D7257" t="str">
        <f t="shared" si="2656"/>
        <v>09</v>
      </c>
      <c r="E7257" t="str">
        <f>"06 - B - 202 - Samantha L Martinez"</f>
        <v>06 - B - 202 - Samantha L Martinez</v>
      </c>
      <c r="F7257" t="str">
        <f>"GUITAR 1"</f>
        <v>GUITAR 1</v>
      </c>
      <c r="G7257" t="str">
        <f>"05-505"</f>
        <v>05-505</v>
      </c>
      <c r="H7257" t="str">
        <f>"B"</f>
        <v>B</v>
      </c>
    </row>
    <row r="7258" spans="1:8" x14ac:dyDescent="0.2">
      <c r="A7258" t="str">
        <f t="shared" si="2653"/>
        <v>0616028538</v>
      </c>
      <c r="B7258" t="str">
        <f t="shared" si="2654"/>
        <v>JASLYN</v>
      </c>
      <c r="C7258" t="str">
        <f t="shared" si="2655"/>
        <v>HENRIQUEZ REYES</v>
      </c>
      <c r="D7258" t="str">
        <f t="shared" si="2656"/>
        <v>09</v>
      </c>
      <c r="E7258" t="str">
        <f>"03 - A - 105 - Elizabeth Ellen  Moran"</f>
        <v>03 - A - 105 - Elizabeth Ellen  Moran</v>
      </c>
      <c r="F7258" t="str">
        <f>"WORLD HISTORY"</f>
        <v>WORLD HISTORY</v>
      </c>
      <c r="G7258" t="str">
        <f>"17-1752"</f>
        <v>17-1752</v>
      </c>
      <c r="H7258" t="str">
        <f>"A"</f>
        <v>A</v>
      </c>
    </row>
    <row r="7259" spans="1:8" x14ac:dyDescent="0.2">
      <c r="A7259" t="str">
        <f t="shared" si="2653"/>
        <v>0616028538</v>
      </c>
      <c r="B7259" t="str">
        <f t="shared" si="2654"/>
        <v>JASLYN</v>
      </c>
      <c r="C7259" t="str">
        <f t="shared" si="2655"/>
        <v>HENRIQUEZ REYES</v>
      </c>
      <c r="D7259" t="str">
        <f t="shared" si="2656"/>
        <v>09</v>
      </c>
      <c r="E7259" t="str">
        <f>"02 - A - 101 - Milca  Exantus"</f>
        <v>02 - A - 101 - Milca  Exantus</v>
      </c>
      <c r="F7259" t="str">
        <f>"NC STUDY HALL 1"</f>
        <v>NC STUDY HALL 1</v>
      </c>
      <c r="G7259" t="str">
        <f>"21-2145"</f>
        <v>21-2145</v>
      </c>
      <c r="H7259" t="str">
        <f>"A"</f>
        <v>A</v>
      </c>
    </row>
    <row r="7260" spans="1:8" x14ac:dyDescent="0.2">
      <c r="A7260" t="str">
        <f t="shared" si="2653"/>
        <v>0616028538</v>
      </c>
      <c r="B7260" t="str">
        <f t="shared" si="2654"/>
        <v>JASLYN</v>
      </c>
      <c r="C7260" t="str">
        <f t="shared" si="2655"/>
        <v>HENRIQUEZ REYES</v>
      </c>
      <c r="D7260" t="str">
        <f t="shared" si="2656"/>
        <v>09</v>
      </c>
      <c r="E7260" t="str">
        <f>"02 - A - 102 - Eric  Lopapa"</f>
        <v>02 - A - 102 - Eric  Lopapa</v>
      </c>
      <c r="F7260" t="str">
        <f>"LANG THERAPY"</f>
        <v>LANG THERAPY</v>
      </c>
      <c r="G7260" t="str">
        <f>"21-2110"</f>
        <v>21-2110</v>
      </c>
      <c r="H7260" t="str">
        <f>"A"</f>
        <v>A</v>
      </c>
    </row>
    <row r="7261" spans="1:8" x14ac:dyDescent="0.2">
      <c r="A7261" t="str">
        <f t="shared" si="2653"/>
        <v>0616028538</v>
      </c>
      <c r="B7261" t="str">
        <f t="shared" si="2654"/>
        <v>JASLYN</v>
      </c>
      <c r="C7261" t="str">
        <f t="shared" si="2655"/>
        <v>HENRIQUEZ REYES</v>
      </c>
      <c r="D7261" t="str">
        <f t="shared" si="2656"/>
        <v>09</v>
      </c>
      <c r="E7261" t="str">
        <f>"07 - B - 105 - Laselleda D Shaw"</f>
        <v>07 - B - 105 - Laselleda D Shaw</v>
      </c>
      <c r="F7261" t="str">
        <f>"INTENS READ 1"</f>
        <v>INTENS READ 1</v>
      </c>
      <c r="G7261" t="str">
        <f>"17-1723"</f>
        <v>17-1723</v>
      </c>
      <c r="H7261" t="str">
        <f>"B"</f>
        <v>B</v>
      </c>
    </row>
    <row r="7262" spans="1:8" x14ac:dyDescent="0.2">
      <c r="A7262" t="str">
        <f t="shared" si="2653"/>
        <v>0616028538</v>
      </c>
      <c r="B7262" t="str">
        <f t="shared" si="2654"/>
        <v>JASLYN</v>
      </c>
      <c r="C7262" t="str">
        <f t="shared" si="2655"/>
        <v>HENRIQUEZ REYES</v>
      </c>
      <c r="D7262" t="str">
        <f t="shared" si="2656"/>
        <v>09</v>
      </c>
      <c r="E7262" t="str">
        <f>"05 - B - 104 - Cerine S Stewart"</f>
        <v>05 - B - 104 - Cerine S Stewart</v>
      </c>
      <c r="F7262" t="str">
        <f>"ENG 1"</f>
        <v>ENG 1</v>
      </c>
      <c r="G7262" t="str">
        <f>"17-1720"</f>
        <v>17-1720</v>
      </c>
      <c r="H7262" t="str">
        <f>"B"</f>
        <v>B</v>
      </c>
    </row>
    <row r="7263" spans="1:8" x14ac:dyDescent="0.2">
      <c r="A7263" t="str">
        <f t="shared" si="2653"/>
        <v>0616028538</v>
      </c>
      <c r="B7263" t="str">
        <f t="shared" si="2654"/>
        <v>JASLYN</v>
      </c>
      <c r="C7263" t="str">
        <f t="shared" si="2655"/>
        <v>HENRIQUEZ REYES</v>
      </c>
      <c r="D7263" t="str">
        <f t="shared" si="2656"/>
        <v>09</v>
      </c>
      <c r="E7263" t="str">
        <f>"01 - A - 103 - Amy Beth  Broyles"</f>
        <v>01 - A - 103 - Amy Beth  Broyles</v>
      </c>
      <c r="F7263" t="str">
        <f>"ENV SCI"</f>
        <v>ENV SCI</v>
      </c>
      <c r="G7263" t="str">
        <f>"08-802"</f>
        <v>08-802</v>
      </c>
      <c r="H7263" t="str">
        <f>"A"</f>
        <v>A</v>
      </c>
    </row>
    <row r="7264" spans="1:8" x14ac:dyDescent="0.2">
      <c r="A7264" t="str">
        <f t="shared" si="2653"/>
        <v>0616028538</v>
      </c>
      <c r="B7264" t="str">
        <f t="shared" si="2654"/>
        <v>JASLYN</v>
      </c>
      <c r="C7264" t="str">
        <f t="shared" si="2655"/>
        <v>HENRIQUEZ REYES</v>
      </c>
      <c r="D7264" t="str">
        <f t="shared" si="2656"/>
        <v>09</v>
      </c>
      <c r="E7264" t="str">
        <f>"08 - B - 106 - Helen A Flores"</f>
        <v>08 - B - 106 - Helen A Flores</v>
      </c>
      <c r="F7264" t="str">
        <f>"ALGEBRA 1"</f>
        <v>ALGEBRA 1</v>
      </c>
      <c r="G7264" t="str">
        <f>"21-2101"</f>
        <v>21-2101</v>
      </c>
      <c r="H7264" t="str">
        <f>"B"</f>
        <v>B</v>
      </c>
    </row>
    <row r="7265" spans="1:8" x14ac:dyDescent="0.2">
      <c r="A7265" t="str">
        <f t="shared" ref="A7265:A7272" si="2657">"0615075121"</f>
        <v>0615075121</v>
      </c>
      <c r="B7265" t="str">
        <f t="shared" ref="B7265:B7272" si="2658">"ANASTASIA"</f>
        <v>ANASTASIA</v>
      </c>
      <c r="C7265" t="str">
        <f t="shared" ref="C7265:C7296" si="2659">"HENRY"</f>
        <v>HENRY</v>
      </c>
      <c r="D7265">
        <f>11</f>
        <v>11</v>
      </c>
      <c r="E7265" t="str">
        <f>"04 - A - 103 - Cliffon  Saurel"</f>
        <v>04 - A - 103 - Cliffon  Saurel</v>
      </c>
      <c r="F7265" t="str">
        <f>"PHYSICAL SCI"</f>
        <v>PHYSICAL SCI</v>
      </c>
      <c r="G7265" t="str">
        <f>"05-522"</f>
        <v>05-522</v>
      </c>
      <c r="H7265" t="str">
        <f>"A"</f>
        <v>A</v>
      </c>
    </row>
    <row r="7266" spans="1:8" x14ac:dyDescent="0.2">
      <c r="A7266" t="str">
        <f t="shared" si="2657"/>
        <v>0615075121</v>
      </c>
      <c r="B7266" t="str">
        <f t="shared" si="2658"/>
        <v>ANASTASIA</v>
      </c>
      <c r="C7266" t="str">
        <f t="shared" si="2659"/>
        <v>HENRY</v>
      </c>
      <c r="D7266">
        <f>11</f>
        <v>11</v>
      </c>
      <c r="E7266" t="str">
        <f>"06 - B - 202 - Brian M Fitzgerald"</f>
        <v>06 - B - 202 - Brian M Fitzgerald</v>
      </c>
      <c r="F7266" t="str">
        <f>"DRAW 1"</f>
        <v>DRAW 1</v>
      </c>
      <c r="G7266" t="str">
        <f>"09-908"</f>
        <v>09-908</v>
      </c>
      <c r="H7266" t="str">
        <f>"B"</f>
        <v>B</v>
      </c>
    </row>
    <row r="7267" spans="1:8" x14ac:dyDescent="0.2">
      <c r="A7267" t="str">
        <f t="shared" si="2657"/>
        <v>0615075121</v>
      </c>
      <c r="B7267" t="str">
        <f t="shared" si="2658"/>
        <v>ANASTASIA</v>
      </c>
      <c r="C7267" t="str">
        <f t="shared" si="2659"/>
        <v>HENRY</v>
      </c>
      <c r="D7267">
        <f>11</f>
        <v>11</v>
      </c>
      <c r="E7267" t="str">
        <f>"03 - A - 106 - Jerry S Jiampetti"</f>
        <v>03 - A - 106 - Jerry S Jiampetti</v>
      </c>
      <c r="F7267" t="str">
        <f>"US HISTORY HON"</f>
        <v>US HISTORY HON</v>
      </c>
      <c r="G7267" t="str">
        <f>"17-1751"</f>
        <v>17-1751</v>
      </c>
      <c r="H7267" t="str">
        <f>"A"</f>
        <v>A</v>
      </c>
    </row>
    <row r="7268" spans="1:8" x14ac:dyDescent="0.2">
      <c r="A7268" t="str">
        <f t="shared" si="2657"/>
        <v>0615075121</v>
      </c>
      <c r="B7268" t="str">
        <f t="shared" si="2658"/>
        <v>ANASTASIA</v>
      </c>
      <c r="C7268" t="str">
        <f t="shared" si="2659"/>
        <v>HENRY</v>
      </c>
      <c r="D7268">
        <f>11</f>
        <v>11</v>
      </c>
      <c r="E7268" t="str">
        <f>"02 - A - 107 - Elizabeth Ellen  Moran"</f>
        <v>02 - A - 107 - Elizabeth Ellen  Moran</v>
      </c>
      <c r="F7268" t="str">
        <f>"NC STUDY HALL 1"</f>
        <v>NC STUDY HALL 1</v>
      </c>
      <c r="G7268" t="str">
        <f>"17-1752"</f>
        <v>17-1752</v>
      </c>
      <c r="H7268" t="str">
        <f>"A"</f>
        <v>A</v>
      </c>
    </row>
    <row r="7269" spans="1:8" x14ac:dyDescent="0.2">
      <c r="A7269" t="str">
        <f t="shared" si="2657"/>
        <v>0615075121</v>
      </c>
      <c r="B7269" t="str">
        <f t="shared" si="2658"/>
        <v>ANASTASIA</v>
      </c>
      <c r="C7269" t="str">
        <f t="shared" si="2659"/>
        <v>HENRY</v>
      </c>
      <c r="D7269">
        <f>11</f>
        <v>11</v>
      </c>
      <c r="E7269" t="str">
        <f>"07 - B - 201 - Angela S Adeshina-Morrison"</f>
        <v>07 - B - 201 - Angela S Adeshina-Morrison</v>
      </c>
      <c r="F7269" t="str">
        <f>"BUSINESS OWNER HON"</f>
        <v>BUSINESS OWNER HON</v>
      </c>
      <c r="G7269" t="str">
        <f>"05-518"</f>
        <v>05-518</v>
      </c>
      <c r="H7269" t="str">
        <f>"B"</f>
        <v>B</v>
      </c>
    </row>
    <row r="7270" spans="1:8" x14ac:dyDescent="0.2">
      <c r="A7270" t="str">
        <f t="shared" si="2657"/>
        <v>0615075121</v>
      </c>
      <c r="B7270" t="str">
        <f t="shared" si="2658"/>
        <v>ANASTASIA</v>
      </c>
      <c r="C7270" t="str">
        <f t="shared" si="2659"/>
        <v>HENRY</v>
      </c>
      <c r="D7270">
        <f>11</f>
        <v>11</v>
      </c>
      <c r="E7270" t="str">
        <f>"05 - B - 103 - Eva T Rimmer"</f>
        <v>05 - B - 103 - Eva T Rimmer</v>
      </c>
      <c r="F7270" t="str">
        <f>"CRIMINAL JUST OPS 1"</f>
        <v>CRIMINAL JUST OPS 1</v>
      </c>
      <c r="G7270" t="str">
        <f>"05-523"</f>
        <v>05-523</v>
      </c>
      <c r="H7270" t="str">
        <f>"B"</f>
        <v>B</v>
      </c>
    </row>
    <row r="7271" spans="1:8" x14ac:dyDescent="0.2">
      <c r="A7271" t="str">
        <f t="shared" si="2657"/>
        <v>0615075121</v>
      </c>
      <c r="B7271" t="str">
        <f t="shared" si="2658"/>
        <v>ANASTASIA</v>
      </c>
      <c r="C7271" t="str">
        <f t="shared" si="2659"/>
        <v>HENRY</v>
      </c>
      <c r="D7271">
        <f>11</f>
        <v>11</v>
      </c>
      <c r="E7271" t="str">
        <f>"01 - A - 101 - Jacklyn M James"</f>
        <v>01 - A - 101 - Jacklyn M James</v>
      </c>
      <c r="F7271" t="str">
        <f>"AICE ENG LANG AS"</f>
        <v>AICE ENG LANG AS</v>
      </c>
      <c r="G7271" t="str">
        <f>"17-1731"</f>
        <v>17-1731</v>
      </c>
      <c r="H7271" t="str">
        <f>"A"</f>
        <v>A</v>
      </c>
    </row>
    <row r="7272" spans="1:8" x14ac:dyDescent="0.2">
      <c r="A7272" t="str">
        <f t="shared" si="2657"/>
        <v>0615075121</v>
      </c>
      <c r="B7272" t="str">
        <f t="shared" si="2658"/>
        <v>ANASTASIA</v>
      </c>
      <c r="C7272" t="str">
        <f t="shared" si="2659"/>
        <v>HENRY</v>
      </c>
      <c r="D7272">
        <f>11</f>
        <v>11</v>
      </c>
      <c r="E7272" t="str">
        <f>"08 - B - 107 - Dayna M Foster"</f>
        <v>08 - B - 107 - Dayna M Foster</v>
      </c>
      <c r="F7272" t="str">
        <f>"ALGEBRA 2"</f>
        <v>ALGEBRA 2</v>
      </c>
      <c r="G7272" t="str">
        <f>"21-2109"</f>
        <v>21-2109</v>
      </c>
      <c r="H7272" t="str">
        <f>"B"</f>
        <v>B</v>
      </c>
    </row>
    <row r="7273" spans="1:8" x14ac:dyDescent="0.2">
      <c r="A7273" t="str">
        <f t="shared" ref="A7273:A7280" si="2660">"0616018948"</f>
        <v>0616018948</v>
      </c>
      <c r="B7273" t="str">
        <f t="shared" ref="B7273:B7280" si="2661">"BEONKA"</f>
        <v>BEONKA</v>
      </c>
      <c r="C7273" t="str">
        <f t="shared" si="2659"/>
        <v>HENRY</v>
      </c>
      <c r="D7273">
        <f>10</f>
        <v>10</v>
      </c>
      <c r="E7273" t="str">
        <f>"04 - A - 101 - Brian M Fitzgerald"</f>
        <v>04 - A - 101 - Brian M Fitzgerald</v>
      </c>
      <c r="F7273" t="str">
        <f>"DRAW 2"</f>
        <v>DRAW 2</v>
      </c>
      <c r="G7273" t="str">
        <f>"09-908"</f>
        <v>09-908</v>
      </c>
      <c r="H7273" t="str">
        <f>"A"</f>
        <v>A</v>
      </c>
    </row>
    <row r="7274" spans="1:8" x14ac:dyDescent="0.2">
      <c r="A7274" t="str">
        <f t="shared" si="2660"/>
        <v>0616018948</v>
      </c>
      <c r="B7274" t="str">
        <f t="shared" si="2661"/>
        <v>BEONKA</v>
      </c>
      <c r="C7274" t="str">
        <f t="shared" si="2659"/>
        <v>HENRY</v>
      </c>
      <c r="D7274">
        <f>10</f>
        <v>10</v>
      </c>
      <c r="E7274" t="str">
        <f>"06 - B - 110 - Jerry S Jiampetti"</f>
        <v>06 - B - 110 - Jerry S Jiampetti</v>
      </c>
      <c r="F7274" t="str">
        <f>"NC STUDY HALL 1"</f>
        <v>NC STUDY HALL 1</v>
      </c>
      <c r="G7274" t="str">
        <f>"17-1751"</f>
        <v>17-1751</v>
      </c>
      <c r="H7274" t="str">
        <f>"B"</f>
        <v>B</v>
      </c>
    </row>
    <row r="7275" spans="1:8" x14ac:dyDescent="0.2">
      <c r="A7275" t="str">
        <f t="shared" si="2660"/>
        <v>0616018948</v>
      </c>
      <c r="B7275" t="str">
        <f t="shared" si="2661"/>
        <v>BEONKA</v>
      </c>
      <c r="C7275" t="str">
        <f t="shared" si="2659"/>
        <v>HENRY</v>
      </c>
      <c r="D7275">
        <f>10</f>
        <v>10</v>
      </c>
      <c r="E7275" t="str">
        <f>"03 - A - 103 - Kelly N Panza"</f>
        <v>03 - A - 103 - Kelly N Panza</v>
      </c>
      <c r="F7275" t="str">
        <f>"AICE GLBL PERSP 1 AS"</f>
        <v>AICE GLBL PERSP 1 AS</v>
      </c>
      <c r="G7275" t="str">
        <f>"17-1753"</f>
        <v>17-1753</v>
      </c>
      <c r="H7275" t="str">
        <f>"A"</f>
        <v>A</v>
      </c>
    </row>
    <row r="7276" spans="1:8" x14ac:dyDescent="0.2">
      <c r="A7276" t="str">
        <f t="shared" si="2660"/>
        <v>0616018948</v>
      </c>
      <c r="B7276" t="str">
        <f t="shared" si="2661"/>
        <v>BEONKA</v>
      </c>
      <c r="C7276" t="str">
        <f t="shared" si="2659"/>
        <v>HENRY</v>
      </c>
      <c r="D7276">
        <f>10</f>
        <v>10</v>
      </c>
      <c r="E7276" t="str">
        <f>"02 - A - 102 - Marius D Orsolini"</f>
        <v>02 - A - 102 - Marius D Orsolini</v>
      </c>
      <c r="F7276" t="str">
        <f>"CULINARY ARTS 1"</f>
        <v>CULINARY ARTS 1</v>
      </c>
      <c r="G7276" t="str">
        <f>"21-2115"</f>
        <v>21-2115</v>
      </c>
      <c r="H7276" t="str">
        <f>"A"</f>
        <v>A</v>
      </c>
    </row>
    <row r="7277" spans="1:8" x14ac:dyDescent="0.2">
      <c r="A7277" t="str">
        <f t="shared" si="2660"/>
        <v>0616018948</v>
      </c>
      <c r="B7277" t="str">
        <f t="shared" si="2661"/>
        <v>BEONKA</v>
      </c>
      <c r="C7277" t="str">
        <f t="shared" si="2659"/>
        <v>HENRY</v>
      </c>
      <c r="D7277">
        <f>10</f>
        <v>10</v>
      </c>
      <c r="E7277" t="str">
        <f>"07 - B - 105 - Byron G Montenegro"</f>
        <v>07 - B - 105 - Byron G Montenegro</v>
      </c>
      <c r="F7277" t="str">
        <f>"AICE MARINE SCI 1 AS"</f>
        <v>AICE MARINE SCI 1 AS</v>
      </c>
      <c r="G7277" t="str">
        <f>"21-2144"</f>
        <v>21-2144</v>
      </c>
      <c r="H7277" t="str">
        <f>"B"</f>
        <v>B</v>
      </c>
    </row>
    <row r="7278" spans="1:8" x14ac:dyDescent="0.2">
      <c r="A7278" t="str">
        <f t="shared" si="2660"/>
        <v>0616018948</v>
      </c>
      <c r="B7278" t="str">
        <f t="shared" si="2661"/>
        <v>BEONKA</v>
      </c>
      <c r="C7278" t="str">
        <f t="shared" si="2659"/>
        <v>HENRY</v>
      </c>
      <c r="D7278">
        <f>10</f>
        <v>10</v>
      </c>
      <c r="E7278" t="str">
        <f>"05 - B - 103 - Vanessa J Liburd"</f>
        <v>05 - B - 103 - Vanessa J Liburd</v>
      </c>
      <c r="F7278" t="str">
        <f>"PRE-AICE FRENCH 2 IG"</f>
        <v>PRE-AICE FRENCH 2 IG</v>
      </c>
      <c r="G7278" t="str">
        <f>"05-519"</f>
        <v>05-519</v>
      </c>
      <c r="H7278" t="str">
        <f>"B"</f>
        <v>B</v>
      </c>
    </row>
    <row r="7279" spans="1:8" x14ac:dyDescent="0.2">
      <c r="A7279" t="str">
        <f t="shared" si="2660"/>
        <v>0616018948</v>
      </c>
      <c r="B7279" t="str">
        <f t="shared" si="2661"/>
        <v>BEONKA</v>
      </c>
      <c r="C7279" t="str">
        <f t="shared" si="2659"/>
        <v>HENRY</v>
      </c>
      <c r="D7279">
        <f>10</f>
        <v>10</v>
      </c>
      <c r="E7279" t="str">
        <f>"01 - A - 101 - Jacquelyn M Neeson"</f>
        <v>01 - A - 101 - Jacquelyn M Neeson</v>
      </c>
      <c r="F7279" t="str">
        <f>"AICE ENG GEN PAPER 1"</f>
        <v>AICE ENG GEN PAPER 1</v>
      </c>
      <c r="G7279" t="str">
        <f>"17-1715"</f>
        <v>17-1715</v>
      </c>
      <c r="H7279" t="str">
        <f>"A"</f>
        <v>A</v>
      </c>
    </row>
    <row r="7280" spans="1:8" x14ac:dyDescent="0.2">
      <c r="A7280" t="str">
        <f t="shared" si="2660"/>
        <v>0616018948</v>
      </c>
      <c r="B7280" t="str">
        <f t="shared" si="2661"/>
        <v>BEONKA</v>
      </c>
      <c r="C7280" t="str">
        <f t="shared" si="2659"/>
        <v>HENRY</v>
      </c>
      <c r="D7280">
        <f>10</f>
        <v>10</v>
      </c>
      <c r="E7280" t="str">
        <f>"08 - B - 107 - Dayna M Foster"</f>
        <v>08 - B - 107 - Dayna M Foster</v>
      </c>
      <c r="F7280" t="str">
        <f>"ALGEBRA 2"</f>
        <v>ALGEBRA 2</v>
      </c>
      <c r="G7280" t="str">
        <f>"21-2109"</f>
        <v>21-2109</v>
      </c>
      <c r="H7280" t="str">
        <f>"B"</f>
        <v>B</v>
      </c>
    </row>
    <row r="7281" spans="1:8" x14ac:dyDescent="0.2">
      <c r="A7281" t="str">
        <f t="shared" ref="A7281:A7288" si="2662">"0609112768"</f>
        <v>0609112768</v>
      </c>
      <c r="B7281" t="str">
        <f t="shared" ref="B7281:B7288" si="2663">"JAYSEN"</f>
        <v>JAYSEN</v>
      </c>
      <c r="C7281" t="str">
        <f t="shared" si="2659"/>
        <v>HENRY</v>
      </c>
      <c r="D7281">
        <f>11</f>
        <v>11</v>
      </c>
      <c r="E7281" t="str">
        <f>"04 - A - 205 - Jacqueline R Morphet"</f>
        <v>04 - A - 205 - Jacqueline R Morphet</v>
      </c>
      <c r="F7281" t="str">
        <f>"PHYSICS 1 HON"</f>
        <v>PHYSICS 1 HON</v>
      </c>
      <c r="G7281" t="str">
        <f>"21-2138"</f>
        <v>21-2138</v>
      </c>
      <c r="H7281" t="str">
        <f>"A"</f>
        <v>A</v>
      </c>
    </row>
    <row r="7282" spans="1:8" x14ac:dyDescent="0.2">
      <c r="A7282" t="str">
        <f t="shared" si="2662"/>
        <v>0609112768</v>
      </c>
      <c r="B7282" t="str">
        <f t="shared" si="2663"/>
        <v>JAYSEN</v>
      </c>
      <c r="C7282" t="str">
        <f t="shared" si="2659"/>
        <v>HENRY</v>
      </c>
      <c r="D7282">
        <f>11</f>
        <v>11</v>
      </c>
      <c r="E7282" t="str">
        <f>"06 - B - 105 - Arthur  Kulawik"</f>
        <v>06 - B - 105 - Arthur  Kulawik</v>
      </c>
      <c r="F7282" t="str">
        <f>"ENG 3"</f>
        <v>ENG 3</v>
      </c>
      <c r="G7282" t="str">
        <f>"05-506"</f>
        <v>05-506</v>
      </c>
      <c r="H7282" t="str">
        <f>"B"</f>
        <v>B</v>
      </c>
    </row>
    <row r="7283" spans="1:8" x14ac:dyDescent="0.2">
      <c r="A7283" t="str">
        <f t="shared" si="2662"/>
        <v>0609112768</v>
      </c>
      <c r="B7283" t="str">
        <f t="shared" si="2663"/>
        <v>JAYSEN</v>
      </c>
      <c r="C7283" t="str">
        <f t="shared" si="2659"/>
        <v>HENRY</v>
      </c>
      <c r="D7283">
        <f>11</f>
        <v>11</v>
      </c>
      <c r="E7283" t="str">
        <f>"03 - S1 - A - 103 - Richard E Dunbar Iii"</f>
        <v>03 - S1 - A - 103 - Richard E Dunbar Iii</v>
      </c>
      <c r="F7283" t="str">
        <f>"WEIGHT TRAIN 1"</f>
        <v>WEIGHT TRAIN 1</v>
      </c>
      <c r="G7283" t="str">
        <f>"05-501"</f>
        <v>05-501</v>
      </c>
      <c r="H7283" t="str">
        <f>"A"</f>
        <v>A</v>
      </c>
    </row>
    <row r="7284" spans="1:8" x14ac:dyDescent="0.2">
      <c r="A7284" t="str">
        <f t="shared" si="2662"/>
        <v>0609112768</v>
      </c>
      <c r="B7284" t="str">
        <f t="shared" si="2663"/>
        <v>JAYSEN</v>
      </c>
      <c r="C7284" t="str">
        <f t="shared" si="2659"/>
        <v>HENRY</v>
      </c>
      <c r="D7284">
        <f>11</f>
        <v>11</v>
      </c>
      <c r="E7284" t="str">
        <f>"02 - A - 105 - Leslie J Barton"</f>
        <v>02 - A - 105 - Leslie J Barton</v>
      </c>
      <c r="F7284" t="str">
        <f>"NC STUDY HALL 1"</f>
        <v>NC STUDY HALL 1</v>
      </c>
      <c r="G7284" t="str">
        <f>"05-521"</f>
        <v>05-521</v>
      </c>
      <c r="H7284" t="str">
        <f>"A"</f>
        <v>A</v>
      </c>
    </row>
    <row r="7285" spans="1:8" x14ac:dyDescent="0.2">
      <c r="A7285" t="str">
        <f t="shared" si="2662"/>
        <v>0609112768</v>
      </c>
      <c r="B7285" t="str">
        <f t="shared" si="2663"/>
        <v>JAYSEN</v>
      </c>
      <c r="C7285" t="str">
        <f t="shared" si="2659"/>
        <v>HENRY</v>
      </c>
      <c r="D7285">
        <f>11</f>
        <v>11</v>
      </c>
      <c r="E7285" t="str">
        <f>"07 - B - 105 - Robert H Rindner"</f>
        <v>07 - B - 105 - Robert H Rindner</v>
      </c>
      <c r="F7285" t="str">
        <f>"MATH DATA&amp;FIN LIT H"</f>
        <v>MATH DATA&amp;FIN LIT H</v>
      </c>
      <c r="G7285" t="str">
        <f>"21-2160"</f>
        <v>21-2160</v>
      </c>
      <c r="H7285" t="str">
        <f>"B"</f>
        <v>B</v>
      </c>
    </row>
    <row r="7286" spans="1:8" x14ac:dyDescent="0.2">
      <c r="A7286" t="str">
        <f t="shared" si="2662"/>
        <v>0609112768</v>
      </c>
      <c r="B7286" t="str">
        <f t="shared" si="2663"/>
        <v>JAYSEN</v>
      </c>
      <c r="C7286" t="str">
        <f t="shared" si="2659"/>
        <v>HENRY</v>
      </c>
      <c r="D7286">
        <f>11</f>
        <v>11</v>
      </c>
      <c r="E7286" t="str">
        <f>"05 - B - 107 - Elizabeth Ellen  Moran"</f>
        <v>05 - B - 107 - Elizabeth Ellen  Moran</v>
      </c>
      <c r="F7286" t="str">
        <f>"US HISTORY"</f>
        <v>US HISTORY</v>
      </c>
      <c r="G7286" t="str">
        <f>"17-1752"</f>
        <v>17-1752</v>
      </c>
      <c r="H7286" t="str">
        <f>"B"</f>
        <v>B</v>
      </c>
    </row>
    <row r="7287" spans="1:8" x14ac:dyDescent="0.2">
      <c r="A7287" t="str">
        <f t="shared" si="2662"/>
        <v>0609112768</v>
      </c>
      <c r="B7287" t="str">
        <f t="shared" si="2663"/>
        <v>JAYSEN</v>
      </c>
      <c r="C7287" t="str">
        <f t="shared" si="2659"/>
        <v>HENRY</v>
      </c>
      <c r="D7287">
        <f>11</f>
        <v>11</v>
      </c>
      <c r="E7287" t="str">
        <f>"01 - A - 101 - Vanessa J Liburd"</f>
        <v>01 - A - 101 - Vanessa J Liburd</v>
      </c>
      <c r="F7287" t="str">
        <f>"PRE-AICE FRENCH 1 IG"</f>
        <v>PRE-AICE FRENCH 1 IG</v>
      </c>
      <c r="G7287" t="str">
        <f>"05-519"</f>
        <v>05-519</v>
      </c>
      <c r="H7287" t="str">
        <f>"A"</f>
        <v>A</v>
      </c>
    </row>
    <row r="7288" spans="1:8" x14ac:dyDescent="0.2">
      <c r="A7288" t="str">
        <f t="shared" si="2662"/>
        <v>0609112768</v>
      </c>
      <c r="B7288" t="str">
        <f t="shared" si="2663"/>
        <v>JAYSEN</v>
      </c>
      <c r="C7288" t="str">
        <f t="shared" si="2659"/>
        <v>HENRY</v>
      </c>
      <c r="D7288">
        <f>11</f>
        <v>11</v>
      </c>
      <c r="E7288" t="str">
        <f>"08 - S1 - B - 104 - Angela S Adeshina-Morrison"</f>
        <v>08 - S1 - B - 104 - Angela S Adeshina-Morrison</v>
      </c>
      <c r="F7288" t="str">
        <f>"PEER COUN 1"</f>
        <v>PEER COUN 1</v>
      </c>
      <c r="G7288" t="str">
        <f>"05-518"</f>
        <v>05-518</v>
      </c>
      <c r="H7288" t="str">
        <f>"B"</f>
        <v>B</v>
      </c>
    </row>
    <row r="7289" spans="1:8" x14ac:dyDescent="0.2">
      <c r="A7289" t="str">
        <f t="shared" ref="A7289:A7296" si="2664">"0619146908"</f>
        <v>0619146908</v>
      </c>
      <c r="B7289" t="str">
        <f t="shared" ref="B7289:B7296" si="2665">"KYLE"</f>
        <v>KYLE</v>
      </c>
      <c r="C7289" t="str">
        <f t="shared" si="2659"/>
        <v>HENRY</v>
      </c>
      <c r="D7289">
        <f>10</f>
        <v>10</v>
      </c>
      <c r="E7289" t="str">
        <f>"04 - A - 104 - Courtney E Hambright"</f>
        <v>04 - A - 104 - Courtney E Hambright</v>
      </c>
      <c r="F7289" t="str">
        <f>"AICE ENG LANG AS"</f>
        <v>AICE ENG LANG AS</v>
      </c>
      <c r="G7289" t="str">
        <f>"17-1711"</f>
        <v>17-1711</v>
      </c>
      <c r="H7289" t="str">
        <f>"A"</f>
        <v>A</v>
      </c>
    </row>
    <row r="7290" spans="1:8" x14ac:dyDescent="0.2">
      <c r="A7290" t="str">
        <f t="shared" si="2664"/>
        <v>0619146908</v>
      </c>
      <c r="B7290" t="str">
        <f t="shared" si="2665"/>
        <v>KYLE</v>
      </c>
      <c r="C7290" t="str">
        <f t="shared" si="2659"/>
        <v>HENRY</v>
      </c>
      <c r="D7290">
        <f>10</f>
        <v>10</v>
      </c>
      <c r="E7290" t="str">
        <f>"06 - B - 104 - Vanessa J Liburd"</f>
        <v>06 - B - 104 - Vanessa J Liburd</v>
      </c>
      <c r="F7290" t="str">
        <f>"NC STUDY HALL 1"</f>
        <v>NC STUDY HALL 1</v>
      </c>
      <c r="G7290" t="str">
        <f>"05-519"</f>
        <v>05-519</v>
      </c>
      <c r="H7290" t="str">
        <f>"B"</f>
        <v>B</v>
      </c>
    </row>
    <row r="7291" spans="1:8" x14ac:dyDescent="0.2">
      <c r="A7291" t="str">
        <f t="shared" si="2664"/>
        <v>0619146908</v>
      </c>
      <c r="B7291" t="str">
        <f t="shared" si="2665"/>
        <v>KYLE</v>
      </c>
      <c r="C7291" t="str">
        <f t="shared" si="2659"/>
        <v>HENRY</v>
      </c>
      <c r="D7291">
        <f>10</f>
        <v>10</v>
      </c>
      <c r="E7291" t="str">
        <f>"03 - A - 101 - Jacqueline R Morphet"</f>
        <v>03 - A - 101 - Jacqueline R Morphet</v>
      </c>
      <c r="F7291" t="str">
        <f>"AP PHYSICS 1"</f>
        <v>AP PHYSICS 1</v>
      </c>
      <c r="G7291" t="str">
        <f>"21-2138"</f>
        <v>21-2138</v>
      </c>
      <c r="H7291" t="str">
        <f>"A"</f>
        <v>A</v>
      </c>
    </row>
    <row r="7292" spans="1:8" x14ac:dyDescent="0.2">
      <c r="A7292" t="str">
        <f t="shared" si="2664"/>
        <v>0619146908</v>
      </c>
      <c r="B7292" t="str">
        <f t="shared" si="2665"/>
        <v>KYLE</v>
      </c>
      <c r="C7292" t="str">
        <f t="shared" si="2659"/>
        <v>HENRY</v>
      </c>
      <c r="D7292">
        <f>10</f>
        <v>10</v>
      </c>
      <c r="E7292" t="str">
        <f>"02 - A - 103 - Lenecy  Nodarse"</f>
        <v>02 - A - 103 - Lenecy  Nodarse</v>
      </c>
      <c r="F7292" t="str">
        <f>"AICE EURO HIST 1 AS"</f>
        <v>AICE EURO HIST 1 AS</v>
      </c>
      <c r="G7292" t="str">
        <f>"17-1741"</f>
        <v>17-1741</v>
      </c>
      <c r="H7292" t="str">
        <f>"A"</f>
        <v>A</v>
      </c>
    </row>
    <row r="7293" spans="1:8" x14ac:dyDescent="0.2">
      <c r="A7293" t="str">
        <f t="shared" si="2664"/>
        <v>0619146908</v>
      </c>
      <c r="B7293" t="str">
        <f t="shared" si="2665"/>
        <v>KYLE</v>
      </c>
      <c r="C7293" t="str">
        <f t="shared" si="2659"/>
        <v>HENRY</v>
      </c>
      <c r="D7293">
        <f>10</f>
        <v>10</v>
      </c>
      <c r="E7293" t="str">
        <f>"07 - B - 101 - Fernando  Vega-Cid"</f>
        <v>07 - B - 101 - Fernando  Vega-Cid</v>
      </c>
      <c r="F7293" t="str">
        <f>"AP PRECALCULUS"</f>
        <v>AP PRECALCULUS</v>
      </c>
      <c r="G7293" t="str">
        <f>"21-2163"</f>
        <v>21-2163</v>
      </c>
      <c r="H7293" t="str">
        <f>"B"</f>
        <v>B</v>
      </c>
    </row>
    <row r="7294" spans="1:8" x14ac:dyDescent="0.2">
      <c r="A7294" t="str">
        <f t="shared" si="2664"/>
        <v>0619146908</v>
      </c>
      <c r="B7294" t="str">
        <f t="shared" si="2665"/>
        <v>KYLE</v>
      </c>
      <c r="C7294" t="str">
        <f t="shared" si="2659"/>
        <v>HENRY</v>
      </c>
      <c r="D7294">
        <f>10</f>
        <v>10</v>
      </c>
      <c r="E7294" t="str">
        <f>"05 - B - 108 - Valerie J Ruwe"</f>
        <v>05 - B - 108 - Valerie J Ruwe</v>
      </c>
      <c r="F7294" t="str">
        <f>"CHEMISTRY 1 HON"</f>
        <v>CHEMISTRY 1 HON</v>
      </c>
      <c r="G7294" t="str">
        <f>"21-2138"</f>
        <v>21-2138</v>
      </c>
      <c r="H7294" t="str">
        <f>"B"</f>
        <v>B</v>
      </c>
    </row>
    <row r="7295" spans="1:8" x14ac:dyDescent="0.2">
      <c r="A7295" t="str">
        <f t="shared" si="2664"/>
        <v>0619146908</v>
      </c>
      <c r="B7295" t="str">
        <f t="shared" si="2665"/>
        <v>KYLE</v>
      </c>
      <c r="C7295" t="str">
        <f t="shared" si="2659"/>
        <v>HENRY</v>
      </c>
      <c r="D7295">
        <f>10</f>
        <v>10</v>
      </c>
      <c r="E7295" t="str">
        <f>"01 - A - 103 - Scott A Dethloff"</f>
        <v>01 - A - 103 - Scott A Dethloff</v>
      </c>
      <c r="F7295" t="str">
        <f>"AICE THINK SKLS 1 AS"</f>
        <v>AICE THINK SKLS 1 AS</v>
      </c>
      <c r="G7295" t="str">
        <f>"08-812"</f>
        <v>08-812</v>
      </c>
      <c r="H7295" t="str">
        <f>"A"</f>
        <v>A</v>
      </c>
    </row>
    <row r="7296" spans="1:8" x14ac:dyDescent="0.2">
      <c r="A7296" t="str">
        <f t="shared" si="2664"/>
        <v>0619146908</v>
      </c>
      <c r="B7296" t="str">
        <f t="shared" si="2665"/>
        <v>KYLE</v>
      </c>
      <c r="C7296" t="str">
        <f t="shared" si="2659"/>
        <v>HENRY</v>
      </c>
      <c r="D7296">
        <f>10</f>
        <v>10</v>
      </c>
      <c r="E7296" t="str">
        <f>"08 - B - 101 - Jordana K Hass"</f>
        <v>08 - B - 101 - Jordana K Hass</v>
      </c>
      <c r="F7296" t="str">
        <f>"AICE INFO TECH 1 AS"</f>
        <v>AICE INFO TECH 1 AS</v>
      </c>
      <c r="G7296" t="str">
        <f>"08-807"</f>
        <v>08-807</v>
      </c>
      <c r="H7296" t="str">
        <f>"B"</f>
        <v>B</v>
      </c>
    </row>
    <row r="7297" spans="1:8" x14ac:dyDescent="0.2">
      <c r="A7297" t="str">
        <f t="shared" ref="A7297:A7304" si="2666">"0614106101"</f>
        <v>0614106101</v>
      </c>
      <c r="B7297" t="str">
        <f t="shared" ref="B7297:B7304" si="2667">"MATTHEW"</f>
        <v>MATTHEW</v>
      </c>
      <c r="C7297" t="str">
        <f t="shared" ref="C7297:C7313" si="2668">"HENRY"</f>
        <v>HENRY</v>
      </c>
      <c r="D7297">
        <f>11</f>
        <v>11</v>
      </c>
      <c r="E7297" t="str">
        <f>"04 - A - 102 - Brandy N Zdenek"</f>
        <v>04 - A - 102 - Brandy N Zdenek</v>
      </c>
      <c r="F7297" t="str">
        <f>"AICE ENG LANG 2 AL"</f>
        <v>AICE ENG LANG 2 AL</v>
      </c>
      <c r="G7297" t="str">
        <f>"17-1704"</f>
        <v>17-1704</v>
      </c>
      <c r="H7297" t="str">
        <f>"A"</f>
        <v>A</v>
      </c>
    </row>
    <row r="7298" spans="1:8" x14ac:dyDescent="0.2">
      <c r="A7298" t="str">
        <f t="shared" si="2666"/>
        <v>0614106101</v>
      </c>
      <c r="B7298" t="str">
        <f t="shared" si="2667"/>
        <v>MATTHEW</v>
      </c>
      <c r="C7298" t="str">
        <f t="shared" si="2668"/>
        <v>HENRY</v>
      </c>
      <c r="D7298">
        <f>11</f>
        <v>11</v>
      </c>
      <c r="E7298" t="str">
        <f>"06 - B - 204 - Chrystina M Marchionne"</f>
        <v>06 - B - 204 - Chrystina M Marchionne</v>
      </c>
      <c r="F7298" t="str">
        <f>"AICE MEDIASTUDIES AS"</f>
        <v>AICE MEDIASTUDIES AS</v>
      </c>
      <c r="G7298" t="str">
        <f>"05-520"</f>
        <v>05-520</v>
      </c>
      <c r="H7298" t="str">
        <f>"B"</f>
        <v>B</v>
      </c>
    </row>
    <row r="7299" spans="1:8" x14ac:dyDescent="0.2">
      <c r="A7299" t="str">
        <f t="shared" si="2666"/>
        <v>0614106101</v>
      </c>
      <c r="B7299" t="str">
        <f t="shared" si="2667"/>
        <v>MATTHEW</v>
      </c>
      <c r="C7299" t="str">
        <f t="shared" si="2668"/>
        <v>HENRY</v>
      </c>
      <c r="D7299">
        <f>11</f>
        <v>11</v>
      </c>
      <c r="E7299" t="str">
        <f>"03 - S1 - A - 102 - Angela S Adeshina-Morrison"</f>
        <v>03 - S1 - A - 102 - Angela S Adeshina-Morrison</v>
      </c>
      <c r="F7299" t="str">
        <f>"PEER COUN 1"</f>
        <v>PEER COUN 1</v>
      </c>
      <c r="G7299" t="str">
        <f>"05-518"</f>
        <v>05-518</v>
      </c>
      <c r="H7299" t="str">
        <f>"A"</f>
        <v>A</v>
      </c>
    </row>
    <row r="7300" spans="1:8" x14ac:dyDescent="0.2">
      <c r="A7300" t="str">
        <f t="shared" si="2666"/>
        <v>0614106101</v>
      </c>
      <c r="B7300" t="str">
        <f t="shared" si="2667"/>
        <v>MATTHEW</v>
      </c>
      <c r="C7300" t="str">
        <f t="shared" si="2668"/>
        <v>HENRY</v>
      </c>
      <c r="D7300">
        <f>11</f>
        <v>11</v>
      </c>
      <c r="E7300" t="str">
        <f>"02 - A - 106 - Heidi M Knopp"</f>
        <v>02 - A - 106 - Heidi M Knopp</v>
      </c>
      <c r="F7300" t="str">
        <f>"NC STUDY HALL 1"</f>
        <v>NC STUDY HALL 1</v>
      </c>
      <c r="G7300" t="str">
        <f>"17-1735"</f>
        <v>17-1735</v>
      </c>
      <c r="H7300" t="str">
        <f>"A"</f>
        <v>A</v>
      </c>
    </row>
    <row r="7301" spans="1:8" x14ac:dyDescent="0.2">
      <c r="A7301" t="str">
        <f t="shared" si="2666"/>
        <v>0614106101</v>
      </c>
      <c r="B7301" t="str">
        <f t="shared" si="2667"/>
        <v>MATTHEW</v>
      </c>
      <c r="C7301" t="str">
        <f t="shared" si="2668"/>
        <v>HENRY</v>
      </c>
      <c r="D7301">
        <f>11</f>
        <v>11</v>
      </c>
      <c r="E7301" t="str">
        <f>"07 - B - 002 - Jordana K Hass"</f>
        <v>07 - B - 002 - Jordana K Hass</v>
      </c>
      <c r="F7301" t="str">
        <f>"CHEMISTRY 1 HON"</f>
        <v>CHEMISTRY 1 HON</v>
      </c>
      <c r="G7301" t="str">
        <f>"08-807"</f>
        <v>08-807</v>
      </c>
      <c r="H7301" t="str">
        <f>"B"</f>
        <v>B</v>
      </c>
    </row>
    <row r="7302" spans="1:8" x14ac:dyDescent="0.2">
      <c r="A7302" t="str">
        <f t="shared" si="2666"/>
        <v>0614106101</v>
      </c>
      <c r="B7302" t="str">
        <f t="shared" si="2667"/>
        <v>MATTHEW</v>
      </c>
      <c r="C7302" t="str">
        <f t="shared" si="2668"/>
        <v>HENRY</v>
      </c>
      <c r="D7302">
        <f>11</f>
        <v>11</v>
      </c>
      <c r="E7302" t="str">
        <f>"05 - B - 101 - Pamela M Corzo"</f>
        <v>05 - B - 101 - Pamela M Corzo</v>
      </c>
      <c r="F7302" t="str">
        <f>"AP CALCULUS AB"</f>
        <v>AP CALCULUS AB</v>
      </c>
      <c r="G7302" t="str">
        <f>"21-2133"</f>
        <v>21-2133</v>
      </c>
      <c r="H7302" t="str">
        <f>"B"</f>
        <v>B</v>
      </c>
    </row>
    <row r="7303" spans="1:8" x14ac:dyDescent="0.2">
      <c r="A7303" t="str">
        <f t="shared" si="2666"/>
        <v>0614106101</v>
      </c>
      <c r="B7303" t="str">
        <f t="shared" si="2667"/>
        <v>MATTHEW</v>
      </c>
      <c r="C7303" t="str">
        <f t="shared" si="2668"/>
        <v>HENRY</v>
      </c>
      <c r="D7303">
        <f>11</f>
        <v>11</v>
      </c>
      <c r="E7303" t="str">
        <f>"01 - A - 001 - Stephen T Ripp"</f>
        <v>01 - A - 001 - Stephen T Ripp</v>
      </c>
      <c r="F7303" t="str">
        <f>"AP U.S. HIST"</f>
        <v>AP U.S. HIST</v>
      </c>
      <c r="G7303" t="str">
        <f>"17-1744"</f>
        <v>17-1744</v>
      </c>
      <c r="H7303" t="str">
        <f>"A"</f>
        <v>A</v>
      </c>
    </row>
    <row r="7304" spans="1:8" x14ac:dyDescent="0.2">
      <c r="A7304" t="str">
        <f t="shared" si="2666"/>
        <v>0614106101</v>
      </c>
      <c r="B7304" t="str">
        <f t="shared" si="2667"/>
        <v>MATTHEW</v>
      </c>
      <c r="C7304" t="str">
        <f t="shared" si="2668"/>
        <v>HENRY</v>
      </c>
      <c r="D7304">
        <f>11</f>
        <v>11</v>
      </c>
      <c r="E7304" t="str">
        <f>"08 - B - 103 - Jeanne M Bermudez"</f>
        <v>08 - B - 103 - Jeanne M Bermudez</v>
      </c>
      <c r="F7304" t="str">
        <f>"ADVANCED IT HON"</f>
        <v>ADVANCED IT HON</v>
      </c>
      <c r="G7304" t="str">
        <f>"21-2141"</f>
        <v>21-2141</v>
      </c>
      <c r="H7304" t="str">
        <f>"B"</f>
        <v>B</v>
      </c>
    </row>
    <row r="7305" spans="1:8" x14ac:dyDescent="0.2">
      <c r="A7305" t="str">
        <f t="shared" ref="A7305:A7313" si="2669">"0615028351"</f>
        <v>0615028351</v>
      </c>
      <c r="B7305" t="str">
        <f t="shared" ref="B7305:B7313" si="2670">"ZAYNA"</f>
        <v>ZAYNA</v>
      </c>
      <c r="C7305" t="str">
        <f t="shared" si="2668"/>
        <v>HENRY</v>
      </c>
      <c r="D7305">
        <f>10</f>
        <v>10</v>
      </c>
      <c r="E7305" t="str">
        <f>"04 - A - 005 - Emmily A Sarmiento"</f>
        <v>04 - A - 005 - Emmily A Sarmiento</v>
      </c>
      <c r="F7305" t="str">
        <f>"AICE GLBL PERSP 1 AS"</f>
        <v>AICE GLBL PERSP 1 AS</v>
      </c>
      <c r="G7305" t="str">
        <f>"17-1743"</f>
        <v>17-1743</v>
      </c>
      <c r="H7305" t="str">
        <f>"A"</f>
        <v>A</v>
      </c>
    </row>
    <row r="7306" spans="1:8" x14ac:dyDescent="0.2">
      <c r="A7306" t="str">
        <f t="shared" si="2669"/>
        <v>0615028351</v>
      </c>
      <c r="B7306" t="str">
        <f t="shared" si="2670"/>
        <v>ZAYNA</v>
      </c>
      <c r="C7306" t="str">
        <f t="shared" si="2668"/>
        <v>HENRY</v>
      </c>
      <c r="D7306">
        <f>10</f>
        <v>10</v>
      </c>
      <c r="E7306" t="str">
        <f>"06 - B - 115 - Scott A Dethloff"</f>
        <v>06 - B - 115 - Scott A Dethloff</v>
      </c>
      <c r="F7306" t="str">
        <f>"NC STUDY HALL 1"</f>
        <v>NC STUDY HALL 1</v>
      </c>
      <c r="G7306" t="str">
        <f>"08-812"</f>
        <v>08-812</v>
      </c>
      <c r="H7306" t="str">
        <f>"B"</f>
        <v>B</v>
      </c>
    </row>
    <row r="7307" spans="1:8" x14ac:dyDescent="0.2">
      <c r="A7307" t="str">
        <f t="shared" si="2669"/>
        <v>0615028351</v>
      </c>
      <c r="B7307" t="str">
        <f t="shared" si="2670"/>
        <v>ZAYNA</v>
      </c>
      <c r="C7307" t="str">
        <f t="shared" si="2668"/>
        <v>HENRY</v>
      </c>
      <c r="D7307">
        <f>10</f>
        <v>10</v>
      </c>
      <c r="E7307" t="str">
        <f>"03 - A - 103 - Pamela M Corzo"</f>
        <v>03 - A - 103 - Pamela M Corzo</v>
      </c>
      <c r="F7307" t="str">
        <f>"ALGEBRA 2 HON"</f>
        <v>ALGEBRA 2 HON</v>
      </c>
      <c r="G7307" t="str">
        <f>"21-2133"</f>
        <v>21-2133</v>
      </c>
      <c r="H7307" t="str">
        <f>"A"</f>
        <v>A</v>
      </c>
    </row>
    <row r="7308" spans="1:8" x14ac:dyDescent="0.2">
      <c r="A7308" t="str">
        <f t="shared" si="2669"/>
        <v>0615028351</v>
      </c>
      <c r="B7308" t="str">
        <f t="shared" si="2670"/>
        <v>ZAYNA</v>
      </c>
      <c r="C7308" t="str">
        <f t="shared" si="2668"/>
        <v>HENRY</v>
      </c>
      <c r="D7308">
        <f>10</f>
        <v>10</v>
      </c>
      <c r="E7308" t="str">
        <f>"02 - A - 001 - Alejandro  Navarro"</f>
        <v>02 - A - 001 - Alejandro  Navarro</v>
      </c>
      <c r="F7308" t="str">
        <f>"BAND 1"</f>
        <v>BAND 1</v>
      </c>
      <c r="G7308" t="str">
        <f>"05-504"</f>
        <v>05-504</v>
      </c>
      <c r="H7308" t="str">
        <f>"A"</f>
        <v>A</v>
      </c>
    </row>
    <row r="7309" spans="1:8" x14ac:dyDescent="0.2">
      <c r="A7309" t="str">
        <f t="shared" si="2669"/>
        <v>0615028351</v>
      </c>
      <c r="B7309" t="str">
        <f t="shared" si="2670"/>
        <v>ZAYNA</v>
      </c>
      <c r="C7309" t="str">
        <f t="shared" si="2668"/>
        <v>HENRY</v>
      </c>
      <c r="D7309">
        <f>10</f>
        <v>10</v>
      </c>
      <c r="E7309" t="str">
        <f>"07 - B - 107 - Jacklyn M James"</f>
        <v>07 - B - 107 - Jacklyn M James</v>
      </c>
      <c r="F7309" t="str">
        <f>"AICE ENG LANG AS"</f>
        <v>AICE ENG LANG AS</v>
      </c>
      <c r="G7309" t="str">
        <f>"17-1731"</f>
        <v>17-1731</v>
      </c>
      <c r="H7309" t="str">
        <f>"B"</f>
        <v>B</v>
      </c>
    </row>
    <row r="7310" spans="1:8" x14ac:dyDescent="0.2">
      <c r="A7310" t="str">
        <f t="shared" si="2669"/>
        <v>0615028351</v>
      </c>
      <c r="B7310" t="str">
        <f t="shared" si="2670"/>
        <v>ZAYNA</v>
      </c>
      <c r="C7310" t="str">
        <f t="shared" si="2668"/>
        <v>HENRY</v>
      </c>
      <c r="D7310">
        <f>10</f>
        <v>10</v>
      </c>
      <c r="E7310" t="str">
        <f>"05 - B - 103 - Eva T Rimmer"</f>
        <v>05 - B - 103 - Eva T Rimmer</v>
      </c>
      <c r="F7310" t="str">
        <f>"CRIMINAL JUST OPS 1"</f>
        <v>CRIMINAL JUST OPS 1</v>
      </c>
      <c r="G7310" t="str">
        <f>"05-523"</f>
        <v>05-523</v>
      </c>
      <c r="H7310" t="str">
        <f>"B"</f>
        <v>B</v>
      </c>
    </row>
    <row r="7311" spans="1:8" x14ac:dyDescent="0.2">
      <c r="A7311" t="str">
        <f t="shared" si="2669"/>
        <v>0615028351</v>
      </c>
      <c r="B7311" t="str">
        <f t="shared" si="2670"/>
        <v>ZAYNA</v>
      </c>
      <c r="C7311" t="str">
        <f t="shared" si="2668"/>
        <v>HENRY</v>
      </c>
      <c r="D7311">
        <f>10</f>
        <v>10</v>
      </c>
      <c r="E7311" t="str">
        <f>"01 - A - 201 - Cheryl L Beach"</f>
        <v>01 - A - 201 - Cheryl L Beach</v>
      </c>
      <c r="F7311" t="str">
        <f>"AICE ENV MGMNT AS"</f>
        <v>AICE ENV MGMNT AS</v>
      </c>
      <c r="G7311" t="str">
        <f>"08-811"</f>
        <v>08-811</v>
      </c>
      <c r="H7311" t="str">
        <f>"A"</f>
        <v>A</v>
      </c>
    </row>
    <row r="7312" spans="1:8" x14ac:dyDescent="0.2">
      <c r="A7312" t="str">
        <f t="shared" si="2669"/>
        <v>0615028351</v>
      </c>
      <c r="B7312" t="str">
        <f t="shared" si="2670"/>
        <v>ZAYNA</v>
      </c>
      <c r="C7312" t="str">
        <f t="shared" si="2668"/>
        <v>HENRY</v>
      </c>
      <c r="D7312">
        <f>10</f>
        <v>10</v>
      </c>
      <c r="E7312" t="str">
        <f>"08 - B - 001 - Scott A Dethloff"</f>
        <v>08 - B - 001 - Scott A Dethloff</v>
      </c>
      <c r="F7312" t="str">
        <f>"CHEMISTRY 1 HON"</f>
        <v>CHEMISTRY 1 HON</v>
      </c>
      <c r="G7312" t="str">
        <f>"08-812"</f>
        <v>08-812</v>
      </c>
      <c r="H7312" t="str">
        <f>"B"</f>
        <v>B</v>
      </c>
    </row>
    <row r="7313" spans="1:8" x14ac:dyDescent="0.2">
      <c r="A7313" t="str">
        <f t="shared" si="2669"/>
        <v>0615028351</v>
      </c>
      <c r="B7313" t="str">
        <f t="shared" si="2670"/>
        <v>ZAYNA</v>
      </c>
      <c r="C7313" t="str">
        <f t="shared" si="2668"/>
        <v>HENRY</v>
      </c>
      <c r="D7313">
        <f>10</f>
        <v>10</v>
      </c>
      <c r="E7313" t="str">
        <f>"08 - S1 - B - 101 - Amy Beth  Broyles"</f>
        <v>08 - S1 - B - 101 - Amy Beth  Broyles</v>
      </c>
      <c r="F7313" t="str">
        <f>"PEER COUN 3"</f>
        <v>PEER COUN 3</v>
      </c>
      <c r="G7313" t="str">
        <f>"17-1713"</f>
        <v>17-1713</v>
      </c>
      <c r="H7313" t="str">
        <f>"B"</f>
        <v>B</v>
      </c>
    </row>
    <row r="7314" spans="1:8" x14ac:dyDescent="0.2">
      <c r="A7314" t="str">
        <f t="shared" ref="A7314:A7321" si="2671">"0614004420"</f>
        <v>0614004420</v>
      </c>
      <c r="B7314" t="str">
        <f t="shared" ref="B7314:B7321" si="2672">"MAKAYLA"</f>
        <v>MAKAYLA</v>
      </c>
      <c r="C7314" t="str">
        <f t="shared" ref="C7314:C7321" si="2673">"HEPBURN"</f>
        <v>HEPBURN</v>
      </c>
      <c r="D7314">
        <f>12</f>
        <v>12</v>
      </c>
      <c r="E7314" t="str">
        <f>"04 - S1 - A - 101 - Nahum  Saint-Preux"</f>
        <v>04 - S1 - A - 101 - Nahum  Saint-Preux</v>
      </c>
      <c r="F7314" t="str">
        <f>"CRIT THINK ST SKLS"</f>
        <v>CRIT THINK ST SKLS</v>
      </c>
      <c r="G7314" t="str">
        <f>"17-1712"</f>
        <v>17-1712</v>
      </c>
      <c r="H7314" t="str">
        <f>"A"</f>
        <v>A</v>
      </c>
    </row>
    <row r="7315" spans="1:8" x14ac:dyDescent="0.2">
      <c r="A7315" t="str">
        <f t="shared" si="2671"/>
        <v>0614004420</v>
      </c>
      <c r="B7315" t="str">
        <f t="shared" si="2672"/>
        <v>MAKAYLA</v>
      </c>
      <c r="C7315" t="str">
        <f t="shared" si="2673"/>
        <v>HEPBURN</v>
      </c>
      <c r="D7315">
        <f>12</f>
        <v>12</v>
      </c>
      <c r="E7315" t="str">
        <f>"06 - B - 101 - Cliffon  Saurel"</f>
        <v>06 - B - 101 - Cliffon  Saurel</v>
      </c>
      <c r="F7315" t="str">
        <f>"NC STUDY HALL 1"</f>
        <v>NC STUDY HALL 1</v>
      </c>
      <c r="G7315" t="str">
        <f>"05-522"</f>
        <v>05-522</v>
      </c>
      <c r="H7315" t="str">
        <f>"B"</f>
        <v>B</v>
      </c>
    </row>
    <row r="7316" spans="1:8" x14ac:dyDescent="0.2">
      <c r="A7316" t="str">
        <f t="shared" si="2671"/>
        <v>0614004420</v>
      </c>
      <c r="B7316" t="str">
        <f t="shared" si="2672"/>
        <v>MAKAYLA</v>
      </c>
      <c r="C7316" t="str">
        <f t="shared" si="2673"/>
        <v>HEPBURN</v>
      </c>
      <c r="D7316">
        <f>12</f>
        <v>12</v>
      </c>
      <c r="E7316" t="str">
        <f>"03 - A - 103 - Norayda D Suarez"</f>
        <v>03 - A - 103 - Norayda D Suarez</v>
      </c>
      <c r="F7316" t="str">
        <f>"RESEARCH 1 LH"</f>
        <v>RESEARCH 1 LH</v>
      </c>
      <c r="G7316">
        <f>2041</f>
        <v>2041</v>
      </c>
      <c r="H7316" t="str">
        <f>"A"</f>
        <v>A</v>
      </c>
    </row>
    <row r="7317" spans="1:8" x14ac:dyDescent="0.2">
      <c r="A7317" t="str">
        <f t="shared" si="2671"/>
        <v>0614004420</v>
      </c>
      <c r="B7317" t="str">
        <f t="shared" si="2672"/>
        <v>MAKAYLA</v>
      </c>
      <c r="C7317" t="str">
        <f t="shared" si="2673"/>
        <v>HEPBURN</v>
      </c>
      <c r="D7317">
        <f>12</f>
        <v>12</v>
      </c>
      <c r="E7317" t="str">
        <f>"02 - A - 101 - Robyn L Trainer"</f>
        <v>02 - A - 101 - Robyn L Trainer</v>
      </c>
      <c r="F7317" t="str">
        <f>"ENG 4"</f>
        <v>ENG 4</v>
      </c>
      <c r="G7317" t="str">
        <f>"17-1734"</f>
        <v>17-1734</v>
      </c>
      <c r="H7317" t="str">
        <f>"A"</f>
        <v>A</v>
      </c>
    </row>
    <row r="7318" spans="1:8" x14ac:dyDescent="0.2">
      <c r="A7318" t="str">
        <f t="shared" si="2671"/>
        <v>0614004420</v>
      </c>
      <c r="B7318" t="str">
        <f t="shared" si="2672"/>
        <v>MAKAYLA</v>
      </c>
      <c r="C7318" t="str">
        <f t="shared" si="2673"/>
        <v>HEPBURN</v>
      </c>
      <c r="D7318">
        <f>12</f>
        <v>12</v>
      </c>
      <c r="E7318" t="str">
        <f>"07 - B - 106 - James H Mccann"</f>
        <v>07 - B - 106 - James H Mccann</v>
      </c>
      <c r="F7318" t="str">
        <f>"ALGEBRA 2"</f>
        <v>ALGEBRA 2</v>
      </c>
      <c r="G7318" t="str">
        <f>"17-1716"</f>
        <v>17-1716</v>
      </c>
      <c r="H7318" t="str">
        <f>"B"</f>
        <v>B</v>
      </c>
    </row>
    <row r="7319" spans="1:8" x14ac:dyDescent="0.2">
      <c r="A7319" t="str">
        <f t="shared" si="2671"/>
        <v>0614004420</v>
      </c>
      <c r="B7319" t="str">
        <f t="shared" si="2672"/>
        <v>MAKAYLA</v>
      </c>
      <c r="C7319" t="str">
        <f t="shared" si="2673"/>
        <v>HEPBURN</v>
      </c>
      <c r="D7319">
        <f>12</f>
        <v>12</v>
      </c>
      <c r="E7319" t="str">
        <f>"05 - B - 102 - Dorothy D Moore"</f>
        <v>05 - B - 102 - Dorothy D Moore</v>
      </c>
      <c r="F7319" t="str">
        <f>"FORC SCI 1 LH"</f>
        <v>FORC SCI 1 LH</v>
      </c>
      <c r="G7319" t="str">
        <f>"08-803"</f>
        <v>08-803</v>
      </c>
      <c r="H7319" t="str">
        <f>"B"</f>
        <v>B</v>
      </c>
    </row>
    <row r="7320" spans="1:8" x14ac:dyDescent="0.2">
      <c r="A7320" t="str">
        <f t="shared" si="2671"/>
        <v>0614004420</v>
      </c>
      <c r="B7320" t="str">
        <f t="shared" si="2672"/>
        <v>MAKAYLA</v>
      </c>
      <c r="C7320" t="str">
        <f t="shared" si="2673"/>
        <v>HEPBURN</v>
      </c>
      <c r="D7320">
        <f>12</f>
        <v>12</v>
      </c>
      <c r="E7320" t="str">
        <f>"01 - S1 - A - 101 - Robert O Burger"</f>
        <v>01 - S1 - A - 101 - Robert O Burger</v>
      </c>
      <c r="F7320" t="str">
        <f>"US GOVT"</f>
        <v>US GOVT</v>
      </c>
      <c r="G7320" t="str">
        <f>"17-1755"</f>
        <v>17-1755</v>
      </c>
      <c r="H7320" t="str">
        <f>"A"</f>
        <v>A</v>
      </c>
    </row>
    <row r="7321" spans="1:8" x14ac:dyDescent="0.2">
      <c r="A7321" t="str">
        <f t="shared" si="2671"/>
        <v>0614004420</v>
      </c>
      <c r="B7321" t="str">
        <f t="shared" si="2672"/>
        <v>MAKAYLA</v>
      </c>
      <c r="C7321" t="str">
        <f t="shared" si="2673"/>
        <v>HEPBURN</v>
      </c>
      <c r="D7321">
        <f>12</f>
        <v>12</v>
      </c>
      <c r="E7321" t="str">
        <f>"08 - B - 101 - Eva T Rimmer"</f>
        <v>08 - B - 101 - Eva T Rimmer</v>
      </c>
      <c r="F7321" t="str">
        <f>"CRIM JUST OPS 3 HON"</f>
        <v>CRIM JUST OPS 3 HON</v>
      </c>
      <c r="G7321" t="str">
        <f>"05-523"</f>
        <v>05-523</v>
      </c>
      <c r="H7321" t="str">
        <f>"B"</f>
        <v>B</v>
      </c>
    </row>
    <row r="7322" spans="1:8" x14ac:dyDescent="0.2">
      <c r="A7322" t="str">
        <f t="shared" ref="A7322:A7329" si="2674">"0624037002"</f>
        <v>0624037002</v>
      </c>
      <c r="B7322" t="str">
        <f t="shared" ref="B7322:B7329" si="2675">"KIARALIZ"</f>
        <v>KIARALIZ</v>
      </c>
      <c r="C7322" t="str">
        <f t="shared" ref="C7322:C7329" si="2676">"HEREDIA"</f>
        <v>HEREDIA</v>
      </c>
      <c r="D7322">
        <f>12</f>
        <v>12</v>
      </c>
      <c r="E7322" t="str">
        <f>"04 - S1 - A - 106 - Kelly N Panza"</f>
        <v>04 - S1 - A - 106 - Kelly N Panza</v>
      </c>
      <c r="F7322" t="str">
        <f>"US GOVT HON"</f>
        <v>US GOVT HON</v>
      </c>
      <c r="G7322" t="str">
        <f>"17-1753"</f>
        <v>17-1753</v>
      </c>
      <c r="H7322" t="str">
        <f>"A"</f>
        <v>A</v>
      </c>
    </row>
    <row r="7323" spans="1:8" x14ac:dyDescent="0.2">
      <c r="A7323" t="str">
        <f t="shared" si="2674"/>
        <v>0624037002</v>
      </c>
      <c r="B7323" t="str">
        <f t="shared" si="2675"/>
        <v>KIARALIZ</v>
      </c>
      <c r="C7323" t="str">
        <f t="shared" si="2676"/>
        <v>HEREDIA</v>
      </c>
      <c r="D7323">
        <f>12</f>
        <v>12</v>
      </c>
      <c r="E7323" t="str">
        <f>"06 - B - 103 - Stefanie S Scher"</f>
        <v>06 - B - 103 - Stefanie S Scher</v>
      </c>
      <c r="F7323" t="str">
        <f>"NC STUDY HALL 1"</f>
        <v>NC STUDY HALL 1</v>
      </c>
      <c r="G7323" t="str">
        <f>"17-1735"</f>
        <v>17-1735</v>
      </c>
      <c r="H7323" t="str">
        <f>"B"</f>
        <v>B</v>
      </c>
    </row>
    <row r="7324" spans="1:8" x14ac:dyDescent="0.2">
      <c r="A7324" t="str">
        <f t="shared" si="2674"/>
        <v>0624037002</v>
      </c>
      <c r="B7324" t="str">
        <f t="shared" si="2675"/>
        <v>KIARALIZ</v>
      </c>
      <c r="C7324" t="str">
        <f t="shared" si="2676"/>
        <v>HEREDIA</v>
      </c>
      <c r="D7324">
        <f>12</f>
        <v>12</v>
      </c>
      <c r="E7324" t="str">
        <f>"03 - A - 103 - Jazmin S Fletcher"</f>
        <v>03 - A - 103 - Jazmin S Fletcher</v>
      </c>
      <c r="F7324" t="str">
        <f>"THEATRE 2"</f>
        <v>THEATRE 2</v>
      </c>
      <c r="G7324" t="str">
        <f>"09-909"</f>
        <v>09-909</v>
      </c>
      <c r="H7324" t="str">
        <f>"A"</f>
        <v>A</v>
      </c>
    </row>
    <row r="7325" spans="1:8" x14ac:dyDescent="0.2">
      <c r="A7325" t="str">
        <f t="shared" si="2674"/>
        <v>0624037002</v>
      </c>
      <c r="B7325" t="str">
        <f t="shared" si="2675"/>
        <v>KIARALIZ</v>
      </c>
      <c r="C7325" t="str">
        <f t="shared" si="2676"/>
        <v>HEREDIA</v>
      </c>
      <c r="D7325">
        <f>12</f>
        <v>12</v>
      </c>
      <c r="E7325" t="str">
        <f>"02 - A - 102 - Bruce A Evans"</f>
        <v>02 - A - 102 - Bruce A Evans</v>
      </c>
      <c r="F7325" t="str">
        <f>"EMERG MED RESP 3 HON"</f>
        <v>EMERG MED RESP 3 HON</v>
      </c>
      <c r="G7325" t="str">
        <f>"21-2142"</f>
        <v>21-2142</v>
      </c>
      <c r="H7325" t="str">
        <f>"A"</f>
        <v>A</v>
      </c>
    </row>
    <row r="7326" spans="1:8" x14ac:dyDescent="0.2">
      <c r="A7326" t="str">
        <f t="shared" si="2674"/>
        <v>0624037002</v>
      </c>
      <c r="B7326" t="str">
        <f t="shared" si="2675"/>
        <v>KIARALIZ</v>
      </c>
      <c r="C7326" t="str">
        <f t="shared" si="2676"/>
        <v>HEREDIA</v>
      </c>
      <c r="D7326">
        <f>12</f>
        <v>12</v>
      </c>
      <c r="E7326" t="str">
        <f>"07 - B - 102 - Thomas G Handwerg"</f>
        <v>07 - B - 102 - Thomas G Handwerg</v>
      </c>
      <c r="F7326" t="str">
        <f>"PROB STAT W/APPS HON"</f>
        <v>PROB STAT W/APPS HON</v>
      </c>
      <c r="G7326" t="str">
        <f>"21-2146"</f>
        <v>21-2146</v>
      </c>
      <c r="H7326" t="str">
        <f>"B"</f>
        <v>B</v>
      </c>
    </row>
    <row r="7327" spans="1:8" x14ac:dyDescent="0.2">
      <c r="A7327" t="str">
        <f t="shared" si="2674"/>
        <v>0624037002</v>
      </c>
      <c r="B7327" t="str">
        <f t="shared" si="2675"/>
        <v>KIARALIZ</v>
      </c>
      <c r="C7327" t="str">
        <f t="shared" si="2676"/>
        <v>HEREDIA</v>
      </c>
      <c r="D7327">
        <f>12</f>
        <v>12</v>
      </c>
      <c r="E7327" t="str">
        <f>"05 - B - 201 - Bruce A Evans"</f>
        <v>05 - B - 201 - Bruce A Evans</v>
      </c>
      <c r="F7327" t="str">
        <f>"HEALTH SCI FOUND HON"</f>
        <v>HEALTH SCI FOUND HON</v>
      </c>
      <c r="G7327" t="str">
        <f>"21-2142"</f>
        <v>21-2142</v>
      </c>
      <c r="H7327" t="str">
        <f>"B"</f>
        <v>B</v>
      </c>
    </row>
    <row r="7328" spans="1:8" x14ac:dyDescent="0.2">
      <c r="A7328" t="str">
        <f t="shared" si="2674"/>
        <v>0624037002</v>
      </c>
      <c r="B7328" t="str">
        <f t="shared" si="2675"/>
        <v>KIARALIZ</v>
      </c>
      <c r="C7328" t="str">
        <f t="shared" si="2676"/>
        <v>HEREDIA</v>
      </c>
      <c r="D7328">
        <f>12</f>
        <v>12</v>
      </c>
      <c r="E7328" t="str">
        <f>"01 - A - 103 - Jeffrey S Gallagher"</f>
        <v>01 - A - 103 - Jeffrey S Gallagher</v>
      </c>
      <c r="F7328" t="str">
        <f>"ENG HON 4"</f>
        <v>ENG HON 4</v>
      </c>
      <c r="G7328" t="str">
        <f>"17-1724"</f>
        <v>17-1724</v>
      </c>
      <c r="H7328" t="str">
        <f>"A"</f>
        <v>A</v>
      </c>
    </row>
    <row r="7329" spans="1:8" x14ac:dyDescent="0.2">
      <c r="A7329" t="str">
        <f t="shared" si="2674"/>
        <v>0624037002</v>
      </c>
      <c r="B7329" t="str">
        <f t="shared" si="2675"/>
        <v>KIARALIZ</v>
      </c>
      <c r="C7329" t="str">
        <f t="shared" si="2676"/>
        <v>HEREDIA</v>
      </c>
      <c r="D7329">
        <f>12</f>
        <v>12</v>
      </c>
      <c r="E7329" t="str">
        <f>"08 - B - 001 - Chrystina M Marchionne"</f>
        <v>08 - B - 001 - Chrystina M Marchionne</v>
      </c>
      <c r="F7329" t="str">
        <f>"JOURN 1 (YB) LH"</f>
        <v>JOURN 1 (YB) LH</v>
      </c>
      <c r="G7329" t="str">
        <f>"05-520"</f>
        <v>05-520</v>
      </c>
      <c r="H7329" t="str">
        <f>"B"</f>
        <v>B</v>
      </c>
    </row>
    <row r="7330" spans="1:8" x14ac:dyDescent="0.2">
      <c r="A7330" t="str">
        <f t="shared" ref="A7330:A7337" si="2677">"0614126750"</f>
        <v>0614126750</v>
      </c>
      <c r="B7330" t="str">
        <f t="shared" ref="B7330:B7337" si="2678">"ASHLEY"</f>
        <v>ASHLEY</v>
      </c>
      <c r="C7330" t="str">
        <f t="shared" ref="C7330:C7337" si="2679">"HERMAN"</f>
        <v>HERMAN</v>
      </c>
      <c r="D7330" t="str">
        <f t="shared" ref="D7330:D7337" si="2680">"09"</f>
        <v>09</v>
      </c>
      <c r="E7330" t="str">
        <f>"04 - A - 101 - Arthur  Kulawik"</f>
        <v>04 - A - 101 - Arthur  Kulawik</v>
      </c>
      <c r="F7330" t="str">
        <f>"DEBATE 3 HON"</f>
        <v>DEBATE 3 HON</v>
      </c>
      <c r="G7330" t="str">
        <f>"05-506"</f>
        <v>05-506</v>
      </c>
      <c r="H7330" t="str">
        <f>"A"</f>
        <v>A</v>
      </c>
    </row>
    <row r="7331" spans="1:8" x14ac:dyDescent="0.2">
      <c r="A7331" t="str">
        <f t="shared" si="2677"/>
        <v>0614126750</v>
      </c>
      <c r="B7331" t="str">
        <f t="shared" si="2678"/>
        <v>ASHLEY</v>
      </c>
      <c r="C7331" t="str">
        <f t="shared" si="2679"/>
        <v>HERMAN</v>
      </c>
      <c r="D7331" t="str">
        <f t="shared" si="2680"/>
        <v>09</v>
      </c>
      <c r="E7331" t="str">
        <f>"06 - B - 105 - Cheryl L Beach"</f>
        <v>06 - B - 105 - Cheryl L Beach</v>
      </c>
      <c r="F7331" t="str">
        <f>"AICE ENV MGMNT AS"</f>
        <v>AICE ENV MGMNT AS</v>
      </c>
      <c r="G7331" t="str">
        <f>"08-811"</f>
        <v>08-811</v>
      </c>
      <c r="H7331" t="str">
        <f>"B"</f>
        <v>B</v>
      </c>
    </row>
    <row r="7332" spans="1:8" x14ac:dyDescent="0.2">
      <c r="A7332" t="str">
        <f t="shared" si="2677"/>
        <v>0614126750</v>
      </c>
      <c r="B7332" t="str">
        <f t="shared" si="2678"/>
        <v>ASHLEY</v>
      </c>
      <c r="C7332" t="str">
        <f t="shared" si="2679"/>
        <v>HERMAN</v>
      </c>
      <c r="D7332" t="str">
        <f t="shared" si="2680"/>
        <v>09</v>
      </c>
      <c r="E7332" t="str">
        <f>"03 - A - 103 - Kelly N Panza"</f>
        <v>03 - A - 103 - Kelly N Panza</v>
      </c>
      <c r="F7332" t="str">
        <f>"AICE GLBL PERSP 1 AS"</f>
        <v>AICE GLBL PERSP 1 AS</v>
      </c>
      <c r="G7332" t="str">
        <f>"17-1753"</f>
        <v>17-1753</v>
      </c>
      <c r="H7332" t="str">
        <f>"A"</f>
        <v>A</v>
      </c>
    </row>
    <row r="7333" spans="1:8" x14ac:dyDescent="0.2">
      <c r="A7333" t="str">
        <f t="shared" si="2677"/>
        <v>0614126750</v>
      </c>
      <c r="B7333" t="str">
        <f t="shared" si="2678"/>
        <v>ASHLEY</v>
      </c>
      <c r="C7333" t="str">
        <f t="shared" si="2679"/>
        <v>HERMAN</v>
      </c>
      <c r="D7333" t="str">
        <f t="shared" si="2680"/>
        <v>09</v>
      </c>
      <c r="E7333" t="str">
        <f>"02 - A - 107 - Cerine S Stewart"</f>
        <v>02 - A - 107 - Cerine S Stewart</v>
      </c>
      <c r="F7333" t="str">
        <f>"NC STUDY HALL 1"</f>
        <v>NC STUDY HALL 1</v>
      </c>
      <c r="G7333" t="str">
        <f>"17-1720"</f>
        <v>17-1720</v>
      </c>
      <c r="H7333" t="str">
        <f>"A"</f>
        <v>A</v>
      </c>
    </row>
    <row r="7334" spans="1:8" x14ac:dyDescent="0.2">
      <c r="A7334" t="str">
        <f t="shared" si="2677"/>
        <v>0614126750</v>
      </c>
      <c r="B7334" t="str">
        <f t="shared" si="2678"/>
        <v>ASHLEY</v>
      </c>
      <c r="C7334" t="str">
        <f t="shared" si="2679"/>
        <v>HERMAN</v>
      </c>
      <c r="D7334" t="str">
        <f t="shared" si="2680"/>
        <v>09</v>
      </c>
      <c r="E7334" t="str">
        <f>"07 - B - 201 - Angela S Adeshina-Morrison"</f>
        <v>07 - B - 201 - Angela S Adeshina-Morrison</v>
      </c>
      <c r="F7334" t="str">
        <f>"BUSINESS OWNER HON"</f>
        <v>BUSINESS OWNER HON</v>
      </c>
      <c r="G7334" t="str">
        <f>"05-518"</f>
        <v>05-518</v>
      </c>
      <c r="H7334" t="str">
        <f>"B"</f>
        <v>B</v>
      </c>
    </row>
    <row r="7335" spans="1:8" x14ac:dyDescent="0.2">
      <c r="A7335" t="str">
        <f t="shared" si="2677"/>
        <v>0614126750</v>
      </c>
      <c r="B7335" t="str">
        <f t="shared" si="2678"/>
        <v>ASHLEY</v>
      </c>
      <c r="C7335" t="str">
        <f t="shared" si="2679"/>
        <v>HERMAN</v>
      </c>
      <c r="D7335" t="str">
        <f t="shared" si="2680"/>
        <v>09</v>
      </c>
      <c r="E7335" t="str">
        <f>"05 - B - 002 - Cheryl Anne  Berman-Schechter"</f>
        <v>05 - B - 002 - Cheryl Anne  Berman-Schechter</v>
      </c>
      <c r="F7335" t="str">
        <f>"AICE ENG GEN PAPER 1"</f>
        <v>AICE ENG GEN PAPER 1</v>
      </c>
      <c r="G7335" t="str">
        <f>"17-1722"</f>
        <v>17-1722</v>
      </c>
      <c r="H7335" t="str">
        <f>"B"</f>
        <v>B</v>
      </c>
    </row>
    <row r="7336" spans="1:8" x14ac:dyDescent="0.2">
      <c r="A7336" t="str">
        <f t="shared" si="2677"/>
        <v>0614126750</v>
      </c>
      <c r="B7336" t="str">
        <f t="shared" si="2678"/>
        <v>ASHLEY</v>
      </c>
      <c r="C7336" t="str">
        <f t="shared" si="2679"/>
        <v>HERMAN</v>
      </c>
      <c r="D7336" t="str">
        <f t="shared" si="2680"/>
        <v>09</v>
      </c>
      <c r="E7336" t="str">
        <f>"01 - A - 101 - Joe  Kilpatrick Jr"</f>
        <v>01 - A - 101 - Joe  Kilpatrick Jr</v>
      </c>
      <c r="F7336" t="str">
        <f>"PRE-AICE SPAN 1 IG"</f>
        <v>PRE-AICE SPAN 1 IG</v>
      </c>
      <c r="G7336" t="str">
        <f>"09-912"</f>
        <v>09-912</v>
      </c>
      <c r="H7336" t="str">
        <f>"A"</f>
        <v>A</v>
      </c>
    </row>
    <row r="7337" spans="1:8" x14ac:dyDescent="0.2">
      <c r="A7337" t="str">
        <f t="shared" si="2677"/>
        <v>0614126750</v>
      </c>
      <c r="B7337" t="str">
        <f t="shared" si="2678"/>
        <v>ASHLEY</v>
      </c>
      <c r="C7337" t="str">
        <f t="shared" si="2679"/>
        <v>HERMAN</v>
      </c>
      <c r="D7337" t="str">
        <f t="shared" si="2680"/>
        <v>09</v>
      </c>
      <c r="E7337" t="str">
        <f>"08 - B - 102 - Maried P Ramos"</f>
        <v>08 - B - 102 - Maried P Ramos</v>
      </c>
      <c r="F7337" t="str">
        <f>"ALGEBRA 2 HON"</f>
        <v>ALGEBRA 2 HON</v>
      </c>
      <c r="G7337" t="str">
        <f>"21-2159"</f>
        <v>21-2159</v>
      </c>
      <c r="H7337" t="str">
        <f>"B"</f>
        <v>B</v>
      </c>
    </row>
    <row r="7338" spans="1:8" x14ac:dyDescent="0.2">
      <c r="A7338" t="str">
        <f t="shared" ref="A7338:A7345" si="2681">"0626009545"</f>
        <v>0626009545</v>
      </c>
      <c r="B7338" t="str">
        <f t="shared" ref="B7338:B7345" si="2682">"Sebastian"</f>
        <v>Sebastian</v>
      </c>
      <c r="C7338" t="str">
        <f t="shared" ref="C7338:C7345" si="2683">"Hernandez"</f>
        <v>Hernandez</v>
      </c>
      <c r="D7338">
        <f>12</f>
        <v>12</v>
      </c>
      <c r="E7338" t="str">
        <f>"04 - A - 105 - Milca  Exantus"</f>
        <v>04 - A - 105 - Milca  Exantus</v>
      </c>
      <c r="F7338" t="str">
        <f>"MATH COLLEGE LIB ART"</f>
        <v>MATH COLLEGE LIB ART</v>
      </c>
      <c r="G7338" t="str">
        <f>"21-2145"</f>
        <v>21-2145</v>
      </c>
      <c r="H7338" t="str">
        <f>"A"</f>
        <v>A</v>
      </c>
    </row>
    <row r="7339" spans="1:8" x14ac:dyDescent="0.2">
      <c r="A7339" t="str">
        <f t="shared" si="2681"/>
        <v>0626009545</v>
      </c>
      <c r="B7339" t="str">
        <f t="shared" si="2682"/>
        <v>Sebastian</v>
      </c>
      <c r="C7339" t="str">
        <f t="shared" si="2683"/>
        <v>Hernandez</v>
      </c>
      <c r="D7339">
        <f>12</f>
        <v>12</v>
      </c>
      <c r="E7339" t="str">
        <f>"06 - B - 107 - Pamela M Corzo"</f>
        <v>06 - B - 107 - Pamela M Corzo</v>
      </c>
      <c r="F7339" t="str">
        <f>"NC STUDY HALL 1"</f>
        <v>NC STUDY HALL 1</v>
      </c>
      <c r="G7339" t="str">
        <f>"21-2133"</f>
        <v>21-2133</v>
      </c>
      <c r="H7339" t="str">
        <f>"B"</f>
        <v>B</v>
      </c>
    </row>
    <row r="7340" spans="1:8" x14ac:dyDescent="0.2">
      <c r="A7340" t="str">
        <f t="shared" si="2681"/>
        <v>0626009545</v>
      </c>
      <c r="B7340" t="str">
        <f t="shared" si="2682"/>
        <v>Sebastian</v>
      </c>
      <c r="C7340" t="str">
        <f t="shared" si="2683"/>
        <v>Hernandez</v>
      </c>
      <c r="D7340">
        <f>12</f>
        <v>12</v>
      </c>
      <c r="E7340" t="str">
        <f>"03 - S1 - A - 102 - Leslie J Barton"</f>
        <v>03 - S1 - A - 102 - Leslie J Barton</v>
      </c>
      <c r="F7340" t="str">
        <f>"FIRST AID SAFETY"</f>
        <v>FIRST AID SAFETY</v>
      </c>
      <c r="G7340" t="str">
        <f>"05-521"</f>
        <v>05-521</v>
      </c>
      <c r="H7340" t="str">
        <f>"A"</f>
        <v>A</v>
      </c>
    </row>
    <row r="7341" spans="1:8" x14ac:dyDescent="0.2">
      <c r="A7341" t="str">
        <f t="shared" si="2681"/>
        <v>0626009545</v>
      </c>
      <c r="B7341" t="str">
        <f t="shared" si="2682"/>
        <v>Sebastian</v>
      </c>
      <c r="C7341" t="str">
        <f t="shared" si="2683"/>
        <v>Hernandez</v>
      </c>
      <c r="D7341">
        <f>12</f>
        <v>12</v>
      </c>
      <c r="E7341" t="str">
        <f>"02 - A - 101 - Nahum  Saint-Preux"</f>
        <v>02 - A - 101 - Nahum  Saint-Preux</v>
      </c>
      <c r="F7341" t="str">
        <f>"INTENS READ 4"</f>
        <v>INTENS READ 4</v>
      </c>
      <c r="G7341" t="str">
        <f>"17-1712"</f>
        <v>17-1712</v>
      </c>
      <c r="H7341" t="str">
        <f>"A"</f>
        <v>A</v>
      </c>
    </row>
    <row r="7342" spans="1:8" x14ac:dyDescent="0.2">
      <c r="A7342" t="str">
        <f t="shared" si="2681"/>
        <v>0626009545</v>
      </c>
      <c r="B7342" t="str">
        <f t="shared" si="2682"/>
        <v>Sebastian</v>
      </c>
      <c r="C7342" t="str">
        <f t="shared" si="2683"/>
        <v>Hernandez</v>
      </c>
      <c r="D7342">
        <f>12</f>
        <v>12</v>
      </c>
      <c r="E7342" t="str">
        <f>"07 - B - 102 - Tina L Lovett"</f>
        <v>07 - B - 102 - Tina L Lovett</v>
      </c>
      <c r="F7342" t="str">
        <f>"MATH DATA &amp; FIN LIT"</f>
        <v>MATH DATA &amp; FIN LIT</v>
      </c>
      <c r="G7342" t="str">
        <f>"21-2153"</f>
        <v>21-2153</v>
      </c>
      <c r="H7342" t="str">
        <f>"B"</f>
        <v>B</v>
      </c>
    </row>
    <row r="7343" spans="1:8" x14ac:dyDescent="0.2">
      <c r="A7343" t="str">
        <f t="shared" si="2681"/>
        <v>0626009545</v>
      </c>
      <c r="B7343" t="str">
        <f t="shared" si="2682"/>
        <v>Sebastian</v>
      </c>
      <c r="C7343" t="str">
        <f t="shared" si="2683"/>
        <v>Hernandez</v>
      </c>
      <c r="D7343">
        <f>12</f>
        <v>12</v>
      </c>
      <c r="E7343" t="str">
        <f>"05 - S1 - B - 102 - Robert O Burger"</f>
        <v>05 - S1 - B - 102 - Robert O Burger</v>
      </c>
      <c r="F7343" t="str">
        <f>"US GOVT"</f>
        <v>US GOVT</v>
      </c>
      <c r="G7343" t="str">
        <f>"17-1755"</f>
        <v>17-1755</v>
      </c>
      <c r="H7343" t="str">
        <f>"B"</f>
        <v>B</v>
      </c>
    </row>
    <row r="7344" spans="1:8" x14ac:dyDescent="0.2">
      <c r="A7344" t="str">
        <f t="shared" si="2681"/>
        <v>0626009545</v>
      </c>
      <c r="B7344" t="str">
        <f t="shared" si="2682"/>
        <v>Sebastian</v>
      </c>
      <c r="C7344" t="str">
        <f t="shared" si="2683"/>
        <v>Hernandez</v>
      </c>
      <c r="D7344">
        <f>12</f>
        <v>12</v>
      </c>
      <c r="E7344" t="str">
        <f>"01 - A - 101 - Cliffon  Saurel"</f>
        <v>01 - A - 101 - Cliffon  Saurel</v>
      </c>
      <c r="F7344" t="str">
        <f>"PHYSICAL SCI"</f>
        <v>PHYSICAL SCI</v>
      </c>
      <c r="G7344" t="str">
        <f>"05-522"</f>
        <v>05-522</v>
      </c>
      <c r="H7344" t="str">
        <f>"A"</f>
        <v>A</v>
      </c>
    </row>
    <row r="7345" spans="1:8" x14ac:dyDescent="0.2">
      <c r="A7345" t="str">
        <f t="shared" si="2681"/>
        <v>0626009545</v>
      </c>
      <c r="B7345" t="str">
        <f t="shared" si="2682"/>
        <v>Sebastian</v>
      </c>
      <c r="C7345" t="str">
        <f t="shared" si="2683"/>
        <v>Hernandez</v>
      </c>
      <c r="D7345">
        <f>12</f>
        <v>12</v>
      </c>
      <c r="E7345" t="str">
        <f>"08 - B - 206 - Robyn L Trainer"</f>
        <v>08 - B - 206 - Robyn L Trainer</v>
      </c>
      <c r="F7345" t="str">
        <f>"ENG 4: FL COLL PREP"</f>
        <v>ENG 4: FL COLL PREP</v>
      </c>
      <c r="G7345" t="str">
        <f>"17-1734"</f>
        <v>17-1734</v>
      </c>
      <c r="H7345" t="str">
        <f>"B"</f>
        <v>B</v>
      </c>
    </row>
    <row r="7346" spans="1:8" x14ac:dyDescent="0.2">
      <c r="A7346" t="str">
        <f t="shared" ref="A7346:A7353" si="2684">"0615106571"</f>
        <v>0615106571</v>
      </c>
      <c r="B7346" t="str">
        <f t="shared" ref="B7346:B7361" si="2685">"AIDEN"</f>
        <v>AIDEN</v>
      </c>
      <c r="C7346" t="str">
        <f t="shared" ref="C7346:C7377" si="2686">"HERNANDEZ"</f>
        <v>HERNANDEZ</v>
      </c>
      <c r="D7346">
        <f>10</f>
        <v>10</v>
      </c>
      <c r="E7346" t="str">
        <f>"04 - A - 102 - Byron G Montenegro"</f>
        <v>04 - A - 102 - Byron G Montenegro</v>
      </c>
      <c r="F7346" t="str">
        <f>"AICE MARINE SCI 1 AS"</f>
        <v>AICE MARINE SCI 1 AS</v>
      </c>
      <c r="G7346" t="str">
        <f>"21-2144"</f>
        <v>21-2144</v>
      </c>
      <c r="H7346" t="str">
        <f>"A"</f>
        <v>A</v>
      </c>
    </row>
    <row r="7347" spans="1:8" x14ac:dyDescent="0.2">
      <c r="A7347" t="str">
        <f t="shared" si="2684"/>
        <v>0615106571</v>
      </c>
      <c r="B7347" t="str">
        <f t="shared" si="2685"/>
        <v>AIDEN</v>
      </c>
      <c r="C7347" t="str">
        <f t="shared" si="2686"/>
        <v>HERNANDEZ</v>
      </c>
      <c r="D7347">
        <f>10</f>
        <v>10</v>
      </c>
      <c r="E7347" t="str">
        <f>"06 - B - 105 - Jeffrey S Gallagher"</f>
        <v>06 - B - 105 - Jeffrey S Gallagher</v>
      </c>
      <c r="F7347" t="str">
        <f>"NC STUDY HALL 1"</f>
        <v>NC STUDY HALL 1</v>
      </c>
      <c r="G7347" t="str">
        <f>"17-1724"</f>
        <v>17-1724</v>
      </c>
      <c r="H7347" t="str">
        <f>"B"</f>
        <v>B</v>
      </c>
    </row>
    <row r="7348" spans="1:8" x14ac:dyDescent="0.2">
      <c r="A7348" t="str">
        <f t="shared" si="2684"/>
        <v>0615106571</v>
      </c>
      <c r="B7348" t="str">
        <f t="shared" si="2685"/>
        <v>AIDEN</v>
      </c>
      <c r="C7348" t="str">
        <f t="shared" si="2686"/>
        <v>HERNANDEZ</v>
      </c>
      <c r="D7348">
        <f>10</f>
        <v>10</v>
      </c>
      <c r="E7348" t="str">
        <f>"03 - A - 103 - Kelly N Panza"</f>
        <v>03 - A - 103 - Kelly N Panza</v>
      </c>
      <c r="F7348" t="str">
        <f>"AICE GLBL PERSP 1 AS"</f>
        <v>AICE GLBL PERSP 1 AS</v>
      </c>
      <c r="G7348" t="str">
        <f>"17-1753"</f>
        <v>17-1753</v>
      </c>
      <c r="H7348" t="str">
        <f>"A"</f>
        <v>A</v>
      </c>
    </row>
    <row r="7349" spans="1:8" x14ac:dyDescent="0.2">
      <c r="A7349" t="str">
        <f t="shared" si="2684"/>
        <v>0615106571</v>
      </c>
      <c r="B7349" t="str">
        <f t="shared" si="2685"/>
        <v>AIDEN</v>
      </c>
      <c r="C7349" t="str">
        <f t="shared" si="2686"/>
        <v>HERNANDEZ</v>
      </c>
      <c r="D7349">
        <f>10</f>
        <v>10</v>
      </c>
      <c r="E7349" t="str">
        <f>"02 - A - 104 - Joe  Kilpatrick Jr"</f>
        <v>02 - A - 104 - Joe  Kilpatrick Jr</v>
      </c>
      <c r="F7349" t="str">
        <f>"PRE-AICE SPAN 2 IG"</f>
        <v>PRE-AICE SPAN 2 IG</v>
      </c>
      <c r="G7349" t="str">
        <f>"09-912"</f>
        <v>09-912</v>
      </c>
      <c r="H7349" t="str">
        <f>"A"</f>
        <v>A</v>
      </c>
    </row>
    <row r="7350" spans="1:8" x14ac:dyDescent="0.2">
      <c r="A7350" t="str">
        <f t="shared" si="2684"/>
        <v>0615106571</v>
      </c>
      <c r="B7350" t="str">
        <f t="shared" si="2685"/>
        <v>AIDEN</v>
      </c>
      <c r="C7350" t="str">
        <f t="shared" si="2686"/>
        <v>HERNANDEZ</v>
      </c>
      <c r="D7350">
        <f>10</f>
        <v>10</v>
      </c>
      <c r="E7350" t="str">
        <f>"07 - S1 - B - 107 - Richard E Dunbar Iii"</f>
        <v>07 - S1 - B - 107 - Richard E Dunbar Iii</v>
      </c>
      <c r="F7350" t="str">
        <f>"WEIGHT TRAIN 1"</f>
        <v>WEIGHT TRAIN 1</v>
      </c>
      <c r="G7350" t="str">
        <f>"05-501"</f>
        <v>05-501</v>
      </c>
      <c r="H7350" t="str">
        <f>"B"</f>
        <v>B</v>
      </c>
    </row>
    <row r="7351" spans="1:8" x14ac:dyDescent="0.2">
      <c r="A7351" t="str">
        <f t="shared" si="2684"/>
        <v>0615106571</v>
      </c>
      <c r="B7351" t="str">
        <f t="shared" si="2685"/>
        <v>AIDEN</v>
      </c>
      <c r="C7351" t="str">
        <f t="shared" si="2686"/>
        <v>HERNANDEZ</v>
      </c>
      <c r="D7351">
        <f>10</f>
        <v>10</v>
      </c>
      <c r="E7351" t="str">
        <f>"05 - S1 - B - 103 - Leslie J Barton"</f>
        <v>05 - S1 - B - 103 - Leslie J Barton</v>
      </c>
      <c r="F7351" t="str">
        <f>"FIRST AID SAFETY"</f>
        <v>FIRST AID SAFETY</v>
      </c>
      <c r="G7351" t="str">
        <f>"05-521"</f>
        <v>05-521</v>
      </c>
      <c r="H7351" t="str">
        <f>"B"</f>
        <v>B</v>
      </c>
    </row>
    <row r="7352" spans="1:8" x14ac:dyDescent="0.2">
      <c r="A7352" t="str">
        <f t="shared" si="2684"/>
        <v>0615106571</v>
      </c>
      <c r="B7352" t="str">
        <f t="shared" si="2685"/>
        <v>AIDEN</v>
      </c>
      <c r="C7352" t="str">
        <f t="shared" si="2686"/>
        <v>HERNANDEZ</v>
      </c>
      <c r="D7352">
        <f>10</f>
        <v>10</v>
      </c>
      <c r="E7352" t="str">
        <f>"01 - A - 102 - Fernando  Vega-Cid"</f>
        <v>01 - A - 102 - Fernando  Vega-Cid</v>
      </c>
      <c r="F7352" t="str">
        <f>"GEOMETRY"</f>
        <v>GEOMETRY</v>
      </c>
      <c r="G7352" t="str">
        <f>"21-2163"</f>
        <v>21-2163</v>
      </c>
      <c r="H7352" t="str">
        <f>"A"</f>
        <v>A</v>
      </c>
    </row>
    <row r="7353" spans="1:8" x14ac:dyDescent="0.2">
      <c r="A7353" t="str">
        <f t="shared" si="2684"/>
        <v>0615106571</v>
      </c>
      <c r="B7353" t="str">
        <f t="shared" si="2685"/>
        <v>AIDEN</v>
      </c>
      <c r="C7353" t="str">
        <f t="shared" si="2686"/>
        <v>HERNANDEZ</v>
      </c>
      <c r="D7353">
        <f>10</f>
        <v>10</v>
      </c>
      <c r="E7353" t="str">
        <f>"08 - B - 102 - Jacquelyn M Neeson"</f>
        <v>08 - B - 102 - Jacquelyn M Neeson</v>
      </c>
      <c r="F7353" t="str">
        <f>"AICE ENG GEN PAPER 1"</f>
        <v>AICE ENG GEN PAPER 1</v>
      </c>
      <c r="G7353" t="str">
        <f>"17-1715"</f>
        <v>17-1715</v>
      </c>
      <c r="H7353" t="str">
        <f>"B"</f>
        <v>B</v>
      </c>
    </row>
    <row r="7354" spans="1:8" x14ac:dyDescent="0.2">
      <c r="A7354" t="str">
        <f t="shared" ref="A7354:A7361" si="2687">"0613036629"</f>
        <v>0613036629</v>
      </c>
      <c r="B7354" t="str">
        <f t="shared" si="2685"/>
        <v>AIDEN</v>
      </c>
      <c r="C7354" t="str">
        <f t="shared" si="2686"/>
        <v>HERNANDEZ</v>
      </c>
      <c r="D7354">
        <f>11</f>
        <v>11</v>
      </c>
      <c r="E7354" t="str">
        <f>"04 - S1 - A - 101 - Leslie J Barton"</f>
        <v>04 - S1 - A - 101 - Leslie J Barton</v>
      </c>
      <c r="F7354" t="str">
        <f>"TEAM SPORTS 1"</f>
        <v>TEAM SPORTS 1</v>
      </c>
      <c r="G7354" t="str">
        <f>"04-254"</f>
        <v>04-254</v>
      </c>
      <c r="H7354" t="str">
        <f>"A"</f>
        <v>A</v>
      </c>
    </row>
    <row r="7355" spans="1:8" x14ac:dyDescent="0.2">
      <c r="A7355" t="str">
        <f t="shared" si="2687"/>
        <v>0613036629</v>
      </c>
      <c r="B7355" t="str">
        <f t="shared" si="2685"/>
        <v>AIDEN</v>
      </c>
      <c r="C7355" t="str">
        <f t="shared" si="2686"/>
        <v>HERNANDEZ</v>
      </c>
      <c r="D7355">
        <f>11</f>
        <v>11</v>
      </c>
      <c r="E7355" t="str">
        <f>"06 - B - 105 - Elizabeth Ellen  Moran"</f>
        <v>06 - B - 105 - Elizabeth Ellen  Moran</v>
      </c>
      <c r="F7355" t="str">
        <f>"US HISTORY"</f>
        <v>US HISTORY</v>
      </c>
      <c r="G7355" t="str">
        <f>"17-1752"</f>
        <v>17-1752</v>
      </c>
      <c r="H7355" t="str">
        <f>"B"</f>
        <v>B</v>
      </c>
    </row>
    <row r="7356" spans="1:8" x14ac:dyDescent="0.2">
      <c r="A7356" t="str">
        <f t="shared" si="2687"/>
        <v>0613036629</v>
      </c>
      <c r="B7356" t="str">
        <f t="shared" si="2685"/>
        <v>AIDEN</v>
      </c>
      <c r="C7356" t="str">
        <f t="shared" si="2686"/>
        <v>HERNANDEZ</v>
      </c>
      <c r="D7356">
        <f>11</f>
        <v>11</v>
      </c>
      <c r="E7356" t="str">
        <f>"03 - S1 - A - 102 - Angela S Adeshina-Morrison"</f>
        <v>03 - S1 - A - 102 - Angela S Adeshina-Morrison</v>
      </c>
      <c r="F7356" t="str">
        <f>"PEER COUN 1"</f>
        <v>PEER COUN 1</v>
      </c>
      <c r="G7356" t="str">
        <f>"05-518"</f>
        <v>05-518</v>
      </c>
      <c r="H7356" t="str">
        <f>"A"</f>
        <v>A</v>
      </c>
    </row>
    <row r="7357" spans="1:8" x14ac:dyDescent="0.2">
      <c r="A7357" t="str">
        <f t="shared" si="2687"/>
        <v>0613036629</v>
      </c>
      <c r="B7357" t="str">
        <f t="shared" si="2685"/>
        <v>AIDEN</v>
      </c>
      <c r="C7357" t="str">
        <f t="shared" si="2686"/>
        <v>HERNANDEZ</v>
      </c>
      <c r="D7357">
        <f>11</f>
        <v>11</v>
      </c>
      <c r="E7357" t="str">
        <f>"02 - A - 114 - Eva T Rimmer"</f>
        <v>02 - A - 114 - Eva T Rimmer</v>
      </c>
      <c r="F7357" t="str">
        <f>"NC STUDY HALL 1"</f>
        <v>NC STUDY HALL 1</v>
      </c>
      <c r="G7357" t="str">
        <f>"05-523"</f>
        <v>05-523</v>
      </c>
      <c r="H7357" t="str">
        <f>"A"</f>
        <v>A</v>
      </c>
    </row>
    <row r="7358" spans="1:8" x14ac:dyDescent="0.2">
      <c r="A7358" t="str">
        <f t="shared" si="2687"/>
        <v>0613036629</v>
      </c>
      <c r="B7358" t="str">
        <f t="shared" si="2685"/>
        <v>AIDEN</v>
      </c>
      <c r="C7358" t="str">
        <f t="shared" si="2686"/>
        <v>HERNANDEZ</v>
      </c>
      <c r="D7358">
        <f>11</f>
        <v>11</v>
      </c>
      <c r="E7358" t="str">
        <f>"07 - B - 110 - Ferrie J Arostique"</f>
        <v>07 - B - 110 - Ferrie J Arostique</v>
      </c>
      <c r="F7358" t="str">
        <f>"GEOMETRY"</f>
        <v>GEOMETRY</v>
      </c>
      <c r="G7358" t="str">
        <f>"21-2139"</f>
        <v>21-2139</v>
      </c>
      <c r="H7358" t="str">
        <f>"B"</f>
        <v>B</v>
      </c>
    </row>
    <row r="7359" spans="1:8" x14ac:dyDescent="0.2">
      <c r="A7359" t="str">
        <f t="shared" si="2687"/>
        <v>0613036629</v>
      </c>
      <c r="B7359" t="str">
        <f t="shared" si="2685"/>
        <v>AIDEN</v>
      </c>
      <c r="C7359" t="str">
        <f t="shared" si="2686"/>
        <v>HERNANDEZ</v>
      </c>
      <c r="D7359">
        <f>11</f>
        <v>11</v>
      </c>
      <c r="E7359" t="str">
        <f>"05 - B - 103 - Heidi M Knopp"</f>
        <v>05 - B - 103 - Heidi M Knopp</v>
      </c>
      <c r="F7359" t="str">
        <f>"ENG HON 3"</f>
        <v>ENG HON 3</v>
      </c>
      <c r="G7359" t="str">
        <f>"17-1723"</f>
        <v>17-1723</v>
      </c>
      <c r="H7359" t="str">
        <f>"B"</f>
        <v>B</v>
      </c>
    </row>
    <row r="7360" spans="1:8" x14ac:dyDescent="0.2">
      <c r="A7360" t="str">
        <f t="shared" si="2687"/>
        <v>0613036629</v>
      </c>
      <c r="B7360" t="str">
        <f t="shared" si="2685"/>
        <v>AIDEN</v>
      </c>
      <c r="C7360" t="str">
        <f t="shared" si="2686"/>
        <v>HERNANDEZ</v>
      </c>
      <c r="D7360">
        <f>11</f>
        <v>11</v>
      </c>
      <c r="E7360" t="str">
        <f>"01 - A - 101 - Eva T Rimmer"</f>
        <v>01 - A - 101 - Eva T Rimmer</v>
      </c>
      <c r="F7360" t="str">
        <f>"CRIMINAL JUST OPS 2"</f>
        <v>CRIMINAL JUST OPS 2</v>
      </c>
      <c r="G7360" t="str">
        <f>"05-523"</f>
        <v>05-523</v>
      </c>
      <c r="H7360" t="str">
        <f>"A"</f>
        <v>A</v>
      </c>
    </row>
    <row r="7361" spans="1:8" x14ac:dyDescent="0.2">
      <c r="A7361" t="str">
        <f t="shared" si="2687"/>
        <v>0613036629</v>
      </c>
      <c r="B7361" t="str">
        <f t="shared" si="2685"/>
        <v>AIDEN</v>
      </c>
      <c r="C7361" t="str">
        <f t="shared" si="2686"/>
        <v>HERNANDEZ</v>
      </c>
      <c r="D7361">
        <f>11</f>
        <v>11</v>
      </c>
      <c r="E7361" t="str">
        <f>"08 - B - 102 - Josiah I Lacy"</f>
        <v>08 - B - 102 - Josiah I Lacy</v>
      </c>
      <c r="F7361" t="str">
        <f>"ANAT PHYSIO HON"</f>
        <v>ANAT PHYSIO HON</v>
      </c>
      <c r="G7361" t="str">
        <f>"08-801"</f>
        <v>08-801</v>
      </c>
      <c r="H7361" t="str">
        <f>"B"</f>
        <v>B</v>
      </c>
    </row>
    <row r="7362" spans="1:8" x14ac:dyDescent="0.2">
      <c r="A7362" t="str">
        <f t="shared" ref="A7362:A7369" si="2688">"0615008800"</f>
        <v>0615008800</v>
      </c>
      <c r="B7362" t="str">
        <f t="shared" ref="B7362:B7369" si="2689">"DANNA"</f>
        <v>DANNA</v>
      </c>
      <c r="C7362" t="str">
        <f t="shared" si="2686"/>
        <v>HERNANDEZ</v>
      </c>
      <c r="D7362">
        <f>11</f>
        <v>11</v>
      </c>
      <c r="E7362" t="str">
        <f>"04 - A - 102 - Jeffrey S Gallagher"</f>
        <v>04 - A - 102 - Jeffrey S Gallagher</v>
      </c>
      <c r="F7362" t="str">
        <f>"ENG HON 3"</f>
        <v>ENG HON 3</v>
      </c>
      <c r="G7362" t="str">
        <f>"17-1724"</f>
        <v>17-1724</v>
      </c>
      <c r="H7362" t="str">
        <f>"A"</f>
        <v>A</v>
      </c>
    </row>
    <row r="7363" spans="1:8" x14ac:dyDescent="0.2">
      <c r="A7363" t="str">
        <f t="shared" si="2688"/>
        <v>0615008800</v>
      </c>
      <c r="B7363" t="str">
        <f t="shared" si="2689"/>
        <v>DANNA</v>
      </c>
      <c r="C7363" t="str">
        <f t="shared" si="2686"/>
        <v>HERNANDEZ</v>
      </c>
      <c r="D7363">
        <f>11</f>
        <v>11</v>
      </c>
      <c r="E7363" t="str">
        <f>"06 - B - 001 - Samantha J Headley"</f>
        <v>06 - B - 001 - Samantha J Headley</v>
      </c>
      <c r="F7363" t="str">
        <f>"MARINE SCI 1 HON"</f>
        <v>MARINE SCI 1 HON</v>
      </c>
      <c r="G7363" t="str">
        <f>"21-2134"</f>
        <v>21-2134</v>
      </c>
      <c r="H7363" t="str">
        <f>"B"</f>
        <v>B</v>
      </c>
    </row>
    <row r="7364" spans="1:8" x14ac:dyDescent="0.2">
      <c r="A7364" t="str">
        <f t="shared" si="2688"/>
        <v>0615008800</v>
      </c>
      <c r="B7364" t="str">
        <f t="shared" si="2689"/>
        <v>DANNA</v>
      </c>
      <c r="C7364" t="str">
        <f t="shared" si="2686"/>
        <v>HERNANDEZ</v>
      </c>
      <c r="D7364">
        <f>11</f>
        <v>11</v>
      </c>
      <c r="E7364" t="str">
        <f>"03 - S1 - A - 102 - Angela S Adeshina-Morrison"</f>
        <v>03 - S1 - A - 102 - Angela S Adeshina-Morrison</v>
      </c>
      <c r="F7364" t="str">
        <f>"PEER COUN 1"</f>
        <v>PEER COUN 1</v>
      </c>
      <c r="G7364" t="str">
        <f>"05-518"</f>
        <v>05-518</v>
      </c>
      <c r="H7364" t="str">
        <f>"A"</f>
        <v>A</v>
      </c>
    </row>
    <row r="7365" spans="1:8" x14ac:dyDescent="0.2">
      <c r="A7365" t="str">
        <f t="shared" si="2688"/>
        <v>0615008800</v>
      </c>
      <c r="B7365" t="str">
        <f t="shared" si="2689"/>
        <v>DANNA</v>
      </c>
      <c r="C7365" t="str">
        <f t="shared" si="2686"/>
        <v>HERNANDEZ</v>
      </c>
      <c r="D7365">
        <f>11</f>
        <v>11</v>
      </c>
      <c r="E7365" t="str">
        <f>"02 - A - 112 - Brandy N Zdenek"</f>
        <v>02 - A - 112 - Brandy N Zdenek</v>
      </c>
      <c r="F7365" t="str">
        <f>"NC STUDY HALL 1"</f>
        <v>NC STUDY HALL 1</v>
      </c>
      <c r="G7365" t="str">
        <f>"17-1704"</f>
        <v>17-1704</v>
      </c>
      <c r="H7365" t="str">
        <f>"A"</f>
        <v>A</v>
      </c>
    </row>
    <row r="7366" spans="1:8" x14ac:dyDescent="0.2">
      <c r="A7366" t="str">
        <f t="shared" si="2688"/>
        <v>0615008800</v>
      </c>
      <c r="B7366" t="str">
        <f t="shared" si="2689"/>
        <v>DANNA</v>
      </c>
      <c r="C7366" t="str">
        <f t="shared" si="2686"/>
        <v>HERNANDEZ</v>
      </c>
      <c r="D7366">
        <f>11</f>
        <v>11</v>
      </c>
      <c r="E7366" t="str">
        <f>"07 - B - 107 - Adam Marcus  Drucker"</f>
        <v>07 - B - 107 - Adam Marcus  Drucker</v>
      </c>
      <c r="F7366" t="str">
        <f>"HOPE-PE V"</f>
        <v>HOPE-PE V</v>
      </c>
      <c r="G7366" t="str">
        <f>"04-254"</f>
        <v>04-254</v>
      </c>
      <c r="H7366" t="str">
        <f>"B"</f>
        <v>B</v>
      </c>
    </row>
    <row r="7367" spans="1:8" x14ac:dyDescent="0.2">
      <c r="A7367" t="str">
        <f t="shared" si="2688"/>
        <v>0615008800</v>
      </c>
      <c r="B7367" t="str">
        <f t="shared" si="2689"/>
        <v>DANNA</v>
      </c>
      <c r="C7367" t="str">
        <f t="shared" si="2686"/>
        <v>HERNANDEZ</v>
      </c>
      <c r="D7367">
        <f>11</f>
        <v>11</v>
      </c>
      <c r="E7367" t="str">
        <f>"05 - B - 106 - Milca  Exantus"</f>
        <v>05 - B - 106 - Milca  Exantus</v>
      </c>
      <c r="F7367" t="str">
        <f>"MATH COLLEGE LIB ART"</f>
        <v>MATH COLLEGE LIB ART</v>
      </c>
      <c r="G7367" t="str">
        <f>"21-2145"</f>
        <v>21-2145</v>
      </c>
      <c r="H7367" t="str">
        <f>"B"</f>
        <v>B</v>
      </c>
    </row>
    <row r="7368" spans="1:8" x14ac:dyDescent="0.2">
      <c r="A7368" t="str">
        <f t="shared" si="2688"/>
        <v>0615008800</v>
      </c>
      <c r="B7368" t="str">
        <f t="shared" si="2689"/>
        <v>DANNA</v>
      </c>
      <c r="C7368" t="str">
        <f t="shared" si="2686"/>
        <v>HERNANDEZ</v>
      </c>
      <c r="D7368">
        <f>11</f>
        <v>11</v>
      </c>
      <c r="E7368" t="str">
        <f>"01 - A - 101 - Kyle  Robbins"</f>
        <v>01 - A - 101 - Kyle  Robbins</v>
      </c>
      <c r="F7368" t="str">
        <f>"US HISTORY"</f>
        <v>US HISTORY</v>
      </c>
      <c r="G7368" t="str">
        <f>"17-1745"</f>
        <v>17-1745</v>
      </c>
      <c r="H7368" t="str">
        <f>"A"</f>
        <v>A</v>
      </c>
    </row>
    <row r="7369" spans="1:8" x14ac:dyDescent="0.2">
      <c r="A7369" t="str">
        <f t="shared" si="2688"/>
        <v>0615008800</v>
      </c>
      <c r="B7369" t="str">
        <f t="shared" si="2689"/>
        <v>DANNA</v>
      </c>
      <c r="C7369" t="str">
        <f t="shared" si="2686"/>
        <v>HERNANDEZ</v>
      </c>
      <c r="D7369">
        <f>11</f>
        <v>11</v>
      </c>
      <c r="E7369" t="str">
        <f>"08 - B - 102 - Robert H Rindner"</f>
        <v>08 - B - 102 - Robert H Rindner</v>
      </c>
      <c r="F7369" t="str">
        <f>"TV PRODUCTION TECH 1"</f>
        <v>TV PRODUCTION TECH 1</v>
      </c>
      <c r="G7369" t="str">
        <f>"21-2160"</f>
        <v>21-2160</v>
      </c>
      <c r="H7369" t="str">
        <f>"B"</f>
        <v>B</v>
      </c>
    </row>
    <row r="7370" spans="1:8" x14ac:dyDescent="0.2">
      <c r="A7370" t="str">
        <f t="shared" ref="A7370:A7377" si="2690">"0616152573"</f>
        <v>0616152573</v>
      </c>
      <c r="B7370" t="str">
        <f t="shared" ref="B7370:B7377" si="2691">"EBER"</f>
        <v>EBER</v>
      </c>
      <c r="C7370" t="str">
        <f t="shared" si="2686"/>
        <v>HERNANDEZ</v>
      </c>
      <c r="D7370" t="str">
        <f t="shared" ref="D7370:D7377" si="2692">"09"</f>
        <v>09</v>
      </c>
      <c r="E7370" t="str">
        <f>"04 - A - 103 - Lenecy  Nodarse"</f>
        <v>04 - A - 103 - Lenecy  Nodarse</v>
      </c>
      <c r="F7370" t="str">
        <f>"WORLD HISTORY"</f>
        <v>WORLD HISTORY</v>
      </c>
      <c r="G7370" t="str">
        <f>"17-1741"</f>
        <v>17-1741</v>
      </c>
      <c r="H7370" t="str">
        <f>"A"</f>
        <v>A</v>
      </c>
    </row>
    <row r="7371" spans="1:8" x14ac:dyDescent="0.2">
      <c r="A7371" t="str">
        <f t="shared" si="2690"/>
        <v>0616152573</v>
      </c>
      <c r="B7371" t="str">
        <f t="shared" si="2691"/>
        <v>EBER</v>
      </c>
      <c r="C7371" t="str">
        <f t="shared" si="2686"/>
        <v>HERNANDEZ</v>
      </c>
      <c r="D7371" t="str">
        <f t="shared" si="2692"/>
        <v>09</v>
      </c>
      <c r="E7371" t="str">
        <f>"06 - B - 104 - Laselleda D Shaw"</f>
        <v>06 - B - 104 - Laselleda D Shaw</v>
      </c>
      <c r="F7371" t="str">
        <f>"INTENS READ 1"</f>
        <v>INTENS READ 1</v>
      </c>
      <c r="G7371" t="str">
        <f>"17-1723"</f>
        <v>17-1723</v>
      </c>
      <c r="H7371" t="str">
        <f>"B"</f>
        <v>B</v>
      </c>
    </row>
    <row r="7372" spans="1:8" x14ac:dyDescent="0.2">
      <c r="A7372" t="str">
        <f t="shared" si="2690"/>
        <v>0616152573</v>
      </c>
      <c r="B7372" t="str">
        <f t="shared" si="2691"/>
        <v>EBER</v>
      </c>
      <c r="C7372" t="str">
        <f t="shared" si="2686"/>
        <v>HERNANDEZ</v>
      </c>
      <c r="D7372" t="str">
        <f t="shared" si="2692"/>
        <v>09</v>
      </c>
      <c r="E7372" t="str">
        <f>"03 - A - 101 - Milca  Exantus"</f>
        <v>03 - A - 101 - Milca  Exantus</v>
      </c>
      <c r="F7372" t="str">
        <f>"ALGEBRA 1-A"</f>
        <v>ALGEBRA 1-A</v>
      </c>
      <c r="G7372" t="str">
        <f>"21-2145"</f>
        <v>21-2145</v>
      </c>
      <c r="H7372" t="str">
        <f>"A"</f>
        <v>A</v>
      </c>
    </row>
    <row r="7373" spans="1:8" x14ac:dyDescent="0.2">
      <c r="A7373" t="str">
        <f t="shared" si="2690"/>
        <v>0616152573</v>
      </c>
      <c r="B7373" t="str">
        <f t="shared" si="2691"/>
        <v>EBER</v>
      </c>
      <c r="C7373" t="str">
        <f t="shared" si="2686"/>
        <v>HERNANDEZ</v>
      </c>
      <c r="D7373" t="str">
        <f t="shared" si="2692"/>
        <v>09</v>
      </c>
      <c r="E7373" t="str">
        <f>"02 - A - 101 - Josiah I Lacy"</f>
        <v>02 - A - 101 - Josiah I Lacy</v>
      </c>
      <c r="F7373" t="str">
        <f>"NC STUDY HALL 1"</f>
        <v>NC STUDY HALL 1</v>
      </c>
      <c r="G7373" t="str">
        <f>"08-801"</f>
        <v>08-801</v>
      </c>
      <c r="H7373" t="str">
        <f>"A"</f>
        <v>A</v>
      </c>
    </row>
    <row r="7374" spans="1:8" x14ac:dyDescent="0.2">
      <c r="A7374" t="str">
        <f t="shared" si="2690"/>
        <v>0616152573</v>
      </c>
      <c r="B7374" t="str">
        <f t="shared" si="2691"/>
        <v>EBER</v>
      </c>
      <c r="C7374" t="str">
        <f t="shared" si="2686"/>
        <v>HERNANDEZ</v>
      </c>
      <c r="D7374" t="str">
        <f t="shared" si="2692"/>
        <v>09</v>
      </c>
      <c r="E7374" t="str">
        <f>"07 - B - 107 - Cerine S Stewart"</f>
        <v>07 - B - 107 - Cerine S Stewart</v>
      </c>
      <c r="F7374" t="str">
        <f>"ENG 1"</f>
        <v>ENG 1</v>
      </c>
      <c r="G7374" t="str">
        <f>"17-1720"</f>
        <v>17-1720</v>
      </c>
      <c r="H7374" t="str">
        <f>"B"</f>
        <v>B</v>
      </c>
    </row>
    <row r="7375" spans="1:8" x14ac:dyDescent="0.2">
      <c r="A7375" t="str">
        <f t="shared" si="2690"/>
        <v>0616152573</v>
      </c>
      <c r="B7375" t="str">
        <f t="shared" si="2691"/>
        <v>EBER</v>
      </c>
      <c r="C7375" t="str">
        <f t="shared" si="2686"/>
        <v>HERNANDEZ</v>
      </c>
      <c r="D7375" t="str">
        <f t="shared" si="2692"/>
        <v>09</v>
      </c>
      <c r="E7375" t="str">
        <f>"05 - B - 201 - Jazmin S Fletcher"</f>
        <v>05 - B - 201 - Jazmin S Fletcher</v>
      </c>
      <c r="F7375" t="str">
        <f>"THEATRE 1"</f>
        <v>THEATRE 1</v>
      </c>
      <c r="G7375" t="str">
        <f>"09-909"</f>
        <v>09-909</v>
      </c>
      <c r="H7375" t="str">
        <f>"B"</f>
        <v>B</v>
      </c>
    </row>
    <row r="7376" spans="1:8" x14ac:dyDescent="0.2">
      <c r="A7376" t="str">
        <f t="shared" si="2690"/>
        <v>0616152573</v>
      </c>
      <c r="B7376" t="str">
        <f t="shared" si="2691"/>
        <v>EBER</v>
      </c>
      <c r="C7376" t="str">
        <f t="shared" si="2686"/>
        <v>HERNANDEZ</v>
      </c>
      <c r="D7376" t="str">
        <f t="shared" si="2692"/>
        <v>09</v>
      </c>
      <c r="E7376" t="str">
        <f>"01 - A - 101 - Adam Marcus  Drucker"</f>
        <v>01 - A - 101 - Adam Marcus  Drucker</v>
      </c>
      <c r="F7376" t="str">
        <f>"HOPE-PE V"</f>
        <v>HOPE-PE V</v>
      </c>
      <c r="G7376" t="str">
        <f>"04-254"</f>
        <v>04-254</v>
      </c>
      <c r="H7376" t="str">
        <f>"A"</f>
        <v>A</v>
      </c>
    </row>
    <row r="7377" spans="1:8" x14ac:dyDescent="0.2">
      <c r="A7377" t="str">
        <f t="shared" si="2690"/>
        <v>0616152573</v>
      </c>
      <c r="B7377" t="str">
        <f t="shared" si="2691"/>
        <v>EBER</v>
      </c>
      <c r="C7377" t="str">
        <f t="shared" si="2686"/>
        <v>HERNANDEZ</v>
      </c>
      <c r="D7377" t="str">
        <f t="shared" si="2692"/>
        <v>09</v>
      </c>
      <c r="E7377" t="str">
        <f>"08 - B - 105 - Samantha J Headley"</f>
        <v>08 - B - 105 - Samantha J Headley</v>
      </c>
      <c r="F7377" t="str">
        <f>"ENV SCI"</f>
        <v>ENV SCI</v>
      </c>
      <c r="G7377" t="str">
        <f>"08-802"</f>
        <v>08-802</v>
      </c>
      <c r="H7377" t="str">
        <f>"B"</f>
        <v>B</v>
      </c>
    </row>
    <row r="7378" spans="1:8" x14ac:dyDescent="0.2">
      <c r="A7378" t="str">
        <f t="shared" ref="A7378:A7385" si="2693">"0616017394"</f>
        <v>0616017394</v>
      </c>
      <c r="B7378" t="str">
        <f t="shared" ref="B7378:B7385" si="2694">"FATIMA"</f>
        <v>FATIMA</v>
      </c>
      <c r="C7378" t="str">
        <f t="shared" ref="C7378:C7409" si="2695">"HERNANDEZ"</f>
        <v>HERNANDEZ</v>
      </c>
      <c r="D7378">
        <f>12</f>
        <v>12</v>
      </c>
      <c r="E7378" t="str">
        <f>"04 - S1 - A - 105 - Robert O Burger"</f>
        <v>04 - S1 - A - 105 - Robert O Burger</v>
      </c>
      <c r="F7378" t="str">
        <f>"US GOVT"</f>
        <v>US GOVT</v>
      </c>
      <c r="G7378" t="str">
        <f>"17-1755"</f>
        <v>17-1755</v>
      </c>
      <c r="H7378" t="str">
        <f>"A"</f>
        <v>A</v>
      </c>
    </row>
    <row r="7379" spans="1:8" x14ac:dyDescent="0.2">
      <c r="A7379" t="str">
        <f t="shared" si="2693"/>
        <v>0616017394</v>
      </c>
      <c r="B7379" t="str">
        <f t="shared" si="2694"/>
        <v>FATIMA</v>
      </c>
      <c r="C7379" t="str">
        <f t="shared" si="2695"/>
        <v>HERNANDEZ</v>
      </c>
      <c r="D7379">
        <f>12</f>
        <v>12</v>
      </c>
      <c r="E7379" t="str">
        <f>"06 - B - 108 - Jacquelyn M Neeson"</f>
        <v>06 - B - 108 - Jacquelyn M Neeson</v>
      </c>
      <c r="F7379" t="str">
        <f>"NC STUDY HALL 1"</f>
        <v>NC STUDY HALL 1</v>
      </c>
      <c r="G7379" t="str">
        <f>"17-1715"</f>
        <v>17-1715</v>
      </c>
      <c r="H7379" t="str">
        <f>"B"</f>
        <v>B</v>
      </c>
    </row>
    <row r="7380" spans="1:8" x14ac:dyDescent="0.2">
      <c r="A7380" t="str">
        <f t="shared" si="2693"/>
        <v>0616017394</v>
      </c>
      <c r="B7380" t="str">
        <f t="shared" si="2694"/>
        <v>FATIMA</v>
      </c>
      <c r="C7380" t="str">
        <f t="shared" si="2695"/>
        <v>HERNANDEZ</v>
      </c>
      <c r="D7380">
        <f>12</f>
        <v>12</v>
      </c>
      <c r="E7380" t="str">
        <f>"03 - A - 103 - Adam Marcus  Drucker"</f>
        <v>03 - A - 103 - Adam Marcus  Drucker</v>
      </c>
      <c r="F7380" t="str">
        <f>"HOPE-PE V"</f>
        <v>HOPE-PE V</v>
      </c>
      <c r="G7380" t="str">
        <f>"04-254"</f>
        <v>04-254</v>
      </c>
      <c r="H7380" t="str">
        <f>"A"</f>
        <v>A</v>
      </c>
    </row>
    <row r="7381" spans="1:8" x14ac:dyDescent="0.2">
      <c r="A7381" t="str">
        <f t="shared" si="2693"/>
        <v>0616017394</v>
      </c>
      <c r="B7381" t="str">
        <f t="shared" si="2694"/>
        <v>FATIMA</v>
      </c>
      <c r="C7381" t="str">
        <f t="shared" si="2695"/>
        <v>HERNANDEZ</v>
      </c>
      <c r="D7381">
        <f>12</f>
        <v>12</v>
      </c>
      <c r="E7381" t="str">
        <f>"02 - A - 101 - Brian M Fitzgerald"</f>
        <v>02 - A - 101 - Brian M Fitzgerald</v>
      </c>
      <c r="F7381" t="str">
        <f>"DRAW 1"</f>
        <v>DRAW 1</v>
      </c>
      <c r="G7381" t="str">
        <f>"09-908"</f>
        <v>09-908</v>
      </c>
      <c r="H7381" t="str">
        <f>"A"</f>
        <v>A</v>
      </c>
    </row>
    <row r="7382" spans="1:8" x14ac:dyDescent="0.2">
      <c r="A7382" t="str">
        <f t="shared" si="2693"/>
        <v>0616017394</v>
      </c>
      <c r="B7382" t="str">
        <f t="shared" si="2694"/>
        <v>FATIMA</v>
      </c>
      <c r="C7382" t="str">
        <f t="shared" si="2695"/>
        <v>HERNANDEZ</v>
      </c>
      <c r="D7382">
        <f>12</f>
        <v>12</v>
      </c>
      <c r="E7382" t="str">
        <f>"07 - B - 105 - Robert H Rindner"</f>
        <v>07 - B - 105 - Robert H Rindner</v>
      </c>
      <c r="F7382" t="str">
        <f>"MATH DATA&amp;FIN LIT H"</f>
        <v>MATH DATA&amp;FIN LIT H</v>
      </c>
      <c r="G7382" t="str">
        <f>"21-2160"</f>
        <v>21-2160</v>
      </c>
      <c r="H7382" t="str">
        <f>"B"</f>
        <v>B</v>
      </c>
    </row>
    <row r="7383" spans="1:8" x14ac:dyDescent="0.2">
      <c r="A7383" t="str">
        <f t="shared" si="2693"/>
        <v>0616017394</v>
      </c>
      <c r="B7383" t="str">
        <f t="shared" si="2694"/>
        <v>FATIMA</v>
      </c>
      <c r="C7383" t="str">
        <f t="shared" si="2695"/>
        <v>HERNANDEZ</v>
      </c>
      <c r="D7383">
        <f>12</f>
        <v>12</v>
      </c>
      <c r="E7383" t="str">
        <f>"05 - B - 102 - Robyn L Trainer"</f>
        <v>05 - B - 102 - Robyn L Trainer</v>
      </c>
      <c r="F7383" t="str">
        <f>"ENG 4"</f>
        <v>ENG 4</v>
      </c>
      <c r="G7383" t="str">
        <f>"17-1734"</f>
        <v>17-1734</v>
      </c>
      <c r="H7383" t="str">
        <f>"B"</f>
        <v>B</v>
      </c>
    </row>
    <row r="7384" spans="1:8" x14ac:dyDescent="0.2">
      <c r="A7384" t="str">
        <f t="shared" si="2693"/>
        <v>0616017394</v>
      </c>
      <c r="B7384" t="str">
        <f t="shared" si="2694"/>
        <v>FATIMA</v>
      </c>
      <c r="C7384" t="str">
        <f t="shared" si="2695"/>
        <v>HERNANDEZ</v>
      </c>
      <c r="D7384">
        <f>12</f>
        <v>12</v>
      </c>
      <c r="E7384" t="str">
        <f>"01 - A - 101 - Cliffon  Saurel"</f>
        <v>01 - A - 101 - Cliffon  Saurel</v>
      </c>
      <c r="F7384" t="str">
        <f>"PHYSICAL SCI"</f>
        <v>PHYSICAL SCI</v>
      </c>
      <c r="G7384" t="str">
        <f>"05-522"</f>
        <v>05-522</v>
      </c>
      <c r="H7384" t="str">
        <f>"A"</f>
        <v>A</v>
      </c>
    </row>
    <row r="7385" spans="1:8" x14ac:dyDescent="0.2">
      <c r="A7385" t="str">
        <f t="shared" si="2693"/>
        <v>0616017394</v>
      </c>
      <c r="B7385" t="str">
        <f t="shared" si="2694"/>
        <v>FATIMA</v>
      </c>
      <c r="C7385" t="str">
        <f t="shared" si="2695"/>
        <v>HERNANDEZ</v>
      </c>
      <c r="D7385">
        <f>12</f>
        <v>12</v>
      </c>
      <c r="E7385" t="str">
        <f>"08 - B - 101 - Staci M Newton"</f>
        <v>08 - B - 101 - Staci M Newton</v>
      </c>
      <c r="F7385" t="str">
        <f>"PEER/PARTNERS LRN LH"</f>
        <v>PEER/PARTNERS LRN LH</v>
      </c>
      <c r="G7385" t="str">
        <f>"21-2103"</f>
        <v>21-2103</v>
      </c>
      <c r="H7385" t="str">
        <f>"B"</f>
        <v>B</v>
      </c>
    </row>
    <row r="7386" spans="1:8" x14ac:dyDescent="0.2">
      <c r="A7386" t="str">
        <f t="shared" ref="A7386:A7393" si="2696">"0619028354"</f>
        <v>0619028354</v>
      </c>
      <c r="B7386" t="str">
        <f t="shared" ref="B7386:B7393" si="2697">"JENNIFER"</f>
        <v>JENNIFER</v>
      </c>
      <c r="C7386" t="str">
        <f t="shared" si="2695"/>
        <v>HERNANDEZ</v>
      </c>
      <c r="D7386">
        <f>12</f>
        <v>12</v>
      </c>
      <c r="E7386" t="str">
        <f>"04 - A - 101 - Pamela M Corzo"</f>
        <v>04 - A - 101 - Pamela M Corzo</v>
      </c>
      <c r="F7386" t="str">
        <f>"CALCULUS HON"</f>
        <v>CALCULUS HON</v>
      </c>
      <c r="G7386" t="str">
        <f>"21-2133"</f>
        <v>21-2133</v>
      </c>
      <c r="H7386" t="str">
        <f>"A"</f>
        <v>A</v>
      </c>
    </row>
    <row r="7387" spans="1:8" x14ac:dyDescent="0.2">
      <c r="A7387" t="str">
        <f t="shared" si="2696"/>
        <v>0619028354</v>
      </c>
      <c r="B7387" t="str">
        <f t="shared" si="2697"/>
        <v>JENNIFER</v>
      </c>
      <c r="C7387" t="str">
        <f t="shared" si="2695"/>
        <v>HERNANDEZ</v>
      </c>
      <c r="D7387">
        <f>12</f>
        <v>12</v>
      </c>
      <c r="E7387" t="str">
        <f>"06 - B - 107 - Pamela M Corzo"</f>
        <v>06 - B - 107 - Pamela M Corzo</v>
      </c>
      <c r="F7387" t="str">
        <f>"NC STUDY HALL 1"</f>
        <v>NC STUDY HALL 1</v>
      </c>
      <c r="G7387" t="str">
        <f>"21-2133"</f>
        <v>21-2133</v>
      </c>
      <c r="H7387" t="str">
        <f>"B"</f>
        <v>B</v>
      </c>
    </row>
    <row r="7388" spans="1:8" x14ac:dyDescent="0.2">
      <c r="A7388" t="str">
        <f t="shared" si="2696"/>
        <v>0619028354</v>
      </c>
      <c r="B7388" t="str">
        <f t="shared" si="2697"/>
        <v>JENNIFER</v>
      </c>
      <c r="C7388" t="str">
        <f t="shared" si="2695"/>
        <v>HERNANDEZ</v>
      </c>
      <c r="D7388">
        <f>12</f>
        <v>12</v>
      </c>
      <c r="E7388" t="str">
        <f>"03 - A - 101 - Dorothy D Moore"</f>
        <v>03 - A - 101 - Dorothy D Moore</v>
      </c>
      <c r="F7388" t="str">
        <f>"FORC SCI 1 LH"</f>
        <v>FORC SCI 1 LH</v>
      </c>
      <c r="G7388" t="str">
        <f>"08-803"</f>
        <v>08-803</v>
      </c>
      <c r="H7388" t="str">
        <f>"A"</f>
        <v>A</v>
      </c>
    </row>
    <row r="7389" spans="1:8" x14ac:dyDescent="0.2">
      <c r="A7389" t="str">
        <f t="shared" si="2696"/>
        <v>0619028354</v>
      </c>
      <c r="B7389" t="str">
        <f t="shared" si="2697"/>
        <v>JENNIFER</v>
      </c>
      <c r="C7389" t="str">
        <f t="shared" si="2695"/>
        <v>HERNANDEZ</v>
      </c>
      <c r="D7389">
        <f>12</f>
        <v>12</v>
      </c>
      <c r="E7389" t="str">
        <f>"02 - S1 - A - 103 - Barbara L Segal"</f>
        <v>02 - S1 - A - 103 - Barbara L Segal</v>
      </c>
      <c r="F7389" t="str">
        <f>"US GOVT HON"</f>
        <v>US GOVT HON</v>
      </c>
      <c r="G7389" t="str">
        <f>"17-1742"</f>
        <v>17-1742</v>
      </c>
      <c r="H7389" t="str">
        <f>"A"</f>
        <v>A</v>
      </c>
    </row>
    <row r="7390" spans="1:8" x14ac:dyDescent="0.2">
      <c r="A7390" t="str">
        <f t="shared" si="2696"/>
        <v>0619028354</v>
      </c>
      <c r="B7390" t="str">
        <f t="shared" si="2697"/>
        <v>JENNIFER</v>
      </c>
      <c r="C7390" t="str">
        <f t="shared" si="2695"/>
        <v>HERNANDEZ</v>
      </c>
      <c r="D7390">
        <f>12</f>
        <v>12</v>
      </c>
      <c r="E7390" t="str">
        <f>"07 - B - 105 - Josiah I Lacy"</f>
        <v>07 - B - 105 - Josiah I Lacy</v>
      </c>
      <c r="F7390" t="str">
        <f>"ANAT PHYSIO HON"</f>
        <v>ANAT PHYSIO HON</v>
      </c>
      <c r="G7390" t="str">
        <f>"08-801"</f>
        <v>08-801</v>
      </c>
      <c r="H7390" t="str">
        <f>"B"</f>
        <v>B</v>
      </c>
    </row>
    <row r="7391" spans="1:8" x14ac:dyDescent="0.2">
      <c r="A7391" t="str">
        <f t="shared" si="2696"/>
        <v>0619028354</v>
      </c>
      <c r="B7391" t="str">
        <f t="shared" si="2697"/>
        <v>JENNIFER</v>
      </c>
      <c r="C7391" t="str">
        <f t="shared" si="2695"/>
        <v>HERNANDEZ</v>
      </c>
      <c r="D7391">
        <f>12</f>
        <v>12</v>
      </c>
      <c r="E7391" t="str">
        <f>"05 - B - 201 - Lisa J London"</f>
        <v>05 - B - 201 - Lisa J London</v>
      </c>
      <c r="F7391" t="str">
        <f>"COMPRE LAW HON"</f>
        <v>COMPRE LAW HON</v>
      </c>
      <c r="G7391" t="str">
        <f>"17-1714"</f>
        <v>17-1714</v>
      </c>
      <c r="H7391" t="str">
        <f>"B"</f>
        <v>B</v>
      </c>
    </row>
    <row r="7392" spans="1:8" x14ac:dyDescent="0.2">
      <c r="A7392" t="str">
        <f t="shared" si="2696"/>
        <v>0619028354</v>
      </c>
      <c r="B7392" t="str">
        <f t="shared" si="2697"/>
        <v>JENNIFER</v>
      </c>
      <c r="C7392" t="str">
        <f t="shared" si="2695"/>
        <v>HERNANDEZ</v>
      </c>
      <c r="D7392">
        <f>12</f>
        <v>12</v>
      </c>
      <c r="E7392" t="str">
        <f>"01 - A - 101 - Norayda D Suarez"</f>
        <v>01 - A - 101 - Norayda D Suarez</v>
      </c>
      <c r="F7392" t="str">
        <f>"RESEARCH 1 LH"</f>
        <v>RESEARCH 1 LH</v>
      </c>
      <c r="G7392">
        <f>2041</f>
        <v>2041</v>
      </c>
      <c r="H7392" t="str">
        <f>"A"</f>
        <v>A</v>
      </c>
    </row>
    <row r="7393" spans="1:8" x14ac:dyDescent="0.2">
      <c r="A7393" t="str">
        <f t="shared" si="2696"/>
        <v>0619028354</v>
      </c>
      <c r="B7393" t="str">
        <f t="shared" si="2697"/>
        <v>JENNIFER</v>
      </c>
      <c r="C7393" t="str">
        <f t="shared" si="2695"/>
        <v>HERNANDEZ</v>
      </c>
      <c r="D7393">
        <f>12</f>
        <v>12</v>
      </c>
      <c r="E7393" t="str">
        <f>"08 - B - 105 - Jeffrey S Gallagher"</f>
        <v>08 - B - 105 - Jeffrey S Gallagher</v>
      </c>
      <c r="F7393" t="str">
        <f>"ENG HON 4"</f>
        <v>ENG HON 4</v>
      </c>
      <c r="G7393" t="str">
        <f>"17-1724"</f>
        <v>17-1724</v>
      </c>
      <c r="H7393" t="str">
        <f>"B"</f>
        <v>B</v>
      </c>
    </row>
    <row r="7394" spans="1:8" x14ac:dyDescent="0.2">
      <c r="A7394" t="str">
        <f t="shared" ref="A7394:A7401" si="2698">"0614037418"</f>
        <v>0614037418</v>
      </c>
      <c r="B7394" t="str">
        <f t="shared" ref="B7394:B7401" si="2699">"KAYLA"</f>
        <v>KAYLA</v>
      </c>
      <c r="C7394" t="str">
        <f t="shared" si="2695"/>
        <v>HERNANDEZ</v>
      </c>
      <c r="D7394">
        <f>11</f>
        <v>11</v>
      </c>
      <c r="E7394" t="str">
        <f>"04 - A - 102 - Jeffrey S Gallagher"</f>
        <v>04 - A - 102 - Jeffrey S Gallagher</v>
      </c>
      <c r="F7394" t="str">
        <f>"ENG HON 3"</f>
        <v>ENG HON 3</v>
      </c>
      <c r="G7394" t="str">
        <f>"17-1724"</f>
        <v>17-1724</v>
      </c>
      <c r="H7394" t="str">
        <f>"A"</f>
        <v>A</v>
      </c>
    </row>
    <row r="7395" spans="1:8" x14ac:dyDescent="0.2">
      <c r="A7395" t="str">
        <f t="shared" si="2698"/>
        <v>0614037418</v>
      </c>
      <c r="B7395" t="str">
        <f t="shared" si="2699"/>
        <v>KAYLA</v>
      </c>
      <c r="C7395" t="str">
        <f t="shared" si="2695"/>
        <v>HERNANDEZ</v>
      </c>
      <c r="D7395">
        <f>11</f>
        <v>11</v>
      </c>
      <c r="E7395" t="str">
        <f>"06 - B - 001 - Lourivaldo  Da Silva"</f>
        <v>06 - B - 001 - Lourivaldo  Da Silva</v>
      </c>
      <c r="F7395" t="str">
        <f>"PRE-CALCULUS HON"</f>
        <v>PRE-CALCULUS HON</v>
      </c>
      <c r="G7395" t="str">
        <f>"20-2079"</f>
        <v>20-2079</v>
      </c>
      <c r="H7395" t="str">
        <f>"B"</f>
        <v>B</v>
      </c>
    </row>
    <row r="7396" spans="1:8" x14ac:dyDescent="0.2">
      <c r="A7396" t="str">
        <f t="shared" si="2698"/>
        <v>0614037418</v>
      </c>
      <c r="B7396" t="str">
        <f t="shared" si="2699"/>
        <v>KAYLA</v>
      </c>
      <c r="C7396" t="str">
        <f t="shared" si="2695"/>
        <v>HERNANDEZ</v>
      </c>
      <c r="D7396">
        <f>11</f>
        <v>11</v>
      </c>
      <c r="E7396" t="str">
        <f>"03 - A - 201 - Emmily A Sarmiento"</f>
        <v>03 - A - 201 - Emmily A Sarmiento</v>
      </c>
      <c r="F7396" t="str">
        <f>"LEAD SKLS DEV LH"</f>
        <v>LEAD SKLS DEV LH</v>
      </c>
      <c r="G7396" t="str">
        <f>"17-1743"</f>
        <v>17-1743</v>
      </c>
      <c r="H7396" t="str">
        <f>"A"</f>
        <v>A</v>
      </c>
    </row>
    <row r="7397" spans="1:8" x14ac:dyDescent="0.2">
      <c r="A7397" t="str">
        <f t="shared" si="2698"/>
        <v>0614037418</v>
      </c>
      <c r="B7397" t="str">
        <f t="shared" si="2699"/>
        <v>KAYLA</v>
      </c>
      <c r="C7397" t="str">
        <f t="shared" si="2695"/>
        <v>HERNANDEZ</v>
      </c>
      <c r="D7397">
        <f>11</f>
        <v>11</v>
      </c>
      <c r="E7397" t="str">
        <f>"02 - A - 101 - Milca  Exantus"</f>
        <v>02 - A - 101 - Milca  Exantus</v>
      </c>
      <c r="F7397" t="str">
        <f>"NC STUDY HALL 1"</f>
        <v>NC STUDY HALL 1</v>
      </c>
      <c r="G7397" t="str">
        <f>"21-2145"</f>
        <v>21-2145</v>
      </c>
      <c r="H7397" t="str">
        <f>"A"</f>
        <v>A</v>
      </c>
    </row>
    <row r="7398" spans="1:8" x14ac:dyDescent="0.2">
      <c r="A7398" t="str">
        <f t="shared" si="2698"/>
        <v>0614037418</v>
      </c>
      <c r="B7398" t="str">
        <f t="shared" si="2699"/>
        <v>KAYLA</v>
      </c>
      <c r="C7398" t="str">
        <f t="shared" si="2695"/>
        <v>HERNANDEZ</v>
      </c>
      <c r="D7398">
        <f>11</f>
        <v>11</v>
      </c>
      <c r="E7398" t="str">
        <f>"07 - B - 108 - Lauren N Logan"</f>
        <v>07 - B - 108 - Lauren N Logan</v>
      </c>
      <c r="F7398" t="str">
        <f>"US HISTORY"</f>
        <v>US HISTORY</v>
      </c>
      <c r="G7398" t="str">
        <f>"17-1745"</f>
        <v>17-1745</v>
      </c>
      <c r="H7398" t="str">
        <f>"B"</f>
        <v>B</v>
      </c>
    </row>
    <row r="7399" spans="1:8" x14ac:dyDescent="0.2">
      <c r="A7399" t="str">
        <f t="shared" si="2698"/>
        <v>0614037418</v>
      </c>
      <c r="B7399" t="str">
        <f t="shared" si="2699"/>
        <v>KAYLA</v>
      </c>
      <c r="C7399" t="str">
        <f t="shared" si="2695"/>
        <v>HERNANDEZ</v>
      </c>
      <c r="D7399">
        <f>11</f>
        <v>11</v>
      </c>
      <c r="E7399" t="str">
        <f>"05 - B - 103 - Nahum  Saint-Preux"</f>
        <v>05 - B - 103 - Nahum  Saint-Preux</v>
      </c>
      <c r="F7399" t="str">
        <f>"INTENS READ 3"</f>
        <v>INTENS READ 3</v>
      </c>
      <c r="G7399" t="str">
        <f>"17-1712"</f>
        <v>17-1712</v>
      </c>
      <c r="H7399" t="str">
        <f>"B"</f>
        <v>B</v>
      </c>
    </row>
    <row r="7400" spans="1:8" x14ac:dyDescent="0.2">
      <c r="A7400" t="str">
        <f t="shared" si="2698"/>
        <v>0614037418</v>
      </c>
      <c r="B7400" t="str">
        <f t="shared" si="2699"/>
        <v>KAYLA</v>
      </c>
      <c r="C7400" t="str">
        <f t="shared" si="2695"/>
        <v>HERNANDEZ</v>
      </c>
      <c r="D7400">
        <f>11</f>
        <v>11</v>
      </c>
      <c r="E7400" t="str">
        <f>"01 - A - 001 - Dorothy D Moore"</f>
        <v>01 - A - 001 - Dorothy D Moore</v>
      </c>
      <c r="F7400" t="str">
        <f>"ANAT PHYSIO HON"</f>
        <v>ANAT PHYSIO HON</v>
      </c>
      <c r="G7400" t="str">
        <f>"08-803"</f>
        <v>08-803</v>
      </c>
      <c r="H7400" t="str">
        <f>"A"</f>
        <v>A</v>
      </c>
    </row>
    <row r="7401" spans="1:8" x14ac:dyDescent="0.2">
      <c r="A7401" t="str">
        <f t="shared" si="2698"/>
        <v>0614037418</v>
      </c>
      <c r="B7401" t="str">
        <f t="shared" si="2699"/>
        <v>KAYLA</v>
      </c>
      <c r="C7401" t="str">
        <f t="shared" si="2695"/>
        <v>HERNANDEZ</v>
      </c>
      <c r="D7401">
        <f>11</f>
        <v>11</v>
      </c>
      <c r="E7401" t="str">
        <f>"08 - B - 101 - Eva T Rimmer"</f>
        <v>08 - B - 101 - Eva T Rimmer</v>
      </c>
      <c r="F7401" t="str">
        <f>"CRIM JUST OPS 3 HON"</f>
        <v>CRIM JUST OPS 3 HON</v>
      </c>
      <c r="G7401" t="str">
        <f>"05-523"</f>
        <v>05-523</v>
      </c>
      <c r="H7401" t="str">
        <f>"B"</f>
        <v>B</v>
      </c>
    </row>
    <row r="7402" spans="1:8" x14ac:dyDescent="0.2">
      <c r="A7402" t="str">
        <f t="shared" ref="A7402:A7409" si="2700">"0615139849"</f>
        <v>0615139849</v>
      </c>
      <c r="B7402" t="str">
        <f t="shared" ref="B7402:B7409" si="2701">"LEANNA"</f>
        <v>LEANNA</v>
      </c>
      <c r="C7402" t="str">
        <f t="shared" si="2695"/>
        <v>HERNANDEZ</v>
      </c>
      <c r="D7402">
        <f>10</f>
        <v>10</v>
      </c>
      <c r="E7402" t="str">
        <f>"04 - A - 102 - Eva T Rimmer"</f>
        <v>04 - A - 102 - Eva T Rimmer</v>
      </c>
      <c r="F7402" t="str">
        <f>"CRIMINAL JUST OPS 1"</f>
        <v>CRIMINAL JUST OPS 1</v>
      </c>
      <c r="G7402" t="str">
        <f>"05-523"</f>
        <v>05-523</v>
      </c>
      <c r="H7402" t="str">
        <f>"A"</f>
        <v>A</v>
      </c>
    </row>
    <row r="7403" spans="1:8" x14ac:dyDescent="0.2">
      <c r="A7403" t="str">
        <f t="shared" si="2700"/>
        <v>0615139849</v>
      </c>
      <c r="B7403" t="str">
        <f t="shared" si="2701"/>
        <v>LEANNA</v>
      </c>
      <c r="C7403" t="str">
        <f t="shared" si="2695"/>
        <v>HERNANDEZ</v>
      </c>
      <c r="D7403">
        <f>10</f>
        <v>10</v>
      </c>
      <c r="E7403" t="str">
        <f>"06 - B - 110 - Jerry S Jiampetti"</f>
        <v>06 - B - 110 - Jerry S Jiampetti</v>
      </c>
      <c r="F7403" t="str">
        <f>"NC STUDY HALL 1"</f>
        <v>NC STUDY HALL 1</v>
      </c>
      <c r="G7403" t="str">
        <f>"17-1751"</f>
        <v>17-1751</v>
      </c>
      <c r="H7403" t="str">
        <f>"B"</f>
        <v>B</v>
      </c>
    </row>
    <row r="7404" spans="1:8" x14ac:dyDescent="0.2">
      <c r="A7404" t="str">
        <f t="shared" si="2700"/>
        <v>0615139849</v>
      </c>
      <c r="B7404" t="str">
        <f t="shared" si="2701"/>
        <v>LEANNA</v>
      </c>
      <c r="C7404" t="str">
        <f t="shared" si="2695"/>
        <v>HERNANDEZ</v>
      </c>
      <c r="D7404">
        <f>10</f>
        <v>10</v>
      </c>
      <c r="E7404" t="str">
        <f>"03 - A - 002 - Nikiel  Nesbeth"</f>
        <v>03 - A - 002 - Nikiel  Nesbeth</v>
      </c>
      <c r="F7404" t="str">
        <f>"PRE-AICE ENG LIT IG"</f>
        <v>PRE-AICE ENG LIT IG</v>
      </c>
      <c r="G7404" t="str">
        <f>"17-1705"</f>
        <v>17-1705</v>
      </c>
      <c r="H7404" t="str">
        <f>"A"</f>
        <v>A</v>
      </c>
    </row>
    <row r="7405" spans="1:8" x14ac:dyDescent="0.2">
      <c r="A7405" t="str">
        <f t="shared" si="2700"/>
        <v>0615139849</v>
      </c>
      <c r="B7405" t="str">
        <f t="shared" si="2701"/>
        <v>LEANNA</v>
      </c>
      <c r="C7405" t="str">
        <f t="shared" si="2695"/>
        <v>HERNANDEZ</v>
      </c>
      <c r="D7405">
        <f>10</f>
        <v>10</v>
      </c>
      <c r="E7405" t="str">
        <f>"02 - S1 - A - 102 - Richard E Dunbar Iii"</f>
        <v>02 - S1 - A - 102 - Richard E Dunbar Iii</v>
      </c>
      <c r="F7405" t="str">
        <f>"WEIGHT TRAIN 1"</f>
        <v>WEIGHT TRAIN 1</v>
      </c>
      <c r="G7405" t="str">
        <f>"05-501"</f>
        <v>05-501</v>
      </c>
      <c r="H7405" t="str">
        <f>"A"</f>
        <v>A</v>
      </c>
    </row>
    <row r="7406" spans="1:8" x14ac:dyDescent="0.2">
      <c r="A7406" t="str">
        <f t="shared" si="2700"/>
        <v>0615139849</v>
      </c>
      <c r="B7406" t="str">
        <f t="shared" si="2701"/>
        <v>LEANNA</v>
      </c>
      <c r="C7406" t="str">
        <f t="shared" si="2695"/>
        <v>HERNANDEZ</v>
      </c>
      <c r="D7406">
        <f>10</f>
        <v>10</v>
      </c>
      <c r="E7406" t="str">
        <f>"07 - B - 204 - Scott A Dethloff"</f>
        <v>07 - B - 204 - Scott A Dethloff</v>
      </c>
      <c r="F7406" t="str">
        <f>"CHEMISTRY 1"</f>
        <v>CHEMISTRY 1</v>
      </c>
      <c r="G7406" t="str">
        <f>"08-812"</f>
        <v>08-812</v>
      </c>
      <c r="H7406" t="str">
        <f>"B"</f>
        <v>B</v>
      </c>
    </row>
    <row r="7407" spans="1:8" x14ac:dyDescent="0.2">
      <c r="A7407" t="str">
        <f t="shared" si="2700"/>
        <v>0615139849</v>
      </c>
      <c r="B7407" t="str">
        <f t="shared" si="2701"/>
        <v>LEANNA</v>
      </c>
      <c r="C7407" t="str">
        <f t="shared" si="2695"/>
        <v>HERNANDEZ</v>
      </c>
      <c r="D7407">
        <f>10</f>
        <v>10</v>
      </c>
      <c r="E7407" t="str">
        <f>"05 - B - 103 - Rory T Sponsler"</f>
        <v>05 - B - 103 - Rory T Sponsler</v>
      </c>
      <c r="F7407" t="str">
        <f>"PRE-AICE WRLD HST IG"</f>
        <v>PRE-AICE WRLD HST IG</v>
      </c>
      <c r="G7407" t="str">
        <f>"17-1740"</f>
        <v>17-1740</v>
      </c>
      <c r="H7407" t="str">
        <f>"B"</f>
        <v>B</v>
      </c>
    </row>
    <row r="7408" spans="1:8" x14ac:dyDescent="0.2">
      <c r="A7408" t="str">
        <f t="shared" si="2700"/>
        <v>0615139849</v>
      </c>
      <c r="B7408" t="str">
        <f t="shared" si="2701"/>
        <v>LEANNA</v>
      </c>
      <c r="C7408" t="str">
        <f t="shared" si="2695"/>
        <v>HERNANDEZ</v>
      </c>
      <c r="D7408">
        <f>10</f>
        <v>10</v>
      </c>
      <c r="E7408" t="str">
        <f>"01 - A - 101 - Maried P Ramos"</f>
        <v>01 - A - 101 - Maried P Ramos</v>
      </c>
      <c r="F7408" t="str">
        <f>"ALGEBRA 2 HON"</f>
        <v>ALGEBRA 2 HON</v>
      </c>
      <c r="G7408" t="str">
        <f>"21-2159"</f>
        <v>21-2159</v>
      </c>
      <c r="H7408" t="str">
        <f>"A"</f>
        <v>A</v>
      </c>
    </row>
    <row r="7409" spans="1:8" x14ac:dyDescent="0.2">
      <c r="A7409" t="str">
        <f t="shared" si="2700"/>
        <v>0615139849</v>
      </c>
      <c r="B7409" t="str">
        <f t="shared" si="2701"/>
        <v>LEANNA</v>
      </c>
      <c r="C7409" t="str">
        <f t="shared" si="2695"/>
        <v>HERNANDEZ</v>
      </c>
      <c r="D7409">
        <f>10</f>
        <v>10</v>
      </c>
      <c r="E7409" t="str">
        <f>"08 - B - 101 - Staci M Newton"</f>
        <v>08 - B - 101 - Staci M Newton</v>
      </c>
      <c r="F7409" t="str">
        <f>"PEER/PARTNERS LRN LH"</f>
        <v>PEER/PARTNERS LRN LH</v>
      </c>
      <c r="G7409" t="str">
        <f>"21-2103"</f>
        <v>21-2103</v>
      </c>
      <c r="H7409" t="str">
        <f>"B"</f>
        <v>B</v>
      </c>
    </row>
    <row r="7410" spans="1:8" x14ac:dyDescent="0.2">
      <c r="A7410" t="str">
        <f t="shared" ref="A7410:A7417" si="2702">"0614100348"</f>
        <v>0614100348</v>
      </c>
      <c r="B7410" t="str">
        <f t="shared" ref="B7410:B7417" si="2703">"MARIYA"</f>
        <v>MARIYA</v>
      </c>
      <c r="C7410" t="str">
        <f t="shared" ref="C7410:C7425" si="2704">"HERNANDEZ"</f>
        <v>HERNANDEZ</v>
      </c>
      <c r="D7410">
        <f>11</f>
        <v>11</v>
      </c>
      <c r="E7410" t="str">
        <f>"04 - A - 101 - Stephen T Ripp"</f>
        <v>04 - A - 101 - Stephen T Ripp</v>
      </c>
      <c r="F7410" t="str">
        <f>"AP U.S. HIST"</f>
        <v>AP U.S. HIST</v>
      </c>
      <c r="G7410" t="str">
        <f>"17-1744"</f>
        <v>17-1744</v>
      </c>
      <c r="H7410" t="str">
        <f>"A"</f>
        <v>A</v>
      </c>
    </row>
    <row r="7411" spans="1:8" x14ac:dyDescent="0.2">
      <c r="A7411" t="str">
        <f t="shared" si="2702"/>
        <v>0614100348</v>
      </c>
      <c r="B7411" t="str">
        <f t="shared" si="2703"/>
        <v>MARIYA</v>
      </c>
      <c r="C7411" t="str">
        <f t="shared" si="2704"/>
        <v>HERNANDEZ</v>
      </c>
      <c r="D7411">
        <f>11</f>
        <v>11</v>
      </c>
      <c r="E7411" t="str">
        <f>"06 - B - 104 - Chrystina M Marchionne"</f>
        <v>06 - B - 104 - Chrystina M Marchionne</v>
      </c>
      <c r="F7411" t="str">
        <f>"AICE MEDIA STUDIES A"</f>
        <v>AICE MEDIA STUDIES A</v>
      </c>
      <c r="G7411" t="str">
        <f>"05-520"</f>
        <v>05-520</v>
      </c>
      <c r="H7411" t="str">
        <f>"B"</f>
        <v>B</v>
      </c>
    </row>
    <row r="7412" spans="1:8" x14ac:dyDescent="0.2">
      <c r="A7412" t="str">
        <f t="shared" si="2702"/>
        <v>0614100348</v>
      </c>
      <c r="B7412" t="str">
        <f t="shared" si="2703"/>
        <v>MARIYA</v>
      </c>
      <c r="C7412" t="str">
        <f t="shared" si="2704"/>
        <v>HERNANDEZ</v>
      </c>
      <c r="D7412">
        <f>11</f>
        <v>11</v>
      </c>
      <c r="E7412" t="str">
        <f>"03 - A - 102 - Tina M Jaramillo"</f>
        <v>03 - A - 102 - Tina M Jaramillo</v>
      </c>
      <c r="F7412" t="str">
        <f>"AP ENG COMPO"</f>
        <v>AP ENG COMPO</v>
      </c>
      <c r="G7412" t="str">
        <f>"17-1706"</f>
        <v>17-1706</v>
      </c>
      <c r="H7412" t="str">
        <f>"A"</f>
        <v>A</v>
      </c>
    </row>
    <row r="7413" spans="1:8" x14ac:dyDescent="0.2">
      <c r="A7413" t="str">
        <f t="shared" si="2702"/>
        <v>0614100348</v>
      </c>
      <c r="B7413" t="str">
        <f t="shared" si="2703"/>
        <v>MARIYA</v>
      </c>
      <c r="C7413" t="str">
        <f t="shared" si="2704"/>
        <v>HERNANDEZ</v>
      </c>
      <c r="D7413">
        <f>11</f>
        <v>11</v>
      </c>
      <c r="E7413" t="str">
        <f>"02 - A - 103 - Angela S Adeshina-Morrison"</f>
        <v>02 - A - 103 - Angela S Adeshina-Morrison</v>
      </c>
      <c r="F7413" t="str">
        <f>"NC STUDY HALL 1"</f>
        <v>NC STUDY HALL 1</v>
      </c>
      <c r="G7413" t="str">
        <f>"05-518"</f>
        <v>05-518</v>
      </c>
      <c r="H7413" t="str">
        <f>"A"</f>
        <v>A</v>
      </c>
    </row>
    <row r="7414" spans="1:8" x14ac:dyDescent="0.2">
      <c r="A7414" t="str">
        <f t="shared" si="2702"/>
        <v>0614100348</v>
      </c>
      <c r="B7414" t="str">
        <f t="shared" si="2703"/>
        <v>MARIYA</v>
      </c>
      <c r="C7414" t="str">
        <f t="shared" si="2704"/>
        <v>HERNANDEZ</v>
      </c>
      <c r="D7414">
        <f>11</f>
        <v>11</v>
      </c>
      <c r="E7414" t="str">
        <f>"07 - B - 103 - Lisa J London"</f>
        <v>07 - B - 103 - Lisa J London</v>
      </c>
      <c r="F7414" t="str">
        <f>"AP CAPSTONE SEMINAR"</f>
        <v>AP CAPSTONE SEMINAR</v>
      </c>
      <c r="G7414" t="str">
        <f>"17-1714"</f>
        <v>17-1714</v>
      </c>
      <c r="H7414" t="str">
        <f>"B"</f>
        <v>B</v>
      </c>
    </row>
    <row r="7415" spans="1:8" x14ac:dyDescent="0.2">
      <c r="A7415" t="str">
        <f t="shared" si="2702"/>
        <v>0614100348</v>
      </c>
      <c r="B7415" t="str">
        <f t="shared" si="2703"/>
        <v>MARIYA</v>
      </c>
      <c r="C7415" t="str">
        <f t="shared" si="2704"/>
        <v>HERNANDEZ</v>
      </c>
      <c r="D7415">
        <f>11</f>
        <v>11</v>
      </c>
      <c r="E7415" t="str">
        <f>"05 - B - 101 - Pamela M Corzo"</f>
        <v>05 - B - 101 - Pamela M Corzo</v>
      </c>
      <c r="F7415" t="str">
        <f>"AP CALCULUS AB"</f>
        <v>AP CALCULUS AB</v>
      </c>
      <c r="G7415" t="str">
        <f>"21-2133"</f>
        <v>21-2133</v>
      </c>
      <c r="H7415" t="str">
        <f>"B"</f>
        <v>B</v>
      </c>
    </row>
    <row r="7416" spans="1:8" x14ac:dyDescent="0.2">
      <c r="A7416" t="str">
        <f t="shared" si="2702"/>
        <v>0614100348</v>
      </c>
      <c r="B7416" t="str">
        <f t="shared" si="2703"/>
        <v>MARIYA</v>
      </c>
      <c r="C7416" t="str">
        <f t="shared" si="2704"/>
        <v>HERNANDEZ</v>
      </c>
      <c r="D7416">
        <f>11</f>
        <v>11</v>
      </c>
      <c r="E7416" t="str">
        <f>"01 - A - 101 - Marielle A Witting"</f>
        <v>01 - A - 101 - Marielle A Witting</v>
      </c>
      <c r="F7416" t="str">
        <f>"AP BIO"</f>
        <v>AP BIO</v>
      </c>
      <c r="G7416" t="str">
        <f>"08-805"</f>
        <v>08-805</v>
      </c>
      <c r="H7416" t="str">
        <f>"A"</f>
        <v>A</v>
      </c>
    </row>
    <row r="7417" spans="1:8" x14ac:dyDescent="0.2">
      <c r="A7417" t="str">
        <f t="shared" si="2702"/>
        <v>0614100348</v>
      </c>
      <c r="B7417" t="str">
        <f t="shared" si="2703"/>
        <v>MARIYA</v>
      </c>
      <c r="C7417" t="str">
        <f t="shared" si="2704"/>
        <v>HERNANDEZ</v>
      </c>
      <c r="D7417">
        <f>11</f>
        <v>11</v>
      </c>
      <c r="E7417" t="str">
        <f>"08 - B - 102 - Jacqueline R Morphet"</f>
        <v>08 - B - 102 - Jacqueline R Morphet</v>
      </c>
      <c r="F7417" t="str">
        <f>"AP PHYSICS 1"</f>
        <v>AP PHYSICS 1</v>
      </c>
      <c r="G7417" t="str">
        <f>"21-2138"</f>
        <v>21-2138</v>
      </c>
      <c r="H7417" t="str">
        <f>"B"</f>
        <v>B</v>
      </c>
    </row>
    <row r="7418" spans="1:8" x14ac:dyDescent="0.2">
      <c r="A7418" t="str">
        <f t="shared" ref="A7418:A7425" si="2705">"0616150197"</f>
        <v>0616150197</v>
      </c>
      <c r="B7418" t="str">
        <f t="shared" ref="B7418:B7425" si="2706">"VALERIA"</f>
        <v>VALERIA</v>
      </c>
      <c r="C7418" t="str">
        <f t="shared" si="2704"/>
        <v>HERNANDEZ</v>
      </c>
      <c r="D7418" t="str">
        <f t="shared" ref="D7418:D7425" si="2707">"09"</f>
        <v>09</v>
      </c>
      <c r="E7418" t="str">
        <f>"04 - A - 105 - Carol S Moore"</f>
        <v>04 - A - 105 - Carol S Moore</v>
      </c>
      <c r="F7418" t="str">
        <f>"PRE-AICE WRLD HST IG"</f>
        <v>PRE-AICE WRLD HST IG</v>
      </c>
      <c r="G7418" t="str">
        <f>"17-1733"</f>
        <v>17-1733</v>
      </c>
      <c r="H7418" t="str">
        <f>"A"</f>
        <v>A</v>
      </c>
    </row>
    <row r="7419" spans="1:8" x14ac:dyDescent="0.2">
      <c r="A7419" t="str">
        <f t="shared" si="2705"/>
        <v>0616150197</v>
      </c>
      <c r="B7419" t="str">
        <f t="shared" si="2706"/>
        <v>VALERIA</v>
      </c>
      <c r="C7419" t="str">
        <f t="shared" si="2704"/>
        <v>HERNANDEZ</v>
      </c>
      <c r="D7419" t="str">
        <f t="shared" si="2707"/>
        <v>09</v>
      </c>
      <c r="E7419" t="str">
        <f>"06 - B - 104 - Lytrell T Dixon"</f>
        <v>06 - B - 104 - Lytrell T Dixon</v>
      </c>
      <c r="F7419" t="str">
        <f>"PRE-AICE BIO IG"</f>
        <v>PRE-AICE BIO IG</v>
      </c>
      <c r="G7419" t="str">
        <f>"08-808"</f>
        <v>08-808</v>
      </c>
      <c r="H7419" t="str">
        <f>"B"</f>
        <v>B</v>
      </c>
    </row>
    <row r="7420" spans="1:8" x14ac:dyDescent="0.2">
      <c r="A7420" t="str">
        <f t="shared" si="2705"/>
        <v>0616150197</v>
      </c>
      <c r="B7420" t="str">
        <f t="shared" si="2706"/>
        <v>VALERIA</v>
      </c>
      <c r="C7420" t="str">
        <f t="shared" si="2704"/>
        <v>HERNANDEZ</v>
      </c>
      <c r="D7420" t="str">
        <f t="shared" si="2707"/>
        <v>09</v>
      </c>
      <c r="E7420" t="str">
        <f>"03 - A - 005 - Cerine S Stewart"</f>
        <v>03 - A - 005 - Cerine S Stewart</v>
      </c>
      <c r="F7420" t="str">
        <f>"AICE ENG GEN PAPER 1"</f>
        <v>AICE ENG GEN PAPER 1</v>
      </c>
      <c r="G7420" t="str">
        <f>"17-1720"</f>
        <v>17-1720</v>
      </c>
      <c r="H7420" t="str">
        <f>"A"</f>
        <v>A</v>
      </c>
    </row>
    <row r="7421" spans="1:8" x14ac:dyDescent="0.2">
      <c r="A7421" t="str">
        <f t="shared" si="2705"/>
        <v>0616150197</v>
      </c>
      <c r="B7421" t="str">
        <f t="shared" si="2706"/>
        <v>VALERIA</v>
      </c>
      <c r="C7421" t="str">
        <f t="shared" si="2704"/>
        <v>HERNANDEZ</v>
      </c>
      <c r="D7421" t="str">
        <f t="shared" si="2707"/>
        <v>09</v>
      </c>
      <c r="E7421" t="str">
        <f>"02 - A - 116 - Tina L Lovett"</f>
        <v>02 - A - 116 - Tina L Lovett</v>
      </c>
      <c r="F7421" t="str">
        <f>"NC STUDY HALL 1"</f>
        <v>NC STUDY HALL 1</v>
      </c>
      <c r="G7421" t="str">
        <f>"21-2153"</f>
        <v>21-2153</v>
      </c>
      <c r="H7421" t="str">
        <f>"A"</f>
        <v>A</v>
      </c>
    </row>
    <row r="7422" spans="1:8" x14ac:dyDescent="0.2">
      <c r="A7422" t="str">
        <f t="shared" si="2705"/>
        <v>0616150197</v>
      </c>
      <c r="B7422" t="str">
        <f t="shared" si="2706"/>
        <v>VALERIA</v>
      </c>
      <c r="C7422" t="str">
        <f t="shared" si="2704"/>
        <v>HERNANDEZ</v>
      </c>
      <c r="D7422" t="str">
        <f t="shared" si="2707"/>
        <v>09</v>
      </c>
      <c r="E7422" t="str">
        <f>"07 - B - 106 - Dayna M Foster"</f>
        <v>07 - B - 106 - Dayna M Foster</v>
      </c>
      <c r="F7422" t="str">
        <f>"FDN SKLS MATH 9-12"</f>
        <v>FDN SKLS MATH 9-12</v>
      </c>
      <c r="G7422" t="str">
        <f>"21-2109"</f>
        <v>21-2109</v>
      </c>
      <c r="H7422" t="str">
        <f>"B"</f>
        <v>B</v>
      </c>
    </row>
    <row r="7423" spans="1:8" x14ac:dyDescent="0.2">
      <c r="A7423" t="str">
        <f t="shared" si="2705"/>
        <v>0616150197</v>
      </c>
      <c r="B7423" t="str">
        <f t="shared" si="2706"/>
        <v>VALERIA</v>
      </c>
      <c r="C7423" t="str">
        <f t="shared" si="2704"/>
        <v>HERNANDEZ</v>
      </c>
      <c r="D7423" t="str">
        <f t="shared" si="2707"/>
        <v>09</v>
      </c>
      <c r="E7423" t="str">
        <f>"05 - B - 101 - Arthur  Kulawik"</f>
        <v>05 - B - 101 - Arthur  Kulawik</v>
      </c>
      <c r="F7423" t="str">
        <f>"DEBATE 2 LH"</f>
        <v>DEBATE 2 LH</v>
      </c>
      <c r="G7423" t="str">
        <f>"05-506"</f>
        <v>05-506</v>
      </c>
      <c r="H7423" t="str">
        <f>"B"</f>
        <v>B</v>
      </c>
    </row>
    <row r="7424" spans="1:8" x14ac:dyDescent="0.2">
      <c r="A7424" t="str">
        <f t="shared" si="2705"/>
        <v>0616150197</v>
      </c>
      <c r="B7424" t="str">
        <f t="shared" si="2706"/>
        <v>VALERIA</v>
      </c>
      <c r="C7424" t="str">
        <f t="shared" si="2704"/>
        <v>HERNANDEZ</v>
      </c>
      <c r="D7424" t="str">
        <f t="shared" si="2707"/>
        <v>09</v>
      </c>
      <c r="E7424" t="str">
        <f>"01 - A - 108 - Dayna M Foster"</f>
        <v>01 - A - 108 - Dayna M Foster</v>
      </c>
      <c r="F7424" t="str">
        <f>"ALGEBRA 1"</f>
        <v>ALGEBRA 1</v>
      </c>
      <c r="G7424" t="str">
        <f>"21-2109"</f>
        <v>21-2109</v>
      </c>
      <c r="H7424" t="str">
        <f>"A"</f>
        <v>A</v>
      </c>
    </row>
    <row r="7425" spans="1:8" x14ac:dyDescent="0.2">
      <c r="A7425" t="str">
        <f t="shared" si="2705"/>
        <v>0616150197</v>
      </c>
      <c r="B7425" t="str">
        <f t="shared" si="2706"/>
        <v>VALERIA</v>
      </c>
      <c r="C7425" t="str">
        <f t="shared" si="2704"/>
        <v>HERNANDEZ</v>
      </c>
      <c r="D7425" t="str">
        <f t="shared" si="2707"/>
        <v>09</v>
      </c>
      <c r="E7425" t="str">
        <f>"08 - B - 001 - Chrystina M Marchionne"</f>
        <v>08 - B - 001 - Chrystina M Marchionne</v>
      </c>
      <c r="F7425" t="str">
        <f>"JOURN 1 (YB) LH"</f>
        <v>JOURN 1 (YB) LH</v>
      </c>
      <c r="G7425" t="str">
        <f>"05-520"</f>
        <v>05-520</v>
      </c>
      <c r="H7425" t="str">
        <f>"B"</f>
        <v>B</v>
      </c>
    </row>
    <row r="7426" spans="1:8" x14ac:dyDescent="0.2">
      <c r="A7426" t="str">
        <f t="shared" ref="A7426:A7433" si="2708">"0618085517"</f>
        <v>0618085517</v>
      </c>
      <c r="B7426" t="str">
        <f t="shared" ref="B7426:B7433" si="2709">"DORA"</f>
        <v>DORA</v>
      </c>
      <c r="C7426" t="str">
        <f t="shared" ref="C7426:C7441" si="2710">"HERNANDEZ CAMPOS"</f>
        <v>HERNANDEZ CAMPOS</v>
      </c>
      <c r="D7426">
        <f>12</f>
        <v>12</v>
      </c>
      <c r="E7426" t="str">
        <f>"04 - A - 102 - Samantha J Headley"</f>
        <v>04 - A - 102 - Samantha J Headley</v>
      </c>
      <c r="F7426" t="str">
        <f>"MARINE SCI 1 HON"</f>
        <v>MARINE SCI 1 HON</v>
      </c>
      <c r="G7426" t="str">
        <f>"21-2134"</f>
        <v>21-2134</v>
      </c>
      <c r="H7426" t="str">
        <f>"A"</f>
        <v>A</v>
      </c>
    </row>
    <row r="7427" spans="1:8" x14ac:dyDescent="0.2">
      <c r="A7427" t="str">
        <f t="shared" si="2708"/>
        <v>0618085517</v>
      </c>
      <c r="B7427" t="str">
        <f t="shared" si="2709"/>
        <v>DORA</v>
      </c>
      <c r="C7427" t="str">
        <f t="shared" si="2710"/>
        <v>HERNANDEZ CAMPOS</v>
      </c>
      <c r="D7427">
        <f>12</f>
        <v>12</v>
      </c>
      <c r="E7427" t="str">
        <f>"06 - B - 102 - Andrea A Amison"</f>
        <v>06 - B - 102 - Andrea A Amison</v>
      </c>
      <c r="F7427" t="str">
        <f>"NC STUDY HALL 1"</f>
        <v>NC STUDY HALL 1</v>
      </c>
      <c r="G7427" t="str">
        <f>"09-922C"</f>
        <v>09-922C</v>
      </c>
      <c r="H7427" t="str">
        <f>"B"</f>
        <v>B</v>
      </c>
    </row>
    <row r="7428" spans="1:8" x14ac:dyDescent="0.2">
      <c r="A7428" t="str">
        <f t="shared" si="2708"/>
        <v>0618085517</v>
      </c>
      <c r="B7428" t="str">
        <f t="shared" si="2709"/>
        <v>DORA</v>
      </c>
      <c r="C7428" t="str">
        <f t="shared" si="2710"/>
        <v>HERNANDEZ CAMPOS</v>
      </c>
      <c r="D7428">
        <f>12</f>
        <v>12</v>
      </c>
      <c r="E7428" t="str">
        <f>"03 - A - 101 - Tina L Lovett"</f>
        <v>03 - A - 101 - Tina L Lovett</v>
      </c>
      <c r="F7428" t="str">
        <f>"MATH DATA &amp; FIN LIT"</f>
        <v>MATH DATA &amp; FIN LIT</v>
      </c>
      <c r="G7428" t="str">
        <f>"21-2153"</f>
        <v>21-2153</v>
      </c>
      <c r="H7428" t="str">
        <f>"A"</f>
        <v>A</v>
      </c>
    </row>
    <row r="7429" spans="1:8" x14ac:dyDescent="0.2">
      <c r="A7429" t="str">
        <f t="shared" si="2708"/>
        <v>0618085517</v>
      </c>
      <c r="B7429" t="str">
        <f t="shared" si="2709"/>
        <v>DORA</v>
      </c>
      <c r="C7429" t="str">
        <f t="shared" si="2710"/>
        <v>HERNANDEZ CAMPOS</v>
      </c>
      <c r="D7429">
        <f>12</f>
        <v>12</v>
      </c>
      <c r="E7429" t="str">
        <f>"02 - S1 - A - 104 - Robert O Burger"</f>
        <v>02 - S1 - A - 104 - Robert O Burger</v>
      </c>
      <c r="F7429" t="str">
        <f>"US GOVT"</f>
        <v>US GOVT</v>
      </c>
      <c r="G7429" t="str">
        <f>"17-1755"</f>
        <v>17-1755</v>
      </c>
      <c r="H7429" t="str">
        <f>"A"</f>
        <v>A</v>
      </c>
    </row>
    <row r="7430" spans="1:8" x14ac:dyDescent="0.2">
      <c r="A7430" t="str">
        <f t="shared" si="2708"/>
        <v>0618085517</v>
      </c>
      <c r="B7430" t="str">
        <f t="shared" si="2709"/>
        <v>DORA</v>
      </c>
      <c r="C7430" t="str">
        <f t="shared" si="2710"/>
        <v>HERNANDEZ CAMPOS</v>
      </c>
      <c r="D7430">
        <f>12</f>
        <v>12</v>
      </c>
      <c r="E7430" t="str">
        <f>"07 - B - 104 - Robyn L Trainer"</f>
        <v>07 - B - 104 - Robyn L Trainer</v>
      </c>
      <c r="F7430" t="str">
        <f>"ENG 4"</f>
        <v>ENG 4</v>
      </c>
      <c r="G7430" t="str">
        <f>"17-1734"</f>
        <v>17-1734</v>
      </c>
      <c r="H7430" t="str">
        <f>"B"</f>
        <v>B</v>
      </c>
    </row>
    <row r="7431" spans="1:8" x14ac:dyDescent="0.2">
      <c r="A7431" t="str">
        <f t="shared" si="2708"/>
        <v>0618085517</v>
      </c>
      <c r="B7431" t="str">
        <f t="shared" si="2709"/>
        <v>DORA</v>
      </c>
      <c r="C7431" t="str">
        <f t="shared" si="2710"/>
        <v>HERNANDEZ CAMPOS</v>
      </c>
      <c r="D7431">
        <f>12</f>
        <v>12</v>
      </c>
      <c r="E7431" t="str">
        <f>"05 - B - 102 - Emmily A Sarmiento"</f>
        <v>05 - B - 102 - Emmily A Sarmiento</v>
      </c>
      <c r="F7431" t="str">
        <f>"LEAD TECHQS HONORS"</f>
        <v>LEAD TECHQS HONORS</v>
      </c>
      <c r="G7431" t="str">
        <f>"17-1743"</f>
        <v>17-1743</v>
      </c>
      <c r="H7431" t="str">
        <f>"B"</f>
        <v>B</v>
      </c>
    </row>
    <row r="7432" spans="1:8" x14ac:dyDescent="0.2">
      <c r="A7432" t="str">
        <f t="shared" si="2708"/>
        <v>0618085517</v>
      </c>
      <c r="B7432" t="str">
        <f t="shared" si="2709"/>
        <v>DORA</v>
      </c>
      <c r="C7432" t="str">
        <f t="shared" si="2710"/>
        <v>HERNANDEZ CAMPOS</v>
      </c>
      <c r="D7432">
        <f>12</f>
        <v>12</v>
      </c>
      <c r="E7432" t="str">
        <f>"01 - A - 101 - Eva T Rimmer"</f>
        <v>01 - A - 101 - Eva T Rimmer</v>
      </c>
      <c r="F7432" t="str">
        <f>"CRIMINAL JUST OPS 2"</f>
        <v>CRIMINAL JUST OPS 2</v>
      </c>
      <c r="G7432" t="str">
        <f>"05-523"</f>
        <v>05-523</v>
      </c>
      <c r="H7432" t="str">
        <f>"A"</f>
        <v>A</v>
      </c>
    </row>
    <row r="7433" spans="1:8" x14ac:dyDescent="0.2">
      <c r="A7433" t="str">
        <f t="shared" si="2708"/>
        <v>0618085517</v>
      </c>
      <c r="B7433" t="str">
        <f t="shared" si="2709"/>
        <v>DORA</v>
      </c>
      <c r="C7433" t="str">
        <f t="shared" si="2710"/>
        <v>HERNANDEZ CAMPOS</v>
      </c>
      <c r="D7433">
        <f>12</f>
        <v>12</v>
      </c>
      <c r="E7433" t="str">
        <f>"08 - B - 101 - Jazmin S Fletcher"</f>
        <v>08 - B - 101 - Jazmin S Fletcher</v>
      </c>
      <c r="F7433" t="str">
        <f>"PRE-AICE DRAMA 1G"</f>
        <v>PRE-AICE DRAMA 1G</v>
      </c>
      <c r="G7433" t="str">
        <f>"09-909"</f>
        <v>09-909</v>
      </c>
      <c r="H7433" t="str">
        <f>"B"</f>
        <v>B</v>
      </c>
    </row>
    <row r="7434" spans="1:8" x14ac:dyDescent="0.2">
      <c r="A7434" t="str">
        <f t="shared" ref="A7434:A7441" si="2711">"0618085535"</f>
        <v>0618085535</v>
      </c>
      <c r="B7434" t="str">
        <f t="shared" ref="B7434:B7441" si="2712">"JEOVANNY"</f>
        <v>JEOVANNY</v>
      </c>
      <c r="C7434" t="str">
        <f t="shared" si="2710"/>
        <v>HERNANDEZ CAMPOS</v>
      </c>
      <c r="D7434" t="str">
        <f t="shared" ref="D7434:D7441" si="2713">"09"</f>
        <v>09</v>
      </c>
      <c r="E7434" t="str">
        <f>"04 - A - 106 - Lissa C Frederique"</f>
        <v>04 - A - 106 - Lissa C Frederique</v>
      </c>
      <c r="F7434" t="str">
        <f>"WORLD HISTORY"</f>
        <v>WORLD HISTORY</v>
      </c>
      <c r="G7434" t="str">
        <f>"17-1754"</f>
        <v>17-1754</v>
      </c>
      <c r="H7434" t="str">
        <f>"A"</f>
        <v>A</v>
      </c>
    </row>
    <row r="7435" spans="1:8" x14ac:dyDescent="0.2">
      <c r="A7435" t="str">
        <f t="shared" si="2711"/>
        <v>0618085535</v>
      </c>
      <c r="B7435" t="str">
        <f t="shared" si="2712"/>
        <v>JEOVANNY</v>
      </c>
      <c r="C7435" t="str">
        <f t="shared" si="2710"/>
        <v>HERNANDEZ CAMPOS</v>
      </c>
      <c r="D7435" t="str">
        <f t="shared" si="2713"/>
        <v>09</v>
      </c>
      <c r="E7435" t="str">
        <f>"06 - S1 - B - 104 - Leslie J Barton"</f>
        <v>06 - S1 - B - 104 - Leslie J Barton</v>
      </c>
      <c r="F7435" t="str">
        <f>"FIRST AID SAFETY"</f>
        <v>FIRST AID SAFETY</v>
      </c>
      <c r="G7435" t="str">
        <f>"05-521"</f>
        <v>05-521</v>
      </c>
      <c r="H7435" t="str">
        <f>"B"</f>
        <v>B</v>
      </c>
    </row>
    <row r="7436" spans="1:8" x14ac:dyDescent="0.2">
      <c r="A7436" t="str">
        <f t="shared" si="2711"/>
        <v>0618085535</v>
      </c>
      <c r="B7436" t="str">
        <f t="shared" si="2712"/>
        <v>JEOVANNY</v>
      </c>
      <c r="C7436" t="str">
        <f t="shared" si="2710"/>
        <v>HERNANDEZ CAMPOS</v>
      </c>
      <c r="D7436" t="str">
        <f t="shared" si="2713"/>
        <v>09</v>
      </c>
      <c r="E7436" t="str">
        <f>"03 - A - 101 - Milca  Exantus"</f>
        <v>03 - A - 101 - Milca  Exantus</v>
      </c>
      <c r="F7436" t="str">
        <f>"ALGEBRA 1-A"</f>
        <v>ALGEBRA 1-A</v>
      </c>
      <c r="G7436" t="str">
        <f>"21-2145"</f>
        <v>21-2145</v>
      </c>
      <c r="H7436" t="str">
        <f>"A"</f>
        <v>A</v>
      </c>
    </row>
    <row r="7437" spans="1:8" x14ac:dyDescent="0.2">
      <c r="A7437" t="str">
        <f t="shared" si="2711"/>
        <v>0618085535</v>
      </c>
      <c r="B7437" t="str">
        <f t="shared" si="2712"/>
        <v>JEOVANNY</v>
      </c>
      <c r="C7437" t="str">
        <f t="shared" si="2710"/>
        <v>HERNANDEZ CAMPOS</v>
      </c>
      <c r="D7437" t="str">
        <f t="shared" si="2713"/>
        <v>09</v>
      </c>
      <c r="E7437" t="str">
        <f>"02 - A - 102 - Samantha J Headley"</f>
        <v>02 - A - 102 - Samantha J Headley</v>
      </c>
      <c r="F7437" t="str">
        <f>"NC STUDY HALL 1"</f>
        <v>NC STUDY HALL 1</v>
      </c>
      <c r="G7437" t="str">
        <f>"21-2134"</f>
        <v>21-2134</v>
      </c>
      <c r="H7437" t="str">
        <f>"A"</f>
        <v>A</v>
      </c>
    </row>
    <row r="7438" spans="1:8" x14ac:dyDescent="0.2">
      <c r="A7438" t="str">
        <f t="shared" si="2711"/>
        <v>0618085535</v>
      </c>
      <c r="B7438" t="str">
        <f t="shared" si="2712"/>
        <v>JEOVANNY</v>
      </c>
      <c r="C7438" t="str">
        <f t="shared" si="2710"/>
        <v>HERNANDEZ CAMPOS</v>
      </c>
      <c r="D7438" t="str">
        <f t="shared" si="2713"/>
        <v>09</v>
      </c>
      <c r="E7438" t="str">
        <f>"07 - B - 105 - Laselleda D Shaw"</f>
        <v>07 - B - 105 - Laselleda D Shaw</v>
      </c>
      <c r="F7438" t="str">
        <f>"INTENS READ 1"</f>
        <v>INTENS READ 1</v>
      </c>
      <c r="G7438" t="str">
        <f>"17-1723"</f>
        <v>17-1723</v>
      </c>
      <c r="H7438" t="str">
        <f>"B"</f>
        <v>B</v>
      </c>
    </row>
    <row r="7439" spans="1:8" x14ac:dyDescent="0.2">
      <c r="A7439" t="str">
        <f t="shared" si="2711"/>
        <v>0618085535</v>
      </c>
      <c r="B7439" t="str">
        <f t="shared" si="2712"/>
        <v>JEOVANNY</v>
      </c>
      <c r="C7439" t="str">
        <f t="shared" si="2710"/>
        <v>HERNANDEZ CAMPOS</v>
      </c>
      <c r="D7439" t="str">
        <f t="shared" si="2713"/>
        <v>09</v>
      </c>
      <c r="E7439" t="str">
        <f>"05 - B - 104 - Cerine S Stewart"</f>
        <v>05 - B - 104 - Cerine S Stewart</v>
      </c>
      <c r="F7439" t="str">
        <f>"ENG 1"</f>
        <v>ENG 1</v>
      </c>
      <c r="G7439" t="str">
        <f>"17-1720"</f>
        <v>17-1720</v>
      </c>
      <c r="H7439" t="str">
        <f>"B"</f>
        <v>B</v>
      </c>
    </row>
    <row r="7440" spans="1:8" x14ac:dyDescent="0.2">
      <c r="A7440" t="str">
        <f t="shared" si="2711"/>
        <v>0618085535</v>
      </c>
      <c r="B7440" t="str">
        <f t="shared" si="2712"/>
        <v>JEOVANNY</v>
      </c>
      <c r="C7440" t="str">
        <f t="shared" si="2710"/>
        <v>HERNANDEZ CAMPOS</v>
      </c>
      <c r="D7440" t="str">
        <f t="shared" si="2713"/>
        <v>09</v>
      </c>
      <c r="E7440" t="str">
        <f>"01 - S1 - A - 101 - Richard E Dunbar Iii"</f>
        <v>01 - S1 - A - 101 - Richard E Dunbar Iii</v>
      </c>
      <c r="F7440" t="str">
        <f>"WEIGHT TRAIN 1"</f>
        <v>WEIGHT TRAIN 1</v>
      </c>
      <c r="G7440" t="str">
        <f>"05-501"</f>
        <v>05-501</v>
      </c>
      <c r="H7440" t="str">
        <f>"A"</f>
        <v>A</v>
      </c>
    </row>
    <row r="7441" spans="1:8" x14ac:dyDescent="0.2">
      <c r="A7441" t="str">
        <f t="shared" si="2711"/>
        <v>0618085535</v>
      </c>
      <c r="B7441" t="str">
        <f t="shared" si="2712"/>
        <v>JEOVANNY</v>
      </c>
      <c r="C7441" t="str">
        <f t="shared" si="2710"/>
        <v>HERNANDEZ CAMPOS</v>
      </c>
      <c r="D7441" t="str">
        <f t="shared" si="2713"/>
        <v>09</v>
      </c>
      <c r="E7441" t="str">
        <f>"08 - B - 105 - Samantha J Headley"</f>
        <v>08 - B - 105 - Samantha J Headley</v>
      </c>
      <c r="F7441" t="str">
        <f>"ENV SCI"</f>
        <v>ENV SCI</v>
      </c>
      <c r="G7441" t="str">
        <f>"08-802"</f>
        <v>08-802</v>
      </c>
      <c r="H7441" t="str">
        <f>"B"</f>
        <v>B</v>
      </c>
    </row>
    <row r="7442" spans="1:8" x14ac:dyDescent="0.2">
      <c r="A7442" t="str">
        <f t="shared" ref="A7442:A7449" si="2714">"0614016401"</f>
        <v>0614016401</v>
      </c>
      <c r="B7442" t="str">
        <f t="shared" ref="B7442:B7449" si="2715">"DANIA"</f>
        <v>DANIA</v>
      </c>
      <c r="C7442" t="str">
        <f t="shared" ref="C7442:C7449" si="2716">"HERNANDEZ GOMEZ"</f>
        <v>HERNANDEZ GOMEZ</v>
      </c>
      <c r="D7442">
        <f>11</f>
        <v>11</v>
      </c>
      <c r="E7442" t="str">
        <f>"04 - A - 201 - Dorothy D Moore"</f>
        <v>04 - A - 201 - Dorothy D Moore</v>
      </c>
      <c r="F7442" t="str">
        <f>"HEALTH SCI 1/A&amp;P HON"</f>
        <v>HEALTH SCI 1/A&amp;P HON</v>
      </c>
      <c r="G7442" t="str">
        <f>"08-803"</f>
        <v>08-803</v>
      </c>
      <c r="H7442" t="str">
        <f>"A"</f>
        <v>A</v>
      </c>
    </row>
    <row r="7443" spans="1:8" x14ac:dyDescent="0.2">
      <c r="A7443" t="str">
        <f t="shared" si="2714"/>
        <v>0614016401</v>
      </c>
      <c r="B7443" t="str">
        <f t="shared" si="2715"/>
        <v>DANIA</v>
      </c>
      <c r="C7443" t="str">
        <f t="shared" si="2716"/>
        <v>HERNANDEZ GOMEZ</v>
      </c>
      <c r="D7443">
        <f>11</f>
        <v>11</v>
      </c>
      <c r="E7443" t="str">
        <f>"06 - B - 101 - Bruce A Evans"</f>
        <v>06 - B - 101 - Bruce A Evans</v>
      </c>
      <c r="F7443" t="str">
        <f>"EMERG MED RESP 3 HON"</f>
        <v>EMERG MED RESP 3 HON</v>
      </c>
      <c r="G7443" t="str">
        <f>"21-2142"</f>
        <v>21-2142</v>
      </c>
      <c r="H7443" t="str">
        <f>"B"</f>
        <v>B</v>
      </c>
    </row>
    <row r="7444" spans="1:8" x14ac:dyDescent="0.2">
      <c r="A7444" t="str">
        <f t="shared" si="2714"/>
        <v>0614016401</v>
      </c>
      <c r="B7444" t="str">
        <f t="shared" si="2715"/>
        <v>DANIA</v>
      </c>
      <c r="C7444" t="str">
        <f t="shared" si="2716"/>
        <v>HERNANDEZ GOMEZ</v>
      </c>
      <c r="D7444">
        <f>11</f>
        <v>11</v>
      </c>
      <c r="E7444" t="str">
        <f>"03 - A - 202 - Bruce A Evans"</f>
        <v>03 - A - 202 - Bruce A Evans</v>
      </c>
      <c r="F7444" t="str">
        <f>"HEALTH SCI FOUND HON"</f>
        <v>HEALTH SCI FOUND HON</v>
      </c>
      <c r="G7444" t="str">
        <f>"21-2142"</f>
        <v>21-2142</v>
      </c>
      <c r="H7444" t="str">
        <f>"A"</f>
        <v>A</v>
      </c>
    </row>
    <row r="7445" spans="1:8" x14ac:dyDescent="0.2">
      <c r="A7445" t="str">
        <f t="shared" si="2714"/>
        <v>0614016401</v>
      </c>
      <c r="B7445" t="str">
        <f t="shared" si="2715"/>
        <v>DANIA</v>
      </c>
      <c r="C7445" t="str">
        <f t="shared" si="2716"/>
        <v>HERNANDEZ GOMEZ</v>
      </c>
      <c r="D7445">
        <f>11</f>
        <v>11</v>
      </c>
      <c r="E7445" t="str">
        <f>"02 - A - 106 - Heidi M Knopp"</f>
        <v>02 - A - 106 - Heidi M Knopp</v>
      </c>
      <c r="F7445" t="str">
        <f>"NC STUDY HALL 1"</f>
        <v>NC STUDY HALL 1</v>
      </c>
      <c r="G7445" t="str">
        <f>"17-1735"</f>
        <v>17-1735</v>
      </c>
      <c r="H7445" t="str">
        <f>"A"</f>
        <v>A</v>
      </c>
    </row>
    <row r="7446" spans="1:8" x14ac:dyDescent="0.2">
      <c r="A7446" t="str">
        <f t="shared" si="2714"/>
        <v>0614016401</v>
      </c>
      <c r="B7446" t="str">
        <f t="shared" si="2715"/>
        <v>DANIA</v>
      </c>
      <c r="C7446" t="str">
        <f t="shared" si="2716"/>
        <v>HERNANDEZ GOMEZ</v>
      </c>
      <c r="D7446">
        <f>11</f>
        <v>11</v>
      </c>
      <c r="E7446" t="str">
        <f>"07 - B - 106 - James H Mccann"</f>
        <v>07 - B - 106 - James H Mccann</v>
      </c>
      <c r="F7446" t="str">
        <f>"ALGEBRA 2"</f>
        <v>ALGEBRA 2</v>
      </c>
      <c r="G7446" t="str">
        <f>"17-1716"</f>
        <v>17-1716</v>
      </c>
      <c r="H7446" t="str">
        <f>"B"</f>
        <v>B</v>
      </c>
    </row>
    <row r="7447" spans="1:8" x14ac:dyDescent="0.2">
      <c r="A7447" t="str">
        <f t="shared" si="2714"/>
        <v>0614016401</v>
      </c>
      <c r="B7447" t="str">
        <f t="shared" si="2715"/>
        <v>DANIA</v>
      </c>
      <c r="C7447" t="str">
        <f t="shared" si="2716"/>
        <v>HERNANDEZ GOMEZ</v>
      </c>
      <c r="D7447">
        <f>11</f>
        <v>11</v>
      </c>
      <c r="E7447" t="str">
        <f>"05 - B - 103 - Nahum  Saint-Preux"</f>
        <v>05 - B - 103 - Nahum  Saint-Preux</v>
      </c>
      <c r="F7447" t="str">
        <f>"INTENS READ 3"</f>
        <v>INTENS READ 3</v>
      </c>
      <c r="G7447" t="str">
        <f>"17-1712"</f>
        <v>17-1712</v>
      </c>
      <c r="H7447" t="str">
        <f>"B"</f>
        <v>B</v>
      </c>
    </row>
    <row r="7448" spans="1:8" x14ac:dyDescent="0.2">
      <c r="A7448" t="str">
        <f t="shared" si="2714"/>
        <v>0614016401</v>
      </c>
      <c r="B7448" t="str">
        <f t="shared" si="2715"/>
        <v>DANIA</v>
      </c>
      <c r="C7448" t="str">
        <f t="shared" si="2716"/>
        <v>HERNANDEZ GOMEZ</v>
      </c>
      <c r="D7448">
        <f>11</f>
        <v>11</v>
      </c>
      <c r="E7448" t="str">
        <f>"01 - A - 101 - Lisa  Quinn"</f>
        <v>01 - A - 101 - Lisa  Quinn</v>
      </c>
      <c r="F7448" t="str">
        <f>"ENG 3"</f>
        <v>ENG 3</v>
      </c>
      <c r="G7448" t="str">
        <f>"17-1725"</f>
        <v>17-1725</v>
      </c>
      <c r="H7448" t="str">
        <f>"A"</f>
        <v>A</v>
      </c>
    </row>
    <row r="7449" spans="1:8" x14ac:dyDescent="0.2">
      <c r="A7449" t="str">
        <f t="shared" si="2714"/>
        <v>0614016401</v>
      </c>
      <c r="B7449" t="str">
        <f t="shared" si="2715"/>
        <v>DANIA</v>
      </c>
      <c r="C7449" t="str">
        <f t="shared" si="2716"/>
        <v>HERNANDEZ GOMEZ</v>
      </c>
      <c r="D7449">
        <f>11</f>
        <v>11</v>
      </c>
      <c r="E7449" t="str">
        <f>"08 - B - 109 - Lauren N Logan"</f>
        <v>08 - B - 109 - Lauren N Logan</v>
      </c>
      <c r="F7449" t="str">
        <f>"US HISTORY"</f>
        <v>US HISTORY</v>
      </c>
      <c r="G7449" t="str">
        <f>"17-1754"</f>
        <v>17-1754</v>
      </c>
      <c r="H7449" t="str">
        <f>"B"</f>
        <v>B</v>
      </c>
    </row>
    <row r="7450" spans="1:8" x14ac:dyDescent="0.2">
      <c r="A7450" t="str">
        <f t="shared" ref="A7450:A7457" si="2717">"0613032569"</f>
        <v>0613032569</v>
      </c>
      <c r="B7450" t="str">
        <f t="shared" ref="B7450:B7457" si="2718">"STEPHANIE"</f>
        <v>STEPHANIE</v>
      </c>
      <c r="C7450" t="str">
        <f t="shared" ref="C7450:C7457" si="2719">"HERNANDEZMEJICANO"</f>
        <v>HERNANDEZMEJICANO</v>
      </c>
      <c r="D7450">
        <f>12</f>
        <v>12</v>
      </c>
      <c r="E7450" t="str">
        <f>"04 - A - 101 - Stefanie S Scher"</f>
        <v>04 - A - 101 - Stefanie S Scher</v>
      </c>
      <c r="F7450" t="str">
        <f>"AP PSYCH"</f>
        <v>AP PSYCH</v>
      </c>
      <c r="G7450" t="str">
        <f>"17-1735"</f>
        <v>17-1735</v>
      </c>
      <c r="H7450" t="str">
        <f>"A"</f>
        <v>A</v>
      </c>
    </row>
    <row r="7451" spans="1:8" x14ac:dyDescent="0.2">
      <c r="A7451" t="str">
        <f t="shared" si="2717"/>
        <v>0613032569</v>
      </c>
      <c r="B7451" t="str">
        <f t="shared" si="2718"/>
        <v>STEPHANIE</v>
      </c>
      <c r="C7451" t="str">
        <f t="shared" si="2719"/>
        <v>HERNANDEZMEJICANO</v>
      </c>
      <c r="D7451">
        <f>12</f>
        <v>12</v>
      </c>
      <c r="E7451" t="str">
        <f>"06 - B - 104 - Lissa C Frederique"</f>
        <v>06 - B - 104 - Lissa C Frederique</v>
      </c>
      <c r="F7451" t="str">
        <f>"NC STUDY HALL 1"</f>
        <v>NC STUDY HALL 1</v>
      </c>
      <c r="G7451" t="str">
        <f>"17-1754"</f>
        <v>17-1754</v>
      </c>
      <c r="H7451" t="str">
        <f>"B"</f>
        <v>B</v>
      </c>
    </row>
    <row r="7452" spans="1:8" x14ac:dyDescent="0.2">
      <c r="A7452" t="str">
        <f t="shared" si="2717"/>
        <v>0613032569</v>
      </c>
      <c r="B7452" t="str">
        <f t="shared" si="2718"/>
        <v>STEPHANIE</v>
      </c>
      <c r="C7452" t="str">
        <f t="shared" si="2719"/>
        <v>HERNANDEZMEJICANO</v>
      </c>
      <c r="D7452">
        <f>12</f>
        <v>12</v>
      </c>
      <c r="E7452" t="str">
        <f>"03 - A - 103 - Jazmin S Fletcher"</f>
        <v>03 - A - 103 - Jazmin S Fletcher</v>
      </c>
      <c r="F7452" t="str">
        <f>"THEATRE 2"</f>
        <v>THEATRE 2</v>
      </c>
      <c r="G7452" t="str">
        <f>"09-909"</f>
        <v>09-909</v>
      </c>
      <c r="H7452" t="str">
        <f>"A"</f>
        <v>A</v>
      </c>
    </row>
    <row r="7453" spans="1:8" x14ac:dyDescent="0.2">
      <c r="A7453" t="str">
        <f t="shared" si="2717"/>
        <v>0613032569</v>
      </c>
      <c r="B7453" t="str">
        <f t="shared" si="2718"/>
        <v>STEPHANIE</v>
      </c>
      <c r="C7453" t="str">
        <f t="shared" si="2719"/>
        <v>HERNANDEZMEJICANO</v>
      </c>
      <c r="D7453">
        <f>12</f>
        <v>12</v>
      </c>
      <c r="E7453" t="str">
        <f>"02 - A - 204 - Jacqueline R Morphet"</f>
        <v>02 - A - 204 - Jacqueline R Morphet</v>
      </c>
      <c r="F7453" t="str">
        <f>"PHYSICS 1 HON"</f>
        <v>PHYSICS 1 HON</v>
      </c>
      <c r="G7453" t="str">
        <f>"21-2138"</f>
        <v>21-2138</v>
      </c>
      <c r="H7453" t="str">
        <f>"A"</f>
        <v>A</v>
      </c>
    </row>
    <row r="7454" spans="1:8" x14ac:dyDescent="0.2">
      <c r="A7454" t="str">
        <f t="shared" si="2717"/>
        <v>0613032569</v>
      </c>
      <c r="B7454" t="str">
        <f t="shared" si="2718"/>
        <v>STEPHANIE</v>
      </c>
      <c r="C7454" t="str">
        <f t="shared" si="2719"/>
        <v>HERNANDEZMEJICANO</v>
      </c>
      <c r="D7454">
        <f>12</f>
        <v>12</v>
      </c>
      <c r="E7454" t="str">
        <f>"07 - B - 105 - Robert H Rindner"</f>
        <v>07 - B - 105 - Robert H Rindner</v>
      </c>
      <c r="F7454" t="str">
        <f>"MATH DATA&amp;FIN LIT H"</f>
        <v>MATH DATA&amp;FIN LIT H</v>
      </c>
      <c r="G7454" t="str">
        <f>"21-2160"</f>
        <v>21-2160</v>
      </c>
      <c r="H7454" t="str">
        <f>"B"</f>
        <v>B</v>
      </c>
    </row>
    <row r="7455" spans="1:8" x14ac:dyDescent="0.2">
      <c r="A7455" t="str">
        <f t="shared" si="2717"/>
        <v>0613032569</v>
      </c>
      <c r="B7455" t="str">
        <f t="shared" si="2718"/>
        <v>STEPHANIE</v>
      </c>
      <c r="C7455" t="str">
        <f t="shared" si="2719"/>
        <v>HERNANDEZMEJICANO</v>
      </c>
      <c r="D7455">
        <f>12</f>
        <v>12</v>
      </c>
      <c r="E7455" t="str">
        <f>"05 - B - 104 - Jeffrey S Gallagher"</f>
        <v>05 - B - 104 - Jeffrey S Gallagher</v>
      </c>
      <c r="F7455" t="str">
        <f>"ENG HON 4"</f>
        <v>ENG HON 4</v>
      </c>
      <c r="G7455" t="str">
        <f>"17-1724"</f>
        <v>17-1724</v>
      </c>
      <c r="H7455" t="str">
        <f>"B"</f>
        <v>B</v>
      </c>
    </row>
    <row r="7456" spans="1:8" x14ac:dyDescent="0.2">
      <c r="A7456" t="str">
        <f t="shared" si="2717"/>
        <v>0613032569</v>
      </c>
      <c r="B7456" t="str">
        <f t="shared" si="2718"/>
        <v>STEPHANIE</v>
      </c>
      <c r="C7456" t="str">
        <f t="shared" si="2719"/>
        <v>HERNANDEZMEJICANO</v>
      </c>
      <c r="D7456">
        <f>12</f>
        <v>12</v>
      </c>
      <c r="E7456" t="str">
        <f>"01 - A - 101 - Kelly N Panza"</f>
        <v>01 - A - 101 - Kelly N Panza</v>
      </c>
      <c r="F7456" t="str">
        <f>"AP HUMAN GEOG"</f>
        <v>AP HUMAN GEOG</v>
      </c>
      <c r="G7456" t="str">
        <f>"17-1753"</f>
        <v>17-1753</v>
      </c>
      <c r="H7456" t="str">
        <f>"A"</f>
        <v>A</v>
      </c>
    </row>
    <row r="7457" spans="1:8" x14ac:dyDescent="0.2">
      <c r="A7457" t="str">
        <f t="shared" si="2717"/>
        <v>0613032569</v>
      </c>
      <c r="B7457" t="str">
        <f t="shared" si="2718"/>
        <v>STEPHANIE</v>
      </c>
      <c r="C7457" t="str">
        <f t="shared" si="2719"/>
        <v>HERNANDEZMEJICANO</v>
      </c>
      <c r="D7457">
        <f>12</f>
        <v>12</v>
      </c>
      <c r="E7457" t="str">
        <f>"08 - S1 - B - 105 - Kelly N Panza"</f>
        <v>08 - S1 - B - 105 - Kelly N Panza</v>
      </c>
      <c r="F7457" t="str">
        <f>"US GOVT HON"</f>
        <v>US GOVT HON</v>
      </c>
      <c r="G7457" t="str">
        <f>"17-1753"</f>
        <v>17-1753</v>
      </c>
      <c r="H7457" t="str">
        <f>"B"</f>
        <v>B</v>
      </c>
    </row>
    <row r="7458" spans="1:8" x14ac:dyDescent="0.2">
      <c r="A7458" t="str">
        <f t="shared" ref="A7458:A7465" si="2720">"0625028722"</f>
        <v>0625028722</v>
      </c>
      <c r="B7458" t="str">
        <f t="shared" ref="B7458:B7465" si="2721">"CAMILA"</f>
        <v>CAMILA</v>
      </c>
      <c r="C7458" t="str">
        <f t="shared" ref="C7458:C7465" si="2722">"HERNANDEZ PEREZ"</f>
        <v>HERNANDEZ PEREZ</v>
      </c>
      <c r="D7458" t="str">
        <f t="shared" ref="D7458:D7473" si="2723">"09"</f>
        <v>09</v>
      </c>
      <c r="E7458" t="str">
        <f>"04 - A - 104 - Helen A Flores"</f>
        <v>04 - A - 104 - Helen A Flores</v>
      </c>
      <c r="F7458" t="str">
        <f>"FDN SKLS MATH 9-12"</f>
        <v>FDN SKLS MATH 9-12</v>
      </c>
      <c r="G7458" t="str">
        <f>"21-2101"</f>
        <v>21-2101</v>
      </c>
      <c r="H7458" t="str">
        <f>"A"</f>
        <v>A</v>
      </c>
    </row>
    <row r="7459" spans="1:8" x14ac:dyDescent="0.2">
      <c r="A7459" t="str">
        <f t="shared" si="2720"/>
        <v>0625028722</v>
      </c>
      <c r="B7459" t="str">
        <f t="shared" si="2721"/>
        <v>CAMILA</v>
      </c>
      <c r="C7459" t="str">
        <f t="shared" si="2722"/>
        <v>HERNANDEZ PEREZ</v>
      </c>
      <c r="D7459" t="str">
        <f t="shared" si="2723"/>
        <v>09</v>
      </c>
      <c r="E7459" t="str">
        <f>"06 - B - 002 - Amy Beth  Broyles"</f>
        <v>06 - B - 002 - Amy Beth  Broyles</v>
      </c>
      <c r="F7459" t="str">
        <f>"ENV SCI"</f>
        <v>ENV SCI</v>
      </c>
      <c r="G7459" t="str">
        <f>"08-802"</f>
        <v>08-802</v>
      </c>
      <c r="H7459" t="str">
        <f>"B"</f>
        <v>B</v>
      </c>
    </row>
    <row r="7460" spans="1:8" x14ac:dyDescent="0.2">
      <c r="A7460" t="str">
        <f t="shared" si="2720"/>
        <v>0625028722</v>
      </c>
      <c r="B7460" t="str">
        <f t="shared" si="2721"/>
        <v>CAMILA</v>
      </c>
      <c r="C7460" t="str">
        <f t="shared" si="2722"/>
        <v>HERNANDEZ PEREZ</v>
      </c>
      <c r="D7460" t="str">
        <f t="shared" si="2723"/>
        <v>09</v>
      </c>
      <c r="E7460" t="str">
        <f>"03 - A - 105 - Cheryl Anne  Berman-Schechter"</f>
        <v>03 - A - 105 - Cheryl Anne  Berman-Schechter</v>
      </c>
      <c r="F7460" t="str">
        <f>"ENG 1"</f>
        <v>ENG 1</v>
      </c>
      <c r="G7460" t="str">
        <f>"17-1722"</f>
        <v>17-1722</v>
      </c>
      <c r="H7460" t="str">
        <f>"A"</f>
        <v>A</v>
      </c>
    </row>
    <row r="7461" spans="1:8" x14ac:dyDescent="0.2">
      <c r="A7461" t="str">
        <f t="shared" si="2720"/>
        <v>0625028722</v>
      </c>
      <c r="B7461" t="str">
        <f t="shared" si="2721"/>
        <v>CAMILA</v>
      </c>
      <c r="C7461" t="str">
        <f t="shared" si="2722"/>
        <v>HERNANDEZ PEREZ</v>
      </c>
      <c r="D7461" t="str">
        <f t="shared" si="2723"/>
        <v>09</v>
      </c>
      <c r="E7461" t="str">
        <f>"02 - A - 102 - Fernando  Vega-Cid"</f>
        <v>02 - A - 102 - Fernando  Vega-Cid</v>
      </c>
      <c r="F7461" t="str">
        <f>"NC STUDY HALL 1"</f>
        <v>NC STUDY HALL 1</v>
      </c>
      <c r="G7461" t="str">
        <f>"21-2163"</f>
        <v>21-2163</v>
      </c>
      <c r="H7461" t="str">
        <f>"A"</f>
        <v>A</v>
      </c>
    </row>
    <row r="7462" spans="1:8" x14ac:dyDescent="0.2">
      <c r="A7462" t="str">
        <f t="shared" si="2720"/>
        <v>0625028722</v>
      </c>
      <c r="B7462" t="str">
        <f t="shared" si="2721"/>
        <v>CAMILA</v>
      </c>
      <c r="C7462" t="str">
        <f t="shared" si="2722"/>
        <v>HERNANDEZ PEREZ</v>
      </c>
      <c r="D7462" t="str">
        <f t="shared" si="2723"/>
        <v>09</v>
      </c>
      <c r="E7462" t="str">
        <f>"07 - B - 104 - Lissa C Frederique"</f>
        <v>07 - B - 104 - Lissa C Frederique</v>
      </c>
      <c r="F7462" t="str">
        <f>"WORLD HISTORY"</f>
        <v>WORLD HISTORY</v>
      </c>
      <c r="G7462" t="str">
        <f>"17-1754"</f>
        <v>17-1754</v>
      </c>
      <c r="H7462" t="str">
        <f>"B"</f>
        <v>B</v>
      </c>
    </row>
    <row r="7463" spans="1:8" x14ac:dyDescent="0.2">
      <c r="A7463" t="str">
        <f t="shared" si="2720"/>
        <v>0625028722</v>
      </c>
      <c r="B7463" t="str">
        <f t="shared" si="2721"/>
        <v>CAMILA</v>
      </c>
      <c r="C7463" t="str">
        <f t="shared" si="2722"/>
        <v>HERNANDEZ PEREZ</v>
      </c>
      <c r="D7463" t="str">
        <f t="shared" si="2723"/>
        <v>09</v>
      </c>
      <c r="E7463" t="str">
        <f>"05 - B - 102 - Vanessa J Pena"</f>
        <v>05 - B - 102 - Vanessa J Pena</v>
      </c>
      <c r="F7463" t="str">
        <f>"DEV LANG ARTS ESOL-R"</f>
        <v>DEV LANG ARTS ESOL-R</v>
      </c>
      <c r="G7463" t="str">
        <f>"09-926"</f>
        <v>09-926</v>
      </c>
      <c r="H7463" t="str">
        <f>"B"</f>
        <v>B</v>
      </c>
    </row>
    <row r="7464" spans="1:8" x14ac:dyDescent="0.2">
      <c r="A7464" t="str">
        <f t="shared" si="2720"/>
        <v>0625028722</v>
      </c>
      <c r="B7464" t="str">
        <f t="shared" si="2721"/>
        <v>CAMILA</v>
      </c>
      <c r="C7464" t="str">
        <f t="shared" si="2722"/>
        <v>HERNANDEZ PEREZ</v>
      </c>
      <c r="D7464" t="str">
        <f t="shared" si="2723"/>
        <v>09</v>
      </c>
      <c r="E7464" t="str">
        <f>"01 - A - 101 - Adam Marcus  Drucker"</f>
        <v>01 - A - 101 - Adam Marcus  Drucker</v>
      </c>
      <c r="F7464" t="str">
        <f>"HOPE-PE V"</f>
        <v>HOPE-PE V</v>
      </c>
      <c r="G7464" t="str">
        <f>"04-254"</f>
        <v>04-254</v>
      </c>
      <c r="H7464" t="str">
        <f>"A"</f>
        <v>A</v>
      </c>
    </row>
    <row r="7465" spans="1:8" x14ac:dyDescent="0.2">
      <c r="A7465" t="str">
        <f t="shared" si="2720"/>
        <v>0625028722</v>
      </c>
      <c r="B7465" t="str">
        <f t="shared" si="2721"/>
        <v>CAMILA</v>
      </c>
      <c r="C7465" t="str">
        <f t="shared" si="2722"/>
        <v>HERNANDEZ PEREZ</v>
      </c>
      <c r="D7465" t="str">
        <f t="shared" si="2723"/>
        <v>09</v>
      </c>
      <c r="E7465" t="str">
        <f>"08 - B - 106 - Helen A Flores"</f>
        <v>08 - B - 106 - Helen A Flores</v>
      </c>
      <c r="F7465" t="str">
        <f>"ALGEBRA 1"</f>
        <v>ALGEBRA 1</v>
      </c>
      <c r="G7465" t="str">
        <f>"21-2101"</f>
        <v>21-2101</v>
      </c>
      <c r="H7465" t="str">
        <f>"B"</f>
        <v>B</v>
      </c>
    </row>
    <row r="7466" spans="1:8" x14ac:dyDescent="0.2">
      <c r="A7466" t="str">
        <f t="shared" ref="A7466:A7473" si="2724">"0625025394"</f>
        <v>0625025394</v>
      </c>
      <c r="B7466" t="str">
        <f t="shared" ref="B7466:B7473" si="2725">"Jhoana Daniela"</f>
        <v>Jhoana Daniela</v>
      </c>
      <c r="C7466" t="str">
        <f t="shared" ref="C7466:C7473" si="2726">"Hernandez Zamora"</f>
        <v>Hernandez Zamora</v>
      </c>
      <c r="D7466" t="str">
        <f t="shared" si="2723"/>
        <v>09</v>
      </c>
      <c r="E7466" t="str">
        <f>"04 - A - 106 - Lissa C Frederique"</f>
        <v>04 - A - 106 - Lissa C Frederique</v>
      </c>
      <c r="F7466" t="str">
        <f>"WORLD HISTORY"</f>
        <v>WORLD HISTORY</v>
      </c>
      <c r="G7466" t="str">
        <f>"17-1754"</f>
        <v>17-1754</v>
      </c>
      <c r="H7466" t="str">
        <f>"A"</f>
        <v>A</v>
      </c>
    </row>
    <row r="7467" spans="1:8" x14ac:dyDescent="0.2">
      <c r="A7467" t="str">
        <f t="shared" si="2724"/>
        <v>0625025394</v>
      </c>
      <c r="B7467" t="str">
        <f t="shared" si="2725"/>
        <v>Jhoana Daniela</v>
      </c>
      <c r="C7467" t="str">
        <f t="shared" si="2726"/>
        <v>Hernandez Zamora</v>
      </c>
      <c r="D7467" t="str">
        <f t="shared" si="2723"/>
        <v>09</v>
      </c>
      <c r="E7467" t="str">
        <f>"06 - B - 202 - Samantha L Martinez"</f>
        <v>06 - B - 202 - Samantha L Martinez</v>
      </c>
      <c r="F7467" t="str">
        <f>"GUITAR 1"</f>
        <v>GUITAR 1</v>
      </c>
      <c r="G7467" t="str">
        <f>"05-505"</f>
        <v>05-505</v>
      </c>
      <c r="H7467" t="str">
        <f>"B"</f>
        <v>B</v>
      </c>
    </row>
    <row r="7468" spans="1:8" x14ac:dyDescent="0.2">
      <c r="A7468" t="str">
        <f t="shared" si="2724"/>
        <v>0625025394</v>
      </c>
      <c r="B7468" t="str">
        <f t="shared" si="2725"/>
        <v>Jhoana Daniela</v>
      </c>
      <c r="C7468" t="str">
        <f t="shared" si="2726"/>
        <v>Hernandez Zamora</v>
      </c>
      <c r="D7468" t="str">
        <f t="shared" si="2723"/>
        <v>09</v>
      </c>
      <c r="E7468" t="str">
        <f>"03 - A - 105 - Cheryl Anne  Berman-Schechter"</f>
        <v>03 - A - 105 - Cheryl Anne  Berman-Schechter</v>
      </c>
      <c r="F7468" t="str">
        <f>"ENG 1"</f>
        <v>ENG 1</v>
      </c>
      <c r="G7468" t="str">
        <f>"17-1722"</f>
        <v>17-1722</v>
      </c>
      <c r="H7468" t="str">
        <f>"A"</f>
        <v>A</v>
      </c>
    </row>
    <row r="7469" spans="1:8" x14ac:dyDescent="0.2">
      <c r="A7469" t="str">
        <f t="shared" si="2724"/>
        <v>0625025394</v>
      </c>
      <c r="B7469" t="str">
        <f t="shared" si="2725"/>
        <v>Jhoana Daniela</v>
      </c>
      <c r="C7469" t="str">
        <f t="shared" si="2726"/>
        <v>Hernandez Zamora</v>
      </c>
      <c r="D7469" t="str">
        <f t="shared" si="2723"/>
        <v>09</v>
      </c>
      <c r="E7469" t="str">
        <f>"02 - A - 102 - Fernando  Vega-Cid"</f>
        <v>02 - A - 102 - Fernando  Vega-Cid</v>
      </c>
      <c r="F7469" t="str">
        <f>"NC STUDY HALL 1"</f>
        <v>NC STUDY HALL 1</v>
      </c>
      <c r="G7469" t="str">
        <f>"21-2163"</f>
        <v>21-2163</v>
      </c>
      <c r="H7469" t="str">
        <f>"A"</f>
        <v>A</v>
      </c>
    </row>
    <row r="7470" spans="1:8" x14ac:dyDescent="0.2">
      <c r="A7470" t="str">
        <f t="shared" si="2724"/>
        <v>0625025394</v>
      </c>
      <c r="B7470" t="str">
        <f t="shared" si="2725"/>
        <v>Jhoana Daniela</v>
      </c>
      <c r="C7470" t="str">
        <f t="shared" si="2726"/>
        <v>Hernandez Zamora</v>
      </c>
      <c r="D7470" t="str">
        <f t="shared" si="2723"/>
        <v>09</v>
      </c>
      <c r="E7470" t="str">
        <f>"07 - B - 107 - Helen A Flores"</f>
        <v>07 - B - 107 - Helen A Flores</v>
      </c>
      <c r="F7470" t="str">
        <f>"ALGEBRA 1"</f>
        <v>ALGEBRA 1</v>
      </c>
      <c r="G7470" t="str">
        <f>"21-2101"</f>
        <v>21-2101</v>
      </c>
      <c r="H7470" t="str">
        <f>"B"</f>
        <v>B</v>
      </c>
    </row>
    <row r="7471" spans="1:8" x14ac:dyDescent="0.2">
      <c r="A7471" t="str">
        <f t="shared" si="2724"/>
        <v>0625025394</v>
      </c>
      <c r="B7471" t="str">
        <f t="shared" si="2725"/>
        <v>Jhoana Daniela</v>
      </c>
      <c r="C7471" t="str">
        <f t="shared" si="2726"/>
        <v>Hernandez Zamora</v>
      </c>
      <c r="D7471" t="str">
        <f t="shared" si="2723"/>
        <v>09</v>
      </c>
      <c r="E7471" t="str">
        <f>"05 - B - 102 - Vanessa J Pena"</f>
        <v>05 - B - 102 - Vanessa J Pena</v>
      </c>
      <c r="F7471" t="str">
        <f>"DEV LANG ARTS ESOL-R"</f>
        <v>DEV LANG ARTS ESOL-R</v>
      </c>
      <c r="G7471" t="str">
        <f>"09-926"</f>
        <v>09-926</v>
      </c>
      <c r="H7471" t="str">
        <f>"B"</f>
        <v>B</v>
      </c>
    </row>
    <row r="7472" spans="1:8" x14ac:dyDescent="0.2">
      <c r="A7472" t="str">
        <f t="shared" si="2724"/>
        <v>0625025394</v>
      </c>
      <c r="B7472" t="str">
        <f t="shared" si="2725"/>
        <v>Jhoana Daniela</v>
      </c>
      <c r="C7472" t="str">
        <f t="shared" si="2726"/>
        <v>Hernandez Zamora</v>
      </c>
      <c r="D7472" t="str">
        <f t="shared" si="2723"/>
        <v>09</v>
      </c>
      <c r="E7472" t="str">
        <f>"01 - A - 102 - Helen A Flores"</f>
        <v>01 - A - 102 - Helen A Flores</v>
      </c>
      <c r="F7472" t="str">
        <f>"FDN SKLS MATH 9-12"</f>
        <v>FDN SKLS MATH 9-12</v>
      </c>
      <c r="G7472" t="str">
        <f>"21-2101"</f>
        <v>21-2101</v>
      </c>
      <c r="H7472" t="str">
        <f>"A"</f>
        <v>A</v>
      </c>
    </row>
    <row r="7473" spans="1:8" x14ac:dyDescent="0.2">
      <c r="A7473" t="str">
        <f t="shared" si="2724"/>
        <v>0625025394</v>
      </c>
      <c r="B7473" t="str">
        <f t="shared" si="2725"/>
        <v>Jhoana Daniela</v>
      </c>
      <c r="C7473" t="str">
        <f t="shared" si="2726"/>
        <v>Hernandez Zamora</v>
      </c>
      <c r="D7473" t="str">
        <f t="shared" si="2723"/>
        <v>09</v>
      </c>
      <c r="E7473" t="str">
        <f>"08 - B - 105 - Samantha J Headley"</f>
        <v>08 - B - 105 - Samantha J Headley</v>
      </c>
      <c r="F7473" t="str">
        <f>"ENV SCI"</f>
        <v>ENV SCI</v>
      </c>
      <c r="G7473" t="str">
        <f>"08-802"</f>
        <v>08-802</v>
      </c>
      <c r="H7473" t="str">
        <f>"B"</f>
        <v>B</v>
      </c>
    </row>
    <row r="7474" spans="1:8" x14ac:dyDescent="0.2">
      <c r="A7474" t="str">
        <f t="shared" ref="A7474:A7481" si="2727">"0617050640"</f>
        <v>0617050640</v>
      </c>
      <c r="B7474" t="str">
        <f t="shared" ref="B7474:B7481" si="2728">"IADER"</f>
        <v>IADER</v>
      </c>
      <c r="C7474" t="str">
        <f t="shared" ref="C7474:C7481" si="2729">"HERRENO"</f>
        <v>HERRENO</v>
      </c>
      <c r="D7474">
        <f>10</f>
        <v>10</v>
      </c>
      <c r="E7474" t="str">
        <f>"04 - A - 205 - Jacqueline R Morphet"</f>
        <v>04 - A - 205 - Jacqueline R Morphet</v>
      </c>
      <c r="F7474" t="str">
        <f>"PHYSICS 1 HON"</f>
        <v>PHYSICS 1 HON</v>
      </c>
      <c r="G7474" t="str">
        <f>"21-2138"</f>
        <v>21-2138</v>
      </c>
      <c r="H7474" t="str">
        <f>"A"</f>
        <v>A</v>
      </c>
    </row>
    <row r="7475" spans="1:8" x14ac:dyDescent="0.2">
      <c r="A7475" t="str">
        <f t="shared" si="2727"/>
        <v>0617050640</v>
      </c>
      <c r="B7475" t="str">
        <f t="shared" si="2728"/>
        <v>IADER</v>
      </c>
      <c r="C7475" t="str">
        <f t="shared" si="2729"/>
        <v>HERRENO</v>
      </c>
      <c r="D7475">
        <f>10</f>
        <v>10</v>
      </c>
      <c r="E7475" t="str">
        <f>"06 - B - 103 - Thomas G Handwerg"</f>
        <v>06 - B - 103 - Thomas G Handwerg</v>
      </c>
      <c r="F7475" t="str">
        <f>"NC STUDY HALL 1"</f>
        <v>NC STUDY HALL 1</v>
      </c>
      <c r="G7475" t="str">
        <f>"21-2146"</f>
        <v>21-2146</v>
      </c>
      <c r="H7475" t="str">
        <f>"B"</f>
        <v>B</v>
      </c>
    </row>
    <row r="7476" spans="1:8" x14ac:dyDescent="0.2">
      <c r="A7476" t="str">
        <f t="shared" si="2727"/>
        <v>0617050640</v>
      </c>
      <c r="B7476" t="str">
        <f t="shared" si="2728"/>
        <v>IADER</v>
      </c>
      <c r="C7476" t="str">
        <f t="shared" si="2729"/>
        <v>HERRENO</v>
      </c>
      <c r="D7476">
        <f>10</f>
        <v>10</v>
      </c>
      <c r="E7476" t="str">
        <f>"03 - A - 002 - Brandy N Zdenek"</f>
        <v>03 - A - 002 - Brandy N Zdenek</v>
      </c>
      <c r="F7476" t="str">
        <f>"AICE ENG LANG AS"</f>
        <v>AICE ENG LANG AS</v>
      </c>
      <c r="G7476" t="str">
        <f>"17-1704"</f>
        <v>17-1704</v>
      </c>
      <c r="H7476" t="str">
        <f>"A"</f>
        <v>A</v>
      </c>
    </row>
    <row r="7477" spans="1:8" x14ac:dyDescent="0.2">
      <c r="A7477" t="str">
        <f t="shared" si="2727"/>
        <v>0617050640</v>
      </c>
      <c r="B7477" t="str">
        <f t="shared" si="2728"/>
        <v>IADER</v>
      </c>
      <c r="C7477" t="str">
        <f t="shared" si="2729"/>
        <v>HERRENO</v>
      </c>
      <c r="D7477">
        <f>10</f>
        <v>10</v>
      </c>
      <c r="E7477" t="str">
        <f>"02 - A - 102 - Vanessa J Liburd"</f>
        <v>02 - A - 102 - Vanessa J Liburd</v>
      </c>
      <c r="F7477" t="str">
        <f>"PRE-AICE FRENCH 2 IG"</f>
        <v>PRE-AICE FRENCH 2 IG</v>
      </c>
      <c r="G7477" t="str">
        <f>"05-519"</f>
        <v>05-519</v>
      </c>
      <c r="H7477" t="str">
        <f>"A"</f>
        <v>A</v>
      </c>
    </row>
    <row r="7478" spans="1:8" x14ac:dyDescent="0.2">
      <c r="A7478" t="str">
        <f t="shared" si="2727"/>
        <v>0617050640</v>
      </c>
      <c r="B7478" t="str">
        <f t="shared" si="2728"/>
        <v>IADER</v>
      </c>
      <c r="C7478" t="str">
        <f t="shared" si="2729"/>
        <v>HERRENO</v>
      </c>
      <c r="D7478">
        <f>10</f>
        <v>10</v>
      </c>
      <c r="E7478" t="str">
        <f>"07 - B - 204 - Elizabeth Ellen  Moran"</f>
        <v>07 - B - 204 - Elizabeth Ellen  Moran</v>
      </c>
      <c r="F7478" t="str">
        <f>"AICE EURO HIST 1 AS"</f>
        <v>AICE EURO HIST 1 AS</v>
      </c>
      <c r="G7478" t="str">
        <f>"17-1752"</f>
        <v>17-1752</v>
      </c>
      <c r="H7478" t="str">
        <f>"B"</f>
        <v>B</v>
      </c>
    </row>
    <row r="7479" spans="1:8" x14ac:dyDescent="0.2">
      <c r="A7479" t="str">
        <f t="shared" si="2727"/>
        <v>0617050640</v>
      </c>
      <c r="B7479" t="str">
        <f t="shared" si="2728"/>
        <v>IADER</v>
      </c>
      <c r="C7479" t="str">
        <f t="shared" si="2729"/>
        <v>HERRENO</v>
      </c>
      <c r="D7479">
        <f>10</f>
        <v>10</v>
      </c>
      <c r="E7479" t="str">
        <f>"05 - B - 104 - Lourivaldo  Da Silva"</f>
        <v>05 - B - 104 - Lourivaldo  Da Silva</v>
      </c>
      <c r="F7479" t="str">
        <f>"PRE-CALCULUS HON"</f>
        <v>PRE-CALCULUS HON</v>
      </c>
      <c r="G7479" t="str">
        <f>"20-2079"</f>
        <v>20-2079</v>
      </c>
      <c r="H7479" t="str">
        <f>"B"</f>
        <v>B</v>
      </c>
    </row>
    <row r="7480" spans="1:8" x14ac:dyDescent="0.2">
      <c r="A7480" t="str">
        <f t="shared" si="2727"/>
        <v>0617050640</v>
      </c>
      <c r="B7480" t="str">
        <f t="shared" si="2728"/>
        <v>IADER</v>
      </c>
      <c r="C7480" t="str">
        <f t="shared" si="2729"/>
        <v>HERRENO</v>
      </c>
      <c r="D7480">
        <f>10</f>
        <v>10</v>
      </c>
      <c r="E7480" t="str">
        <f>"01 - A - 201 - Stefanie S Scher"</f>
        <v>01 - A - 201 - Stefanie S Scher</v>
      </c>
      <c r="F7480" t="str">
        <f>"AICE PSYCH 1 AS"</f>
        <v>AICE PSYCH 1 AS</v>
      </c>
      <c r="G7480" t="str">
        <f>"17-1735"</f>
        <v>17-1735</v>
      </c>
      <c r="H7480" t="str">
        <f>"A"</f>
        <v>A</v>
      </c>
    </row>
    <row r="7481" spans="1:8" x14ac:dyDescent="0.2">
      <c r="A7481" t="str">
        <f t="shared" si="2727"/>
        <v>0617050640</v>
      </c>
      <c r="B7481" t="str">
        <f t="shared" si="2728"/>
        <v>IADER</v>
      </c>
      <c r="C7481" t="str">
        <f t="shared" si="2729"/>
        <v>HERRENO</v>
      </c>
      <c r="D7481">
        <f>10</f>
        <v>10</v>
      </c>
      <c r="E7481" t="str">
        <f>"08 - B - 206 - Daniel S Katz"</f>
        <v>08 - B - 206 - Daniel S Katz</v>
      </c>
      <c r="F7481" t="str">
        <f>"AICE MEDIASTUDIES AS"</f>
        <v>AICE MEDIASTUDIES AS</v>
      </c>
      <c r="G7481" t="str">
        <f>"05-521"</f>
        <v>05-521</v>
      </c>
      <c r="H7481" t="str">
        <f>"B"</f>
        <v>B</v>
      </c>
    </row>
    <row r="7482" spans="1:8" x14ac:dyDescent="0.2">
      <c r="A7482" t="str">
        <f t="shared" ref="A7482:A7489" si="2730">"0618096027"</f>
        <v>0618096027</v>
      </c>
      <c r="B7482" t="str">
        <f t="shared" ref="B7482:B7489" si="2731">"FABIANA"</f>
        <v>FABIANA</v>
      </c>
      <c r="C7482" t="str">
        <f t="shared" ref="C7482:C7489" si="2732">"HERRERA ALVAREZ"</f>
        <v>HERRERA ALVAREZ</v>
      </c>
      <c r="D7482">
        <f>10</f>
        <v>10</v>
      </c>
      <c r="E7482" t="str">
        <f>"04 - A - 103 - Joe  Kilpatrick Jr"</f>
        <v>04 - A - 103 - Joe  Kilpatrick Jr</v>
      </c>
      <c r="F7482" t="str">
        <f>"PRE-AICE SPAN 1 IG"</f>
        <v>PRE-AICE SPAN 1 IG</v>
      </c>
      <c r="G7482" t="str">
        <f>"09-912"</f>
        <v>09-912</v>
      </c>
      <c r="H7482" t="str">
        <f>"A"</f>
        <v>A</v>
      </c>
    </row>
    <row r="7483" spans="1:8" x14ac:dyDescent="0.2">
      <c r="A7483" t="str">
        <f t="shared" si="2730"/>
        <v>0618096027</v>
      </c>
      <c r="B7483" t="str">
        <f t="shared" si="2731"/>
        <v>FABIANA</v>
      </c>
      <c r="C7483" t="str">
        <f t="shared" si="2732"/>
        <v>HERRERA ALVAREZ</v>
      </c>
      <c r="D7483">
        <f>10</f>
        <v>10</v>
      </c>
      <c r="E7483" t="str">
        <f>"06 - B - 003 - Emmily A Sarmiento"</f>
        <v>06 - B - 003 - Emmily A Sarmiento</v>
      </c>
      <c r="F7483" t="str">
        <f>"NC STUDY HALL 1"</f>
        <v>NC STUDY HALL 1</v>
      </c>
      <c r="G7483" t="str">
        <f>"17-1743"</f>
        <v>17-1743</v>
      </c>
      <c r="H7483" t="str">
        <f>"B"</f>
        <v>B</v>
      </c>
    </row>
    <row r="7484" spans="1:8" x14ac:dyDescent="0.2">
      <c r="A7484" t="str">
        <f t="shared" si="2730"/>
        <v>0618096027</v>
      </c>
      <c r="B7484" t="str">
        <f t="shared" si="2731"/>
        <v>FABIANA</v>
      </c>
      <c r="C7484" t="str">
        <f t="shared" si="2732"/>
        <v>HERRERA ALVAREZ</v>
      </c>
      <c r="D7484">
        <f>10</f>
        <v>10</v>
      </c>
      <c r="E7484" t="str">
        <f>"03 - A - 103 - Taraneh C Abreu"</f>
        <v>03 - A - 103 - Taraneh C Abreu</v>
      </c>
      <c r="F7484" t="str">
        <f>"INTENS READ 2"</f>
        <v>INTENS READ 2</v>
      </c>
      <c r="G7484" t="str">
        <f>"17-1713"</f>
        <v>17-1713</v>
      </c>
      <c r="H7484" t="str">
        <f>"A"</f>
        <v>A</v>
      </c>
    </row>
    <row r="7485" spans="1:8" x14ac:dyDescent="0.2">
      <c r="A7485" t="str">
        <f t="shared" si="2730"/>
        <v>0618096027</v>
      </c>
      <c r="B7485" t="str">
        <f t="shared" si="2731"/>
        <v>FABIANA</v>
      </c>
      <c r="C7485" t="str">
        <f t="shared" si="2732"/>
        <v>HERRERA ALVAREZ</v>
      </c>
      <c r="D7485">
        <f>10</f>
        <v>10</v>
      </c>
      <c r="E7485" t="str">
        <f>"02 - A - 102 - Nikiel  Nesbeth"</f>
        <v>02 - A - 102 - Nikiel  Nesbeth</v>
      </c>
      <c r="F7485" t="str">
        <f>"ENG 2"</f>
        <v>ENG 2</v>
      </c>
      <c r="G7485" t="str">
        <f>"17-1705"</f>
        <v>17-1705</v>
      </c>
      <c r="H7485" t="str">
        <f>"A"</f>
        <v>A</v>
      </c>
    </row>
    <row r="7486" spans="1:8" x14ac:dyDescent="0.2">
      <c r="A7486" t="str">
        <f t="shared" si="2730"/>
        <v>0618096027</v>
      </c>
      <c r="B7486" t="str">
        <f t="shared" si="2731"/>
        <v>FABIANA</v>
      </c>
      <c r="C7486" t="str">
        <f t="shared" si="2732"/>
        <v>HERRERA ALVAREZ</v>
      </c>
      <c r="D7486">
        <f>10</f>
        <v>10</v>
      </c>
      <c r="E7486" t="str">
        <f>"07 - B - 001 - Maried P Ramos"</f>
        <v>07 - B - 001 - Maried P Ramos</v>
      </c>
      <c r="F7486" t="str">
        <f>"GEOMETRY"</f>
        <v>GEOMETRY</v>
      </c>
      <c r="G7486" t="str">
        <f>"21-2159"</f>
        <v>21-2159</v>
      </c>
      <c r="H7486" t="str">
        <f>"B"</f>
        <v>B</v>
      </c>
    </row>
    <row r="7487" spans="1:8" x14ac:dyDescent="0.2">
      <c r="A7487" t="str">
        <f t="shared" si="2730"/>
        <v>0618096027</v>
      </c>
      <c r="B7487" t="str">
        <f t="shared" si="2731"/>
        <v>FABIANA</v>
      </c>
      <c r="C7487" t="str">
        <f t="shared" si="2732"/>
        <v>HERRERA ALVAREZ</v>
      </c>
      <c r="D7487">
        <f>10</f>
        <v>10</v>
      </c>
      <c r="E7487" t="str">
        <f>"05 - B - 105 - Adam Marcus  Drucker"</f>
        <v>05 - B - 105 - Adam Marcus  Drucker</v>
      </c>
      <c r="F7487" t="str">
        <f>"HOPE-PE V"</f>
        <v>HOPE-PE V</v>
      </c>
      <c r="G7487" t="str">
        <f>"04-254"</f>
        <v>04-254</v>
      </c>
      <c r="H7487" t="str">
        <f>"B"</f>
        <v>B</v>
      </c>
    </row>
    <row r="7488" spans="1:8" x14ac:dyDescent="0.2">
      <c r="A7488" t="str">
        <f t="shared" si="2730"/>
        <v>0618096027</v>
      </c>
      <c r="B7488" t="str">
        <f t="shared" si="2731"/>
        <v>FABIANA</v>
      </c>
      <c r="C7488" t="str">
        <f t="shared" si="2732"/>
        <v>HERRERA ALVAREZ</v>
      </c>
      <c r="D7488">
        <f>10</f>
        <v>10</v>
      </c>
      <c r="E7488" t="str">
        <f>"01 - S1 - A - 101 - Carol S Moore"</f>
        <v>01 - S1 - A - 101 - Carol S Moore</v>
      </c>
      <c r="F7488" t="str">
        <f>"PERS FIN &amp; MON MGT H"</f>
        <v>PERS FIN &amp; MON MGT H</v>
      </c>
      <c r="G7488" t="str">
        <f>"17-1733"</f>
        <v>17-1733</v>
      </c>
      <c r="H7488" t="str">
        <f>"A"</f>
        <v>A</v>
      </c>
    </row>
    <row r="7489" spans="1:8" x14ac:dyDescent="0.2">
      <c r="A7489" t="str">
        <f t="shared" si="2730"/>
        <v>0618096027</v>
      </c>
      <c r="B7489" t="str">
        <f t="shared" si="2731"/>
        <v>FABIANA</v>
      </c>
      <c r="C7489" t="str">
        <f t="shared" si="2732"/>
        <v>HERRERA ALVAREZ</v>
      </c>
      <c r="D7489">
        <f>10</f>
        <v>10</v>
      </c>
      <c r="E7489" t="str">
        <f>"08 - B - 001 - Lytrell T Dixon"</f>
        <v>08 - B - 001 - Lytrell T Dixon</v>
      </c>
      <c r="F7489" t="str">
        <f>"BIOLOGY 1"</f>
        <v>BIOLOGY 1</v>
      </c>
      <c r="G7489" t="str">
        <f>"08-808"</f>
        <v>08-808</v>
      </c>
      <c r="H7489" t="str">
        <f>"B"</f>
        <v>B</v>
      </c>
    </row>
    <row r="7490" spans="1:8" x14ac:dyDescent="0.2">
      <c r="A7490" t="str">
        <f t="shared" ref="A7490:A7498" si="2733">"0617099674"</f>
        <v>0617099674</v>
      </c>
      <c r="B7490" t="str">
        <f t="shared" ref="B7490:B7498" si="2734">"JARED"</f>
        <v>JARED</v>
      </c>
      <c r="C7490" t="str">
        <f t="shared" ref="C7490:C7498" si="2735">"HERRERA-MEDINA"</f>
        <v>HERRERA-MEDINA</v>
      </c>
      <c r="D7490">
        <f>10</f>
        <v>10</v>
      </c>
      <c r="E7490" t="str">
        <f>"04 - A - 104 - Nikiel  Nesbeth"</f>
        <v>04 - A - 104 - Nikiel  Nesbeth</v>
      </c>
      <c r="F7490" t="str">
        <f>"ENG 2"</f>
        <v>ENG 2</v>
      </c>
      <c r="G7490" t="str">
        <f>"17-1705"</f>
        <v>17-1705</v>
      </c>
      <c r="H7490" t="str">
        <f>"A"</f>
        <v>A</v>
      </c>
    </row>
    <row r="7491" spans="1:8" x14ac:dyDescent="0.2">
      <c r="A7491" t="str">
        <f t="shared" si="2733"/>
        <v>0617099674</v>
      </c>
      <c r="B7491" t="str">
        <f t="shared" si="2734"/>
        <v>JARED</v>
      </c>
      <c r="C7491" t="str">
        <f t="shared" si="2735"/>
        <v>HERRERA-MEDINA</v>
      </c>
      <c r="D7491">
        <f>10</f>
        <v>10</v>
      </c>
      <c r="E7491" t="str">
        <f>"06 - B - 002 - Lenecy  Nodarse"</f>
        <v>06 - B - 002 - Lenecy  Nodarse</v>
      </c>
      <c r="F7491" t="str">
        <f>"NC STUDY HALL 1"</f>
        <v>NC STUDY HALL 1</v>
      </c>
      <c r="G7491" t="str">
        <f>"17-1741"</f>
        <v>17-1741</v>
      </c>
      <c r="H7491" t="str">
        <f>"B"</f>
        <v>B</v>
      </c>
    </row>
    <row r="7492" spans="1:8" x14ac:dyDescent="0.2">
      <c r="A7492" t="str">
        <f t="shared" si="2733"/>
        <v>0617099674</v>
      </c>
      <c r="B7492" t="str">
        <f t="shared" si="2734"/>
        <v>JARED</v>
      </c>
      <c r="C7492" t="str">
        <f t="shared" si="2735"/>
        <v>HERRERA-MEDINA</v>
      </c>
      <c r="D7492">
        <f>10</f>
        <v>10</v>
      </c>
      <c r="E7492" t="str">
        <f>"06 - B - 106 - Eric  Lopapa"</f>
        <v>06 - B - 106 - Eric  Lopapa</v>
      </c>
      <c r="F7492" t="str">
        <f>"LANG THERAPY"</f>
        <v>LANG THERAPY</v>
      </c>
      <c r="G7492" t="str">
        <f>"21-2110"</f>
        <v>21-2110</v>
      </c>
      <c r="H7492" t="str">
        <f>"B"</f>
        <v>B</v>
      </c>
    </row>
    <row r="7493" spans="1:8" x14ac:dyDescent="0.2">
      <c r="A7493" t="str">
        <f t="shared" si="2733"/>
        <v>0617099674</v>
      </c>
      <c r="B7493" t="str">
        <f t="shared" si="2734"/>
        <v>JARED</v>
      </c>
      <c r="C7493" t="str">
        <f t="shared" si="2735"/>
        <v>HERRERA-MEDINA</v>
      </c>
      <c r="D7493">
        <f>10</f>
        <v>10</v>
      </c>
      <c r="E7493" t="str">
        <f>"03 - A - 103 - Taraneh C Abreu"</f>
        <v>03 - A - 103 - Taraneh C Abreu</v>
      </c>
      <c r="F7493" t="str">
        <f>"INTENS READ 2"</f>
        <v>INTENS READ 2</v>
      </c>
      <c r="G7493" t="str">
        <f>"17-1713"</f>
        <v>17-1713</v>
      </c>
      <c r="H7493" t="str">
        <f>"A"</f>
        <v>A</v>
      </c>
    </row>
    <row r="7494" spans="1:8" x14ac:dyDescent="0.2">
      <c r="A7494" t="str">
        <f t="shared" si="2733"/>
        <v>0617099674</v>
      </c>
      <c r="B7494" t="str">
        <f t="shared" si="2734"/>
        <v>JARED</v>
      </c>
      <c r="C7494" t="str">
        <f t="shared" si="2735"/>
        <v>HERRERA-MEDINA</v>
      </c>
      <c r="D7494">
        <f>10</f>
        <v>10</v>
      </c>
      <c r="E7494" t="str">
        <f>"02 - S1 - A - 101 - James H Mccann"</f>
        <v>02 - S1 - A - 101 - James H Mccann</v>
      </c>
      <c r="F7494" t="str">
        <f>"PERS FIN &amp; MON MGT H"</f>
        <v>PERS FIN &amp; MON MGT H</v>
      </c>
      <c r="G7494" t="str">
        <f>"17-1716"</f>
        <v>17-1716</v>
      </c>
      <c r="H7494" t="str">
        <f>"A"</f>
        <v>A</v>
      </c>
    </row>
    <row r="7495" spans="1:8" x14ac:dyDescent="0.2">
      <c r="A7495" t="str">
        <f t="shared" si="2733"/>
        <v>0617099674</v>
      </c>
      <c r="B7495" t="str">
        <f t="shared" si="2734"/>
        <v>JARED</v>
      </c>
      <c r="C7495" t="str">
        <f t="shared" si="2735"/>
        <v>HERRERA-MEDINA</v>
      </c>
      <c r="D7495">
        <f>10</f>
        <v>10</v>
      </c>
      <c r="E7495" t="str">
        <f>"07 - B - 107 - Lytrell T Dixon"</f>
        <v>07 - B - 107 - Lytrell T Dixon</v>
      </c>
      <c r="F7495" t="str">
        <f>"BIOLOGY 1"</f>
        <v>BIOLOGY 1</v>
      </c>
      <c r="G7495" t="str">
        <f>"08-808"</f>
        <v>08-808</v>
      </c>
      <c r="H7495" t="str">
        <f>"B"</f>
        <v>B</v>
      </c>
    </row>
    <row r="7496" spans="1:8" x14ac:dyDescent="0.2">
      <c r="A7496" t="str">
        <f t="shared" si="2733"/>
        <v>0617099674</v>
      </c>
      <c r="B7496" t="str">
        <f t="shared" si="2734"/>
        <v>JARED</v>
      </c>
      <c r="C7496" t="str">
        <f t="shared" si="2735"/>
        <v>HERRERA-MEDINA</v>
      </c>
      <c r="D7496">
        <f>10</f>
        <v>10</v>
      </c>
      <c r="E7496" t="str">
        <f>"05 - B - 101 - Brian M Fitzgerald"</f>
        <v>05 - B - 101 - Brian M Fitzgerald</v>
      </c>
      <c r="F7496" t="str">
        <f>"PAINT 1"</f>
        <v>PAINT 1</v>
      </c>
      <c r="G7496" t="str">
        <f>"09-908"</f>
        <v>09-908</v>
      </c>
      <c r="H7496" t="str">
        <f>"B"</f>
        <v>B</v>
      </c>
    </row>
    <row r="7497" spans="1:8" x14ac:dyDescent="0.2">
      <c r="A7497" t="str">
        <f t="shared" si="2733"/>
        <v>0617099674</v>
      </c>
      <c r="B7497" t="str">
        <f t="shared" si="2734"/>
        <v>JARED</v>
      </c>
      <c r="C7497" t="str">
        <f t="shared" si="2735"/>
        <v>HERRERA-MEDINA</v>
      </c>
      <c r="D7497">
        <f>10</f>
        <v>10</v>
      </c>
      <c r="E7497" t="str">
        <f>"01 - A - 104 - Milca  Exantus"</f>
        <v>01 - A - 104 - Milca  Exantus</v>
      </c>
      <c r="F7497" t="str">
        <f>"MATH COLLEGE LIB ART"</f>
        <v>MATH COLLEGE LIB ART</v>
      </c>
      <c r="G7497" t="str">
        <f>"21-2145"</f>
        <v>21-2145</v>
      </c>
      <c r="H7497" t="str">
        <f>"A"</f>
        <v>A</v>
      </c>
    </row>
    <row r="7498" spans="1:8" x14ac:dyDescent="0.2">
      <c r="A7498" t="str">
        <f t="shared" si="2733"/>
        <v>0617099674</v>
      </c>
      <c r="B7498" t="str">
        <f t="shared" si="2734"/>
        <v>JARED</v>
      </c>
      <c r="C7498" t="str">
        <f t="shared" si="2735"/>
        <v>HERRERA-MEDINA</v>
      </c>
      <c r="D7498">
        <f>10</f>
        <v>10</v>
      </c>
      <c r="E7498" t="str">
        <f>"08 - B - 101 - Alejandro  Navarro"</f>
        <v>08 - B - 101 - Alejandro  Navarro</v>
      </c>
      <c r="F7498" t="str">
        <f>"GUITAR 1"</f>
        <v>GUITAR 1</v>
      </c>
      <c r="G7498" t="str">
        <f>"05-504"</f>
        <v>05-504</v>
      </c>
      <c r="H7498" t="str">
        <f>"B"</f>
        <v>B</v>
      </c>
    </row>
    <row r="7499" spans="1:8" x14ac:dyDescent="0.2">
      <c r="A7499" t="str">
        <f t="shared" ref="A7499:A7506" si="2736">"0616074415"</f>
        <v>0616074415</v>
      </c>
      <c r="B7499" t="str">
        <f t="shared" ref="B7499:B7506" si="2737">"TARAJI"</f>
        <v>TARAJI</v>
      </c>
      <c r="C7499" t="str">
        <f t="shared" ref="C7499:C7506" si="2738">"HERRING"</f>
        <v>HERRING</v>
      </c>
      <c r="D7499" t="str">
        <f t="shared" ref="D7499:D7506" si="2739">"09"</f>
        <v>09</v>
      </c>
      <c r="E7499" t="str">
        <f>"04 - A - 103 - Cerine S Stewart"</f>
        <v>04 - A - 103 - Cerine S Stewart</v>
      </c>
      <c r="F7499" t="str">
        <f>"ENG 1"</f>
        <v>ENG 1</v>
      </c>
      <c r="G7499" t="str">
        <f>"17-1720"</f>
        <v>17-1720</v>
      </c>
      <c r="H7499" t="str">
        <f>"A"</f>
        <v>A</v>
      </c>
    </row>
    <row r="7500" spans="1:8" x14ac:dyDescent="0.2">
      <c r="A7500" t="str">
        <f t="shared" si="2736"/>
        <v>0616074415</v>
      </c>
      <c r="B7500" t="str">
        <f t="shared" si="2737"/>
        <v>TARAJI</v>
      </c>
      <c r="C7500" t="str">
        <f t="shared" si="2738"/>
        <v>HERRING</v>
      </c>
      <c r="D7500" t="str">
        <f t="shared" si="2739"/>
        <v>09</v>
      </c>
      <c r="E7500" t="str">
        <f>"06 - B - 106 - Adam Marcus  Drucker"</f>
        <v>06 - B - 106 - Adam Marcus  Drucker</v>
      </c>
      <c r="F7500" t="str">
        <f>"HOPE-PE V"</f>
        <v>HOPE-PE V</v>
      </c>
      <c r="G7500" t="str">
        <f>"04-254"</f>
        <v>04-254</v>
      </c>
      <c r="H7500" t="str">
        <f>"B"</f>
        <v>B</v>
      </c>
    </row>
    <row r="7501" spans="1:8" x14ac:dyDescent="0.2">
      <c r="A7501" t="str">
        <f t="shared" si="2736"/>
        <v>0616074415</v>
      </c>
      <c r="B7501" t="str">
        <f t="shared" si="2737"/>
        <v>TARAJI</v>
      </c>
      <c r="C7501" t="str">
        <f t="shared" si="2738"/>
        <v>HERRING</v>
      </c>
      <c r="D7501" t="str">
        <f t="shared" si="2739"/>
        <v>09</v>
      </c>
      <c r="E7501" t="str">
        <f>"03 - A - 101 - Milca  Exantus"</f>
        <v>03 - A - 101 - Milca  Exantus</v>
      </c>
      <c r="F7501" t="str">
        <f>"ALGEBRA 1-A"</f>
        <v>ALGEBRA 1-A</v>
      </c>
      <c r="G7501" t="str">
        <f>"21-2145"</f>
        <v>21-2145</v>
      </c>
      <c r="H7501" t="str">
        <f>"A"</f>
        <v>A</v>
      </c>
    </row>
    <row r="7502" spans="1:8" x14ac:dyDescent="0.2">
      <c r="A7502" t="str">
        <f t="shared" si="2736"/>
        <v>0616074415</v>
      </c>
      <c r="B7502" t="str">
        <f t="shared" si="2737"/>
        <v>TARAJI</v>
      </c>
      <c r="C7502" t="str">
        <f t="shared" si="2738"/>
        <v>HERRING</v>
      </c>
      <c r="D7502" t="str">
        <f t="shared" si="2739"/>
        <v>09</v>
      </c>
      <c r="E7502" t="str">
        <f>"02 - A - 106 - Helen A Flores"</f>
        <v>02 - A - 106 - Helen A Flores</v>
      </c>
      <c r="F7502" t="str">
        <f>"NC STUDY HALL 1"</f>
        <v>NC STUDY HALL 1</v>
      </c>
      <c r="G7502" t="str">
        <f>"21-2101"</f>
        <v>21-2101</v>
      </c>
      <c r="H7502" t="str">
        <f>"A"</f>
        <v>A</v>
      </c>
    </row>
    <row r="7503" spans="1:8" x14ac:dyDescent="0.2">
      <c r="A7503" t="str">
        <f t="shared" si="2736"/>
        <v>0616074415</v>
      </c>
      <c r="B7503" t="str">
        <f t="shared" si="2737"/>
        <v>TARAJI</v>
      </c>
      <c r="C7503" t="str">
        <f t="shared" si="2738"/>
        <v>HERRING</v>
      </c>
      <c r="D7503" t="str">
        <f t="shared" si="2739"/>
        <v>09</v>
      </c>
      <c r="E7503" t="str">
        <f>"07 - B - 105 - Laselleda D Shaw"</f>
        <v>07 - B - 105 - Laselleda D Shaw</v>
      </c>
      <c r="F7503" t="str">
        <f>"INTENS READ 1"</f>
        <v>INTENS READ 1</v>
      </c>
      <c r="G7503" t="str">
        <f>"17-1723"</f>
        <v>17-1723</v>
      </c>
      <c r="H7503" t="str">
        <f>"B"</f>
        <v>B</v>
      </c>
    </row>
    <row r="7504" spans="1:8" x14ac:dyDescent="0.2">
      <c r="A7504" t="str">
        <f t="shared" si="2736"/>
        <v>0616074415</v>
      </c>
      <c r="B7504" t="str">
        <f t="shared" si="2737"/>
        <v>TARAJI</v>
      </c>
      <c r="C7504" t="str">
        <f t="shared" si="2738"/>
        <v>HERRING</v>
      </c>
      <c r="D7504" t="str">
        <f t="shared" si="2739"/>
        <v>09</v>
      </c>
      <c r="E7504" t="str">
        <f>"05 - B - 105 - Marius D Orsolini"</f>
        <v>05 - B - 105 - Marius D Orsolini</v>
      </c>
      <c r="F7504" t="str">
        <f>"CULINARY ARTS 1"</f>
        <v>CULINARY ARTS 1</v>
      </c>
      <c r="G7504" t="str">
        <f>"21-2115"</f>
        <v>21-2115</v>
      </c>
      <c r="H7504" t="str">
        <f>"B"</f>
        <v>B</v>
      </c>
    </row>
    <row r="7505" spans="1:8" x14ac:dyDescent="0.2">
      <c r="A7505" t="str">
        <f t="shared" si="2736"/>
        <v>0616074415</v>
      </c>
      <c r="B7505" t="str">
        <f t="shared" si="2737"/>
        <v>TARAJI</v>
      </c>
      <c r="C7505" t="str">
        <f t="shared" si="2738"/>
        <v>HERRING</v>
      </c>
      <c r="D7505" t="str">
        <f t="shared" si="2739"/>
        <v>09</v>
      </c>
      <c r="E7505" t="str">
        <f>"01 - A - 103 - Amy Beth  Broyles"</f>
        <v>01 - A - 103 - Amy Beth  Broyles</v>
      </c>
      <c r="F7505" t="str">
        <f>"ENV SCI"</f>
        <v>ENV SCI</v>
      </c>
      <c r="G7505" t="str">
        <f>"08-802"</f>
        <v>08-802</v>
      </c>
      <c r="H7505" t="str">
        <f>"A"</f>
        <v>A</v>
      </c>
    </row>
    <row r="7506" spans="1:8" x14ac:dyDescent="0.2">
      <c r="A7506" t="str">
        <f t="shared" si="2736"/>
        <v>0616074415</v>
      </c>
      <c r="B7506" t="str">
        <f t="shared" si="2737"/>
        <v>TARAJI</v>
      </c>
      <c r="C7506" t="str">
        <f t="shared" si="2738"/>
        <v>HERRING</v>
      </c>
      <c r="D7506" t="str">
        <f t="shared" si="2739"/>
        <v>09</v>
      </c>
      <c r="E7506" t="str">
        <f>"08 - B - 101 - Elizabeth Ellen  Moran"</f>
        <v>08 - B - 101 - Elizabeth Ellen  Moran</v>
      </c>
      <c r="F7506" t="str">
        <f>"WORLD HISTORY"</f>
        <v>WORLD HISTORY</v>
      </c>
      <c r="G7506" t="str">
        <f>"17-1752"</f>
        <v>17-1752</v>
      </c>
      <c r="H7506" t="str">
        <f>"B"</f>
        <v>B</v>
      </c>
    </row>
    <row r="7507" spans="1:8" x14ac:dyDescent="0.2">
      <c r="A7507" t="str">
        <f t="shared" ref="A7507:A7514" si="2740">"0615088606"</f>
        <v>0615088606</v>
      </c>
      <c r="B7507" t="str">
        <f t="shared" ref="B7507:B7514" si="2741">"ELLA"</f>
        <v>ELLA</v>
      </c>
      <c r="C7507" t="str">
        <f t="shared" ref="C7507:C7514" si="2742">"HERTZBACH"</f>
        <v>HERTZBACH</v>
      </c>
      <c r="D7507">
        <f>11</f>
        <v>11</v>
      </c>
      <c r="E7507" t="str">
        <f>"04 - A - 102 - Brandy N Zdenek"</f>
        <v>04 - A - 102 - Brandy N Zdenek</v>
      </c>
      <c r="F7507" t="str">
        <f>"AICE ENG LANG 2 AL"</f>
        <v>AICE ENG LANG 2 AL</v>
      </c>
      <c r="G7507" t="str">
        <f>"17-1704"</f>
        <v>17-1704</v>
      </c>
      <c r="H7507" t="str">
        <f>"A"</f>
        <v>A</v>
      </c>
    </row>
    <row r="7508" spans="1:8" x14ac:dyDescent="0.2">
      <c r="A7508" t="str">
        <f t="shared" si="2740"/>
        <v>0615088606</v>
      </c>
      <c r="B7508" t="str">
        <f t="shared" si="2741"/>
        <v>ELLA</v>
      </c>
      <c r="C7508" t="str">
        <f t="shared" si="2742"/>
        <v>HERTZBACH</v>
      </c>
      <c r="D7508">
        <f>11</f>
        <v>11</v>
      </c>
      <c r="E7508" t="str">
        <f>"06 - B - 204 - Chrystina M Marchionne"</f>
        <v>06 - B - 204 - Chrystina M Marchionne</v>
      </c>
      <c r="F7508" t="str">
        <f>"AICE MEDIASTUDIES AS"</f>
        <v>AICE MEDIASTUDIES AS</v>
      </c>
      <c r="G7508" t="str">
        <f>"05-520"</f>
        <v>05-520</v>
      </c>
      <c r="H7508" t="str">
        <f>"B"</f>
        <v>B</v>
      </c>
    </row>
    <row r="7509" spans="1:8" x14ac:dyDescent="0.2">
      <c r="A7509" t="str">
        <f t="shared" si="2740"/>
        <v>0615088606</v>
      </c>
      <c r="B7509" t="str">
        <f t="shared" si="2741"/>
        <v>ELLA</v>
      </c>
      <c r="C7509" t="str">
        <f t="shared" si="2742"/>
        <v>HERTZBACH</v>
      </c>
      <c r="D7509">
        <f>11</f>
        <v>11</v>
      </c>
      <c r="E7509" t="str">
        <f>"03 - A - 103 - Jordana K Hass"</f>
        <v>03 - A - 103 - Jordana K Hass</v>
      </c>
      <c r="F7509" t="str">
        <f>"CHEMISTRY 1"</f>
        <v>CHEMISTRY 1</v>
      </c>
      <c r="G7509" t="str">
        <f>"08-807"</f>
        <v>08-807</v>
      </c>
      <c r="H7509" t="str">
        <f>"A"</f>
        <v>A</v>
      </c>
    </row>
    <row r="7510" spans="1:8" x14ac:dyDescent="0.2">
      <c r="A7510" t="str">
        <f t="shared" si="2740"/>
        <v>0615088606</v>
      </c>
      <c r="B7510" t="str">
        <f t="shared" si="2741"/>
        <v>ELLA</v>
      </c>
      <c r="C7510" t="str">
        <f t="shared" si="2742"/>
        <v>HERTZBACH</v>
      </c>
      <c r="D7510">
        <f>11</f>
        <v>11</v>
      </c>
      <c r="E7510" t="str">
        <f>"02 - A - 102 - Brook E Goren"</f>
        <v>02 - A - 102 - Brook E Goren</v>
      </c>
      <c r="F7510" t="str">
        <f>"NC STUDY HALL 1"</f>
        <v>NC STUDY HALL 1</v>
      </c>
      <c r="G7510" t="str">
        <f>"21-2158"</f>
        <v>21-2158</v>
      </c>
      <c r="H7510" t="str">
        <f>"A"</f>
        <v>A</v>
      </c>
    </row>
    <row r="7511" spans="1:8" x14ac:dyDescent="0.2">
      <c r="A7511" t="str">
        <f t="shared" si="2740"/>
        <v>0615088606</v>
      </c>
      <c r="B7511" t="str">
        <f t="shared" si="2741"/>
        <v>ELLA</v>
      </c>
      <c r="C7511" t="str">
        <f t="shared" si="2742"/>
        <v>HERTZBACH</v>
      </c>
      <c r="D7511">
        <f>11</f>
        <v>11</v>
      </c>
      <c r="E7511" t="str">
        <f>"07 - B - 107 - Adam Marcus  Drucker"</f>
        <v>07 - B - 107 - Adam Marcus  Drucker</v>
      </c>
      <c r="F7511" t="str">
        <f>"HOPE-PE V"</f>
        <v>HOPE-PE V</v>
      </c>
      <c r="G7511" t="str">
        <f>"04-254"</f>
        <v>04-254</v>
      </c>
      <c r="H7511" t="str">
        <f>"B"</f>
        <v>B</v>
      </c>
    </row>
    <row r="7512" spans="1:8" x14ac:dyDescent="0.2">
      <c r="A7512" t="str">
        <f t="shared" si="2740"/>
        <v>0615088606</v>
      </c>
      <c r="B7512" t="str">
        <f t="shared" si="2741"/>
        <v>ELLA</v>
      </c>
      <c r="C7512" t="str">
        <f t="shared" si="2742"/>
        <v>HERTZBACH</v>
      </c>
      <c r="D7512">
        <f>11</f>
        <v>11</v>
      </c>
      <c r="E7512" t="str">
        <f>"05 - B - 102 - Jerry S Jiampetti"</f>
        <v>05 - B - 102 - Jerry S Jiampetti</v>
      </c>
      <c r="F7512" t="str">
        <f>"AICE U.S. HIST 1 AS"</f>
        <v>AICE U.S. HIST 1 AS</v>
      </c>
      <c r="G7512" t="str">
        <f>"17-1751"</f>
        <v>17-1751</v>
      </c>
      <c r="H7512" t="str">
        <f>"B"</f>
        <v>B</v>
      </c>
    </row>
    <row r="7513" spans="1:8" x14ac:dyDescent="0.2">
      <c r="A7513" t="str">
        <f t="shared" si="2740"/>
        <v>0615088606</v>
      </c>
      <c r="B7513" t="str">
        <f t="shared" si="2741"/>
        <v>ELLA</v>
      </c>
      <c r="C7513" t="str">
        <f t="shared" si="2742"/>
        <v>HERTZBACH</v>
      </c>
      <c r="D7513">
        <f>11</f>
        <v>11</v>
      </c>
      <c r="E7513" t="str">
        <f>"01 - A - 201 - Stefanie S Scher"</f>
        <v>01 - A - 201 - Stefanie S Scher</v>
      </c>
      <c r="F7513" t="str">
        <f>"AICE PSYCH 1 AS"</f>
        <v>AICE PSYCH 1 AS</v>
      </c>
      <c r="G7513" t="str">
        <f>"17-1735"</f>
        <v>17-1735</v>
      </c>
      <c r="H7513" t="str">
        <f>"A"</f>
        <v>A</v>
      </c>
    </row>
    <row r="7514" spans="1:8" x14ac:dyDescent="0.2">
      <c r="A7514" t="str">
        <f t="shared" si="2740"/>
        <v>0615088606</v>
      </c>
      <c r="B7514" t="str">
        <f t="shared" si="2741"/>
        <v>ELLA</v>
      </c>
      <c r="C7514" t="str">
        <f t="shared" si="2742"/>
        <v>HERTZBACH</v>
      </c>
      <c r="D7514">
        <f>11</f>
        <v>11</v>
      </c>
      <c r="E7514" t="str">
        <f>"08 - B - 107 - Dayna M Foster"</f>
        <v>08 - B - 107 - Dayna M Foster</v>
      </c>
      <c r="F7514" t="str">
        <f>"ALGEBRA 2"</f>
        <v>ALGEBRA 2</v>
      </c>
      <c r="G7514" t="str">
        <f>"21-2109"</f>
        <v>21-2109</v>
      </c>
      <c r="H7514" t="str">
        <f>"B"</f>
        <v>B</v>
      </c>
    </row>
    <row r="7515" spans="1:8" x14ac:dyDescent="0.2">
      <c r="A7515" t="str">
        <f t="shared" ref="A7515:A7522" si="2743">"0614113746"</f>
        <v>0614113746</v>
      </c>
      <c r="B7515" t="str">
        <f t="shared" ref="B7515:B7522" si="2744">"MALIA"</f>
        <v>MALIA</v>
      </c>
      <c r="C7515" t="str">
        <f t="shared" ref="C7515:C7522" si="2745">"HESS"</f>
        <v>HESS</v>
      </c>
      <c r="D7515">
        <f>10</f>
        <v>10</v>
      </c>
      <c r="E7515" t="str">
        <f>"04 - A - 105 - Jacquelyn M Neeson"</f>
        <v>04 - A - 105 - Jacquelyn M Neeson</v>
      </c>
      <c r="F7515" t="str">
        <f>"ENG 2"</f>
        <v>ENG 2</v>
      </c>
      <c r="G7515" t="str">
        <f>"17-1715"</f>
        <v>17-1715</v>
      </c>
      <c r="H7515" t="str">
        <f>"A"</f>
        <v>A</v>
      </c>
    </row>
    <row r="7516" spans="1:8" x14ac:dyDescent="0.2">
      <c r="A7516" t="str">
        <f t="shared" si="2743"/>
        <v>0614113746</v>
      </c>
      <c r="B7516" t="str">
        <f t="shared" si="2744"/>
        <v>MALIA</v>
      </c>
      <c r="C7516" t="str">
        <f t="shared" si="2745"/>
        <v>HESS</v>
      </c>
      <c r="D7516">
        <f>10</f>
        <v>10</v>
      </c>
      <c r="E7516" t="str">
        <f>"06 - B - 104 - Robert H Rindner"</f>
        <v>06 - B - 104 - Robert H Rindner</v>
      </c>
      <c r="F7516" t="str">
        <f>"NC STUDY HALL 1"</f>
        <v>NC STUDY HALL 1</v>
      </c>
      <c r="G7516" t="str">
        <f>"21-2160"</f>
        <v>21-2160</v>
      </c>
      <c r="H7516" t="str">
        <f>"B"</f>
        <v>B</v>
      </c>
    </row>
    <row r="7517" spans="1:8" x14ac:dyDescent="0.2">
      <c r="A7517" t="str">
        <f t="shared" si="2743"/>
        <v>0614113746</v>
      </c>
      <c r="B7517" t="str">
        <f t="shared" si="2744"/>
        <v>MALIA</v>
      </c>
      <c r="C7517" t="str">
        <f t="shared" si="2745"/>
        <v>HESS</v>
      </c>
      <c r="D7517">
        <f>10</f>
        <v>10</v>
      </c>
      <c r="E7517" t="str">
        <f>"03 - A - 206 - Josiah I Lacy"</f>
        <v>03 - A - 206 - Josiah I Lacy</v>
      </c>
      <c r="F7517" t="str">
        <f>"BIOLOGY 1"</f>
        <v>BIOLOGY 1</v>
      </c>
      <c r="G7517" t="str">
        <f>"08-801"</f>
        <v>08-801</v>
      </c>
      <c r="H7517" t="str">
        <f>"A"</f>
        <v>A</v>
      </c>
    </row>
    <row r="7518" spans="1:8" x14ac:dyDescent="0.2">
      <c r="A7518" t="str">
        <f t="shared" si="2743"/>
        <v>0614113746</v>
      </c>
      <c r="B7518" t="str">
        <f t="shared" si="2744"/>
        <v>MALIA</v>
      </c>
      <c r="C7518" t="str">
        <f t="shared" si="2745"/>
        <v>HESS</v>
      </c>
      <c r="D7518">
        <f>10</f>
        <v>10</v>
      </c>
      <c r="E7518" t="str">
        <f>"02 - A - 101 - Christa T Parisi"</f>
        <v>02 - A - 101 - Christa T Parisi</v>
      </c>
      <c r="F7518" t="str">
        <f>"LRNG STRATEGIES 9-12"</f>
        <v>LRNG STRATEGIES 9-12</v>
      </c>
      <c r="G7518" t="str">
        <f>"20-2072"</f>
        <v>20-2072</v>
      </c>
      <c r="H7518" t="str">
        <f>"A"</f>
        <v>A</v>
      </c>
    </row>
    <row r="7519" spans="1:8" x14ac:dyDescent="0.2">
      <c r="A7519" t="str">
        <f t="shared" si="2743"/>
        <v>0614113746</v>
      </c>
      <c r="B7519" t="str">
        <f t="shared" si="2744"/>
        <v>MALIA</v>
      </c>
      <c r="C7519" t="str">
        <f t="shared" si="2745"/>
        <v>HESS</v>
      </c>
      <c r="D7519">
        <f>10</f>
        <v>10</v>
      </c>
      <c r="E7519" t="str">
        <f>"07 - B - 107 - Milca  Exantus"</f>
        <v>07 - B - 107 - Milca  Exantus</v>
      </c>
      <c r="F7519" t="str">
        <f>"MATH COLLEGE LIB ART"</f>
        <v>MATH COLLEGE LIB ART</v>
      </c>
      <c r="G7519" t="str">
        <f>"21-2145"</f>
        <v>21-2145</v>
      </c>
      <c r="H7519" t="str">
        <f>"B"</f>
        <v>B</v>
      </c>
    </row>
    <row r="7520" spans="1:8" x14ac:dyDescent="0.2">
      <c r="A7520" t="str">
        <f t="shared" si="2743"/>
        <v>0614113746</v>
      </c>
      <c r="B7520" t="str">
        <f t="shared" si="2744"/>
        <v>MALIA</v>
      </c>
      <c r="C7520" t="str">
        <f t="shared" si="2745"/>
        <v>HESS</v>
      </c>
      <c r="D7520">
        <f>10</f>
        <v>10</v>
      </c>
      <c r="E7520" t="str">
        <f>"05 - B - 105 - Adam Marcus  Drucker"</f>
        <v>05 - B - 105 - Adam Marcus  Drucker</v>
      </c>
      <c r="F7520" t="str">
        <f>"HOPE-PE V"</f>
        <v>HOPE-PE V</v>
      </c>
      <c r="G7520" t="str">
        <f>"04-254"</f>
        <v>04-254</v>
      </c>
      <c r="H7520" t="str">
        <f>"B"</f>
        <v>B</v>
      </c>
    </row>
    <row r="7521" spans="1:8" x14ac:dyDescent="0.2">
      <c r="A7521" t="str">
        <f t="shared" si="2743"/>
        <v>0614113746</v>
      </c>
      <c r="B7521" t="str">
        <f t="shared" si="2744"/>
        <v>MALIA</v>
      </c>
      <c r="C7521" t="str">
        <f t="shared" si="2745"/>
        <v>HESS</v>
      </c>
      <c r="D7521">
        <f>10</f>
        <v>10</v>
      </c>
      <c r="E7521" t="str">
        <f>"01 - S1 - A - 101 - Lissa C Frederique"</f>
        <v>01 - S1 - A - 101 - Lissa C Frederique</v>
      </c>
      <c r="F7521" t="str">
        <f>"PERS FIN &amp; MON MGT H"</f>
        <v>PERS FIN &amp; MON MGT H</v>
      </c>
      <c r="G7521" t="str">
        <f>"17-1754"</f>
        <v>17-1754</v>
      </c>
      <c r="H7521" t="str">
        <f>"A"</f>
        <v>A</v>
      </c>
    </row>
    <row r="7522" spans="1:8" x14ac:dyDescent="0.2">
      <c r="A7522" t="str">
        <f t="shared" si="2743"/>
        <v>0614113746</v>
      </c>
      <c r="B7522" t="str">
        <f t="shared" si="2744"/>
        <v>MALIA</v>
      </c>
      <c r="C7522" t="str">
        <f t="shared" si="2745"/>
        <v>HESS</v>
      </c>
      <c r="D7522">
        <f>10</f>
        <v>10</v>
      </c>
      <c r="E7522" t="str">
        <f>"08 - S1 - B - 104 - Angela S Adeshina-Morrison"</f>
        <v>08 - S1 - B - 104 - Angela S Adeshina-Morrison</v>
      </c>
      <c r="F7522" t="str">
        <f>"PEER COUN 1"</f>
        <v>PEER COUN 1</v>
      </c>
      <c r="G7522" t="str">
        <f>"05-518"</f>
        <v>05-518</v>
      </c>
      <c r="H7522" t="str">
        <f>"B"</f>
        <v>B</v>
      </c>
    </row>
    <row r="7523" spans="1:8" x14ac:dyDescent="0.2">
      <c r="A7523" t="str">
        <f t="shared" ref="A7523:A7530" si="2746">"0618062364"</f>
        <v>0618062364</v>
      </c>
      <c r="B7523" t="str">
        <f t="shared" ref="B7523:B7530" si="2747">"MARYAH"</f>
        <v>MARYAH</v>
      </c>
      <c r="C7523" t="str">
        <f t="shared" ref="C7523:C7530" si="2748">"HEURTELOU"</f>
        <v>HEURTELOU</v>
      </c>
      <c r="D7523" t="str">
        <f t="shared" ref="D7523:D7530" si="2749">"09"</f>
        <v>09</v>
      </c>
      <c r="E7523" t="str">
        <f>"04 - A - 203 - Cheryl L Beach"</f>
        <v>04 - A - 203 - Cheryl L Beach</v>
      </c>
      <c r="F7523" t="str">
        <f>"AICE ENV MGMNT AS"</f>
        <v>AICE ENV MGMNT AS</v>
      </c>
      <c r="G7523" t="str">
        <f>"08-811"</f>
        <v>08-811</v>
      </c>
      <c r="H7523" t="str">
        <f>"A"</f>
        <v>A</v>
      </c>
    </row>
    <row r="7524" spans="1:8" x14ac:dyDescent="0.2">
      <c r="A7524" t="str">
        <f t="shared" si="2746"/>
        <v>0618062364</v>
      </c>
      <c r="B7524" t="str">
        <f t="shared" si="2747"/>
        <v>MARYAH</v>
      </c>
      <c r="C7524" t="str">
        <f t="shared" si="2748"/>
        <v>HEURTELOU</v>
      </c>
      <c r="D7524" t="str">
        <f t="shared" si="2749"/>
        <v>09</v>
      </c>
      <c r="E7524" t="str">
        <f>"06 - B - 105 - Cerine S Stewart"</f>
        <v>06 - B - 105 - Cerine S Stewart</v>
      </c>
      <c r="F7524" t="str">
        <f>"AICE ENG GEN PAPER 1"</f>
        <v>AICE ENG GEN PAPER 1</v>
      </c>
      <c r="G7524" t="str">
        <f>"17-1720"</f>
        <v>17-1720</v>
      </c>
      <c r="H7524" t="str">
        <f>"B"</f>
        <v>B</v>
      </c>
    </row>
    <row r="7525" spans="1:8" x14ac:dyDescent="0.2">
      <c r="A7525" t="str">
        <f t="shared" si="2746"/>
        <v>0618062364</v>
      </c>
      <c r="B7525" t="str">
        <f t="shared" si="2747"/>
        <v>MARYAH</v>
      </c>
      <c r="C7525" t="str">
        <f t="shared" si="2748"/>
        <v>HEURTELOU</v>
      </c>
      <c r="D7525" t="str">
        <f t="shared" si="2749"/>
        <v>09</v>
      </c>
      <c r="E7525" t="str">
        <f>"03 - A - 101 - Eva T Rimmer"</f>
        <v>03 - A - 101 - Eva T Rimmer</v>
      </c>
      <c r="F7525" t="str">
        <f>"CRIMINAL JUST OPS 1"</f>
        <v>CRIMINAL JUST OPS 1</v>
      </c>
      <c r="G7525" t="str">
        <f>"05-523"</f>
        <v>05-523</v>
      </c>
      <c r="H7525" t="str">
        <f>"A"</f>
        <v>A</v>
      </c>
    </row>
    <row r="7526" spans="1:8" x14ac:dyDescent="0.2">
      <c r="A7526" t="str">
        <f t="shared" si="2746"/>
        <v>0618062364</v>
      </c>
      <c r="B7526" t="str">
        <f t="shared" si="2747"/>
        <v>MARYAH</v>
      </c>
      <c r="C7526" t="str">
        <f t="shared" si="2748"/>
        <v>HEURTELOU</v>
      </c>
      <c r="D7526" t="str">
        <f t="shared" si="2749"/>
        <v>09</v>
      </c>
      <c r="E7526" t="str">
        <f>"02 - A - 103 - Arthur  Kulawik"</f>
        <v>02 - A - 103 - Arthur  Kulawik</v>
      </c>
      <c r="F7526" t="str">
        <f>"NC STUDY HALL 1"</f>
        <v>NC STUDY HALL 1</v>
      </c>
      <c r="G7526" t="str">
        <f>"05-506"</f>
        <v>05-506</v>
      </c>
      <c r="H7526" t="str">
        <f>"A"</f>
        <v>A</v>
      </c>
    </row>
    <row r="7527" spans="1:8" x14ac:dyDescent="0.2">
      <c r="A7527" t="str">
        <f t="shared" si="2746"/>
        <v>0618062364</v>
      </c>
      <c r="B7527" t="str">
        <f t="shared" si="2747"/>
        <v>MARYAH</v>
      </c>
      <c r="C7527" t="str">
        <f t="shared" si="2748"/>
        <v>HEURTELOU</v>
      </c>
      <c r="D7527" t="str">
        <f t="shared" si="2749"/>
        <v>09</v>
      </c>
      <c r="E7527" t="str">
        <f>"07 - B - 107 - Rosa Elaine  Collado-Duff"</f>
        <v>07 - B - 107 - Rosa Elaine  Collado-Duff</v>
      </c>
      <c r="F7527" t="str">
        <f>"PRE-AICE SPAN 2 IG"</f>
        <v>PRE-AICE SPAN 2 IG</v>
      </c>
      <c r="G7527" t="str">
        <f>"09-913"</f>
        <v>09-913</v>
      </c>
      <c r="H7527" t="str">
        <f>"B"</f>
        <v>B</v>
      </c>
    </row>
    <row r="7528" spans="1:8" x14ac:dyDescent="0.2">
      <c r="A7528" t="str">
        <f t="shared" si="2746"/>
        <v>0618062364</v>
      </c>
      <c r="B7528" t="str">
        <f t="shared" si="2747"/>
        <v>MARYAH</v>
      </c>
      <c r="C7528" t="str">
        <f t="shared" si="2748"/>
        <v>HEURTELOU</v>
      </c>
      <c r="D7528" t="str">
        <f t="shared" si="2749"/>
        <v>09</v>
      </c>
      <c r="E7528" t="str">
        <f>"05 - B - 104 - Maried P Ramos"</f>
        <v>05 - B - 104 - Maried P Ramos</v>
      </c>
      <c r="F7528" t="str">
        <f>"PRE-AICE MATH 2 IG"</f>
        <v>PRE-AICE MATH 2 IG</v>
      </c>
      <c r="G7528" t="str">
        <f>"21-2159"</f>
        <v>21-2159</v>
      </c>
      <c r="H7528" t="str">
        <f>"B"</f>
        <v>B</v>
      </c>
    </row>
    <row r="7529" spans="1:8" x14ac:dyDescent="0.2">
      <c r="A7529" t="str">
        <f t="shared" si="2746"/>
        <v>0618062364</v>
      </c>
      <c r="B7529" t="str">
        <f t="shared" si="2747"/>
        <v>MARYAH</v>
      </c>
      <c r="C7529" t="str">
        <f t="shared" si="2748"/>
        <v>HEURTELOU</v>
      </c>
      <c r="D7529" t="str">
        <f t="shared" si="2749"/>
        <v>09</v>
      </c>
      <c r="E7529" t="str">
        <f>"01 - A - 101 - Angela S Adeshina-Morrison"</f>
        <v>01 - A - 101 - Angela S Adeshina-Morrison</v>
      </c>
      <c r="F7529" t="str">
        <f>"MARKETING ESSENTIALS"</f>
        <v>MARKETING ESSENTIALS</v>
      </c>
      <c r="G7529" t="str">
        <f>"05-518"</f>
        <v>05-518</v>
      </c>
      <c r="H7529" t="str">
        <f>"A"</f>
        <v>A</v>
      </c>
    </row>
    <row r="7530" spans="1:8" x14ac:dyDescent="0.2">
      <c r="A7530" t="str">
        <f t="shared" si="2746"/>
        <v>0618062364</v>
      </c>
      <c r="B7530" t="str">
        <f t="shared" si="2747"/>
        <v>MARYAH</v>
      </c>
      <c r="C7530" t="str">
        <f t="shared" si="2748"/>
        <v>HEURTELOU</v>
      </c>
      <c r="D7530" t="str">
        <f t="shared" si="2749"/>
        <v>09</v>
      </c>
      <c r="E7530" t="str">
        <f>"08 - B - 109 - Emmily A Sarmiento"</f>
        <v>08 - B - 109 - Emmily A Sarmiento</v>
      </c>
      <c r="F7530" t="str">
        <f>"AICE GLBL PERSP 1 AS"</f>
        <v>AICE GLBL PERSP 1 AS</v>
      </c>
      <c r="G7530" t="str">
        <f>"17-1743"</f>
        <v>17-1743</v>
      </c>
      <c r="H7530" t="str">
        <f>"B"</f>
        <v>B</v>
      </c>
    </row>
    <row r="7531" spans="1:8" x14ac:dyDescent="0.2">
      <c r="A7531" t="str">
        <f t="shared" ref="A7531:A7538" si="2750">"0615061205"</f>
        <v>0615061205</v>
      </c>
      <c r="B7531" t="str">
        <f t="shared" ref="B7531:B7538" si="2751">"SARAH"</f>
        <v>SARAH</v>
      </c>
      <c r="C7531" t="str">
        <f t="shared" ref="C7531:C7538" si="2752">"HIBBARD"</f>
        <v>HIBBARD</v>
      </c>
      <c r="D7531">
        <f>11</f>
        <v>11</v>
      </c>
      <c r="E7531" t="str">
        <f>"04 - A - 102 - Jeffrey S Gallagher"</f>
        <v>04 - A - 102 - Jeffrey S Gallagher</v>
      </c>
      <c r="F7531" t="str">
        <f>"ENG HON 3"</f>
        <v>ENG HON 3</v>
      </c>
      <c r="G7531" t="str">
        <f>"17-1724"</f>
        <v>17-1724</v>
      </c>
      <c r="H7531" t="str">
        <f>"A"</f>
        <v>A</v>
      </c>
    </row>
    <row r="7532" spans="1:8" x14ac:dyDescent="0.2">
      <c r="A7532" t="str">
        <f t="shared" si="2750"/>
        <v>0615061205</v>
      </c>
      <c r="B7532" t="str">
        <f t="shared" si="2751"/>
        <v>SARAH</v>
      </c>
      <c r="C7532" t="str">
        <f t="shared" si="2752"/>
        <v>HIBBARD</v>
      </c>
      <c r="D7532">
        <f>11</f>
        <v>11</v>
      </c>
      <c r="E7532" t="str">
        <f>"06 - B - 002 - Kyle  Robbins"</f>
        <v>06 - B - 002 - Kyle  Robbins</v>
      </c>
      <c r="F7532" t="str">
        <f>"US HISTORY HON"</f>
        <v>US HISTORY HON</v>
      </c>
      <c r="G7532" t="str">
        <f>"17-1745"</f>
        <v>17-1745</v>
      </c>
      <c r="H7532" t="str">
        <f>"B"</f>
        <v>B</v>
      </c>
    </row>
    <row r="7533" spans="1:8" x14ac:dyDescent="0.2">
      <c r="A7533" t="str">
        <f t="shared" si="2750"/>
        <v>0615061205</v>
      </c>
      <c r="B7533" t="str">
        <f t="shared" si="2751"/>
        <v>SARAH</v>
      </c>
      <c r="C7533" t="str">
        <f t="shared" si="2752"/>
        <v>HIBBARD</v>
      </c>
      <c r="D7533">
        <f>11</f>
        <v>11</v>
      </c>
      <c r="E7533" t="str">
        <f>"03 - A - 103 - Jazmin S Fletcher"</f>
        <v>03 - A - 103 - Jazmin S Fletcher</v>
      </c>
      <c r="F7533" t="str">
        <f>"THEATRE 2"</f>
        <v>THEATRE 2</v>
      </c>
      <c r="G7533" t="str">
        <f>"09-909"</f>
        <v>09-909</v>
      </c>
      <c r="H7533" t="str">
        <f>"A"</f>
        <v>A</v>
      </c>
    </row>
    <row r="7534" spans="1:8" x14ac:dyDescent="0.2">
      <c r="A7534" t="str">
        <f t="shared" si="2750"/>
        <v>0615061205</v>
      </c>
      <c r="B7534" t="str">
        <f t="shared" si="2751"/>
        <v>SARAH</v>
      </c>
      <c r="C7534" t="str">
        <f t="shared" si="2752"/>
        <v>HIBBARD</v>
      </c>
      <c r="D7534">
        <f>11</f>
        <v>11</v>
      </c>
      <c r="E7534" t="str">
        <f>"02 - A - 114 - Eva T Rimmer"</f>
        <v>02 - A - 114 - Eva T Rimmer</v>
      </c>
      <c r="F7534" t="str">
        <f>"NC STUDY HALL 1"</f>
        <v>NC STUDY HALL 1</v>
      </c>
      <c r="G7534" t="str">
        <f>"05-523"</f>
        <v>05-523</v>
      </c>
      <c r="H7534" t="str">
        <f>"A"</f>
        <v>A</v>
      </c>
    </row>
    <row r="7535" spans="1:8" x14ac:dyDescent="0.2">
      <c r="A7535" t="str">
        <f t="shared" si="2750"/>
        <v>0615061205</v>
      </c>
      <c r="B7535" t="str">
        <f t="shared" si="2751"/>
        <v>SARAH</v>
      </c>
      <c r="C7535" t="str">
        <f t="shared" si="2752"/>
        <v>HIBBARD</v>
      </c>
      <c r="D7535">
        <f>11</f>
        <v>11</v>
      </c>
      <c r="E7535" t="str">
        <f>"07 - B - 105 - Robert H Rindner"</f>
        <v>07 - B - 105 - Robert H Rindner</v>
      </c>
      <c r="F7535" t="str">
        <f>"MATH DATA&amp;FIN LIT H"</f>
        <v>MATH DATA&amp;FIN LIT H</v>
      </c>
      <c r="G7535" t="str">
        <f>"21-2160"</f>
        <v>21-2160</v>
      </c>
      <c r="H7535" t="str">
        <f>"B"</f>
        <v>B</v>
      </c>
    </row>
    <row r="7536" spans="1:8" x14ac:dyDescent="0.2">
      <c r="A7536" t="str">
        <f t="shared" si="2750"/>
        <v>0615061205</v>
      </c>
      <c r="B7536" t="str">
        <f t="shared" si="2751"/>
        <v>SARAH</v>
      </c>
      <c r="C7536" t="str">
        <f t="shared" si="2752"/>
        <v>HIBBARD</v>
      </c>
      <c r="D7536">
        <f>11</f>
        <v>11</v>
      </c>
      <c r="E7536" t="str">
        <f>"05 - B - 101 - Brian M Fitzgerald"</f>
        <v>05 - B - 101 - Brian M Fitzgerald</v>
      </c>
      <c r="F7536" t="str">
        <f>"PAINT 1"</f>
        <v>PAINT 1</v>
      </c>
      <c r="G7536" t="str">
        <f>"09-908"</f>
        <v>09-908</v>
      </c>
      <c r="H7536" t="str">
        <f>"B"</f>
        <v>B</v>
      </c>
    </row>
    <row r="7537" spans="1:8" x14ac:dyDescent="0.2">
      <c r="A7537" t="str">
        <f t="shared" si="2750"/>
        <v>0615061205</v>
      </c>
      <c r="B7537" t="str">
        <f t="shared" si="2751"/>
        <v>SARAH</v>
      </c>
      <c r="C7537" t="str">
        <f t="shared" si="2752"/>
        <v>HIBBARD</v>
      </c>
      <c r="D7537">
        <f>11</f>
        <v>11</v>
      </c>
      <c r="E7537" t="str">
        <f>"01 - A - 101 - Daniel S Katz"</f>
        <v>01 - A - 101 - Daniel S Katz</v>
      </c>
      <c r="F7537" t="str">
        <f>"EXEC INTERN 4 LH"</f>
        <v>EXEC INTERN 4 LH</v>
      </c>
      <c r="G7537" t="str">
        <f>"21-2156"</f>
        <v>21-2156</v>
      </c>
      <c r="H7537" t="str">
        <f>"A"</f>
        <v>A</v>
      </c>
    </row>
    <row r="7538" spans="1:8" x14ac:dyDescent="0.2">
      <c r="A7538" t="str">
        <f t="shared" si="2750"/>
        <v>0615061205</v>
      </c>
      <c r="B7538" t="str">
        <f t="shared" si="2751"/>
        <v>SARAH</v>
      </c>
      <c r="C7538" t="str">
        <f t="shared" si="2752"/>
        <v>HIBBARD</v>
      </c>
      <c r="D7538">
        <f>11</f>
        <v>11</v>
      </c>
      <c r="E7538" t="str">
        <f>"08 - B - 102 - Josiah I Lacy"</f>
        <v>08 - B - 102 - Josiah I Lacy</v>
      </c>
      <c r="F7538" t="str">
        <f>"ANAT PHYSIO HON"</f>
        <v>ANAT PHYSIO HON</v>
      </c>
      <c r="G7538" t="str">
        <f>"08-801"</f>
        <v>08-801</v>
      </c>
      <c r="H7538" t="str">
        <f>"B"</f>
        <v>B</v>
      </c>
    </row>
    <row r="7539" spans="1:8" x14ac:dyDescent="0.2">
      <c r="A7539" t="str">
        <f t="shared" ref="A7539:A7546" si="2753">"0620035181"</f>
        <v>0620035181</v>
      </c>
      <c r="B7539" t="str">
        <f t="shared" ref="B7539:B7546" si="2754">"RYLAN"</f>
        <v>RYLAN</v>
      </c>
      <c r="C7539" t="str">
        <f t="shared" ref="C7539:C7546" si="2755">"HIGGINS"</f>
        <v>HIGGINS</v>
      </c>
      <c r="D7539" t="str">
        <f t="shared" ref="D7539:D7546" si="2756">"09"</f>
        <v>09</v>
      </c>
      <c r="E7539" t="str">
        <f>"04 - A - 102 - Byron G Montenegro"</f>
        <v>04 - A - 102 - Byron G Montenegro</v>
      </c>
      <c r="F7539" t="str">
        <f>"AICE MARINE SCI 1 AS"</f>
        <v>AICE MARINE SCI 1 AS</v>
      </c>
      <c r="G7539" t="str">
        <f>"21-2144"</f>
        <v>21-2144</v>
      </c>
      <c r="H7539" t="str">
        <f>"A"</f>
        <v>A</v>
      </c>
    </row>
    <row r="7540" spans="1:8" x14ac:dyDescent="0.2">
      <c r="A7540" t="str">
        <f t="shared" si="2753"/>
        <v>0620035181</v>
      </c>
      <c r="B7540" t="str">
        <f t="shared" si="2754"/>
        <v>RYLAN</v>
      </c>
      <c r="C7540" t="str">
        <f t="shared" si="2755"/>
        <v>HIGGINS</v>
      </c>
      <c r="D7540" t="str">
        <f t="shared" si="2756"/>
        <v>09</v>
      </c>
      <c r="E7540" t="str">
        <f>"06 - B - 101 - Fernando  Vega-Cid"</f>
        <v>06 - B - 101 - Fernando  Vega-Cid</v>
      </c>
      <c r="F7540" t="str">
        <f>"PRE-AICE MATH 2 IG"</f>
        <v>PRE-AICE MATH 2 IG</v>
      </c>
      <c r="G7540" t="str">
        <f>"21-2163"</f>
        <v>21-2163</v>
      </c>
      <c r="H7540" t="str">
        <f>"B"</f>
        <v>B</v>
      </c>
    </row>
    <row r="7541" spans="1:8" x14ac:dyDescent="0.2">
      <c r="A7541" t="str">
        <f t="shared" si="2753"/>
        <v>0620035181</v>
      </c>
      <c r="B7541" t="str">
        <f t="shared" si="2754"/>
        <v>RYLAN</v>
      </c>
      <c r="C7541" t="str">
        <f t="shared" si="2755"/>
        <v>HIGGINS</v>
      </c>
      <c r="D7541" t="str">
        <f t="shared" si="2756"/>
        <v>09</v>
      </c>
      <c r="E7541" t="str">
        <f>"03 - A - 103 - Adam Marcus  Drucker"</f>
        <v>03 - A - 103 - Adam Marcus  Drucker</v>
      </c>
      <c r="F7541" t="str">
        <f>"HOPE-PE V"</f>
        <v>HOPE-PE V</v>
      </c>
      <c r="G7541" t="str">
        <f>"04-254"</f>
        <v>04-254</v>
      </c>
      <c r="H7541" t="str">
        <f>"A"</f>
        <v>A</v>
      </c>
    </row>
    <row r="7542" spans="1:8" x14ac:dyDescent="0.2">
      <c r="A7542" t="str">
        <f t="shared" si="2753"/>
        <v>0620035181</v>
      </c>
      <c r="B7542" t="str">
        <f t="shared" si="2754"/>
        <v>RYLAN</v>
      </c>
      <c r="C7542" t="str">
        <f t="shared" si="2755"/>
        <v>HIGGINS</v>
      </c>
      <c r="D7542" t="str">
        <f t="shared" si="2756"/>
        <v>09</v>
      </c>
      <c r="E7542" t="str">
        <f>"02 - A - 106 - Helen A Flores"</f>
        <v>02 - A - 106 - Helen A Flores</v>
      </c>
      <c r="F7542" t="str">
        <f>"NC STUDY HALL 1"</f>
        <v>NC STUDY HALL 1</v>
      </c>
      <c r="G7542" t="str">
        <f>"21-2101"</f>
        <v>21-2101</v>
      </c>
      <c r="H7542" t="str">
        <f>"A"</f>
        <v>A</v>
      </c>
    </row>
    <row r="7543" spans="1:8" x14ac:dyDescent="0.2">
      <c r="A7543" t="str">
        <f t="shared" si="2753"/>
        <v>0620035181</v>
      </c>
      <c r="B7543" t="str">
        <f t="shared" si="2754"/>
        <v>RYLAN</v>
      </c>
      <c r="C7543" t="str">
        <f t="shared" si="2755"/>
        <v>HIGGINS</v>
      </c>
      <c r="D7543" t="str">
        <f t="shared" si="2756"/>
        <v>09</v>
      </c>
      <c r="E7543" t="str">
        <f>"07 - B - 105 - Joe  Kilpatrick Jr"</f>
        <v>07 - B - 105 - Joe  Kilpatrick Jr</v>
      </c>
      <c r="F7543" t="str">
        <f>"PRE-AICE SPAN 1 IG"</f>
        <v>PRE-AICE SPAN 1 IG</v>
      </c>
      <c r="G7543" t="str">
        <f>"09-912"</f>
        <v>09-912</v>
      </c>
      <c r="H7543" t="str">
        <f>"B"</f>
        <v>B</v>
      </c>
    </row>
    <row r="7544" spans="1:8" x14ac:dyDescent="0.2">
      <c r="A7544" t="str">
        <f t="shared" si="2753"/>
        <v>0620035181</v>
      </c>
      <c r="B7544" t="str">
        <f t="shared" si="2754"/>
        <v>RYLAN</v>
      </c>
      <c r="C7544" t="str">
        <f t="shared" si="2755"/>
        <v>HIGGINS</v>
      </c>
      <c r="D7544" t="str">
        <f t="shared" si="2756"/>
        <v>09</v>
      </c>
      <c r="E7544" t="str">
        <f>"05 - B - 003 - Krystal Marie  Beruty"</f>
        <v>05 - B - 003 - Krystal Marie  Beruty</v>
      </c>
      <c r="F7544" t="str">
        <f>"AICE GLBL PERSP 1 AS"</f>
        <v>AICE GLBL PERSP 1 AS</v>
      </c>
      <c r="G7544" t="str">
        <f>"17-1721"</f>
        <v>17-1721</v>
      </c>
      <c r="H7544" t="str">
        <f>"B"</f>
        <v>B</v>
      </c>
    </row>
    <row r="7545" spans="1:8" x14ac:dyDescent="0.2">
      <c r="A7545" t="str">
        <f t="shared" si="2753"/>
        <v>0620035181</v>
      </c>
      <c r="B7545" t="str">
        <f t="shared" si="2754"/>
        <v>RYLAN</v>
      </c>
      <c r="C7545" t="str">
        <f t="shared" si="2755"/>
        <v>HIGGINS</v>
      </c>
      <c r="D7545" t="str">
        <f t="shared" si="2756"/>
        <v>09</v>
      </c>
      <c r="E7545" t="str">
        <f>"01 - A - 101 - Marius D Orsolini"</f>
        <v>01 - A - 101 - Marius D Orsolini</v>
      </c>
      <c r="F7545" t="str">
        <f>"CULINARY ARTS 1"</f>
        <v>CULINARY ARTS 1</v>
      </c>
      <c r="G7545" t="str">
        <f>"21-2115"</f>
        <v>21-2115</v>
      </c>
      <c r="H7545" t="str">
        <f>"A"</f>
        <v>A</v>
      </c>
    </row>
    <row r="7546" spans="1:8" x14ac:dyDescent="0.2">
      <c r="A7546" t="str">
        <f t="shared" si="2753"/>
        <v>0620035181</v>
      </c>
      <c r="B7546" t="str">
        <f t="shared" si="2754"/>
        <v>RYLAN</v>
      </c>
      <c r="C7546" t="str">
        <f t="shared" si="2755"/>
        <v>HIGGINS</v>
      </c>
      <c r="D7546" t="str">
        <f t="shared" si="2756"/>
        <v>09</v>
      </c>
      <c r="E7546" t="str">
        <f>"08 - B - 201 - Elizabeth R Walker"</f>
        <v>08 - B - 201 - Elizabeth R Walker</v>
      </c>
      <c r="F7546" t="str">
        <f>"AICE ENG GEN PAPER 1"</f>
        <v>AICE ENG GEN PAPER 1</v>
      </c>
      <c r="G7546" t="str">
        <f>"17-1703"</f>
        <v>17-1703</v>
      </c>
      <c r="H7546" t="str">
        <f>"B"</f>
        <v>B</v>
      </c>
    </row>
    <row r="7547" spans="1:8" x14ac:dyDescent="0.2">
      <c r="A7547" t="str">
        <f t="shared" ref="A7547:A7555" si="2757">"0615149845"</f>
        <v>0615149845</v>
      </c>
      <c r="B7547" t="str">
        <f t="shared" ref="B7547:B7555" si="2758">"AMEERAH"</f>
        <v>AMEERAH</v>
      </c>
      <c r="C7547" t="str">
        <f t="shared" ref="C7547:C7555" si="2759">"HIGGINS-AKHTAR"</f>
        <v>HIGGINS-AKHTAR</v>
      </c>
      <c r="D7547">
        <f>10</f>
        <v>10</v>
      </c>
      <c r="E7547" t="str">
        <f>"19 - S1 - MTWHF - BCC - Instructor BC"</f>
        <v>19 - S1 - MTWHF - BCC - Instructor BC</v>
      </c>
      <c r="F7547" t="str">
        <f>"MUSIC APPRECIATION"</f>
        <v>MUSIC APPRECIATION</v>
      </c>
      <c r="G7547" t="str">
        <f>"60-DE"</f>
        <v>60-DE</v>
      </c>
      <c r="H7547" t="str">
        <f>"-"</f>
        <v>-</v>
      </c>
    </row>
    <row r="7548" spans="1:8" x14ac:dyDescent="0.2">
      <c r="A7548" t="str">
        <f t="shared" si="2757"/>
        <v>0615149845</v>
      </c>
      <c r="B7548" t="str">
        <f t="shared" si="2758"/>
        <v>AMEERAH</v>
      </c>
      <c r="C7548" t="str">
        <f t="shared" si="2759"/>
        <v>HIGGINS-AKHTAR</v>
      </c>
      <c r="D7548">
        <f>10</f>
        <v>10</v>
      </c>
      <c r="E7548" t="str">
        <f>"04 - A - 101 - Alejandro  Navarro"</f>
        <v>04 - A - 101 - Alejandro  Navarro</v>
      </c>
      <c r="F7548" t="str">
        <f>"BAND 6 HON"</f>
        <v>BAND 6 HON</v>
      </c>
      <c r="G7548" t="str">
        <f>"05-504"</f>
        <v>05-504</v>
      </c>
      <c r="H7548" t="str">
        <f>"A"</f>
        <v>A</v>
      </c>
    </row>
    <row r="7549" spans="1:8" x14ac:dyDescent="0.2">
      <c r="A7549" t="str">
        <f t="shared" si="2757"/>
        <v>0615149845</v>
      </c>
      <c r="B7549" t="str">
        <f t="shared" si="2758"/>
        <v>AMEERAH</v>
      </c>
      <c r="C7549" t="str">
        <f t="shared" si="2759"/>
        <v>HIGGINS-AKHTAR</v>
      </c>
      <c r="D7549">
        <f>10</f>
        <v>10</v>
      </c>
      <c r="E7549" t="str">
        <f>"06 - B - 112 - Tina M Jaramillo"</f>
        <v>06 - B - 112 - Tina M Jaramillo</v>
      </c>
      <c r="F7549" t="str">
        <f>"NC STUDY HALL 1"</f>
        <v>NC STUDY HALL 1</v>
      </c>
      <c r="G7549" t="str">
        <f>"17-1706"</f>
        <v>17-1706</v>
      </c>
      <c r="H7549" t="str">
        <f>"B"</f>
        <v>B</v>
      </c>
    </row>
    <row r="7550" spans="1:8" x14ac:dyDescent="0.2">
      <c r="A7550" t="str">
        <f t="shared" si="2757"/>
        <v>0615149845</v>
      </c>
      <c r="B7550" t="str">
        <f t="shared" si="2758"/>
        <v>AMEERAH</v>
      </c>
      <c r="C7550" t="str">
        <f t="shared" si="2759"/>
        <v>HIGGINS-AKHTAR</v>
      </c>
      <c r="D7550">
        <f>10</f>
        <v>10</v>
      </c>
      <c r="E7550" t="str">
        <f>"03 - A - 002 - Brandy N Zdenek"</f>
        <v>03 - A - 002 - Brandy N Zdenek</v>
      </c>
      <c r="F7550" t="str">
        <f>"AICE ENG LANG AS"</f>
        <v>AICE ENG LANG AS</v>
      </c>
      <c r="G7550" t="str">
        <f>"17-1704"</f>
        <v>17-1704</v>
      </c>
      <c r="H7550" t="str">
        <f>"A"</f>
        <v>A</v>
      </c>
    </row>
    <row r="7551" spans="1:8" x14ac:dyDescent="0.2">
      <c r="A7551" t="str">
        <f t="shared" si="2757"/>
        <v>0615149845</v>
      </c>
      <c r="B7551" t="str">
        <f t="shared" si="2758"/>
        <v>AMEERAH</v>
      </c>
      <c r="C7551" t="str">
        <f t="shared" si="2759"/>
        <v>HIGGINS-AKHTAR</v>
      </c>
      <c r="D7551">
        <f>10</f>
        <v>10</v>
      </c>
      <c r="E7551" t="str">
        <f>"02 - A - 102 - Marius D Orsolini"</f>
        <v>02 - A - 102 - Marius D Orsolini</v>
      </c>
      <c r="F7551" t="str">
        <f>"CULINARY ARTS 1"</f>
        <v>CULINARY ARTS 1</v>
      </c>
      <c r="G7551" t="str">
        <f>"21-2115"</f>
        <v>21-2115</v>
      </c>
      <c r="H7551" t="str">
        <f>"A"</f>
        <v>A</v>
      </c>
    </row>
    <row r="7552" spans="1:8" x14ac:dyDescent="0.2">
      <c r="A7552" t="str">
        <f t="shared" si="2757"/>
        <v>0615149845</v>
      </c>
      <c r="B7552" t="str">
        <f t="shared" si="2758"/>
        <v>AMEERAH</v>
      </c>
      <c r="C7552" t="str">
        <f t="shared" si="2759"/>
        <v>HIGGINS-AKHTAR</v>
      </c>
      <c r="D7552">
        <f>10</f>
        <v>10</v>
      </c>
      <c r="E7552" t="str">
        <f>"07 - B - 102 - Pamela M Corzo"</f>
        <v>07 - B - 102 - Pamela M Corzo</v>
      </c>
      <c r="F7552" t="str">
        <f>"AP CALCULUS AB"</f>
        <v>AP CALCULUS AB</v>
      </c>
      <c r="G7552" t="str">
        <f>"21-2133"</f>
        <v>21-2133</v>
      </c>
      <c r="H7552" t="str">
        <f>"B"</f>
        <v>B</v>
      </c>
    </row>
    <row r="7553" spans="1:8" x14ac:dyDescent="0.2">
      <c r="A7553" t="str">
        <f t="shared" si="2757"/>
        <v>0615149845</v>
      </c>
      <c r="B7553" t="str">
        <f t="shared" si="2758"/>
        <v>AMEERAH</v>
      </c>
      <c r="C7553" t="str">
        <f t="shared" si="2759"/>
        <v>HIGGINS-AKHTAR</v>
      </c>
      <c r="D7553">
        <f>10</f>
        <v>10</v>
      </c>
      <c r="E7553" t="str">
        <f>"05 - B - 108 - Valerie J Ruwe"</f>
        <v>05 - B - 108 - Valerie J Ruwe</v>
      </c>
      <c r="F7553" t="str">
        <f>"CHEMISTRY 1 HON"</f>
        <v>CHEMISTRY 1 HON</v>
      </c>
      <c r="G7553" t="str">
        <f>"21-2138"</f>
        <v>21-2138</v>
      </c>
      <c r="H7553" t="str">
        <f>"B"</f>
        <v>B</v>
      </c>
    </row>
    <row r="7554" spans="1:8" x14ac:dyDescent="0.2">
      <c r="A7554" t="str">
        <f t="shared" si="2757"/>
        <v>0615149845</v>
      </c>
      <c r="B7554" t="str">
        <f t="shared" si="2758"/>
        <v>AMEERAH</v>
      </c>
      <c r="C7554" t="str">
        <f t="shared" si="2759"/>
        <v>HIGGINS-AKHTAR</v>
      </c>
      <c r="D7554">
        <f>10</f>
        <v>10</v>
      </c>
      <c r="E7554" t="str">
        <f>"01 - A - 001 - Lenecy  Nodarse"</f>
        <v>01 - A - 001 - Lenecy  Nodarse</v>
      </c>
      <c r="F7554" t="str">
        <f>"AICE EURO HIST 1 AS"</f>
        <v>AICE EURO HIST 1 AS</v>
      </c>
      <c r="G7554" t="str">
        <f>"17-1741"</f>
        <v>17-1741</v>
      </c>
      <c r="H7554" t="str">
        <f>"A"</f>
        <v>A</v>
      </c>
    </row>
    <row r="7555" spans="1:8" x14ac:dyDescent="0.2">
      <c r="A7555" t="str">
        <f t="shared" si="2757"/>
        <v>0615149845</v>
      </c>
      <c r="B7555" t="str">
        <f t="shared" si="2758"/>
        <v>AMEERAH</v>
      </c>
      <c r="C7555" t="str">
        <f t="shared" si="2759"/>
        <v>HIGGINS-AKHTAR</v>
      </c>
      <c r="D7555">
        <f>10</f>
        <v>10</v>
      </c>
      <c r="E7555" t="str">
        <f>"08 - B - 206 - Daniel S Katz"</f>
        <v>08 - B - 206 - Daniel S Katz</v>
      </c>
      <c r="F7555" t="str">
        <f>"AICE MEDIASTUDIES AS"</f>
        <v>AICE MEDIASTUDIES AS</v>
      </c>
      <c r="G7555" t="str">
        <f>"05-521"</f>
        <v>05-521</v>
      </c>
      <c r="H7555" t="str">
        <f>"B"</f>
        <v>B</v>
      </c>
    </row>
    <row r="7556" spans="1:8" x14ac:dyDescent="0.2">
      <c r="A7556" t="str">
        <f t="shared" ref="A7556:A7563" si="2760">"0617040917"</f>
        <v>0617040917</v>
      </c>
      <c r="B7556" t="str">
        <f t="shared" ref="B7556:B7563" si="2761">"LYNDSEY"</f>
        <v>LYNDSEY</v>
      </c>
      <c r="C7556" t="str">
        <f t="shared" ref="C7556:C7563" si="2762">"HILL"</f>
        <v>HILL</v>
      </c>
      <c r="D7556" t="str">
        <f t="shared" ref="D7556:D7563" si="2763">"09"</f>
        <v>09</v>
      </c>
      <c r="E7556" t="str">
        <f>"04 - A - 101 - Chrystina M Marchionne"</f>
        <v>04 - A - 101 - Chrystina M Marchionne</v>
      </c>
      <c r="F7556" t="str">
        <f>"THEA CIN &amp; FILM LH"</f>
        <v>THEA CIN &amp; FILM LH</v>
      </c>
      <c r="G7556" t="str">
        <f>"05-520"</f>
        <v>05-520</v>
      </c>
      <c r="H7556" t="str">
        <f>"A"</f>
        <v>A</v>
      </c>
    </row>
    <row r="7557" spans="1:8" x14ac:dyDescent="0.2">
      <c r="A7557" t="str">
        <f t="shared" si="2760"/>
        <v>0617040917</v>
      </c>
      <c r="B7557" t="str">
        <f t="shared" si="2761"/>
        <v>LYNDSEY</v>
      </c>
      <c r="C7557" t="str">
        <f t="shared" si="2762"/>
        <v>HILL</v>
      </c>
      <c r="D7557" t="str">
        <f t="shared" si="2763"/>
        <v>09</v>
      </c>
      <c r="E7557" t="str">
        <f>"06 - B - 105 - Cerine S Stewart"</f>
        <v>06 - B - 105 - Cerine S Stewart</v>
      </c>
      <c r="F7557" t="str">
        <f>"AICE ENG GEN PAPER 1"</f>
        <v>AICE ENG GEN PAPER 1</v>
      </c>
      <c r="G7557" t="str">
        <f>"17-1720"</f>
        <v>17-1720</v>
      </c>
      <c r="H7557" t="str">
        <f>"B"</f>
        <v>B</v>
      </c>
    </row>
    <row r="7558" spans="1:8" x14ac:dyDescent="0.2">
      <c r="A7558" t="str">
        <f t="shared" si="2760"/>
        <v>0617040917</v>
      </c>
      <c r="B7558" t="str">
        <f t="shared" si="2761"/>
        <v>LYNDSEY</v>
      </c>
      <c r="C7558" t="str">
        <f t="shared" si="2762"/>
        <v>HILL</v>
      </c>
      <c r="D7558" t="str">
        <f t="shared" si="2763"/>
        <v>09</v>
      </c>
      <c r="E7558" t="str">
        <f>"03 - A - 201 - Chrystina M Marchionne"</f>
        <v>03 - A - 201 - Chrystina M Marchionne</v>
      </c>
      <c r="F7558" t="str">
        <f>"JOURN 1 (YB) LH"</f>
        <v>JOURN 1 (YB) LH</v>
      </c>
      <c r="G7558" t="str">
        <f>"05-520"</f>
        <v>05-520</v>
      </c>
      <c r="H7558" t="str">
        <f>"A"</f>
        <v>A</v>
      </c>
    </row>
    <row r="7559" spans="1:8" x14ac:dyDescent="0.2">
      <c r="A7559" t="str">
        <f t="shared" si="2760"/>
        <v>0617040917</v>
      </c>
      <c r="B7559" t="str">
        <f t="shared" si="2761"/>
        <v>LYNDSEY</v>
      </c>
      <c r="C7559" t="str">
        <f t="shared" si="2762"/>
        <v>HILL</v>
      </c>
      <c r="D7559" t="str">
        <f t="shared" si="2763"/>
        <v>09</v>
      </c>
      <c r="E7559" t="str">
        <f>"02 - A - 104 - Lytrell T Dixon"</f>
        <v>02 - A - 104 - Lytrell T Dixon</v>
      </c>
      <c r="F7559" t="str">
        <f>"NC STUDY HALL 1"</f>
        <v>NC STUDY HALL 1</v>
      </c>
      <c r="G7559" t="str">
        <f>"08-808"</f>
        <v>08-808</v>
      </c>
      <c r="H7559" t="str">
        <f>"A"</f>
        <v>A</v>
      </c>
    </row>
    <row r="7560" spans="1:8" x14ac:dyDescent="0.2">
      <c r="A7560" t="str">
        <f t="shared" si="2760"/>
        <v>0617040917</v>
      </c>
      <c r="B7560" t="str">
        <f t="shared" si="2761"/>
        <v>LYNDSEY</v>
      </c>
      <c r="C7560" t="str">
        <f t="shared" si="2762"/>
        <v>HILL</v>
      </c>
      <c r="D7560" t="str">
        <f t="shared" si="2763"/>
        <v>09</v>
      </c>
      <c r="E7560" t="str">
        <f>"07 - B - 105 - Byron G Montenegro"</f>
        <v>07 - B - 105 - Byron G Montenegro</v>
      </c>
      <c r="F7560" t="str">
        <f>"AICE MARINE SCI 1 AS"</f>
        <v>AICE MARINE SCI 1 AS</v>
      </c>
      <c r="G7560" t="str">
        <f>"21-2144"</f>
        <v>21-2144</v>
      </c>
      <c r="H7560" t="str">
        <f>"B"</f>
        <v>B</v>
      </c>
    </row>
    <row r="7561" spans="1:8" x14ac:dyDescent="0.2">
      <c r="A7561" t="str">
        <f t="shared" si="2760"/>
        <v>0617040917</v>
      </c>
      <c r="B7561" t="str">
        <f t="shared" si="2761"/>
        <v>LYNDSEY</v>
      </c>
      <c r="C7561" t="str">
        <f t="shared" si="2762"/>
        <v>HILL</v>
      </c>
      <c r="D7561" t="str">
        <f t="shared" si="2763"/>
        <v>09</v>
      </c>
      <c r="E7561" t="str">
        <f>"05 - B - 101 - Brian M Fitzgerald"</f>
        <v>05 - B - 101 - Brian M Fitzgerald</v>
      </c>
      <c r="F7561" t="str">
        <f>"PAINT 1"</f>
        <v>PAINT 1</v>
      </c>
      <c r="G7561" t="str">
        <f>"09-908"</f>
        <v>09-908</v>
      </c>
      <c r="H7561" t="str">
        <f>"B"</f>
        <v>B</v>
      </c>
    </row>
    <row r="7562" spans="1:8" x14ac:dyDescent="0.2">
      <c r="A7562" t="str">
        <f t="shared" si="2760"/>
        <v>0617040917</v>
      </c>
      <c r="B7562" t="str">
        <f t="shared" si="2761"/>
        <v>LYNDSEY</v>
      </c>
      <c r="C7562" t="str">
        <f t="shared" si="2762"/>
        <v>HILL</v>
      </c>
      <c r="D7562" t="str">
        <f t="shared" si="2763"/>
        <v>09</v>
      </c>
      <c r="E7562" t="str">
        <f>"01 - A - 002 - Krystal Marie  Beruty"</f>
        <v>01 - A - 002 - Krystal Marie  Beruty</v>
      </c>
      <c r="F7562" t="str">
        <f>"AICE GLBL PERSP 1 AS"</f>
        <v>AICE GLBL PERSP 1 AS</v>
      </c>
      <c r="G7562" t="str">
        <f>"17-1721"</f>
        <v>17-1721</v>
      </c>
      <c r="H7562" t="str">
        <f>"A"</f>
        <v>A</v>
      </c>
    </row>
    <row r="7563" spans="1:8" x14ac:dyDescent="0.2">
      <c r="A7563" t="str">
        <f t="shared" si="2760"/>
        <v>0617040917</v>
      </c>
      <c r="B7563" t="str">
        <f t="shared" si="2761"/>
        <v>LYNDSEY</v>
      </c>
      <c r="C7563" t="str">
        <f t="shared" si="2762"/>
        <v>HILL</v>
      </c>
      <c r="D7563" t="str">
        <f t="shared" si="2763"/>
        <v>09</v>
      </c>
      <c r="E7563" t="str">
        <f>"08 - B - 102 - Maried P Ramos"</f>
        <v>08 - B - 102 - Maried P Ramos</v>
      </c>
      <c r="F7563" t="str">
        <f>"ALGEBRA 2 HON"</f>
        <v>ALGEBRA 2 HON</v>
      </c>
      <c r="G7563" t="str">
        <f>"21-2159"</f>
        <v>21-2159</v>
      </c>
      <c r="H7563" t="str">
        <f>"B"</f>
        <v>B</v>
      </c>
    </row>
    <row r="7564" spans="1:8" x14ac:dyDescent="0.2">
      <c r="A7564" t="str">
        <f t="shared" ref="A7564:A7571" si="2764">"0621044088"</f>
        <v>0621044088</v>
      </c>
      <c r="B7564" t="str">
        <f t="shared" ref="B7564:B7571" si="2765">"ESTEBAN"</f>
        <v>ESTEBAN</v>
      </c>
      <c r="C7564" t="str">
        <f t="shared" ref="C7564:C7571" si="2766">"HINCAPIE"</f>
        <v>HINCAPIE</v>
      </c>
      <c r="D7564">
        <f>12</f>
        <v>12</v>
      </c>
      <c r="E7564" t="str">
        <f>"04 - A - 102 - Fernando  Vega-Cid"</f>
        <v>04 - A - 102 - Fernando  Vega-Cid</v>
      </c>
      <c r="F7564" t="str">
        <f>"PRE-CALCULUS HON"</f>
        <v>PRE-CALCULUS HON</v>
      </c>
      <c r="G7564" t="str">
        <f>"21-2163"</f>
        <v>21-2163</v>
      </c>
      <c r="H7564" t="str">
        <f>"A"</f>
        <v>A</v>
      </c>
    </row>
    <row r="7565" spans="1:8" x14ac:dyDescent="0.2">
      <c r="A7565" t="str">
        <f t="shared" si="2764"/>
        <v>0621044088</v>
      </c>
      <c r="B7565" t="str">
        <f t="shared" si="2765"/>
        <v>ESTEBAN</v>
      </c>
      <c r="C7565" t="str">
        <f t="shared" si="2766"/>
        <v>HINCAPIE</v>
      </c>
      <c r="D7565">
        <f>12</f>
        <v>12</v>
      </c>
      <c r="E7565" t="str">
        <f>"06 - B - 106 - Taraneh C Abreu"</f>
        <v>06 - B - 106 - Taraneh C Abreu</v>
      </c>
      <c r="F7565" t="str">
        <f>"NC STUDY HALL 1"</f>
        <v>NC STUDY HALL 1</v>
      </c>
      <c r="G7565" t="str">
        <f>"17-1713"</f>
        <v>17-1713</v>
      </c>
      <c r="H7565" t="str">
        <f>"B"</f>
        <v>B</v>
      </c>
    </row>
    <row r="7566" spans="1:8" x14ac:dyDescent="0.2">
      <c r="A7566" t="str">
        <f t="shared" si="2764"/>
        <v>0621044088</v>
      </c>
      <c r="B7566" t="str">
        <f t="shared" si="2765"/>
        <v>ESTEBAN</v>
      </c>
      <c r="C7566" t="str">
        <f t="shared" si="2766"/>
        <v>HINCAPIE</v>
      </c>
      <c r="D7566">
        <f>12</f>
        <v>12</v>
      </c>
      <c r="E7566" t="str">
        <f>"03 - A - 101 - Jeffrey S Gallagher"</f>
        <v>03 - A - 101 - Jeffrey S Gallagher</v>
      </c>
      <c r="F7566" t="str">
        <f>"ENG HON 4"</f>
        <v>ENG HON 4</v>
      </c>
      <c r="G7566" t="str">
        <f>"17-1724"</f>
        <v>17-1724</v>
      </c>
      <c r="H7566" t="str">
        <f>"A"</f>
        <v>A</v>
      </c>
    </row>
    <row r="7567" spans="1:8" x14ac:dyDescent="0.2">
      <c r="A7567" t="str">
        <f t="shared" si="2764"/>
        <v>0621044088</v>
      </c>
      <c r="B7567" t="str">
        <f t="shared" si="2765"/>
        <v>ESTEBAN</v>
      </c>
      <c r="C7567" t="str">
        <f t="shared" si="2766"/>
        <v>HINCAPIE</v>
      </c>
      <c r="D7567">
        <f>12</f>
        <v>12</v>
      </c>
      <c r="E7567" t="str">
        <f>"02 - A - 204 - Jacqueline R Morphet"</f>
        <v>02 - A - 204 - Jacqueline R Morphet</v>
      </c>
      <c r="F7567" t="str">
        <f>"PHYSICS 1 HON"</f>
        <v>PHYSICS 1 HON</v>
      </c>
      <c r="G7567" t="str">
        <f>"21-2138"</f>
        <v>21-2138</v>
      </c>
      <c r="H7567" t="str">
        <f>"A"</f>
        <v>A</v>
      </c>
    </row>
    <row r="7568" spans="1:8" x14ac:dyDescent="0.2">
      <c r="A7568" t="str">
        <f t="shared" si="2764"/>
        <v>0621044088</v>
      </c>
      <c r="B7568" t="str">
        <f t="shared" si="2765"/>
        <v>ESTEBAN</v>
      </c>
      <c r="C7568" t="str">
        <f t="shared" si="2766"/>
        <v>HINCAPIE</v>
      </c>
      <c r="D7568">
        <f>12</f>
        <v>12</v>
      </c>
      <c r="E7568" t="str">
        <f>"07 - S1 - B - 107 - Kelly N Panza"</f>
        <v>07 - S1 - B - 107 - Kelly N Panza</v>
      </c>
      <c r="F7568" t="str">
        <f>"US GOVT HON"</f>
        <v>US GOVT HON</v>
      </c>
      <c r="G7568" t="str">
        <f>"17-1753"</f>
        <v>17-1753</v>
      </c>
      <c r="H7568" t="str">
        <f>"B"</f>
        <v>B</v>
      </c>
    </row>
    <row r="7569" spans="1:8" x14ac:dyDescent="0.2">
      <c r="A7569" t="str">
        <f t="shared" si="2764"/>
        <v>0621044088</v>
      </c>
      <c r="B7569" t="str">
        <f t="shared" si="2765"/>
        <v>ESTEBAN</v>
      </c>
      <c r="C7569" t="str">
        <f t="shared" si="2766"/>
        <v>HINCAPIE</v>
      </c>
      <c r="D7569">
        <f>12</f>
        <v>12</v>
      </c>
      <c r="E7569" t="str">
        <f>"05 - B - 105 - Adam Marcus  Drucker"</f>
        <v>05 - B - 105 - Adam Marcus  Drucker</v>
      </c>
      <c r="F7569" t="str">
        <f>"HOPE-PE V"</f>
        <v>HOPE-PE V</v>
      </c>
      <c r="G7569" t="str">
        <f>"04-254"</f>
        <v>04-254</v>
      </c>
      <c r="H7569" t="str">
        <f>"B"</f>
        <v>B</v>
      </c>
    </row>
    <row r="7570" spans="1:8" x14ac:dyDescent="0.2">
      <c r="A7570" t="str">
        <f t="shared" si="2764"/>
        <v>0621044088</v>
      </c>
      <c r="B7570" t="str">
        <f t="shared" si="2765"/>
        <v>ESTEBAN</v>
      </c>
      <c r="C7570" t="str">
        <f t="shared" si="2766"/>
        <v>HINCAPIE</v>
      </c>
      <c r="D7570">
        <f>12</f>
        <v>12</v>
      </c>
      <c r="E7570" t="str">
        <f>"01 - A - 101 - Kyle  Robbins"</f>
        <v>01 - A - 101 - Kyle  Robbins</v>
      </c>
      <c r="F7570" t="str">
        <f>"US HISTORY"</f>
        <v>US HISTORY</v>
      </c>
      <c r="G7570" t="str">
        <f>"17-1745"</f>
        <v>17-1745</v>
      </c>
      <c r="H7570" t="str">
        <f>"A"</f>
        <v>A</v>
      </c>
    </row>
    <row r="7571" spans="1:8" x14ac:dyDescent="0.2">
      <c r="A7571" t="str">
        <f t="shared" si="2764"/>
        <v>0621044088</v>
      </c>
      <c r="B7571" t="str">
        <f t="shared" si="2765"/>
        <v>ESTEBAN</v>
      </c>
      <c r="C7571" t="str">
        <f t="shared" si="2766"/>
        <v>HINCAPIE</v>
      </c>
      <c r="D7571">
        <f>12</f>
        <v>12</v>
      </c>
      <c r="E7571" t="str">
        <f>"08 - B - 101 - Alejandro  Navarro"</f>
        <v>08 - B - 101 - Alejandro  Navarro</v>
      </c>
      <c r="F7571" t="str">
        <f>"GUITAR 1"</f>
        <v>GUITAR 1</v>
      </c>
      <c r="G7571" t="str">
        <f>"05-504"</f>
        <v>05-504</v>
      </c>
      <c r="H7571" t="str">
        <f>"B"</f>
        <v>B</v>
      </c>
    </row>
    <row r="7572" spans="1:8" x14ac:dyDescent="0.2">
      <c r="A7572" t="str">
        <f t="shared" ref="A7572:A7579" si="2767">"0616093127"</f>
        <v>0616093127</v>
      </c>
      <c r="B7572" t="str">
        <f t="shared" ref="B7572:B7579" si="2768">"REID"</f>
        <v>REID</v>
      </c>
      <c r="C7572" t="str">
        <f t="shared" ref="C7572:C7579" si="2769">"HINDS"</f>
        <v>HINDS</v>
      </c>
      <c r="D7572" t="str">
        <f t="shared" ref="D7572:D7579" si="2770">"09"</f>
        <v>09</v>
      </c>
      <c r="E7572" t="str">
        <f>"04 - A - 101 - Jeanne M Bermudez"</f>
        <v>04 - A - 101 - Jeanne M Bermudez</v>
      </c>
      <c r="F7572" t="str">
        <f>"ADVANCED IT HON"</f>
        <v>ADVANCED IT HON</v>
      </c>
      <c r="G7572" t="str">
        <f>"21-2141"</f>
        <v>21-2141</v>
      </c>
      <c r="H7572" t="str">
        <f>"A"</f>
        <v>A</v>
      </c>
    </row>
    <row r="7573" spans="1:8" x14ac:dyDescent="0.2">
      <c r="A7573" t="str">
        <f t="shared" si="2767"/>
        <v>0616093127</v>
      </c>
      <c r="B7573" t="str">
        <f t="shared" si="2768"/>
        <v>REID</v>
      </c>
      <c r="C7573" t="str">
        <f t="shared" si="2769"/>
        <v>HINDS</v>
      </c>
      <c r="D7573" t="str">
        <f t="shared" si="2770"/>
        <v>09</v>
      </c>
      <c r="E7573" t="str">
        <f>"06 - B - 102 - Rosa Elaine  Collado-Duff"</f>
        <v>06 - B - 102 - Rosa Elaine  Collado-Duff</v>
      </c>
      <c r="F7573" t="str">
        <f>"SPANISH 3 HON"</f>
        <v>SPANISH 3 HON</v>
      </c>
      <c r="G7573" t="str">
        <f>"09-913"</f>
        <v>09-913</v>
      </c>
      <c r="H7573" t="str">
        <f>"B"</f>
        <v>B</v>
      </c>
    </row>
    <row r="7574" spans="1:8" x14ac:dyDescent="0.2">
      <c r="A7574" t="str">
        <f t="shared" si="2767"/>
        <v>0616093127</v>
      </c>
      <c r="B7574" t="str">
        <f t="shared" si="2768"/>
        <v>REID</v>
      </c>
      <c r="C7574" t="str">
        <f t="shared" si="2769"/>
        <v>HINDS</v>
      </c>
      <c r="D7574" t="str">
        <f t="shared" si="2770"/>
        <v>09</v>
      </c>
      <c r="E7574" t="str">
        <f>"03 - A - 201 - Chrystina M Marchionne"</f>
        <v>03 - A - 201 - Chrystina M Marchionne</v>
      </c>
      <c r="F7574" t="str">
        <f>"JOURN 1 (YB) LH"</f>
        <v>JOURN 1 (YB) LH</v>
      </c>
      <c r="G7574" t="str">
        <f>"05-520"</f>
        <v>05-520</v>
      </c>
      <c r="H7574" t="str">
        <f>"A"</f>
        <v>A</v>
      </c>
    </row>
    <row r="7575" spans="1:8" x14ac:dyDescent="0.2">
      <c r="A7575" t="str">
        <f t="shared" si="2767"/>
        <v>0616093127</v>
      </c>
      <c r="B7575" t="str">
        <f t="shared" si="2768"/>
        <v>REID</v>
      </c>
      <c r="C7575" t="str">
        <f t="shared" si="2769"/>
        <v>HINDS</v>
      </c>
      <c r="D7575" t="str">
        <f t="shared" si="2770"/>
        <v>09</v>
      </c>
      <c r="E7575" t="str">
        <f>"02 - A - 103 - Arthur  Kulawik"</f>
        <v>02 - A - 103 - Arthur  Kulawik</v>
      </c>
      <c r="F7575" t="str">
        <f>"NC STUDY HALL 1"</f>
        <v>NC STUDY HALL 1</v>
      </c>
      <c r="G7575" t="str">
        <f>"05-506"</f>
        <v>05-506</v>
      </c>
      <c r="H7575" t="str">
        <f>"A"</f>
        <v>A</v>
      </c>
    </row>
    <row r="7576" spans="1:8" x14ac:dyDescent="0.2">
      <c r="A7576" t="str">
        <f t="shared" si="2767"/>
        <v>0616093127</v>
      </c>
      <c r="B7576" t="str">
        <f t="shared" si="2768"/>
        <v>REID</v>
      </c>
      <c r="C7576" t="str">
        <f t="shared" si="2769"/>
        <v>HINDS</v>
      </c>
      <c r="D7576" t="str">
        <f t="shared" si="2770"/>
        <v>09</v>
      </c>
      <c r="E7576" t="str">
        <f>"07 - B - 207 - Krystal Marie  Beruty"</f>
        <v>07 - B - 207 - Krystal Marie  Beruty</v>
      </c>
      <c r="F7576" t="str">
        <f>"AICE GLBL PERSP 1 AS"</f>
        <v>AICE GLBL PERSP 1 AS</v>
      </c>
      <c r="G7576" t="str">
        <f>"17-1721"</f>
        <v>17-1721</v>
      </c>
      <c r="H7576" t="str">
        <f>"B"</f>
        <v>B</v>
      </c>
    </row>
    <row r="7577" spans="1:8" x14ac:dyDescent="0.2">
      <c r="A7577" t="str">
        <f t="shared" si="2767"/>
        <v>0616093127</v>
      </c>
      <c r="B7577" t="str">
        <f t="shared" si="2768"/>
        <v>REID</v>
      </c>
      <c r="C7577" t="str">
        <f t="shared" si="2769"/>
        <v>HINDS</v>
      </c>
      <c r="D7577" t="str">
        <f t="shared" si="2770"/>
        <v>09</v>
      </c>
      <c r="E7577" t="str">
        <f>"05 - B - 103 - Byron G Montenegro"</f>
        <v>05 - B - 103 - Byron G Montenegro</v>
      </c>
      <c r="F7577" t="str">
        <f>"AICE MARINE SCI 1 AS"</f>
        <v>AICE MARINE SCI 1 AS</v>
      </c>
      <c r="G7577" t="str">
        <f>"21-2144"</f>
        <v>21-2144</v>
      </c>
      <c r="H7577" t="str">
        <f>"B"</f>
        <v>B</v>
      </c>
    </row>
    <row r="7578" spans="1:8" x14ac:dyDescent="0.2">
      <c r="A7578" t="str">
        <f t="shared" si="2767"/>
        <v>0616093127</v>
      </c>
      <c r="B7578" t="str">
        <f t="shared" si="2768"/>
        <v>REID</v>
      </c>
      <c r="C7578" t="str">
        <f t="shared" si="2769"/>
        <v>HINDS</v>
      </c>
      <c r="D7578" t="str">
        <f t="shared" si="2770"/>
        <v>09</v>
      </c>
      <c r="E7578" t="str">
        <f>"01 - A - 101 - Elizabeth R Walker"</f>
        <v>01 - A - 101 - Elizabeth R Walker</v>
      </c>
      <c r="F7578" t="str">
        <f>"AICE ENG GEN PAPER 1"</f>
        <v>AICE ENG GEN PAPER 1</v>
      </c>
      <c r="G7578" t="str">
        <f>"17-1703"</f>
        <v>17-1703</v>
      </c>
      <c r="H7578" t="str">
        <f>"A"</f>
        <v>A</v>
      </c>
    </row>
    <row r="7579" spans="1:8" x14ac:dyDescent="0.2">
      <c r="A7579" t="str">
        <f t="shared" si="2767"/>
        <v>0616093127</v>
      </c>
      <c r="B7579" t="str">
        <f t="shared" si="2768"/>
        <v>REID</v>
      </c>
      <c r="C7579" t="str">
        <f t="shared" si="2769"/>
        <v>HINDS</v>
      </c>
      <c r="D7579" t="str">
        <f t="shared" si="2770"/>
        <v>09</v>
      </c>
      <c r="E7579" t="str">
        <f>"08 - B - 102 - Maried P Ramos"</f>
        <v>08 - B - 102 - Maried P Ramos</v>
      </c>
      <c r="F7579" t="str">
        <f>"ALGEBRA 2 HON"</f>
        <v>ALGEBRA 2 HON</v>
      </c>
      <c r="G7579" t="str">
        <f>"21-2159"</f>
        <v>21-2159</v>
      </c>
      <c r="H7579" t="str">
        <f>"B"</f>
        <v>B</v>
      </c>
    </row>
    <row r="7580" spans="1:8" x14ac:dyDescent="0.2">
      <c r="A7580" t="str">
        <f t="shared" ref="A7580:A7587" si="2771">"0623091183"</f>
        <v>0623091183</v>
      </c>
      <c r="B7580" t="str">
        <f t="shared" ref="B7580:B7587" si="2772">"SOPHIA"</f>
        <v>SOPHIA</v>
      </c>
      <c r="C7580" t="str">
        <f t="shared" ref="C7580:C7587" si="2773">"HINELY"</f>
        <v>HINELY</v>
      </c>
      <c r="D7580">
        <f>12</f>
        <v>12</v>
      </c>
      <c r="E7580" t="str">
        <f>"04 - A - 102 - Eva T Rimmer"</f>
        <v>04 - A - 102 - Eva T Rimmer</v>
      </c>
      <c r="F7580" t="str">
        <f>"CRIMINAL JUST OPS 1"</f>
        <v>CRIMINAL JUST OPS 1</v>
      </c>
      <c r="G7580" t="str">
        <f>"05-523"</f>
        <v>05-523</v>
      </c>
      <c r="H7580" t="str">
        <f>"A"</f>
        <v>A</v>
      </c>
    </row>
    <row r="7581" spans="1:8" x14ac:dyDescent="0.2">
      <c r="A7581" t="str">
        <f t="shared" si="2771"/>
        <v>0623091183</v>
      </c>
      <c r="B7581" t="str">
        <f t="shared" si="2772"/>
        <v>SOPHIA</v>
      </c>
      <c r="C7581" t="str">
        <f t="shared" si="2773"/>
        <v>HINELY</v>
      </c>
      <c r="D7581">
        <f>12</f>
        <v>12</v>
      </c>
      <c r="E7581" t="str">
        <f>"06 - B - 113 - Marielle A Witting"</f>
        <v>06 - B - 113 - Marielle A Witting</v>
      </c>
      <c r="F7581" t="str">
        <f>"NC STUDY HALL 1"</f>
        <v>NC STUDY HALL 1</v>
      </c>
      <c r="G7581" t="str">
        <f>"08-805"</f>
        <v>08-805</v>
      </c>
      <c r="H7581" t="str">
        <f>"B"</f>
        <v>B</v>
      </c>
    </row>
    <row r="7582" spans="1:8" x14ac:dyDescent="0.2">
      <c r="A7582" t="str">
        <f t="shared" si="2771"/>
        <v>0623091183</v>
      </c>
      <c r="B7582" t="str">
        <f t="shared" si="2772"/>
        <v>SOPHIA</v>
      </c>
      <c r="C7582" t="str">
        <f t="shared" si="2773"/>
        <v>HINELY</v>
      </c>
      <c r="D7582">
        <f>12</f>
        <v>12</v>
      </c>
      <c r="E7582" t="str">
        <f>"03 - A - 201 - Chrystina M Marchionne"</f>
        <v>03 - A - 201 - Chrystina M Marchionne</v>
      </c>
      <c r="F7582" t="str">
        <f>"JOURN 1 (YB) LH"</f>
        <v>JOURN 1 (YB) LH</v>
      </c>
      <c r="G7582" t="str">
        <f>"05-520"</f>
        <v>05-520</v>
      </c>
      <c r="H7582" t="str">
        <f>"A"</f>
        <v>A</v>
      </c>
    </row>
    <row r="7583" spans="1:8" x14ac:dyDescent="0.2">
      <c r="A7583" t="str">
        <f t="shared" si="2771"/>
        <v>0623091183</v>
      </c>
      <c r="B7583" t="str">
        <f t="shared" si="2772"/>
        <v>SOPHIA</v>
      </c>
      <c r="C7583" t="str">
        <f t="shared" si="2773"/>
        <v>HINELY</v>
      </c>
      <c r="D7583">
        <f>12</f>
        <v>12</v>
      </c>
      <c r="E7583" t="str">
        <f>"02 - S1 - A - 103 - Barbara L Segal"</f>
        <v>02 - S1 - A - 103 - Barbara L Segal</v>
      </c>
      <c r="F7583" t="str">
        <f>"US GOVT HON"</f>
        <v>US GOVT HON</v>
      </c>
      <c r="G7583" t="str">
        <f>"17-1742"</f>
        <v>17-1742</v>
      </c>
      <c r="H7583" t="str">
        <f>"A"</f>
        <v>A</v>
      </c>
    </row>
    <row r="7584" spans="1:8" x14ac:dyDescent="0.2">
      <c r="A7584" t="str">
        <f t="shared" si="2771"/>
        <v>0623091183</v>
      </c>
      <c r="B7584" t="str">
        <f t="shared" si="2772"/>
        <v>SOPHIA</v>
      </c>
      <c r="C7584" t="str">
        <f t="shared" si="2773"/>
        <v>HINELY</v>
      </c>
      <c r="D7584">
        <f>12</f>
        <v>12</v>
      </c>
      <c r="E7584" t="str">
        <f>"07 - B - 105 - Cliffon  Saurel"</f>
        <v>07 - B - 105 - Cliffon  Saurel</v>
      </c>
      <c r="F7584" t="str">
        <f>"PHYSICAL SCI"</f>
        <v>PHYSICAL SCI</v>
      </c>
      <c r="G7584" t="str">
        <f>"05-522"</f>
        <v>05-522</v>
      </c>
      <c r="H7584" t="str">
        <f>"B"</f>
        <v>B</v>
      </c>
    </row>
    <row r="7585" spans="1:8" x14ac:dyDescent="0.2">
      <c r="A7585" t="str">
        <f t="shared" si="2771"/>
        <v>0623091183</v>
      </c>
      <c r="B7585" t="str">
        <f t="shared" si="2772"/>
        <v>SOPHIA</v>
      </c>
      <c r="C7585" t="str">
        <f t="shared" si="2773"/>
        <v>HINELY</v>
      </c>
      <c r="D7585">
        <f>12</f>
        <v>12</v>
      </c>
      <c r="E7585" t="str">
        <f>"05 - B - 201 - Lisa J London"</f>
        <v>05 - B - 201 - Lisa J London</v>
      </c>
      <c r="F7585" t="str">
        <f>"COMPRE LAW HON"</f>
        <v>COMPRE LAW HON</v>
      </c>
      <c r="G7585" t="str">
        <f>"17-1714"</f>
        <v>17-1714</v>
      </c>
      <c r="H7585" t="str">
        <f>"B"</f>
        <v>B</v>
      </c>
    </row>
    <row r="7586" spans="1:8" x14ac:dyDescent="0.2">
      <c r="A7586" t="str">
        <f t="shared" si="2771"/>
        <v>0623091183</v>
      </c>
      <c r="B7586" t="str">
        <f t="shared" si="2772"/>
        <v>SOPHIA</v>
      </c>
      <c r="C7586" t="str">
        <f t="shared" si="2773"/>
        <v>HINELY</v>
      </c>
      <c r="D7586">
        <f>12</f>
        <v>12</v>
      </c>
      <c r="E7586" t="str">
        <f>"01 - A - 101 - Thomas G Handwerg"</f>
        <v>01 - A - 101 - Thomas G Handwerg</v>
      </c>
      <c r="F7586" t="str">
        <f>"PROB STAT W/APPS HON"</f>
        <v>PROB STAT W/APPS HON</v>
      </c>
      <c r="G7586" t="str">
        <f>"21-2146"</f>
        <v>21-2146</v>
      </c>
      <c r="H7586" t="str">
        <f>"A"</f>
        <v>A</v>
      </c>
    </row>
    <row r="7587" spans="1:8" x14ac:dyDescent="0.2">
      <c r="A7587" t="str">
        <f t="shared" si="2771"/>
        <v>0623091183</v>
      </c>
      <c r="B7587" t="str">
        <f t="shared" si="2772"/>
        <v>SOPHIA</v>
      </c>
      <c r="C7587" t="str">
        <f t="shared" si="2773"/>
        <v>HINELY</v>
      </c>
      <c r="D7587">
        <f>12</f>
        <v>12</v>
      </c>
      <c r="E7587" t="str">
        <f>"08 - B - 105 - Jeffrey S Gallagher"</f>
        <v>08 - B - 105 - Jeffrey S Gallagher</v>
      </c>
      <c r="F7587" t="str">
        <f>"ENG HON 4"</f>
        <v>ENG HON 4</v>
      </c>
      <c r="G7587" t="str">
        <f>"17-1724"</f>
        <v>17-1724</v>
      </c>
      <c r="H7587" t="str">
        <f>"B"</f>
        <v>B</v>
      </c>
    </row>
    <row r="7588" spans="1:8" x14ac:dyDescent="0.2">
      <c r="A7588" t="str">
        <f t="shared" ref="A7588:A7595" si="2774">"0617140885"</f>
        <v>0617140885</v>
      </c>
      <c r="B7588" t="str">
        <f t="shared" ref="B7588:B7595" si="2775">"PARKER"</f>
        <v>PARKER</v>
      </c>
      <c r="C7588" t="str">
        <f t="shared" ref="C7588:C7595" si="2776">"HIRSCH"</f>
        <v>HIRSCH</v>
      </c>
      <c r="D7588">
        <f>10</f>
        <v>10</v>
      </c>
      <c r="E7588" t="str">
        <f>"04 - A - 104 - Laselleda D Shaw"</f>
        <v>04 - A - 104 - Laselleda D Shaw</v>
      </c>
      <c r="F7588" t="str">
        <f>"INTENS READ 2"</f>
        <v>INTENS READ 2</v>
      </c>
      <c r="G7588" t="str">
        <f>"17-1723"</f>
        <v>17-1723</v>
      </c>
      <c r="H7588" t="str">
        <f>"A"</f>
        <v>A</v>
      </c>
    </row>
    <row r="7589" spans="1:8" x14ac:dyDescent="0.2">
      <c r="A7589" t="str">
        <f t="shared" si="2774"/>
        <v>0617140885</v>
      </c>
      <c r="B7589" t="str">
        <f t="shared" si="2775"/>
        <v>PARKER</v>
      </c>
      <c r="C7589" t="str">
        <f t="shared" si="2776"/>
        <v>HIRSCH</v>
      </c>
      <c r="D7589">
        <f>10</f>
        <v>10</v>
      </c>
      <c r="E7589" t="str">
        <f>"06 - B - 002 - Lenecy  Nodarse"</f>
        <v>06 - B - 002 - Lenecy  Nodarse</v>
      </c>
      <c r="F7589" t="str">
        <f>"NC STUDY HALL 1"</f>
        <v>NC STUDY HALL 1</v>
      </c>
      <c r="G7589" t="str">
        <f>"17-1741"</f>
        <v>17-1741</v>
      </c>
      <c r="H7589" t="str">
        <f>"B"</f>
        <v>B</v>
      </c>
    </row>
    <row r="7590" spans="1:8" x14ac:dyDescent="0.2">
      <c r="A7590" t="str">
        <f t="shared" si="2774"/>
        <v>0617140885</v>
      </c>
      <c r="B7590" t="str">
        <f t="shared" si="2775"/>
        <v>PARKER</v>
      </c>
      <c r="C7590" t="str">
        <f t="shared" si="2776"/>
        <v>HIRSCH</v>
      </c>
      <c r="D7590">
        <f>10</f>
        <v>10</v>
      </c>
      <c r="E7590" t="str">
        <f>"03 - A - 204 - Norayda D Suarez"</f>
        <v>03 - A - 204 - Norayda D Suarez</v>
      </c>
      <c r="F7590" t="str">
        <f>"ANAT PHYSIO HON"</f>
        <v>ANAT PHYSIO HON</v>
      </c>
      <c r="G7590" t="str">
        <f>"21-2144"</f>
        <v>21-2144</v>
      </c>
      <c r="H7590" t="str">
        <f>"A"</f>
        <v>A</v>
      </c>
    </row>
    <row r="7591" spans="1:8" x14ac:dyDescent="0.2">
      <c r="A7591" t="str">
        <f t="shared" si="2774"/>
        <v>0617140885</v>
      </c>
      <c r="B7591" t="str">
        <f t="shared" si="2775"/>
        <v>PARKER</v>
      </c>
      <c r="C7591" t="str">
        <f t="shared" si="2776"/>
        <v>HIRSCH</v>
      </c>
      <c r="D7591">
        <f>10</f>
        <v>10</v>
      </c>
      <c r="E7591" t="str">
        <f>"02 - A - 103 - Lenecy  Nodarse"</f>
        <v>02 - A - 103 - Lenecy  Nodarse</v>
      </c>
      <c r="F7591" t="str">
        <f>"AICE EURO HIST 1 AS"</f>
        <v>AICE EURO HIST 1 AS</v>
      </c>
      <c r="G7591" t="str">
        <f>"17-1741"</f>
        <v>17-1741</v>
      </c>
      <c r="H7591" t="str">
        <f>"A"</f>
        <v>A</v>
      </c>
    </row>
    <row r="7592" spans="1:8" x14ac:dyDescent="0.2">
      <c r="A7592" t="str">
        <f t="shared" si="2774"/>
        <v>0617140885</v>
      </c>
      <c r="B7592" t="str">
        <f t="shared" si="2775"/>
        <v>PARKER</v>
      </c>
      <c r="C7592" t="str">
        <f t="shared" si="2776"/>
        <v>HIRSCH</v>
      </c>
      <c r="D7592">
        <f>10</f>
        <v>10</v>
      </c>
      <c r="E7592" t="str">
        <f>"07 - B - 107 - Jacklyn M James"</f>
        <v>07 - B - 107 - Jacklyn M James</v>
      </c>
      <c r="F7592" t="str">
        <f>"AICE ENG LANG AS"</f>
        <v>AICE ENG LANG AS</v>
      </c>
      <c r="G7592" t="str">
        <f>"17-1731"</f>
        <v>17-1731</v>
      </c>
      <c r="H7592" t="str">
        <f>"B"</f>
        <v>B</v>
      </c>
    </row>
    <row r="7593" spans="1:8" x14ac:dyDescent="0.2">
      <c r="A7593" t="str">
        <f t="shared" si="2774"/>
        <v>0617140885</v>
      </c>
      <c r="B7593" t="str">
        <f t="shared" si="2775"/>
        <v>PARKER</v>
      </c>
      <c r="C7593" t="str">
        <f t="shared" si="2776"/>
        <v>HIRSCH</v>
      </c>
      <c r="D7593">
        <f>10</f>
        <v>10</v>
      </c>
      <c r="E7593" t="str">
        <f>"05 - B - 202 - Daniel S Katz"</f>
        <v>05 - B - 202 - Daniel S Katz</v>
      </c>
      <c r="F7593" t="str">
        <f>"EXEC INTERN 3 LH"</f>
        <v>EXEC INTERN 3 LH</v>
      </c>
      <c r="G7593" t="str">
        <f>"21-2156"</f>
        <v>21-2156</v>
      </c>
      <c r="H7593" t="str">
        <f>"B"</f>
        <v>B</v>
      </c>
    </row>
    <row r="7594" spans="1:8" x14ac:dyDescent="0.2">
      <c r="A7594" t="str">
        <f t="shared" si="2774"/>
        <v>0617140885</v>
      </c>
      <c r="B7594" t="str">
        <f t="shared" si="2775"/>
        <v>PARKER</v>
      </c>
      <c r="C7594" t="str">
        <f t="shared" si="2776"/>
        <v>HIRSCH</v>
      </c>
      <c r="D7594">
        <f>10</f>
        <v>10</v>
      </c>
      <c r="E7594" t="str">
        <f>"01 - A - 104 - Milca  Exantus"</f>
        <v>01 - A - 104 - Milca  Exantus</v>
      </c>
      <c r="F7594" t="str">
        <f>"MATH COLLEGE LIB ART"</f>
        <v>MATH COLLEGE LIB ART</v>
      </c>
      <c r="G7594" t="str">
        <f>"21-2145"</f>
        <v>21-2145</v>
      </c>
      <c r="H7594" t="str">
        <f>"A"</f>
        <v>A</v>
      </c>
    </row>
    <row r="7595" spans="1:8" x14ac:dyDescent="0.2">
      <c r="A7595" t="str">
        <f t="shared" si="2774"/>
        <v>0617140885</v>
      </c>
      <c r="B7595" t="str">
        <f t="shared" si="2775"/>
        <v>PARKER</v>
      </c>
      <c r="C7595" t="str">
        <f t="shared" si="2776"/>
        <v>HIRSCH</v>
      </c>
      <c r="D7595">
        <f>10</f>
        <v>10</v>
      </c>
      <c r="E7595" t="str">
        <f>"08 - B - 206 - Daniel S Katz"</f>
        <v>08 - B - 206 - Daniel S Katz</v>
      </c>
      <c r="F7595" t="str">
        <f>"AICE MEDIASTUDIES AS"</f>
        <v>AICE MEDIASTUDIES AS</v>
      </c>
      <c r="G7595" t="str">
        <f>"05-521"</f>
        <v>05-521</v>
      </c>
      <c r="H7595" t="str">
        <f>"B"</f>
        <v>B</v>
      </c>
    </row>
    <row r="7596" spans="1:8" x14ac:dyDescent="0.2">
      <c r="A7596" t="str">
        <f t="shared" ref="A7596:A7603" si="2777">"0615053094"</f>
        <v>0615053094</v>
      </c>
      <c r="B7596" t="str">
        <f t="shared" ref="B7596:B7603" si="2778">"ALIAYAH"</f>
        <v>ALIAYAH</v>
      </c>
      <c r="C7596" t="str">
        <f t="shared" ref="C7596:C7603" si="2779">"HODGE"</f>
        <v>HODGE</v>
      </c>
      <c r="D7596">
        <f>11</f>
        <v>11</v>
      </c>
      <c r="E7596" t="str">
        <f>"04 - A - 102 - Jeffrey S Gallagher"</f>
        <v>04 - A - 102 - Jeffrey S Gallagher</v>
      </c>
      <c r="F7596" t="str">
        <f>"ENG HON 3"</f>
        <v>ENG HON 3</v>
      </c>
      <c r="G7596" t="str">
        <f>"17-1724"</f>
        <v>17-1724</v>
      </c>
      <c r="H7596" t="str">
        <f>"A"</f>
        <v>A</v>
      </c>
    </row>
    <row r="7597" spans="1:8" x14ac:dyDescent="0.2">
      <c r="A7597" t="str">
        <f t="shared" si="2777"/>
        <v>0615053094</v>
      </c>
      <c r="B7597" t="str">
        <f t="shared" si="2778"/>
        <v>ALIAYAH</v>
      </c>
      <c r="C7597" t="str">
        <f t="shared" si="2779"/>
        <v>HODGE</v>
      </c>
      <c r="D7597">
        <f>11</f>
        <v>11</v>
      </c>
      <c r="E7597" t="str">
        <f>"06 - B - 103 - Helen A Flores"</f>
        <v>06 - B - 103 - Helen A Flores</v>
      </c>
      <c r="F7597" t="str">
        <f>"ALGEBRA 2"</f>
        <v>ALGEBRA 2</v>
      </c>
      <c r="G7597" t="str">
        <f>"21-2101"</f>
        <v>21-2101</v>
      </c>
      <c r="H7597" t="str">
        <f>"B"</f>
        <v>B</v>
      </c>
    </row>
    <row r="7598" spans="1:8" x14ac:dyDescent="0.2">
      <c r="A7598" t="str">
        <f t="shared" si="2777"/>
        <v>0615053094</v>
      </c>
      <c r="B7598" t="str">
        <f t="shared" si="2778"/>
        <v>ALIAYAH</v>
      </c>
      <c r="C7598" t="str">
        <f t="shared" si="2779"/>
        <v>HODGE</v>
      </c>
      <c r="D7598">
        <f>11</f>
        <v>11</v>
      </c>
      <c r="E7598" t="str">
        <f>"03 - A - 101 - Jazmin S Fletcher"</f>
        <v>03 - A - 101 - Jazmin S Fletcher</v>
      </c>
      <c r="F7598" t="str">
        <f>"TECH THEA DES&amp;PROD 1"</f>
        <v>TECH THEA DES&amp;PROD 1</v>
      </c>
      <c r="G7598" t="str">
        <f>"09-909"</f>
        <v>09-909</v>
      </c>
      <c r="H7598" t="str">
        <f>"A"</f>
        <v>A</v>
      </c>
    </row>
    <row r="7599" spans="1:8" x14ac:dyDescent="0.2">
      <c r="A7599" t="str">
        <f t="shared" si="2777"/>
        <v>0615053094</v>
      </c>
      <c r="B7599" t="str">
        <f t="shared" si="2778"/>
        <v>ALIAYAH</v>
      </c>
      <c r="C7599" t="str">
        <f t="shared" si="2779"/>
        <v>HODGE</v>
      </c>
      <c r="D7599">
        <f>11</f>
        <v>11</v>
      </c>
      <c r="E7599" t="str">
        <f>"02 - A - 114 - Eva T Rimmer"</f>
        <v>02 - A - 114 - Eva T Rimmer</v>
      </c>
      <c r="F7599" t="str">
        <f>"NC STUDY HALL 1"</f>
        <v>NC STUDY HALL 1</v>
      </c>
      <c r="G7599" t="str">
        <f>"05-523"</f>
        <v>05-523</v>
      </c>
      <c r="H7599" t="str">
        <f>"A"</f>
        <v>A</v>
      </c>
    </row>
    <row r="7600" spans="1:8" x14ac:dyDescent="0.2">
      <c r="A7600" t="str">
        <f t="shared" si="2777"/>
        <v>0615053094</v>
      </c>
      <c r="B7600" t="str">
        <f t="shared" si="2778"/>
        <v>ALIAYAH</v>
      </c>
      <c r="C7600" t="str">
        <f t="shared" si="2779"/>
        <v>HODGE</v>
      </c>
      <c r="D7600">
        <f>11</f>
        <v>11</v>
      </c>
      <c r="E7600" t="str">
        <f>"07 - B - 104 - Marielle A Witting"</f>
        <v>07 - B - 104 - Marielle A Witting</v>
      </c>
      <c r="F7600" t="str">
        <f>"ANAT PHYSIO"</f>
        <v>ANAT PHYSIO</v>
      </c>
      <c r="G7600" t="str">
        <f>"08-805"</f>
        <v>08-805</v>
      </c>
      <c r="H7600" t="str">
        <f>"B"</f>
        <v>B</v>
      </c>
    </row>
    <row r="7601" spans="1:8" x14ac:dyDescent="0.2">
      <c r="A7601" t="str">
        <f t="shared" si="2777"/>
        <v>0615053094</v>
      </c>
      <c r="B7601" t="str">
        <f t="shared" si="2778"/>
        <v>ALIAYAH</v>
      </c>
      <c r="C7601" t="str">
        <f t="shared" si="2779"/>
        <v>HODGE</v>
      </c>
      <c r="D7601">
        <f>11</f>
        <v>11</v>
      </c>
      <c r="E7601" t="str">
        <f>"05 - B - 107 - Elizabeth Ellen  Moran"</f>
        <v>05 - B - 107 - Elizabeth Ellen  Moran</v>
      </c>
      <c r="F7601" t="str">
        <f>"US HISTORY"</f>
        <v>US HISTORY</v>
      </c>
      <c r="G7601" t="str">
        <f>"17-1752"</f>
        <v>17-1752</v>
      </c>
      <c r="H7601" t="str">
        <f>"B"</f>
        <v>B</v>
      </c>
    </row>
    <row r="7602" spans="1:8" x14ac:dyDescent="0.2">
      <c r="A7602" t="str">
        <f t="shared" si="2777"/>
        <v>0615053094</v>
      </c>
      <c r="B7602" t="str">
        <f t="shared" si="2778"/>
        <v>ALIAYAH</v>
      </c>
      <c r="C7602" t="str">
        <f t="shared" si="2779"/>
        <v>HODGE</v>
      </c>
      <c r="D7602">
        <f>11</f>
        <v>11</v>
      </c>
      <c r="E7602" t="str">
        <f>"01 - A - 201 - Daniel S Tyson"</f>
        <v>01 - A - 201 - Daniel S Tyson</v>
      </c>
      <c r="F7602" t="str">
        <f>"JROTC NAVAL SCI 3"</f>
        <v>JROTC NAVAL SCI 3</v>
      </c>
      <c r="G7602" t="str">
        <f>"05-510"</f>
        <v>05-510</v>
      </c>
      <c r="H7602" t="str">
        <f>"A"</f>
        <v>A</v>
      </c>
    </row>
    <row r="7603" spans="1:8" x14ac:dyDescent="0.2">
      <c r="A7603" t="str">
        <f t="shared" si="2777"/>
        <v>0615053094</v>
      </c>
      <c r="B7603" t="str">
        <f t="shared" si="2778"/>
        <v>ALIAYAH</v>
      </c>
      <c r="C7603" t="str">
        <f t="shared" si="2779"/>
        <v>HODGE</v>
      </c>
      <c r="D7603">
        <f>11</f>
        <v>11</v>
      </c>
      <c r="E7603" t="str">
        <f>"08 - B - 001 - Samantha L Martinez"</f>
        <v>08 - B - 001 - Samantha L Martinez</v>
      </c>
      <c r="F7603" t="str">
        <f>"VOCAL ENS 2"</f>
        <v>VOCAL ENS 2</v>
      </c>
      <c r="G7603" t="str">
        <f>"05-505"</f>
        <v>05-505</v>
      </c>
      <c r="H7603" t="str">
        <f>"B"</f>
        <v>B</v>
      </c>
    </row>
    <row r="7604" spans="1:8" x14ac:dyDescent="0.2">
      <c r="A7604" t="str">
        <f t="shared" ref="A7604:A7611" si="2780">"0614142587"</f>
        <v>0614142587</v>
      </c>
      <c r="B7604" t="str">
        <f t="shared" ref="B7604:B7611" si="2781">"CHASE"</f>
        <v>CHASE</v>
      </c>
      <c r="C7604" t="str">
        <f t="shared" ref="C7604:C7619" si="2782">"HOFFMAN"</f>
        <v>HOFFMAN</v>
      </c>
      <c r="D7604">
        <f>11</f>
        <v>11</v>
      </c>
      <c r="E7604" t="str">
        <f>"04 - A - 102 - Lisa J London"</f>
        <v>04 - A - 102 - Lisa J London</v>
      </c>
      <c r="F7604" t="str">
        <f>"AP CAPSTONE SEMINAR"</f>
        <v>AP CAPSTONE SEMINAR</v>
      </c>
      <c r="G7604" t="str">
        <f>"17-1714"</f>
        <v>17-1714</v>
      </c>
      <c r="H7604" t="str">
        <f>"A"</f>
        <v>A</v>
      </c>
    </row>
    <row r="7605" spans="1:8" x14ac:dyDescent="0.2">
      <c r="A7605" t="str">
        <f t="shared" si="2780"/>
        <v>0614142587</v>
      </c>
      <c r="B7605" t="str">
        <f t="shared" si="2781"/>
        <v>CHASE</v>
      </c>
      <c r="C7605" t="str">
        <f t="shared" si="2782"/>
        <v>HOFFMAN</v>
      </c>
      <c r="D7605">
        <f>11</f>
        <v>11</v>
      </c>
      <c r="E7605" t="str">
        <f>"06 - B - 102 - Stephen T Ripp"</f>
        <v>06 - B - 102 - Stephen T Ripp</v>
      </c>
      <c r="F7605" t="str">
        <f>"AP U.S. HIST"</f>
        <v>AP U.S. HIST</v>
      </c>
      <c r="G7605" t="str">
        <f>"17-1744"</f>
        <v>17-1744</v>
      </c>
      <c r="H7605" t="str">
        <f>"B"</f>
        <v>B</v>
      </c>
    </row>
    <row r="7606" spans="1:8" x14ac:dyDescent="0.2">
      <c r="A7606" t="str">
        <f t="shared" si="2780"/>
        <v>0614142587</v>
      </c>
      <c r="B7606" t="str">
        <f t="shared" si="2781"/>
        <v>CHASE</v>
      </c>
      <c r="C7606" t="str">
        <f t="shared" si="2782"/>
        <v>HOFFMAN</v>
      </c>
      <c r="D7606">
        <f>11</f>
        <v>11</v>
      </c>
      <c r="E7606" t="str">
        <f>"03 - A - 102 - Tina M Jaramillo"</f>
        <v>03 - A - 102 - Tina M Jaramillo</v>
      </c>
      <c r="F7606" t="str">
        <f>"AP ENG COMPO"</f>
        <v>AP ENG COMPO</v>
      </c>
      <c r="G7606" t="str">
        <f>"17-1706"</f>
        <v>17-1706</v>
      </c>
      <c r="H7606" t="str">
        <f>"A"</f>
        <v>A</v>
      </c>
    </row>
    <row r="7607" spans="1:8" x14ac:dyDescent="0.2">
      <c r="A7607" t="str">
        <f t="shared" si="2780"/>
        <v>0614142587</v>
      </c>
      <c r="B7607" t="str">
        <f t="shared" si="2781"/>
        <v>CHASE</v>
      </c>
      <c r="C7607" t="str">
        <f t="shared" si="2782"/>
        <v>HOFFMAN</v>
      </c>
      <c r="D7607">
        <f>11</f>
        <v>11</v>
      </c>
      <c r="E7607" t="str">
        <f>"02 - A - 103 - Kelly N Panza"</f>
        <v>02 - A - 103 - Kelly N Panza</v>
      </c>
      <c r="F7607" t="str">
        <f>"NC STUDY HALL 1"</f>
        <v>NC STUDY HALL 1</v>
      </c>
      <c r="G7607" t="str">
        <f>"17-1753"</f>
        <v>17-1753</v>
      </c>
      <c r="H7607" t="str">
        <f>"A"</f>
        <v>A</v>
      </c>
    </row>
    <row r="7608" spans="1:8" x14ac:dyDescent="0.2">
      <c r="A7608" t="str">
        <f t="shared" si="2780"/>
        <v>0614142587</v>
      </c>
      <c r="B7608" t="str">
        <f t="shared" si="2781"/>
        <v>CHASE</v>
      </c>
      <c r="C7608" t="str">
        <f t="shared" si="2782"/>
        <v>HOFFMAN</v>
      </c>
      <c r="D7608">
        <f>11</f>
        <v>11</v>
      </c>
      <c r="E7608" t="str">
        <f>"07 - B - 204 - Stefanie S Scher"</f>
        <v>07 - B - 204 - Stefanie S Scher</v>
      </c>
      <c r="F7608" t="str">
        <f>"AP PSYCH"</f>
        <v>AP PSYCH</v>
      </c>
      <c r="G7608" t="str">
        <f>"17-1735"</f>
        <v>17-1735</v>
      </c>
      <c r="H7608" t="str">
        <f>"B"</f>
        <v>B</v>
      </c>
    </row>
    <row r="7609" spans="1:8" x14ac:dyDescent="0.2">
      <c r="A7609" t="str">
        <f t="shared" si="2780"/>
        <v>0614142587</v>
      </c>
      <c r="B7609" t="str">
        <f t="shared" si="2781"/>
        <v>CHASE</v>
      </c>
      <c r="C7609" t="str">
        <f t="shared" si="2782"/>
        <v>HOFFMAN</v>
      </c>
      <c r="D7609">
        <f>11</f>
        <v>11</v>
      </c>
      <c r="E7609" t="str">
        <f>"05 - B - 101 - Pamela M Corzo"</f>
        <v>05 - B - 101 - Pamela M Corzo</v>
      </c>
      <c r="F7609" t="str">
        <f>"AP CALCULUS AB"</f>
        <v>AP CALCULUS AB</v>
      </c>
      <c r="G7609" t="str">
        <f>"21-2133"</f>
        <v>21-2133</v>
      </c>
      <c r="H7609" t="str">
        <f>"B"</f>
        <v>B</v>
      </c>
    </row>
    <row r="7610" spans="1:8" x14ac:dyDescent="0.2">
      <c r="A7610" t="str">
        <f t="shared" si="2780"/>
        <v>0614142587</v>
      </c>
      <c r="B7610" t="str">
        <f t="shared" si="2781"/>
        <v>CHASE</v>
      </c>
      <c r="C7610" t="str">
        <f t="shared" si="2782"/>
        <v>HOFFMAN</v>
      </c>
      <c r="D7610">
        <f>11</f>
        <v>11</v>
      </c>
      <c r="E7610" t="str">
        <f>"01 - A - 101 - Kelly N Panza"</f>
        <v>01 - A - 101 - Kelly N Panza</v>
      </c>
      <c r="F7610" t="str">
        <f>"AP HUMAN GEOG"</f>
        <v>AP HUMAN GEOG</v>
      </c>
      <c r="G7610" t="str">
        <f>"17-1753"</f>
        <v>17-1753</v>
      </c>
      <c r="H7610" t="str">
        <f>"A"</f>
        <v>A</v>
      </c>
    </row>
    <row r="7611" spans="1:8" x14ac:dyDescent="0.2">
      <c r="A7611" t="str">
        <f t="shared" si="2780"/>
        <v>0614142587</v>
      </c>
      <c r="B7611" t="str">
        <f t="shared" si="2781"/>
        <v>CHASE</v>
      </c>
      <c r="C7611" t="str">
        <f t="shared" si="2782"/>
        <v>HOFFMAN</v>
      </c>
      <c r="D7611">
        <f>11</f>
        <v>11</v>
      </c>
      <c r="E7611" t="str">
        <f>"08 - B - 102 - Jacqueline R Morphet"</f>
        <v>08 - B - 102 - Jacqueline R Morphet</v>
      </c>
      <c r="F7611" t="str">
        <f>"AP PHYSICS 1"</f>
        <v>AP PHYSICS 1</v>
      </c>
      <c r="G7611" t="str">
        <f>"21-2138"</f>
        <v>21-2138</v>
      </c>
      <c r="H7611" t="str">
        <f>"B"</f>
        <v>B</v>
      </c>
    </row>
    <row r="7612" spans="1:8" x14ac:dyDescent="0.2">
      <c r="A7612" t="str">
        <f t="shared" ref="A7612:A7619" si="2783">"0614090564"</f>
        <v>0614090564</v>
      </c>
      <c r="B7612" t="str">
        <f t="shared" ref="B7612:B7619" si="2784">"JAXSON"</f>
        <v>JAXSON</v>
      </c>
      <c r="C7612" t="str">
        <f t="shared" si="2782"/>
        <v>HOFFMAN</v>
      </c>
      <c r="D7612">
        <f>11</f>
        <v>11</v>
      </c>
      <c r="E7612" t="str">
        <f>"04 - A - 103 - Lourivaldo  Da Silva"</f>
        <v>04 - A - 103 - Lourivaldo  Da Silva</v>
      </c>
      <c r="F7612" t="str">
        <f>"PRE-CALCULUS HON"</f>
        <v>PRE-CALCULUS HON</v>
      </c>
      <c r="G7612" t="str">
        <f>"20-2079"</f>
        <v>20-2079</v>
      </c>
      <c r="H7612" t="str">
        <f>"A"</f>
        <v>A</v>
      </c>
    </row>
    <row r="7613" spans="1:8" x14ac:dyDescent="0.2">
      <c r="A7613" t="str">
        <f t="shared" si="2783"/>
        <v>0614090564</v>
      </c>
      <c r="B7613" t="str">
        <f t="shared" si="2784"/>
        <v>JAXSON</v>
      </c>
      <c r="C7613" t="str">
        <f t="shared" si="2782"/>
        <v>HOFFMAN</v>
      </c>
      <c r="D7613">
        <f>11</f>
        <v>11</v>
      </c>
      <c r="E7613" t="str">
        <f>"06 - B - 204 - Chrystina M Marchionne"</f>
        <v>06 - B - 204 - Chrystina M Marchionne</v>
      </c>
      <c r="F7613" t="str">
        <f>"AICE MEDIASTUDIES AS"</f>
        <v>AICE MEDIASTUDIES AS</v>
      </c>
      <c r="G7613" t="str">
        <f>"05-520"</f>
        <v>05-520</v>
      </c>
      <c r="H7613" t="str">
        <f>"B"</f>
        <v>B</v>
      </c>
    </row>
    <row r="7614" spans="1:8" x14ac:dyDescent="0.2">
      <c r="A7614" t="str">
        <f t="shared" si="2783"/>
        <v>0614090564</v>
      </c>
      <c r="B7614" t="str">
        <f t="shared" si="2784"/>
        <v>JAXSON</v>
      </c>
      <c r="C7614" t="str">
        <f t="shared" si="2782"/>
        <v>HOFFMAN</v>
      </c>
      <c r="D7614">
        <f>11</f>
        <v>11</v>
      </c>
      <c r="E7614" t="str">
        <f>"03 - S1 - A - 103 - Richard E Dunbar Iii"</f>
        <v>03 - S1 - A - 103 - Richard E Dunbar Iii</v>
      </c>
      <c r="F7614" t="str">
        <f>"WEIGHT TRAIN 1"</f>
        <v>WEIGHT TRAIN 1</v>
      </c>
      <c r="G7614" t="str">
        <f>"05-501"</f>
        <v>05-501</v>
      </c>
      <c r="H7614" t="str">
        <f>"A"</f>
        <v>A</v>
      </c>
    </row>
    <row r="7615" spans="1:8" x14ac:dyDescent="0.2">
      <c r="A7615" t="str">
        <f t="shared" si="2783"/>
        <v>0614090564</v>
      </c>
      <c r="B7615" t="str">
        <f t="shared" si="2784"/>
        <v>JAXSON</v>
      </c>
      <c r="C7615" t="str">
        <f t="shared" si="2782"/>
        <v>HOFFMAN</v>
      </c>
      <c r="D7615">
        <f>11</f>
        <v>11</v>
      </c>
      <c r="E7615" t="str">
        <f>"02 - A - 102 - Brook E Goren"</f>
        <v>02 - A - 102 - Brook E Goren</v>
      </c>
      <c r="F7615" t="str">
        <f>"NC STUDY HALL 1"</f>
        <v>NC STUDY HALL 1</v>
      </c>
      <c r="G7615" t="str">
        <f>"21-2158"</f>
        <v>21-2158</v>
      </c>
      <c r="H7615" t="str">
        <f>"A"</f>
        <v>A</v>
      </c>
    </row>
    <row r="7616" spans="1:8" x14ac:dyDescent="0.2">
      <c r="A7616" t="str">
        <f t="shared" si="2783"/>
        <v>0614090564</v>
      </c>
      <c r="B7616" t="str">
        <f t="shared" si="2784"/>
        <v>JAXSON</v>
      </c>
      <c r="C7616" t="str">
        <f t="shared" si="2782"/>
        <v>HOFFMAN</v>
      </c>
      <c r="D7616">
        <f>11</f>
        <v>11</v>
      </c>
      <c r="E7616" t="str">
        <f>"07 - B - 104 - Jerry S Jiampetti"</f>
        <v>07 - B - 104 - Jerry S Jiampetti</v>
      </c>
      <c r="F7616" t="str">
        <f>"AICE U.S. HIST 1 AS"</f>
        <v>AICE U.S. HIST 1 AS</v>
      </c>
      <c r="G7616" t="str">
        <f>"17-1751"</f>
        <v>17-1751</v>
      </c>
      <c r="H7616" t="str">
        <f>"B"</f>
        <v>B</v>
      </c>
    </row>
    <row r="7617" spans="1:8" x14ac:dyDescent="0.2">
      <c r="A7617" t="str">
        <f t="shared" si="2783"/>
        <v>0614090564</v>
      </c>
      <c r="B7617" t="str">
        <f t="shared" si="2784"/>
        <v>JAXSON</v>
      </c>
      <c r="C7617" t="str">
        <f t="shared" si="2782"/>
        <v>HOFFMAN</v>
      </c>
      <c r="D7617">
        <f>11</f>
        <v>11</v>
      </c>
      <c r="E7617" t="str">
        <f>"05 - B - 102 - Jacklyn M James"</f>
        <v>05 - B - 102 - Jacklyn M James</v>
      </c>
      <c r="F7617" t="str">
        <f>"AICE ENG LANG AS"</f>
        <v>AICE ENG LANG AS</v>
      </c>
      <c r="G7617" t="str">
        <f>"17-1731"</f>
        <v>17-1731</v>
      </c>
      <c r="H7617" t="str">
        <f>"B"</f>
        <v>B</v>
      </c>
    </row>
    <row r="7618" spans="1:8" x14ac:dyDescent="0.2">
      <c r="A7618" t="str">
        <f t="shared" si="2783"/>
        <v>0614090564</v>
      </c>
      <c r="B7618" t="str">
        <f t="shared" si="2784"/>
        <v>JAXSON</v>
      </c>
      <c r="C7618" t="str">
        <f t="shared" si="2782"/>
        <v>HOFFMAN</v>
      </c>
      <c r="D7618">
        <f>11</f>
        <v>11</v>
      </c>
      <c r="E7618" t="str">
        <f>"01 - A - 107 - Valerie J Ruwe"</f>
        <v>01 - A - 107 - Valerie J Ruwe</v>
      </c>
      <c r="F7618" t="str">
        <f>"CHEMISTRY 1 HON"</f>
        <v>CHEMISTRY 1 HON</v>
      </c>
      <c r="G7618" t="str">
        <f>"21-2134"</f>
        <v>21-2134</v>
      </c>
      <c r="H7618" t="str">
        <f>"A"</f>
        <v>A</v>
      </c>
    </row>
    <row r="7619" spans="1:8" x14ac:dyDescent="0.2">
      <c r="A7619" t="str">
        <f t="shared" si="2783"/>
        <v>0614090564</v>
      </c>
      <c r="B7619" t="str">
        <f t="shared" si="2784"/>
        <v>JAXSON</v>
      </c>
      <c r="C7619" t="str">
        <f t="shared" si="2782"/>
        <v>HOFFMAN</v>
      </c>
      <c r="D7619">
        <f>11</f>
        <v>11</v>
      </c>
      <c r="E7619" t="str">
        <f>"08 - B - 101 - Marius D Orsolini"</f>
        <v>08 - B - 101 - Marius D Orsolini</v>
      </c>
      <c r="F7619" t="str">
        <f>"CULINARY ARTS 2"</f>
        <v>CULINARY ARTS 2</v>
      </c>
      <c r="G7619" t="str">
        <f>"21-2115"</f>
        <v>21-2115</v>
      </c>
      <c r="H7619" t="str">
        <f>"B"</f>
        <v>B</v>
      </c>
    </row>
    <row r="7620" spans="1:8" x14ac:dyDescent="0.2">
      <c r="A7620" t="str">
        <f t="shared" ref="A7620:A7627" si="2785">"0624077889"</f>
        <v>0624077889</v>
      </c>
      <c r="B7620" t="str">
        <f t="shared" ref="B7620:B7627" si="2786">"DYLAN"</f>
        <v>DYLAN</v>
      </c>
      <c r="C7620" t="str">
        <f t="shared" ref="C7620:C7627" si="2787">"HOFFMANN"</f>
        <v>HOFFMANN</v>
      </c>
      <c r="D7620" t="str">
        <f t="shared" ref="D7620:D7627" si="2788">"09"</f>
        <v>09</v>
      </c>
      <c r="E7620" t="str">
        <f>"04 - A - 101 - Chrystina M Marchionne"</f>
        <v>04 - A - 101 - Chrystina M Marchionne</v>
      </c>
      <c r="F7620" t="str">
        <f>"THEA CIN &amp; FILM LH"</f>
        <v>THEA CIN &amp; FILM LH</v>
      </c>
      <c r="G7620" t="str">
        <f>"05-520"</f>
        <v>05-520</v>
      </c>
      <c r="H7620" t="str">
        <f>"A"</f>
        <v>A</v>
      </c>
    </row>
    <row r="7621" spans="1:8" x14ac:dyDescent="0.2">
      <c r="A7621" t="str">
        <f t="shared" si="2785"/>
        <v>0624077889</v>
      </c>
      <c r="B7621" t="str">
        <f t="shared" si="2786"/>
        <v>DYLAN</v>
      </c>
      <c r="C7621" t="str">
        <f t="shared" si="2787"/>
        <v>HOFFMANN</v>
      </c>
      <c r="D7621" t="str">
        <f t="shared" si="2788"/>
        <v>09</v>
      </c>
      <c r="E7621" t="str">
        <f>"06 - B - 104 - Lytrell T Dixon"</f>
        <v>06 - B - 104 - Lytrell T Dixon</v>
      </c>
      <c r="F7621" t="str">
        <f>"PRE-AICE BIO IG"</f>
        <v>PRE-AICE BIO IG</v>
      </c>
      <c r="G7621" t="str">
        <f>"08-808"</f>
        <v>08-808</v>
      </c>
      <c r="H7621" t="str">
        <f>"B"</f>
        <v>B</v>
      </c>
    </row>
    <row r="7622" spans="1:8" x14ac:dyDescent="0.2">
      <c r="A7622" t="str">
        <f t="shared" si="2785"/>
        <v>0624077889</v>
      </c>
      <c r="B7622" t="str">
        <f t="shared" si="2786"/>
        <v>DYLAN</v>
      </c>
      <c r="C7622" t="str">
        <f t="shared" si="2787"/>
        <v>HOFFMANN</v>
      </c>
      <c r="D7622" t="str">
        <f t="shared" si="2788"/>
        <v>09</v>
      </c>
      <c r="E7622" t="str">
        <f>"03 - A - 101 - Alejandro  Navarro"</f>
        <v>03 - A - 101 - Alejandro  Navarro</v>
      </c>
      <c r="F7622" t="str">
        <f>"BAND 3"</f>
        <v>BAND 3</v>
      </c>
      <c r="G7622" t="str">
        <f>"05-504"</f>
        <v>05-504</v>
      </c>
      <c r="H7622" t="str">
        <f>"A"</f>
        <v>A</v>
      </c>
    </row>
    <row r="7623" spans="1:8" x14ac:dyDescent="0.2">
      <c r="A7623" t="str">
        <f t="shared" si="2785"/>
        <v>0624077889</v>
      </c>
      <c r="B7623" t="str">
        <f t="shared" si="2786"/>
        <v>DYLAN</v>
      </c>
      <c r="C7623" t="str">
        <f t="shared" si="2787"/>
        <v>HOFFMANN</v>
      </c>
      <c r="D7623" t="str">
        <f t="shared" si="2788"/>
        <v>09</v>
      </c>
      <c r="E7623" t="str">
        <f>"02 - A - 103 - Arthur  Kulawik"</f>
        <v>02 - A - 103 - Arthur  Kulawik</v>
      </c>
      <c r="F7623" t="str">
        <f>"NC STUDY HALL 1"</f>
        <v>NC STUDY HALL 1</v>
      </c>
      <c r="G7623" t="str">
        <f>"05-506"</f>
        <v>05-506</v>
      </c>
      <c r="H7623" t="str">
        <f>"A"</f>
        <v>A</v>
      </c>
    </row>
    <row r="7624" spans="1:8" x14ac:dyDescent="0.2">
      <c r="A7624" t="str">
        <f t="shared" si="2785"/>
        <v>0624077889</v>
      </c>
      <c r="B7624" t="str">
        <f t="shared" si="2786"/>
        <v>DYLAN</v>
      </c>
      <c r="C7624" t="str">
        <f t="shared" si="2787"/>
        <v>HOFFMANN</v>
      </c>
      <c r="D7624" t="str">
        <f t="shared" si="2788"/>
        <v>09</v>
      </c>
      <c r="E7624" t="str">
        <f>"07 - B - 107 - Brook E Goren"</f>
        <v>07 - B - 107 - Brook E Goren</v>
      </c>
      <c r="F7624" t="str">
        <f>"PRE-AICE MATH 2 IG"</f>
        <v>PRE-AICE MATH 2 IG</v>
      </c>
      <c r="G7624" t="str">
        <f>"21-2158"</f>
        <v>21-2158</v>
      </c>
      <c r="H7624" t="str">
        <f>"B"</f>
        <v>B</v>
      </c>
    </row>
    <row r="7625" spans="1:8" x14ac:dyDescent="0.2">
      <c r="A7625" t="str">
        <f t="shared" si="2785"/>
        <v>0624077889</v>
      </c>
      <c r="B7625" t="str">
        <f t="shared" si="2786"/>
        <v>DYLAN</v>
      </c>
      <c r="C7625" t="str">
        <f t="shared" si="2787"/>
        <v>HOFFMANN</v>
      </c>
      <c r="D7625" t="str">
        <f t="shared" si="2788"/>
        <v>09</v>
      </c>
      <c r="E7625" t="str">
        <f>"05 - B - 002 - Cheryl Anne  Berman-Schechter"</f>
        <v>05 - B - 002 - Cheryl Anne  Berman-Schechter</v>
      </c>
      <c r="F7625" t="str">
        <f>"AICE ENG GEN PAPER 1"</f>
        <v>AICE ENG GEN PAPER 1</v>
      </c>
      <c r="G7625" t="str">
        <f>"17-1722"</f>
        <v>17-1722</v>
      </c>
      <c r="H7625" t="str">
        <f>"B"</f>
        <v>B</v>
      </c>
    </row>
    <row r="7626" spans="1:8" x14ac:dyDescent="0.2">
      <c r="A7626" t="str">
        <f t="shared" si="2785"/>
        <v>0624077889</v>
      </c>
      <c r="B7626" t="str">
        <f t="shared" si="2786"/>
        <v>DYLAN</v>
      </c>
      <c r="C7626" t="str">
        <f t="shared" si="2787"/>
        <v>HOFFMANN</v>
      </c>
      <c r="D7626" t="str">
        <f t="shared" si="2788"/>
        <v>09</v>
      </c>
      <c r="E7626" t="str">
        <f>"01 - A - 101 - Vanessa J Liburd"</f>
        <v>01 - A - 101 - Vanessa J Liburd</v>
      </c>
      <c r="F7626" t="str">
        <f>"PRE-AICE FRENCH 1 IG"</f>
        <v>PRE-AICE FRENCH 1 IG</v>
      </c>
      <c r="G7626" t="str">
        <f>"05-519"</f>
        <v>05-519</v>
      </c>
      <c r="H7626" t="str">
        <f>"A"</f>
        <v>A</v>
      </c>
    </row>
    <row r="7627" spans="1:8" x14ac:dyDescent="0.2">
      <c r="A7627" t="str">
        <f t="shared" si="2785"/>
        <v>0624077889</v>
      </c>
      <c r="B7627" t="str">
        <f t="shared" si="2786"/>
        <v>DYLAN</v>
      </c>
      <c r="C7627" t="str">
        <f t="shared" si="2787"/>
        <v>HOFFMANN</v>
      </c>
      <c r="D7627" t="str">
        <f t="shared" si="2788"/>
        <v>09</v>
      </c>
      <c r="E7627" t="str">
        <f>"08 - B - 109 - Rory T Sponsler"</f>
        <v>08 - B - 109 - Rory T Sponsler</v>
      </c>
      <c r="F7627" t="str">
        <f>"PRE-AICE WRLD HST IG"</f>
        <v>PRE-AICE WRLD HST IG</v>
      </c>
      <c r="G7627" t="str">
        <f>"17-1740"</f>
        <v>17-1740</v>
      </c>
      <c r="H7627" t="str">
        <f>"B"</f>
        <v>B</v>
      </c>
    </row>
    <row r="7628" spans="1:8" x14ac:dyDescent="0.2">
      <c r="A7628" t="str">
        <f t="shared" ref="A7628:A7635" si="2789">"0618097692"</f>
        <v>0618097692</v>
      </c>
      <c r="B7628" t="str">
        <f t="shared" ref="B7628:B7635" si="2790">"ELLIS"</f>
        <v>ELLIS</v>
      </c>
      <c r="C7628" t="str">
        <f t="shared" ref="C7628:C7643" si="2791">"HOLLAND"</f>
        <v>HOLLAND</v>
      </c>
      <c r="D7628">
        <f>12</f>
        <v>12</v>
      </c>
      <c r="E7628" t="str">
        <f>"04 - A - 101 - Brian M Fitzgerald"</f>
        <v>04 - A - 101 - Brian M Fitzgerald</v>
      </c>
      <c r="F7628" t="str">
        <f>"AP 2-D ART &amp; DESIGN"</f>
        <v>AP 2-D ART &amp; DESIGN</v>
      </c>
      <c r="G7628" t="str">
        <f>"09-908"</f>
        <v>09-908</v>
      </c>
      <c r="H7628" t="str">
        <f>"A"</f>
        <v>A</v>
      </c>
    </row>
    <row r="7629" spans="1:8" x14ac:dyDescent="0.2">
      <c r="A7629" t="str">
        <f t="shared" si="2789"/>
        <v>0618097692</v>
      </c>
      <c r="B7629" t="str">
        <f t="shared" si="2790"/>
        <v>ELLIS</v>
      </c>
      <c r="C7629" t="str">
        <f t="shared" si="2791"/>
        <v>HOLLAND</v>
      </c>
      <c r="D7629">
        <f>12</f>
        <v>12</v>
      </c>
      <c r="E7629" t="str">
        <f>"06 - B - 109 - Carol S Moore"</f>
        <v>06 - B - 109 - Carol S Moore</v>
      </c>
      <c r="F7629" t="str">
        <f>"NC STUDY HALL 1"</f>
        <v>NC STUDY HALL 1</v>
      </c>
      <c r="G7629" t="str">
        <f>"17-1733"</f>
        <v>17-1733</v>
      </c>
      <c r="H7629" t="str">
        <f>"B"</f>
        <v>B</v>
      </c>
    </row>
    <row r="7630" spans="1:8" x14ac:dyDescent="0.2">
      <c r="A7630" t="str">
        <f t="shared" si="2789"/>
        <v>0618097692</v>
      </c>
      <c r="B7630" t="str">
        <f t="shared" si="2790"/>
        <v>ELLIS</v>
      </c>
      <c r="C7630" t="str">
        <f t="shared" si="2791"/>
        <v>HOLLAND</v>
      </c>
      <c r="D7630">
        <f>12</f>
        <v>12</v>
      </c>
      <c r="E7630" t="str">
        <f>"03 - A - 203 - Stefanie S Scher"</f>
        <v>03 - A - 203 - Stefanie S Scher</v>
      </c>
      <c r="F7630" t="str">
        <f>"AP PSYCH"</f>
        <v>AP PSYCH</v>
      </c>
      <c r="G7630" t="str">
        <f>"17-1735"</f>
        <v>17-1735</v>
      </c>
      <c r="H7630" t="str">
        <f>"A"</f>
        <v>A</v>
      </c>
    </row>
    <row r="7631" spans="1:8" x14ac:dyDescent="0.2">
      <c r="A7631" t="str">
        <f t="shared" si="2789"/>
        <v>0618097692</v>
      </c>
      <c r="B7631" t="str">
        <f t="shared" si="2790"/>
        <v>ELLIS</v>
      </c>
      <c r="C7631" t="str">
        <f t="shared" si="2791"/>
        <v>HOLLAND</v>
      </c>
      <c r="D7631">
        <f>12</f>
        <v>12</v>
      </c>
      <c r="E7631" t="str">
        <f>"02 - A - 201 - Jeanne M Bermudez"</f>
        <v>02 - A - 201 - Jeanne M Bermudez</v>
      </c>
      <c r="F7631" t="str">
        <f>"AP ENV SCI"</f>
        <v>AP ENV SCI</v>
      </c>
      <c r="G7631" t="str">
        <f>"21-2141"</f>
        <v>21-2141</v>
      </c>
      <c r="H7631" t="str">
        <f>"A"</f>
        <v>A</v>
      </c>
    </row>
    <row r="7632" spans="1:8" x14ac:dyDescent="0.2">
      <c r="A7632" t="str">
        <f t="shared" si="2789"/>
        <v>0618097692</v>
      </c>
      <c r="B7632" t="str">
        <f t="shared" si="2790"/>
        <v>ELLIS</v>
      </c>
      <c r="C7632" t="str">
        <f t="shared" si="2791"/>
        <v>HOLLAND</v>
      </c>
      <c r="D7632">
        <f>12</f>
        <v>12</v>
      </c>
      <c r="E7632" t="str">
        <f>"07 - B - 102 - Thomas G Handwerg"</f>
        <v>07 - B - 102 - Thomas G Handwerg</v>
      </c>
      <c r="F7632" t="str">
        <f>"PROB STAT W/APPS HON"</f>
        <v>PROB STAT W/APPS HON</v>
      </c>
      <c r="G7632" t="str">
        <f>"21-2146"</f>
        <v>21-2146</v>
      </c>
      <c r="H7632" t="str">
        <f>"B"</f>
        <v>B</v>
      </c>
    </row>
    <row r="7633" spans="1:8" x14ac:dyDescent="0.2">
      <c r="A7633" t="str">
        <f t="shared" si="2789"/>
        <v>0618097692</v>
      </c>
      <c r="B7633" t="str">
        <f t="shared" si="2790"/>
        <v>ELLIS</v>
      </c>
      <c r="C7633" t="str">
        <f t="shared" si="2791"/>
        <v>HOLLAND</v>
      </c>
      <c r="D7633">
        <f>12</f>
        <v>12</v>
      </c>
      <c r="E7633" t="str">
        <f>"05 - S1 - B - 102 - Barbara L Segal"</f>
        <v>05 - S1 - B - 102 - Barbara L Segal</v>
      </c>
      <c r="F7633" t="str">
        <f>"US GOVT HON"</f>
        <v>US GOVT HON</v>
      </c>
      <c r="G7633" t="str">
        <f>"17-1742"</f>
        <v>17-1742</v>
      </c>
      <c r="H7633" t="str">
        <f>"B"</f>
        <v>B</v>
      </c>
    </row>
    <row r="7634" spans="1:8" x14ac:dyDescent="0.2">
      <c r="A7634" t="str">
        <f t="shared" si="2789"/>
        <v>0618097692</v>
      </c>
      <c r="B7634" t="str">
        <f t="shared" si="2790"/>
        <v>ELLIS</v>
      </c>
      <c r="C7634" t="str">
        <f t="shared" si="2791"/>
        <v>HOLLAND</v>
      </c>
      <c r="D7634">
        <f>12</f>
        <v>12</v>
      </c>
      <c r="E7634" t="str">
        <f>"01 - A - 204 - Tina M Jaramillo"</f>
        <v>01 - A - 204 - Tina M Jaramillo</v>
      </c>
      <c r="F7634" t="str">
        <f>"AP ENG LIT COMPO"</f>
        <v>AP ENG LIT COMPO</v>
      </c>
      <c r="G7634" t="str">
        <f>"17-1706"</f>
        <v>17-1706</v>
      </c>
      <c r="H7634" t="str">
        <f>"A"</f>
        <v>A</v>
      </c>
    </row>
    <row r="7635" spans="1:8" x14ac:dyDescent="0.2">
      <c r="A7635" t="str">
        <f t="shared" si="2789"/>
        <v>0618097692</v>
      </c>
      <c r="B7635" t="str">
        <f t="shared" si="2790"/>
        <v>ELLIS</v>
      </c>
      <c r="C7635" t="str">
        <f t="shared" si="2791"/>
        <v>HOLLAND</v>
      </c>
      <c r="D7635">
        <f>12</f>
        <v>12</v>
      </c>
      <c r="E7635" t="str">
        <f>"08 - B - 103 - Joe  Kilpatrick Jr"</f>
        <v>08 - B - 103 - Joe  Kilpatrick Jr</v>
      </c>
      <c r="F7635" t="str">
        <f>"PRE-AICE SPAN 2 IG"</f>
        <v>PRE-AICE SPAN 2 IG</v>
      </c>
      <c r="G7635" t="str">
        <f>"09-912"</f>
        <v>09-912</v>
      </c>
      <c r="H7635" t="str">
        <f>"B"</f>
        <v>B</v>
      </c>
    </row>
    <row r="7636" spans="1:8" x14ac:dyDescent="0.2">
      <c r="A7636" t="str">
        <f t="shared" ref="A7636:A7643" si="2792">"0615052872"</f>
        <v>0615052872</v>
      </c>
      <c r="B7636" t="str">
        <f t="shared" ref="B7636:B7643" si="2793">"JAYDA"</f>
        <v>JAYDA</v>
      </c>
      <c r="C7636" t="str">
        <f t="shared" si="2791"/>
        <v>HOLLAND</v>
      </c>
      <c r="D7636">
        <f>10</f>
        <v>10</v>
      </c>
      <c r="E7636" t="str">
        <f>"04 - A - 104 - Laselleda D Shaw"</f>
        <v>04 - A - 104 - Laselleda D Shaw</v>
      </c>
      <c r="F7636" t="str">
        <f>"INTENS READ 2"</f>
        <v>INTENS READ 2</v>
      </c>
      <c r="G7636" t="str">
        <f>"17-1723"</f>
        <v>17-1723</v>
      </c>
      <c r="H7636" t="str">
        <f>"A"</f>
        <v>A</v>
      </c>
    </row>
    <row r="7637" spans="1:8" x14ac:dyDescent="0.2">
      <c r="A7637" t="str">
        <f t="shared" si="2792"/>
        <v>0615052872</v>
      </c>
      <c r="B7637" t="str">
        <f t="shared" si="2793"/>
        <v>JAYDA</v>
      </c>
      <c r="C7637" t="str">
        <f t="shared" si="2791"/>
        <v>HOLLAND</v>
      </c>
      <c r="D7637">
        <f>10</f>
        <v>10</v>
      </c>
      <c r="E7637" t="str">
        <f>"06 - B - 002 - Lenecy  Nodarse"</f>
        <v>06 - B - 002 - Lenecy  Nodarse</v>
      </c>
      <c r="F7637" t="str">
        <f>"NC STUDY HALL 1"</f>
        <v>NC STUDY HALL 1</v>
      </c>
      <c r="G7637" t="str">
        <f>"17-1741"</f>
        <v>17-1741</v>
      </c>
      <c r="H7637" t="str">
        <f>"B"</f>
        <v>B</v>
      </c>
    </row>
    <row r="7638" spans="1:8" x14ac:dyDescent="0.2">
      <c r="A7638" t="str">
        <f t="shared" si="2792"/>
        <v>0615052872</v>
      </c>
      <c r="B7638" t="str">
        <f t="shared" si="2793"/>
        <v>JAYDA</v>
      </c>
      <c r="C7638" t="str">
        <f t="shared" si="2791"/>
        <v>HOLLAND</v>
      </c>
      <c r="D7638">
        <f>10</f>
        <v>10</v>
      </c>
      <c r="E7638" t="str">
        <f>"03 - A - 103 - Jacquelyn M Neeson"</f>
        <v>03 - A - 103 - Jacquelyn M Neeson</v>
      </c>
      <c r="F7638" t="str">
        <f>"ENG 2"</f>
        <v>ENG 2</v>
      </c>
      <c r="G7638" t="str">
        <f>"17-1715"</f>
        <v>17-1715</v>
      </c>
      <c r="H7638" t="str">
        <f>"A"</f>
        <v>A</v>
      </c>
    </row>
    <row r="7639" spans="1:8" x14ac:dyDescent="0.2">
      <c r="A7639" t="str">
        <f t="shared" si="2792"/>
        <v>0615052872</v>
      </c>
      <c r="B7639" t="str">
        <f t="shared" si="2793"/>
        <v>JAYDA</v>
      </c>
      <c r="C7639" t="str">
        <f t="shared" si="2791"/>
        <v>HOLLAND</v>
      </c>
      <c r="D7639">
        <f>10</f>
        <v>10</v>
      </c>
      <c r="E7639" t="str">
        <f>"02 - A - 001 - Alejandro  Navarro"</f>
        <v>02 - A - 001 - Alejandro  Navarro</v>
      </c>
      <c r="F7639" t="str">
        <f>"BAND 1"</f>
        <v>BAND 1</v>
      </c>
      <c r="G7639" t="str">
        <f>"05-504"</f>
        <v>05-504</v>
      </c>
      <c r="H7639" t="str">
        <f>"A"</f>
        <v>A</v>
      </c>
    </row>
    <row r="7640" spans="1:8" x14ac:dyDescent="0.2">
      <c r="A7640" t="str">
        <f t="shared" si="2792"/>
        <v>0615052872</v>
      </c>
      <c r="B7640" t="str">
        <f t="shared" si="2793"/>
        <v>JAYDA</v>
      </c>
      <c r="C7640" t="str">
        <f t="shared" si="2791"/>
        <v>HOLLAND</v>
      </c>
      <c r="D7640">
        <f>10</f>
        <v>10</v>
      </c>
      <c r="E7640" t="str">
        <f>"07 - S1 - B - 103 - Leslie J Barton"</f>
        <v>07 - S1 - B - 103 - Leslie J Barton</v>
      </c>
      <c r="F7640" t="str">
        <f>"TEAM SPORTS 1"</f>
        <v>TEAM SPORTS 1</v>
      </c>
      <c r="G7640" t="str">
        <f>"04-254"</f>
        <v>04-254</v>
      </c>
      <c r="H7640" t="str">
        <f>"B"</f>
        <v>B</v>
      </c>
    </row>
    <row r="7641" spans="1:8" x14ac:dyDescent="0.2">
      <c r="A7641" t="str">
        <f t="shared" si="2792"/>
        <v>0615052872</v>
      </c>
      <c r="B7641" t="str">
        <f t="shared" si="2793"/>
        <v>JAYDA</v>
      </c>
      <c r="C7641" t="str">
        <f t="shared" si="2791"/>
        <v>HOLLAND</v>
      </c>
      <c r="D7641">
        <f>10</f>
        <v>10</v>
      </c>
      <c r="E7641" t="str">
        <f>"05 - S1 - B - 102 - Lissa C Frederique"</f>
        <v>05 - S1 - B - 102 - Lissa C Frederique</v>
      </c>
      <c r="F7641" t="str">
        <f>"PERS FIN &amp; MON MGT H"</f>
        <v>PERS FIN &amp; MON MGT H</v>
      </c>
      <c r="G7641" t="str">
        <f>"17-1754"</f>
        <v>17-1754</v>
      </c>
      <c r="H7641" t="str">
        <f>"B"</f>
        <v>B</v>
      </c>
    </row>
    <row r="7642" spans="1:8" x14ac:dyDescent="0.2">
      <c r="A7642" t="str">
        <f t="shared" si="2792"/>
        <v>0615052872</v>
      </c>
      <c r="B7642" t="str">
        <f t="shared" si="2793"/>
        <v>JAYDA</v>
      </c>
      <c r="C7642" t="str">
        <f t="shared" si="2791"/>
        <v>HOLLAND</v>
      </c>
      <c r="D7642">
        <f>10</f>
        <v>10</v>
      </c>
      <c r="E7642" t="str">
        <f>"01 - A - 104 - Milca  Exantus"</f>
        <v>01 - A - 104 - Milca  Exantus</v>
      </c>
      <c r="F7642" t="str">
        <f>"MATH COLLEGE LIB ART"</f>
        <v>MATH COLLEGE LIB ART</v>
      </c>
      <c r="G7642" t="str">
        <f>"21-2145"</f>
        <v>21-2145</v>
      </c>
      <c r="H7642" t="str">
        <f>"A"</f>
        <v>A</v>
      </c>
    </row>
    <row r="7643" spans="1:8" x14ac:dyDescent="0.2">
      <c r="A7643" t="str">
        <f t="shared" si="2792"/>
        <v>0615052872</v>
      </c>
      <c r="B7643" t="str">
        <f t="shared" si="2793"/>
        <v>JAYDA</v>
      </c>
      <c r="C7643" t="str">
        <f t="shared" si="2791"/>
        <v>HOLLAND</v>
      </c>
      <c r="D7643">
        <f>10</f>
        <v>10</v>
      </c>
      <c r="E7643" t="str">
        <f>"08 - B - 001 - Lytrell T Dixon"</f>
        <v>08 - B - 001 - Lytrell T Dixon</v>
      </c>
      <c r="F7643" t="str">
        <f>"BIOLOGY 1"</f>
        <v>BIOLOGY 1</v>
      </c>
      <c r="G7643" t="str">
        <f>"08-808"</f>
        <v>08-808</v>
      </c>
      <c r="H7643" t="str">
        <f>"B"</f>
        <v>B</v>
      </c>
    </row>
    <row r="7644" spans="1:8" x14ac:dyDescent="0.2">
      <c r="A7644" t="str">
        <f t="shared" ref="A7644:A7651" si="2794">"0615103017"</f>
        <v>0615103017</v>
      </c>
      <c r="B7644" t="str">
        <f t="shared" ref="B7644:B7651" si="2795">"AULANI"</f>
        <v>AULANI</v>
      </c>
      <c r="C7644" t="str">
        <f t="shared" ref="C7644:C7659" si="2796">"HOLLOWAY"</f>
        <v>HOLLOWAY</v>
      </c>
      <c r="D7644">
        <f>11</f>
        <v>11</v>
      </c>
      <c r="E7644" t="str">
        <f>"04 - A - 102 - Brandy N Zdenek"</f>
        <v>04 - A - 102 - Brandy N Zdenek</v>
      </c>
      <c r="F7644" t="str">
        <f>"AICE ENG LANG 2 AL"</f>
        <v>AICE ENG LANG 2 AL</v>
      </c>
      <c r="G7644" t="str">
        <f>"17-1704"</f>
        <v>17-1704</v>
      </c>
      <c r="H7644" t="str">
        <f>"A"</f>
        <v>A</v>
      </c>
    </row>
    <row r="7645" spans="1:8" x14ac:dyDescent="0.2">
      <c r="A7645" t="str">
        <f t="shared" si="2794"/>
        <v>0615103017</v>
      </c>
      <c r="B7645" t="str">
        <f t="shared" si="2795"/>
        <v>AULANI</v>
      </c>
      <c r="C7645" t="str">
        <f t="shared" si="2796"/>
        <v>HOLLOWAY</v>
      </c>
      <c r="D7645">
        <f>11</f>
        <v>11</v>
      </c>
      <c r="E7645" t="str">
        <f>"06 - B - 102 - Angela S Adeshina-Morrison"</f>
        <v>06 - B - 102 - Angela S Adeshina-Morrison</v>
      </c>
      <c r="F7645" t="str">
        <f>"MARKETING ESSENTIALS"</f>
        <v>MARKETING ESSENTIALS</v>
      </c>
      <c r="G7645" t="str">
        <f>"05-518"</f>
        <v>05-518</v>
      </c>
      <c r="H7645" t="str">
        <f>"B"</f>
        <v>B</v>
      </c>
    </row>
    <row r="7646" spans="1:8" x14ac:dyDescent="0.2">
      <c r="A7646" t="str">
        <f t="shared" si="2794"/>
        <v>0615103017</v>
      </c>
      <c r="B7646" t="str">
        <f t="shared" si="2795"/>
        <v>AULANI</v>
      </c>
      <c r="C7646" t="str">
        <f t="shared" si="2796"/>
        <v>HOLLOWAY</v>
      </c>
      <c r="D7646">
        <f>11</f>
        <v>11</v>
      </c>
      <c r="E7646" t="str">
        <f>"03 - S1 - A - 102 - Angela S Adeshina-Morrison"</f>
        <v>03 - S1 - A - 102 - Angela S Adeshina-Morrison</v>
      </c>
      <c r="F7646" t="str">
        <f>"PEER COUN 1"</f>
        <v>PEER COUN 1</v>
      </c>
      <c r="G7646" t="str">
        <f>"05-518"</f>
        <v>05-518</v>
      </c>
      <c r="H7646" t="str">
        <f>"A"</f>
        <v>A</v>
      </c>
    </row>
    <row r="7647" spans="1:8" x14ac:dyDescent="0.2">
      <c r="A7647" t="str">
        <f t="shared" si="2794"/>
        <v>0615103017</v>
      </c>
      <c r="B7647" t="str">
        <f t="shared" si="2795"/>
        <v>AULANI</v>
      </c>
      <c r="C7647" t="str">
        <f t="shared" si="2796"/>
        <v>HOLLOWAY</v>
      </c>
      <c r="D7647">
        <f>11</f>
        <v>11</v>
      </c>
      <c r="E7647" t="str">
        <f>"02 - A - 101 - Timothy J Lawrence"</f>
        <v>02 - A - 101 - Timothy J Lawrence</v>
      </c>
      <c r="F7647" t="str">
        <f>"NC STUDY HALL 1"</f>
        <v>NC STUDY HALL 1</v>
      </c>
      <c r="G7647" t="str">
        <f>"05-522"</f>
        <v>05-522</v>
      </c>
      <c r="H7647" t="str">
        <f>"A"</f>
        <v>A</v>
      </c>
    </row>
    <row r="7648" spans="1:8" x14ac:dyDescent="0.2">
      <c r="A7648" t="str">
        <f t="shared" si="2794"/>
        <v>0615103017</v>
      </c>
      <c r="B7648" t="str">
        <f t="shared" si="2795"/>
        <v>AULANI</v>
      </c>
      <c r="C7648" t="str">
        <f t="shared" si="2796"/>
        <v>HOLLOWAY</v>
      </c>
      <c r="D7648">
        <f>11</f>
        <v>11</v>
      </c>
      <c r="E7648" t="str">
        <f>"07 - B - 104 - Jerry S Jiampetti"</f>
        <v>07 - B - 104 - Jerry S Jiampetti</v>
      </c>
      <c r="F7648" t="str">
        <f>"AICE U.S. HIST 1 AS"</f>
        <v>AICE U.S. HIST 1 AS</v>
      </c>
      <c r="G7648" t="str">
        <f>"17-1751"</f>
        <v>17-1751</v>
      </c>
      <c r="H7648" t="str">
        <f>"B"</f>
        <v>B</v>
      </c>
    </row>
    <row r="7649" spans="1:8" x14ac:dyDescent="0.2">
      <c r="A7649" t="str">
        <f t="shared" si="2794"/>
        <v>0615103017</v>
      </c>
      <c r="B7649" t="str">
        <f t="shared" si="2795"/>
        <v>AULANI</v>
      </c>
      <c r="C7649" t="str">
        <f t="shared" si="2796"/>
        <v>HOLLOWAY</v>
      </c>
      <c r="D7649">
        <f>11</f>
        <v>11</v>
      </c>
      <c r="E7649" t="str">
        <f>"05 - B - 105 - Adam Marcus  Drucker"</f>
        <v>05 - B - 105 - Adam Marcus  Drucker</v>
      </c>
      <c r="F7649" t="str">
        <f>"HOPE-PE V"</f>
        <v>HOPE-PE V</v>
      </c>
      <c r="G7649" t="str">
        <f>"04-254"</f>
        <v>04-254</v>
      </c>
      <c r="H7649" t="str">
        <f>"B"</f>
        <v>B</v>
      </c>
    </row>
    <row r="7650" spans="1:8" x14ac:dyDescent="0.2">
      <c r="A7650" t="str">
        <f t="shared" si="2794"/>
        <v>0615103017</v>
      </c>
      <c r="B7650" t="str">
        <f t="shared" si="2795"/>
        <v>AULANI</v>
      </c>
      <c r="C7650" t="str">
        <f t="shared" si="2796"/>
        <v>HOLLOWAY</v>
      </c>
      <c r="D7650">
        <f>11</f>
        <v>11</v>
      </c>
      <c r="E7650" t="str">
        <f>"01 - A - 101 - Marielle A Witting"</f>
        <v>01 - A - 101 - Marielle A Witting</v>
      </c>
      <c r="F7650" t="str">
        <f>"AP BIO"</f>
        <v>AP BIO</v>
      </c>
      <c r="G7650" t="str">
        <f>"08-805"</f>
        <v>08-805</v>
      </c>
      <c r="H7650" t="str">
        <f>"A"</f>
        <v>A</v>
      </c>
    </row>
    <row r="7651" spans="1:8" x14ac:dyDescent="0.2">
      <c r="A7651" t="str">
        <f t="shared" si="2794"/>
        <v>0615103017</v>
      </c>
      <c r="B7651" t="str">
        <f t="shared" si="2795"/>
        <v>AULANI</v>
      </c>
      <c r="C7651" t="str">
        <f t="shared" si="2796"/>
        <v>HOLLOWAY</v>
      </c>
      <c r="D7651">
        <f>11</f>
        <v>11</v>
      </c>
      <c r="E7651" t="str">
        <f>"08 - B - 107 - Brook E Goren"</f>
        <v>08 - B - 107 - Brook E Goren</v>
      </c>
      <c r="F7651" t="str">
        <f>"GEOMETRY"</f>
        <v>GEOMETRY</v>
      </c>
      <c r="G7651" t="str">
        <f>"21-2158"</f>
        <v>21-2158</v>
      </c>
      <c r="H7651" t="str">
        <f>"B"</f>
        <v>B</v>
      </c>
    </row>
    <row r="7652" spans="1:8" x14ac:dyDescent="0.2">
      <c r="A7652" t="str">
        <f t="shared" ref="A7652:A7659" si="2797">"0614082183"</f>
        <v>0614082183</v>
      </c>
      <c r="B7652" t="str">
        <f t="shared" ref="B7652:B7659" si="2798">"DESTINY"</f>
        <v>DESTINY</v>
      </c>
      <c r="C7652" t="str">
        <f t="shared" si="2796"/>
        <v>HOLLOWAY</v>
      </c>
      <c r="D7652">
        <f>10</f>
        <v>10</v>
      </c>
      <c r="E7652" t="str">
        <f>"04 - A - 104 - Laselleda D Shaw"</f>
        <v>04 - A - 104 - Laselleda D Shaw</v>
      </c>
      <c r="F7652" t="str">
        <f>"INTENS READ 2"</f>
        <v>INTENS READ 2</v>
      </c>
      <c r="G7652" t="str">
        <f>"17-1723"</f>
        <v>17-1723</v>
      </c>
      <c r="H7652" t="str">
        <f>"A"</f>
        <v>A</v>
      </c>
    </row>
    <row r="7653" spans="1:8" x14ac:dyDescent="0.2">
      <c r="A7653" t="str">
        <f t="shared" si="2797"/>
        <v>0614082183</v>
      </c>
      <c r="B7653" t="str">
        <f t="shared" si="2798"/>
        <v>DESTINY</v>
      </c>
      <c r="C7653" t="str">
        <f t="shared" si="2796"/>
        <v>HOLLOWAY</v>
      </c>
      <c r="D7653">
        <f>10</f>
        <v>10</v>
      </c>
      <c r="E7653" t="str">
        <f>"06 - B - 116 - Jordana K Hass"</f>
        <v>06 - B - 116 - Jordana K Hass</v>
      </c>
      <c r="F7653" t="str">
        <f>"NC STUDY HALL 1"</f>
        <v>NC STUDY HALL 1</v>
      </c>
      <c r="G7653" t="str">
        <f>"08-807"</f>
        <v>08-807</v>
      </c>
      <c r="H7653" t="str">
        <f>"B"</f>
        <v>B</v>
      </c>
    </row>
    <row r="7654" spans="1:8" x14ac:dyDescent="0.2">
      <c r="A7654" t="str">
        <f t="shared" si="2797"/>
        <v>0614082183</v>
      </c>
      <c r="B7654" t="str">
        <f t="shared" si="2798"/>
        <v>DESTINY</v>
      </c>
      <c r="C7654" t="str">
        <f t="shared" si="2796"/>
        <v>HOLLOWAY</v>
      </c>
      <c r="D7654">
        <f>10</f>
        <v>10</v>
      </c>
      <c r="E7654" t="str">
        <f>"03 - A - 102 - Semra  Bahadir"</f>
        <v>03 - A - 102 - Semra  Bahadir</v>
      </c>
      <c r="F7654" t="str">
        <f>"ALGEBRA 2"</f>
        <v>ALGEBRA 2</v>
      </c>
      <c r="G7654" t="str">
        <f>"21-2107"</f>
        <v>21-2107</v>
      </c>
      <c r="H7654" t="str">
        <f>"A"</f>
        <v>A</v>
      </c>
    </row>
    <row r="7655" spans="1:8" x14ac:dyDescent="0.2">
      <c r="A7655" t="str">
        <f t="shared" si="2797"/>
        <v>0614082183</v>
      </c>
      <c r="B7655" t="str">
        <f t="shared" si="2798"/>
        <v>DESTINY</v>
      </c>
      <c r="C7655" t="str">
        <f t="shared" si="2796"/>
        <v>HOLLOWAY</v>
      </c>
      <c r="D7655">
        <f>10</f>
        <v>10</v>
      </c>
      <c r="E7655" t="str">
        <f>"02 - A - 102 - Nikiel  Nesbeth"</f>
        <v>02 - A - 102 - Nikiel  Nesbeth</v>
      </c>
      <c r="F7655" t="str">
        <f>"ENG 2"</f>
        <v>ENG 2</v>
      </c>
      <c r="G7655" t="str">
        <f>"17-1705"</f>
        <v>17-1705</v>
      </c>
      <c r="H7655" t="str">
        <f>"A"</f>
        <v>A</v>
      </c>
    </row>
    <row r="7656" spans="1:8" x14ac:dyDescent="0.2">
      <c r="A7656" t="str">
        <f t="shared" si="2797"/>
        <v>0614082183</v>
      </c>
      <c r="B7656" t="str">
        <f t="shared" si="2798"/>
        <v>DESTINY</v>
      </c>
      <c r="C7656" t="str">
        <f t="shared" si="2796"/>
        <v>HOLLOWAY</v>
      </c>
      <c r="D7656">
        <f>10</f>
        <v>10</v>
      </c>
      <c r="E7656" t="str">
        <f>"07 - B - 107 - Adam Marcus  Drucker"</f>
        <v>07 - B - 107 - Adam Marcus  Drucker</v>
      </c>
      <c r="F7656" t="str">
        <f>"HOPE-PE V"</f>
        <v>HOPE-PE V</v>
      </c>
      <c r="G7656" t="str">
        <f>"04-254"</f>
        <v>04-254</v>
      </c>
      <c r="H7656" t="str">
        <f>"B"</f>
        <v>B</v>
      </c>
    </row>
    <row r="7657" spans="1:8" x14ac:dyDescent="0.2">
      <c r="A7657" t="str">
        <f t="shared" si="2797"/>
        <v>0614082183</v>
      </c>
      <c r="B7657" t="str">
        <f t="shared" si="2798"/>
        <v>DESTINY</v>
      </c>
      <c r="C7657" t="str">
        <f t="shared" si="2796"/>
        <v>HOLLOWAY</v>
      </c>
      <c r="D7657">
        <f>10</f>
        <v>10</v>
      </c>
      <c r="E7657" t="str">
        <f>"05 - S1 - B - 102 - Lissa C Frederique"</f>
        <v>05 - S1 - B - 102 - Lissa C Frederique</v>
      </c>
      <c r="F7657" t="str">
        <f>"PERS FIN &amp; MON MGT H"</f>
        <v>PERS FIN &amp; MON MGT H</v>
      </c>
      <c r="G7657" t="str">
        <f>"17-1754"</f>
        <v>17-1754</v>
      </c>
      <c r="H7657" t="str">
        <f>"B"</f>
        <v>B</v>
      </c>
    </row>
    <row r="7658" spans="1:8" x14ac:dyDescent="0.2">
      <c r="A7658" t="str">
        <f t="shared" si="2797"/>
        <v>0614082183</v>
      </c>
      <c r="B7658" t="str">
        <f t="shared" si="2798"/>
        <v>DESTINY</v>
      </c>
      <c r="C7658" t="str">
        <f t="shared" si="2796"/>
        <v>HOLLOWAY</v>
      </c>
      <c r="D7658">
        <f>10</f>
        <v>10</v>
      </c>
      <c r="E7658" t="str">
        <f>"01 - A - 101 - Vanessa J Liburd"</f>
        <v>01 - A - 101 - Vanessa J Liburd</v>
      </c>
      <c r="F7658" t="str">
        <f>"PRE-AICE FRENCH 1 IG"</f>
        <v>PRE-AICE FRENCH 1 IG</v>
      </c>
      <c r="G7658" t="str">
        <f>"05-519"</f>
        <v>05-519</v>
      </c>
      <c r="H7658" t="str">
        <f>"A"</f>
        <v>A</v>
      </c>
    </row>
    <row r="7659" spans="1:8" x14ac:dyDescent="0.2">
      <c r="A7659" t="str">
        <f t="shared" si="2797"/>
        <v>0614082183</v>
      </c>
      <c r="B7659" t="str">
        <f t="shared" si="2798"/>
        <v>DESTINY</v>
      </c>
      <c r="C7659" t="str">
        <f t="shared" si="2796"/>
        <v>HOLLOWAY</v>
      </c>
      <c r="D7659">
        <f>10</f>
        <v>10</v>
      </c>
      <c r="E7659" t="str">
        <f>"08 - B - 001 - Lytrell T Dixon"</f>
        <v>08 - B - 001 - Lytrell T Dixon</v>
      </c>
      <c r="F7659" t="str">
        <f>"BIOLOGY 1"</f>
        <v>BIOLOGY 1</v>
      </c>
      <c r="G7659" t="str">
        <f>"08-808"</f>
        <v>08-808</v>
      </c>
      <c r="H7659" t="str">
        <f>"B"</f>
        <v>B</v>
      </c>
    </row>
    <row r="7660" spans="1:8" x14ac:dyDescent="0.2">
      <c r="A7660" t="str">
        <f t="shared" ref="A7660:A7667" si="2799">"0625030183"</f>
        <v>0625030183</v>
      </c>
      <c r="B7660" t="str">
        <f t="shared" ref="B7660:B7667" si="2800">"Demarie"</f>
        <v>Demarie</v>
      </c>
      <c r="C7660" t="str">
        <f t="shared" ref="C7660:C7667" si="2801">"Holmes"</f>
        <v>Holmes</v>
      </c>
      <c r="D7660">
        <f>11</f>
        <v>11</v>
      </c>
      <c r="E7660" t="str">
        <f>"04 - A - 103 - Daniel S Tyson"</f>
        <v>04 - A - 103 - Daniel S Tyson</v>
      </c>
      <c r="F7660" t="str">
        <f>"JROTC NAVAL SCI 1"</f>
        <v>JROTC NAVAL SCI 1</v>
      </c>
      <c r="G7660" t="str">
        <f>"05-510"</f>
        <v>05-510</v>
      </c>
      <c r="H7660" t="str">
        <f>"A"</f>
        <v>A</v>
      </c>
    </row>
    <row r="7661" spans="1:8" x14ac:dyDescent="0.2">
      <c r="A7661" t="str">
        <f t="shared" si="2799"/>
        <v>0625030183</v>
      </c>
      <c r="B7661" t="str">
        <f t="shared" si="2800"/>
        <v>Demarie</v>
      </c>
      <c r="C7661" t="str">
        <f t="shared" si="2801"/>
        <v>Holmes</v>
      </c>
      <c r="D7661">
        <f>11</f>
        <v>11</v>
      </c>
      <c r="E7661" t="str">
        <f>"06 - B - 001 - Samantha J Headley"</f>
        <v>06 - B - 001 - Samantha J Headley</v>
      </c>
      <c r="F7661" t="str">
        <f>"MARINE SCI 1 HON"</f>
        <v>MARINE SCI 1 HON</v>
      </c>
      <c r="G7661" t="str">
        <f>"21-2134"</f>
        <v>21-2134</v>
      </c>
      <c r="H7661" t="str">
        <f>"B"</f>
        <v>B</v>
      </c>
    </row>
    <row r="7662" spans="1:8" x14ac:dyDescent="0.2">
      <c r="A7662" t="str">
        <f t="shared" si="2799"/>
        <v>0625030183</v>
      </c>
      <c r="B7662" t="str">
        <f t="shared" si="2800"/>
        <v>Demarie</v>
      </c>
      <c r="C7662" t="str">
        <f t="shared" si="2801"/>
        <v>Holmes</v>
      </c>
      <c r="D7662">
        <f>11</f>
        <v>11</v>
      </c>
      <c r="E7662" t="str">
        <f>"03 - A - 102 - Lisa  Quinn"</f>
        <v>03 - A - 102 - Lisa  Quinn</v>
      </c>
      <c r="F7662" t="str">
        <f>"ENG 3"</f>
        <v>ENG 3</v>
      </c>
      <c r="G7662" t="str">
        <f>"17-1725"</f>
        <v>17-1725</v>
      </c>
      <c r="H7662" t="str">
        <f>"A"</f>
        <v>A</v>
      </c>
    </row>
    <row r="7663" spans="1:8" x14ac:dyDescent="0.2">
      <c r="A7663" t="str">
        <f t="shared" si="2799"/>
        <v>0625030183</v>
      </c>
      <c r="B7663" t="str">
        <f t="shared" si="2800"/>
        <v>Demarie</v>
      </c>
      <c r="C7663" t="str">
        <f t="shared" si="2801"/>
        <v>Holmes</v>
      </c>
      <c r="D7663">
        <f>11</f>
        <v>11</v>
      </c>
      <c r="E7663" t="str">
        <f>"02 - A - 117 - Kyle  Robbins"</f>
        <v>02 - A - 117 - Kyle  Robbins</v>
      </c>
      <c r="F7663" t="str">
        <f>"NC STUDY HALL 1"</f>
        <v>NC STUDY HALL 1</v>
      </c>
      <c r="G7663" t="str">
        <f>"17-1745"</f>
        <v>17-1745</v>
      </c>
      <c r="H7663" t="str">
        <f>"A"</f>
        <v>A</v>
      </c>
    </row>
    <row r="7664" spans="1:8" x14ac:dyDescent="0.2">
      <c r="A7664" t="str">
        <f t="shared" si="2799"/>
        <v>0625030183</v>
      </c>
      <c r="B7664" t="str">
        <f t="shared" si="2800"/>
        <v>Demarie</v>
      </c>
      <c r="C7664" t="str">
        <f t="shared" si="2801"/>
        <v>Holmes</v>
      </c>
      <c r="D7664">
        <f>11</f>
        <v>11</v>
      </c>
      <c r="E7664" t="str">
        <f>"07 - B - 108 - Lauren N Logan"</f>
        <v>07 - B - 108 - Lauren N Logan</v>
      </c>
      <c r="F7664" t="str">
        <f>"US HISTORY"</f>
        <v>US HISTORY</v>
      </c>
      <c r="G7664" t="str">
        <f>"17-1745"</f>
        <v>17-1745</v>
      </c>
      <c r="H7664" t="str">
        <f>"B"</f>
        <v>B</v>
      </c>
    </row>
    <row r="7665" spans="1:8" x14ac:dyDescent="0.2">
      <c r="A7665" t="str">
        <f t="shared" si="2799"/>
        <v>0625030183</v>
      </c>
      <c r="B7665" t="str">
        <f t="shared" si="2800"/>
        <v>Demarie</v>
      </c>
      <c r="C7665" t="str">
        <f t="shared" si="2801"/>
        <v>Holmes</v>
      </c>
      <c r="D7665">
        <f>11</f>
        <v>11</v>
      </c>
      <c r="E7665" t="str">
        <f>"05 - B - 106 - Fernando  Vega-Cid"</f>
        <v>05 - B - 106 - Fernando  Vega-Cid</v>
      </c>
      <c r="F7665" t="str">
        <f>"GEOMETRY"</f>
        <v>GEOMETRY</v>
      </c>
      <c r="G7665" t="str">
        <f>"21-2163"</f>
        <v>21-2163</v>
      </c>
      <c r="H7665" t="str">
        <f>"B"</f>
        <v>B</v>
      </c>
    </row>
    <row r="7666" spans="1:8" x14ac:dyDescent="0.2">
      <c r="A7666" t="str">
        <f t="shared" si="2799"/>
        <v>0625030183</v>
      </c>
      <c r="B7666" t="str">
        <f t="shared" si="2800"/>
        <v>Demarie</v>
      </c>
      <c r="C7666" t="str">
        <f t="shared" si="2801"/>
        <v>Holmes</v>
      </c>
      <c r="D7666">
        <f>11</f>
        <v>11</v>
      </c>
      <c r="E7666" t="str">
        <f>"01 - A - 101 - Nahum  Saint-Preux"</f>
        <v>01 - A - 101 - Nahum  Saint-Preux</v>
      </c>
      <c r="F7666" t="str">
        <f>"INTENS READ 3"</f>
        <v>INTENS READ 3</v>
      </c>
      <c r="G7666" t="str">
        <f>"17-1712"</f>
        <v>17-1712</v>
      </c>
      <c r="H7666" t="str">
        <f>"A"</f>
        <v>A</v>
      </c>
    </row>
    <row r="7667" spans="1:8" x14ac:dyDescent="0.2">
      <c r="A7667" t="str">
        <f t="shared" si="2799"/>
        <v>0625030183</v>
      </c>
      <c r="B7667" t="str">
        <f t="shared" si="2800"/>
        <v>Demarie</v>
      </c>
      <c r="C7667" t="str">
        <f t="shared" si="2801"/>
        <v>Holmes</v>
      </c>
      <c r="D7667">
        <f>11</f>
        <v>11</v>
      </c>
      <c r="E7667" t="str">
        <f>"08 - B - 103 - Jeanne M Bermudez"</f>
        <v>08 - B - 103 - Jeanne M Bermudez</v>
      </c>
      <c r="F7667" t="str">
        <f>"ADVANCED IT HON"</f>
        <v>ADVANCED IT HON</v>
      </c>
      <c r="G7667" t="str">
        <f>"21-2141"</f>
        <v>21-2141</v>
      </c>
      <c r="H7667" t="str">
        <f>"B"</f>
        <v>B</v>
      </c>
    </row>
    <row r="7668" spans="1:8" x14ac:dyDescent="0.2">
      <c r="A7668" t="str">
        <f t="shared" ref="A7668:A7675" si="2802">"0613109383"</f>
        <v>0613109383</v>
      </c>
      <c r="B7668" t="str">
        <f t="shared" ref="B7668:B7675" si="2803">"MELA"</f>
        <v>MELA</v>
      </c>
      <c r="C7668" t="str">
        <f t="shared" ref="C7668:C7675" si="2804">"HOLTON"</f>
        <v>HOLTON</v>
      </c>
      <c r="D7668">
        <f>12</f>
        <v>12</v>
      </c>
      <c r="E7668" t="str">
        <f>"04 - A - 104 - Norayda D Suarez"</f>
        <v>04 - A - 104 - Norayda D Suarez</v>
      </c>
      <c r="F7668" t="str">
        <f>"RESEARCH 1 LH"</f>
        <v>RESEARCH 1 LH</v>
      </c>
      <c r="G7668">
        <f>2041</f>
        <v>2041</v>
      </c>
      <c r="H7668" t="str">
        <f>"A"</f>
        <v>A</v>
      </c>
    </row>
    <row r="7669" spans="1:8" x14ac:dyDescent="0.2">
      <c r="A7669" t="str">
        <f t="shared" si="2802"/>
        <v>0613109383</v>
      </c>
      <c r="B7669" t="str">
        <f t="shared" si="2803"/>
        <v>MELA</v>
      </c>
      <c r="C7669" t="str">
        <f t="shared" si="2804"/>
        <v>HOLTON</v>
      </c>
      <c r="D7669">
        <f>12</f>
        <v>12</v>
      </c>
      <c r="E7669" t="str">
        <f>"06 - B - 111 - James H Mccann"</f>
        <v>06 - B - 111 - James H Mccann</v>
      </c>
      <c r="F7669" t="str">
        <f>"NC STUDY HALL 1"</f>
        <v>NC STUDY HALL 1</v>
      </c>
      <c r="G7669" t="str">
        <f>"17-1716"</f>
        <v>17-1716</v>
      </c>
      <c r="H7669" t="str">
        <f>"B"</f>
        <v>B</v>
      </c>
    </row>
    <row r="7670" spans="1:8" x14ac:dyDescent="0.2">
      <c r="A7670" t="str">
        <f t="shared" si="2802"/>
        <v>0613109383</v>
      </c>
      <c r="B7670" t="str">
        <f t="shared" si="2803"/>
        <v>MELA</v>
      </c>
      <c r="C7670" t="str">
        <f t="shared" si="2804"/>
        <v>HOLTON</v>
      </c>
      <c r="D7670">
        <f>12</f>
        <v>12</v>
      </c>
      <c r="E7670" t="str">
        <f>"03 - A - 101 - Lisa J London"</f>
        <v>03 - A - 101 - Lisa J London</v>
      </c>
      <c r="F7670" t="str">
        <f>"AP CAPSTONE RESEARCH"</f>
        <v>AP CAPSTONE RESEARCH</v>
      </c>
      <c r="G7670" t="str">
        <f>"17-1714"</f>
        <v>17-1714</v>
      </c>
      <c r="H7670" t="str">
        <f>"A"</f>
        <v>A</v>
      </c>
    </row>
    <row r="7671" spans="1:8" x14ac:dyDescent="0.2">
      <c r="A7671" t="str">
        <f t="shared" si="2802"/>
        <v>0613109383</v>
      </c>
      <c r="B7671" t="str">
        <f t="shared" si="2803"/>
        <v>MELA</v>
      </c>
      <c r="C7671" t="str">
        <f t="shared" si="2804"/>
        <v>HOLTON</v>
      </c>
      <c r="D7671">
        <f>12</f>
        <v>12</v>
      </c>
      <c r="E7671" t="str">
        <f>"02 - A - 102 - Marielle A Witting"</f>
        <v>02 - A - 102 - Marielle A Witting</v>
      </c>
      <c r="F7671" t="str">
        <f>"AP BIO"</f>
        <v>AP BIO</v>
      </c>
      <c r="G7671" t="str">
        <f>"08-805"</f>
        <v>08-805</v>
      </c>
      <c r="H7671" t="str">
        <f>"A"</f>
        <v>A</v>
      </c>
    </row>
    <row r="7672" spans="1:8" x14ac:dyDescent="0.2">
      <c r="A7672" t="str">
        <f t="shared" si="2802"/>
        <v>0613109383</v>
      </c>
      <c r="B7672" t="str">
        <f t="shared" si="2803"/>
        <v>MELA</v>
      </c>
      <c r="C7672" t="str">
        <f t="shared" si="2804"/>
        <v>HOLTON</v>
      </c>
      <c r="D7672">
        <f>12</f>
        <v>12</v>
      </c>
      <c r="E7672" t="str">
        <f>"07 - B - 102 - Carleigh R Carmichael"</f>
        <v>07 - B - 102 - Carleigh R Carmichael</v>
      </c>
      <c r="F7672" t="str">
        <f>"LEAD SKLS DEV LH"</f>
        <v>LEAD SKLS DEV LH</v>
      </c>
      <c r="G7672" t="str">
        <f>"20-2072"</f>
        <v>20-2072</v>
      </c>
      <c r="H7672" t="str">
        <f>"B"</f>
        <v>B</v>
      </c>
    </row>
    <row r="7673" spans="1:8" x14ac:dyDescent="0.2">
      <c r="A7673" t="str">
        <f t="shared" si="2802"/>
        <v>0613109383</v>
      </c>
      <c r="B7673" t="str">
        <f t="shared" si="2803"/>
        <v>MELA</v>
      </c>
      <c r="C7673" t="str">
        <f t="shared" si="2804"/>
        <v>HOLTON</v>
      </c>
      <c r="D7673">
        <f>12</f>
        <v>12</v>
      </c>
      <c r="E7673" t="str">
        <f>"05 - S1 - B - 103 - Stephen T Ripp"</f>
        <v>05 - S1 - B - 103 - Stephen T Ripp</v>
      </c>
      <c r="F7673" t="str">
        <f>"AP US GOVT/POL"</f>
        <v>AP US GOVT/POL</v>
      </c>
      <c r="G7673" t="str">
        <f>"17-1744"</f>
        <v>17-1744</v>
      </c>
      <c r="H7673" t="str">
        <f>"B"</f>
        <v>B</v>
      </c>
    </row>
    <row r="7674" spans="1:8" x14ac:dyDescent="0.2">
      <c r="A7674" t="str">
        <f t="shared" si="2802"/>
        <v>0613109383</v>
      </c>
      <c r="B7674" t="str">
        <f t="shared" si="2803"/>
        <v>MELA</v>
      </c>
      <c r="C7674" t="str">
        <f t="shared" si="2804"/>
        <v>HOLTON</v>
      </c>
      <c r="D7674">
        <f>12</f>
        <v>12</v>
      </c>
      <c r="E7674" t="str">
        <f>"01 - A - 204 - Tina M Jaramillo"</f>
        <v>01 - A - 204 - Tina M Jaramillo</v>
      </c>
      <c r="F7674" t="str">
        <f>"AP ENG LIT COMPO"</f>
        <v>AP ENG LIT COMPO</v>
      </c>
      <c r="G7674" t="str">
        <f>"17-1706"</f>
        <v>17-1706</v>
      </c>
      <c r="H7674" t="str">
        <f>"A"</f>
        <v>A</v>
      </c>
    </row>
    <row r="7675" spans="1:8" x14ac:dyDescent="0.2">
      <c r="A7675" t="str">
        <f t="shared" si="2802"/>
        <v>0613109383</v>
      </c>
      <c r="B7675" t="str">
        <f t="shared" si="2803"/>
        <v>MELA</v>
      </c>
      <c r="C7675" t="str">
        <f t="shared" si="2804"/>
        <v>HOLTON</v>
      </c>
      <c r="D7675">
        <f>12</f>
        <v>12</v>
      </c>
      <c r="E7675" t="str">
        <f>"08 - B - 102 - Pamela M Corzo"</f>
        <v>08 - B - 102 - Pamela M Corzo</v>
      </c>
      <c r="F7675" t="str">
        <f>"AP STAT"</f>
        <v>AP STAT</v>
      </c>
      <c r="G7675" t="str">
        <f>"21-2133"</f>
        <v>21-2133</v>
      </c>
      <c r="H7675" t="str">
        <f>"B"</f>
        <v>B</v>
      </c>
    </row>
    <row r="7676" spans="1:8" x14ac:dyDescent="0.2">
      <c r="A7676" t="str">
        <f t="shared" ref="A7676:A7683" si="2805">"0617061357"</f>
        <v>0617061357</v>
      </c>
      <c r="B7676" t="str">
        <f t="shared" ref="B7676:B7683" si="2806">"MAKSYM"</f>
        <v>MAKSYM</v>
      </c>
      <c r="C7676" t="str">
        <f t="shared" ref="C7676:C7683" si="2807">"HONTA"</f>
        <v>HONTA</v>
      </c>
      <c r="D7676">
        <f>10</f>
        <v>10</v>
      </c>
      <c r="E7676" t="str">
        <f>"04 - A - 104 - Courtney E Hambright"</f>
        <v>04 - A - 104 - Courtney E Hambright</v>
      </c>
      <c r="F7676" t="str">
        <f>"AICE ENG LANG AS"</f>
        <v>AICE ENG LANG AS</v>
      </c>
      <c r="G7676" t="str">
        <f>"17-1711"</f>
        <v>17-1711</v>
      </c>
      <c r="H7676" t="str">
        <f>"A"</f>
        <v>A</v>
      </c>
    </row>
    <row r="7677" spans="1:8" x14ac:dyDescent="0.2">
      <c r="A7677" t="str">
        <f t="shared" si="2805"/>
        <v>0617061357</v>
      </c>
      <c r="B7677" t="str">
        <f t="shared" si="2806"/>
        <v>MAKSYM</v>
      </c>
      <c r="C7677" t="str">
        <f t="shared" si="2807"/>
        <v>HONTA</v>
      </c>
      <c r="D7677">
        <f>10</f>
        <v>10</v>
      </c>
      <c r="E7677" t="str">
        <f>"06 - B - 103 - Thomas G Handwerg"</f>
        <v>06 - B - 103 - Thomas G Handwerg</v>
      </c>
      <c r="F7677" t="str">
        <f>"NC STUDY HALL 1"</f>
        <v>NC STUDY HALL 1</v>
      </c>
      <c r="G7677" t="str">
        <f>"21-2146"</f>
        <v>21-2146</v>
      </c>
      <c r="H7677" t="str">
        <f>"B"</f>
        <v>B</v>
      </c>
    </row>
    <row r="7678" spans="1:8" x14ac:dyDescent="0.2">
      <c r="A7678" t="str">
        <f t="shared" si="2805"/>
        <v>0617061357</v>
      </c>
      <c r="B7678" t="str">
        <f t="shared" si="2806"/>
        <v>MAKSYM</v>
      </c>
      <c r="C7678" t="str">
        <f t="shared" si="2807"/>
        <v>HONTA</v>
      </c>
      <c r="D7678">
        <f>10</f>
        <v>10</v>
      </c>
      <c r="E7678" t="str">
        <f>"03 - A - 101 - Timothy J Lawrence"</f>
        <v>03 - A - 101 - Timothy J Lawrence</v>
      </c>
      <c r="F7678" t="str">
        <f>"AICE PHYS ED 1 AS"</f>
        <v>AICE PHYS ED 1 AS</v>
      </c>
      <c r="G7678" t="str">
        <f>"05-519"</f>
        <v>05-519</v>
      </c>
      <c r="H7678" t="str">
        <f>"A"</f>
        <v>A</v>
      </c>
    </row>
    <row r="7679" spans="1:8" x14ac:dyDescent="0.2">
      <c r="A7679" t="str">
        <f t="shared" si="2805"/>
        <v>0617061357</v>
      </c>
      <c r="B7679" t="str">
        <f t="shared" si="2806"/>
        <v>MAKSYM</v>
      </c>
      <c r="C7679" t="str">
        <f t="shared" si="2807"/>
        <v>HONTA</v>
      </c>
      <c r="D7679">
        <f>10</f>
        <v>10</v>
      </c>
      <c r="E7679" t="str">
        <f>"02 - A - 102 - Chrystina M Marchionne"</f>
        <v>02 - A - 102 - Chrystina M Marchionne</v>
      </c>
      <c r="F7679" t="str">
        <f>"AICE MEDIASTUDIES AS"</f>
        <v>AICE MEDIASTUDIES AS</v>
      </c>
      <c r="G7679" t="str">
        <f>"05-520"</f>
        <v>05-520</v>
      </c>
      <c r="H7679" t="str">
        <f>"A"</f>
        <v>A</v>
      </c>
    </row>
    <row r="7680" spans="1:8" x14ac:dyDescent="0.2">
      <c r="A7680" t="str">
        <f t="shared" si="2805"/>
        <v>0617061357</v>
      </c>
      <c r="B7680" t="str">
        <f t="shared" si="2806"/>
        <v>MAKSYM</v>
      </c>
      <c r="C7680" t="str">
        <f t="shared" si="2807"/>
        <v>HONTA</v>
      </c>
      <c r="D7680">
        <f>10</f>
        <v>10</v>
      </c>
      <c r="E7680" t="str">
        <f>"07 - B - 101 - Fernando  Vega-Cid"</f>
        <v>07 - B - 101 - Fernando  Vega-Cid</v>
      </c>
      <c r="F7680" t="str">
        <f>"AP PRECALCULUS"</f>
        <v>AP PRECALCULUS</v>
      </c>
      <c r="G7680" t="str">
        <f>"21-2163"</f>
        <v>21-2163</v>
      </c>
      <c r="H7680" t="str">
        <f>"B"</f>
        <v>B</v>
      </c>
    </row>
    <row r="7681" spans="1:8" x14ac:dyDescent="0.2">
      <c r="A7681" t="str">
        <f t="shared" si="2805"/>
        <v>0617061357</v>
      </c>
      <c r="B7681" t="str">
        <f t="shared" si="2806"/>
        <v>MAKSYM</v>
      </c>
      <c r="C7681" t="str">
        <f t="shared" si="2807"/>
        <v>HONTA</v>
      </c>
      <c r="D7681">
        <f>10</f>
        <v>10</v>
      </c>
      <c r="E7681" t="str">
        <f>"05 - B - 205 - Rosa Elaine  Collado-Duff"</f>
        <v>05 - B - 205 - Rosa Elaine  Collado-Duff</v>
      </c>
      <c r="F7681" t="str">
        <f>"PRE-AICE SPAN 2 IG"</f>
        <v>PRE-AICE SPAN 2 IG</v>
      </c>
      <c r="G7681" t="str">
        <f>"09-913"</f>
        <v>09-913</v>
      </c>
      <c r="H7681" t="str">
        <f>"B"</f>
        <v>B</v>
      </c>
    </row>
    <row r="7682" spans="1:8" x14ac:dyDescent="0.2">
      <c r="A7682" t="str">
        <f t="shared" si="2805"/>
        <v>0617061357</v>
      </c>
      <c r="B7682" t="str">
        <f t="shared" si="2806"/>
        <v>MAKSYM</v>
      </c>
      <c r="C7682" t="str">
        <f t="shared" si="2807"/>
        <v>HONTA</v>
      </c>
      <c r="D7682">
        <f>10</f>
        <v>10</v>
      </c>
      <c r="E7682" t="str">
        <f>"01 - A - 107 - Valerie J Ruwe"</f>
        <v>01 - A - 107 - Valerie J Ruwe</v>
      </c>
      <c r="F7682" t="str">
        <f>"CHEMISTRY 1 HON"</f>
        <v>CHEMISTRY 1 HON</v>
      </c>
      <c r="G7682" t="str">
        <f>"21-2134"</f>
        <v>21-2134</v>
      </c>
      <c r="H7682" t="str">
        <f>"A"</f>
        <v>A</v>
      </c>
    </row>
    <row r="7683" spans="1:8" x14ac:dyDescent="0.2">
      <c r="A7683" t="str">
        <f t="shared" si="2805"/>
        <v>0617061357</v>
      </c>
      <c r="B7683" t="str">
        <f t="shared" si="2806"/>
        <v>MAKSYM</v>
      </c>
      <c r="C7683" t="str">
        <f t="shared" si="2807"/>
        <v>HONTA</v>
      </c>
      <c r="D7683">
        <f>10</f>
        <v>10</v>
      </c>
      <c r="E7683" t="str">
        <f>"08 - B - 201 - Lenecy  Nodarse"</f>
        <v>08 - B - 201 - Lenecy  Nodarse</v>
      </c>
      <c r="F7683" t="str">
        <f>"AICE EURO HIST 1 AS"</f>
        <v>AICE EURO HIST 1 AS</v>
      </c>
      <c r="G7683" t="str">
        <f>"17-1741"</f>
        <v>17-1741</v>
      </c>
      <c r="H7683" t="str">
        <f>"B"</f>
        <v>B</v>
      </c>
    </row>
    <row r="7684" spans="1:8" x14ac:dyDescent="0.2">
      <c r="A7684" t="str">
        <f t="shared" ref="A7684:A7691" si="2808">"0616074943"</f>
        <v>0616074943</v>
      </c>
      <c r="B7684" t="str">
        <f t="shared" ref="B7684:B7691" si="2809">"VINTRELL"</f>
        <v>VINTRELL</v>
      </c>
      <c r="C7684" t="str">
        <f t="shared" ref="C7684:C7691" si="2810">"HOOKS"</f>
        <v>HOOKS</v>
      </c>
      <c r="D7684">
        <f>10</f>
        <v>10</v>
      </c>
      <c r="E7684" t="str">
        <f>"04 - A - 104 - Adam Marcus  Drucker"</f>
        <v>04 - A - 104 - Adam Marcus  Drucker</v>
      </c>
      <c r="F7684" t="str">
        <f>"HOPE-PE V"</f>
        <v>HOPE-PE V</v>
      </c>
      <c r="G7684" t="str">
        <f>"04-254"</f>
        <v>04-254</v>
      </c>
      <c r="H7684" t="str">
        <f>"A"</f>
        <v>A</v>
      </c>
    </row>
    <row r="7685" spans="1:8" x14ac:dyDescent="0.2">
      <c r="A7685" t="str">
        <f t="shared" si="2808"/>
        <v>0616074943</v>
      </c>
      <c r="B7685" t="str">
        <f t="shared" si="2809"/>
        <v>VINTRELL</v>
      </c>
      <c r="C7685" t="str">
        <f t="shared" si="2810"/>
        <v>HOOKS</v>
      </c>
      <c r="D7685">
        <f>10</f>
        <v>10</v>
      </c>
      <c r="E7685" t="str">
        <f>"06 - B - 003 - Emmily A Sarmiento"</f>
        <v>06 - B - 003 - Emmily A Sarmiento</v>
      </c>
      <c r="F7685" t="str">
        <f>"NC STUDY HALL 1"</f>
        <v>NC STUDY HALL 1</v>
      </c>
      <c r="G7685" t="str">
        <f>"17-1743"</f>
        <v>17-1743</v>
      </c>
      <c r="H7685" t="str">
        <f>"B"</f>
        <v>B</v>
      </c>
    </row>
    <row r="7686" spans="1:8" x14ac:dyDescent="0.2">
      <c r="A7686" t="str">
        <f t="shared" si="2808"/>
        <v>0616074943</v>
      </c>
      <c r="B7686" t="str">
        <f t="shared" si="2809"/>
        <v>VINTRELL</v>
      </c>
      <c r="C7686" t="str">
        <f t="shared" si="2810"/>
        <v>HOOKS</v>
      </c>
      <c r="D7686">
        <f>10</f>
        <v>10</v>
      </c>
      <c r="E7686" t="str">
        <f>"03 - A - 204 - Lytrell T Dixon"</f>
        <v>03 - A - 204 - Lytrell T Dixon</v>
      </c>
      <c r="F7686" t="str">
        <f>"BIOLOGY 1"</f>
        <v>BIOLOGY 1</v>
      </c>
      <c r="G7686" t="str">
        <f>"08-808"</f>
        <v>08-808</v>
      </c>
      <c r="H7686" t="str">
        <f>"A"</f>
        <v>A</v>
      </c>
    </row>
    <row r="7687" spans="1:8" x14ac:dyDescent="0.2">
      <c r="A7687" t="str">
        <f t="shared" si="2808"/>
        <v>0616074943</v>
      </c>
      <c r="B7687" t="str">
        <f t="shared" si="2809"/>
        <v>VINTRELL</v>
      </c>
      <c r="C7687" t="str">
        <f t="shared" si="2810"/>
        <v>HOOKS</v>
      </c>
      <c r="D7687">
        <f>10</f>
        <v>10</v>
      </c>
      <c r="E7687" t="str">
        <f>"02 - A - 101 - Brian M Fitzgerald"</f>
        <v>02 - A - 101 - Brian M Fitzgerald</v>
      </c>
      <c r="F7687" t="str">
        <f>"DRAW 1"</f>
        <v>DRAW 1</v>
      </c>
      <c r="G7687" t="str">
        <f>"09-908"</f>
        <v>09-908</v>
      </c>
      <c r="H7687" t="str">
        <f>"A"</f>
        <v>A</v>
      </c>
    </row>
    <row r="7688" spans="1:8" x14ac:dyDescent="0.2">
      <c r="A7688" t="str">
        <f t="shared" si="2808"/>
        <v>0616074943</v>
      </c>
      <c r="B7688" t="str">
        <f t="shared" si="2809"/>
        <v>VINTRELL</v>
      </c>
      <c r="C7688" t="str">
        <f t="shared" si="2810"/>
        <v>HOOKS</v>
      </c>
      <c r="D7688">
        <f>10</f>
        <v>10</v>
      </c>
      <c r="E7688" t="str">
        <f>"07 - S1 - B - 102 - Arthur  Kulawik"</f>
        <v>07 - S1 - B - 102 - Arthur  Kulawik</v>
      </c>
      <c r="F7688" t="str">
        <f>"PERS FIN &amp; MON MGT H"</f>
        <v>PERS FIN &amp; MON MGT H</v>
      </c>
      <c r="G7688" t="str">
        <f>"05-506"</f>
        <v>05-506</v>
      </c>
      <c r="H7688" t="str">
        <f>"B"</f>
        <v>B</v>
      </c>
    </row>
    <row r="7689" spans="1:8" x14ac:dyDescent="0.2">
      <c r="A7689" t="str">
        <f t="shared" si="2808"/>
        <v>0616074943</v>
      </c>
      <c r="B7689" t="str">
        <f t="shared" si="2809"/>
        <v>VINTRELL</v>
      </c>
      <c r="C7689" t="str">
        <f t="shared" si="2810"/>
        <v>HOOKS</v>
      </c>
      <c r="D7689">
        <f>10</f>
        <v>10</v>
      </c>
      <c r="E7689" t="str">
        <f>"05 - B - 105 - Taraneh C Abreu"</f>
        <v>05 - B - 105 - Taraneh C Abreu</v>
      </c>
      <c r="F7689" t="str">
        <f>"INTENS READ 2"</f>
        <v>INTENS READ 2</v>
      </c>
      <c r="G7689" t="str">
        <f>"17-1713"</f>
        <v>17-1713</v>
      </c>
      <c r="H7689" t="str">
        <f>"B"</f>
        <v>B</v>
      </c>
    </row>
    <row r="7690" spans="1:8" x14ac:dyDescent="0.2">
      <c r="A7690" t="str">
        <f t="shared" si="2808"/>
        <v>0616074943</v>
      </c>
      <c r="B7690" t="str">
        <f t="shared" si="2809"/>
        <v>VINTRELL</v>
      </c>
      <c r="C7690" t="str">
        <f t="shared" si="2810"/>
        <v>HOOKS</v>
      </c>
      <c r="D7690">
        <f>10</f>
        <v>10</v>
      </c>
      <c r="E7690" t="str">
        <f>"01 - A - 104 - Milca  Exantus"</f>
        <v>01 - A - 104 - Milca  Exantus</v>
      </c>
      <c r="F7690" t="str">
        <f>"MATH COLLEGE LIB ART"</f>
        <v>MATH COLLEGE LIB ART</v>
      </c>
      <c r="G7690" t="str">
        <f>"21-2145"</f>
        <v>21-2145</v>
      </c>
      <c r="H7690" t="str">
        <f>"A"</f>
        <v>A</v>
      </c>
    </row>
    <row r="7691" spans="1:8" x14ac:dyDescent="0.2">
      <c r="A7691" t="str">
        <f t="shared" si="2808"/>
        <v>0616074943</v>
      </c>
      <c r="B7691" t="str">
        <f t="shared" si="2809"/>
        <v>VINTRELL</v>
      </c>
      <c r="C7691" t="str">
        <f t="shared" si="2810"/>
        <v>HOOKS</v>
      </c>
      <c r="D7691">
        <f>10</f>
        <v>10</v>
      </c>
      <c r="E7691" t="str">
        <f>"08 - B - 109 - Nikiel  Nesbeth"</f>
        <v>08 - B - 109 - Nikiel  Nesbeth</v>
      </c>
      <c r="F7691" t="str">
        <f>"ENG 2"</f>
        <v>ENG 2</v>
      </c>
      <c r="G7691" t="str">
        <f>"17-1705"</f>
        <v>17-1705</v>
      </c>
      <c r="H7691" t="str">
        <f>"B"</f>
        <v>B</v>
      </c>
    </row>
    <row r="7692" spans="1:8" x14ac:dyDescent="0.2">
      <c r="A7692" t="str">
        <f t="shared" ref="A7692:A7699" si="2811">"0625023505"</f>
        <v>0625023505</v>
      </c>
      <c r="B7692" t="str">
        <f t="shared" ref="B7692:B7699" si="2812">"Connor"</f>
        <v>Connor</v>
      </c>
      <c r="C7692" t="str">
        <f t="shared" ref="C7692:C7699" si="2813">"Horton"</f>
        <v>Horton</v>
      </c>
      <c r="D7692" t="str">
        <f t="shared" ref="D7692:D7707" si="2814">"09"</f>
        <v>09</v>
      </c>
      <c r="E7692" t="str">
        <f>"04 - A - 105 - Carol S Moore"</f>
        <v>04 - A - 105 - Carol S Moore</v>
      </c>
      <c r="F7692" t="str">
        <f>"PRE-AICE WRLD HST IG"</f>
        <v>PRE-AICE WRLD HST IG</v>
      </c>
      <c r="G7692" t="str">
        <f>"17-1733"</f>
        <v>17-1733</v>
      </c>
      <c r="H7692" t="str">
        <f>"A"</f>
        <v>A</v>
      </c>
    </row>
    <row r="7693" spans="1:8" x14ac:dyDescent="0.2">
      <c r="A7693" t="str">
        <f t="shared" si="2811"/>
        <v>0625023505</v>
      </c>
      <c r="B7693" t="str">
        <f t="shared" si="2812"/>
        <v>Connor</v>
      </c>
      <c r="C7693" t="str">
        <f t="shared" si="2813"/>
        <v>Horton</v>
      </c>
      <c r="D7693" t="str">
        <f t="shared" si="2814"/>
        <v>09</v>
      </c>
      <c r="E7693" t="str">
        <f>"06 - B - 102 - Angela S Adeshina-Morrison"</f>
        <v>06 - B - 102 - Angela S Adeshina-Morrison</v>
      </c>
      <c r="F7693" t="str">
        <f>"MARKETING ESSENTIALS"</f>
        <v>MARKETING ESSENTIALS</v>
      </c>
      <c r="G7693" t="str">
        <f>"05-518"</f>
        <v>05-518</v>
      </c>
      <c r="H7693" t="str">
        <f>"B"</f>
        <v>B</v>
      </c>
    </row>
    <row r="7694" spans="1:8" x14ac:dyDescent="0.2">
      <c r="A7694" t="str">
        <f t="shared" si="2811"/>
        <v>0625023505</v>
      </c>
      <c r="B7694" t="str">
        <f t="shared" si="2812"/>
        <v>Connor</v>
      </c>
      <c r="C7694" t="str">
        <f t="shared" si="2813"/>
        <v>Horton</v>
      </c>
      <c r="D7694" t="str">
        <f t="shared" si="2814"/>
        <v>09</v>
      </c>
      <c r="E7694" t="str">
        <f>"03 - A - 101 - Eva T Rimmer"</f>
        <v>03 - A - 101 - Eva T Rimmer</v>
      </c>
      <c r="F7694" t="str">
        <f>"CRIMINAL JUST OPS 1"</f>
        <v>CRIMINAL JUST OPS 1</v>
      </c>
      <c r="G7694" t="str">
        <f>"05-523"</f>
        <v>05-523</v>
      </c>
      <c r="H7694" t="str">
        <f>"A"</f>
        <v>A</v>
      </c>
    </row>
    <row r="7695" spans="1:8" x14ac:dyDescent="0.2">
      <c r="A7695" t="str">
        <f t="shared" si="2811"/>
        <v>0625023505</v>
      </c>
      <c r="B7695" t="str">
        <f t="shared" si="2812"/>
        <v>Connor</v>
      </c>
      <c r="C7695" t="str">
        <f t="shared" si="2813"/>
        <v>Horton</v>
      </c>
      <c r="D7695" t="str">
        <f t="shared" si="2814"/>
        <v>09</v>
      </c>
      <c r="E7695" t="str">
        <f>"02 - A - 109 - Krystal Marie  Beruty"</f>
        <v>02 - A - 109 - Krystal Marie  Beruty</v>
      </c>
      <c r="F7695" t="str">
        <f>"NC STUDY HALL 1"</f>
        <v>NC STUDY HALL 1</v>
      </c>
      <c r="G7695" t="str">
        <f>"17-1721"</f>
        <v>17-1721</v>
      </c>
      <c r="H7695" t="str">
        <f>"A"</f>
        <v>A</v>
      </c>
    </row>
    <row r="7696" spans="1:8" x14ac:dyDescent="0.2">
      <c r="A7696" t="str">
        <f t="shared" si="2811"/>
        <v>0625023505</v>
      </c>
      <c r="B7696" t="str">
        <f t="shared" si="2812"/>
        <v>Connor</v>
      </c>
      <c r="C7696" t="str">
        <f t="shared" si="2813"/>
        <v>Horton</v>
      </c>
      <c r="D7696" t="str">
        <f t="shared" si="2814"/>
        <v>09</v>
      </c>
      <c r="E7696" t="str">
        <f>"07 - B - 107 - Brook E Goren"</f>
        <v>07 - B - 107 - Brook E Goren</v>
      </c>
      <c r="F7696" t="str">
        <f>"PRE-AICE MATH 2 IG"</f>
        <v>PRE-AICE MATH 2 IG</v>
      </c>
      <c r="G7696" t="str">
        <f>"21-2158"</f>
        <v>21-2158</v>
      </c>
      <c r="H7696" t="str">
        <f>"B"</f>
        <v>B</v>
      </c>
    </row>
    <row r="7697" spans="1:8" x14ac:dyDescent="0.2">
      <c r="A7697" t="str">
        <f t="shared" si="2811"/>
        <v>0625023505</v>
      </c>
      <c r="B7697" t="str">
        <f t="shared" si="2812"/>
        <v>Connor</v>
      </c>
      <c r="C7697" t="str">
        <f t="shared" si="2813"/>
        <v>Horton</v>
      </c>
      <c r="D7697" t="str">
        <f t="shared" si="2814"/>
        <v>09</v>
      </c>
      <c r="E7697" t="str">
        <f>"05 - B - 204 - Elizabeth R Walker"</f>
        <v>05 - B - 204 - Elizabeth R Walker</v>
      </c>
      <c r="F7697" t="str">
        <f>"AICE ENG GEN PAPER 1"</f>
        <v>AICE ENG GEN PAPER 1</v>
      </c>
      <c r="G7697" t="str">
        <f>"17-1703"</f>
        <v>17-1703</v>
      </c>
      <c r="H7697" t="str">
        <f>"B"</f>
        <v>B</v>
      </c>
    </row>
    <row r="7698" spans="1:8" x14ac:dyDescent="0.2">
      <c r="A7698" t="str">
        <f t="shared" si="2811"/>
        <v>0625023505</v>
      </c>
      <c r="B7698" t="str">
        <f t="shared" si="2812"/>
        <v>Connor</v>
      </c>
      <c r="C7698" t="str">
        <f t="shared" si="2813"/>
        <v>Horton</v>
      </c>
      <c r="D7698" t="str">
        <f t="shared" si="2814"/>
        <v>09</v>
      </c>
      <c r="E7698" t="str">
        <f>"01 - A - 101 - Josiah I Lacy"</f>
        <v>01 - A - 101 - Josiah I Lacy</v>
      </c>
      <c r="F7698" t="str">
        <f>"PRE-AICE BIO IG"</f>
        <v>PRE-AICE BIO IG</v>
      </c>
      <c r="G7698" t="str">
        <f>"08-801"</f>
        <v>08-801</v>
      </c>
      <c r="H7698" t="str">
        <f>"A"</f>
        <v>A</v>
      </c>
    </row>
    <row r="7699" spans="1:8" x14ac:dyDescent="0.2">
      <c r="A7699" t="str">
        <f t="shared" si="2811"/>
        <v>0625023505</v>
      </c>
      <c r="B7699" t="str">
        <f t="shared" si="2812"/>
        <v>Connor</v>
      </c>
      <c r="C7699" t="str">
        <f t="shared" si="2813"/>
        <v>Horton</v>
      </c>
      <c r="D7699" t="str">
        <f t="shared" si="2814"/>
        <v>09</v>
      </c>
      <c r="E7699" t="str">
        <f>"08 - B - 108 - Adam Marcus  Drucker"</f>
        <v>08 - B - 108 - Adam Marcus  Drucker</v>
      </c>
      <c r="F7699" t="str">
        <f>"HOPE-PE V"</f>
        <v>HOPE-PE V</v>
      </c>
      <c r="G7699" t="str">
        <f>"04-254"</f>
        <v>04-254</v>
      </c>
      <c r="H7699" t="str">
        <f>"B"</f>
        <v>B</v>
      </c>
    </row>
    <row r="7700" spans="1:8" x14ac:dyDescent="0.2">
      <c r="A7700" t="str">
        <f t="shared" ref="A7700:A7707" si="2815">"0617105812"</f>
        <v>0617105812</v>
      </c>
      <c r="B7700" t="str">
        <f t="shared" ref="B7700:B7707" si="2816">"NICOLE"</f>
        <v>NICOLE</v>
      </c>
      <c r="C7700" t="str">
        <f t="shared" ref="C7700:C7707" si="2817">"HORYCH"</f>
        <v>HORYCH</v>
      </c>
      <c r="D7700" t="str">
        <f t="shared" si="2814"/>
        <v>09</v>
      </c>
      <c r="E7700" t="str">
        <f>"04 - A - 101 - Jeanne M Bermudez"</f>
        <v>04 - A - 101 - Jeanne M Bermudez</v>
      </c>
      <c r="F7700" t="str">
        <f>"ADVANCED IT HON"</f>
        <v>ADVANCED IT HON</v>
      </c>
      <c r="G7700" t="str">
        <f>"21-2141"</f>
        <v>21-2141</v>
      </c>
      <c r="H7700" t="str">
        <f>"A"</f>
        <v>A</v>
      </c>
    </row>
    <row r="7701" spans="1:8" x14ac:dyDescent="0.2">
      <c r="A7701" t="str">
        <f t="shared" si="2815"/>
        <v>0617105812</v>
      </c>
      <c r="B7701" t="str">
        <f t="shared" si="2816"/>
        <v>NICOLE</v>
      </c>
      <c r="C7701" t="str">
        <f t="shared" si="2817"/>
        <v>HORYCH</v>
      </c>
      <c r="D7701" t="str">
        <f t="shared" si="2814"/>
        <v>09</v>
      </c>
      <c r="E7701" t="str">
        <f>"06 - B - 104 - Eva T Rimmer"</f>
        <v>06 - B - 104 - Eva T Rimmer</v>
      </c>
      <c r="F7701" t="str">
        <f>"CRIMINAL JUST OPS 1"</f>
        <v>CRIMINAL JUST OPS 1</v>
      </c>
      <c r="G7701" t="str">
        <f>"05-523"</f>
        <v>05-523</v>
      </c>
      <c r="H7701" t="str">
        <f>"B"</f>
        <v>B</v>
      </c>
    </row>
    <row r="7702" spans="1:8" x14ac:dyDescent="0.2">
      <c r="A7702" t="str">
        <f t="shared" si="2815"/>
        <v>0617105812</v>
      </c>
      <c r="B7702" t="str">
        <f t="shared" si="2816"/>
        <v>NICOLE</v>
      </c>
      <c r="C7702" t="str">
        <f t="shared" si="2817"/>
        <v>HORYCH</v>
      </c>
      <c r="D7702" t="str">
        <f t="shared" si="2814"/>
        <v>09</v>
      </c>
      <c r="E7702" t="str">
        <f>"03 - A - 001 - Maried P Ramos"</f>
        <v>03 - A - 001 - Maried P Ramos</v>
      </c>
      <c r="F7702" t="str">
        <f>"PRE-AICE MATH 2 IG"</f>
        <v>PRE-AICE MATH 2 IG</v>
      </c>
      <c r="G7702" t="str">
        <f>"21-2159"</f>
        <v>21-2159</v>
      </c>
      <c r="H7702" t="str">
        <f>"A"</f>
        <v>A</v>
      </c>
    </row>
    <row r="7703" spans="1:8" x14ac:dyDescent="0.2">
      <c r="A7703" t="str">
        <f t="shared" si="2815"/>
        <v>0617105812</v>
      </c>
      <c r="B7703" t="str">
        <f t="shared" si="2816"/>
        <v>NICOLE</v>
      </c>
      <c r="C7703" t="str">
        <f t="shared" si="2817"/>
        <v>HORYCH</v>
      </c>
      <c r="D7703" t="str">
        <f t="shared" si="2814"/>
        <v>09</v>
      </c>
      <c r="E7703" t="str">
        <f>"02 - A - 114 - Laselleda D Shaw"</f>
        <v>02 - A - 114 - Laselleda D Shaw</v>
      </c>
      <c r="F7703" t="str">
        <f>"NC STUDY HALL 1"</f>
        <v>NC STUDY HALL 1</v>
      </c>
      <c r="G7703" t="str">
        <f>"17-1723"</f>
        <v>17-1723</v>
      </c>
      <c r="H7703" t="str">
        <f>"A"</f>
        <v>A</v>
      </c>
    </row>
    <row r="7704" spans="1:8" x14ac:dyDescent="0.2">
      <c r="A7704" t="str">
        <f t="shared" si="2815"/>
        <v>0617105812</v>
      </c>
      <c r="B7704" t="str">
        <f t="shared" si="2816"/>
        <v>NICOLE</v>
      </c>
      <c r="C7704" t="str">
        <f t="shared" si="2817"/>
        <v>HORYCH</v>
      </c>
      <c r="D7704" t="str">
        <f t="shared" si="2814"/>
        <v>09</v>
      </c>
      <c r="E7704" t="str">
        <f>"07 - B - 105 - Byron G Montenegro"</f>
        <v>07 - B - 105 - Byron G Montenegro</v>
      </c>
      <c r="F7704" t="str">
        <f>"AICE MARINE SCI 1 AS"</f>
        <v>AICE MARINE SCI 1 AS</v>
      </c>
      <c r="G7704" t="str">
        <f>"21-2144"</f>
        <v>21-2144</v>
      </c>
      <c r="H7704" t="str">
        <f>"B"</f>
        <v>B</v>
      </c>
    </row>
    <row r="7705" spans="1:8" x14ac:dyDescent="0.2">
      <c r="A7705" t="str">
        <f t="shared" si="2815"/>
        <v>0617105812</v>
      </c>
      <c r="B7705" t="str">
        <f t="shared" si="2816"/>
        <v>NICOLE</v>
      </c>
      <c r="C7705" t="str">
        <f t="shared" si="2817"/>
        <v>HORYCH</v>
      </c>
      <c r="D7705" t="str">
        <f t="shared" si="2814"/>
        <v>09</v>
      </c>
      <c r="E7705" t="str">
        <f>"05 - B - 204 - Elizabeth R Walker"</f>
        <v>05 - B - 204 - Elizabeth R Walker</v>
      </c>
      <c r="F7705" t="str">
        <f>"AICE ENG GEN PAPER 1"</f>
        <v>AICE ENG GEN PAPER 1</v>
      </c>
      <c r="G7705" t="str">
        <f>"17-1703"</f>
        <v>17-1703</v>
      </c>
      <c r="H7705" t="str">
        <f>"B"</f>
        <v>B</v>
      </c>
    </row>
    <row r="7706" spans="1:8" x14ac:dyDescent="0.2">
      <c r="A7706" t="str">
        <f t="shared" si="2815"/>
        <v>0617105812</v>
      </c>
      <c r="B7706" t="str">
        <f t="shared" si="2816"/>
        <v>NICOLE</v>
      </c>
      <c r="C7706" t="str">
        <f t="shared" si="2817"/>
        <v>HORYCH</v>
      </c>
      <c r="D7706" t="str">
        <f t="shared" si="2814"/>
        <v>09</v>
      </c>
      <c r="E7706" t="str">
        <f>"01 - A - 101 - Joe  Kilpatrick Jr"</f>
        <v>01 - A - 101 - Joe  Kilpatrick Jr</v>
      </c>
      <c r="F7706" t="str">
        <f>"PRE-AICE SPAN 1 IG"</f>
        <v>PRE-AICE SPAN 1 IG</v>
      </c>
      <c r="G7706" t="str">
        <f>"09-912"</f>
        <v>09-912</v>
      </c>
      <c r="H7706" t="str">
        <f>"A"</f>
        <v>A</v>
      </c>
    </row>
    <row r="7707" spans="1:8" x14ac:dyDescent="0.2">
      <c r="A7707" t="str">
        <f t="shared" si="2815"/>
        <v>0617105812</v>
      </c>
      <c r="B7707" t="str">
        <f t="shared" si="2816"/>
        <v>NICOLE</v>
      </c>
      <c r="C7707" t="str">
        <f t="shared" si="2817"/>
        <v>HORYCH</v>
      </c>
      <c r="D7707" t="str">
        <f t="shared" si="2814"/>
        <v>09</v>
      </c>
      <c r="E7707" t="str">
        <f>"08 - B - 109 - Emmily A Sarmiento"</f>
        <v>08 - B - 109 - Emmily A Sarmiento</v>
      </c>
      <c r="F7707" t="str">
        <f>"AICE GLBL PERSP 1 AS"</f>
        <v>AICE GLBL PERSP 1 AS</v>
      </c>
      <c r="G7707" t="str">
        <f>"17-1743"</f>
        <v>17-1743</v>
      </c>
      <c r="H7707" t="str">
        <f>"B"</f>
        <v>B</v>
      </c>
    </row>
    <row r="7708" spans="1:8" x14ac:dyDescent="0.2">
      <c r="A7708" t="str">
        <f t="shared" ref="A7708:A7715" si="2818">"0613098832"</f>
        <v>0613098832</v>
      </c>
      <c r="B7708" t="str">
        <f t="shared" ref="B7708:B7715" si="2819">"ANIYAH"</f>
        <v>ANIYAH</v>
      </c>
      <c r="C7708" t="str">
        <f t="shared" ref="C7708:C7731" si="2820">"HOWARD"</f>
        <v>HOWARD</v>
      </c>
      <c r="D7708">
        <f>12</f>
        <v>12</v>
      </c>
      <c r="E7708" t="str">
        <f>"04 - A - 101 - Christa T Parisi"</f>
        <v>04 - A - 101 - Christa T Parisi</v>
      </c>
      <c r="F7708" t="str">
        <f>"DANCE TECHNQS 2"</f>
        <v>DANCE TECHNQS 2</v>
      </c>
      <c r="G7708" t="str">
        <f>"05-503"</f>
        <v>05-503</v>
      </c>
      <c r="H7708" t="str">
        <f>"A"</f>
        <v>A</v>
      </c>
    </row>
    <row r="7709" spans="1:8" x14ac:dyDescent="0.2">
      <c r="A7709" t="str">
        <f t="shared" si="2818"/>
        <v>0613098832</v>
      </c>
      <c r="B7709" t="str">
        <f t="shared" si="2819"/>
        <v>ANIYAH</v>
      </c>
      <c r="C7709" t="str">
        <f t="shared" si="2820"/>
        <v>HOWARD</v>
      </c>
      <c r="D7709">
        <f>12</f>
        <v>12</v>
      </c>
      <c r="E7709" t="str">
        <f>"06 - B - 003 - Emmily A Sarmiento"</f>
        <v>06 - B - 003 - Emmily A Sarmiento</v>
      </c>
      <c r="F7709" t="str">
        <f>"NC STUDY HALL 1"</f>
        <v>NC STUDY HALL 1</v>
      </c>
      <c r="G7709" t="str">
        <f>"17-1743"</f>
        <v>17-1743</v>
      </c>
      <c r="H7709" t="str">
        <f>"B"</f>
        <v>B</v>
      </c>
    </row>
    <row r="7710" spans="1:8" x14ac:dyDescent="0.2">
      <c r="A7710" t="str">
        <f t="shared" si="2818"/>
        <v>0613098832</v>
      </c>
      <c r="B7710" t="str">
        <f t="shared" si="2819"/>
        <v>ANIYAH</v>
      </c>
      <c r="C7710" t="str">
        <f t="shared" si="2820"/>
        <v>HOWARD</v>
      </c>
      <c r="D7710">
        <f>12</f>
        <v>12</v>
      </c>
      <c r="E7710" t="str">
        <f>"03 - A - 202 - Bruce A Evans"</f>
        <v>03 - A - 202 - Bruce A Evans</v>
      </c>
      <c r="F7710" t="str">
        <f>"HEALTH SCI FOUND HON"</f>
        <v>HEALTH SCI FOUND HON</v>
      </c>
      <c r="G7710" t="str">
        <f>"21-2142"</f>
        <v>21-2142</v>
      </c>
      <c r="H7710" t="str">
        <f>"A"</f>
        <v>A</v>
      </c>
    </row>
    <row r="7711" spans="1:8" x14ac:dyDescent="0.2">
      <c r="A7711" t="str">
        <f t="shared" si="2818"/>
        <v>0613098832</v>
      </c>
      <c r="B7711" t="str">
        <f t="shared" si="2819"/>
        <v>ANIYAH</v>
      </c>
      <c r="C7711" t="str">
        <f t="shared" si="2820"/>
        <v>HOWARD</v>
      </c>
      <c r="D7711">
        <f>12</f>
        <v>12</v>
      </c>
      <c r="E7711" t="str">
        <f>"02 - A - 102 - Bruce A Evans"</f>
        <v>02 - A - 102 - Bruce A Evans</v>
      </c>
      <c r="F7711" t="str">
        <f>"EMERG MED RESP 3 HON"</f>
        <v>EMERG MED RESP 3 HON</v>
      </c>
      <c r="G7711" t="str">
        <f>"21-2142"</f>
        <v>21-2142</v>
      </c>
      <c r="H7711" t="str">
        <f>"A"</f>
        <v>A</v>
      </c>
    </row>
    <row r="7712" spans="1:8" x14ac:dyDescent="0.2">
      <c r="A7712" t="str">
        <f t="shared" si="2818"/>
        <v>0613098832</v>
      </c>
      <c r="B7712" t="str">
        <f t="shared" si="2819"/>
        <v>ANIYAH</v>
      </c>
      <c r="C7712" t="str">
        <f t="shared" si="2820"/>
        <v>HOWARD</v>
      </c>
      <c r="D7712">
        <f>12</f>
        <v>12</v>
      </c>
      <c r="E7712" t="str">
        <f>"07 - S1 - B - 107 - Kelly N Panza"</f>
        <v>07 - S1 - B - 107 - Kelly N Panza</v>
      </c>
      <c r="F7712" t="str">
        <f>"US GOVT HON"</f>
        <v>US GOVT HON</v>
      </c>
      <c r="G7712" t="str">
        <f>"17-1753"</f>
        <v>17-1753</v>
      </c>
      <c r="H7712" t="str">
        <f>"B"</f>
        <v>B</v>
      </c>
    </row>
    <row r="7713" spans="1:8" x14ac:dyDescent="0.2">
      <c r="A7713" t="str">
        <f t="shared" si="2818"/>
        <v>0613098832</v>
      </c>
      <c r="B7713" t="str">
        <f t="shared" si="2819"/>
        <v>ANIYAH</v>
      </c>
      <c r="C7713" t="str">
        <f t="shared" si="2820"/>
        <v>HOWARD</v>
      </c>
      <c r="D7713">
        <f>12</f>
        <v>12</v>
      </c>
      <c r="E7713" t="str">
        <f>"05 - B - 102 - Robyn L Trainer"</f>
        <v>05 - B - 102 - Robyn L Trainer</v>
      </c>
      <c r="F7713" t="str">
        <f>"ENG 4"</f>
        <v>ENG 4</v>
      </c>
      <c r="G7713" t="str">
        <f>"17-1734"</f>
        <v>17-1734</v>
      </c>
      <c r="H7713" t="str">
        <f>"B"</f>
        <v>B</v>
      </c>
    </row>
    <row r="7714" spans="1:8" x14ac:dyDescent="0.2">
      <c r="A7714" t="str">
        <f t="shared" si="2818"/>
        <v>0613098832</v>
      </c>
      <c r="B7714" t="str">
        <f t="shared" si="2819"/>
        <v>ANIYAH</v>
      </c>
      <c r="C7714" t="str">
        <f t="shared" si="2820"/>
        <v>HOWARD</v>
      </c>
      <c r="D7714">
        <f>12</f>
        <v>12</v>
      </c>
      <c r="E7714" t="str">
        <f>"01 - A - 101 - Cliffon  Saurel"</f>
        <v>01 - A - 101 - Cliffon  Saurel</v>
      </c>
      <c r="F7714" t="str">
        <f>"PHYSICAL SCI"</f>
        <v>PHYSICAL SCI</v>
      </c>
      <c r="G7714" t="str">
        <f>"05-522"</f>
        <v>05-522</v>
      </c>
      <c r="H7714" t="str">
        <f>"A"</f>
        <v>A</v>
      </c>
    </row>
    <row r="7715" spans="1:8" x14ac:dyDescent="0.2">
      <c r="A7715" t="str">
        <f t="shared" si="2818"/>
        <v>0613098832</v>
      </c>
      <c r="B7715" t="str">
        <f t="shared" si="2819"/>
        <v>ANIYAH</v>
      </c>
      <c r="C7715" t="str">
        <f t="shared" si="2820"/>
        <v>HOWARD</v>
      </c>
      <c r="D7715">
        <f>12</f>
        <v>12</v>
      </c>
      <c r="E7715" t="str">
        <f>"08 - B - 105 - Semra  Bahadir"</f>
        <v>08 - B - 105 - Semra  Bahadir</v>
      </c>
      <c r="F7715" t="str">
        <f>"MATH COLL ALGEBRA"</f>
        <v>MATH COLL ALGEBRA</v>
      </c>
      <c r="G7715" t="str">
        <f>"21-2107"</f>
        <v>21-2107</v>
      </c>
      <c r="H7715" t="str">
        <f>"B"</f>
        <v>B</v>
      </c>
    </row>
    <row r="7716" spans="1:8" x14ac:dyDescent="0.2">
      <c r="A7716" t="str">
        <f t="shared" ref="A7716:A7723" si="2821">"0615091475"</f>
        <v>0615091475</v>
      </c>
      <c r="B7716" t="str">
        <f t="shared" ref="B7716:B7723" si="2822">"KAYLA"</f>
        <v>KAYLA</v>
      </c>
      <c r="C7716" t="str">
        <f t="shared" si="2820"/>
        <v>HOWARD</v>
      </c>
      <c r="D7716" t="str">
        <f t="shared" ref="D7716:D7731" si="2823">"09"</f>
        <v>09</v>
      </c>
      <c r="E7716" t="str">
        <f>"04 - A - 104 - Marius D Orsolini"</f>
        <v>04 - A - 104 - Marius D Orsolini</v>
      </c>
      <c r="F7716" t="str">
        <f>"CULINARY ARTS 1"</f>
        <v>CULINARY ARTS 1</v>
      </c>
      <c r="G7716" t="str">
        <f>"21-2115"</f>
        <v>21-2115</v>
      </c>
      <c r="H7716" t="str">
        <f>"A"</f>
        <v>A</v>
      </c>
    </row>
    <row r="7717" spans="1:8" x14ac:dyDescent="0.2">
      <c r="A7717" t="str">
        <f t="shared" si="2821"/>
        <v>0615091475</v>
      </c>
      <c r="B7717" t="str">
        <f t="shared" si="2822"/>
        <v>KAYLA</v>
      </c>
      <c r="C7717" t="str">
        <f t="shared" si="2820"/>
        <v>HOWARD</v>
      </c>
      <c r="D7717" t="str">
        <f t="shared" si="2823"/>
        <v>09</v>
      </c>
      <c r="E7717" t="str">
        <f>"06 - B - 104 - Rory T Sponsler"</f>
        <v>06 - B - 104 - Rory T Sponsler</v>
      </c>
      <c r="F7717" t="str">
        <f>"PRE-AICE WRLD HST IG"</f>
        <v>PRE-AICE WRLD HST IG</v>
      </c>
      <c r="G7717" t="str">
        <f>"17-1740"</f>
        <v>17-1740</v>
      </c>
      <c r="H7717" t="str">
        <f>"B"</f>
        <v>B</v>
      </c>
    </row>
    <row r="7718" spans="1:8" x14ac:dyDescent="0.2">
      <c r="A7718" t="str">
        <f t="shared" si="2821"/>
        <v>0615091475</v>
      </c>
      <c r="B7718" t="str">
        <f t="shared" si="2822"/>
        <v>KAYLA</v>
      </c>
      <c r="C7718" t="str">
        <f t="shared" si="2820"/>
        <v>HOWARD</v>
      </c>
      <c r="D7718" t="str">
        <f t="shared" si="2823"/>
        <v>09</v>
      </c>
      <c r="E7718" t="str">
        <f>"03 - A - 101 - Milca  Exantus"</f>
        <v>03 - A - 101 - Milca  Exantus</v>
      </c>
      <c r="F7718" t="str">
        <f>"ALGEBRA 1-A"</f>
        <v>ALGEBRA 1-A</v>
      </c>
      <c r="G7718" t="str">
        <f>"21-2145"</f>
        <v>21-2145</v>
      </c>
      <c r="H7718" t="str">
        <f>"A"</f>
        <v>A</v>
      </c>
    </row>
    <row r="7719" spans="1:8" x14ac:dyDescent="0.2">
      <c r="A7719" t="str">
        <f t="shared" si="2821"/>
        <v>0615091475</v>
      </c>
      <c r="B7719" t="str">
        <f t="shared" si="2822"/>
        <v>KAYLA</v>
      </c>
      <c r="C7719" t="str">
        <f t="shared" si="2820"/>
        <v>HOWARD</v>
      </c>
      <c r="D7719" t="str">
        <f t="shared" si="2823"/>
        <v>09</v>
      </c>
      <c r="E7719" t="str">
        <f>"02 - A - 105 - Elizabeth R Walker"</f>
        <v>02 - A - 105 - Elizabeth R Walker</v>
      </c>
      <c r="F7719" t="str">
        <f>"NC STUDY HALL 1"</f>
        <v>NC STUDY HALL 1</v>
      </c>
      <c r="G7719" t="str">
        <f>"17-1703"</f>
        <v>17-1703</v>
      </c>
      <c r="H7719" t="str">
        <f>"A"</f>
        <v>A</v>
      </c>
    </row>
    <row r="7720" spans="1:8" x14ac:dyDescent="0.2">
      <c r="A7720" t="str">
        <f t="shared" si="2821"/>
        <v>0615091475</v>
      </c>
      <c r="B7720" t="str">
        <f t="shared" si="2822"/>
        <v>KAYLA</v>
      </c>
      <c r="C7720" t="str">
        <f t="shared" si="2820"/>
        <v>HOWARD</v>
      </c>
      <c r="D7720" t="str">
        <f t="shared" si="2823"/>
        <v>09</v>
      </c>
      <c r="E7720" t="str">
        <f>"07 - B - 003 - Brandy N Zdenek"</f>
        <v>07 - B - 003 - Brandy N Zdenek</v>
      </c>
      <c r="F7720" t="str">
        <f>"AICE ENG GEN PAPER 1"</f>
        <v>AICE ENG GEN PAPER 1</v>
      </c>
      <c r="G7720" t="str">
        <f>"17-1704"</f>
        <v>17-1704</v>
      </c>
      <c r="H7720" t="str">
        <f>"B"</f>
        <v>B</v>
      </c>
    </row>
    <row r="7721" spans="1:8" x14ac:dyDescent="0.2">
      <c r="A7721" t="str">
        <f t="shared" si="2821"/>
        <v>0615091475</v>
      </c>
      <c r="B7721" t="str">
        <f t="shared" si="2822"/>
        <v>KAYLA</v>
      </c>
      <c r="C7721" t="str">
        <f t="shared" si="2820"/>
        <v>HOWARD</v>
      </c>
      <c r="D7721" t="str">
        <f t="shared" si="2823"/>
        <v>09</v>
      </c>
      <c r="E7721" t="str">
        <f>"05 - B - 103 - Josiah I Lacy"</f>
        <v>05 - B - 103 - Josiah I Lacy</v>
      </c>
      <c r="F7721" t="str">
        <f>"PRE-AICE BIO IG"</f>
        <v>PRE-AICE BIO IG</v>
      </c>
      <c r="G7721" t="str">
        <f>"08-801"</f>
        <v>08-801</v>
      </c>
      <c r="H7721" t="str">
        <f>"B"</f>
        <v>B</v>
      </c>
    </row>
    <row r="7722" spans="1:8" x14ac:dyDescent="0.2">
      <c r="A7722" t="str">
        <f t="shared" si="2821"/>
        <v>0615091475</v>
      </c>
      <c r="B7722" t="str">
        <f t="shared" si="2822"/>
        <v>KAYLA</v>
      </c>
      <c r="C7722" t="str">
        <f t="shared" si="2820"/>
        <v>HOWARD</v>
      </c>
      <c r="D7722" t="str">
        <f t="shared" si="2823"/>
        <v>09</v>
      </c>
      <c r="E7722" t="str">
        <f>"01 - A - 101 - Brian M Fitzgerald"</f>
        <v>01 - A - 101 - Brian M Fitzgerald</v>
      </c>
      <c r="F7722" t="str">
        <f>"CERAM/POT 1"</f>
        <v>CERAM/POT 1</v>
      </c>
      <c r="G7722" t="str">
        <f>"09-908"</f>
        <v>09-908</v>
      </c>
      <c r="H7722" t="str">
        <f>"A"</f>
        <v>A</v>
      </c>
    </row>
    <row r="7723" spans="1:8" x14ac:dyDescent="0.2">
      <c r="A7723" t="str">
        <f t="shared" si="2821"/>
        <v>0615091475</v>
      </c>
      <c r="B7723" t="str">
        <f t="shared" si="2822"/>
        <v>KAYLA</v>
      </c>
      <c r="C7723" t="str">
        <f t="shared" si="2820"/>
        <v>HOWARD</v>
      </c>
      <c r="D7723" t="str">
        <f t="shared" si="2823"/>
        <v>09</v>
      </c>
      <c r="E7723" t="str">
        <f>"08 - B - 103 - Jeanne M Bermudez"</f>
        <v>08 - B - 103 - Jeanne M Bermudez</v>
      </c>
      <c r="F7723" t="str">
        <f>"ADVANCED IT HON"</f>
        <v>ADVANCED IT HON</v>
      </c>
      <c r="G7723" t="str">
        <f>"21-2141"</f>
        <v>21-2141</v>
      </c>
      <c r="H7723" t="str">
        <f>"B"</f>
        <v>B</v>
      </c>
    </row>
    <row r="7724" spans="1:8" x14ac:dyDescent="0.2">
      <c r="A7724" t="str">
        <f t="shared" ref="A7724:A7731" si="2824">"0615091481"</f>
        <v>0615091481</v>
      </c>
      <c r="B7724" t="str">
        <f t="shared" ref="B7724:B7731" si="2825">"KEYLA"</f>
        <v>KEYLA</v>
      </c>
      <c r="C7724" t="str">
        <f t="shared" si="2820"/>
        <v>HOWARD</v>
      </c>
      <c r="D7724" t="str">
        <f t="shared" si="2823"/>
        <v>09</v>
      </c>
      <c r="E7724" t="str">
        <f>"04 - A - 102 - Tina L Lovett"</f>
        <v>04 - A - 102 - Tina L Lovett</v>
      </c>
      <c r="F7724" t="str">
        <f>"ALGEBRA 1"</f>
        <v>ALGEBRA 1</v>
      </c>
      <c r="G7724" t="str">
        <f>"21-2153"</f>
        <v>21-2153</v>
      </c>
      <c r="H7724" t="str">
        <f>"A"</f>
        <v>A</v>
      </c>
    </row>
    <row r="7725" spans="1:8" x14ac:dyDescent="0.2">
      <c r="A7725" t="str">
        <f t="shared" si="2824"/>
        <v>0615091481</v>
      </c>
      <c r="B7725" t="str">
        <f t="shared" si="2825"/>
        <v>KEYLA</v>
      </c>
      <c r="C7725" t="str">
        <f t="shared" si="2820"/>
        <v>HOWARD</v>
      </c>
      <c r="D7725" t="str">
        <f t="shared" si="2823"/>
        <v>09</v>
      </c>
      <c r="E7725" t="str">
        <f>"06 - B - 002 - Amy Beth  Broyles"</f>
        <v>06 - B - 002 - Amy Beth  Broyles</v>
      </c>
      <c r="F7725" t="str">
        <f>"ENV SCI"</f>
        <v>ENV SCI</v>
      </c>
      <c r="G7725" t="str">
        <f>"08-802"</f>
        <v>08-802</v>
      </c>
      <c r="H7725" t="str">
        <f>"B"</f>
        <v>B</v>
      </c>
    </row>
    <row r="7726" spans="1:8" x14ac:dyDescent="0.2">
      <c r="A7726" t="str">
        <f t="shared" si="2824"/>
        <v>0615091481</v>
      </c>
      <c r="B7726" t="str">
        <f t="shared" si="2825"/>
        <v>KEYLA</v>
      </c>
      <c r="C7726" t="str">
        <f t="shared" si="2820"/>
        <v>HOWARD</v>
      </c>
      <c r="D7726" t="str">
        <f t="shared" si="2823"/>
        <v>09</v>
      </c>
      <c r="E7726" t="str">
        <f>"03 - A - 105 - Cheryl Anne  Berman-Schechter"</f>
        <v>03 - A - 105 - Cheryl Anne  Berman-Schechter</v>
      </c>
      <c r="F7726" t="str">
        <f>"ENG 1"</f>
        <v>ENG 1</v>
      </c>
      <c r="G7726" t="str">
        <f>"17-1722"</f>
        <v>17-1722</v>
      </c>
      <c r="H7726" t="str">
        <f>"A"</f>
        <v>A</v>
      </c>
    </row>
    <row r="7727" spans="1:8" x14ac:dyDescent="0.2">
      <c r="A7727" t="str">
        <f t="shared" si="2824"/>
        <v>0615091481</v>
      </c>
      <c r="B7727" t="str">
        <f t="shared" si="2825"/>
        <v>KEYLA</v>
      </c>
      <c r="C7727" t="str">
        <f t="shared" si="2820"/>
        <v>HOWARD</v>
      </c>
      <c r="D7727" t="str">
        <f t="shared" si="2823"/>
        <v>09</v>
      </c>
      <c r="E7727" t="str">
        <f>"02 - A - 103 - Angela S Adeshina-Morrison"</f>
        <v>02 - A - 103 - Angela S Adeshina-Morrison</v>
      </c>
      <c r="F7727" t="str">
        <f>"NC STUDY HALL 1"</f>
        <v>NC STUDY HALL 1</v>
      </c>
      <c r="G7727" t="str">
        <f>"05-518"</f>
        <v>05-518</v>
      </c>
      <c r="H7727" t="str">
        <f>"A"</f>
        <v>A</v>
      </c>
    </row>
    <row r="7728" spans="1:8" x14ac:dyDescent="0.2">
      <c r="A7728" t="str">
        <f t="shared" si="2824"/>
        <v>0615091481</v>
      </c>
      <c r="B7728" t="str">
        <f t="shared" si="2825"/>
        <v>KEYLA</v>
      </c>
      <c r="C7728" t="str">
        <f t="shared" si="2820"/>
        <v>HOWARD</v>
      </c>
      <c r="D7728" t="str">
        <f t="shared" si="2823"/>
        <v>09</v>
      </c>
      <c r="E7728" t="str">
        <f>"07 - B - 105 - Laselleda D Shaw"</f>
        <v>07 - B - 105 - Laselleda D Shaw</v>
      </c>
      <c r="F7728" t="str">
        <f>"INTENS READ 1"</f>
        <v>INTENS READ 1</v>
      </c>
      <c r="G7728" t="str">
        <f>"17-1723"</f>
        <v>17-1723</v>
      </c>
      <c r="H7728" t="str">
        <f>"B"</f>
        <v>B</v>
      </c>
    </row>
    <row r="7729" spans="1:8" x14ac:dyDescent="0.2">
      <c r="A7729" t="str">
        <f t="shared" si="2824"/>
        <v>0615091481</v>
      </c>
      <c r="B7729" t="str">
        <f t="shared" si="2825"/>
        <v>KEYLA</v>
      </c>
      <c r="C7729" t="str">
        <f t="shared" si="2820"/>
        <v>HOWARD</v>
      </c>
      <c r="D7729" t="str">
        <f t="shared" si="2823"/>
        <v>09</v>
      </c>
      <c r="E7729" t="str">
        <f>"05 - B - 105 - Marius D Orsolini"</f>
        <v>05 - B - 105 - Marius D Orsolini</v>
      </c>
      <c r="F7729" t="str">
        <f>"CULINARY ARTS 1"</f>
        <v>CULINARY ARTS 1</v>
      </c>
      <c r="G7729" t="str">
        <f>"21-2115"</f>
        <v>21-2115</v>
      </c>
      <c r="H7729" t="str">
        <f>"B"</f>
        <v>B</v>
      </c>
    </row>
    <row r="7730" spans="1:8" x14ac:dyDescent="0.2">
      <c r="A7730" t="str">
        <f t="shared" si="2824"/>
        <v>0615091481</v>
      </c>
      <c r="B7730" t="str">
        <f t="shared" si="2825"/>
        <v>KEYLA</v>
      </c>
      <c r="C7730" t="str">
        <f t="shared" si="2820"/>
        <v>HOWARD</v>
      </c>
      <c r="D7730" t="str">
        <f t="shared" si="2823"/>
        <v>09</v>
      </c>
      <c r="E7730" t="str">
        <f>"01 - A - 107 - Jazmin S Fletcher"</f>
        <v>01 - A - 107 - Jazmin S Fletcher</v>
      </c>
      <c r="F7730" t="str">
        <f>"WORLD HISTORY"</f>
        <v>WORLD HISTORY</v>
      </c>
      <c r="G7730" t="str">
        <f>"09-909"</f>
        <v>09-909</v>
      </c>
      <c r="H7730" t="str">
        <f>"A"</f>
        <v>A</v>
      </c>
    </row>
    <row r="7731" spans="1:8" x14ac:dyDescent="0.2">
      <c r="A7731" t="str">
        <f t="shared" si="2824"/>
        <v>0615091481</v>
      </c>
      <c r="B7731" t="str">
        <f t="shared" si="2825"/>
        <v>KEYLA</v>
      </c>
      <c r="C7731" t="str">
        <f t="shared" si="2820"/>
        <v>HOWARD</v>
      </c>
      <c r="D7731" t="str">
        <f t="shared" si="2823"/>
        <v>09</v>
      </c>
      <c r="E7731" t="str">
        <f>"08 - B - 108 - Tina L Lovett"</f>
        <v>08 - B - 108 - Tina L Lovett</v>
      </c>
      <c r="F7731" t="str">
        <f>"FDN SKLS MATH 9-12"</f>
        <v>FDN SKLS MATH 9-12</v>
      </c>
      <c r="G7731" t="str">
        <f>"21-2153"</f>
        <v>21-2153</v>
      </c>
      <c r="H7731" t="str">
        <f>"B"</f>
        <v>B</v>
      </c>
    </row>
    <row r="7732" spans="1:8" x14ac:dyDescent="0.2">
      <c r="A7732" t="str">
        <f t="shared" ref="A7732:A7739" si="2826">"0623072997"</f>
        <v>0623072997</v>
      </c>
      <c r="B7732" t="str">
        <f t="shared" ref="B7732:B7739" si="2827">"ANNIYAH"</f>
        <v>ANNIYAH</v>
      </c>
      <c r="C7732" t="str">
        <f t="shared" ref="C7732:C7739" si="2828">"HOWLAND"</f>
        <v>HOWLAND</v>
      </c>
      <c r="D7732">
        <f>10</f>
        <v>10</v>
      </c>
      <c r="E7732" t="str">
        <f>"04 - A - 102 - Tina L Lovett"</f>
        <v>04 - A - 102 - Tina L Lovett</v>
      </c>
      <c r="F7732" t="str">
        <f>"ALGEBRA 1"</f>
        <v>ALGEBRA 1</v>
      </c>
      <c r="G7732" t="str">
        <f>"21-2153"</f>
        <v>21-2153</v>
      </c>
      <c r="H7732" t="str">
        <f>"A"</f>
        <v>A</v>
      </c>
    </row>
    <row r="7733" spans="1:8" x14ac:dyDescent="0.2">
      <c r="A7733" t="str">
        <f t="shared" si="2826"/>
        <v>0623072997</v>
      </c>
      <c r="B7733" t="str">
        <f t="shared" si="2827"/>
        <v>ANNIYAH</v>
      </c>
      <c r="C7733" t="str">
        <f t="shared" si="2828"/>
        <v>HOWLAND</v>
      </c>
      <c r="D7733">
        <f>10</f>
        <v>10</v>
      </c>
      <c r="E7733" t="str">
        <f>"06 - B - 108 - Jacklyn M James"</f>
        <v>06 - B - 108 - Jacklyn M James</v>
      </c>
      <c r="F7733" t="str">
        <f>"NC STUDY HALL 1"</f>
        <v>NC STUDY HALL 1</v>
      </c>
      <c r="G7733" t="str">
        <f>"17-1731"</f>
        <v>17-1731</v>
      </c>
      <c r="H7733" t="str">
        <f>"B"</f>
        <v>B</v>
      </c>
    </row>
    <row r="7734" spans="1:8" x14ac:dyDescent="0.2">
      <c r="A7734" t="str">
        <f t="shared" si="2826"/>
        <v>0623072997</v>
      </c>
      <c r="B7734" t="str">
        <f t="shared" si="2827"/>
        <v>ANNIYAH</v>
      </c>
      <c r="C7734" t="str">
        <f t="shared" si="2828"/>
        <v>HOWLAND</v>
      </c>
      <c r="D7734">
        <f>10</f>
        <v>10</v>
      </c>
      <c r="E7734" t="str">
        <f>"03 - A - 103 - Taraneh C Abreu"</f>
        <v>03 - A - 103 - Taraneh C Abreu</v>
      </c>
      <c r="F7734" t="str">
        <f>"INTENS READ 2"</f>
        <v>INTENS READ 2</v>
      </c>
      <c r="G7734" t="str">
        <f>"17-1713"</f>
        <v>17-1713</v>
      </c>
      <c r="H7734" t="str">
        <f>"A"</f>
        <v>A</v>
      </c>
    </row>
    <row r="7735" spans="1:8" x14ac:dyDescent="0.2">
      <c r="A7735" t="str">
        <f t="shared" si="2826"/>
        <v>0623072997</v>
      </c>
      <c r="B7735" t="str">
        <f t="shared" si="2827"/>
        <v>ANNIYAH</v>
      </c>
      <c r="C7735" t="str">
        <f t="shared" si="2828"/>
        <v>HOWLAND</v>
      </c>
      <c r="D7735">
        <f>10</f>
        <v>10</v>
      </c>
      <c r="E7735" t="str">
        <f>"02 - S1 - A - 101 - Carol S Moore"</f>
        <v>02 - S1 - A - 101 - Carol S Moore</v>
      </c>
      <c r="F7735" t="str">
        <f>"PER CAR SCH DEV 1 LH"</f>
        <v>PER CAR SCH DEV 1 LH</v>
      </c>
      <c r="G7735" t="str">
        <f>"17-1733"</f>
        <v>17-1733</v>
      </c>
      <c r="H7735" t="str">
        <f>"A"</f>
        <v>A</v>
      </c>
    </row>
    <row r="7736" spans="1:8" x14ac:dyDescent="0.2">
      <c r="A7736" t="str">
        <f t="shared" si="2826"/>
        <v>0623072997</v>
      </c>
      <c r="B7736" t="str">
        <f t="shared" si="2827"/>
        <v>ANNIYAH</v>
      </c>
      <c r="C7736" t="str">
        <f t="shared" si="2828"/>
        <v>HOWLAND</v>
      </c>
      <c r="D7736">
        <f>10</f>
        <v>10</v>
      </c>
      <c r="E7736" t="str">
        <f>"07 - B - 104 - Lissa C Frederique"</f>
        <v>07 - B - 104 - Lissa C Frederique</v>
      </c>
      <c r="F7736" t="str">
        <f>"WORLD HISTORY"</f>
        <v>WORLD HISTORY</v>
      </c>
      <c r="G7736" t="str">
        <f>"17-1754"</f>
        <v>17-1754</v>
      </c>
      <c r="H7736" t="str">
        <f>"B"</f>
        <v>B</v>
      </c>
    </row>
    <row r="7737" spans="1:8" x14ac:dyDescent="0.2">
      <c r="A7737" t="str">
        <f t="shared" si="2826"/>
        <v>0623072997</v>
      </c>
      <c r="B7737" t="str">
        <f t="shared" si="2827"/>
        <v>ANNIYAH</v>
      </c>
      <c r="C7737" t="str">
        <f t="shared" si="2828"/>
        <v>HOWLAND</v>
      </c>
      <c r="D7737">
        <f>10</f>
        <v>10</v>
      </c>
      <c r="E7737" t="str">
        <f>"05 - B - 106 - Jacquelyn M Neeson"</f>
        <v>05 - B - 106 - Jacquelyn M Neeson</v>
      </c>
      <c r="F7737" t="str">
        <f>"ENG 2"</f>
        <v>ENG 2</v>
      </c>
      <c r="G7737" t="str">
        <f>"17-1715"</f>
        <v>17-1715</v>
      </c>
      <c r="H7737" t="str">
        <f>"B"</f>
        <v>B</v>
      </c>
    </row>
    <row r="7738" spans="1:8" x14ac:dyDescent="0.2">
      <c r="A7738" t="str">
        <f t="shared" si="2826"/>
        <v>0623072997</v>
      </c>
      <c r="B7738" t="str">
        <f t="shared" si="2827"/>
        <v>ANNIYAH</v>
      </c>
      <c r="C7738" t="str">
        <f t="shared" si="2828"/>
        <v>HOWLAND</v>
      </c>
      <c r="D7738">
        <f>10</f>
        <v>10</v>
      </c>
      <c r="E7738" t="str">
        <f>"01 - A - 102 - Lytrell T Dixon"</f>
        <v>01 - A - 102 - Lytrell T Dixon</v>
      </c>
      <c r="F7738" t="str">
        <f>"BIOLOGY 1"</f>
        <v>BIOLOGY 1</v>
      </c>
      <c r="G7738" t="str">
        <f>"08-808"</f>
        <v>08-808</v>
      </c>
      <c r="H7738" t="str">
        <f>"A"</f>
        <v>A</v>
      </c>
    </row>
    <row r="7739" spans="1:8" x14ac:dyDescent="0.2">
      <c r="A7739" t="str">
        <f t="shared" si="2826"/>
        <v>0623072997</v>
      </c>
      <c r="B7739" t="str">
        <f t="shared" si="2827"/>
        <v>ANNIYAH</v>
      </c>
      <c r="C7739" t="str">
        <f t="shared" si="2828"/>
        <v>HOWLAND</v>
      </c>
      <c r="D7739">
        <f>10</f>
        <v>10</v>
      </c>
      <c r="E7739" t="str">
        <f>"08 - B - 108 - Tina L Lovett"</f>
        <v>08 - B - 108 - Tina L Lovett</v>
      </c>
      <c r="F7739" t="str">
        <f>"FDN SKLS MATH 9-12"</f>
        <v>FDN SKLS MATH 9-12</v>
      </c>
      <c r="G7739" t="str">
        <f>"21-2153"</f>
        <v>21-2153</v>
      </c>
      <c r="H7739" t="str">
        <f>"B"</f>
        <v>B</v>
      </c>
    </row>
    <row r="7740" spans="1:8" x14ac:dyDescent="0.2">
      <c r="A7740" t="str">
        <f t="shared" ref="A7740:A7747" si="2829">"0615139786"</f>
        <v>0615139786</v>
      </c>
      <c r="B7740" t="str">
        <f t="shared" ref="B7740:B7747" si="2830">"JADELYN"</f>
        <v>JADELYN</v>
      </c>
      <c r="C7740" t="str">
        <f t="shared" ref="C7740:C7747" si="2831">"HOYTE"</f>
        <v>HOYTE</v>
      </c>
      <c r="D7740">
        <f>10</f>
        <v>10</v>
      </c>
      <c r="E7740" t="str">
        <f>"04 - A - 101 - Brian M Fitzgerald"</f>
        <v>04 - A - 101 - Brian M Fitzgerald</v>
      </c>
      <c r="F7740" t="str">
        <f>"DRAW 2"</f>
        <v>DRAW 2</v>
      </c>
      <c r="G7740" t="str">
        <f>"09-908"</f>
        <v>09-908</v>
      </c>
      <c r="H7740" t="str">
        <f>"A"</f>
        <v>A</v>
      </c>
    </row>
    <row r="7741" spans="1:8" x14ac:dyDescent="0.2">
      <c r="A7741" t="str">
        <f t="shared" si="2829"/>
        <v>0615139786</v>
      </c>
      <c r="B7741" t="str">
        <f t="shared" si="2830"/>
        <v>JADELYN</v>
      </c>
      <c r="C7741" t="str">
        <f t="shared" si="2831"/>
        <v>HOYTE</v>
      </c>
      <c r="D7741">
        <f>10</f>
        <v>10</v>
      </c>
      <c r="E7741" t="str">
        <f>"06 - B - 117 - Daniel S Tyson"</f>
        <v>06 - B - 117 - Daniel S Tyson</v>
      </c>
      <c r="F7741" t="str">
        <f>"NC STUDY HALL 1"</f>
        <v>NC STUDY HALL 1</v>
      </c>
      <c r="G7741" t="str">
        <f>"05-510"</f>
        <v>05-510</v>
      </c>
      <c r="H7741" t="str">
        <f>"B"</f>
        <v>B</v>
      </c>
    </row>
    <row r="7742" spans="1:8" x14ac:dyDescent="0.2">
      <c r="A7742" t="str">
        <f t="shared" si="2829"/>
        <v>0615139786</v>
      </c>
      <c r="B7742" t="str">
        <f t="shared" si="2830"/>
        <v>JADELYN</v>
      </c>
      <c r="C7742" t="str">
        <f t="shared" si="2831"/>
        <v>HOYTE</v>
      </c>
      <c r="D7742">
        <f>10</f>
        <v>10</v>
      </c>
      <c r="E7742" t="str">
        <f>"03 - A - 106 - Krystal Marie  Beruty"</f>
        <v>03 - A - 106 - Krystal Marie  Beruty</v>
      </c>
      <c r="F7742" t="str">
        <f>"AICE PSYCH 1 AS"</f>
        <v>AICE PSYCH 1 AS</v>
      </c>
      <c r="G7742" t="str">
        <f>"17-1721"</f>
        <v>17-1721</v>
      </c>
      <c r="H7742" t="str">
        <f>"A"</f>
        <v>A</v>
      </c>
    </row>
    <row r="7743" spans="1:8" x14ac:dyDescent="0.2">
      <c r="A7743" t="str">
        <f t="shared" si="2829"/>
        <v>0615139786</v>
      </c>
      <c r="B7743" t="str">
        <f t="shared" si="2830"/>
        <v>JADELYN</v>
      </c>
      <c r="C7743" t="str">
        <f t="shared" si="2831"/>
        <v>HOYTE</v>
      </c>
      <c r="D7743">
        <f>10</f>
        <v>10</v>
      </c>
      <c r="E7743" t="str">
        <f>"02 - A - 102 - Jacklyn M James"</f>
        <v>02 - A - 102 - Jacklyn M James</v>
      </c>
      <c r="F7743" t="str">
        <f>"AICE ENG LANG AS"</f>
        <v>AICE ENG LANG AS</v>
      </c>
      <c r="G7743" t="str">
        <f>"17-1731"</f>
        <v>17-1731</v>
      </c>
      <c r="H7743" t="str">
        <f>"A"</f>
        <v>A</v>
      </c>
    </row>
    <row r="7744" spans="1:8" x14ac:dyDescent="0.2">
      <c r="A7744" t="str">
        <f t="shared" si="2829"/>
        <v>0615139786</v>
      </c>
      <c r="B7744" t="str">
        <f t="shared" si="2830"/>
        <v>JADELYN</v>
      </c>
      <c r="C7744" t="str">
        <f t="shared" si="2831"/>
        <v>HOYTE</v>
      </c>
      <c r="D7744">
        <f>10</f>
        <v>10</v>
      </c>
      <c r="E7744" t="str">
        <f>"07 - B - 204 - Elizabeth Ellen  Moran"</f>
        <v>07 - B - 204 - Elizabeth Ellen  Moran</v>
      </c>
      <c r="F7744" t="str">
        <f>"AICE EURO HIST 1 AS"</f>
        <v>AICE EURO HIST 1 AS</v>
      </c>
      <c r="G7744" t="str">
        <f>"17-1752"</f>
        <v>17-1752</v>
      </c>
      <c r="H7744" t="str">
        <f>"B"</f>
        <v>B</v>
      </c>
    </row>
    <row r="7745" spans="1:8" x14ac:dyDescent="0.2">
      <c r="A7745" t="str">
        <f t="shared" si="2829"/>
        <v>0615139786</v>
      </c>
      <c r="B7745" t="str">
        <f t="shared" si="2830"/>
        <v>JADELYN</v>
      </c>
      <c r="C7745" t="str">
        <f t="shared" si="2831"/>
        <v>HOYTE</v>
      </c>
      <c r="D7745">
        <f>10</f>
        <v>10</v>
      </c>
      <c r="E7745" t="str">
        <f>"05 - B - 104 - Lourivaldo  Da Silva"</f>
        <v>05 - B - 104 - Lourivaldo  Da Silva</v>
      </c>
      <c r="F7745" t="str">
        <f>"PRE-CALCULUS HON"</f>
        <v>PRE-CALCULUS HON</v>
      </c>
      <c r="G7745" t="str">
        <f>"20-2079"</f>
        <v>20-2079</v>
      </c>
      <c r="H7745" t="str">
        <f>"B"</f>
        <v>B</v>
      </c>
    </row>
    <row r="7746" spans="1:8" x14ac:dyDescent="0.2">
      <c r="A7746" t="str">
        <f t="shared" si="2829"/>
        <v>0615139786</v>
      </c>
      <c r="B7746" t="str">
        <f t="shared" si="2830"/>
        <v>JADELYN</v>
      </c>
      <c r="C7746" t="str">
        <f t="shared" si="2831"/>
        <v>HOYTE</v>
      </c>
      <c r="D7746">
        <f>10</f>
        <v>10</v>
      </c>
      <c r="E7746" t="str">
        <f>"01 - A - 201 - Chrystina M Marchionne"</f>
        <v>01 - A - 201 - Chrystina M Marchionne</v>
      </c>
      <c r="F7746" t="str">
        <f>"AICE MEDIASTUDIES AS"</f>
        <v>AICE MEDIASTUDIES AS</v>
      </c>
      <c r="G7746" t="str">
        <f>"05-520"</f>
        <v>05-520</v>
      </c>
      <c r="H7746" t="str">
        <f>"A"</f>
        <v>A</v>
      </c>
    </row>
    <row r="7747" spans="1:8" x14ac:dyDescent="0.2">
      <c r="A7747" t="str">
        <f t="shared" si="2829"/>
        <v>0615139786</v>
      </c>
      <c r="B7747" t="str">
        <f t="shared" si="2830"/>
        <v>JADELYN</v>
      </c>
      <c r="C7747" t="str">
        <f t="shared" si="2831"/>
        <v>HOYTE</v>
      </c>
      <c r="D7747">
        <f>10</f>
        <v>10</v>
      </c>
      <c r="E7747" t="str">
        <f>"08 - B - 001 - Scott A Dethloff"</f>
        <v>08 - B - 001 - Scott A Dethloff</v>
      </c>
      <c r="F7747" t="str">
        <f>"CHEMISTRY 1 HON"</f>
        <v>CHEMISTRY 1 HON</v>
      </c>
      <c r="G7747" t="str">
        <f>"08-812"</f>
        <v>08-812</v>
      </c>
      <c r="H7747" t="str">
        <f>"B"</f>
        <v>B</v>
      </c>
    </row>
    <row r="7748" spans="1:8" x14ac:dyDescent="0.2">
      <c r="A7748" t="str">
        <f t="shared" ref="A7748:A7756" si="2832">"0615090267"</f>
        <v>0615090267</v>
      </c>
      <c r="B7748" t="str">
        <f t="shared" ref="B7748:B7756" si="2833">"KATHRYN"</f>
        <v>KATHRYN</v>
      </c>
      <c r="C7748" t="str">
        <f t="shared" ref="C7748:C7756" si="2834">"HUBER"</f>
        <v>HUBER</v>
      </c>
      <c r="D7748">
        <f>11</f>
        <v>11</v>
      </c>
      <c r="E7748" t="str">
        <f>"19 - S1 - MTWHF - UF - Instructor UF"</f>
        <v>19 - S1 - MTWHF - UF - Instructor UF</v>
      </c>
      <c r="F7748" t="str">
        <f>"CALC/ANALYT GEOM III"</f>
        <v>CALC/ANALYT GEOM III</v>
      </c>
      <c r="G7748" t="str">
        <f>"60-DE"</f>
        <v>60-DE</v>
      </c>
      <c r="H7748" t="str">
        <f>"-"</f>
        <v>-</v>
      </c>
    </row>
    <row r="7749" spans="1:8" x14ac:dyDescent="0.2">
      <c r="A7749" t="str">
        <f t="shared" si="2832"/>
        <v>0615090267</v>
      </c>
      <c r="B7749" t="str">
        <f t="shared" si="2833"/>
        <v>KATHRYN</v>
      </c>
      <c r="C7749" t="str">
        <f t="shared" si="2834"/>
        <v>HUBER</v>
      </c>
      <c r="D7749">
        <f>11</f>
        <v>11</v>
      </c>
      <c r="E7749" t="str">
        <f>"04 - A - 201 - Vanessa J Liburd"</f>
        <v>04 - A - 201 - Vanessa J Liburd</v>
      </c>
      <c r="F7749" t="str">
        <f>"FRENCH 4 HON"</f>
        <v>FRENCH 4 HON</v>
      </c>
      <c r="G7749" t="str">
        <f>"05-519"</f>
        <v>05-519</v>
      </c>
      <c r="H7749" t="str">
        <f>"A"</f>
        <v>A</v>
      </c>
    </row>
    <row r="7750" spans="1:8" x14ac:dyDescent="0.2">
      <c r="A7750" t="str">
        <f t="shared" si="2832"/>
        <v>0615090267</v>
      </c>
      <c r="B7750" t="str">
        <f t="shared" si="2833"/>
        <v>KATHRYN</v>
      </c>
      <c r="C7750" t="str">
        <f t="shared" si="2834"/>
        <v>HUBER</v>
      </c>
      <c r="D7750">
        <f>11</f>
        <v>11</v>
      </c>
      <c r="E7750" t="str">
        <f>"06 - B - 102 - Stephen T Ripp"</f>
        <v>06 - B - 102 - Stephen T Ripp</v>
      </c>
      <c r="F7750" t="str">
        <f>"AP U.S. HIST"</f>
        <v>AP U.S. HIST</v>
      </c>
      <c r="G7750" t="str">
        <f>"17-1744"</f>
        <v>17-1744</v>
      </c>
      <c r="H7750" t="str">
        <f>"B"</f>
        <v>B</v>
      </c>
    </row>
    <row r="7751" spans="1:8" x14ac:dyDescent="0.2">
      <c r="A7751" t="str">
        <f t="shared" si="2832"/>
        <v>0615090267</v>
      </c>
      <c r="B7751" t="str">
        <f t="shared" si="2833"/>
        <v>KATHRYN</v>
      </c>
      <c r="C7751" t="str">
        <f t="shared" si="2834"/>
        <v>HUBER</v>
      </c>
      <c r="D7751">
        <f>11</f>
        <v>11</v>
      </c>
      <c r="E7751" t="str">
        <f>"03 - A - 101 - Jacqueline R Morphet"</f>
        <v>03 - A - 101 - Jacqueline R Morphet</v>
      </c>
      <c r="F7751" t="str">
        <f>"AP PHYSICS 1"</f>
        <v>AP PHYSICS 1</v>
      </c>
      <c r="G7751" t="str">
        <f>"21-2138"</f>
        <v>21-2138</v>
      </c>
      <c r="H7751" t="str">
        <f>"A"</f>
        <v>A</v>
      </c>
    </row>
    <row r="7752" spans="1:8" x14ac:dyDescent="0.2">
      <c r="A7752" t="str">
        <f t="shared" si="2832"/>
        <v>0615090267</v>
      </c>
      <c r="B7752" t="str">
        <f t="shared" si="2833"/>
        <v>KATHRYN</v>
      </c>
      <c r="C7752" t="str">
        <f t="shared" si="2834"/>
        <v>HUBER</v>
      </c>
      <c r="D7752">
        <f>11</f>
        <v>11</v>
      </c>
      <c r="E7752" t="str">
        <f>"02 - A - 107 - Elizabeth Ellen  Moran"</f>
        <v>02 - A - 107 - Elizabeth Ellen  Moran</v>
      </c>
      <c r="F7752" t="str">
        <f>"NC STUDY HALL 1"</f>
        <v>NC STUDY HALL 1</v>
      </c>
      <c r="G7752" t="str">
        <f>"17-1752"</f>
        <v>17-1752</v>
      </c>
      <c r="H7752" t="str">
        <f>"A"</f>
        <v>A</v>
      </c>
    </row>
    <row r="7753" spans="1:8" x14ac:dyDescent="0.2">
      <c r="A7753" t="str">
        <f t="shared" si="2832"/>
        <v>0615090267</v>
      </c>
      <c r="B7753" t="str">
        <f t="shared" si="2833"/>
        <v>KATHRYN</v>
      </c>
      <c r="C7753" t="str">
        <f t="shared" si="2834"/>
        <v>HUBER</v>
      </c>
      <c r="D7753">
        <f>11</f>
        <v>11</v>
      </c>
      <c r="E7753" t="str">
        <f>"07 - B - 204 - Stefanie S Scher"</f>
        <v>07 - B - 204 - Stefanie S Scher</v>
      </c>
      <c r="F7753" t="str">
        <f>"AP PSYCH"</f>
        <v>AP PSYCH</v>
      </c>
      <c r="G7753" t="str">
        <f>"17-1735"</f>
        <v>17-1735</v>
      </c>
      <c r="H7753" t="str">
        <f>"B"</f>
        <v>B</v>
      </c>
    </row>
    <row r="7754" spans="1:8" x14ac:dyDescent="0.2">
      <c r="A7754" t="str">
        <f t="shared" si="2832"/>
        <v>0615090267</v>
      </c>
      <c r="B7754" t="str">
        <f t="shared" si="2833"/>
        <v>KATHRYN</v>
      </c>
      <c r="C7754" t="str">
        <f t="shared" si="2834"/>
        <v>HUBER</v>
      </c>
      <c r="D7754">
        <f>11</f>
        <v>11</v>
      </c>
      <c r="E7754" t="str">
        <f>"05 - B - 103 - Tina M Jaramillo"</f>
        <v>05 - B - 103 - Tina M Jaramillo</v>
      </c>
      <c r="F7754" t="str">
        <f>"AP ENG COMPO"</f>
        <v>AP ENG COMPO</v>
      </c>
      <c r="G7754" t="str">
        <f>"17-1706"</f>
        <v>17-1706</v>
      </c>
      <c r="H7754" t="str">
        <f>"B"</f>
        <v>B</v>
      </c>
    </row>
    <row r="7755" spans="1:8" x14ac:dyDescent="0.2">
      <c r="A7755" t="str">
        <f t="shared" si="2832"/>
        <v>0615090267</v>
      </c>
      <c r="B7755" t="str">
        <f t="shared" si="2833"/>
        <v>KATHRYN</v>
      </c>
      <c r="C7755" t="str">
        <f t="shared" si="2834"/>
        <v>HUBER</v>
      </c>
      <c r="D7755">
        <f>11</f>
        <v>11</v>
      </c>
      <c r="E7755" t="str">
        <f>"01 - A - 101 - Lisa J London"</f>
        <v>01 - A - 101 - Lisa J London</v>
      </c>
      <c r="F7755" t="str">
        <f>"AP CAPSTONE SEMINAR"</f>
        <v>AP CAPSTONE SEMINAR</v>
      </c>
      <c r="G7755" t="str">
        <f>"17-1714"</f>
        <v>17-1714</v>
      </c>
      <c r="H7755" t="str">
        <f>"A"</f>
        <v>A</v>
      </c>
    </row>
    <row r="7756" spans="1:8" x14ac:dyDescent="0.2">
      <c r="A7756" t="str">
        <f t="shared" si="2832"/>
        <v>0615090267</v>
      </c>
      <c r="B7756" t="str">
        <f t="shared" si="2833"/>
        <v>KATHRYN</v>
      </c>
      <c r="C7756" t="str">
        <f t="shared" si="2834"/>
        <v>HUBER</v>
      </c>
      <c r="D7756">
        <f>11</f>
        <v>11</v>
      </c>
      <c r="E7756" t="str">
        <f>"08 - B - 107 - Taraneh C Abreu"</f>
        <v>08 - B - 107 - Taraneh C Abreu</v>
      </c>
      <c r="F7756" t="str">
        <f>"RESEARCH 1 LH"</f>
        <v>RESEARCH 1 LH</v>
      </c>
      <c r="G7756">
        <f>2041</f>
        <v>2041</v>
      </c>
      <c r="H7756" t="str">
        <f>"B"</f>
        <v>B</v>
      </c>
    </row>
    <row r="7757" spans="1:8" x14ac:dyDescent="0.2">
      <c r="A7757" t="str">
        <f t="shared" ref="A7757:A7764" si="2835">"0616122423"</f>
        <v>0616122423</v>
      </c>
      <c r="B7757" t="str">
        <f t="shared" ref="B7757:B7764" si="2836">"CONNOR"</f>
        <v>CONNOR</v>
      </c>
      <c r="C7757" t="str">
        <f t="shared" ref="C7757:C7780" si="2837">"HUGHES"</f>
        <v>HUGHES</v>
      </c>
      <c r="D7757">
        <f>12</f>
        <v>12</v>
      </c>
      <c r="E7757" t="str">
        <f>"04 - A - 103 - Cliffon  Saurel"</f>
        <v>04 - A - 103 - Cliffon  Saurel</v>
      </c>
      <c r="F7757" t="str">
        <f>"PHYSICAL SCI"</f>
        <v>PHYSICAL SCI</v>
      </c>
      <c r="G7757" t="str">
        <f>"05-522"</f>
        <v>05-522</v>
      </c>
      <c r="H7757" t="str">
        <f>"A"</f>
        <v>A</v>
      </c>
    </row>
    <row r="7758" spans="1:8" x14ac:dyDescent="0.2">
      <c r="A7758" t="str">
        <f t="shared" si="2835"/>
        <v>0616122423</v>
      </c>
      <c r="B7758" t="str">
        <f t="shared" si="2836"/>
        <v>CONNOR</v>
      </c>
      <c r="C7758" t="str">
        <f t="shared" si="2837"/>
        <v>HUGHES</v>
      </c>
      <c r="D7758">
        <f>12</f>
        <v>12</v>
      </c>
      <c r="E7758" t="str">
        <f>"06 - B - 105 - Robyn L Trainer"</f>
        <v>06 - B - 105 - Robyn L Trainer</v>
      </c>
      <c r="F7758" t="str">
        <f>"NC STUDY HALL 1"</f>
        <v>NC STUDY HALL 1</v>
      </c>
      <c r="G7758" t="str">
        <f>"17-1734"</f>
        <v>17-1734</v>
      </c>
      <c r="H7758" t="str">
        <f>"B"</f>
        <v>B</v>
      </c>
    </row>
    <row r="7759" spans="1:8" x14ac:dyDescent="0.2">
      <c r="A7759" t="str">
        <f t="shared" si="2835"/>
        <v>0616122423</v>
      </c>
      <c r="B7759" t="str">
        <f t="shared" si="2836"/>
        <v>CONNOR</v>
      </c>
      <c r="C7759" t="str">
        <f t="shared" si="2837"/>
        <v>HUGHES</v>
      </c>
      <c r="D7759">
        <f>12</f>
        <v>12</v>
      </c>
      <c r="E7759" t="str">
        <f>"03 - S1 - A - 002 - Barbara L Segal"</f>
        <v>03 - S1 - A - 002 - Barbara L Segal</v>
      </c>
      <c r="F7759" t="str">
        <f>"US GOVT"</f>
        <v>US GOVT</v>
      </c>
      <c r="G7759" t="str">
        <f>"17-1742"</f>
        <v>17-1742</v>
      </c>
      <c r="H7759" t="str">
        <f>"A"</f>
        <v>A</v>
      </c>
    </row>
    <row r="7760" spans="1:8" x14ac:dyDescent="0.2">
      <c r="A7760" t="str">
        <f t="shared" si="2835"/>
        <v>0616122423</v>
      </c>
      <c r="B7760" t="str">
        <f t="shared" si="2836"/>
        <v>CONNOR</v>
      </c>
      <c r="C7760" t="str">
        <f t="shared" si="2837"/>
        <v>HUGHES</v>
      </c>
      <c r="D7760">
        <f>12</f>
        <v>12</v>
      </c>
      <c r="E7760" t="str">
        <f>"02 - A - 101 - Robert H Rindner"</f>
        <v>02 - A - 101 - Robert H Rindner</v>
      </c>
      <c r="F7760" t="str">
        <f>"MATH DATA&amp;FIN LIT H"</f>
        <v>MATH DATA&amp;FIN LIT H</v>
      </c>
      <c r="G7760" t="str">
        <f>"21-2160"</f>
        <v>21-2160</v>
      </c>
      <c r="H7760" t="str">
        <f>"A"</f>
        <v>A</v>
      </c>
    </row>
    <row r="7761" spans="1:8" x14ac:dyDescent="0.2">
      <c r="A7761" t="str">
        <f t="shared" si="2835"/>
        <v>0616122423</v>
      </c>
      <c r="B7761" t="str">
        <f t="shared" si="2836"/>
        <v>CONNOR</v>
      </c>
      <c r="C7761" t="str">
        <f t="shared" si="2837"/>
        <v>HUGHES</v>
      </c>
      <c r="D7761">
        <f>12</f>
        <v>12</v>
      </c>
      <c r="E7761" t="str">
        <f>"07 - B - 104 - Robyn L Trainer"</f>
        <v>07 - B - 104 - Robyn L Trainer</v>
      </c>
      <c r="F7761" t="str">
        <f>"ENG 4"</f>
        <v>ENG 4</v>
      </c>
      <c r="G7761" t="str">
        <f>"17-1734"</f>
        <v>17-1734</v>
      </c>
      <c r="H7761" t="str">
        <f>"B"</f>
        <v>B</v>
      </c>
    </row>
    <row r="7762" spans="1:8" x14ac:dyDescent="0.2">
      <c r="A7762" t="str">
        <f t="shared" si="2835"/>
        <v>0616122423</v>
      </c>
      <c r="B7762" t="str">
        <f t="shared" si="2836"/>
        <v>CONNOR</v>
      </c>
      <c r="C7762" t="str">
        <f t="shared" si="2837"/>
        <v>HUGHES</v>
      </c>
      <c r="D7762">
        <f>12</f>
        <v>12</v>
      </c>
      <c r="E7762" t="str">
        <f>"05 - B - 101 - Alejandro  Navarro"</f>
        <v>05 - B - 101 - Alejandro  Navarro</v>
      </c>
      <c r="F7762" t="str">
        <f>"JAZZ ENS 1"</f>
        <v>JAZZ ENS 1</v>
      </c>
      <c r="G7762" t="str">
        <f>"05-504"</f>
        <v>05-504</v>
      </c>
      <c r="H7762" t="str">
        <f>"B"</f>
        <v>B</v>
      </c>
    </row>
    <row r="7763" spans="1:8" x14ac:dyDescent="0.2">
      <c r="A7763" t="str">
        <f t="shared" si="2835"/>
        <v>0616122423</v>
      </c>
      <c r="B7763" t="str">
        <f t="shared" si="2836"/>
        <v>CONNOR</v>
      </c>
      <c r="C7763" t="str">
        <f t="shared" si="2837"/>
        <v>HUGHES</v>
      </c>
      <c r="D7763">
        <f>12</f>
        <v>12</v>
      </c>
      <c r="E7763" t="str">
        <f>"01 - A - 201 - Chrystina M Marchionne"</f>
        <v>01 - A - 201 - Chrystina M Marchionne</v>
      </c>
      <c r="F7763" t="str">
        <f>"AICE MEDIASTUDIES AS"</f>
        <v>AICE MEDIASTUDIES AS</v>
      </c>
      <c r="G7763" t="str">
        <f>"05-520"</f>
        <v>05-520</v>
      </c>
      <c r="H7763" t="str">
        <f>"A"</f>
        <v>A</v>
      </c>
    </row>
    <row r="7764" spans="1:8" x14ac:dyDescent="0.2">
      <c r="A7764" t="str">
        <f t="shared" si="2835"/>
        <v>0616122423</v>
      </c>
      <c r="B7764" t="str">
        <f t="shared" si="2836"/>
        <v>CONNOR</v>
      </c>
      <c r="C7764" t="str">
        <f t="shared" si="2837"/>
        <v>HUGHES</v>
      </c>
      <c r="D7764">
        <f>12</f>
        <v>12</v>
      </c>
      <c r="E7764" t="str">
        <f>"08 - S1 - B - 104 - Leslie J Barton"</f>
        <v>08 - S1 - B - 104 - Leslie J Barton</v>
      </c>
      <c r="F7764" t="str">
        <f>"TEAM SPORTS 1"</f>
        <v>TEAM SPORTS 1</v>
      </c>
      <c r="G7764" t="str">
        <f>"04-254"</f>
        <v>04-254</v>
      </c>
      <c r="H7764" t="str">
        <f>"B"</f>
        <v>B</v>
      </c>
    </row>
    <row r="7765" spans="1:8" x14ac:dyDescent="0.2">
      <c r="A7765" t="str">
        <f t="shared" ref="A7765:A7772" si="2838">"0616012717"</f>
        <v>0616012717</v>
      </c>
      <c r="B7765" t="str">
        <f t="shared" ref="B7765:B7772" si="2839">"EDRIC"</f>
        <v>EDRIC</v>
      </c>
      <c r="C7765" t="str">
        <f t="shared" si="2837"/>
        <v>HUGHES</v>
      </c>
      <c r="D7765" t="str">
        <f t="shared" ref="D7765:D7780" si="2840">"09"</f>
        <v>09</v>
      </c>
      <c r="E7765" t="str">
        <f>"04 - A - 102 - Tina L Lovett"</f>
        <v>04 - A - 102 - Tina L Lovett</v>
      </c>
      <c r="F7765" t="str">
        <f>"ALGEBRA 1"</f>
        <v>ALGEBRA 1</v>
      </c>
      <c r="G7765" t="str">
        <f>"21-2153"</f>
        <v>21-2153</v>
      </c>
      <c r="H7765" t="str">
        <f>"A"</f>
        <v>A</v>
      </c>
    </row>
    <row r="7766" spans="1:8" x14ac:dyDescent="0.2">
      <c r="A7766" t="str">
        <f t="shared" si="2838"/>
        <v>0616012717</v>
      </c>
      <c r="B7766" t="str">
        <f t="shared" si="2839"/>
        <v>EDRIC</v>
      </c>
      <c r="C7766" t="str">
        <f t="shared" si="2837"/>
        <v>HUGHES</v>
      </c>
      <c r="D7766" t="str">
        <f t="shared" si="2840"/>
        <v>09</v>
      </c>
      <c r="E7766" t="str">
        <f>"06 - B - 002 - Amy Beth  Broyles"</f>
        <v>06 - B - 002 - Amy Beth  Broyles</v>
      </c>
      <c r="F7766" t="str">
        <f>"ENV SCI"</f>
        <v>ENV SCI</v>
      </c>
      <c r="G7766" t="str">
        <f>"08-802"</f>
        <v>08-802</v>
      </c>
      <c r="H7766" t="str">
        <f>"B"</f>
        <v>B</v>
      </c>
    </row>
    <row r="7767" spans="1:8" x14ac:dyDescent="0.2">
      <c r="A7767" t="str">
        <f t="shared" si="2838"/>
        <v>0616012717</v>
      </c>
      <c r="B7767" t="str">
        <f t="shared" si="2839"/>
        <v>EDRIC</v>
      </c>
      <c r="C7767" t="str">
        <f t="shared" si="2837"/>
        <v>HUGHES</v>
      </c>
      <c r="D7767" t="str">
        <f t="shared" si="2840"/>
        <v>09</v>
      </c>
      <c r="E7767" t="str">
        <f>"03 - A - 105 - Cheryl Anne  Berman-Schechter"</f>
        <v>03 - A - 105 - Cheryl Anne  Berman-Schechter</v>
      </c>
      <c r="F7767" t="str">
        <f>"ENG 1"</f>
        <v>ENG 1</v>
      </c>
      <c r="G7767" t="str">
        <f>"17-1722"</f>
        <v>17-1722</v>
      </c>
      <c r="H7767" t="str">
        <f>"A"</f>
        <v>A</v>
      </c>
    </row>
    <row r="7768" spans="1:8" x14ac:dyDescent="0.2">
      <c r="A7768" t="str">
        <f t="shared" si="2838"/>
        <v>0616012717</v>
      </c>
      <c r="B7768" t="str">
        <f t="shared" si="2839"/>
        <v>EDRIC</v>
      </c>
      <c r="C7768" t="str">
        <f t="shared" si="2837"/>
        <v>HUGHES</v>
      </c>
      <c r="D7768" t="str">
        <f t="shared" si="2840"/>
        <v>09</v>
      </c>
      <c r="E7768" t="str">
        <f>"02 - A - 104 - Jazmin S Fletcher"</f>
        <v>02 - A - 104 - Jazmin S Fletcher</v>
      </c>
      <c r="F7768" t="str">
        <f>"NC STUDY HALL 1"</f>
        <v>NC STUDY HALL 1</v>
      </c>
      <c r="G7768" t="str">
        <f>"09-909"</f>
        <v>09-909</v>
      </c>
      <c r="H7768" t="str">
        <f>"A"</f>
        <v>A</v>
      </c>
    </row>
    <row r="7769" spans="1:8" x14ac:dyDescent="0.2">
      <c r="A7769" t="str">
        <f t="shared" si="2838"/>
        <v>0616012717</v>
      </c>
      <c r="B7769" t="str">
        <f t="shared" si="2839"/>
        <v>EDRIC</v>
      </c>
      <c r="C7769" t="str">
        <f t="shared" si="2837"/>
        <v>HUGHES</v>
      </c>
      <c r="D7769" t="str">
        <f t="shared" si="2840"/>
        <v>09</v>
      </c>
      <c r="E7769" t="str">
        <f>"07 - B - 105 - Laselleda D Shaw"</f>
        <v>07 - B - 105 - Laselleda D Shaw</v>
      </c>
      <c r="F7769" t="str">
        <f>"INTENS READ 1"</f>
        <v>INTENS READ 1</v>
      </c>
      <c r="G7769" t="str">
        <f>"17-1723"</f>
        <v>17-1723</v>
      </c>
      <c r="H7769" t="str">
        <f>"B"</f>
        <v>B</v>
      </c>
    </row>
    <row r="7770" spans="1:8" x14ac:dyDescent="0.2">
      <c r="A7770" t="str">
        <f t="shared" si="2838"/>
        <v>0616012717</v>
      </c>
      <c r="B7770" t="str">
        <f t="shared" si="2839"/>
        <v>EDRIC</v>
      </c>
      <c r="C7770" t="str">
        <f t="shared" si="2837"/>
        <v>HUGHES</v>
      </c>
      <c r="D7770" t="str">
        <f t="shared" si="2840"/>
        <v>09</v>
      </c>
      <c r="E7770" t="str">
        <f>"05 - B - 105 - Adam Marcus  Drucker"</f>
        <v>05 - B - 105 - Adam Marcus  Drucker</v>
      </c>
      <c r="F7770" t="str">
        <f>"HOPE-PE V"</f>
        <v>HOPE-PE V</v>
      </c>
      <c r="G7770" t="str">
        <f>"04-254"</f>
        <v>04-254</v>
      </c>
      <c r="H7770" t="str">
        <f>"B"</f>
        <v>B</v>
      </c>
    </row>
    <row r="7771" spans="1:8" x14ac:dyDescent="0.2">
      <c r="A7771" t="str">
        <f t="shared" si="2838"/>
        <v>0616012717</v>
      </c>
      <c r="B7771" t="str">
        <f t="shared" si="2839"/>
        <v>EDRIC</v>
      </c>
      <c r="C7771" t="str">
        <f t="shared" si="2837"/>
        <v>HUGHES</v>
      </c>
      <c r="D7771" t="str">
        <f t="shared" si="2840"/>
        <v>09</v>
      </c>
      <c r="E7771" t="str">
        <f>"01 - A - 107 - Jazmin S Fletcher"</f>
        <v>01 - A - 107 - Jazmin S Fletcher</v>
      </c>
      <c r="F7771" t="str">
        <f>"WORLD HISTORY"</f>
        <v>WORLD HISTORY</v>
      </c>
      <c r="G7771" t="str">
        <f>"09-909"</f>
        <v>09-909</v>
      </c>
      <c r="H7771" t="str">
        <f>"A"</f>
        <v>A</v>
      </c>
    </row>
    <row r="7772" spans="1:8" x14ac:dyDescent="0.2">
      <c r="A7772" t="str">
        <f t="shared" si="2838"/>
        <v>0616012717</v>
      </c>
      <c r="B7772" t="str">
        <f t="shared" si="2839"/>
        <v>EDRIC</v>
      </c>
      <c r="C7772" t="str">
        <f t="shared" si="2837"/>
        <v>HUGHES</v>
      </c>
      <c r="D7772" t="str">
        <f t="shared" si="2840"/>
        <v>09</v>
      </c>
      <c r="E7772" t="str">
        <f>"08 - B - 108 - Tina L Lovett"</f>
        <v>08 - B - 108 - Tina L Lovett</v>
      </c>
      <c r="F7772" t="str">
        <f>"FDN SKLS MATH 9-12"</f>
        <v>FDN SKLS MATH 9-12</v>
      </c>
      <c r="G7772" t="str">
        <f>"21-2153"</f>
        <v>21-2153</v>
      </c>
      <c r="H7772" t="str">
        <f>"B"</f>
        <v>B</v>
      </c>
    </row>
    <row r="7773" spans="1:8" x14ac:dyDescent="0.2">
      <c r="A7773" t="str">
        <f t="shared" ref="A7773:A7780" si="2841">"0617008401"</f>
        <v>0617008401</v>
      </c>
      <c r="B7773" t="str">
        <f t="shared" ref="B7773:B7780" si="2842">"EMMA"</f>
        <v>EMMA</v>
      </c>
      <c r="C7773" t="str">
        <f t="shared" si="2837"/>
        <v>HUGHES</v>
      </c>
      <c r="D7773" t="str">
        <f t="shared" si="2840"/>
        <v>09</v>
      </c>
      <c r="E7773" t="str">
        <f>"04 - A - 203 - Cheryl L Beach"</f>
        <v>04 - A - 203 - Cheryl L Beach</v>
      </c>
      <c r="F7773" t="str">
        <f>"AICE ENV MGMNT AS"</f>
        <v>AICE ENV MGMNT AS</v>
      </c>
      <c r="G7773" t="str">
        <f>"08-811"</f>
        <v>08-811</v>
      </c>
      <c r="H7773" t="str">
        <f>"A"</f>
        <v>A</v>
      </c>
    </row>
    <row r="7774" spans="1:8" x14ac:dyDescent="0.2">
      <c r="A7774" t="str">
        <f t="shared" si="2841"/>
        <v>0617008401</v>
      </c>
      <c r="B7774" t="str">
        <f t="shared" si="2842"/>
        <v>EMMA</v>
      </c>
      <c r="C7774" t="str">
        <f t="shared" si="2837"/>
        <v>HUGHES</v>
      </c>
      <c r="D7774" t="str">
        <f t="shared" si="2840"/>
        <v>09</v>
      </c>
      <c r="E7774" t="str">
        <f>"06 - B - 104 - Eva T Rimmer"</f>
        <v>06 - B - 104 - Eva T Rimmer</v>
      </c>
      <c r="F7774" t="str">
        <f>"CRIMINAL JUST OPS 1"</f>
        <v>CRIMINAL JUST OPS 1</v>
      </c>
      <c r="G7774" t="str">
        <f>"05-523"</f>
        <v>05-523</v>
      </c>
      <c r="H7774" t="str">
        <f>"B"</f>
        <v>B</v>
      </c>
    </row>
    <row r="7775" spans="1:8" x14ac:dyDescent="0.2">
      <c r="A7775" t="str">
        <f t="shared" si="2841"/>
        <v>0617008401</v>
      </c>
      <c r="B7775" t="str">
        <f t="shared" si="2842"/>
        <v>EMMA</v>
      </c>
      <c r="C7775" t="str">
        <f t="shared" si="2837"/>
        <v>HUGHES</v>
      </c>
      <c r="D7775" t="str">
        <f t="shared" si="2840"/>
        <v>09</v>
      </c>
      <c r="E7775" t="str">
        <f>"03 - A - 203 - Elizabeth R Walker"</f>
        <v>03 - A - 203 - Elizabeth R Walker</v>
      </c>
      <c r="F7775" t="str">
        <f>"AICE ENG GEN PAPER 1"</f>
        <v>AICE ENG GEN PAPER 1</v>
      </c>
      <c r="G7775" t="str">
        <f>"17-1703"</f>
        <v>17-1703</v>
      </c>
      <c r="H7775" t="str">
        <f>"A"</f>
        <v>A</v>
      </c>
    </row>
    <row r="7776" spans="1:8" x14ac:dyDescent="0.2">
      <c r="A7776" t="str">
        <f t="shared" si="2841"/>
        <v>0617008401</v>
      </c>
      <c r="B7776" t="str">
        <f t="shared" si="2842"/>
        <v>EMMA</v>
      </c>
      <c r="C7776" t="str">
        <f t="shared" si="2837"/>
        <v>HUGHES</v>
      </c>
      <c r="D7776" t="str">
        <f t="shared" si="2840"/>
        <v>09</v>
      </c>
      <c r="E7776" t="str">
        <f>"02 - A - 106 - Helen A Flores"</f>
        <v>02 - A - 106 - Helen A Flores</v>
      </c>
      <c r="F7776" t="str">
        <f>"NC STUDY HALL 1"</f>
        <v>NC STUDY HALL 1</v>
      </c>
      <c r="G7776" t="str">
        <f>"21-2101"</f>
        <v>21-2101</v>
      </c>
      <c r="H7776" t="str">
        <f>"A"</f>
        <v>A</v>
      </c>
    </row>
    <row r="7777" spans="1:8" x14ac:dyDescent="0.2">
      <c r="A7777" t="str">
        <f t="shared" si="2841"/>
        <v>0617008401</v>
      </c>
      <c r="B7777" t="str">
        <f t="shared" si="2842"/>
        <v>EMMA</v>
      </c>
      <c r="C7777" t="str">
        <f t="shared" si="2837"/>
        <v>HUGHES</v>
      </c>
      <c r="D7777" t="str">
        <f t="shared" si="2840"/>
        <v>09</v>
      </c>
      <c r="E7777" t="str">
        <f>"07 - B - 002 - Jazmin S Fletcher"</f>
        <v>07 - B - 002 - Jazmin S Fletcher</v>
      </c>
      <c r="F7777" t="str">
        <f>"THEATRE 1"</f>
        <v>THEATRE 1</v>
      </c>
      <c r="G7777" t="str">
        <f>"09-909"</f>
        <v>09-909</v>
      </c>
      <c r="H7777" t="str">
        <f>"B"</f>
        <v>B</v>
      </c>
    </row>
    <row r="7778" spans="1:8" x14ac:dyDescent="0.2">
      <c r="A7778" t="str">
        <f t="shared" si="2841"/>
        <v>0617008401</v>
      </c>
      <c r="B7778" t="str">
        <f t="shared" si="2842"/>
        <v>EMMA</v>
      </c>
      <c r="C7778" t="str">
        <f t="shared" si="2837"/>
        <v>HUGHES</v>
      </c>
      <c r="D7778" t="str">
        <f t="shared" si="2840"/>
        <v>09</v>
      </c>
      <c r="E7778" t="str">
        <f>"05 - B - 003 - Krystal Marie  Beruty"</f>
        <v>05 - B - 003 - Krystal Marie  Beruty</v>
      </c>
      <c r="F7778" t="str">
        <f>"AICE GLBL PERSP 1 AS"</f>
        <v>AICE GLBL PERSP 1 AS</v>
      </c>
      <c r="G7778" t="str">
        <f>"17-1721"</f>
        <v>17-1721</v>
      </c>
      <c r="H7778" t="str">
        <f>"B"</f>
        <v>B</v>
      </c>
    </row>
    <row r="7779" spans="1:8" x14ac:dyDescent="0.2">
      <c r="A7779" t="str">
        <f t="shared" si="2841"/>
        <v>0617008401</v>
      </c>
      <c r="B7779" t="str">
        <f t="shared" si="2842"/>
        <v>EMMA</v>
      </c>
      <c r="C7779" t="str">
        <f t="shared" si="2837"/>
        <v>HUGHES</v>
      </c>
      <c r="D7779" t="str">
        <f t="shared" si="2840"/>
        <v>09</v>
      </c>
      <c r="E7779" t="str">
        <f>"01 - A - 101 - Maried P Ramos"</f>
        <v>01 - A - 101 - Maried P Ramos</v>
      </c>
      <c r="F7779" t="str">
        <f>"ALGEBRA 2 HON"</f>
        <v>ALGEBRA 2 HON</v>
      </c>
      <c r="G7779" t="str">
        <f>"21-2159"</f>
        <v>21-2159</v>
      </c>
      <c r="H7779" t="str">
        <f>"A"</f>
        <v>A</v>
      </c>
    </row>
    <row r="7780" spans="1:8" x14ac:dyDescent="0.2">
      <c r="A7780" t="str">
        <f t="shared" si="2841"/>
        <v>0617008401</v>
      </c>
      <c r="B7780" t="str">
        <f t="shared" si="2842"/>
        <v>EMMA</v>
      </c>
      <c r="C7780" t="str">
        <f t="shared" si="2837"/>
        <v>HUGHES</v>
      </c>
      <c r="D7780" t="str">
        <f t="shared" si="2840"/>
        <v>09</v>
      </c>
      <c r="E7780" t="str">
        <f>"08 - B - 201 - Tina M Jaramillo"</f>
        <v>08 - B - 201 - Tina M Jaramillo</v>
      </c>
      <c r="F7780" t="str">
        <f>"CREATIVE WRIT 3 HON"</f>
        <v>CREATIVE WRIT 3 HON</v>
      </c>
      <c r="G7780" t="str">
        <f>"17-1706"</f>
        <v>17-1706</v>
      </c>
      <c r="H7780" t="str">
        <f>"B"</f>
        <v>B</v>
      </c>
    </row>
    <row r="7781" spans="1:8" x14ac:dyDescent="0.2">
      <c r="A7781" t="str">
        <f t="shared" ref="A7781:A7788" si="2843">"0614139786"</f>
        <v>0614139786</v>
      </c>
      <c r="B7781" t="str">
        <f t="shared" ref="B7781:B7788" si="2844">"ROBERT"</f>
        <v>ROBERT</v>
      </c>
      <c r="C7781" t="str">
        <f t="shared" ref="C7781:C7788" si="2845">"HUGUET"</f>
        <v>HUGUET</v>
      </c>
      <c r="D7781">
        <f>12</f>
        <v>12</v>
      </c>
      <c r="E7781" t="str">
        <f>"04 - A - 101 - Pamela M Corzo"</f>
        <v>04 - A - 101 - Pamela M Corzo</v>
      </c>
      <c r="F7781" t="str">
        <f>"CALCULUS HON"</f>
        <v>CALCULUS HON</v>
      </c>
      <c r="G7781" t="str">
        <f>"21-2133"</f>
        <v>21-2133</v>
      </c>
      <c r="H7781" t="str">
        <f>"A"</f>
        <v>A</v>
      </c>
    </row>
    <row r="7782" spans="1:8" x14ac:dyDescent="0.2">
      <c r="A7782" t="str">
        <f t="shared" si="2843"/>
        <v>0614139786</v>
      </c>
      <c r="B7782" t="str">
        <f t="shared" si="2844"/>
        <v>ROBERT</v>
      </c>
      <c r="C7782" t="str">
        <f t="shared" si="2845"/>
        <v>HUGUET</v>
      </c>
      <c r="D7782">
        <f>12</f>
        <v>12</v>
      </c>
      <c r="E7782" t="str">
        <f>"06 - B - 114 - Lisa J London"</f>
        <v>06 - B - 114 - Lisa J London</v>
      </c>
      <c r="F7782" t="str">
        <f>"NC STUDY HALL 1"</f>
        <v>NC STUDY HALL 1</v>
      </c>
      <c r="G7782" t="str">
        <f>"17-1714"</f>
        <v>17-1714</v>
      </c>
      <c r="H7782" t="str">
        <f>"B"</f>
        <v>B</v>
      </c>
    </row>
    <row r="7783" spans="1:8" x14ac:dyDescent="0.2">
      <c r="A7783" t="str">
        <f t="shared" si="2843"/>
        <v>0614139786</v>
      </c>
      <c r="B7783" t="str">
        <f t="shared" si="2844"/>
        <v>ROBERT</v>
      </c>
      <c r="C7783" t="str">
        <f t="shared" si="2845"/>
        <v>HUGUET</v>
      </c>
      <c r="D7783">
        <f>12</f>
        <v>12</v>
      </c>
      <c r="E7783" t="str">
        <f>"03 - A - 101 - Jacqueline R Morphet"</f>
        <v>03 - A - 101 - Jacqueline R Morphet</v>
      </c>
      <c r="F7783" t="str">
        <f>"AP PHYSICS 1"</f>
        <v>AP PHYSICS 1</v>
      </c>
      <c r="G7783" t="str">
        <f>"21-2138"</f>
        <v>21-2138</v>
      </c>
      <c r="H7783" t="str">
        <f>"A"</f>
        <v>A</v>
      </c>
    </row>
    <row r="7784" spans="1:8" x14ac:dyDescent="0.2">
      <c r="A7784" t="str">
        <f t="shared" si="2843"/>
        <v>0614139786</v>
      </c>
      <c r="B7784" t="str">
        <f t="shared" si="2844"/>
        <v>ROBERT</v>
      </c>
      <c r="C7784" t="str">
        <f t="shared" si="2845"/>
        <v>HUGUET</v>
      </c>
      <c r="D7784">
        <f>12</f>
        <v>12</v>
      </c>
      <c r="E7784" t="str">
        <f>"02 - A - 201 - Jeanne M Bermudez"</f>
        <v>02 - A - 201 - Jeanne M Bermudez</v>
      </c>
      <c r="F7784" t="str">
        <f>"AP ENV SCI"</f>
        <v>AP ENV SCI</v>
      </c>
      <c r="G7784" t="str">
        <f>"21-2141"</f>
        <v>21-2141</v>
      </c>
      <c r="H7784" t="str">
        <f>"A"</f>
        <v>A</v>
      </c>
    </row>
    <row r="7785" spans="1:8" x14ac:dyDescent="0.2">
      <c r="A7785" t="str">
        <f t="shared" si="2843"/>
        <v>0614139786</v>
      </c>
      <c r="B7785" t="str">
        <f t="shared" si="2844"/>
        <v>ROBERT</v>
      </c>
      <c r="C7785" t="str">
        <f t="shared" si="2845"/>
        <v>HUGUET</v>
      </c>
      <c r="D7785">
        <f>12</f>
        <v>12</v>
      </c>
      <c r="E7785" t="str">
        <f>"07 - S1 - B - 101 - Stephen T Ripp"</f>
        <v>07 - S1 - B - 101 - Stephen T Ripp</v>
      </c>
      <c r="F7785" t="str">
        <f>"AP US GOVT/POL"</f>
        <v>AP US GOVT/POL</v>
      </c>
      <c r="G7785" t="str">
        <f>"17-1744"</f>
        <v>17-1744</v>
      </c>
      <c r="H7785" t="str">
        <f>"B"</f>
        <v>B</v>
      </c>
    </row>
    <row r="7786" spans="1:8" x14ac:dyDescent="0.2">
      <c r="A7786" t="str">
        <f t="shared" si="2843"/>
        <v>0614139786</v>
      </c>
      <c r="B7786" t="str">
        <f t="shared" si="2844"/>
        <v>ROBERT</v>
      </c>
      <c r="C7786" t="str">
        <f t="shared" si="2845"/>
        <v>HUGUET</v>
      </c>
      <c r="D7786">
        <f>12</f>
        <v>12</v>
      </c>
      <c r="E7786" t="str">
        <f>"05 - B - 101 - Alejandro  Navarro"</f>
        <v>05 - B - 101 - Alejandro  Navarro</v>
      </c>
      <c r="F7786" t="str">
        <f>"JAZZ ENS 1"</f>
        <v>JAZZ ENS 1</v>
      </c>
      <c r="G7786" t="str">
        <f>"05-504"</f>
        <v>05-504</v>
      </c>
      <c r="H7786" t="str">
        <f>"B"</f>
        <v>B</v>
      </c>
    </row>
    <row r="7787" spans="1:8" x14ac:dyDescent="0.2">
      <c r="A7787" t="str">
        <f t="shared" si="2843"/>
        <v>0614139786</v>
      </c>
      <c r="B7787" t="str">
        <f t="shared" si="2844"/>
        <v>ROBERT</v>
      </c>
      <c r="C7787" t="str">
        <f t="shared" si="2845"/>
        <v>HUGUET</v>
      </c>
      <c r="D7787">
        <f>12</f>
        <v>12</v>
      </c>
      <c r="E7787" t="str">
        <f>"01 - A - 204 - Tina M Jaramillo"</f>
        <v>01 - A - 204 - Tina M Jaramillo</v>
      </c>
      <c r="F7787" t="str">
        <f>"AP ENG LIT COMPO"</f>
        <v>AP ENG LIT COMPO</v>
      </c>
      <c r="G7787" t="str">
        <f>"17-1706"</f>
        <v>17-1706</v>
      </c>
      <c r="H7787" t="str">
        <f>"A"</f>
        <v>A</v>
      </c>
    </row>
    <row r="7788" spans="1:8" x14ac:dyDescent="0.2">
      <c r="A7788" t="str">
        <f t="shared" si="2843"/>
        <v>0614139786</v>
      </c>
      <c r="B7788" t="str">
        <f t="shared" si="2844"/>
        <v>ROBERT</v>
      </c>
      <c r="C7788" t="str">
        <f t="shared" si="2845"/>
        <v>HUGUET</v>
      </c>
      <c r="D7788">
        <f>12</f>
        <v>12</v>
      </c>
      <c r="E7788" t="str">
        <f>"08 - B - 102 - Lisa J London"</f>
        <v>08 - B - 102 - Lisa J London</v>
      </c>
      <c r="F7788" t="str">
        <f>"AP CAPSTONE RESEARCH"</f>
        <v>AP CAPSTONE RESEARCH</v>
      </c>
      <c r="G7788" t="str">
        <f>"17-1714"</f>
        <v>17-1714</v>
      </c>
      <c r="H7788" t="str">
        <f>"B"</f>
        <v>B</v>
      </c>
    </row>
    <row r="7789" spans="1:8" x14ac:dyDescent="0.2">
      <c r="A7789" t="str">
        <f t="shared" ref="A7789:A7796" si="2846">"0617078255"</f>
        <v>0617078255</v>
      </c>
      <c r="B7789" t="str">
        <f t="shared" ref="B7789:B7796" si="2847">"DA"</f>
        <v>DA</v>
      </c>
      <c r="C7789" t="str">
        <f t="shared" ref="C7789:C7796" si="2848">"HUO"</f>
        <v>HUO</v>
      </c>
      <c r="D7789">
        <f>10</f>
        <v>10</v>
      </c>
      <c r="E7789" t="str">
        <f>"04 - A - 105 - Jacklyn M James"</f>
        <v>04 - A - 105 - Jacklyn M James</v>
      </c>
      <c r="F7789" t="str">
        <f>"AICE ENG LANG AS"</f>
        <v>AICE ENG LANG AS</v>
      </c>
      <c r="G7789" t="str">
        <f>"17-1731"</f>
        <v>17-1731</v>
      </c>
      <c r="H7789" t="str">
        <f>"A"</f>
        <v>A</v>
      </c>
    </row>
    <row r="7790" spans="1:8" x14ac:dyDescent="0.2">
      <c r="A7790" t="str">
        <f t="shared" si="2846"/>
        <v>0617078255</v>
      </c>
      <c r="B7790" t="str">
        <f t="shared" si="2847"/>
        <v>DA</v>
      </c>
      <c r="C7790" t="str">
        <f t="shared" si="2848"/>
        <v>HUO</v>
      </c>
      <c r="D7790">
        <f>10</f>
        <v>10</v>
      </c>
      <c r="E7790" t="str">
        <f>"06 - B - 119 - Nikiel  Nesbeth"</f>
        <v>06 - B - 119 - Nikiel  Nesbeth</v>
      </c>
      <c r="F7790" t="str">
        <f>"NC STUDY HALL 1"</f>
        <v>NC STUDY HALL 1</v>
      </c>
      <c r="G7790" t="str">
        <f>"17-1705"</f>
        <v>17-1705</v>
      </c>
      <c r="H7790" t="str">
        <f>"B"</f>
        <v>B</v>
      </c>
    </row>
    <row r="7791" spans="1:8" x14ac:dyDescent="0.2">
      <c r="A7791" t="str">
        <f t="shared" si="2846"/>
        <v>0617078255</v>
      </c>
      <c r="B7791" t="str">
        <f t="shared" si="2847"/>
        <v>DA</v>
      </c>
      <c r="C7791" t="str">
        <f t="shared" si="2848"/>
        <v>HUO</v>
      </c>
      <c r="D7791">
        <f>10</f>
        <v>10</v>
      </c>
      <c r="E7791" t="str">
        <f>"03 - A - 002 - Lenecy  Nodarse"</f>
        <v>03 - A - 002 - Lenecy  Nodarse</v>
      </c>
      <c r="F7791" t="str">
        <f>"AICE EURO HIST 1 AS"</f>
        <v>AICE EURO HIST 1 AS</v>
      </c>
      <c r="G7791" t="str">
        <f>"17-1741"</f>
        <v>17-1741</v>
      </c>
      <c r="H7791" t="str">
        <f>"A"</f>
        <v>A</v>
      </c>
    </row>
    <row r="7792" spans="1:8" x14ac:dyDescent="0.2">
      <c r="A7792" t="str">
        <f t="shared" si="2846"/>
        <v>0617078255</v>
      </c>
      <c r="B7792" t="str">
        <f t="shared" si="2847"/>
        <v>DA</v>
      </c>
      <c r="C7792" t="str">
        <f t="shared" si="2848"/>
        <v>HUO</v>
      </c>
      <c r="D7792">
        <f>10</f>
        <v>10</v>
      </c>
      <c r="E7792" t="str">
        <f>"02 - A - 104 - Scott A Dethloff"</f>
        <v>02 - A - 104 - Scott A Dethloff</v>
      </c>
      <c r="F7792" t="str">
        <f>"CHEMISTRY 1 HON"</f>
        <v>CHEMISTRY 1 HON</v>
      </c>
      <c r="G7792" t="str">
        <f>"08-812"</f>
        <v>08-812</v>
      </c>
      <c r="H7792" t="str">
        <f>"A"</f>
        <v>A</v>
      </c>
    </row>
    <row r="7793" spans="1:8" x14ac:dyDescent="0.2">
      <c r="A7793" t="str">
        <f t="shared" si="2846"/>
        <v>0617078255</v>
      </c>
      <c r="B7793" t="str">
        <f t="shared" si="2847"/>
        <v>DA</v>
      </c>
      <c r="C7793" t="str">
        <f t="shared" si="2848"/>
        <v>HUO</v>
      </c>
      <c r="D7793">
        <f>10</f>
        <v>10</v>
      </c>
      <c r="E7793" t="str">
        <f>"07 - B - 101 - Fernando  Vega-Cid"</f>
        <v>07 - B - 101 - Fernando  Vega-Cid</v>
      </c>
      <c r="F7793" t="str">
        <f>"AP PRECALCULUS"</f>
        <v>AP PRECALCULUS</v>
      </c>
      <c r="G7793" t="str">
        <f>"21-2163"</f>
        <v>21-2163</v>
      </c>
      <c r="H7793" t="str">
        <f>"B"</f>
        <v>B</v>
      </c>
    </row>
    <row r="7794" spans="1:8" x14ac:dyDescent="0.2">
      <c r="A7794" t="str">
        <f t="shared" si="2846"/>
        <v>0617078255</v>
      </c>
      <c r="B7794" t="str">
        <f t="shared" si="2847"/>
        <v>DA</v>
      </c>
      <c r="C7794" t="str">
        <f t="shared" si="2848"/>
        <v>HUO</v>
      </c>
      <c r="D7794">
        <f>10</f>
        <v>10</v>
      </c>
      <c r="E7794" t="str">
        <f>"05 - B - 203 - Chrystina M Marchionne"</f>
        <v>05 - B - 203 - Chrystina M Marchionne</v>
      </c>
      <c r="F7794" t="str">
        <f>"AICE MEDIASTUDIES AS"</f>
        <v>AICE MEDIASTUDIES AS</v>
      </c>
      <c r="G7794" t="str">
        <f>"05-520"</f>
        <v>05-520</v>
      </c>
      <c r="H7794" t="str">
        <f>"B"</f>
        <v>B</v>
      </c>
    </row>
    <row r="7795" spans="1:8" x14ac:dyDescent="0.2">
      <c r="A7795" t="str">
        <f t="shared" si="2846"/>
        <v>0617078255</v>
      </c>
      <c r="B7795" t="str">
        <f t="shared" si="2847"/>
        <v>DA</v>
      </c>
      <c r="C7795" t="str">
        <f t="shared" si="2848"/>
        <v>HUO</v>
      </c>
      <c r="D7795">
        <f>10</f>
        <v>10</v>
      </c>
      <c r="E7795" t="str">
        <f>"01 - A - 103 - Scott A Dethloff"</f>
        <v>01 - A - 103 - Scott A Dethloff</v>
      </c>
      <c r="F7795" t="str">
        <f>"AICE THINK SKLS 1 AS"</f>
        <v>AICE THINK SKLS 1 AS</v>
      </c>
      <c r="G7795" t="str">
        <f>"08-812"</f>
        <v>08-812</v>
      </c>
      <c r="H7795" t="str">
        <f>"A"</f>
        <v>A</v>
      </c>
    </row>
    <row r="7796" spans="1:8" x14ac:dyDescent="0.2">
      <c r="A7796" t="str">
        <f t="shared" si="2846"/>
        <v>0617078255</v>
      </c>
      <c r="B7796" t="str">
        <f t="shared" si="2847"/>
        <v>DA</v>
      </c>
      <c r="C7796" t="str">
        <f t="shared" si="2848"/>
        <v>HUO</v>
      </c>
      <c r="D7796">
        <f>10</f>
        <v>10</v>
      </c>
      <c r="E7796" t="str">
        <f>"08 - B - 101 - Jordana K Hass"</f>
        <v>08 - B - 101 - Jordana K Hass</v>
      </c>
      <c r="F7796" t="str">
        <f>"AICE INFO TECH 1 AS"</f>
        <v>AICE INFO TECH 1 AS</v>
      </c>
      <c r="G7796" t="str">
        <f>"08-807"</f>
        <v>08-807</v>
      </c>
      <c r="H7796" t="str">
        <f>"B"</f>
        <v>B</v>
      </c>
    </row>
    <row r="7797" spans="1:8" x14ac:dyDescent="0.2">
      <c r="A7797" t="str">
        <f t="shared" ref="A7797:A7805" si="2849">"0613036549"</f>
        <v>0613036549</v>
      </c>
      <c r="B7797" t="str">
        <f t="shared" ref="B7797:B7805" si="2850">"MAKAYLA"</f>
        <v>MAKAYLA</v>
      </c>
      <c r="C7797" t="str">
        <f t="shared" ref="C7797:C7805" si="2851">"HURST"</f>
        <v>HURST</v>
      </c>
      <c r="D7797">
        <f>12</f>
        <v>12</v>
      </c>
      <c r="E7797" t="str">
        <f>"04 - A - 106 - Marielle A Witting"</f>
        <v>04 - A - 106 - Marielle A Witting</v>
      </c>
      <c r="F7797" t="str">
        <f>"ANAT PHYSIO"</f>
        <v>ANAT PHYSIO</v>
      </c>
      <c r="G7797" t="str">
        <f>"08-805"</f>
        <v>08-805</v>
      </c>
      <c r="H7797" t="str">
        <f>"A"</f>
        <v>A</v>
      </c>
    </row>
    <row r="7798" spans="1:8" x14ac:dyDescent="0.2">
      <c r="A7798" t="str">
        <f t="shared" si="2849"/>
        <v>0613036549</v>
      </c>
      <c r="B7798" t="str">
        <f t="shared" si="2850"/>
        <v>MAKAYLA</v>
      </c>
      <c r="C7798" t="str">
        <f t="shared" si="2851"/>
        <v>HURST</v>
      </c>
      <c r="D7798">
        <f>12</f>
        <v>12</v>
      </c>
      <c r="E7798" t="str">
        <f>"06 - B - 116 - Karen A Toomer"</f>
        <v>06 - B - 116 - Karen A Toomer</v>
      </c>
      <c r="F7798" t="str">
        <f>"LANG THERAPY"</f>
        <v>LANG THERAPY</v>
      </c>
      <c r="G7798" t="str">
        <f>"21-2110"</f>
        <v>21-2110</v>
      </c>
      <c r="H7798" t="str">
        <f>"B"</f>
        <v>B</v>
      </c>
    </row>
    <row r="7799" spans="1:8" x14ac:dyDescent="0.2">
      <c r="A7799" t="str">
        <f t="shared" si="2849"/>
        <v>0613036549</v>
      </c>
      <c r="B7799" t="str">
        <f t="shared" si="2850"/>
        <v>MAKAYLA</v>
      </c>
      <c r="C7799" t="str">
        <f t="shared" si="2851"/>
        <v>HURST</v>
      </c>
      <c r="D7799">
        <f>12</f>
        <v>12</v>
      </c>
      <c r="E7799" t="str">
        <f>"06 - B - 102 - Andrea A Amison"</f>
        <v>06 - B - 102 - Andrea A Amison</v>
      </c>
      <c r="F7799" t="str">
        <f>"NC STUDY HALL 1"</f>
        <v>NC STUDY HALL 1</v>
      </c>
      <c r="G7799" t="str">
        <f>"09-922C"</f>
        <v>09-922C</v>
      </c>
      <c r="H7799" t="str">
        <f>"B"</f>
        <v>B</v>
      </c>
    </row>
    <row r="7800" spans="1:8" x14ac:dyDescent="0.2">
      <c r="A7800" t="str">
        <f t="shared" si="2849"/>
        <v>0613036549</v>
      </c>
      <c r="B7800" t="str">
        <f t="shared" si="2850"/>
        <v>MAKAYLA</v>
      </c>
      <c r="C7800" t="str">
        <f t="shared" si="2851"/>
        <v>HURST</v>
      </c>
      <c r="D7800">
        <f>12</f>
        <v>12</v>
      </c>
      <c r="E7800" t="str">
        <f>"03 - S1 - A - 102 - Angela S Adeshina-Morrison"</f>
        <v>03 - S1 - A - 102 - Angela S Adeshina-Morrison</v>
      </c>
      <c r="F7800" t="str">
        <f>"PEER COUN 1"</f>
        <v>PEER COUN 1</v>
      </c>
      <c r="G7800" t="str">
        <f>"05-518"</f>
        <v>05-518</v>
      </c>
      <c r="H7800" t="str">
        <f>"A"</f>
        <v>A</v>
      </c>
    </row>
    <row r="7801" spans="1:8" x14ac:dyDescent="0.2">
      <c r="A7801" t="str">
        <f t="shared" si="2849"/>
        <v>0613036549</v>
      </c>
      <c r="B7801" t="str">
        <f t="shared" si="2850"/>
        <v>MAKAYLA</v>
      </c>
      <c r="C7801" t="str">
        <f t="shared" si="2851"/>
        <v>HURST</v>
      </c>
      <c r="D7801">
        <f>12</f>
        <v>12</v>
      </c>
      <c r="E7801" t="str">
        <f>"02 - A - 101 - Robert H Rindner"</f>
        <v>02 - A - 101 - Robert H Rindner</v>
      </c>
      <c r="F7801" t="str">
        <f>"MATH DATA&amp;FIN LIT H"</f>
        <v>MATH DATA&amp;FIN LIT H</v>
      </c>
      <c r="G7801" t="str">
        <f>"21-2160"</f>
        <v>21-2160</v>
      </c>
      <c r="H7801" t="str">
        <f>"A"</f>
        <v>A</v>
      </c>
    </row>
    <row r="7802" spans="1:8" x14ac:dyDescent="0.2">
      <c r="A7802" t="str">
        <f t="shared" si="2849"/>
        <v>0613036549</v>
      </c>
      <c r="B7802" t="str">
        <f t="shared" si="2850"/>
        <v>MAKAYLA</v>
      </c>
      <c r="C7802" t="str">
        <f t="shared" si="2851"/>
        <v>HURST</v>
      </c>
      <c r="D7802">
        <f>12</f>
        <v>12</v>
      </c>
      <c r="E7802" t="str">
        <f>"07 - S1 - B - 103 - Leslie J Barton"</f>
        <v>07 - S1 - B - 103 - Leslie J Barton</v>
      </c>
      <c r="F7802" t="str">
        <f>"TEAM SPORTS 1"</f>
        <v>TEAM SPORTS 1</v>
      </c>
      <c r="G7802" t="str">
        <f>"04-254"</f>
        <v>04-254</v>
      </c>
      <c r="H7802" t="str">
        <f>"B"</f>
        <v>B</v>
      </c>
    </row>
    <row r="7803" spans="1:8" x14ac:dyDescent="0.2">
      <c r="A7803" t="str">
        <f t="shared" si="2849"/>
        <v>0613036549</v>
      </c>
      <c r="B7803" t="str">
        <f t="shared" si="2850"/>
        <v>MAKAYLA</v>
      </c>
      <c r="C7803" t="str">
        <f t="shared" si="2851"/>
        <v>HURST</v>
      </c>
      <c r="D7803">
        <f>12</f>
        <v>12</v>
      </c>
      <c r="E7803" t="str">
        <f>"05 - S1 - B - 102 - Robert O Burger"</f>
        <v>05 - S1 - B - 102 - Robert O Burger</v>
      </c>
      <c r="F7803" t="str">
        <f>"US GOVT"</f>
        <v>US GOVT</v>
      </c>
      <c r="G7803" t="str">
        <f>"17-1755"</f>
        <v>17-1755</v>
      </c>
      <c r="H7803" t="str">
        <f>"B"</f>
        <v>B</v>
      </c>
    </row>
    <row r="7804" spans="1:8" x14ac:dyDescent="0.2">
      <c r="A7804" t="str">
        <f t="shared" si="2849"/>
        <v>0613036549</v>
      </c>
      <c r="B7804" t="str">
        <f t="shared" si="2850"/>
        <v>MAKAYLA</v>
      </c>
      <c r="C7804" t="str">
        <f t="shared" si="2851"/>
        <v>HURST</v>
      </c>
      <c r="D7804">
        <f>12</f>
        <v>12</v>
      </c>
      <c r="E7804" t="str">
        <f>"01 - A - 103 - Robyn L Trainer"</f>
        <v>01 - A - 103 - Robyn L Trainer</v>
      </c>
      <c r="F7804" t="str">
        <f>"ENG 4"</f>
        <v>ENG 4</v>
      </c>
      <c r="G7804" t="str">
        <f>"17-1734"</f>
        <v>17-1734</v>
      </c>
      <c r="H7804" t="str">
        <f>"A"</f>
        <v>A</v>
      </c>
    </row>
    <row r="7805" spans="1:8" x14ac:dyDescent="0.2">
      <c r="A7805" t="str">
        <f t="shared" si="2849"/>
        <v>0613036549</v>
      </c>
      <c r="B7805" t="str">
        <f t="shared" si="2850"/>
        <v>MAKAYLA</v>
      </c>
      <c r="C7805" t="str">
        <f t="shared" si="2851"/>
        <v>HURST</v>
      </c>
      <c r="D7805">
        <f>12</f>
        <v>12</v>
      </c>
      <c r="E7805" t="str">
        <f>"08 - B - 102 - Carleigh R Carmichael"</f>
        <v>08 - B - 102 - Carleigh R Carmichael</v>
      </c>
      <c r="F7805" t="str">
        <f>"LRNG STRATEGIES 9-12"</f>
        <v>LRNG STRATEGIES 9-12</v>
      </c>
      <c r="G7805" t="str">
        <f>"20-2072"</f>
        <v>20-2072</v>
      </c>
      <c r="H7805" t="str">
        <f>"B"</f>
        <v>B</v>
      </c>
    </row>
    <row r="7806" spans="1:8" x14ac:dyDescent="0.2">
      <c r="A7806" t="str">
        <f t="shared" ref="A7806:A7814" si="2852">"0612121585"</f>
        <v>0612121585</v>
      </c>
      <c r="B7806" t="str">
        <f t="shared" ref="B7806:B7814" si="2853">"ALEXANDER"</f>
        <v>ALEXANDER</v>
      </c>
      <c r="C7806" t="str">
        <f t="shared" ref="C7806:C7814" si="2854">"HYLTON"</f>
        <v>HYLTON</v>
      </c>
      <c r="D7806">
        <f>10</f>
        <v>10</v>
      </c>
      <c r="E7806" t="str">
        <f>"04 - S1 - A - 101 - Kyle  Robbins"</f>
        <v>04 - S1 - A - 101 - Kyle  Robbins</v>
      </c>
      <c r="F7806" t="str">
        <f>"PERS FIN &amp; MON MGT H"</f>
        <v>PERS FIN &amp; MON MGT H</v>
      </c>
      <c r="G7806" t="str">
        <f>"17-1745"</f>
        <v>17-1745</v>
      </c>
      <c r="H7806" t="str">
        <f>"A"</f>
        <v>A</v>
      </c>
    </row>
    <row r="7807" spans="1:8" x14ac:dyDescent="0.2">
      <c r="A7807" t="str">
        <f t="shared" si="2852"/>
        <v>0612121585</v>
      </c>
      <c r="B7807" t="str">
        <f t="shared" si="2853"/>
        <v>ALEXANDER</v>
      </c>
      <c r="C7807" t="str">
        <f t="shared" si="2854"/>
        <v>HYLTON</v>
      </c>
      <c r="D7807">
        <f>10</f>
        <v>10</v>
      </c>
      <c r="E7807" t="str">
        <f>"06 - B - 001 - Ferrie J Arostique"</f>
        <v>06 - B - 001 - Ferrie J Arostique</v>
      </c>
      <c r="F7807" t="str">
        <f>"NC STUDY HALL 1"</f>
        <v>NC STUDY HALL 1</v>
      </c>
      <c r="G7807" t="str">
        <f>"21-2139"</f>
        <v>21-2139</v>
      </c>
      <c r="H7807" t="str">
        <f>"B"</f>
        <v>B</v>
      </c>
    </row>
    <row r="7808" spans="1:8" x14ac:dyDescent="0.2">
      <c r="A7808" t="str">
        <f t="shared" si="2852"/>
        <v>0612121585</v>
      </c>
      <c r="B7808" t="str">
        <f t="shared" si="2853"/>
        <v>ALEXANDER</v>
      </c>
      <c r="C7808" t="str">
        <f t="shared" si="2854"/>
        <v>HYLTON</v>
      </c>
      <c r="D7808">
        <f>10</f>
        <v>10</v>
      </c>
      <c r="E7808" t="str">
        <f>"06 - B - 106 - Eric  Lopapa"</f>
        <v>06 - B - 106 - Eric  Lopapa</v>
      </c>
      <c r="F7808" t="str">
        <f>"LANG THERAPY"</f>
        <v>LANG THERAPY</v>
      </c>
      <c r="G7808" t="str">
        <f>"21-2110"</f>
        <v>21-2110</v>
      </c>
      <c r="H7808" t="str">
        <f>"B"</f>
        <v>B</v>
      </c>
    </row>
    <row r="7809" spans="1:8" x14ac:dyDescent="0.2">
      <c r="A7809" t="str">
        <f t="shared" si="2852"/>
        <v>0612121585</v>
      </c>
      <c r="B7809" t="str">
        <f t="shared" si="2853"/>
        <v>ALEXANDER</v>
      </c>
      <c r="C7809" t="str">
        <f t="shared" si="2854"/>
        <v>HYLTON</v>
      </c>
      <c r="D7809">
        <f>10</f>
        <v>10</v>
      </c>
      <c r="E7809" t="str">
        <f>"03 - A - 002 - Ferrie J Arostique"</f>
        <v>03 - A - 002 - Ferrie J Arostique</v>
      </c>
      <c r="F7809" t="str">
        <f>"GEOMETRY"</f>
        <v>GEOMETRY</v>
      </c>
      <c r="G7809" t="str">
        <f>"21-2139"</f>
        <v>21-2139</v>
      </c>
      <c r="H7809" t="str">
        <f>"A"</f>
        <v>A</v>
      </c>
    </row>
    <row r="7810" spans="1:8" x14ac:dyDescent="0.2">
      <c r="A7810" t="str">
        <f t="shared" si="2852"/>
        <v>0612121585</v>
      </c>
      <c r="B7810" t="str">
        <f t="shared" si="2853"/>
        <v>ALEXANDER</v>
      </c>
      <c r="C7810" t="str">
        <f t="shared" si="2854"/>
        <v>HYLTON</v>
      </c>
      <c r="D7810">
        <f>10</f>
        <v>10</v>
      </c>
      <c r="E7810" t="str">
        <f>"02 - S1 - A - 102 - Richard E Dunbar Iii"</f>
        <v>02 - S1 - A - 102 - Richard E Dunbar Iii</v>
      </c>
      <c r="F7810" t="str">
        <f>"WEIGHT TRAIN 1"</f>
        <v>WEIGHT TRAIN 1</v>
      </c>
      <c r="G7810" t="str">
        <f>"05-501"</f>
        <v>05-501</v>
      </c>
      <c r="H7810" t="str">
        <f>"A"</f>
        <v>A</v>
      </c>
    </row>
    <row r="7811" spans="1:8" x14ac:dyDescent="0.2">
      <c r="A7811" t="str">
        <f t="shared" si="2852"/>
        <v>0612121585</v>
      </c>
      <c r="B7811" t="str">
        <f t="shared" si="2853"/>
        <v>ALEXANDER</v>
      </c>
      <c r="C7811" t="str">
        <f t="shared" si="2854"/>
        <v>HYLTON</v>
      </c>
      <c r="D7811">
        <f>10</f>
        <v>10</v>
      </c>
      <c r="E7811" t="str">
        <f>"07 - B - 107 - Lytrell T Dixon"</f>
        <v>07 - B - 107 - Lytrell T Dixon</v>
      </c>
      <c r="F7811" t="str">
        <f>"BIOLOGY 1"</f>
        <v>BIOLOGY 1</v>
      </c>
      <c r="G7811" t="str">
        <f>"08-808"</f>
        <v>08-808</v>
      </c>
      <c r="H7811" t="str">
        <f>"B"</f>
        <v>B</v>
      </c>
    </row>
    <row r="7812" spans="1:8" x14ac:dyDescent="0.2">
      <c r="A7812" t="str">
        <f t="shared" si="2852"/>
        <v>0612121585</v>
      </c>
      <c r="B7812" t="str">
        <f t="shared" si="2853"/>
        <v>ALEXANDER</v>
      </c>
      <c r="C7812" t="str">
        <f t="shared" si="2854"/>
        <v>HYLTON</v>
      </c>
      <c r="D7812">
        <f>10</f>
        <v>10</v>
      </c>
      <c r="E7812" t="str">
        <f>"05 - B - 104 - Daniel S Tyson"</f>
        <v>05 - B - 104 - Daniel S Tyson</v>
      </c>
      <c r="F7812" t="str">
        <f>"JROTC NAVAL SCI 1"</f>
        <v>JROTC NAVAL SCI 1</v>
      </c>
      <c r="G7812" t="str">
        <f>"05-510"</f>
        <v>05-510</v>
      </c>
      <c r="H7812" t="str">
        <f>"B"</f>
        <v>B</v>
      </c>
    </row>
    <row r="7813" spans="1:8" x14ac:dyDescent="0.2">
      <c r="A7813" t="str">
        <f t="shared" si="2852"/>
        <v>0612121585</v>
      </c>
      <c r="B7813" t="str">
        <f t="shared" si="2853"/>
        <v>ALEXANDER</v>
      </c>
      <c r="C7813" t="str">
        <f t="shared" si="2854"/>
        <v>HYLTON</v>
      </c>
      <c r="D7813">
        <f>10</f>
        <v>10</v>
      </c>
      <c r="E7813" t="str">
        <f>"01 - A - 101 - Taraneh C Abreu"</f>
        <v>01 - A - 101 - Taraneh C Abreu</v>
      </c>
      <c r="F7813" t="str">
        <f>"INTENS READ 2"</f>
        <v>INTENS READ 2</v>
      </c>
      <c r="G7813" t="str">
        <f>"17-1713"</f>
        <v>17-1713</v>
      </c>
      <c r="H7813" t="str">
        <f>"A"</f>
        <v>A</v>
      </c>
    </row>
    <row r="7814" spans="1:8" x14ac:dyDescent="0.2">
      <c r="A7814" t="str">
        <f t="shared" si="2852"/>
        <v>0612121585</v>
      </c>
      <c r="B7814" t="str">
        <f t="shared" si="2853"/>
        <v>ALEXANDER</v>
      </c>
      <c r="C7814" t="str">
        <f t="shared" si="2854"/>
        <v>HYLTON</v>
      </c>
      <c r="D7814">
        <f>10</f>
        <v>10</v>
      </c>
      <c r="E7814" t="str">
        <f>"08 - B - 109 - Nikiel  Nesbeth"</f>
        <v>08 - B - 109 - Nikiel  Nesbeth</v>
      </c>
      <c r="F7814" t="str">
        <f>"ENG 2"</f>
        <v>ENG 2</v>
      </c>
      <c r="G7814" t="str">
        <f>"17-1705"</f>
        <v>17-1705</v>
      </c>
      <c r="H7814" t="str">
        <f>"B"</f>
        <v>B</v>
      </c>
    </row>
    <row r="7815" spans="1:8" x14ac:dyDescent="0.2">
      <c r="A7815" t="str">
        <f t="shared" ref="A7815:A7822" si="2855">"0618092772"</f>
        <v>0618092772</v>
      </c>
      <c r="B7815" t="str">
        <f t="shared" ref="B7815:B7822" si="2856">"CHRISTOPHER"</f>
        <v>CHRISTOPHER</v>
      </c>
      <c r="C7815" t="str">
        <f t="shared" ref="C7815:C7822" si="2857">"IBARRA MARTINEZ"</f>
        <v>IBARRA MARTINEZ</v>
      </c>
      <c r="D7815">
        <f>12</f>
        <v>12</v>
      </c>
      <c r="E7815" t="str">
        <f>"04 - A - 201 - Arthur  Kulawik"</f>
        <v>04 - A - 201 - Arthur  Kulawik</v>
      </c>
      <c r="F7815" t="str">
        <f>"DEBATE 4 HON"</f>
        <v>DEBATE 4 HON</v>
      </c>
      <c r="G7815" t="str">
        <f>"05-506"</f>
        <v>05-506</v>
      </c>
      <c r="H7815" t="str">
        <f>"A"</f>
        <v>A</v>
      </c>
    </row>
    <row r="7816" spans="1:8" x14ac:dyDescent="0.2">
      <c r="A7816" t="str">
        <f t="shared" si="2855"/>
        <v>0618092772</v>
      </c>
      <c r="B7816" t="str">
        <f t="shared" si="2856"/>
        <v>CHRISTOPHER</v>
      </c>
      <c r="C7816" t="str">
        <f t="shared" si="2857"/>
        <v>IBARRA MARTINEZ</v>
      </c>
      <c r="D7816">
        <f>12</f>
        <v>12</v>
      </c>
      <c r="E7816" t="str">
        <f>"06 - B - 103 - Stefanie S Scher"</f>
        <v>06 - B - 103 - Stefanie S Scher</v>
      </c>
      <c r="F7816" t="str">
        <f>"NC STUDY HALL 1"</f>
        <v>NC STUDY HALL 1</v>
      </c>
      <c r="G7816" t="str">
        <f>"17-1735"</f>
        <v>17-1735</v>
      </c>
      <c r="H7816" t="str">
        <f>"B"</f>
        <v>B</v>
      </c>
    </row>
    <row r="7817" spans="1:8" x14ac:dyDescent="0.2">
      <c r="A7817" t="str">
        <f t="shared" si="2855"/>
        <v>0618092772</v>
      </c>
      <c r="B7817" t="str">
        <f t="shared" si="2856"/>
        <v>CHRISTOPHER</v>
      </c>
      <c r="C7817" t="str">
        <f t="shared" si="2857"/>
        <v>IBARRA MARTINEZ</v>
      </c>
      <c r="D7817">
        <f>12</f>
        <v>12</v>
      </c>
      <c r="E7817" t="str">
        <f>"03 - A - 202 - Bruce A Evans"</f>
        <v>03 - A - 202 - Bruce A Evans</v>
      </c>
      <c r="F7817" t="str">
        <f>"HEALTH SCI FOUND HON"</f>
        <v>HEALTH SCI FOUND HON</v>
      </c>
      <c r="G7817" t="str">
        <f>"21-2142"</f>
        <v>21-2142</v>
      </c>
      <c r="H7817" t="str">
        <f>"A"</f>
        <v>A</v>
      </c>
    </row>
    <row r="7818" spans="1:8" x14ac:dyDescent="0.2">
      <c r="A7818" t="str">
        <f t="shared" si="2855"/>
        <v>0618092772</v>
      </c>
      <c r="B7818" t="str">
        <f t="shared" si="2856"/>
        <v>CHRISTOPHER</v>
      </c>
      <c r="C7818" t="str">
        <f t="shared" si="2857"/>
        <v>IBARRA MARTINEZ</v>
      </c>
      <c r="D7818">
        <f>12</f>
        <v>12</v>
      </c>
      <c r="E7818" t="str">
        <f>"02 - A - 102 - Bruce A Evans"</f>
        <v>02 - A - 102 - Bruce A Evans</v>
      </c>
      <c r="F7818" t="str">
        <f>"EMERG MED RESP 3 HON"</f>
        <v>EMERG MED RESP 3 HON</v>
      </c>
      <c r="G7818" t="str">
        <f>"21-2142"</f>
        <v>21-2142</v>
      </c>
      <c r="H7818" t="str">
        <f>"A"</f>
        <v>A</v>
      </c>
    </row>
    <row r="7819" spans="1:8" x14ac:dyDescent="0.2">
      <c r="A7819" t="str">
        <f t="shared" si="2855"/>
        <v>0618092772</v>
      </c>
      <c r="B7819" t="str">
        <f t="shared" si="2856"/>
        <v>CHRISTOPHER</v>
      </c>
      <c r="C7819" t="str">
        <f t="shared" si="2857"/>
        <v>IBARRA MARTINEZ</v>
      </c>
      <c r="D7819">
        <f>12</f>
        <v>12</v>
      </c>
      <c r="E7819" t="str">
        <f>"07 - B - 107 - Semra  Bahadir"</f>
        <v>07 - B - 107 - Semra  Bahadir</v>
      </c>
      <c r="F7819" t="str">
        <f>"MATH COLL ALGEBRA"</f>
        <v>MATH COLL ALGEBRA</v>
      </c>
      <c r="G7819" t="str">
        <f>"21-2107"</f>
        <v>21-2107</v>
      </c>
      <c r="H7819" t="str">
        <f>"B"</f>
        <v>B</v>
      </c>
    </row>
    <row r="7820" spans="1:8" x14ac:dyDescent="0.2">
      <c r="A7820" t="str">
        <f t="shared" si="2855"/>
        <v>0618092772</v>
      </c>
      <c r="B7820" t="str">
        <f t="shared" si="2856"/>
        <v>CHRISTOPHER</v>
      </c>
      <c r="C7820" t="str">
        <f t="shared" si="2857"/>
        <v>IBARRA MARTINEZ</v>
      </c>
      <c r="D7820">
        <f>12</f>
        <v>12</v>
      </c>
      <c r="E7820" t="str">
        <f>"05 - S1 - B - 102 - Barbara L Segal"</f>
        <v>05 - S1 - B - 102 - Barbara L Segal</v>
      </c>
      <c r="F7820" t="str">
        <f>"US GOVT HON"</f>
        <v>US GOVT HON</v>
      </c>
      <c r="G7820" t="str">
        <f>"17-1742"</f>
        <v>17-1742</v>
      </c>
      <c r="H7820" t="str">
        <f>"B"</f>
        <v>B</v>
      </c>
    </row>
    <row r="7821" spans="1:8" x14ac:dyDescent="0.2">
      <c r="A7821" t="str">
        <f t="shared" si="2855"/>
        <v>0618092772</v>
      </c>
      <c r="B7821" t="str">
        <f t="shared" si="2856"/>
        <v>CHRISTOPHER</v>
      </c>
      <c r="C7821" t="str">
        <f t="shared" si="2857"/>
        <v>IBARRA MARTINEZ</v>
      </c>
      <c r="D7821">
        <f>12</f>
        <v>12</v>
      </c>
      <c r="E7821" t="str">
        <f>"01 - A - 201 - Jeanne M Bermudez"</f>
        <v>01 - A - 201 - Jeanne M Bermudez</v>
      </c>
      <c r="F7821" t="str">
        <f>"PHYSICS 1 HON"</f>
        <v>PHYSICS 1 HON</v>
      </c>
      <c r="G7821" t="str">
        <f>"21-2141"</f>
        <v>21-2141</v>
      </c>
      <c r="H7821" t="str">
        <f>"A"</f>
        <v>A</v>
      </c>
    </row>
    <row r="7822" spans="1:8" x14ac:dyDescent="0.2">
      <c r="A7822" t="str">
        <f t="shared" si="2855"/>
        <v>0618092772</v>
      </c>
      <c r="B7822" t="str">
        <f t="shared" si="2856"/>
        <v>CHRISTOPHER</v>
      </c>
      <c r="C7822" t="str">
        <f t="shared" si="2857"/>
        <v>IBARRA MARTINEZ</v>
      </c>
      <c r="D7822">
        <f>12</f>
        <v>12</v>
      </c>
      <c r="E7822" t="str">
        <f>"08 - B - 105 - Jeffrey S Gallagher"</f>
        <v>08 - B - 105 - Jeffrey S Gallagher</v>
      </c>
      <c r="F7822" t="str">
        <f>"ENG HON 4"</f>
        <v>ENG HON 4</v>
      </c>
      <c r="G7822" t="str">
        <f>"17-1724"</f>
        <v>17-1724</v>
      </c>
      <c r="H7822" t="str">
        <f>"B"</f>
        <v>B</v>
      </c>
    </row>
    <row r="7823" spans="1:8" x14ac:dyDescent="0.2">
      <c r="A7823" t="str">
        <f t="shared" ref="A7823:A7830" si="2858">"0615051822"</f>
        <v>0615051822</v>
      </c>
      <c r="B7823" t="str">
        <f t="shared" ref="B7823:B7830" si="2859">"NAZIR"</f>
        <v>NAZIR</v>
      </c>
      <c r="C7823" t="str">
        <f t="shared" ref="C7823:C7830" si="2860">"IBRAHIM"</f>
        <v>IBRAHIM</v>
      </c>
      <c r="D7823">
        <f>11</f>
        <v>11</v>
      </c>
      <c r="E7823" t="str">
        <f>"04 - A - 102 - Jeffrey S Gallagher"</f>
        <v>04 - A - 102 - Jeffrey S Gallagher</v>
      </c>
      <c r="F7823" t="str">
        <f>"ENG HON 3"</f>
        <v>ENG HON 3</v>
      </c>
      <c r="G7823" t="str">
        <f>"17-1724"</f>
        <v>17-1724</v>
      </c>
      <c r="H7823" t="str">
        <f>"A"</f>
        <v>A</v>
      </c>
    </row>
    <row r="7824" spans="1:8" x14ac:dyDescent="0.2">
      <c r="A7824" t="str">
        <f t="shared" si="2858"/>
        <v>0615051822</v>
      </c>
      <c r="B7824" t="str">
        <f t="shared" si="2859"/>
        <v>NAZIR</v>
      </c>
      <c r="C7824" t="str">
        <f t="shared" si="2860"/>
        <v>IBRAHIM</v>
      </c>
      <c r="D7824">
        <f>11</f>
        <v>11</v>
      </c>
      <c r="E7824" t="str">
        <f>"06 - B - 104 - Chrystina M Marchionne"</f>
        <v>06 - B - 104 - Chrystina M Marchionne</v>
      </c>
      <c r="F7824" t="str">
        <f>"AICE MEDIA STUDIES A"</f>
        <v>AICE MEDIA STUDIES A</v>
      </c>
      <c r="G7824" t="str">
        <f>"05-520"</f>
        <v>05-520</v>
      </c>
      <c r="H7824" t="str">
        <f>"B"</f>
        <v>B</v>
      </c>
    </row>
    <row r="7825" spans="1:8" x14ac:dyDescent="0.2">
      <c r="A7825" t="str">
        <f t="shared" si="2858"/>
        <v>0615051822</v>
      </c>
      <c r="B7825" t="str">
        <f t="shared" si="2859"/>
        <v>NAZIR</v>
      </c>
      <c r="C7825" t="str">
        <f t="shared" si="2860"/>
        <v>IBRAHIM</v>
      </c>
      <c r="D7825">
        <f>11</f>
        <v>11</v>
      </c>
      <c r="E7825" t="str">
        <f>"03 - S1 - A - 102 - Angela S Adeshina-Morrison"</f>
        <v>03 - S1 - A - 102 - Angela S Adeshina-Morrison</v>
      </c>
      <c r="F7825" t="str">
        <f>"PEER COUN 1"</f>
        <v>PEER COUN 1</v>
      </c>
      <c r="G7825" t="str">
        <f>"05-518"</f>
        <v>05-518</v>
      </c>
      <c r="H7825" t="str">
        <f>"A"</f>
        <v>A</v>
      </c>
    </row>
    <row r="7826" spans="1:8" x14ac:dyDescent="0.2">
      <c r="A7826" t="str">
        <f t="shared" si="2858"/>
        <v>0615051822</v>
      </c>
      <c r="B7826" t="str">
        <f t="shared" si="2859"/>
        <v>NAZIR</v>
      </c>
      <c r="C7826" t="str">
        <f t="shared" si="2860"/>
        <v>IBRAHIM</v>
      </c>
      <c r="D7826">
        <f>11</f>
        <v>11</v>
      </c>
      <c r="E7826" t="str">
        <f>"02 - A - 106 - Heidi M Knopp"</f>
        <v>02 - A - 106 - Heidi M Knopp</v>
      </c>
      <c r="F7826" t="str">
        <f>"NC STUDY HALL 1"</f>
        <v>NC STUDY HALL 1</v>
      </c>
      <c r="G7826" t="str">
        <f>"17-1735"</f>
        <v>17-1735</v>
      </c>
      <c r="H7826" t="str">
        <f>"A"</f>
        <v>A</v>
      </c>
    </row>
    <row r="7827" spans="1:8" x14ac:dyDescent="0.2">
      <c r="A7827" t="str">
        <f t="shared" si="2858"/>
        <v>0615051822</v>
      </c>
      <c r="B7827" t="str">
        <f t="shared" si="2859"/>
        <v>NAZIR</v>
      </c>
      <c r="C7827" t="str">
        <f t="shared" si="2860"/>
        <v>IBRAHIM</v>
      </c>
      <c r="D7827">
        <f>11</f>
        <v>11</v>
      </c>
      <c r="E7827" t="str">
        <f>"07 - B - 204 - Scott A Dethloff"</f>
        <v>07 - B - 204 - Scott A Dethloff</v>
      </c>
      <c r="F7827" t="str">
        <f>"CHEMISTRY 1"</f>
        <v>CHEMISTRY 1</v>
      </c>
      <c r="G7827" t="str">
        <f>"08-812"</f>
        <v>08-812</v>
      </c>
      <c r="H7827" t="str">
        <f>"B"</f>
        <v>B</v>
      </c>
    </row>
    <row r="7828" spans="1:8" x14ac:dyDescent="0.2">
      <c r="A7828" t="str">
        <f t="shared" si="2858"/>
        <v>0615051822</v>
      </c>
      <c r="B7828" t="str">
        <f t="shared" si="2859"/>
        <v>NAZIR</v>
      </c>
      <c r="C7828" t="str">
        <f t="shared" si="2860"/>
        <v>IBRAHIM</v>
      </c>
      <c r="D7828">
        <f>11</f>
        <v>11</v>
      </c>
      <c r="E7828" t="str">
        <f>"05 - B - 001 - Kyle  Robbins"</f>
        <v>05 - B - 001 - Kyle  Robbins</v>
      </c>
      <c r="F7828" t="str">
        <f>"US HISTORY HON"</f>
        <v>US HISTORY HON</v>
      </c>
      <c r="G7828" t="str">
        <f>"17-1745"</f>
        <v>17-1745</v>
      </c>
      <c r="H7828" t="str">
        <f>"B"</f>
        <v>B</v>
      </c>
    </row>
    <row r="7829" spans="1:8" x14ac:dyDescent="0.2">
      <c r="A7829" t="str">
        <f t="shared" si="2858"/>
        <v>0615051822</v>
      </c>
      <c r="B7829" t="str">
        <f t="shared" si="2859"/>
        <v>NAZIR</v>
      </c>
      <c r="C7829" t="str">
        <f t="shared" si="2860"/>
        <v>IBRAHIM</v>
      </c>
      <c r="D7829">
        <f>11</f>
        <v>11</v>
      </c>
      <c r="E7829" t="str">
        <f>"01 - A - 103 - Scott A Dethloff"</f>
        <v>01 - A - 103 - Scott A Dethloff</v>
      </c>
      <c r="F7829" t="str">
        <f>"AICE THINK SKLS 1 AS"</f>
        <v>AICE THINK SKLS 1 AS</v>
      </c>
      <c r="G7829" t="str">
        <f>"08-812"</f>
        <v>08-812</v>
      </c>
      <c r="H7829" t="str">
        <f>"A"</f>
        <v>A</v>
      </c>
    </row>
    <row r="7830" spans="1:8" x14ac:dyDescent="0.2">
      <c r="A7830" t="str">
        <f t="shared" si="2858"/>
        <v>0615051822</v>
      </c>
      <c r="B7830" t="str">
        <f t="shared" si="2859"/>
        <v>NAZIR</v>
      </c>
      <c r="C7830" t="str">
        <f t="shared" si="2860"/>
        <v>IBRAHIM</v>
      </c>
      <c r="D7830">
        <f>11</f>
        <v>11</v>
      </c>
      <c r="E7830" t="str">
        <f>"08 - B - 105 - Semra  Bahadir"</f>
        <v>08 - B - 105 - Semra  Bahadir</v>
      </c>
      <c r="F7830" t="str">
        <f>"MATH COLL ALGEBRA"</f>
        <v>MATH COLL ALGEBRA</v>
      </c>
      <c r="G7830" t="str">
        <f>"21-2107"</f>
        <v>21-2107</v>
      </c>
      <c r="H7830" t="str">
        <f>"B"</f>
        <v>B</v>
      </c>
    </row>
    <row r="7831" spans="1:8" x14ac:dyDescent="0.2">
      <c r="A7831" t="str">
        <f t="shared" ref="A7831:A7838" si="2861">"0614143149"</f>
        <v>0614143149</v>
      </c>
      <c r="B7831" t="str">
        <f t="shared" ref="B7831:B7838" si="2862">"DIANA"</f>
        <v>DIANA</v>
      </c>
      <c r="C7831" t="str">
        <f t="shared" ref="C7831:C7838" si="2863">"IGLESIAS"</f>
        <v>IGLESIAS</v>
      </c>
      <c r="D7831" t="str">
        <f t="shared" ref="D7831:D7838" si="2864">"09"</f>
        <v>09</v>
      </c>
      <c r="E7831" t="str">
        <f>"04 - A - 101 - Chrystina M Marchionne"</f>
        <v>04 - A - 101 - Chrystina M Marchionne</v>
      </c>
      <c r="F7831" t="str">
        <f>"THEA CIN &amp; FILM LH"</f>
        <v>THEA CIN &amp; FILM LH</v>
      </c>
      <c r="G7831" t="str">
        <f>"05-520"</f>
        <v>05-520</v>
      </c>
      <c r="H7831" t="str">
        <f>"A"</f>
        <v>A</v>
      </c>
    </row>
    <row r="7832" spans="1:8" x14ac:dyDescent="0.2">
      <c r="A7832" t="str">
        <f t="shared" si="2861"/>
        <v>0614143149</v>
      </c>
      <c r="B7832" t="str">
        <f t="shared" si="2862"/>
        <v>DIANA</v>
      </c>
      <c r="C7832" t="str">
        <f t="shared" si="2863"/>
        <v>IGLESIAS</v>
      </c>
      <c r="D7832" t="str">
        <f t="shared" si="2864"/>
        <v>09</v>
      </c>
      <c r="E7832" t="str">
        <f>"06 - B - 101 - Fernando  Vega-Cid"</f>
        <v>06 - B - 101 - Fernando  Vega-Cid</v>
      </c>
      <c r="F7832" t="str">
        <f>"PRE-AICE MATH 2 IG"</f>
        <v>PRE-AICE MATH 2 IG</v>
      </c>
      <c r="G7832" t="str">
        <f>"21-2163"</f>
        <v>21-2163</v>
      </c>
      <c r="H7832" t="str">
        <f>"B"</f>
        <v>B</v>
      </c>
    </row>
    <row r="7833" spans="1:8" x14ac:dyDescent="0.2">
      <c r="A7833" t="str">
        <f t="shared" si="2861"/>
        <v>0614143149</v>
      </c>
      <c r="B7833" t="str">
        <f t="shared" si="2862"/>
        <v>DIANA</v>
      </c>
      <c r="C7833" t="str">
        <f t="shared" si="2863"/>
        <v>IGLESIAS</v>
      </c>
      <c r="D7833" t="str">
        <f t="shared" si="2864"/>
        <v>09</v>
      </c>
      <c r="E7833" t="str">
        <f>"03 - A - 208 - Marielle A Witting"</f>
        <v>03 - A - 208 - Marielle A Witting</v>
      </c>
      <c r="F7833" t="str">
        <f>"ANAT PHYSIO"</f>
        <v>ANAT PHYSIO</v>
      </c>
      <c r="G7833" t="str">
        <f>"08-805"</f>
        <v>08-805</v>
      </c>
      <c r="H7833" t="str">
        <f>"A"</f>
        <v>A</v>
      </c>
    </row>
    <row r="7834" spans="1:8" x14ac:dyDescent="0.2">
      <c r="A7834" t="str">
        <f t="shared" si="2861"/>
        <v>0614143149</v>
      </c>
      <c r="B7834" t="str">
        <f t="shared" si="2862"/>
        <v>DIANA</v>
      </c>
      <c r="C7834" t="str">
        <f t="shared" si="2863"/>
        <v>IGLESIAS</v>
      </c>
      <c r="D7834" t="str">
        <f t="shared" si="2864"/>
        <v>09</v>
      </c>
      <c r="E7834" t="str">
        <f>"02 - A - 115 - Lourivaldo  Da Silva"</f>
        <v>02 - A - 115 - Lourivaldo  Da Silva</v>
      </c>
      <c r="F7834" t="str">
        <f>"NC STUDY HALL 1"</f>
        <v>NC STUDY HALL 1</v>
      </c>
      <c r="G7834" t="str">
        <f>"20-2079"</f>
        <v>20-2079</v>
      </c>
      <c r="H7834" t="str">
        <f>"A"</f>
        <v>A</v>
      </c>
    </row>
    <row r="7835" spans="1:8" x14ac:dyDescent="0.2">
      <c r="A7835" t="str">
        <f t="shared" si="2861"/>
        <v>0614143149</v>
      </c>
      <c r="B7835" t="str">
        <f t="shared" si="2862"/>
        <v>DIANA</v>
      </c>
      <c r="C7835" t="str">
        <f t="shared" si="2863"/>
        <v>IGLESIAS</v>
      </c>
      <c r="D7835" t="str">
        <f t="shared" si="2864"/>
        <v>09</v>
      </c>
      <c r="E7835" t="str">
        <f>"07 - B - 107 - Cerine S Stewart"</f>
        <v>07 - B - 107 - Cerine S Stewart</v>
      </c>
      <c r="F7835" t="str">
        <f>"ENG 1"</f>
        <v>ENG 1</v>
      </c>
      <c r="G7835" t="str">
        <f>"17-1720"</f>
        <v>17-1720</v>
      </c>
      <c r="H7835" t="str">
        <f>"B"</f>
        <v>B</v>
      </c>
    </row>
    <row r="7836" spans="1:8" x14ac:dyDescent="0.2">
      <c r="A7836" t="str">
        <f t="shared" si="2861"/>
        <v>0614143149</v>
      </c>
      <c r="B7836" t="str">
        <f t="shared" si="2862"/>
        <v>DIANA</v>
      </c>
      <c r="C7836" t="str">
        <f t="shared" si="2863"/>
        <v>IGLESIAS</v>
      </c>
      <c r="D7836" t="str">
        <f t="shared" si="2864"/>
        <v>09</v>
      </c>
      <c r="E7836" t="str">
        <f>"05 - B - 205 - Lenecy  Nodarse"</f>
        <v>05 - B - 205 - Lenecy  Nodarse</v>
      </c>
      <c r="F7836" t="str">
        <f>"WORLD HISTORY"</f>
        <v>WORLD HISTORY</v>
      </c>
      <c r="G7836" t="str">
        <f>"17-1741"</f>
        <v>17-1741</v>
      </c>
      <c r="H7836" t="str">
        <f>"B"</f>
        <v>B</v>
      </c>
    </row>
    <row r="7837" spans="1:8" x14ac:dyDescent="0.2">
      <c r="A7837" t="str">
        <f t="shared" si="2861"/>
        <v>0614143149</v>
      </c>
      <c r="B7837" t="str">
        <f t="shared" si="2862"/>
        <v>DIANA</v>
      </c>
      <c r="C7837" t="str">
        <f t="shared" si="2863"/>
        <v>IGLESIAS</v>
      </c>
      <c r="D7837" t="str">
        <f t="shared" si="2864"/>
        <v>09</v>
      </c>
      <c r="E7837" t="str">
        <f>"01 - A - 201 - Daniel S Tyson"</f>
        <v>01 - A - 201 - Daniel S Tyson</v>
      </c>
      <c r="F7837" t="str">
        <f>"JROTC NAVAL SCI 1"</f>
        <v>JROTC NAVAL SCI 1</v>
      </c>
      <c r="G7837" t="str">
        <f>"05-510"</f>
        <v>05-510</v>
      </c>
      <c r="H7837" t="str">
        <f>"A"</f>
        <v>A</v>
      </c>
    </row>
    <row r="7838" spans="1:8" x14ac:dyDescent="0.2">
      <c r="A7838" t="str">
        <f t="shared" si="2861"/>
        <v>0614143149</v>
      </c>
      <c r="B7838" t="str">
        <f t="shared" si="2862"/>
        <v>DIANA</v>
      </c>
      <c r="C7838" t="str">
        <f t="shared" si="2863"/>
        <v>IGLESIAS</v>
      </c>
      <c r="D7838" t="str">
        <f t="shared" si="2864"/>
        <v>09</v>
      </c>
      <c r="E7838" t="str">
        <f>"08 - B - 106 - Laselleda D Shaw"</f>
        <v>08 - B - 106 - Laselleda D Shaw</v>
      </c>
      <c r="F7838" t="str">
        <f>"INTENS READ 1"</f>
        <v>INTENS READ 1</v>
      </c>
      <c r="G7838" t="str">
        <f>"17-1723"</f>
        <v>17-1723</v>
      </c>
      <c r="H7838" t="str">
        <f>"B"</f>
        <v>B</v>
      </c>
    </row>
    <row r="7839" spans="1:8" x14ac:dyDescent="0.2">
      <c r="A7839" t="str">
        <f t="shared" ref="A7839:A7846" si="2865">"0620017120"</f>
        <v>0620017120</v>
      </c>
      <c r="B7839" t="str">
        <f t="shared" ref="B7839:B7846" si="2866">"CHRISTIANO"</f>
        <v>CHRISTIANO</v>
      </c>
      <c r="C7839" t="str">
        <f t="shared" ref="C7839:C7846" si="2867">"IGNACIOUS BLAKE"</f>
        <v>IGNACIOUS BLAKE</v>
      </c>
      <c r="D7839">
        <f>12</f>
        <v>12</v>
      </c>
      <c r="E7839" t="str">
        <f>"04 - A - 205 - Robyn L Trainer"</f>
        <v>04 - A - 205 - Robyn L Trainer</v>
      </c>
      <c r="F7839" t="str">
        <f>"ENG 4: FL COLL PREP"</f>
        <v>ENG 4: FL COLL PREP</v>
      </c>
      <c r="G7839" t="str">
        <f>"17-1734"</f>
        <v>17-1734</v>
      </c>
      <c r="H7839" t="str">
        <f>"A"</f>
        <v>A</v>
      </c>
    </row>
    <row r="7840" spans="1:8" x14ac:dyDescent="0.2">
      <c r="A7840" t="str">
        <f t="shared" si="2865"/>
        <v>0620017120</v>
      </c>
      <c r="B7840" t="str">
        <f t="shared" si="2866"/>
        <v>CHRISTIANO</v>
      </c>
      <c r="C7840" t="str">
        <f t="shared" si="2867"/>
        <v>IGNACIOUS BLAKE</v>
      </c>
      <c r="D7840">
        <f>12</f>
        <v>12</v>
      </c>
      <c r="E7840" t="str">
        <f>"06 - B - 107 - Pamela M Corzo"</f>
        <v>06 - B - 107 - Pamela M Corzo</v>
      </c>
      <c r="F7840" t="str">
        <f>"NC STUDY HALL 1"</f>
        <v>NC STUDY HALL 1</v>
      </c>
      <c r="G7840" t="str">
        <f>"21-2133"</f>
        <v>21-2133</v>
      </c>
      <c r="H7840" t="str">
        <f>"B"</f>
        <v>B</v>
      </c>
    </row>
    <row r="7841" spans="1:8" x14ac:dyDescent="0.2">
      <c r="A7841" t="str">
        <f t="shared" si="2865"/>
        <v>0620017120</v>
      </c>
      <c r="B7841" t="str">
        <f t="shared" si="2866"/>
        <v>CHRISTIANO</v>
      </c>
      <c r="C7841" t="str">
        <f t="shared" si="2867"/>
        <v>IGNACIOUS BLAKE</v>
      </c>
      <c r="D7841">
        <f>12</f>
        <v>12</v>
      </c>
      <c r="E7841" t="str">
        <f>"03 - A - 101 - Tina L Lovett"</f>
        <v>03 - A - 101 - Tina L Lovett</v>
      </c>
      <c r="F7841" t="str">
        <f>"MATH DATA &amp; FIN LIT"</f>
        <v>MATH DATA &amp; FIN LIT</v>
      </c>
      <c r="G7841" t="str">
        <f>"21-2153"</f>
        <v>21-2153</v>
      </c>
      <c r="H7841" t="str">
        <f>"A"</f>
        <v>A</v>
      </c>
    </row>
    <row r="7842" spans="1:8" x14ac:dyDescent="0.2">
      <c r="A7842" t="str">
        <f t="shared" si="2865"/>
        <v>0620017120</v>
      </c>
      <c r="B7842" t="str">
        <f t="shared" si="2866"/>
        <v>CHRISTIANO</v>
      </c>
      <c r="C7842" t="str">
        <f t="shared" si="2867"/>
        <v>IGNACIOUS BLAKE</v>
      </c>
      <c r="D7842">
        <f>12</f>
        <v>12</v>
      </c>
      <c r="E7842" t="str">
        <f>"02 - A - 101 - Nahum  Saint-Preux"</f>
        <v>02 - A - 101 - Nahum  Saint-Preux</v>
      </c>
      <c r="F7842" t="str">
        <f>"INTENS READ 4"</f>
        <v>INTENS READ 4</v>
      </c>
      <c r="G7842" t="str">
        <f>"17-1712"</f>
        <v>17-1712</v>
      </c>
      <c r="H7842" t="str">
        <f>"A"</f>
        <v>A</v>
      </c>
    </row>
    <row r="7843" spans="1:8" x14ac:dyDescent="0.2">
      <c r="A7843" t="str">
        <f t="shared" si="2865"/>
        <v>0620017120</v>
      </c>
      <c r="B7843" t="str">
        <f t="shared" si="2866"/>
        <v>CHRISTIANO</v>
      </c>
      <c r="C7843" t="str">
        <f t="shared" si="2867"/>
        <v>IGNACIOUS BLAKE</v>
      </c>
      <c r="D7843">
        <f>12</f>
        <v>12</v>
      </c>
      <c r="E7843" t="str">
        <f>"07 - B - 104 - Marielle A Witting"</f>
        <v>07 - B - 104 - Marielle A Witting</v>
      </c>
      <c r="F7843" t="str">
        <f>"ANAT PHYSIO"</f>
        <v>ANAT PHYSIO</v>
      </c>
      <c r="G7843" t="str">
        <f>"08-805"</f>
        <v>08-805</v>
      </c>
      <c r="H7843" t="str">
        <f>"B"</f>
        <v>B</v>
      </c>
    </row>
    <row r="7844" spans="1:8" x14ac:dyDescent="0.2">
      <c r="A7844" t="str">
        <f t="shared" si="2865"/>
        <v>0620017120</v>
      </c>
      <c r="B7844" t="str">
        <f t="shared" si="2866"/>
        <v>CHRISTIANO</v>
      </c>
      <c r="C7844" t="str">
        <f t="shared" si="2867"/>
        <v>IGNACIOUS BLAKE</v>
      </c>
      <c r="D7844">
        <f>12</f>
        <v>12</v>
      </c>
      <c r="E7844" t="str">
        <f>"05 - S1 - B - 102 - Robert O Burger"</f>
        <v>05 - S1 - B - 102 - Robert O Burger</v>
      </c>
      <c r="F7844" t="str">
        <f>"US GOVT"</f>
        <v>US GOVT</v>
      </c>
      <c r="G7844" t="str">
        <f>"17-1755"</f>
        <v>17-1755</v>
      </c>
      <c r="H7844" t="str">
        <f>"B"</f>
        <v>B</v>
      </c>
    </row>
    <row r="7845" spans="1:8" x14ac:dyDescent="0.2">
      <c r="A7845" t="str">
        <f t="shared" si="2865"/>
        <v>0620017120</v>
      </c>
      <c r="B7845" t="str">
        <f t="shared" si="2866"/>
        <v>CHRISTIANO</v>
      </c>
      <c r="C7845" t="str">
        <f t="shared" si="2867"/>
        <v>IGNACIOUS BLAKE</v>
      </c>
      <c r="D7845">
        <f>12</f>
        <v>12</v>
      </c>
      <c r="E7845" t="str">
        <f>"01 - S1 - A - 101 - Richard E Dunbar Iii"</f>
        <v>01 - S1 - A - 101 - Richard E Dunbar Iii</v>
      </c>
      <c r="F7845" t="str">
        <f>"WEIGHT TRAIN 1"</f>
        <v>WEIGHT TRAIN 1</v>
      </c>
      <c r="G7845" t="str">
        <f>"05-501"</f>
        <v>05-501</v>
      </c>
      <c r="H7845" t="str">
        <f>"A"</f>
        <v>A</v>
      </c>
    </row>
    <row r="7846" spans="1:8" x14ac:dyDescent="0.2">
      <c r="A7846" t="str">
        <f t="shared" si="2865"/>
        <v>0620017120</v>
      </c>
      <c r="B7846" t="str">
        <f t="shared" si="2866"/>
        <v>CHRISTIANO</v>
      </c>
      <c r="C7846" t="str">
        <f t="shared" si="2867"/>
        <v>IGNACIOUS BLAKE</v>
      </c>
      <c r="D7846">
        <f>12</f>
        <v>12</v>
      </c>
      <c r="E7846" t="str">
        <f>"08 - B - 102 - Robert H Rindner"</f>
        <v>08 - B - 102 - Robert H Rindner</v>
      </c>
      <c r="F7846" t="str">
        <f>"TV PRODUCTION TECH 1"</f>
        <v>TV PRODUCTION TECH 1</v>
      </c>
      <c r="G7846" t="str">
        <f>"21-2160"</f>
        <v>21-2160</v>
      </c>
      <c r="H7846" t="str">
        <f>"B"</f>
        <v>B</v>
      </c>
    </row>
    <row r="7847" spans="1:8" x14ac:dyDescent="0.2">
      <c r="A7847" t="str">
        <f t="shared" ref="A7847:A7854" si="2868">"0616105313"</f>
        <v>0616105313</v>
      </c>
      <c r="B7847" t="str">
        <f t="shared" ref="B7847:B7854" si="2869">"NICOLAS"</f>
        <v>NICOLAS</v>
      </c>
      <c r="C7847" t="str">
        <f t="shared" ref="C7847:C7854" si="2870">"ILONTA"</f>
        <v>ILONTA</v>
      </c>
      <c r="D7847" t="str">
        <f t="shared" ref="D7847:D7854" si="2871">"09"</f>
        <v>09</v>
      </c>
      <c r="E7847" t="str">
        <f>"04 - A - 103 - Joe  Kilpatrick Jr"</f>
        <v>04 - A - 103 - Joe  Kilpatrick Jr</v>
      </c>
      <c r="F7847" t="str">
        <f>"PRE-AICE SPAN 1 IG"</f>
        <v>PRE-AICE SPAN 1 IG</v>
      </c>
      <c r="G7847" t="str">
        <f>"09-912"</f>
        <v>09-912</v>
      </c>
      <c r="H7847" t="str">
        <f>"A"</f>
        <v>A</v>
      </c>
    </row>
    <row r="7848" spans="1:8" x14ac:dyDescent="0.2">
      <c r="A7848" t="str">
        <f t="shared" si="2868"/>
        <v>0616105313</v>
      </c>
      <c r="B7848" t="str">
        <f t="shared" si="2869"/>
        <v>NICOLAS</v>
      </c>
      <c r="C7848" t="str">
        <f t="shared" si="2870"/>
        <v>ILONTA</v>
      </c>
      <c r="D7848" t="str">
        <f t="shared" si="2871"/>
        <v>09</v>
      </c>
      <c r="E7848" t="str">
        <f>"06 - B - 110 - Krystal Marie  Beruty"</f>
        <v>06 - B - 110 - Krystal Marie  Beruty</v>
      </c>
      <c r="F7848" t="str">
        <f>"AICE GLBL PERSP 1 AS"</f>
        <v>AICE GLBL PERSP 1 AS</v>
      </c>
      <c r="G7848" t="str">
        <f>"17-1721"</f>
        <v>17-1721</v>
      </c>
      <c r="H7848" t="str">
        <f>"B"</f>
        <v>B</v>
      </c>
    </row>
    <row r="7849" spans="1:8" x14ac:dyDescent="0.2">
      <c r="A7849" t="str">
        <f t="shared" si="2868"/>
        <v>0616105313</v>
      </c>
      <c r="B7849" t="str">
        <f t="shared" si="2869"/>
        <v>NICOLAS</v>
      </c>
      <c r="C7849" t="str">
        <f t="shared" si="2870"/>
        <v>ILONTA</v>
      </c>
      <c r="D7849" t="str">
        <f t="shared" si="2871"/>
        <v>09</v>
      </c>
      <c r="E7849" t="str">
        <f>"03 - A - 101 - Brian M Fitzgerald"</f>
        <v>03 - A - 101 - Brian M Fitzgerald</v>
      </c>
      <c r="F7849" t="str">
        <f>"SCULPT 1"</f>
        <v>SCULPT 1</v>
      </c>
      <c r="G7849" t="str">
        <f>"09-908"</f>
        <v>09-908</v>
      </c>
      <c r="H7849" t="str">
        <f>"A"</f>
        <v>A</v>
      </c>
    </row>
    <row r="7850" spans="1:8" x14ac:dyDescent="0.2">
      <c r="A7850" t="str">
        <f t="shared" si="2868"/>
        <v>0616105313</v>
      </c>
      <c r="B7850" t="str">
        <f t="shared" si="2869"/>
        <v>NICOLAS</v>
      </c>
      <c r="C7850" t="str">
        <f t="shared" si="2870"/>
        <v>ILONTA</v>
      </c>
      <c r="D7850" t="str">
        <f t="shared" si="2871"/>
        <v>09</v>
      </c>
      <c r="E7850" t="str">
        <f>"02 - A - 101 - Josiah I Lacy"</f>
        <v>02 - A - 101 - Josiah I Lacy</v>
      </c>
      <c r="F7850" t="str">
        <f>"NC STUDY HALL 1"</f>
        <v>NC STUDY HALL 1</v>
      </c>
      <c r="G7850" t="str">
        <f>"08-801"</f>
        <v>08-801</v>
      </c>
      <c r="H7850" t="str">
        <f>"A"</f>
        <v>A</v>
      </c>
    </row>
    <row r="7851" spans="1:8" x14ac:dyDescent="0.2">
      <c r="A7851" t="str">
        <f t="shared" si="2868"/>
        <v>0616105313</v>
      </c>
      <c r="B7851" t="str">
        <f t="shared" si="2869"/>
        <v>NICOLAS</v>
      </c>
      <c r="C7851" t="str">
        <f t="shared" si="2870"/>
        <v>ILONTA</v>
      </c>
      <c r="D7851" t="str">
        <f t="shared" si="2871"/>
        <v>09</v>
      </c>
      <c r="E7851" t="str">
        <f>"07 - B - 003 - Brandy N Zdenek"</f>
        <v>07 - B - 003 - Brandy N Zdenek</v>
      </c>
      <c r="F7851" t="str">
        <f>"AICE ENG GEN PAPER 1"</f>
        <v>AICE ENG GEN PAPER 1</v>
      </c>
      <c r="G7851" t="str">
        <f>"17-1704"</f>
        <v>17-1704</v>
      </c>
      <c r="H7851" t="str">
        <f>"B"</f>
        <v>B</v>
      </c>
    </row>
    <row r="7852" spans="1:8" x14ac:dyDescent="0.2">
      <c r="A7852" t="str">
        <f t="shared" si="2868"/>
        <v>0616105313</v>
      </c>
      <c r="B7852" t="str">
        <f t="shared" si="2869"/>
        <v>NICOLAS</v>
      </c>
      <c r="C7852" t="str">
        <f t="shared" si="2870"/>
        <v>ILONTA</v>
      </c>
      <c r="D7852" t="str">
        <f t="shared" si="2871"/>
        <v>09</v>
      </c>
      <c r="E7852" t="str">
        <f>"05 - B - 204 - Cheryl L Beach"</f>
        <v>05 - B - 204 - Cheryl L Beach</v>
      </c>
      <c r="F7852" t="str">
        <f>"AICE ENV MGMNT AS"</f>
        <v>AICE ENV MGMNT AS</v>
      </c>
      <c r="G7852" t="str">
        <f>"08-811"</f>
        <v>08-811</v>
      </c>
      <c r="H7852" t="str">
        <f>"B"</f>
        <v>B</v>
      </c>
    </row>
    <row r="7853" spans="1:8" x14ac:dyDescent="0.2">
      <c r="A7853" t="str">
        <f t="shared" si="2868"/>
        <v>0616105313</v>
      </c>
      <c r="B7853" t="str">
        <f t="shared" si="2869"/>
        <v>NICOLAS</v>
      </c>
      <c r="C7853" t="str">
        <f t="shared" si="2870"/>
        <v>ILONTA</v>
      </c>
      <c r="D7853" t="str">
        <f t="shared" si="2871"/>
        <v>09</v>
      </c>
      <c r="E7853" t="str">
        <f>"01 - A - 101 - Maried P Ramos"</f>
        <v>01 - A - 101 - Maried P Ramos</v>
      </c>
      <c r="F7853" t="str">
        <f>"ALGEBRA 2 HON"</f>
        <v>ALGEBRA 2 HON</v>
      </c>
      <c r="G7853" t="str">
        <f>"21-2159"</f>
        <v>21-2159</v>
      </c>
      <c r="H7853" t="str">
        <f>"A"</f>
        <v>A</v>
      </c>
    </row>
    <row r="7854" spans="1:8" x14ac:dyDescent="0.2">
      <c r="A7854" t="str">
        <f t="shared" si="2868"/>
        <v>0616105313</v>
      </c>
      <c r="B7854" t="str">
        <f t="shared" si="2869"/>
        <v>NICOLAS</v>
      </c>
      <c r="C7854" t="str">
        <f t="shared" si="2870"/>
        <v>ILONTA</v>
      </c>
      <c r="D7854" t="str">
        <f t="shared" si="2871"/>
        <v>09</v>
      </c>
      <c r="E7854" t="str">
        <f>"08 - B - 202 - Dorothy D Moore"</f>
        <v>08 - B - 202 - Dorothy D Moore</v>
      </c>
      <c r="F7854" t="str">
        <f>"HEALTH SCI 1/A&amp;P HON"</f>
        <v>HEALTH SCI 1/A&amp;P HON</v>
      </c>
      <c r="G7854" t="str">
        <f>"08-803"</f>
        <v>08-803</v>
      </c>
      <c r="H7854" t="str">
        <f>"B"</f>
        <v>B</v>
      </c>
    </row>
    <row r="7855" spans="1:8" x14ac:dyDescent="0.2">
      <c r="A7855" t="str">
        <f t="shared" ref="A7855:A7862" si="2872">"0617027341"</f>
        <v>0617027341</v>
      </c>
      <c r="B7855" t="str">
        <f t="shared" ref="B7855:B7862" si="2873">"DAVID"</f>
        <v>DAVID</v>
      </c>
      <c r="C7855" t="str">
        <f t="shared" ref="C7855:C7862" si="2874">"INGBER"</f>
        <v>INGBER</v>
      </c>
      <c r="D7855">
        <f>12</f>
        <v>12</v>
      </c>
      <c r="E7855" t="str">
        <f>"04 - S1 - A - 101 - Barbara L Segal"</f>
        <v>04 - S1 - A - 101 - Barbara L Segal</v>
      </c>
      <c r="F7855" t="str">
        <f>"AP US GOVT/POL"</f>
        <v>AP US GOVT/POL</v>
      </c>
      <c r="G7855" t="str">
        <f>"17-1742"</f>
        <v>17-1742</v>
      </c>
      <c r="H7855" t="str">
        <f>"A"</f>
        <v>A</v>
      </c>
    </row>
    <row r="7856" spans="1:8" x14ac:dyDescent="0.2">
      <c r="A7856" t="str">
        <f t="shared" si="2872"/>
        <v>0617027341</v>
      </c>
      <c r="B7856" t="str">
        <f t="shared" si="2873"/>
        <v>DAVID</v>
      </c>
      <c r="C7856" t="str">
        <f t="shared" si="2874"/>
        <v>INGBER</v>
      </c>
      <c r="D7856">
        <f>12</f>
        <v>12</v>
      </c>
      <c r="E7856" t="str">
        <f>"06 - B - 001 - Robert O Burger"</f>
        <v>06 - B - 001 - Robert O Burger</v>
      </c>
      <c r="F7856" t="str">
        <f>"NC STUDY HALL 1"</f>
        <v>NC STUDY HALL 1</v>
      </c>
      <c r="G7856" t="str">
        <f>"17-1755"</f>
        <v>17-1755</v>
      </c>
      <c r="H7856" t="str">
        <f>"B"</f>
        <v>B</v>
      </c>
    </row>
    <row r="7857" spans="1:8" x14ac:dyDescent="0.2">
      <c r="A7857" t="str">
        <f t="shared" si="2872"/>
        <v>0617027341</v>
      </c>
      <c r="B7857" t="str">
        <f t="shared" si="2873"/>
        <v>DAVID</v>
      </c>
      <c r="C7857" t="str">
        <f t="shared" si="2874"/>
        <v>INGBER</v>
      </c>
      <c r="D7857">
        <f>12</f>
        <v>12</v>
      </c>
      <c r="E7857" t="str">
        <f>"03 - A - 203 - Stefanie S Scher"</f>
        <v>03 - A - 203 - Stefanie S Scher</v>
      </c>
      <c r="F7857" t="str">
        <f>"AP PSYCH"</f>
        <v>AP PSYCH</v>
      </c>
      <c r="G7857" t="str">
        <f>"17-1735"</f>
        <v>17-1735</v>
      </c>
      <c r="H7857" t="str">
        <f>"A"</f>
        <v>A</v>
      </c>
    </row>
    <row r="7858" spans="1:8" x14ac:dyDescent="0.2">
      <c r="A7858" t="str">
        <f t="shared" si="2872"/>
        <v>0617027341</v>
      </c>
      <c r="B7858" t="str">
        <f t="shared" si="2873"/>
        <v>DAVID</v>
      </c>
      <c r="C7858" t="str">
        <f t="shared" si="2874"/>
        <v>INGBER</v>
      </c>
      <c r="D7858">
        <f>12</f>
        <v>12</v>
      </c>
      <c r="E7858" t="str">
        <f>"02 - A - 104 - Joe  Kilpatrick Jr"</f>
        <v>02 - A - 104 - Joe  Kilpatrick Jr</v>
      </c>
      <c r="F7858" t="str">
        <f>"PRE-AICE SPAN 2 IG"</f>
        <v>PRE-AICE SPAN 2 IG</v>
      </c>
      <c r="G7858" t="str">
        <f>"09-912"</f>
        <v>09-912</v>
      </c>
      <c r="H7858" t="str">
        <f>"A"</f>
        <v>A</v>
      </c>
    </row>
    <row r="7859" spans="1:8" x14ac:dyDescent="0.2">
      <c r="A7859" t="str">
        <f t="shared" si="2872"/>
        <v>0617027341</v>
      </c>
      <c r="B7859" t="str">
        <f t="shared" si="2873"/>
        <v>DAVID</v>
      </c>
      <c r="C7859" t="str">
        <f t="shared" si="2874"/>
        <v>INGBER</v>
      </c>
      <c r="D7859">
        <f>12</f>
        <v>12</v>
      </c>
      <c r="E7859" t="str">
        <f>"07 - B - 102 - Thomas G Handwerg"</f>
        <v>07 - B - 102 - Thomas G Handwerg</v>
      </c>
      <c r="F7859" t="str">
        <f>"PROB STAT W/APPS HON"</f>
        <v>PROB STAT W/APPS HON</v>
      </c>
      <c r="G7859" t="str">
        <f>"21-2146"</f>
        <v>21-2146</v>
      </c>
      <c r="H7859" t="str">
        <f>"B"</f>
        <v>B</v>
      </c>
    </row>
    <row r="7860" spans="1:8" x14ac:dyDescent="0.2">
      <c r="A7860" t="str">
        <f t="shared" si="2872"/>
        <v>0617027341</v>
      </c>
      <c r="B7860" t="str">
        <f t="shared" si="2873"/>
        <v>DAVID</v>
      </c>
      <c r="C7860" t="str">
        <f t="shared" si="2874"/>
        <v>INGBER</v>
      </c>
      <c r="D7860">
        <f>12</f>
        <v>12</v>
      </c>
      <c r="E7860" t="str">
        <f>"05 - B - 101 - Angela S Adeshina-Morrison"</f>
        <v>05 - B - 101 - Angela S Adeshina-Morrison</v>
      </c>
      <c r="F7860" t="str">
        <f>"MKT APPLCTNS LH"</f>
        <v>MKT APPLCTNS LH</v>
      </c>
      <c r="G7860" t="str">
        <f>"05-518"</f>
        <v>05-518</v>
      </c>
      <c r="H7860" t="str">
        <f>"B"</f>
        <v>B</v>
      </c>
    </row>
    <row r="7861" spans="1:8" x14ac:dyDescent="0.2">
      <c r="A7861" t="str">
        <f t="shared" si="2872"/>
        <v>0617027341</v>
      </c>
      <c r="B7861" t="str">
        <f t="shared" si="2873"/>
        <v>DAVID</v>
      </c>
      <c r="C7861" t="str">
        <f t="shared" si="2874"/>
        <v>INGBER</v>
      </c>
      <c r="D7861">
        <f>12</f>
        <v>12</v>
      </c>
      <c r="E7861" t="str">
        <f>"01 - A - 201 - Jeanne M Bermudez"</f>
        <v>01 - A - 201 - Jeanne M Bermudez</v>
      </c>
      <c r="F7861" t="str">
        <f>"PHYSICS 1 HON"</f>
        <v>PHYSICS 1 HON</v>
      </c>
      <c r="G7861" t="str">
        <f>"21-2141"</f>
        <v>21-2141</v>
      </c>
      <c r="H7861" t="str">
        <f>"A"</f>
        <v>A</v>
      </c>
    </row>
    <row r="7862" spans="1:8" x14ac:dyDescent="0.2">
      <c r="A7862" t="str">
        <f t="shared" si="2872"/>
        <v>0617027341</v>
      </c>
      <c r="B7862" t="str">
        <f t="shared" si="2873"/>
        <v>DAVID</v>
      </c>
      <c r="C7862" t="str">
        <f t="shared" si="2874"/>
        <v>INGBER</v>
      </c>
      <c r="D7862">
        <f>12</f>
        <v>12</v>
      </c>
      <c r="E7862" t="str">
        <f>"08 - B - 105 - Brandy N Zdenek"</f>
        <v>08 - B - 105 - Brandy N Zdenek</v>
      </c>
      <c r="F7862" t="str">
        <f>"AICE ENG LANG 2 AL"</f>
        <v>AICE ENG LANG 2 AL</v>
      </c>
      <c r="G7862" t="str">
        <f>"17-1704"</f>
        <v>17-1704</v>
      </c>
      <c r="H7862" t="str">
        <f>"B"</f>
        <v>B</v>
      </c>
    </row>
    <row r="7863" spans="1:8" x14ac:dyDescent="0.2">
      <c r="A7863" t="str">
        <f t="shared" ref="A7863:A7871" si="2875">"0615037281"</f>
        <v>0615037281</v>
      </c>
      <c r="B7863" t="str">
        <f t="shared" ref="B7863:B7871" si="2876">"GABRIELLE"</f>
        <v>GABRIELLE</v>
      </c>
      <c r="C7863" t="str">
        <f t="shared" ref="C7863:C7879" si="2877">"INNOCENT"</f>
        <v>INNOCENT</v>
      </c>
      <c r="D7863">
        <f>11</f>
        <v>11</v>
      </c>
      <c r="E7863" t="str">
        <f>"19 - S1 - MTWHF - BCC - Instructor BC"</f>
        <v>19 - S1 - MTWHF - BCC - Instructor BC</v>
      </c>
      <c r="F7863" t="str">
        <f>"MEDICAL TERMINOLOGY"</f>
        <v>MEDICAL TERMINOLOGY</v>
      </c>
      <c r="G7863" t="str">
        <f>"60-DE"</f>
        <v>60-DE</v>
      </c>
      <c r="H7863" t="str">
        <f>"-"</f>
        <v>-</v>
      </c>
    </row>
    <row r="7864" spans="1:8" x14ac:dyDescent="0.2">
      <c r="A7864" t="str">
        <f t="shared" si="2875"/>
        <v>0615037281</v>
      </c>
      <c r="B7864" t="str">
        <f t="shared" si="2876"/>
        <v>GABRIELLE</v>
      </c>
      <c r="C7864" t="str">
        <f t="shared" si="2877"/>
        <v>INNOCENT</v>
      </c>
      <c r="D7864">
        <f>11</f>
        <v>11</v>
      </c>
      <c r="E7864" t="str">
        <f>"04 - A - 101 - Stephen T Ripp"</f>
        <v>04 - A - 101 - Stephen T Ripp</v>
      </c>
      <c r="F7864" t="str">
        <f>"AP U.S. HIST"</f>
        <v>AP U.S. HIST</v>
      </c>
      <c r="G7864" t="str">
        <f>"17-1744"</f>
        <v>17-1744</v>
      </c>
      <c r="H7864" t="str">
        <f>"A"</f>
        <v>A</v>
      </c>
    </row>
    <row r="7865" spans="1:8" x14ac:dyDescent="0.2">
      <c r="A7865" t="str">
        <f t="shared" si="2875"/>
        <v>0615037281</v>
      </c>
      <c r="B7865" t="str">
        <f t="shared" si="2876"/>
        <v>GABRIELLE</v>
      </c>
      <c r="C7865" t="str">
        <f t="shared" si="2877"/>
        <v>INNOCENT</v>
      </c>
      <c r="D7865">
        <f>11</f>
        <v>11</v>
      </c>
      <c r="E7865" t="str">
        <f>"06 - B - 104 - Chrystina M Marchionne"</f>
        <v>06 - B - 104 - Chrystina M Marchionne</v>
      </c>
      <c r="F7865" t="str">
        <f>"AICE MEDIA STUDIES A"</f>
        <v>AICE MEDIA STUDIES A</v>
      </c>
      <c r="G7865" t="str">
        <f>"05-520"</f>
        <v>05-520</v>
      </c>
      <c r="H7865" t="str">
        <f>"B"</f>
        <v>B</v>
      </c>
    </row>
    <row r="7866" spans="1:8" x14ac:dyDescent="0.2">
      <c r="A7866" t="str">
        <f t="shared" si="2875"/>
        <v>0615037281</v>
      </c>
      <c r="B7866" t="str">
        <f t="shared" si="2876"/>
        <v>GABRIELLE</v>
      </c>
      <c r="C7866" t="str">
        <f t="shared" si="2877"/>
        <v>INNOCENT</v>
      </c>
      <c r="D7866">
        <f>11</f>
        <v>11</v>
      </c>
      <c r="E7866" t="str">
        <f>"03 - A - 102 - Thomas G Handwerg"</f>
        <v>03 - A - 102 - Thomas G Handwerg</v>
      </c>
      <c r="F7866" t="str">
        <f>"MATH COLL ALGEBRA"</f>
        <v>MATH COLL ALGEBRA</v>
      </c>
      <c r="G7866" t="str">
        <f>"21-2146"</f>
        <v>21-2146</v>
      </c>
      <c r="H7866" t="str">
        <f>"A"</f>
        <v>A</v>
      </c>
    </row>
    <row r="7867" spans="1:8" x14ac:dyDescent="0.2">
      <c r="A7867" t="str">
        <f t="shared" si="2875"/>
        <v>0615037281</v>
      </c>
      <c r="B7867" t="str">
        <f t="shared" si="2876"/>
        <v>GABRIELLE</v>
      </c>
      <c r="C7867" t="str">
        <f t="shared" si="2877"/>
        <v>INNOCENT</v>
      </c>
      <c r="D7867">
        <f>11</f>
        <v>11</v>
      </c>
      <c r="E7867" t="str">
        <f>"02 - A - 001 - Jazmin S Fletcher"</f>
        <v>02 - A - 001 - Jazmin S Fletcher</v>
      </c>
      <c r="F7867" t="str">
        <f>"NC STUDY HALL 1"</f>
        <v>NC STUDY HALL 1</v>
      </c>
      <c r="G7867" t="str">
        <f>"09-909"</f>
        <v>09-909</v>
      </c>
      <c r="H7867" t="str">
        <f>"A"</f>
        <v>A</v>
      </c>
    </row>
    <row r="7868" spans="1:8" x14ac:dyDescent="0.2">
      <c r="A7868" t="str">
        <f t="shared" si="2875"/>
        <v>0615037281</v>
      </c>
      <c r="B7868" t="str">
        <f t="shared" si="2876"/>
        <v>GABRIELLE</v>
      </c>
      <c r="C7868" t="str">
        <f t="shared" si="2877"/>
        <v>INNOCENT</v>
      </c>
      <c r="D7868">
        <f>11</f>
        <v>11</v>
      </c>
      <c r="E7868" t="str">
        <f>"07 - B - 103 - Lisa J London"</f>
        <v>07 - B - 103 - Lisa J London</v>
      </c>
      <c r="F7868" t="str">
        <f>"AP CAPSTONE SEMINAR"</f>
        <v>AP CAPSTONE SEMINAR</v>
      </c>
      <c r="G7868" t="str">
        <f>"17-1714"</f>
        <v>17-1714</v>
      </c>
      <c r="H7868" t="str">
        <f>"B"</f>
        <v>B</v>
      </c>
    </row>
    <row r="7869" spans="1:8" x14ac:dyDescent="0.2">
      <c r="A7869" t="str">
        <f t="shared" si="2875"/>
        <v>0615037281</v>
      </c>
      <c r="B7869" t="str">
        <f t="shared" si="2876"/>
        <v>GABRIELLE</v>
      </c>
      <c r="C7869" t="str">
        <f t="shared" si="2877"/>
        <v>INNOCENT</v>
      </c>
      <c r="D7869">
        <f>11</f>
        <v>11</v>
      </c>
      <c r="E7869" t="str">
        <f>"05 - B - 001 - Stefanie S Scher"</f>
        <v>05 - B - 001 - Stefanie S Scher</v>
      </c>
      <c r="F7869" t="str">
        <f>"AICE PSYCH 1 AS"</f>
        <v>AICE PSYCH 1 AS</v>
      </c>
      <c r="G7869" t="str">
        <f>"17-1735"</f>
        <v>17-1735</v>
      </c>
      <c r="H7869" t="str">
        <f>"B"</f>
        <v>B</v>
      </c>
    </row>
    <row r="7870" spans="1:8" x14ac:dyDescent="0.2">
      <c r="A7870" t="str">
        <f t="shared" si="2875"/>
        <v>0615037281</v>
      </c>
      <c r="B7870" t="str">
        <f t="shared" si="2876"/>
        <v>GABRIELLE</v>
      </c>
      <c r="C7870" t="str">
        <f t="shared" si="2877"/>
        <v>INNOCENT</v>
      </c>
      <c r="D7870">
        <f>11</f>
        <v>11</v>
      </c>
      <c r="E7870" t="str">
        <f>"01 - A - 101 - Brandy N Zdenek"</f>
        <v>01 - A - 101 - Brandy N Zdenek</v>
      </c>
      <c r="F7870" t="str">
        <f>"AICE ENG LANG 2 AL"</f>
        <v>AICE ENG LANG 2 AL</v>
      </c>
      <c r="G7870" t="str">
        <f>"17-1704"</f>
        <v>17-1704</v>
      </c>
      <c r="H7870" t="str">
        <f>"A"</f>
        <v>A</v>
      </c>
    </row>
    <row r="7871" spans="1:8" x14ac:dyDescent="0.2">
      <c r="A7871" t="str">
        <f t="shared" si="2875"/>
        <v>0615037281</v>
      </c>
      <c r="B7871" t="str">
        <f t="shared" si="2876"/>
        <v>GABRIELLE</v>
      </c>
      <c r="C7871" t="str">
        <f t="shared" si="2877"/>
        <v>INNOCENT</v>
      </c>
      <c r="D7871">
        <f>11</f>
        <v>11</v>
      </c>
      <c r="E7871" t="str">
        <f>"08 - B - 103 - Marielle A Witting"</f>
        <v>08 - B - 103 - Marielle A Witting</v>
      </c>
      <c r="F7871" t="str">
        <f>"AP BIO"</f>
        <v>AP BIO</v>
      </c>
      <c r="G7871" t="str">
        <f>"08-805"</f>
        <v>08-805</v>
      </c>
      <c r="H7871" t="str">
        <f>"B"</f>
        <v>B</v>
      </c>
    </row>
    <row r="7872" spans="1:8" x14ac:dyDescent="0.2">
      <c r="A7872" t="str">
        <f t="shared" ref="A7872:A7879" si="2878">"0617148227"</f>
        <v>0617148227</v>
      </c>
      <c r="B7872" t="str">
        <f t="shared" ref="B7872:B7879" si="2879">"MAKAELA"</f>
        <v>MAKAELA</v>
      </c>
      <c r="C7872" t="str">
        <f t="shared" si="2877"/>
        <v>INNOCENT</v>
      </c>
      <c r="D7872" t="str">
        <f t="shared" ref="D7872:D7879" si="2880">"09"</f>
        <v>09</v>
      </c>
      <c r="E7872" t="str">
        <f>"04 - A - 102 - Elizabeth R Walker"</f>
        <v>04 - A - 102 - Elizabeth R Walker</v>
      </c>
      <c r="F7872" t="str">
        <f>"AICE ENG GEN PAPER 1"</f>
        <v>AICE ENG GEN PAPER 1</v>
      </c>
      <c r="G7872" t="str">
        <f>"17-1703"</f>
        <v>17-1703</v>
      </c>
      <c r="H7872" t="str">
        <f>"A"</f>
        <v>A</v>
      </c>
    </row>
    <row r="7873" spans="1:8" x14ac:dyDescent="0.2">
      <c r="A7873" t="str">
        <f t="shared" si="2878"/>
        <v>0617148227</v>
      </c>
      <c r="B7873" t="str">
        <f t="shared" si="2879"/>
        <v>MAKAELA</v>
      </c>
      <c r="C7873" t="str">
        <f t="shared" si="2877"/>
        <v>INNOCENT</v>
      </c>
      <c r="D7873" t="str">
        <f t="shared" si="2880"/>
        <v>09</v>
      </c>
      <c r="E7873" t="str">
        <f>"06 - B - 104 - Eva T Rimmer"</f>
        <v>06 - B - 104 - Eva T Rimmer</v>
      </c>
      <c r="F7873" t="str">
        <f>"CRIMINAL JUST OPS 1"</f>
        <v>CRIMINAL JUST OPS 1</v>
      </c>
      <c r="G7873" t="str">
        <f>"05-523"</f>
        <v>05-523</v>
      </c>
      <c r="H7873" t="str">
        <f>"B"</f>
        <v>B</v>
      </c>
    </row>
    <row r="7874" spans="1:8" x14ac:dyDescent="0.2">
      <c r="A7874" t="str">
        <f t="shared" si="2878"/>
        <v>0617148227</v>
      </c>
      <c r="B7874" t="str">
        <f t="shared" si="2879"/>
        <v>MAKAELA</v>
      </c>
      <c r="C7874" t="str">
        <f t="shared" si="2877"/>
        <v>INNOCENT</v>
      </c>
      <c r="D7874" t="str">
        <f t="shared" si="2880"/>
        <v>09</v>
      </c>
      <c r="E7874" t="str">
        <f>"03 - A - 102 - Rory T Sponsler"</f>
        <v>03 - A - 102 - Rory T Sponsler</v>
      </c>
      <c r="F7874" t="str">
        <f>"PRE-AICE WRLD HST IG"</f>
        <v>PRE-AICE WRLD HST IG</v>
      </c>
      <c r="G7874" t="str">
        <f>"17-1740"</f>
        <v>17-1740</v>
      </c>
      <c r="H7874" t="str">
        <f>"A"</f>
        <v>A</v>
      </c>
    </row>
    <row r="7875" spans="1:8" x14ac:dyDescent="0.2">
      <c r="A7875" t="str">
        <f t="shared" si="2878"/>
        <v>0617148227</v>
      </c>
      <c r="B7875" t="str">
        <f t="shared" si="2879"/>
        <v>MAKAELA</v>
      </c>
      <c r="C7875" t="str">
        <f t="shared" si="2877"/>
        <v>INNOCENT</v>
      </c>
      <c r="D7875" t="str">
        <f t="shared" si="2880"/>
        <v>09</v>
      </c>
      <c r="E7875" t="str">
        <f>"02 - A - 107 - Cerine S Stewart"</f>
        <v>02 - A - 107 - Cerine S Stewart</v>
      </c>
      <c r="F7875" t="str">
        <f>"NC STUDY HALL 1"</f>
        <v>NC STUDY HALL 1</v>
      </c>
      <c r="G7875" t="str">
        <f>"17-1720"</f>
        <v>17-1720</v>
      </c>
      <c r="H7875" t="str">
        <f>"A"</f>
        <v>A</v>
      </c>
    </row>
    <row r="7876" spans="1:8" x14ac:dyDescent="0.2">
      <c r="A7876" t="str">
        <f t="shared" si="2878"/>
        <v>0617148227</v>
      </c>
      <c r="B7876" t="str">
        <f t="shared" si="2879"/>
        <v>MAKAELA</v>
      </c>
      <c r="C7876" t="str">
        <f t="shared" si="2877"/>
        <v>INNOCENT</v>
      </c>
      <c r="D7876" t="str">
        <f t="shared" si="2880"/>
        <v>09</v>
      </c>
      <c r="E7876" t="str">
        <f>"07 - B - 105 - Paige Lauren  Brochu"</f>
        <v>07 - B - 105 - Paige Lauren  Brochu</v>
      </c>
      <c r="F7876" t="str">
        <f>"PRE-AICE BIO IG"</f>
        <v>PRE-AICE BIO IG</v>
      </c>
      <c r="G7876" t="str">
        <f>"21-2134"</f>
        <v>21-2134</v>
      </c>
      <c r="H7876" t="str">
        <f>"B"</f>
        <v>B</v>
      </c>
    </row>
    <row r="7877" spans="1:8" x14ac:dyDescent="0.2">
      <c r="A7877" t="str">
        <f t="shared" si="2878"/>
        <v>0617148227</v>
      </c>
      <c r="B7877" t="str">
        <f t="shared" si="2879"/>
        <v>MAKAELA</v>
      </c>
      <c r="C7877" t="str">
        <f t="shared" si="2877"/>
        <v>INNOCENT</v>
      </c>
      <c r="D7877" t="str">
        <f t="shared" si="2880"/>
        <v>09</v>
      </c>
      <c r="E7877" t="str">
        <f>"05 - B - 102 - Tina L Lovett"</f>
        <v>05 - B - 102 - Tina L Lovett</v>
      </c>
      <c r="F7877" t="str">
        <f>"PRE-AICE MATH 1 IG"</f>
        <v>PRE-AICE MATH 1 IG</v>
      </c>
      <c r="G7877" t="str">
        <f>"21-2153"</f>
        <v>21-2153</v>
      </c>
      <c r="H7877" t="str">
        <f>"B"</f>
        <v>B</v>
      </c>
    </row>
    <row r="7878" spans="1:8" x14ac:dyDescent="0.2">
      <c r="A7878" t="str">
        <f t="shared" si="2878"/>
        <v>0617148227</v>
      </c>
      <c r="B7878" t="str">
        <f t="shared" si="2879"/>
        <v>MAKAELA</v>
      </c>
      <c r="C7878" t="str">
        <f t="shared" si="2877"/>
        <v>INNOCENT</v>
      </c>
      <c r="D7878" t="str">
        <f t="shared" si="2880"/>
        <v>09</v>
      </c>
      <c r="E7878" t="str">
        <f>"01 - S1 - A - 101 - Leslie J Barton"</f>
        <v>01 - S1 - A - 101 - Leslie J Barton</v>
      </c>
      <c r="F7878" t="str">
        <f>"FIRST AID SAFETY"</f>
        <v>FIRST AID SAFETY</v>
      </c>
      <c r="G7878" t="str">
        <f>"05-521"</f>
        <v>05-521</v>
      </c>
      <c r="H7878" t="str">
        <f>"A"</f>
        <v>A</v>
      </c>
    </row>
    <row r="7879" spans="1:8" x14ac:dyDescent="0.2">
      <c r="A7879" t="str">
        <f t="shared" si="2878"/>
        <v>0617148227</v>
      </c>
      <c r="B7879" t="str">
        <f t="shared" si="2879"/>
        <v>MAKAELA</v>
      </c>
      <c r="C7879" t="str">
        <f t="shared" si="2877"/>
        <v>INNOCENT</v>
      </c>
      <c r="D7879" t="str">
        <f t="shared" si="2880"/>
        <v>09</v>
      </c>
      <c r="E7879" t="str">
        <f>"08 - B - 201 - Tina M Jaramillo"</f>
        <v>08 - B - 201 - Tina M Jaramillo</v>
      </c>
      <c r="F7879" t="str">
        <f>"CREATIVE WRIT 3 HON"</f>
        <v>CREATIVE WRIT 3 HON</v>
      </c>
      <c r="G7879" t="str">
        <f>"17-1706"</f>
        <v>17-1706</v>
      </c>
      <c r="H7879" t="str">
        <f>"B"</f>
        <v>B</v>
      </c>
    </row>
    <row r="7880" spans="1:8" x14ac:dyDescent="0.2">
      <c r="A7880" t="str">
        <f t="shared" ref="A7880:A7887" si="2881">"0615010146"</f>
        <v>0615010146</v>
      </c>
      <c r="B7880" t="str">
        <f t="shared" ref="B7880:B7887" si="2882">"RAFIDAH"</f>
        <v>RAFIDAH</v>
      </c>
      <c r="C7880" t="str">
        <f t="shared" ref="C7880:C7887" si="2883">"IQBAL"</f>
        <v>IQBAL</v>
      </c>
      <c r="D7880">
        <f>10</f>
        <v>10</v>
      </c>
      <c r="E7880" t="str">
        <f>"04 - A - 103 - Lourivaldo  Da Silva"</f>
        <v>04 - A - 103 - Lourivaldo  Da Silva</v>
      </c>
      <c r="F7880" t="str">
        <f>"PRE-CALCULUS HON"</f>
        <v>PRE-CALCULUS HON</v>
      </c>
      <c r="G7880" t="str">
        <f>"20-2079"</f>
        <v>20-2079</v>
      </c>
      <c r="H7880" t="str">
        <f>"A"</f>
        <v>A</v>
      </c>
    </row>
    <row r="7881" spans="1:8" x14ac:dyDescent="0.2">
      <c r="A7881" t="str">
        <f t="shared" si="2881"/>
        <v>0615010146</v>
      </c>
      <c r="B7881" t="str">
        <f t="shared" si="2882"/>
        <v>RAFIDAH</v>
      </c>
      <c r="C7881" t="str">
        <f t="shared" si="2883"/>
        <v>IQBAL</v>
      </c>
      <c r="D7881">
        <f>10</f>
        <v>10</v>
      </c>
      <c r="E7881" t="str">
        <f>"06 - B - 112 - Tina M Jaramillo"</f>
        <v>06 - B - 112 - Tina M Jaramillo</v>
      </c>
      <c r="F7881" t="str">
        <f>"NC STUDY HALL 1"</f>
        <v>NC STUDY HALL 1</v>
      </c>
      <c r="G7881" t="str">
        <f>"17-1706"</f>
        <v>17-1706</v>
      </c>
      <c r="H7881" t="str">
        <f>"B"</f>
        <v>B</v>
      </c>
    </row>
    <row r="7882" spans="1:8" x14ac:dyDescent="0.2">
      <c r="A7882" t="str">
        <f t="shared" si="2881"/>
        <v>0615010146</v>
      </c>
      <c r="B7882" t="str">
        <f t="shared" si="2882"/>
        <v>RAFIDAH</v>
      </c>
      <c r="C7882" t="str">
        <f t="shared" si="2883"/>
        <v>IQBAL</v>
      </c>
      <c r="D7882">
        <f>10</f>
        <v>10</v>
      </c>
      <c r="E7882" t="str">
        <f>"03 - A - 203 - Stefanie S Scher"</f>
        <v>03 - A - 203 - Stefanie S Scher</v>
      </c>
      <c r="F7882" t="str">
        <f>"AP PSYCH"</f>
        <v>AP PSYCH</v>
      </c>
      <c r="G7882" t="str">
        <f>"17-1735"</f>
        <v>17-1735</v>
      </c>
      <c r="H7882" t="str">
        <f>"A"</f>
        <v>A</v>
      </c>
    </row>
    <row r="7883" spans="1:8" x14ac:dyDescent="0.2">
      <c r="A7883" t="str">
        <f t="shared" si="2881"/>
        <v>0615010146</v>
      </c>
      <c r="B7883" t="str">
        <f t="shared" si="2882"/>
        <v>RAFIDAH</v>
      </c>
      <c r="C7883" t="str">
        <f t="shared" si="2883"/>
        <v>IQBAL</v>
      </c>
      <c r="D7883">
        <f>10</f>
        <v>10</v>
      </c>
      <c r="E7883" t="str">
        <f>"02 - A - 103 - Lenecy  Nodarse"</f>
        <v>02 - A - 103 - Lenecy  Nodarse</v>
      </c>
      <c r="F7883" t="str">
        <f>"AICE EURO HIST 1 AS"</f>
        <v>AICE EURO HIST 1 AS</v>
      </c>
      <c r="G7883" t="str">
        <f>"17-1741"</f>
        <v>17-1741</v>
      </c>
      <c r="H7883" t="str">
        <f>"A"</f>
        <v>A</v>
      </c>
    </row>
    <row r="7884" spans="1:8" x14ac:dyDescent="0.2">
      <c r="A7884" t="str">
        <f t="shared" si="2881"/>
        <v>0615010146</v>
      </c>
      <c r="B7884" t="str">
        <f t="shared" si="2882"/>
        <v>RAFIDAH</v>
      </c>
      <c r="C7884" t="str">
        <f t="shared" si="2883"/>
        <v>IQBAL</v>
      </c>
      <c r="D7884">
        <f>10</f>
        <v>10</v>
      </c>
      <c r="E7884" t="str">
        <f>"07 - B - 107 - Marius D Orsolini"</f>
        <v>07 - B - 107 - Marius D Orsolini</v>
      </c>
      <c r="F7884" t="str">
        <f>"CULINARY ARTS 1"</f>
        <v>CULINARY ARTS 1</v>
      </c>
      <c r="G7884" t="str">
        <f>"21-2115"</f>
        <v>21-2115</v>
      </c>
      <c r="H7884" t="str">
        <f>"B"</f>
        <v>B</v>
      </c>
    </row>
    <row r="7885" spans="1:8" x14ac:dyDescent="0.2">
      <c r="A7885" t="str">
        <f t="shared" si="2881"/>
        <v>0615010146</v>
      </c>
      <c r="B7885" t="str">
        <f t="shared" si="2882"/>
        <v>RAFIDAH</v>
      </c>
      <c r="C7885" t="str">
        <f t="shared" si="2883"/>
        <v>IQBAL</v>
      </c>
      <c r="D7885">
        <f>10</f>
        <v>10</v>
      </c>
      <c r="E7885" t="str">
        <f>"05 - B - 106 - Courtney E Hambright"</f>
        <v>05 - B - 106 - Courtney E Hambright</v>
      </c>
      <c r="F7885" t="str">
        <f>"AICE ENG LANG AS"</f>
        <v>AICE ENG LANG AS</v>
      </c>
      <c r="G7885" t="str">
        <f>"17-1711"</f>
        <v>17-1711</v>
      </c>
      <c r="H7885" t="str">
        <f>"B"</f>
        <v>B</v>
      </c>
    </row>
    <row r="7886" spans="1:8" x14ac:dyDescent="0.2">
      <c r="A7886" t="str">
        <f t="shared" si="2881"/>
        <v>0615010146</v>
      </c>
      <c r="B7886" t="str">
        <f t="shared" si="2882"/>
        <v>RAFIDAH</v>
      </c>
      <c r="C7886" t="str">
        <f t="shared" si="2883"/>
        <v>IQBAL</v>
      </c>
      <c r="D7886">
        <f>10</f>
        <v>10</v>
      </c>
      <c r="E7886" t="str">
        <f>"01 - A - 201 - Jeanne M Bermudez"</f>
        <v>01 - A - 201 - Jeanne M Bermudez</v>
      </c>
      <c r="F7886" t="str">
        <f>"PHYSICS 1 HON"</f>
        <v>PHYSICS 1 HON</v>
      </c>
      <c r="G7886" t="str">
        <f>"21-2141"</f>
        <v>21-2141</v>
      </c>
      <c r="H7886" t="str">
        <f>"A"</f>
        <v>A</v>
      </c>
    </row>
    <row r="7887" spans="1:8" x14ac:dyDescent="0.2">
      <c r="A7887" t="str">
        <f t="shared" si="2881"/>
        <v>0615010146</v>
      </c>
      <c r="B7887" t="str">
        <f t="shared" si="2882"/>
        <v>RAFIDAH</v>
      </c>
      <c r="C7887" t="str">
        <f t="shared" si="2883"/>
        <v>IQBAL</v>
      </c>
      <c r="D7887">
        <f>10</f>
        <v>10</v>
      </c>
      <c r="E7887" t="str">
        <f>"08 - B - 206 - Daniel S Katz"</f>
        <v>08 - B - 206 - Daniel S Katz</v>
      </c>
      <c r="F7887" t="str">
        <f>"AICE MEDIASTUDIES AS"</f>
        <v>AICE MEDIASTUDIES AS</v>
      </c>
      <c r="G7887" t="str">
        <f>"05-521"</f>
        <v>05-521</v>
      </c>
      <c r="H7887" t="str">
        <f>"B"</f>
        <v>B</v>
      </c>
    </row>
    <row r="7888" spans="1:8" x14ac:dyDescent="0.2">
      <c r="A7888" t="str">
        <f t="shared" ref="A7888:A7895" si="2884">"0614011264"</f>
        <v>0614011264</v>
      </c>
      <c r="B7888" t="str">
        <f t="shared" ref="B7888:B7895" si="2885">"SHARAI"</f>
        <v>SHARAI</v>
      </c>
      <c r="C7888" t="str">
        <f t="shared" ref="C7888:C7895" si="2886">"IRIGOYEN"</f>
        <v>IRIGOYEN</v>
      </c>
      <c r="D7888">
        <f>12</f>
        <v>12</v>
      </c>
      <c r="E7888" t="str">
        <f>"04 - A - 101 - Alejandro  Navarro"</f>
        <v>04 - A - 101 - Alejandro  Navarro</v>
      </c>
      <c r="F7888" t="str">
        <f>"BAND 6 HON"</f>
        <v>BAND 6 HON</v>
      </c>
      <c r="G7888" t="str">
        <f>"05-504"</f>
        <v>05-504</v>
      </c>
      <c r="H7888" t="str">
        <f>"A"</f>
        <v>A</v>
      </c>
    </row>
    <row r="7889" spans="1:8" x14ac:dyDescent="0.2">
      <c r="A7889" t="str">
        <f t="shared" si="2884"/>
        <v>0614011264</v>
      </c>
      <c r="B7889" t="str">
        <f t="shared" si="2885"/>
        <v>SHARAI</v>
      </c>
      <c r="C7889" t="str">
        <f t="shared" si="2886"/>
        <v>IRIGOYEN</v>
      </c>
      <c r="D7889">
        <f>12</f>
        <v>12</v>
      </c>
      <c r="E7889" t="str">
        <f>"06 - B - 104 - Vanessa J Liburd"</f>
        <v>06 - B - 104 - Vanessa J Liburd</v>
      </c>
      <c r="F7889" t="str">
        <f>"NC STUDY HALL 1"</f>
        <v>NC STUDY HALL 1</v>
      </c>
      <c r="G7889" t="str">
        <f>"05-519"</f>
        <v>05-519</v>
      </c>
      <c r="H7889" t="str">
        <f>"B"</f>
        <v>B</v>
      </c>
    </row>
    <row r="7890" spans="1:8" x14ac:dyDescent="0.2">
      <c r="A7890" t="str">
        <f t="shared" si="2884"/>
        <v>0614011264</v>
      </c>
      <c r="B7890" t="str">
        <f t="shared" si="2885"/>
        <v>SHARAI</v>
      </c>
      <c r="C7890" t="str">
        <f t="shared" si="2886"/>
        <v>IRIGOYEN</v>
      </c>
      <c r="D7890">
        <f>12</f>
        <v>12</v>
      </c>
      <c r="E7890" t="str">
        <f>"03 - A - 101 - Lisa J London"</f>
        <v>03 - A - 101 - Lisa J London</v>
      </c>
      <c r="F7890" t="str">
        <f>"AP CAPSTONE RESEARCH"</f>
        <v>AP CAPSTONE RESEARCH</v>
      </c>
      <c r="G7890" t="str">
        <f>"17-1714"</f>
        <v>17-1714</v>
      </c>
      <c r="H7890" t="str">
        <f>"A"</f>
        <v>A</v>
      </c>
    </row>
    <row r="7891" spans="1:8" x14ac:dyDescent="0.2">
      <c r="A7891" t="str">
        <f t="shared" si="2884"/>
        <v>0614011264</v>
      </c>
      <c r="B7891" t="str">
        <f t="shared" si="2885"/>
        <v>SHARAI</v>
      </c>
      <c r="C7891" t="str">
        <f t="shared" si="2886"/>
        <v>IRIGOYEN</v>
      </c>
      <c r="D7891">
        <f>12</f>
        <v>12</v>
      </c>
      <c r="E7891" t="str">
        <f>"02 - A - 107 - Tina M Jaramillo"</f>
        <v>02 - A - 107 - Tina M Jaramillo</v>
      </c>
      <c r="F7891" t="str">
        <f>"AP ENG LIT COMPO"</f>
        <v>AP ENG LIT COMPO</v>
      </c>
      <c r="G7891" t="str">
        <f>"17-1706"</f>
        <v>17-1706</v>
      </c>
      <c r="H7891" t="str">
        <f>"A"</f>
        <v>A</v>
      </c>
    </row>
    <row r="7892" spans="1:8" x14ac:dyDescent="0.2">
      <c r="A7892" t="str">
        <f t="shared" si="2884"/>
        <v>0614011264</v>
      </c>
      <c r="B7892" t="str">
        <f t="shared" si="2885"/>
        <v>SHARAI</v>
      </c>
      <c r="C7892" t="str">
        <f t="shared" si="2886"/>
        <v>IRIGOYEN</v>
      </c>
      <c r="D7892">
        <f>12</f>
        <v>12</v>
      </c>
      <c r="E7892" t="str">
        <f>"07 - S1 - B - 101 - Stephen T Ripp"</f>
        <v>07 - S1 - B - 101 - Stephen T Ripp</v>
      </c>
      <c r="F7892" t="str">
        <f>"AP US GOVT/POL"</f>
        <v>AP US GOVT/POL</v>
      </c>
      <c r="G7892" t="str">
        <f>"17-1744"</f>
        <v>17-1744</v>
      </c>
      <c r="H7892" t="str">
        <f>"B"</f>
        <v>B</v>
      </c>
    </row>
    <row r="7893" spans="1:8" x14ac:dyDescent="0.2">
      <c r="A7893" t="str">
        <f t="shared" si="2884"/>
        <v>0614011264</v>
      </c>
      <c r="B7893" t="str">
        <f t="shared" si="2885"/>
        <v>SHARAI</v>
      </c>
      <c r="C7893" t="str">
        <f t="shared" si="2886"/>
        <v>IRIGOYEN</v>
      </c>
      <c r="D7893">
        <f>12</f>
        <v>12</v>
      </c>
      <c r="E7893" t="str">
        <f>"05 - B - 101 - Jordana K Hass"</f>
        <v>05 - B - 101 - Jordana K Hass</v>
      </c>
      <c r="F7893" t="str">
        <f>"AP COMP SCI PRIN"</f>
        <v>AP COMP SCI PRIN</v>
      </c>
      <c r="G7893" t="str">
        <f>"08-807"</f>
        <v>08-807</v>
      </c>
      <c r="H7893" t="str">
        <f>"B"</f>
        <v>B</v>
      </c>
    </row>
    <row r="7894" spans="1:8" x14ac:dyDescent="0.2">
      <c r="A7894" t="str">
        <f t="shared" si="2884"/>
        <v>0614011264</v>
      </c>
      <c r="B7894" t="str">
        <f t="shared" si="2885"/>
        <v>SHARAI</v>
      </c>
      <c r="C7894" t="str">
        <f t="shared" si="2886"/>
        <v>IRIGOYEN</v>
      </c>
      <c r="D7894">
        <f>12</f>
        <v>12</v>
      </c>
      <c r="E7894" t="str">
        <f>"01 - A - 201 - Pamela M Corzo"</f>
        <v>01 - A - 201 - Pamela M Corzo</v>
      </c>
      <c r="F7894" t="str">
        <f>"AP CALCULUS BC"</f>
        <v>AP CALCULUS BC</v>
      </c>
      <c r="G7894" t="str">
        <f>"21-2133"</f>
        <v>21-2133</v>
      </c>
      <c r="H7894" t="str">
        <f>"A"</f>
        <v>A</v>
      </c>
    </row>
    <row r="7895" spans="1:8" x14ac:dyDescent="0.2">
      <c r="A7895" t="str">
        <f t="shared" si="2884"/>
        <v>0614011264</v>
      </c>
      <c r="B7895" t="str">
        <f t="shared" si="2885"/>
        <v>SHARAI</v>
      </c>
      <c r="C7895" t="str">
        <f t="shared" si="2886"/>
        <v>IRIGOYEN</v>
      </c>
      <c r="D7895">
        <f>12</f>
        <v>12</v>
      </c>
      <c r="E7895" t="str">
        <f>"08 - B - 103 - Marielle A Witting"</f>
        <v>08 - B - 103 - Marielle A Witting</v>
      </c>
      <c r="F7895" t="str">
        <f>"AP BIO"</f>
        <v>AP BIO</v>
      </c>
      <c r="G7895" t="str">
        <f>"08-805"</f>
        <v>08-805</v>
      </c>
      <c r="H7895" t="str">
        <f>"B"</f>
        <v>B</v>
      </c>
    </row>
    <row r="7896" spans="1:8" x14ac:dyDescent="0.2">
      <c r="A7896" t="str">
        <f t="shared" ref="A7896:A7903" si="2887">"0625025293"</f>
        <v>0625025293</v>
      </c>
      <c r="B7896" t="str">
        <f t="shared" ref="B7896:B7903" si="2888">"Joyce"</f>
        <v>Joyce</v>
      </c>
      <c r="C7896" t="str">
        <f t="shared" ref="C7896:C7903" si="2889">"Ishak"</f>
        <v>Ishak</v>
      </c>
      <c r="D7896">
        <f>12</f>
        <v>12</v>
      </c>
      <c r="E7896" t="str">
        <f>"04 - S1 - A - 101 - Nahum  Saint-Preux"</f>
        <v>04 - S1 - A - 101 - Nahum  Saint-Preux</v>
      </c>
      <c r="F7896" t="str">
        <f>"CRIT THINK ST SKLS"</f>
        <v>CRIT THINK ST SKLS</v>
      </c>
      <c r="G7896" t="str">
        <f>"17-1712"</f>
        <v>17-1712</v>
      </c>
      <c r="H7896" t="str">
        <f>"A"</f>
        <v>A</v>
      </c>
    </row>
    <row r="7897" spans="1:8" x14ac:dyDescent="0.2">
      <c r="A7897" t="str">
        <f t="shared" si="2887"/>
        <v>0625025293</v>
      </c>
      <c r="B7897" t="str">
        <f t="shared" si="2888"/>
        <v>Joyce</v>
      </c>
      <c r="C7897" t="str">
        <f t="shared" si="2889"/>
        <v>Ishak</v>
      </c>
      <c r="D7897">
        <f>12</f>
        <v>12</v>
      </c>
      <c r="E7897" t="str">
        <f>"06 - B - 108 - Jacquelyn M Neeson"</f>
        <v>06 - B - 108 - Jacquelyn M Neeson</v>
      </c>
      <c r="F7897" t="str">
        <f>"NC STUDY HALL 1"</f>
        <v>NC STUDY HALL 1</v>
      </c>
      <c r="G7897" t="str">
        <f>"17-1715"</f>
        <v>17-1715</v>
      </c>
      <c r="H7897" t="str">
        <f>"B"</f>
        <v>B</v>
      </c>
    </row>
    <row r="7898" spans="1:8" x14ac:dyDescent="0.2">
      <c r="A7898" t="str">
        <f t="shared" si="2887"/>
        <v>0625025293</v>
      </c>
      <c r="B7898" t="str">
        <f t="shared" si="2888"/>
        <v>Joyce</v>
      </c>
      <c r="C7898" t="str">
        <f t="shared" si="2889"/>
        <v>Ishak</v>
      </c>
      <c r="D7898">
        <f>12</f>
        <v>12</v>
      </c>
      <c r="E7898" t="str">
        <f>"03 - A - 101 - Dorothy D Moore"</f>
        <v>03 - A - 101 - Dorothy D Moore</v>
      </c>
      <c r="F7898" t="str">
        <f>"FORC SCI 1 LH"</f>
        <v>FORC SCI 1 LH</v>
      </c>
      <c r="G7898" t="str">
        <f>"08-803"</f>
        <v>08-803</v>
      </c>
      <c r="H7898" t="str">
        <f>"A"</f>
        <v>A</v>
      </c>
    </row>
    <row r="7899" spans="1:8" x14ac:dyDescent="0.2">
      <c r="A7899" t="str">
        <f t="shared" si="2887"/>
        <v>0625025293</v>
      </c>
      <c r="B7899" t="str">
        <f t="shared" si="2888"/>
        <v>Joyce</v>
      </c>
      <c r="C7899" t="str">
        <f t="shared" si="2889"/>
        <v>Ishak</v>
      </c>
      <c r="D7899">
        <f>12</f>
        <v>12</v>
      </c>
      <c r="E7899" t="str">
        <f>"02 - A - 101 - Nahum  Saint-Preux"</f>
        <v>02 - A - 101 - Nahum  Saint-Preux</v>
      </c>
      <c r="F7899" t="str">
        <f>"INTENS READ 4"</f>
        <v>INTENS READ 4</v>
      </c>
      <c r="G7899" t="str">
        <f>"17-1712"</f>
        <v>17-1712</v>
      </c>
      <c r="H7899" t="str">
        <f>"A"</f>
        <v>A</v>
      </c>
    </row>
    <row r="7900" spans="1:8" x14ac:dyDescent="0.2">
      <c r="A7900" t="str">
        <f t="shared" si="2887"/>
        <v>0625025293</v>
      </c>
      <c r="B7900" t="str">
        <f t="shared" si="2888"/>
        <v>Joyce</v>
      </c>
      <c r="C7900" t="str">
        <f t="shared" si="2889"/>
        <v>Ishak</v>
      </c>
      <c r="D7900">
        <f>12</f>
        <v>12</v>
      </c>
      <c r="E7900" t="str">
        <f>"07 - B - 102 - Tina L Lovett"</f>
        <v>07 - B - 102 - Tina L Lovett</v>
      </c>
      <c r="F7900" t="str">
        <f>"MATH DATA &amp; FIN LIT"</f>
        <v>MATH DATA &amp; FIN LIT</v>
      </c>
      <c r="G7900" t="str">
        <f>"21-2153"</f>
        <v>21-2153</v>
      </c>
      <c r="H7900" t="str">
        <f>"B"</f>
        <v>B</v>
      </c>
    </row>
    <row r="7901" spans="1:8" x14ac:dyDescent="0.2">
      <c r="A7901" t="str">
        <f t="shared" si="2887"/>
        <v>0625025293</v>
      </c>
      <c r="B7901" t="str">
        <f t="shared" si="2888"/>
        <v>Joyce</v>
      </c>
      <c r="C7901" t="str">
        <f t="shared" si="2889"/>
        <v>Ishak</v>
      </c>
      <c r="D7901">
        <f>12</f>
        <v>12</v>
      </c>
      <c r="E7901" t="str">
        <f>"05 - S1 - B - 102 - Robert O Burger"</f>
        <v>05 - S1 - B - 102 - Robert O Burger</v>
      </c>
      <c r="F7901" t="str">
        <f>"US GOVT"</f>
        <v>US GOVT</v>
      </c>
      <c r="G7901" t="str">
        <f>"17-1755"</f>
        <v>17-1755</v>
      </c>
      <c r="H7901" t="str">
        <f>"B"</f>
        <v>B</v>
      </c>
    </row>
    <row r="7902" spans="1:8" x14ac:dyDescent="0.2">
      <c r="A7902" t="str">
        <f t="shared" si="2887"/>
        <v>0625025293</v>
      </c>
      <c r="B7902" t="str">
        <f t="shared" si="2888"/>
        <v>Joyce</v>
      </c>
      <c r="C7902" t="str">
        <f t="shared" si="2889"/>
        <v>Ishak</v>
      </c>
      <c r="D7902">
        <f>12</f>
        <v>12</v>
      </c>
      <c r="E7902" t="str">
        <f>"01 - A - 101 - Samantha L Martinez"</f>
        <v>01 - A - 101 - Samantha L Martinez</v>
      </c>
      <c r="F7902" t="str">
        <f>"MUSIC WORLD"</f>
        <v>MUSIC WORLD</v>
      </c>
      <c r="G7902" t="str">
        <f>"05-505"</f>
        <v>05-505</v>
      </c>
      <c r="H7902" t="str">
        <f>"A"</f>
        <v>A</v>
      </c>
    </row>
    <row r="7903" spans="1:8" x14ac:dyDescent="0.2">
      <c r="A7903" t="str">
        <f t="shared" si="2887"/>
        <v>0625025293</v>
      </c>
      <c r="B7903" t="str">
        <f t="shared" si="2888"/>
        <v>Joyce</v>
      </c>
      <c r="C7903" t="str">
        <f t="shared" si="2889"/>
        <v>Ishak</v>
      </c>
      <c r="D7903">
        <f>12</f>
        <v>12</v>
      </c>
      <c r="E7903" t="str">
        <f>"08 - B - 206 - Robyn L Trainer"</f>
        <v>08 - B - 206 - Robyn L Trainer</v>
      </c>
      <c r="F7903" t="str">
        <f>"ENG 4: FL COLL PREP"</f>
        <v>ENG 4: FL COLL PREP</v>
      </c>
      <c r="G7903" t="str">
        <f>"17-1734"</f>
        <v>17-1734</v>
      </c>
      <c r="H7903" t="str">
        <f>"B"</f>
        <v>B</v>
      </c>
    </row>
    <row r="7904" spans="1:8" x14ac:dyDescent="0.2">
      <c r="A7904" t="str">
        <f t="shared" ref="A7904:A7911" si="2890">"0615021115"</f>
        <v>0615021115</v>
      </c>
      <c r="B7904" t="str">
        <f t="shared" ref="B7904:B7911" si="2891">"TYLER"</f>
        <v>TYLER</v>
      </c>
      <c r="C7904" t="str">
        <f t="shared" ref="C7904:C7911" si="2892">"ITZOE"</f>
        <v>ITZOE</v>
      </c>
      <c r="D7904">
        <f>11</f>
        <v>11</v>
      </c>
      <c r="E7904" t="str">
        <f>"04 - A - 102 - Elizabeth Ellen  Moran"</f>
        <v>04 - A - 102 - Elizabeth Ellen  Moran</v>
      </c>
      <c r="F7904" t="str">
        <f>"US HISTORY"</f>
        <v>US HISTORY</v>
      </c>
      <c r="G7904" t="str">
        <f>"17-1752"</f>
        <v>17-1752</v>
      </c>
      <c r="H7904" t="str">
        <f>"A"</f>
        <v>A</v>
      </c>
    </row>
    <row r="7905" spans="1:8" x14ac:dyDescent="0.2">
      <c r="A7905" t="str">
        <f t="shared" si="2890"/>
        <v>0615021115</v>
      </c>
      <c r="B7905" t="str">
        <f t="shared" si="2891"/>
        <v>TYLER</v>
      </c>
      <c r="C7905" t="str">
        <f t="shared" si="2892"/>
        <v>ITZOE</v>
      </c>
      <c r="D7905">
        <f>11</f>
        <v>11</v>
      </c>
      <c r="E7905" t="str">
        <f>"06 - S1 - B - 104 - Leslie J Barton"</f>
        <v>06 - S1 - B - 104 - Leslie J Barton</v>
      </c>
      <c r="F7905" t="str">
        <f>"FIRST AID SAFETY"</f>
        <v>FIRST AID SAFETY</v>
      </c>
      <c r="G7905" t="str">
        <f>"05-521"</f>
        <v>05-521</v>
      </c>
      <c r="H7905" t="str">
        <f>"B"</f>
        <v>B</v>
      </c>
    </row>
    <row r="7906" spans="1:8" x14ac:dyDescent="0.2">
      <c r="A7906" t="str">
        <f t="shared" si="2890"/>
        <v>0615021115</v>
      </c>
      <c r="B7906" t="str">
        <f t="shared" si="2891"/>
        <v>TYLER</v>
      </c>
      <c r="C7906" t="str">
        <f t="shared" si="2892"/>
        <v>ITZOE</v>
      </c>
      <c r="D7906">
        <f>11</f>
        <v>11</v>
      </c>
      <c r="E7906" t="str">
        <f>"03 - S1 - A - 102 - Angela S Adeshina-Morrison"</f>
        <v>03 - S1 - A - 102 - Angela S Adeshina-Morrison</v>
      </c>
      <c r="F7906" t="str">
        <f>"PEER COUN 1"</f>
        <v>PEER COUN 1</v>
      </c>
      <c r="G7906" t="str">
        <f>"05-518"</f>
        <v>05-518</v>
      </c>
      <c r="H7906" t="str">
        <f>"A"</f>
        <v>A</v>
      </c>
    </row>
    <row r="7907" spans="1:8" x14ac:dyDescent="0.2">
      <c r="A7907" t="str">
        <f t="shared" si="2890"/>
        <v>0615021115</v>
      </c>
      <c r="B7907" t="str">
        <f t="shared" si="2891"/>
        <v>TYLER</v>
      </c>
      <c r="C7907" t="str">
        <f t="shared" si="2892"/>
        <v>ITZOE</v>
      </c>
      <c r="D7907">
        <f>11</f>
        <v>11</v>
      </c>
      <c r="E7907" t="str">
        <f>"02 - A - 102 - Brook E Goren"</f>
        <v>02 - A - 102 - Brook E Goren</v>
      </c>
      <c r="F7907" t="str">
        <f>"NC STUDY HALL 1"</f>
        <v>NC STUDY HALL 1</v>
      </c>
      <c r="G7907" t="str">
        <f>"21-2158"</f>
        <v>21-2158</v>
      </c>
      <c r="H7907" t="str">
        <f>"A"</f>
        <v>A</v>
      </c>
    </row>
    <row r="7908" spans="1:8" x14ac:dyDescent="0.2">
      <c r="A7908" t="str">
        <f t="shared" si="2890"/>
        <v>0615021115</v>
      </c>
      <c r="B7908" t="str">
        <f t="shared" si="2891"/>
        <v>TYLER</v>
      </c>
      <c r="C7908" t="str">
        <f t="shared" si="2892"/>
        <v>ITZOE</v>
      </c>
      <c r="D7908">
        <f>11</f>
        <v>11</v>
      </c>
      <c r="E7908" t="str">
        <f>"07 - B - 204 - Scott A Dethloff"</f>
        <v>07 - B - 204 - Scott A Dethloff</v>
      </c>
      <c r="F7908" t="str">
        <f>"CHEMISTRY 1"</f>
        <v>CHEMISTRY 1</v>
      </c>
      <c r="G7908" t="str">
        <f>"08-812"</f>
        <v>08-812</v>
      </c>
      <c r="H7908" t="str">
        <f>"B"</f>
        <v>B</v>
      </c>
    </row>
    <row r="7909" spans="1:8" x14ac:dyDescent="0.2">
      <c r="A7909" t="str">
        <f t="shared" si="2890"/>
        <v>0615021115</v>
      </c>
      <c r="B7909" t="str">
        <f t="shared" si="2891"/>
        <v>TYLER</v>
      </c>
      <c r="C7909" t="str">
        <f t="shared" si="2892"/>
        <v>ITZOE</v>
      </c>
      <c r="D7909">
        <f>11</f>
        <v>11</v>
      </c>
      <c r="E7909" t="str">
        <f>"05 - B - 103 - Heidi M Knopp"</f>
        <v>05 - B - 103 - Heidi M Knopp</v>
      </c>
      <c r="F7909" t="str">
        <f>"ENG HON 3"</f>
        <v>ENG HON 3</v>
      </c>
      <c r="G7909" t="str">
        <f>"17-1723"</f>
        <v>17-1723</v>
      </c>
      <c r="H7909" t="str">
        <f>"B"</f>
        <v>B</v>
      </c>
    </row>
    <row r="7910" spans="1:8" x14ac:dyDescent="0.2">
      <c r="A7910" t="str">
        <f t="shared" si="2890"/>
        <v>0615021115</v>
      </c>
      <c r="B7910" t="str">
        <f t="shared" si="2891"/>
        <v>TYLER</v>
      </c>
      <c r="C7910" t="str">
        <f t="shared" si="2892"/>
        <v>ITZOE</v>
      </c>
      <c r="D7910">
        <f>11</f>
        <v>11</v>
      </c>
      <c r="E7910" t="str">
        <f>"01 - S1 - A - 101 - Richard E Dunbar Iii"</f>
        <v>01 - S1 - A - 101 - Richard E Dunbar Iii</v>
      </c>
      <c r="F7910" t="str">
        <f>"WEIGHT TRAIN 1"</f>
        <v>WEIGHT TRAIN 1</v>
      </c>
      <c r="G7910" t="str">
        <f>"05-501"</f>
        <v>05-501</v>
      </c>
      <c r="H7910" t="str">
        <f>"A"</f>
        <v>A</v>
      </c>
    </row>
    <row r="7911" spans="1:8" x14ac:dyDescent="0.2">
      <c r="A7911" t="str">
        <f t="shared" si="2890"/>
        <v>0615021115</v>
      </c>
      <c r="B7911" t="str">
        <f t="shared" si="2891"/>
        <v>TYLER</v>
      </c>
      <c r="C7911" t="str">
        <f t="shared" si="2892"/>
        <v>ITZOE</v>
      </c>
      <c r="D7911">
        <f>11</f>
        <v>11</v>
      </c>
      <c r="E7911" t="str">
        <f>"08 - B - 001 - Chrystina M Marchionne"</f>
        <v>08 - B - 001 - Chrystina M Marchionne</v>
      </c>
      <c r="F7911" t="str">
        <f>"JOURN 1 (YB) LH"</f>
        <v>JOURN 1 (YB) LH</v>
      </c>
      <c r="G7911" t="str">
        <f>"05-520"</f>
        <v>05-520</v>
      </c>
      <c r="H7911" t="str">
        <f>"B"</f>
        <v>B</v>
      </c>
    </row>
    <row r="7912" spans="1:8" x14ac:dyDescent="0.2">
      <c r="A7912" t="str">
        <f t="shared" ref="A7912:A7919" si="2893">"0622158733"</f>
        <v>0622158733</v>
      </c>
      <c r="B7912" t="str">
        <f t="shared" ref="B7912:B7919" si="2894">"LEE ANN"</f>
        <v>LEE ANN</v>
      </c>
      <c r="C7912" t="str">
        <f t="shared" ref="C7912:C7919" si="2895">"IZAGUIRRE LOPEZ"</f>
        <v>IZAGUIRRE LOPEZ</v>
      </c>
      <c r="D7912" t="str">
        <f t="shared" ref="D7912:D7919" si="2896">"09"</f>
        <v>09</v>
      </c>
      <c r="E7912" t="str">
        <f>"04 - A - 106 - Ferrie J Arostique"</f>
        <v>04 - A - 106 - Ferrie J Arostique</v>
      </c>
      <c r="F7912" t="str">
        <f>"PRE-AICE MATH 2 IG"</f>
        <v>PRE-AICE MATH 2 IG</v>
      </c>
      <c r="G7912" t="str">
        <f>"21-2139"</f>
        <v>21-2139</v>
      </c>
      <c r="H7912" t="str">
        <f>"A"</f>
        <v>A</v>
      </c>
    </row>
    <row r="7913" spans="1:8" x14ac:dyDescent="0.2">
      <c r="A7913" t="str">
        <f t="shared" si="2893"/>
        <v>0622158733</v>
      </c>
      <c r="B7913" t="str">
        <f t="shared" si="2894"/>
        <v>LEE ANN</v>
      </c>
      <c r="C7913" t="str">
        <f t="shared" si="2895"/>
        <v>IZAGUIRRE LOPEZ</v>
      </c>
      <c r="D7913" t="str">
        <f t="shared" si="2896"/>
        <v>09</v>
      </c>
      <c r="E7913" t="str">
        <f>"06 - B - 104 - Rory T Sponsler"</f>
        <v>06 - B - 104 - Rory T Sponsler</v>
      </c>
      <c r="F7913" t="str">
        <f>"PRE-AICE WRLD HST IG"</f>
        <v>PRE-AICE WRLD HST IG</v>
      </c>
      <c r="G7913" t="str">
        <f>"17-1740"</f>
        <v>17-1740</v>
      </c>
      <c r="H7913" t="str">
        <f>"B"</f>
        <v>B</v>
      </c>
    </row>
    <row r="7914" spans="1:8" x14ac:dyDescent="0.2">
      <c r="A7914" t="str">
        <f t="shared" si="2893"/>
        <v>0622158733</v>
      </c>
      <c r="B7914" t="str">
        <f t="shared" si="2894"/>
        <v>LEE ANN</v>
      </c>
      <c r="C7914" t="str">
        <f t="shared" si="2895"/>
        <v>IZAGUIRRE LOPEZ</v>
      </c>
      <c r="D7914" t="str">
        <f t="shared" si="2896"/>
        <v>09</v>
      </c>
      <c r="E7914" t="str">
        <f>"03 - S1 - A - 102 - Leslie J Barton"</f>
        <v>03 - S1 - A - 102 - Leslie J Barton</v>
      </c>
      <c r="F7914" t="str">
        <f>"FIRST AID SAFETY"</f>
        <v>FIRST AID SAFETY</v>
      </c>
      <c r="G7914" t="str">
        <f>"05-521"</f>
        <v>05-521</v>
      </c>
      <c r="H7914" t="str">
        <f>"A"</f>
        <v>A</v>
      </c>
    </row>
    <row r="7915" spans="1:8" x14ac:dyDescent="0.2">
      <c r="A7915" t="str">
        <f t="shared" si="2893"/>
        <v>0622158733</v>
      </c>
      <c r="B7915" t="str">
        <f t="shared" si="2894"/>
        <v>LEE ANN</v>
      </c>
      <c r="C7915" t="str">
        <f t="shared" si="2895"/>
        <v>IZAGUIRRE LOPEZ</v>
      </c>
      <c r="D7915" t="str">
        <f t="shared" si="2896"/>
        <v>09</v>
      </c>
      <c r="E7915" t="str">
        <f>"02 - A - 101 - Josiah I Lacy"</f>
        <v>02 - A - 101 - Josiah I Lacy</v>
      </c>
      <c r="F7915" t="str">
        <f>"NC STUDY HALL 1"</f>
        <v>NC STUDY HALL 1</v>
      </c>
      <c r="G7915" t="str">
        <f>"08-801"</f>
        <v>08-801</v>
      </c>
      <c r="H7915" t="str">
        <f>"A"</f>
        <v>A</v>
      </c>
    </row>
    <row r="7916" spans="1:8" x14ac:dyDescent="0.2">
      <c r="A7916" t="str">
        <f t="shared" si="2893"/>
        <v>0622158733</v>
      </c>
      <c r="B7916" t="str">
        <f t="shared" si="2894"/>
        <v>LEE ANN</v>
      </c>
      <c r="C7916" t="str">
        <f t="shared" si="2895"/>
        <v>IZAGUIRRE LOPEZ</v>
      </c>
      <c r="D7916" t="str">
        <f t="shared" si="2896"/>
        <v>09</v>
      </c>
      <c r="E7916" t="str">
        <f>"07 - B - 107 - Marius D Orsolini"</f>
        <v>07 - B - 107 - Marius D Orsolini</v>
      </c>
      <c r="F7916" t="str">
        <f>"CULINARY ARTS 1"</f>
        <v>CULINARY ARTS 1</v>
      </c>
      <c r="G7916" t="str">
        <f>"21-2115"</f>
        <v>21-2115</v>
      </c>
      <c r="H7916" t="str">
        <f>"B"</f>
        <v>B</v>
      </c>
    </row>
    <row r="7917" spans="1:8" x14ac:dyDescent="0.2">
      <c r="A7917" t="str">
        <f t="shared" si="2893"/>
        <v>0622158733</v>
      </c>
      <c r="B7917" t="str">
        <f t="shared" si="2894"/>
        <v>LEE ANN</v>
      </c>
      <c r="C7917" t="str">
        <f t="shared" si="2895"/>
        <v>IZAGUIRRE LOPEZ</v>
      </c>
      <c r="D7917" t="str">
        <f t="shared" si="2896"/>
        <v>09</v>
      </c>
      <c r="E7917" t="str">
        <f>"05 - B - 204 - Elizabeth R Walker"</f>
        <v>05 - B - 204 - Elizabeth R Walker</v>
      </c>
      <c r="F7917" t="str">
        <f>"AICE ENG GEN PAPER 1"</f>
        <v>AICE ENG GEN PAPER 1</v>
      </c>
      <c r="G7917" t="str">
        <f>"17-1703"</f>
        <v>17-1703</v>
      </c>
      <c r="H7917" t="str">
        <f>"B"</f>
        <v>B</v>
      </c>
    </row>
    <row r="7918" spans="1:8" x14ac:dyDescent="0.2">
      <c r="A7918" t="str">
        <f t="shared" si="2893"/>
        <v>0622158733</v>
      </c>
      <c r="B7918" t="str">
        <f t="shared" si="2894"/>
        <v>LEE ANN</v>
      </c>
      <c r="C7918" t="str">
        <f t="shared" si="2895"/>
        <v>IZAGUIRRE LOPEZ</v>
      </c>
      <c r="D7918" t="str">
        <f t="shared" si="2896"/>
        <v>09</v>
      </c>
      <c r="E7918" t="str">
        <f>"01 - A - 101 - Josiah I Lacy"</f>
        <v>01 - A - 101 - Josiah I Lacy</v>
      </c>
      <c r="F7918" t="str">
        <f>"PRE-AICE BIO IG"</f>
        <v>PRE-AICE BIO IG</v>
      </c>
      <c r="G7918" t="str">
        <f>"08-801"</f>
        <v>08-801</v>
      </c>
      <c r="H7918" t="str">
        <f>"A"</f>
        <v>A</v>
      </c>
    </row>
    <row r="7919" spans="1:8" x14ac:dyDescent="0.2">
      <c r="A7919" t="str">
        <f t="shared" si="2893"/>
        <v>0622158733</v>
      </c>
      <c r="B7919" t="str">
        <f t="shared" si="2894"/>
        <v>LEE ANN</v>
      </c>
      <c r="C7919" t="str">
        <f t="shared" si="2895"/>
        <v>IZAGUIRRE LOPEZ</v>
      </c>
      <c r="D7919" t="str">
        <f t="shared" si="2896"/>
        <v>09</v>
      </c>
      <c r="E7919" t="str">
        <f>"08 - S1 - B - 105 - Richard E Dunbar Iii"</f>
        <v>08 - S1 - B - 105 - Richard E Dunbar Iii</v>
      </c>
      <c r="F7919" t="str">
        <f>"WEIGHT TRAIN 1"</f>
        <v>WEIGHT TRAIN 1</v>
      </c>
      <c r="G7919" t="str">
        <f>"05-501"</f>
        <v>05-501</v>
      </c>
      <c r="H7919" t="str">
        <f>"B"</f>
        <v>B</v>
      </c>
    </row>
    <row r="7920" spans="1:8" x14ac:dyDescent="0.2">
      <c r="A7920" t="str">
        <f t="shared" ref="A7920:A7927" si="2897">"0615106779"</f>
        <v>0615106779</v>
      </c>
      <c r="B7920" t="str">
        <f t="shared" ref="B7920:B7927" si="2898">"ANTWAN"</f>
        <v>ANTWAN</v>
      </c>
      <c r="C7920" t="str">
        <f t="shared" ref="C7920:C7951" si="2899">"JACKSON"</f>
        <v>JACKSON</v>
      </c>
      <c r="D7920">
        <f>10</f>
        <v>10</v>
      </c>
      <c r="E7920" t="str">
        <f>"04 - S1 - A - 101 - Kyle  Robbins"</f>
        <v>04 - S1 - A - 101 - Kyle  Robbins</v>
      </c>
      <c r="F7920" t="str">
        <f>"PERS FIN &amp; MON MGT H"</f>
        <v>PERS FIN &amp; MON MGT H</v>
      </c>
      <c r="G7920" t="str">
        <f>"17-1745"</f>
        <v>17-1745</v>
      </c>
      <c r="H7920" t="str">
        <f>"A"</f>
        <v>A</v>
      </c>
    </row>
    <row r="7921" spans="1:8" x14ac:dyDescent="0.2">
      <c r="A7921" t="str">
        <f t="shared" si="2897"/>
        <v>0615106779</v>
      </c>
      <c r="B7921" t="str">
        <f t="shared" si="2898"/>
        <v>ANTWAN</v>
      </c>
      <c r="C7921" t="str">
        <f t="shared" si="2899"/>
        <v>JACKSON</v>
      </c>
      <c r="D7921">
        <f>10</f>
        <v>10</v>
      </c>
      <c r="E7921" t="str">
        <f>"06 - B - 118 - Jeanne M Bermudez"</f>
        <v>06 - B - 118 - Jeanne M Bermudez</v>
      </c>
      <c r="F7921" t="str">
        <f>"NC STUDY HALL 1"</f>
        <v>NC STUDY HALL 1</v>
      </c>
      <c r="G7921" t="str">
        <f>"21-2141"</f>
        <v>21-2141</v>
      </c>
      <c r="H7921" t="str">
        <f>"B"</f>
        <v>B</v>
      </c>
    </row>
    <row r="7922" spans="1:8" x14ac:dyDescent="0.2">
      <c r="A7922" t="str">
        <f t="shared" si="2897"/>
        <v>0615106779</v>
      </c>
      <c r="B7922" t="str">
        <f t="shared" si="2898"/>
        <v>ANTWAN</v>
      </c>
      <c r="C7922" t="str">
        <f t="shared" si="2899"/>
        <v>JACKSON</v>
      </c>
      <c r="D7922">
        <f>10</f>
        <v>10</v>
      </c>
      <c r="E7922" t="str">
        <f>"03 - A - 204 - Lytrell T Dixon"</f>
        <v>03 - A - 204 - Lytrell T Dixon</v>
      </c>
      <c r="F7922" t="str">
        <f>"BIOLOGY 1"</f>
        <v>BIOLOGY 1</v>
      </c>
      <c r="G7922" t="str">
        <f>"08-808"</f>
        <v>08-808</v>
      </c>
      <c r="H7922" t="str">
        <f>"A"</f>
        <v>A</v>
      </c>
    </row>
    <row r="7923" spans="1:8" x14ac:dyDescent="0.2">
      <c r="A7923" t="str">
        <f t="shared" si="2897"/>
        <v>0615106779</v>
      </c>
      <c r="B7923" t="str">
        <f t="shared" si="2898"/>
        <v>ANTWAN</v>
      </c>
      <c r="C7923" t="str">
        <f t="shared" si="2899"/>
        <v>JACKSON</v>
      </c>
      <c r="D7923">
        <f>10</f>
        <v>10</v>
      </c>
      <c r="E7923" t="str">
        <f>"02 - S1 - A - 102 - Richard E Dunbar Iii"</f>
        <v>02 - S1 - A - 102 - Richard E Dunbar Iii</v>
      </c>
      <c r="F7923" t="str">
        <f>"WEIGHT TRAIN 1"</f>
        <v>WEIGHT TRAIN 1</v>
      </c>
      <c r="G7923" t="str">
        <f>"05-501"</f>
        <v>05-501</v>
      </c>
      <c r="H7923" t="str">
        <f>"A"</f>
        <v>A</v>
      </c>
    </row>
    <row r="7924" spans="1:8" x14ac:dyDescent="0.2">
      <c r="A7924" t="str">
        <f t="shared" si="2897"/>
        <v>0615106779</v>
      </c>
      <c r="B7924" t="str">
        <f t="shared" si="2898"/>
        <v>ANTWAN</v>
      </c>
      <c r="C7924" t="str">
        <f t="shared" si="2899"/>
        <v>JACKSON</v>
      </c>
      <c r="D7924">
        <f>10</f>
        <v>10</v>
      </c>
      <c r="E7924" t="str">
        <f>"07 - B - 108 - Jacquelyn M Neeson"</f>
        <v>07 - B - 108 - Jacquelyn M Neeson</v>
      </c>
      <c r="F7924" t="str">
        <f>"ENG 2"</f>
        <v>ENG 2</v>
      </c>
      <c r="G7924" t="str">
        <f>"17-1715"</f>
        <v>17-1715</v>
      </c>
      <c r="H7924" t="str">
        <f>"B"</f>
        <v>B</v>
      </c>
    </row>
    <row r="7925" spans="1:8" x14ac:dyDescent="0.2">
      <c r="A7925" t="str">
        <f t="shared" si="2897"/>
        <v>0615106779</v>
      </c>
      <c r="B7925" t="str">
        <f t="shared" si="2898"/>
        <v>ANTWAN</v>
      </c>
      <c r="C7925" t="str">
        <f t="shared" si="2899"/>
        <v>JACKSON</v>
      </c>
      <c r="D7925">
        <f>10</f>
        <v>10</v>
      </c>
      <c r="E7925" t="str">
        <f>"05 - B - 108 - James H Mccann"</f>
        <v>05 - B - 108 - James H Mccann</v>
      </c>
      <c r="F7925" t="str">
        <f>"ALGEBRA 2"</f>
        <v>ALGEBRA 2</v>
      </c>
      <c r="G7925" t="str">
        <f>"17-1716"</f>
        <v>17-1716</v>
      </c>
      <c r="H7925" t="str">
        <f>"B"</f>
        <v>B</v>
      </c>
    </row>
    <row r="7926" spans="1:8" x14ac:dyDescent="0.2">
      <c r="A7926" t="str">
        <f t="shared" si="2897"/>
        <v>0615106779</v>
      </c>
      <c r="B7926" t="str">
        <f t="shared" si="2898"/>
        <v>ANTWAN</v>
      </c>
      <c r="C7926" t="str">
        <f t="shared" si="2899"/>
        <v>JACKSON</v>
      </c>
      <c r="D7926">
        <f>10</f>
        <v>10</v>
      </c>
      <c r="E7926" t="str">
        <f>"01 - A - 101 - Angela S Adeshina-Morrison"</f>
        <v>01 - A - 101 - Angela S Adeshina-Morrison</v>
      </c>
      <c r="F7926" t="str">
        <f>"MARKETING ESSENTIALS"</f>
        <v>MARKETING ESSENTIALS</v>
      </c>
      <c r="G7926" t="str">
        <f>"05-518"</f>
        <v>05-518</v>
      </c>
      <c r="H7926" t="str">
        <f>"A"</f>
        <v>A</v>
      </c>
    </row>
    <row r="7927" spans="1:8" x14ac:dyDescent="0.2">
      <c r="A7927" t="str">
        <f t="shared" si="2897"/>
        <v>0615106779</v>
      </c>
      <c r="B7927" t="str">
        <f t="shared" si="2898"/>
        <v>ANTWAN</v>
      </c>
      <c r="C7927" t="str">
        <f t="shared" si="2899"/>
        <v>JACKSON</v>
      </c>
      <c r="D7927">
        <f>10</f>
        <v>10</v>
      </c>
      <c r="E7927" t="str">
        <f>"08 - B - 202 - Dorothy D Moore"</f>
        <v>08 - B - 202 - Dorothy D Moore</v>
      </c>
      <c r="F7927" t="str">
        <f>"HEALTH SCI 1/A&amp;P HON"</f>
        <v>HEALTH SCI 1/A&amp;P HON</v>
      </c>
      <c r="G7927" t="str">
        <f>"08-803"</f>
        <v>08-803</v>
      </c>
      <c r="H7927" t="str">
        <f>"B"</f>
        <v>B</v>
      </c>
    </row>
    <row r="7928" spans="1:8" x14ac:dyDescent="0.2">
      <c r="A7928" t="str">
        <f t="shared" ref="A7928:A7935" si="2900">"0615063926"</f>
        <v>0615063926</v>
      </c>
      <c r="B7928" t="str">
        <f t="shared" ref="B7928:B7935" si="2901">"DIAMOND"</f>
        <v>DIAMOND</v>
      </c>
      <c r="C7928" t="str">
        <f t="shared" si="2899"/>
        <v>JACKSON</v>
      </c>
      <c r="D7928">
        <f>11</f>
        <v>11</v>
      </c>
      <c r="E7928" t="str">
        <f>"04 - A - 102 - Jeffrey S Gallagher"</f>
        <v>04 - A - 102 - Jeffrey S Gallagher</v>
      </c>
      <c r="F7928" t="str">
        <f>"ENG HON 3"</f>
        <v>ENG HON 3</v>
      </c>
      <c r="G7928" t="str">
        <f>"17-1724"</f>
        <v>17-1724</v>
      </c>
      <c r="H7928" t="str">
        <f>"A"</f>
        <v>A</v>
      </c>
    </row>
    <row r="7929" spans="1:8" x14ac:dyDescent="0.2">
      <c r="A7929" t="str">
        <f t="shared" si="2900"/>
        <v>0615063926</v>
      </c>
      <c r="B7929" t="str">
        <f t="shared" si="2901"/>
        <v>DIAMOND</v>
      </c>
      <c r="C7929" t="str">
        <f t="shared" si="2899"/>
        <v>JACKSON</v>
      </c>
      <c r="D7929">
        <f>11</f>
        <v>11</v>
      </c>
      <c r="E7929" t="str">
        <f>"06 - B - 002 - Kyle  Robbins"</f>
        <v>06 - B - 002 - Kyle  Robbins</v>
      </c>
      <c r="F7929" t="str">
        <f>"US HISTORY HON"</f>
        <v>US HISTORY HON</v>
      </c>
      <c r="G7929" t="str">
        <f>"17-1745"</f>
        <v>17-1745</v>
      </c>
      <c r="H7929" t="str">
        <f>"B"</f>
        <v>B</v>
      </c>
    </row>
    <row r="7930" spans="1:8" x14ac:dyDescent="0.2">
      <c r="A7930" t="str">
        <f t="shared" si="2900"/>
        <v>0615063926</v>
      </c>
      <c r="B7930" t="str">
        <f t="shared" si="2901"/>
        <v>DIAMOND</v>
      </c>
      <c r="C7930" t="str">
        <f t="shared" si="2899"/>
        <v>JACKSON</v>
      </c>
      <c r="D7930">
        <f>11</f>
        <v>11</v>
      </c>
      <c r="E7930" t="str">
        <f>"03 - A - 101 - Jazmin S Fletcher"</f>
        <v>03 - A - 101 - Jazmin S Fletcher</v>
      </c>
      <c r="F7930" t="str">
        <f>"TECH THEA DES&amp;PROD 1"</f>
        <v>TECH THEA DES&amp;PROD 1</v>
      </c>
      <c r="G7930" t="str">
        <f>"09-909"</f>
        <v>09-909</v>
      </c>
      <c r="H7930" t="str">
        <f>"A"</f>
        <v>A</v>
      </c>
    </row>
    <row r="7931" spans="1:8" x14ac:dyDescent="0.2">
      <c r="A7931" t="str">
        <f t="shared" si="2900"/>
        <v>0615063926</v>
      </c>
      <c r="B7931" t="str">
        <f t="shared" si="2901"/>
        <v>DIAMOND</v>
      </c>
      <c r="C7931" t="str">
        <f t="shared" si="2899"/>
        <v>JACKSON</v>
      </c>
      <c r="D7931">
        <f>11</f>
        <v>11</v>
      </c>
      <c r="E7931" t="str">
        <f>"02 - A - 113 - Byron G Montenegro"</f>
        <v>02 - A - 113 - Byron G Montenegro</v>
      </c>
      <c r="F7931" t="str">
        <f>"NC STUDY HALL 1"</f>
        <v>NC STUDY HALL 1</v>
      </c>
      <c r="G7931" t="str">
        <f>"21-2144"</f>
        <v>21-2144</v>
      </c>
      <c r="H7931" t="str">
        <f>"A"</f>
        <v>A</v>
      </c>
    </row>
    <row r="7932" spans="1:8" x14ac:dyDescent="0.2">
      <c r="A7932" t="str">
        <f t="shared" si="2900"/>
        <v>0615063926</v>
      </c>
      <c r="B7932" t="str">
        <f t="shared" si="2901"/>
        <v>DIAMOND</v>
      </c>
      <c r="C7932" t="str">
        <f t="shared" si="2899"/>
        <v>JACKSON</v>
      </c>
      <c r="D7932">
        <f>11</f>
        <v>11</v>
      </c>
      <c r="E7932" t="str">
        <f>"07 - B - 105 - Josiah I Lacy"</f>
        <v>07 - B - 105 - Josiah I Lacy</v>
      </c>
      <c r="F7932" t="str">
        <f>"ANAT PHYSIO HON"</f>
        <v>ANAT PHYSIO HON</v>
      </c>
      <c r="G7932" t="str">
        <f>"08-801"</f>
        <v>08-801</v>
      </c>
      <c r="H7932" t="str">
        <f>"B"</f>
        <v>B</v>
      </c>
    </row>
    <row r="7933" spans="1:8" x14ac:dyDescent="0.2">
      <c r="A7933" t="str">
        <f t="shared" si="2900"/>
        <v>0615063926</v>
      </c>
      <c r="B7933" t="str">
        <f t="shared" si="2901"/>
        <v>DIAMOND</v>
      </c>
      <c r="C7933" t="str">
        <f t="shared" si="2899"/>
        <v>JACKSON</v>
      </c>
      <c r="D7933">
        <f>11</f>
        <v>11</v>
      </c>
      <c r="E7933" t="str">
        <f>"05 - B - 106 - Thomas G Handwerg"</f>
        <v>05 - B - 106 - Thomas G Handwerg</v>
      </c>
      <c r="F7933" t="str">
        <f>"MATH COLL ALGEBRA"</f>
        <v>MATH COLL ALGEBRA</v>
      </c>
      <c r="G7933" t="str">
        <f>"21-2146"</f>
        <v>21-2146</v>
      </c>
      <c r="H7933" t="str">
        <f>"B"</f>
        <v>B</v>
      </c>
    </row>
    <row r="7934" spans="1:8" x14ac:dyDescent="0.2">
      <c r="A7934" t="str">
        <f t="shared" si="2900"/>
        <v>0615063926</v>
      </c>
      <c r="B7934" t="str">
        <f t="shared" si="2901"/>
        <v>DIAMOND</v>
      </c>
      <c r="C7934" t="str">
        <f t="shared" si="2899"/>
        <v>JACKSON</v>
      </c>
      <c r="D7934">
        <f>11</f>
        <v>11</v>
      </c>
      <c r="E7934" t="str">
        <f>"01 - A - 201 - Stefanie S Scher"</f>
        <v>01 - A - 201 - Stefanie S Scher</v>
      </c>
      <c r="F7934" t="str">
        <f>"AICE PSYCH 1 AS"</f>
        <v>AICE PSYCH 1 AS</v>
      </c>
      <c r="G7934" t="str">
        <f>"17-1735"</f>
        <v>17-1735</v>
      </c>
      <c r="H7934" t="str">
        <f>"A"</f>
        <v>A</v>
      </c>
    </row>
    <row r="7935" spans="1:8" x14ac:dyDescent="0.2">
      <c r="A7935" t="str">
        <f t="shared" si="2900"/>
        <v>0615063926</v>
      </c>
      <c r="B7935" t="str">
        <f t="shared" si="2901"/>
        <v>DIAMOND</v>
      </c>
      <c r="C7935" t="str">
        <f t="shared" si="2899"/>
        <v>JACKSON</v>
      </c>
      <c r="D7935">
        <f>11</f>
        <v>11</v>
      </c>
      <c r="E7935" t="str">
        <f>"08 - B - 201 - Vanessa J Liburd"</f>
        <v>08 - B - 201 - Vanessa J Liburd</v>
      </c>
      <c r="F7935" t="str">
        <f>"FRENCH 3 HON"</f>
        <v>FRENCH 3 HON</v>
      </c>
      <c r="G7935" t="str">
        <f>"05-519"</f>
        <v>05-519</v>
      </c>
      <c r="H7935" t="str">
        <f>"B"</f>
        <v>B</v>
      </c>
    </row>
    <row r="7936" spans="1:8" x14ac:dyDescent="0.2">
      <c r="A7936" t="str">
        <f t="shared" ref="A7936:A7943" si="2902">"0615056773"</f>
        <v>0615056773</v>
      </c>
      <c r="B7936" t="str">
        <f t="shared" ref="B7936:B7943" si="2903">"FABIAN"</f>
        <v>FABIAN</v>
      </c>
      <c r="C7936" t="str">
        <f t="shared" si="2899"/>
        <v>JACKSON</v>
      </c>
      <c r="D7936" t="str">
        <f t="shared" ref="D7936:D7975" si="2904">"09"</f>
        <v>09</v>
      </c>
      <c r="E7936" t="str">
        <f>"04 - A - 102 - Tina L Lovett"</f>
        <v>04 - A - 102 - Tina L Lovett</v>
      </c>
      <c r="F7936" t="str">
        <f>"ALGEBRA 1"</f>
        <v>ALGEBRA 1</v>
      </c>
      <c r="G7936" t="str">
        <f>"21-2153"</f>
        <v>21-2153</v>
      </c>
      <c r="H7936" t="str">
        <f>"A"</f>
        <v>A</v>
      </c>
    </row>
    <row r="7937" spans="1:8" x14ac:dyDescent="0.2">
      <c r="A7937" t="str">
        <f t="shared" si="2902"/>
        <v>0615056773</v>
      </c>
      <c r="B7937" t="str">
        <f t="shared" si="2903"/>
        <v>FABIAN</v>
      </c>
      <c r="C7937" t="str">
        <f t="shared" si="2899"/>
        <v>JACKSON</v>
      </c>
      <c r="D7937" t="str">
        <f t="shared" si="2904"/>
        <v>09</v>
      </c>
      <c r="E7937" t="str">
        <f>"06 - B - 104 - Rory T Sponsler"</f>
        <v>06 - B - 104 - Rory T Sponsler</v>
      </c>
      <c r="F7937" t="str">
        <f>"PRE-AICE WRLD HST IG"</f>
        <v>PRE-AICE WRLD HST IG</v>
      </c>
      <c r="G7937" t="str">
        <f>"17-1740"</f>
        <v>17-1740</v>
      </c>
      <c r="H7937" t="str">
        <f>"B"</f>
        <v>B</v>
      </c>
    </row>
    <row r="7938" spans="1:8" x14ac:dyDescent="0.2">
      <c r="A7938" t="str">
        <f t="shared" si="2902"/>
        <v>0615056773</v>
      </c>
      <c r="B7938" t="str">
        <f t="shared" si="2903"/>
        <v>FABIAN</v>
      </c>
      <c r="C7938" t="str">
        <f t="shared" si="2899"/>
        <v>JACKSON</v>
      </c>
      <c r="D7938" t="str">
        <f t="shared" si="2904"/>
        <v>09</v>
      </c>
      <c r="E7938" t="str">
        <f>"03 - A - 103 - Samantha J Headley"</f>
        <v>03 - A - 103 - Samantha J Headley</v>
      </c>
      <c r="F7938" t="str">
        <f>"MARINE SCI 1 HON"</f>
        <v>MARINE SCI 1 HON</v>
      </c>
      <c r="G7938" t="str">
        <f>"21-2134"</f>
        <v>21-2134</v>
      </c>
      <c r="H7938" t="str">
        <f>"A"</f>
        <v>A</v>
      </c>
    </row>
    <row r="7939" spans="1:8" x14ac:dyDescent="0.2">
      <c r="A7939" t="str">
        <f t="shared" si="2902"/>
        <v>0615056773</v>
      </c>
      <c r="B7939" t="str">
        <f t="shared" si="2903"/>
        <v>FABIAN</v>
      </c>
      <c r="C7939" t="str">
        <f t="shared" si="2899"/>
        <v>JACKSON</v>
      </c>
      <c r="D7939" t="str">
        <f t="shared" si="2904"/>
        <v>09</v>
      </c>
      <c r="E7939" t="str">
        <f>"02 - A - 103 - Arthur  Kulawik"</f>
        <v>02 - A - 103 - Arthur  Kulawik</v>
      </c>
      <c r="F7939" t="str">
        <f>"NC STUDY HALL 1"</f>
        <v>NC STUDY HALL 1</v>
      </c>
      <c r="G7939" t="str">
        <f>"05-506"</f>
        <v>05-506</v>
      </c>
      <c r="H7939" t="str">
        <f>"A"</f>
        <v>A</v>
      </c>
    </row>
    <row r="7940" spans="1:8" x14ac:dyDescent="0.2">
      <c r="A7940" t="str">
        <f t="shared" si="2902"/>
        <v>0615056773</v>
      </c>
      <c r="B7940" t="str">
        <f t="shared" si="2903"/>
        <v>FABIAN</v>
      </c>
      <c r="C7940" t="str">
        <f t="shared" si="2899"/>
        <v>JACKSON</v>
      </c>
      <c r="D7940" t="str">
        <f t="shared" si="2904"/>
        <v>09</v>
      </c>
      <c r="E7940" t="str">
        <f>"07 - B - 101 - Samantha L Martinez"</f>
        <v>07 - B - 101 - Samantha L Martinez</v>
      </c>
      <c r="F7940" t="str">
        <f>"KEYBD 1"</f>
        <v>KEYBD 1</v>
      </c>
      <c r="G7940" t="str">
        <f>"05-505"</f>
        <v>05-505</v>
      </c>
      <c r="H7940" t="str">
        <f>"B"</f>
        <v>B</v>
      </c>
    </row>
    <row r="7941" spans="1:8" x14ac:dyDescent="0.2">
      <c r="A7941" t="str">
        <f t="shared" si="2902"/>
        <v>0615056773</v>
      </c>
      <c r="B7941" t="str">
        <f t="shared" si="2903"/>
        <v>FABIAN</v>
      </c>
      <c r="C7941" t="str">
        <f t="shared" si="2899"/>
        <v>JACKSON</v>
      </c>
      <c r="D7941" t="str">
        <f t="shared" si="2904"/>
        <v>09</v>
      </c>
      <c r="E7941" t="str">
        <f>"05 - B - 104 - Daniel S Tyson"</f>
        <v>05 - B - 104 - Daniel S Tyson</v>
      </c>
      <c r="F7941" t="str">
        <f>"JROTC NAVAL SCI 1"</f>
        <v>JROTC NAVAL SCI 1</v>
      </c>
      <c r="G7941" t="str">
        <f>"05-510"</f>
        <v>05-510</v>
      </c>
      <c r="H7941" t="str">
        <f>"B"</f>
        <v>B</v>
      </c>
    </row>
    <row r="7942" spans="1:8" x14ac:dyDescent="0.2">
      <c r="A7942" t="str">
        <f t="shared" si="2902"/>
        <v>0615056773</v>
      </c>
      <c r="B7942" t="str">
        <f t="shared" si="2903"/>
        <v>FABIAN</v>
      </c>
      <c r="C7942" t="str">
        <f t="shared" si="2899"/>
        <v>JACKSON</v>
      </c>
      <c r="D7942" t="str">
        <f t="shared" si="2904"/>
        <v>09</v>
      </c>
      <c r="E7942" t="str">
        <f>"01 - A - 101 - Cheryl Anne  Berman-Schechter"</f>
        <v>01 - A - 101 - Cheryl Anne  Berman-Schechter</v>
      </c>
      <c r="F7942" t="str">
        <f>"PRE-AICE ENG LANG IG"</f>
        <v>PRE-AICE ENG LANG IG</v>
      </c>
      <c r="G7942" t="str">
        <f>"17-1722"</f>
        <v>17-1722</v>
      </c>
      <c r="H7942" t="str">
        <f>"A"</f>
        <v>A</v>
      </c>
    </row>
    <row r="7943" spans="1:8" x14ac:dyDescent="0.2">
      <c r="A7943" t="str">
        <f t="shared" si="2902"/>
        <v>0615056773</v>
      </c>
      <c r="B7943" t="str">
        <f t="shared" si="2903"/>
        <v>FABIAN</v>
      </c>
      <c r="C7943" t="str">
        <f t="shared" si="2899"/>
        <v>JACKSON</v>
      </c>
      <c r="D7943" t="str">
        <f t="shared" si="2904"/>
        <v>09</v>
      </c>
      <c r="E7943" t="str">
        <f>"08 - B - 108 - Tina L Lovett"</f>
        <v>08 - B - 108 - Tina L Lovett</v>
      </c>
      <c r="F7943" t="str">
        <f>"FDN SKLS MATH 9-12"</f>
        <v>FDN SKLS MATH 9-12</v>
      </c>
      <c r="G7943" t="str">
        <f>"21-2153"</f>
        <v>21-2153</v>
      </c>
      <c r="H7943" t="str">
        <f>"B"</f>
        <v>B</v>
      </c>
    </row>
    <row r="7944" spans="1:8" x14ac:dyDescent="0.2">
      <c r="A7944" t="str">
        <f t="shared" ref="A7944:A7951" si="2905">"0616053537"</f>
        <v>0616053537</v>
      </c>
      <c r="B7944" t="str">
        <f t="shared" ref="B7944:B7951" si="2906">"JA'NIA"</f>
        <v>JA'NIA</v>
      </c>
      <c r="C7944" t="str">
        <f t="shared" si="2899"/>
        <v>JACKSON</v>
      </c>
      <c r="D7944" t="str">
        <f t="shared" si="2904"/>
        <v>09</v>
      </c>
      <c r="E7944" t="str">
        <f>"04 - A - 106 - Marielle A Witting"</f>
        <v>04 - A - 106 - Marielle A Witting</v>
      </c>
      <c r="F7944" t="str">
        <f>"ANAT PHYSIO"</f>
        <v>ANAT PHYSIO</v>
      </c>
      <c r="G7944" t="str">
        <f>"08-805"</f>
        <v>08-805</v>
      </c>
      <c r="H7944" t="str">
        <f>"A"</f>
        <v>A</v>
      </c>
    </row>
    <row r="7945" spans="1:8" x14ac:dyDescent="0.2">
      <c r="A7945" t="str">
        <f t="shared" si="2905"/>
        <v>0616053537</v>
      </c>
      <c r="B7945" t="str">
        <f t="shared" si="2906"/>
        <v>JA'NIA</v>
      </c>
      <c r="C7945" t="str">
        <f t="shared" si="2899"/>
        <v>JACKSON</v>
      </c>
      <c r="D7945" t="str">
        <f t="shared" si="2904"/>
        <v>09</v>
      </c>
      <c r="E7945" t="str">
        <f>"06 - S1 - B - 104 - Leslie J Barton"</f>
        <v>06 - S1 - B - 104 - Leslie J Barton</v>
      </c>
      <c r="F7945" t="str">
        <f>"FIRST AID SAFETY"</f>
        <v>FIRST AID SAFETY</v>
      </c>
      <c r="G7945" t="str">
        <f>"05-521"</f>
        <v>05-521</v>
      </c>
      <c r="H7945" t="str">
        <f>"B"</f>
        <v>B</v>
      </c>
    </row>
    <row r="7946" spans="1:8" x14ac:dyDescent="0.2">
      <c r="A7946" t="str">
        <f t="shared" si="2905"/>
        <v>0616053537</v>
      </c>
      <c r="B7946" t="str">
        <f t="shared" si="2906"/>
        <v>JA'NIA</v>
      </c>
      <c r="C7946" t="str">
        <f t="shared" si="2899"/>
        <v>JACKSON</v>
      </c>
      <c r="D7946" t="str">
        <f t="shared" si="2904"/>
        <v>09</v>
      </c>
      <c r="E7946" t="str">
        <f>"03 - A - 102 - Laselleda D Shaw"</f>
        <v>03 - A - 102 - Laselleda D Shaw</v>
      </c>
      <c r="F7946" t="str">
        <f>"INTENS READ 1"</f>
        <v>INTENS READ 1</v>
      </c>
      <c r="G7946" t="str">
        <f>"17-1723"</f>
        <v>17-1723</v>
      </c>
      <c r="H7946" t="str">
        <f>"A"</f>
        <v>A</v>
      </c>
    </row>
    <row r="7947" spans="1:8" x14ac:dyDescent="0.2">
      <c r="A7947" t="str">
        <f t="shared" si="2905"/>
        <v>0616053537</v>
      </c>
      <c r="B7947" t="str">
        <f t="shared" si="2906"/>
        <v>JA'NIA</v>
      </c>
      <c r="C7947" t="str">
        <f t="shared" si="2899"/>
        <v>JACKSON</v>
      </c>
      <c r="D7947" t="str">
        <f t="shared" si="2904"/>
        <v>09</v>
      </c>
      <c r="E7947" t="str">
        <f>"02 - A - 115 - Lourivaldo  Da Silva"</f>
        <v>02 - A - 115 - Lourivaldo  Da Silva</v>
      </c>
      <c r="F7947" t="str">
        <f>"NC STUDY HALL 1"</f>
        <v>NC STUDY HALL 1</v>
      </c>
      <c r="G7947" t="str">
        <f>"20-2079"</f>
        <v>20-2079</v>
      </c>
      <c r="H7947" t="str">
        <f>"A"</f>
        <v>A</v>
      </c>
    </row>
    <row r="7948" spans="1:8" x14ac:dyDescent="0.2">
      <c r="A7948" t="str">
        <f t="shared" si="2905"/>
        <v>0616053537</v>
      </c>
      <c r="B7948" t="str">
        <f t="shared" si="2906"/>
        <v>JA'NIA</v>
      </c>
      <c r="C7948" t="str">
        <f t="shared" si="2899"/>
        <v>JACKSON</v>
      </c>
      <c r="D7948" t="str">
        <f t="shared" si="2904"/>
        <v>09</v>
      </c>
      <c r="E7948" t="str">
        <f>"07 - B - 107 - Cerine S Stewart"</f>
        <v>07 - B - 107 - Cerine S Stewart</v>
      </c>
      <c r="F7948" t="str">
        <f>"ENG 1"</f>
        <v>ENG 1</v>
      </c>
      <c r="G7948" t="str">
        <f>"17-1720"</f>
        <v>17-1720</v>
      </c>
      <c r="H7948" t="str">
        <f>"B"</f>
        <v>B</v>
      </c>
    </row>
    <row r="7949" spans="1:8" x14ac:dyDescent="0.2">
      <c r="A7949" t="str">
        <f t="shared" si="2905"/>
        <v>0616053537</v>
      </c>
      <c r="B7949" t="str">
        <f t="shared" si="2906"/>
        <v>JA'NIA</v>
      </c>
      <c r="C7949" t="str">
        <f t="shared" si="2899"/>
        <v>JACKSON</v>
      </c>
      <c r="D7949" t="str">
        <f t="shared" si="2904"/>
        <v>09</v>
      </c>
      <c r="E7949" t="str">
        <f>"05 - B - 205 - Lenecy  Nodarse"</f>
        <v>05 - B - 205 - Lenecy  Nodarse</v>
      </c>
      <c r="F7949" t="str">
        <f>"WORLD HISTORY"</f>
        <v>WORLD HISTORY</v>
      </c>
      <c r="G7949" t="str">
        <f>"17-1741"</f>
        <v>17-1741</v>
      </c>
      <c r="H7949" t="str">
        <f>"B"</f>
        <v>B</v>
      </c>
    </row>
    <row r="7950" spans="1:8" x14ac:dyDescent="0.2">
      <c r="A7950" t="str">
        <f t="shared" si="2905"/>
        <v>0616053537</v>
      </c>
      <c r="B7950" t="str">
        <f t="shared" si="2906"/>
        <v>JA'NIA</v>
      </c>
      <c r="C7950" t="str">
        <f t="shared" si="2899"/>
        <v>JACKSON</v>
      </c>
      <c r="D7950" t="str">
        <f t="shared" si="2904"/>
        <v>09</v>
      </c>
      <c r="E7950" t="str">
        <f>"01 - A - 504 - Alejandro  Navarro"</f>
        <v>01 - A - 504 - Alejandro  Navarro</v>
      </c>
      <c r="F7950" t="str">
        <f>"BAND 1"</f>
        <v>BAND 1</v>
      </c>
      <c r="G7950" t="str">
        <f>"05-504"</f>
        <v>05-504</v>
      </c>
      <c r="H7950" t="str">
        <f>"A"</f>
        <v>A</v>
      </c>
    </row>
    <row r="7951" spans="1:8" x14ac:dyDescent="0.2">
      <c r="A7951" t="str">
        <f t="shared" si="2905"/>
        <v>0616053537</v>
      </c>
      <c r="B7951" t="str">
        <f t="shared" si="2906"/>
        <v>JA'NIA</v>
      </c>
      <c r="C7951" t="str">
        <f t="shared" si="2899"/>
        <v>JACKSON</v>
      </c>
      <c r="D7951" t="str">
        <f t="shared" si="2904"/>
        <v>09</v>
      </c>
      <c r="E7951" t="str">
        <f>"08 - B - 107 - Brook E Goren"</f>
        <v>08 - B - 107 - Brook E Goren</v>
      </c>
      <c r="F7951" t="str">
        <f>"GEOMETRY"</f>
        <v>GEOMETRY</v>
      </c>
      <c r="G7951" t="str">
        <f>"21-2158"</f>
        <v>21-2158</v>
      </c>
      <c r="H7951" t="str">
        <f>"B"</f>
        <v>B</v>
      </c>
    </row>
    <row r="7952" spans="1:8" x14ac:dyDescent="0.2">
      <c r="A7952" t="str">
        <f t="shared" ref="A7952:A7959" si="2907">"0617011080"</f>
        <v>0617011080</v>
      </c>
      <c r="B7952" t="str">
        <f t="shared" ref="B7952:B7959" si="2908">"JAYDEN"</f>
        <v>JAYDEN</v>
      </c>
      <c r="C7952" t="str">
        <f t="shared" ref="C7952:C7975" si="2909">"JACKSON"</f>
        <v>JACKSON</v>
      </c>
      <c r="D7952" t="str">
        <f t="shared" si="2904"/>
        <v>09</v>
      </c>
      <c r="E7952" t="str">
        <f>"04 - A - 101 - Chrystina M Marchionne"</f>
        <v>04 - A - 101 - Chrystina M Marchionne</v>
      </c>
      <c r="F7952" t="str">
        <f>"THEA CIN &amp; FILM LH"</f>
        <v>THEA CIN &amp; FILM LH</v>
      </c>
      <c r="G7952" t="str">
        <f>"05-520"</f>
        <v>05-520</v>
      </c>
      <c r="H7952" t="str">
        <f>"A"</f>
        <v>A</v>
      </c>
    </row>
    <row r="7953" spans="1:8" x14ac:dyDescent="0.2">
      <c r="A7953" t="str">
        <f t="shared" si="2907"/>
        <v>0617011080</v>
      </c>
      <c r="B7953" t="str">
        <f t="shared" si="2908"/>
        <v>JAYDEN</v>
      </c>
      <c r="C7953" t="str">
        <f t="shared" si="2909"/>
        <v>JACKSON</v>
      </c>
      <c r="D7953" t="str">
        <f t="shared" si="2904"/>
        <v>09</v>
      </c>
      <c r="E7953" t="str">
        <f>"06 - B - 106 - Adam Marcus  Drucker"</f>
        <v>06 - B - 106 - Adam Marcus  Drucker</v>
      </c>
      <c r="F7953" t="str">
        <f>"HOPE-PE V"</f>
        <v>HOPE-PE V</v>
      </c>
      <c r="G7953" t="str">
        <f>"04-254"</f>
        <v>04-254</v>
      </c>
      <c r="H7953" t="str">
        <f>"B"</f>
        <v>B</v>
      </c>
    </row>
    <row r="7954" spans="1:8" x14ac:dyDescent="0.2">
      <c r="A7954" t="str">
        <f t="shared" si="2907"/>
        <v>0617011080</v>
      </c>
      <c r="B7954" t="str">
        <f t="shared" si="2908"/>
        <v>JAYDEN</v>
      </c>
      <c r="C7954" t="str">
        <f t="shared" si="2909"/>
        <v>JACKSON</v>
      </c>
      <c r="D7954" t="str">
        <f t="shared" si="2904"/>
        <v>09</v>
      </c>
      <c r="E7954" t="str">
        <f>"03 - A - 203 - Elizabeth R Walker"</f>
        <v>03 - A - 203 - Elizabeth R Walker</v>
      </c>
      <c r="F7954" t="str">
        <f>"AICE ENG GEN PAPER 1"</f>
        <v>AICE ENG GEN PAPER 1</v>
      </c>
      <c r="G7954" t="str">
        <f>"17-1703"</f>
        <v>17-1703</v>
      </c>
      <c r="H7954" t="str">
        <f>"A"</f>
        <v>A</v>
      </c>
    </row>
    <row r="7955" spans="1:8" x14ac:dyDescent="0.2">
      <c r="A7955" t="str">
        <f t="shared" si="2907"/>
        <v>0617011080</v>
      </c>
      <c r="B7955" t="str">
        <f t="shared" si="2908"/>
        <v>JAYDEN</v>
      </c>
      <c r="C7955" t="str">
        <f t="shared" si="2909"/>
        <v>JACKSON</v>
      </c>
      <c r="D7955" t="str">
        <f t="shared" si="2904"/>
        <v>09</v>
      </c>
      <c r="E7955" t="str">
        <f>"02 - A - 112 - Cheryl Anne  Berman-Schechter"</f>
        <v>02 - A - 112 - Cheryl Anne  Berman-Schechter</v>
      </c>
      <c r="F7955" t="str">
        <f>"NC STUDY HALL 1"</f>
        <v>NC STUDY HALL 1</v>
      </c>
      <c r="G7955" t="str">
        <f>"17-1722"</f>
        <v>17-1722</v>
      </c>
      <c r="H7955" t="str">
        <f>"A"</f>
        <v>A</v>
      </c>
    </row>
    <row r="7956" spans="1:8" x14ac:dyDescent="0.2">
      <c r="A7956" t="str">
        <f t="shared" si="2907"/>
        <v>0617011080</v>
      </c>
      <c r="B7956" t="str">
        <f t="shared" si="2908"/>
        <v>JAYDEN</v>
      </c>
      <c r="C7956" t="str">
        <f t="shared" si="2909"/>
        <v>JACKSON</v>
      </c>
      <c r="D7956" t="str">
        <f t="shared" si="2904"/>
        <v>09</v>
      </c>
      <c r="E7956" t="str">
        <f>"07 - B - 107 - Brook E Goren"</f>
        <v>07 - B - 107 - Brook E Goren</v>
      </c>
      <c r="F7956" t="str">
        <f>"PRE-AICE MATH 2 IG"</f>
        <v>PRE-AICE MATH 2 IG</v>
      </c>
      <c r="G7956" t="str">
        <f>"21-2158"</f>
        <v>21-2158</v>
      </c>
      <c r="H7956" t="str">
        <f>"B"</f>
        <v>B</v>
      </c>
    </row>
    <row r="7957" spans="1:8" x14ac:dyDescent="0.2">
      <c r="A7957" t="str">
        <f t="shared" si="2907"/>
        <v>0617011080</v>
      </c>
      <c r="B7957" t="str">
        <f t="shared" si="2908"/>
        <v>JAYDEN</v>
      </c>
      <c r="C7957" t="str">
        <f t="shared" si="2909"/>
        <v>JACKSON</v>
      </c>
      <c r="D7957" t="str">
        <f t="shared" si="2904"/>
        <v>09</v>
      </c>
      <c r="E7957" t="str">
        <f>"05 - B - 103 - Rory T Sponsler"</f>
        <v>05 - B - 103 - Rory T Sponsler</v>
      </c>
      <c r="F7957" t="str">
        <f>"PRE-AICE WRLD HST IG"</f>
        <v>PRE-AICE WRLD HST IG</v>
      </c>
      <c r="G7957" t="str">
        <f>"17-1740"</f>
        <v>17-1740</v>
      </c>
      <c r="H7957" t="str">
        <f>"B"</f>
        <v>B</v>
      </c>
    </row>
    <row r="7958" spans="1:8" x14ac:dyDescent="0.2">
      <c r="A7958" t="str">
        <f t="shared" si="2907"/>
        <v>0617011080</v>
      </c>
      <c r="B7958" t="str">
        <f t="shared" si="2908"/>
        <v>JAYDEN</v>
      </c>
      <c r="C7958" t="str">
        <f t="shared" si="2909"/>
        <v>JACKSON</v>
      </c>
      <c r="D7958" t="str">
        <f t="shared" si="2904"/>
        <v>09</v>
      </c>
      <c r="E7958" t="str">
        <f>"01 - A - 101 - Vanessa J Liburd"</f>
        <v>01 - A - 101 - Vanessa J Liburd</v>
      </c>
      <c r="F7958" t="str">
        <f>"PRE-AICE FRENCH 1 IG"</f>
        <v>PRE-AICE FRENCH 1 IG</v>
      </c>
      <c r="G7958" t="str">
        <f>"05-519"</f>
        <v>05-519</v>
      </c>
      <c r="H7958" t="str">
        <f>"A"</f>
        <v>A</v>
      </c>
    </row>
    <row r="7959" spans="1:8" x14ac:dyDescent="0.2">
      <c r="A7959" t="str">
        <f t="shared" si="2907"/>
        <v>0617011080</v>
      </c>
      <c r="B7959" t="str">
        <f t="shared" si="2908"/>
        <v>JAYDEN</v>
      </c>
      <c r="C7959" t="str">
        <f t="shared" si="2909"/>
        <v>JACKSON</v>
      </c>
      <c r="D7959" t="str">
        <f t="shared" si="2904"/>
        <v>09</v>
      </c>
      <c r="E7959" t="str">
        <f>"08 - B - 102 - Josiah I Lacy"</f>
        <v>08 - B - 102 - Josiah I Lacy</v>
      </c>
      <c r="F7959" t="str">
        <f>"ANAT PHYSIO HON"</f>
        <v>ANAT PHYSIO HON</v>
      </c>
      <c r="G7959" t="str">
        <f>"08-801"</f>
        <v>08-801</v>
      </c>
      <c r="H7959" t="str">
        <f>"B"</f>
        <v>B</v>
      </c>
    </row>
    <row r="7960" spans="1:8" x14ac:dyDescent="0.2">
      <c r="A7960" t="str">
        <f t="shared" ref="A7960:A7967" si="2910">"0616118889"</f>
        <v>0616118889</v>
      </c>
      <c r="B7960" t="str">
        <f t="shared" ref="B7960:B7967" si="2911">"MADISON"</f>
        <v>MADISON</v>
      </c>
      <c r="C7960" t="str">
        <f t="shared" si="2909"/>
        <v>JACKSON</v>
      </c>
      <c r="D7960" t="str">
        <f t="shared" si="2904"/>
        <v>09</v>
      </c>
      <c r="E7960" t="str">
        <f>"04 - A - 101 - Chrystina M Marchionne"</f>
        <v>04 - A - 101 - Chrystina M Marchionne</v>
      </c>
      <c r="F7960" t="str">
        <f>"THEA CIN &amp; FILM LH"</f>
        <v>THEA CIN &amp; FILM LH</v>
      </c>
      <c r="G7960" t="str">
        <f>"05-520"</f>
        <v>05-520</v>
      </c>
      <c r="H7960" t="str">
        <f>"A"</f>
        <v>A</v>
      </c>
    </row>
    <row r="7961" spans="1:8" x14ac:dyDescent="0.2">
      <c r="A7961" t="str">
        <f t="shared" si="2910"/>
        <v>0616118889</v>
      </c>
      <c r="B7961" t="str">
        <f t="shared" si="2911"/>
        <v>MADISON</v>
      </c>
      <c r="C7961" t="str">
        <f t="shared" si="2909"/>
        <v>JACKSON</v>
      </c>
      <c r="D7961" t="str">
        <f t="shared" si="2904"/>
        <v>09</v>
      </c>
      <c r="E7961" t="str">
        <f>"06 - B - 101 - Fernando  Vega-Cid"</f>
        <v>06 - B - 101 - Fernando  Vega-Cid</v>
      </c>
      <c r="F7961" t="str">
        <f>"PRE-AICE MATH 2 IG"</f>
        <v>PRE-AICE MATH 2 IG</v>
      </c>
      <c r="G7961" t="str">
        <f>"21-2163"</f>
        <v>21-2163</v>
      </c>
      <c r="H7961" t="str">
        <f>"B"</f>
        <v>B</v>
      </c>
    </row>
    <row r="7962" spans="1:8" x14ac:dyDescent="0.2">
      <c r="A7962" t="str">
        <f t="shared" si="2910"/>
        <v>0616118889</v>
      </c>
      <c r="B7962" t="str">
        <f t="shared" si="2911"/>
        <v>MADISON</v>
      </c>
      <c r="C7962" t="str">
        <f t="shared" si="2909"/>
        <v>JACKSON</v>
      </c>
      <c r="D7962" t="str">
        <f t="shared" si="2904"/>
        <v>09</v>
      </c>
      <c r="E7962" t="str">
        <f>"03 - A - 204 - Norayda D Suarez"</f>
        <v>03 - A - 204 - Norayda D Suarez</v>
      </c>
      <c r="F7962" t="str">
        <f>"ANAT PHYSIO HON"</f>
        <v>ANAT PHYSIO HON</v>
      </c>
      <c r="G7962" t="str">
        <f>"21-2144"</f>
        <v>21-2144</v>
      </c>
      <c r="H7962" t="str">
        <f>"A"</f>
        <v>A</v>
      </c>
    </row>
    <row r="7963" spans="1:8" x14ac:dyDescent="0.2">
      <c r="A7963" t="str">
        <f t="shared" si="2910"/>
        <v>0616118889</v>
      </c>
      <c r="B7963" t="str">
        <f t="shared" si="2911"/>
        <v>MADISON</v>
      </c>
      <c r="C7963" t="str">
        <f t="shared" si="2909"/>
        <v>JACKSON</v>
      </c>
      <c r="D7963" t="str">
        <f t="shared" si="2904"/>
        <v>09</v>
      </c>
      <c r="E7963" t="str">
        <f>"02 - A - 107 - Cerine S Stewart"</f>
        <v>02 - A - 107 - Cerine S Stewart</v>
      </c>
      <c r="F7963" t="str">
        <f>"NC STUDY HALL 1"</f>
        <v>NC STUDY HALL 1</v>
      </c>
      <c r="G7963" t="str">
        <f>"17-1720"</f>
        <v>17-1720</v>
      </c>
      <c r="H7963" t="str">
        <f>"A"</f>
        <v>A</v>
      </c>
    </row>
    <row r="7964" spans="1:8" x14ac:dyDescent="0.2">
      <c r="A7964" t="str">
        <f t="shared" si="2910"/>
        <v>0616118889</v>
      </c>
      <c r="B7964" t="str">
        <f t="shared" si="2911"/>
        <v>MADISON</v>
      </c>
      <c r="C7964" t="str">
        <f t="shared" si="2909"/>
        <v>JACKSON</v>
      </c>
      <c r="D7964" t="str">
        <f t="shared" si="2904"/>
        <v>09</v>
      </c>
      <c r="E7964" t="str">
        <f>"07 - B - 001 - Carol S Moore"</f>
        <v>07 - B - 001 - Carol S Moore</v>
      </c>
      <c r="F7964" t="str">
        <f>"PRE-AICE WRLD HST IG"</f>
        <v>PRE-AICE WRLD HST IG</v>
      </c>
      <c r="G7964" t="str">
        <f>"17-1733"</f>
        <v>17-1733</v>
      </c>
      <c r="H7964" t="str">
        <f>"B"</f>
        <v>B</v>
      </c>
    </row>
    <row r="7965" spans="1:8" x14ac:dyDescent="0.2">
      <c r="A7965" t="str">
        <f t="shared" si="2910"/>
        <v>0616118889</v>
      </c>
      <c r="B7965" t="str">
        <f t="shared" si="2911"/>
        <v>MADISON</v>
      </c>
      <c r="C7965" t="str">
        <f t="shared" si="2909"/>
        <v>JACKSON</v>
      </c>
      <c r="D7965" t="str">
        <f t="shared" si="2904"/>
        <v>09</v>
      </c>
      <c r="E7965" t="str">
        <f>"05 - B - 204 - Elizabeth R Walker"</f>
        <v>05 - B - 204 - Elizabeth R Walker</v>
      </c>
      <c r="F7965" t="str">
        <f>"AICE ENG GEN PAPER 1"</f>
        <v>AICE ENG GEN PAPER 1</v>
      </c>
      <c r="G7965" t="str">
        <f>"17-1703"</f>
        <v>17-1703</v>
      </c>
      <c r="H7965" t="str">
        <f>"B"</f>
        <v>B</v>
      </c>
    </row>
    <row r="7966" spans="1:8" x14ac:dyDescent="0.2">
      <c r="A7966" t="str">
        <f t="shared" si="2910"/>
        <v>0616118889</v>
      </c>
      <c r="B7966" t="str">
        <f t="shared" si="2911"/>
        <v>MADISON</v>
      </c>
      <c r="C7966" t="str">
        <f t="shared" si="2909"/>
        <v>JACKSON</v>
      </c>
      <c r="D7966" t="str">
        <f t="shared" si="2904"/>
        <v>09</v>
      </c>
      <c r="E7966" t="str">
        <f>"01 - A - 101 - Marius D Orsolini"</f>
        <v>01 - A - 101 - Marius D Orsolini</v>
      </c>
      <c r="F7966" t="str">
        <f>"CULINARY ARTS 1"</f>
        <v>CULINARY ARTS 1</v>
      </c>
      <c r="G7966" t="str">
        <f>"21-2115"</f>
        <v>21-2115</v>
      </c>
      <c r="H7966" t="str">
        <f>"A"</f>
        <v>A</v>
      </c>
    </row>
    <row r="7967" spans="1:8" x14ac:dyDescent="0.2">
      <c r="A7967" t="str">
        <f t="shared" si="2910"/>
        <v>0616118889</v>
      </c>
      <c r="B7967" t="str">
        <f t="shared" si="2911"/>
        <v>MADISON</v>
      </c>
      <c r="C7967" t="str">
        <f t="shared" si="2909"/>
        <v>JACKSON</v>
      </c>
      <c r="D7967" t="str">
        <f t="shared" si="2904"/>
        <v>09</v>
      </c>
      <c r="E7967" t="str">
        <f>"08 - B - 001 - Chrystina M Marchionne"</f>
        <v>08 - B - 001 - Chrystina M Marchionne</v>
      </c>
      <c r="F7967" t="str">
        <f>"JOURN 1 (YB) LH"</f>
        <v>JOURN 1 (YB) LH</v>
      </c>
      <c r="G7967" t="str">
        <f>"05-520"</f>
        <v>05-520</v>
      </c>
      <c r="H7967" t="str">
        <f>"B"</f>
        <v>B</v>
      </c>
    </row>
    <row r="7968" spans="1:8" x14ac:dyDescent="0.2">
      <c r="A7968" t="str">
        <f t="shared" ref="A7968:A7975" si="2912">"0616082054"</f>
        <v>0616082054</v>
      </c>
      <c r="B7968" t="str">
        <f t="shared" ref="B7968:B7975" si="2913">"TARAJI"</f>
        <v>TARAJI</v>
      </c>
      <c r="C7968" t="str">
        <f t="shared" si="2909"/>
        <v>JACKSON</v>
      </c>
      <c r="D7968" t="str">
        <f t="shared" si="2904"/>
        <v>09</v>
      </c>
      <c r="E7968" t="str">
        <f>"04 - A - 102 - Elizabeth R Walker"</f>
        <v>04 - A - 102 - Elizabeth R Walker</v>
      </c>
      <c r="F7968" t="str">
        <f>"AICE ENG GEN PAPER 1"</f>
        <v>AICE ENG GEN PAPER 1</v>
      </c>
      <c r="G7968" t="str">
        <f>"17-1703"</f>
        <v>17-1703</v>
      </c>
      <c r="H7968" t="str">
        <f>"A"</f>
        <v>A</v>
      </c>
    </row>
    <row r="7969" spans="1:8" x14ac:dyDescent="0.2">
      <c r="A7969" t="str">
        <f t="shared" si="2912"/>
        <v>0616082054</v>
      </c>
      <c r="B7969" t="str">
        <f t="shared" si="2913"/>
        <v>TARAJI</v>
      </c>
      <c r="C7969" t="str">
        <f t="shared" si="2909"/>
        <v>JACKSON</v>
      </c>
      <c r="D7969" t="str">
        <f t="shared" si="2904"/>
        <v>09</v>
      </c>
      <c r="E7969" t="str">
        <f>"06 - B - 104 - Rory T Sponsler"</f>
        <v>06 - B - 104 - Rory T Sponsler</v>
      </c>
      <c r="F7969" t="str">
        <f>"PRE-AICE WRLD HST IG"</f>
        <v>PRE-AICE WRLD HST IG</v>
      </c>
      <c r="G7969" t="str">
        <f>"17-1740"</f>
        <v>17-1740</v>
      </c>
      <c r="H7969" t="str">
        <f>"B"</f>
        <v>B</v>
      </c>
    </row>
    <row r="7970" spans="1:8" x14ac:dyDescent="0.2">
      <c r="A7970" t="str">
        <f t="shared" si="2912"/>
        <v>0616082054</v>
      </c>
      <c r="B7970" t="str">
        <f t="shared" si="2913"/>
        <v>TARAJI</v>
      </c>
      <c r="C7970" t="str">
        <f t="shared" si="2909"/>
        <v>JACKSON</v>
      </c>
      <c r="D7970" t="str">
        <f t="shared" si="2904"/>
        <v>09</v>
      </c>
      <c r="E7970" t="str">
        <f>"03 - A - 101 - Helen A Flores"</f>
        <v>03 - A - 101 - Helen A Flores</v>
      </c>
      <c r="F7970" t="str">
        <f>"PRE-AICE MATH 1 IG"</f>
        <v>PRE-AICE MATH 1 IG</v>
      </c>
      <c r="G7970" t="str">
        <f>"21-2101"</f>
        <v>21-2101</v>
      </c>
      <c r="H7970" t="str">
        <f>"A"</f>
        <v>A</v>
      </c>
    </row>
    <row r="7971" spans="1:8" x14ac:dyDescent="0.2">
      <c r="A7971" t="str">
        <f t="shared" si="2912"/>
        <v>0616082054</v>
      </c>
      <c r="B7971" t="str">
        <f t="shared" si="2913"/>
        <v>TARAJI</v>
      </c>
      <c r="C7971" t="str">
        <f t="shared" si="2909"/>
        <v>JACKSON</v>
      </c>
      <c r="D7971" t="str">
        <f t="shared" si="2904"/>
        <v>09</v>
      </c>
      <c r="E7971" t="str">
        <f>"02 - A - 109 - Krystal Marie  Beruty"</f>
        <v>02 - A - 109 - Krystal Marie  Beruty</v>
      </c>
      <c r="F7971" t="str">
        <f>"NC STUDY HALL 1"</f>
        <v>NC STUDY HALL 1</v>
      </c>
      <c r="G7971" t="str">
        <f>"17-1721"</f>
        <v>17-1721</v>
      </c>
      <c r="H7971" t="str">
        <f>"A"</f>
        <v>A</v>
      </c>
    </row>
    <row r="7972" spans="1:8" x14ac:dyDescent="0.2">
      <c r="A7972" t="str">
        <f t="shared" si="2912"/>
        <v>0616082054</v>
      </c>
      <c r="B7972" t="str">
        <f t="shared" si="2913"/>
        <v>TARAJI</v>
      </c>
      <c r="C7972" t="str">
        <f t="shared" si="2909"/>
        <v>JACKSON</v>
      </c>
      <c r="D7972" t="str">
        <f t="shared" si="2904"/>
        <v>09</v>
      </c>
      <c r="E7972" t="str">
        <f>"07 - B - 002 - Jazmin S Fletcher"</f>
        <v>07 - B - 002 - Jazmin S Fletcher</v>
      </c>
      <c r="F7972" t="str">
        <f>"THEATRE 1"</f>
        <v>THEATRE 1</v>
      </c>
      <c r="G7972" t="str">
        <f>"09-909"</f>
        <v>09-909</v>
      </c>
      <c r="H7972" t="str">
        <f>"B"</f>
        <v>B</v>
      </c>
    </row>
    <row r="7973" spans="1:8" x14ac:dyDescent="0.2">
      <c r="A7973" t="str">
        <f t="shared" si="2912"/>
        <v>0616082054</v>
      </c>
      <c r="B7973" t="str">
        <f t="shared" si="2913"/>
        <v>TARAJI</v>
      </c>
      <c r="C7973" t="str">
        <f t="shared" si="2909"/>
        <v>JACKSON</v>
      </c>
      <c r="D7973" t="str">
        <f t="shared" si="2904"/>
        <v>09</v>
      </c>
      <c r="E7973" t="str">
        <f>"05 - B - 105 - Adam Marcus  Drucker"</f>
        <v>05 - B - 105 - Adam Marcus  Drucker</v>
      </c>
      <c r="F7973" t="str">
        <f>"HOPE-PE V"</f>
        <v>HOPE-PE V</v>
      </c>
      <c r="G7973" t="str">
        <f>"04-254"</f>
        <v>04-254</v>
      </c>
      <c r="H7973" t="str">
        <f>"B"</f>
        <v>B</v>
      </c>
    </row>
    <row r="7974" spans="1:8" x14ac:dyDescent="0.2">
      <c r="A7974" t="str">
        <f t="shared" si="2912"/>
        <v>0616082054</v>
      </c>
      <c r="B7974" t="str">
        <f t="shared" si="2913"/>
        <v>TARAJI</v>
      </c>
      <c r="C7974" t="str">
        <f t="shared" si="2909"/>
        <v>JACKSON</v>
      </c>
      <c r="D7974" t="str">
        <f t="shared" si="2904"/>
        <v>09</v>
      </c>
      <c r="E7974" t="str">
        <f>"01 - A - 001 - Dorothy D Moore"</f>
        <v>01 - A - 001 - Dorothy D Moore</v>
      </c>
      <c r="F7974" t="str">
        <f>"ANAT PHYSIO HON"</f>
        <v>ANAT PHYSIO HON</v>
      </c>
      <c r="G7974" t="str">
        <f>"08-803"</f>
        <v>08-803</v>
      </c>
      <c r="H7974" t="str">
        <f>"A"</f>
        <v>A</v>
      </c>
    </row>
    <row r="7975" spans="1:8" x14ac:dyDescent="0.2">
      <c r="A7975" t="str">
        <f t="shared" si="2912"/>
        <v>0616082054</v>
      </c>
      <c r="B7975" t="str">
        <f t="shared" si="2913"/>
        <v>TARAJI</v>
      </c>
      <c r="C7975" t="str">
        <f t="shared" si="2909"/>
        <v>JACKSON</v>
      </c>
      <c r="D7975" t="str">
        <f t="shared" si="2904"/>
        <v>09</v>
      </c>
      <c r="E7975" t="str">
        <f>"08 - B - 105 - Daniel S Tyson"</f>
        <v>08 - B - 105 - Daniel S Tyson</v>
      </c>
      <c r="F7975" t="str">
        <f>"JROTC NAVAL SCI 1"</f>
        <v>JROTC NAVAL SCI 1</v>
      </c>
      <c r="G7975" t="str">
        <f>"05-510"</f>
        <v>05-510</v>
      </c>
      <c r="H7975" t="str">
        <f>"B"</f>
        <v>B</v>
      </c>
    </row>
    <row r="7976" spans="1:8" x14ac:dyDescent="0.2">
      <c r="A7976" t="str">
        <f t="shared" ref="A7976:A7983" si="2914">"0614080969"</f>
        <v>0614080969</v>
      </c>
      <c r="B7976" t="str">
        <f t="shared" ref="B7976:B7983" si="2915">"ELIJAH"</f>
        <v>ELIJAH</v>
      </c>
      <c r="C7976" t="str">
        <f t="shared" ref="C7976:C7999" si="2916">"JACQUES"</f>
        <v>JACQUES</v>
      </c>
      <c r="D7976">
        <f>12</f>
        <v>12</v>
      </c>
      <c r="E7976" t="str">
        <f>"04 - A - 102 - Samantha L Martinez"</f>
        <v>04 - A - 102 - Samantha L Martinez</v>
      </c>
      <c r="F7976" t="str">
        <f>"KEYBD 1"</f>
        <v>KEYBD 1</v>
      </c>
      <c r="G7976" t="str">
        <f>"05-505"</f>
        <v>05-505</v>
      </c>
      <c r="H7976" t="str">
        <f>"A"</f>
        <v>A</v>
      </c>
    </row>
    <row r="7977" spans="1:8" x14ac:dyDescent="0.2">
      <c r="A7977" t="str">
        <f t="shared" si="2914"/>
        <v>0614080969</v>
      </c>
      <c r="B7977" t="str">
        <f t="shared" si="2915"/>
        <v>ELIJAH</v>
      </c>
      <c r="C7977" t="str">
        <f t="shared" si="2916"/>
        <v>JACQUES</v>
      </c>
      <c r="D7977">
        <f>12</f>
        <v>12</v>
      </c>
      <c r="E7977" t="str">
        <f>"06 - B - 113 - Marielle A Witting"</f>
        <v>06 - B - 113 - Marielle A Witting</v>
      </c>
      <c r="F7977" t="str">
        <f>"NC STUDY HALL 1"</f>
        <v>NC STUDY HALL 1</v>
      </c>
      <c r="G7977" t="str">
        <f>"08-805"</f>
        <v>08-805</v>
      </c>
      <c r="H7977" t="str">
        <f>"B"</f>
        <v>B</v>
      </c>
    </row>
    <row r="7978" spans="1:8" x14ac:dyDescent="0.2">
      <c r="A7978" t="str">
        <f t="shared" si="2914"/>
        <v>0614080969</v>
      </c>
      <c r="B7978" t="str">
        <f t="shared" si="2915"/>
        <v>ELIJAH</v>
      </c>
      <c r="C7978" t="str">
        <f t="shared" si="2916"/>
        <v>JACQUES</v>
      </c>
      <c r="D7978">
        <f>12</f>
        <v>12</v>
      </c>
      <c r="E7978" t="str">
        <f>"03 - A - 101 - Alejandro  Navarro"</f>
        <v>03 - A - 101 - Alejandro  Navarro</v>
      </c>
      <c r="F7978" t="str">
        <f>"BAND 3"</f>
        <v>BAND 3</v>
      </c>
      <c r="G7978" t="str">
        <f>"05-504"</f>
        <v>05-504</v>
      </c>
      <c r="H7978" t="str">
        <f>"A"</f>
        <v>A</v>
      </c>
    </row>
    <row r="7979" spans="1:8" x14ac:dyDescent="0.2">
      <c r="A7979" t="str">
        <f t="shared" si="2914"/>
        <v>0614080969</v>
      </c>
      <c r="B7979" t="str">
        <f t="shared" si="2915"/>
        <v>ELIJAH</v>
      </c>
      <c r="C7979" t="str">
        <f t="shared" si="2916"/>
        <v>JACQUES</v>
      </c>
      <c r="D7979">
        <f>12</f>
        <v>12</v>
      </c>
      <c r="E7979" t="str">
        <f>"02 - S1 - A - 104 - Robert O Burger"</f>
        <v>02 - S1 - A - 104 - Robert O Burger</v>
      </c>
      <c r="F7979" t="str">
        <f>"US GOVT"</f>
        <v>US GOVT</v>
      </c>
      <c r="G7979" t="str">
        <f>"17-1755"</f>
        <v>17-1755</v>
      </c>
      <c r="H7979" t="str">
        <f>"A"</f>
        <v>A</v>
      </c>
    </row>
    <row r="7980" spans="1:8" x14ac:dyDescent="0.2">
      <c r="A7980" t="str">
        <f t="shared" si="2914"/>
        <v>0614080969</v>
      </c>
      <c r="B7980" t="str">
        <f t="shared" si="2915"/>
        <v>ELIJAH</v>
      </c>
      <c r="C7980" t="str">
        <f t="shared" si="2916"/>
        <v>JACQUES</v>
      </c>
      <c r="D7980">
        <f>12</f>
        <v>12</v>
      </c>
      <c r="E7980" t="str">
        <f>"07 - B - 101 - Fernando  Vega-Cid"</f>
        <v>07 - B - 101 - Fernando  Vega-Cid</v>
      </c>
      <c r="F7980" t="str">
        <f>"AP PRECALCULUS"</f>
        <v>AP PRECALCULUS</v>
      </c>
      <c r="G7980" t="str">
        <f>"21-2163"</f>
        <v>21-2163</v>
      </c>
      <c r="H7980" t="str">
        <f>"B"</f>
        <v>B</v>
      </c>
    </row>
    <row r="7981" spans="1:8" x14ac:dyDescent="0.2">
      <c r="A7981" t="str">
        <f t="shared" si="2914"/>
        <v>0614080969</v>
      </c>
      <c r="B7981" t="str">
        <f t="shared" si="2915"/>
        <v>ELIJAH</v>
      </c>
      <c r="C7981" t="str">
        <f t="shared" si="2916"/>
        <v>JACQUES</v>
      </c>
      <c r="D7981">
        <f>12</f>
        <v>12</v>
      </c>
      <c r="E7981" t="str">
        <f>"05 - B - 207 - Marielle A Witting"</f>
        <v>05 - B - 207 - Marielle A Witting</v>
      </c>
      <c r="F7981" t="str">
        <f>"ANAT PHYSIO"</f>
        <v>ANAT PHYSIO</v>
      </c>
      <c r="G7981" t="str">
        <f>"08-805"</f>
        <v>08-805</v>
      </c>
      <c r="H7981" t="str">
        <f>"B"</f>
        <v>B</v>
      </c>
    </row>
    <row r="7982" spans="1:8" x14ac:dyDescent="0.2">
      <c r="A7982" t="str">
        <f t="shared" si="2914"/>
        <v>0614080969</v>
      </c>
      <c r="B7982" t="str">
        <f t="shared" si="2915"/>
        <v>ELIJAH</v>
      </c>
      <c r="C7982" t="str">
        <f t="shared" si="2916"/>
        <v>JACQUES</v>
      </c>
      <c r="D7982">
        <f>12</f>
        <v>12</v>
      </c>
      <c r="E7982" t="str">
        <f>"01 - A - 103 - Jeffrey S Gallagher"</f>
        <v>01 - A - 103 - Jeffrey S Gallagher</v>
      </c>
      <c r="F7982" t="str">
        <f>"ENG HON 4"</f>
        <v>ENG HON 4</v>
      </c>
      <c r="G7982" t="str">
        <f>"17-1724"</f>
        <v>17-1724</v>
      </c>
      <c r="H7982" t="str">
        <f>"A"</f>
        <v>A</v>
      </c>
    </row>
    <row r="7983" spans="1:8" x14ac:dyDescent="0.2">
      <c r="A7983" t="str">
        <f t="shared" si="2914"/>
        <v>0614080969</v>
      </c>
      <c r="B7983" t="str">
        <f t="shared" si="2915"/>
        <v>ELIJAH</v>
      </c>
      <c r="C7983" t="str">
        <f t="shared" si="2916"/>
        <v>JACQUES</v>
      </c>
      <c r="D7983">
        <f>12</f>
        <v>12</v>
      </c>
      <c r="E7983" t="str">
        <f>"08 - S1 - B - 104 - Leslie J Barton"</f>
        <v>08 - S1 - B - 104 - Leslie J Barton</v>
      </c>
      <c r="F7983" t="str">
        <f>"TEAM SPORTS 1"</f>
        <v>TEAM SPORTS 1</v>
      </c>
      <c r="G7983" t="str">
        <f>"04-254"</f>
        <v>04-254</v>
      </c>
      <c r="H7983" t="str">
        <f>"B"</f>
        <v>B</v>
      </c>
    </row>
    <row r="7984" spans="1:8" x14ac:dyDescent="0.2">
      <c r="A7984" t="str">
        <f t="shared" ref="A7984:A7991" si="2917">"0622096523"</f>
        <v>0622096523</v>
      </c>
      <c r="B7984" t="str">
        <f t="shared" ref="B7984:B7991" si="2918">"LUKE"</f>
        <v>LUKE</v>
      </c>
      <c r="C7984" t="str">
        <f t="shared" si="2916"/>
        <v>JACQUES</v>
      </c>
      <c r="D7984">
        <f>12</f>
        <v>12</v>
      </c>
      <c r="E7984" t="str">
        <f>"04 - S1 - A - 101 - Barbara L Segal"</f>
        <v>04 - S1 - A - 101 - Barbara L Segal</v>
      </c>
      <c r="F7984" t="str">
        <f>"AP US GOVT/POL"</f>
        <v>AP US GOVT/POL</v>
      </c>
      <c r="G7984" t="str">
        <f>"17-1742"</f>
        <v>17-1742</v>
      </c>
      <c r="H7984" t="str">
        <f>"A"</f>
        <v>A</v>
      </c>
    </row>
    <row r="7985" spans="1:8" x14ac:dyDescent="0.2">
      <c r="A7985" t="str">
        <f t="shared" si="2917"/>
        <v>0622096523</v>
      </c>
      <c r="B7985" t="str">
        <f t="shared" si="2918"/>
        <v>LUKE</v>
      </c>
      <c r="C7985" t="str">
        <f t="shared" si="2916"/>
        <v>JACQUES</v>
      </c>
      <c r="D7985">
        <f>12</f>
        <v>12</v>
      </c>
      <c r="E7985" t="str">
        <f>"06 - B - 109 - Carol S Moore"</f>
        <v>06 - B - 109 - Carol S Moore</v>
      </c>
      <c r="F7985" t="str">
        <f>"NC STUDY HALL 1"</f>
        <v>NC STUDY HALL 1</v>
      </c>
      <c r="G7985" t="str">
        <f>"17-1733"</f>
        <v>17-1733</v>
      </c>
      <c r="H7985" t="str">
        <f>"B"</f>
        <v>B</v>
      </c>
    </row>
    <row r="7986" spans="1:8" x14ac:dyDescent="0.2">
      <c r="A7986" t="str">
        <f t="shared" si="2917"/>
        <v>0622096523</v>
      </c>
      <c r="B7986" t="str">
        <f t="shared" si="2918"/>
        <v>LUKE</v>
      </c>
      <c r="C7986" t="str">
        <f t="shared" si="2916"/>
        <v>JACQUES</v>
      </c>
      <c r="D7986">
        <f>12</f>
        <v>12</v>
      </c>
      <c r="E7986" t="str">
        <f>"03 - A - 204 - Norayda D Suarez"</f>
        <v>03 - A - 204 - Norayda D Suarez</v>
      </c>
      <c r="F7986" t="str">
        <f>"ANAT PHYSIO HON"</f>
        <v>ANAT PHYSIO HON</v>
      </c>
      <c r="G7986" t="str">
        <f>"21-2144"</f>
        <v>21-2144</v>
      </c>
      <c r="H7986" t="str">
        <f>"A"</f>
        <v>A</v>
      </c>
    </row>
    <row r="7987" spans="1:8" x14ac:dyDescent="0.2">
      <c r="A7987" t="str">
        <f t="shared" si="2917"/>
        <v>0622096523</v>
      </c>
      <c r="B7987" t="str">
        <f t="shared" si="2918"/>
        <v>LUKE</v>
      </c>
      <c r="C7987" t="str">
        <f t="shared" si="2916"/>
        <v>JACQUES</v>
      </c>
      <c r="D7987">
        <f>12</f>
        <v>12</v>
      </c>
      <c r="E7987" t="str">
        <f>"02 - A - 101 - Robert H Rindner"</f>
        <v>02 - A - 101 - Robert H Rindner</v>
      </c>
      <c r="F7987" t="str">
        <f>"MATH DATA&amp;FIN LIT H"</f>
        <v>MATH DATA&amp;FIN LIT H</v>
      </c>
      <c r="G7987" t="str">
        <f>"21-2160"</f>
        <v>21-2160</v>
      </c>
      <c r="H7987" t="str">
        <f>"A"</f>
        <v>A</v>
      </c>
    </row>
    <row r="7988" spans="1:8" x14ac:dyDescent="0.2">
      <c r="A7988" t="str">
        <f t="shared" si="2917"/>
        <v>0622096523</v>
      </c>
      <c r="B7988" t="str">
        <f t="shared" si="2918"/>
        <v>LUKE</v>
      </c>
      <c r="C7988" t="str">
        <f t="shared" si="2916"/>
        <v>JACQUES</v>
      </c>
      <c r="D7988">
        <f>12</f>
        <v>12</v>
      </c>
      <c r="E7988" t="str">
        <f>"07 - B - 102 - Courtney E Hambright"</f>
        <v>07 - B - 102 - Courtney E Hambright</v>
      </c>
      <c r="F7988" t="str">
        <f>"AP ENG LIT COMPO"</f>
        <v>AP ENG LIT COMPO</v>
      </c>
      <c r="G7988" t="str">
        <f>"17-1711"</f>
        <v>17-1711</v>
      </c>
      <c r="H7988" t="str">
        <f>"B"</f>
        <v>B</v>
      </c>
    </row>
    <row r="7989" spans="1:8" x14ac:dyDescent="0.2">
      <c r="A7989" t="str">
        <f t="shared" si="2917"/>
        <v>0622096523</v>
      </c>
      <c r="B7989" t="str">
        <f t="shared" si="2918"/>
        <v>LUKE</v>
      </c>
      <c r="C7989" t="str">
        <f t="shared" si="2916"/>
        <v>JACQUES</v>
      </c>
      <c r="D7989">
        <f>12</f>
        <v>12</v>
      </c>
      <c r="E7989" t="str">
        <f>"05 - B - 105 - Adam Marcus  Drucker"</f>
        <v>05 - B - 105 - Adam Marcus  Drucker</v>
      </c>
      <c r="F7989" t="str">
        <f>"HOPE-PE V"</f>
        <v>HOPE-PE V</v>
      </c>
      <c r="G7989" t="str">
        <f>"04-254"</f>
        <v>04-254</v>
      </c>
      <c r="H7989" t="str">
        <f>"B"</f>
        <v>B</v>
      </c>
    </row>
    <row r="7990" spans="1:8" x14ac:dyDescent="0.2">
      <c r="A7990" t="str">
        <f t="shared" si="2917"/>
        <v>0622096523</v>
      </c>
      <c r="B7990" t="str">
        <f t="shared" si="2918"/>
        <v>LUKE</v>
      </c>
      <c r="C7990" t="str">
        <f t="shared" si="2916"/>
        <v>JACQUES</v>
      </c>
      <c r="D7990">
        <f>12</f>
        <v>12</v>
      </c>
      <c r="E7990" t="str">
        <f>"01 - A - 101 - Samantha L Martinez"</f>
        <v>01 - A - 101 - Samantha L Martinez</v>
      </c>
      <c r="F7990" t="str">
        <f>"MUSIC WORLD"</f>
        <v>MUSIC WORLD</v>
      </c>
      <c r="G7990" t="str">
        <f>"05-505"</f>
        <v>05-505</v>
      </c>
      <c r="H7990" t="str">
        <f>"A"</f>
        <v>A</v>
      </c>
    </row>
    <row r="7991" spans="1:8" x14ac:dyDescent="0.2">
      <c r="A7991" t="str">
        <f t="shared" si="2917"/>
        <v>0622096523</v>
      </c>
      <c r="B7991" t="str">
        <f t="shared" si="2918"/>
        <v>LUKE</v>
      </c>
      <c r="C7991" t="str">
        <f t="shared" si="2916"/>
        <v>JACQUES</v>
      </c>
      <c r="D7991">
        <f>12</f>
        <v>12</v>
      </c>
      <c r="E7991" t="str">
        <f>"08 - S1 - B - 104 - Richard E Dunbar Iii"</f>
        <v>08 - S1 - B - 104 - Richard E Dunbar Iii</v>
      </c>
      <c r="F7991" t="str">
        <f>"WEIGHT TRAIN 3"</f>
        <v>WEIGHT TRAIN 3</v>
      </c>
      <c r="G7991" t="str">
        <f>"05-501"</f>
        <v>05-501</v>
      </c>
      <c r="H7991" t="str">
        <f>"B"</f>
        <v>B</v>
      </c>
    </row>
    <row r="7992" spans="1:8" x14ac:dyDescent="0.2">
      <c r="A7992" t="str">
        <f t="shared" ref="A7992:A7999" si="2919">"0614015495"</f>
        <v>0614015495</v>
      </c>
      <c r="B7992" t="str">
        <f t="shared" ref="B7992:B7999" si="2920">"WAVERLEY"</f>
        <v>WAVERLEY</v>
      </c>
      <c r="C7992" t="str">
        <f t="shared" si="2916"/>
        <v>JACQUES</v>
      </c>
      <c r="D7992">
        <f>11</f>
        <v>11</v>
      </c>
      <c r="E7992" t="str">
        <f>"04 - A - 101 - Pamela M Corzo"</f>
        <v>04 - A - 101 - Pamela M Corzo</v>
      </c>
      <c r="F7992" t="str">
        <f>"CALCULUS HON"</f>
        <v>CALCULUS HON</v>
      </c>
      <c r="G7992" t="str">
        <f>"21-2133"</f>
        <v>21-2133</v>
      </c>
      <c r="H7992" t="str">
        <f>"A"</f>
        <v>A</v>
      </c>
    </row>
    <row r="7993" spans="1:8" x14ac:dyDescent="0.2">
      <c r="A7993" t="str">
        <f t="shared" si="2919"/>
        <v>0614015495</v>
      </c>
      <c r="B7993" t="str">
        <f t="shared" si="2920"/>
        <v>WAVERLEY</v>
      </c>
      <c r="C7993" t="str">
        <f t="shared" si="2916"/>
        <v>JACQUES</v>
      </c>
      <c r="D7993">
        <f>11</f>
        <v>11</v>
      </c>
      <c r="E7993" t="str">
        <f>"06 - B - 102 - Stephen T Ripp"</f>
        <v>06 - B - 102 - Stephen T Ripp</v>
      </c>
      <c r="F7993" t="str">
        <f>"AP U.S. HIST"</f>
        <v>AP U.S. HIST</v>
      </c>
      <c r="G7993" t="str">
        <f>"17-1744"</f>
        <v>17-1744</v>
      </c>
      <c r="H7993" t="str">
        <f>"B"</f>
        <v>B</v>
      </c>
    </row>
    <row r="7994" spans="1:8" x14ac:dyDescent="0.2">
      <c r="A7994" t="str">
        <f t="shared" si="2919"/>
        <v>0614015495</v>
      </c>
      <c r="B7994" t="str">
        <f t="shared" si="2920"/>
        <v>WAVERLEY</v>
      </c>
      <c r="C7994" t="str">
        <f t="shared" si="2916"/>
        <v>JACQUES</v>
      </c>
      <c r="D7994">
        <f>11</f>
        <v>11</v>
      </c>
      <c r="E7994" t="str">
        <f>"03 - A - 203 - Stefanie S Scher"</f>
        <v>03 - A - 203 - Stefanie S Scher</v>
      </c>
      <c r="F7994" t="str">
        <f>"AP PSYCH"</f>
        <v>AP PSYCH</v>
      </c>
      <c r="G7994" t="str">
        <f>"17-1735"</f>
        <v>17-1735</v>
      </c>
      <c r="H7994" t="str">
        <f>"A"</f>
        <v>A</v>
      </c>
    </row>
    <row r="7995" spans="1:8" x14ac:dyDescent="0.2">
      <c r="A7995" t="str">
        <f t="shared" si="2919"/>
        <v>0614015495</v>
      </c>
      <c r="B7995" t="str">
        <f t="shared" si="2920"/>
        <v>WAVERLEY</v>
      </c>
      <c r="C7995" t="str">
        <f t="shared" si="2916"/>
        <v>JACQUES</v>
      </c>
      <c r="D7995">
        <f>11</f>
        <v>11</v>
      </c>
      <c r="E7995" t="str">
        <f>"02 - A - 101 - Milca  Exantus"</f>
        <v>02 - A - 101 - Milca  Exantus</v>
      </c>
      <c r="F7995" t="str">
        <f>"NC STUDY HALL 1"</f>
        <v>NC STUDY HALL 1</v>
      </c>
      <c r="G7995" t="str">
        <f>"21-2145"</f>
        <v>21-2145</v>
      </c>
      <c r="H7995" t="str">
        <f>"A"</f>
        <v>A</v>
      </c>
    </row>
    <row r="7996" spans="1:8" x14ac:dyDescent="0.2">
      <c r="A7996" t="str">
        <f t="shared" si="2919"/>
        <v>0614015495</v>
      </c>
      <c r="B7996" t="str">
        <f t="shared" si="2920"/>
        <v>WAVERLEY</v>
      </c>
      <c r="C7996" t="str">
        <f t="shared" si="2916"/>
        <v>JACQUES</v>
      </c>
      <c r="D7996">
        <f>11</f>
        <v>11</v>
      </c>
      <c r="E7996" t="str">
        <f>"07 - B - 103 - Lisa J London"</f>
        <v>07 - B - 103 - Lisa J London</v>
      </c>
      <c r="F7996" t="str">
        <f>"AP CAPSTONE SEMINAR"</f>
        <v>AP CAPSTONE SEMINAR</v>
      </c>
      <c r="G7996" t="str">
        <f>"17-1714"</f>
        <v>17-1714</v>
      </c>
      <c r="H7996" t="str">
        <f>"B"</f>
        <v>B</v>
      </c>
    </row>
    <row r="7997" spans="1:8" x14ac:dyDescent="0.2">
      <c r="A7997" t="str">
        <f t="shared" si="2919"/>
        <v>0614015495</v>
      </c>
      <c r="B7997" t="str">
        <f t="shared" si="2920"/>
        <v>WAVERLEY</v>
      </c>
      <c r="C7997" t="str">
        <f t="shared" si="2916"/>
        <v>JACQUES</v>
      </c>
      <c r="D7997">
        <f>11</f>
        <v>11</v>
      </c>
      <c r="E7997" t="str">
        <f>"05 - B - 103 - Tina M Jaramillo"</f>
        <v>05 - B - 103 - Tina M Jaramillo</v>
      </c>
      <c r="F7997" t="str">
        <f>"AP ENG COMPO"</f>
        <v>AP ENG COMPO</v>
      </c>
      <c r="G7997" t="str">
        <f>"17-1706"</f>
        <v>17-1706</v>
      </c>
      <c r="H7997" t="str">
        <f>"B"</f>
        <v>B</v>
      </c>
    </row>
    <row r="7998" spans="1:8" x14ac:dyDescent="0.2">
      <c r="A7998" t="str">
        <f t="shared" si="2919"/>
        <v>0614015495</v>
      </c>
      <c r="B7998" t="str">
        <f t="shared" si="2920"/>
        <v>WAVERLEY</v>
      </c>
      <c r="C7998" t="str">
        <f t="shared" si="2916"/>
        <v>JACQUES</v>
      </c>
      <c r="D7998">
        <f>11</f>
        <v>11</v>
      </c>
      <c r="E7998" t="str">
        <f>"01 - A - 103 - Scott A Dethloff"</f>
        <v>01 - A - 103 - Scott A Dethloff</v>
      </c>
      <c r="F7998" t="str">
        <f>"AICE THINK SKLS 1 AS"</f>
        <v>AICE THINK SKLS 1 AS</v>
      </c>
      <c r="G7998" t="str">
        <f>"08-812"</f>
        <v>08-812</v>
      </c>
      <c r="H7998" t="str">
        <f>"A"</f>
        <v>A</v>
      </c>
    </row>
    <row r="7999" spans="1:8" x14ac:dyDescent="0.2">
      <c r="A7999" t="str">
        <f t="shared" si="2919"/>
        <v>0614015495</v>
      </c>
      <c r="B7999" t="str">
        <f t="shared" si="2920"/>
        <v>WAVERLEY</v>
      </c>
      <c r="C7999" t="str">
        <f t="shared" si="2916"/>
        <v>JACQUES</v>
      </c>
      <c r="D7999">
        <f>11</f>
        <v>11</v>
      </c>
      <c r="E7999" t="str">
        <f>"08 - B - 103 - Marielle A Witting"</f>
        <v>08 - B - 103 - Marielle A Witting</v>
      </c>
      <c r="F7999" t="str">
        <f>"AP BIO"</f>
        <v>AP BIO</v>
      </c>
      <c r="G7999" t="str">
        <f>"08-805"</f>
        <v>08-805</v>
      </c>
      <c r="H7999" t="str">
        <f>"B"</f>
        <v>B</v>
      </c>
    </row>
    <row r="8000" spans="1:8" x14ac:dyDescent="0.2">
      <c r="A8000" t="str">
        <f t="shared" ref="A8000:A8007" si="2921">"0618128149"</f>
        <v>0618128149</v>
      </c>
      <c r="B8000" t="str">
        <f t="shared" ref="B8000:B8007" si="2922">"JOHN"</f>
        <v>JOHN</v>
      </c>
      <c r="C8000" t="str">
        <f t="shared" ref="C8000:C8015" si="2923">"JACQUES-LOUIS"</f>
        <v>JACQUES-LOUIS</v>
      </c>
      <c r="D8000">
        <f>11</f>
        <v>11</v>
      </c>
      <c r="E8000" t="str">
        <f>"04 - A - 106 - Marielle A Witting"</f>
        <v>04 - A - 106 - Marielle A Witting</v>
      </c>
      <c r="F8000" t="str">
        <f>"ANAT PHYSIO"</f>
        <v>ANAT PHYSIO</v>
      </c>
      <c r="G8000" t="str">
        <f>"08-805"</f>
        <v>08-805</v>
      </c>
      <c r="H8000" t="str">
        <f>"A"</f>
        <v>A</v>
      </c>
    </row>
    <row r="8001" spans="1:8" x14ac:dyDescent="0.2">
      <c r="A8001" t="str">
        <f t="shared" si="2921"/>
        <v>0618128149</v>
      </c>
      <c r="B8001" t="str">
        <f t="shared" si="2922"/>
        <v>JOHN</v>
      </c>
      <c r="C8001" t="str">
        <f t="shared" si="2923"/>
        <v>JACQUES-LOUIS</v>
      </c>
      <c r="D8001">
        <f>11</f>
        <v>11</v>
      </c>
      <c r="E8001" t="str">
        <f>"06 - B - 108 - Milca  Exantus"</f>
        <v>06 - B - 108 - Milca  Exantus</v>
      </c>
      <c r="F8001" t="str">
        <f>"MATH COLLEGE LIB ART"</f>
        <v>MATH COLLEGE LIB ART</v>
      </c>
      <c r="G8001" t="str">
        <f>"21-2145"</f>
        <v>21-2145</v>
      </c>
      <c r="H8001" t="str">
        <f>"B"</f>
        <v>B</v>
      </c>
    </row>
    <row r="8002" spans="1:8" x14ac:dyDescent="0.2">
      <c r="A8002" t="str">
        <f t="shared" si="2921"/>
        <v>0618128149</v>
      </c>
      <c r="B8002" t="str">
        <f t="shared" si="2922"/>
        <v>JOHN</v>
      </c>
      <c r="C8002" t="str">
        <f t="shared" si="2923"/>
        <v>JACQUES-LOUIS</v>
      </c>
      <c r="D8002">
        <f>11</f>
        <v>11</v>
      </c>
      <c r="E8002" t="str">
        <f>"03 - A - 104 - Kyle  Robbins"</f>
        <v>03 - A - 104 - Kyle  Robbins</v>
      </c>
      <c r="F8002" t="str">
        <f>"US HISTORY"</f>
        <v>US HISTORY</v>
      </c>
      <c r="G8002" t="str">
        <f>"17-1745"</f>
        <v>17-1745</v>
      </c>
      <c r="H8002" t="str">
        <f>"A"</f>
        <v>A</v>
      </c>
    </row>
    <row r="8003" spans="1:8" x14ac:dyDescent="0.2">
      <c r="A8003" t="str">
        <f t="shared" si="2921"/>
        <v>0618128149</v>
      </c>
      <c r="B8003" t="str">
        <f t="shared" si="2922"/>
        <v>JOHN</v>
      </c>
      <c r="C8003" t="str">
        <f t="shared" si="2923"/>
        <v>JACQUES-LOUIS</v>
      </c>
      <c r="D8003">
        <f>11</f>
        <v>11</v>
      </c>
      <c r="E8003" t="str">
        <f>"02 - A - 001 - Courtney E Hambright"</f>
        <v>02 - A - 001 - Courtney E Hambright</v>
      </c>
      <c r="F8003" t="str">
        <f>"NC STUDY HALL 1"</f>
        <v>NC STUDY HALL 1</v>
      </c>
      <c r="G8003" t="str">
        <f>"17-1711"</f>
        <v>17-1711</v>
      </c>
      <c r="H8003" t="str">
        <f>"A"</f>
        <v>A</v>
      </c>
    </row>
    <row r="8004" spans="1:8" x14ac:dyDescent="0.2">
      <c r="A8004" t="str">
        <f t="shared" si="2921"/>
        <v>0618128149</v>
      </c>
      <c r="B8004" t="str">
        <f t="shared" si="2922"/>
        <v>JOHN</v>
      </c>
      <c r="C8004" t="str">
        <f t="shared" si="2923"/>
        <v>JACQUES-LOUIS</v>
      </c>
      <c r="D8004">
        <f>11</f>
        <v>11</v>
      </c>
      <c r="E8004" t="str">
        <f>"07 - S1 - B - 107 - Richard E Dunbar Iii"</f>
        <v>07 - S1 - B - 107 - Richard E Dunbar Iii</v>
      </c>
      <c r="F8004" t="str">
        <f>"WEIGHT TRAIN 1"</f>
        <v>WEIGHT TRAIN 1</v>
      </c>
      <c r="G8004" t="str">
        <f>"05-501"</f>
        <v>05-501</v>
      </c>
      <c r="H8004" t="str">
        <f>"B"</f>
        <v>B</v>
      </c>
    </row>
    <row r="8005" spans="1:8" x14ac:dyDescent="0.2">
      <c r="A8005" t="str">
        <f t="shared" si="2921"/>
        <v>0618128149</v>
      </c>
      <c r="B8005" t="str">
        <f t="shared" si="2922"/>
        <v>JOHN</v>
      </c>
      <c r="C8005" t="str">
        <f t="shared" si="2923"/>
        <v>JACQUES-LOUIS</v>
      </c>
      <c r="D8005">
        <f>11</f>
        <v>11</v>
      </c>
      <c r="E8005" t="str">
        <f>"05 - B - 101 - Brian M Fitzgerald"</f>
        <v>05 - B - 101 - Brian M Fitzgerald</v>
      </c>
      <c r="F8005" t="str">
        <f>"PAINT 1"</f>
        <v>PAINT 1</v>
      </c>
      <c r="G8005" t="str">
        <f>"09-908"</f>
        <v>09-908</v>
      </c>
      <c r="H8005" t="str">
        <f>"B"</f>
        <v>B</v>
      </c>
    </row>
    <row r="8006" spans="1:8" x14ac:dyDescent="0.2">
      <c r="A8006" t="str">
        <f t="shared" si="2921"/>
        <v>0618128149</v>
      </c>
      <c r="B8006" t="str">
        <f t="shared" si="2922"/>
        <v>JOHN</v>
      </c>
      <c r="C8006" t="str">
        <f t="shared" si="2923"/>
        <v>JACQUES-LOUIS</v>
      </c>
      <c r="D8006">
        <f>11</f>
        <v>11</v>
      </c>
      <c r="E8006" t="str">
        <f>"01 - A - 101 - Nahum  Saint-Preux"</f>
        <v>01 - A - 101 - Nahum  Saint-Preux</v>
      </c>
      <c r="F8006" t="str">
        <f>"INTENS READ 3"</f>
        <v>INTENS READ 3</v>
      </c>
      <c r="G8006" t="str">
        <f>"17-1712"</f>
        <v>17-1712</v>
      </c>
      <c r="H8006" t="str">
        <f>"A"</f>
        <v>A</v>
      </c>
    </row>
    <row r="8007" spans="1:8" x14ac:dyDescent="0.2">
      <c r="A8007" t="str">
        <f t="shared" si="2921"/>
        <v>0618128149</v>
      </c>
      <c r="B8007" t="str">
        <f t="shared" si="2922"/>
        <v>JOHN</v>
      </c>
      <c r="C8007" t="str">
        <f t="shared" si="2923"/>
        <v>JACQUES-LOUIS</v>
      </c>
      <c r="D8007">
        <f>11</f>
        <v>11</v>
      </c>
      <c r="E8007" t="str">
        <f>"08 - B - 106 - Lisa  Quinn"</f>
        <v>08 - B - 106 - Lisa  Quinn</v>
      </c>
      <c r="F8007" t="str">
        <f>"ENG 3"</f>
        <v>ENG 3</v>
      </c>
      <c r="G8007" t="str">
        <f>"17-1725"</f>
        <v>17-1725</v>
      </c>
      <c r="H8007" t="str">
        <f>"B"</f>
        <v>B</v>
      </c>
    </row>
    <row r="8008" spans="1:8" x14ac:dyDescent="0.2">
      <c r="A8008" t="str">
        <f t="shared" ref="A8008:A8015" si="2924">"0618128143"</f>
        <v>0618128143</v>
      </c>
      <c r="B8008" t="str">
        <f t="shared" ref="B8008:B8015" si="2925">"NAROMI"</f>
        <v>NAROMI</v>
      </c>
      <c r="C8008" t="str">
        <f t="shared" si="2923"/>
        <v>JACQUES-LOUIS</v>
      </c>
      <c r="D8008" t="str">
        <f t="shared" ref="D8008:D8023" si="2926">"09"</f>
        <v>09</v>
      </c>
      <c r="E8008" t="str">
        <f>"04 - A - 102 - Byron G Montenegro"</f>
        <v>04 - A - 102 - Byron G Montenegro</v>
      </c>
      <c r="F8008" t="str">
        <f>"AICE MARINE SCI 1 AS"</f>
        <v>AICE MARINE SCI 1 AS</v>
      </c>
      <c r="G8008" t="str">
        <f>"21-2144"</f>
        <v>21-2144</v>
      </c>
      <c r="H8008" t="str">
        <f>"A"</f>
        <v>A</v>
      </c>
    </row>
    <row r="8009" spans="1:8" x14ac:dyDescent="0.2">
      <c r="A8009" t="str">
        <f t="shared" si="2924"/>
        <v>0618128143</v>
      </c>
      <c r="B8009" t="str">
        <f t="shared" si="2925"/>
        <v>NAROMI</v>
      </c>
      <c r="C8009" t="str">
        <f t="shared" si="2923"/>
        <v>JACQUES-LOUIS</v>
      </c>
      <c r="D8009" t="str">
        <f t="shared" si="2926"/>
        <v>09</v>
      </c>
      <c r="E8009" t="str">
        <f>"06 - B - 106 - Marius D Orsolini"</f>
        <v>06 - B - 106 - Marius D Orsolini</v>
      </c>
      <c r="F8009" t="str">
        <f>"CULINARY ARTS 1"</f>
        <v>CULINARY ARTS 1</v>
      </c>
      <c r="G8009" t="str">
        <f>"21-2115"</f>
        <v>21-2115</v>
      </c>
      <c r="H8009" t="str">
        <f>"B"</f>
        <v>B</v>
      </c>
    </row>
    <row r="8010" spans="1:8" x14ac:dyDescent="0.2">
      <c r="A8010" t="str">
        <f t="shared" si="2924"/>
        <v>0618128143</v>
      </c>
      <c r="B8010" t="str">
        <f t="shared" si="2925"/>
        <v>NAROMI</v>
      </c>
      <c r="C8010" t="str">
        <f t="shared" si="2923"/>
        <v>JACQUES-LOUIS</v>
      </c>
      <c r="D8010" t="str">
        <f t="shared" si="2926"/>
        <v>09</v>
      </c>
      <c r="E8010" t="str">
        <f>"03 - A - 103 - Kelly N Panza"</f>
        <v>03 - A - 103 - Kelly N Panza</v>
      </c>
      <c r="F8010" t="str">
        <f>"AICE GLBL PERSP 1 AS"</f>
        <v>AICE GLBL PERSP 1 AS</v>
      </c>
      <c r="G8010" t="str">
        <f>"17-1753"</f>
        <v>17-1753</v>
      </c>
      <c r="H8010" t="str">
        <f>"A"</f>
        <v>A</v>
      </c>
    </row>
    <row r="8011" spans="1:8" x14ac:dyDescent="0.2">
      <c r="A8011" t="str">
        <f t="shared" si="2924"/>
        <v>0618128143</v>
      </c>
      <c r="B8011" t="str">
        <f t="shared" si="2925"/>
        <v>NAROMI</v>
      </c>
      <c r="C8011" t="str">
        <f t="shared" si="2923"/>
        <v>JACQUES-LOUIS</v>
      </c>
      <c r="D8011" t="str">
        <f t="shared" si="2926"/>
        <v>09</v>
      </c>
      <c r="E8011" t="str">
        <f>"02 - A - 106 - Helen A Flores"</f>
        <v>02 - A - 106 - Helen A Flores</v>
      </c>
      <c r="F8011" t="str">
        <f>"NC STUDY HALL 1"</f>
        <v>NC STUDY HALL 1</v>
      </c>
      <c r="G8011" t="str">
        <f>"21-2101"</f>
        <v>21-2101</v>
      </c>
      <c r="H8011" t="str">
        <f>"A"</f>
        <v>A</v>
      </c>
    </row>
    <row r="8012" spans="1:8" x14ac:dyDescent="0.2">
      <c r="A8012" t="str">
        <f t="shared" si="2924"/>
        <v>0618128143</v>
      </c>
      <c r="B8012" t="str">
        <f t="shared" si="2925"/>
        <v>NAROMI</v>
      </c>
      <c r="C8012" t="str">
        <f t="shared" si="2923"/>
        <v>JACQUES-LOUIS</v>
      </c>
      <c r="D8012" t="str">
        <f t="shared" si="2926"/>
        <v>09</v>
      </c>
      <c r="E8012" t="str">
        <f>"07 - B - 103 - Vanessa J Liburd"</f>
        <v>07 - B - 103 - Vanessa J Liburd</v>
      </c>
      <c r="F8012" t="str">
        <f>"PRE-AICE FRENCH 1 IG"</f>
        <v>PRE-AICE FRENCH 1 IG</v>
      </c>
      <c r="G8012" t="str">
        <f>"05-519"</f>
        <v>05-519</v>
      </c>
      <c r="H8012" t="str">
        <f>"B"</f>
        <v>B</v>
      </c>
    </row>
    <row r="8013" spans="1:8" x14ac:dyDescent="0.2">
      <c r="A8013" t="str">
        <f t="shared" si="2924"/>
        <v>0618128143</v>
      </c>
      <c r="B8013" t="str">
        <f t="shared" si="2925"/>
        <v>NAROMI</v>
      </c>
      <c r="C8013" t="str">
        <f t="shared" si="2923"/>
        <v>JACQUES-LOUIS</v>
      </c>
      <c r="D8013" t="str">
        <f t="shared" si="2926"/>
        <v>09</v>
      </c>
      <c r="E8013" t="str">
        <f>"05 - B - 002 - Cheryl Anne  Berman-Schechter"</f>
        <v>05 - B - 002 - Cheryl Anne  Berman-Schechter</v>
      </c>
      <c r="F8013" t="str">
        <f>"AICE ENG GEN PAPER 1"</f>
        <v>AICE ENG GEN PAPER 1</v>
      </c>
      <c r="G8013" t="str">
        <f>"17-1722"</f>
        <v>17-1722</v>
      </c>
      <c r="H8013" t="str">
        <f>"B"</f>
        <v>B</v>
      </c>
    </row>
    <row r="8014" spans="1:8" x14ac:dyDescent="0.2">
      <c r="A8014" t="str">
        <f t="shared" si="2924"/>
        <v>0618128143</v>
      </c>
      <c r="B8014" t="str">
        <f t="shared" si="2925"/>
        <v>NAROMI</v>
      </c>
      <c r="C8014" t="str">
        <f t="shared" si="2923"/>
        <v>JACQUES-LOUIS</v>
      </c>
      <c r="D8014" t="str">
        <f t="shared" si="2926"/>
        <v>09</v>
      </c>
      <c r="E8014" t="str">
        <f>"01 - A - 102 - Brook E Goren"</f>
        <v>01 - A - 102 - Brook E Goren</v>
      </c>
      <c r="F8014" t="str">
        <f>"PRE-AICE MATH 2 IG"</f>
        <v>PRE-AICE MATH 2 IG</v>
      </c>
      <c r="G8014" t="str">
        <f>"21-2158"</f>
        <v>21-2158</v>
      </c>
      <c r="H8014" t="str">
        <f>"A"</f>
        <v>A</v>
      </c>
    </row>
    <row r="8015" spans="1:8" x14ac:dyDescent="0.2">
      <c r="A8015" t="str">
        <f t="shared" si="2924"/>
        <v>0618128143</v>
      </c>
      <c r="B8015" t="str">
        <f t="shared" si="2925"/>
        <v>NAROMI</v>
      </c>
      <c r="C8015" t="str">
        <f t="shared" si="2923"/>
        <v>JACQUES-LOUIS</v>
      </c>
      <c r="D8015" t="str">
        <f t="shared" si="2926"/>
        <v>09</v>
      </c>
      <c r="E8015" t="str">
        <f>"08 - B - 001 - Brian M Fitzgerald"</f>
        <v>08 - B - 001 - Brian M Fitzgerald</v>
      </c>
      <c r="F8015" t="str">
        <f>"CERAM/POT 1"</f>
        <v>CERAM/POT 1</v>
      </c>
      <c r="G8015" t="str">
        <f>"09-908"</f>
        <v>09-908</v>
      </c>
      <c r="H8015" t="str">
        <f>"B"</f>
        <v>B</v>
      </c>
    </row>
    <row r="8016" spans="1:8" x14ac:dyDescent="0.2">
      <c r="A8016" t="str">
        <f t="shared" ref="A8016:A8023" si="2927">"0614140698"</f>
        <v>0614140698</v>
      </c>
      <c r="B8016" t="str">
        <f t="shared" ref="B8016:B8023" si="2928">"JONINIO"</f>
        <v>JONINIO</v>
      </c>
      <c r="C8016" t="str">
        <f t="shared" ref="C8016:C8023" si="2929">"JACSAINT"</f>
        <v>JACSAINT</v>
      </c>
      <c r="D8016" t="str">
        <f t="shared" si="2926"/>
        <v>09</v>
      </c>
      <c r="E8016" t="str">
        <f>"04 - A - 102 - Byron G Montenegro"</f>
        <v>04 - A - 102 - Byron G Montenegro</v>
      </c>
      <c r="F8016" t="str">
        <f>"AICE MARINE SCI 1 AS"</f>
        <v>AICE MARINE SCI 1 AS</v>
      </c>
      <c r="G8016" t="str">
        <f>"21-2144"</f>
        <v>21-2144</v>
      </c>
      <c r="H8016" t="str">
        <f>"A"</f>
        <v>A</v>
      </c>
    </row>
    <row r="8017" spans="1:8" x14ac:dyDescent="0.2">
      <c r="A8017" t="str">
        <f t="shared" si="2927"/>
        <v>0614140698</v>
      </c>
      <c r="B8017" t="str">
        <f t="shared" si="2928"/>
        <v>JONINIO</v>
      </c>
      <c r="C8017" t="str">
        <f t="shared" si="2929"/>
        <v>JACSAINT</v>
      </c>
      <c r="D8017" t="str">
        <f t="shared" si="2926"/>
        <v>09</v>
      </c>
      <c r="E8017" t="str">
        <f>"06 - B - 202 - Samantha L Martinez"</f>
        <v>06 - B - 202 - Samantha L Martinez</v>
      </c>
      <c r="F8017" t="str">
        <f>"GUITAR 1"</f>
        <v>GUITAR 1</v>
      </c>
      <c r="G8017" t="str">
        <f>"05-505"</f>
        <v>05-505</v>
      </c>
      <c r="H8017" t="str">
        <f>"B"</f>
        <v>B</v>
      </c>
    </row>
    <row r="8018" spans="1:8" x14ac:dyDescent="0.2">
      <c r="A8018" t="str">
        <f t="shared" si="2927"/>
        <v>0614140698</v>
      </c>
      <c r="B8018" t="str">
        <f t="shared" si="2928"/>
        <v>JONINIO</v>
      </c>
      <c r="C8018" t="str">
        <f t="shared" si="2929"/>
        <v>JACSAINT</v>
      </c>
      <c r="D8018" t="str">
        <f t="shared" si="2926"/>
        <v>09</v>
      </c>
      <c r="E8018" t="str">
        <f>"03 - A - 203 - Elizabeth R Walker"</f>
        <v>03 - A - 203 - Elizabeth R Walker</v>
      </c>
      <c r="F8018" t="str">
        <f>"AICE ENG GEN PAPER 1"</f>
        <v>AICE ENG GEN PAPER 1</v>
      </c>
      <c r="G8018" t="str">
        <f>"17-1703"</f>
        <v>17-1703</v>
      </c>
      <c r="H8018" t="str">
        <f>"A"</f>
        <v>A</v>
      </c>
    </row>
    <row r="8019" spans="1:8" x14ac:dyDescent="0.2">
      <c r="A8019" t="str">
        <f t="shared" si="2927"/>
        <v>0614140698</v>
      </c>
      <c r="B8019" t="str">
        <f t="shared" si="2928"/>
        <v>JONINIO</v>
      </c>
      <c r="C8019" t="str">
        <f t="shared" si="2929"/>
        <v>JACSAINT</v>
      </c>
      <c r="D8019" t="str">
        <f t="shared" si="2926"/>
        <v>09</v>
      </c>
      <c r="E8019" t="str">
        <f>"02 - A - 110 - Maried P Ramos"</f>
        <v>02 - A - 110 - Maried P Ramos</v>
      </c>
      <c r="F8019" t="str">
        <f>"NC STUDY HALL 1"</f>
        <v>NC STUDY HALL 1</v>
      </c>
      <c r="G8019" t="str">
        <f>"21-2159"</f>
        <v>21-2159</v>
      </c>
      <c r="H8019" t="str">
        <f>"A"</f>
        <v>A</v>
      </c>
    </row>
    <row r="8020" spans="1:8" x14ac:dyDescent="0.2">
      <c r="A8020" t="str">
        <f t="shared" si="2927"/>
        <v>0614140698</v>
      </c>
      <c r="B8020" t="str">
        <f t="shared" si="2928"/>
        <v>JONINIO</v>
      </c>
      <c r="C8020" t="str">
        <f t="shared" si="2929"/>
        <v>JACSAINT</v>
      </c>
      <c r="D8020" t="str">
        <f t="shared" si="2926"/>
        <v>09</v>
      </c>
      <c r="E8020" t="str">
        <f>"07 - B - 103 - Vanessa J Liburd"</f>
        <v>07 - B - 103 - Vanessa J Liburd</v>
      </c>
      <c r="F8020" t="str">
        <f>"PRE-AICE FRENCH 1 IG"</f>
        <v>PRE-AICE FRENCH 1 IG</v>
      </c>
      <c r="G8020" t="str">
        <f>"05-519"</f>
        <v>05-519</v>
      </c>
      <c r="H8020" t="str">
        <f>"B"</f>
        <v>B</v>
      </c>
    </row>
    <row r="8021" spans="1:8" x14ac:dyDescent="0.2">
      <c r="A8021" t="str">
        <f t="shared" si="2927"/>
        <v>0614140698</v>
      </c>
      <c r="B8021" t="str">
        <f t="shared" si="2928"/>
        <v>JONINIO</v>
      </c>
      <c r="C8021" t="str">
        <f t="shared" si="2929"/>
        <v>JACSAINT</v>
      </c>
      <c r="D8021" t="str">
        <f t="shared" si="2926"/>
        <v>09</v>
      </c>
      <c r="E8021" t="str">
        <f>"05 - B - 102 - Jeanne M Bermudez"</f>
        <v>05 - B - 102 - Jeanne M Bermudez</v>
      </c>
      <c r="F8021" t="str">
        <f>"ADVANCED IT HON"</f>
        <v>ADVANCED IT HON</v>
      </c>
      <c r="G8021" t="str">
        <f>"21-2141"</f>
        <v>21-2141</v>
      </c>
      <c r="H8021" t="str">
        <f>"B"</f>
        <v>B</v>
      </c>
    </row>
    <row r="8022" spans="1:8" x14ac:dyDescent="0.2">
      <c r="A8022" t="str">
        <f t="shared" si="2927"/>
        <v>0614140698</v>
      </c>
      <c r="B8022" t="str">
        <f t="shared" si="2928"/>
        <v>JONINIO</v>
      </c>
      <c r="C8022" t="str">
        <f t="shared" si="2929"/>
        <v>JACSAINT</v>
      </c>
      <c r="D8022" t="str">
        <f t="shared" si="2926"/>
        <v>09</v>
      </c>
      <c r="E8022" t="str">
        <f>"01 - A - 006 - Emmily A Sarmiento"</f>
        <v>01 - A - 006 - Emmily A Sarmiento</v>
      </c>
      <c r="F8022" t="str">
        <f>"AICE GLBL PERSP 1 AS"</f>
        <v>AICE GLBL PERSP 1 AS</v>
      </c>
      <c r="G8022" t="str">
        <f>"17-1743"</f>
        <v>17-1743</v>
      </c>
      <c r="H8022" t="str">
        <f>"A"</f>
        <v>A</v>
      </c>
    </row>
    <row r="8023" spans="1:8" x14ac:dyDescent="0.2">
      <c r="A8023" t="str">
        <f t="shared" si="2927"/>
        <v>0614140698</v>
      </c>
      <c r="B8023" t="str">
        <f t="shared" si="2928"/>
        <v>JONINIO</v>
      </c>
      <c r="C8023" t="str">
        <f t="shared" si="2929"/>
        <v>JACSAINT</v>
      </c>
      <c r="D8023" t="str">
        <f t="shared" si="2926"/>
        <v>09</v>
      </c>
      <c r="E8023" t="str">
        <f>"08 - B - 102 - Maried P Ramos"</f>
        <v>08 - B - 102 - Maried P Ramos</v>
      </c>
      <c r="F8023" t="str">
        <f>"ALGEBRA 2 HON"</f>
        <v>ALGEBRA 2 HON</v>
      </c>
      <c r="G8023" t="str">
        <f>"21-2159"</f>
        <v>21-2159</v>
      </c>
      <c r="H8023" t="str">
        <f>"B"</f>
        <v>B</v>
      </c>
    </row>
    <row r="8024" spans="1:8" x14ac:dyDescent="0.2">
      <c r="A8024" t="str">
        <f t="shared" ref="A8024:A8033" si="2930">"0611091342"</f>
        <v>0611091342</v>
      </c>
      <c r="B8024" t="str">
        <f t="shared" ref="B8024:B8033" si="2931">"ISABELLA"</f>
        <v>ISABELLA</v>
      </c>
      <c r="C8024" t="str">
        <f t="shared" ref="C8024:C8033" si="2932">"JAGERSBERGER"</f>
        <v>JAGERSBERGER</v>
      </c>
      <c r="D8024">
        <f>12</f>
        <v>12</v>
      </c>
      <c r="E8024" t="str">
        <f>"04 - A - 203 - Daniel S Tyson"</f>
        <v>04 - A - 203 - Daniel S Tyson</v>
      </c>
      <c r="F8024" t="str">
        <f>"JROTC NAVAL SCI 2"</f>
        <v>JROTC NAVAL SCI 2</v>
      </c>
      <c r="G8024" t="str">
        <f>"05-510"</f>
        <v>05-510</v>
      </c>
      <c r="H8024" t="str">
        <f>"A"</f>
        <v>A</v>
      </c>
    </row>
    <row r="8025" spans="1:8" x14ac:dyDescent="0.2">
      <c r="A8025" t="str">
        <f t="shared" si="2930"/>
        <v>0611091342</v>
      </c>
      <c r="B8025" t="str">
        <f t="shared" si="2931"/>
        <v>ISABELLA</v>
      </c>
      <c r="C8025" t="str">
        <f t="shared" si="2932"/>
        <v>JAGERSBERGER</v>
      </c>
      <c r="D8025">
        <f>12</f>
        <v>12</v>
      </c>
      <c r="E8025" t="str">
        <f>"06 - B - 101 - Justin D Willard"</f>
        <v>06 - B - 101 - Justin D Willard</v>
      </c>
      <c r="F8025" t="str">
        <f>"CAR EXERIENCES: 9-12"</f>
        <v>CAR EXERIENCES: 9-12</v>
      </c>
      <c r="G8025" t="str">
        <f>"21-2111"</f>
        <v>21-2111</v>
      </c>
      <c r="H8025" t="str">
        <f>"B"</f>
        <v>B</v>
      </c>
    </row>
    <row r="8026" spans="1:8" x14ac:dyDescent="0.2">
      <c r="A8026" t="str">
        <f t="shared" si="2930"/>
        <v>0611091342</v>
      </c>
      <c r="B8026" t="str">
        <f t="shared" si="2931"/>
        <v>ISABELLA</v>
      </c>
      <c r="C8026" t="str">
        <f t="shared" si="2932"/>
        <v>JAGERSBERGER</v>
      </c>
      <c r="D8026">
        <f>12</f>
        <v>12</v>
      </c>
      <c r="E8026" t="str">
        <f>"03 - S1 - A - 101 - Staci M Newton"</f>
        <v>03 - S1 - A - 101 - Staci M Newton</v>
      </c>
      <c r="F8026" t="str">
        <f>"ACCESS ECON FIN LIT"</f>
        <v>ACCESS ECON FIN LIT</v>
      </c>
      <c r="G8026" t="str">
        <f>"21-2103"</f>
        <v>21-2103</v>
      </c>
      <c r="H8026" t="str">
        <f>"A"</f>
        <v>A</v>
      </c>
    </row>
    <row r="8027" spans="1:8" x14ac:dyDescent="0.2">
      <c r="A8027" t="str">
        <f t="shared" si="2930"/>
        <v>0611091342</v>
      </c>
      <c r="B8027" t="str">
        <f t="shared" si="2931"/>
        <v>ISABELLA</v>
      </c>
      <c r="C8027" t="str">
        <f t="shared" si="2932"/>
        <v>JAGERSBERGER</v>
      </c>
      <c r="D8027">
        <f>12</f>
        <v>12</v>
      </c>
      <c r="E8027" t="str">
        <f>"02 - A - 101 - Staci M Newton"</f>
        <v>02 - A - 101 - Staci M Newton</v>
      </c>
      <c r="F8027" t="str">
        <f>"ACCESS LIB ARTS MATH"</f>
        <v>ACCESS LIB ARTS MATH</v>
      </c>
      <c r="G8027" t="str">
        <f>"21-2103"</f>
        <v>21-2103</v>
      </c>
      <c r="H8027" t="str">
        <f>"A"</f>
        <v>A</v>
      </c>
    </row>
    <row r="8028" spans="1:8" x14ac:dyDescent="0.2">
      <c r="A8028" t="str">
        <f t="shared" si="2930"/>
        <v>0611091342</v>
      </c>
      <c r="B8028" t="str">
        <f t="shared" si="2931"/>
        <v>ISABELLA</v>
      </c>
      <c r="C8028" t="str">
        <f t="shared" si="2932"/>
        <v>JAGERSBERGER</v>
      </c>
      <c r="D8028">
        <f>12</f>
        <v>12</v>
      </c>
      <c r="E8028" t="str">
        <f>"07 - B - 101 - Justin D Willard"</f>
        <v>07 - B - 101 - Justin D Willard</v>
      </c>
      <c r="F8028" t="str">
        <f>"CAR PLACEMENT: 9-12"</f>
        <v>CAR PLACEMENT: 9-12</v>
      </c>
      <c r="G8028" t="str">
        <f>"21-2111"</f>
        <v>21-2111</v>
      </c>
      <c r="H8028" t="str">
        <f>"B"</f>
        <v>B</v>
      </c>
    </row>
    <row r="8029" spans="1:8" x14ac:dyDescent="0.2">
      <c r="A8029" t="str">
        <f t="shared" si="2930"/>
        <v>0611091342</v>
      </c>
      <c r="B8029" t="str">
        <f t="shared" si="2931"/>
        <v>ISABELLA</v>
      </c>
      <c r="C8029" t="str">
        <f t="shared" si="2932"/>
        <v>JAGERSBERGER</v>
      </c>
      <c r="D8029">
        <f>12</f>
        <v>12</v>
      </c>
      <c r="E8029" t="str">
        <f>"05 - B - 103 - Justin D Willard"</f>
        <v>05 - B - 103 - Justin D Willard</v>
      </c>
      <c r="F8029" t="str">
        <f>"U SKLS: 9-12"</f>
        <v>U SKLS: 9-12</v>
      </c>
      <c r="G8029" t="str">
        <f>"21-2111"</f>
        <v>21-2111</v>
      </c>
      <c r="H8029" t="str">
        <f>"B"</f>
        <v>B</v>
      </c>
    </row>
    <row r="8030" spans="1:8" x14ac:dyDescent="0.2">
      <c r="A8030" t="str">
        <f t="shared" si="2930"/>
        <v>0611091342</v>
      </c>
      <c r="B8030" t="str">
        <f t="shared" si="2931"/>
        <v>ISABELLA</v>
      </c>
      <c r="C8030" t="str">
        <f t="shared" si="2932"/>
        <v>JAGERSBERGER</v>
      </c>
      <c r="D8030">
        <f>12</f>
        <v>12</v>
      </c>
      <c r="E8030" t="str">
        <f>"01 - A - 101 - Staci M Newton"</f>
        <v>01 - A - 101 - Staci M Newton</v>
      </c>
      <c r="F8030" t="str">
        <f>"ACCESS ENGLISH 4"</f>
        <v>ACCESS ENGLISH 4</v>
      </c>
      <c r="G8030" t="str">
        <f>"21-2103"</f>
        <v>21-2103</v>
      </c>
      <c r="H8030" t="str">
        <f>"A"</f>
        <v>A</v>
      </c>
    </row>
    <row r="8031" spans="1:8" x14ac:dyDescent="0.2">
      <c r="A8031" t="str">
        <f t="shared" si="2930"/>
        <v>0611091342</v>
      </c>
      <c r="B8031" t="str">
        <f t="shared" si="2931"/>
        <v>ISABELLA</v>
      </c>
      <c r="C8031" t="str">
        <f t="shared" si="2932"/>
        <v>JAGERSBERGER</v>
      </c>
      <c r="D8031">
        <f>12</f>
        <v>12</v>
      </c>
      <c r="E8031" t="str">
        <f>"01 - A - 101 - Eric  Lopapa"</f>
        <v>01 - A - 101 - Eric  Lopapa</v>
      </c>
      <c r="F8031" t="str">
        <f>"LANG THERAPY"</f>
        <v>LANG THERAPY</v>
      </c>
      <c r="G8031" t="str">
        <f>"21-2110"</f>
        <v>21-2110</v>
      </c>
      <c r="H8031" t="str">
        <f>"A"</f>
        <v>A</v>
      </c>
    </row>
    <row r="8032" spans="1:8" x14ac:dyDescent="0.2">
      <c r="A8032" t="str">
        <f t="shared" si="2930"/>
        <v>0611091342</v>
      </c>
      <c r="B8032" t="str">
        <f t="shared" si="2931"/>
        <v>ISABELLA</v>
      </c>
      <c r="C8032" t="str">
        <f t="shared" si="2932"/>
        <v>JAGERSBERGER</v>
      </c>
      <c r="D8032">
        <f>12</f>
        <v>12</v>
      </c>
      <c r="E8032" t="str">
        <f>"01 - A - 101 - Eric  Lopapa"</f>
        <v>01 - A - 101 - Eric  Lopapa</v>
      </c>
      <c r="F8032" t="str">
        <f>"SPEECH THRPY"</f>
        <v>SPEECH THRPY</v>
      </c>
      <c r="G8032" t="str">
        <f>"21-2110"</f>
        <v>21-2110</v>
      </c>
      <c r="H8032" t="str">
        <f>"A"</f>
        <v>A</v>
      </c>
    </row>
    <row r="8033" spans="1:8" x14ac:dyDescent="0.2">
      <c r="A8033" t="str">
        <f t="shared" si="2930"/>
        <v>0611091342</v>
      </c>
      <c r="B8033" t="str">
        <f t="shared" si="2931"/>
        <v>ISABELLA</v>
      </c>
      <c r="C8033" t="str">
        <f t="shared" si="2932"/>
        <v>JAGERSBERGER</v>
      </c>
      <c r="D8033">
        <f>12</f>
        <v>12</v>
      </c>
      <c r="E8033" t="str">
        <f>"08 - B - 101 - Jazmin S Fletcher"</f>
        <v>08 - B - 101 - Jazmin S Fletcher</v>
      </c>
      <c r="F8033" t="str">
        <f>"PRE-AICE DRAMA 1G"</f>
        <v>PRE-AICE DRAMA 1G</v>
      </c>
      <c r="G8033" t="str">
        <f>"09-909"</f>
        <v>09-909</v>
      </c>
      <c r="H8033" t="str">
        <f>"B"</f>
        <v>B</v>
      </c>
    </row>
    <row r="8034" spans="1:8" x14ac:dyDescent="0.2">
      <c r="A8034" t="str">
        <f t="shared" ref="A8034:A8041" si="2933">"0614010552"</f>
        <v>0614010552</v>
      </c>
      <c r="B8034" t="str">
        <f t="shared" ref="B8034:B8041" si="2934">"ALYSSA"</f>
        <v>ALYSSA</v>
      </c>
      <c r="C8034" t="str">
        <f t="shared" ref="C8034:C8041" si="2935">"JAIDANE"</f>
        <v>JAIDANE</v>
      </c>
      <c r="D8034">
        <f>12</f>
        <v>12</v>
      </c>
      <c r="E8034" t="str">
        <f>"04 - A - 102 - Daniel S Katz"</f>
        <v>04 - A - 102 - Daniel S Katz</v>
      </c>
      <c r="F8034" t="str">
        <f>"AICE DRAMA 1 AS LEV"</f>
        <v>AICE DRAMA 1 AS LEV</v>
      </c>
      <c r="G8034" t="str">
        <f>"05-521"</f>
        <v>05-521</v>
      </c>
      <c r="H8034" t="str">
        <f>"A"</f>
        <v>A</v>
      </c>
    </row>
    <row r="8035" spans="1:8" x14ac:dyDescent="0.2">
      <c r="A8035" t="str">
        <f t="shared" si="2933"/>
        <v>0614010552</v>
      </c>
      <c r="B8035" t="str">
        <f t="shared" si="2934"/>
        <v>ALYSSA</v>
      </c>
      <c r="C8035" t="str">
        <f t="shared" si="2935"/>
        <v>JAIDANE</v>
      </c>
      <c r="D8035">
        <f>12</f>
        <v>12</v>
      </c>
      <c r="E8035" t="str">
        <f>"06 - B - 109 - Carol S Moore"</f>
        <v>06 - B - 109 - Carol S Moore</v>
      </c>
      <c r="F8035" t="str">
        <f>"NC STUDY HALL 1"</f>
        <v>NC STUDY HALL 1</v>
      </c>
      <c r="G8035" t="str">
        <f>"17-1733"</f>
        <v>17-1733</v>
      </c>
      <c r="H8035" t="str">
        <f>"B"</f>
        <v>B</v>
      </c>
    </row>
    <row r="8036" spans="1:8" x14ac:dyDescent="0.2">
      <c r="A8036" t="str">
        <f t="shared" si="2933"/>
        <v>0614010552</v>
      </c>
      <c r="B8036" t="str">
        <f t="shared" si="2934"/>
        <v>ALYSSA</v>
      </c>
      <c r="C8036" t="str">
        <f t="shared" si="2935"/>
        <v>JAIDANE</v>
      </c>
      <c r="D8036">
        <f>12</f>
        <v>12</v>
      </c>
      <c r="E8036" t="str">
        <f>"03 - A - 201 - Chrystina M Marchionne"</f>
        <v>03 - A - 201 - Chrystina M Marchionne</v>
      </c>
      <c r="F8036" t="str">
        <f>"JOURN 1 (YB) LH"</f>
        <v>JOURN 1 (YB) LH</v>
      </c>
      <c r="G8036" t="str">
        <f>"05-520"</f>
        <v>05-520</v>
      </c>
      <c r="H8036" t="str">
        <f>"A"</f>
        <v>A</v>
      </c>
    </row>
    <row r="8037" spans="1:8" x14ac:dyDescent="0.2">
      <c r="A8037" t="str">
        <f t="shared" si="2933"/>
        <v>0614010552</v>
      </c>
      <c r="B8037" t="str">
        <f t="shared" si="2934"/>
        <v>ALYSSA</v>
      </c>
      <c r="C8037" t="str">
        <f t="shared" si="2935"/>
        <v>JAIDANE</v>
      </c>
      <c r="D8037">
        <f>12</f>
        <v>12</v>
      </c>
      <c r="E8037" t="str">
        <f>"02 - S1 - A - 103 - Barbara L Segal"</f>
        <v>02 - S1 - A - 103 - Barbara L Segal</v>
      </c>
      <c r="F8037" t="str">
        <f>"US GOVT HON"</f>
        <v>US GOVT HON</v>
      </c>
      <c r="G8037" t="str">
        <f>"17-1742"</f>
        <v>17-1742</v>
      </c>
      <c r="H8037" t="str">
        <f>"A"</f>
        <v>A</v>
      </c>
    </row>
    <row r="8038" spans="1:8" x14ac:dyDescent="0.2">
      <c r="A8038" t="str">
        <f t="shared" si="2933"/>
        <v>0614010552</v>
      </c>
      <c r="B8038" t="str">
        <f t="shared" si="2934"/>
        <v>ALYSSA</v>
      </c>
      <c r="C8038" t="str">
        <f t="shared" si="2935"/>
        <v>JAIDANE</v>
      </c>
      <c r="D8038">
        <f>12</f>
        <v>12</v>
      </c>
      <c r="E8038" t="str">
        <f>"07 - B - 105 - Josiah I Lacy"</f>
        <v>07 - B - 105 - Josiah I Lacy</v>
      </c>
      <c r="F8038" t="str">
        <f>"ANAT PHYSIO HON"</f>
        <v>ANAT PHYSIO HON</v>
      </c>
      <c r="G8038" t="str">
        <f>"08-801"</f>
        <v>08-801</v>
      </c>
      <c r="H8038" t="str">
        <f>"B"</f>
        <v>B</v>
      </c>
    </row>
    <row r="8039" spans="1:8" x14ac:dyDescent="0.2">
      <c r="A8039" t="str">
        <f t="shared" si="2933"/>
        <v>0614010552</v>
      </c>
      <c r="B8039" t="str">
        <f t="shared" si="2934"/>
        <v>ALYSSA</v>
      </c>
      <c r="C8039" t="str">
        <f t="shared" si="2935"/>
        <v>JAIDANE</v>
      </c>
      <c r="D8039">
        <f>12</f>
        <v>12</v>
      </c>
      <c r="E8039" t="str">
        <f>"05 - B - 103 - Eva T Rimmer"</f>
        <v>05 - B - 103 - Eva T Rimmer</v>
      </c>
      <c r="F8039" t="str">
        <f>"CRIMINAL JUST OPS 1"</f>
        <v>CRIMINAL JUST OPS 1</v>
      </c>
      <c r="G8039" t="str">
        <f>"05-523"</f>
        <v>05-523</v>
      </c>
      <c r="H8039" t="str">
        <f>"B"</f>
        <v>B</v>
      </c>
    </row>
    <row r="8040" spans="1:8" x14ac:dyDescent="0.2">
      <c r="A8040" t="str">
        <f t="shared" si="2933"/>
        <v>0614010552</v>
      </c>
      <c r="B8040" t="str">
        <f t="shared" si="2934"/>
        <v>ALYSSA</v>
      </c>
      <c r="C8040" t="str">
        <f t="shared" si="2935"/>
        <v>JAIDANE</v>
      </c>
      <c r="D8040">
        <f>12</f>
        <v>12</v>
      </c>
      <c r="E8040" t="str">
        <f>"01 - A - 103 - Jeffrey S Gallagher"</f>
        <v>01 - A - 103 - Jeffrey S Gallagher</v>
      </c>
      <c r="F8040" t="str">
        <f>"ENG HON 4"</f>
        <v>ENG HON 4</v>
      </c>
      <c r="G8040" t="str">
        <f>"17-1724"</f>
        <v>17-1724</v>
      </c>
      <c r="H8040" t="str">
        <f>"A"</f>
        <v>A</v>
      </c>
    </row>
    <row r="8041" spans="1:8" x14ac:dyDescent="0.2">
      <c r="A8041" t="str">
        <f t="shared" si="2933"/>
        <v>0614010552</v>
      </c>
      <c r="B8041" t="str">
        <f t="shared" si="2934"/>
        <v>ALYSSA</v>
      </c>
      <c r="C8041" t="str">
        <f t="shared" si="2935"/>
        <v>JAIDANE</v>
      </c>
      <c r="D8041">
        <f>12</f>
        <v>12</v>
      </c>
      <c r="E8041" t="str">
        <f>"08 - B - 105 - Semra  Bahadir"</f>
        <v>08 - B - 105 - Semra  Bahadir</v>
      </c>
      <c r="F8041" t="str">
        <f>"MATH COLL ALGEBRA"</f>
        <v>MATH COLL ALGEBRA</v>
      </c>
      <c r="G8041" t="str">
        <f>"21-2107"</f>
        <v>21-2107</v>
      </c>
      <c r="H8041" t="str">
        <f>"B"</f>
        <v>B</v>
      </c>
    </row>
    <row r="8042" spans="1:8" x14ac:dyDescent="0.2">
      <c r="A8042" t="str">
        <f t="shared" ref="A8042:A8050" si="2936">"0614141650"</f>
        <v>0614141650</v>
      </c>
      <c r="B8042" t="str">
        <f t="shared" ref="B8042:B8050" si="2937">"AMARI'AH"</f>
        <v>AMARI'AH</v>
      </c>
      <c r="C8042" t="str">
        <f t="shared" ref="C8042:C8066" si="2938">"JAMES"</f>
        <v>JAMES</v>
      </c>
      <c r="D8042">
        <f>10</f>
        <v>10</v>
      </c>
      <c r="E8042" t="str">
        <f>"04 - S1 - A - 103 - Rory T Sponsler"</f>
        <v>04 - S1 - A - 103 - Rory T Sponsler</v>
      </c>
      <c r="F8042" t="str">
        <f>"WOMENS STUDIES LH"</f>
        <v>WOMENS STUDIES LH</v>
      </c>
      <c r="G8042" t="str">
        <f>"17-1740"</f>
        <v>17-1740</v>
      </c>
      <c r="H8042" t="str">
        <f>"A"</f>
        <v>A</v>
      </c>
    </row>
    <row r="8043" spans="1:8" x14ac:dyDescent="0.2">
      <c r="A8043" t="str">
        <f t="shared" si="2936"/>
        <v>0614141650</v>
      </c>
      <c r="B8043" t="str">
        <f t="shared" si="2937"/>
        <v>AMARI'AH</v>
      </c>
      <c r="C8043" t="str">
        <f t="shared" si="2938"/>
        <v>JAMES</v>
      </c>
      <c r="D8043">
        <f>10</f>
        <v>10</v>
      </c>
      <c r="E8043" t="str">
        <f>"06 - B - 002 - Lenecy  Nodarse"</f>
        <v>06 - B - 002 - Lenecy  Nodarse</v>
      </c>
      <c r="F8043" t="str">
        <f>"NC STUDY HALL 1"</f>
        <v>NC STUDY HALL 1</v>
      </c>
      <c r="G8043" t="str">
        <f>"17-1741"</f>
        <v>17-1741</v>
      </c>
      <c r="H8043" t="str">
        <f>"B"</f>
        <v>B</v>
      </c>
    </row>
    <row r="8044" spans="1:8" x14ac:dyDescent="0.2">
      <c r="A8044" t="str">
        <f t="shared" si="2936"/>
        <v>0614141650</v>
      </c>
      <c r="B8044" t="str">
        <f t="shared" si="2937"/>
        <v>AMARI'AH</v>
      </c>
      <c r="C8044" t="str">
        <f t="shared" si="2938"/>
        <v>JAMES</v>
      </c>
      <c r="D8044">
        <f>10</f>
        <v>10</v>
      </c>
      <c r="E8044" t="str">
        <f>"06 - B - 106 - Eric  Lopapa"</f>
        <v>06 - B - 106 - Eric  Lopapa</v>
      </c>
      <c r="F8044" t="str">
        <f>"LANG THERAPY"</f>
        <v>LANG THERAPY</v>
      </c>
      <c r="G8044" t="str">
        <f>"21-2110"</f>
        <v>21-2110</v>
      </c>
      <c r="H8044" t="str">
        <f>"B"</f>
        <v>B</v>
      </c>
    </row>
    <row r="8045" spans="1:8" x14ac:dyDescent="0.2">
      <c r="A8045" t="str">
        <f t="shared" si="2936"/>
        <v>0614141650</v>
      </c>
      <c r="B8045" t="str">
        <f t="shared" si="2937"/>
        <v>AMARI'AH</v>
      </c>
      <c r="C8045" t="str">
        <f t="shared" si="2938"/>
        <v>JAMES</v>
      </c>
      <c r="D8045">
        <f>10</f>
        <v>10</v>
      </c>
      <c r="E8045" t="str">
        <f>"03 - A - 103 - Jacquelyn M Neeson"</f>
        <v>03 - A - 103 - Jacquelyn M Neeson</v>
      </c>
      <c r="F8045" t="str">
        <f>"ENG 2"</f>
        <v>ENG 2</v>
      </c>
      <c r="G8045" t="str">
        <f>"17-1715"</f>
        <v>17-1715</v>
      </c>
      <c r="H8045" t="str">
        <f>"A"</f>
        <v>A</v>
      </c>
    </row>
    <row r="8046" spans="1:8" x14ac:dyDescent="0.2">
      <c r="A8046" t="str">
        <f t="shared" si="2936"/>
        <v>0614141650</v>
      </c>
      <c r="B8046" t="str">
        <f t="shared" si="2937"/>
        <v>AMARI'AH</v>
      </c>
      <c r="C8046" t="str">
        <f t="shared" si="2938"/>
        <v>JAMES</v>
      </c>
      <c r="D8046">
        <f>10</f>
        <v>10</v>
      </c>
      <c r="E8046" t="str">
        <f>"02 - A - 101 - Christa T Parisi"</f>
        <v>02 - A - 101 - Christa T Parisi</v>
      </c>
      <c r="F8046" t="str">
        <f>"LRNG STRATEGIES 9-12"</f>
        <v>LRNG STRATEGIES 9-12</v>
      </c>
      <c r="G8046" t="str">
        <f>"20-2072"</f>
        <v>20-2072</v>
      </c>
      <c r="H8046" t="str">
        <f>"A"</f>
        <v>A</v>
      </c>
    </row>
    <row r="8047" spans="1:8" x14ac:dyDescent="0.2">
      <c r="A8047" t="str">
        <f t="shared" si="2936"/>
        <v>0614141650</v>
      </c>
      <c r="B8047" t="str">
        <f t="shared" si="2937"/>
        <v>AMARI'AH</v>
      </c>
      <c r="C8047" t="str">
        <f t="shared" si="2938"/>
        <v>JAMES</v>
      </c>
      <c r="D8047">
        <f>10</f>
        <v>10</v>
      </c>
      <c r="E8047" t="str">
        <f>"07 - B - 002 - Jazmin S Fletcher"</f>
        <v>07 - B - 002 - Jazmin S Fletcher</v>
      </c>
      <c r="F8047" t="str">
        <f>"THEATRE 1"</f>
        <v>THEATRE 1</v>
      </c>
      <c r="G8047" t="str">
        <f>"09-909"</f>
        <v>09-909</v>
      </c>
      <c r="H8047" t="str">
        <f>"B"</f>
        <v>B</v>
      </c>
    </row>
    <row r="8048" spans="1:8" x14ac:dyDescent="0.2">
      <c r="A8048" t="str">
        <f t="shared" si="2936"/>
        <v>0614141650</v>
      </c>
      <c r="B8048" t="str">
        <f t="shared" si="2937"/>
        <v>AMARI'AH</v>
      </c>
      <c r="C8048" t="str">
        <f t="shared" si="2938"/>
        <v>JAMES</v>
      </c>
      <c r="D8048">
        <f>10</f>
        <v>10</v>
      </c>
      <c r="E8048" t="str">
        <f>"05 - B - 105 - Taraneh C Abreu"</f>
        <v>05 - B - 105 - Taraneh C Abreu</v>
      </c>
      <c r="F8048" t="str">
        <f>"INTENS READ 2"</f>
        <v>INTENS READ 2</v>
      </c>
      <c r="G8048" t="str">
        <f>"17-1713"</f>
        <v>17-1713</v>
      </c>
      <c r="H8048" t="str">
        <f>"B"</f>
        <v>B</v>
      </c>
    </row>
    <row r="8049" spans="1:8" x14ac:dyDescent="0.2">
      <c r="A8049" t="str">
        <f t="shared" si="2936"/>
        <v>0614141650</v>
      </c>
      <c r="B8049" t="str">
        <f t="shared" si="2937"/>
        <v>AMARI'AH</v>
      </c>
      <c r="C8049" t="str">
        <f t="shared" si="2938"/>
        <v>JAMES</v>
      </c>
      <c r="D8049">
        <f>10</f>
        <v>10</v>
      </c>
      <c r="E8049" t="str">
        <f>"01 - A - 104 - Milca  Exantus"</f>
        <v>01 - A - 104 - Milca  Exantus</v>
      </c>
      <c r="F8049" t="str">
        <f>"MATH COLLEGE LIB ART"</f>
        <v>MATH COLLEGE LIB ART</v>
      </c>
      <c r="G8049" t="str">
        <f>"21-2145"</f>
        <v>21-2145</v>
      </c>
      <c r="H8049" t="str">
        <f>"A"</f>
        <v>A</v>
      </c>
    </row>
    <row r="8050" spans="1:8" x14ac:dyDescent="0.2">
      <c r="A8050" t="str">
        <f t="shared" si="2936"/>
        <v>0614141650</v>
      </c>
      <c r="B8050" t="str">
        <f t="shared" si="2937"/>
        <v>AMARI'AH</v>
      </c>
      <c r="C8050" t="str">
        <f t="shared" si="2938"/>
        <v>JAMES</v>
      </c>
      <c r="D8050">
        <f>10</f>
        <v>10</v>
      </c>
      <c r="E8050" t="str">
        <f>"08 - B - 001 - Lytrell T Dixon"</f>
        <v>08 - B - 001 - Lytrell T Dixon</v>
      </c>
      <c r="F8050" t="str">
        <f>"BIOLOGY 1"</f>
        <v>BIOLOGY 1</v>
      </c>
      <c r="G8050" t="str">
        <f>"08-808"</f>
        <v>08-808</v>
      </c>
      <c r="H8050" t="str">
        <f>"B"</f>
        <v>B</v>
      </c>
    </row>
    <row r="8051" spans="1:8" x14ac:dyDescent="0.2">
      <c r="A8051" t="str">
        <f t="shared" ref="A8051:A8058" si="2939">"0617048330"</f>
        <v>0617048330</v>
      </c>
      <c r="B8051" t="str">
        <f t="shared" ref="B8051:B8058" si="2940">"ANGELICA"</f>
        <v>ANGELICA</v>
      </c>
      <c r="C8051" t="str">
        <f t="shared" si="2938"/>
        <v>JAMES</v>
      </c>
      <c r="D8051" t="str">
        <f t="shared" ref="D8051:D8058" si="2941">"09"</f>
        <v>09</v>
      </c>
      <c r="E8051" t="str">
        <f>"04 - A - 005 - Emmily A Sarmiento"</f>
        <v>04 - A - 005 - Emmily A Sarmiento</v>
      </c>
      <c r="F8051" t="str">
        <f>"AICE GLBL PERSP 1 AS"</f>
        <v>AICE GLBL PERSP 1 AS</v>
      </c>
      <c r="G8051" t="str">
        <f>"17-1743"</f>
        <v>17-1743</v>
      </c>
      <c r="H8051" t="str">
        <f>"A"</f>
        <v>A</v>
      </c>
    </row>
    <row r="8052" spans="1:8" x14ac:dyDescent="0.2">
      <c r="A8052" t="str">
        <f t="shared" si="2939"/>
        <v>0617048330</v>
      </c>
      <c r="B8052" t="str">
        <f t="shared" si="2940"/>
        <v>ANGELICA</v>
      </c>
      <c r="C8052" t="str">
        <f t="shared" si="2938"/>
        <v>JAMES</v>
      </c>
      <c r="D8052" t="str">
        <f t="shared" si="2941"/>
        <v>09</v>
      </c>
      <c r="E8052" t="str">
        <f>"06 - B - 105 - Cheryl L Beach"</f>
        <v>06 - B - 105 - Cheryl L Beach</v>
      </c>
      <c r="F8052" t="str">
        <f>"AICE ENV MGMNT AS"</f>
        <v>AICE ENV MGMNT AS</v>
      </c>
      <c r="G8052" t="str">
        <f>"08-811"</f>
        <v>08-811</v>
      </c>
      <c r="H8052" t="str">
        <f>"B"</f>
        <v>B</v>
      </c>
    </row>
    <row r="8053" spans="1:8" x14ac:dyDescent="0.2">
      <c r="A8053" t="str">
        <f t="shared" si="2939"/>
        <v>0617048330</v>
      </c>
      <c r="B8053" t="str">
        <f t="shared" si="2940"/>
        <v>ANGELICA</v>
      </c>
      <c r="C8053" t="str">
        <f t="shared" si="2938"/>
        <v>JAMES</v>
      </c>
      <c r="D8053" t="str">
        <f t="shared" si="2941"/>
        <v>09</v>
      </c>
      <c r="E8053" t="str">
        <f>"03 - S1 - A - 101 - Daniel S Katz"</f>
        <v>03 - S1 - A - 101 - Daniel S Katz</v>
      </c>
      <c r="F8053" t="str">
        <f>"COURT PROCED"</f>
        <v>COURT PROCED</v>
      </c>
      <c r="G8053" t="str">
        <f>"21-2156"</f>
        <v>21-2156</v>
      </c>
      <c r="H8053" t="str">
        <f>"A"</f>
        <v>A</v>
      </c>
    </row>
    <row r="8054" spans="1:8" x14ac:dyDescent="0.2">
      <c r="A8054" t="str">
        <f t="shared" si="2939"/>
        <v>0617048330</v>
      </c>
      <c r="B8054" t="str">
        <f t="shared" si="2940"/>
        <v>ANGELICA</v>
      </c>
      <c r="C8054" t="str">
        <f t="shared" si="2938"/>
        <v>JAMES</v>
      </c>
      <c r="D8054" t="str">
        <f t="shared" si="2941"/>
        <v>09</v>
      </c>
      <c r="E8054" t="str">
        <f>"02 - A - 111 - Cheryl L Beach"</f>
        <v>02 - A - 111 - Cheryl L Beach</v>
      </c>
      <c r="F8054" t="str">
        <f>"NC STUDY HALL 1"</f>
        <v>NC STUDY HALL 1</v>
      </c>
      <c r="G8054" t="str">
        <f>"08-811"</f>
        <v>08-811</v>
      </c>
      <c r="H8054" t="str">
        <f>"A"</f>
        <v>A</v>
      </c>
    </row>
    <row r="8055" spans="1:8" x14ac:dyDescent="0.2">
      <c r="A8055" t="str">
        <f t="shared" si="2939"/>
        <v>0617048330</v>
      </c>
      <c r="B8055" t="str">
        <f t="shared" si="2940"/>
        <v>ANGELICA</v>
      </c>
      <c r="C8055" t="str">
        <f t="shared" si="2938"/>
        <v>JAMES</v>
      </c>
      <c r="D8055" t="str">
        <f t="shared" si="2941"/>
        <v>09</v>
      </c>
      <c r="E8055" t="str">
        <f>"07 - B - 107 - Brook E Goren"</f>
        <v>07 - B - 107 - Brook E Goren</v>
      </c>
      <c r="F8055" t="str">
        <f>"PRE-AICE MATH 2 IG"</f>
        <v>PRE-AICE MATH 2 IG</v>
      </c>
      <c r="G8055" t="str">
        <f>"21-2158"</f>
        <v>21-2158</v>
      </c>
      <c r="H8055" t="str">
        <f>"B"</f>
        <v>B</v>
      </c>
    </row>
    <row r="8056" spans="1:8" x14ac:dyDescent="0.2">
      <c r="A8056" t="str">
        <f t="shared" si="2939"/>
        <v>0617048330</v>
      </c>
      <c r="B8056" t="str">
        <f t="shared" si="2940"/>
        <v>ANGELICA</v>
      </c>
      <c r="C8056" t="str">
        <f t="shared" si="2938"/>
        <v>JAMES</v>
      </c>
      <c r="D8056" t="str">
        <f t="shared" si="2941"/>
        <v>09</v>
      </c>
      <c r="E8056" t="str">
        <f>"05 - B - 103 - Josiah I Lacy"</f>
        <v>05 - B - 103 - Josiah I Lacy</v>
      </c>
      <c r="F8056" t="str">
        <f>"PRE-AICE BIO IG"</f>
        <v>PRE-AICE BIO IG</v>
      </c>
      <c r="G8056" t="str">
        <f>"08-801"</f>
        <v>08-801</v>
      </c>
      <c r="H8056" t="str">
        <f>"B"</f>
        <v>B</v>
      </c>
    </row>
    <row r="8057" spans="1:8" x14ac:dyDescent="0.2">
      <c r="A8057" t="str">
        <f t="shared" si="2939"/>
        <v>0617048330</v>
      </c>
      <c r="B8057" t="str">
        <f t="shared" si="2940"/>
        <v>ANGELICA</v>
      </c>
      <c r="C8057" t="str">
        <f t="shared" si="2938"/>
        <v>JAMES</v>
      </c>
      <c r="D8057" t="str">
        <f t="shared" si="2941"/>
        <v>09</v>
      </c>
      <c r="E8057" t="str">
        <f>"01 - A - 101 - Elizabeth R Walker"</f>
        <v>01 - A - 101 - Elizabeth R Walker</v>
      </c>
      <c r="F8057" t="str">
        <f>"AICE ENG GEN PAPER 1"</f>
        <v>AICE ENG GEN PAPER 1</v>
      </c>
      <c r="G8057" t="str">
        <f>"17-1703"</f>
        <v>17-1703</v>
      </c>
      <c r="H8057" t="str">
        <f>"A"</f>
        <v>A</v>
      </c>
    </row>
    <row r="8058" spans="1:8" x14ac:dyDescent="0.2">
      <c r="A8058" t="str">
        <f t="shared" si="2939"/>
        <v>0617048330</v>
      </c>
      <c r="B8058" t="str">
        <f t="shared" si="2940"/>
        <v>ANGELICA</v>
      </c>
      <c r="C8058" t="str">
        <f t="shared" si="2938"/>
        <v>JAMES</v>
      </c>
      <c r="D8058" t="str">
        <f t="shared" si="2941"/>
        <v>09</v>
      </c>
      <c r="E8058" t="str">
        <f>"08 - S1 - B - 104 - Angela S Adeshina-Morrison"</f>
        <v>08 - S1 - B - 104 - Angela S Adeshina-Morrison</v>
      </c>
      <c r="F8058" t="str">
        <f>"PEER COUN 1"</f>
        <v>PEER COUN 1</v>
      </c>
      <c r="G8058" t="str">
        <f>"05-518"</f>
        <v>05-518</v>
      </c>
      <c r="H8058" t="str">
        <f>"B"</f>
        <v>B</v>
      </c>
    </row>
    <row r="8059" spans="1:8" x14ac:dyDescent="0.2">
      <c r="A8059" t="str">
        <f t="shared" ref="A8059:A8066" si="2942">"0615032640"</f>
        <v>0615032640</v>
      </c>
      <c r="B8059" t="str">
        <f t="shared" ref="B8059:B8066" si="2943">"DICOLA"</f>
        <v>DICOLA</v>
      </c>
      <c r="C8059" t="str">
        <f t="shared" si="2938"/>
        <v>JAMES</v>
      </c>
      <c r="D8059">
        <f>11</f>
        <v>11</v>
      </c>
      <c r="E8059" t="str">
        <f>"04 - A - 102 - Brandy N Zdenek"</f>
        <v>04 - A - 102 - Brandy N Zdenek</v>
      </c>
      <c r="F8059" t="str">
        <f>"AICE ENG LANG 2 AL"</f>
        <v>AICE ENG LANG 2 AL</v>
      </c>
      <c r="G8059" t="str">
        <f>"17-1704"</f>
        <v>17-1704</v>
      </c>
      <c r="H8059" t="str">
        <f>"A"</f>
        <v>A</v>
      </c>
    </row>
    <row r="8060" spans="1:8" x14ac:dyDescent="0.2">
      <c r="A8060" t="str">
        <f t="shared" si="2942"/>
        <v>0615032640</v>
      </c>
      <c r="B8060" t="str">
        <f t="shared" si="2943"/>
        <v>DICOLA</v>
      </c>
      <c r="C8060" t="str">
        <f t="shared" si="2938"/>
        <v>JAMES</v>
      </c>
      <c r="D8060">
        <f>11</f>
        <v>11</v>
      </c>
      <c r="E8060" t="str">
        <f>"06 - B - 204 - Chrystina M Marchionne"</f>
        <v>06 - B - 204 - Chrystina M Marchionne</v>
      </c>
      <c r="F8060" t="str">
        <f>"AICE MEDIASTUDIES AS"</f>
        <v>AICE MEDIASTUDIES AS</v>
      </c>
      <c r="G8060" t="str">
        <f>"05-520"</f>
        <v>05-520</v>
      </c>
      <c r="H8060" t="str">
        <f>"B"</f>
        <v>B</v>
      </c>
    </row>
    <row r="8061" spans="1:8" x14ac:dyDescent="0.2">
      <c r="A8061" t="str">
        <f t="shared" si="2942"/>
        <v>0615032640</v>
      </c>
      <c r="B8061" t="str">
        <f t="shared" si="2943"/>
        <v>DICOLA</v>
      </c>
      <c r="C8061" t="str">
        <f t="shared" si="2938"/>
        <v>JAMES</v>
      </c>
      <c r="D8061">
        <f>11</f>
        <v>11</v>
      </c>
      <c r="E8061" t="str">
        <f>"03 - A - 106 - Krystal Marie  Beruty"</f>
        <v>03 - A - 106 - Krystal Marie  Beruty</v>
      </c>
      <c r="F8061" t="str">
        <f>"AICE PSYCH 1 AS"</f>
        <v>AICE PSYCH 1 AS</v>
      </c>
      <c r="G8061" t="str">
        <f>"17-1721"</f>
        <v>17-1721</v>
      </c>
      <c r="H8061" t="str">
        <f>"A"</f>
        <v>A</v>
      </c>
    </row>
    <row r="8062" spans="1:8" x14ac:dyDescent="0.2">
      <c r="A8062" t="str">
        <f t="shared" si="2942"/>
        <v>0615032640</v>
      </c>
      <c r="B8062" t="str">
        <f t="shared" si="2943"/>
        <v>DICOLA</v>
      </c>
      <c r="C8062" t="str">
        <f t="shared" si="2938"/>
        <v>JAMES</v>
      </c>
      <c r="D8062">
        <f>11</f>
        <v>11</v>
      </c>
      <c r="E8062" t="str">
        <f>"02 - A - 101 - Timothy J Lawrence"</f>
        <v>02 - A - 101 - Timothy J Lawrence</v>
      </c>
      <c r="F8062" t="str">
        <f>"NC STUDY HALL 1"</f>
        <v>NC STUDY HALL 1</v>
      </c>
      <c r="G8062" t="str">
        <f>"05-522"</f>
        <v>05-522</v>
      </c>
      <c r="H8062" t="str">
        <f>"A"</f>
        <v>A</v>
      </c>
    </row>
    <row r="8063" spans="1:8" x14ac:dyDescent="0.2">
      <c r="A8063" t="str">
        <f t="shared" si="2942"/>
        <v>0615032640</v>
      </c>
      <c r="B8063" t="str">
        <f t="shared" si="2943"/>
        <v>DICOLA</v>
      </c>
      <c r="C8063" t="str">
        <f t="shared" si="2938"/>
        <v>JAMES</v>
      </c>
      <c r="D8063">
        <f>11</f>
        <v>11</v>
      </c>
      <c r="E8063" t="str">
        <f>"07 - B - 105 - Josiah I Lacy"</f>
        <v>07 - B - 105 - Josiah I Lacy</v>
      </c>
      <c r="F8063" t="str">
        <f>"ANAT PHYSIO HON"</f>
        <v>ANAT PHYSIO HON</v>
      </c>
      <c r="G8063" t="str">
        <f>"08-801"</f>
        <v>08-801</v>
      </c>
      <c r="H8063" t="str">
        <f>"B"</f>
        <v>B</v>
      </c>
    </row>
    <row r="8064" spans="1:8" x14ac:dyDescent="0.2">
      <c r="A8064" t="str">
        <f t="shared" si="2942"/>
        <v>0615032640</v>
      </c>
      <c r="B8064" t="str">
        <f t="shared" si="2943"/>
        <v>DICOLA</v>
      </c>
      <c r="C8064" t="str">
        <f t="shared" si="2938"/>
        <v>JAMES</v>
      </c>
      <c r="D8064">
        <f>11</f>
        <v>11</v>
      </c>
      <c r="E8064" t="str">
        <f>"05 - B - 001 - Kyle  Robbins"</f>
        <v>05 - B - 001 - Kyle  Robbins</v>
      </c>
      <c r="F8064" t="str">
        <f>"US HISTORY HON"</f>
        <v>US HISTORY HON</v>
      </c>
      <c r="G8064" t="str">
        <f>"17-1745"</f>
        <v>17-1745</v>
      </c>
      <c r="H8064" t="str">
        <f>"B"</f>
        <v>B</v>
      </c>
    </row>
    <row r="8065" spans="1:8" x14ac:dyDescent="0.2">
      <c r="A8065" t="str">
        <f t="shared" si="2942"/>
        <v>0615032640</v>
      </c>
      <c r="B8065" t="str">
        <f t="shared" si="2943"/>
        <v>DICOLA</v>
      </c>
      <c r="C8065" t="str">
        <f t="shared" si="2938"/>
        <v>JAMES</v>
      </c>
      <c r="D8065">
        <f>11</f>
        <v>11</v>
      </c>
      <c r="E8065" t="str">
        <f>"01 - A - 103 - Scott A Dethloff"</f>
        <v>01 - A - 103 - Scott A Dethloff</v>
      </c>
      <c r="F8065" t="str">
        <f>"AICE THINK SKLS 1 AS"</f>
        <v>AICE THINK SKLS 1 AS</v>
      </c>
      <c r="G8065" t="str">
        <f>"08-812"</f>
        <v>08-812</v>
      </c>
      <c r="H8065" t="str">
        <f>"A"</f>
        <v>A</v>
      </c>
    </row>
    <row r="8066" spans="1:8" x14ac:dyDescent="0.2">
      <c r="A8066" t="str">
        <f t="shared" si="2942"/>
        <v>0615032640</v>
      </c>
      <c r="B8066" t="str">
        <f t="shared" si="2943"/>
        <v>DICOLA</v>
      </c>
      <c r="C8066" t="str">
        <f t="shared" si="2938"/>
        <v>JAMES</v>
      </c>
      <c r="D8066">
        <f>11</f>
        <v>11</v>
      </c>
      <c r="E8066" t="str">
        <f>"08 - B - 102 - Pamela M Corzo"</f>
        <v>08 - B - 102 - Pamela M Corzo</v>
      </c>
      <c r="F8066" t="str">
        <f>"AP STAT"</f>
        <v>AP STAT</v>
      </c>
      <c r="G8066" t="str">
        <f>"21-2133"</f>
        <v>21-2133</v>
      </c>
      <c r="H8066" t="str">
        <f>"B"</f>
        <v>B</v>
      </c>
    </row>
    <row r="8067" spans="1:8" x14ac:dyDescent="0.2">
      <c r="A8067" t="str">
        <f t="shared" ref="A8067:A8075" si="2944">"0619122920"</f>
        <v>0619122920</v>
      </c>
      <c r="B8067" t="str">
        <f t="shared" ref="B8067:B8075" si="2945">"ALEJANDRA"</f>
        <v>ALEJANDRA</v>
      </c>
      <c r="C8067" t="str">
        <f t="shared" ref="C8067:C8075" si="2946">"JANEIRO"</f>
        <v>JANEIRO</v>
      </c>
      <c r="D8067">
        <f>12</f>
        <v>12</v>
      </c>
      <c r="E8067" t="str">
        <f>"04 - A - 102 - Daniel S Katz"</f>
        <v>04 - A - 102 - Daniel S Katz</v>
      </c>
      <c r="F8067" t="str">
        <f>"AICE DRAMA 1 AS LEV"</f>
        <v>AICE DRAMA 1 AS LEV</v>
      </c>
      <c r="G8067" t="str">
        <f>"05-521"</f>
        <v>05-521</v>
      </c>
      <c r="H8067" t="str">
        <f>"A"</f>
        <v>A</v>
      </c>
    </row>
    <row r="8068" spans="1:8" x14ac:dyDescent="0.2">
      <c r="A8068" t="str">
        <f t="shared" si="2944"/>
        <v>0619122920</v>
      </c>
      <c r="B8068" t="str">
        <f t="shared" si="2945"/>
        <v>ALEJANDRA</v>
      </c>
      <c r="C8068" t="str">
        <f t="shared" si="2946"/>
        <v>JANEIRO</v>
      </c>
      <c r="D8068">
        <f>12</f>
        <v>12</v>
      </c>
      <c r="E8068" t="str">
        <f>"06 - B - 110 - Barbara L Segal"</f>
        <v>06 - B - 110 - Barbara L Segal</v>
      </c>
      <c r="F8068" t="str">
        <f>"NC STUDY HALL 1"</f>
        <v>NC STUDY HALL 1</v>
      </c>
      <c r="G8068" t="str">
        <f>"17-1742"</f>
        <v>17-1742</v>
      </c>
      <c r="H8068" t="str">
        <f>"B"</f>
        <v>B</v>
      </c>
    </row>
    <row r="8069" spans="1:8" x14ac:dyDescent="0.2">
      <c r="A8069" t="str">
        <f t="shared" si="2944"/>
        <v>0619122920</v>
      </c>
      <c r="B8069" t="str">
        <f t="shared" si="2945"/>
        <v>ALEJANDRA</v>
      </c>
      <c r="C8069" t="str">
        <f t="shared" si="2946"/>
        <v>JANEIRO</v>
      </c>
      <c r="D8069">
        <f>12</f>
        <v>12</v>
      </c>
      <c r="E8069" t="str">
        <f>"06 - B - 116 - Karen A Toomer"</f>
        <v>06 - B - 116 - Karen A Toomer</v>
      </c>
      <c r="F8069" t="str">
        <f>"LANG THERAPY"</f>
        <v>LANG THERAPY</v>
      </c>
      <c r="G8069" t="str">
        <f>"21-2110"</f>
        <v>21-2110</v>
      </c>
      <c r="H8069" t="str">
        <f>"B"</f>
        <v>B</v>
      </c>
    </row>
    <row r="8070" spans="1:8" x14ac:dyDescent="0.2">
      <c r="A8070" t="str">
        <f t="shared" si="2944"/>
        <v>0619122920</v>
      </c>
      <c r="B8070" t="str">
        <f t="shared" si="2945"/>
        <v>ALEJANDRA</v>
      </c>
      <c r="C8070" t="str">
        <f t="shared" si="2946"/>
        <v>JANEIRO</v>
      </c>
      <c r="D8070">
        <f>12</f>
        <v>12</v>
      </c>
      <c r="E8070" t="str">
        <f>"03 - A - 102 - Cliffon  Saurel"</f>
        <v>03 - A - 102 - Cliffon  Saurel</v>
      </c>
      <c r="F8070" t="str">
        <f>"PHYSICAL SCI"</f>
        <v>PHYSICAL SCI</v>
      </c>
      <c r="G8070" t="str">
        <f>"05-522"</f>
        <v>05-522</v>
      </c>
      <c r="H8070" t="str">
        <f>"A"</f>
        <v>A</v>
      </c>
    </row>
    <row r="8071" spans="1:8" x14ac:dyDescent="0.2">
      <c r="A8071" t="str">
        <f t="shared" si="2944"/>
        <v>0619122920</v>
      </c>
      <c r="B8071" t="str">
        <f t="shared" si="2945"/>
        <v>ALEJANDRA</v>
      </c>
      <c r="C8071" t="str">
        <f t="shared" si="2946"/>
        <v>JANEIRO</v>
      </c>
      <c r="D8071">
        <f>12</f>
        <v>12</v>
      </c>
      <c r="E8071" t="str">
        <f>"02 - A - 101 - Robert H Rindner"</f>
        <v>02 - A - 101 - Robert H Rindner</v>
      </c>
      <c r="F8071" t="str">
        <f>"MATH DATA&amp;FIN LIT H"</f>
        <v>MATH DATA&amp;FIN LIT H</v>
      </c>
      <c r="G8071" t="str">
        <f>"21-2160"</f>
        <v>21-2160</v>
      </c>
      <c r="H8071" t="str">
        <f>"A"</f>
        <v>A</v>
      </c>
    </row>
    <row r="8072" spans="1:8" x14ac:dyDescent="0.2">
      <c r="A8072" t="str">
        <f t="shared" si="2944"/>
        <v>0619122920</v>
      </c>
      <c r="B8072" t="str">
        <f t="shared" si="2945"/>
        <v>ALEJANDRA</v>
      </c>
      <c r="C8072" t="str">
        <f t="shared" si="2946"/>
        <v>JANEIRO</v>
      </c>
      <c r="D8072">
        <f>12</f>
        <v>12</v>
      </c>
      <c r="E8072" t="str">
        <f>"07 - S1 - B - 103 - Leslie J Barton"</f>
        <v>07 - S1 - B - 103 - Leslie J Barton</v>
      </c>
      <c r="F8072" t="str">
        <f>"TEAM SPORTS 1"</f>
        <v>TEAM SPORTS 1</v>
      </c>
      <c r="G8072" t="str">
        <f>"04-254"</f>
        <v>04-254</v>
      </c>
      <c r="H8072" t="str">
        <f>"B"</f>
        <v>B</v>
      </c>
    </row>
    <row r="8073" spans="1:8" x14ac:dyDescent="0.2">
      <c r="A8073" t="str">
        <f t="shared" si="2944"/>
        <v>0619122920</v>
      </c>
      <c r="B8073" t="str">
        <f t="shared" si="2945"/>
        <v>ALEJANDRA</v>
      </c>
      <c r="C8073" t="str">
        <f t="shared" si="2946"/>
        <v>JANEIRO</v>
      </c>
      <c r="D8073">
        <f>12</f>
        <v>12</v>
      </c>
      <c r="E8073" t="str">
        <f>"05 - S1 - B - 102 - Barbara L Segal"</f>
        <v>05 - S1 - B - 102 - Barbara L Segal</v>
      </c>
      <c r="F8073" t="str">
        <f>"US GOVT HON"</f>
        <v>US GOVT HON</v>
      </c>
      <c r="G8073" t="str">
        <f>"17-1742"</f>
        <v>17-1742</v>
      </c>
      <c r="H8073" t="str">
        <f>"B"</f>
        <v>B</v>
      </c>
    </row>
    <row r="8074" spans="1:8" x14ac:dyDescent="0.2">
      <c r="A8074" t="str">
        <f t="shared" si="2944"/>
        <v>0619122920</v>
      </c>
      <c r="B8074" t="str">
        <f t="shared" si="2945"/>
        <v>ALEJANDRA</v>
      </c>
      <c r="C8074" t="str">
        <f t="shared" si="2946"/>
        <v>JANEIRO</v>
      </c>
      <c r="D8074">
        <f>12</f>
        <v>12</v>
      </c>
      <c r="E8074" t="str">
        <f>"01 - A - 103 - Jeffrey S Gallagher"</f>
        <v>01 - A - 103 - Jeffrey S Gallagher</v>
      </c>
      <c r="F8074" t="str">
        <f>"ENG HON 4"</f>
        <v>ENG HON 4</v>
      </c>
      <c r="G8074" t="str">
        <f>"17-1724"</f>
        <v>17-1724</v>
      </c>
      <c r="H8074" t="str">
        <f>"A"</f>
        <v>A</v>
      </c>
    </row>
    <row r="8075" spans="1:8" x14ac:dyDescent="0.2">
      <c r="A8075" t="str">
        <f t="shared" si="2944"/>
        <v>0619122920</v>
      </c>
      <c r="B8075" t="str">
        <f t="shared" si="2945"/>
        <v>ALEJANDRA</v>
      </c>
      <c r="C8075" t="str">
        <f t="shared" si="2946"/>
        <v>JANEIRO</v>
      </c>
      <c r="D8075">
        <f>12</f>
        <v>12</v>
      </c>
      <c r="E8075" t="str">
        <f>"08 - B - 101 - Marius D Orsolini"</f>
        <v>08 - B - 101 - Marius D Orsolini</v>
      </c>
      <c r="F8075" t="str">
        <f>"CULINARY ARTS 2"</f>
        <v>CULINARY ARTS 2</v>
      </c>
      <c r="G8075" t="str">
        <f>"21-2115"</f>
        <v>21-2115</v>
      </c>
      <c r="H8075" t="str">
        <f>"B"</f>
        <v>B</v>
      </c>
    </row>
    <row r="8076" spans="1:8" x14ac:dyDescent="0.2">
      <c r="A8076" t="str">
        <f t="shared" ref="A8076:A8083" si="2947">"0617000384"</f>
        <v>0617000384</v>
      </c>
      <c r="B8076" t="str">
        <f t="shared" ref="B8076:B8083" si="2948">"YASMINA"</f>
        <v>YASMINA</v>
      </c>
      <c r="C8076" t="str">
        <f t="shared" ref="C8076:C8083" si="2949">"JANNAN"</f>
        <v>JANNAN</v>
      </c>
      <c r="D8076" t="str">
        <f t="shared" ref="D8076:D8083" si="2950">"09"</f>
        <v>09</v>
      </c>
      <c r="E8076" t="str">
        <f>"04 - A - 102 - Elizabeth R Walker"</f>
        <v>04 - A - 102 - Elizabeth R Walker</v>
      </c>
      <c r="F8076" t="str">
        <f>"AICE ENG GEN PAPER 1"</f>
        <v>AICE ENG GEN PAPER 1</v>
      </c>
      <c r="G8076" t="str">
        <f>"17-1703"</f>
        <v>17-1703</v>
      </c>
      <c r="H8076" t="str">
        <f>"A"</f>
        <v>A</v>
      </c>
    </row>
    <row r="8077" spans="1:8" x14ac:dyDescent="0.2">
      <c r="A8077" t="str">
        <f t="shared" si="2947"/>
        <v>0617000384</v>
      </c>
      <c r="B8077" t="str">
        <f t="shared" si="2948"/>
        <v>YASMINA</v>
      </c>
      <c r="C8077" t="str">
        <f t="shared" si="2949"/>
        <v>JANNAN</v>
      </c>
      <c r="D8077" t="str">
        <f t="shared" si="2950"/>
        <v>09</v>
      </c>
      <c r="E8077" t="str">
        <f>"06 - B - 110 - Krystal Marie  Beruty"</f>
        <v>06 - B - 110 - Krystal Marie  Beruty</v>
      </c>
      <c r="F8077" t="str">
        <f>"AICE GLBL PERSP 1 AS"</f>
        <v>AICE GLBL PERSP 1 AS</v>
      </c>
      <c r="G8077" t="str">
        <f>"17-1721"</f>
        <v>17-1721</v>
      </c>
      <c r="H8077" t="str">
        <f>"B"</f>
        <v>B</v>
      </c>
    </row>
    <row r="8078" spans="1:8" x14ac:dyDescent="0.2">
      <c r="A8078" t="str">
        <f t="shared" si="2947"/>
        <v>0617000384</v>
      </c>
      <c r="B8078" t="str">
        <f t="shared" si="2948"/>
        <v>YASMINA</v>
      </c>
      <c r="C8078" t="str">
        <f t="shared" si="2949"/>
        <v>JANNAN</v>
      </c>
      <c r="D8078" t="str">
        <f t="shared" si="2950"/>
        <v>09</v>
      </c>
      <c r="E8078" t="str">
        <f>"03 - A - 202 - Cheryl L Beach"</f>
        <v>03 - A - 202 - Cheryl L Beach</v>
      </c>
      <c r="F8078" t="str">
        <f>"AICE ENV MGMNT AS"</f>
        <v>AICE ENV MGMNT AS</v>
      </c>
      <c r="G8078" t="str">
        <f>"08-811"</f>
        <v>08-811</v>
      </c>
      <c r="H8078" t="str">
        <f>"A"</f>
        <v>A</v>
      </c>
    </row>
    <row r="8079" spans="1:8" x14ac:dyDescent="0.2">
      <c r="A8079" t="str">
        <f t="shared" si="2947"/>
        <v>0617000384</v>
      </c>
      <c r="B8079" t="str">
        <f t="shared" si="2948"/>
        <v>YASMINA</v>
      </c>
      <c r="C8079" t="str">
        <f t="shared" si="2949"/>
        <v>JANNAN</v>
      </c>
      <c r="D8079" t="str">
        <f t="shared" si="2950"/>
        <v>09</v>
      </c>
      <c r="E8079" t="str">
        <f>"02 - A - 115 - Lourivaldo  Da Silva"</f>
        <v>02 - A - 115 - Lourivaldo  Da Silva</v>
      </c>
      <c r="F8079" t="str">
        <f>"NC STUDY HALL 1"</f>
        <v>NC STUDY HALL 1</v>
      </c>
      <c r="G8079" t="str">
        <f>"20-2079"</f>
        <v>20-2079</v>
      </c>
      <c r="H8079" t="str">
        <f>"A"</f>
        <v>A</v>
      </c>
    </row>
    <row r="8080" spans="1:8" x14ac:dyDescent="0.2">
      <c r="A8080" t="str">
        <f t="shared" si="2947"/>
        <v>0617000384</v>
      </c>
      <c r="B8080" t="str">
        <f t="shared" si="2948"/>
        <v>YASMINA</v>
      </c>
      <c r="C8080" t="str">
        <f t="shared" si="2949"/>
        <v>JANNAN</v>
      </c>
      <c r="D8080" t="str">
        <f t="shared" si="2950"/>
        <v>09</v>
      </c>
      <c r="E8080" t="str">
        <f>"07 - B - 103 - Vanessa J Liburd"</f>
        <v>07 - B - 103 - Vanessa J Liburd</v>
      </c>
      <c r="F8080" t="str">
        <f>"PRE-AICE FRENCH 1 IG"</f>
        <v>PRE-AICE FRENCH 1 IG</v>
      </c>
      <c r="G8080" t="str">
        <f>"05-519"</f>
        <v>05-519</v>
      </c>
      <c r="H8080" t="str">
        <f>"B"</f>
        <v>B</v>
      </c>
    </row>
    <row r="8081" spans="1:8" x14ac:dyDescent="0.2">
      <c r="A8081" t="str">
        <f t="shared" si="2947"/>
        <v>0617000384</v>
      </c>
      <c r="B8081" t="str">
        <f t="shared" si="2948"/>
        <v>YASMINA</v>
      </c>
      <c r="C8081" t="str">
        <f t="shared" si="2949"/>
        <v>JANNAN</v>
      </c>
      <c r="D8081" t="str">
        <f t="shared" si="2950"/>
        <v>09</v>
      </c>
      <c r="E8081" t="str">
        <f>"05 - B - 201 - Lisa J London"</f>
        <v>05 - B - 201 - Lisa J London</v>
      </c>
      <c r="F8081" t="str">
        <f>"COMPRE LAW HON"</f>
        <v>COMPRE LAW HON</v>
      </c>
      <c r="G8081" t="str">
        <f>"17-1714"</f>
        <v>17-1714</v>
      </c>
      <c r="H8081" t="str">
        <f>"B"</f>
        <v>B</v>
      </c>
    </row>
    <row r="8082" spans="1:8" x14ac:dyDescent="0.2">
      <c r="A8082" t="str">
        <f t="shared" si="2947"/>
        <v>0617000384</v>
      </c>
      <c r="B8082" t="str">
        <f t="shared" si="2948"/>
        <v>YASMINA</v>
      </c>
      <c r="C8082" t="str">
        <f t="shared" si="2949"/>
        <v>JANNAN</v>
      </c>
      <c r="D8082" t="str">
        <f t="shared" si="2950"/>
        <v>09</v>
      </c>
      <c r="E8082" t="str">
        <f>"01 - A - 101 - Arthur  Kulawik"</f>
        <v>01 - A - 101 - Arthur  Kulawik</v>
      </c>
      <c r="F8082" t="str">
        <f>"DEBATE 1 LH"</f>
        <v>DEBATE 1 LH</v>
      </c>
      <c r="G8082" t="str">
        <f>"05-506"</f>
        <v>05-506</v>
      </c>
      <c r="H8082" t="str">
        <f>"A"</f>
        <v>A</v>
      </c>
    </row>
    <row r="8083" spans="1:8" x14ac:dyDescent="0.2">
      <c r="A8083" t="str">
        <f t="shared" si="2947"/>
        <v>0617000384</v>
      </c>
      <c r="B8083" t="str">
        <f t="shared" si="2948"/>
        <v>YASMINA</v>
      </c>
      <c r="C8083" t="str">
        <f t="shared" si="2949"/>
        <v>JANNAN</v>
      </c>
      <c r="D8083" t="str">
        <f t="shared" si="2950"/>
        <v>09</v>
      </c>
      <c r="E8083" t="str">
        <f>"08 - B - 107 - Brook E Goren"</f>
        <v>08 - B - 107 - Brook E Goren</v>
      </c>
      <c r="F8083" t="str">
        <f>"GEOMETRY"</f>
        <v>GEOMETRY</v>
      </c>
      <c r="G8083" t="str">
        <f>"21-2158"</f>
        <v>21-2158</v>
      </c>
      <c r="H8083" t="str">
        <f>"B"</f>
        <v>B</v>
      </c>
    </row>
    <row r="8084" spans="1:8" x14ac:dyDescent="0.2">
      <c r="A8084" t="str">
        <f t="shared" ref="A8084:A8091" si="2951">"0618105484"</f>
        <v>0618105484</v>
      </c>
      <c r="B8084" t="str">
        <f t="shared" ref="B8084:B8091" si="2952">"LUCAS"</f>
        <v>LUCAS</v>
      </c>
      <c r="C8084" t="str">
        <f t="shared" ref="C8084:C8091" si="2953">"JARAMILLO"</f>
        <v>JARAMILLO</v>
      </c>
      <c r="D8084">
        <f>10</f>
        <v>10</v>
      </c>
      <c r="E8084" t="str">
        <f>"04 - A - 101 - Brian M Fitzgerald"</f>
        <v>04 - A - 101 - Brian M Fitzgerald</v>
      </c>
      <c r="F8084" t="str">
        <f>"DRAW 2"</f>
        <v>DRAW 2</v>
      </c>
      <c r="G8084" t="str">
        <f>"09-908"</f>
        <v>09-908</v>
      </c>
      <c r="H8084" t="str">
        <f>"A"</f>
        <v>A</v>
      </c>
    </row>
    <row r="8085" spans="1:8" x14ac:dyDescent="0.2">
      <c r="A8085" t="str">
        <f t="shared" si="2951"/>
        <v>0618105484</v>
      </c>
      <c r="B8085" t="str">
        <f t="shared" si="2952"/>
        <v>LUCAS</v>
      </c>
      <c r="C8085" t="str">
        <f t="shared" si="2953"/>
        <v>JARAMILLO</v>
      </c>
      <c r="D8085">
        <f>10</f>
        <v>10</v>
      </c>
      <c r="E8085" t="str">
        <f>"06 - B - 114 - Richard E Dunbar Iii"</f>
        <v>06 - B - 114 - Richard E Dunbar Iii</v>
      </c>
      <c r="F8085" t="str">
        <f>"NC STUDY HALL 1"</f>
        <v>NC STUDY HALL 1</v>
      </c>
      <c r="G8085" t="str">
        <f>"17-1703"</f>
        <v>17-1703</v>
      </c>
      <c r="H8085" t="str">
        <f>"B"</f>
        <v>B</v>
      </c>
    </row>
    <row r="8086" spans="1:8" x14ac:dyDescent="0.2">
      <c r="A8086" t="str">
        <f t="shared" si="2951"/>
        <v>0618105484</v>
      </c>
      <c r="B8086" t="str">
        <f t="shared" si="2952"/>
        <v>LUCAS</v>
      </c>
      <c r="C8086" t="str">
        <f t="shared" si="2953"/>
        <v>JARAMILLO</v>
      </c>
      <c r="D8086">
        <f>10</f>
        <v>10</v>
      </c>
      <c r="E8086" t="str">
        <f>"03 - A - 103 - Courtney E Hambright"</f>
        <v>03 - A - 103 - Courtney E Hambright</v>
      </c>
      <c r="F8086" t="str">
        <f>"AICE ENG LANG AS"</f>
        <v>AICE ENG LANG AS</v>
      </c>
      <c r="G8086" t="str">
        <f>"17-1711"</f>
        <v>17-1711</v>
      </c>
      <c r="H8086" t="str">
        <f>"A"</f>
        <v>A</v>
      </c>
    </row>
    <row r="8087" spans="1:8" x14ac:dyDescent="0.2">
      <c r="A8087" t="str">
        <f t="shared" si="2951"/>
        <v>0618105484</v>
      </c>
      <c r="B8087" t="str">
        <f t="shared" si="2952"/>
        <v>LUCAS</v>
      </c>
      <c r="C8087" t="str">
        <f t="shared" si="2953"/>
        <v>JARAMILLO</v>
      </c>
      <c r="D8087">
        <f>10</f>
        <v>10</v>
      </c>
      <c r="E8087" t="str">
        <f>"02 - A - 103 - Lenecy  Nodarse"</f>
        <v>02 - A - 103 - Lenecy  Nodarse</v>
      </c>
      <c r="F8087" t="str">
        <f>"AICE EURO HIST 1 AS"</f>
        <v>AICE EURO HIST 1 AS</v>
      </c>
      <c r="G8087" t="str">
        <f>"17-1741"</f>
        <v>17-1741</v>
      </c>
      <c r="H8087" t="str">
        <f>"A"</f>
        <v>A</v>
      </c>
    </row>
    <row r="8088" spans="1:8" x14ac:dyDescent="0.2">
      <c r="A8088" t="str">
        <f t="shared" si="2951"/>
        <v>0618105484</v>
      </c>
      <c r="B8088" t="str">
        <f t="shared" si="2952"/>
        <v>LUCAS</v>
      </c>
      <c r="C8088" t="str">
        <f t="shared" si="2953"/>
        <v>JARAMILLO</v>
      </c>
      <c r="D8088">
        <f>10</f>
        <v>10</v>
      </c>
      <c r="E8088" t="str">
        <f>"07 - B - 102 - Lourivaldo  Da Silva"</f>
        <v>07 - B - 102 - Lourivaldo  Da Silva</v>
      </c>
      <c r="F8088" t="str">
        <f>"ALGEBRA 2 HON"</f>
        <v>ALGEBRA 2 HON</v>
      </c>
      <c r="G8088" t="str">
        <f>"20-2079"</f>
        <v>20-2079</v>
      </c>
      <c r="H8088" t="str">
        <f>"B"</f>
        <v>B</v>
      </c>
    </row>
    <row r="8089" spans="1:8" x14ac:dyDescent="0.2">
      <c r="A8089" t="str">
        <f t="shared" si="2951"/>
        <v>0618105484</v>
      </c>
      <c r="B8089" t="str">
        <f t="shared" si="2952"/>
        <v>LUCAS</v>
      </c>
      <c r="C8089" t="str">
        <f t="shared" si="2953"/>
        <v>JARAMILLO</v>
      </c>
      <c r="D8089">
        <f>10</f>
        <v>10</v>
      </c>
      <c r="E8089" t="str">
        <f>"05 - B - 203 - Chrystina M Marchionne"</f>
        <v>05 - B - 203 - Chrystina M Marchionne</v>
      </c>
      <c r="F8089" t="str">
        <f>"AICE MEDIASTUDIES AS"</f>
        <v>AICE MEDIASTUDIES AS</v>
      </c>
      <c r="G8089" t="str">
        <f>"05-520"</f>
        <v>05-520</v>
      </c>
      <c r="H8089" t="str">
        <f>"B"</f>
        <v>B</v>
      </c>
    </row>
    <row r="8090" spans="1:8" x14ac:dyDescent="0.2">
      <c r="A8090" t="str">
        <f t="shared" si="2951"/>
        <v>0618105484</v>
      </c>
      <c r="B8090" t="str">
        <f t="shared" si="2952"/>
        <v>LUCAS</v>
      </c>
      <c r="C8090" t="str">
        <f t="shared" si="2953"/>
        <v>JARAMILLO</v>
      </c>
      <c r="D8090">
        <f>10</f>
        <v>10</v>
      </c>
      <c r="E8090" t="str">
        <f>"01 - A - 107 - Valerie J Ruwe"</f>
        <v>01 - A - 107 - Valerie J Ruwe</v>
      </c>
      <c r="F8090" t="str">
        <f>"CHEMISTRY 1 HON"</f>
        <v>CHEMISTRY 1 HON</v>
      </c>
      <c r="G8090" t="str">
        <f>"21-2134"</f>
        <v>21-2134</v>
      </c>
      <c r="H8090" t="str">
        <f>"A"</f>
        <v>A</v>
      </c>
    </row>
    <row r="8091" spans="1:8" x14ac:dyDescent="0.2">
      <c r="A8091" t="str">
        <f t="shared" si="2951"/>
        <v>0618105484</v>
      </c>
      <c r="B8091" t="str">
        <f t="shared" si="2952"/>
        <v>LUCAS</v>
      </c>
      <c r="C8091" t="str">
        <f t="shared" si="2953"/>
        <v>JARAMILLO</v>
      </c>
      <c r="D8091">
        <f>10</f>
        <v>10</v>
      </c>
      <c r="E8091" t="str">
        <f>"08 - B - 202 - Krystal Marie  Beruty"</f>
        <v>08 - B - 202 - Krystal Marie  Beruty</v>
      </c>
      <c r="F8091" t="str">
        <f>"AICE PSYCH 1 AS"</f>
        <v>AICE PSYCH 1 AS</v>
      </c>
      <c r="G8091" t="str">
        <f>"17-1721"</f>
        <v>17-1721</v>
      </c>
      <c r="H8091" t="str">
        <f>"B"</f>
        <v>B</v>
      </c>
    </row>
    <row r="8092" spans="1:8" x14ac:dyDescent="0.2">
      <c r="A8092" t="str">
        <f t="shared" ref="A8092:A8099" si="2954">"0625028723"</f>
        <v>0625028723</v>
      </c>
      <c r="B8092" t="str">
        <f t="shared" ref="B8092:B8099" si="2955">"ALEJANDRA"</f>
        <v>ALEJANDRA</v>
      </c>
      <c r="C8092" t="str">
        <f t="shared" ref="C8092:C8099" si="2956">"JARAMILLO ROPAIN"</f>
        <v>JARAMILLO ROPAIN</v>
      </c>
      <c r="D8092" t="str">
        <f t="shared" ref="D8092:D8099" si="2957">"09"</f>
        <v>09</v>
      </c>
      <c r="E8092" t="str">
        <f>"04 - A - 104 - Helen A Flores"</f>
        <v>04 - A - 104 - Helen A Flores</v>
      </c>
      <c r="F8092" t="str">
        <f>"FDN SKLS MATH 9-12"</f>
        <v>FDN SKLS MATH 9-12</v>
      </c>
      <c r="G8092" t="str">
        <f>"21-2101"</f>
        <v>21-2101</v>
      </c>
      <c r="H8092" t="str">
        <f>"A"</f>
        <v>A</v>
      </c>
    </row>
    <row r="8093" spans="1:8" x14ac:dyDescent="0.2">
      <c r="A8093" t="str">
        <f t="shared" si="2954"/>
        <v>0625028723</v>
      </c>
      <c r="B8093" t="str">
        <f t="shared" si="2955"/>
        <v>ALEJANDRA</v>
      </c>
      <c r="C8093" t="str">
        <f t="shared" si="2956"/>
        <v>JARAMILLO ROPAIN</v>
      </c>
      <c r="D8093" t="str">
        <f t="shared" si="2957"/>
        <v>09</v>
      </c>
      <c r="E8093" t="str">
        <f>"06 - B - 104 - Laselleda D Shaw"</f>
        <v>06 - B - 104 - Laselleda D Shaw</v>
      </c>
      <c r="F8093" t="str">
        <f>"INTENS READ 1"</f>
        <v>INTENS READ 1</v>
      </c>
      <c r="G8093" t="str">
        <f>"17-1723"</f>
        <v>17-1723</v>
      </c>
      <c r="H8093" t="str">
        <f>"B"</f>
        <v>B</v>
      </c>
    </row>
    <row r="8094" spans="1:8" x14ac:dyDescent="0.2">
      <c r="A8094" t="str">
        <f t="shared" si="2954"/>
        <v>0625028723</v>
      </c>
      <c r="B8094" t="str">
        <f t="shared" si="2955"/>
        <v>ALEJANDRA</v>
      </c>
      <c r="C8094" t="str">
        <f t="shared" si="2956"/>
        <v>JARAMILLO ROPAIN</v>
      </c>
      <c r="D8094" t="str">
        <f t="shared" si="2957"/>
        <v>09</v>
      </c>
      <c r="E8094" t="str">
        <f>"03 - A - 105 - Cheryl Anne  Berman-Schechter"</f>
        <v>03 - A - 105 - Cheryl Anne  Berman-Schechter</v>
      </c>
      <c r="F8094" t="str">
        <f>"ENG 1"</f>
        <v>ENG 1</v>
      </c>
      <c r="G8094" t="str">
        <f>"17-1722"</f>
        <v>17-1722</v>
      </c>
      <c r="H8094" t="str">
        <f>"A"</f>
        <v>A</v>
      </c>
    </row>
    <row r="8095" spans="1:8" x14ac:dyDescent="0.2">
      <c r="A8095" t="str">
        <f t="shared" si="2954"/>
        <v>0625028723</v>
      </c>
      <c r="B8095" t="str">
        <f t="shared" si="2955"/>
        <v>ALEJANDRA</v>
      </c>
      <c r="C8095" t="str">
        <f t="shared" si="2956"/>
        <v>JARAMILLO ROPAIN</v>
      </c>
      <c r="D8095" t="str">
        <f t="shared" si="2957"/>
        <v>09</v>
      </c>
      <c r="E8095" t="str">
        <f>"02 - A - 102 - Fernando  Vega-Cid"</f>
        <v>02 - A - 102 - Fernando  Vega-Cid</v>
      </c>
      <c r="F8095" t="str">
        <f>"NC STUDY HALL 1"</f>
        <v>NC STUDY HALL 1</v>
      </c>
      <c r="G8095" t="str">
        <f>"21-2163"</f>
        <v>21-2163</v>
      </c>
      <c r="H8095" t="str">
        <f>"A"</f>
        <v>A</v>
      </c>
    </row>
    <row r="8096" spans="1:8" x14ac:dyDescent="0.2">
      <c r="A8096" t="str">
        <f t="shared" si="2954"/>
        <v>0625028723</v>
      </c>
      <c r="B8096" t="str">
        <f t="shared" si="2955"/>
        <v>ALEJANDRA</v>
      </c>
      <c r="C8096" t="str">
        <f t="shared" si="2956"/>
        <v>JARAMILLO ROPAIN</v>
      </c>
      <c r="D8096" t="str">
        <f t="shared" si="2957"/>
        <v>09</v>
      </c>
      <c r="E8096" t="str">
        <f>"07 - B - 003 - Samantha J Headley"</f>
        <v>07 - B - 003 - Samantha J Headley</v>
      </c>
      <c r="F8096" t="str">
        <f>"ENV SCI"</f>
        <v>ENV SCI</v>
      </c>
      <c r="G8096" t="str">
        <f>"08-802"</f>
        <v>08-802</v>
      </c>
      <c r="H8096" t="str">
        <f>"B"</f>
        <v>B</v>
      </c>
    </row>
    <row r="8097" spans="1:8" x14ac:dyDescent="0.2">
      <c r="A8097" t="str">
        <f t="shared" si="2954"/>
        <v>0625028723</v>
      </c>
      <c r="B8097" t="str">
        <f t="shared" si="2955"/>
        <v>ALEJANDRA</v>
      </c>
      <c r="C8097" t="str">
        <f t="shared" si="2956"/>
        <v>JARAMILLO ROPAIN</v>
      </c>
      <c r="D8097" t="str">
        <f t="shared" si="2957"/>
        <v>09</v>
      </c>
      <c r="E8097" t="str">
        <f>"05 - B - 102 - Vanessa J Pena"</f>
        <v>05 - B - 102 - Vanessa J Pena</v>
      </c>
      <c r="F8097" t="str">
        <f>"DEV LANG ARTS ESOL-R"</f>
        <v>DEV LANG ARTS ESOL-R</v>
      </c>
      <c r="G8097" t="str">
        <f>"09-926"</f>
        <v>09-926</v>
      </c>
      <c r="H8097" t="str">
        <f>"B"</f>
        <v>B</v>
      </c>
    </row>
    <row r="8098" spans="1:8" x14ac:dyDescent="0.2">
      <c r="A8098" t="str">
        <f t="shared" si="2954"/>
        <v>0625028723</v>
      </c>
      <c r="B8098" t="str">
        <f t="shared" si="2955"/>
        <v>ALEJANDRA</v>
      </c>
      <c r="C8098" t="str">
        <f t="shared" si="2956"/>
        <v>JARAMILLO ROPAIN</v>
      </c>
      <c r="D8098" t="str">
        <f t="shared" si="2957"/>
        <v>09</v>
      </c>
      <c r="E8098" t="str">
        <f>"01 - A - 107 - Jazmin S Fletcher"</f>
        <v>01 - A - 107 - Jazmin S Fletcher</v>
      </c>
      <c r="F8098" t="str">
        <f>"WORLD HISTORY"</f>
        <v>WORLD HISTORY</v>
      </c>
      <c r="G8098" t="str">
        <f>"09-909"</f>
        <v>09-909</v>
      </c>
      <c r="H8098" t="str">
        <f>"A"</f>
        <v>A</v>
      </c>
    </row>
    <row r="8099" spans="1:8" x14ac:dyDescent="0.2">
      <c r="A8099" t="str">
        <f t="shared" si="2954"/>
        <v>0625028723</v>
      </c>
      <c r="B8099" t="str">
        <f t="shared" si="2955"/>
        <v>ALEJANDRA</v>
      </c>
      <c r="C8099" t="str">
        <f t="shared" si="2956"/>
        <v>JARAMILLO ROPAIN</v>
      </c>
      <c r="D8099" t="str">
        <f t="shared" si="2957"/>
        <v>09</v>
      </c>
      <c r="E8099" t="str">
        <f>"08 - B - 106 - Helen A Flores"</f>
        <v>08 - B - 106 - Helen A Flores</v>
      </c>
      <c r="F8099" t="str">
        <f>"ALGEBRA 1"</f>
        <v>ALGEBRA 1</v>
      </c>
      <c r="G8099" t="str">
        <f>"21-2101"</f>
        <v>21-2101</v>
      </c>
      <c r="H8099" t="str">
        <f>"B"</f>
        <v>B</v>
      </c>
    </row>
    <row r="8100" spans="1:8" x14ac:dyDescent="0.2">
      <c r="A8100" t="str">
        <f t="shared" ref="A8100:A8110" si="2958">"0612111224"</f>
        <v>0612111224</v>
      </c>
      <c r="B8100" t="str">
        <f t="shared" ref="B8100:B8110" si="2959">"BERRY"</f>
        <v>BERRY</v>
      </c>
      <c r="C8100" t="str">
        <f t="shared" ref="C8100:C8134" si="2960">"JEAN"</f>
        <v>JEAN</v>
      </c>
      <c r="D8100">
        <f>11</f>
        <v>11</v>
      </c>
      <c r="E8100" t="str">
        <f>"04 - S1 - A - 101 - Reggie L Nixon"</f>
        <v>04 - S1 - A - 101 - Reggie L Nixon</v>
      </c>
      <c r="F8100" t="str">
        <f>"ACCESS US GOVT"</f>
        <v>ACCESS US GOVT</v>
      </c>
      <c r="G8100" t="str">
        <f>"21-2119"</f>
        <v>21-2119</v>
      </c>
      <c r="H8100" t="str">
        <f>"A"</f>
        <v>A</v>
      </c>
    </row>
    <row r="8101" spans="1:8" x14ac:dyDescent="0.2">
      <c r="A8101" t="str">
        <f t="shared" si="2958"/>
        <v>0612111224</v>
      </c>
      <c r="B8101" t="str">
        <f t="shared" si="2959"/>
        <v>BERRY</v>
      </c>
      <c r="C8101" t="str">
        <f t="shared" si="2960"/>
        <v>JEAN</v>
      </c>
      <c r="D8101">
        <f>11</f>
        <v>11</v>
      </c>
      <c r="E8101" t="str">
        <f>"06 - B - 114 - Richard E Dunbar Iii"</f>
        <v>06 - B - 114 - Richard E Dunbar Iii</v>
      </c>
      <c r="F8101" t="str">
        <f>"NC STUDY HALL 1"</f>
        <v>NC STUDY HALL 1</v>
      </c>
      <c r="G8101" t="str">
        <f>"17-1703"</f>
        <v>17-1703</v>
      </c>
      <c r="H8101" t="str">
        <f>"B"</f>
        <v>B</v>
      </c>
    </row>
    <row r="8102" spans="1:8" x14ac:dyDescent="0.2">
      <c r="A8102" t="str">
        <f t="shared" si="2958"/>
        <v>0612111224</v>
      </c>
      <c r="B8102" t="str">
        <f t="shared" si="2959"/>
        <v>BERRY</v>
      </c>
      <c r="C8102" t="str">
        <f t="shared" si="2960"/>
        <v>JEAN</v>
      </c>
      <c r="D8102">
        <f>11</f>
        <v>11</v>
      </c>
      <c r="E8102" t="str">
        <f>"03 - A - 101 - Reggie L Nixon"</f>
        <v>03 - A - 101 - Reggie L Nixon</v>
      </c>
      <c r="F8102" t="str">
        <f>"ACCESS PHYSICAL SCI"</f>
        <v>ACCESS PHYSICAL SCI</v>
      </c>
      <c r="G8102" t="str">
        <f>"21-2119"</f>
        <v>21-2119</v>
      </c>
      <c r="H8102" t="str">
        <f>"A"</f>
        <v>A</v>
      </c>
    </row>
    <row r="8103" spans="1:8" x14ac:dyDescent="0.2">
      <c r="A8103" t="str">
        <f t="shared" si="2958"/>
        <v>0612111224</v>
      </c>
      <c r="B8103" t="str">
        <f t="shared" si="2959"/>
        <v>BERRY</v>
      </c>
      <c r="C8103" t="str">
        <f t="shared" si="2960"/>
        <v>JEAN</v>
      </c>
      <c r="D8103">
        <f>11</f>
        <v>11</v>
      </c>
      <c r="E8103" t="str">
        <f>"02 - A - 202 - Daniel S Tyson"</f>
        <v>02 - A - 202 - Daniel S Tyson</v>
      </c>
      <c r="F8103" t="str">
        <f>"JROTC NAVAL SCI 2"</f>
        <v>JROTC NAVAL SCI 2</v>
      </c>
      <c r="G8103" t="str">
        <f>"05-510"</f>
        <v>05-510</v>
      </c>
      <c r="H8103" t="str">
        <f>"A"</f>
        <v>A</v>
      </c>
    </row>
    <row r="8104" spans="1:8" x14ac:dyDescent="0.2">
      <c r="A8104" t="str">
        <f t="shared" si="2958"/>
        <v>0612111224</v>
      </c>
      <c r="B8104" t="str">
        <f t="shared" si="2959"/>
        <v>BERRY</v>
      </c>
      <c r="C8104" t="str">
        <f t="shared" si="2960"/>
        <v>JEAN</v>
      </c>
      <c r="D8104">
        <f>11</f>
        <v>11</v>
      </c>
      <c r="E8104" t="str">
        <f>"07 - B - 101 - Reggie L Nixon"</f>
        <v>07 - B - 101 - Reggie L Nixon</v>
      </c>
      <c r="F8104" t="str">
        <f>"CAREER ED: 9-12"</f>
        <v>CAREER ED: 9-12</v>
      </c>
      <c r="G8104" t="str">
        <f>"21-2119"</f>
        <v>21-2119</v>
      </c>
      <c r="H8104" t="str">
        <f>"B"</f>
        <v>B</v>
      </c>
    </row>
    <row r="8105" spans="1:8" x14ac:dyDescent="0.2">
      <c r="A8105" t="str">
        <f t="shared" si="2958"/>
        <v>0612111224</v>
      </c>
      <c r="B8105" t="str">
        <f t="shared" si="2959"/>
        <v>BERRY</v>
      </c>
      <c r="C8105" t="str">
        <f t="shared" si="2960"/>
        <v>JEAN</v>
      </c>
      <c r="D8105">
        <f>11</f>
        <v>11</v>
      </c>
      <c r="E8105" t="str">
        <f>"07 - B - 107 - Eric  Lopapa"</f>
        <v>07 - B - 107 - Eric  Lopapa</v>
      </c>
      <c r="F8105" t="str">
        <f>"LANG THERAPY"</f>
        <v>LANG THERAPY</v>
      </c>
      <c r="G8105" t="str">
        <f>"21-2110"</f>
        <v>21-2110</v>
      </c>
      <c r="H8105" t="str">
        <f>"B"</f>
        <v>B</v>
      </c>
    </row>
    <row r="8106" spans="1:8" x14ac:dyDescent="0.2">
      <c r="A8106" t="str">
        <f t="shared" si="2958"/>
        <v>0612111224</v>
      </c>
      <c r="B8106" t="str">
        <f t="shared" si="2959"/>
        <v>BERRY</v>
      </c>
      <c r="C8106" t="str">
        <f t="shared" si="2960"/>
        <v>JEAN</v>
      </c>
      <c r="D8106">
        <f>11</f>
        <v>11</v>
      </c>
      <c r="E8106" t="str">
        <f>"05 - S1 - B - 102 - Richard E Dunbar Iii"</f>
        <v>05 - S1 - B - 102 - Richard E Dunbar Iii</v>
      </c>
      <c r="F8106" t="str">
        <f>"TEAM SPORTS 1"</f>
        <v>TEAM SPORTS 1</v>
      </c>
      <c r="G8106" t="str">
        <f>"04-254"</f>
        <v>04-254</v>
      </c>
      <c r="H8106" t="str">
        <f>"B"</f>
        <v>B</v>
      </c>
    </row>
    <row r="8107" spans="1:8" x14ac:dyDescent="0.2">
      <c r="A8107" t="str">
        <f t="shared" si="2958"/>
        <v>0612111224</v>
      </c>
      <c r="B8107" t="str">
        <f t="shared" si="2959"/>
        <v>BERRY</v>
      </c>
      <c r="C8107" t="str">
        <f t="shared" si="2960"/>
        <v>JEAN</v>
      </c>
      <c r="D8107">
        <f>11</f>
        <v>11</v>
      </c>
      <c r="E8107" t="str">
        <f>"01 - A - 102 - Lisa  Quinn"</f>
        <v>01 - A - 102 - Lisa  Quinn</v>
      </c>
      <c r="F8107" t="str">
        <f>"ACCESS ENGLISH 3"</f>
        <v>ACCESS ENGLISH 3</v>
      </c>
      <c r="G8107" t="str">
        <f>"17-1725"</f>
        <v>17-1725</v>
      </c>
      <c r="H8107" t="str">
        <f>"A"</f>
        <v>A</v>
      </c>
    </row>
    <row r="8108" spans="1:8" x14ac:dyDescent="0.2">
      <c r="A8108" t="str">
        <f t="shared" si="2958"/>
        <v>0612111224</v>
      </c>
      <c r="B8108" t="str">
        <f t="shared" si="2959"/>
        <v>BERRY</v>
      </c>
      <c r="C8108" t="str">
        <f t="shared" si="2960"/>
        <v>JEAN</v>
      </c>
      <c r="D8108">
        <f>11</f>
        <v>11</v>
      </c>
      <c r="E8108" t="str">
        <f>"08 - B - 101 - Reggie L Nixon"</f>
        <v>08 - B - 101 - Reggie L Nixon</v>
      </c>
      <c r="F8108" t="str">
        <f>"ACCESS GEOMETRY"</f>
        <v>ACCESS GEOMETRY</v>
      </c>
      <c r="G8108" t="str">
        <f>"21-2119"</f>
        <v>21-2119</v>
      </c>
      <c r="H8108" t="str">
        <f>"B"</f>
        <v>B</v>
      </c>
    </row>
    <row r="8109" spans="1:8" x14ac:dyDescent="0.2">
      <c r="A8109" t="str">
        <f t="shared" si="2958"/>
        <v>0612111224</v>
      </c>
      <c r="B8109" t="str">
        <f t="shared" si="2959"/>
        <v>BERRY</v>
      </c>
      <c r="C8109" t="str">
        <f t="shared" si="2960"/>
        <v>JEAN</v>
      </c>
      <c r="D8109">
        <f>11</f>
        <v>11</v>
      </c>
      <c r="E8109" t="str">
        <f>"08 - B - 118 - Karen A Toomer"</f>
        <v>08 - B - 118 - Karen A Toomer</v>
      </c>
      <c r="F8109" t="str">
        <f>"SPEECH THRPY"</f>
        <v>SPEECH THRPY</v>
      </c>
      <c r="G8109" t="str">
        <f>"21-2110"</f>
        <v>21-2110</v>
      </c>
      <c r="H8109" t="str">
        <f>"B"</f>
        <v>B</v>
      </c>
    </row>
    <row r="8110" spans="1:8" x14ac:dyDescent="0.2">
      <c r="A8110" t="str">
        <f t="shared" si="2958"/>
        <v>0612111224</v>
      </c>
      <c r="B8110" t="str">
        <f t="shared" si="2959"/>
        <v>BERRY</v>
      </c>
      <c r="C8110" t="str">
        <f t="shared" si="2960"/>
        <v>JEAN</v>
      </c>
      <c r="D8110">
        <f>11</f>
        <v>11</v>
      </c>
      <c r="E8110" t="str">
        <f>"08 - B - 118 - Karen A Toomer"</f>
        <v>08 - B - 118 - Karen A Toomer</v>
      </c>
      <c r="F8110" t="str">
        <f>"LANG THERAPY"</f>
        <v>LANG THERAPY</v>
      </c>
      <c r="G8110" t="str">
        <f>"21-2110"</f>
        <v>21-2110</v>
      </c>
      <c r="H8110" t="str">
        <f>"B"</f>
        <v>B</v>
      </c>
    </row>
    <row r="8111" spans="1:8" x14ac:dyDescent="0.2">
      <c r="A8111" t="str">
        <f t="shared" ref="A8111:A8118" si="2961">"0618115018"</f>
        <v>0618115018</v>
      </c>
      <c r="B8111" t="str">
        <f t="shared" ref="B8111:B8118" si="2962">"KETSIA"</f>
        <v>KETSIA</v>
      </c>
      <c r="C8111" t="str">
        <f t="shared" si="2960"/>
        <v>JEAN</v>
      </c>
      <c r="D8111">
        <f>11</f>
        <v>11</v>
      </c>
      <c r="E8111" t="str">
        <f>"04 - S1 - A - 101 - Nahum  Saint-Preux"</f>
        <v>04 - S1 - A - 101 - Nahum  Saint-Preux</v>
      </c>
      <c r="F8111" t="str">
        <f>"CRIT THINK ST SKLS"</f>
        <v>CRIT THINK ST SKLS</v>
      </c>
      <c r="G8111" t="str">
        <f>"17-1712"</f>
        <v>17-1712</v>
      </c>
      <c r="H8111" t="str">
        <f>"A"</f>
        <v>A</v>
      </c>
    </row>
    <row r="8112" spans="1:8" x14ac:dyDescent="0.2">
      <c r="A8112" t="str">
        <f t="shared" si="2961"/>
        <v>0618115018</v>
      </c>
      <c r="B8112" t="str">
        <f t="shared" si="2962"/>
        <v>KETSIA</v>
      </c>
      <c r="C8112" t="str">
        <f t="shared" si="2960"/>
        <v>JEAN</v>
      </c>
      <c r="D8112">
        <f>11</f>
        <v>11</v>
      </c>
      <c r="E8112" t="str">
        <f>"06 - B - 103 - Helen A Flores"</f>
        <v>06 - B - 103 - Helen A Flores</v>
      </c>
      <c r="F8112" t="str">
        <f>"ALGEBRA 2"</f>
        <v>ALGEBRA 2</v>
      </c>
      <c r="G8112" t="str">
        <f>"21-2101"</f>
        <v>21-2101</v>
      </c>
      <c r="H8112" t="str">
        <f>"B"</f>
        <v>B</v>
      </c>
    </row>
    <row r="8113" spans="1:8" x14ac:dyDescent="0.2">
      <c r="A8113" t="str">
        <f t="shared" si="2961"/>
        <v>0618115018</v>
      </c>
      <c r="B8113" t="str">
        <f t="shared" si="2962"/>
        <v>KETSIA</v>
      </c>
      <c r="C8113" t="str">
        <f t="shared" si="2960"/>
        <v>JEAN</v>
      </c>
      <c r="D8113">
        <f>11</f>
        <v>11</v>
      </c>
      <c r="E8113" t="str">
        <f>"03 - A - 103 - Jordana K Hass"</f>
        <v>03 - A - 103 - Jordana K Hass</v>
      </c>
      <c r="F8113" t="str">
        <f>"CHEMISTRY 1"</f>
        <v>CHEMISTRY 1</v>
      </c>
      <c r="G8113" t="str">
        <f>"08-807"</f>
        <v>08-807</v>
      </c>
      <c r="H8113" t="str">
        <f>"A"</f>
        <v>A</v>
      </c>
    </row>
    <row r="8114" spans="1:8" x14ac:dyDescent="0.2">
      <c r="A8114" t="str">
        <f t="shared" si="2961"/>
        <v>0618115018</v>
      </c>
      <c r="B8114" t="str">
        <f t="shared" si="2962"/>
        <v>KETSIA</v>
      </c>
      <c r="C8114" t="str">
        <f t="shared" si="2960"/>
        <v>JEAN</v>
      </c>
      <c r="D8114">
        <f>11</f>
        <v>11</v>
      </c>
      <c r="E8114" t="str">
        <f>"02 - A - 114 - Eva T Rimmer"</f>
        <v>02 - A - 114 - Eva T Rimmer</v>
      </c>
      <c r="F8114" t="str">
        <f>"NC STUDY HALL 1"</f>
        <v>NC STUDY HALL 1</v>
      </c>
      <c r="G8114" t="str">
        <f>"05-523"</f>
        <v>05-523</v>
      </c>
      <c r="H8114" t="str">
        <f>"A"</f>
        <v>A</v>
      </c>
    </row>
    <row r="8115" spans="1:8" x14ac:dyDescent="0.2">
      <c r="A8115" t="str">
        <f t="shared" si="2961"/>
        <v>0618115018</v>
      </c>
      <c r="B8115" t="str">
        <f t="shared" si="2962"/>
        <v>KETSIA</v>
      </c>
      <c r="C8115" t="str">
        <f t="shared" si="2960"/>
        <v>JEAN</v>
      </c>
      <c r="D8115">
        <f>11</f>
        <v>11</v>
      </c>
      <c r="E8115" t="str">
        <f>"07 - S1 - B - 103 - Leslie J Barton"</f>
        <v>07 - S1 - B - 103 - Leslie J Barton</v>
      </c>
      <c r="F8115" t="str">
        <f>"TEAM SPORTS 1"</f>
        <v>TEAM SPORTS 1</v>
      </c>
      <c r="G8115" t="str">
        <f>"04-254"</f>
        <v>04-254</v>
      </c>
      <c r="H8115" t="str">
        <f>"B"</f>
        <v>B</v>
      </c>
    </row>
    <row r="8116" spans="1:8" x14ac:dyDescent="0.2">
      <c r="A8116" t="str">
        <f t="shared" si="2961"/>
        <v>0618115018</v>
      </c>
      <c r="B8116" t="str">
        <f t="shared" si="2962"/>
        <v>KETSIA</v>
      </c>
      <c r="C8116" t="str">
        <f t="shared" si="2960"/>
        <v>JEAN</v>
      </c>
      <c r="D8116">
        <f>11</f>
        <v>11</v>
      </c>
      <c r="E8116" t="str">
        <f>"05 - B - 103 - Heidi M Knopp"</f>
        <v>05 - B - 103 - Heidi M Knopp</v>
      </c>
      <c r="F8116" t="str">
        <f>"ENG HON 3"</f>
        <v>ENG HON 3</v>
      </c>
      <c r="G8116" t="str">
        <f>"17-1723"</f>
        <v>17-1723</v>
      </c>
      <c r="H8116" t="str">
        <f>"B"</f>
        <v>B</v>
      </c>
    </row>
    <row r="8117" spans="1:8" x14ac:dyDescent="0.2">
      <c r="A8117" t="str">
        <f t="shared" si="2961"/>
        <v>0618115018</v>
      </c>
      <c r="B8117" t="str">
        <f t="shared" si="2962"/>
        <v>KETSIA</v>
      </c>
      <c r="C8117" t="str">
        <f t="shared" si="2960"/>
        <v>JEAN</v>
      </c>
      <c r="D8117">
        <f>11</f>
        <v>11</v>
      </c>
      <c r="E8117" t="str">
        <f>"01 - A - 101 - Joe  Kilpatrick Jr"</f>
        <v>01 - A - 101 - Joe  Kilpatrick Jr</v>
      </c>
      <c r="F8117" t="str">
        <f>"PRE-AICE SPAN 1 IG"</f>
        <v>PRE-AICE SPAN 1 IG</v>
      </c>
      <c r="G8117" t="str">
        <f>"09-912"</f>
        <v>09-912</v>
      </c>
      <c r="H8117" t="str">
        <f>"A"</f>
        <v>A</v>
      </c>
    </row>
    <row r="8118" spans="1:8" x14ac:dyDescent="0.2">
      <c r="A8118" t="str">
        <f t="shared" si="2961"/>
        <v>0618115018</v>
      </c>
      <c r="B8118" t="str">
        <f t="shared" si="2962"/>
        <v>KETSIA</v>
      </c>
      <c r="C8118" t="str">
        <f t="shared" si="2960"/>
        <v>JEAN</v>
      </c>
      <c r="D8118">
        <f>11</f>
        <v>11</v>
      </c>
      <c r="E8118" t="str">
        <f>"08 - B - 109 - Lauren N Logan"</f>
        <v>08 - B - 109 - Lauren N Logan</v>
      </c>
      <c r="F8118" t="str">
        <f>"US HISTORY"</f>
        <v>US HISTORY</v>
      </c>
      <c r="G8118" t="str">
        <f>"17-1754"</f>
        <v>17-1754</v>
      </c>
      <c r="H8118" t="str">
        <f>"B"</f>
        <v>B</v>
      </c>
    </row>
    <row r="8119" spans="1:8" x14ac:dyDescent="0.2">
      <c r="A8119" t="str">
        <f t="shared" ref="A8119:A8126" si="2963">"0619026728"</f>
        <v>0619026728</v>
      </c>
      <c r="B8119" t="str">
        <f t="shared" ref="B8119:B8126" si="2964">"MCKAYLA"</f>
        <v>MCKAYLA</v>
      </c>
      <c r="C8119" t="str">
        <f t="shared" si="2960"/>
        <v>JEAN</v>
      </c>
      <c r="D8119">
        <f>11</f>
        <v>11</v>
      </c>
      <c r="E8119" t="str">
        <f>"04 - A - 102 - Brandy N Zdenek"</f>
        <v>04 - A - 102 - Brandy N Zdenek</v>
      </c>
      <c r="F8119" t="str">
        <f>"AICE ENG LANG 2 AL"</f>
        <v>AICE ENG LANG 2 AL</v>
      </c>
      <c r="G8119" t="str">
        <f>"17-1704"</f>
        <v>17-1704</v>
      </c>
      <c r="H8119" t="str">
        <f>"A"</f>
        <v>A</v>
      </c>
    </row>
    <row r="8120" spans="1:8" x14ac:dyDescent="0.2">
      <c r="A8120" t="str">
        <f t="shared" si="2963"/>
        <v>0619026728</v>
      </c>
      <c r="B8120" t="str">
        <f t="shared" si="2964"/>
        <v>MCKAYLA</v>
      </c>
      <c r="C8120" t="str">
        <f t="shared" si="2960"/>
        <v>JEAN</v>
      </c>
      <c r="D8120">
        <f>11</f>
        <v>11</v>
      </c>
      <c r="E8120" t="str">
        <f>"06 - B - 102 - Stephen T Ripp"</f>
        <v>06 - B - 102 - Stephen T Ripp</v>
      </c>
      <c r="F8120" t="str">
        <f>"AP U.S. HIST"</f>
        <v>AP U.S. HIST</v>
      </c>
      <c r="G8120" t="str">
        <f>"17-1744"</f>
        <v>17-1744</v>
      </c>
      <c r="H8120" t="str">
        <f>"B"</f>
        <v>B</v>
      </c>
    </row>
    <row r="8121" spans="1:8" x14ac:dyDescent="0.2">
      <c r="A8121" t="str">
        <f t="shared" si="2963"/>
        <v>0619026728</v>
      </c>
      <c r="B8121" t="str">
        <f t="shared" si="2964"/>
        <v>MCKAYLA</v>
      </c>
      <c r="C8121" t="str">
        <f t="shared" si="2960"/>
        <v>JEAN</v>
      </c>
      <c r="D8121">
        <f>11</f>
        <v>11</v>
      </c>
      <c r="E8121" t="str">
        <f>"03 - A - 102 - Thomas G Handwerg"</f>
        <v>03 - A - 102 - Thomas G Handwerg</v>
      </c>
      <c r="F8121" t="str">
        <f>"MATH COLL ALGEBRA"</f>
        <v>MATH COLL ALGEBRA</v>
      </c>
      <c r="G8121" t="str">
        <f>"21-2146"</f>
        <v>21-2146</v>
      </c>
      <c r="H8121" t="str">
        <f>"A"</f>
        <v>A</v>
      </c>
    </row>
    <row r="8122" spans="1:8" x14ac:dyDescent="0.2">
      <c r="A8122" t="str">
        <f t="shared" si="2963"/>
        <v>0619026728</v>
      </c>
      <c r="B8122" t="str">
        <f t="shared" si="2964"/>
        <v>MCKAYLA</v>
      </c>
      <c r="C8122" t="str">
        <f t="shared" si="2960"/>
        <v>JEAN</v>
      </c>
      <c r="D8122">
        <f>11</f>
        <v>11</v>
      </c>
      <c r="E8122" t="str">
        <f>"02 - A - 109 - Daniel S Katz"</f>
        <v>02 - A - 109 - Daniel S Katz</v>
      </c>
      <c r="F8122" t="str">
        <f>"NC STUDY HALL 1"</f>
        <v>NC STUDY HALL 1</v>
      </c>
      <c r="G8122" t="str">
        <f>"21-2156"</f>
        <v>21-2156</v>
      </c>
      <c r="H8122" t="str">
        <f>"A"</f>
        <v>A</v>
      </c>
    </row>
    <row r="8123" spans="1:8" x14ac:dyDescent="0.2">
      <c r="A8123" t="str">
        <f t="shared" si="2963"/>
        <v>0619026728</v>
      </c>
      <c r="B8123" t="str">
        <f t="shared" si="2964"/>
        <v>MCKAYLA</v>
      </c>
      <c r="C8123" t="str">
        <f t="shared" si="2960"/>
        <v>JEAN</v>
      </c>
      <c r="D8123">
        <f>11</f>
        <v>11</v>
      </c>
      <c r="E8123" t="str">
        <f>"07 - B - 103 - Lisa J London"</f>
        <v>07 - B - 103 - Lisa J London</v>
      </c>
      <c r="F8123" t="str">
        <f>"AP CAPSTONE SEMINAR"</f>
        <v>AP CAPSTONE SEMINAR</v>
      </c>
      <c r="G8123" t="str">
        <f>"17-1714"</f>
        <v>17-1714</v>
      </c>
      <c r="H8123" t="str">
        <f>"B"</f>
        <v>B</v>
      </c>
    </row>
    <row r="8124" spans="1:8" x14ac:dyDescent="0.2">
      <c r="A8124" t="str">
        <f t="shared" si="2963"/>
        <v>0619026728</v>
      </c>
      <c r="B8124" t="str">
        <f t="shared" si="2964"/>
        <v>MCKAYLA</v>
      </c>
      <c r="C8124" t="str">
        <f t="shared" si="2960"/>
        <v>JEAN</v>
      </c>
      <c r="D8124">
        <f>11</f>
        <v>11</v>
      </c>
      <c r="E8124" t="str">
        <f>"05 - B - 201 - Scott A Dethloff"</f>
        <v>05 - B - 201 - Scott A Dethloff</v>
      </c>
      <c r="F8124" t="str">
        <f>"AP CHEM"</f>
        <v>AP CHEM</v>
      </c>
      <c r="G8124" t="str">
        <f>"08-812"</f>
        <v>08-812</v>
      </c>
      <c r="H8124" t="str">
        <f>"B"</f>
        <v>B</v>
      </c>
    </row>
    <row r="8125" spans="1:8" x14ac:dyDescent="0.2">
      <c r="A8125" t="str">
        <f t="shared" si="2963"/>
        <v>0619026728</v>
      </c>
      <c r="B8125" t="str">
        <f t="shared" si="2964"/>
        <v>MCKAYLA</v>
      </c>
      <c r="C8125" t="str">
        <f t="shared" si="2960"/>
        <v>JEAN</v>
      </c>
      <c r="D8125">
        <f>11</f>
        <v>11</v>
      </c>
      <c r="E8125" t="str">
        <f>"01 - A - 101 - Daniel S Katz"</f>
        <v>01 - A - 101 - Daniel S Katz</v>
      </c>
      <c r="F8125" t="str">
        <f>"EXEC INTERN 4 LH"</f>
        <v>EXEC INTERN 4 LH</v>
      </c>
      <c r="G8125" t="str">
        <f>"21-2156"</f>
        <v>21-2156</v>
      </c>
      <c r="H8125" t="str">
        <f>"A"</f>
        <v>A</v>
      </c>
    </row>
    <row r="8126" spans="1:8" x14ac:dyDescent="0.2">
      <c r="A8126" t="str">
        <f t="shared" si="2963"/>
        <v>0619026728</v>
      </c>
      <c r="B8126" t="str">
        <f t="shared" si="2964"/>
        <v>MCKAYLA</v>
      </c>
      <c r="C8126" t="str">
        <f t="shared" si="2960"/>
        <v>JEAN</v>
      </c>
      <c r="D8126">
        <f>11</f>
        <v>11</v>
      </c>
      <c r="E8126" t="str">
        <f>"08 - B - 105 - Daniel S Katz"</f>
        <v>08 - B - 105 - Daniel S Katz</v>
      </c>
      <c r="F8126" t="str">
        <f>"AICE MEDIA STUDIES A"</f>
        <v>AICE MEDIA STUDIES A</v>
      </c>
      <c r="G8126" t="str">
        <f>"05-521"</f>
        <v>05-521</v>
      </c>
      <c r="H8126" t="str">
        <f>"B"</f>
        <v>B</v>
      </c>
    </row>
    <row r="8127" spans="1:8" x14ac:dyDescent="0.2">
      <c r="A8127" t="str">
        <f t="shared" ref="A8127:A8134" si="2965">"0616121040"</f>
        <v>0616121040</v>
      </c>
      <c r="B8127" t="str">
        <f t="shared" ref="B8127:B8134" si="2966">"RILEY"</f>
        <v>RILEY</v>
      </c>
      <c r="C8127" t="str">
        <f t="shared" si="2960"/>
        <v>JEAN</v>
      </c>
      <c r="D8127">
        <f>10</f>
        <v>10</v>
      </c>
      <c r="E8127" t="str">
        <f>"04 - S1 - A - 101 - Leslie J Barton"</f>
        <v>04 - S1 - A - 101 - Leslie J Barton</v>
      </c>
      <c r="F8127" t="str">
        <f>"TEAM SPORTS 1"</f>
        <v>TEAM SPORTS 1</v>
      </c>
      <c r="G8127" t="str">
        <f>"04-254"</f>
        <v>04-254</v>
      </c>
      <c r="H8127" t="str">
        <f>"A"</f>
        <v>A</v>
      </c>
    </row>
    <row r="8128" spans="1:8" x14ac:dyDescent="0.2">
      <c r="A8128" t="str">
        <f t="shared" si="2965"/>
        <v>0616121040</v>
      </c>
      <c r="B8128" t="str">
        <f t="shared" si="2966"/>
        <v>RILEY</v>
      </c>
      <c r="C8128" t="str">
        <f t="shared" si="2960"/>
        <v>JEAN</v>
      </c>
      <c r="D8128">
        <f>10</f>
        <v>10</v>
      </c>
      <c r="E8128" t="str">
        <f>"06 - B - 001 - Ferrie J Arostique"</f>
        <v>06 - B - 001 - Ferrie J Arostique</v>
      </c>
      <c r="F8128" t="str">
        <f>"NC STUDY HALL 1"</f>
        <v>NC STUDY HALL 1</v>
      </c>
      <c r="G8128" t="str">
        <f>"21-2139"</f>
        <v>21-2139</v>
      </c>
      <c r="H8128" t="str">
        <f>"B"</f>
        <v>B</v>
      </c>
    </row>
    <row r="8129" spans="1:8" x14ac:dyDescent="0.2">
      <c r="A8129" t="str">
        <f t="shared" si="2965"/>
        <v>0616121040</v>
      </c>
      <c r="B8129" t="str">
        <f t="shared" si="2966"/>
        <v>RILEY</v>
      </c>
      <c r="C8129" t="str">
        <f t="shared" si="2960"/>
        <v>JEAN</v>
      </c>
      <c r="D8129">
        <f>10</f>
        <v>10</v>
      </c>
      <c r="E8129" t="str">
        <f>"03 - A - 202 - Bruce A Evans"</f>
        <v>03 - A - 202 - Bruce A Evans</v>
      </c>
      <c r="F8129" t="str">
        <f>"HEALTH SCI FOUND HON"</f>
        <v>HEALTH SCI FOUND HON</v>
      </c>
      <c r="G8129" t="str">
        <f>"21-2142"</f>
        <v>21-2142</v>
      </c>
      <c r="H8129" t="str">
        <f>"A"</f>
        <v>A</v>
      </c>
    </row>
    <row r="8130" spans="1:8" x14ac:dyDescent="0.2">
      <c r="A8130" t="str">
        <f t="shared" si="2965"/>
        <v>0616121040</v>
      </c>
      <c r="B8130" t="str">
        <f t="shared" si="2966"/>
        <v>RILEY</v>
      </c>
      <c r="C8130" t="str">
        <f t="shared" si="2960"/>
        <v>JEAN</v>
      </c>
      <c r="D8130">
        <f>10</f>
        <v>10</v>
      </c>
      <c r="E8130" t="str">
        <f>"02 - A - 102 - Bruce A Evans"</f>
        <v>02 - A - 102 - Bruce A Evans</v>
      </c>
      <c r="F8130" t="str">
        <f>"EMERG MED RESP 3 HON"</f>
        <v>EMERG MED RESP 3 HON</v>
      </c>
      <c r="G8130" t="str">
        <f>"21-2142"</f>
        <v>21-2142</v>
      </c>
      <c r="H8130" t="str">
        <f>"A"</f>
        <v>A</v>
      </c>
    </row>
    <row r="8131" spans="1:8" x14ac:dyDescent="0.2">
      <c r="A8131" t="str">
        <f t="shared" si="2965"/>
        <v>0616121040</v>
      </c>
      <c r="B8131" t="str">
        <f t="shared" si="2966"/>
        <v>RILEY</v>
      </c>
      <c r="C8131" t="str">
        <f t="shared" si="2960"/>
        <v>JEAN</v>
      </c>
      <c r="D8131">
        <f>10</f>
        <v>10</v>
      </c>
      <c r="E8131" t="str">
        <f>"07 - B - 105 - Cliffon  Saurel"</f>
        <v>07 - B - 105 - Cliffon  Saurel</v>
      </c>
      <c r="F8131" t="str">
        <f>"PHYSICAL SCI"</f>
        <v>PHYSICAL SCI</v>
      </c>
      <c r="G8131" t="str">
        <f>"05-522"</f>
        <v>05-522</v>
      </c>
      <c r="H8131" t="str">
        <f>"B"</f>
        <v>B</v>
      </c>
    </row>
    <row r="8132" spans="1:8" x14ac:dyDescent="0.2">
      <c r="A8132" t="str">
        <f t="shared" si="2965"/>
        <v>0616121040</v>
      </c>
      <c r="B8132" t="str">
        <f t="shared" si="2966"/>
        <v>RILEY</v>
      </c>
      <c r="C8132" t="str">
        <f t="shared" si="2960"/>
        <v>JEAN</v>
      </c>
      <c r="D8132">
        <f>10</f>
        <v>10</v>
      </c>
      <c r="E8132" t="str">
        <f>"05 - B - 106 - Jacquelyn M Neeson"</f>
        <v>05 - B - 106 - Jacquelyn M Neeson</v>
      </c>
      <c r="F8132" t="str">
        <f>"ENG 2"</f>
        <v>ENG 2</v>
      </c>
      <c r="G8132" t="str">
        <f>"17-1715"</f>
        <v>17-1715</v>
      </c>
      <c r="H8132" t="str">
        <f>"B"</f>
        <v>B</v>
      </c>
    </row>
    <row r="8133" spans="1:8" x14ac:dyDescent="0.2">
      <c r="A8133" t="str">
        <f t="shared" si="2965"/>
        <v>0616121040</v>
      </c>
      <c r="B8133" t="str">
        <f t="shared" si="2966"/>
        <v>RILEY</v>
      </c>
      <c r="C8133" t="str">
        <f t="shared" si="2960"/>
        <v>JEAN</v>
      </c>
      <c r="D8133">
        <f>10</f>
        <v>10</v>
      </c>
      <c r="E8133" t="str">
        <f>"01 - A - 101 - Ferrie J Arostique"</f>
        <v>01 - A - 101 - Ferrie J Arostique</v>
      </c>
      <c r="F8133" t="str">
        <f>"GEOMETRY"</f>
        <v>GEOMETRY</v>
      </c>
      <c r="G8133" t="str">
        <f>"21-2139"</f>
        <v>21-2139</v>
      </c>
      <c r="H8133" t="str">
        <f>"A"</f>
        <v>A</v>
      </c>
    </row>
    <row r="8134" spans="1:8" x14ac:dyDescent="0.2">
      <c r="A8134" t="str">
        <f t="shared" si="2965"/>
        <v>0616121040</v>
      </c>
      <c r="B8134" t="str">
        <f t="shared" si="2966"/>
        <v>RILEY</v>
      </c>
      <c r="C8134" t="str">
        <f t="shared" si="2960"/>
        <v>JEAN</v>
      </c>
      <c r="D8134">
        <f>10</f>
        <v>10</v>
      </c>
      <c r="E8134" t="str">
        <f>"08 - S1 - B - 102 - Kyle  Robbins"</f>
        <v>08 - S1 - B - 102 - Kyle  Robbins</v>
      </c>
      <c r="F8134" t="str">
        <f>"PERS FIN &amp; MON MGT H"</f>
        <v>PERS FIN &amp; MON MGT H</v>
      </c>
      <c r="G8134" t="str">
        <f>"17-1745"</f>
        <v>17-1745</v>
      </c>
      <c r="H8134" t="str">
        <f>"B"</f>
        <v>B</v>
      </c>
    </row>
    <row r="8135" spans="1:8" x14ac:dyDescent="0.2">
      <c r="A8135" t="str">
        <f t="shared" ref="A8135:A8142" si="2967">"0624098583"</f>
        <v>0624098583</v>
      </c>
      <c r="B8135" t="str">
        <f t="shared" ref="B8135:B8142" si="2968">"ISCENAICA"</f>
        <v>ISCENAICA</v>
      </c>
      <c r="C8135" t="str">
        <f t="shared" ref="C8135:C8142" si="2969">"JEAN BAPTISTE"</f>
        <v>JEAN BAPTISTE</v>
      </c>
      <c r="D8135">
        <f>11</f>
        <v>11</v>
      </c>
      <c r="E8135" t="str">
        <f>"04 - S1 - A - 101 - Leslie J Barton"</f>
        <v>04 - S1 - A - 101 - Leslie J Barton</v>
      </c>
      <c r="F8135" t="str">
        <f>"TEAM SPORTS 1"</f>
        <v>TEAM SPORTS 1</v>
      </c>
      <c r="G8135" t="str">
        <f>"04-254"</f>
        <v>04-254</v>
      </c>
      <c r="H8135" t="str">
        <f>"A"</f>
        <v>A</v>
      </c>
    </row>
    <row r="8136" spans="1:8" x14ac:dyDescent="0.2">
      <c r="A8136" t="str">
        <f t="shared" si="2967"/>
        <v>0624098583</v>
      </c>
      <c r="B8136" t="str">
        <f t="shared" si="2968"/>
        <v>ISCENAICA</v>
      </c>
      <c r="C8136" t="str">
        <f t="shared" si="2969"/>
        <v>JEAN BAPTISTE</v>
      </c>
      <c r="D8136">
        <f>11</f>
        <v>11</v>
      </c>
      <c r="E8136" t="str">
        <f>"06 - B - 105 - Arthur  Kulawik"</f>
        <v>06 - B - 105 - Arthur  Kulawik</v>
      </c>
      <c r="F8136" t="str">
        <f>"ENG 3"</f>
        <v>ENG 3</v>
      </c>
      <c r="G8136" t="str">
        <f>"05-506"</f>
        <v>05-506</v>
      </c>
      <c r="H8136" t="str">
        <f>"B"</f>
        <v>B</v>
      </c>
    </row>
    <row r="8137" spans="1:8" x14ac:dyDescent="0.2">
      <c r="A8137" t="str">
        <f t="shared" si="2967"/>
        <v>0624098583</v>
      </c>
      <c r="B8137" t="str">
        <f t="shared" si="2968"/>
        <v>ISCENAICA</v>
      </c>
      <c r="C8137" t="str">
        <f t="shared" si="2969"/>
        <v>JEAN BAPTISTE</v>
      </c>
      <c r="D8137">
        <f>11</f>
        <v>11</v>
      </c>
      <c r="E8137" t="str">
        <f>"03 - A - 104 - Kyle  Robbins"</f>
        <v>03 - A - 104 - Kyle  Robbins</v>
      </c>
      <c r="F8137" t="str">
        <f>"US HISTORY"</f>
        <v>US HISTORY</v>
      </c>
      <c r="G8137" t="str">
        <f>"17-1745"</f>
        <v>17-1745</v>
      </c>
      <c r="H8137" t="str">
        <f>"A"</f>
        <v>A</v>
      </c>
    </row>
    <row r="8138" spans="1:8" x14ac:dyDescent="0.2">
      <c r="A8138" t="str">
        <f t="shared" si="2967"/>
        <v>0624098583</v>
      </c>
      <c r="B8138" t="str">
        <f t="shared" si="2968"/>
        <v>ISCENAICA</v>
      </c>
      <c r="C8138" t="str">
        <f t="shared" si="2969"/>
        <v>JEAN BAPTISTE</v>
      </c>
      <c r="D8138">
        <f>11</f>
        <v>11</v>
      </c>
      <c r="E8138" t="str">
        <f>"02 - A - 103 - Kelly N Panza"</f>
        <v>02 - A - 103 - Kelly N Panza</v>
      </c>
      <c r="F8138" t="str">
        <f>"NC STUDY HALL 1"</f>
        <v>NC STUDY HALL 1</v>
      </c>
      <c r="G8138" t="str">
        <f>"17-1753"</f>
        <v>17-1753</v>
      </c>
      <c r="H8138" t="str">
        <f>"A"</f>
        <v>A</v>
      </c>
    </row>
    <row r="8139" spans="1:8" x14ac:dyDescent="0.2">
      <c r="A8139" t="str">
        <f t="shared" si="2967"/>
        <v>0624098583</v>
      </c>
      <c r="B8139" t="str">
        <f t="shared" si="2968"/>
        <v>ISCENAICA</v>
      </c>
      <c r="C8139" t="str">
        <f t="shared" si="2969"/>
        <v>JEAN BAPTISTE</v>
      </c>
      <c r="D8139">
        <f>11</f>
        <v>11</v>
      </c>
      <c r="E8139" t="str">
        <f>"07 - B - 104 - Marielle A Witting"</f>
        <v>07 - B - 104 - Marielle A Witting</v>
      </c>
      <c r="F8139" t="str">
        <f>"ANAT PHYSIO"</f>
        <v>ANAT PHYSIO</v>
      </c>
      <c r="G8139" t="str">
        <f>"08-805"</f>
        <v>08-805</v>
      </c>
      <c r="H8139" t="str">
        <f>"B"</f>
        <v>B</v>
      </c>
    </row>
    <row r="8140" spans="1:8" x14ac:dyDescent="0.2">
      <c r="A8140" t="str">
        <f t="shared" si="2967"/>
        <v>0624098583</v>
      </c>
      <c r="B8140" t="str">
        <f t="shared" si="2968"/>
        <v>ISCENAICA</v>
      </c>
      <c r="C8140" t="str">
        <f t="shared" si="2969"/>
        <v>JEAN BAPTISTE</v>
      </c>
      <c r="D8140">
        <f>11</f>
        <v>11</v>
      </c>
      <c r="E8140" t="str">
        <f>"05 - B - 103 - Nahum  Saint-Preux"</f>
        <v>05 - B - 103 - Nahum  Saint-Preux</v>
      </c>
      <c r="F8140" t="str">
        <f>"INTENS READ 3"</f>
        <v>INTENS READ 3</v>
      </c>
      <c r="G8140" t="str">
        <f>"17-1712"</f>
        <v>17-1712</v>
      </c>
      <c r="H8140" t="str">
        <f>"B"</f>
        <v>B</v>
      </c>
    </row>
    <row r="8141" spans="1:8" x14ac:dyDescent="0.2">
      <c r="A8141" t="str">
        <f t="shared" si="2967"/>
        <v>0624098583</v>
      </c>
      <c r="B8141" t="str">
        <f t="shared" si="2968"/>
        <v>ISCENAICA</v>
      </c>
      <c r="C8141" t="str">
        <f t="shared" si="2969"/>
        <v>JEAN BAPTISTE</v>
      </c>
      <c r="D8141">
        <f>11</f>
        <v>11</v>
      </c>
      <c r="E8141" t="str">
        <f>"01 - A - 101 - Vanessa J Pena"</f>
        <v>01 - A - 101 - Vanessa J Pena</v>
      </c>
      <c r="F8141" t="str">
        <f>"DEV LANG ARTS ESOL-R"</f>
        <v>DEV LANG ARTS ESOL-R</v>
      </c>
      <c r="G8141" t="str">
        <f>"09-926"</f>
        <v>09-926</v>
      </c>
      <c r="H8141" t="str">
        <f>"A"</f>
        <v>A</v>
      </c>
    </row>
    <row r="8142" spans="1:8" x14ac:dyDescent="0.2">
      <c r="A8142" t="str">
        <f t="shared" si="2967"/>
        <v>0624098583</v>
      </c>
      <c r="B8142" t="str">
        <f t="shared" si="2968"/>
        <v>ISCENAICA</v>
      </c>
      <c r="C8142" t="str">
        <f t="shared" si="2969"/>
        <v>JEAN BAPTISTE</v>
      </c>
      <c r="D8142">
        <f>11</f>
        <v>11</v>
      </c>
      <c r="E8142" t="str">
        <f>"08 - B - 107 - Brook E Goren"</f>
        <v>08 - B - 107 - Brook E Goren</v>
      </c>
      <c r="F8142" t="str">
        <f>"GEOMETRY"</f>
        <v>GEOMETRY</v>
      </c>
      <c r="G8142" t="str">
        <f>"21-2158"</f>
        <v>21-2158</v>
      </c>
      <c r="H8142" t="str">
        <f>"B"</f>
        <v>B</v>
      </c>
    </row>
    <row r="8143" spans="1:8" x14ac:dyDescent="0.2">
      <c r="A8143" t="str">
        <f t="shared" ref="A8143:A8150" si="2970">"0616039074"</f>
        <v>0616039074</v>
      </c>
      <c r="B8143" t="str">
        <f t="shared" ref="B8143:B8150" si="2971">"A'NIYAH"</f>
        <v>A'NIYAH</v>
      </c>
      <c r="C8143" t="str">
        <f t="shared" ref="C8143:C8166" si="2972">"JEAN-BAPTISTE"</f>
        <v>JEAN-BAPTISTE</v>
      </c>
      <c r="D8143">
        <f>10</f>
        <v>10</v>
      </c>
      <c r="E8143" t="str">
        <f>"04 - S1 - A - 101 - Kyle  Robbins"</f>
        <v>04 - S1 - A - 101 - Kyle  Robbins</v>
      </c>
      <c r="F8143" t="str">
        <f>"PERS FIN &amp; MON MGT H"</f>
        <v>PERS FIN &amp; MON MGT H</v>
      </c>
      <c r="G8143" t="str">
        <f>"17-1745"</f>
        <v>17-1745</v>
      </c>
      <c r="H8143" t="str">
        <f>"A"</f>
        <v>A</v>
      </c>
    </row>
    <row r="8144" spans="1:8" x14ac:dyDescent="0.2">
      <c r="A8144" t="str">
        <f t="shared" si="2970"/>
        <v>0616039074</v>
      </c>
      <c r="B8144" t="str">
        <f t="shared" si="2971"/>
        <v>A'NIYAH</v>
      </c>
      <c r="C8144" t="str">
        <f t="shared" si="2972"/>
        <v>JEAN-BAPTISTE</v>
      </c>
      <c r="D8144">
        <f>10</f>
        <v>10</v>
      </c>
      <c r="E8144" t="str">
        <f>"06 - B - 113 - Joe  Kilpatrick Jr"</f>
        <v>06 - B - 113 - Joe  Kilpatrick Jr</v>
      </c>
      <c r="F8144" t="str">
        <f>"NC STUDY HALL 1"</f>
        <v>NC STUDY HALL 1</v>
      </c>
      <c r="G8144" t="str">
        <f>"09-912"</f>
        <v>09-912</v>
      </c>
      <c r="H8144" t="str">
        <f>"B"</f>
        <v>B</v>
      </c>
    </row>
    <row r="8145" spans="1:8" x14ac:dyDescent="0.2">
      <c r="A8145" t="str">
        <f t="shared" si="2970"/>
        <v>0616039074</v>
      </c>
      <c r="B8145" t="str">
        <f t="shared" si="2971"/>
        <v>A'NIYAH</v>
      </c>
      <c r="C8145" t="str">
        <f t="shared" si="2972"/>
        <v>JEAN-BAPTISTE</v>
      </c>
      <c r="D8145">
        <f>10</f>
        <v>10</v>
      </c>
      <c r="E8145" t="str">
        <f>"03 - A - 002 - Ferrie J Arostique"</f>
        <v>03 - A - 002 - Ferrie J Arostique</v>
      </c>
      <c r="F8145" t="str">
        <f>"GEOMETRY"</f>
        <v>GEOMETRY</v>
      </c>
      <c r="G8145" t="str">
        <f>"21-2139"</f>
        <v>21-2139</v>
      </c>
      <c r="H8145" t="str">
        <f>"A"</f>
        <v>A</v>
      </c>
    </row>
    <row r="8146" spans="1:8" x14ac:dyDescent="0.2">
      <c r="A8146" t="str">
        <f t="shared" si="2970"/>
        <v>0616039074</v>
      </c>
      <c r="B8146" t="str">
        <f t="shared" si="2971"/>
        <v>A'NIYAH</v>
      </c>
      <c r="C8146" t="str">
        <f t="shared" si="2972"/>
        <v>JEAN-BAPTISTE</v>
      </c>
      <c r="D8146">
        <f>10</f>
        <v>10</v>
      </c>
      <c r="E8146" t="str">
        <f>"02 - A - 102 - Daniel S Tyson"</f>
        <v>02 - A - 102 - Daniel S Tyson</v>
      </c>
      <c r="F8146" t="str">
        <f>"JROTC NAVAL SCI 1"</f>
        <v>JROTC NAVAL SCI 1</v>
      </c>
      <c r="G8146" t="str">
        <f>"05-510"</f>
        <v>05-510</v>
      </c>
      <c r="H8146" t="str">
        <f>"A"</f>
        <v>A</v>
      </c>
    </row>
    <row r="8147" spans="1:8" x14ac:dyDescent="0.2">
      <c r="A8147" t="str">
        <f t="shared" si="2970"/>
        <v>0616039074</v>
      </c>
      <c r="B8147" t="str">
        <f t="shared" si="2971"/>
        <v>A'NIYAH</v>
      </c>
      <c r="C8147" t="str">
        <f t="shared" si="2972"/>
        <v>JEAN-BAPTISTE</v>
      </c>
      <c r="D8147">
        <f>10</f>
        <v>10</v>
      </c>
      <c r="E8147" t="str">
        <f>"07 - B - 107 - Adam Marcus  Drucker"</f>
        <v>07 - B - 107 - Adam Marcus  Drucker</v>
      </c>
      <c r="F8147" t="str">
        <f>"HOPE-PE V"</f>
        <v>HOPE-PE V</v>
      </c>
      <c r="G8147" t="str">
        <f>"04-254"</f>
        <v>04-254</v>
      </c>
      <c r="H8147" t="str">
        <f>"B"</f>
        <v>B</v>
      </c>
    </row>
    <row r="8148" spans="1:8" x14ac:dyDescent="0.2">
      <c r="A8148" t="str">
        <f t="shared" si="2970"/>
        <v>0616039074</v>
      </c>
      <c r="B8148" t="str">
        <f t="shared" si="2971"/>
        <v>A'NIYAH</v>
      </c>
      <c r="C8148" t="str">
        <f t="shared" si="2972"/>
        <v>JEAN-BAPTISTE</v>
      </c>
      <c r="D8148">
        <f>10</f>
        <v>10</v>
      </c>
      <c r="E8148" t="str">
        <f>"05 - B - 106 - Jacquelyn M Neeson"</f>
        <v>05 - B - 106 - Jacquelyn M Neeson</v>
      </c>
      <c r="F8148" t="str">
        <f>"ENG 2"</f>
        <v>ENG 2</v>
      </c>
      <c r="G8148" t="str">
        <f>"17-1715"</f>
        <v>17-1715</v>
      </c>
      <c r="H8148" t="str">
        <f>"B"</f>
        <v>B</v>
      </c>
    </row>
    <row r="8149" spans="1:8" x14ac:dyDescent="0.2">
      <c r="A8149" t="str">
        <f t="shared" si="2970"/>
        <v>0616039074</v>
      </c>
      <c r="B8149" t="str">
        <f t="shared" si="2971"/>
        <v>A'NIYAH</v>
      </c>
      <c r="C8149" t="str">
        <f t="shared" si="2972"/>
        <v>JEAN-BAPTISTE</v>
      </c>
      <c r="D8149">
        <f>10</f>
        <v>10</v>
      </c>
      <c r="E8149" t="str">
        <f>"01 - A - 102 - Lytrell T Dixon"</f>
        <v>01 - A - 102 - Lytrell T Dixon</v>
      </c>
      <c r="F8149" t="str">
        <f>"BIOLOGY 1"</f>
        <v>BIOLOGY 1</v>
      </c>
      <c r="G8149" t="str">
        <f>"08-808"</f>
        <v>08-808</v>
      </c>
      <c r="H8149" t="str">
        <f>"A"</f>
        <v>A</v>
      </c>
    </row>
    <row r="8150" spans="1:8" x14ac:dyDescent="0.2">
      <c r="A8150" t="str">
        <f t="shared" si="2970"/>
        <v>0616039074</v>
      </c>
      <c r="B8150" t="str">
        <f t="shared" si="2971"/>
        <v>A'NIYAH</v>
      </c>
      <c r="C8150" t="str">
        <f t="shared" si="2972"/>
        <v>JEAN-BAPTISTE</v>
      </c>
      <c r="D8150">
        <f>10</f>
        <v>10</v>
      </c>
      <c r="E8150" t="str">
        <f>"08 - S1 - B - 104 - Angela S Adeshina-Morrison"</f>
        <v>08 - S1 - B - 104 - Angela S Adeshina-Morrison</v>
      </c>
      <c r="F8150" t="str">
        <f>"PEER COUN 1"</f>
        <v>PEER COUN 1</v>
      </c>
      <c r="G8150" t="str">
        <f>"05-518"</f>
        <v>05-518</v>
      </c>
      <c r="H8150" t="str">
        <f>"B"</f>
        <v>B</v>
      </c>
    </row>
    <row r="8151" spans="1:8" x14ac:dyDescent="0.2">
      <c r="A8151" t="str">
        <f t="shared" ref="A8151:A8158" si="2973">"0621003567"</f>
        <v>0621003567</v>
      </c>
      <c r="B8151" t="str">
        <f t="shared" ref="B8151:B8158" si="2974">"LAURA"</f>
        <v>LAURA</v>
      </c>
      <c r="C8151" t="str">
        <f t="shared" si="2972"/>
        <v>JEAN-BAPTISTE</v>
      </c>
      <c r="D8151">
        <f>11</f>
        <v>11</v>
      </c>
      <c r="E8151" t="str">
        <f>"04 - A - 101 - Jerry S Jiampetti"</f>
        <v>04 - A - 101 - Jerry S Jiampetti</v>
      </c>
      <c r="F8151" t="str">
        <f>"AICE U.S. HIST 1 AS"</f>
        <v>AICE U.S. HIST 1 AS</v>
      </c>
      <c r="G8151" t="str">
        <f>"17-1751"</f>
        <v>17-1751</v>
      </c>
      <c r="H8151" t="str">
        <f>"A"</f>
        <v>A</v>
      </c>
    </row>
    <row r="8152" spans="1:8" x14ac:dyDescent="0.2">
      <c r="A8152" t="str">
        <f t="shared" si="2973"/>
        <v>0621003567</v>
      </c>
      <c r="B8152" t="str">
        <f t="shared" si="2974"/>
        <v>LAURA</v>
      </c>
      <c r="C8152" t="str">
        <f t="shared" si="2972"/>
        <v>JEAN-BAPTISTE</v>
      </c>
      <c r="D8152">
        <f>11</f>
        <v>11</v>
      </c>
      <c r="E8152" t="str">
        <f>"06 - B - 104 - Brandy N Zdenek"</f>
        <v>06 - B - 104 - Brandy N Zdenek</v>
      </c>
      <c r="F8152" t="str">
        <f>"AICE ENG LANG 2 AL"</f>
        <v>AICE ENG LANG 2 AL</v>
      </c>
      <c r="G8152" t="str">
        <f>"17-1704"</f>
        <v>17-1704</v>
      </c>
      <c r="H8152" t="str">
        <f>"B"</f>
        <v>B</v>
      </c>
    </row>
    <row r="8153" spans="1:8" x14ac:dyDescent="0.2">
      <c r="A8153" t="str">
        <f t="shared" si="2973"/>
        <v>0621003567</v>
      </c>
      <c r="B8153" t="str">
        <f t="shared" si="2974"/>
        <v>LAURA</v>
      </c>
      <c r="C8153" t="str">
        <f t="shared" si="2972"/>
        <v>JEAN-BAPTISTE</v>
      </c>
      <c r="D8153">
        <f>11</f>
        <v>11</v>
      </c>
      <c r="E8153" t="str">
        <f>"03 - A - 102 - Thomas G Handwerg"</f>
        <v>03 - A - 102 - Thomas G Handwerg</v>
      </c>
      <c r="F8153" t="str">
        <f>"MATH COLL ALGEBRA"</f>
        <v>MATH COLL ALGEBRA</v>
      </c>
      <c r="G8153" t="str">
        <f>"21-2146"</f>
        <v>21-2146</v>
      </c>
      <c r="H8153" t="str">
        <f>"A"</f>
        <v>A</v>
      </c>
    </row>
    <row r="8154" spans="1:8" x14ac:dyDescent="0.2">
      <c r="A8154" t="str">
        <f t="shared" si="2973"/>
        <v>0621003567</v>
      </c>
      <c r="B8154" t="str">
        <f t="shared" si="2974"/>
        <v>LAURA</v>
      </c>
      <c r="C8154" t="str">
        <f t="shared" si="2972"/>
        <v>JEAN-BAPTISTE</v>
      </c>
      <c r="D8154">
        <f>11</f>
        <v>11</v>
      </c>
      <c r="E8154" t="str">
        <f>"02 - A - 107 - Elizabeth Ellen  Moran"</f>
        <v>02 - A - 107 - Elizabeth Ellen  Moran</v>
      </c>
      <c r="F8154" t="str">
        <f>"NC STUDY HALL 1"</f>
        <v>NC STUDY HALL 1</v>
      </c>
      <c r="G8154" t="str">
        <f>"17-1752"</f>
        <v>17-1752</v>
      </c>
      <c r="H8154" t="str">
        <f>"A"</f>
        <v>A</v>
      </c>
    </row>
    <row r="8155" spans="1:8" x14ac:dyDescent="0.2">
      <c r="A8155" t="str">
        <f t="shared" si="2973"/>
        <v>0621003567</v>
      </c>
      <c r="B8155" t="str">
        <f t="shared" si="2974"/>
        <v>LAURA</v>
      </c>
      <c r="C8155" t="str">
        <f t="shared" si="2972"/>
        <v>JEAN-BAPTISTE</v>
      </c>
      <c r="D8155">
        <f>11</f>
        <v>11</v>
      </c>
      <c r="E8155" t="str">
        <f>"07 - B - 103 - Lisa J London"</f>
        <v>07 - B - 103 - Lisa J London</v>
      </c>
      <c r="F8155" t="str">
        <f>"AP CAPSTONE SEMINAR"</f>
        <v>AP CAPSTONE SEMINAR</v>
      </c>
      <c r="G8155" t="str">
        <f>"17-1714"</f>
        <v>17-1714</v>
      </c>
      <c r="H8155" t="str">
        <f>"B"</f>
        <v>B</v>
      </c>
    </row>
    <row r="8156" spans="1:8" x14ac:dyDescent="0.2">
      <c r="A8156" t="str">
        <f t="shared" si="2973"/>
        <v>0621003567</v>
      </c>
      <c r="B8156" t="str">
        <f t="shared" si="2974"/>
        <v>LAURA</v>
      </c>
      <c r="C8156" t="str">
        <f t="shared" si="2972"/>
        <v>JEAN-BAPTISTE</v>
      </c>
      <c r="D8156">
        <f>11</f>
        <v>11</v>
      </c>
      <c r="E8156" t="str">
        <f>"05 - B - 001 - Stefanie S Scher"</f>
        <v>05 - B - 001 - Stefanie S Scher</v>
      </c>
      <c r="F8156" t="str">
        <f>"AICE PSYCH 1 AS"</f>
        <v>AICE PSYCH 1 AS</v>
      </c>
      <c r="G8156" t="str">
        <f>"17-1735"</f>
        <v>17-1735</v>
      </c>
      <c r="H8156" t="str">
        <f>"B"</f>
        <v>B</v>
      </c>
    </row>
    <row r="8157" spans="1:8" x14ac:dyDescent="0.2">
      <c r="A8157" t="str">
        <f t="shared" si="2973"/>
        <v>0621003567</v>
      </c>
      <c r="B8157" t="str">
        <f t="shared" si="2974"/>
        <v>LAURA</v>
      </c>
      <c r="C8157" t="str">
        <f t="shared" si="2972"/>
        <v>JEAN-BAPTISTE</v>
      </c>
      <c r="D8157">
        <f>11</f>
        <v>11</v>
      </c>
      <c r="E8157" t="str">
        <f>"01 - A - 107 - Valerie J Ruwe"</f>
        <v>01 - A - 107 - Valerie J Ruwe</v>
      </c>
      <c r="F8157" t="str">
        <f>"CHEMISTRY 1 HON"</f>
        <v>CHEMISTRY 1 HON</v>
      </c>
      <c r="G8157" t="str">
        <f>"21-2134"</f>
        <v>21-2134</v>
      </c>
      <c r="H8157" t="str">
        <f>"A"</f>
        <v>A</v>
      </c>
    </row>
    <row r="8158" spans="1:8" x14ac:dyDescent="0.2">
      <c r="A8158" t="str">
        <f t="shared" si="2973"/>
        <v>0621003567</v>
      </c>
      <c r="B8158" t="str">
        <f t="shared" si="2974"/>
        <v>LAURA</v>
      </c>
      <c r="C8158" t="str">
        <f t="shared" si="2972"/>
        <v>JEAN-BAPTISTE</v>
      </c>
      <c r="D8158">
        <f>11</f>
        <v>11</v>
      </c>
      <c r="E8158" t="str">
        <f>"08 - B - 201 - Vanessa J Liburd"</f>
        <v>08 - B - 201 - Vanessa J Liburd</v>
      </c>
      <c r="F8158" t="str">
        <f>"FRENCH 3 HON"</f>
        <v>FRENCH 3 HON</v>
      </c>
      <c r="G8158" t="str">
        <f>"05-519"</f>
        <v>05-519</v>
      </c>
      <c r="H8158" t="str">
        <f>"B"</f>
        <v>B</v>
      </c>
    </row>
    <row r="8159" spans="1:8" x14ac:dyDescent="0.2">
      <c r="A8159" t="str">
        <f t="shared" ref="A8159:A8166" si="2975">"0616039050"</f>
        <v>0616039050</v>
      </c>
      <c r="B8159" t="str">
        <f t="shared" ref="B8159:B8166" si="2976">"S'ORIYAH"</f>
        <v>S'ORIYAH</v>
      </c>
      <c r="C8159" t="str">
        <f t="shared" si="2972"/>
        <v>JEAN-BAPTISTE</v>
      </c>
      <c r="D8159">
        <f>10</f>
        <v>10</v>
      </c>
      <c r="E8159" t="str">
        <f>"04 - S1 - A - 103 - James H Mccann"</f>
        <v>04 - S1 - A - 103 - James H Mccann</v>
      </c>
      <c r="F8159" t="str">
        <f>"PERS FIN &amp; MON MGT H"</f>
        <v>PERS FIN &amp; MON MGT H</v>
      </c>
      <c r="G8159" t="str">
        <f>"17-1716"</f>
        <v>17-1716</v>
      </c>
      <c r="H8159" t="str">
        <f>"A"</f>
        <v>A</v>
      </c>
    </row>
    <row r="8160" spans="1:8" x14ac:dyDescent="0.2">
      <c r="A8160" t="str">
        <f t="shared" si="2975"/>
        <v>0616039050</v>
      </c>
      <c r="B8160" t="str">
        <f t="shared" si="2976"/>
        <v>S'ORIYAH</v>
      </c>
      <c r="C8160" t="str">
        <f t="shared" si="2972"/>
        <v>JEAN-BAPTISTE</v>
      </c>
      <c r="D8160">
        <f>10</f>
        <v>10</v>
      </c>
      <c r="E8160" t="str">
        <f>"06 - B - 113 - Joe  Kilpatrick Jr"</f>
        <v>06 - B - 113 - Joe  Kilpatrick Jr</v>
      </c>
      <c r="F8160" t="str">
        <f>"NC STUDY HALL 1"</f>
        <v>NC STUDY HALL 1</v>
      </c>
      <c r="G8160" t="str">
        <f>"09-912"</f>
        <v>09-912</v>
      </c>
      <c r="H8160" t="str">
        <f>"B"</f>
        <v>B</v>
      </c>
    </row>
    <row r="8161" spans="1:8" x14ac:dyDescent="0.2">
      <c r="A8161" t="str">
        <f t="shared" si="2975"/>
        <v>0616039050</v>
      </c>
      <c r="B8161" t="str">
        <f t="shared" si="2976"/>
        <v>S'ORIYAH</v>
      </c>
      <c r="C8161" t="str">
        <f t="shared" si="2972"/>
        <v>JEAN-BAPTISTE</v>
      </c>
      <c r="D8161">
        <f>10</f>
        <v>10</v>
      </c>
      <c r="E8161" t="str">
        <f>"03 - A - 002 - Ferrie J Arostique"</f>
        <v>03 - A - 002 - Ferrie J Arostique</v>
      </c>
      <c r="F8161" t="str">
        <f>"GEOMETRY"</f>
        <v>GEOMETRY</v>
      </c>
      <c r="G8161" t="str">
        <f>"21-2139"</f>
        <v>21-2139</v>
      </c>
      <c r="H8161" t="str">
        <f>"A"</f>
        <v>A</v>
      </c>
    </row>
    <row r="8162" spans="1:8" x14ac:dyDescent="0.2">
      <c r="A8162" t="str">
        <f t="shared" si="2975"/>
        <v>0616039050</v>
      </c>
      <c r="B8162" t="str">
        <f t="shared" si="2976"/>
        <v>S'ORIYAH</v>
      </c>
      <c r="C8162" t="str">
        <f t="shared" si="2972"/>
        <v>JEAN-BAPTISTE</v>
      </c>
      <c r="D8162">
        <f>10</f>
        <v>10</v>
      </c>
      <c r="E8162" t="str">
        <f>"02 - A - 102 - Adam Marcus  Drucker"</f>
        <v>02 - A - 102 - Adam Marcus  Drucker</v>
      </c>
      <c r="F8162" t="str">
        <f>"HOPE-PE V"</f>
        <v>HOPE-PE V</v>
      </c>
      <c r="G8162" t="str">
        <f>"04-254"</f>
        <v>04-254</v>
      </c>
      <c r="H8162" t="str">
        <f>"A"</f>
        <v>A</v>
      </c>
    </row>
    <row r="8163" spans="1:8" x14ac:dyDescent="0.2">
      <c r="A8163" t="str">
        <f t="shared" si="2975"/>
        <v>0616039050</v>
      </c>
      <c r="B8163" t="str">
        <f t="shared" si="2976"/>
        <v>S'ORIYAH</v>
      </c>
      <c r="C8163" t="str">
        <f t="shared" si="2972"/>
        <v>JEAN-BAPTISTE</v>
      </c>
      <c r="D8163">
        <f>10</f>
        <v>10</v>
      </c>
      <c r="E8163" t="str">
        <f>"07 - B - 106 - Taraneh C Abreu"</f>
        <v>07 - B - 106 - Taraneh C Abreu</v>
      </c>
      <c r="F8163" t="str">
        <f>"INTENS READ 2"</f>
        <v>INTENS READ 2</v>
      </c>
      <c r="G8163" t="str">
        <f>"17-1713"</f>
        <v>17-1713</v>
      </c>
      <c r="H8163" t="str">
        <f>"B"</f>
        <v>B</v>
      </c>
    </row>
    <row r="8164" spans="1:8" x14ac:dyDescent="0.2">
      <c r="A8164" t="str">
        <f t="shared" si="2975"/>
        <v>0616039050</v>
      </c>
      <c r="B8164" t="str">
        <f t="shared" si="2976"/>
        <v>S'ORIYAH</v>
      </c>
      <c r="C8164" t="str">
        <f t="shared" si="2972"/>
        <v>JEAN-BAPTISTE</v>
      </c>
      <c r="D8164">
        <f>10</f>
        <v>10</v>
      </c>
      <c r="E8164" t="str">
        <f>"05 - B - 106 - Jacquelyn M Neeson"</f>
        <v>05 - B - 106 - Jacquelyn M Neeson</v>
      </c>
      <c r="F8164" t="str">
        <f>"ENG 2"</f>
        <v>ENG 2</v>
      </c>
      <c r="G8164" t="str">
        <f>"17-1715"</f>
        <v>17-1715</v>
      </c>
      <c r="H8164" t="str">
        <f>"B"</f>
        <v>B</v>
      </c>
    </row>
    <row r="8165" spans="1:8" x14ac:dyDescent="0.2">
      <c r="A8165" t="str">
        <f t="shared" si="2975"/>
        <v>0616039050</v>
      </c>
      <c r="B8165" t="str">
        <f t="shared" si="2976"/>
        <v>S'ORIYAH</v>
      </c>
      <c r="C8165" t="str">
        <f t="shared" si="2972"/>
        <v>JEAN-BAPTISTE</v>
      </c>
      <c r="D8165">
        <f>10</f>
        <v>10</v>
      </c>
      <c r="E8165" t="str">
        <f>"01 - A - 101 - Samantha L Martinez"</f>
        <v>01 - A - 101 - Samantha L Martinez</v>
      </c>
      <c r="F8165" t="str">
        <f>"MUSIC WORLD"</f>
        <v>MUSIC WORLD</v>
      </c>
      <c r="G8165" t="str">
        <f>"05-505"</f>
        <v>05-505</v>
      </c>
      <c r="H8165" t="str">
        <f>"A"</f>
        <v>A</v>
      </c>
    </row>
    <row r="8166" spans="1:8" x14ac:dyDescent="0.2">
      <c r="A8166" t="str">
        <f t="shared" si="2975"/>
        <v>0616039050</v>
      </c>
      <c r="B8166" t="str">
        <f t="shared" si="2976"/>
        <v>S'ORIYAH</v>
      </c>
      <c r="C8166" t="str">
        <f t="shared" si="2972"/>
        <v>JEAN-BAPTISTE</v>
      </c>
      <c r="D8166">
        <f>10</f>
        <v>10</v>
      </c>
      <c r="E8166" t="str">
        <f>"08 - B - 108 - Paige Lauren  Brochu"</f>
        <v>08 - B - 108 - Paige Lauren  Brochu</v>
      </c>
      <c r="F8166" t="str">
        <f>"BIOLOGY 1"</f>
        <v>BIOLOGY 1</v>
      </c>
      <c r="G8166" t="str">
        <f>"21-2134"</f>
        <v>21-2134</v>
      </c>
      <c r="H8166" t="str">
        <f>"B"</f>
        <v>B</v>
      </c>
    </row>
    <row r="8167" spans="1:8" x14ac:dyDescent="0.2">
      <c r="A8167" t="str">
        <f t="shared" ref="A8167:A8174" si="2977">"0614057283"</f>
        <v>0614057283</v>
      </c>
      <c r="B8167" t="str">
        <f t="shared" ref="B8167:B8174" si="2978">"DAE'LYN"</f>
        <v>DAE'LYN</v>
      </c>
      <c r="C8167" t="str">
        <f t="shared" ref="C8167:C8174" si="2979">"JEAN CHARLES"</f>
        <v>JEAN CHARLES</v>
      </c>
      <c r="D8167" t="str">
        <f t="shared" ref="D8167:D8182" si="2980">"09"</f>
        <v>09</v>
      </c>
      <c r="E8167" t="str">
        <f>"04 - A - 107 - Amy Beth  Broyles"</f>
        <v>04 - A - 107 - Amy Beth  Broyles</v>
      </c>
      <c r="F8167" t="str">
        <f>"ENV SCI"</f>
        <v>ENV SCI</v>
      </c>
      <c r="G8167" t="str">
        <f>"08-802"</f>
        <v>08-802</v>
      </c>
      <c r="H8167" t="str">
        <f>"A"</f>
        <v>A</v>
      </c>
    </row>
    <row r="8168" spans="1:8" x14ac:dyDescent="0.2">
      <c r="A8168" t="str">
        <f t="shared" si="2977"/>
        <v>0614057283</v>
      </c>
      <c r="B8168" t="str">
        <f t="shared" si="2978"/>
        <v>DAE'LYN</v>
      </c>
      <c r="C8168" t="str">
        <f t="shared" si="2979"/>
        <v>JEAN CHARLES</v>
      </c>
      <c r="D8168" t="str">
        <f t="shared" si="2980"/>
        <v>09</v>
      </c>
      <c r="E8168" t="str">
        <f>"06 - B - 104 - Laselleda D Shaw"</f>
        <v>06 - B - 104 - Laselleda D Shaw</v>
      </c>
      <c r="F8168" t="str">
        <f>"INTENS READ 1"</f>
        <v>INTENS READ 1</v>
      </c>
      <c r="G8168" t="str">
        <f>"17-1723"</f>
        <v>17-1723</v>
      </c>
      <c r="H8168" t="str">
        <f>"B"</f>
        <v>B</v>
      </c>
    </row>
    <row r="8169" spans="1:8" x14ac:dyDescent="0.2">
      <c r="A8169" t="str">
        <f t="shared" si="2977"/>
        <v>0614057283</v>
      </c>
      <c r="B8169" t="str">
        <f t="shared" si="2978"/>
        <v>DAE'LYN</v>
      </c>
      <c r="C8169" t="str">
        <f t="shared" si="2979"/>
        <v>JEAN CHARLES</v>
      </c>
      <c r="D8169" t="str">
        <f t="shared" si="2980"/>
        <v>09</v>
      </c>
      <c r="E8169" t="str">
        <f>"03 - A - 101 - Helen A Flores"</f>
        <v>03 - A - 101 - Helen A Flores</v>
      </c>
      <c r="F8169" t="str">
        <f>"PRE-AICE MATH 1 IG"</f>
        <v>PRE-AICE MATH 1 IG</v>
      </c>
      <c r="G8169" t="str">
        <f>"21-2101"</f>
        <v>21-2101</v>
      </c>
      <c r="H8169" t="str">
        <f>"A"</f>
        <v>A</v>
      </c>
    </row>
    <row r="8170" spans="1:8" x14ac:dyDescent="0.2">
      <c r="A8170" t="str">
        <f t="shared" si="2977"/>
        <v>0614057283</v>
      </c>
      <c r="B8170" t="str">
        <f t="shared" si="2978"/>
        <v>DAE'LYN</v>
      </c>
      <c r="C8170" t="str">
        <f t="shared" si="2979"/>
        <v>JEAN CHARLES</v>
      </c>
      <c r="D8170" t="str">
        <f t="shared" si="2980"/>
        <v>09</v>
      </c>
      <c r="E8170" t="str">
        <f>"02 - A - 112 - Cheryl Anne  Berman-Schechter"</f>
        <v>02 - A - 112 - Cheryl Anne  Berman-Schechter</v>
      </c>
      <c r="F8170" t="str">
        <f>"NC STUDY HALL 1"</f>
        <v>NC STUDY HALL 1</v>
      </c>
      <c r="G8170" t="str">
        <f>"17-1722"</f>
        <v>17-1722</v>
      </c>
      <c r="H8170" t="str">
        <f>"A"</f>
        <v>A</v>
      </c>
    </row>
    <row r="8171" spans="1:8" x14ac:dyDescent="0.2">
      <c r="A8171" t="str">
        <f t="shared" si="2977"/>
        <v>0614057283</v>
      </c>
      <c r="B8171" t="str">
        <f t="shared" si="2978"/>
        <v>DAE'LYN</v>
      </c>
      <c r="C8171" t="str">
        <f t="shared" si="2979"/>
        <v>JEAN CHARLES</v>
      </c>
      <c r="D8171" t="str">
        <f t="shared" si="2980"/>
        <v>09</v>
      </c>
      <c r="E8171" t="str">
        <f>"07 - B - 104 - Lissa C Frederique"</f>
        <v>07 - B - 104 - Lissa C Frederique</v>
      </c>
      <c r="F8171" t="str">
        <f>"WORLD HISTORY"</f>
        <v>WORLD HISTORY</v>
      </c>
      <c r="G8171" t="str">
        <f>"17-1754"</f>
        <v>17-1754</v>
      </c>
      <c r="H8171" t="str">
        <f>"B"</f>
        <v>B</v>
      </c>
    </row>
    <row r="8172" spans="1:8" x14ac:dyDescent="0.2">
      <c r="A8172" t="str">
        <f t="shared" si="2977"/>
        <v>0614057283</v>
      </c>
      <c r="B8172" t="str">
        <f t="shared" si="2978"/>
        <v>DAE'LYN</v>
      </c>
      <c r="C8172" t="str">
        <f t="shared" si="2979"/>
        <v>JEAN CHARLES</v>
      </c>
      <c r="D8172" t="str">
        <f t="shared" si="2980"/>
        <v>09</v>
      </c>
      <c r="E8172" t="str">
        <f>"05 - B - 101 - Brian M Fitzgerald"</f>
        <v>05 - B - 101 - Brian M Fitzgerald</v>
      </c>
      <c r="F8172" t="str">
        <f>"PAINT 1"</f>
        <v>PAINT 1</v>
      </c>
      <c r="G8172" t="str">
        <f>"09-908"</f>
        <v>09-908</v>
      </c>
      <c r="H8172" t="str">
        <f>"B"</f>
        <v>B</v>
      </c>
    </row>
    <row r="8173" spans="1:8" x14ac:dyDescent="0.2">
      <c r="A8173" t="str">
        <f t="shared" si="2977"/>
        <v>0614057283</v>
      </c>
      <c r="B8173" t="str">
        <f t="shared" si="2978"/>
        <v>DAE'LYN</v>
      </c>
      <c r="C8173" t="str">
        <f t="shared" si="2979"/>
        <v>JEAN CHARLES</v>
      </c>
      <c r="D8173" t="str">
        <f t="shared" si="2980"/>
        <v>09</v>
      </c>
      <c r="E8173" t="str">
        <f>"01 - S1 - A - 101 - Richard E Dunbar Iii"</f>
        <v>01 - S1 - A - 101 - Richard E Dunbar Iii</v>
      </c>
      <c r="F8173" t="str">
        <f>"WEIGHT TRAIN 1"</f>
        <v>WEIGHT TRAIN 1</v>
      </c>
      <c r="G8173" t="str">
        <f>"05-501"</f>
        <v>05-501</v>
      </c>
      <c r="H8173" t="str">
        <f>"A"</f>
        <v>A</v>
      </c>
    </row>
    <row r="8174" spans="1:8" x14ac:dyDescent="0.2">
      <c r="A8174" t="str">
        <f t="shared" si="2977"/>
        <v>0614057283</v>
      </c>
      <c r="B8174" t="str">
        <f t="shared" si="2978"/>
        <v>DAE'LYN</v>
      </c>
      <c r="C8174" t="str">
        <f t="shared" si="2979"/>
        <v>JEAN CHARLES</v>
      </c>
      <c r="D8174" t="str">
        <f t="shared" si="2980"/>
        <v>09</v>
      </c>
      <c r="E8174" t="str">
        <f>"08 - B - 108 - Cerine S Stewart"</f>
        <v>08 - B - 108 - Cerine S Stewart</v>
      </c>
      <c r="F8174" t="str">
        <f>"ENG 1"</f>
        <v>ENG 1</v>
      </c>
      <c r="G8174" t="str">
        <f>"17-1720"</f>
        <v>17-1720</v>
      </c>
      <c r="H8174" t="str">
        <f>"B"</f>
        <v>B</v>
      </c>
    </row>
    <row r="8175" spans="1:8" x14ac:dyDescent="0.2">
      <c r="A8175" t="str">
        <f t="shared" ref="A8175:A8182" si="2981">"0619060301"</f>
        <v>0619060301</v>
      </c>
      <c r="B8175" t="str">
        <f t="shared" ref="B8175:B8182" si="2982">"KEMBEY"</f>
        <v>KEMBEY</v>
      </c>
      <c r="C8175" t="str">
        <f t="shared" ref="C8175:C8182" si="2983">"JEAN-CHARLES"</f>
        <v>JEAN-CHARLES</v>
      </c>
      <c r="D8175" t="str">
        <f t="shared" si="2980"/>
        <v>09</v>
      </c>
      <c r="E8175" t="str">
        <f>"04 - A - 102 - Elizabeth R Walker"</f>
        <v>04 - A - 102 - Elizabeth R Walker</v>
      </c>
      <c r="F8175" t="str">
        <f>"AICE ENG GEN PAPER 1"</f>
        <v>AICE ENG GEN PAPER 1</v>
      </c>
      <c r="G8175" t="str">
        <f>"17-1703"</f>
        <v>17-1703</v>
      </c>
      <c r="H8175" t="str">
        <f>"A"</f>
        <v>A</v>
      </c>
    </row>
    <row r="8176" spans="1:8" x14ac:dyDescent="0.2">
      <c r="A8176" t="str">
        <f t="shared" si="2981"/>
        <v>0619060301</v>
      </c>
      <c r="B8176" t="str">
        <f t="shared" si="2982"/>
        <v>KEMBEY</v>
      </c>
      <c r="C8176" t="str">
        <f t="shared" si="2983"/>
        <v>JEAN-CHARLES</v>
      </c>
      <c r="D8176" t="str">
        <f t="shared" si="2980"/>
        <v>09</v>
      </c>
      <c r="E8176" t="str">
        <f>"06 - B - 202 - Samantha L Martinez"</f>
        <v>06 - B - 202 - Samantha L Martinez</v>
      </c>
      <c r="F8176" t="str">
        <f>"GUITAR 1"</f>
        <v>GUITAR 1</v>
      </c>
      <c r="G8176" t="str">
        <f>"05-505"</f>
        <v>05-505</v>
      </c>
      <c r="H8176" t="str">
        <f>"B"</f>
        <v>B</v>
      </c>
    </row>
    <row r="8177" spans="1:8" x14ac:dyDescent="0.2">
      <c r="A8177" t="str">
        <f t="shared" si="2981"/>
        <v>0619060301</v>
      </c>
      <c r="B8177" t="str">
        <f t="shared" si="2982"/>
        <v>KEMBEY</v>
      </c>
      <c r="C8177" t="str">
        <f t="shared" si="2983"/>
        <v>JEAN-CHARLES</v>
      </c>
      <c r="D8177" t="str">
        <f t="shared" si="2980"/>
        <v>09</v>
      </c>
      <c r="E8177" t="str">
        <f>"03 - A - 103 - Adam Marcus  Drucker"</f>
        <v>03 - A - 103 - Adam Marcus  Drucker</v>
      </c>
      <c r="F8177" t="str">
        <f>"HOPE-PE V"</f>
        <v>HOPE-PE V</v>
      </c>
      <c r="G8177" t="str">
        <f>"04-254"</f>
        <v>04-254</v>
      </c>
      <c r="H8177" t="str">
        <f>"A"</f>
        <v>A</v>
      </c>
    </row>
    <row r="8178" spans="1:8" x14ac:dyDescent="0.2">
      <c r="A8178" t="str">
        <f t="shared" si="2981"/>
        <v>0619060301</v>
      </c>
      <c r="B8178" t="str">
        <f t="shared" si="2982"/>
        <v>KEMBEY</v>
      </c>
      <c r="C8178" t="str">
        <f t="shared" si="2983"/>
        <v>JEAN-CHARLES</v>
      </c>
      <c r="D8178" t="str">
        <f t="shared" si="2980"/>
        <v>09</v>
      </c>
      <c r="E8178" t="str">
        <f>"02 - A - 107 - Cerine S Stewart"</f>
        <v>02 - A - 107 - Cerine S Stewart</v>
      </c>
      <c r="F8178" t="str">
        <f>"NC STUDY HALL 1"</f>
        <v>NC STUDY HALL 1</v>
      </c>
      <c r="G8178" t="str">
        <f>"17-1720"</f>
        <v>17-1720</v>
      </c>
      <c r="H8178" t="str">
        <f>"A"</f>
        <v>A</v>
      </c>
    </row>
    <row r="8179" spans="1:8" x14ac:dyDescent="0.2">
      <c r="A8179" t="str">
        <f t="shared" si="2981"/>
        <v>0619060301</v>
      </c>
      <c r="B8179" t="str">
        <f t="shared" si="2982"/>
        <v>KEMBEY</v>
      </c>
      <c r="C8179" t="str">
        <f t="shared" si="2983"/>
        <v>JEAN-CHARLES</v>
      </c>
      <c r="D8179" t="str">
        <f t="shared" si="2980"/>
        <v>09</v>
      </c>
      <c r="E8179" t="str">
        <f>"07 - B - 001 - Carol S Moore"</f>
        <v>07 - B - 001 - Carol S Moore</v>
      </c>
      <c r="F8179" t="str">
        <f>"PRE-AICE WRLD HST IG"</f>
        <v>PRE-AICE WRLD HST IG</v>
      </c>
      <c r="G8179" t="str">
        <f>"17-1733"</f>
        <v>17-1733</v>
      </c>
      <c r="H8179" t="str">
        <f>"B"</f>
        <v>B</v>
      </c>
    </row>
    <row r="8180" spans="1:8" x14ac:dyDescent="0.2">
      <c r="A8180" t="str">
        <f t="shared" si="2981"/>
        <v>0619060301</v>
      </c>
      <c r="B8180" t="str">
        <f t="shared" si="2982"/>
        <v>KEMBEY</v>
      </c>
      <c r="C8180" t="str">
        <f t="shared" si="2983"/>
        <v>JEAN-CHARLES</v>
      </c>
      <c r="D8180" t="str">
        <f t="shared" si="2980"/>
        <v>09</v>
      </c>
      <c r="E8180" t="str">
        <f>"05 - B - 102 - Tina L Lovett"</f>
        <v>05 - B - 102 - Tina L Lovett</v>
      </c>
      <c r="F8180" t="str">
        <f>"PRE-AICE MATH 1 IG"</f>
        <v>PRE-AICE MATH 1 IG</v>
      </c>
      <c r="G8180" t="str">
        <f>"21-2153"</f>
        <v>21-2153</v>
      </c>
      <c r="H8180" t="str">
        <f>"B"</f>
        <v>B</v>
      </c>
    </row>
    <row r="8181" spans="1:8" x14ac:dyDescent="0.2">
      <c r="A8181" t="str">
        <f t="shared" si="2981"/>
        <v>0619060301</v>
      </c>
      <c r="B8181" t="str">
        <f t="shared" si="2982"/>
        <v>KEMBEY</v>
      </c>
      <c r="C8181" t="str">
        <f t="shared" si="2983"/>
        <v>JEAN-CHARLES</v>
      </c>
      <c r="D8181" t="str">
        <f t="shared" si="2980"/>
        <v>09</v>
      </c>
      <c r="E8181" t="str">
        <f>"01 - A - 101 - Josiah I Lacy"</f>
        <v>01 - A - 101 - Josiah I Lacy</v>
      </c>
      <c r="F8181" t="str">
        <f>"PRE-AICE BIO IG"</f>
        <v>PRE-AICE BIO IG</v>
      </c>
      <c r="G8181" t="str">
        <f>"08-801"</f>
        <v>08-801</v>
      </c>
      <c r="H8181" t="str">
        <f>"A"</f>
        <v>A</v>
      </c>
    </row>
    <row r="8182" spans="1:8" x14ac:dyDescent="0.2">
      <c r="A8182" t="str">
        <f t="shared" si="2981"/>
        <v>0619060301</v>
      </c>
      <c r="B8182" t="str">
        <f t="shared" si="2982"/>
        <v>KEMBEY</v>
      </c>
      <c r="C8182" t="str">
        <f t="shared" si="2983"/>
        <v>JEAN-CHARLES</v>
      </c>
      <c r="D8182" t="str">
        <f t="shared" si="2980"/>
        <v>09</v>
      </c>
      <c r="E8182" t="str">
        <f>"08 - B - 103 - Jeanne M Bermudez"</f>
        <v>08 - B - 103 - Jeanne M Bermudez</v>
      </c>
      <c r="F8182" t="str">
        <f>"ADVANCED IT HON"</f>
        <v>ADVANCED IT HON</v>
      </c>
      <c r="G8182" t="str">
        <f>"21-2141"</f>
        <v>21-2141</v>
      </c>
      <c r="H8182" t="str">
        <f>"B"</f>
        <v>B</v>
      </c>
    </row>
    <row r="8183" spans="1:8" x14ac:dyDescent="0.2">
      <c r="A8183" t="str">
        <f t="shared" ref="A8183:A8190" si="2984">"0615054498"</f>
        <v>0615054498</v>
      </c>
      <c r="B8183" t="str">
        <f t="shared" ref="B8183:B8190" si="2985">"JANIAH"</f>
        <v>JANIAH</v>
      </c>
      <c r="C8183" t="str">
        <f t="shared" ref="C8183:C8190" si="2986">"JEAN-FRANCOIS"</f>
        <v>JEAN-FRANCOIS</v>
      </c>
      <c r="D8183">
        <f>11</f>
        <v>11</v>
      </c>
      <c r="E8183" t="str">
        <f>"04 - A - 101 - Stephen T Ripp"</f>
        <v>04 - A - 101 - Stephen T Ripp</v>
      </c>
      <c r="F8183" t="str">
        <f>"AP U.S. HIST"</f>
        <v>AP U.S. HIST</v>
      </c>
      <c r="G8183" t="str">
        <f>"17-1744"</f>
        <v>17-1744</v>
      </c>
      <c r="H8183" t="str">
        <f>"A"</f>
        <v>A</v>
      </c>
    </row>
    <row r="8184" spans="1:8" x14ac:dyDescent="0.2">
      <c r="A8184" t="str">
        <f t="shared" si="2984"/>
        <v>0615054498</v>
      </c>
      <c r="B8184" t="str">
        <f t="shared" si="2985"/>
        <v>JANIAH</v>
      </c>
      <c r="C8184" t="str">
        <f t="shared" si="2986"/>
        <v>JEAN-FRANCOIS</v>
      </c>
      <c r="D8184">
        <f>11</f>
        <v>11</v>
      </c>
      <c r="E8184" t="str">
        <f>"06 - B - 104 - Brandy N Zdenek"</f>
        <v>06 - B - 104 - Brandy N Zdenek</v>
      </c>
      <c r="F8184" t="str">
        <f>"AICE ENG LANG 2 AL"</f>
        <v>AICE ENG LANG 2 AL</v>
      </c>
      <c r="G8184" t="str">
        <f>"17-1704"</f>
        <v>17-1704</v>
      </c>
      <c r="H8184" t="str">
        <f>"B"</f>
        <v>B</v>
      </c>
    </row>
    <row r="8185" spans="1:8" x14ac:dyDescent="0.2">
      <c r="A8185" t="str">
        <f t="shared" si="2984"/>
        <v>0615054498</v>
      </c>
      <c r="B8185" t="str">
        <f t="shared" si="2985"/>
        <v>JANIAH</v>
      </c>
      <c r="C8185" t="str">
        <f t="shared" si="2986"/>
        <v>JEAN-FRANCOIS</v>
      </c>
      <c r="D8185">
        <f>11</f>
        <v>11</v>
      </c>
      <c r="E8185" t="str">
        <f>"03 - A - 204 - Norayda D Suarez"</f>
        <v>03 - A - 204 - Norayda D Suarez</v>
      </c>
      <c r="F8185" t="str">
        <f>"ANAT PHYSIO HON"</f>
        <v>ANAT PHYSIO HON</v>
      </c>
      <c r="G8185" t="str">
        <f>"21-2144"</f>
        <v>21-2144</v>
      </c>
      <c r="H8185" t="str">
        <f>"A"</f>
        <v>A</v>
      </c>
    </row>
    <row r="8186" spans="1:8" x14ac:dyDescent="0.2">
      <c r="A8186" t="str">
        <f t="shared" si="2984"/>
        <v>0615054498</v>
      </c>
      <c r="B8186" t="str">
        <f t="shared" si="2985"/>
        <v>JANIAH</v>
      </c>
      <c r="C8186" t="str">
        <f t="shared" si="2986"/>
        <v>JEAN-FRANCOIS</v>
      </c>
      <c r="D8186">
        <f>11</f>
        <v>11</v>
      </c>
      <c r="E8186" t="str">
        <f>"02 - A - 109 - Daniel S Katz"</f>
        <v>02 - A - 109 - Daniel S Katz</v>
      </c>
      <c r="F8186" t="str">
        <f>"NC STUDY HALL 1"</f>
        <v>NC STUDY HALL 1</v>
      </c>
      <c r="G8186" t="str">
        <f>"21-2156"</f>
        <v>21-2156</v>
      </c>
      <c r="H8186" t="str">
        <f>"A"</f>
        <v>A</v>
      </c>
    </row>
    <row r="8187" spans="1:8" x14ac:dyDescent="0.2">
      <c r="A8187" t="str">
        <f t="shared" si="2984"/>
        <v>0615054498</v>
      </c>
      <c r="B8187" t="str">
        <f t="shared" si="2985"/>
        <v>JANIAH</v>
      </c>
      <c r="C8187" t="str">
        <f t="shared" si="2986"/>
        <v>JEAN-FRANCOIS</v>
      </c>
      <c r="D8187">
        <f>11</f>
        <v>11</v>
      </c>
      <c r="E8187" t="str">
        <f>"07 - B - 105 - Robert H Rindner"</f>
        <v>07 - B - 105 - Robert H Rindner</v>
      </c>
      <c r="F8187" t="str">
        <f>"MATH DATA&amp;FIN LIT H"</f>
        <v>MATH DATA&amp;FIN LIT H</v>
      </c>
      <c r="G8187" t="str">
        <f>"21-2160"</f>
        <v>21-2160</v>
      </c>
      <c r="H8187" t="str">
        <f>"B"</f>
        <v>B</v>
      </c>
    </row>
    <row r="8188" spans="1:8" x14ac:dyDescent="0.2">
      <c r="A8188" t="str">
        <f t="shared" si="2984"/>
        <v>0615054498</v>
      </c>
      <c r="B8188" t="str">
        <f t="shared" si="2985"/>
        <v>JANIAH</v>
      </c>
      <c r="C8188" t="str">
        <f t="shared" si="2986"/>
        <v>JEAN-FRANCOIS</v>
      </c>
      <c r="D8188">
        <f>11</f>
        <v>11</v>
      </c>
      <c r="E8188" t="str">
        <f>"05 - B - 102 - Daniel S Katz"</f>
        <v>05 - B - 102 - Daniel S Katz</v>
      </c>
      <c r="F8188" t="str">
        <f>"EXEC INTERN 4 LH"</f>
        <v>EXEC INTERN 4 LH</v>
      </c>
      <c r="G8188" t="str">
        <f>"21-2156"</f>
        <v>21-2156</v>
      </c>
      <c r="H8188" t="str">
        <f>"B"</f>
        <v>B</v>
      </c>
    </row>
    <row r="8189" spans="1:8" x14ac:dyDescent="0.2">
      <c r="A8189" t="str">
        <f t="shared" si="2984"/>
        <v>0615054498</v>
      </c>
      <c r="B8189" t="str">
        <f t="shared" si="2985"/>
        <v>JANIAH</v>
      </c>
      <c r="C8189" t="str">
        <f t="shared" si="2986"/>
        <v>JEAN-FRANCOIS</v>
      </c>
      <c r="D8189">
        <f>11</f>
        <v>11</v>
      </c>
      <c r="E8189" t="str">
        <f>"01 - A - 101 - Lisa J London"</f>
        <v>01 - A - 101 - Lisa J London</v>
      </c>
      <c r="F8189" t="str">
        <f>"AP CAPSTONE SEMINAR"</f>
        <v>AP CAPSTONE SEMINAR</v>
      </c>
      <c r="G8189" t="str">
        <f>"17-1714"</f>
        <v>17-1714</v>
      </c>
      <c r="H8189" t="str">
        <f>"A"</f>
        <v>A</v>
      </c>
    </row>
    <row r="8190" spans="1:8" x14ac:dyDescent="0.2">
      <c r="A8190" t="str">
        <f t="shared" si="2984"/>
        <v>0615054498</v>
      </c>
      <c r="B8190" t="str">
        <f t="shared" si="2985"/>
        <v>JANIAH</v>
      </c>
      <c r="C8190" t="str">
        <f t="shared" si="2986"/>
        <v>JEAN-FRANCOIS</v>
      </c>
      <c r="D8190">
        <f>11</f>
        <v>11</v>
      </c>
      <c r="E8190" t="str">
        <f>"08 - B - 101 - Eva T Rimmer"</f>
        <v>08 - B - 101 - Eva T Rimmer</v>
      </c>
      <c r="F8190" t="str">
        <f>"CRIM JUST OPS 3 HON"</f>
        <v>CRIM JUST OPS 3 HON</v>
      </c>
      <c r="G8190" t="str">
        <f>"05-523"</f>
        <v>05-523</v>
      </c>
      <c r="H8190" t="str">
        <f>"B"</f>
        <v>B</v>
      </c>
    </row>
    <row r="8191" spans="1:8" x14ac:dyDescent="0.2">
      <c r="A8191" t="str">
        <f t="shared" ref="A8191:A8198" si="2987">"0615006049"</f>
        <v>0615006049</v>
      </c>
      <c r="B8191" t="str">
        <f t="shared" ref="B8191:B8198" si="2988">"GAELLE"</f>
        <v>GAELLE</v>
      </c>
      <c r="C8191" t="str">
        <f t="shared" ref="C8191:C8198" si="2989">"JEANLOUIS"</f>
        <v>JEANLOUIS</v>
      </c>
      <c r="D8191">
        <f>11</f>
        <v>11</v>
      </c>
      <c r="E8191" t="str">
        <f>"04 - A - 101 - Thomas G Handwerg"</f>
        <v>04 - A - 101 - Thomas G Handwerg</v>
      </c>
      <c r="F8191" t="str">
        <f>"MATH COLL ALGEBRA"</f>
        <v>MATH COLL ALGEBRA</v>
      </c>
      <c r="G8191" t="str">
        <f>"21-2146"</f>
        <v>21-2146</v>
      </c>
      <c r="H8191" t="str">
        <f>"A"</f>
        <v>A</v>
      </c>
    </row>
    <row r="8192" spans="1:8" x14ac:dyDescent="0.2">
      <c r="A8192" t="str">
        <f t="shared" si="2987"/>
        <v>0615006049</v>
      </c>
      <c r="B8192" t="str">
        <f t="shared" si="2988"/>
        <v>GAELLE</v>
      </c>
      <c r="C8192" t="str">
        <f t="shared" si="2989"/>
        <v>JEANLOUIS</v>
      </c>
      <c r="D8192">
        <f>11</f>
        <v>11</v>
      </c>
      <c r="E8192" t="str">
        <f>"06 - B - 101 - Bruce A Evans"</f>
        <v>06 - B - 101 - Bruce A Evans</v>
      </c>
      <c r="F8192" t="str">
        <f>"EMERG MED RESP 3 HON"</f>
        <v>EMERG MED RESP 3 HON</v>
      </c>
      <c r="G8192" t="str">
        <f>"21-2142"</f>
        <v>21-2142</v>
      </c>
      <c r="H8192" t="str">
        <f>"B"</f>
        <v>B</v>
      </c>
    </row>
    <row r="8193" spans="1:8" x14ac:dyDescent="0.2">
      <c r="A8193" t="str">
        <f t="shared" si="2987"/>
        <v>0615006049</v>
      </c>
      <c r="B8193" t="str">
        <f t="shared" si="2988"/>
        <v>GAELLE</v>
      </c>
      <c r="C8193" t="str">
        <f t="shared" si="2989"/>
        <v>JEANLOUIS</v>
      </c>
      <c r="D8193">
        <f>11</f>
        <v>11</v>
      </c>
      <c r="E8193" t="str">
        <f>"03 - A - 202 - Bruce A Evans"</f>
        <v>03 - A - 202 - Bruce A Evans</v>
      </c>
      <c r="F8193" t="str">
        <f>"HEALTH SCI FOUND HON"</f>
        <v>HEALTH SCI FOUND HON</v>
      </c>
      <c r="G8193" t="str">
        <f>"21-2142"</f>
        <v>21-2142</v>
      </c>
      <c r="H8193" t="str">
        <f>"A"</f>
        <v>A</v>
      </c>
    </row>
    <row r="8194" spans="1:8" x14ac:dyDescent="0.2">
      <c r="A8194" t="str">
        <f t="shared" si="2987"/>
        <v>0615006049</v>
      </c>
      <c r="B8194" t="str">
        <f t="shared" si="2988"/>
        <v>GAELLE</v>
      </c>
      <c r="C8194" t="str">
        <f t="shared" si="2989"/>
        <v>JEANLOUIS</v>
      </c>
      <c r="D8194">
        <f>11</f>
        <v>11</v>
      </c>
      <c r="E8194" t="str">
        <f>"02 - A - 117 - Kyle  Robbins"</f>
        <v>02 - A - 117 - Kyle  Robbins</v>
      </c>
      <c r="F8194" t="str">
        <f>"NC STUDY HALL 1"</f>
        <v>NC STUDY HALL 1</v>
      </c>
      <c r="G8194" t="str">
        <f>"17-1745"</f>
        <v>17-1745</v>
      </c>
      <c r="H8194" t="str">
        <f>"A"</f>
        <v>A</v>
      </c>
    </row>
    <row r="8195" spans="1:8" x14ac:dyDescent="0.2">
      <c r="A8195" t="str">
        <f t="shared" si="2987"/>
        <v>0615006049</v>
      </c>
      <c r="B8195" t="str">
        <f t="shared" si="2988"/>
        <v>GAELLE</v>
      </c>
      <c r="C8195" t="str">
        <f t="shared" si="2989"/>
        <v>JEANLOUIS</v>
      </c>
      <c r="D8195">
        <f>11</f>
        <v>11</v>
      </c>
      <c r="E8195" t="str">
        <f>"07 - B - 102 - Carleigh R Carmichael"</f>
        <v>07 - B - 102 - Carleigh R Carmichael</v>
      </c>
      <c r="F8195" t="str">
        <f>"LEAD SKLS DEV LH"</f>
        <v>LEAD SKLS DEV LH</v>
      </c>
      <c r="G8195" t="str">
        <f>"20-2072"</f>
        <v>20-2072</v>
      </c>
      <c r="H8195" t="str">
        <f>"B"</f>
        <v>B</v>
      </c>
    </row>
    <row r="8196" spans="1:8" x14ac:dyDescent="0.2">
      <c r="A8196" t="str">
        <f t="shared" si="2987"/>
        <v>0615006049</v>
      </c>
      <c r="B8196" t="str">
        <f t="shared" si="2988"/>
        <v>GAELLE</v>
      </c>
      <c r="C8196" t="str">
        <f t="shared" si="2989"/>
        <v>JEANLOUIS</v>
      </c>
      <c r="D8196">
        <f>11</f>
        <v>11</v>
      </c>
      <c r="E8196" t="str">
        <f>"05 - B - 102 - Jacklyn M James"</f>
        <v>05 - B - 102 - Jacklyn M James</v>
      </c>
      <c r="F8196" t="str">
        <f>"AICE ENG LANG AS"</f>
        <v>AICE ENG LANG AS</v>
      </c>
      <c r="G8196" t="str">
        <f>"17-1731"</f>
        <v>17-1731</v>
      </c>
      <c r="H8196" t="str">
        <f>"B"</f>
        <v>B</v>
      </c>
    </row>
    <row r="8197" spans="1:8" x14ac:dyDescent="0.2">
      <c r="A8197" t="str">
        <f t="shared" si="2987"/>
        <v>0615006049</v>
      </c>
      <c r="B8197" t="str">
        <f t="shared" si="2988"/>
        <v>GAELLE</v>
      </c>
      <c r="C8197" t="str">
        <f t="shared" si="2989"/>
        <v>JEANLOUIS</v>
      </c>
      <c r="D8197">
        <f>11</f>
        <v>11</v>
      </c>
      <c r="E8197" t="str">
        <f>"01 - A - 104 - Jerry S Jiampetti"</f>
        <v>01 - A - 104 - Jerry S Jiampetti</v>
      </c>
      <c r="F8197" t="str">
        <f>"US HISTORY HON"</f>
        <v>US HISTORY HON</v>
      </c>
      <c r="G8197" t="str">
        <f>"17-1751"</f>
        <v>17-1751</v>
      </c>
      <c r="H8197" t="str">
        <f>"A"</f>
        <v>A</v>
      </c>
    </row>
    <row r="8198" spans="1:8" x14ac:dyDescent="0.2">
      <c r="A8198" t="str">
        <f t="shared" si="2987"/>
        <v>0615006049</v>
      </c>
      <c r="B8198" t="str">
        <f t="shared" si="2988"/>
        <v>GAELLE</v>
      </c>
      <c r="C8198" t="str">
        <f t="shared" si="2989"/>
        <v>JEANLOUIS</v>
      </c>
      <c r="D8198">
        <f>11</f>
        <v>11</v>
      </c>
      <c r="E8198" t="str">
        <f>"08 - S1 - B - 101 - Amy Beth  Broyles"</f>
        <v>08 - S1 - B - 101 - Amy Beth  Broyles</v>
      </c>
      <c r="F8198" t="str">
        <f>"PEER COUN 3"</f>
        <v>PEER COUN 3</v>
      </c>
      <c r="G8198" t="str">
        <f>"17-1713"</f>
        <v>17-1713</v>
      </c>
      <c r="H8198" t="str">
        <f>"B"</f>
        <v>B</v>
      </c>
    </row>
    <row r="8199" spans="1:8" x14ac:dyDescent="0.2">
      <c r="A8199" t="str">
        <f t="shared" ref="A8199:A8206" si="2990">"0614081850"</f>
        <v>0614081850</v>
      </c>
      <c r="B8199" t="str">
        <f t="shared" ref="B8199:B8206" si="2991">"WIDNELSON"</f>
        <v>WIDNELSON</v>
      </c>
      <c r="C8199" t="str">
        <f t="shared" ref="C8199:C8215" si="2992">"JEAN LOUIS"</f>
        <v>JEAN LOUIS</v>
      </c>
      <c r="D8199">
        <f>10</f>
        <v>10</v>
      </c>
      <c r="E8199" t="str">
        <f>"04 - A - 106 - Marielle A Witting"</f>
        <v>04 - A - 106 - Marielle A Witting</v>
      </c>
      <c r="F8199" t="str">
        <f>"ANAT PHYSIO"</f>
        <v>ANAT PHYSIO</v>
      </c>
      <c r="G8199" t="str">
        <f>"08-805"</f>
        <v>08-805</v>
      </c>
      <c r="H8199" t="str">
        <f>"A"</f>
        <v>A</v>
      </c>
    </row>
    <row r="8200" spans="1:8" x14ac:dyDescent="0.2">
      <c r="A8200" t="str">
        <f t="shared" si="2990"/>
        <v>0614081850</v>
      </c>
      <c r="B8200" t="str">
        <f t="shared" si="2991"/>
        <v>WIDNELSON</v>
      </c>
      <c r="C8200" t="str">
        <f t="shared" si="2992"/>
        <v>JEAN LOUIS</v>
      </c>
      <c r="D8200">
        <f>10</f>
        <v>10</v>
      </c>
      <c r="E8200" t="str">
        <f>"06 - B - 107 - Dorothy D Moore"</f>
        <v>06 - B - 107 - Dorothy D Moore</v>
      </c>
      <c r="F8200" t="str">
        <f>"NC STUDY HALL 1"</f>
        <v>NC STUDY HALL 1</v>
      </c>
      <c r="G8200" t="str">
        <f>"08-803"</f>
        <v>08-803</v>
      </c>
      <c r="H8200" t="str">
        <f>"B"</f>
        <v>B</v>
      </c>
    </row>
    <row r="8201" spans="1:8" x14ac:dyDescent="0.2">
      <c r="A8201" t="str">
        <f t="shared" si="2990"/>
        <v>0614081850</v>
      </c>
      <c r="B8201" t="str">
        <f t="shared" si="2991"/>
        <v>WIDNELSON</v>
      </c>
      <c r="C8201" t="str">
        <f t="shared" si="2992"/>
        <v>JEAN LOUIS</v>
      </c>
      <c r="D8201">
        <f>10</f>
        <v>10</v>
      </c>
      <c r="E8201" t="str">
        <f>"03 - A - 002 - Nikiel  Nesbeth"</f>
        <v>03 - A - 002 - Nikiel  Nesbeth</v>
      </c>
      <c r="F8201" t="str">
        <f>"PRE-AICE ENG LIT IG"</f>
        <v>PRE-AICE ENG LIT IG</v>
      </c>
      <c r="G8201" t="str">
        <f>"17-1705"</f>
        <v>17-1705</v>
      </c>
      <c r="H8201" t="str">
        <f>"A"</f>
        <v>A</v>
      </c>
    </row>
    <row r="8202" spans="1:8" x14ac:dyDescent="0.2">
      <c r="A8202" t="str">
        <f t="shared" si="2990"/>
        <v>0614081850</v>
      </c>
      <c r="B8202" t="str">
        <f t="shared" si="2991"/>
        <v>WIDNELSON</v>
      </c>
      <c r="C8202" t="str">
        <f t="shared" si="2992"/>
        <v>JEAN LOUIS</v>
      </c>
      <c r="D8202">
        <f>10</f>
        <v>10</v>
      </c>
      <c r="E8202" t="str">
        <f>"02 - S1 - A - 102 - Richard E Dunbar Iii"</f>
        <v>02 - S1 - A - 102 - Richard E Dunbar Iii</v>
      </c>
      <c r="F8202" t="str">
        <f>"WEIGHT TRAIN 1"</f>
        <v>WEIGHT TRAIN 1</v>
      </c>
      <c r="G8202" t="str">
        <f>"05-501"</f>
        <v>05-501</v>
      </c>
      <c r="H8202" t="str">
        <f>"A"</f>
        <v>A</v>
      </c>
    </row>
    <row r="8203" spans="1:8" x14ac:dyDescent="0.2">
      <c r="A8203" t="str">
        <f t="shared" si="2990"/>
        <v>0614081850</v>
      </c>
      <c r="B8203" t="str">
        <f t="shared" si="2991"/>
        <v>WIDNELSON</v>
      </c>
      <c r="C8203" t="str">
        <f t="shared" si="2992"/>
        <v>JEAN LOUIS</v>
      </c>
      <c r="D8203">
        <f>10</f>
        <v>10</v>
      </c>
      <c r="E8203" t="str">
        <f>"07 - B - 107 - Brook E Goren"</f>
        <v>07 - B - 107 - Brook E Goren</v>
      </c>
      <c r="F8203" t="str">
        <f>"PRE-AICE MATH 2 IG"</f>
        <v>PRE-AICE MATH 2 IG</v>
      </c>
      <c r="G8203" t="str">
        <f>"21-2158"</f>
        <v>21-2158</v>
      </c>
      <c r="H8203" t="str">
        <f>"B"</f>
        <v>B</v>
      </c>
    </row>
    <row r="8204" spans="1:8" x14ac:dyDescent="0.2">
      <c r="A8204" t="str">
        <f t="shared" si="2990"/>
        <v>0614081850</v>
      </c>
      <c r="B8204" t="str">
        <f t="shared" si="2991"/>
        <v>WIDNELSON</v>
      </c>
      <c r="C8204" t="str">
        <f t="shared" si="2992"/>
        <v>JEAN LOUIS</v>
      </c>
      <c r="D8204">
        <f>10</f>
        <v>10</v>
      </c>
      <c r="E8204" t="str">
        <f>"05 - B - 104 - Daniel S Tyson"</f>
        <v>05 - B - 104 - Daniel S Tyson</v>
      </c>
      <c r="F8204" t="str">
        <f>"JROTC NAVAL SCI 2"</f>
        <v>JROTC NAVAL SCI 2</v>
      </c>
      <c r="G8204" t="str">
        <f>"05-510"</f>
        <v>05-510</v>
      </c>
      <c r="H8204" t="str">
        <f>"B"</f>
        <v>B</v>
      </c>
    </row>
    <row r="8205" spans="1:8" x14ac:dyDescent="0.2">
      <c r="A8205" t="str">
        <f t="shared" si="2990"/>
        <v>0614081850</v>
      </c>
      <c r="B8205" t="str">
        <f t="shared" si="2991"/>
        <v>WIDNELSON</v>
      </c>
      <c r="C8205" t="str">
        <f t="shared" si="2992"/>
        <v>JEAN LOUIS</v>
      </c>
      <c r="D8205">
        <f>10</f>
        <v>10</v>
      </c>
      <c r="E8205" t="str">
        <f>"01 - A - 101 - Samantha L Martinez"</f>
        <v>01 - A - 101 - Samantha L Martinez</v>
      </c>
      <c r="F8205" t="str">
        <f>"MUSIC WORLD"</f>
        <v>MUSIC WORLD</v>
      </c>
      <c r="G8205" t="str">
        <f>"05-505"</f>
        <v>05-505</v>
      </c>
      <c r="H8205" t="str">
        <f>"A"</f>
        <v>A</v>
      </c>
    </row>
    <row r="8206" spans="1:8" x14ac:dyDescent="0.2">
      <c r="A8206" t="str">
        <f t="shared" si="2990"/>
        <v>0614081850</v>
      </c>
      <c r="B8206" t="str">
        <f t="shared" si="2991"/>
        <v>WIDNELSON</v>
      </c>
      <c r="C8206" t="str">
        <f t="shared" si="2992"/>
        <v>JEAN LOUIS</v>
      </c>
      <c r="D8206">
        <f>10</f>
        <v>10</v>
      </c>
      <c r="E8206" t="str">
        <f>"08 - S1 - B - 001 - Carol S Moore"</f>
        <v>08 - S1 - B - 001 - Carol S Moore</v>
      </c>
      <c r="F8206" t="str">
        <f>"PER CAR SCH DEV 1 LH"</f>
        <v>PER CAR SCH DEV 1 LH</v>
      </c>
      <c r="G8206" t="str">
        <f>"17-1733"</f>
        <v>17-1733</v>
      </c>
      <c r="H8206" t="str">
        <f>"B"</f>
        <v>B</v>
      </c>
    </row>
    <row r="8207" spans="1:8" x14ac:dyDescent="0.2">
      <c r="A8207" t="str">
        <f t="shared" ref="A8207:A8215" si="2993">"0614081856"</f>
        <v>0614081856</v>
      </c>
      <c r="B8207" t="str">
        <f t="shared" ref="B8207:B8215" si="2994">"WIDSONDER"</f>
        <v>WIDSONDER</v>
      </c>
      <c r="C8207" t="str">
        <f t="shared" si="2992"/>
        <v>JEAN LOUIS</v>
      </c>
      <c r="D8207">
        <f>10</f>
        <v>10</v>
      </c>
      <c r="E8207" t="str">
        <f>"04 - A - 103 - Joe  Kilpatrick Jr"</f>
        <v>04 - A - 103 - Joe  Kilpatrick Jr</v>
      </c>
      <c r="F8207" t="str">
        <f>"PRE-AICE SPAN 1 IG"</f>
        <v>PRE-AICE SPAN 1 IG</v>
      </c>
      <c r="G8207" t="str">
        <f>"09-912"</f>
        <v>09-912</v>
      </c>
      <c r="H8207" t="str">
        <f>"A"</f>
        <v>A</v>
      </c>
    </row>
    <row r="8208" spans="1:8" x14ac:dyDescent="0.2">
      <c r="A8208" t="str">
        <f t="shared" si="2993"/>
        <v>0614081856</v>
      </c>
      <c r="B8208" t="str">
        <f t="shared" si="2994"/>
        <v>WIDSONDER</v>
      </c>
      <c r="C8208" t="str">
        <f t="shared" si="2992"/>
        <v>JEAN LOUIS</v>
      </c>
      <c r="D8208">
        <f>10</f>
        <v>10</v>
      </c>
      <c r="E8208" t="str">
        <f>"06 - B - 112 - Tina M Jaramillo"</f>
        <v>06 - B - 112 - Tina M Jaramillo</v>
      </c>
      <c r="F8208" t="str">
        <f>"NC STUDY HALL 1"</f>
        <v>NC STUDY HALL 1</v>
      </c>
      <c r="G8208" t="str">
        <f>"17-1706"</f>
        <v>17-1706</v>
      </c>
      <c r="H8208" t="str">
        <f>"B"</f>
        <v>B</v>
      </c>
    </row>
    <row r="8209" spans="1:8" x14ac:dyDescent="0.2">
      <c r="A8209" t="str">
        <f t="shared" si="2993"/>
        <v>0614081856</v>
      </c>
      <c r="B8209" t="str">
        <f t="shared" si="2994"/>
        <v>WIDSONDER</v>
      </c>
      <c r="C8209" t="str">
        <f t="shared" si="2992"/>
        <v>JEAN LOUIS</v>
      </c>
      <c r="D8209">
        <f>10</f>
        <v>10</v>
      </c>
      <c r="E8209" t="str">
        <f>"06 - B - 106 - Eric  Lopapa"</f>
        <v>06 - B - 106 - Eric  Lopapa</v>
      </c>
      <c r="F8209" t="str">
        <f>"LANG THERAPY"</f>
        <v>LANG THERAPY</v>
      </c>
      <c r="G8209" t="str">
        <f>"21-2110"</f>
        <v>21-2110</v>
      </c>
      <c r="H8209" t="str">
        <f>"B"</f>
        <v>B</v>
      </c>
    </row>
    <row r="8210" spans="1:8" x14ac:dyDescent="0.2">
      <c r="A8210" t="str">
        <f t="shared" si="2993"/>
        <v>0614081856</v>
      </c>
      <c r="B8210" t="str">
        <f t="shared" si="2994"/>
        <v>WIDSONDER</v>
      </c>
      <c r="C8210" t="str">
        <f t="shared" si="2992"/>
        <v>JEAN LOUIS</v>
      </c>
      <c r="D8210">
        <f>10</f>
        <v>10</v>
      </c>
      <c r="E8210" t="str">
        <f>"03 - A - 103 - Jacquelyn M Neeson"</f>
        <v>03 - A - 103 - Jacquelyn M Neeson</v>
      </c>
      <c r="F8210" t="str">
        <f>"ENG 2"</f>
        <v>ENG 2</v>
      </c>
      <c r="G8210" t="str">
        <f>"17-1715"</f>
        <v>17-1715</v>
      </c>
      <c r="H8210" t="str">
        <f>"A"</f>
        <v>A</v>
      </c>
    </row>
    <row r="8211" spans="1:8" x14ac:dyDescent="0.2">
      <c r="A8211" t="str">
        <f t="shared" si="2993"/>
        <v>0614081856</v>
      </c>
      <c r="B8211" t="str">
        <f t="shared" si="2994"/>
        <v>WIDSONDER</v>
      </c>
      <c r="C8211" t="str">
        <f t="shared" si="2992"/>
        <v>JEAN LOUIS</v>
      </c>
      <c r="D8211">
        <f>10</f>
        <v>10</v>
      </c>
      <c r="E8211" t="str">
        <f>"02 - A - 102 - Adam Marcus  Drucker"</f>
        <v>02 - A - 102 - Adam Marcus  Drucker</v>
      </c>
      <c r="F8211" t="str">
        <f>"HOPE-PE V"</f>
        <v>HOPE-PE V</v>
      </c>
      <c r="G8211" t="str">
        <f>"04-254"</f>
        <v>04-254</v>
      </c>
      <c r="H8211" t="str">
        <f>"A"</f>
        <v>A</v>
      </c>
    </row>
    <row r="8212" spans="1:8" x14ac:dyDescent="0.2">
      <c r="A8212" t="str">
        <f t="shared" si="2993"/>
        <v>0614081856</v>
      </c>
      <c r="B8212" t="str">
        <f t="shared" si="2994"/>
        <v>WIDSONDER</v>
      </c>
      <c r="C8212" t="str">
        <f t="shared" si="2992"/>
        <v>JEAN LOUIS</v>
      </c>
      <c r="D8212">
        <f>10</f>
        <v>10</v>
      </c>
      <c r="E8212" t="str">
        <f>"07 - B - 107 - Brook E Goren"</f>
        <v>07 - B - 107 - Brook E Goren</v>
      </c>
      <c r="F8212" t="str">
        <f>"PRE-AICE MATH 2 IG"</f>
        <v>PRE-AICE MATH 2 IG</v>
      </c>
      <c r="G8212" t="str">
        <f>"21-2158"</f>
        <v>21-2158</v>
      </c>
      <c r="H8212" t="str">
        <f>"B"</f>
        <v>B</v>
      </c>
    </row>
    <row r="8213" spans="1:8" x14ac:dyDescent="0.2">
      <c r="A8213" t="str">
        <f t="shared" si="2993"/>
        <v>0614081856</v>
      </c>
      <c r="B8213" t="str">
        <f t="shared" si="2994"/>
        <v>WIDSONDER</v>
      </c>
      <c r="C8213" t="str">
        <f t="shared" si="2992"/>
        <v>JEAN LOUIS</v>
      </c>
      <c r="D8213">
        <f>10</f>
        <v>10</v>
      </c>
      <c r="E8213" t="str">
        <f>"05 - B - 102 - Jeanne M Bermudez"</f>
        <v>05 - B - 102 - Jeanne M Bermudez</v>
      </c>
      <c r="F8213" t="str">
        <f>"ADVANCED IT HON"</f>
        <v>ADVANCED IT HON</v>
      </c>
      <c r="G8213" t="str">
        <f>"21-2141"</f>
        <v>21-2141</v>
      </c>
      <c r="H8213" t="str">
        <f>"B"</f>
        <v>B</v>
      </c>
    </row>
    <row r="8214" spans="1:8" x14ac:dyDescent="0.2">
      <c r="A8214" t="str">
        <f t="shared" si="2993"/>
        <v>0614081856</v>
      </c>
      <c r="B8214" t="str">
        <f t="shared" si="2994"/>
        <v>WIDSONDER</v>
      </c>
      <c r="C8214" t="str">
        <f t="shared" si="2992"/>
        <v>JEAN LOUIS</v>
      </c>
      <c r="D8214">
        <f>10</f>
        <v>10</v>
      </c>
      <c r="E8214" t="str">
        <f>"01 - A - 102 - Lytrell T Dixon"</f>
        <v>01 - A - 102 - Lytrell T Dixon</v>
      </c>
      <c r="F8214" t="str">
        <f>"BIOLOGY 1"</f>
        <v>BIOLOGY 1</v>
      </c>
      <c r="G8214" t="str">
        <f>"08-808"</f>
        <v>08-808</v>
      </c>
      <c r="H8214" t="str">
        <f>"A"</f>
        <v>A</v>
      </c>
    </row>
    <row r="8215" spans="1:8" x14ac:dyDescent="0.2">
      <c r="A8215" t="str">
        <f t="shared" si="2993"/>
        <v>0614081856</v>
      </c>
      <c r="B8215" t="str">
        <f t="shared" si="2994"/>
        <v>WIDSONDER</v>
      </c>
      <c r="C8215" t="str">
        <f t="shared" si="2992"/>
        <v>JEAN LOUIS</v>
      </c>
      <c r="D8215">
        <f>10</f>
        <v>10</v>
      </c>
      <c r="E8215" t="str">
        <f>"08 - S1 - B - 102 - Kyle  Robbins"</f>
        <v>08 - S1 - B - 102 - Kyle  Robbins</v>
      </c>
      <c r="F8215" t="str">
        <f>"PERS FIN &amp; MON MGT H"</f>
        <v>PERS FIN &amp; MON MGT H</v>
      </c>
      <c r="G8215" t="str">
        <f>"17-1745"</f>
        <v>17-1745</v>
      </c>
      <c r="H8215" t="str">
        <f>"B"</f>
        <v>B</v>
      </c>
    </row>
    <row r="8216" spans="1:8" x14ac:dyDescent="0.2">
      <c r="A8216" t="str">
        <f t="shared" ref="A8216:A8223" si="2995">"0617063199"</f>
        <v>0617063199</v>
      </c>
      <c r="B8216" t="str">
        <f t="shared" ref="B8216:B8223" si="2996">"DONALD"</f>
        <v>DONALD</v>
      </c>
      <c r="C8216" t="str">
        <f t="shared" ref="C8216:C8223" si="2997">"JEAN-MARY"</f>
        <v>JEAN-MARY</v>
      </c>
      <c r="D8216" t="str">
        <f t="shared" ref="D8216:D8223" si="2998">"09"</f>
        <v>09</v>
      </c>
      <c r="E8216" t="str">
        <f>"04 - A - 102 - Byron G Montenegro"</f>
        <v>04 - A - 102 - Byron G Montenegro</v>
      </c>
      <c r="F8216" t="str">
        <f>"AICE MARINE SCI 1 AS"</f>
        <v>AICE MARINE SCI 1 AS</v>
      </c>
      <c r="G8216" t="str">
        <f>"21-2144"</f>
        <v>21-2144</v>
      </c>
      <c r="H8216" t="str">
        <f>"A"</f>
        <v>A</v>
      </c>
    </row>
    <row r="8217" spans="1:8" x14ac:dyDescent="0.2">
      <c r="A8217" t="str">
        <f t="shared" si="2995"/>
        <v>0617063199</v>
      </c>
      <c r="B8217" t="str">
        <f t="shared" si="2996"/>
        <v>DONALD</v>
      </c>
      <c r="C8217" t="str">
        <f t="shared" si="2997"/>
        <v>JEAN-MARY</v>
      </c>
      <c r="D8217" t="str">
        <f t="shared" si="2998"/>
        <v>09</v>
      </c>
      <c r="E8217" t="str">
        <f>"06 - B - 202 - Alejandro  Navarro"</f>
        <v>06 - B - 202 - Alejandro  Navarro</v>
      </c>
      <c r="F8217" t="str">
        <f>"BAND 1"</f>
        <v>BAND 1</v>
      </c>
      <c r="G8217" t="str">
        <f>"05-504"</f>
        <v>05-504</v>
      </c>
      <c r="H8217" t="str">
        <f>"B"</f>
        <v>B</v>
      </c>
    </row>
    <row r="8218" spans="1:8" x14ac:dyDescent="0.2">
      <c r="A8218" t="str">
        <f t="shared" si="2995"/>
        <v>0617063199</v>
      </c>
      <c r="B8218" t="str">
        <f t="shared" si="2996"/>
        <v>DONALD</v>
      </c>
      <c r="C8218" t="str">
        <f t="shared" si="2997"/>
        <v>JEAN-MARY</v>
      </c>
      <c r="D8218" t="str">
        <f t="shared" si="2998"/>
        <v>09</v>
      </c>
      <c r="E8218" t="str">
        <f>"03 - A - 005 - Cerine S Stewart"</f>
        <v>03 - A - 005 - Cerine S Stewart</v>
      </c>
      <c r="F8218" t="str">
        <f>"AICE ENG GEN PAPER 1"</f>
        <v>AICE ENG GEN PAPER 1</v>
      </c>
      <c r="G8218" t="str">
        <f>"17-1720"</f>
        <v>17-1720</v>
      </c>
      <c r="H8218" t="str">
        <f>"A"</f>
        <v>A</v>
      </c>
    </row>
    <row r="8219" spans="1:8" x14ac:dyDescent="0.2">
      <c r="A8219" t="str">
        <f t="shared" si="2995"/>
        <v>0617063199</v>
      </c>
      <c r="B8219" t="str">
        <f t="shared" si="2996"/>
        <v>DONALD</v>
      </c>
      <c r="C8219" t="str">
        <f t="shared" si="2997"/>
        <v>JEAN-MARY</v>
      </c>
      <c r="D8219" t="str">
        <f t="shared" si="2998"/>
        <v>09</v>
      </c>
      <c r="E8219" t="str">
        <f>"02 - A - 113 - Amy Beth  Broyles"</f>
        <v>02 - A - 113 - Amy Beth  Broyles</v>
      </c>
      <c r="F8219" t="str">
        <f>"NC STUDY HALL 1"</f>
        <v>NC STUDY HALL 1</v>
      </c>
      <c r="G8219" t="str">
        <f>"08-802"</f>
        <v>08-802</v>
      </c>
      <c r="H8219" t="str">
        <f>"A"</f>
        <v>A</v>
      </c>
    </row>
    <row r="8220" spans="1:8" x14ac:dyDescent="0.2">
      <c r="A8220" t="str">
        <f t="shared" si="2995"/>
        <v>0617063199</v>
      </c>
      <c r="B8220" t="str">
        <f t="shared" si="2996"/>
        <v>DONALD</v>
      </c>
      <c r="C8220" t="str">
        <f t="shared" si="2997"/>
        <v>JEAN-MARY</v>
      </c>
      <c r="D8220" t="str">
        <f t="shared" si="2998"/>
        <v>09</v>
      </c>
      <c r="E8220" t="str">
        <f>"07 - B - 207 - Krystal Marie  Beruty"</f>
        <v>07 - B - 207 - Krystal Marie  Beruty</v>
      </c>
      <c r="F8220" t="str">
        <f>"AICE GLBL PERSP 1 AS"</f>
        <v>AICE GLBL PERSP 1 AS</v>
      </c>
      <c r="G8220" t="str">
        <f>"17-1721"</f>
        <v>17-1721</v>
      </c>
      <c r="H8220" t="str">
        <f>"B"</f>
        <v>B</v>
      </c>
    </row>
    <row r="8221" spans="1:8" x14ac:dyDescent="0.2">
      <c r="A8221" t="str">
        <f t="shared" si="2995"/>
        <v>0617063199</v>
      </c>
      <c r="B8221" t="str">
        <f t="shared" si="2996"/>
        <v>DONALD</v>
      </c>
      <c r="C8221" t="str">
        <f t="shared" si="2997"/>
        <v>JEAN-MARY</v>
      </c>
      <c r="D8221" t="str">
        <f t="shared" si="2998"/>
        <v>09</v>
      </c>
      <c r="E8221" t="str">
        <f>"05 - B - 102 - Jeanne M Bermudez"</f>
        <v>05 - B - 102 - Jeanne M Bermudez</v>
      </c>
      <c r="F8221" t="str">
        <f>"ADVANCED IT HON"</f>
        <v>ADVANCED IT HON</v>
      </c>
      <c r="G8221" t="str">
        <f>"21-2141"</f>
        <v>21-2141</v>
      </c>
      <c r="H8221" t="str">
        <f>"B"</f>
        <v>B</v>
      </c>
    </row>
    <row r="8222" spans="1:8" x14ac:dyDescent="0.2">
      <c r="A8222" t="str">
        <f t="shared" si="2995"/>
        <v>0617063199</v>
      </c>
      <c r="B8222" t="str">
        <f t="shared" si="2996"/>
        <v>DONALD</v>
      </c>
      <c r="C8222" t="str">
        <f t="shared" si="2997"/>
        <v>JEAN-MARY</v>
      </c>
      <c r="D8222" t="str">
        <f t="shared" si="2998"/>
        <v>09</v>
      </c>
      <c r="E8222" t="str">
        <f>"01 - A - 108 - Rosa Elaine  Collado-Duff"</f>
        <v>01 - A - 108 - Rosa Elaine  Collado-Duff</v>
      </c>
      <c r="F8222" t="str">
        <f>"PRE-AICE SPAN 2 IG"</f>
        <v>PRE-AICE SPAN 2 IG</v>
      </c>
      <c r="G8222" t="str">
        <f>"09-913"</f>
        <v>09-913</v>
      </c>
      <c r="H8222" t="str">
        <f>"A"</f>
        <v>A</v>
      </c>
    </row>
    <row r="8223" spans="1:8" x14ac:dyDescent="0.2">
      <c r="A8223" t="str">
        <f t="shared" si="2995"/>
        <v>0617063199</v>
      </c>
      <c r="B8223" t="str">
        <f t="shared" si="2996"/>
        <v>DONALD</v>
      </c>
      <c r="C8223" t="str">
        <f t="shared" si="2997"/>
        <v>JEAN-MARY</v>
      </c>
      <c r="D8223" t="str">
        <f t="shared" si="2998"/>
        <v>09</v>
      </c>
      <c r="E8223" t="str">
        <f>"08 - B - 105 - Ferrie J Arostique"</f>
        <v>08 - B - 105 - Ferrie J Arostique</v>
      </c>
      <c r="F8223" t="str">
        <f>"PRE-AICE MATH 2 IG"</f>
        <v>PRE-AICE MATH 2 IG</v>
      </c>
      <c r="G8223" t="str">
        <f>"21-2139"</f>
        <v>21-2139</v>
      </c>
      <c r="H8223" t="str">
        <f>"B"</f>
        <v>B</v>
      </c>
    </row>
    <row r="8224" spans="1:8" x14ac:dyDescent="0.2">
      <c r="A8224" t="str">
        <f t="shared" ref="A8224:A8231" si="2999">"0614089056"</f>
        <v>0614089056</v>
      </c>
      <c r="B8224" t="str">
        <f t="shared" ref="B8224:B8231" si="3000">"JOSIAH"</f>
        <v>JOSIAH</v>
      </c>
      <c r="C8224" t="str">
        <f t="shared" ref="C8224:C8231" si="3001">"JEAN-PHILIPPE"</f>
        <v>JEAN-PHILIPPE</v>
      </c>
      <c r="D8224">
        <f>12</f>
        <v>12</v>
      </c>
      <c r="E8224" t="str">
        <f>"04 - A - 101 - Alejandro  Navarro"</f>
        <v>04 - A - 101 - Alejandro  Navarro</v>
      </c>
      <c r="F8224" t="str">
        <f>"BAND 5 HON"</f>
        <v>BAND 5 HON</v>
      </c>
      <c r="G8224" t="str">
        <f>"05-504"</f>
        <v>05-504</v>
      </c>
      <c r="H8224" t="str">
        <f>"A"</f>
        <v>A</v>
      </c>
    </row>
    <row r="8225" spans="1:8" x14ac:dyDescent="0.2">
      <c r="A8225" t="str">
        <f t="shared" si="2999"/>
        <v>0614089056</v>
      </c>
      <c r="B8225" t="str">
        <f t="shared" si="3000"/>
        <v>JOSIAH</v>
      </c>
      <c r="C8225" t="str">
        <f t="shared" si="3001"/>
        <v>JEAN-PHILIPPE</v>
      </c>
      <c r="D8225">
        <f>12</f>
        <v>12</v>
      </c>
      <c r="E8225" t="str">
        <f>"06 - B - 104 - Lissa C Frederique"</f>
        <v>06 - B - 104 - Lissa C Frederique</v>
      </c>
      <c r="F8225" t="str">
        <f>"NC STUDY HALL 1"</f>
        <v>NC STUDY HALL 1</v>
      </c>
      <c r="G8225" t="str">
        <f>"17-1754"</f>
        <v>17-1754</v>
      </c>
      <c r="H8225" t="str">
        <f>"B"</f>
        <v>B</v>
      </c>
    </row>
    <row r="8226" spans="1:8" x14ac:dyDescent="0.2">
      <c r="A8226" t="str">
        <f t="shared" si="2999"/>
        <v>0614089056</v>
      </c>
      <c r="B8226" t="str">
        <f t="shared" si="3000"/>
        <v>JOSIAH</v>
      </c>
      <c r="C8226" t="str">
        <f t="shared" si="3001"/>
        <v>JEAN-PHILIPPE</v>
      </c>
      <c r="D8226">
        <f>12</f>
        <v>12</v>
      </c>
      <c r="E8226" t="str">
        <f>"03 - A - 101 - Lourivaldo  Da Silva"</f>
        <v>03 - A - 101 - Lourivaldo  Da Silva</v>
      </c>
      <c r="F8226" t="str">
        <f>"AP STAT"</f>
        <v>AP STAT</v>
      </c>
      <c r="G8226" t="str">
        <f>"20-2079"</f>
        <v>20-2079</v>
      </c>
      <c r="H8226" t="str">
        <f>"A"</f>
        <v>A</v>
      </c>
    </row>
    <row r="8227" spans="1:8" x14ac:dyDescent="0.2">
      <c r="A8227" t="str">
        <f t="shared" si="2999"/>
        <v>0614089056</v>
      </c>
      <c r="B8227" t="str">
        <f t="shared" si="3000"/>
        <v>JOSIAH</v>
      </c>
      <c r="C8227" t="str">
        <f t="shared" si="3001"/>
        <v>JEAN-PHILIPPE</v>
      </c>
      <c r="D8227">
        <f>12</f>
        <v>12</v>
      </c>
      <c r="E8227" t="str">
        <f>"02 - A - 114 - Eva T Rimmer"</f>
        <v>02 - A - 114 - Eva T Rimmer</v>
      </c>
      <c r="F8227" t="str">
        <f>"NC STUDY HALL 1"</f>
        <v>NC STUDY HALL 1</v>
      </c>
      <c r="G8227" t="str">
        <f>"05-523"</f>
        <v>05-523</v>
      </c>
      <c r="H8227" t="str">
        <f>"A"</f>
        <v>A</v>
      </c>
    </row>
    <row r="8228" spans="1:8" x14ac:dyDescent="0.2">
      <c r="A8228" t="str">
        <f t="shared" si="2999"/>
        <v>0614089056</v>
      </c>
      <c r="B8228" t="str">
        <f t="shared" si="3000"/>
        <v>JOSIAH</v>
      </c>
      <c r="C8228" t="str">
        <f t="shared" si="3001"/>
        <v>JEAN-PHILIPPE</v>
      </c>
      <c r="D8228">
        <f>12</f>
        <v>12</v>
      </c>
      <c r="E8228" t="str">
        <f>"07 - S1 - B - 102 - Barbara L Segal"</f>
        <v>07 - S1 - B - 102 - Barbara L Segal</v>
      </c>
      <c r="F8228" t="str">
        <f>"AP US GOVT/POL"</f>
        <v>AP US GOVT/POL</v>
      </c>
      <c r="G8228" t="str">
        <f>"17-1742"</f>
        <v>17-1742</v>
      </c>
      <c r="H8228" t="str">
        <f>"B"</f>
        <v>B</v>
      </c>
    </row>
    <row r="8229" spans="1:8" x14ac:dyDescent="0.2">
      <c r="A8229" t="str">
        <f t="shared" si="2999"/>
        <v>0614089056</v>
      </c>
      <c r="B8229" t="str">
        <f t="shared" si="3000"/>
        <v>JOSIAH</v>
      </c>
      <c r="C8229" t="str">
        <f t="shared" si="3001"/>
        <v>JEAN-PHILIPPE</v>
      </c>
      <c r="D8229">
        <f>12</f>
        <v>12</v>
      </c>
      <c r="E8229" t="str">
        <f>"05 - B - 103 - Brandy N Zdenek"</f>
        <v>05 - B - 103 - Brandy N Zdenek</v>
      </c>
      <c r="F8229" t="str">
        <f>"AICE ENG LANG 2 AL"</f>
        <v>AICE ENG LANG 2 AL</v>
      </c>
      <c r="G8229" t="str">
        <f>"17-1704"</f>
        <v>17-1704</v>
      </c>
      <c r="H8229" t="str">
        <f>"B"</f>
        <v>B</v>
      </c>
    </row>
    <row r="8230" spans="1:8" x14ac:dyDescent="0.2">
      <c r="A8230" t="str">
        <f t="shared" si="2999"/>
        <v>0614089056</v>
      </c>
      <c r="B8230" t="str">
        <f t="shared" si="3000"/>
        <v>JOSIAH</v>
      </c>
      <c r="C8230" t="str">
        <f t="shared" si="3001"/>
        <v>JEAN-PHILIPPE</v>
      </c>
      <c r="D8230">
        <f>12</f>
        <v>12</v>
      </c>
      <c r="E8230" t="str">
        <f>"01 - A - 103 - Scott A Dethloff"</f>
        <v>01 - A - 103 - Scott A Dethloff</v>
      </c>
      <c r="F8230" t="str">
        <f>"AICE THINK SKLS 1 AS"</f>
        <v>AICE THINK SKLS 1 AS</v>
      </c>
      <c r="G8230" t="str">
        <f>"08-812"</f>
        <v>08-812</v>
      </c>
      <c r="H8230" t="str">
        <f>"A"</f>
        <v>A</v>
      </c>
    </row>
    <row r="8231" spans="1:8" x14ac:dyDescent="0.2">
      <c r="A8231" t="str">
        <f t="shared" si="2999"/>
        <v>0614089056</v>
      </c>
      <c r="B8231" t="str">
        <f t="shared" si="3000"/>
        <v>JOSIAH</v>
      </c>
      <c r="C8231" t="str">
        <f t="shared" si="3001"/>
        <v>JEAN-PHILIPPE</v>
      </c>
      <c r="D8231">
        <f>12</f>
        <v>12</v>
      </c>
      <c r="E8231" t="str">
        <f>"08 - B - 201 - Vanessa J Liburd"</f>
        <v>08 - B - 201 - Vanessa J Liburd</v>
      </c>
      <c r="F8231" t="str">
        <f>"FRENCH 3 HON"</f>
        <v>FRENCH 3 HON</v>
      </c>
      <c r="G8231" t="str">
        <f>"05-519"</f>
        <v>05-519</v>
      </c>
      <c r="H8231" t="str">
        <f>"B"</f>
        <v>B</v>
      </c>
    </row>
    <row r="8232" spans="1:8" x14ac:dyDescent="0.2">
      <c r="A8232" t="str">
        <f t="shared" ref="A8232:A8239" si="3002">"0616147133"</f>
        <v>0616147133</v>
      </c>
      <c r="B8232" t="str">
        <f t="shared" ref="B8232:B8239" si="3003">"ADLER"</f>
        <v>ADLER</v>
      </c>
      <c r="C8232" t="str">
        <f t="shared" ref="C8232:C8239" si="3004">"JEAN PIERRE"</f>
        <v>JEAN PIERRE</v>
      </c>
      <c r="D8232" t="str">
        <f t="shared" ref="D8232:D8247" si="3005">"09"</f>
        <v>09</v>
      </c>
      <c r="E8232" t="str">
        <f>"04 - A - 102 - Elizabeth R Walker"</f>
        <v>04 - A - 102 - Elizabeth R Walker</v>
      </c>
      <c r="F8232" t="str">
        <f>"AICE ENG GEN PAPER 1"</f>
        <v>AICE ENG GEN PAPER 1</v>
      </c>
      <c r="G8232" t="str">
        <f>"17-1703"</f>
        <v>17-1703</v>
      </c>
      <c r="H8232" t="str">
        <f>"A"</f>
        <v>A</v>
      </c>
    </row>
    <row r="8233" spans="1:8" x14ac:dyDescent="0.2">
      <c r="A8233" t="str">
        <f t="shared" si="3002"/>
        <v>0616147133</v>
      </c>
      <c r="B8233" t="str">
        <f t="shared" si="3003"/>
        <v>ADLER</v>
      </c>
      <c r="C8233" t="str">
        <f t="shared" si="3004"/>
        <v>JEAN PIERRE</v>
      </c>
      <c r="D8233" t="str">
        <f t="shared" si="3005"/>
        <v>09</v>
      </c>
      <c r="E8233" t="str">
        <f>"06 - B - 202 - Samantha L Martinez"</f>
        <v>06 - B - 202 - Samantha L Martinez</v>
      </c>
      <c r="F8233" t="str">
        <f>"GUITAR 1"</f>
        <v>GUITAR 1</v>
      </c>
      <c r="G8233" t="str">
        <f>"05-505"</f>
        <v>05-505</v>
      </c>
      <c r="H8233" t="str">
        <f>"B"</f>
        <v>B</v>
      </c>
    </row>
    <row r="8234" spans="1:8" x14ac:dyDescent="0.2">
      <c r="A8234" t="str">
        <f t="shared" si="3002"/>
        <v>0616147133</v>
      </c>
      <c r="B8234" t="str">
        <f t="shared" si="3003"/>
        <v>ADLER</v>
      </c>
      <c r="C8234" t="str">
        <f t="shared" si="3004"/>
        <v>JEAN PIERRE</v>
      </c>
      <c r="D8234" t="str">
        <f t="shared" si="3005"/>
        <v>09</v>
      </c>
      <c r="E8234" t="str">
        <f>"03 - A - 102 - Rory T Sponsler"</f>
        <v>03 - A - 102 - Rory T Sponsler</v>
      </c>
      <c r="F8234" t="str">
        <f>"PRE-AICE WRLD HST IG"</f>
        <v>PRE-AICE WRLD HST IG</v>
      </c>
      <c r="G8234" t="str">
        <f>"17-1740"</f>
        <v>17-1740</v>
      </c>
      <c r="H8234" t="str">
        <f>"A"</f>
        <v>A</v>
      </c>
    </row>
    <row r="8235" spans="1:8" x14ac:dyDescent="0.2">
      <c r="A8235" t="str">
        <f t="shared" si="3002"/>
        <v>0616147133</v>
      </c>
      <c r="B8235" t="str">
        <f t="shared" si="3003"/>
        <v>ADLER</v>
      </c>
      <c r="C8235" t="str">
        <f t="shared" si="3004"/>
        <v>JEAN PIERRE</v>
      </c>
      <c r="D8235" t="str">
        <f t="shared" si="3005"/>
        <v>09</v>
      </c>
      <c r="E8235" t="str">
        <f>"02 - A - 108 - Rory T Sponsler"</f>
        <v>02 - A - 108 - Rory T Sponsler</v>
      </c>
      <c r="F8235" t="str">
        <f>"NC STUDY HALL 1"</f>
        <v>NC STUDY HALL 1</v>
      </c>
      <c r="G8235" t="str">
        <f>"17-1740"</f>
        <v>17-1740</v>
      </c>
      <c r="H8235" t="str">
        <f>"A"</f>
        <v>A</v>
      </c>
    </row>
    <row r="8236" spans="1:8" x14ac:dyDescent="0.2">
      <c r="A8236" t="str">
        <f t="shared" si="3002"/>
        <v>0616147133</v>
      </c>
      <c r="B8236" t="str">
        <f t="shared" si="3003"/>
        <v>ADLER</v>
      </c>
      <c r="C8236" t="str">
        <f t="shared" si="3004"/>
        <v>JEAN PIERRE</v>
      </c>
      <c r="D8236" t="str">
        <f t="shared" si="3005"/>
        <v>09</v>
      </c>
      <c r="E8236" t="str">
        <f>"07 - B - 103 - Vanessa J Liburd"</f>
        <v>07 - B - 103 - Vanessa J Liburd</v>
      </c>
      <c r="F8236" t="str">
        <f>"PRE-AICE FRENCH 1 IG"</f>
        <v>PRE-AICE FRENCH 1 IG</v>
      </c>
      <c r="G8236" t="str">
        <f>"05-519"</f>
        <v>05-519</v>
      </c>
      <c r="H8236" t="str">
        <f>"B"</f>
        <v>B</v>
      </c>
    </row>
    <row r="8237" spans="1:8" x14ac:dyDescent="0.2">
      <c r="A8237" t="str">
        <f t="shared" si="3002"/>
        <v>0616147133</v>
      </c>
      <c r="B8237" t="str">
        <f t="shared" si="3003"/>
        <v>ADLER</v>
      </c>
      <c r="C8237" t="str">
        <f t="shared" si="3004"/>
        <v>JEAN PIERRE</v>
      </c>
      <c r="D8237" t="str">
        <f t="shared" si="3005"/>
        <v>09</v>
      </c>
      <c r="E8237" t="str">
        <f>"05 - B - 102 - Jeanne M Bermudez"</f>
        <v>05 - B - 102 - Jeanne M Bermudez</v>
      </c>
      <c r="F8237" t="str">
        <f>"ADVANCED IT HON"</f>
        <v>ADVANCED IT HON</v>
      </c>
      <c r="G8237" t="str">
        <f>"21-2141"</f>
        <v>21-2141</v>
      </c>
      <c r="H8237" t="str">
        <f>"B"</f>
        <v>B</v>
      </c>
    </row>
    <row r="8238" spans="1:8" x14ac:dyDescent="0.2">
      <c r="A8238" t="str">
        <f t="shared" si="3002"/>
        <v>0616147133</v>
      </c>
      <c r="B8238" t="str">
        <f t="shared" si="3003"/>
        <v>ADLER</v>
      </c>
      <c r="C8238" t="str">
        <f t="shared" si="3004"/>
        <v>JEAN PIERRE</v>
      </c>
      <c r="D8238" t="str">
        <f t="shared" si="3005"/>
        <v>09</v>
      </c>
      <c r="E8238" t="str">
        <f>"01 - A - 101 - Josiah I Lacy"</f>
        <v>01 - A - 101 - Josiah I Lacy</v>
      </c>
      <c r="F8238" t="str">
        <f>"PRE-AICE BIO IG"</f>
        <v>PRE-AICE BIO IG</v>
      </c>
      <c r="G8238" t="str">
        <f>"08-801"</f>
        <v>08-801</v>
      </c>
      <c r="H8238" t="str">
        <f>"A"</f>
        <v>A</v>
      </c>
    </row>
    <row r="8239" spans="1:8" x14ac:dyDescent="0.2">
      <c r="A8239" t="str">
        <f t="shared" si="3002"/>
        <v>0616147133</v>
      </c>
      <c r="B8239" t="str">
        <f t="shared" si="3003"/>
        <v>ADLER</v>
      </c>
      <c r="C8239" t="str">
        <f t="shared" si="3004"/>
        <v>JEAN PIERRE</v>
      </c>
      <c r="D8239" t="str">
        <f t="shared" si="3005"/>
        <v>09</v>
      </c>
      <c r="E8239" t="str">
        <f>"08 - B - 107 - Brook E Goren"</f>
        <v>08 - B - 107 - Brook E Goren</v>
      </c>
      <c r="F8239" t="str">
        <f>"GEOMETRY"</f>
        <v>GEOMETRY</v>
      </c>
      <c r="G8239" t="str">
        <f>"21-2158"</f>
        <v>21-2158</v>
      </c>
      <c r="H8239" t="str">
        <f>"B"</f>
        <v>B</v>
      </c>
    </row>
    <row r="8240" spans="1:8" x14ac:dyDescent="0.2">
      <c r="A8240" t="str">
        <f t="shared" ref="A8240:A8247" si="3006">"0623050458"</f>
        <v>0623050458</v>
      </c>
      <c r="B8240" t="str">
        <f t="shared" ref="B8240:B8247" si="3007">"CLAYTON"</f>
        <v>CLAYTON</v>
      </c>
      <c r="C8240" t="str">
        <f t="shared" ref="C8240:C8255" si="3008">"JEAN-PIERRE"</f>
        <v>JEAN-PIERRE</v>
      </c>
      <c r="D8240" t="str">
        <f t="shared" si="3005"/>
        <v>09</v>
      </c>
      <c r="E8240" t="str">
        <f>"04 - A - 102 - Eva T Rimmer"</f>
        <v>04 - A - 102 - Eva T Rimmer</v>
      </c>
      <c r="F8240" t="str">
        <f>"CRIMINAL JUST OPS 1"</f>
        <v>CRIMINAL JUST OPS 1</v>
      </c>
      <c r="G8240" t="str">
        <f>"05-523"</f>
        <v>05-523</v>
      </c>
      <c r="H8240" t="str">
        <f>"A"</f>
        <v>A</v>
      </c>
    </row>
    <row r="8241" spans="1:8" x14ac:dyDescent="0.2">
      <c r="A8241" t="str">
        <f t="shared" si="3006"/>
        <v>0623050458</v>
      </c>
      <c r="B8241" t="str">
        <f t="shared" si="3007"/>
        <v>CLAYTON</v>
      </c>
      <c r="C8241" t="str">
        <f t="shared" si="3008"/>
        <v>JEAN-PIERRE</v>
      </c>
      <c r="D8241" t="str">
        <f t="shared" si="3005"/>
        <v>09</v>
      </c>
      <c r="E8241" t="str">
        <f>"06 - B - 105 - Cerine S Stewart"</f>
        <v>06 - B - 105 - Cerine S Stewart</v>
      </c>
      <c r="F8241" t="str">
        <f>"AICE ENG GEN PAPER 1"</f>
        <v>AICE ENG GEN PAPER 1</v>
      </c>
      <c r="G8241" t="str">
        <f>"17-1720"</f>
        <v>17-1720</v>
      </c>
      <c r="H8241" t="str">
        <f>"B"</f>
        <v>B</v>
      </c>
    </row>
    <row r="8242" spans="1:8" x14ac:dyDescent="0.2">
      <c r="A8242" t="str">
        <f t="shared" si="3006"/>
        <v>0623050458</v>
      </c>
      <c r="B8242" t="str">
        <f t="shared" si="3007"/>
        <v>CLAYTON</v>
      </c>
      <c r="C8242" t="str">
        <f t="shared" si="3008"/>
        <v>JEAN-PIERRE</v>
      </c>
      <c r="D8242" t="str">
        <f t="shared" si="3005"/>
        <v>09</v>
      </c>
      <c r="E8242" t="str">
        <f>"03 - A - 101 - Helen A Flores"</f>
        <v>03 - A - 101 - Helen A Flores</v>
      </c>
      <c r="F8242" t="str">
        <f>"PRE-AICE MATH 1 IG"</f>
        <v>PRE-AICE MATH 1 IG</v>
      </c>
      <c r="G8242" t="str">
        <f>"21-2101"</f>
        <v>21-2101</v>
      </c>
      <c r="H8242" t="str">
        <f>"A"</f>
        <v>A</v>
      </c>
    </row>
    <row r="8243" spans="1:8" x14ac:dyDescent="0.2">
      <c r="A8243" t="str">
        <f t="shared" si="3006"/>
        <v>0623050458</v>
      </c>
      <c r="B8243" t="str">
        <f t="shared" si="3007"/>
        <v>CLAYTON</v>
      </c>
      <c r="C8243" t="str">
        <f t="shared" si="3008"/>
        <v>JEAN-PIERRE</v>
      </c>
      <c r="D8243" t="str">
        <f t="shared" si="3005"/>
        <v>09</v>
      </c>
      <c r="E8243" t="str">
        <f>"02 - A - 116 - Tina L Lovett"</f>
        <v>02 - A - 116 - Tina L Lovett</v>
      </c>
      <c r="F8243" t="str">
        <f>"NC STUDY HALL 1"</f>
        <v>NC STUDY HALL 1</v>
      </c>
      <c r="G8243" t="str">
        <f>"21-2153"</f>
        <v>21-2153</v>
      </c>
      <c r="H8243" t="str">
        <f>"A"</f>
        <v>A</v>
      </c>
    </row>
    <row r="8244" spans="1:8" x14ac:dyDescent="0.2">
      <c r="A8244" t="str">
        <f t="shared" si="3006"/>
        <v>0623050458</v>
      </c>
      <c r="B8244" t="str">
        <f t="shared" si="3007"/>
        <v>CLAYTON</v>
      </c>
      <c r="C8244" t="str">
        <f t="shared" si="3008"/>
        <v>JEAN-PIERRE</v>
      </c>
      <c r="D8244" t="str">
        <f t="shared" si="3005"/>
        <v>09</v>
      </c>
      <c r="E8244" t="str">
        <f>"07 - B - 001 - Carol S Moore"</f>
        <v>07 - B - 001 - Carol S Moore</v>
      </c>
      <c r="F8244" t="str">
        <f>"PRE-AICE WRLD HST IG"</f>
        <v>PRE-AICE WRLD HST IG</v>
      </c>
      <c r="G8244" t="str">
        <f>"17-1733"</f>
        <v>17-1733</v>
      </c>
      <c r="H8244" t="str">
        <f>"B"</f>
        <v>B</v>
      </c>
    </row>
    <row r="8245" spans="1:8" x14ac:dyDescent="0.2">
      <c r="A8245" t="str">
        <f t="shared" si="3006"/>
        <v>0623050458</v>
      </c>
      <c r="B8245" t="str">
        <f t="shared" si="3007"/>
        <v>CLAYTON</v>
      </c>
      <c r="C8245" t="str">
        <f t="shared" si="3008"/>
        <v>JEAN-PIERRE</v>
      </c>
      <c r="D8245" t="str">
        <f t="shared" si="3005"/>
        <v>09</v>
      </c>
      <c r="E8245" t="str">
        <f>"05 - S1 - B - 103 - Leslie J Barton"</f>
        <v>05 - S1 - B - 103 - Leslie J Barton</v>
      </c>
      <c r="F8245" t="str">
        <f>"FIRST AID SAFETY"</f>
        <v>FIRST AID SAFETY</v>
      </c>
      <c r="G8245" t="str">
        <f>"05-521"</f>
        <v>05-521</v>
      </c>
      <c r="H8245" t="str">
        <f>"B"</f>
        <v>B</v>
      </c>
    </row>
    <row r="8246" spans="1:8" x14ac:dyDescent="0.2">
      <c r="A8246" t="str">
        <f t="shared" si="3006"/>
        <v>0623050458</v>
      </c>
      <c r="B8246" t="str">
        <f t="shared" si="3007"/>
        <v>CLAYTON</v>
      </c>
      <c r="C8246" t="str">
        <f t="shared" si="3008"/>
        <v>JEAN-PIERRE</v>
      </c>
      <c r="D8246" t="str">
        <f t="shared" si="3005"/>
        <v>09</v>
      </c>
      <c r="E8246" t="str">
        <f>"01 - A - 101 - Josiah I Lacy"</f>
        <v>01 - A - 101 - Josiah I Lacy</v>
      </c>
      <c r="F8246" t="str">
        <f>"PRE-AICE BIO IG"</f>
        <v>PRE-AICE BIO IG</v>
      </c>
      <c r="G8246" t="str">
        <f>"08-801"</f>
        <v>08-801</v>
      </c>
      <c r="H8246" t="str">
        <f>"A"</f>
        <v>A</v>
      </c>
    </row>
    <row r="8247" spans="1:8" x14ac:dyDescent="0.2">
      <c r="A8247" t="str">
        <f t="shared" si="3006"/>
        <v>0623050458</v>
      </c>
      <c r="B8247" t="str">
        <f t="shared" si="3007"/>
        <v>CLAYTON</v>
      </c>
      <c r="C8247" t="str">
        <f t="shared" si="3008"/>
        <v>JEAN-PIERRE</v>
      </c>
      <c r="D8247" t="str">
        <f t="shared" si="3005"/>
        <v>09</v>
      </c>
      <c r="E8247" t="str">
        <f>"08 - B - 108 - Adam Marcus  Drucker"</f>
        <v>08 - B - 108 - Adam Marcus  Drucker</v>
      </c>
      <c r="F8247" t="str">
        <f>"HOPE-PE V"</f>
        <v>HOPE-PE V</v>
      </c>
      <c r="G8247" t="str">
        <f>"04-254"</f>
        <v>04-254</v>
      </c>
      <c r="H8247" t="str">
        <f>"B"</f>
        <v>B</v>
      </c>
    </row>
    <row r="8248" spans="1:8" x14ac:dyDescent="0.2">
      <c r="A8248" t="str">
        <f t="shared" ref="A8248:A8255" si="3009">"0611086028"</f>
        <v>0611086028</v>
      </c>
      <c r="B8248" t="str">
        <f t="shared" ref="B8248:B8255" si="3010">"GAETHANE"</f>
        <v>GAETHANE</v>
      </c>
      <c r="C8248" t="str">
        <f t="shared" si="3008"/>
        <v>JEAN-PIERRE</v>
      </c>
      <c r="D8248">
        <f>12</f>
        <v>12</v>
      </c>
      <c r="E8248" t="str">
        <f>"04 - A - 106 - Tina M Jaramillo"</f>
        <v>04 - A - 106 - Tina M Jaramillo</v>
      </c>
      <c r="F8248" t="str">
        <f>"AP ENG LIT COMPO"</f>
        <v>AP ENG LIT COMPO</v>
      </c>
      <c r="G8248" t="str">
        <f>"17-1706"</f>
        <v>17-1706</v>
      </c>
      <c r="H8248" t="str">
        <f>"A"</f>
        <v>A</v>
      </c>
    </row>
    <row r="8249" spans="1:8" x14ac:dyDescent="0.2">
      <c r="A8249" t="str">
        <f t="shared" si="3009"/>
        <v>0611086028</v>
      </c>
      <c r="B8249" t="str">
        <f t="shared" si="3010"/>
        <v>GAETHANE</v>
      </c>
      <c r="C8249" t="str">
        <f t="shared" si="3008"/>
        <v>JEAN-PIERRE</v>
      </c>
      <c r="D8249">
        <f>12</f>
        <v>12</v>
      </c>
      <c r="E8249" t="str">
        <f>"06 - B - 105 - Robyn L Trainer"</f>
        <v>06 - B - 105 - Robyn L Trainer</v>
      </c>
      <c r="F8249" t="str">
        <f>"NC STUDY HALL 1"</f>
        <v>NC STUDY HALL 1</v>
      </c>
      <c r="G8249" t="str">
        <f>"17-1734"</f>
        <v>17-1734</v>
      </c>
      <c r="H8249" t="str">
        <f>"B"</f>
        <v>B</v>
      </c>
    </row>
    <row r="8250" spans="1:8" x14ac:dyDescent="0.2">
      <c r="A8250" t="str">
        <f t="shared" si="3009"/>
        <v>0611086028</v>
      </c>
      <c r="B8250" t="str">
        <f t="shared" si="3010"/>
        <v>GAETHANE</v>
      </c>
      <c r="C8250" t="str">
        <f t="shared" si="3008"/>
        <v>JEAN-PIERRE</v>
      </c>
      <c r="D8250">
        <f>12</f>
        <v>12</v>
      </c>
      <c r="E8250" t="str">
        <f>"03 - A - 101 - Lisa J London"</f>
        <v>03 - A - 101 - Lisa J London</v>
      </c>
      <c r="F8250" t="str">
        <f>"AP CAPSTONE RESEARCH"</f>
        <v>AP CAPSTONE RESEARCH</v>
      </c>
      <c r="G8250" t="str">
        <f>"17-1714"</f>
        <v>17-1714</v>
      </c>
      <c r="H8250" t="str">
        <f>"A"</f>
        <v>A</v>
      </c>
    </row>
    <row r="8251" spans="1:8" x14ac:dyDescent="0.2">
      <c r="A8251" t="str">
        <f t="shared" si="3009"/>
        <v>0611086028</v>
      </c>
      <c r="B8251" t="str">
        <f t="shared" si="3010"/>
        <v>GAETHANE</v>
      </c>
      <c r="C8251" t="str">
        <f t="shared" si="3008"/>
        <v>JEAN-PIERRE</v>
      </c>
      <c r="D8251">
        <f>12</f>
        <v>12</v>
      </c>
      <c r="E8251" t="str">
        <f>"02 - A - 102 - Norayda D Suarez"</f>
        <v>02 - A - 102 - Norayda D Suarez</v>
      </c>
      <c r="F8251" t="str">
        <f>"RESEARCH 1 LH"</f>
        <v>RESEARCH 1 LH</v>
      </c>
      <c r="G8251">
        <f>2041</f>
        <v>2041</v>
      </c>
      <c r="H8251" t="str">
        <f>"A"</f>
        <v>A</v>
      </c>
    </row>
    <row r="8252" spans="1:8" x14ac:dyDescent="0.2">
      <c r="A8252" t="str">
        <f t="shared" si="3009"/>
        <v>0611086028</v>
      </c>
      <c r="B8252" t="str">
        <f t="shared" si="3010"/>
        <v>GAETHANE</v>
      </c>
      <c r="C8252" t="str">
        <f t="shared" si="3008"/>
        <v>JEAN-PIERRE</v>
      </c>
      <c r="D8252">
        <f>12</f>
        <v>12</v>
      </c>
      <c r="E8252" t="str">
        <f>"07 - B - 201 - Jacqueline R Morphet"</f>
        <v>07 - B - 201 - Jacqueline R Morphet</v>
      </c>
      <c r="F8252" t="str">
        <f>"AP PHYSICS C: ME"</f>
        <v>AP PHYSICS C: ME</v>
      </c>
      <c r="G8252" t="str">
        <f>"21-2138"</f>
        <v>21-2138</v>
      </c>
      <c r="H8252" t="str">
        <f>"B"</f>
        <v>B</v>
      </c>
    </row>
    <row r="8253" spans="1:8" x14ac:dyDescent="0.2">
      <c r="A8253" t="str">
        <f t="shared" si="3009"/>
        <v>0611086028</v>
      </c>
      <c r="B8253" t="str">
        <f t="shared" si="3010"/>
        <v>GAETHANE</v>
      </c>
      <c r="C8253" t="str">
        <f t="shared" si="3008"/>
        <v>JEAN-PIERRE</v>
      </c>
      <c r="D8253">
        <f>12</f>
        <v>12</v>
      </c>
      <c r="E8253" t="str">
        <f>"05 - B - 001 - Arthur  Kulawik"</f>
        <v>05 - B - 001 - Arthur  Kulawik</v>
      </c>
      <c r="F8253" t="str">
        <f>"DEBATE 4 HON"</f>
        <v>DEBATE 4 HON</v>
      </c>
      <c r="G8253" t="str">
        <f>"05-506"</f>
        <v>05-506</v>
      </c>
      <c r="H8253" t="str">
        <f>"B"</f>
        <v>B</v>
      </c>
    </row>
    <row r="8254" spans="1:8" x14ac:dyDescent="0.2">
      <c r="A8254" t="str">
        <f t="shared" si="3009"/>
        <v>0611086028</v>
      </c>
      <c r="B8254" t="str">
        <f t="shared" si="3010"/>
        <v>GAETHANE</v>
      </c>
      <c r="C8254" t="str">
        <f t="shared" si="3008"/>
        <v>JEAN-PIERRE</v>
      </c>
      <c r="D8254">
        <f>12</f>
        <v>12</v>
      </c>
      <c r="E8254" t="str">
        <f>"01 - A - 101 - Nikiel  Nesbeth"</f>
        <v>01 - A - 101 - Nikiel  Nesbeth</v>
      </c>
      <c r="F8254" t="str">
        <f>"CONST LAW HON"</f>
        <v>CONST LAW HON</v>
      </c>
      <c r="G8254" t="str">
        <f>"17-1705"</f>
        <v>17-1705</v>
      </c>
      <c r="H8254" t="str">
        <f>"A"</f>
        <v>A</v>
      </c>
    </row>
    <row r="8255" spans="1:8" x14ac:dyDescent="0.2">
      <c r="A8255" t="str">
        <f t="shared" si="3009"/>
        <v>0611086028</v>
      </c>
      <c r="B8255" t="str">
        <f t="shared" si="3010"/>
        <v>GAETHANE</v>
      </c>
      <c r="C8255" t="str">
        <f t="shared" si="3008"/>
        <v>JEAN-PIERRE</v>
      </c>
      <c r="D8255">
        <f>12</f>
        <v>12</v>
      </c>
      <c r="E8255" t="str">
        <f>"08 - S1 - B - 102 - Stephen T Ripp"</f>
        <v>08 - S1 - B - 102 - Stephen T Ripp</v>
      </c>
      <c r="F8255" t="str">
        <f>"AP US GOVT/POL"</f>
        <v>AP US GOVT/POL</v>
      </c>
      <c r="G8255" t="str">
        <f>"17-1744"</f>
        <v>17-1744</v>
      </c>
      <c r="H8255" t="str">
        <f>"B"</f>
        <v>B</v>
      </c>
    </row>
    <row r="8256" spans="1:8" x14ac:dyDescent="0.2">
      <c r="A8256" t="str">
        <f t="shared" ref="A8256:A8263" si="3011">"0614016541"</f>
        <v>0614016541</v>
      </c>
      <c r="B8256" t="str">
        <f t="shared" ref="B8256:B8263" si="3012">"ESTHER"</f>
        <v>ESTHER</v>
      </c>
      <c r="C8256" t="str">
        <f t="shared" ref="C8256:C8263" si="3013">"JEANTINOR"</f>
        <v>JEANTINOR</v>
      </c>
      <c r="D8256">
        <f>10</f>
        <v>10</v>
      </c>
      <c r="E8256" t="str">
        <f>"04 - A - 104 - Marius D Orsolini"</f>
        <v>04 - A - 104 - Marius D Orsolini</v>
      </c>
      <c r="F8256" t="str">
        <f>"CULINARY ARTS 1"</f>
        <v>CULINARY ARTS 1</v>
      </c>
      <c r="G8256" t="str">
        <f>"21-2115"</f>
        <v>21-2115</v>
      </c>
      <c r="H8256" t="str">
        <f>"A"</f>
        <v>A</v>
      </c>
    </row>
    <row r="8257" spans="1:8" x14ac:dyDescent="0.2">
      <c r="A8257" t="str">
        <f t="shared" si="3011"/>
        <v>0614016541</v>
      </c>
      <c r="B8257" t="str">
        <f t="shared" si="3012"/>
        <v>ESTHER</v>
      </c>
      <c r="C8257" t="str">
        <f t="shared" si="3013"/>
        <v>JEANTINOR</v>
      </c>
      <c r="D8257">
        <f>10</f>
        <v>10</v>
      </c>
      <c r="E8257" t="str">
        <f>"06 - B - 119 - Nikiel  Nesbeth"</f>
        <v>06 - B - 119 - Nikiel  Nesbeth</v>
      </c>
      <c r="F8257" t="str">
        <f>"NC STUDY HALL 1"</f>
        <v>NC STUDY HALL 1</v>
      </c>
      <c r="G8257" t="str">
        <f>"17-1705"</f>
        <v>17-1705</v>
      </c>
      <c r="H8257" t="str">
        <f>"B"</f>
        <v>B</v>
      </c>
    </row>
    <row r="8258" spans="1:8" x14ac:dyDescent="0.2">
      <c r="A8258" t="str">
        <f t="shared" si="3011"/>
        <v>0614016541</v>
      </c>
      <c r="B8258" t="str">
        <f t="shared" si="3012"/>
        <v>ESTHER</v>
      </c>
      <c r="C8258" t="str">
        <f t="shared" si="3013"/>
        <v>JEANTINOR</v>
      </c>
      <c r="D8258">
        <f>10</f>
        <v>10</v>
      </c>
      <c r="E8258" t="str">
        <f>"03 - S1 - A - 102 - Leslie J Barton"</f>
        <v>03 - S1 - A - 102 - Leslie J Barton</v>
      </c>
      <c r="F8258" t="str">
        <f>"FIRST AID SAFETY"</f>
        <v>FIRST AID SAFETY</v>
      </c>
      <c r="G8258" t="str">
        <f>"05-521"</f>
        <v>05-521</v>
      </c>
      <c r="H8258" t="str">
        <f>"A"</f>
        <v>A</v>
      </c>
    </row>
    <row r="8259" spans="1:8" x14ac:dyDescent="0.2">
      <c r="A8259" t="str">
        <f t="shared" si="3011"/>
        <v>0614016541</v>
      </c>
      <c r="B8259" t="str">
        <f t="shared" si="3012"/>
        <v>ESTHER</v>
      </c>
      <c r="C8259" t="str">
        <f t="shared" si="3013"/>
        <v>JEANTINOR</v>
      </c>
      <c r="D8259">
        <f>10</f>
        <v>10</v>
      </c>
      <c r="E8259" t="str">
        <f>"02 - A - 102 - Vanessa J Liburd"</f>
        <v>02 - A - 102 - Vanessa J Liburd</v>
      </c>
      <c r="F8259" t="str">
        <f>"PRE-AICE FRENCH 2 IG"</f>
        <v>PRE-AICE FRENCH 2 IG</v>
      </c>
      <c r="G8259" t="str">
        <f>"05-519"</f>
        <v>05-519</v>
      </c>
      <c r="H8259" t="str">
        <f>"A"</f>
        <v>A</v>
      </c>
    </row>
    <row r="8260" spans="1:8" x14ac:dyDescent="0.2">
      <c r="A8260" t="str">
        <f t="shared" si="3011"/>
        <v>0614016541</v>
      </c>
      <c r="B8260" t="str">
        <f t="shared" si="3012"/>
        <v>ESTHER</v>
      </c>
      <c r="C8260" t="str">
        <f t="shared" si="3013"/>
        <v>JEANTINOR</v>
      </c>
      <c r="D8260">
        <f>10</f>
        <v>10</v>
      </c>
      <c r="E8260" t="str">
        <f>"07 - B - 102 - Nikiel  Nesbeth"</f>
        <v>07 - B - 102 - Nikiel  Nesbeth</v>
      </c>
      <c r="F8260" t="str">
        <f>"PRE-AICE ENG LIT IG"</f>
        <v>PRE-AICE ENG LIT IG</v>
      </c>
      <c r="G8260" t="str">
        <f>"17-1705"</f>
        <v>17-1705</v>
      </c>
      <c r="H8260" t="str">
        <f>"B"</f>
        <v>B</v>
      </c>
    </row>
    <row r="8261" spans="1:8" x14ac:dyDescent="0.2">
      <c r="A8261" t="str">
        <f t="shared" si="3011"/>
        <v>0614016541</v>
      </c>
      <c r="B8261" t="str">
        <f t="shared" si="3012"/>
        <v>ESTHER</v>
      </c>
      <c r="C8261" t="str">
        <f t="shared" si="3013"/>
        <v>JEANTINOR</v>
      </c>
      <c r="D8261">
        <f>10</f>
        <v>10</v>
      </c>
      <c r="E8261" t="str">
        <f>"05 - B - 103 - Josiah I Lacy"</f>
        <v>05 - B - 103 - Josiah I Lacy</v>
      </c>
      <c r="F8261" t="str">
        <f>"PRE-AICE BIO IG"</f>
        <v>PRE-AICE BIO IG</v>
      </c>
      <c r="G8261" t="str">
        <f>"08-801"</f>
        <v>08-801</v>
      </c>
      <c r="H8261" t="str">
        <f>"B"</f>
        <v>B</v>
      </c>
    </row>
    <row r="8262" spans="1:8" x14ac:dyDescent="0.2">
      <c r="A8262" t="str">
        <f t="shared" si="3011"/>
        <v>0614016541</v>
      </c>
      <c r="B8262" t="str">
        <f t="shared" si="3012"/>
        <v>ESTHER</v>
      </c>
      <c r="C8262" t="str">
        <f t="shared" si="3013"/>
        <v>JEANTINOR</v>
      </c>
      <c r="D8262">
        <f>10</f>
        <v>10</v>
      </c>
      <c r="E8262" t="str">
        <f>"01 - A - 101 - Ferrie J Arostique"</f>
        <v>01 - A - 101 - Ferrie J Arostique</v>
      </c>
      <c r="F8262" t="str">
        <f>"GEOMETRY"</f>
        <v>GEOMETRY</v>
      </c>
      <c r="G8262" t="str">
        <f>"21-2139"</f>
        <v>21-2139</v>
      </c>
      <c r="H8262" t="str">
        <f>"A"</f>
        <v>A</v>
      </c>
    </row>
    <row r="8263" spans="1:8" x14ac:dyDescent="0.2">
      <c r="A8263" t="str">
        <f t="shared" si="3011"/>
        <v>0614016541</v>
      </c>
      <c r="B8263" t="str">
        <f t="shared" si="3012"/>
        <v>ESTHER</v>
      </c>
      <c r="C8263" t="str">
        <f t="shared" si="3013"/>
        <v>JEANTINOR</v>
      </c>
      <c r="D8263">
        <f>10</f>
        <v>10</v>
      </c>
      <c r="E8263" t="str">
        <f>"08 - S1 - B - 102 - Kyle  Robbins"</f>
        <v>08 - S1 - B - 102 - Kyle  Robbins</v>
      </c>
      <c r="F8263" t="str">
        <f>"PERS FIN &amp; MON MGT H"</f>
        <v>PERS FIN &amp; MON MGT H</v>
      </c>
      <c r="G8263" t="str">
        <f>"17-1745"</f>
        <v>17-1745</v>
      </c>
      <c r="H8263" t="str">
        <f>"B"</f>
        <v>B</v>
      </c>
    </row>
    <row r="8264" spans="1:8" x14ac:dyDescent="0.2">
      <c r="A8264" t="str">
        <f t="shared" ref="A8264:A8271" si="3014">"0625033249"</f>
        <v>0625033249</v>
      </c>
      <c r="B8264" t="str">
        <f t="shared" ref="B8264:B8271" si="3015">"Sonaje"</f>
        <v>Sonaje</v>
      </c>
      <c r="C8264" t="str">
        <f t="shared" ref="C8264:C8271" si="3016">"Jenkins"</f>
        <v>Jenkins</v>
      </c>
      <c r="D8264">
        <f>11</f>
        <v>11</v>
      </c>
      <c r="E8264" t="str">
        <f>"04 - A - 103 - Joe  Kilpatrick Jr"</f>
        <v>04 - A - 103 - Joe  Kilpatrick Jr</v>
      </c>
      <c r="F8264" t="str">
        <f>"PRE-AICE SPAN 1 IG"</f>
        <v>PRE-AICE SPAN 1 IG</v>
      </c>
      <c r="G8264" t="str">
        <f>"09-912"</f>
        <v>09-912</v>
      </c>
      <c r="H8264" t="str">
        <f>"A"</f>
        <v>A</v>
      </c>
    </row>
    <row r="8265" spans="1:8" x14ac:dyDescent="0.2">
      <c r="A8265" t="str">
        <f t="shared" si="3014"/>
        <v>0625033249</v>
      </c>
      <c r="B8265" t="str">
        <f t="shared" si="3015"/>
        <v>Sonaje</v>
      </c>
      <c r="C8265" t="str">
        <f t="shared" si="3016"/>
        <v>Jenkins</v>
      </c>
      <c r="D8265">
        <f>11</f>
        <v>11</v>
      </c>
      <c r="E8265" t="str">
        <f>"06 - B - 105 - Elizabeth Ellen  Moran"</f>
        <v>06 - B - 105 - Elizabeth Ellen  Moran</v>
      </c>
      <c r="F8265" t="str">
        <f>"US HISTORY"</f>
        <v>US HISTORY</v>
      </c>
      <c r="G8265" t="str">
        <f>"17-1752"</f>
        <v>17-1752</v>
      </c>
      <c r="H8265" t="str">
        <f>"B"</f>
        <v>B</v>
      </c>
    </row>
    <row r="8266" spans="1:8" x14ac:dyDescent="0.2">
      <c r="A8266" t="str">
        <f t="shared" si="3014"/>
        <v>0625033249</v>
      </c>
      <c r="B8266" t="str">
        <f t="shared" si="3015"/>
        <v>Sonaje</v>
      </c>
      <c r="C8266" t="str">
        <f t="shared" si="3016"/>
        <v>Jenkins</v>
      </c>
      <c r="D8266">
        <f>11</f>
        <v>11</v>
      </c>
      <c r="E8266" t="str">
        <f>"03 - A - 103 - Jazmin S Fletcher"</f>
        <v>03 - A - 103 - Jazmin S Fletcher</v>
      </c>
      <c r="F8266" t="str">
        <f>"THEATRE 2"</f>
        <v>THEATRE 2</v>
      </c>
      <c r="G8266" t="str">
        <f>"09-909"</f>
        <v>09-909</v>
      </c>
      <c r="H8266" t="str">
        <f>"A"</f>
        <v>A</v>
      </c>
    </row>
    <row r="8267" spans="1:8" x14ac:dyDescent="0.2">
      <c r="A8267" t="str">
        <f t="shared" si="3014"/>
        <v>0625033249</v>
      </c>
      <c r="B8267" t="str">
        <f t="shared" si="3015"/>
        <v>Sonaje</v>
      </c>
      <c r="C8267" t="str">
        <f t="shared" si="3016"/>
        <v>Jenkins</v>
      </c>
      <c r="D8267">
        <f>11</f>
        <v>11</v>
      </c>
      <c r="E8267" t="str">
        <f>"02 - A - 117 - Kyle  Robbins"</f>
        <v>02 - A - 117 - Kyle  Robbins</v>
      </c>
      <c r="F8267" t="str">
        <f>"NC STUDY HALL 1"</f>
        <v>NC STUDY HALL 1</v>
      </c>
      <c r="G8267" t="str">
        <f>"17-1745"</f>
        <v>17-1745</v>
      </c>
      <c r="H8267" t="str">
        <f>"A"</f>
        <v>A</v>
      </c>
    </row>
    <row r="8268" spans="1:8" x14ac:dyDescent="0.2">
      <c r="A8268" t="str">
        <f t="shared" si="3014"/>
        <v>0625033249</v>
      </c>
      <c r="B8268" t="str">
        <f t="shared" si="3015"/>
        <v>Sonaje</v>
      </c>
      <c r="C8268" t="str">
        <f t="shared" si="3016"/>
        <v>Jenkins</v>
      </c>
      <c r="D8268">
        <f>11</f>
        <v>11</v>
      </c>
      <c r="E8268" t="str">
        <f>"07 - B - 001 - Maried P Ramos"</f>
        <v>07 - B - 001 - Maried P Ramos</v>
      </c>
      <c r="F8268" t="str">
        <f>"GEOMETRY"</f>
        <v>GEOMETRY</v>
      </c>
      <c r="G8268" t="str">
        <f>"21-2159"</f>
        <v>21-2159</v>
      </c>
      <c r="H8268" t="str">
        <f>"B"</f>
        <v>B</v>
      </c>
    </row>
    <row r="8269" spans="1:8" x14ac:dyDescent="0.2">
      <c r="A8269" t="str">
        <f t="shared" si="3014"/>
        <v>0625033249</v>
      </c>
      <c r="B8269" t="str">
        <f t="shared" si="3015"/>
        <v>Sonaje</v>
      </c>
      <c r="C8269" t="str">
        <f t="shared" si="3016"/>
        <v>Jenkins</v>
      </c>
      <c r="D8269">
        <f>11</f>
        <v>11</v>
      </c>
      <c r="E8269" t="str">
        <f>"05 - B - 104 - Lisa  Quinn"</f>
        <v>05 - B - 104 - Lisa  Quinn</v>
      </c>
      <c r="F8269" t="str">
        <f>"ENG 3"</f>
        <v>ENG 3</v>
      </c>
      <c r="G8269" t="str">
        <f>"17-1725"</f>
        <v>17-1725</v>
      </c>
      <c r="H8269" t="str">
        <f>"B"</f>
        <v>B</v>
      </c>
    </row>
    <row r="8270" spans="1:8" x14ac:dyDescent="0.2">
      <c r="A8270" t="str">
        <f t="shared" si="3014"/>
        <v>0625033249</v>
      </c>
      <c r="B8270" t="str">
        <f t="shared" si="3015"/>
        <v>Sonaje</v>
      </c>
      <c r="C8270" t="str">
        <f t="shared" si="3016"/>
        <v>Jenkins</v>
      </c>
      <c r="D8270">
        <f>11</f>
        <v>11</v>
      </c>
      <c r="E8270" t="str">
        <f>"01 - A - 102 - Lytrell T Dixon"</f>
        <v>01 - A - 102 - Lytrell T Dixon</v>
      </c>
      <c r="F8270" t="str">
        <f>"BIOLOGY 1"</f>
        <v>BIOLOGY 1</v>
      </c>
      <c r="G8270" t="str">
        <f>"08-808"</f>
        <v>08-808</v>
      </c>
      <c r="H8270" t="str">
        <f>"A"</f>
        <v>A</v>
      </c>
    </row>
    <row r="8271" spans="1:8" x14ac:dyDescent="0.2">
      <c r="A8271" t="str">
        <f t="shared" si="3014"/>
        <v>0625033249</v>
      </c>
      <c r="B8271" t="str">
        <f t="shared" si="3015"/>
        <v>Sonaje</v>
      </c>
      <c r="C8271" t="str">
        <f t="shared" si="3016"/>
        <v>Jenkins</v>
      </c>
      <c r="D8271">
        <f>11</f>
        <v>11</v>
      </c>
      <c r="E8271" t="str">
        <f>"08 - S1 - B - 105 - Richard E Dunbar Iii"</f>
        <v>08 - S1 - B - 105 - Richard E Dunbar Iii</v>
      </c>
      <c r="F8271" t="str">
        <f>"WEIGHT TRAIN 1"</f>
        <v>WEIGHT TRAIN 1</v>
      </c>
      <c r="G8271" t="str">
        <f>"05-501"</f>
        <v>05-501</v>
      </c>
      <c r="H8271" t="str">
        <f>"B"</f>
        <v>B</v>
      </c>
    </row>
    <row r="8272" spans="1:8" x14ac:dyDescent="0.2">
      <c r="A8272" t="str">
        <f t="shared" ref="A8272:A8279" si="3017">"0613119846"</f>
        <v>0613119846</v>
      </c>
      <c r="B8272" t="str">
        <f t="shared" ref="B8272:B8279" si="3018">"TANARIS"</f>
        <v>TANARIS</v>
      </c>
      <c r="C8272" t="str">
        <f t="shared" ref="C8272:C8279" si="3019">"JENKINS"</f>
        <v>JENKINS</v>
      </c>
      <c r="D8272">
        <f>10</f>
        <v>10</v>
      </c>
      <c r="E8272" t="str">
        <f>"04 - A - 102 - Jordana K Hass"</f>
        <v>04 - A - 102 - Jordana K Hass</v>
      </c>
      <c r="F8272" t="str">
        <f>"CHEMISTRY 1"</f>
        <v>CHEMISTRY 1</v>
      </c>
      <c r="G8272" t="str">
        <f>"08-807"</f>
        <v>08-807</v>
      </c>
      <c r="H8272" t="str">
        <f>"A"</f>
        <v>A</v>
      </c>
    </row>
    <row r="8273" spans="1:8" x14ac:dyDescent="0.2">
      <c r="A8273" t="str">
        <f t="shared" si="3017"/>
        <v>0613119846</v>
      </c>
      <c r="B8273" t="str">
        <f t="shared" si="3018"/>
        <v>TANARIS</v>
      </c>
      <c r="C8273" t="str">
        <f t="shared" si="3019"/>
        <v>JENKINS</v>
      </c>
      <c r="D8273">
        <f>10</f>
        <v>10</v>
      </c>
      <c r="E8273" t="str">
        <f>"06 - B - 119 - Nikiel  Nesbeth"</f>
        <v>06 - B - 119 - Nikiel  Nesbeth</v>
      </c>
      <c r="F8273" t="str">
        <f>"NC STUDY HALL 1"</f>
        <v>NC STUDY HALL 1</v>
      </c>
      <c r="G8273" t="str">
        <f>"17-1705"</f>
        <v>17-1705</v>
      </c>
      <c r="H8273" t="str">
        <f>"B"</f>
        <v>B</v>
      </c>
    </row>
    <row r="8274" spans="1:8" x14ac:dyDescent="0.2">
      <c r="A8274" t="str">
        <f t="shared" si="3017"/>
        <v>0613119846</v>
      </c>
      <c r="B8274" t="str">
        <f t="shared" si="3018"/>
        <v>TANARIS</v>
      </c>
      <c r="C8274" t="str">
        <f t="shared" si="3019"/>
        <v>JENKINS</v>
      </c>
      <c r="D8274">
        <f>10</f>
        <v>10</v>
      </c>
      <c r="E8274" t="str">
        <f>"03 - A - 002 - Brandy N Zdenek"</f>
        <v>03 - A - 002 - Brandy N Zdenek</v>
      </c>
      <c r="F8274" t="str">
        <f>"AICE ENG LANG AS"</f>
        <v>AICE ENG LANG AS</v>
      </c>
      <c r="G8274" t="str">
        <f>"17-1704"</f>
        <v>17-1704</v>
      </c>
      <c r="H8274" t="str">
        <f>"A"</f>
        <v>A</v>
      </c>
    </row>
    <row r="8275" spans="1:8" x14ac:dyDescent="0.2">
      <c r="A8275" t="str">
        <f t="shared" si="3017"/>
        <v>0613119846</v>
      </c>
      <c r="B8275" t="str">
        <f t="shared" si="3018"/>
        <v>TANARIS</v>
      </c>
      <c r="C8275" t="str">
        <f t="shared" si="3019"/>
        <v>JENKINS</v>
      </c>
      <c r="D8275">
        <f>10</f>
        <v>10</v>
      </c>
      <c r="E8275" t="str">
        <f>"02 - S1 - A - 101 - James H Mccann"</f>
        <v>02 - S1 - A - 101 - James H Mccann</v>
      </c>
      <c r="F8275" t="str">
        <f>"PERS FIN &amp; MON MGT H"</f>
        <v>PERS FIN &amp; MON MGT H</v>
      </c>
      <c r="G8275" t="str">
        <f>"17-1716"</f>
        <v>17-1716</v>
      </c>
      <c r="H8275" t="str">
        <f>"A"</f>
        <v>A</v>
      </c>
    </row>
    <row r="8276" spans="1:8" x14ac:dyDescent="0.2">
      <c r="A8276" t="str">
        <f t="shared" si="3017"/>
        <v>0613119846</v>
      </c>
      <c r="B8276" t="str">
        <f t="shared" si="3018"/>
        <v>TANARIS</v>
      </c>
      <c r="C8276" t="str">
        <f t="shared" si="3019"/>
        <v>JENKINS</v>
      </c>
      <c r="D8276">
        <f>10</f>
        <v>10</v>
      </c>
      <c r="E8276" t="str">
        <f>"07 - B - 107 - Rosa Elaine  Collado-Duff"</f>
        <v>07 - B - 107 - Rosa Elaine  Collado-Duff</v>
      </c>
      <c r="F8276" t="str">
        <f>"PRE-AICE SPAN 2 IG"</f>
        <v>PRE-AICE SPAN 2 IG</v>
      </c>
      <c r="G8276" t="str">
        <f>"09-913"</f>
        <v>09-913</v>
      </c>
      <c r="H8276" t="str">
        <f>"B"</f>
        <v>B</v>
      </c>
    </row>
    <row r="8277" spans="1:8" x14ac:dyDescent="0.2">
      <c r="A8277" t="str">
        <f t="shared" si="3017"/>
        <v>0613119846</v>
      </c>
      <c r="B8277" t="str">
        <f t="shared" si="3018"/>
        <v>TANARIS</v>
      </c>
      <c r="C8277" t="str">
        <f t="shared" si="3019"/>
        <v>JENKINS</v>
      </c>
      <c r="D8277">
        <f>10</f>
        <v>10</v>
      </c>
      <c r="E8277" t="str">
        <f>"05 - B - 108 - James H Mccann"</f>
        <v>05 - B - 108 - James H Mccann</v>
      </c>
      <c r="F8277" t="str">
        <f>"ALGEBRA 2"</f>
        <v>ALGEBRA 2</v>
      </c>
      <c r="G8277" t="str">
        <f>"17-1716"</f>
        <v>17-1716</v>
      </c>
      <c r="H8277" t="str">
        <f>"B"</f>
        <v>B</v>
      </c>
    </row>
    <row r="8278" spans="1:8" x14ac:dyDescent="0.2">
      <c r="A8278" t="str">
        <f t="shared" si="3017"/>
        <v>0613119846</v>
      </c>
      <c r="B8278" t="str">
        <f t="shared" si="3018"/>
        <v>TANARIS</v>
      </c>
      <c r="C8278" t="str">
        <f t="shared" si="3019"/>
        <v>JENKINS</v>
      </c>
      <c r="D8278">
        <f>10</f>
        <v>10</v>
      </c>
      <c r="E8278" t="str">
        <f>"01 - A - 001 - Lenecy  Nodarse"</f>
        <v>01 - A - 001 - Lenecy  Nodarse</v>
      </c>
      <c r="F8278" t="str">
        <f>"AICE EURO HIST 1 AS"</f>
        <v>AICE EURO HIST 1 AS</v>
      </c>
      <c r="G8278" t="str">
        <f>"17-1741"</f>
        <v>17-1741</v>
      </c>
      <c r="H8278" t="str">
        <f>"A"</f>
        <v>A</v>
      </c>
    </row>
    <row r="8279" spans="1:8" x14ac:dyDescent="0.2">
      <c r="A8279" t="str">
        <f t="shared" si="3017"/>
        <v>0613119846</v>
      </c>
      <c r="B8279" t="str">
        <f t="shared" si="3018"/>
        <v>TANARIS</v>
      </c>
      <c r="C8279" t="str">
        <f t="shared" si="3019"/>
        <v>JENKINS</v>
      </c>
      <c r="D8279">
        <f>10</f>
        <v>10</v>
      </c>
      <c r="E8279" t="str">
        <f>"08 - B - 206 - Daniel S Katz"</f>
        <v>08 - B - 206 - Daniel S Katz</v>
      </c>
      <c r="F8279" t="str">
        <f>"AICE MEDIASTUDIES AS"</f>
        <v>AICE MEDIASTUDIES AS</v>
      </c>
      <c r="G8279" t="str">
        <f>"05-521"</f>
        <v>05-521</v>
      </c>
      <c r="H8279" t="str">
        <f>"B"</f>
        <v>B</v>
      </c>
    </row>
    <row r="8280" spans="1:8" x14ac:dyDescent="0.2">
      <c r="A8280" t="str">
        <f t="shared" ref="A8280:A8287" si="3020">"0615131019"</f>
        <v>0615131019</v>
      </c>
      <c r="B8280" t="str">
        <f t="shared" ref="B8280:B8287" si="3021">"HUNTER"</f>
        <v>HUNTER</v>
      </c>
      <c r="C8280" t="str">
        <f t="shared" ref="C8280:C8287" si="3022">"JENNINGS"</f>
        <v>JENNINGS</v>
      </c>
      <c r="D8280">
        <f>10</f>
        <v>10</v>
      </c>
      <c r="E8280" t="str">
        <f>"04 - A - 004 - Krystal Marie  Beruty"</f>
        <v>04 - A - 004 - Krystal Marie  Beruty</v>
      </c>
      <c r="F8280" t="str">
        <f>"AICE GLBL PERSP 1 AS"</f>
        <v>AICE GLBL PERSP 1 AS</v>
      </c>
      <c r="G8280" t="str">
        <f>"17-1721"</f>
        <v>17-1721</v>
      </c>
      <c r="H8280" t="str">
        <f>"A"</f>
        <v>A</v>
      </c>
    </row>
    <row r="8281" spans="1:8" x14ac:dyDescent="0.2">
      <c r="A8281" t="str">
        <f t="shared" si="3020"/>
        <v>0615131019</v>
      </c>
      <c r="B8281" t="str">
        <f t="shared" si="3021"/>
        <v>HUNTER</v>
      </c>
      <c r="C8281" t="str">
        <f t="shared" si="3022"/>
        <v>JENNINGS</v>
      </c>
      <c r="D8281">
        <f>10</f>
        <v>10</v>
      </c>
      <c r="E8281" t="str">
        <f>"06 - B - 109 - Semra  Bahadir"</f>
        <v>06 - B - 109 - Semra  Bahadir</v>
      </c>
      <c r="F8281" t="str">
        <f>"NC STUDY HALL 1"</f>
        <v>NC STUDY HALL 1</v>
      </c>
      <c r="G8281" t="str">
        <f>"21-2107"</f>
        <v>21-2107</v>
      </c>
      <c r="H8281" t="str">
        <f>"B"</f>
        <v>B</v>
      </c>
    </row>
    <row r="8282" spans="1:8" x14ac:dyDescent="0.2">
      <c r="A8282" t="str">
        <f t="shared" si="3020"/>
        <v>0615131019</v>
      </c>
      <c r="B8282" t="str">
        <f t="shared" si="3021"/>
        <v>HUNTER</v>
      </c>
      <c r="C8282" t="str">
        <f t="shared" si="3022"/>
        <v>JENNINGS</v>
      </c>
      <c r="D8282">
        <f>10</f>
        <v>10</v>
      </c>
      <c r="E8282" t="str">
        <f>"03 - A - 101 - Scott A Dethloff"</f>
        <v>03 - A - 101 - Scott A Dethloff</v>
      </c>
      <c r="F8282" t="str">
        <f>"CHEMISTRY 1 HON"</f>
        <v>CHEMISTRY 1 HON</v>
      </c>
      <c r="G8282" t="str">
        <f>"08-812"</f>
        <v>08-812</v>
      </c>
      <c r="H8282" t="str">
        <f>"A"</f>
        <v>A</v>
      </c>
    </row>
    <row r="8283" spans="1:8" x14ac:dyDescent="0.2">
      <c r="A8283" t="str">
        <f t="shared" si="3020"/>
        <v>0615131019</v>
      </c>
      <c r="B8283" t="str">
        <f t="shared" si="3021"/>
        <v>HUNTER</v>
      </c>
      <c r="C8283" t="str">
        <f t="shared" si="3022"/>
        <v>JENNINGS</v>
      </c>
      <c r="D8283">
        <f>10</f>
        <v>10</v>
      </c>
      <c r="E8283" t="str">
        <f>"02 - A - 102 - Chrystina M Marchionne"</f>
        <v>02 - A - 102 - Chrystina M Marchionne</v>
      </c>
      <c r="F8283" t="str">
        <f>"AICE MEDIASTUDIES AS"</f>
        <v>AICE MEDIASTUDIES AS</v>
      </c>
      <c r="G8283" t="str">
        <f>"05-520"</f>
        <v>05-520</v>
      </c>
      <c r="H8283" t="str">
        <f>"A"</f>
        <v>A</v>
      </c>
    </row>
    <row r="8284" spans="1:8" x14ac:dyDescent="0.2">
      <c r="A8284" t="str">
        <f t="shared" si="3020"/>
        <v>0615131019</v>
      </c>
      <c r="B8284" t="str">
        <f t="shared" si="3021"/>
        <v>HUNTER</v>
      </c>
      <c r="C8284" t="str">
        <f t="shared" si="3022"/>
        <v>JENNINGS</v>
      </c>
      <c r="D8284">
        <f>10</f>
        <v>10</v>
      </c>
      <c r="E8284" t="str">
        <f>"07 - B - 102 - Lourivaldo  Da Silva"</f>
        <v>07 - B - 102 - Lourivaldo  Da Silva</v>
      </c>
      <c r="F8284" t="str">
        <f>"ALGEBRA 2 HON"</f>
        <v>ALGEBRA 2 HON</v>
      </c>
      <c r="G8284" t="str">
        <f>"20-2079"</f>
        <v>20-2079</v>
      </c>
      <c r="H8284" t="str">
        <f>"B"</f>
        <v>B</v>
      </c>
    </row>
    <row r="8285" spans="1:8" x14ac:dyDescent="0.2">
      <c r="A8285" t="str">
        <f t="shared" si="3020"/>
        <v>0615131019</v>
      </c>
      <c r="B8285" t="str">
        <f t="shared" si="3021"/>
        <v>HUNTER</v>
      </c>
      <c r="C8285" t="str">
        <f t="shared" si="3022"/>
        <v>JENNINGS</v>
      </c>
      <c r="D8285">
        <f>10</f>
        <v>10</v>
      </c>
      <c r="E8285" t="str">
        <f>"05 - B - 205 - Rosa Elaine  Collado-Duff"</f>
        <v>05 - B - 205 - Rosa Elaine  Collado-Duff</v>
      </c>
      <c r="F8285" t="str">
        <f>"PRE-AICE SPAN 2 IG"</f>
        <v>PRE-AICE SPAN 2 IG</v>
      </c>
      <c r="G8285" t="str">
        <f>"09-913"</f>
        <v>09-913</v>
      </c>
      <c r="H8285" t="str">
        <f>"B"</f>
        <v>B</v>
      </c>
    </row>
    <row r="8286" spans="1:8" x14ac:dyDescent="0.2">
      <c r="A8286" t="str">
        <f t="shared" si="3020"/>
        <v>0615131019</v>
      </c>
      <c r="B8286" t="str">
        <f t="shared" si="3021"/>
        <v>HUNTER</v>
      </c>
      <c r="C8286" t="str">
        <f t="shared" si="3022"/>
        <v>JENNINGS</v>
      </c>
      <c r="D8286">
        <f>10</f>
        <v>10</v>
      </c>
      <c r="E8286" t="str">
        <f>"01 - A - 101 - Nikiel  Nesbeth"</f>
        <v>01 - A - 101 - Nikiel  Nesbeth</v>
      </c>
      <c r="F8286" t="str">
        <f>"CONST LAW HON"</f>
        <v>CONST LAW HON</v>
      </c>
      <c r="G8286" t="str">
        <f>"17-1705"</f>
        <v>17-1705</v>
      </c>
      <c r="H8286" t="str">
        <f>"A"</f>
        <v>A</v>
      </c>
    </row>
    <row r="8287" spans="1:8" x14ac:dyDescent="0.2">
      <c r="A8287" t="str">
        <f t="shared" si="3020"/>
        <v>0615131019</v>
      </c>
      <c r="B8287" t="str">
        <f t="shared" si="3021"/>
        <v>HUNTER</v>
      </c>
      <c r="C8287" t="str">
        <f t="shared" si="3022"/>
        <v>JENNINGS</v>
      </c>
      <c r="D8287">
        <f>10</f>
        <v>10</v>
      </c>
      <c r="E8287" t="str">
        <f>"08 - B - 102 - Jacquelyn M Neeson"</f>
        <v>08 - B - 102 - Jacquelyn M Neeson</v>
      </c>
      <c r="F8287" t="str">
        <f>"AICE ENG GEN PAPER 1"</f>
        <v>AICE ENG GEN PAPER 1</v>
      </c>
      <c r="G8287" t="str">
        <f>"17-1715"</f>
        <v>17-1715</v>
      </c>
      <c r="H8287" t="str">
        <f>"B"</f>
        <v>B</v>
      </c>
    </row>
    <row r="8288" spans="1:8" x14ac:dyDescent="0.2">
      <c r="A8288" t="str">
        <f t="shared" ref="A8288:A8295" si="3023">"0615000591"</f>
        <v>0615000591</v>
      </c>
      <c r="B8288" t="str">
        <f t="shared" ref="B8288:B8295" si="3024">"LAWRENCE"</f>
        <v>LAWRENCE</v>
      </c>
      <c r="C8288" t="str">
        <f t="shared" ref="C8288:C8295" si="3025">"JEROME"</f>
        <v>JEROME</v>
      </c>
      <c r="D8288">
        <f>11</f>
        <v>11</v>
      </c>
      <c r="E8288" t="str">
        <f>"04 - A - 101 - Stephen T Ripp"</f>
        <v>04 - A - 101 - Stephen T Ripp</v>
      </c>
      <c r="F8288" t="str">
        <f>"AP U.S. HIST"</f>
        <v>AP U.S. HIST</v>
      </c>
      <c r="G8288" t="str">
        <f>"17-1744"</f>
        <v>17-1744</v>
      </c>
      <c r="H8288" t="str">
        <f>"A"</f>
        <v>A</v>
      </c>
    </row>
    <row r="8289" spans="1:8" x14ac:dyDescent="0.2">
      <c r="A8289" t="str">
        <f t="shared" si="3023"/>
        <v>0615000591</v>
      </c>
      <c r="B8289" t="str">
        <f t="shared" si="3024"/>
        <v>LAWRENCE</v>
      </c>
      <c r="C8289" t="str">
        <f t="shared" si="3025"/>
        <v>JEROME</v>
      </c>
      <c r="D8289">
        <f>11</f>
        <v>11</v>
      </c>
      <c r="E8289" t="str">
        <f>"06 - B - 104 - Chrystina M Marchionne"</f>
        <v>06 - B - 104 - Chrystina M Marchionne</v>
      </c>
      <c r="F8289" t="str">
        <f>"AICE MEDIA STUDIES A"</f>
        <v>AICE MEDIA STUDIES A</v>
      </c>
      <c r="G8289" t="str">
        <f>"05-520"</f>
        <v>05-520</v>
      </c>
      <c r="H8289" t="str">
        <f>"B"</f>
        <v>B</v>
      </c>
    </row>
    <row r="8290" spans="1:8" x14ac:dyDescent="0.2">
      <c r="A8290" t="str">
        <f t="shared" si="3023"/>
        <v>0615000591</v>
      </c>
      <c r="B8290" t="str">
        <f t="shared" si="3024"/>
        <v>LAWRENCE</v>
      </c>
      <c r="C8290" t="str">
        <f t="shared" si="3025"/>
        <v>JEROME</v>
      </c>
      <c r="D8290">
        <f>11</f>
        <v>11</v>
      </c>
      <c r="E8290" t="str">
        <f>"03 - A - 101 - Scott A Dethloff"</f>
        <v>03 - A - 101 - Scott A Dethloff</v>
      </c>
      <c r="F8290" t="str">
        <f>"CHEMISTRY 1 HON"</f>
        <v>CHEMISTRY 1 HON</v>
      </c>
      <c r="G8290" t="str">
        <f>"08-812"</f>
        <v>08-812</v>
      </c>
      <c r="H8290" t="str">
        <f>"A"</f>
        <v>A</v>
      </c>
    </row>
    <row r="8291" spans="1:8" x14ac:dyDescent="0.2">
      <c r="A8291" t="str">
        <f t="shared" si="3023"/>
        <v>0615000591</v>
      </c>
      <c r="B8291" t="str">
        <f t="shared" si="3024"/>
        <v>LAWRENCE</v>
      </c>
      <c r="C8291" t="str">
        <f t="shared" si="3025"/>
        <v>JEROME</v>
      </c>
      <c r="D8291">
        <f>11</f>
        <v>11</v>
      </c>
      <c r="E8291" t="str">
        <f>"02 - A - 107 - Elizabeth Ellen  Moran"</f>
        <v>02 - A - 107 - Elizabeth Ellen  Moran</v>
      </c>
      <c r="F8291" t="str">
        <f>"NC STUDY HALL 1"</f>
        <v>NC STUDY HALL 1</v>
      </c>
      <c r="G8291" t="str">
        <f>"17-1752"</f>
        <v>17-1752</v>
      </c>
      <c r="H8291" t="str">
        <f>"A"</f>
        <v>A</v>
      </c>
    </row>
    <row r="8292" spans="1:8" x14ac:dyDescent="0.2">
      <c r="A8292" t="str">
        <f t="shared" si="3023"/>
        <v>0615000591</v>
      </c>
      <c r="B8292" t="str">
        <f t="shared" si="3024"/>
        <v>LAWRENCE</v>
      </c>
      <c r="C8292" t="str">
        <f t="shared" si="3025"/>
        <v>JEROME</v>
      </c>
      <c r="D8292">
        <f>11</f>
        <v>11</v>
      </c>
      <c r="E8292" t="str">
        <f>"07 - B - 107 - Semra  Bahadir"</f>
        <v>07 - B - 107 - Semra  Bahadir</v>
      </c>
      <c r="F8292" t="str">
        <f>"MATH COLL ALGEBRA"</f>
        <v>MATH COLL ALGEBRA</v>
      </c>
      <c r="G8292" t="str">
        <f>"21-2107"</f>
        <v>21-2107</v>
      </c>
      <c r="H8292" t="str">
        <f>"B"</f>
        <v>B</v>
      </c>
    </row>
    <row r="8293" spans="1:8" x14ac:dyDescent="0.2">
      <c r="A8293" t="str">
        <f t="shared" si="3023"/>
        <v>0615000591</v>
      </c>
      <c r="B8293" t="str">
        <f t="shared" si="3024"/>
        <v>LAWRENCE</v>
      </c>
      <c r="C8293" t="str">
        <f t="shared" si="3025"/>
        <v>JEROME</v>
      </c>
      <c r="D8293">
        <f>11</f>
        <v>11</v>
      </c>
      <c r="E8293" t="str">
        <f>"05 - B - 102 - Jacklyn M James"</f>
        <v>05 - B - 102 - Jacklyn M James</v>
      </c>
      <c r="F8293" t="str">
        <f>"AICE ENG LANG AS"</f>
        <v>AICE ENG LANG AS</v>
      </c>
      <c r="G8293" t="str">
        <f>"17-1731"</f>
        <v>17-1731</v>
      </c>
      <c r="H8293" t="str">
        <f>"B"</f>
        <v>B</v>
      </c>
    </row>
    <row r="8294" spans="1:8" x14ac:dyDescent="0.2">
      <c r="A8294" t="str">
        <f t="shared" si="3023"/>
        <v>0615000591</v>
      </c>
      <c r="B8294" t="str">
        <f t="shared" si="3024"/>
        <v>LAWRENCE</v>
      </c>
      <c r="C8294" t="str">
        <f t="shared" si="3025"/>
        <v>JEROME</v>
      </c>
      <c r="D8294">
        <f>11</f>
        <v>11</v>
      </c>
      <c r="E8294" t="str">
        <f>"01 - A - 201 - Stefanie S Scher"</f>
        <v>01 - A - 201 - Stefanie S Scher</v>
      </c>
      <c r="F8294" t="str">
        <f>"AICE PSYCH 1 AS"</f>
        <v>AICE PSYCH 1 AS</v>
      </c>
      <c r="G8294" t="str">
        <f>"17-1735"</f>
        <v>17-1735</v>
      </c>
      <c r="H8294" t="str">
        <f>"A"</f>
        <v>A</v>
      </c>
    </row>
    <row r="8295" spans="1:8" x14ac:dyDescent="0.2">
      <c r="A8295" t="str">
        <f t="shared" si="3023"/>
        <v>0615000591</v>
      </c>
      <c r="B8295" t="str">
        <f t="shared" si="3024"/>
        <v>LAWRENCE</v>
      </c>
      <c r="C8295" t="str">
        <f t="shared" si="3025"/>
        <v>JEROME</v>
      </c>
      <c r="D8295">
        <f>11</f>
        <v>11</v>
      </c>
      <c r="E8295" t="str">
        <f>"08 - B - 101 - Jordana K Hass"</f>
        <v>08 - B - 101 - Jordana K Hass</v>
      </c>
      <c r="F8295" t="str">
        <f>"AICE INFO TECH 1 AS"</f>
        <v>AICE INFO TECH 1 AS</v>
      </c>
      <c r="G8295" t="str">
        <f>"08-807"</f>
        <v>08-807</v>
      </c>
      <c r="H8295" t="str">
        <f>"B"</f>
        <v>B</v>
      </c>
    </row>
    <row r="8296" spans="1:8" x14ac:dyDescent="0.2">
      <c r="A8296" t="str">
        <f t="shared" ref="A8296:A8303" si="3026">"0613121755"</f>
        <v>0613121755</v>
      </c>
      <c r="B8296" t="str">
        <f t="shared" ref="B8296:B8303" si="3027">"GENESIS"</f>
        <v>GENESIS</v>
      </c>
      <c r="C8296" t="str">
        <f t="shared" ref="C8296:C8303" si="3028">"JERONIMO SANCHEZ"</f>
        <v>JERONIMO SANCHEZ</v>
      </c>
      <c r="D8296">
        <f>12</f>
        <v>12</v>
      </c>
      <c r="E8296" t="str">
        <f>"04 - A - 101 - Stefanie S Scher"</f>
        <v>04 - A - 101 - Stefanie S Scher</v>
      </c>
      <c r="F8296" t="str">
        <f>"AP PSYCH"</f>
        <v>AP PSYCH</v>
      </c>
      <c r="G8296" t="str">
        <f>"17-1735"</f>
        <v>17-1735</v>
      </c>
      <c r="H8296" t="str">
        <f>"A"</f>
        <v>A</v>
      </c>
    </row>
    <row r="8297" spans="1:8" x14ac:dyDescent="0.2">
      <c r="A8297" t="str">
        <f t="shared" si="3026"/>
        <v>0613121755</v>
      </c>
      <c r="B8297" t="str">
        <f t="shared" si="3027"/>
        <v>GENESIS</v>
      </c>
      <c r="C8297" t="str">
        <f t="shared" si="3028"/>
        <v>JERONIMO SANCHEZ</v>
      </c>
      <c r="D8297">
        <f>12</f>
        <v>12</v>
      </c>
      <c r="E8297" t="str">
        <f>"06 - B - 114 - Lisa J London"</f>
        <v>06 - B - 114 - Lisa J London</v>
      </c>
      <c r="F8297" t="str">
        <f>"NC STUDY HALL 1"</f>
        <v>NC STUDY HALL 1</v>
      </c>
      <c r="G8297" t="str">
        <f>"17-1714"</f>
        <v>17-1714</v>
      </c>
      <c r="H8297" t="str">
        <f>"B"</f>
        <v>B</v>
      </c>
    </row>
    <row r="8298" spans="1:8" x14ac:dyDescent="0.2">
      <c r="A8298" t="str">
        <f t="shared" si="3026"/>
        <v>0613121755</v>
      </c>
      <c r="B8298" t="str">
        <f t="shared" si="3027"/>
        <v>GENESIS</v>
      </c>
      <c r="C8298" t="str">
        <f t="shared" si="3028"/>
        <v>JERONIMO SANCHEZ</v>
      </c>
      <c r="D8298">
        <f>12</f>
        <v>12</v>
      </c>
      <c r="E8298" t="str">
        <f>"03 - A - 102 - Thomas G Handwerg"</f>
        <v>03 - A - 102 - Thomas G Handwerg</v>
      </c>
      <c r="F8298" t="str">
        <f>"MATH COLL ALGEBRA"</f>
        <v>MATH COLL ALGEBRA</v>
      </c>
      <c r="G8298" t="str">
        <f>"21-2146"</f>
        <v>21-2146</v>
      </c>
      <c r="H8298" t="str">
        <f>"A"</f>
        <v>A</v>
      </c>
    </row>
    <row r="8299" spans="1:8" x14ac:dyDescent="0.2">
      <c r="A8299" t="str">
        <f t="shared" si="3026"/>
        <v>0613121755</v>
      </c>
      <c r="B8299" t="str">
        <f t="shared" si="3027"/>
        <v>GENESIS</v>
      </c>
      <c r="C8299" t="str">
        <f t="shared" si="3028"/>
        <v>JERONIMO SANCHEZ</v>
      </c>
      <c r="D8299">
        <f>12</f>
        <v>12</v>
      </c>
      <c r="E8299" t="str">
        <f>"02 - A - 107 - Tina M Jaramillo"</f>
        <v>02 - A - 107 - Tina M Jaramillo</v>
      </c>
      <c r="F8299" t="str">
        <f>"AP ENG LIT COMPO"</f>
        <v>AP ENG LIT COMPO</v>
      </c>
      <c r="G8299" t="str">
        <f>"17-1706"</f>
        <v>17-1706</v>
      </c>
      <c r="H8299" t="str">
        <f>"A"</f>
        <v>A</v>
      </c>
    </row>
    <row r="8300" spans="1:8" x14ac:dyDescent="0.2">
      <c r="A8300" t="str">
        <f t="shared" si="3026"/>
        <v>0613121755</v>
      </c>
      <c r="B8300" t="str">
        <f t="shared" si="3027"/>
        <v>GENESIS</v>
      </c>
      <c r="C8300" t="str">
        <f t="shared" si="3028"/>
        <v>JERONIMO SANCHEZ</v>
      </c>
      <c r="D8300">
        <f>12</f>
        <v>12</v>
      </c>
      <c r="E8300" t="str">
        <f>"07 - S1 - B - 102 - Barbara L Segal"</f>
        <v>07 - S1 - B - 102 - Barbara L Segal</v>
      </c>
      <c r="F8300" t="str">
        <f>"AP US GOVT/POL"</f>
        <v>AP US GOVT/POL</v>
      </c>
      <c r="G8300" t="str">
        <f>"17-1742"</f>
        <v>17-1742</v>
      </c>
      <c r="H8300" t="str">
        <f>"B"</f>
        <v>B</v>
      </c>
    </row>
    <row r="8301" spans="1:8" x14ac:dyDescent="0.2">
      <c r="A8301" t="str">
        <f t="shared" si="3026"/>
        <v>0613121755</v>
      </c>
      <c r="B8301" t="str">
        <f t="shared" si="3027"/>
        <v>GENESIS</v>
      </c>
      <c r="C8301" t="str">
        <f t="shared" si="3028"/>
        <v>JERONIMO SANCHEZ</v>
      </c>
      <c r="D8301">
        <f>12</f>
        <v>12</v>
      </c>
      <c r="E8301" t="str">
        <f>"05 - B - 103 - Chrystina M Marchionne"</f>
        <v>05 - B - 103 - Chrystina M Marchionne</v>
      </c>
      <c r="F8301" t="str">
        <f>"AICE MEDIA STUDIES A"</f>
        <v>AICE MEDIA STUDIES A</v>
      </c>
      <c r="G8301" t="str">
        <f>"05-520"</f>
        <v>05-520</v>
      </c>
      <c r="H8301" t="str">
        <f>"B"</f>
        <v>B</v>
      </c>
    </row>
    <row r="8302" spans="1:8" x14ac:dyDescent="0.2">
      <c r="A8302" t="str">
        <f t="shared" si="3026"/>
        <v>0613121755</v>
      </c>
      <c r="B8302" t="str">
        <f t="shared" si="3027"/>
        <v>GENESIS</v>
      </c>
      <c r="C8302" t="str">
        <f t="shared" si="3028"/>
        <v>JERONIMO SANCHEZ</v>
      </c>
      <c r="D8302">
        <f>12</f>
        <v>12</v>
      </c>
      <c r="E8302" t="str">
        <f>"01 - A - 101 - Marielle A Witting"</f>
        <v>01 - A - 101 - Marielle A Witting</v>
      </c>
      <c r="F8302" t="str">
        <f>"AP BIO"</f>
        <v>AP BIO</v>
      </c>
      <c r="G8302" t="str">
        <f>"08-805"</f>
        <v>08-805</v>
      </c>
      <c r="H8302" t="str">
        <f>"A"</f>
        <v>A</v>
      </c>
    </row>
    <row r="8303" spans="1:8" x14ac:dyDescent="0.2">
      <c r="A8303" t="str">
        <f t="shared" si="3026"/>
        <v>0613121755</v>
      </c>
      <c r="B8303" t="str">
        <f t="shared" si="3027"/>
        <v>GENESIS</v>
      </c>
      <c r="C8303" t="str">
        <f t="shared" si="3028"/>
        <v>JERONIMO SANCHEZ</v>
      </c>
      <c r="D8303">
        <f>12</f>
        <v>12</v>
      </c>
      <c r="E8303" t="str">
        <f>"08 - B - 201 - Stacey A Blecker"</f>
        <v>08 - B - 201 - Stacey A Blecker</v>
      </c>
      <c r="F8303" t="str">
        <f>"AICE SOCIOLOGY 1 AS"</f>
        <v>AICE SOCIOLOGY 1 AS</v>
      </c>
      <c r="G8303" t="str">
        <f>"09-926"</f>
        <v>09-926</v>
      </c>
      <c r="H8303" t="str">
        <f>"B"</f>
        <v>B</v>
      </c>
    </row>
    <row r="8304" spans="1:8" x14ac:dyDescent="0.2">
      <c r="A8304" t="str">
        <f t="shared" ref="A8304:A8311" si="3029">"0616019792"</f>
        <v>0616019792</v>
      </c>
      <c r="B8304" t="str">
        <f t="shared" ref="B8304:B8311" si="3030">"PRIMES"</f>
        <v>PRIMES</v>
      </c>
      <c r="C8304" t="str">
        <f t="shared" ref="C8304:C8311" si="3031">"JEST"</f>
        <v>JEST</v>
      </c>
      <c r="D8304" t="str">
        <f t="shared" ref="D8304:D8311" si="3032">"09"</f>
        <v>09</v>
      </c>
      <c r="E8304" t="str">
        <f>"04 - A - 106 - Marielle A Witting"</f>
        <v>04 - A - 106 - Marielle A Witting</v>
      </c>
      <c r="F8304" t="str">
        <f>"ANAT PHYSIO"</f>
        <v>ANAT PHYSIO</v>
      </c>
      <c r="G8304" t="str">
        <f>"08-805"</f>
        <v>08-805</v>
      </c>
      <c r="H8304" t="str">
        <f>"A"</f>
        <v>A</v>
      </c>
    </row>
    <row r="8305" spans="1:8" x14ac:dyDescent="0.2">
      <c r="A8305" t="str">
        <f t="shared" si="3029"/>
        <v>0616019792</v>
      </c>
      <c r="B8305" t="str">
        <f t="shared" si="3030"/>
        <v>PRIMES</v>
      </c>
      <c r="C8305" t="str">
        <f t="shared" si="3031"/>
        <v>JEST</v>
      </c>
      <c r="D8305" t="str">
        <f t="shared" si="3032"/>
        <v>09</v>
      </c>
      <c r="E8305" t="str">
        <f>"06 - B - 104 - Laselleda D Shaw"</f>
        <v>06 - B - 104 - Laselleda D Shaw</v>
      </c>
      <c r="F8305" t="str">
        <f>"INTENS READ 1"</f>
        <v>INTENS READ 1</v>
      </c>
      <c r="G8305" t="str">
        <f>"17-1723"</f>
        <v>17-1723</v>
      </c>
      <c r="H8305" t="str">
        <f>"B"</f>
        <v>B</v>
      </c>
    </row>
    <row r="8306" spans="1:8" x14ac:dyDescent="0.2">
      <c r="A8306" t="str">
        <f t="shared" si="3029"/>
        <v>0616019792</v>
      </c>
      <c r="B8306" t="str">
        <f t="shared" si="3030"/>
        <v>PRIMES</v>
      </c>
      <c r="C8306" t="str">
        <f t="shared" si="3031"/>
        <v>JEST</v>
      </c>
      <c r="D8306" t="str">
        <f t="shared" si="3032"/>
        <v>09</v>
      </c>
      <c r="E8306" t="str">
        <f>"03 - A - 105 - Cheryl Anne  Berman-Schechter"</f>
        <v>03 - A - 105 - Cheryl Anne  Berman-Schechter</v>
      </c>
      <c r="F8306" t="str">
        <f>"ENG 1"</f>
        <v>ENG 1</v>
      </c>
      <c r="G8306" t="str">
        <f>"17-1722"</f>
        <v>17-1722</v>
      </c>
      <c r="H8306" t="str">
        <f>"A"</f>
        <v>A</v>
      </c>
    </row>
    <row r="8307" spans="1:8" x14ac:dyDescent="0.2">
      <c r="A8307" t="str">
        <f t="shared" si="3029"/>
        <v>0616019792</v>
      </c>
      <c r="B8307" t="str">
        <f t="shared" si="3030"/>
        <v>PRIMES</v>
      </c>
      <c r="C8307" t="str">
        <f t="shared" si="3031"/>
        <v>JEST</v>
      </c>
      <c r="D8307" t="str">
        <f t="shared" si="3032"/>
        <v>09</v>
      </c>
      <c r="E8307" t="str">
        <f>"02 - A - 107 - Cerine S Stewart"</f>
        <v>02 - A - 107 - Cerine S Stewart</v>
      </c>
      <c r="F8307" t="str">
        <f>"NC STUDY HALL 1"</f>
        <v>NC STUDY HALL 1</v>
      </c>
      <c r="G8307" t="str">
        <f>"17-1720"</f>
        <v>17-1720</v>
      </c>
      <c r="H8307" t="str">
        <f>"A"</f>
        <v>A</v>
      </c>
    </row>
    <row r="8308" spans="1:8" x14ac:dyDescent="0.2">
      <c r="A8308" t="str">
        <f t="shared" si="3029"/>
        <v>0616019792</v>
      </c>
      <c r="B8308" t="str">
        <f t="shared" si="3030"/>
        <v>PRIMES</v>
      </c>
      <c r="C8308" t="str">
        <f t="shared" si="3031"/>
        <v>JEST</v>
      </c>
      <c r="D8308" t="str">
        <f t="shared" si="3032"/>
        <v>09</v>
      </c>
      <c r="E8308" t="str">
        <f>"07 - B - 104 - Lissa C Frederique"</f>
        <v>07 - B - 104 - Lissa C Frederique</v>
      </c>
      <c r="F8308" t="str">
        <f>"WORLD HISTORY"</f>
        <v>WORLD HISTORY</v>
      </c>
      <c r="G8308" t="str">
        <f>"17-1754"</f>
        <v>17-1754</v>
      </c>
      <c r="H8308" t="str">
        <f>"B"</f>
        <v>B</v>
      </c>
    </row>
    <row r="8309" spans="1:8" x14ac:dyDescent="0.2">
      <c r="A8309" t="str">
        <f t="shared" si="3029"/>
        <v>0616019792</v>
      </c>
      <c r="B8309" t="str">
        <f t="shared" si="3030"/>
        <v>PRIMES</v>
      </c>
      <c r="C8309" t="str">
        <f t="shared" si="3031"/>
        <v>JEST</v>
      </c>
      <c r="D8309" t="str">
        <f t="shared" si="3032"/>
        <v>09</v>
      </c>
      <c r="E8309" t="str">
        <f>"05 - B - 105 - Marius D Orsolini"</f>
        <v>05 - B - 105 - Marius D Orsolini</v>
      </c>
      <c r="F8309" t="str">
        <f>"CULINARY ARTS 1"</f>
        <v>CULINARY ARTS 1</v>
      </c>
      <c r="G8309" t="str">
        <f>"21-2115"</f>
        <v>21-2115</v>
      </c>
      <c r="H8309" t="str">
        <f>"B"</f>
        <v>B</v>
      </c>
    </row>
    <row r="8310" spans="1:8" x14ac:dyDescent="0.2">
      <c r="A8310" t="str">
        <f t="shared" si="3029"/>
        <v>0616019792</v>
      </c>
      <c r="B8310" t="str">
        <f t="shared" si="3030"/>
        <v>PRIMES</v>
      </c>
      <c r="C8310" t="str">
        <f t="shared" si="3031"/>
        <v>JEST</v>
      </c>
      <c r="D8310" t="str">
        <f t="shared" si="3032"/>
        <v>09</v>
      </c>
      <c r="E8310" t="str">
        <f>"01 - A - 102 - Brook E Goren"</f>
        <v>01 - A - 102 - Brook E Goren</v>
      </c>
      <c r="F8310" t="str">
        <f>"PRE-AICE MATH 2 IG"</f>
        <v>PRE-AICE MATH 2 IG</v>
      </c>
      <c r="G8310" t="str">
        <f>"21-2158"</f>
        <v>21-2158</v>
      </c>
      <c r="H8310" t="str">
        <f>"A"</f>
        <v>A</v>
      </c>
    </row>
    <row r="8311" spans="1:8" x14ac:dyDescent="0.2">
      <c r="A8311" t="str">
        <f t="shared" si="3029"/>
        <v>0616019792</v>
      </c>
      <c r="B8311" t="str">
        <f t="shared" si="3030"/>
        <v>PRIMES</v>
      </c>
      <c r="C8311" t="str">
        <f t="shared" si="3031"/>
        <v>JEST</v>
      </c>
      <c r="D8311" t="str">
        <f t="shared" si="3032"/>
        <v>09</v>
      </c>
      <c r="E8311" t="str">
        <f>"08 - S1 - B - 105 - Richard E Dunbar Iii"</f>
        <v>08 - S1 - B - 105 - Richard E Dunbar Iii</v>
      </c>
      <c r="F8311" t="str">
        <f>"WEIGHT TRAIN 1"</f>
        <v>WEIGHT TRAIN 1</v>
      </c>
      <c r="G8311" t="str">
        <f>"05-501"</f>
        <v>05-501</v>
      </c>
      <c r="H8311" t="str">
        <f>"B"</f>
        <v>B</v>
      </c>
    </row>
    <row r="8312" spans="1:8" x14ac:dyDescent="0.2">
      <c r="A8312" t="str">
        <f t="shared" ref="A8312:A8319" si="3033">"0615122419"</f>
        <v>0615122419</v>
      </c>
      <c r="B8312" t="str">
        <f t="shared" ref="B8312:B8319" si="3034">"KHAMAREE"</f>
        <v>KHAMAREE</v>
      </c>
      <c r="C8312" t="str">
        <f t="shared" ref="C8312:C8319" si="3035">"JEUDY"</f>
        <v>JEUDY</v>
      </c>
      <c r="D8312">
        <f>11</f>
        <v>11</v>
      </c>
      <c r="E8312" t="str">
        <f>"04 - A - 102 - Fernando  Vega-Cid"</f>
        <v>04 - A - 102 - Fernando  Vega-Cid</v>
      </c>
      <c r="F8312" t="str">
        <f>"PRE-CALCULUS HON"</f>
        <v>PRE-CALCULUS HON</v>
      </c>
      <c r="G8312" t="str">
        <f>"21-2163"</f>
        <v>21-2163</v>
      </c>
      <c r="H8312" t="str">
        <f>"A"</f>
        <v>A</v>
      </c>
    </row>
    <row r="8313" spans="1:8" x14ac:dyDescent="0.2">
      <c r="A8313" t="str">
        <f t="shared" si="3033"/>
        <v>0615122419</v>
      </c>
      <c r="B8313" t="str">
        <f t="shared" si="3034"/>
        <v>KHAMAREE</v>
      </c>
      <c r="C8313" t="str">
        <f t="shared" si="3035"/>
        <v>JEUDY</v>
      </c>
      <c r="D8313">
        <f>11</f>
        <v>11</v>
      </c>
      <c r="E8313" t="str">
        <f>"06 - B - 104 - Brandy N Zdenek"</f>
        <v>06 - B - 104 - Brandy N Zdenek</v>
      </c>
      <c r="F8313" t="str">
        <f>"AICE ENG LANG 2 AL"</f>
        <v>AICE ENG LANG 2 AL</v>
      </c>
      <c r="G8313" t="str">
        <f>"17-1704"</f>
        <v>17-1704</v>
      </c>
      <c r="H8313" t="str">
        <f>"B"</f>
        <v>B</v>
      </c>
    </row>
    <row r="8314" spans="1:8" x14ac:dyDescent="0.2">
      <c r="A8314" t="str">
        <f t="shared" si="3033"/>
        <v>0615122419</v>
      </c>
      <c r="B8314" t="str">
        <f t="shared" si="3034"/>
        <v>KHAMAREE</v>
      </c>
      <c r="C8314" t="str">
        <f t="shared" si="3035"/>
        <v>JEUDY</v>
      </c>
      <c r="D8314">
        <f>11</f>
        <v>11</v>
      </c>
      <c r="E8314" t="str">
        <f>"03 - A - 101 - Timothy J Lawrence"</f>
        <v>03 - A - 101 - Timothy J Lawrence</v>
      </c>
      <c r="F8314" t="str">
        <f>"AICE PHYS ED 1 AS"</f>
        <v>AICE PHYS ED 1 AS</v>
      </c>
      <c r="G8314" t="str">
        <f>"05-519"</f>
        <v>05-519</v>
      </c>
      <c r="H8314" t="str">
        <f>"A"</f>
        <v>A</v>
      </c>
    </row>
    <row r="8315" spans="1:8" x14ac:dyDescent="0.2">
      <c r="A8315" t="str">
        <f t="shared" si="3033"/>
        <v>0615122419</v>
      </c>
      <c r="B8315" t="str">
        <f t="shared" si="3034"/>
        <v>KHAMAREE</v>
      </c>
      <c r="C8315" t="str">
        <f t="shared" si="3035"/>
        <v>JEUDY</v>
      </c>
      <c r="D8315">
        <f>11</f>
        <v>11</v>
      </c>
      <c r="E8315" t="str">
        <f>"02 - A - 105 - Leslie J Barton"</f>
        <v>02 - A - 105 - Leslie J Barton</v>
      </c>
      <c r="F8315" t="str">
        <f>"NC STUDY HALL 1"</f>
        <v>NC STUDY HALL 1</v>
      </c>
      <c r="G8315" t="str">
        <f>"05-521"</f>
        <v>05-521</v>
      </c>
      <c r="H8315" t="str">
        <f>"A"</f>
        <v>A</v>
      </c>
    </row>
    <row r="8316" spans="1:8" x14ac:dyDescent="0.2">
      <c r="A8316" t="str">
        <f t="shared" si="3033"/>
        <v>0615122419</v>
      </c>
      <c r="B8316" t="str">
        <f t="shared" si="3034"/>
        <v>KHAMAREE</v>
      </c>
      <c r="C8316" t="str">
        <f t="shared" si="3035"/>
        <v>JEUDY</v>
      </c>
      <c r="D8316">
        <f>11</f>
        <v>11</v>
      </c>
      <c r="E8316" t="str">
        <f>"07 - B - 002 - Jordana K Hass"</f>
        <v>07 - B - 002 - Jordana K Hass</v>
      </c>
      <c r="F8316" t="str">
        <f>"CHEMISTRY 1 HON"</f>
        <v>CHEMISTRY 1 HON</v>
      </c>
      <c r="G8316" t="str">
        <f>"08-807"</f>
        <v>08-807</v>
      </c>
      <c r="H8316" t="str">
        <f>"B"</f>
        <v>B</v>
      </c>
    </row>
    <row r="8317" spans="1:8" x14ac:dyDescent="0.2">
      <c r="A8317" t="str">
        <f t="shared" si="3033"/>
        <v>0615122419</v>
      </c>
      <c r="B8317" t="str">
        <f t="shared" si="3034"/>
        <v>KHAMAREE</v>
      </c>
      <c r="C8317" t="str">
        <f t="shared" si="3035"/>
        <v>JEUDY</v>
      </c>
      <c r="D8317">
        <f>11</f>
        <v>11</v>
      </c>
      <c r="E8317" t="str">
        <f>"05 - S1 - B - 102 - Lissa C Frederique"</f>
        <v>05 - S1 - B - 102 - Lissa C Frederique</v>
      </c>
      <c r="F8317" t="str">
        <f>"PERS FIN &amp; MON MGT H"</f>
        <v>PERS FIN &amp; MON MGT H</v>
      </c>
      <c r="G8317" t="str">
        <f>"17-1754"</f>
        <v>17-1754</v>
      </c>
      <c r="H8317" t="str">
        <f>"B"</f>
        <v>B</v>
      </c>
    </row>
    <row r="8318" spans="1:8" x14ac:dyDescent="0.2">
      <c r="A8318" t="str">
        <f t="shared" si="3033"/>
        <v>0615122419</v>
      </c>
      <c r="B8318" t="str">
        <f t="shared" si="3034"/>
        <v>KHAMAREE</v>
      </c>
      <c r="C8318" t="str">
        <f t="shared" si="3035"/>
        <v>JEUDY</v>
      </c>
      <c r="D8318">
        <f>11</f>
        <v>11</v>
      </c>
      <c r="E8318" t="str">
        <f>"01 - A - 101 - Kyle  Robbins"</f>
        <v>01 - A - 101 - Kyle  Robbins</v>
      </c>
      <c r="F8318" t="str">
        <f>"US HISTORY"</f>
        <v>US HISTORY</v>
      </c>
      <c r="G8318" t="str">
        <f>"17-1745"</f>
        <v>17-1745</v>
      </c>
      <c r="H8318" t="str">
        <f>"A"</f>
        <v>A</v>
      </c>
    </row>
    <row r="8319" spans="1:8" x14ac:dyDescent="0.2">
      <c r="A8319" t="str">
        <f t="shared" si="3033"/>
        <v>0615122419</v>
      </c>
      <c r="B8319" t="str">
        <f t="shared" si="3034"/>
        <v>KHAMAREE</v>
      </c>
      <c r="C8319" t="str">
        <f t="shared" si="3035"/>
        <v>JEUDY</v>
      </c>
      <c r="D8319">
        <f>11</f>
        <v>11</v>
      </c>
      <c r="E8319" t="str">
        <f>"08 - B - 103 - Joe  Kilpatrick Jr"</f>
        <v>08 - B - 103 - Joe  Kilpatrick Jr</v>
      </c>
      <c r="F8319" t="str">
        <f>"PRE-AICE SPAN 2 IG"</f>
        <v>PRE-AICE SPAN 2 IG</v>
      </c>
      <c r="G8319" t="str">
        <f>"09-912"</f>
        <v>09-912</v>
      </c>
      <c r="H8319" t="str">
        <f>"B"</f>
        <v>B</v>
      </c>
    </row>
    <row r="8320" spans="1:8" x14ac:dyDescent="0.2">
      <c r="A8320" t="str">
        <f t="shared" ref="A8320:A8327" si="3036">"0615005300"</f>
        <v>0615005300</v>
      </c>
      <c r="B8320" t="str">
        <f t="shared" ref="B8320:B8327" si="3037">"JA'QUARIA"</f>
        <v>JA'QUARIA</v>
      </c>
      <c r="C8320" t="str">
        <f t="shared" ref="C8320:C8327" si="3038">"JEWEL"</f>
        <v>JEWEL</v>
      </c>
      <c r="D8320">
        <f>10</f>
        <v>10</v>
      </c>
      <c r="E8320" t="str">
        <f>"04 - A - 102 - Samantha J Headley"</f>
        <v>04 - A - 102 - Samantha J Headley</v>
      </c>
      <c r="F8320" t="str">
        <f>"MARINE SCI 1 HON"</f>
        <v>MARINE SCI 1 HON</v>
      </c>
      <c r="G8320" t="str">
        <f>"21-2134"</f>
        <v>21-2134</v>
      </c>
      <c r="H8320" t="str">
        <f>"A"</f>
        <v>A</v>
      </c>
    </row>
    <row r="8321" spans="1:8" x14ac:dyDescent="0.2">
      <c r="A8321" t="str">
        <f t="shared" si="3036"/>
        <v>0615005300</v>
      </c>
      <c r="B8321" t="str">
        <f t="shared" si="3037"/>
        <v>JA'QUARIA</v>
      </c>
      <c r="C8321" t="str">
        <f t="shared" si="3038"/>
        <v>JEWEL</v>
      </c>
      <c r="D8321">
        <f>10</f>
        <v>10</v>
      </c>
      <c r="E8321" t="str">
        <f>"06 - B - 117 - Daniel S Tyson"</f>
        <v>06 - B - 117 - Daniel S Tyson</v>
      </c>
      <c r="F8321" t="str">
        <f>"NC STUDY HALL 1"</f>
        <v>NC STUDY HALL 1</v>
      </c>
      <c r="G8321" t="str">
        <f>"05-510"</f>
        <v>05-510</v>
      </c>
      <c r="H8321" t="str">
        <f>"B"</f>
        <v>B</v>
      </c>
    </row>
    <row r="8322" spans="1:8" x14ac:dyDescent="0.2">
      <c r="A8322" t="str">
        <f t="shared" si="3036"/>
        <v>0615005300</v>
      </c>
      <c r="B8322" t="str">
        <f t="shared" si="3037"/>
        <v>JA'QUARIA</v>
      </c>
      <c r="C8322" t="str">
        <f t="shared" si="3038"/>
        <v>JEWEL</v>
      </c>
      <c r="D8322">
        <f>10</f>
        <v>10</v>
      </c>
      <c r="E8322" t="str">
        <f>"03 - S1 - A - 101 - Arthur  Kulawik"</f>
        <v>03 - S1 - A - 101 - Arthur  Kulawik</v>
      </c>
      <c r="F8322" t="str">
        <f>"PERS FIN &amp; MON MGT H"</f>
        <v>PERS FIN &amp; MON MGT H</v>
      </c>
      <c r="G8322" t="str">
        <f>"05-506"</f>
        <v>05-506</v>
      </c>
      <c r="H8322" t="str">
        <f>"A"</f>
        <v>A</v>
      </c>
    </row>
    <row r="8323" spans="1:8" x14ac:dyDescent="0.2">
      <c r="A8323" t="str">
        <f t="shared" si="3036"/>
        <v>0615005300</v>
      </c>
      <c r="B8323" t="str">
        <f t="shared" si="3037"/>
        <v>JA'QUARIA</v>
      </c>
      <c r="C8323" t="str">
        <f t="shared" si="3038"/>
        <v>JEWEL</v>
      </c>
      <c r="D8323">
        <f>10</f>
        <v>10</v>
      </c>
      <c r="E8323" t="str">
        <f>"02 - A - 102 - Nikiel  Nesbeth"</f>
        <v>02 - A - 102 - Nikiel  Nesbeth</v>
      </c>
      <c r="F8323" t="str">
        <f>"ENG 2"</f>
        <v>ENG 2</v>
      </c>
      <c r="G8323" t="str">
        <f>"17-1705"</f>
        <v>17-1705</v>
      </c>
      <c r="H8323" t="str">
        <f>"A"</f>
        <v>A</v>
      </c>
    </row>
    <row r="8324" spans="1:8" x14ac:dyDescent="0.2">
      <c r="A8324" t="str">
        <f t="shared" si="3036"/>
        <v>0615005300</v>
      </c>
      <c r="B8324" t="str">
        <f t="shared" si="3037"/>
        <v>JA'QUARIA</v>
      </c>
      <c r="C8324" t="str">
        <f t="shared" si="3038"/>
        <v>JEWEL</v>
      </c>
      <c r="D8324">
        <f>10</f>
        <v>10</v>
      </c>
      <c r="E8324" t="str">
        <f>"07 - B - 001 - Maried P Ramos"</f>
        <v>07 - B - 001 - Maried P Ramos</v>
      </c>
      <c r="F8324" t="str">
        <f>"GEOMETRY"</f>
        <v>GEOMETRY</v>
      </c>
      <c r="G8324" t="str">
        <f>"21-2159"</f>
        <v>21-2159</v>
      </c>
      <c r="H8324" t="str">
        <f>"B"</f>
        <v>B</v>
      </c>
    </row>
    <row r="8325" spans="1:8" x14ac:dyDescent="0.2">
      <c r="A8325" t="str">
        <f t="shared" si="3036"/>
        <v>0615005300</v>
      </c>
      <c r="B8325" t="str">
        <f t="shared" si="3037"/>
        <v>JA'QUARIA</v>
      </c>
      <c r="C8325" t="str">
        <f t="shared" si="3038"/>
        <v>JEWEL</v>
      </c>
      <c r="D8325">
        <f>10</f>
        <v>10</v>
      </c>
      <c r="E8325" t="str">
        <f>"05 - S1 - B - 103 - Leslie J Barton"</f>
        <v>05 - S1 - B - 103 - Leslie J Barton</v>
      </c>
      <c r="F8325" t="str">
        <f>"FIRST AID SAFETY"</f>
        <v>FIRST AID SAFETY</v>
      </c>
      <c r="G8325" t="str">
        <f>"05-521"</f>
        <v>05-521</v>
      </c>
      <c r="H8325" t="str">
        <f>"B"</f>
        <v>B</v>
      </c>
    </row>
    <row r="8326" spans="1:8" x14ac:dyDescent="0.2">
      <c r="A8326" t="str">
        <f t="shared" si="3036"/>
        <v>0615005300</v>
      </c>
      <c r="B8326" t="str">
        <f t="shared" si="3037"/>
        <v>JA'QUARIA</v>
      </c>
      <c r="C8326" t="str">
        <f t="shared" si="3038"/>
        <v>JEWEL</v>
      </c>
      <c r="D8326">
        <f>10</f>
        <v>10</v>
      </c>
      <c r="E8326" t="str">
        <f>"01 - A - 101 - Samantha L Martinez"</f>
        <v>01 - A - 101 - Samantha L Martinez</v>
      </c>
      <c r="F8326" t="str">
        <f>"MUSIC WORLD"</f>
        <v>MUSIC WORLD</v>
      </c>
      <c r="G8326" t="str">
        <f>"05-505"</f>
        <v>05-505</v>
      </c>
      <c r="H8326" t="str">
        <f>"A"</f>
        <v>A</v>
      </c>
    </row>
    <row r="8327" spans="1:8" x14ac:dyDescent="0.2">
      <c r="A8327" t="str">
        <f t="shared" si="3036"/>
        <v>0615005300</v>
      </c>
      <c r="B8327" t="str">
        <f t="shared" si="3037"/>
        <v>JA'QUARIA</v>
      </c>
      <c r="C8327" t="str">
        <f t="shared" si="3038"/>
        <v>JEWEL</v>
      </c>
      <c r="D8327">
        <f>10</f>
        <v>10</v>
      </c>
      <c r="E8327" t="str">
        <f>"08 - B - 001 - Brian M Fitzgerald"</f>
        <v>08 - B - 001 - Brian M Fitzgerald</v>
      </c>
      <c r="F8327" t="str">
        <f>"CERAM/POT 1"</f>
        <v>CERAM/POT 1</v>
      </c>
      <c r="G8327" t="str">
        <f>"09-908"</f>
        <v>09-908</v>
      </c>
      <c r="H8327" t="str">
        <f>"B"</f>
        <v>B</v>
      </c>
    </row>
    <row r="8328" spans="1:8" x14ac:dyDescent="0.2">
      <c r="A8328" t="str">
        <f t="shared" ref="A8328:A8335" si="3039">"0614051466"</f>
        <v>0614051466</v>
      </c>
      <c r="B8328" t="str">
        <f t="shared" ref="B8328:B8335" si="3040">"BROOKLYN"</f>
        <v>BROOKLYN</v>
      </c>
      <c r="C8328" t="str">
        <f t="shared" ref="C8328:C8335" si="3041">"JEWELL"</f>
        <v>JEWELL</v>
      </c>
      <c r="D8328">
        <f>12</f>
        <v>12</v>
      </c>
      <c r="E8328" t="str">
        <f>"04 - S1 - A - 104 - Richard E Dunbar Iii"</f>
        <v>04 - S1 - A - 104 - Richard E Dunbar Iii</v>
      </c>
      <c r="F8328" t="str">
        <f>"WEIGHT TRAIN 1"</f>
        <v>WEIGHT TRAIN 1</v>
      </c>
      <c r="G8328" t="str">
        <f>"05-501"</f>
        <v>05-501</v>
      </c>
      <c r="H8328" t="str">
        <f>"A"</f>
        <v>A</v>
      </c>
    </row>
    <row r="8329" spans="1:8" x14ac:dyDescent="0.2">
      <c r="A8329" t="str">
        <f t="shared" si="3039"/>
        <v>0614051466</v>
      </c>
      <c r="B8329" t="str">
        <f t="shared" si="3040"/>
        <v>BROOKLYN</v>
      </c>
      <c r="C8329" t="str">
        <f t="shared" si="3041"/>
        <v>JEWELL</v>
      </c>
      <c r="D8329">
        <f>12</f>
        <v>12</v>
      </c>
      <c r="E8329" t="str">
        <f>"06 - B - 106 - Taraneh C Abreu"</f>
        <v>06 - B - 106 - Taraneh C Abreu</v>
      </c>
      <c r="F8329" t="str">
        <f>"NC STUDY HALL 1"</f>
        <v>NC STUDY HALL 1</v>
      </c>
      <c r="G8329" t="str">
        <f>"17-1713"</f>
        <v>17-1713</v>
      </c>
      <c r="H8329" t="str">
        <f>"B"</f>
        <v>B</v>
      </c>
    </row>
    <row r="8330" spans="1:8" x14ac:dyDescent="0.2">
      <c r="A8330" t="str">
        <f t="shared" si="3039"/>
        <v>0614051466</v>
      </c>
      <c r="B8330" t="str">
        <f t="shared" si="3040"/>
        <v>BROOKLYN</v>
      </c>
      <c r="C8330" t="str">
        <f t="shared" si="3041"/>
        <v>JEWELL</v>
      </c>
      <c r="D8330">
        <f>12</f>
        <v>12</v>
      </c>
      <c r="E8330" t="str">
        <f>"03 - S1 - A - 102 - Angela S Adeshina-Morrison"</f>
        <v>03 - S1 - A - 102 - Angela S Adeshina-Morrison</v>
      </c>
      <c r="F8330" t="str">
        <f>"PEER COUN 1"</f>
        <v>PEER COUN 1</v>
      </c>
      <c r="G8330" t="str">
        <f>"05-518"</f>
        <v>05-518</v>
      </c>
      <c r="H8330" t="str">
        <f>"A"</f>
        <v>A</v>
      </c>
    </row>
    <row r="8331" spans="1:8" x14ac:dyDescent="0.2">
      <c r="A8331" t="str">
        <f t="shared" si="3039"/>
        <v>0614051466</v>
      </c>
      <c r="B8331" t="str">
        <f t="shared" si="3040"/>
        <v>BROOKLYN</v>
      </c>
      <c r="C8331" t="str">
        <f t="shared" si="3041"/>
        <v>JEWELL</v>
      </c>
      <c r="D8331">
        <f>12</f>
        <v>12</v>
      </c>
      <c r="E8331" t="str">
        <f>"02 - A - 101 - Robyn L Trainer"</f>
        <v>02 - A - 101 - Robyn L Trainer</v>
      </c>
      <c r="F8331" t="str">
        <f>"ENG 4"</f>
        <v>ENG 4</v>
      </c>
      <c r="G8331" t="str">
        <f>"17-1734"</f>
        <v>17-1734</v>
      </c>
      <c r="H8331" t="str">
        <f>"A"</f>
        <v>A</v>
      </c>
    </row>
    <row r="8332" spans="1:8" x14ac:dyDescent="0.2">
      <c r="A8332" t="str">
        <f t="shared" si="3039"/>
        <v>0614051466</v>
      </c>
      <c r="B8332" t="str">
        <f t="shared" si="3040"/>
        <v>BROOKLYN</v>
      </c>
      <c r="C8332" t="str">
        <f t="shared" si="3041"/>
        <v>JEWELL</v>
      </c>
      <c r="D8332">
        <f>12</f>
        <v>12</v>
      </c>
      <c r="E8332" t="str">
        <f>"07 - B - 101 - Lisa  Quinn"</f>
        <v>07 - B - 101 - Lisa  Quinn</v>
      </c>
      <c r="F8332" t="str">
        <f>"RESEARCH 1"</f>
        <v>RESEARCH 1</v>
      </c>
      <c r="G8332" t="str">
        <f>"17-1725"</f>
        <v>17-1725</v>
      </c>
      <c r="H8332" t="str">
        <f>"B"</f>
        <v>B</v>
      </c>
    </row>
    <row r="8333" spans="1:8" x14ac:dyDescent="0.2">
      <c r="A8333" t="str">
        <f t="shared" si="3039"/>
        <v>0614051466</v>
      </c>
      <c r="B8333" t="str">
        <f t="shared" si="3040"/>
        <v>BROOKLYN</v>
      </c>
      <c r="C8333" t="str">
        <f t="shared" si="3041"/>
        <v>JEWELL</v>
      </c>
      <c r="D8333">
        <f>12</f>
        <v>12</v>
      </c>
      <c r="E8333" t="str">
        <f>"05 - B - 102 - Jeanne M Bermudez"</f>
        <v>05 - B - 102 - Jeanne M Bermudez</v>
      </c>
      <c r="F8333" t="str">
        <f>"ADVANCED IT HON"</f>
        <v>ADVANCED IT HON</v>
      </c>
      <c r="G8333" t="str">
        <f>"21-2141"</f>
        <v>21-2141</v>
      </c>
      <c r="H8333" t="str">
        <f>"B"</f>
        <v>B</v>
      </c>
    </row>
    <row r="8334" spans="1:8" x14ac:dyDescent="0.2">
      <c r="A8334" t="str">
        <f t="shared" si="3039"/>
        <v>0614051466</v>
      </c>
      <c r="B8334" t="str">
        <f t="shared" si="3040"/>
        <v>BROOKLYN</v>
      </c>
      <c r="C8334" t="str">
        <f t="shared" si="3041"/>
        <v>JEWELL</v>
      </c>
      <c r="D8334">
        <f>12</f>
        <v>12</v>
      </c>
      <c r="E8334" t="str">
        <f>"01 - S1 - A - 101 - Robert O Burger"</f>
        <v>01 - S1 - A - 101 - Robert O Burger</v>
      </c>
      <c r="F8334" t="str">
        <f>"US GOVT"</f>
        <v>US GOVT</v>
      </c>
      <c r="G8334" t="str">
        <f>"17-1755"</f>
        <v>17-1755</v>
      </c>
      <c r="H8334" t="str">
        <f>"A"</f>
        <v>A</v>
      </c>
    </row>
    <row r="8335" spans="1:8" x14ac:dyDescent="0.2">
      <c r="A8335" t="str">
        <f t="shared" si="3039"/>
        <v>0614051466</v>
      </c>
      <c r="B8335" t="str">
        <f t="shared" si="3040"/>
        <v>BROOKLYN</v>
      </c>
      <c r="C8335" t="str">
        <f t="shared" si="3041"/>
        <v>JEWELL</v>
      </c>
      <c r="D8335">
        <f>12</f>
        <v>12</v>
      </c>
      <c r="E8335" t="str">
        <f>"08 - B - 102 - Robert H Rindner"</f>
        <v>08 - B - 102 - Robert H Rindner</v>
      </c>
      <c r="F8335" t="str">
        <f>"TV PRODUCTION TECH 1"</f>
        <v>TV PRODUCTION TECH 1</v>
      </c>
      <c r="G8335" t="str">
        <f>"21-2160"</f>
        <v>21-2160</v>
      </c>
      <c r="H8335" t="str">
        <f>"B"</f>
        <v>B</v>
      </c>
    </row>
    <row r="8336" spans="1:8" x14ac:dyDescent="0.2">
      <c r="A8336" t="str">
        <f>"0623034483"</f>
        <v>0623034483</v>
      </c>
      <c r="B8336" t="str">
        <f>"AMA"</f>
        <v>AMA</v>
      </c>
      <c r="C8336" t="str">
        <f>"JILUS"</f>
        <v>JILUS</v>
      </c>
      <c r="D8336">
        <f>12</f>
        <v>12</v>
      </c>
      <c r="E8336" t="str">
        <f>"04 - A - 104 - Robert H Rindner"</f>
        <v>04 - A - 104 - Robert H Rindner</v>
      </c>
      <c r="F8336" t="str">
        <f>"MATH DATA&amp;FIN LIT H"</f>
        <v>MATH DATA&amp;FIN LIT H</v>
      </c>
      <c r="G8336" t="str">
        <f>"21-2160"</f>
        <v>21-2160</v>
      </c>
      <c r="H8336" t="str">
        <f>"A"</f>
        <v>A</v>
      </c>
    </row>
    <row r="8337" spans="1:8" x14ac:dyDescent="0.2">
      <c r="A8337" t="str">
        <f>"0623034483"</f>
        <v>0623034483</v>
      </c>
      <c r="B8337" t="str">
        <f>"AMA"</f>
        <v>AMA</v>
      </c>
      <c r="C8337" t="str">
        <f>"JILUS"</f>
        <v>JILUS</v>
      </c>
      <c r="D8337">
        <f>12</f>
        <v>12</v>
      </c>
      <c r="E8337" t="str">
        <f>"03 - S1 - A - 002 - Barbara L Segal"</f>
        <v>03 - S1 - A - 002 - Barbara L Segal</v>
      </c>
      <c r="F8337" t="str">
        <f>"US GOVT"</f>
        <v>US GOVT</v>
      </c>
      <c r="G8337" t="str">
        <f>"17-1742"</f>
        <v>17-1742</v>
      </c>
      <c r="H8337" t="str">
        <f>"A"</f>
        <v>A</v>
      </c>
    </row>
    <row r="8338" spans="1:8" x14ac:dyDescent="0.2">
      <c r="A8338" t="str">
        <f>"0623034483"</f>
        <v>0623034483</v>
      </c>
      <c r="B8338" t="str">
        <f>"AMA"</f>
        <v>AMA</v>
      </c>
      <c r="C8338" t="str">
        <f>"JILUS"</f>
        <v>JILUS</v>
      </c>
      <c r="D8338">
        <f>12</f>
        <v>12</v>
      </c>
      <c r="E8338" t="str">
        <f>"07 - B - 103 - Nahum  Saint-Preux"</f>
        <v>07 - B - 103 - Nahum  Saint-Preux</v>
      </c>
      <c r="F8338" t="str">
        <f>"INTENS READ 4"</f>
        <v>INTENS READ 4</v>
      </c>
      <c r="G8338" t="str">
        <f>"17-1712"</f>
        <v>17-1712</v>
      </c>
      <c r="H8338" t="str">
        <f>"B"</f>
        <v>B</v>
      </c>
    </row>
    <row r="8339" spans="1:8" x14ac:dyDescent="0.2">
      <c r="A8339" t="str">
        <f>"0623034483"</f>
        <v>0623034483</v>
      </c>
      <c r="B8339" t="str">
        <f>"AMA"</f>
        <v>AMA</v>
      </c>
      <c r="C8339" t="str">
        <f>"JILUS"</f>
        <v>JILUS</v>
      </c>
      <c r="D8339">
        <f>12</f>
        <v>12</v>
      </c>
      <c r="E8339" t="str">
        <f>"08 - B - 206 - Robyn L Trainer"</f>
        <v>08 - B - 206 - Robyn L Trainer</v>
      </c>
      <c r="F8339" t="str">
        <f>"ENG 4: FL COLL PREP"</f>
        <v>ENG 4: FL COLL PREP</v>
      </c>
      <c r="G8339" t="str">
        <f>"17-1734"</f>
        <v>17-1734</v>
      </c>
      <c r="H8339" t="str">
        <f>"B"</f>
        <v>B</v>
      </c>
    </row>
    <row r="8340" spans="1:8" x14ac:dyDescent="0.2">
      <c r="A8340" t="str">
        <f t="shared" ref="A8340:A8347" si="3042">"0614024907"</f>
        <v>0614024907</v>
      </c>
      <c r="B8340" t="str">
        <f t="shared" ref="B8340:B8347" si="3043">"ANNABEL"</f>
        <v>ANNABEL</v>
      </c>
      <c r="C8340" t="str">
        <f t="shared" ref="C8340:C8371" si="3044">"JIMENEZ"</f>
        <v>JIMENEZ</v>
      </c>
      <c r="D8340">
        <f>12</f>
        <v>12</v>
      </c>
      <c r="E8340" t="str">
        <f>"04 - A - 103 - Cliffon  Saurel"</f>
        <v>04 - A - 103 - Cliffon  Saurel</v>
      </c>
      <c r="F8340" t="str">
        <f>"PHYSICAL SCI"</f>
        <v>PHYSICAL SCI</v>
      </c>
      <c r="G8340" t="str">
        <f>"05-522"</f>
        <v>05-522</v>
      </c>
      <c r="H8340" t="str">
        <f>"A"</f>
        <v>A</v>
      </c>
    </row>
    <row r="8341" spans="1:8" x14ac:dyDescent="0.2">
      <c r="A8341" t="str">
        <f t="shared" si="3042"/>
        <v>0614024907</v>
      </c>
      <c r="B8341" t="str">
        <f t="shared" si="3043"/>
        <v>ANNABEL</v>
      </c>
      <c r="C8341" t="str">
        <f t="shared" si="3044"/>
        <v>JIMENEZ</v>
      </c>
      <c r="D8341">
        <f>12</f>
        <v>12</v>
      </c>
      <c r="E8341" t="str">
        <f>"06 - B - 102 - Andrea A Amison"</f>
        <v>06 - B - 102 - Andrea A Amison</v>
      </c>
      <c r="F8341" t="str">
        <f>"NC STUDY HALL 1"</f>
        <v>NC STUDY HALL 1</v>
      </c>
      <c r="G8341" t="str">
        <f>"09-922C"</f>
        <v>09-922C</v>
      </c>
      <c r="H8341" t="str">
        <f>"B"</f>
        <v>B</v>
      </c>
    </row>
    <row r="8342" spans="1:8" x14ac:dyDescent="0.2">
      <c r="A8342" t="str">
        <f t="shared" si="3042"/>
        <v>0614024907</v>
      </c>
      <c r="B8342" t="str">
        <f t="shared" si="3043"/>
        <v>ANNABEL</v>
      </c>
      <c r="C8342" t="str">
        <f t="shared" si="3044"/>
        <v>JIMENEZ</v>
      </c>
      <c r="D8342">
        <f>12</f>
        <v>12</v>
      </c>
      <c r="E8342" t="str">
        <f>"03 - A - 102 - Thomas G Handwerg"</f>
        <v>03 - A - 102 - Thomas G Handwerg</v>
      </c>
      <c r="F8342" t="str">
        <f>"MATH COLL ALGEBRA"</f>
        <v>MATH COLL ALGEBRA</v>
      </c>
      <c r="G8342" t="str">
        <f>"21-2146"</f>
        <v>21-2146</v>
      </c>
      <c r="H8342" t="str">
        <f>"A"</f>
        <v>A</v>
      </c>
    </row>
    <row r="8343" spans="1:8" x14ac:dyDescent="0.2">
      <c r="A8343" t="str">
        <f t="shared" si="3042"/>
        <v>0614024907</v>
      </c>
      <c r="B8343" t="str">
        <f t="shared" si="3043"/>
        <v>ANNABEL</v>
      </c>
      <c r="C8343" t="str">
        <f t="shared" si="3044"/>
        <v>JIMENEZ</v>
      </c>
      <c r="D8343">
        <f>12</f>
        <v>12</v>
      </c>
      <c r="E8343" t="str">
        <f>"02 - A - 101 - Nahum  Saint-Preux"</f>
        <v>02 - A - 101 - Nahum  Saint-Preux</v>
      </c>
      <c r="F8343" t="str">
        <f>"INTENS READ 4"</f>
        <v>INTENS READ 4</v>
      </c>
      <c r="G8343" t="str">
        <f>"17-1712"</f>
        <v>17-1712</v>
      </c>
      <c r="H8343" t="str">
        <f>"A"</f>
        <v>A</v>
      </c>
    </row>
    <row r="8344" spans="1:8" x14ac:dyDescent="0.2">
      <c r="A8344" t="str">
        <f t="shared" si="3042"/>
        <v>0614024907</v>
      </c>
      <c r="B8344" t="str">
        <f t="shared" si="3043"/>
        <v>ANNABEL</v>
      </c>
      <c r="C8344" t="str">
        <f t="shared" si="3044"/>
        <v>JIMENEZ</v>
      </c>
      <c r="D8344">
        <f>12</f>
        <v>12</v>
      </c>
      <c r="E8344" t="str">
        <f>"07 - B - 202 - Chrystina M Marchionne"</f>
        <v>07 - B - 202 - Chrystina M Marchionne</v>
      </c>
      <c r="F8344" t="str">
        <f>"JOURN 1 (YB) LH"</f>
        <v>JOURN 1 (YB) LH</v>
      </c>
      <c r="G8344" t="str">
        <f>"05-520"</f>
        <v>05-520</v>
      </c>
      <c r="H8344" t="str">
        <f>"B"</f>
        <v>B</v>
      </c>
    </row>
    <row r="8345" spans="1:8" x14ac:dyDescent="0.2">
      <c r="A8345" t="str">
        <f t="shared" si="3042"/>
        <v>0614024907</v>
      </c>
      <c r="B8345" t="str">
        <f t="shared" si="3043"/>
        <v>ANNABEL</v>
      </c>
      <c r="C8345" t="str">
        <f t="shared" si="3044"/>
        <v>JIMENEZ</v>
      </c>
      <c r="D8345">
        <f>12</f>
        <v>12</v>
      </c>
      <c r="E8345" t="str">
        <f>"05 - S1 - B - 102 - Robert O Burger"</f>
        <v>05 - S1 - B - 102 - Robert O Burger</v>
      </c>
      <c r="F8345" t="str">
        <f>"US GOVT"</f>
        <v>US GOVT</v>
      </c>
      <c r="G8345" t="str">
        <f>"17-1755"</f>
        <v>17-1755</v>
      </c>
      <c r="H8345" t="str">
        <f>"B"</f>
        <v>B</v>
      </c>
    </row>
    <row r="8346" spans="1:8" x14ac:dyDescent="0.2">
      <c r="A8346" t="str">
        <f t="shared" si="3042"/>
        <v>0614024907</v>
      </c>
      <c r="B8346" t="str">
        <f t="shared" si="3043"/>
        <v>ANNABEL</v>
      </c>
      <c r="C8346" t="str">
        <f t="shared" si="3044"/>
        <v>JIMENEZ</v>
      </c>
      <c r="D8346">
        <f>12</f>
        <v>12</v>
      </c>
      <c r="E8346" t="str">
        <f>"01 - S1 - A - 101 - Bruce A Evans"</f>
        <v>01 - S1 - A - 101 - Bruce A Evans</v>
      </c>
      <c r="F8346" t="str">
        <f>"ELECTROCARD TECH 3HN"</f>
        <v>ELECTROCARD TECH 3HN</v>
      </c>
      <c r="G8346" t="str">
        <f>"21-2142"</f>
        <v>21-2142</v>
      </c>
      <c r="H8346" t="str">
        <f>"A"</f>
        <v>A</v>
      </c>
    </row>
    <row r="8347" spans="1:8" x14ac:dyDescent="0.2">
      <c r="A8347" t="str">
        <f t="shared" si="3042"/>
        <v>0614024907</v>
      </c>
      <c r="B8347" t="str">
        <f t="shared" si="3043"/>
        <v>ANNABEL</v>
      </c>
      <c r="C8347" t="str">
        <f t="shared" si="3044"/>
        <v>JIMENEZ</v>
      </c>
      <c r="D8347">
        <f>12</f>
        <v>12</v>
      </c>
      <c r="E8347" t="str">
        <f>"08 - B - 206 - Robyn L Trainer"</f>
        <v>08 - B - 206 - Robyn L Trainer</v>
      </c>
      <c r="F8347" t="str">
        <f>"ENG 4: FL COLL PREP"</f>
        <v>ENG 4: FL COLL PREP</v>
      </c>
      <c r="G8347" t="str">
        <f>"17-1734"</f>
        <v>17-1734</v>
      </c>
      <c r="H8347" t="str">
        <f>"B"</f>
        <v>B</v>
      </c>
    </row>
    <row r="8348" spans="1:8" x14ac:dyDescent="0.2">
      <c r="A8348" t="str">
        <f t="shared" ref="A8348:A8355" si="3045">"0622011797"</f>
        <v>0622011797</v>
      </c>
      <c r="B8348" t="str">
        <f t="shared" ref="B8348:B8355" si="3046">"CHELSEA-ANN"</f>
        <v>CHELSEA-ANN</v>
      </c>
      <c r="C8348" t="str">
        <f t="shared" si="3044"/>
        <v>JIMENEZ</v>
      </c>
      <c r="D8348" t="str">
        <f t="shared" ref="D8348:D8355" si="3047">"09"</f>
        <v>09</v>
      </c>
      <c r="E8348" t="str">
        <f>"04 - A - 106 - Ferrie J Arostique"</f>
        <v>04 - A - 106 - Ferrie J Arostique</v>
      </c>
      <c r="F8348" t="str">
        <f>"PRE-AICE MATH 2 IG"</f>
        <v>PRE-AICE MATH 2 IG</v>
      </c>
      <c r="G8348" t="str">
        <f>"21-2139"</f>
        <v>21-2139</v>
      </c>
      <c r="H8348" t="str">
        <f>"A"</f>
        <v>A</v>
      </c>
    </row>
    <row r="8349" spans="1:8" x14ac:dyDescent="0.2">
      <c r="A8349" t="str">
        <f t="shared" si="3045"/>
        <v>0622011797</v>
      </c>
      <c r="B8349" t="str">
        <f t="shared" si="3046"/>
        <v>CHELSEA-ANN</v>
      </c>
      <c r="C8349" t="str">
        <f t="shared" si="3044"/>
        <v>JIMENEZ</v>
      </c>
      <c r="D8349" t="str">
        <f t="shared" si="3047"/>
        <v>09</v>
      </c>
      <c r="E8349" t="str">
        <f>"06 - B - 105 - Cerine S Stewart"</f>
        <v>06 - B - 105 - Cerine S Stewart</v>
      </c>
      <c r="F8349" t="str">
        <f>"AICE ENG GEN PAPER 1"</f>
        <v>AICE ENG GEN PAPER 1</v>
      </c>
      <c r="G8349" t="str">
        <f>"17-1720"</f>
        <v>17-1720</v>
      </c>
      <c r="H8349" t="str">
        <f>"B"</f>
        <v>B</v>
      </c>
    </row>
    <row r="8350" spans="1:8" x14ac:dyDescent="0.2">
      <c r="A8350" t="str">
        <f t="shared" si="3045"/>
        <v>0622011797</v>
      </c>
      <c r="B8350" t="str">
        <f t="shared" si="3046"/>
        <v>CHELSEA-ANN</v>
      </c>
      <c r="C8350" t="str">
        <f t="shared" si="3044"/>
        <v>JIMENEZ</v>
      </c>
      <c r="D8350" t="str">
        <f t="shared" si="3047"/>
        <v>09</v>
      </c>
      <c r="E8350" t="str">
        <f>"03 - A - 101 - Alejandro  Navarro"</f>
        <v>03 - A - 101 - Alejandro  Navarro</v>
      </c>
      <c r="F8350" t="str">
        <f>"BAND 3"</f>
        <v>BAND 3</v>
      </c>
      <c r="G8350" t="str">
        <f>"05-504"</f>
        <v>05-504</v>
      </c>
      <c r="H8350" t="str">
        <f>"A"</f>
        <v>A</v>
      </c>
    </row>
    <row r="8351" spans="1:8" x14ac:dyDescent="0.2">
      <c r="A8351" t="str">
        <f t="shared" si="3045"/>
        <v>0622011797</v>
      </c>
      <c r="B8351" t="str">
        <f t="shared" si="3046"/>
        <v>CHELSEA-ANN</v>
      </c>
      <c r="C8351" t="str">
        <f t="shared" si="3044"/>
        <v>JIMENEZ</v>
      </c>
      <c r="D8351" t="str">
        <f t="shared" si="3047"/>
        <v>09</v>
      </c>
      <c r="E8351" t="str">
        <f>"02 - A - 112 - Cheryl Anne  Berman-Schechter"</f>
        <v>02 - A - 112 - Cheryl Anne  Berman-Schechter</v>
      </c>
      <c r="F8351" t="str">
        <f>"NC STUDY HALL 1"</f>
        <v>NC STUDY HALL 1</v>
      </c>
      <c r="G8351" t="str">
        <f>"17-1722"</f>
        <v>17-1722</v>
      </c>
      <c r="H8351" t="str">
        <f>"A"</f>
        <v>A</v>
      </c>
    </row>
    <row r="8352" spans="1:8" x14ac:dyDescent="0.2">
      <c r="A8352" t="str">
        <f t="shared" si="3045"/>
        <v>0622011797</v>
      </c>
      <c r="B8352" t="str">
        <f t="shared" si="3046"/>
        <v>CHELSEA-ANN</v>
      </c>
      <c r="C8352" t="str">
        <f t="shared" si="3044"/>
        <v>JIMENEZ</v>
      </c>
      <c r="D8352" t="str">
        <f t="shared" si="3047"/>
        <v>09</v>
      </c>
      <c r="E8352" t="str">
        <f>"07 - B - 107 - Marius D Orsolini"</f>
        <v>07 - B - 107 - Marius D Orsolini</v>
      </c>
      <c r="F8352" t="str">
        <f>"CULINARY ARTS 1"</f>
        <v>CULINARY ARTS 1</v>
      </c>
      <c r="G8352" t="str">
        <f>"21-2115"</f>
        <v>21-2115</v>
      </c>
      <c r="H8352" t="str">
        <f>"B"</f>
        <v>B</v>
      </c>
    </row>
    <row r="8353" spans="1:8" x14ac:dyDescent="0.2">
      <c r="A8353" t="str">
        <f t="shared" si="3045"/>
        <v>0622011797</v>
      </c>
      <c r="B8353" t="str">
        <f t="shared" si="3046"/>
        <v>CHELSEA-ANN</v>
      </c>
      <c r="C8353" t="str">
        <f t="shared" si="3044"/>
        <v>JIMENEZ</v>
      </c>
      <c r="D8353" t="str">
        <f t="shared" si="3047"/>
        <v>09</v>
      </c>
      <c r="E8353" t="str">
        <f>"05 - B - 201 - Lisa J London"</f>
        <v>05 - B - 201 - Lisa J London</v>
      </c>
      <c r="F8353" t="str">
        <f>"COMPRE LAW HON"</f>
        <v>COMPRE LAW HON</v>
      </c>
      <c r="G8353" t="str">
        <f>"17-1714"</f>
        <v>17-1714</v>
      </c>
      <c r="H8353" t="str">
        <f>"B"</f>
        <v>B</v>
      </c>
    </row>
    <row r="8354" spans="1:8" x14ac:dyDescent="0.2">
      <c r="A8354" t="str">
        <f t="shared" si="3045"/>
        <v>0622011797</v>
      </c>
      <c r="B8354" t="str">
        <f t="shared" si="3046"/>
        <v>CHELSEA-ANN</v>
      </c>
      <c r="C8354" t="str">
        <f t="shared" si="3044"/>
        <v>JIMENEZ</v>
      </c>
      <c r="D8354" t="str">
        <f t="shared" si="3047"/>
        <v>09</v>
      </c>
      <c r="E8354" t="str">
        <f>"01 - A - 101 - Byron G Montenegro"</f>
        <v>01 - A - 101 - Byron G Montenegro</v>
      </c>
      <c r="F8354" t="str">
        <f>"AICE MARINE SCI 1 AS"</f>
        <v>AICE MARINE SCI 1 AS</v>
      </c>
      <c r="G8354" t="str">
        <f>"21-2144"</f>
        <v>21-2144</v>
      </c>
      <c r="H8354" t="str">
        <f>"A"</f>
        <v>A</v>
      </c>
    </row>
    <row r="8355" spans="1:8" x14ac:dyDescent="0.2">
      <c r="A8355" t="str">
        <f t="shared" si="3045"/>
        <v>0622011797</v>
      </c>
      <c r="B8355" t="str">
        <f t="shared" si="3046"/>
        <v>CHELSEA-ANN</v>
      </c>
      <c r="C8355" t="str">
        <f t="shared" si="3044"/>
        <v>JIMENEZ</v>
      </c>
      <c r="D8355" t="str">
        <f t="shared" si="3047"/>
        <v>09</v>
      </c>
      <c r="E8355" t="str">
        <f>"08 - B - 109 - Emmily A Sarmiento"</f>
        <v>08 - B - 109 - Emmily A Sarmiento</v>
      </c>
      <c r="F8355" t="str">
        <f>"AICE GLBL PERSP 1 AS"</f>
        <v>AICE GLBL PERSP 1 AS</v>
      </c>
      <c r="G8355" t="str">
        <f>"17-1743"</f>
        <v>17-1743</v>
      </c>
      <c r="H8355" t="str">
        <f>"B"</f>
        <v>B</v>
      </c>
    </row>
    <row r="8356" spans="1:8" x14ac:dyDescent="0.2">
      <c r="A8356" t="str">
        <f t="shared" ref="A8356:A8363" si="3048">"0612096116"</f>
        <v>0612096116</v>
      </c>
      <c r="B8356" t="str">
        <f t="shared" ref="B8356:B8363" si="3049">"DANIELA"</f>
        <v>DANIELA</v>
      </c>
      <c r="C8356" t="str">
        <f t="shared" si="3044"/>
        <v>JIMENEZ</v>
      </c>
      <c r="D8356">
        <f>11</f>
        <v>11</v>
      </c>
      <c r="E8356" t="str">
        <f>"04 - A - 101 - Samantha L Martinez"</f>
        <v>04 - A - 101 - Samantha L Martinez</v>
      </c>
      <c r="F8356" t="str">
        <f>"KEYBD 3"</f>
        <v>KEYBD 3</v>
      </c>
      <c r="G8356" t="str">
        <f>"05-505"</f>
        <v>05-505</v>
      </c>
      <c r="H8356" t="str">
        <f>"A"</f>
        <v>A</v>
      </c>
    </row>
    <row r="8357" spans="1:8" x14ac:dyDescent="0.2">
      <c r="A8357" t="str">
        <f t="shared" si="3048"/>
        <v>0612096116</v>
      </c>
      <c r="B8357" t="str">
        <f t="shared" si="3049"/>
        <v>DANIELA</v>
      </c>
      <c r="C8357" t="str">
        <f t="shared" si="3044"/>
        <v>JIMENEZ</v>
      </c>
      <c r="D8357">
        <f>11</f>
        <v>11</v>
      </c>
      <c r="E8357" t="str">
        <f>"06 - B - 202 - Samantha L Martinez"</f>
        <v>06 - B - 202 - Samantha L Martinez</v>
      </c>
      <c r="F8357" t="str">
        <f>"GUITAR 1"</f>
        <v>GUITAR 1</v>
      </c>
      <c r="G8357" t="str">
        <f>"05-505"</f>
        <v>05-505</v>
      </c>
      <c r="H8357" t="str">
        <f>"B"</f>
        <v>B</v>
      </c>
    </row>
    <row r="8358" spans="1:8" x14ac:dyDescent="0.2">
      <c r="A8358" t="str">
        <f t="shared" si="3048"/>
        <v>0612096116</v>
      </c>
      <c r="B8358" t="str">
        <f t="shared" si="3049"/>
        <v>DANIELA</v>
      </c>
      <c r="C8358" t="str">
        <f t="shared" si="3044"/>
        <v>JIMENEZ</v>
      </c>
      <c r="D8358">
        <f>11</f>
        <v>11</v>
      </c>
      <c r="E8358" t="str">
        <f>"03 - A - 104 - Kyle  Robbins"</f>
        <v>03 - A - 104 - Kyle  Robbins</v>
      </c>
      <c r="F8358" t="str">
        <f>"US HISTORY"</f>
        <v>US HISTORY</v>
      </c>
      <c r="G8358" t="str">
        <f>"17-1745"</f>
        <v>17-1745</v>
      </c>
      <c r="H8358" t="str">
        <f>"A"</f>
        <v>A</v>
      </c>
    </row>
    <row r="8359" spans="1:8" x14ac:dyDescent="0.2">
      <c r="A8359" t="str">
        <f t="shared" si="3048"/>
        <v>0612096116</v>
      </c>
      <c r="B8359" t="str">
        <f t="shared" si="3049"/>
        <v>DANIELA</v>
      </c>
      <c r="C8359" t="str">
        <f t="shared" si="3044"/>
        <v>JIMENEZ</v>
      </c>
      <c r="D8359">
        <f>11</f>
        <v>11</v>
      </c>
      <c r="E8359" t="str">
        <f>"02 - A - 106 - Heidi M Knopp"</f>
        <v>02 - A - 106 - Heidi M Knopp</v>
      </c>
      <c r="F8359" t="str">
        <f>"NC STUDY HALL 1"</f>
        <v>NC STUDY HALL 1</v>
      </c>
      <c r="G8359" t="str">
        <f>"17-1735"</f>
        <v>17-1735</v>
      </c>
      <c r="H8359" t="str">
        <f>"A"</f>
        <v>A</v>
      </c>
    </row>
    <row r="8360" spans="1:8" x14ac:dyDescent="0.2">
      <c r="A8360" t="str">
        <f t="shared" si="3048"/>
        <v>0612096116</v>
      </c>
      <c r="B8360" t="str">
        <f t="shared" si="3049"/>
        <v>DANIELA</v>
      </c>
      <c r="C8360" t="str">
        <f t="shared" si="3044"/>
        <v>JIMENEZ</v>
      </c>
      <c r="D8360">
        <f>11</f>
        <v>11</v>
      </c>
      <c r="E8360" t="str">
        <f>"07 - B - 106 - James H Mccann"</f>
        <v>07 - B - 106 - James H Mccann</v>
      </c>
      <c r="F8360" t="str">
        <f>"ALGEBRA 2"</f>
        <v>ALGEBRA 2</v>
      </c>
      <c r="G8360" t="str">
        <f>"17-1716"</f>
        <v>17-1716</v>
      </c>
      <c r="H8360" t="str">
        <f>"B"</f>
        <v>B</v>
      </c>
    </row>
    <row r="8361" spans="1:8" x14ac:dyDescent="0.2">
      <c r="A8361" t="str">
        <f t="shared" si="3048"/>
        <v>0612096116</v>
      </c>
      <c r="B8361" t="str">
        <f t="shared" si="3049"/>
        <v>DANIELA</v>
      </c>
      <c r="C8361" t="str">
        <f t="shared" si="3044"/>
        <v>JIMENEZ</v>
      </c>
      <c r="D8361">
        <f>11</f>
        <v>11</v>
      </c>
      <c r="E8361" t="str">
        <f>"05 - B - 103 - Heidi M Knopp"</f>
        <v>05 - B - 103 - Heidi M Knopp</v>
      </c>
      <c r="F8361" t="str">
        <f>"ENG HON 3"</f>
        <v>ENG HON 3</v>
      </c>
      <c r="G8361" t="str">
        <f>"17-1723"</f>
        <v>17-1723</v>
      </c>
      <c r="H8361" t="str">
        <f>"B"</f>
        <v>B</v>
      </c>
    </row>
    <row r="8362" spans="1:8" x14ac:dyDescent="0.2">
      <c r="A8362" t="str">
        <f t="shared" si="3048"/>
        <v>0612096116</v>
      </c>
      <c r="B8362" t="str">
        <f t="shared" si="3049"/>
        <v>DANIELA</v>
      </c>
      <c r="C8362" t="str">
        <f t="shared" si="3044"/>
        <v>JIMENEZ</v>
      </c>
      <c r="D8362">
        <f>11</f>
        <v>11</v>
      </c>
      <c r="E8362" t="str">
        <f>"01 - A - 001 - Dorothy D Moore"</f>
        <v>01 - A - 001 - Dorothy D Moore</v>
      </c>
      <c r="F8362" t="str">
        <f>"ANAT PHYSIO HON"</f>
        <v>ANAT PHYSIO HON</v>
      </c>
      <c r="G8362" t="str">
        <f>"08-803"</f>
        <v>08-803</v>
      </c>
      <c r="H8362" t="str">
        <f>"A"</f>
        <v>A</v>
      </c>
    </row>
    <row r="8363" spans="1:8" x14ac:dyDescent="0.2">
      <c r="A8363" t="str">
        <f t="shared" si="3048"/>
        <v>0612096116</v>
      </c>
      <c r="B8363" t="str">
        <f t="shared" si="3049"/>
        <v>DANIELA</v>
      </c>
      <c r="C8363" t="str">
        <f t="shared" si="3044"/>
        <v>JIMENEZ</v>
      </c>
      <c r="D8363">
        <f>11</f>
        <v>11</v>
      </c>
      <c r="E8363" t="str">
        <f>"08 - B - 001 - Samantha L Martinez"</f>
        <v>08 - B - 001 - Samantha L Martinez</v>
      </c>
      <c r="F8363" t="str">
        <f>"VOCAL ENS 2"</f>
        <v>VOCAL ENS 2</v>
      </c>
      <c r="G8363" t="str">
        <f>"05-505"</f>
        <v>05-505</v>
      </c>
      <c r="H8363" t="str">
        <f>"B"</f>
        <v>B</v>
      </c>
    </row>
    <row r="8364" spans="1:8" x14ac:dyDescent="0.2">
      <c r="A8364" t="str">
        <f t="shared" ref="A8364:A8371" si="3050">"0623021514"</f>
        <v>0623021514</v>
      </c>
      <c r="B8364" t="str">
        <f t="shared" ref="B8364:B8371" si="3051">"DIEGO"</f>
        <v>DIEGO</v>
      </c>
      <c r="C8364" t="str">
        <f t="shared" si="3044"/>
        <v>JIMENEZ</v>
      </c>
      <c r="D8364" t="str">
        <f t="shared" ref="D8364:D8371" si="3052">"09"</f>
        <v>09</v>
      </c>
      <c r="E8364" t="str">
        <f>"04 - A - 103 - Cerine S Stewart"</f>
        <v>04 - A - 103 - Cerine S Stewart</v>
      </c>
      <c r="F8364" t="str">
        <f>"ENG 1"</f>
        <v>ENG 1</v>
      </c>
      <c r="G8364" t="str">
        <f>"17-1720"</f>
        <v>17-1720</v>
      </c>
      <c r="H8364" t="str">
        <f>"A"</f>
        <v>A</v>
      </c>
    </row>
    <row r="8365" spans="1:8" x14ac:dyDescent="0.2">
      <c r="A8365" t="str">
        <f t="shared" si="3050"/>
        <v>0623021514</v>
      </c>
      <c r="B8365" t="str">
        <f t="shared" si="3051"/>
        <v>DIEGO</v>
      </c>
      <c r="C8365" t="str">
        <f t="shared" si="3044"/>
        <v>JIMENEZ</v>
      </c>
      <c r="D8365" t="str">
        <f t="shared" si="3052"/>
        <v>09</v>
      </c>
      <c r="E8365" t="str">
        <f>"06 - B - 106 - Adam Marcus  Drucker"</f>
        <v>06 - B - 106 - Adam Marcus  Drucker</v>
      </c>
      <c r="F8365" t="str">
        <f>"HOPE-PE V"</f>
        <v>HOPE-PE V</v>
      </c>
      <c r="G8365" t="str">
        <f>"04-254"</f>
        <v>04-254</v>
      </c>
      <c r="H8365" t="str">
        <f>"B"</f>
        <v>B</v>
      </c>
    </row>
    <row r="8366" spans="1:8" x14ac:dyDescent="0.2">
      <c r="A8366" t="str">
        <f t="shared" si="3050"/>
        <v>0623021514</v>
      </c>
      <c r="B8366" t="str">
        <f t="shared" si="3051"/>
        <v>DIEGO</v>
      </c>
      <c r="C8366" t="str">
        <f t="shared" si="3044"/>
        <v>JIMENEZ</v>
      </c>
      <c r="D8366" t="str">
        <f t="shared" si="3052"/>
        <v>09</v>
      </c>
      <c r="E8366" t="str">
        <f>"03 - A - 101 - Milca  Exantus"</f>
        <v>03 - A - 101 - Milca  Exantus</v>
      </c>
      <c r="F8366" t="str">
        <f>"ALGEBRA 1-A"</f>
        <v>ALGEBRA 1-A</v>
      </c>
      <c r="G8366" t="str">
        <f>"21-2145"</f>
        <v>21-2145</v>
      </c>
      <c r="H8366" t="str">
        <f>"A"</f>
        <v>A</v>
      </c>
    </row>
    <row r="8367" spans="1:8" x14ac:dyDescent="0.2">
      <c r="A8367" t="str">
        <f t="shared" si="3050"/>
        <v>0623021514</v>
      </c>
      <c r="B8367" t="str">
        <f t="shared" si="3051"/>
        <v>DIEGO</v>
      </c>
      <c r="C8367" t="str">
        <f t="shared" si="3044"/>
        <v>JIMENEZ</v>
      </c>
      <c r="D8367" t="str">
        <f t="shared" si="3052"/>
        <v>09</v>
      </c>
      <c r="E8367" t="str">
        <f>"02 - A - 113 - Amy Beth  Broyles"</f>
        <v>02 - A - 113 - Amy Beth  Broyles</v>
      </c>
      <c r="F8367" t="str">
        <f>"NC STUDY HALL 1"</f>
        <v>NC STUDY HALL 1</v>
      </c>
      <c r="G8367" t="str">
        <f>"08-802"</f>
        <v>08-802</v>
      </c>
      <c r="H8367" t="str">
        <f>"A"</f>
        <v>A</v>
      </c>
    </row>
    <row r="8368" spans="1:8" x14ac:dyDescent="0.2">
      <c r="A8368" t="str">
        <f t="shared" si="3050"/>
        <v>0623021514</v>
      </c>
      <c r="B8368" t="str">
        <f t="shared" si="3051"/>
        <v>DIEGO</v>
      </c>
      <c r="C8368" t="str">
        <f t="shared" si="3044"/>
        <v>JIMENEZ</v>
      </c>
      <c r="D8368" t="str">
        <f t="shared" si="3052"/>
        <v>09</v>
      </c>
      <c r="E8368" t="str">
        <f>"07 - B - 105 - Laselleda D Shaw"</f>
        <v>07 - B - 105 - Laselleda D Shaw</v>
      </c>
      <c r="F8368" t="str">
        <f>"INTENS READ 1"</f>
        <v>INTENS READ 1</v>
      </c>
      <c r="G8368" t="str">
        <f>"17-1723"</f>
        <v>17-1723</v>
      </c>
      <c r="H8368" t="str">
        <f>"B"</f>
        <v>B</v>
      </c>
    </row>
    <row r="8369" spans="1:8" x14ac:dyDescent="0.2">
      <c r="A8369" t="str">
        <f t="shared" si="3050"/>
        <v>0623021514</v>
      </c>
      <c r="B8369" t="str">
        <f t="shared" si="3051"/>
        <v>DIEGO</v>
      </c>
      <c r="C8369" t="str">
        <f t="shared" si="3044"/>
        <v>JIMENEZ</v>
      </c>
      <c r="D8369" t="str">
        <f t="shared" si="3052"/>
        <v>09</v>
      </c>
      <c r="E8369" t="str">
        <f>"05 - B - 202 - Amy Beth  Broyles"</f>
        <v>05 - B - 202 - Amy Beth  Broyles</v>
      </c>
      <c r="F8369" t="str">
        <f>"ENV SCI"</f>
        <v>ENV SCI</v>
      </c>
      <c r="G8369" t="str">
        <f>"08-802"</f>
        <v>08-802</v>
      </c>
      <c r="H8369" t="str">
        <f>"B"</f>
        <v>B</v>
      </c>
    </row>
    <row r="8370" spans="1:8" x14ac:dyDescent="0.2">
      <c r="A8370" t="str">
        <f t="shared" si="3050"/>
        <v>0623021514</v>
      </c>
      <c r="B8370" t="str">
        <f t="shared" si="3051"/>
        <v>DIEGO</v>
      </c>
      <c r="C8370" t="str">
        <f t="shared" si="3044"/>
        <v>JIMENEZ</v>
      </c>
      <c r="D8370" t="str">
        <f t="shared" si="3052"/>
        <v>09</v>
      </c>
      <c r="E8370" t="str">
        <f>"01 - A - 107 - Jazmin S Fletcher"</f>
        <v>01 - A - 107 - Jazmin S Fletcher</v>
      </c>
      <c r="F8370" t="str">
        <f>"WORLD HISTORY"</f>
        <v>WORLD HISTORY</v>
      </c>
      <c r="G8370" t="str">
        <f>"09-909"</f>
        <v>09-909</v>
      </c>
      <c r="H8370" t="str">
        <f>"A"</f>
        <v>A</v>
      </c>
    </row>
    <row r="8371" spans="1:8" x14ac:dyDescent="0.2">
      <c r="A8371" t="str">
        <f t="shared" si="3050"/>
        <v>0623021514</v>
      </c>
      <c r="B8371" t="str">
        <f t="shared" si="3051"/>
        <v>DIEGO</v>
      </c>
      <c r="C8371" t="str">
        <f t="shared" si="3044"/>
        <v>JIMENEZ</v>
      </c>
      <c r="D8371" t="str">
        <f t="shared" si="3052"/>
        <v>09</v>
      </c>
      <c r="E8371" t="str">
        <f>"08 - B - 103 - Jeanne M Bermudez"</f>
        <v>08 - B - 103 - Jeanne M Bermudez</v>
      </c>
      <c r="F8371" t="str">
        <f>"ADVANCED IT HON"</f>
        <v>ADVANCED IT HON</v>
      </c>
      <c r="G8371" t="str">
        <f>"21-2141"</f>
        <v>21-2141</v>
      </c>
      <c r="H8371" t="str">
        <f>"B"</f>
        <v>B</v>
      </c>
    </row>
    <row r="8372" spans="1:8" x14ac:dyDescent="0.2">
      <c r="A8372" t="str">
        <f t="shared" ref="A8372:A8379" si="3053">"0624108138"</f>
        <v>0624108138</v>
      </c>
      <c r="B8372" t="str">
        <f t="shared" ref="B8372:B8379" si="3054">"SOPHIA"</f>
        <v>SOPHIA</v>
      </c>
      <c r="C8372" t="str">
        <f t="shared" ref="C8372:C8379" si="3055">"JIMENEZ LABARCA"</f>
        <v>JIMENEZ LABARCA</v>
      </c>
      <c r="D8372">
        <f>12</f>
        <v>12</v>
      </c>
      <c r="E8372" t="str">
        <f>"04 - A - 205 - Robyn L Trainer"</f>
        <v>04 - A - 205 - Robyn L Trainer</v>
      </c>
      <c r="F8372" t="str">
        <f>"ENG 4: FL COLL PREP"</f>
        <v>ENG 4: FL COLL PREP</v>
      </c>
      <c r="G8372" t="str">
        <f>"17-1734"</f>
        <v>17-1734</v>
      </c>
      <c r="H8372" t="str">
        <f>"A"</f>
        <v>A</v>
      </c>
    </row>
    <row r="8373" spans="1:8" x14ac:dyDescent="0.2">
      <c r="A8373" t="str">
        <f t="shared" si="3053"/>
        <v>0624108138</v>
      </c>
      <c r="B8373" t="str">
        <f t="shared" si="3054"/>
        <v>SOPHIA</v>
      </c>
      <c r="C8373" t="str">
        <f t="shared" si="3055"/>
        <v>JIMENEZ LABARCA</v>
      </c>
      <c r="D8373">
        <f>12</f>
        <v>12</v>
      </c>
      <c r="E8373" t="str">
        <f>"06 - B - 107 - Pamela M Corzo"</f>
        <v>06 - B - 107 - Pamela M Corzo</v>
      </c>
      <c r="F8373" t="str">
        <f>"NC STUDY HALL 1"</f>
        <v>NC STUDY HALL 1</v>
      </c>
      <c r="G8373" t="str">
        <f>"21-2133"</f>
        <v>21-2133</v>
      </c>
      <c r="H8373" t="str">
        <f>"B"</f>
        <v>B</v>
      </c>
    </row>
    <row r="8374" spans="1:8" x14ac:dyDescent="0.2">
      <c r="A8374" t="str">
        <f t="shared" si="3053"/>
        <v>0624108138</v>
      </c>
      <c r="B8374" t="str">
        <f t="shared" si="3054"/>
        <v>SOPHIA</v>
      </c>
      <c r="C8374" t="str">
        <f t="shared" si="3055"/>
        <v>JIMENEZ LABARCA</v>
      </c>
      <c r="D8374">
        <f>12</f>
        <v>12</v>
      </c>
      <c r="E8374" t="str">
        <f>"03 - A - 201 - Emmily A Sarmiento"</f>
        <v>03 - A - 201 - Emmily A Sarmiento</v>
      </c>
      <c r="F8374" t="str">
        <f>"LEAD TECHQS HONORS"</f>
        <v>LEAD TECHQS HONORS</v>
      </c>
      <c r="G8374" t="str">
        <f>"17-1743"</f>
        <v>17-1743</v>
      </c>
      <c r="H8374" t="str">
        <f>"A"</f>
        <v>A</v>
      </c>
    </row>
    <row r="8375" spans="1:8" x14ac:dyDescent="0.2">
      <c r="A8375" t="str">
        <f t="shared" si="3053"/>
        <v>0624108138</v>
      </c>
      <c r="B8375" t="str">
        <f t="shared" si="3054"/>
        <v>SOPHIA</v>
      </c>
      <c r="C8375" t="str">
        <f t="shared" si="3055"/>
        <v>JIMENEZ LABARCA</v>
      </c>
      <c r="D8375">
        <f>12</f>
        <v>12</v>
      </c>
      <c r="E8375" t="str">
        <f>"02 - A - 101 - Nahum  Saint-Preux"</f>
        <v>02 - A - 101 - Nahum  Saint-Preux</v>
      </c>
      <c r="F8375" t="str">
        <f>"INTENS READ 4"</f>
        <v>INTENS READ 4</v>
      </c>
      <c r="G8375" t="str">
        <f>"17-1712"</f>
        <v>17-1712</v>
      </c>
      <c r="H8375" t="str">
        <f>"A"</f>
        <v>A</v>
      </c>
    </row>
    <row r="8376" spans="1:8" x14ac:dyDescent="0.2">
      <c r="A8376" t="str">
        <f t="shared" si="3053"/>
        <v>0624108138</v>
      </c>
      <c r="B8376" t="str">
        <f t="shared" si="3054"/>
        <v>SOPHIA</v>
      </c>
      <c r="C8376" t="str">
        <f t="shared" si="3055"/>
        <v>JIMENEZ LABARCA</v>
      </c>
      <c r="D8376">
        <f>12</f>
        <v>12</v>
      </c>
      <c r="E8376" t="str">
        <f>"07 - B - 102 - Tina L Lovett"</f>
        <v>07 - B - 102 - Tina L Lovett</v>
      </c>
      <c r="F8376" t="str">
        <f>"MATH DATA &amp; FIN LIT"</f>
        <v>MATH DATA &amp; FIN LIT</v>
      </c>
      <c r="G8376" t="str">
        <f>"21-2153"</f>
        <v>21-2153</v>
      </c>
      <c r="H8376" t="str">
        <f>"B"</f>
        <v>B</v>
      </c>
    </row>
    <row r="8377" spans="1:8" x14ac:dyDescent="0.2">
      <c r="A8377" t="str">
        <f t="shared" si="3053"/>
        <v>0624108138</v>
      </c>
      <c r="B8377" t="str">
        <f t="shared" si="3054"/>
        <v>SOPHIA</v>
      </c>
      <c r="C8377" t="str">
        <f t="shared" si="3055"/>
        <v>JIMENEZ LABARCA</v>
      </c>
      <c r="D8377">
        <f>12</f>
        <v>12</v>
      </c>
      <c r="E8377" t="str">
        <f>"05 - B - 207 - Marielle A Witting"</f>
        <v>05 - B - 207 - Marielle A Witting</v>
      </c>
      <c r="F8377" t="str">
        <f>"ANAT PHYSIO"</f>
        <v>ANAT PHYSIO</v>
      </c>
      <c r="G8377" t="str">
        <f>"08-805"</f>
        <v>08-805</v>
      </c>
      <c r="H8377" t="str">
        <f>"B"</f>
        <v>B</v>
      </c>
    </row>
    <row r="8378" spans="1:8" x14ac:dyDescent="0.2">
      <c r="A8378" t="str">
        <f t="shared" si="3053"/>
        <v>0624108138</v>
      </c>
      <c r="B8378" t="str">
        <f t="shared" si="3054"/>
        <v>SOPHIA</v>
      </c>
      <c r="C8378" t="str">
        <f t="shared" si="3055"/>
        <v>JIMENEZ LABARCA</v>
      </c>
      <c r="D8378">
        <f>12</f>
        <v>12</v>
      </c>
      <c r="E8378" t="str">
        <f>"01 - S1 - A - 101 - Robert O Burger"</f>
        <v>01 - S1 - A - 101 - Robert O Burger</v>
      </c>
      <c r="F8378" t="str">
        <f>"US GOVT"</f>
        <v>US GOVT</v>
      </c>
      <c r="G8378" t="str">
        <f>"17-1755"</f>
        <v>17-1755</v>
      </c>
      <c r="H8378" t="str">
        <f>"A"</f>
        <v>A</v>
      </c>
    </row>
    <row r="8379" spans="1:8" x14ac:dyDescent="0.2">
      <c r="A8379" t="str">
        <f t="shared" si="3053"/>
        <v>0624108138</v>
      </c>
      <c r="B8379" t="str">
        <f t="shared" si="3054"/>
        <v>SOPHIA</v>
      </c>
      <c r="C8379" t="str">
        <f t="shared" si="3055"/>
        <v>JIMENEZ LABARCA</v>
      </c>
      <c r="D8379">
        <f>12</f>
        <v>12</v>
      </c>
      <c r="E8379" t="str">
        <f>"08 - B - 101 - Rosa Elaine  Collado-Duff"</f>
        <v>08 - B - 101 - Rosa Elaine  Collado-Duff</v>
      </c>
      <c r="F8379" t="str">
        <f>"AP SPANISH LANG &amp; CU"</f>
        <v>AP SPANISH LANG &amp; CU</v>
      </c>
      <c r="G8379" t="str">
        <f>"09-913"</f>
        <v>09-913</v>
      </c>
      <c r="H8379" t="str">
        <f>"B"</f>
        <v>B</v>
      </c>
    </row>
    <row r="8380" spans="1:8" x14ac:dyDescent="0.2">
      <c r="A8380" t="str">
        <f t="shared" ref="A8380:A8387" si="3056">"0617011467"</f>
        <v>0617011467</v>
      </c>
      <c r="B8380" t="str">
        <f t="shared" ref="B8380:B8387" si="3057">"JOHNATHAN"</f>
        <v>JOHNATHAN</v>
      </c>
      <c r="C8380" t="str">
        <f t="shared" ref="C8380:C8387" si="3058">"JIRON"</f>
        <v>JIRON</v>
      </c>
      <c r="D8380" t="str">
        <f t="shared" ref="D8380:D8387" si="3059">"09"</f>
        <v>09</v>
      </c>
      <c r="E8380" t="str">
        <f>"04 - A - 102 - Eva T Rimmer"</f>
        <v>04 - A - 102 - Eva T Rimmer</v>
      </c>
      <c r="F8380" t="str">
        <f>"CRIMINAL JUST OPS 1"</f>
        <v>CRIMINAL JUST OPS 1</v>
      </c>
      <c r="G8380" t="str">
        <f>"05-523"</f>
        <v>05-523</v>
      </c>
      <c r="H8380" t="str">
        <f>"A"</f>
        <v>A</v>
      </c>
    </row>
    <row r="8381" spans="1:8" x14ac:dyDescent="0.2">
      <c r="A8381" t="str">
        <f t="shared" si="3056"/>
        <v>0617011467</v>
      </c>
      <c r="B8381" t="str">
        <f t="shared" si="3057"/>
        <v>JOHNATHAN</v>
      </c>
      <c r="C8381" t="str">
        <f t="shared" si="3058"/>
        <v>JIRON</v>
      </c>
      <c r="D8381" t="str">
        <f t="shared" si="3059"/>
        <v>09</v>
      </c>
      <c r="E8381" t="str">
        <f>"06 - B - 104 - Lytrell T Dixon"</f>
        <v>06 - B - 104 - Lytrell T Dixon</v>
      </c>
      <c r="F8381" t="str">
        <f>"PRE-AICE BIO IG"</f>
        <v>PRE-AICE BIO IG</v>
      </c>
      <c r="G8381" t="str">
        <f>"08-808"</f>
        <v>08-808</v>
      </c>
      <c r="H8381" t="str">
        <f>"B"</f>
        <v>B</v>
      </c>
    </row>
    <row r="8382" spans="1:8" x14ac:dyDescent="0.2">
      <c r="A8382" t="str">
        <f t="shared" si="3056"/>
        <v>0617011467</v>
      </c>
      <c r="B8382" t="str">
        <f t="shared" si="3057"/>
        <v>JOHNATHAN</v>
      </c>
      <c r="C8382" t="str">
        <f t="shared" si="3058"/>
        <v>JIRON</v>
      </c>
      <c r="D8382" t="str">
        <f t="shared" si="3059"/>
        <v>09</v>
      </c>
      <c r="E8382" t="str">
        <f>"03 - A - 101 - Helen A Flores"</f>
        <v>03 - A - 101 - Helen A Flores</v>
      </c>
      <c r="F8382" t="str">
        <f>"PRE-AICE MATH 1 IG"</f>
        <v>PRE-AICE MATH 1 IG</v>
      </c>
      <c r="G8382" t="str">
        <f>"21-2101"</f>
        <v>21-2101</v>
      </c>
      <c r="H8382" t="str">
        <f>"A"</f>
        <v>A</v>
      </c>
    </row>
    <row r="8383" spans="1:8" x14ac:dyDescent="0.2">
      <c r="A8383" t="str">
        <f t="shared" si="3056"/>
        <v>0617011467</v>
      </c>
      <c r="B8383" t="str">
        <f t="shared" si="3057"/>
        <v>JOHNATHAN</v>
      </c>
      <c r="C8383" t="str">
        <f t="shared" si="3058"/>
        <v>JIRON</v>
      </c>
      <c r="D8383" t="str">
        <f t="shared" si="3059"/>
        <v>09</v>
      </c>
      <c r="E8383" t="str">
        <f>"02 - A - 109 - Krystal Marie  Beruty"</f>
        <v>02 - A - 109 - Krystal Marie  Beruty</v>
      </c>
      <c r="F8383" t="str">
        <f>"NC STUDY HALL 1"</f>
        <v>NC STUDY HALL 1</v>
      </c>
      <c r="G8383" t="str">
        <f>"17-1721"</f>
        <v>17-1721</v>
      </c>
      <c r="H8383" t="str">
        <f>"A"</f>
        <v>A</v>
      </c>
    </row>
    <row r="8384" spans="1:8" x14ac:dyDescent="0.2">
      <c r="A8384" t="str">
        <f t="shared" si="3056"/>
        <v>0617011467</v>
      </c>
      <c r="B8384" t="str">
        <f t="shared" si="3057"/>
        <v>JOHNATHAN</v>
      </c>
      <c r="C8384" t="str">
        <f t="shared" si="3058"/>
        <v>JIRON</v>
      </c>
      <c r="D8384" t="str">
        <f t="shared" si="3059"/>
        <v>09</v>
      </c>
      <c r="E8384" t="str">
        <f>"07 - B - 001 - Carol S Moore"</f>
        <v>07 - B - 001 - Carol S Moore</v>
      </c>
      <c r="F8384" t="str">
        <f>"PRE-AICE WRLD HST IG"</f>
        <v>PRE-AICE WRLD HST IG</v>
      </c>
      <c r="G8384" t="str">
        <f>"17-1733"</f>
        <v>17-1733</v>
      </c>
      <c r="H8384" t="str">
        <f>"B"</f>
        <v>B</v>
      </c>
    </row>
    <row r="8385" spans="1:8" x14ac:dyDescent="0.2">
      <c r="A8385" t="str">
        <f t="shared" si="3056"/>
        <v>0617011467</v>
      </c>
      <c r="B8385" t="str">
        <f t="shared" si="3057"/>
        <v>JOHNATHAN</v>
      </c>
      <c r="C8385" t="str">
        <f t="shared" si="3058"/>
        <v>JIRON</v>
      </c>
      <c r="D8385" t="str">
        <f t="shared" si="3059"/>
        <v>09</v>
      </c>
      <c r="E8385" t="str">
        <f>"05 - B - 002 - Cheryl Anne  Berman-Schechter"</f>
        <v>05 - B - 002 - Cheryl Anne  Berman-Schechter</v>
      </c>
      <c r="F8385" t="str">
        <f>"AICE ENG GEN PAPER 1"</f>
        <v>AICE ENG GEN PAPER 1</v>
      </c>
      <c r="G8385" t="str">
        <f>"17-1722"</f>
        <v>17-1722</v>
      </c>
      <c r="H8385" t="str">
        <f>"B"</f>
        <v>B</v>
      </c>
    </row>
    <row r="8386" spans="1:8" x14ac:dyDescent="0.2">
      <c r="A8386" t="str">
        <f t="shared" si="3056"/>
        <v>0617011467</v>
      </c>
      <c r="B8386" t="str">
        <f t="shared" si="3057"/>
        <v>JOHNATHAN</v>
      </c>
      <c r="C8386" t="str">
        <f t="shared" si="3058"/>
        <v>JIRON</v>
      </c>
      <c r="D8386" t="str">
        <f t="shared" si="3059"/>
        <v>09</v>
      </c>
      <c r="E8386" t="str">
        <f>"01 - A - 101 - Nikiel  Nesbeth"</f>
        <v>01 - A - 101 - Nikiel  Nesbeth</v>
      </c>
      <c r="F8386" t="str">
        <f>"CONST LAW HON"</f>
        <v>CONST LAW HON</v>
      </c>
      <c r="G8386" t="str">
        <f>"17-1705"</f>
        <v>17-1705</v>
      </c>
      <c r="H8386" t="str">
        <f>"A"</f>
        <v>A</v>
      </c>
    </row>
    <row r="8387" spans="1:8" x14ac:dyDescent="0.2">
      <c r="A8387" t="str">
        <f t="shared" si="3056"/>
        <v>0617011467</v>
      </c>
      <c r="B8387" t="str">
        <f t="shared" si="3057"/>
        <v>JOHNATHAN</v>
      </c>
      <c r="C8387" t="str">
        <f t="shared" si="3058"/>
        <v>JIRON</v>
      </c>
      <c r="D8387" t="str">
        <f t="shared" si="3059"/>
        <v>09</v>
      </c>
      <c r="E8387" t="str">
        <f>"08 - S1 - B - 104 - Angela S Adeshina-Morrison"</f>
        <v>08 - S1 - B - 104 - Angela S Adeshina-Morrison</v>
      </c>
      <c r="F8387" t="str">
        <f>"PEER COUN 1"</f>
        <v>PEER COUN 1</v>
      </c>
      <c r="G8387" t="str">
        <f>"05-518"</f>
        <v>05-518</v>
      </c>
      <c r="H8387" t="str">
        <f>"B"</f>
        <v>B</v>
      </c>
    </row>
    <row r="8388" spans="1:8" x14ac:dyDescent="0.2">
      <c r="A8388" t="str">
        <f t="shared" ref="A8388:A8395" si="3060">"0615009527"</f>
        <v>0615009527</v>
      </c>
      <c r="B8388" t="str">
        <f t="shared" ref="B8388:B8395" si="3061">"CHANAYA"</f>
        <v>CHANAYA</v>
      </c>
      <c r="C8388" t="str">
        <f t="shared" ref="C8388:C8411" si="3062">"JOACHIM"</f>
        <v>JOACHIM</v>
      </c>
      <c r="D8388">
        <f>10</f>
        <v>10</v>
      </c>
      <c r="E8388" t="str">
        <f>"04 - A - 105 - Milca  Exantus"</f>
        <v>04 - A - 105 - Milca  Exantus</v>
      </c>
      <c r="F8388" t="str">
        <f>"MATH COLLEGE LIB ART"</f>
        <v>MATH COLLEGE LIB ART</v>
      </c>
      <c r="G8388" t="str">
        <f>"21-2145"</f>
        <v>21-2145</v>
      </c>
      <c r="H8388" t="str">
        <f>"A"</f>
        <v>A</v>
      </c>
    </row>
    <row r="8389" spans="1:8" x14ac:dyDescent="0.2">
      <c r="A8389" t="str">
        <f t="shared" si="3060"/>
        <v>0615009527</v>
      </c>
      <c r="B8389" t="str">
        <f t="shared" si="3061"/>
        <v>CHANAYA</v>
      </c>
      <c r="C8389" t="str">
        <f t="shared" si="3062"/>
        <v>JOACHIM</v>
      </c>
      <c r="D8389">
        <f>10</f>
        <v>10</v>
      </c>
      <c r="E8389" t="str">
        <f>"06 - B - 107 - Dorothy D Moore"</f>
        <v>06 - B - 107 - Dorothy D Moore</v>
      </c>
      <c r="F8389" t="str">
        <f>"NC STUDY HALL 1"</f>
        <v>NC STUDY HALL 1</v>
      </c>
      <c r="G8389" t="str">
        <f>"08-803"</f>
        <v>08-803</v>
      </c>
      <c r="H8389" t="str">
        <f>"B"</f>
        <v>B</v>
      </c>
    </row>
    <row r="8390" spans="1:8" x14ac:dyDescent="0.2">
      <c r="A8390" t="str">
        <f t="shared" si="3060"/>
        <v>0615009527</v>
      </c>
      <c r="B8390" t="str">
        <f t="shared" si="3061"/>
        <v>CHANAYA</v>
      </c>
      <c r="C8390" t="str">
        <f t="shared" si="3062"/>
        <v>JOACHIM</v>
      </c>
      <c r="D8390">
        <f>10</f>
        <v>10</v>
      </c>
      <c r="E8390" t="str">
        <f>"03 - A - 208 - Marielle A Witting"</f>
        <v>03 - A - 208 - Marielle A Witting</v>
      </c>
      <c r="F8390" t="str">
        <f>"ANAT PHYSIO"</f>
        <v>ANAT PHYSIO</v>
      </c>
      <c r="G8390" t="str">
        <f>"08-805"</f>
        <v>08-805</v>
      </c>
      <c r="H8390" t="str">
        <f>"A"</f>
        <v>A</v>
      </c>
    </row>
    <row r="8391" spans="1:8" x14ac:dyDescent="0.2">
      <c r="A8391" t="str">
        <f t="shared" si="3060"/>
        <v>0615009527</v>
      </c>
      <c r="B8391" t="str">
        <f t="shared" si="3061"/>
        <v>CHANAYA</v>
      </c>
      <c r="C8391" t="str">
        <f t="shared" si="3062"/>
        <v>JOACHIM</v>
      </c>
      <c r="D8391">
        <f>10</f>
        <v>10</v>
      </c>
      <c r="E8391" t="str">
        <f>"02 - S1 - A - 101 - James H Mccann"</f>
        <v>02 - S1 - A - 101 - James H Mccann</v>
      </c>
      <c r="F8391" t="str">
        <f>"PERS FIN &amp; MON MGT H"</f>
        <v>PERS FIN &amp; MON MGT H</v>
      </c>
      <c r="G8391" t="str">
        <f>"17-1716"</f>
        <v>17-1716</v>
      </c>
      <c r="H8391" t="str">
        <f>"A"</f>
        <v>A</v>
      </c>
    </row>
    <row r="8392" spans="1:8" x14ac:dyDescent="0.2">
      <c r="A8392" t="str">
        <f t="shared" si="3060"/>
        <v>0615009527</v>
      </c>
      <c r="B8392" t="str">
        <f t="shared" si="3061"/>
        <v>CHANAYA</v>
      </c>
      <c r="C8392" t="str">
        <f t="shared" si="3062"/>
        <v>JOACHIM</v>
      </c>
      <c r="D8392">
        <f>10</f>
        <v>10</v>
      </c>
      <c r="E8392" t="str">
        <f>"07 - B - 102 - Nikiel  Nesbeth"</f>
        <v>07 - B - 102 - Nikiel  Nesbeth</v>
      </c>
      <c r="F8392" t="str">
        <f>"PRE-AICE ENG LIT IG"</f>
        <v>PRE-AICE ENG LIT IG</v>
      </c>
      <c r="G8392" t="str">
        <f>"17-1705"</f>
        <v>17-1705</v>
      </c>
      <c r="H8392" t="str">
        <f>"B"</f>
        <v>B</v>
      </c>
    </row>
    <row r="8393" spans="1:8" x14ac:dyDescent="0.2">
      <c r="A8393" t="str">
        <f t="shared" si="3060"/>
        <v>0615009527</v>
      </c>
      <c r="B8393" t="str">
        <f t="shared" si="3061"/>
        <v>CHANAYA</v>
      </c>
      <c r="C8393" t="str">
        <f t="shared" si="3062"/>
        <v>JOACHIM</v>
      </c>
      <c r="D8393">
        <f>10</f>
        <v>10</v>
      </c>
      <c r="E8393" t="str">
        <f>"05 - B - 101 - Brian M Fitzgerald"</f>
        <v>05 - B - 101 - Brian M Fitzgerald</v>
      </c>
      <c r="F8393" t="str">
        <f>"PAINT 1"</f>
        <v>PAINT 1</v>
      </c>
      <c r="G8393" t="str">
        <f>"09-908"</f>
        <v>09-908</v>
      </c>
      <c r="H8393" t="str">
        <f>"B"</f>
        <v>B</v>
      </c>
    </row>
    <row r="8394" spans="1:8" x14ac:dyDescent="0.2">
      <c r="A8394" t="str">
        <f t="shared" si="3060"/>
        <v>0615009527</v>
      </c>
      <c r="B8394" t="str">
        <f t="shared" si="3061"/>
        <v>CHANAYA</v>
      </c>
      <c r="C8394" t="str">
        <f t="shared" si="3062"/>
        <v>JOACHIM</v>
      </c>
      <c r="D8394">
        <f>10</f>
        <v>10</v>
      </c>
      <c r="E8394" t="str">
        <f>"01 - A - 101 - Vanessa J Liburd"</f>
        <v>01 - A - 101 - Vanessa J Liburd</v>
      </c>
      <c r="F8394" t="str">
        <f>"PRE-AICE FRENCH 1 IG"</f>
        <v>PRE-AICE FRENCH 1 IG</v>
      </c>
      <c r="G8394" t="str">
        <f>"05-519"</f>
        <v>05-519</v>
      </c>
      <c r="H8394" t="str">
        <f>"A"</f>
        <v>A</v>
      </c>
    </row>
    <row r="8395" spans="1:8" x14ac:dyDescent="0.2">
      <c r="A8395" t="str">
        <f t="shared" si="3060"/>
        <v>0615009527</v>
      </c>
      <c r="B8395" t="str">
        <f t="shared" si="3061"/>
        <v>CHANAYA</v>
      </c>
      <c r="C8395" t="str">
        <f t="shared" si="3062"/>
        <v>JOACHIM</v>
      </c>
      <c r="D8395">
        <f>10</f>
        <v>10</v>
      </c>
      <c r="E8395" t="str">
        <f>"08 - S1 - B - 101 - Amy Beth  Broyles"</f>
        <v>08 - S1 - B - 101 - Amy Beth  Broyles</v>
      </c>
      <c r="F8395" t="str">
        <f>"PEER COUN 3"</f>
        <v>PEER COUN 3</v>
      </c>
      <c r="G8395" t="str">
        <f>"17-1713"</f>
        <v>17-1713</v>
      </c>
      <c r="H8395" t="str">
        <f>"B"</f>
        <v>B</v>
      </c>
    </row>
    <row r="8396" spans="1:8" x14ac:dyDescent="0.2">
      <c r="A8396" t="str">
        <f t="shared" ref="A8396:A8403" si="3063">"0613016656"</f>
        <v>0613016656</v>
      </c>
      <c r="B8396" t="str">
        <f t="shared" ref="B8396:B8403" si="3064">"MANSKY"</f>
        <v>MANSKY</v>
      </c>
      <c r="C8396" t="str">
        <f t="shared" si="3062"/>
        <v>JOACHIM</v>
      </c>
      <c r="D8396">
        <f>12</f>
        <v>12</v>
      </c>
      <c r="E8396" t="str">
        <f>"04 - A - 103 - Cliffon  Saurel"</f>
        <v>04 - A - 103 - Cliffon  Saurel</v>
      </c>
      <c r="F8396" t="str">
        <f>"PHYSICAL SCI"</f>
        <v>PHYSICAL SCI</v>
      </c>
      <c r="G8396" t="str">
        <f>"05-522"</f>
        <v>05-522</v>
      </c>
      <c r="H8396" t="str">
        <f>"A"</f>
        <v>A</v>
      </c>
    </row>
    <row r="8397" spans="1:8" x14ac:dyDescent="0.2">
      <c r="A8397" t="str">
        <f t="shared" si="3063"/>
        <v>0613016656</v>
      </c>
      <c r="B8397" t="str">
        <f t="shared" si="3064"/>
        <v>MANSKY</v>
      </c>
      <c r="C8397" t="str">
        <f t="shared" si="3062"/>
        <v>JOACHIM</v>
      </c>
      <c r="D8397">
        <f>12</f>
        <v>12</v>
      </c>
      <c r="E8397" t="str">
        <f>"06 - B - 110 - Barbara L Segal"</f>
        <v>06 - B - 110 - Barbara L Segal</v>
      </c>
      <c r="F8397" t="str">
        <f>"NC STUDY HALL 1"</f>
        <v>NC STUDY HALL 1</v>
      </c>
      <c r="G8397" t="str">
        <f>"17-1742"</f>
        <v>17-1742</v>
      </c>
      <c r="H8397" t="str">
        <f>"B"</f>
        <v>B</v>
      </c>
    </row>
    <row r="8398" spans="1:8" x14ac:dyDescent="0.2">
      <c r="A8398" t="str">
        <f t="shared" si="3063"/>
        <v>0613016656</v>
      </c>
      <c r="B8398" t="str">
        <f t="shared" si="3064"/>
        <v>MANSKY</v>
      </c>
      <c r="C8398" t="str">
        <f t="shared" si="3062"/>
        <v>JOACHIM</v>
      </c>
      <c r="D8398">
        <f>12</f>
        <v>12</v>
      </c>
      <c r="E8398" t="str">
        <f>"03 - S1 - A - 002 - Barbara L Segal"</f>
        <v>03 - S1 - A - 002 - Barbara L Segal</v>
      </c>
      <c r="F8398" t="str">
        <f>"US GOVT"</f>
        <v>US GOVT</v>
      </c>
      <c r="G8398" t="str">
        <f>"17-1742"</f>
        <v>17-1742</v>
      </c>
      <c r="H8398" t="str">
        <f>"A"</f>
        <v>A</v>
      </c>
    </row>
    <row r="8399" spans="1:8" x14ac:dyDescent="0.2">
      <c r="A8399" t="str">
        <f t="shared" si="3063"/>
        <v>0613016656</v>
      </c>
      <c r="B8399" t="str">
        <f t="shared" si="3064"/>
        <v>MANSKY</v>
      </c>
      <c r="C8399" t="str">
        <f t="shared" si="3062"/>
        <v>JOACHIM</v>
      </c>
      <c r="D8399">
        <f>12</f>
        <v>12</v>
      </c>
      <c r="E8399" t="str">
        <f>"02 - A - 101 - Robert H Rindner"</f>
        <v>02 - A - 101 - Robert H Rindner</v>
      </c>
      <c r="F8399" t="str">
        <f>"MATH DATA&amp;FIN LIT H"</f>
        <v>MATH DATA&amp;FIN LIT H</v>
      </c>
      <c r="G8399" t="str">
        <f>"21-2160"</f>
        <v>21-2160</v>
      </c>
      <c r="H8399" t="str">
        <f>"A"</f>
        <v>A</v>
      </c>
    </row>
    <row r="8400" spans="1:8" x14ac:dyDescent="0.2">
      <c r="A8400" t="str">
        <f t="shared" si="3063"/>
        <v>0613016656</v>
      </c>
      <c r="B8400" t="str">
        <f t="shared" si="3064"/>
        <v>MANSKY</v>
      </c>
      <c r="C8400" t="str">
        <f t="shared" si="3062"/>
        <v>JOACHIM</v>
      </c>
      <c r="D8400">
        <f>12</f>
        <v>12</v>
      </c>
      <c r="E8400" t="str">
        <f>"07 - B - 101 - Jeanne M Bermudez"</f>
        <v>07 - B - 101 - Jeanne M Bermudez</v>
      </c>
      <c r="F8400" t="str">
        <f>"FOUND OF PROGRAM HON"</f>
        <v>FOUND OF PROGRAM HON</v>
      </c>
      <c r="G8400" t="str">
        <f>"21-2141"</f>
        <v>21-2141</v>
      </c>
      <c r="H8400" t="str">
        <f>"B"</f>
        <v>B</v>
      </c>
    </row>
    <row r="8401" spans="1:8" x14ac:dyDescent="0.2">
      <c r="A8401" t="str">
        <f t="shared" si="3063"/>
        <v>0613016656</v>
      </c>
      <c r="B8401" t="str">
        <f t="shared" si="3064"/>
        <v>MANSKY</v>
      </c>
      <c r="C8401" t="str">
        <f t="shared" si="3062"/>
        <v>JOACHIM</v>
      </c>
      <c r="D8401">
        <f>12</f>
        <v>12</v>
      </c>
      <c r="E8401" t="str">
        <f>"05 - B - 103 - Vanessa J Liburd"</f>
        <v>05 - B - 103 - Vanessa J Liburd</v>
      </c>
      <c r="F8401" t="str">
        <f>"PRE-AICE FRENCH 2 IG"</f>
        <v>PRE-AICE FRENCH 2 IG</v>
      </c>
      <c r="G8401" t="str">
        <f>"05-519"</f>
        <v>05-519</v>
      </c>
      <c r="H8401" t="str">
        <f>"B"</f>
        <v>B</v>
      </c>
    </row>
    <row r="8402" spans="1:8" x14ac:dyDescent="0.2">
      <c r="A8402" t="str">
        <f t="shared" si="3063"/>
        <v>0613016656</v>
      </c>
      <c r="B8402" t="str">
        <f t="shared" si="3064"/>
        <v>MANSKY</v>
      </c>
      <c r="C8402" t="str">
        <f t="shared" si="3062"/>
        <v>JOACHIM</v>
      </c>
      <c r="D8402">
        <f>12</f>
        <v>12</v>
      </c>
      <c r="E8402" t="str">
        <f>"01 - A - 103 - Robyn L Trainer"</f>
        <v>01 - A - 103 - Robyn L Trainer</v>
      </c>
      <c r="F8402" t="str">
        <f>"ENG 4"</f>
        <v>ENG 4</v>
      </c>
      <c r="G8402" t="str">
        <f>"17-1734"</f>
        <v>17-1734</v>
      </c>
      <c r="H8402" t="str">
        <f>"A"</f>
        <v>A</v>
      </c>
    </row>
    <row r="8403" spans="1:8" x14ac:dyDescent="0.2">
      <c r="A8403" t="str">
        <f t="shared" si="3063"/>
        <v>0613016656</v>
      </c>
      <c r="B8403" t="str">
        <f t="shared" si="3064"/>
        <v>MANSKY</v>
      </c>
      <c r="C8403" t="str">
        <f t="shared" si="3062"/>
        <v>JOACHIM</v>
      </c>
      <c r="D8403">
        <f>12</f>
        <v>12</v>
      </c>
      <c r="E8403" t="str">
        <f>"08 - B - 101 - Alejandro  Navarro"</f>
        <v>08 - B - 101 - Alejandro  Navarro</v>
      </c>
      <c r="F8403" t="str">
        <f>"GUITAR 1"</f>
        <v>GUITAR 1</v>
      </c>
      <c r="G8403" t="str">
        <f>"05-504"</f>
        <v>05-504</v>
      </c>
      <c r="H8403" t="str">
        <f>"B"</f>
        <v>B</v>
      </c>
    </row>
    <row r="8404" spans="1:8" x14ac:dyDescent="0.2">
      <c r="A8404" t="str">
        <f t="shared" ref="A8404:A8411" si="3065">"0617004985"</f>
        <v>0617004985</v>
      </c>
      <c r="B8404" t="str">
        <f t="shared" ref="B8404:B8411" si="3066">"NIGEL"</f>
        <v>NIGEL</v>
      </c>
      <c r="C8404" t="str">
        <f t="shared" si="3062"/>
        <v>JOACHIM</v>
      </c>
      <c r="D8404" t="str">
        <f t="shared" ref="D8404:D8411" si="3067">"09"</f>
        <v>09</v>
      </c>
      <c r="E8404" t="str">
        <f>"04 - A - 201 - Norayda D Suarez"</f>
        <v>04 - A - 201 - Norayda D Suarez</v>
      </c>
      <c r="F8404" t="str">
        <f>"ANAT PHYSIO HON"</f>
        <v>ANAT PHYSIO HON</v>
      </c>
      <c r="G8404" t="str">
        <f>"21-2142"</f>
        <v>21-2142</v>
      </c>
      <c r="H8404" t="str">
        <f>"A"</f>
        <v>A</v>
      </c>
    </row>
    <row r="8405" spans="1:8" x14ac:dyDescent="0.2">
      <c r="A8405" t="str">
        <f t="shared" si="3065"/>
        <v>0617004985</v>
      </c>
      <c r="B8405" t="str">
        <f t="shared" si="3066"/>
        <v>NIGEL</v>
      </c>
      <c r="C8405" t="str">
        <f t="shared" si="3062"/>
        <v>JOACHIM</v>
      </c>
      <c r="D8405" t="str">
        <f t="shared" si="3067"/>
        <v>09</v>
      </c>
      <c r="E8405" t="str">
        <f>"06 - B - 104 - Rory T Sponsler"</f>
        <v>06 - B - 104 - Rory T Sponsler</v>
      </c>
      <c r="F8405" t="str">
        <f>"PRE-AICE WRLD HST IG"</f>
        <v>PRE-AICE WRLD HST IG</v>
      </c>
      <c r="G8405" t="str">
        <f>"17-1740"</f>
        <v>17-1740</v>
      </c>
      <c r="H8405" t="str">
        <f>"B"</f>
        <v>B</v>
      </c>
    </row>
    <row r="8406" spans="1:8" x14ac:dyDescent="0.2">
      <c r="A8406" t="str">
        <f t="shared" si="3065"/>
        <v>0617004985</v>
      </c>
      <c r="B8406" t="str">
        <f t="shared" si="3066"/>
        <v>NIGEL</v>
      </c>
      <c r="C8406" t="str">
        <f t="shared" si="3062"/>
        <v>JOACHIM</v>
      </c>
      <c r="D8406" t="str">
        <f t="shared" si="3067"/>
        <v>09</v>
      </c>
      <c r="E8406" t="str">
        <f>"03 - A - 103 - Marius D Orsolini"</f>
        <v>03 - A - 103 - Marius D Orsolini</v>
      </c>
      <c r="F8406" t="str">
        <f>"CULINARY ARTS 1"</f>
        <v>CULINARY ARTS 1</v>
      </c>
      <c r="G8406" t="str">
        <f>"21-2115"</f>
        <v>21-2115</v>
      </c>
      <c r="H8406" t="str">
        <f>"A"</f>
        <v>A</v>
      </c>
    </row>
    <row r="8407" spans="1:8" x14ac:dyDescent="0.2">
      <c r="A8407" t="str">
        <f t="shared" si="3065"/>
        <v>0617004985</v>
      </c>
      <c r="B8407" t="str">
        <f t="shared" si="3066"/>
        <v>NIGEL</v>
      </c>
      <c r="C8407" t="str">
        <f t="shared" si="3062"/>
        <v>JOACHIM</v>
      </c>
      <c r="D8407" t="str">
        <f t="shared" si="3067"/>
        <v>09</v>
      </c>
      <c r="E8407" t="str">
        <f>"02 - A - 112 - Cheryl Anne  Berman-Schechter"</f>
        <v>02 - A - 112 - Cheryl Anne  Berman-Schechter</v>
      </c>
      <c r="F8407" t="str">
        <f>"NC STUDY HALL 1"</f>
        <v>NC STUDY HALL 1</v>
      </c>
      <c r="G8407" t="str">
        <f>"17-1722"</f>
        <v>17-1722</v>
      </c>
      <c r="H8407" t="str">
        <f>"A"</f>
        <v>A</v>
      </c>
    </row>
    <row r="8408" spans="1:8" x14ac:dyDescent="0.2">
      <c r="A8408" t="str">
        <f t="shared" si="3065"/>
        <v>0617004985</v>
      </c>
      <c r="B8408" t="str">
        <f t="shared" si="3066"/>
        <v>NIGEL</v>
      </c>
      <c r="C8408" t="str">
        <f t="shared" si="3062"/>
        <v>JOACHIM</v>
      </c>
      <c r="D8408" t="str">
        <f t="shared" si="3067"/>
        <v>09</v>
      </c>
      <c r="E8408" t="str">
        <f>"07 - B - 001 - Cheryl Anne  Berman-Schechter"</f>
        <v>07 - B - 001 - Cheryl Anne  Berman-Schechter</v>
      </c>
      <c r="F8408" t="str">
        <f>"AICE ENG GEN PAPER 1"</f>
        <v>AICE ENG GEN PAPER 1</v>
      </c>
      <c r="G8408" t="str">
        <f>"17-1722"</f>
        <v>17-1722</v>
      </c>
      <c r="H8408" t="str">
        <f>"B"</f>
        <v>B</v>
      </c>
    </row>
    <row r="8409" spans="1:8" x14ac:dyDescent="0.2">
      <c r="A8409" t="str">
        <f t="shared" si="3065"/>
        <v>0617004985</v>
      </c>
      <c r="B8409" t="str">
        <f t="shared" si="3066"/>
        <v>NIGEL</v>
      </c>
      <c r="C8409" t="str">
        <f t="shared" si="3062"/>
        <v>JOACHIM</v>
      </c>
      <c r="D8409" t="str">
        <f t="shared" si="3067"/>
        <v>09</v>
      </c>
      <c r="E8409" t="str">
        <f>"05 - S1 - B - 103 - Leslie J Barton"</f>
        <v>05 - S1 - B - 103 - Leslie J Barton</v>
      </c>
      <c r="F8409" t="str">
        <f>"FIRST AID SAFETY"</f>
        <v>FIRST AID SAFETY</v>
      </c>
      <c r="G8409" t="str">
        <f>"05-521"</f>
        <v>05-521</v>
      </c>
      <c r="H8409" t="str">
        <f>"B"</f>
        <v>B</v>
      </c>
    </row>
    <row r="8410" spans="1:8" x14ac:dyDescent="0.2">
      <c r="A8410" t="str">
        <f t="shared" si="3065"/>
        <v>0617004985</v>
      </c>
      <c r="B8410" t="str">
        <f t="shared" si="3066"/>
        <v>NIGEL</v>
      </c>
      <c r="C8410" t="str">
        <f t="shared" si="3062"/>
        <v>JOACHIM</v>
      </c>
      <c r="D8410" t="str">
        <f t="shared" si="3067"/>
        <v>09</v>
      </c>
      <c r="E8410" t="str">
        <f>"01 - A - 101 - Vanessa J Liburd"</f>
        <v>01 - A - 101 - Vanessa J Liburd</v>
      </c>
      <c r="F8410" t="str">
        <f>"PRE-AICE FRENCH 1 IG"</f>
        <v>PRE-AICE FRENCH 1 IG</v>
      </c>
      <c r="G8410" t="str">
        <f>"05-519"</f>
        <v>05-519</v>
      </c>
      <c r="H8410" t="str">
        <f>"A"</f>
        <v>A</v>
      </c>
    </row>
    <row r="8411" spans="1:8" x14ac:dyDescent="0.2">
      <c r="A8411" t="str">
        <f t="shared" si="3065"/>
        <v>0617004985</v>
      </c>
      <c r="B8411" t="str">
        <f t="shared" si="3066"/>
        <v>NIGEL</v>
      </c>
      <c r="C8411" t="str">
        <f t="shared" si="3062"/>
        <v>JOACHIM</v>
      </c>
      <c r="D8411" t="str">
        <f t="shared" si="3067"/>
        <v>09</v>
      </c>
      <c r="E8411" t="str">
        <f>"08 - B - 102 - Maried P Ramos"</f>
        <v>08 - B - 102 - Maried P Ramos</v>
      </c>
      <c r="F8411" t="str">
        <f>"ALGEBRA 2 HON"</f>
        <v>ALGEBRA 2 HON</v>
      </c>
      <c r="G8411" t="str">
        <f>"21-2159"</f>
        <v>21-2159</v>
      </c>
      <c r="H8411" t="str">
        <f>"B"</f>
        <v>B</v>
      </c>
    </row>
    <row r="8412" spans="1:8" x14ac:dyDescent="0.2">
      <c r="A8412" t="str">
        <f t="shared" ref="A8412:A8419" si="3068">"0612124096"</f>
        <v>0612124096</v>
      </c>
      <c r="B8412" t="str">
        <f t="shared" ref="B8412:B8419" si="3069">"JOSEPH"</f>
        <v>JOSEPH</v>
      </c>
      <c r="C8412" t="str">
        <f t="shared" ref="C8412:C8419" si="3070">"JOACHIN"</f>
        <v>JOACHIN</v>
      </c>
      <c r="D8412">
        <f>12</f>
        <v>12</v>
      </c>
      <c r="E8412" t="str">
        <f>"04 - A - 104 - Dayna M Foster"</f>
        <v>04 - A - 104 - Dayna M Foster</v>
      </c>
      <c r="F8412" t="str">
        <f>"ALGEBRA 2"</f>
        <v>ALGEBRA 2</v>
      </c>
      <c r="G8412" t="str">
        <f>"21-2109"</f>
        <v>21-2109</v>
      </c>
      <c r="H8412" t="str">
        <f>"A"</f>
        <v>A</v>
      </c>
    </row>
    <row r="8413" spans="1:8" x14ac:dyDescent="0.2">
      <c r="A8413" t="str">
        <f t="shared" si="3068"/>
        <v>0612124096</v>
      </c>
      <c r="B8413" t="str">
        <f t="shared" si="3069"/>
        <v>JOSEPH</v>
      </c>
      <c r="C8413" t="str">
        <f t="shared" si="3070"/>
        <v>JOACHIN</v>
      </c>
      <c r="D8413">
        <f>12</f>
        <v>12</v>
      </c>
      <c r="E8413" t="str">
        <f>"06 - B - 107 - Pamela M Corzo"</f>
        <v>06 - B - 107 - Pamela M Corzo</v>
      </c>
      <c r="F8413" t="str">
        <f>"NC STUDY HALL 1"</f>
        <v>NC STUDY HALL 1</v>
      </c>
      <c r="G8413" t="str">
        <f>"21-2133"</f>
        <v>21-2133</v>
      </c>
      <c r="H8413" t="str">
        <f>"B"</f>
        <v>B</v>
      </c>
    </row>
    <row r="8414" spans="1:8" x14ac:dyDescent="0.2">
      <c r="A8414" t="str">
        <f t="shared" si="3068"/>
        <v>0612124096</v>
      </c>
      <c r="B8414" t="str">
        <f t="shared" si="3069"/>
        <v>JOSEPH</v>
      </c>
      <c r="C8414" t="str">
        <f t="shared" si="3070"/>
        <v>JOACHIN</v>
      </c>
      <c r="D8414">
        <f>12</f>
        <v>12</v>
      </c>
      <c r="E8414" t="str">
        <f>"03 - S1 - A - 103 - Richard E Dunbar Iii"</f>
        <v>03 - S1 - A - 103 - Richard E Dunbar Iii</v>
      </c>
      <c r="F8414" t="str">
        <f>"WEIGHT TRAIN 3"</f>
        <v>WEIGHT TRAIN 3</v>
      </c>
      <c r="G8414" t="str">
        <f>"05-501"</f>
        <v>05-501</v>
      </c>
      <c r="H8414" t="str">
        <f>"A"</f>
        <v>A</v>
      </c>
    </row>
    <row r="8415" spans="1:8" x14ac:dyDescent="0.2">
      <c r="A8415" t="str">
        <f t="shared" si="3068"/>
        <v>0612124096</v>
      </c>
      <c r="B8415" t="str">
        <f t="shared" si="3069"/>
        <v>JOSEPH</v>
      </c>
      <c r="C8415" t="str">
        <f t="shared" si="3070"/>
        <v>JOACHIN</v>
      </c>
      <c r="D8415">
        <f>12</f>
        <v>12</v>
      </c>
      <c r="E8415" t="str">
        <f>"02 - A - 201 - Jordana K Hass"</f>
        <v>02 - A - 201 - Jordana K Hass</v>
      </c>
      <c r="F8415" t="str">
        <f>"CHEMISTRY 1"</f>
        <v>CHEMISTRY 1</v>
      </c>
      <c r="G8415" t="str">
        <f>"08-807"</f>
        <v>08-807</v>
      </c>
      <c r="H8415" t="str">
        <f>"A"</f>
        <v>A</v>
      </c>
    </row>
    <row r="8416" spans="1:8" x14ac:dyDescent="0.2">
      <c r="A8416" t="str">
        <f t="shared" si="3068"/>
        <v>0612124096</v>
      </c>
      <c r="B8416" t="str">
        <f t="shared" si="3069"/>
        <v>JOSEPH</v>
      </c>
      <c r="C8416" t="str">
        <f t="shared" si="3070"/>
        <v>JOACHIN</v>
      </c>
      <c r="D8416">
        <f>12</f>
        <v>12</v>
      </c>
      <c r="E8416" t="str">
        <f>"07 - S1 - B - 103 - Robert O Burger"</f>
        <v>07 - S1 - B - 103 - Robert O Burger</v>
      </c>
      <c r="F8416" t="str">
        <f>"US GOVT"</f>
        <v>US GOVT</v>
      </c>
      <c r="G8416" t="str">
        <f>"17-1755"</f>
        <v>17-1755</v>
      </c>
      <c r="H8416" t="str">
        <f>"B"</f>
        <v>B</v>
      </c>
    </row>
    <row r="8417" spans="1:8" x14ac:dyDescent="0.2">
      <c r="A8417" t="str">
        <f t="shared" si="3068"/>
        <v>0612124096</v>
      </c>
      <c r="B8417" t="str">
        <f t="shared" si="3069"/>
        <v>JOSEPH</v>
      </c>
      <c r="C8417" t="str">
        <f t="shared" si="3070"/>
        <v>JOACHIN</v>
      </c>
      <c r="D8417">
        <f>12</f>
        <v>12</v>
      </c>
      <c r="E8417" t="str">
        <f>"05 - B - 103 - Vanessa J Liburd"</f>
        <v>05 - B - 103 - Vanessa J Liburd</v>
      </c>
      <c r="F8417" t="str">
        <f>"PRE-AICE FRENCH 2 IG"</f>
        <v>PRE-AICE FRENCH 2 IG</v>
      </c>
      <c r="G8417" t="str">
        <f>"05-519"</f>
        <v>05-519</v>
      </c>
      <c r="H8417" t="str">
        <f>"B"</f>
        <v>B</v>
      </c>
    </row>
    <row r="8418" spans="1:8" x14ac:dyDescent="0.2">
      <c r="A8418" t="str">
        <f t="shared" si="3068"/>
        <v>0612124096</v>
      </c>
      <c r="B8418" t="str">
        <f t="shared" si="3069"/>
        <v>JOSEPH</v>
      </c>
      <c r="C8418" t="str">
        <f t="shared" si="3070"/>
        <v>JOACHIN</v>
      </c>
      <c r="D8418">
        <f>12</f>
        <v>12</v>
      </c>
      <c r="E8418" t="str">
        <f>"01 - A - 504 - Alejandro  Navarro"</f>
        <v>01 - A - 504 - Alejandro  Navarro</v>
      </c>
      <c r="F8418" t="str">
        <f>"BAND 1"</f>
        <v>BAND 1</v>
      </c>
      <c r="G8418" t="str">
        <f>"05-504"</f>
        <v>05-504</v>
      </c>
      <c r="H8418" t="str">
        <f>"A"</f>
        <v>A</v>
      </c>
    </row>
    <row r="8419" spans="1:8" x14ac:dyDescent="0.2">
      <c r="A8419" t="str">
        <f t="shared" si="3068"/>
        <v>0612124096</v>
      </c>
      <c r="B8419" t="str">
        <f t="shared" si="3069"/>
        <v>JOSEPH</v>
      </c>
      <c r="C8419" t="str">
        <f t="shared" si="3070"/>
        <v>JOACHIN</v>
      </c>
      <c r="D8419">
        <f>12</f>
        <v>12</v>
      </c>
      <c r="E8419" t="str">
        <f>"08 - B - 105 - Jeffrey S Gallagher"</f>
        <v>08 - B - 105 - Jeffrey S Gallagher</v>
      </c>
      <c r="F8419" t="str">
        <f>"ENG HON 4"</f>
        <v>ENG HON 4</v>
      </c>
      <c r="G8419" t="str">
        <f>"17-1724"</f>
        <v>17-1724</v>
      </c>
      <c r="H8419" t="str">
        <f>"B"</f>
        <v>B</v>
      </c>
    </row>
    <row r="8420" spans="1:8" x14ac:dyDescent="0.2">
      <c r="A8420" t="str">
        <f t="shared" ref="A8420:A8427" si="3071">"0618069442"</f>
        <v>0618069442</v>
      </c>
      <c r="B8420" t="str">
        <f t="shared" ref="B8420:B8427" si="3072">"HUDLINE"</f>
        <v>HUDLINE</v>
      </c>
      <c r="C8420" t="str">
        <f t="shared" ref="C8420:C8427" si="3073">"JOANIS"</f>
        <v>JOANIS</v>
      </c>
      <c r="D8420" t="str">
        <f t="shared" ref="D8420:D8435" si="3074">"09"</f>
        <v>09</v>
      </c>
      <c r="E8420" t="str">
        <f>"04 - A - 103 - Joe  Kilpatrick Jr"</f>
        <v>04 - A - 103 - Joe  Kilpatrick Jr</v>
      </c>
      <c r="F8420" t="str">
        <f>"PRE-AICE SPAN 1 IG"</f>
        <v>PRE-AICE SPAN 1 IG</v>
      </c>
      <c r="G8420" t="str">
        <f>"09-912"</f>
        <v>09-912</v>
      </c>
      <c r="H8420" t="str">
        <f>"A"</f>
        <v>A</v>
      </c>
    </row>
    <row r="8421" spans="1:8" x14ac:dyDescent="0.2">
      <c r="A8421" t="str">
        <f t="shared" si="3071"/>
        <v>0618069442</v>
      </c>
      <c r="B8421" t="str">
        <f t="shared" si="3072"/>
        <v>HUDLINE</v>
      </c>
      <c r="C8421" t="str">
        <f t="shared" si="3073"/>
        <v>JOANIS</v>
      </c>
      <c r="D8421" t="str">
        <f t="shared" si="3074"/>
        <v>09</v>
      </c>
      <c r="E8421" t="str">
        <f>"06 - B - 104 - Byron G Montenegro"</f>
        <v>06 - B - 104 - Byron G Montenegro</v>
      </c>
      <c r="F8421" t="str">
        <f>"AICE MARINE SCI 1 AS"</f>
        <v>AICE MARINE SCI 1 AS</v>
      </c>
      <c r="G8421" t="str">
        <f>"21-2144"</f>
        <v>21-2144</v>
      </c>
      <c r="H8421" t="str">
        <f>"B"</f>
        <v>B</v>
      </c>
    </row>
    <row r="8422" spans="1:8" x14ac:dyDescent="0.2">
      <c r="A8422" t="str">
        <f t="shared" si="3071"/>
        <v>0618069442</v>
      </c>
      <c r="B8422" t="str">
        <f t="shared" si="3072"/>
        <v>HUDLINE</v>
      </c>
      <c r="C8422" t="str">
        <f t="shared" si="3073"/>
        <v>JOANIS</v>
      </c>
      <c r="D8422" t="str">
        <f t="shared" si="3074"/>
        <v>09</v>
      </c>
      <c r="E8422" t="str">
        <f>"03 - A - 103 - Kelly N Panza"</f>
        <v>03 - A - 103 - Kelly N Panza</v>
      </c>
      <c r="F8422" t="str">
        <f>"AICE GLBL PERSP 1 AS"</f>
        <v>AICE GLBL PERSP 1 AS</v>
      </c>
      <c r="G8422" t="str">
        <f>"17-1753"</f>
        <v>17-1753</v>
      </c>
      <c r="H8422" t="str">
        <f>"A"</f>
        <v>A</v>
      </c>
    </row>
    <row r="8423" spans="1:8" x14ac:dyDescent="0.2">
      <c r="A8423" t="str">
        <f t="shared" si="3071"/>
        <v>0618069442</v>
      </c>
      <c r="B8423" t="str">
        <f t="shared" si="3072"/>
        <v>HUDLINE</v>
      </c>
      <c r="C8423" t="str">
        <f t="shared" si="3073"/>
        <v>JOANIS</v>
      </c>
      <c r="D8423" t="str">
        <f t="shared" si="3074"/>
        <v>09</v>
      </c>
      <c r="E8423" t="str">
        <f>"02 - A - 105 - Elizabeth R Walker"</f>
        <v>02 - A - 105 - Elizabeth R Walker</v>
      </c>
      <c r="F8423" t="str">
        <f>"NC STUDY HALL 1"</f>
        <v>NC STUDY HALL 1</v>
      </c>
      <c r="G8423" t="str">
        <f>"17-1703"</f>
        <v>17-1703</v>
      </c>
      <c r="H8423" t="str">
        <f>"A"</f>
        <v>A</v>
      </c>
    </row>
    <row r="8424" spans="1:8" x14ac:dyDescent="0.2">
      <c r="A8424" t="str">
        <f t="shared" si="3071"/>
        <v>0618069442</v>
      </c>
      <c r="B8424" t="str">
        <f t="shared" si="3072"/>
        <v>HUDLINE</v>
      </c>
      <c r="C8424" t="str">
        <f t="shared" si="3073"/>
        <v>JOANIS</v>
      </c>
      <c r="D8424" t="str">
        <f t="shared" si="3074"/>
        <v>09</v>
      </c>
      <c r="E8424" t="str">
        <f>"07 - B - 001 - Cheryl Anne  Berman-Schechter"</f>
        <v>07 - B - 001 - Cheryl Anne  Berman-Schechter</v>
      </c>
      <c r="F8424" t="str">
        <f>"AICE ENG GEN PAPER 1"</f>
        <v>AICE ENG GEN PAPER 1</v>
      </c>
      <c r="G8424" t="str">
        <f>"17-1722"</f>
        <v>17-1722</v>
      </c>
      <c r="H8424" t="str">
        <f>"B"</f>
        <v>B</v>
      </c>
    </row>
    <row r="8425" spans="1:8" x14ac:dyDescent="0.2">
      <c r="A8425" t="str">
        <f t="shared" si="3071"/>
        <v>0618069442</v>
      </c>
      <c r="B8425" t="str">
        <f t="shared" si="3072"/>
        <v>HUDLINE</v>
      </c>
      <c r="C8425" t="str">
        <f t="shared" si="3073"/>
        <v>JOANIS</v>
      </c>
      <c r="D8425" t="str">
        <f t="shared" si="3074"/>
        <v>09</v>
      </c>
      <c r="E8425" t="str">
        <f>"05 - B - 201 - Lisa J London"</f>
        <v>05 - B - 201 - Lisa J London</v>
      </c>
      <c r="F8425" t="str">
        <f>"COMPRE LAW HON"</f>
        <v>COMPRE LAW HON</v>
      </c>
      <c r="G8425" t="str">
        <f>"17-1714"</f>
        <v>17-1714</v>
      </c>
      <c r="H8425" t="str">
        <f>"B"</f>
        <v>B</v>
      </c>
    </row>
    <row r="8426" spans="1:8" x14ac:dyDescent="0.2">
      <c r="A8426" t="str">
        <f t="shared" si="3071"/>
        <v>0618069442</v>
      </c>
      <c r="B8426" t="str">
        <f t="shared" si="3072"/>
        <v>HUDLINE</v>
      </c>
      <c r="C8426" t="str">
        <f t="shared" si="3073"/>
        <v>JOANIS</v>
      </c>
      <c r="D8426" t="str">
        <f t="shared" si="3074"/>
        <v>09</v>
      </c>
      <c r="E8426" t="str">
        <f>"01 - A - 101 - James H Mccann"</f>
        <v>01 - A - 101 - James H Mccann</v>
      </c>
      <c r="F8426" t="str">
        <f>"ALGEBRA 2"</f>
        <v>ALGEBRA 2</v>
      </c>
      <c r="G8426" t="str">
        <f>"17-1716"</f>
        <v>17-1716</v>
      </c>
      <c r="H8426" t="str">
        <f>"A"</f>
        <v>A</v>
      </c>
    </row>
    <row r="8427" spans="1:8" x14ac:dyDescent="0.2">
      <c r="A8427" t="str">
        <f t="shared" si="3071"/>
        <v>0618069442</v>
      </c>
      <c r="B8427" t="str">
        <f t="shared" si="3072"/>
        <v>HUDLINE</v>
      </c>
      <c r="C8427" t="str">
        <f t="shared" si="3073"/>
        <v>JOANIS</v>
      </c>
      <c r="D8427" t="str">
        <f t="shared" si="3074"/>
        <v>09</v>
      </c>
      <c r="E8427" t="str">
        <f>"08 - B - 202 - Dorothy D Moore"</f>
        <v>08 - B - 202 - Dorothy D Moore</v>
      </c>
      <c r="F8427" t="str">
        <f>"HEALTH SCI 1/A&amp;P HON"</f>
        <v>HEALTH SCI 1/A&amp;P HON</v>
      </c>
      <c r="G8427" t="str">
        <f>"08-803"</f>
        <v>08-803</v>
      </c>
      <c r="H8427" t="str">
        <f>"B"</f>
        <v>B</v>
      </c>
    </row>
    <row r="8428" spans="1:8" x14ac:dyDescent="0.2">
      <c r="A8428" t="str">
        <f t="shared" ref="A8428:A8435" si="3075">"0617014713"</f>
        <v>0617014713</v>
      </c>
      <c r="B8428" t="str">
        <f t="shared" ref="B8428:B8435" si="3076">"RYAN"</f>
        <v>RYAN</v>
      </c>
      <c r="C8428" t="str">
        <f t="shared" ref="C8428:C8435" si="3077">"JOHN"</f>
        <v>JOHN</v>
      </c>
      <c r="D8428" t="str">
        <f t="shared" si="3074"/>
        <v>09</v>
      </c>
      <c r="E8428" t="str">
        <f>"04 - A - 101 - Jeanne M Bermudez"</f>
        <v>04 - A - 101 - Jeanne M Bermudez</v>
      </c>
      <c r="F8428" t="str">
        <f>"ADVANCED IT HON"</f>
        <v>ADVANCED IT HON</v>
      </c>
      <c r="G8428" t="str">
        <f>"21-2141"</f>
        <v>21-2141</v>
      </c>
      <c r="H8428" t="str">
        <f>"A"</f>
        <v>A</v>
      </c>
    </row>
    <row r="8429" spans="1:8" x14ac:dyDescent="0.2">
      <c r="A8429" t="str">
        <f t="shared" si="3075"/>
        <v>0617014713</v>
      </c>
      <c r="B8429" t="str">
        <f t="shared" si="3076"/>
        <v>RYAN</v>
      </c>
      <c r="C8429" t="str">
        <f t="shared" si="3077"/>
        <v>JOHN</v>
      </c>
      <c r="D8429" t="str">
        <f t="shared" si="3074"/>
        <v>09</v>
      </c>
      <c r="E8429" t="str">
        <f>"06 - B - 104 - Eva T Rimmer"</f>
        <v>06 - B - 104 - Eva T Rimmer</v>
      </c>
      <c r="F8429" t="str">
        <f>"CRIMINAL JUST OPS 1"</f>
        <v>CRIMINAL JUST OPS 1</v>
      </c>
      <c r="G8429" t="str">
        <f>"05-523"</f>
        <v>05-523</v>
      </c>
      <c r="H8429" t="str">
        <f>"B"</f>
        <v>B</v>
      </c>
    </row>
    <row r="8430" spans="1:8" x14ac:dyDescent="0.2">
      <c r="A8430" t="str">
        <f t="shared" si="3075"/>
        <v>0617014713</v>
      </c>
      <c r="B8430" t="str">
        <f t="shared" si="3076"/>
        <v>RYAN</v>
      </c>
      <c r="C8430" t="str">
        <f t="shared" si="3077"/>
        <v>JOHN</v>
      </c>
      <c r="D8430" t="str">
        <f t="shared" si="3074"/>
        <v>09</v>
      </c>
      <c r="E8430" t="str">
        <f>"03 - A - 203 - Elizabeth R Walker"</f>
        <v>03 - A - 203 - Elizabeth R Walker</v>
      </c>
      <c r="F8430" t="str">
        <f>"AICE ENG GEN PAPER 1"</f>
        <v>AICE ENG GEN PAPER 1</v>
      </c>
      <c r="G8430" t="str">
        <f>"17-1703"</f>
        <v>17-1703</v>
      </c>
      <c r="H8430" t="str">
        <f>"A"</f>
        <v>A</v>
      </c>
    </row>
    <row r="8431" spans="1:8" x14ac:dyDescent="0.2">
      <c r="A8431" t="str">
        <f t="shared" si="3075"/>
        <v>0617014713</v>
      </c>
      <c r="B8431" t="str">
        <f t="shared" si="3076"/>
        <v>RYAN</v>
      </c>
      <c r="C8431" t="str">
        <f t="shared" si="3077"/>
        <v>JOHN</v>
      </c>
      <c r="D8431" t="str">
        <f t="shared" si="3074"/>
        <v>09</v>
      </c>
      <c r="E8431" t="str">
        <f>"02 - A - 104 - Lytrell T Dixon"</f>
        <v>02 - A - 104 - Lytrell T Dixon</v>
      </c>
      <c r="F8431" t="str">
        <f>"NC STUDY HALL 1"</f>
        <v>NC STUDY HALL 1</v>
      </c>
      <c r="G8431" t="str">
        <f>"08-808"</f>
        <v>08-808</v>
      </c>
      <c r="H8431" t="str">
        <f>"A"</f>
        <v>A</v>
      </c>
    </row>
    <row r="8432" spans="1:8" x14ac:dyDescent="0.2">
      <c r="A8432" t="str">
        <f t="shared" si="3075"/>
        <v>0617014713</v>
      </c>
      <c r="B8432" t="str">
        <f t="shared" si="3076"/>
        <v>RYAN</v>
      </c>
      <c r="C8432" t="str">
        <f t="shared" si="3077"/>
        <v>JOHN</v>
      </c>
      <c r="D8432" t="str">
        <f t="shared" si="3074"/>
        <v>09</v>
      </c>
      <c r="E8432" t="str">
        <f>"07 - B - 106 - James H Mccann"</f>
        <v>07 - B - 106 - James H Mccann</v>
      </c>
      <c r="F8432" t="str">
        <f>"ALGEBRA 2"</f>
        <v>ALGEBRA 2</v>
      </c>
      <c r="G8432" t="str">
        <f>"17-1716"</f>
        <v>17-1716</v>
      </c>
      <c r="H8432" t="str">
        <f>"B"</f>
        <v>B</v>
      </c>
    </row>
    <row r="8433" spans="1:8" x14ac:dyDescent="0.2">
      <c r="A8433" t="str">
        <f t="shared" si="3075"/>
        <v>0617014713</v>
      </c>
      <c r="B8433" t="str">
        <f t="shared" si="3076"/>
        <v>RYAN</v>
      </c>
      <c r="C8433" t="str">
        <f t="shared" si="3077"/>
        <v>JOHN</v>
      </c>
      <c r="D8433" t="str">
        <f t="shared" si="3074"/>
        <v>09</v>
      </c>
      <c r="E8433" t="str">
        <f>"05 - B - 204 - Cheryl L Beach"</f>
        <v>05 - B - 204 - Cheryl L Beach</v>
      </c>
      <c r="F8433" t="str">
        <f>"AICE ENV MGMNT AS"</f>
        <v>AICE ENV MGMNT AS</v>
      </c>
      <c r="G8433" t="str">
        <f>"08-811"</f>
        <v>08-811</v>
      </c>
      <c r="H8433" t="str">
        <f>"B"</f>
        <v>B</v>
      </c>
    </row>
    <row r="8434" spans="1:8" x14ac:dyDescent="0.2">
      <c r="A8434" t="str">
        <f t="shared" si="3075"/>
        <v>0617014713</v>
      </c>
      <c r="B8434" t="str">
        <f t="shared" si="3076"/>
        <v>RYAN</v>
      </c>
      <c r="C8434" t="str">
        <f t="shared" si="3077"/>
        <v>JOHN</v>
      </c>
      <c r="D8434" t="str">
        <f t="shared" si="3074"/>
        <v>09</v>
      </c>
      <c r="E8434" t="str">
        <f>"01 - A - 108 - Rosa Elaine  Collado-Duff"</f>
        <v>01 - A - 108 - Rosa Elaine  Collado-Duff</v>
      </c>
      <c r="F8434" t="str">
        <f>"PRE-AICE SPAN 2 IG"</f>
        <v>PRE-AICE SPAN 2 IG</v>
      </c>
      <c r="G8434" t="str">
        <f>"09-913"</f>
        <v>09-913</v>
      </c>
      <c r="H8434" t="str">
        <f>"A"</f>
        <v>A</v>
      </c>
    </row>
    <row r="8435" spans="1:8" x14ac:dyDescent="0.2">
      <c r="A8435" t="str">
        <f t="shared" si="3075"/>
        <v>0617014713</v>
      </c>
      <c r="B8435" t="str">
        <f t="shared" si="3076"/>
        <v>RYAN</v>
      </c>
      <c r="C8435" t="str">
        <f t="shared" si="3077"/>
        <v>JOHN</v>
      </c>
      <c r="D8435" t="str">
        <f t="shared" si="3074"/>
        <v>09</v>
      </c>
      <c r="E8435" t="str">
        <f>"08 - B - 109 - Emmily A Sarmiento"</f>
        <v>08 - B - 109 - Emmily A Sarmiento</v>
      </c>
      <c r="F8435" t="str">
        <f>"AICE GLBL PERSP 1 AS"</f>
        <v>AICE GLBL PERSP 1 AS</v>
      </c>
      <c r="G8435" t="str">
        <f>"17-1743"</f>
        <v>17-1743</v>
      </c>
      <c r="H8435" t="str">
        <f>"B"</f>
        <v>B</v>
      </c>
    </row>
    <row r="8436" spans="1:8" x14ac:dyDescent="0.2">
      <c r="A8436" t="str">
        <f t="shared" ref="A8436:A8443" si="3078">"0611128685"</f>
        <v>0611128685</v>
      </c>
      <c r="B8436" t="str">
        <f t="shared" ref="B8436:B8443" si="3079">"ALEX"</f>
        <v>ALEX</v>
      </c>
      <c r="C8436" t="str">
        <f t="shared" ref="C8436:C8467" si="3080">"JOHNSON"</f>
        <v>JOHNSON</v>
      </c>
      <c r="D8436">
        <f>12</f>
        <v>12</v>
      </c>
      <c r="E8436" t="str">
        <f>"04 - A - 106 - Tina M Jaramillo"</f>
        <v>04 - A - 106 - Tina M Jaramillo</v>
      </c>
      <c r="F8436" t="str">
        <f>"AP ENG LIT COMPO"</f>
        <v>AP ENG LIT COMPO</v>
      </c>
      <c r="G8436" t="str">
        <f>"17-1706"</f>
        <v>17-1706</v>
      </c>
      <c r="H8436" t="str">
        <f>"A"</f>
        <v>A</v>
      </c>
    </row>
    <row r="8437" spans="1:8" x14ac:dyDescent="0.2">
      <c r="A8437" t="str">
        <f t="shared" si="3078"/>
        <v>0611128685</v>
      </c>
      <c r="B8437" t="str">
        <f t="shared" si="3079"/>
        <v>ALEX</v>
      </c>
      <c r="C8437" t="str">
        <f t="shared" si="3080"/>
        <v>JOHNSON</v>
      </c>
      <c r="D8437">
        <f>12</f>
        <v>12</v>
      </c>
      <c r="E8437" t="str">
        <f>"06 - B - 108 - Jacquelyn M Neeson"</f>
        <v>06 - B - 108 - Jacquelyn M Neeson</v>
      </c>
      <c r="F8437" t="str">
        <f>"NC STUDY HALL 1"</f>
        <v>NC STUDY HALL 1</v>
      </c>
      <c r="G8437" t="str">
        <f>"17-1715"</f>
        <v>17-1715</v>
      </c>
      <c r="H8437" t="str">
        <f>"B"</f>
        <v>B</v>
      </c>
    </row>
    <row r="8438" spans="1:8" x14ac:dyDescent="0.2">
      <c r="A8438" t="str">
        <f t="shared" si="3078"/>
        <v>0611128685</v>
      </c>
      <c r="B8438" t="str">
        <f t="shared" si="3079"/>
        <v>ALEX</v>
      </c>
      <c r="C8438" t="str">
        <f t="shared" si="3080"/>
        <v>JOHNSON</v>
      </c>
      <c r="D8438">
        <f>12</f>
        <v>12</v>
      </c>
      <c r="E8438" t="str">
        <f>"03 - A - 101 - Chrystina M Marchionne"</f>
        <v>03 - A - 101 - Chrystina M Marchionne</v>
      </c>
      <c r="F8438" t="str">
        <f>"JOURN 4 (YB) LH"</f>
        <v>JOURN 4 (YB) LH</v>
      </c>
      <c r="G8438" t="str">
        <f>"05-520"</f>
        <v>05-520</v>
      </c>
      <c r="H8438" t="str">
        <f>"A"</f>
        <v>A</v>
      </c>
    </row>
    <row r="8439" spans="1:8" x14ac:dyDescent="0.2">
      <c r="A8439" t="str">
        <f t="shared" si="3078"/>
        <v>0611128685</v>
      </c>
      <c r="B8439" t="str">
        <f t="shared" si="3079"/>
        <v>ALEX</v>
      </c>
      <c r="C8439" t="str">
        <f t="shared" si="3080"/>
        <v>JOHNSON</v>
      </c>
      <c r="D8439">
        <f>12</f>
        <v>12</v>
      </c>
      <c r="E8439" t="str">
        <f>"02 - A - 102 - Chrystina M Marchionne"</f>
        <v>02 - A - 102 - Chrystina M Marchionne</v>
      </c>
      <c r="F8439" t="str">
        <f>"AICE MEDIA STUDIES A"</f>
        <v>AICE MEDIA STUDIES A</v>
      </c>
      <c r="G8439" t="str">
        <f>"05-520"</f>
        <v>05-520</v>
      </c>
      <c r="H8439" t="str">
        <f>"A"</f>
        <v>A</v>
      </c>
    </row>
    <row r="8440" spans="1:8" x14ac:dyDescent="0.2">
      <c r="A8440" t="str">
        <f t="shared" si="3078"/>
        <v>0611128685</v>
      </c>
      <c r="B8440" t="str">
        <f t="shared" si="3079"/>
        <v>ALEX</v>
      </c>
      <c r="C8440" t="str">
        <f t="shared" si="3080"/>
        <v>JOHNSON</v>
      </c>
      <c r="D8440">
        <f>12</f>
        <v>12</v>
      </c>
      <c r="E8440" t="str">
        <f>"07 - S1 - B - 101 - Stephen T Ripp"</f>
        <v>07 - S1 - B - 101 - Stephen T Ripp</v>
      </c>
      <c r="F8440" t="str">
        <f>"AP US GOVT/POL"</f>
        <v>AP US GOVT/POL</v>
      </c>
      <c r="G8440" t="str">
        <f>"17-1744"</f>
        <v>17-1744</v>
      </c>
      <c r="H8440" t="str">
        <f>"B"</f>
        <v>B</v>
      </c>
    </row>
    <row r="8441" spans="1:8" x14ac:dyDescent="0.2">
      <c r="A8441" t="str">
        <f t="shared" si="3078"/>
        <v>0611128685</v>
      </c>
      <c r="B8441" t="str">
        <f t="shared" si="3079"/>
        <v>ALEX</v>
      </c>
      <c r="C8441" t="str">
        <f t="shared" si="3080"/>
        <v>JOHNSON</v>
      </c>
      <c r="D8441">
        <f>12</f>
        <v>12</v>
      </c>
      <c r="E8441" t="str">
        <f>"05 - B - 101 - Pamela M Corzo"</f>
        <v>05 - B - 101 - Pamela M Corzo</v>
      </c>
      <c r="F8441" t="str">
        <f>"AP CALCULUS AB"</f>
        <v>AP CALCULUS AB</v>
      </c>
      <c r="G8441" t="str">
        <f>"21-2133"</f>
        <v>21-2133</v>
      </c>
      <c r="H8441" t="str">
        <f>"B"</f>
        <v>B</v>
      </c>
    </row>
    <row r="8442" spans="1:8" x14ac:dyDescent="0.2">
      <c r="A8442" t="str">
        <f t="shared" si="3078"/>
        <v>0611128685</v>
      </c>
      <c r="B8442" t="str">
        <f t="shared" si="3079"/>
        <v>ALEX</v>
      </c>
      <c r="C8442" t="str">
        <f t="shared" si="3080"/>
        <v>JOHNSON</v>
      </c>
      <c r="D8442">
        <f>12</f>
        <v>12</v>
      </c>
      <c r="E8442" t="str">
        <f>"01 - A - 201 - Jeanne M Bermudez"</f>
        <v>01 - A - 201 - Jeanne M Bermudez</v>
      </c>
      <c r="F8442" t="str">
        <f>"PHYSICS 1 HON"</f>
        <v>PHYSICS 1 HON</v>
      </c>
      <c r="G8442" t="str">
        <f>"21-2141"</f>
        <v>21-2141</v>
      </c>
      <c r="H8442" t="str">
        <f>"A"</f>
        <v>A</v>
      </c>
    </row>
    <row r="8443" spans="1:8" x14ac:dyDescent="0.2">
      <c r="A8443" t="str">
        <f t="shared" si="3078"/>
        <v>0611128685</v>
      </c>
      <c r="B8443" t="str">
        <f t="shared" si="3079"/>
        <v>ALEX</v>
      </c>
      <c r="C8443" t="str">
        <f t="shared" si="3080"/>
        <v>JOHNSON</v>
      </c>
      <c r="D8443">
        <f>12</f>
        <v>12</v>
      </c>
      <c r="E8443" t="str">
        <f>"08 - B - 103 - Marielle A Witting"</f>
        <v>08 - B - 103 - Marielle A Witting</v>
      </c>
      <c r="F8443" t="str">
        <f>"AP BIO"</f>
        <v>AP BIO</v>
      </c>
      <c r="G8443" t="str">
        <f>"08-805"</f>
        <v>08-805</v>
      </c>
      <c r="H8443" t="str">
        <f>"B"</f>
        <v>B</v>
      </c>
    </row>
    <row r="8444" spans="1:8" x14ac:dyDescent="0.2">
      <c r="A8444" t="str">
        <f t="shared" ref="A8444:A8452" si="3081">"0616048455"</f>
        <v>0616048455</v>
      </c>
      <c r="B8444" t="str">
        <f t="shared" ref="B8444:B8452" si="3082">"ANEESA"</f>
        <v>ANEESA</v>
      </c>
      <c r="C8444" t="str">
        <f t="shared" si="3080"/>
        <v>JOHNSON</v>
      </c>
      <c r="D8444">
        <f>10</f>
        <v>10</v>
      </c>
      <c r="E8444" t="str">
        <f>"04 - A - 105 - Jacquelyn M Neeson"</f>
        <v>04 - A - 105 - Jacquelyn M Neeson</v>
      </c>
      <c r="F8444" t="str">
        <f>"ENG 2"</f>
        <v>ENG 2</v>
      </c>
      <c r="G8444" t="str">
        <f>"17-1715"</f>
        <v>17-1715</v>
      </c>
      <c r="H8444" t="str">
        <f>"A"</f>
        <v>A</v>
      </c>
    </row>
    <row r="8445" spans="1:8" x14ac:dyDescent="0.2">
      <c r="A8445" t="str">
        <f t="shared" si="3081"/>
        <v>0616048455</v>
      </c>
      <c r="B8445" t="str">
        <f t="shared" si="3082"/>
        <v>ANEESA</v>
      </c>
      <c r="C8445" t="str">
        <f t="shared" si="3080"/>
        <v>JOHNSON</v>
      </c>
      <c r="D8445">
        <f>10</f>
        <v>10</v>
      </c>
      <c r="E8445" t="str">
        <f>"06 - B - 115 - Scott A Dethloff"</f>
        <v>06 - B - 115 - Scott A Dethloff</v>
      </c>
      <c r="F8445" t="str">
        <f>"NC STUDY HALL 1"</f>
        <v>NC STUDY HALL 1</v>
      </c>
      <c r="G8445" t="str">
        <f>"08-812"</f>
        <v>08-812</v>
      </c>
      <c r="H8445" t="str">
        <f>"B"</f>
        <v>B</v>
      </c>
    </row>
    <row r="8446" spans="1:8" x14ac:dyDescent="0.2">
      <c r="A8446" t="str">
        <f t="shared" si="3081"/>
        <v>0616048455</v>
      </c>
      <c r="B8446" t="str">
        <f t="shared" si="3082"/>
        <v>ANEESA</v>
      </c>
      <c r="C8446" t="str">
        <f t="shared" si="3080"/>
        <v>JOHNSON</v>
      </c>
      <c r="D8446">
        <f>10</f>
        <v>10</v>
      </c>
      <c r="E8446" t="str">
        <f>"06 - B - 106 - Eric  Lopapa"</f>
        <v>06 - B - 106 - Eric  Lopapa</v>
      </c>
      <c r="F8446" t="str">
        <f>"LANG THERAPY"</f>
        <v>LANG THERAPY</v>
      </c>
      <c r="G8446" t="str">
        <f>"21-2110"</f>
        <v>21-2110</v>
      </c>
      <c r="H8446" t="str">
        <f>"B"</f>
        <v>B</v>
      </c>
    </row>
    <row r="8447" spans="1:8" x14ac:dyDescent="0.2">
      <c r="A8447" t="str">
        <f t="shared" si="3081"/>
        <v>0616048455</v>
      </c>
      <c r="B8447" t="str">
        <f t="shared" si="3082"/>
        <v>ANEESA</v>
      </c>
      <c r="C8447" t="str">
        <f t="shared" si="3080"/>
        <v>JOHNSON</v>
      </c>
      <c r="D8447">
        <f>10</f>
        <v>10</v>
      </c>
      <c r="E8447" t="str">
        <f>"03 - A - 101 - Eva T Rimmer"</f>
        <v>03 - A - 101 - Eva T Rimmer</v>
      </c>
      <c r="F8447" t="str">
        <f>"CRIMINAL JUST OPS 1"</f>
        <v>CRIMINAL JUST OPS 1</v>
      </c>
      <c r="G8447" t="str">
        <f>"05-523"</f>
        <v>05-523</v>
      </c>
      <c r="H8447" t="str">
        <f>"A"</f>
        <v>A</v>
      </c>
    </row>
    <row r="8448" spans="1:8" x14ac:dyDescent="0.2">
      <c r="A8448" t="str">
        <f t="shared" si="3081"/>
        <v>0616048455</v>
      </c>
      <c r="B8448" t="str">
        <f t="shared" si="3082"/>
        <v>ANEESA</v>
      </c>
      <c r="C8448" t="str">
        <f t="shared" si="3080"/>
        <v>JOHNSON</v>
      </c>
      <c r="D8448">
        <f>10</f>
        <v>10</v>
      </c>
      <c r="E8448" t="str">
        <f>"02 - A - 102 - Taraneh C Abreu"</f>
        <v>02 - A - 102 - Taraneh C Abreu</v>
      </c>
      <c r="F8448" t="str">
        <f>"INTENS READ 2"</f>
        <v>INTENS READ 2</v>
      </c>
      <c r="G8448" t="str">
        <f>"17-1713"</f>
        <v>17-1713</v>
      </c>
      <c r="H8448" t="str">
        <f>"A"</f>
        <v>A</v>
      </c>
    </row>
    <row r="8449" spans="1:8" x14ac:dyDescent="0.2">
      <c r="A8449" t="str">
        <f t="shared" si="3081"/>
        <v>0616048455</v>
      </c>
      <c r="B8449" t="str">
        <f t="shared" si="3082"/>
        <v>ANEESA</v>
      </c>
      <c r="C8449" t="str">
        <f t="shared" si="3080"/>
        <v>JOHNSON</v>
      </c>
      <c r="D8449">
        <f>10</f>
        <v>10</v>
      </c>
      <c r="E8449" t="str">
        <f>"07 - B - 105 - Joe  Kilpatrick Jr"</f>
        <v>07 - B - 105 - Joe  Kilpatrick Jr</v>
      </c>
      <c r="F8449" t="str">
        <f>"PRE-AICE SPAN 1 IG"</f>
        <v>PRE-AICE SPAN 1 IG</v>
      </c>
      <c r="G8449" t="str">
        <f>"09-912"</f>
        <v>09-912</v>
      </c>
      <c r="H8449" t="str">
        <f>"B"</f>
        <v>B</v>
      </c>
    </row>
    <row r="8450" spans="1:8" x14ac:dyDescent="0.2">
      <c r="A8450" t="str">
        <f t="shared" si="3081"/>
        <v>0616048455</v>
      </c>
      <c r="B8450" t="str">
        <f t="shared" si="3082"/>
        <v>ANEESA</v>
      </c>
      <c r="C8450" t="str">
        <f t="shared" si="3080"/>
        <v>JOHNSON</v>
      </c>
      <c r="D8450">
        <f>10</f>
        <v>10</v>
      </c>
      <c r="E8450" t="str">
        <f>"05 - B - 106 - Milca  Exantus"</f>
        <v>05 - B - 106 - Milca  Exantus</v>
      </c>
      <c r="F8450" t="str">
        <f>"MATH COLLEGE LIB ART"</f>
        <v>MATH COLLEGE LIB ART</v>
      </c>
      <c r="G8450" t="str">
        <f>"21-2145"</f>
        <v>21-2145</v>
      </c>
      <c r="H8450" t="str">
        <f>"B"</f>
        <v>B</v>
      </c>
    </row>
    <row r="8451" spans="1:8" x14ac:dyDescent="0.2">
      <c r="A8451" t="str">
        <f t="shared" si="3081"/>
        <v>0616048455</v>
      </c>
      <c r="B8451" t="str">
        <f t="shared" si="3082"/>
        <v>ANEESA</v>
      </c>
      <c r="C8451" t="str">
        <f t="shared" si="3080"/>
        <v>JOHNSON</v>
      </c>
      <c r="D8451">
        <f>10</f>
        <v>10</v>
      </c>
      <c r="E8451" t="str">
        <f>"01 - S1 - A - 101 - Lissa C Frederique"</f>
        <v>01 - S1 - A - 101 - Lissa C Frederique</v>
      </c>
      <c r="F8451" t="str">
        <f>"PERS FIN &amp; MON MGT H"</f>
        <v>PERS FIN &amp; MON MGT H</v>
      </c>
      <c r="G8451" t="str">
        <f>"17-1754"</f>
        <v>17-1754</v>
      </c>
      <c r="H8451" t="str">
        <f>"A"</f>
        <v>A</v>
      </c>
    </row>
    <row r="8452" spans="1:8" x14ac:dyDescent="0.2">
      <c r="A8452" t="str">
        <f t="shared" si="3081"/>
        <v>0616048455</v>
      </c>
      <c r="B8452" t="str">
        <f t="shared" si="3082"/>
        <v>ANEESA</v>
      </c>
      <c r="C8452" t="str">
        <f t="shared" si="3080"/>
        <v>JOHNSON</v>
      </c>
      <c r="D8452">
        <f>10</f>
        <v>10</v>
      </c>
      <c r="E8452" t="str">
        <f>"08 - B - 108 - Paige Lauren  Brochu"</f>
        <v>08 - B - 108 - Paige Lauren  Brochu</v>
      </c>
      <c r="F8452" t="str">
        <f>"BIOLOGY 1"</f>
        <v>BIOLOGY 1</v>
      </c>
      <c r="G8452" t="str">
        <f>"21-2134"</f>
        <v>21-2134</v>
      </c>
      <c r="H8452" t="str">
        <f>"B"</f>
        <v>B</v>
      </c>
    </row>
    <row r="8453" spans="1:8" x14ac:dyDescent="0.2">
      <c r="A8453" t="str">
        <f t="shared" ref="A8453:A8460" si="3083">"0617032811"</f>
        <v>0617032811</v>
      </c>
      <c r="B8453" t="str">
        <f t="shared" ref="B8453:B8460" si="3084">"ANIYA"</f>
        <v>ANIYA</v>
      </c>
      <c r="C8453" t="str">
        <f t="shared" si="3080"/>
        <v>JOHNSON</v>
      </c>
      <c r="D8453" t="str">
        <f t="shared" ref="D8453:D8460" si="3085">"09"</f>
        <v>09</v>
      </c>
      <c r="E8453" t="str">
        <f>"04 - A - 005 - Emmily A Sarmiento"</f>
        <v>04 - A - 005 - Emmily A Sarmiento</v>
      </c>
      <c r="F8453" t="str">
        <f>"AICE GLBL PERSP 1 AS"</f>
        <v>AICE GLBL PERSP 1 AS</v>
      </c>
      <c r="G8453" t="str">
        <f>"17-1743"</f>
        <v>17-1743</v>
      </c>
      <c r="H8453" t="str">
        <f>"A"</f>
        <v>A</v>
      </c>
    </row>
    <row r="8454" spans="1:8" x14ac:dyDescent="0.2">
      <c r="A8454" t="str">
        <f t="shared" si="3083"/>
        <v>0617032811</v>
      </c>
      <c r="B8454" t="str">
        <f t="shared" si="3084"/>
        <v>ANIYA</v>
      </c>
      <c r="C8454" t="str">
        <f t="shared" si="3080"/>
        <v>JOHNSON</v>
      </c>
      <c r="D8454" t="str">
        <f t="shared" si="3085"/>
        <v>09</v>
      </c>
      <c r="E8454" t="str">
        <f>"06 - B - 102 - Angela S Adeshina-Morrison"</f>
        <v>06 - B - 102 - Angela S Adeshina-Morrison</v>
      </c>
      <c r="F8454" t="str">
        <f>"MARKETING ESSENTIALS"</f>
        <v>MARKETING ESSENTIALS</v>
      </c>
      <c r="G8454" t="str">
        <f>"05-518"</f>
        <v>05-518</v>
      </c>
      <c r="H8454" t="str">
        <f>"B"</f>
        <v>B</v>
      </c>
    </row>
    <row r="8455" spans="1:8" x14ac:dyDescent="0.2">
      <c r="A8455" t="str">
        <f t="shared" si="3083"/>
        <v>0617032811</v>
      </c>
      <c r="B8455" t="str">
        <f t="shared" si="3084"/>
        <v>ANIYA</v>
      </c>
      <c r="C8455" t="str">
        <f t="shared" si="3080"/>
        <v>JOHNSON</v>
      </c>
      <c r="D8455" t="str">
        <f t="shared" si="3085"/>
        <v>09</v>
      </c>
      <c r="E8455" t="str">
        <f>"03 - A - 201 - Christa T Parisi"</f>
        <v>03 - A - 201 - Christa T Parisi</v>
      </c>
      <c r="F8455" t="str">
        <f>"DANCE TECHNQS 1"</f>
        <v>DANCE TECHNQS 1</v>
      </c>
      <c r="G8455" t="str">
        <f>"05-503"</f>
        <v>05-503</v>
      </c>
      <c r="H8455" t="str">
        <f>"A"</f>
        <v>A</v>
      </c>
    </row>
    <row r="8456" spans="1:8" x14ac:dyDescent="0.2">
      <c r="A8456" t="str">
        <f t="shared" si="3083"/>
        <v>0617032811</v>
      </c>
      <c r="B8456" t="str">
        <f t="shared" si="3084"/>
        <v>ANIYA</v>
      </c>
      <c r="C8456" t="str">
        <f t="shared" si="3080"/>
        <v>JOHNSON</v>
      </c>
      <c r="D8456" t="str">
        <f t="shared" si="3085"/>
        <v>09</v>
      </c>
      <c r="E8456" t="str">
        <f>"02 - A - 109 - Krystal Marie  Beruty"</f>
        <v>02 - A - 109 - Krystal Marie  Beruty</v>
      </c>
      <c r="F8456" t="str">
        <f>"NC STUDY HALL 1"</f>
        <v>NC STUDY HALL 1</v>
      </c>
      <c r="G8456" t="str">
        <f>"17-1721"</f>
        <v>17-1721</v>
      </c>
      <c r="H8456" t="str">
        <f>"A"</f>
        <v>A</v>
      </c>
    </row>
    <row r="8457" spans="1:8" x14ac:dyDescent="0.2">
      <c r="A8457" t="str">
        <f t="shared" si="3083"/>
        <v>0617032811</v>
      </c>
      <c r="B8457" t="str">
        <f t="shared" si="3084"/>
        <v>ANIYA</v>
      </c>
      <c r="C8457" t="str">
        <f t="shared" si="3080"/>
        <v>JOHNSON</v>
      </c>
      <c r="D8457" t="str">
        <f t="shared" si="3085"/>
        <v>09</v>
      </c>
      <c r="E8457" t="str">
        <f>"07 - B - 003 - Brandy N Zdenek"</f>
        <v>07 - B - 003 - Brandy N Zdenek</v>
      </c>
      <c r="F8457" t="str">
        <f>"AICE ENG GEN PAPER 1"</f>
        <v>AICE ENG GEN PAPER 1</v>
      </c>
      <c r="G8457" t="str">
        <f>"17-1704"</f>
        <v>17-1704</v>
      </c>
      <c r="H8457" t="str">
        <f>"B"</f>
        <v>B</v>
      </c>
    </row>
    <row r="8458" spans="1:8" x14ac:dyDescent="0.2">
      <c r="A8458" t="str">
        <f t="shared" si="3083"/>
        <v>0617032811</v>
      </c>
      <c r="B8458" t="str">
        <f t="shared" si="3084"/>
        <v>ANIYA</v>
      </c>
      <c r="C8458" t="str">
        <f t="shared" si="3080"/>
        <v>JOHNSON</v>
      </c>
      <c r="D8458" t="str">
        <f t="shared" si="3085"/>
        <v>09</v>
      </c>
      <c r="E8458" t="str">
        <f>"05 - B - 204 - Cheryl L Beach"</f>
        <v>05 - B - 204 - Cheryl L Beach</v>
      </c>
      <c r="F8458" t="str">
        <f>"AICE ENV MGMNT AS"</f>
        <v>AICE ENV MGMNT AS</v>
      </c>
      <c r="G8458" t="str">
        <f>"08-811"</f>
        <v>08-811</v>
      </c>
      <c r="H8458" t="str">
        <f>"B"</f>
        <v>B</v>
      </c>
    </row>
    <row r="8459" spans="1:8" x14ac:dyDescent="0.2">
      <c r="A8459" t="str">
        <f t="shared" si="3083"/>
        <v>0617032811</v>
      </c>
      <c r="B8459" t="str">
        <f t="shared" si="3084"/>
        <v>ANIYA</v>
      </c>
      <c r="C8459" t="str">
        <f t="shared" si="3080"/>
        <v>JOHNSON</v>
      </c>
      <c r="D8459" t="str">
        <f t="shared" si="3085"/>
        <v>09</v>
      </c>
      <c r="E8459" t="str">
        <f>"01 - A - 101 - Nikiel  Nesbeth"</f>
        <v>01 - A - 101 - Nikiel  Nesbeth</v>
      </c>
      <c r="F8459" t="str">
        <f>"CONST LAW HON"</f>
        <v>CONST LAW HON</v>
      </c>
      <c r="G8459" t="str">
        <f>"17-1705"</f>
        <v>17-1705</v>
      </c>
      <c r="H8459" t="str">
        <f>"A"</f>
        <v>A</v>
      </c>
    </row>
    <row r="8460" spans="1:8" x14ac:dyDescent="0.2">
      <c r="A8460" t="str">
        <f t="shared" si="3083"/>
        <v>0617032811</v>
      </c>
      <c r="B8460" t="str">
        <f t="shared" si="3084"/>
        <v>ANIYA</v>
      </c>
      <c r="C8460" t="str">
        <f t="shared" si="3080"/>
        <v>JOHNSON</v>
      </c>
      <c r="D8460" t="str">
        <f t="shared" si="3085"/>
        <v>09</v>
      </c>
      <c r="E8460" t="str">
        <f>"08 - B - 105 - Ferrie J Arostique"</f>
        <v>08 - B - 105 - Ferrie J Arostique</v>
      </c>
      <c r="F8460" t="str">
        <f>"PRE-AICE MATH 2 IG"</f>
        <v>PRE-AICE MATH 2 IG</v>
      </c>
      <c r="G8460" t="str">
        <f>"21-2139"</f>
        <v>21-2139</v>
      </c>
      <c r="H8460" t="str">
        <f>"B"</f>
        <v>B</v>
      </c>
    </row>
    <row r="8461" spans="1:8" x14ac:dyDescent="0.2">
      <c r="A8461" t="str">
        <f t="shared" ref="A8461:A8469" si="3086">"0614016432"</f>
        <v>0614016432</v>
      </c>
      <c r="B8461" t="str">
        <f t="shared" ref="B8461:B8469" si="3087">"DEONDRE"</f>
        <v>DEONDRE</v>
      </c>
      <c r="C8461" t="str">
        <f t="shared" si="3080"/>
        <v>JOHNSON</v>
      </c>
      <c r="D8461">
        <f>10</f>
        <v>10</v>
      </c>
      <c r="E8461" t="str">
        <f>"04 - A - 101 - Reggie L Nixon"</f>
        <v>04 - A - 101 - Reggie L Nixon</v>
      </c>
      <c r="F8461" t="str">
        <f>"ACCESS US HISTORY"</f>
        <v>ACCESS US HISTORY</v>
      </c>
      <c r="G8461" t="str">
        <f>"21-2119"</f>
        <v>21-2119</v>
      </c>
      <c r="H8461" t="str">
        <f>"A"</f>
        <v>A</v>
      </c>
    </row>
    <row r="8462" spans="1:8" x14ac:dyDescent="0.2">
      <c r="A8462" t="str">
        <f t="shared" si="3086"/>
        <v>0614016432</v>
      </c>
      <c r="B8462" t="str">
        <f t="shared" si="3087"/>
        <v>DEONDRE</v>
      </c>
      <c r="C8462" t="str">
        <f t="shared" si="3080"/>
        <v>JOHNSON</v>
      </c>
      <c r="D8462">
        <f>10</f>
        <v>10</v>
      </c>
      <c r="E8462" t="str">
        <f>"06 - B - 106 - Adam Marcus  Drucker"</f>
        <v>06 - B - 106 - Adam Marcus  Drucker</v>
      </c>
      <c r="F8462" t="str">
        <f>"HOPE-PE V"</f>
        <v>HOPE-PE V</v>
      </c>
      <c r="G8462" t="str">
        <f>"04-254"</f>
        <v>04-254</v>
      </c>
      <c r="H8462" t="str">
        <f>"B"</f>
        <v>B</v>
      </c>
    </row>
    <row r="8463" spans="1:8" x14ac:dyDescent="0.2">
      <c r="A8463" t="str">
        <f t="shared" si="3086"/>
        <v>0614016432</v>
      </c>
      <c r="B8463" t="str">
        <f t="shared" si="3087"/>
        <v>DEONDRE</v>
      </c>
      <c r="C8463" t="str">
        <f t="shared" si="3080"/>
        <v>JOHNSON</v>
      </c>
      <c r="D8463">
        <f>10</f>
        <v>10</v>
      </c>
      <c r="E8463" t="str">
        <f>"03 - A - 101 - Reggie L Nixon"</f>
        <v>03 - A - 101 - Reggie L Nixon</v>
      </c>
      <c r="F8463" t="str">
        <f>"ACCESS E/S SCIENCE"</f>
        <v>ACCESS E/S SCIENCE</v>
      </c>
      <c r="G8463" t="str">
        <f>"21-2119"</f>
        <v>21-2119</v>
      </c>
      <c r="H8463" t="str">
        <f>"A"</f>
        <v>A</v>
      </c>
    </row>
    <row r="8464" spans="1:8" x14ac:dyDescent="0.2">
      <c r="A8464" t="str">
        <f t="shared" si="3086"/>
        <v>0614016432</v>
      </c>
      <c r="B8464" t="str">
        <f t="shared" si="3087"/>
        <v>DEONDRE</v>
      </c>
      <c r="C8464" t="str">
        <f t="shared" si="3080"/>
        <v>JOHNSON</v>
      </c>
      <c r="D8464">
        <f>10</f>
        <v>10</v>
      </c>
      <c r="E8464" t="str">
        <f>"02 - A - 102 - Brook E Goren"</f>
        <v>02 - A - 102 - Brook E Goren</v>
      </c>
      <c r="F8464" t="str">
        <f>"NC STUDY HALL 1"</f>
        <v>NC STUDY HALL 1</v>
      </c>
      <c r="G8464" t="str">
        <f>"21-2158"</f>
        <v>21-2158</v>
      </c>
      <c r="H8464" t="str">
        <f>"A"</f>
        <v>A</v>
      </c>
    </row>
    <row r="8465" spans="1:8" x14ac:dyDescent="0.2">
      <c r="A8465" t="str">
        <f t="shared" si="3086"/>
        <v>0614016432</v>
      </c>
      <c r="B8465" t="str">
        <f t="shared" si="3087"/>
        <v>DEONDRE</v>
      </c>
      <c r="C8465" t="str">
        <f t="shared" si="3080"/>
        <v>JOHNSON</v>
      </c>
      <c r="D8465">
        <f>10</f>
        <v>10</v>
      </c>
      <c r="E8465" t="str">
        <f>"07 - B - 102 - Reggie L Nixon"</f>
        <v>07 - B - 102 - Reggie L Nixon</v>
      </c>
      <c r="F8465" t="str">
        <f>"ACCESS ENGLISH 2"</f>
        <v>ACCESS ENGLISH 2</v>
      </c>
      <c r="G8465" t="str">
        <f>"21-2119"</f>
        <v>21-2119</v>
      </c>
      <c r="H8465" t="str">
        <f>"B"</f>
        <v>B</v>
      </c>
    </row>
    <row r="8466" spans="1:8" x14ac:dyDescent="0.2">
      <c r="A8466" t="str">
        <f t="shared" si="3086"/>
        <v>0614016432</v>
      </c>
      <c r="B8466" t="str">
        <f t="shared" si="3087"/>
        <v>DEONDRE</v>
      </c>
      <c r="C8466" t="str">
        <f t="shared" si="3080"/>
        <v>JOHNSON</v>
      </c>
      <c r="D8466">
        <f>10</f>
        <v>10</v>
      </c>
      <c r="E8466" t="str">
        <f>"07 - B - 107 - Eric  Lopapa"</f>
        <v>07 - B - 107 - Eric  Lopapa</v>
      </c>
      <c r="F8466" t="str">
        <f>"LANG THERAPY"</f>
        <v>LANG THERAPY</v>
      </c>
      <c r="G8466" t="str">
        <f>"21-2110"</f>
        <v>21-2110</v>
      </c>
      <c r="H8466" t="str">
        <f>"B"</f>
        <v>B</v>
      </c>
    </row>
    <row r="8467" spans="1:8" x14ac:dyDescent="0.2">
      <c r="A8467" t="str">
        <f t="shared" si="3086"/>
        <v>0614016432</v>
      </c>
      <c r="B8467" t="str">
        <f t="shared" si="3087"/>
        <v>DEONDRE</v>
      </c>
      <c r="C8467" t="str">
        <f t="shared" si="3080"/>
        <v>JOHNSON</v>
      </c>
      <c r="D8467">
        <f>10</f>
        <v>10</v>
      </c>
      <c r="E8467" t="str">
        <f>"05 - B - 207 - Marielle A Witting"</f>
        <v>05 - B - 207 - Marielle A Witting</v>
      </c>
      <c r="F8467" t="str">
        <f>"ANAT PHYSIO"</f>
        <v>ANAT PHYSIO</v>
      </c>
      <c r="G8467" t="str">
        <f>"08-805"</f>
        <v>08-805</v>
      </c>
      <c r="H8467" t="str">
        <f>"B"</f>
        <v>B</v>
      </c>
    </row>
    <row r="8468" spans="1:8" x14ac:dyDescent="0.2">
      <c r="A8468" t="str">
        <f t="shared" si="3086"/>
        <v>0614016432</v>
      </c>
      <c r="B8468" t="str">
        <f t="shared" si="3087"/>
        <v>DEONDRE</v>
      </c>
      <c r="C8468" t="str">
        <f t="shared" ref="C8468:C8499" si="3088">"JOHNSON"</f>
        <v>JOHNSON</v>
      </c>
      <c r="D8468">
        <f>10</f>
        <v>10</v>
      </c>
      <c r="E8468" t="str">
        <f>"01 - S1 - A - 101 - Leslie J Barton"</f>
        <v>01 - S1 - A - 101 - Leslie J Barton</v>
      </c>
      <c r="F8468" t="str">
        <f>"FIRST AID SAFETY"</f>
        <v>FIRST AID SAFETY</v>
      </c>
      <c r="G8468" t="str">
        <f>"05-521"</f>
        <v>05-521</v>
      </c>
      <c r="H8468" t="str">
        <f>"A"</f>
        <v>A</v>
      </c>
    </row>
    <row r="8469" spans="1:8" x14ac:dyDescent="0.2">
      <c r="A8469" t="str">
        <f t="shared" si="3086"/>
        <v>0614016432</v>
      </c>
      <c r="B8469" t="str">
        <f t="shared" si="3087"/>
        <v>DEONDRE</v>
      </c>
      <c r="C8469" t="str">
        <f t="shared" si="3088"/>
        <v>JOHNSON</v>
      </c>
      <c r="D8469">
        <f>10</f>
        <v>10</v>
      </c>
      <c r="E8469" t="str">
        <f>"08 - B - 101 - Reggie L Nixon"</f>
        <v>08 - B - 101 - Reggie L Nixon</v>
      </c>
      <c r="F8469" t="str">
        <f>"ACCESS ALGEBRA 1B"</f>
        <v>ACCESS ALGEBRA 1B</v>
      </c>
      <c r="G8469" t="str">
        <f>"21-2119"</f>
        <v>21-2119</v>
      </c>
      <c r="H8469" t="str">
        <f>"B"</f>
        <v>B</v>
      </c>
    </row>
    <row r="8470" spans="1:8" x14ac:dyDescent="0.2">
      <c r="A8470" t="str">
        <f t="shared" ref="A8470:A8477" si="3089">"0617018427"</f>
        <v>0617018427</v>
      </c>
      <c r="B8470" t="str">
        <f t="shared" ref="B8470:B8477" si="3090">"EMMA"</f>
        <v>EMMA</v>
      </c>
      <c r="C8470" t="str">
        <f t="shared" si="3088"/>
        <v>JOHNSON</v>
      </c>
      <c r="D8470" t="str">
        <f t="shared" ref="D8470:D8485" si="3091">"09"</f>
        <v>09</v>
      </c>
      <c r="E8470" t="str">
        <f>"04 - A - 004 - Krystal Marie  Beruty"</f>
        <v>04 - A - 004 - Krystal Marie  Beruty</v>
      </c>
      <c r="F8470" t="str">
        <f>"AICE GLBL PERSP 1 AS"</f>
        <v>AICE GLBL PERSP 1 AS</v>
      </c>
      <c r="G8470" t="str">
        <f>"17-1721"</f>
        <v>17-1721</v>
      </c>
      <c r="H8470" t="str">
        <f>"A"</f>
        <v>A</v>
      </c>
    </row>
    <row r="8471" spans="1:8" x14ac:dyDescent="0.2">
      <c r="A8471" t="str">
        <f t="shared" si="3089"/>
        <v>0617018427</v>
      </c>
      <c r="B8471" t="str">
        <f t="shared" si="3090"/>
        <v>EMMA</v>
      </c>
      <c r="C8471" t="str">
        <f t="shared" si="3088"/>
        <v>JOHNSON</v>
      </c>
      <c r="D8471" t="str">
        <f t="shared" si="3091"/>
        <v>09</v>
      </c>
      <c r="E8471" t="str">
        <f>"06 - B - 106 - Marius D Orsolini"</f>
        <v>06 - B - 106 - Marius D Orsolini</v>
      </c>
      <c r="F8471" t="str">
        <f>"CULINARY ARTS 1"</f>
        <v>CULINARY ARTS 1</v>
      </c>
      <c r="G8471" t="str">
        <f>"21-2115"</f>
        <v>21-2115</v>
      </c>
      <c r="H8471" t="str">
        <f>"B"</f>
        <v>B</v>
      </c>
    </row>
    <row r="8472" spans="1:8" x14ac:dyDescent="0.2">
      <c r="A8472" t="str">
        <f t="shared" si="3089"/>
        <v>0617018427</v>
      </c>
      <c r="B8472" t="str">
        <f t="shared" si="3090"/>
        <v>EMMA</v>
      </c>
      <c r="C8472" t="str">
        <f t="shared" si="3088"/>
        <v>JOHNSON</v>
      </c>
      <c r="D8472" t="str">
        <f t="shared" si="3091"/>
        <v>09</v>
      </c>
      <c r="E8472" t="str">
        <f>"03 - S1 - A - 101 - Daniel S Katz"</f>
        <v>03 - S1 - A - 101 - Daniel S Katz</v>
      </c>
      <c r="F8472" t="str">
        <f>"COURT PROCED"</f>
        <v>COURT PROCED</v>
      </c>
      <c r="G8472" t="str">
        <f>"21-2156"</f>
        <v>21-2156</v>
      </c>
      <c r="H8472" t="str">
        <f>"A"</f>
        <v>A</v>
      </c>
    </row>
    <row r="8473" spans="1:8" x14ac:dyDescent="0.2">
      <c r="A8473" t="str">
        <f t="shared" si="3089"/>
        <v>0617018427</v>
      </c>
      <c r="B8473" t="str">
        <f t="shared" si="3090"/>
        <v>EMMA</v>
      </c>
      <c r="C8473" t="str">
        <f t="shared" si="3088"/>
        <v>JOHNSON</v>
      </c>
      <c r="D8473" t="str">
        <f t="shared" si="3091"/>
        <v>09</v>
      </c>
      <c r="E8473" t="str">
        <f>"02 - A - 101 - Josiah I Lacy"</f>
        <v>02 - A - 101 - Josiah I Lacy</v>
      </c>
      <c r="F8473" t="str">
        <f>"NC STUDY HALL 1"</f>
        <v>NC STUDY HALL 1</v>
      </c>
      <c r="G8473" t="str">
        <f>"08-801"</f>
        <v>08-801</v>
      </c>
      <c r="H8473" t="str">
        <f>"A"</f>
        <v>A</v>
      </c>
    </row>
    <row r="8474" spans="1:8" x14ac:dyDescent="0.2">
      <c r="A8474" t="str">
        <f t="shared" si="3089"/>
        <v>0617018427</v>
      </c>
      <c r="B8474" t="str">
        <f t="shared" si="3090"/>
        <v>EMMA</v>
      </c>
      <c r="C8474" t="str">
        <f t="shared" si="3088"/>
        <v>JOHNSON</v>
      </c>
      <c r="D8474" t="str">
        <f t="shared" si="3091"/>
        <v>09</v>
      </c>
      <c r="E8474" t="str">
        <f>"07 - B - 103 - Vanessa J Liburd"</f>
        <v>07 - B - 103 - Vanessa J Liburd</v>
      </c>
      <c r="F8474" t="str">
        <f>"PRE-AICE FRENCH 1 IG"</f>
        <v>PRE-AICE FRENCH 1 IG</v>
      </c>
      <c r="G8474" t="str">
        <f>"05-519"</f>
        <v>05-519</v>
      </c>
      <c r="H8474" t="str">
        <f>"B"</f>
        <v>B</v>
      </c>
    </row>
    <row r="8475" spans="1:8" x14ac:dyDescent="0.2">
      <c r="A8475" t="str">
        <f t="shared" si="3089"/>
        <v>0617018427</v>
      </c>
      <c r="B8475" t="str">
        <f t="shared" si="3090"/>
        <v>EMMA</v>
      </c>
      <c r="C8475" t="str">
        <f t="shared" si="3088"/>
        <v>JOHNSON</v>
      </c>
      <c r="D8475" t="str">
        <f t="shared" si="3091"/>
        <v>09</v>
      </c>
      <c r="E8475" t="str">
        <f>"05 - B - 106 - Fernando  Vega-Cid"</f>
        <v>05 - B - 106 - Fernando  Vega-Cid</v>
      </c>
      <c r="F8475" t="str">
        <f>"GEOMETRY"</f>
        <v>GEOMETRY</v>
      </c>
      <c r="G8475" t="str">
        <f>"21-2163"</f>
        <v>21-2163</v>
      </c>
      <c r="H8475" t="str">
        <f>"B"</f>
        <v>B</v>
      </c>
    </row>
    <row r="8476" spans="1:8" x14ac:dyDescent="0.2">
      <c r="A8476" t="str">
        <f t="shared" si="3089"/>
        <v>0617018427</v>
      </c>
      <c r="B8476" t="str">
        <f t="shared" si="3090"/>
        <v>EMMA</v>
      </c>
      <c r="C8476" t="str">
        <f t="shared" si="3088"/>
        <v>JOHNSON</v>
      </c>
      <c r="D8476" t="str">
        <f t="shared" si="3091"/>
        <v>09</v>
      </c>
      <c r="E8476" t="str">
        <f>"01 - A - 201 - Cheryl L Beach"</f>
        <v>01 - A - 201 - Cheryl L Beach</v>
      </c>
      <c r="F8476" t="str">
        <f>"AICE ENV MGMNT AS"</f>
        <v>AICE ENV MGMNT AS</v>
      </c>
      <c r="G8476" t="str">
        <f>"08-811"</f>
        <v>08-811</v>
      </c>
      <c r="H8476" t="str">
        <f>"A"</f>
        <v>A</v>
      </c>
    </row>
    <row r="8477" spans="1:8" x14ac:dyDescent="0.2">
      <c r="A8477" t="str">
        <f t="shared" si="3089"/>
        <v>0617018427</v>
      </c>
      <c r="B8477" t="str">
        <f t="shared" si="3090"/>
        <v>EMMA</v>
      </c>
      <c r="C8477" t="str">
        <f t="shared" si="3088"/>
        <v>JOHNSON</v>
      </c>
      <c r="D8477" t="str">
        <f t="shared" si="3091"/>
        <v>09</v>
      </c>
      <c r="E8477" t="str">
        <f>"08 - B - 201 - Elizabeth R Walker"</f>
        <v>08 - B - 201 - Elizabeth R Walker</v>
      </c>
      <c r="F8477" t="str">
        <f>"AICE ENG GEN PAPER 1"</f>
        <v>AICE ENG GEN PAPER 1</v>
      </c>
      <c r="G8477" t="str">
        <f>"17-1703"</f>
        <v>17-1703</v>
      </c>
      <c r="H8477" t="str">
        <f>"B"</f>
        <v>B</v>
      </c>
    </row>
    <row r="8478" spans="1:8" x14ac:dyDescent="0.2">
      <c r="A8478" t="str">
        <f t="shared" ref="A8478:A8485" si="3092">"0617009616"</f>
        <v>0617009616</v>
      </c>
      <c r="B8478" t="str">
        <f t="shared" ref="B8478:B8485" si="3093">"JA'KAYLA"</f>
        <v>JA'KAYLA</v>
      </c>
      <c r="C8478" t="str">
        <f t="shared" si="3088"/>
        <v>JOHNSON</v>
      </c>
      <c r="D8478" t="str">
        <f t="shared" si="3091"/>
        <v>09</v>
      </c>
      <c r="E8478" t="str">
        <f>"04 - A - 103 - Cerine S Stewart"</f>
        <v>04 - A - 103 - Cerine S Stewart</v>
      </c>
      <c r="F8478" t="str">
        <f>"ENG 1"</f>
        <v>ENG 1</v>
      </c>
      <c r="G8478" t="str">
        <f>"17-1720"</f>
        <v>17-1720</v>
      </c>
      <c r="H8478" t="str">
        <f>"A"</f>
        <v>A</v>
      </c>
    </row>
    <row r="8479" spans="1:8" x14ac:dyDescent="0.2">
      <c r="A8479" t="str">
        <f t="shared" si="3092"/>
        <v>0617009616</v>
      </c>
      <c r="B8479" t="str">
        <f t="shared" si="3093"/>
        <v>JA'KAYLA</v>
      </c>
      <c r="C8479" t="str">
        <f t="shared" si="3088"/>
        <v>JOHNSON</v>
      </c>
      <c r="D8479" t="str">
        <f t="shared" si="3091"/>
        <v>09</v>
      </c>
      <c r="E8479" t="str">
        <f>"06 - B - 104 - Laselleda D Shaw"</f>
        <v>06 - B - 104 - Laselleda D Shaw</v>
      </c>
      <c r="F8479" t="str">
        <f>"INTENS READ 1"</f>
        <v>INTENS READ 1</v>
      </c>
      <c r="G8479" t="str">
        <f>"17-1723"</f>
        <v>17-1723</v>
      </c>
      <c r="H8479" t="str">
        <f>"B"</f>
        <v>B</v>
      </c>
    </row>
    <row r="8480" spans="1:8" x14ac:dyDescent="0.2">
      <c r="A8480" t="str">
        <f t="shared" si="3092"/>
        <v>0617009616</v>
      </c>
      <c r="B8480" t="str">
        <f t="shared" si="3093"/>
        <v>JA'KAYLA</v>
      </c>
      <c r="C8480" t="str">
        <f t="shared" si="3088"/>
        <v>JOHNSON</v>
      </c>
      <c r="D8480" t="str">
        <f t="shared" si="3091"/>
        <v>09</v>
      </c>
      <c r="E8480" t="str">
        <f>"03 - A - 109 - Lissa C Frederique"</f>
        <v>03 - A - 109 - Lissa C Frederique</v>
      </c>
      <c r="F8480" t="str">
        <f>"WORLD HISTORY"</f>
        <v>WORLD HISTORY</v>
      </c>
      <c r="G8480" t="str">
        <f>"17-1754"</f>
        <v>17-1754</v>
      </c>
      <c r="H8480" t="str">
        <f>"A"</f>
        <v>A</v>
      </c>
    </row>
    <row r="8481" spans="1:8" x14ac:dyDescent="0.2">
      <c r="A8481" t="str">
        <f t="shared" si="3092"/>
        <v>0617009616</v>
      </c>
      <c r="B8481" t="str">
        <f t="shared" si="3093"/>
        <v>JA'KAYLA</v>
      </c>
      <c r="C8481" t="str">
        <f t="shared" si="3088"/>
        <v>JOHNSON</v>
      </c>
      <c r="D8481" t="str">
        <f t="shared" si="3091"/>
        <v>09</v>
      </c>
      <c r="E8481" t="str">
        <f>"02 - A - 101 - Milca  Exantus"</f>
        <v>02 - A - 101 - Milca  Exantus</v>
      </c>
      <c r="F8481" t="str">
        <f>"NC STUDY HALL 1"</f>
        <v>NC STUDY HALL 1</v>
      </c>
      <c r="G8481" t="str">
        <f>"21-2145"</f>
        <v>21-2145</v>
      </c>
      <c r="H8481" t="str">
        <f>"A"</f>
        <v>A</v>
      </c>
    </row>
    <row r="8482" spans="1:8" x14ac:dyDescent="0.2">
      <c r="A8482" t="str">
        <f t="shared" si="3092"/>
        <v>0617009616</v>
      </c>
      <c r="B8482" t="str">
        <f t="shared" si="3093"/>
        <v>JA'KAYLA</v>
      </c>
      <c r="C8482" t="str">
        <f t="shared" si="3088"/>
        <v>JOHNSON</v>
      </c>
      <c r="D8482" t="str">
        <f t="shared" si="3091"/>
        <v>09</v>
      </c>
      <c r="E8482" t="str">
        <f>"07 - B - 106 - Dayna M Foster"</f>
        <v>07 - B - 106 - Dayna M Foster</v>
      </c>
      <c r="F8482" t="str">
        <f>"FDN SKLS MATH 9-12"</f>
        <v>FDN SKLS MATH 9-12</v>
      </c>
      <c r="G8482" t="str">
        <f>"21-2109"</f>
        <v>21-2109</v>
      </c>
      <c r="H8482" t="str">
        <f>"B"</f>
        <v>B</v>
      </c>
    </row>
    <row r="8483" spans="1:8" x14ac:dyDescent="0.2">
      <c r="A8483" t="str">
        <f t="shared" si="3092"/>
        <v>0617009616</v>
      </c>
      <c r="B8483" t="str">
        <f t="shared" si="3093"/>
        <v>JA'KAYLA</v>
      </c>
      <c r="C8483" t="str">
        <f t="shared" si="3088"/>
        <v>JOHNSON</v>
      </c>
      <c r="D8483" t="str">
        <f t="shared" si="3091"/>
        <v>09</v>
      </c>
      <c r="E8483" t="str">
        <f>"05 - B - 105 - Adam Marcus  Drucker"</f>
        <v>05 - B - 105 - Adam Marcus  Drucker</v>
      </c>
      <c r="F8483" t="str">
        <f>"HOPE-PE V"</f>
        <v>HOPE-PE V</v>
      </c>
      <c r="G8483" t="str">
        <f>"04-254"</f>
        <v>04-254</v>
      </c>
      <c r="H8483" t="str">
        <f>"B"</f>
        <v>B</v>
      </c>
    </row>
    <row r="8484" spans="1:8" x14ac:dyDescent="0.2">
      <c r="A8484" t="str">
        <f t="shared" si="3092"/>
        <v>0617009616</v>
      </c>
      <c r="B8484" t="str">
        <f t="shared" si="3093"/>
        <v>JA'KAYLA</v>
      </c>
      <c r="C8484" t="str">
        <f t="shared" si="3088"/>
        <v>JOHNSON</v>
      </c>
      <c r="D8484" t="str">
        <f t="shared" si="3091"/>
        <v>09</v>
      </c>
      <c r="E8484" t="str">
        <f>"01 - A - 108 - Dayna M Foster"</f>
        <v>01 - A - 108 - Dayna M Foster</v>
      </c>
      <c r="F8484" t="str">
        <f>"ALGEBRA 1"</f>
        <v>ALGEBRA 1</v>
      </c>
      <c r="G8484" t="str">
        <f>"21-2109"</f>
        <v>21-2109</v>
      </c>
      <c r="H8484" t="str">
        <f>"A"</f>
        <v>A</v>
      </c>
    </row>
    <row r="8485" spans="1:8" x14ac:dyDescent="0.2">
      <c r="A8485" t="str">
        <f t="shared" si="3092"/>
        <v>0617009616</v>
      </c>
      <c r="B8485" t="str">
        <f t="shared" si="3093"/>
        <v>JA'KAYLA</v>
      </c>
      <c r="C8485" t="str">
        <f t="shared" si="3088"/>
        <v>JOHNSON</v>
      </c>
      <c r="D8485" t="str">
        <f t="shared" si="3091"/>
        <v>09</v>
      </c>
      <c r="E8485" t="str">
        <f>"08 - B - 105 - Samantha J Headley"</f>
        <v>08 - B - 105 - Samantha J Headley</v>
      </c>
      <c r="F8485" t="str">
        <f>"ENV SCI"</f>
        <v>ENV SCI</v>
      </c>
      <c r="G8485" t="str">
        <f>"08-802"</f>
        <v>08-802</v>
      </c>
      <c r="H8485" t="str">
        <f>"B"</f>
        <v>B</v>
      </c>
    </row>
    <row r="8486" spans="1:8" x14ac:dyDescent="0.2">
      <c r="A8486" t="str">
        <f t="shared" ref="A8486:A8493" si="3094">"0613053604"</f>
        <v>0613053604</v>
      </c>
      <c r="B8486" t="str">
        <f t="shared" ref="B8486:B8493" si="3095">"JA'MARREON"</f>
        <v>JA'MARREON</v>
      </c>
      <c r="C8486" t="str">
        <f t="shared" si="3088"/>
        <v>JOHNSON</v>
      </c>
      <c r="D8486">
        <f>11</f>
        <v>11</v>
      </c>
      <c r="E8486" t="str">
        <f>"04 - A - 103 - Lisa  Quinn"</f>
        <v>04 - A - 103 - Lisa  Quinn</v>
      </c>
      <c r="F8486" t="str">
        <f>"ENG 3"</f>
        <v>ENG 3</v>
      </c>
      <c r="G8486" t="str">
        <f>"17-1725"</f>
        <v>17-1725</v>
      </c>
      <c r="H8486" t="str">
        <f>"A"</f>
        <v>A</v>
      </c>
    </row>
    <row r="8487" spans="1:8" x14ac:dyDescent="0.2">
      <c r="A8487" t="str">
        <f t="shared" si="3094"/>
        <v>0613053604</v>
      </c>
      <c r="B8487" t="str">
        <f t="shared" si="3095"/>
        <v>JA'MARREON</v>
      </c>
      <c r="C8487" t="str">
        <f t="shared" si="3088"/>
        <v>JOHNSON</v>
      </c>
      <c r="D8487">
        <f>11</f>
        <v>11</v>
      </c>
      <c r="E8487" t="str">
        <f>"06 - B - 104 - Nahum  Saint-Preux"</f>
        <v>06 - B - 104 - Nahum  Saint-Preux</v>
      </c>
      <c r="F8487" t="str">
        <f>"INTENS READ 3"</f>
        <v>INTENS READ 3</v>
      </c>
      <c r="G8487" t="str">
        <f>"17-1712"</f>
        <v>17-1712</v>
      </c>
      <c r="H8487" t="str">
        <f>"B"</f>
        <v>B</v>
      </c>
    </row>
    <row r="8488" spans="1:8" x14ac:dyDescent="0.2">
      <c r="A8488" t="str">
        <f t="shared" si="3094"/>
        <v>0613053604</v>
      </c>
      <c r="B8488" t="str">
        <f t="shared" si="3095"/>
        <v>JA'MARREON</v>
      </c>
      <c r="C8488" t="str">
        <f t="shared" si="3088"/>
        <v>JOHNSON</v>
      </c>
      <c r="D8488">
        <f>11</f>
        <v>11</v>
      </c>
      <c r="E8488" t="str">
        <f>"03 - A - 102 - Cliffon  Saurel"</f>
        <v>03 - A - 102 - Cliffon  Saurel</v>
      </c>
      <c r="F8488" t="str">
        <f>"PHYSICAL SCI"</f>
        <v>PHYSICAL SCI</v>
      </c>
      <c r="G8488" t="str">
        <f>"05-522"</f>
        <v>05-522</v>
      </c>
      <c r="H8488" t="str">
        <f>"A"</f>
        <v>A</v>
      </c>
    </row>
    <row r="8489" spans="1:8" x14ac:dyDescent="0.2">
      <c r="A8489" t="str">
        <f t="shared" si="3094"/>
        <v>0613053604</v>
      </c>
      <c r="B8489" t="str">
        <f t="shared" si="3095"/>
        <v>JA'MARREON</v>
      </c>
      <c r="C8489" t="str">
        <f t="shared" si="3088"/>
        <v>JOHNSON</v>
      </c>
      <c r="D8489">
        <f>11</f>
        <v>11</v>
      </c>
      <c r="E8489" t="str">
        <f>"02 - A - 114 - Eva T Rimmer"</f>
        <v>02 - A - 114 - Eva T Rimmer</v>
      </c>
      <c r="F8489" t="str">
        <f>"NC STUDY HALL 1"</f>
        <v>NC STUDY HALL 1</v>
      </c>
      <c r="G8489" t="str">
        <f>"05-523"</f>
        <v>05-523</v>
      </c>
      <c r="H8489" t="str">
        <f>"A"</f>
        <v>A</v>
      </c>
    </row>
    <row r="8490" spans="1:8" x14ac:dyDescent="0.2">
      <c r="A8490" t="str">
        <f t="shared" si="3094"/>
        <v>0613053604</v>
      </c>
      <c r="B8490" t="str">
        <f t="shared" si="3095"/>
        <v>JA'MARREON</v>
      </c>
      <c r="C8490" t="str">
        <f t="shared" si="3088"/>
        <v>JOHNSON</v>
      </c>
      <c r="D8490">
        <f>11</f>
        <v>11</v>
      </c>
      <c r="E8490" t="str">
        <f>"07 - S1 - B - 107 - Richard E Dunbar Iii"</f>
        <v>07 - S1 - B - 107 - Richard E Dunbar Iii</v>
      </c>
      <c r="F8490" t="str">
        <f>"WEIGHT TRAIN 1"</f>
        <v>WEIGHT TRAIN 1</v>
      </c>
      <c r="G8490" t="str">
        <f>"05-501"</f>
        <v>05-501</v>
      </c>
      <c r="H8490" t="str">
        <f>"B"</f>
        <v>B</v>
      </c>
    </row>
    <row r="8491" spans="1:8" x14ac:dyDescent="0.2">
      <c r="A8491" t="str">
        <f t="shared" si="3094"/>
        <v>0613053604</v>
      </c>
      <c r="B8491" t="str">
        <f t="shared" si="3095"/>
        <v>JA'MARREON</v>
      </c>
      <c r="C8491" t="str">
        <f t="shared" si="3088"/>
        <v>JOHNSON</v>
      </c>
      <c r="D8491">
        <f>11</f>
        <v>11</v>
      </c>
      <c r="E8491" t="str">
        <f>"05 - B - 107 - Elizabeth Ellen  Moran"</f>
        <v>05 - B - 107 - Elizabeth Ellen  Moran</v>
      </c>
      <c r="F8491" t="str">
        <f>"US HISTORY"</f>
        <v>US HISTORY</v>
      </c>
      <c r="G8491" t="str">
        <f>"17-1752"</f>
        <v>17-1752</v>
      </c>
      <c r="H8491" t="str">
        <f>"B"</f>
        <v>B</v>
      </c>
    </row>
    <row r="8492" spans="1:8" x14ac:dyDescent="0.2">
      <c r="A8492" t="str">
        <f t="shared" si="3094"/>
        <v>0613053604</v>
      </c>
      <c r="B8492" t="str">
        <f t="shared" si="3095"/>
        <v>JA'MARREON</v>
      </c>
      <c r="C8492" t="str">
        <f t="shared" si="3088"/>
        <v>JOHNSON</v>
      </c>
      <c r="D8492">
        <f>11</f>
        <v>11</v>
      </c>
      <c r="E8492" t="str">
        <f>"01 - A - 102 - Fernando  Vega-Cid"</f>
        <v>01 - A - 102 - Fernando  Vega-Cid</v>
      </c>
      <c r="F8492" t="str">
        <f>"GEOMETRY"</f>
        <v>GEOMETRY</v>
      </c>
      <c r="G8492" t="str">
        <f>"21-2163"</f>
        <v>21-2163</v>
      </c>
      <c r="H8492" t="str">
        <f>"A"</f>
        <v>A</v>
      </c>
    </row>
    <row r="8493" spans="1:8" x14ac:dyDescent="0.2">
      <c r="A8493" t="str">
        <f t="shared" si="3094"/>
        <v>0613053604</v>
      </c>
      <c r="B8493" t="str">
        <f t="shared" si="3095"/>
        <v>JA'MARREON</v>
      </c>
      <c r="C8493" t="str">
        <f t="shared" si="3088"/>
        <v>JOHNSON</v>
      </c>
      <c r="D8493">
        <f>11</f>
        <v>11</v>
      </c>
      <c r="E8493" t="str">
        <f>"08 - B - 102 - Robert H Rindner"</f>
        <v>08 - B - 102 - Robert H Rindner</v>
      </c>
      <c r="F8493" t="str">
        <f>"TV PRODUCTION TECH 1"</f>
        <v>TV PRODUCTION TECH 1</v>
      </c>
      <c r="G8493" t="str">
        <f>"21-2160"</f>
        <v>21-2160</v>
      </c>
      <c r="H8493" t="str">
        <f>"B"</f>
        <v>B</v>
      </c>
    </row>
    <row r="8494" spans="1:8" x14ac:dyDescent="0.2">
      <c r="A8494" t="str">
        <f t="shared" ref="A8494:A8501" si="3096">"0614105647"</f>
        <v>0614105647</v>
      </c>
      <c r="B8494" t="str">
        <f t="shared" ref="B8494:B8501" si="3097">"JAMIR"</f>
        <v>JAMIR</v>
      </c>
      <c r="C8494" t="str">
        <f t="shared" si="3088"/>
        <v>JOHNSON</v>
      </c>
      <c r="D8494">
        <f>11</f>
        <v>11</v>
      </c>
      <c r="E8494" t="str">
        <f>"04 - A - 102 - Fernando  Vega-Cid"</f>
        <v>04 - A - 102 - Fernando  Vega-Cid</v>
      </c>
      <c r="F8494" t="str">
        <f>"PRE-CALCULUS HON"</f>
        <v>PRE-CALCULUS HON</v>
      </c>
      <c r="G8494" t="str">
        <f>"21-2163"</f>
        <v>21-2163</v>
      </c>
      <c r="H8494" t="str">
        <f>"A"</f>
        <v>A</v>
      </c>
    </row>
    <row r="8495" spans="1:8" x14ac:dyDescent="0.2">
      <c r="A8495" t="str">
        <f t="shared" si="3096"/>
        <v>0614105647</v>
      </c>
      <c r="B8495" t="str">
        <f t="shared" si="3097"/>
        <v>JAMIR</v>
      </c>
      <c r="C8495" t="str">
        <f t="shared" si="3088"/>
        <v>JOHNSON</v>
      </c>
      <c r="D8495">
        <f>11</f>
        <v>11</v>
      </c>
      <c r="E8495" t="str">
        <f>"06 - B - 202 - Samantha L Martinez"</f>
        <v>06 - B - 202 - Samantha L Martinez</v>
      </c>
      <c r="F8495" t="str">
        <f>"GUITAR 1"</f>
        <v>GUITAR 1</v>
      </c>
      <c r="G8495" t="str">
        <f>"05-505"</f>
        <v>05-505</v>
      </c>
      <c r="H8495" t="str">
        <f>"B"</f>
        <v>B</v>
      </c>
    </row>
    <row r="8496" spans="1:8" x14ac:dyDescent="0.2">
      <c r="A8496" t="str">
        <f t="shared" si="3096"/>
        <v>0614105647</v>
      </c>
      <c r="B8496" t="str">
        <f t="shared" si="3097"/>
        <v>JAMIR</v>
      </c>
      <c r="C8496" t="str">
        <f t="shared" si="3088"/>
        <v>JOHNSON</v>
      </c>
      <c r="D8496">
        <f>11</f>
        <v>11</v>
      </c>
      <c r="E8496" t="str">
        <f>"03 - A - 101 - Scott A Dethloff"</f>
        <v>03 - A - 101 - Scott A Dethloff</v>
      </c>
      <c r="F8496" t="str">
        <f>"CHEMISTRY 1 HON"</f>
        <v>CHEMISTRY 1 HON</v>
      </c>
      <c r="G8496" t="str">
        <f>"08-812"</f>
        <v>08-812</v>
      </c>
      <c r="H8496" t="str">
        <f>"A"</f>
        <v>A</v>
      </c>
    </row>
    <row r="8497" spans="1:8" x14ac:dyDescent="0.2">
      <c r="A8497" t="str">
        <f t="shared" si="3096"/>
        <v>0614105647</v>
      </c>
      <c r="B8497" t="str">
        <f t="shared" si="3097"/>
        <v>JAMIR</v>
      </c>
      <c r="C8497" t="str">
        <f t="shared" si="3088"/>
        <v>JOHNSON</v>
      </c>
      <c r="D8497">
        <f>11</f>
        <v>11</v>
      </c>
      <c r="E8497" t="str">
        <f>"02 - A - 001 - Courtney E Hambright"</f>
        <v>02 - A - 001 - Courtney E Hambright</v>
      </c>
      <c r="F8497" t="str">
        <f>"NC STUDY HALL 1"</f>
        <v>NC STUDY HALL 1</v>
      </c>
      <c r="G8497" t="str">
        <f>"17-1711"</f>
        <v>17-1711</v>
      </c>
      <c r="H8497" t="str">
        <f>"A"</f>
        <v>A</v>
      </c>
    </row>
    <row r="8498" spans="1:8" x14ac:dyDescent="0.2">
      <c r="A8498" t="str">
        <f t="shared" si="3096"/>
        <v>0614105647</v>
      </c>
      <c r="B8498" t="str">
        <f t="shared" si="3097"/>
        <v>JAMIR</v>
      </c>
      <c r="C8498" t="str">
        <f t="shared" si="3088"/>
        <v>JOHNSON</v>
      </c>
      <c r="D8498">
        <f>11</f>
        <v>11</v>
      </c>
      <c r="E8498" t="str">
        <f>"07 - B - 102 - Timothy J Lawrence"</f>
        <v>07 - B - 102 - Timothy J Lawrence</v>
      </c>
      <c r="F8498" t="str">
        <f>"AICE PHYS ED 1 AS"</f>
        <v>AICE PHYS ED 1 AS</v>
      </c>
      <c r="G8498" t="str">
        <f>"05-523"</f>
        <v>05-523</v>
      </c>
      <c r="H8498" t="str">
        <f>"B"</f>
        <v>B</v>
      </c>
    </row>
    <row r="8499" spans="1:8" x14ac:dyDescent="0.2">
      <c r="A8499" t="str">
        <f t="shared" si="3096"/>
        <v>0614105647</v>
      </c>
      <c r="B8499" t="str">
        <f t="shared" si="3097"/>
        <v>JAMIR</v>
      </c>
      <c r="C8499" t="str">
        <f t="shared" si="3088"/>
        <v>JOHNSON</v>
      </c>
      <c r="D8499">
        <f>11</f>
        <v>11</v>
      </c>
      <c r="E8499" t="str">
        <f>"05 - B - 103 - Brandy N Zdenek"</f>
        <v>05 - B - 103 - Brandy N Zdenek</v>
      </c>
      <c r="F8499" t="str">
        <f>"AICE ENG LANG 2 AL"</f>
        <v>AICE ENG LANG 2 AL</v>
      </c>
      <c r="G8499" t="str">
        <f>"17-1704"</f>
        <v>17-1704</v>
      </c>
      <c r="H8499" t="str">
        <f>"B"</f>
        <v>B</v>
      </c>
    </row>
    <row r="8500" spans="1:8" x14ac:dyDescent="0.2">
      <c r="A8500" t="str">
        <f t="shared" si="3096"/>
        <v>0614105647</v>
      </c>
      <c r="B8500" t="str">
        <f t="shared" si="3097"/>
        <v>JAMIR</v>
      </c>
      <c r="C8500" t="str">
        <f t="shared" ref="C8500:C8531" si="3098">"JOHNSON"</f>
        <v>JOHNSON</v>
      </c>
      <c r="D8500">
        <f>11</f>
        <v>11</v>
      </c>
      <c r="E8500" t="str">
        <f>"01 - A - 001 - Stephen T Ripp"</f>
        <v>01 - A - 001 - Stephen T Ripp</v>
      </c>
      <c r="F8500" t="str">
        <f>"AP U.S. HIST"</f>
        <v>AP U.S. HIST</v>
      </c>
      <c r="G8500" t="str">
        <f>"17-1744"</f>
        <v>17-1744</v>
      </c>
      <c r="H8500" t="str">
        <f>"A"</f>
        <v>A</v>
      </c>
    </row>
    <row r="8501" spans="1:8" x14ac:dyDescent="0.2">
      <c r="A8501" t="str">
        <f t="shared" si="3096"/>
        <v>0614105647</v>
      </c>
      <c r="B8501" t="str">
        <f t="shared" si="3097"/>
        <v>JAMIR</v>
      </c>
      <c r="C8501" t="str">
        <f t="shared" si="3098"/>
        <v>JOHNSON</v>
      </c>
      <c r="D8501">
        <f>11</f>
        <v>11</v>
      </c>
      <c r="E8501" t="str">
        <f>"08 - B - 103 - Marielle A Witting"</f>
        <v>08 - B - 103 - Marielle A Witting</v>
      </c>
      <c r="F8501" t="str">
        <f>"AP BIO"</f>
        <v>AP BIO</v>
      </c>
      <c r="G8501" t="str">
        <f>"08-805"</f>
        <v>08-805</v>
      </c>
      <c r="H8501" t="str">
        <f>"B"</f>
        <v>B</v>
      </c>
    </row>
    <row r="8502" spans="1:8" x14ac:dyDescent="0.2">
      <c r="A8502" t="str">
        <f t="shared" ref="A8502:A8509" si="3099">"0615073193"</f>
        <v>0615073193</v>
      </c>
      <c r="B8502" t="str">
        <f t="shared" ref="B8502:B8509" si="3100">"JENIYAH"</f>
        <v>JENIYAH</v>
      </c>
      <c r="C8502" t="str">
        <f t="shared" si="3098"/>
        <v>JOHNSON</v>
      </c>
      <c r="D8502">
        <f>10</f>
        <v>10</v>
      </c>
      <c r="E8502" t="str">
        <f>"04 - A - 105 - Jacquelyn M Neeson"</f>
        <v>04 - A - 105 - Jacquelyn M Neeson</v>
      </c>
      <c r="F8502" t="str">
        <f>"ENG 2"</f>
        <v>ENG 2</v>
      </c>
      <c r="G8502" t="str">
        <f>"17-1715"</f>
        <v>17-1715</v>
      </c>
      <c r="H8502" t="str">
        <f>"A"</f>
        <v>A</v>
      </c>
    </row>
    <row r="8503" spans="1:8" x14ac:dyDescent="0.2">
      <c r="A8503" t="str">
        <f t="shared" si="3099"/>
        <v>0615073193</v>
      </c>
      <c r="B8503" t="str">
        <f t="shared" si="3100"/>
        <v>JENIYAH</v>
      </c>
      <c r="C8503" t="str">
        <f t="shared" si="3098"/>
        <v>JOHNSON</v>
      </c>
      <c r="D8503">
        <f>10</f>
        <v>10</v>
      </c>
      <c r="E8503" t="str">
        <f>"06 - B - 003 - Emmily A Sarmiento"</f>
        <v>06 - B - 003 - Emmily A Sarmiento</v>
      </c>
      <c r="F8503" t="str">
        <f>"NC STUDY HALL 1"</f>
        <v>NC STUDY HALL 1</v>
      </c>
      <c r="G8503" t="str">
        <f>"17-1743"</f>
        <v>17-1743</v>
      </c>
      <c r="H8503" t="str">
        <f>"B"</f>
        <v>B</v>
      </c>
    </row>
    <row r="8504" spans="1:8" x14ac:dyDescent="0.2">
      <c r="A8504" t="str">
        <f t="shared" si="3099"/>
        <v>0615073193</v>
      </c>
      <c r="B8504" t="str">
        <f t="shared" si="3100"/>
        <v>JENIYAH</v>
      </c>
      <c r="C8504" t="str">
        <f t="shared" si="3098"/>
        <v>JOHNSON</v>
      </c>
      <c r="D8504">
        <f>10</f>
        <v>10</v>
      </c>
      <c r="E8504" t="str">
        <f>"03 - A - 103 - Taraneh C Abreu"</f>
        <v>03 - A - 103 - Taraneh C Abreu</v>
      </c>
      <c r="F8504" t="str">
        <f>"INTENS READ 2"</f>
        <v>INTENS READ 2</v>
      </c>
      <c r="G8504" t="str">
        <f>"17-1713"</f>
        <v>17-1713</v>
      </c>
      <c r="H8504" t="str">
        <f>"A"</f>
        <v>A</v>
      </c>
    </row>
    <row r="8505" spans="1:8" x14ac:dyDescent="0.2">
      <c r="A8505" t="str">
        <f t="shared" si="3099"/>
        <v>0615073193</v>
      </c>
      <c r="B8505" t="str">
        <f t="shared" si="3100"/>
        <v>JENIYAH</v>
      </c>
      <c r="C8505" t="str">
        <f t="shared" si="3098"/>
        <v>JOHNSON</v>
      </c>
      <c r="D8505">
        <f>10</f>
        <v>10</v>
      </c>
      <c r="E8505" t="str">
        <f>"02 - A - 102 - Adam Marcus  Drucker"</f>
        <v>02 - A - 102 - Adam Marcus  Drucker</v>
      </c>
      <c r="F8505" t="str">
        <f>"HOPE-PE V"</f>
        <v>HOPE-PE V</v>
      </c>
      <c r="G8505" t="str">
        <f>"04-254"</f>
        <v>04-254</v>
      </c>
      <c r="H8505" t="str">
        <f>"A"</f>
        <v>A</v>
      </c>
    </row>
    <row r="8506" spans="1:8" x14ac:dyDescent="0.2">
      <c r="A8506" t="str">
        <f t="shared" si="3099"/>
        <v>0615073193</v>
      </c>
      <c r="B8506" t="str">
        <f t="shared" si="3100"/>
        <v>JENIYAH</v>
      </c>
      <c r="C8506" t="str">
        <f t="shared" si="3098"/>
        <v>JOHNSON</v>
      </c>
      <c r="D8506">
        <f>10</f>
        <v>10</v>
      </c>
      <c r="E8506" t="str">
        <f>"07 - B - 107 - Marius D Orsolini"</f>
        <v>07 - B - 107 - Marius D Orsolini</v>
      </c>
      <c r="F8506" t="str">
        <f>"CULINARY ARTS 1"</f>
        <v>CULINARY ARTS 1</v>
      </c>
      <c r="G8506" t="str">
        <f>"21-2115"</f>
        <v>21-2115</v>
      </c>
      <c r="H8506" t="str">
        <f>"B"</f>
        <v>B</v>
      </c>
    </row>
    <row r="8507" spans="1:8" x14ac:dyDescent="0.2">
      <c r="A8507" t="str">
        <f t="shared" si="3099"/>
        <v>0615073193</v>
      </c>
      <c r="B8507" t="str">
        <f t="shared" si="3100"/>
        <v>JENIYAH</v>
      </c>
      <c r="C8507" t="str">
        <f t="shared" si="3098"/>
        <v>JOHNSON</v>
      </c>
      <c r="D8507">
        <f>10</f>
        <v>10</v>
      </c>
      <c r="E8507" t="str">
        <f>"05 - B - 106 - Milca  Exantus"</f>
        <v>05 - B - 106 - Milca  Exantus</v>
      </c>
      <c r="F8507" t="str">
        <f>"MATH COLLEGE LIB ART"</f>
        <v>MATH COLLEGE LIB ART</v>
      </c>
      <c r="G8507" t="str">
        <f>"21-2145"</f>
        <v>21-2145</v>
      </c>
      <c r="H8507" t="str">
        <f>"B"</f>
        <v>B</v>
      </c>
    </row>
    <row r="8508" spans="1:8" x14ac:dyDescent="0.2">
      <c r="A8508" t="str">
        <f t="shared" si="3099"/>
        <v>0615073193</v>
      </c>
      <c r="B8508" t="str">
        <f t="shared" si="3100"/>
        <v>JENIYAH</v>
      </c>
      <c r="C8508" t="str">
        <f t="shared" si="3098"/>
        <v>JOHNSON</v>
      </c>
      <c r="D8508">
        <f>10</f>
        <v>10</v>
      </c>
      <c r="E8508" t="str">
        <f>"01 - S1 - A - 101 - Lissa C Frederique"</f>
        <v>01 - S1 - A - 101 - Lissa C Frederique</v>
      </c>
      <c r="F8508" t="str">
        <f>"PERS FIN &amp; MON MGT H"</f>
        <v>PERS FIN &amp; MON MGT H</v>
      </c>
      <c r="G8508" t="str">
        <f>"17-1754"</f>
        <v>17-1754</v>
      </c>
      <c r="H8508" t="str">
        <f>"A"</f>
        <v>A</v>
      </c>
    </row>
    <row r="8509" spans="1:8" x14ac:dyDescent="0.2">
      <c r="A8509" t="str">
        <f t="shared" si="3099"/>
        <v>0615073193</v>
      </c>
      <c r="B8509" t="str">
        <f t="shared" si="3100"/>
        <v>JENIYAH</v>
      </c>
      <c r="C8509" t="str">
        <f t="shared" si="3098"/>
        <v>JOHNSON</v>
      </c>
      <c r="D8509">
        <f>10</f>
        <v>10</v>
      </c>
      <c r="E8509" t="str">
        <f>"08 - B - 108 - Paige Lauren  Brochu"</f>
        <v>08 - B - 108 - Paige Lauren  Brochu</v>
      </c>
      <c r="F8509" t="str">
        <f>"BIOLOGY 1"</f>
        <v>BIOLOGY 1</v>
      </c>
      <c r="G8509" t="str">
        <f>"21-2134"</f>
        <v>21-2134</v>
      </c>
      <c r="H8509" t="str">
        <f>"B"</f>
        <v>B</v>
      </c>
    </row>
    <row r="8510" spans="1:8" x14ac:dyDescent="0.2">
      <c r="A8510" t="str">
        <f t="shared" ref="A8510:A8517" si="3101">"0615114428"</f>
        <v>0615114428</v>
      </c>
      <c r="B8510" t="str">
        <f t="shared" ref="B8510:B8517" si="3102">"MALIKA"</f>
        <v>MALIKA</v>
      </c>
      <c r="C8510" t="str">
        <f t="shared" si="3098"/>
        <v>JOHNSON</v>
      </c>
      <c r="D8510">
        <f>10</f>
        <v>10</v>
      </c>
      <c r="E8510" t="str">
        <f>"04 - A - 108 - Maried P Ramos"</f>
        <v>04 - A - 108 - Maried P Ramos</v>
      </c>
      <c r="F8510" t="str">
        <f>"GEOMETRY"</f>
        <v>GEOMETRY</v>
      </c>
      <c r="G8510" t="str">
        <f>"21-2159"</f>
        <v>21-2159</v>
      </c>
      <c r="H8510" t="str">
        <f>"A"</f>
        <v>A</v>
      </c>
    </row>
    <row r="8511" spans="1:8" x14ac:dyDescent="0.2">
      <c r="A8511" t="str">
        <f t="shared" si="3101"/>
        <v>0615114428</v>
      </c>
      <c r="B8511" t="str">
        <f t="shared" si="3102"/>
        <v>MALIKA</v>
      </c>
      <c r="C8511" t="str">
        <f t="shared" si="3098"/>
        <v>JOHNSON</v>
      </c>
      <c r="D8511">
        <f>10</f>
        <v>10</v>
      </c>
      <c r="E8511" t="str">
        <f>"06 - B - 001 - Ferrie J Arostique"</f>
        <v>06 - B - 001 - Ferrie J Arostique</v>
      </c>
      <c r="F8511" t="str">
        <f>"NC STUDY HALL 1"</f>
        <v>NC STUDY HALL 1</v>
      </c>
      <c r="G8511" t="str">
        <f>"21-2139"</f>
        <v>21-2139</v>
      </c>
      <c r="H8511" t="str">
        <f>"B"</f>
        <v>B</v>
      </c>
    </row>
    <row r="8512" spans="1:8" x14ac:dyDescent="0.2">
      <c r="A8512" t="str">
        <f t="shared" si="3101"/>
        <v>0615114428</v>
      </c>
      <c r="B8512" t="str">
        <f t="shared" si="3102"/>
        <v>MALIKA</v>
      </c>
      <c r="C8512" t="str">
        <f t="shared" si="3098"/>
        <v>JOHNSON</v>
      </c>
      <c r="D8512">
        <f>10</f>
        <v>10</v>
      </c>
      <c r="E8512" t="str">
        <f>"03 - A - 106 - Krystal Marie  Beruty"</f>
        <v>03 - A - 106 - Krystal Marie  Beruty</v>
      </c>
      <c r="F8512" t="str">
        <f>"AICE PSYCH 1 AS"</f>
        <v>AICE PSYCH 1 AS</v>
      </c>
      <c r="G8512" t="str">
        <f>"17-1721"</f>
        <v>17-1721</v>
      </c>
      <c r="H8512" t="str">
        <f>"A"</f>
        <v>A</v>
      </c>
    </row>
    <row r="8513" spans="1:8" x14ac:dyDescent="0.2">
      <c r="A8513" t="str">
        <f t="shared" si="3101"/>
        <v>0615114428</v>
      </c>
      <c r="B8513" t="str">
        <f t="shared" si="3102"/>
        <v>MALIKA</v>
      </c>
      <c r="C8513" t="str">
        <f t="shared" si="3098"/>
        <v>JOHNSON</v>
      </c>
      <c r="D8513">
        <f>10</f>
        <v>10</v>
      </c>
      <c r="E8513" t="str">
        <f>"02 - A - 103 - Dorothy D Moore"</f>
        <v>02 - A - 103 - Dorothy D Moore</v>
      </c>
      <c r="F8513" t="str">
        <f>"ANAT PHYSIO HON"</f>
        <v>ANAT PHYSIO HON</v>
      </c>
      <c r="G8513" t="str">
        <f>"08-803"</f>
        <v>08-803</v>
      </c>
      <c r="H8513" t="str">
        <f>"A"</f>
        <v>A</v>
      </c>
    </row>
    <row r="8514" spans="1:8" x14ac:dyDescent="0.2">
      <c r="A8514" t="str">
        <f t="shared" si="3101"/>
        <v>0615114428</v>
      </c>
      <c r="B8514" t="str">
        <f t="shared" si="3102"/>
        <v>MALIKA</v>
      </c>
      <c r="C8514" t="str">
        <f t="shared" si="3098"/>
        <v>JOHNSON</v>
      </c>
      <c r="D8514">
        <f>10</f>
        <v>10</v>
      </c>
      <c r="E8514" t="str">
        <f>"07 - B - 207 - Krystal Marie  Beruty"</f>
        <v>07 - B - 207 - Krystal Marie  Beruty</v>
      </c>
      <c r="F8514" t="str">
        <f>"AICE GLBL PERSP 1 AS"</f>
        <v>AICE GLBL PERSP 1 AS</v>
      </c>
      <c r="G8514" t="str">
        <f>"17-1721"</f>
        <v>17-1721</v>
      </c>
      <c r="H8514" t="str">
        <f>"B"</f>
        <v>B</v>
      </c>
    </row>
    <row r="8515" spans="1:8" x14ac:dyDescent="0.2">
      <c r="A8515" t="str">
        <f t="shared" si="3101"/>
        <v>0615114428</v>
      </c>
      <c r="B8515" t="str">
        <f t="shared" si="3102"/>
        <v>MALIKA</v>
      </c>
      <c r="C8515" t="str">
        <f t="shared" si="3098"/>
        <v>JOHNSON</v>
      </c>
      <c r="D8515">
        <f>10</f>
        <v>10</v>
      </c>
      <c r="E8515" t="str">
        <f>"05 - B - 205 - Lenecy  Nodarse"</f>
        <v>05 - B - 205 - Lenecy  Nodarse</v>
      </c>
      <c r="F8515" t="str">
        <f>"WORLD HISTORY"</f>
        <v>WORLD HISTORY</v>
      </c>
      <c r="G8515" t="str">
        <f>"17-1741"</f>
        <v>17-1741</v>
      </c>
      <c r="H8515" t="str">
        <f>"B"</f>
        <v>B</v>
      </c>
    </row>
    <row r="8516" spans="1:8" x14ac:dyDescent="0.2">
      <c r="A8516" t="str">
        <f t="shared" si="3101"/>
        <v>0615114428</v>
      </c>
      <c r="B8516" t="str">
        <f t="shared" si="3102"/>
        <v>MALIKA</v>
      </c>
      <c r="C8516" t="str">
        <f t="shared" si="3098"/>
        <v>JOHNSON</v>
      </c>
      <c r="D8516">
        <f>10</f>
        <v>10</v>
      </c>
      <c r="E8516" t="str">
        <f>"01 - A - 101 - Courtney E Hambright"</f>
        <v>01 - A - 101 - Courtney E Hambright</v>
      </c>
      <c r="F8516" t="str">
        <f>"AICE ENG LANG AS"</f>
        <v>AICE ENG LANG AS</v>
      </c>
      <c r="G8516" t="str">
        <f>"17-1711"</f>
        <v>17-1711</v>
      </c>
      <c r="H8516" t="str">
        <f>"A"</f>
        <v>A</v>
      </c>
    </row>
    <row r="8517" spans="1:8" x14ac:dyDescent="0.2">
      <c r="A8517" t="str">
        <f t="shared" si="3101"/>
        <v>0615114428</v>
      </c>
      <c r="B8517" t="str">
        <f t="shared" si="3102"/>
        <v>MALIKA</v>
      </c>
      <c r="C8517" t="str">
        <f t="shared" si="3098"/>
        <v>JOHNSON</v>
      </c>
      <c r="D8517">
        <f>10</f>
        <v>10</v>
      </c>
      <c r="E8517" t="str">
        <f>"08 - B - 206 - Daniel S Katz"</f>
        <v>08 - B - 206 - Daniel S Katz</v>
      </c>
      <c r="F8517" t="str">
        <f>"AICE MEDIASTUDIES AS"</f>
        <v>AICE MEDIASTUDIES AS</v>
      </c>
      <c r="G8517" t="str">
        <f>"05-521"</f>
        <v>05-521</v>
      </c>
      <c r="H8517" t="str">
        <f>"B"</f>
        <v>B</v>
      </c>
    </row>
    <row r="8518" spans="1:8" x14ac:dyDescent="0.2">
      <c r="A8518" t="str">
        <f t="shared" ref="A8518:A8525" si="3103">"0612129238"</f>
        <v>0612129238</v>
      </c>
      <c r="B8518" t="str">
        <f t="shared" ref="B8518:B8525" si="3104">"MEREDITH"</f>
        <v>MEREDITH</v>
      </c>
      <c r="C8518" t="str">
        <f t="shared" si="3098"/>
        <v>JOHNSON</v>
      </c>
      <c r="D8518">
        <f>11</f>
        <v>11</v>
      </c>
      <c r="E8518" t="str">
        <f>"04 - A - 102 - Lisa J London"</f>
        <v>04 - A - 102 - Lisa J London</v>
      </c>
      <c r="F8518" t="str">
        <f>"AP CAPSTONE SEMINAR"</f>
        <v>AP CAPSTONE SEMINAR</v>
      </c>
      <c r="G8518" t="str">
        <f>"17-1714"</f>
        <v>17-1714</v>
      </c>
      <c r="H8518" t="str">
        <f>"A"</f>
        <v>A</v>
      </c>
    </row>
    <row r="8519" spans="1:8" x14ac:dyDescent="0.2">
      <c r="A8519" t="str">
        <f t="shared" si="3103"/>
        <v>0612129238</v>
      </c>
      <c r="B8519" t="str">
        <f t="shared" si="3104"/>
        <v>MEREDITH</v>
      </c>
      <c r="C8519" t="str">
        <f t="shared" si="3098"/>
        <v>JOHNSON</v>
      </c>
      <c r="D8519">
        <f>11</f>
        <v>11</v>
      </c>
      <c r="E8519" t="str">
        <f>"06 - B - 102 - Stephen T Ripp"</f>
        <v>06 - B - 102 - Stephen T Ripp</v>
      </c>
      <c r="F8519" t="str">
        <f>"AP U.S. HIST"</f>
        <v>AP U.S. HIST</v>
      </c>
      <c r="G8519" t="str">
        <f>"17-1744"</f>
        <v>17-1744</v>
      </c>
      <c r="H8519" t="str">
        <f>"B"</f>
        <v>B</v>
      </c>
    </row>
    <row r="8520" spans="1:8" x14ac:dyDescent="0.2">
      <c r="A8520" t="str">
        <f t="shared" si="3103"/>
        <v>0612129238</v>
      </c>
      <c r="B8520" t="str">
        <f t="shared" si="3104"/>
        <v>MEREDITH</v>
      </c>
      <c r="C8520" t="str">
        <f t="shared" si="3098"/>
        <v>JOHNSON</v>
      </c>
      <c r="D8520">
        <f>11</f>
        <v>11</v>
      </c>
      <c r="E8520" t="str">
        <f>"03 - A - 101 - Lourivaldo  Da Silva"</f>
        <v>03 - A - 101 - Lourivaldo  Da Silva</v>
      </c>
      <c r="F8520" t="str">
        <f>"AP STAT"</f>
        <v>AP STAT</v>
      </c>
      <c r="G8520" t="str">
        <f>"20-2079"</f>
        <v>20-2079</v>
      </c>
      <c r="H8520" t="str">
        <f>"A"</f>
        <v>A</v>
      </c>
    </row>
    <row r="8521" spans="1:8" x14ac:dyDescent="0.2">
      <c r="A8521" t="str">
        <f t="shared" si="3103"/>
        <v>0612129238</v>
      </c>
      <c r="B8521" t="str">
        <f t="shared" si="3104"/>
        <v>MEREDITH</v>
      </c>
      <c r="C8521" t="str">
        <f t="shared" si="3098"/>
        <v>JOHNSON</v>
      </c>
      <c r="D8521">
        <f>11</f>
        <v>11</v>
      </c>
      <c r="E8521" t="str">
        <f>"02 - A - 113 - Byron G Montenegro"</f>
        <v>02 - A - 113 - Byron G Montenegro</v>
      </c>
      <c r="F8521" t="str">
        <f>"NC STUDY HALL 1"</f>
        <v>NC STUDY HALL 1</v>
      </c>
      <c r="G8521" t="str">
        <f>"21-2144"</f>
        <v>21-2144</v>
      </c>
      <c r="H8521" t="str">
        <f>"A"</f>
        <v>A</v>
      </c>
    </row>
    <row r="8522" spans="1:8" x14ac:dyDescent="0.2">
      <c r="A8522" t="str">
        <f t="shared" si="3103"/>
        <v>0612129238</v>
      </c>
      <c r="B8522" t="str">
        <f t="shared" si="3104"/>
        <v>MEREDITH</v>
      </c>
      <c r="C8522" t="str">
        <f t="shared" si="3098"/>
        <v>JOHNSON</v>
      </c>
      <c r="D8522">
        <f>11</f>
        <v>11</v>
      </c>
      <c r="E8522" t="str">
        <f>"07 - B - 101 - Fernando  Vega-Cid"</f>
        <v>07 - B - 101 - Fernando  Vega-Cid</v>
      </c>
      <c r="F8522" t="str">
        <f>"AP PRECALCULUS"</f>
        <v>AP PRECALCULUS</v>
      </c>
      <c r="G8522" t="str">
        <f>"21-2163"</f>
        <v>21-2163</v>
      </c>
      <c r="H8522" t="str">
        <f>"B"</f>
        <v>B</v>
      </c>
    </row>
    <row r="8523" spans="1:8" x14ac:dyDescent="0.2">
      <c r="A8523" t="str">
        <f t="shared" si="3103"/>
        <v>0612129238</v>
      </c>
      <c r="B8523" t="str">
        <f t="shared" si="3104"/>
        <v>MEREDITH</v>
      </c>
      <c r="C8523" t="str">
        <f t="shared" si="3098"/>
        <v>JOHNSON</v>
      </c>
      <c r="D8523">
        <f>11</f>
        <v>11</v>
      </c>
      <c r="E8523" t="str">
        <f>"05 - B - 103 - Tina M Jaramillo"</f>
        <v>05 - B - 103 - Tina M Jaramillo</v>
      </c>
      <c r="F8523" t="str">
        <f>"AP ENG COMPO"</f>
        <v>AP ENG COMPO</v>
      </c>
      <c r="G8523" t="str">
        <f>"17-1706"</f>
        <v>17-1706</v>
      </c>
      <c r="H8523" t="str">
        <f>"B"</f>
        <v>B</v>
      </c>
    </row>
    <row r="8524" spans="1:8" x14ac:dyDescent="0.2">
      <c r="A8524" t="str">
        <f t="shared" si="3103"/>
        <v>0612129238</v>
      </c>
      <c r="B8524" t="str">
        <f t="shared" si="3104"/>
        <v>MEREDITH</v>
      </c>
      <c r="C8524" t="str">
        <f t="shared" si="3098"/>
        <v>JOHNSON</v>
      </c>
      <c r="D8524">
        <f>11</f>
        <v>11</v>
      </c>
      <c r="E8524" t="str">
        <f>"01 - A - 103 - Scott A Dethloff"</f>
        <v>01 - A - 103 - Scott A Dethloff</v>
      </c>
      <c r="F8524" t="str">
        <f>"AICE THINK SKLS 1 AS"</f>
        <v>AICE THINK SKLS 1 AS</v>
      </c>
      <c r="G8524" t="str">
        <f>"08-812"</f>
        <v>08-812</v>
      </c>
      <c r="H8524" t="str">
        <f>"A"</f>
        <v>A</v>
      </c>
    </row>
    <row r="8525" spans="1:8" x14ac:dyDescent="0.2">
      <c r="A8525" t="str">
        <f t="shared" si="3103"/>
        <v>0612129238</v>
      </c>
      <c r="B8525" t="str">
        <f t="shared" si="3104"/>
        <v>MEREDITH</v>
      </c>
      <c r="C8525" t="str">
        <f t="shared" si="3098"/>
        <v>JOHNSON</v>
      </c>
      <c r="D8525">
        <f>11</f>
        <v>11</v>
      </c>
      <c r="E8525" t="str">
        <f>"08 - B - 102 - Jacqueline R Morphet"</f>
        <v>08 - B - 102 - Jacqueline R Morphet</v>
      </c>
      <c r="F8525" t="str">
        <f>"AP PHYSICS 1"</f>
        <v>AP PHYSICS 1</v>
      </c>
      <c r="G8525" t="str">
        <f>"21-2138"</f>
        <v>21-2138</v>
      </c>
      <c r="H8525" t="str">
        <f>"B"</f>
        <v>B</v>
      </c>
    </row>
    <row r="8526" spans="1:8" x14ac:dyDescent="0.2">
      <c r="A8526" t="str">
        <f t="shared" ref="A8526:A8534" si="3105">"0607082131"</f>
        <v>0607082131</v>
      </c>
      <c r="B8526" t="str">
        <f t="shared" ref="B8526:B8534" si="3106">"MESHAWN"</f>
        <v>MESHAWN</v>
      </c>
      <c r="C8526" t="str">
        <f t="shared" si="3098"/>
        <v>JOHNSON</v>
      </c>
      <c r="D8526">
        <f>12</f>
        <v>12</v>
      </c>
      <c r="E8526" t="str">
        <f>"04 - S1 - A - 101 - Nahum  Saint-Preux"</f>
        <v>04 - S1 - A - 101 - Nahum  Saint-Preux</v>
      </c>
      <c r="F8526" t="str">
        <f>"CRIT THINK ST SKLS"</f>
        <v>CRIT THINK ST SKLS</v>
      </c>
      <c r="G8526" t="str">
        <f>"17-1712"</f>
        <v>17-1712</v>
      </c>
      <c r="H8526" t="str">
        <f>"A"</f>
        <v>A</v>
      </c>
    </row>
    <row r="8527" spans="1:8" x14ac:dyDescent="0.2">
      <c r="A8527" t="str">
        <f t="shared" si="3105"/>
        <v>0607082131</v>
      </c>
      <c r="B8527" t="str">
        <f t="shared" si="3106"/>
        <v>MESHAWN</v>
      </c>
      <c r="C8527" t="str">
        <f t="shared" si="3098"/>
        <v>JOHNSON</v>
      </c>
      <c r="D8527">
        <f>12</f>
        <v>12</v>
      </c>
      <c r="E8527" t="str">
        <f>"06 - B - 113 - Marielle A Witting"</f>
        <v>06 - B - 113 - Marielle A Witting</v>
      </c>
      <c r="F8527" t="str">
        <f>"NC STUDY HALL 1"</f>
        <v>NC STUDY HALL 1</v>
      </c>
      <c r="G8527" t="str">
        <f>"08-805"</f>
        <v>08-805</v>
      </c>
      <c r="H8527" t="str">
        <f>"B"</f>
        <v>B</v>
      </c>
    </row>
    <row r="8528" spans="1:8" x14ac:dyDescent="0.2">
      <c r="A8528" t="str">
        <f t="shared" si="3105"/>
        <v>0607082131</v>
      </c>
      <c r="B8528" t="str">
        <f t="shared" si="3106"/>
        <v>MESHAWN</v>
      </c>
      <c r="C8528" t="str">
        <f t="shared" si="3098"/>
        <v>JOHNSON</v>
      </c>
      <c r="D8528">
        <f>12</f>
        <v>12</v>
      </c>
      <c r="E8528" t="str">
        <f>"06 - B - 116 - Karen A Toomer"</f>
        <v>06 - B - 116 - Karen A Toomer</v>
      </c>
      <c r="F8528" t="str">
        <f>"SPEECH THRPY"</f>
        <v>SPEECH THRPY</v>
      </c>
      <c r="G8528" t="str">
        <f>"21-2110"</f>
        <v>21-2110</v>
      </c>
      <c r="H8528" t="str">
        <f>"B"</f>
        <v>B</v>
      </c>
    </row>
    <row r="8529" spans="1:8" x14ac:dyDescent="0.2">
      <c r="A8529" t="str">
        <f t="shared" si="3105"/>
        <v>0607082131</v>
      </c>
      <c r="B8529" t="str">
        <f t="shared" si="3106"/>
        <v>MESHAWN</v>
      </c>
      <c r="C8529" t="str">
        <f t="shared" si="3098"/>
        <v>JOHNSON</v>
      </c>
      <c r="D8529">
        <f>12</f>
        <v>12</v>
      </c>
      <c r="E8529" t="str">
        <f>"03 - S1 - A - 002 - Barbara L Segal"</f>
        <v>03 - S1 - A - 002 - Barbara L Segal</v>
      </c>
      <c r="F8529" t="str">
        <f>"US GOVT"</f>
        <v>US GOVT</v>
      </c>
      <c r="G8529" t="str">
        <f>"17-1742"</f>
        <v>17-1742</v>
      </c>
      <c r="H8529" t="str">
        <f>"A"</f>
        <v>A</v>
      </c>
    </row>
    <row r="8530" spans="1:8" x14ac:dyDescent="0.2">
      <c r="A8530" t="str">
        <f t="shared" si="3105"/>
        <v>0607082131</v>
      </c>
      <c r="B8530" t="str">
        <f t="shared" si="3106"/>
        <v>MESHAWN</v>
      </c>
      <c r="C8530" t="str">
        <f t="shared" si="3098"/>
        <v>JOHNSON</v>
      </c>
      <c r="D8530">
        <f>12</f>
        <v>12</v>
      </c>
      <c r="E8530" t="str">
        <f>"02 - A - 101 - Robert H Rindner"</f>
        <v>02 - A - 101 - Robert H Rindner</v>
      </c>
      <c r="F8530" t="str">
        <f>"MATH DATA&amp;FIN LIT H"</f>
        <v>MATH DATA&amp;FIN LIT H</v>
      </c>
      <c r="G8530" t="str">
        <f>"21-2160"</f>
        <v>21-2160</v>
      </c>
      <c r="H8530" t="str">
        <f>"A"</f>
        <v>A</v>
      </c>
    </row>
    <row r="8531" spans="1:8" x14ac:dyDescent="0.2">
      <c r="A8531" t="str">
        <f t="shared" si="3105"/>
        <v>0607082131</v>
      </c>
      <c r="B8531" t="str">
        <f t="shared" si="3106"/>
        <v>MESHAWN</v>
      </c>
      <c r="C8531" t="str">
        <f t="shared" si="3098"/>
        <v>JOHNSON</v>
      </c>
      <c r="D8531">
        <f>12</f>
        <v>12</v>
      </c>
      <c r="E8531" t="str">
        <f>"07 - B - 104 - Marielle A Witting"</f>
        <v>07 - B - 104 - Marielle A Witting</v>
      </c>
      <c r="F8531" t="str">
        <f>"ANAT PHYSIO"</f>
        <v>ANAT PHYSIO</v>
      </c>
      <c r="G8531" t="str">
        <f>"08-805"</f>
        <v>08-805</v>
      </c>
      <c r="H8531" t="str">
        <f>"B"</f>
        <v>B</v>
      </c>
    </row>
    <row r="8532" spans="1:8" x14ac:dyDescent="0.2">
      <c r="A8532" t="str">
        <f t="shared" si="3105"/>
        <v>0607082131</v>
      </c>
      <c r="B8532" t="str">
        <f t="shared" si="3106"/>
        <v>MESHAWN</v>
      </c>
      <c r="C8532" t="str">
        <f t="shared" ref="C8532:C8563" si="3107">"JOHNSON"</f>
        <v>JOHNSON</v>
      </c>
      <c r="D8532">
        <f>12</f>
        <v>12</v>
      </c>
      <c r="E8532" t="str">
        <f>"05 - B - 104 - Daniel S Tyson"</f>
        <v>05 - B - 104 - Daniel S Tyson</v>
      </c>
      <c r="F8532" t="str">
        <f>"JROTC NAVAL SCI 3"</f>
        <v>JROTC NAVAL SCI 3</v>
      </c>
      <c r="G8532" t="str">
        <f>"05-510"</f>
        <v>05-510</v>
      </c>
      <c r="H8532" t="str">
        <f>"B"</f>
        <v>B</v>
      </c>
    </row>
    <row r="8533" spans="1:8" x14ac:dyDescent="0.2">
      <c r="A8533" t="str">
        <f t="shared" si="3105"/>
        <v>0607082131</v>
      </c>
      <c r="B8533" t="str">
        <f t="shared" si="3106"/>
        <v>MESHAWN</v>
      </c>
      <c r="C8533" t="str">
        <f t="shared" si="3107"/>
        <v>JOHNSON</v>
      </c>
      <c r="D8533">
        <f>12</f>
        <v>12</v>
      </c>
      <c r="E8533" t="str">
        <f>"01 - A - 103 - Robyn L Trainer"</f>
        <v>01 - A - 103 - Robyn L Trainer</v>
      </c>
      <c r="F8533" t="str">
        <f>"ENG 4"</f>
        <v>ENG 4</v>
      </c>
      <c r="G8533" t="str">
        <f>"17-1734"</f>
        <v>17-1734</v>
      </c>
      <c r="H8533" t="str">
        <f>"A"</f>
        <v>A</v>
      </c>
    </row>
    <row r="8534" spans="1:8" x14ac:dyDescent="0.2">
      <c r="A8534" t="str">
        <f t="shared" si="3105"/>
        <v>0607082131</v>
      </c>
      <c r="B8534" t="str">
        <f t="shared" si="3106"/>
        <v>MESHAWN</v>
      </c>
      <c r="C8534" t="str">
        <f t="shared" si="3107"/>
        <v>JOHNSON</v>
      </c>
      <c r="D8534">
        <f>12</f>
        <v>12</v>
      </c>
      <c r="E8534" t="str">
        <f>"08 - S1 - B - 105 - Richard E Dunbar Iii"</f>
        <v>08 - S1 - B - 105 - Richard E Dunbar Iii</v>
      </c>
      <c r="F8534" t="str">
        <f>"WEIGHT TRAIN 1"</f>
        <v>WEIGHT TRAIN 1</v>
      </c>
      <c r="G8534" t="str">
        <f>"05-501"</f>
        <v>05-501</v>
      </c>
      <c r="H8534" t="str">
        <f>"B"</f>
        <v>B</v>
      </c>
    </row>
    <row r="8535" spans="1:8" x14ac:dyDescent="0.2">
      <c r="A8535" t="str">
        <f t="shared" ref="A8535:A8542" si="3108">"0615099843"</f>
        <v>0615099843</v>
      </c>
      <c r="B8535" t="str">
        <f t="shared" ref="B8535:B8542" si="3109">"REUBEN"</f>
        <v>REUBEN</v>
      </c>
      <c r="C8535" t="str">
        <f t="shared" si="3107"/>
        <v>JOHNSON</v>
      </c>
      <c r="D8535">
        <f>10</f>
        <v>10</v>
      </c>
      <c r="E8535" t="str">
        <f>"04 - A - 004 - Krystal Marie  Beruty"</f>
        <v>04 - A - 004 - Krystal Marie  Beruty</v>
      </c>
      <c r="F8535" t="str">
        <f>"AICE GLBL PERSP 1 AS"</f>
        <v>AICE GLBL PERSP 1 AS</v>
      </c>
      <c r="G8535" t="str">
        <f>"17-1721"</f>
        <v>17-1721</v>
      </c>
      <c r="H8535" t="str">
        <f>"A"</f>
        <v>A</v>
      </c>
    </row>
    <row r="8536" spans="1:8" x14ac:dyDescent="0.2">
      <c r="A8536" t="str">
        <f t="shared" si="3108"/>
        <v>0615099843</v>
      </c>
      <c r="B8536" t="str">
        <f t="shared" si="3109"/>
        <v>REUBEN</v>
      </c>
      <c r="C8536" t="str">
        <f t="shared" si="3107"/>
        <v>JOHNSON</v>
      </c>
      <c r="D8536">
        <f>10</f>
        <v>10</v>
      </c>
      <c r="E8536" t="str">
        <f>"06 - B - 114 - Richard E Dunbar Iii"</f>
        <v>06 - B - 114 - Richard E Dunbar Iii</v>
      </c>
      <c r="F8536" t="str">
        <f>"NC STUDY HALL 1"</f>
        <v>NC STUDY HALL 1</v>
      </c>
      <c r="G8536" t="str">
        <f>"17-1703"</f>
        <v>17-1703</v>
      </c>
      <c r="H8536" t="str">
        <f>"B"</f>
        <v>B</v>
      </c>
    </row>
    <row r="8537" spans="1:8" x14ac:dyDescent="0.2">
      <c r="A8537" t="str">
        <f t="shared" si="3108"/>
        <v>0615099843</v>
      </c>
      <c r="B8537" t="str">
        <f t="shared" si="3109"/>
        <v>REUBEN</v>
      </c>
      <c r="C8537" t="str">
        <f t="shared" si="3107"/>
        <v>JOHNSON</v>
      </c>
      <c r="D8537">
        <f>10</f>
        <v>10</v>
      </c>
      <c r="E8537" t="str">
        <f>"03 - A - 101 - Eva T Rimmer"</f>
        <v>03 - A - 101 - Eva T Rimmer</v>
      </c>
      <c r="F8537" t="str">
        <f>"CRIMINAL JUST OPS 1"</f>
        <v>CRIMINAL JUST OPS 1</v>
      </c>
      <c r="G8537" t="str">
        <f>"05-523"</f>
        <v>05-523</v>
      </c>
      <c r="H8537" t="str">
        <f>"A"</f>
        <v>A</v>
      </c>
    </row>
    <row r="8538" spans="1:8" x14ac:dyDescent="0.2">
      <c r="A8538" t="str">
        <f t="shared" si="3108"/>
        <v>0615099843</v>
      </c>
      <c r="B8538" t="str">
        <f t="shared" si="3109"/>
        <v>REUBEN</v>
      </c>
      <c r="C8538" t="str">
        <f t="shared" si="3107"/>
        <v>JOHNSON</v>
      </c>
      <c r="D8538">
        <f>10</f>
        <v>10</v>
      </c>
      <c r="E8538" t="str">
        <f>"02 - A - 102 - Vanessa J Liburd"</f>
        <v>02 - A - 102 - Vanessa J Liburd</v>
      </c>
      <c r="F8538" t="str">
        <f>"PRE-AICE FRENCH 2 IG"</f>
        <v>PRE-AICE FRENCH 2 IG</v>
      </c>
      <c r="G8538" t="str">
        <f>"05-519"</f>
        <v>05-519</v>
      </c>
      <c r="H8538" t="str">
        <f>"A"</f>
        <v>A</v>
      </c>
    </row>
    <row r="8539" spans="1:8" x14ac:dyDescent="0.2">
      <c r="A8539" t="str">
        <f t="shared" si="3108"/>
        <v>0615099843</v>
      </c>
      <c r="B8539" t="str">
        <f t="shared" si="3109"/>
        <v>REUBEN</v>
      </c>
      <c r="C8539" t="str">
        <f t="shared" si="3107"/>
        <v>JOHNSON</v>
      </c>
      <c r="D8539">
        <f>10</f>
        <v>10</v>
      </c>
      <c r="E8539" t="str">
        <f>"07 - B - 107 - Jacklyn M James"</f>
        <v>07 - B - 107 - Jacklyn M James</v>
      </c>
      <c r="F8539" t="str">
        <f>"AICE ENG LANG AS"</f>
        <v>AICE ENG LANG AS</v>
      </c>
      <c r="G8539" t="str">
        <f>"17-1731"</f>
        <v>17-1731</v>
      </c>
      <c r="H8539" t="str">
        <f>"B"</f>
        <v>B</v>
      </c>
    </row>
    <row r="8540" spans="1:8" x14ac:dyDescent="0.2">
      <c r="A8540" t="str">
        <f t="shared" si="3108"/>
        <v>0615099843</v>
      </c>
      <c r="B8540" t="str">
        <f t="shared" si="3109"/>
        <v>REUBEN</v>
      </c>
      <c r="C8540" t="str">
        <f t="shared" si="3107"/>
        <v>JOHNSON</v>
      </c>
      <c r="D8540">
        <f>10</f>
        <v>10</v>
      </c>
      <c r="E8540" t="str">
        <f>"05 - B - 204 - Cheryl L Beach"</f>
        <v>05 - B - 204 - Cheryl L Beach</v>
      </c>
      <c r="F8540" t="str">
        <f>"AICE ENV MGMNT AS"</f>
        <v>AICE ENV MGMNT AS</v>
      </c>
      <c r="G8540" t="str">
        <f>"08-811"</f>
        <v>08-811</v>
      </c>
      <c r="H8540" t="str">
        <f>"B"</f>
        <v>B</v>
      </c>
    </row>
    <row r="8541" spans="1:8" x14ac:dyDescent="0.2">
      <c r="A8541" t="str">
        <f t="shared" si="3108"/>
        <v>0615099843</v>
      </c>
      <c r="B8541" t="str">
        <f t="shared" si="3109"/>
        <v>REUBEN</v>
      </c>
      <c r="C8541" t="str">
        <f t="shared" si="3107"/>
        <v>JOHNSON</v>
      </c>
      <c r="D8541">
        <f>10</f>
        <v>10</v>
      </c>
      <c r="E8541" t="str">
        <f>"01 - S1 - A - 101 - Lissa C Frederique"</f>
        <v>01 - S1 - A - 101 - Lissa C Frederique</v>
      </c>
      <c r="F8541" t="str">
        <f>"PERS FIN &amp; MON MGT H"</f>
        <v>PERS FIN &amp; MON MGT H</v>
      </c>
      <c r="G8541" t="str">
        <f>"17-1754"</f>
        <v>17-1754</v>
      </c>
      <c r="H8541" t="str">
        <f>"A"</f>
        <v>A</v>
      </c>
    </row>
    <row r="8542" spans="1:8" x14ac:dyDescent="0.2">
      <c r="A8542" t="str">
        <f t="shared" si="3108"/>
        <v>0615099843</v>
      </c>
      <c r="B8542" t="str">
        <f t="shared" si="3109"/>
        <v>REUBEN</v>
      </c>
      <c r="C8542" t="str">
        <f t="shared" si="3107"/>
        <v>JOHNSON</v>
      </c>
      <c r="D8542">
        <f>10</f>
        <v>10</v>
      </c>
      <c r="E8542" t="str">
        <f>"08 - B - 107 - Dayna M Foster"</f>
        <v>08 - B - 107 - Dayna M Foster</v>
      </c>
      <c r="F8542" t="str">
        <f>"ALGEBRA 2"</f>
        <v>ALGEBRA 2</v>
      </c>
      <c r="G8542" t="str">
        <f>"21-2109"</f>
        <v>21-2109</v>
      </c>
      <c r="H8542" t="str">
        <f>"B"</f>
        <v>B</v>
      </c>
    </row>
    <row r="8543" spans="1:8" x14ac:dyDescent="0.2">
      <c r="A8543" t="str">
        <f t="shared" ref="A8543:A8550" si="3110">"0624076728"</f>
        <v>0624076728</v>
      </c>
      <c r="B8543" t="str">
        <f t="shared" ref="B8543:B8550" si="3111">"SEMORRIA"</f>
        <v>SEMORRIA</v>
      </c>
      <c r="C8543" t="str">
        <f t="shared" si="3107"/>
        <v>JOHNSON</v>
      </c>
      <c r="D8543" t="str">
        <f t="shared" ref="D8543:D8550" si="3112">"09"</f>
        <v>09</v>
      </c>
      <c r="E8543" t="str">
        <f>"04 - A - 102 - Josiah I Lacy"</f>
        <v>04 - A - 102 - Josiah I Lacy</v>
      </c>
      <c r="F8543" t="str">
        <f>"PRE-AICE BIO IG"</f>
        <v>PRE-AICE BIO IG</v>
      </c>
      <c r="G8543" t="str">
        <f>"08-801"</f>
        <v>08-801</v>
      </c>
      <c r="H8543" t="str">
        <f>"A"</f>
        <v>A</v>
      </c>
    </row>
    <row r="8544" spans="1:8" x14ac:dyDescent="0.2">
      <c r="A8544" t="str">
        <f t="shared" si="3110"/>
        <v>0624076728</v>
      </c>
      <c r="B8544" t="str">
        <f t="shared" si="3111"/>
        <v>SEMORRIA</v>
      </c>
      <c r="C8544" t="str">
        <f t="shared" si="3107"/>
        <v>JOHNSON</v>
      </c>
      <c r="D8544" t="str">
        <f t="shared" si="3112"/>
        <v>09</v>
      </c>
      <c r="E8544" t="str">
        <f>"06 - S1 - B - 104 - Leslie J Barton"</f>
        <v>06 - S1 - B - 104 - Leslie J Barton</v>
      </c>
      <c r="F8544" t="str">
        <f>"FIRST AID SAFETY"</f>
        <v>FIRST AID SAFETY</v>
      </c>
      <c r="G8544" t="str">
        <f>"05-521"</f>
        <v>05-521</v>
      </c>
      <c r="H8544" t="str">
        <f>"B"</f>
        <v>B</v>
      </c>
    </row>
    <row r="8545" spans="1:8" x14ac:dyDescent="0.2">
      <c r="A8545" t="str">
        <f t="shared" si="3110"/>
        <v>0624076728</v>
      </c>
      <c r="B8545" t="str">
        <f t="shared" si="3111"/>
        <v>SEMORRIA</v>
      </c>
      <c r="C8545" t="str">
        <f t="shared" si="3107"/>
        <v>JOHNSON</v>
      </c>
      <c r="D8545" t="str">
        <f t="shared" si="3112"/>
        <v>09</v>
      </c>
      <c r="E8545" t="str">
        <f>"03 - A - 102 - Rory T Sponsler"</f>
        <v>03 - A - 102 - Rory T Sponsler</v>
      </c>
      <c r="F8545" t="str">
        <f>"PRE-AICE WRLD HST IG"</f>
        <v>PRE-AICE WRLD HST IG</v>
      </c>
      <c r="G8545" t="str">
        <f>"17-1740"</f>
        <v>17-1740</v>
      </c>
      <c r="H8545" t="str">
        <f>"A"</f>
        <v>A</v>
      </c>
    </row>
    <row r="8546" spans="1:8" x14ac:dyDescent="0.2">
      <c r="A8546" t="str">
        <f t="shared" si="3110"/>
        <v>0624076728</v>
      </c>
      <c r="B8546" t="str">
        <f t="shared" si="3111"/>
        <v>SEMORRIA</v>
      </c>
      <c r="C8546" t="str">
        <f t="shared" si="3107"/>
        <v>JOHNSON</v>
      </c>
      <c r="D8546" t="str">
        <f t="shared" si="3112"/>
        <v>09</v>
      </c>
      <c r="E8546" t="str">
        <f>"02 - A - 110 - Maried P Ramos"</f>
        <v>02 - A - 110 - Maried P Ramos</v>
      </c>
      <c r="F8546" t="str">
        <f>"NC STUDY HALL 1"</f>
        <v>NC STUDY HALL 1</v>
      </c>
      <c r="G8546" t="str">
        <f>"21-2159"</f>
        <v>21-2159</v>
      </c>
      <c r="H8546" t="str">
        <f>"A"</f>
        <v>A</v>
      </c>
    </row>
    <row r="8547" spans="1:8" x14ac:dyDescent="0.2">
      <c r="A8547" t="str">
        <f t="shared" si="3110"/>
        <v>0624076728</v>
      </c>
      <c r="B8547" t="str">
        <f t="shared" si="3111"/>
        <v>SEMORRIA</v>
      </c>
      <c r="C8547" t="str">
        <f t="shared" si="3107"/>
        <v>JOHNSON</v>
      </c>
      <c r="D8547" t="str">
        <f t="shared" si="3112"/>
        <v>09</v>
      </c>
      <c r="E8547" t="str">
        <f>"07 - B - 106 - Dayna M Foster"</f>
        <v>07 - B - 106 - Dayna M Foster</v>
      </c>
      <c r="F8547" t="str">
        <f>"FDN SKLS MATH 9-12"</f>
        <v>FDN SKLS MATH 9-12</v>
      </c>
      <c r="G8547" t="str">
        <f>"21-2109"</f>
        <v>21-2109</v>
      </c>
      <c r="H8547" t="str">
        <f>"B"</f>
        <v>B</v>
      </c>
    </row>
    <row r="8548" spans="1:8" x14ac:dyDescent="0.2">
      <c r="A8548" t="str">
        <f t="shared" si="3110"/>
        <v>0624076728</v>
      </c>
      <c r="B8548" t="str">
        <f t="shared" si="3111"/>
        <v>SEMORRIA</v>
      </c>
      <c r="C8548" t="str">
        <f t="shared" si="3107"/>
        <v>JOHNSON</v>
      </c>
      <c r="D8548" t="str">
        <f t="shared" si="3112"/>
        <v>09</v>
      </c>
      <c r="E8548" t="str">
        <f>"05 - B - 002 - Cheryl Anne  Berman-Schechter"</f>
        <v>05 - B - 002 - Cheryl Anne  Berman-Schechter</v>
      </c>
      <c r="F8548" t="str">
        <f>"AICE ENG GEN PAPER 1"</f>
        <v>AICE ENG GEN PAPER 1</v>
      </c>
      <c r="G8548" t="str">
        <f>"17-1722"</f>
        <v>17-1722</v>
      </c>
      <c r="H8548" t="str">
        <f>"B"</f>
        <v>B</v>
      </c>
    </row>
    <row r="8549" spans="1:8" x14ac:dyDescent="0.2">
      <c r="A8549" t="str">
        <f t="shared" si="3110"/>
        <v>0624076728</v>
      </c>
      <c r="B8549" t="str">
        <f t="shared" si="3111"/>
        <v>SEMORRIA</v>
      </c>
      <c r="C8549" t="str">
        <f t="shared" si="3107"/>
        <v>JOHNSON</v>
      </c>
      <c r="D8549" t="str">
        <f t="shared" si="3112"/>
        <v>09</v>
      </c>
      <c r="E8549" t="str">
        <f>"01 - A - 108 - Dayna M Foster"</f>
        <v>01 - A - 108 - Dayna M Foster</v>
      </c>
      <c r="F8549" t="str">
        <f>"ALGEBRA 1"</f>
        <v>ALGEBRA 1</v>
      </c>
      <c r="G8549" t="str">
        <f>"21-2109"</f>
        <v>21-2109</v>
      </c>
      <c r="H8549" t="str">
        <f>"A"</f>
        <v>A</v>
      </c>
    </row>
    <row r="8550" spans="1:8" x14ac:dyDescent="0.2">
      <c r="A8550" t="str">
        <f t="shared" si="3110"/>
        <v>0624076728</v>
      </c>
      <c r="B8550" t="str">
        <f t="shared" si="3111"/>
        <v>SEMORRIA</v>
      </c>
      <c r="C8550" t="str">
        <f t="shared" si="3107"/>
        <v>JOHNSON</v>
      </c>
      <c r="D8550" t="str">
        <f t="shared" si="3112"/>
        <v>09</v>
      </c>
      <c r="E8550" t="str">
        <f>"08 - S1 - B - 104 - Angela S Adeshina-Morrison"</f>
        <v>08 - S1 - B - 104 - Angela S Adeshina-Morrison</v>
      </c>
      <c r="F8550" t="str">
        <f>"PEER COUN 1"</f>
        <v>PEER COUN 1</v>
      </c>
      <c r="G8550" t="str">
        <f>"05-518"</f>
        <v>05-518</v>
      </c>
      <c r="H8550" t="str">
        <f>"B"</f>
        <v>B</v>
      </c>
    </row>
    <row r="8551" spans="1:8" x14ac:dyDescent="0.2">
      <c r="A8551" t="str">
        <f t="shared" ref="A8551:A8559" si="3113">"0614040311"</f>
        <v>0614040311</v>
      </c>
      <c r="B8551" t="str">
        <f t="shared" ref="B8551:B8559" si="3114">"TARIYAH"</f>
        <v>TARIYAH</v>
      </c>
      <c r="C8551" t="str">
        <f t="shared" si="3107"/>
        <v>JOHNSON</v>
      </c>
      <c r="D8551">
        <f>11</f>
        <v>11</v>
      </c>
      <c r="E8551" t="str">
        <f>"04 - A - 103 - Lisa  Quinn"</f>
        <v>04 - A - 103 - Lisa  Quinn</v>
      </c>
      <c r="F8551" t="str">
        <f>"ENG 3"</f>
        <v>ENG 3</v>
      </c>
      <c r="G8551" t="str">
        <f>"17-1725"</f>
        <v>17-1725</v>
      </c>
      <c r="H8551" t="str">
        <f>"A"</f>
        <v>A</v>
      </c>
    </row>
    <row r="8552" spans="1:8" x14ac:dyDescent="0.2">
      <c r="A8552" t="str">
        <f t="shared" si="3113"/>
        <v>0614040311</v>
      </c>
      <c r="B8552" t="str">
        <f t="shared" si="3114"/>
        <v>TARIYAH</v>
      </c>
      <c r="C8552" t="str">
        <f t="shared" si="3107"/>
        <v>JOHNSON</v>
      </c>
      <c r="D8552">
        <f>11</f>
        <v>11</v>
      </c>
      <c r="E8552" t="str">
        <f>"06 - B - 105 - Elizabeth Ellen  Moran"</f>
        <v>06 - B - 105 - Elizabeth Ellen  Moran</v>
      </c>
      <c r="F8552" t="str">
        <f>"US HISTORY"</f>
        <v>US HISTORY</v>
      </c>
      <c r="G8552" t="str">
        <f>"17-1752"</f>
        <v>17-1752</v>
      </c>
      <c r="H8552" t="str">
        <f>"B"</f>
        <v>B</v>
      </c>
    </row>
    <row r="8553" spans="1:8" x14ac:dyDescent="0.2">
      <c r="A8553" t="str">
        <f t="shared" si="3113"/>
        <v>0614040311</v>
      </c>
      <c r="B8553" t="str">
        <f t="shared" si="3114"/>
        <v>TARIYAH</v>
      </c>
      <c r="C8553" t="str">
        <f t="shared" si="3107"/>
        <v>JOHNSON</v>
      </c>
      <c r="D8553">
        <f>11</f>
        <v>11</v>
      </c>
      <c r="E8553" t="str">
        <f>"03 - S1 - A - 102 - Angela S Adeshina-Morrison"</f>
        <v>03 - S1 - A - 102 - Angela S Adeshina-Morrison</v>
      </c>
      <c r="F8553" t="str">
        <f>"PEER COUN 1"</f>
        <v>PEER COUN 1</v>
      </c>
      <c r="G8553" t="str">
        <f>"05-518"</f>
        <v>05-518</v>
      </c>
      <c r="H8553" t="str">
        <f>"A"</f>
        <v>A</v>
      </c>
    </row>
    <row r="8554" spans="1:8" x14ac:dyDescent="0.2">
      <c r="A8554" t="str">
        <f t="shared" si="3113"/>
        <v>0614040311</v>
      </c>
      <c r="B8554" t="str">
        <f t="shared" si="3114"/>
        <v>TARIYAH</v>
      </c>
      <c r="C8554" t="str">
        <f t="shared" si="3107"/>
        <v>JOHNSON</v>
      </c>
      <c r="D8554">
        <f>11</f>
        <v>11</v>
      </c>
      <c r="E8554" t="str">
        <f>"02 - A - 114 - Eva T Rimmer"</f>
        <v>02 - A - 114 - Eva T Rimmer</v>
      </c>
      <c r="F8554" t="str">
        <f>"NC STUDY HALL 1"</f>
        <v>NC STUDY HALL 1</v>
      </c>
      <c r="G8554" t="str">
        <f>"05-523"</f>
        <v>05-523</v>
      </c>
      <c r="H8554" t="str">
        <f>"A"</f>
        <v>A</v>
      </c>
    </row>
    <row r="8555" spans="1:8" x14ac:dyDescent="0.2">
      <c r="A8555" t="str">
        <f t="shared" si="3113"/>
        <v>0614040311</v>
      </c>
      <c r="B8555" t="str">
        <f t="shared" si="3114"/>
        <v>TARIYAH</v>
      </c>
      <c r="C8555" t="str">
        <f t="shared" si="3107"/>
        <v>JOHNSON</v>
      </c>
      <c r="D8555">
        <f>11</f>
        <v>11</v>
      </c>
      <c r="E8555" t="str">
        <f>"02 - A - 112 - Karen A Toomer"</f>
        <v>02 - A - 112 - Karen A Toomer</v>
      </c>
      <c r="F8555" t="str">
        <f>"LANG THERAPY"</f>
        <v>LANG THERAPY</v>
      </c>
      <c r="G8555" t="str">
        <f>"21-2110"</f>
        <v>21-2110</v>
      </c>
      <c r="H8555" t="str">
        <f>"A"</f>
        <v>A</v>
      </c>
    </row>
    <row r="8556" spans="1:8" x14ac:dyDescent="0.2">
      <c r="A8556" t="str">
        <f t="shared" si="3113"/>
        <v>0614040311</v>
      </c>
      <c r="B8556" t="str">
        <f t="shared" si="3114"/>
        <v>TARIYAH</v>
      </c>
      <c r="C8556" t="str">
        <f t="shared" si="3107"/>
        <v>JOHNSON</v>
      </c>
      <c r="D8556">
        <f>11</f>
        <v>11</v>
      </c>
      <c r="E8556" t="str">
        <f>"07 - B - 104 - Marielle A Witting"</f>
        <v>07 - B - 104 - Marielle A Witting</v>
      </c>
      <c r="F8556" t="str">
        <f>"ANAT PHYSIO"</f>
        <v>ANAT PHYSIO</v>
      </c>
      <c r="G8556" t="str">
        <f>"08-805"</f>
        <v>08-805</v>
      </c>
      <c r="H8556" t="str">
        <f>"B"</f>
        <v>B</v>
      </c>
    </row>
    <row r="8557" spans="1:8" x14ac:dyDescent="0.2">
      <c r="A8557" t="str">
        <f t="shared" si="3113"/>
        <v>0614040311</v>
      </c>
      <c r="B8557" t="str">
        <f t="shared" si="3114"/>
        <v>TARIYAH</v>
      </c>
      <c r="C8557" t="str">
        <f t="shared" si="3107"/>
        <v>JOHNSON</v>
      </c>
      <c r="D8557">
        <f>11</f>
        <v>11</v>
      </c>
      <c r="E8557" t="str">
        <f>"05 - B - 205 - Rosa Elaine  Collado-Duff"</f>
        <v>05 - B - 205 - Rosa Elaine  Collado-Duff</v>
      </c>
      <c r="F8557" t="str">
        <f>"PRE-AICE SPAN 2 IG"</f>
        <v>PRE-AICE SPAN 2 IG</v>
      </c>
      <c r="G8557" t="str">
        <f>"09-913"</f>
        <v>09-913</v>
      </c>
      <c r="H8557" t="str">
        <f>"B"</f>
        <v>B</v>
      </c>
    </row>
    <row r="8558" spans="1:8" x14ac:dyDescent="0.2">
      <c r="A8558" t="str">
        <f t="shared" si="3113"/>
        <v>0614040311</v>
      </c>
      <c r="B8558" t="str">
        <f t="shared" si="3114"/>
        <v>TARIYAH</v>
      </c>
      <c r="C8558" t="str">
        <f t="shared" si="3107"/>
        <v>JOHNSON</v>
      </c>
      <c r="D8558">
        <f>11</f>
        <v>11</v>
      </c>
      <c r="E8558" t="str">
        <f>"01 - A - 102 - Fernando  Vega-Cid"</f>
        <v>01 - A - 102 - Fernando  Vega-Cid</v>
      </c>
      <c r="F8558" t="str">
        <f>"GEOMETRY"</f>
        <v>GEOMETRY</v>
      </c>
      <c r="G8558" t="str">
        <f>"21-2163"</f>
        <v>21-2163</v>
      </c>
      <c r="H8558" t="str">
        <f>"A"</f>
        <v>A</v>
      </c>
    </row>
    <row r="8559" spans="1:8" x14ac:dyDescent="0.2">
      <c r="A8559" t="str">
        <f t="shared" si="3113"/>
        <v>0614040311</v>
      </c>
      <c r="B8559" t="str">
        <f t="shared" si="3114"/>
        <v>TARIYAH</v>
      </c>
      <c r="C8559" t="str">
        <f t="shared" si="3107"/>
        <v>JOHNSON</v>
      </c>
      <c r="D8559">
        <f>11</f>
        <v>11</v>
      </c>
      <c r="E8559" t="str">
        <f>"08 - B - 102 - Carleigh R Carmichael"</f>
        <v>08 - B - 102 - Carleigh R Carmichael</v>
      </c>
      <c r="F8559" t="str">
        <f>"LRNG STRATEGIES 9-12"</f>
        <v>LRNG STRATEGIES 9-12</v>
      </c>
      <c r="G8559" t="str">
        <f>"20-2072"</f>
        <v>20-2072</v>
      </c>
      <c r="H8559" t="str">
        <f>"B"</f>
        <v>B</v>
      </c>
    </row>
    <row r="8560" spans="1:8" x14ac:dyDescent="0.2">
      <c r="A8560" t="str">
        <f t="shared" ref="A8560:A8569" si="3115">"0613116722"</f>
        <v>0613116722</v>
      </c>
      <c r="B8560" t="str">
        <f t="shared" ref="B8560:B8569" si="3116">"TRINITY"</f>
        <v>TRINITY</v>
      </c>
      <c r="C8560" t="str">
        <f t="shared" si="3107"/>
        <v>JOHNSON</v>
      </c>
      <c r="D8560">
        <f>12</f>
        <v>12</v>
      </c>
      <c r="E8560" t="str">
        <f>"04 - A - 104 - Adam Marcus  Drucker"</f>
        <v>04 - A - 104 - Adam Marcus  Drucker</v>
      </c>
      <c r="F8560" t="str">
        <f>"HOPE-PE V"</f>
        <v>HOPE-PE V</v>
      </c>
      <c r="G8560" t="str">
        <f>"04-254"</f>
        <v>04-254</v>
      </c>
      <c r="H8560" t="str">
        <f>"A"</f>
        <v>A</v>
      </c>
    </row>
    <row r="8561" spans="1:8" x14ac:dyDescent="0.2">
      <c r="A8561" t="str">
        <f t="shared" si="3115"/>
        <v>0613116722</v>
      </c>
      <c r="B8561" t="str">
        <f t="shared" si="3116"/>
        <v>TRINITY</v>
      </c>
      <c r="C8561" t="str">
        <f t="shared" si="3107"/>
        <v>JOHNSON</v>
      </c>
      <c r="D8561">
        <f>12</f>
        <v>12</v>
      </c>
      <c r="E8561" t="str">
        <f>"06 - S1 - B - 001 - Staci M Newton"</f>
        <v>06 - S1 - B - 001 - Staci M Newton</v>
      </c>
      <c r="F8561" t="str">
        <f>"ACCESS US GOVT"</f>
        <v>ACCESS US GOVT</v>
      </c>
      <c r="G8561" t="str">
        <f>"21-2103"</f>
        <v>21-2103</v>
      </c>
      <c r="H8561" t="str">
        <f>"B"</f>
        <v>B</v>
      </c>
    </row>
    <row r="8562" spans="1:8" x14ac:dyDescent="0.2">
      <c r="A8562" t="str">
        <f t="shared" si="3115"/>
        <v>0613116722</v>
      </c>
      <c r="B8562" t="str">
        <f t="shared" si="3116"/>
        <v>TRINITY</v>
      </c>
      <c r="C8562" t="str">
        <f t="shared" si="3107"/>
        <v>JOHNSON</v>
      </c>
      <c r="D8562">
        <f>12</f>
        <v>12</v>
      </c>
      <c r="E8562" t="str">
        <f>"03 - A - 102 - Reggie L Nixon"</f>
        <v>03 - A - 102 - Reggie L Nixon</v>
      </c>
      <c r="F8562" t="str">
        <f>"ACCESS WORLD HISTORY"</f>
        <v>ACCESS WORLD HISTORY</v>
      </c>
      <c r="G8562" t="str">
        <f>"21-2119"</f>
        <v>21-2119</v>
      </c>
      <c r="H8562" t="str">
        <f>"A"</f>
        <v>A</v>
      </c>
    </row>
    <row r="8563" spans="1:8" x14ac:dyDescent="0.2">
      <c r="A8563" t="str">
        <f t="shared" si="3115"/>
        <v>0613116722</v>
      </c>
      <c r="B8563" t="str">
        <f t="shared" si="3116"/>
        <v>TRINITY</v>
      </c>
      <c r="C8563" t="str">
        <f t="shared" si="3107"/>
        <v>JOHNSON</v>
      </c>
      <c r="D8563">
        <f>12</f>
        <v>12</v>
      </c>
      <c r="E8563" t="str">
        <f>"02 - A - 105 - Leslie J Barton"</f>
        <v>02 - A - 105 - Leslie J Barton</v>
      </c>
      <c r="F8563" t="str">
        <f>"NC STUDY HALL 1"</f>
        <v>NC STUDY HALL 1</v>
      </c>
      <c r="G8563" t="str">
        <f>"05-521"</f>
        <v>05-521</v>
      </c>
      <c r="H8563" t="str">
        <f>"A"</f>
        <v>A</v>
      </c>
    </row>
    <row r="8564" spans="1:8" x14ac:dyDescent="0.2">
      <c r="A8564" t="str">
        <f t="shared" si="3115"/>
        <v>0613116722</v>
      </c>
      <c r="B8564" t="str">
        <f t="shared" si="3116"/>
        <v>TRINITY</v>
      </c>
      <c r="C8564" t="str">
        <f t="shared" ref="C8564:C8577" si="3117">"JOHNSON"</f>
        <v>JOHNSON</v>
      </c>
      <c r="D8564">
        <f>12</f>
        <v>12</v>
      </c>
      <c r="E8564" t="str">
        <f>"07 - B - 001 - Reggie L Nixon"</f>
        <v>07 - B - 001 - Reggie L Nixon</v>
      </c>
      <c r="F8564" t="str">
        <f>"ACCESS ENGLISH 4"</f>
        <v>ACCESS ENGLISH 4</v>
      </c>
      <c r="G8564" t="str">
        <f>"21-2119"</f>
        <v>21-2119</v>
      </c>
      <c r="H8564" t="str">
        <f>"B"</f>
        <v>B</v>
      </c>
    </row>
    <row r="8565" spans="1:8" x14ac:dyDescent="0.2">
      <c r="A8565" t="str">
        <f t="shared" si="3115"/>
        <v>0613116722</v>
      </c>
      <c r="B8565" t="str">
        <f t="shared" si="3116"/>
        <v>TRINITY</v>
      </c>
      <c r="C8565" t="str">
        <f t="shared" si="3117"/>
        <v>JOHNSON</v>
      </c>
      <c r="D8565">
        <f>12</f>
        <v>12</v>
      </c>
      <c r="E8565" t="str">
        <f>"07 - B - 107 - Eric  Lopapa"</f>
        <v>07 - B - 107 - Eric  Lopapa</v>
      </c>
      <c r="F8565" t="str">
        <f>"LANG THERAPY"</f>
        <v>LANG THERAPY</v>
      </c>
      <c r="G8565" t="str">
        <f>"21-2110"</f>
        <v>21-2110</v>
      </c>
      <c r="H8565" t="str">
        <f>"B"</f>
        <v>B</v>
      </c>
    </row>
    <row r="8566" spans="1:8" x14ac:dyDescent="0.2">
      <c r="A8566" t="str">
        <f t="shared" si="3115"/>
        <v>0613116722</v>
      </c>
      <c r="B8566" t="str">
        <f t="shared" si="3116"/>
        <v>TRINITY</v>
      </c>
      <c r="C8566" t="str">
        <f t="shared" si="3117"/>
        <v>JOHNSON</v>
      </c>
      <c r="D8566">
        <f>12</f>
        <v>12</v>
      </c>
      <c r="E8566" t="str">
        <f>"05 - B - 001 - Reggie L Nixon"</f>
        <v>05 - B - 001 - Reggie L Nixon</v>
      </c>
      <c r="F8566" t="str">
        <f>"ACCESS PHYSICAL SCI"</f>
        <v>ACCESS PHYSICAL SCI</v>
      </c>
      <c r="G8566" t="str">
        <f>"21-2119"</f>
        <v>21-2119</v>
      </c>
      <c r="H8566" t="str">
        <f>"B"</f>
        <v>B</v>
      </c>
    </row>
    <row r="8567" spans="1:8" x14ac:dyDescent="0.2">
      <c r="A8567" t="str">
        <f t="shared" si="3115"/>
        <v>0613116722</v>
      </c>
      <c r="B8567" t="str">
        <f t="shared" si="3116"/>
        <v>TRINITY</v>
      </c>
      <c r="C8567" t="str">
        <f t="shared" si="3117"/>
        <v>JOHNSON</v>
      </c>
      <c r="D8567">
        <f>12</f>
        <v>12</v>
      </c>
      <c r="E8567" t="str">
        <f>"01 - A - 101 - Reggie L Nixon"</f>
        <v>01 - A - 101 - Reggie L Nixon</v>
      </c>
      <c r="F8567" t="str">
        <f>"ACCESS ENGLISH 1"</f>
        <v>ACCESS ENGLISH 1</v>
      </c>
      <c r="G8567" t="str">
        <f>"21-2119"</f>
        <v>21-2119</v>
      </c>
      <c r="H8567" t="str">
        <f>"A"</f>
        <v>A</v>
      </c>
    </row>
    <row r="8568" spans="1:8" x14ac:dyDescent="0.2">
      <c r="A8568" t="str">
        <f t="shared" si="3115"/>
        <v>0613116722</v>
      </c>
      <c r="B8568" t="str">
        <f t="shared" si="3116"/>
        <v>TRINITY</v>
      </c>
      <c r="C8568" t="str">
        <f t="shared" si="3117"/>
        <v>JOHNSON</v>
      </c>
      <c r="D8568">
        <f>12</f>
        <v>12</v>
      </c>
      <c r="E8568" t="str">
        <f>"08 - B - 101 - Reggie L Nixon"</f>
        <v>08 - B - 101 - Reggie L Nixon</v>
      </c>
      <c r="F8568" t="str">
        <f>"ACCESS GEOMETRY"</f>
        <v>ACCESS GEOMETRY</v>
      </c>
      <c r="G8568" t="str">
        <f>"21-2119"</f>
        <v>21-2119</v>
      </c>
      <c r="H8568" t="str">
        <f>"B"</f>
        <v>B</v>
      </c>
    </row>
    <row r="8569" spans="1:8" x14ac:dyDescent="0.2">
      <c r="A8569" t="str">
        <f t="shared" si="3115"/>
        <v>0613116722</v>
      </c>
      <c r="B8569" t="str">
        <f t="shared" si="3116"/>
        <v>TRINITY</v>
      </c>
      <c r="C8569" t="str">
        <f t="shared" si="3117"/>
        <v>JOHNSON</v>
      </c>
      <c r="D8569">
        <f>12</f>
        <v>12</v>
      </c>
      <c r="E8569" t="str">
        <f>"08 - B - 118 - Karen A Toomer"</f>
        <v>08 - B - 118 - Karen A Toomer</v>
      </c>
      <c r="F8569" t="str">
        <f>"LANG THERAPY"</f>
        <v>LANG THERAPY</v>
      </c>
      <c r="G8569" t="str">
        <f>"21-2110"</f>
        <v>21-2110</v>
      </c>
      <c r="H8569" t="str">
        <f>"B"</f>
        <v>B</v>
      </c>
    </row>
    <row r="8570" spans="1:8" x14ac:dyDescent="0.2">
      <c r="A8570" t="str">
        <f t="shared" ref="A8570:A8577" si="3118">"0614020337"</f>
        <v>0614020337</v>
      </c>
      <c r="B8570" t="str">
        <f t="shared" ref="B8570:B8577" si="3119">"ZARIAH"</f>
        <v>ZARIAH</v>
      </c>
      <c r="C8570" t="str">
        <f t="shared" si="3117"/>
        <v>JOHNSON</v>
      </c>
      <c r="D8570">
        <f>12</f>
        <v>12</v>
      </c>
      <c r="E8570" t="str">
        <f>"04 - S1 - A - 101 - Nahum  Saint-Preux"</f>
        <v>04 - S1 - A - 101 - Nahum  Saint-Preux</v>
      </c>
      <c r="F8570" t="str">
        <f>"CRIT THINK ST SKLS"</f>
        <v>CRIT THINK ST SKLS</v>
      </c>
      <c r="G8570" t="str">
        <f>"17-1712"</f>
        <v>17-1712</v>
      </c>
      <c r="H8570" t="str">
        <f>"A"</f>
        <v>A</v>
      </c>
    </row>
    <row r="8571" spans="1:8" x14ac:dyDescent="0.2">
      <c r="A8571" t="str">
        <f t="shared" si="3118"/>
        <v>0614020337</v>
      </c>
      <c r="B8571" t="str">
        <f t="shared" si="3119"/>
        <v>ZARIAH</v>
      </c>
      <c r="C8571" t="str">
        <f t="shared" si="3117"/>
        <v>JOHNSON</v>
      </c>
      <c r="D8571">
        <f>12</f>
        <v>12</v>
      </c>
      <c r="E8571" t="str">
        <f>"06 - B - 101 - Lenecy  Nodarse"</f>
        <v>06 - B - 101 - Lenecy  Nodarse</v>
      </c>
      <c r="F8571" t="str">
        <f>"NC STUDY HALL 1"</f>
        <v>NC STUDY HALL 1</v>
      </c>
      <c r="G8571" t="str">
        <f>"17-1741"</f>
        <v>17-1741</v>
      </c>
      <c r="H8571" t="str">
        <f>"B"</f>
        <v>B</v>
      </c>
    </row>
    <row r="8572" spans="1:8" x14ac:dyDescent="0.2">
      <c r="A8572" t="str">
        <f t="shared" si="3118"/>
        <v>0614020337</v>
      </c>
      <c r="B8572" t="str">
        <f t="shared" si="3119"/>
        <v>ZARIAH</v>
      </c>
      <c r="C8572" t="str">
        <f t="shared" si="3117"/>
        <v>JOHNSON</v>
      </c>
      <c r="D8572">
        <f>12</f>
        <v>12</v>
      </c>
      <c r="E8572" t="str">
        <f>"03 - A - 106 - Krystal Marie  Beruty"</f>
        <v>03 - A - 106 - Krystal Marie  Beruty</v>
      </c>
      <c r="F8572" t="str">
        <f>"AICE PSYCH 1 AS"</f>
        <v>AICE PSYCH 1 AS</v>
      </c>
      <c r="G8572" t="str">
        <f>"17-1721"</f>
        <v>17-1721</v>
      </c>
      <c r="H8572" t="str">
        <f>"A"</f>
        <v>A</v>
      </c>
    </row>
    <row r="8573" spans="1:8" x14ac:dyDescent="0.2">
      <c r="A8573" t="str">
        <f t="shared" si="3118"/>
        <v>0614020337</v>
      </c>
      <c r="B8573" t="str">
        <f t="shared" si="3119"/>
        <v>ZARIAH</v>
      </c>
      <c r="C8573" t="str">
        <f t="shared" si="3117"/>
        <v>JOHNSON</v>
      </c>
      <c r="D8573">
        <f>12</f>
        <v>12</v>
      </c>
      <c r="E8573" t="str">
        <f>"02 - S1 - A - 103 - Barbara L Segal"</f>
        <v>02 - S1 - A - 103 - Barbara L Segal</v>
      </c>
      <c r="F8573" t="str">
        <f>"US GOVT HON"</f>
        <v>US GOVT HON</v>
      </c>
      <c r="G8573" t="str">
        <f>"17-1742"</f>
        <v>17-1742</v>
      </c>
      <c r="H8573" t="str">
        <f>"A"</f>
        <v>A</v>
      </c>
    </row>
    <row r="8574" spans="1:8" x14ac:dyDescent="0.2">
      <c r="A8574" t="str">
        <f t="shared" si="3118"/>
        <v>0614020337</v>
      </c>
      <c r="B8574" t="str">
        <f t="shared" si="3119"/>
        <v>ZARIAH</v>
      </c>
      <c r="C8574" t="str">
        <f t="shared" si="3117"/>
        <v>JOHNSON</v>
      </c>
      <c r="D8574">
        <f>12</f>
        <v>12</v>
      </c>
      <c r="E8574" t="str">
        <f>"07 - B - 102 - Tina L Lovett"</f>
        <v>07 - B - 102 - Tina L Lovett</v>
      </c>
      <c r="F8574" t="str">
        <f>"MATH DATA &amp; FIN LIT"</f>
        <v>MATH DATA &amp; FIN LIT</v>
      </c>
      <c r="G8574" t="str">
        <f>"21-2153"</f>
        <v>21-2153</v>
      </c>
      <c r="H8574" t="str">
        <f>"B"</f>
        <v>B</v>
      </c>
    </row>
    <row r="8575" spans="1:8" x14ac:dyDescent="0.2">
      <c r="A8575" t="str">
        <f t="shared" si="3118"/>
        <v>0614020337</v>
      </c>
      <c r="B8575" t="str">
        <f t="shared" si="3119"/>
        <v>ZARIAH</v>
      </c>
      <c r="C8575" t="str">
        <f t="shared" si="3117"/>
        <v>JOHNSON</v>
      </c>
      <c r="D8575">
        <f>12</f>
        <v>12</v>
      </c>
      <c r="E8575" t="str">
        <f>"05 - B - 102 - Dorothy D Moore"</f>
        <v>05 - B - 102 - Dorothy D Moore</v>
      </c>
      <c r="F8575" t="str">
        <f>"FORC SCI 1 LH"</f>
        <v>FORC SCI 1 LH</v>
      </c>
      <c r="G8575" t="str">
        <f>"08-803"</f>
        <v>08-803</v>
      </c>
      <c r="H8575" t="str">
        <f>"B"</f>
        <v>B</v>
      </c>
    </row>
    <row r="8576" spans="1:8" x14ac:dyDescent="0.2">
      <c r="A8576" t="str">
        <f t="shared" si="3118"/>
        <v>0614020337</v>
      </c>
      <c r="B8576" t="str">
        <f t="shared" si="3119"/>
        <v>ZARIAH</v>
      </c>
      <c r="C8576" t="str">
        <f t="shared" si="3117"/>
        <v>JOHNSON</v>
      </c>
      <c r="D8576">
        <f>12</f>
        <v>12</v>
      </c>
      <c r="E8576" t="str">
        <f>"01 - S1 - A - 101 - Bruce A Evans"</f>
        <v>01 - S1 - A - 101 - Bruce A Evans</v>
      </c>
      <c r="F8576" t="str">
        <f>"ELECTROCARD TECH 3HN"</f>
        <v>ELECTROCARD TECH 3HN</v>
      </c>
      <c r="G8576" t="str">
        <f>"21-2142"</f>
        <v>21-2142</v>
      </c>
      <c r="H8576" t="str">
        <f>"A"</f>
        <v>A</v>
      </c>
    </row>
    <row r="8577" spans="1:8" x14ac:dyDescent="0.2">
      <c r="A8577" t="str">
        <f t="shared" si="3118"/>
        <v>0614020337</v>
      </c>
      <c r="B8577" t="str">
        <f t="shared" si="3119"/>
        <v>ZARIAH</v>
      </c>
      <c r="C8577" t="str">
        <f t="shared" si="3117"/>
        <v>JOHNSON</v>
      </c>
      <c r="D8577">
        <f>12</f>
        <v>12</v>
      </c>
      <c r="E8577" t="str">
        <f>"08 - B - 203 - Courtney E Hambright"</f>
        <v>08 - B - 203 - Courtney E Hambright</v>
      </c>
      <c r="F8577" t="str">
        <f>"AP ENG LIT COMPO"</f>
        <v>AP ENG LIT COMPO</v>
      </c>
      <c r="G8577" t="str">
        <f>"17-1711"</f>
        <v>17-1711</v>
      </c>
      <c r="H8577" t="str">
        <f>"B"</f>
        <v>B</v>
      </c>
    </row>
    <row r="8578" spans="1:8" x14ac:dyDescent="0.2">
      <c r="A8578" t="str">
        <f t="shared" ref="A8578:A8585" si="3120">"0616031066"</f>
        <v>0616031066</v>
      </c>
      <c r="B8578" t="str">
        <f t="shared" ref="B8578:B8585" si="3121">"JAINA"</f>
        <v>JAINA</v>
      </c>
      <c r="C8578" t="str">
        <f t="shared" ref="C8578:C8585" si="3122">"JOHNSON-PAULEMONT"</f>
        <v>JOHNSON-PAULEMONT</v>
      </c>
      <c r="D8578">
        <f>10</f>
        <v>10</v>
      </c>
      <c r="E8578" t="str">
        <f>"04 - A - 104 - Marius D Orsolini"</f>
        <v>04 - A - 104 - Marius D Orsolini</v>
      </c>
      <c r="F8578" t="str">
        <f>"CULINARY ARTS 1"</f>
        <v>CULINARY ARTS 1</v>
      </c>
      <c r="G8578" t="str">
        <f>"21-2115"</f>
        <v>21-2115</v>
      </c>
      <c r="H8578" t="str">
        <f>"A"</f>
        <v>A</v>
      </c>
    </row>
    <row r="8579" spans="1:8" x14ac:dyDescent="0.2">
      <c r="A8579" t="str">
        <f t="shared" si="3120"/>
        <v>0616031066</v>
      </c>
      <c r="B8579" t="str">
        <f t="shared" si="3121"/>
        <v>JAINA</v>
      </c>
      <c r="C8579" t="str">
        <f t="shared" si="3122"/>
        <v>JOHNSON-PAULEMONT</v>
      </c>
      <c r="D8579">
        <f>10</f>
        <v>10</v>
      </c>
      <c r="E8579" t="str">
        <f>"06 - B - 109 - Semra  Bahadir"</f>
        <v>06 - B - 109 - Semra  Bahadir</v>
      </c>
      <c r="F8579" t="str">
        <f>"NC STUDY HALL 1"</f>
        <v>NC STUDY HALL 1</v>
      </c>
      <c r="G8579" t="str">
        <f>"21-2107"</f>
        <v>21-2107</v>
      </c>
      <c r="H8579" t="str">
        <f>"B"</f>
        <v>B</v>
      </c>
    </row>
    <row r="8580" spans="1:8" x14ac:dyDescent="0.2">
      <c r="A8580" t="str">
        <f t="shared" si="3120"/>
        <v>0616031066</v>
      </c>
      <c r="B8580" t="str">
        <f t="shared" si="3121"/>
        <v>JAINA</v>
      </c>
      <c r="C8580" t="str">
        <f t="shared" si="3122"/>
        <v>JOHNSON-PAULEMONT</v>
      </c>
      <c r="D8580">
        <f>10</f>
        <v>10</v>
      </c>
      <c r="E8580" t="str">
        <f>"03 - A - 103 - Jacquelyn M Neeson"</f>
        <v>03 - A - 103 - Jacquelyn M Neeson</v>
      </c>
      <c r="F8580" t="str">
        <f>"ENG 2"</f>
        <v>ENG 2</v>
      </c>
      <c r="G8580" t="str">
        <f>"17-1715"</f>
        <v>17-1715</v>
      </c>
      <c r="H8580" t="str">
        <f>"A"</f>
        <v>A</v>
      </c>
    </row>
    <row r="8581" spans="1:8" x14ac:dyDescent="0.2">
      <c r="A8581" t="str">
        <f t="shared" si="3120"/>
        <v>0616031066</v>
      </c>
      <c r="B8581" t="str">
        <f t="shared" si="3121"/>
        <v>JAINA</v>
      </c>
      <c r="C8581" t="str">
        <f t="shared" si="3122"/>
        <v>JOHNSON-PAULEMONT</v>
      </c>
      <c r="D8581">
        <f>10</f>
        <v>10</v>
      </c>
      <c r="E8581" t="str">
        <f>"02 - S1 - A - 101 - Carol S Moore"</f>
        <v>02 - S1 - A - 101 - Carol S Moore</v>
      </c>
      <c r="F8581" t="str">
        <f>"PER CAR SCH DEV 1 LH"</f>
        <v>PER CAR SCH DEV 1 LH</v>
      </c>
      <c r="G8581" t="str">
        <f>"17-1733"</f>
        <v>17-1733</v>
      </c>
      <c r="H8581" t="str">
        <f>"A"</f>
        <v>A</v>
      </c>
    </row>
    <row r="8582" spans="1:8" x14ac:dyDescent="0.2">
      <c r="A8582" t="str">
        <f t="shared" si="3120"/>
        <v>0616031066</v>
      </c>
      <c r="B8582" t="str">
        <f t="shared" si="3121"/>
        <v>JAINA</v>
      </c>
      <c r="C8582" t="str">
        <f t="shared" si="3122"/>
        <v>JOHNSON-PAULEMONT</v>
      </c>
      <c r="D8582">
        <f>10</f>
        <v>10</v>
      </c>
      <c r="E8582" t="str">
        <f>"07 - B - 106 - James H Mccann"</f>
        <v>07 - B - 106 - James H Mccann</v>
      </c>
      <c r="F8582" t="str">
        <f>"ALGEBRA 2"</f>
        <v>ALGEBRA 2</v>
      </c>
      <c r="G8582" t="str">
        <f>"17-1716"</f>
        <v>17-1716</v>
      </c>
      <c r="H8582" t="str">
        <f>"B"</f>
        <v>B</v>
      </c>
    </row>
    <row r="8583" spans="1:8" x14ac:dyDescent="0.2">
      <c r="A8583" t="str">
        <f t="shared" si="3120"/>
        <v>0616031066</v>
      </c>
      <c r="B8583" t="str">
        <f t="shared" si="3121"/>
        <v>JAINA</v>
      </c>
      <c r="C8583" t="str">
        <f t="shared" si="3122"/>
        <v>JOHNSON-PAULEMONT</v>
      </c>
      <c r="D8583">
        <f>10</f>
        <v>10</v>
      </c>
      <c r="E8583" t="str">
        <f>"05 - B - 101 - Alejandro  Navarro"</f>
        <v>05 - B - 101 - Alejandro  Navarro</v>
      </c>
      <c r="F8583" t="str">
        <f>"GUITAR 2"</f>
        <v>GUITAR 2</v>
      </c>
      <c r="G8583" t="str">
        <f>"05-504"</f>
        <v>05-504</v>
      </c>
      <c r="H8583" t="str">
        <f>"B"</f>
        <v>B</v>
      </c>
    </row>
    <row r="8584" spans="1:8" x14ac:dyDescent="0.2">
      <c r="A8584" t="str">
        <f t="shared" si="3120"/>
        <v>0616031066</v>
      </c>
      <c r="B8584" t="str">
        <f t="shared" si="3121"/>
        <v>JAINA</v>
      </c>
      <c r="C8584" t="str">
        <f t="shared" si="3122"/>
        <v>JOHNSON-PAULEMONT</v>
      </c>
      <c r="D8584">
        <f>10</f>
        <v>10</v>
      </c>
      <c r="E8584" t="str">
        <f>"01 - A - 001 - Dorothy D Moore"</f>
        <v>01 - A - 001 - Dorothy D Moore</v>
      </c>
      <c r="F8584" t="str">
        <f>"ANAT PHYSIO HON"</f>
        <v>ANAT PHYSIO HON</v>
      </c>
      <c r="G8584" t="str">
        <f>"08-803"</f>
        <v>08-803</v>
      </c>
      <c r="H8584" t="str">
        <f>"A"</f>
        <v>A</v>
      </c>
    </row>
    <row r="8585" spans="1:8" x14ac:dyDescent="0.2">
      <c r="A8585" t="str">
        <f t="shared" si="3120"/>
        <v>0616031066</v>
      </c>
      <c r="B8585" t="str">
        <f t="shared" si="3121"/>
        <v>JAINA</v>
      </c>
      <c r="C8585" t="str">
        <f t="shared" si="3122"/>
        <v>JOHNSON-PAULEMONT</v>
      </c>
      <c r="D8585">
        <f>10</f>
        <v>10</v>
      </c>
      <c r="E8585" t="str">
        <f>"08 - B - 105 - Daniel S Tyson"</f>
        <v>08 - B - 105 - Daniel S Tyson</v>
      </c>
      <c r="F8585" t="str">
        <f>"JROTC NAVAL SCI 1"</f>
        <v>JROTC NAVAL SCI 1</v>
      </c>
      <c r="G8585" t="str">
        <f>"05-510"</f>
        <v>05-510</v>
      </c>
      <c r="H8585" t="str">
        <f>"B"</f>
        <v>B</v>
      </c>
    </row>
    <row r="8586" spans="1:8" x14ac:dyDescent="0.2">
      <c r="A8586" t="str">
        <f t="shared" ref="A8586:A8593" si="3123">"0616116329"</f>
        <v>0616116329</v>
      </c>
      <c r="B8586" t="str">
        <f t="shared" ref="B8586:B8593" si="3124">"JUSTIN"</f>
        <v>JUSTIN</v>
      </c>
      <c r="C8586" t="str">
        <f t="shared" ref="C8586:C8593" si="3125">"JOLLEY"</f>
        <v>JOLLEY</v>
      </c>
      <c r="D8586" t="str">
        <f t="shared" ref="D8586:D8593" si="3126">"09"</f>
        <v>09</v>
      </c>
      <c r="E8586" t="str">
        <f>"04 - A - 103 - Cerine S Stewart"</f>
        <v>04 - A - 103 - Cerine S Stewart</v>
      </c>
      <c r="F8586" t="str">
        <f>"ENG 1"</f>
        <v>ENG 1</v>
      </c>
      <c r="G8586" t="str">
        <f>"17-1720"</f>
        <v>17-1720</v>
      </c>
      <c r="H8586" t="str">
        <f>"A"</f>
        <v>A</v>
      </c>
    </row>
    <row r="8587" spans="1:8" x14ac:dyDescent="0.2">
      <c r="A8587" t="str">
        <f t="shared" si="3123"/>
        <v>0616116329</v>
      </c>
      <c r="B8587" t="str">
        <f t="shared" si="3124"/>
        <v>JUSTIN</v>
      </c>
      <c r="C8587" t="str">
        <f t="shared" si="3125"/>
        <v>JOLLEY</v>
      </c>
      <c r="D8587" t="str">
        <f t="shared" si="3126"/>
        <v>09</v>
      </c>
      <c r="E8587" t="str">
        <f>"06 - B - 106 - Adam Marcus  Drucker"</f>
        <v>06 - B - 106 - Adam Marcus  Drucker</v>
      </c>
      <c r="F8587" t="str">
        <f>"HOPE-PE V"</f>
        <v>HOPE-PE V</v>
      </c>
      <c r="G8587" t="str">
        <f>"04-254"</f>
        <v>04-254</v>
      </c>
      <c r="H8587" t="str">
        <f>"B"</f>
        <v>B</v>
      </c>
    </row>
    <row r="8588" spans="1:8" x14ac:dyDescent="0.2">
      <c r="A8588" t="str">
        <f t="shared" si="3123"/>
        <v>0616116329</v>
      </c>
      <c r="B8588" t="str">
        <f t="shared" si="3124"/>
        <v>JUSTIN</v>
      </c>
      <c r="C8588" t="str">
        <f t="shared" si="3125"/>
        <v>JOLLEY</v>
      </c>
      <c r="D8588" t="str">
        <f t="shared" si="3126"/>
        <v>09</v>
      </c>
      <c r="E8588" t="str">
        <f>"03 - A - 103 - Samantha J Headley"</f>
        <v>03 - A - 103 - Samantha J Headley</v>
      </c>
      <c r="F8588" t="str">
        <f>"MARINE SCI 1 HON"</f>
        <v>MARINE SCI 1 HON</v>
      </c>
      <c r="G8588" t="str">
        <f>"21-2134"</f>
        <v>21-2134</v>
      </c>
      <c r="H8588" t="str">
        <f>"A"</f>
        <v>A</v>
      </c>
    </row>
    <row r="8589" spans="1:8" x14ac:dyDescent="0.2">
      <c r="A8589" t="str">
        <f t="shared" si="3123"/>
        <v>0616116329</v>
      </c>
      <c r="B8589" t="str">
        <f t="shared" si="3124"/>
        <v>JUSTIN</v>
      </c>
      <c r="C8589" t="str">
        <f t="shared" si="3125"/>
        <v>JOLLEY</v>
      </c>
      <c r="D8589" t="str">
        <f t="shared" si="3126"/>
        <v>09</v>
      </c>
      <c r="E8589" t="str">
        <f>"02 - A - 109 - Krystal Marie  Beruty"</f>
        <v>02 - A - 109 - Krystal Marie  Beruty</v>
      </c>
      <c r="F8589" t="str">
        <f>"NC STUDY HALL 1"</f>
        <v>NC STUDY HALL 1</v>
      </c>
      <c r="G8589" t="str">
        <f>"17-1721"</f>
        <v>17-1721</v>
      </c>
      <c r="H8589" t="str">
        <f>"A"</f>
        <v>A</v>
      </c>
    </row>
    <row r="8590" spans="1:8" x14ac:dyDescent="0.2">
      <c r="A8590" t="str">
        <f t="shared" si="3123"/>
        <v>0616116329</v>
      </c>
      <c r="B8590" t="str">
        <f t="shared" si="3124"/>
        <v>JUSTIN</v>
      </c>
      <c r="C8590" t="str">
        <f t="shared" si="3125"/>
        <v>JOLLEY</v>
      </c>
      <c r="D8590" t="str">
        <f t="shared" si="3126"/>
        <v>09</v>
      </c>
      <c r="E8590" t="str">
        <f>"07 - B - 105 - Joe  Kilpatrick Jr"</f>
        <v>07 - B - 105 - Joe  Kilpatrick Jr</v>
      </c>
      <c r="F8590" t="str">
        <f>"PRE-AICE SPAN 1 IG"</f>
        <v>PRE-AICE SPAN 1 IG</v>
      </c>
      <c r="G8590" t="str">
        <f>"09-912"</f>
        <v>09-912</v>
      </c>
      <c r="H8590" t="str">
        <f>"B"</f>
        <v>B</v>
      </c>
    </row>
    <row r="8591" spans="1:8" x14ac:dyDescent="0.2">
      <c r="A8591" t="str">
        <f t="shared" si="3123"/>
        <v>0616116329</v>
      </c>
      <c r="B8591" t="str">
        <f t="shared" si="3124"/>
        <v>JUSTIN</v>
      </c>
      <c r="C8591" t="str">
        <f t="shared" si="3125"/>
        <v>JOLLEY</v>
      </c>
      <c r="D8591" t="str">
        <f t="shared" si="3126"/>
        <v>09</v>
      </c>
      <c r="E8591" t="str">
        <f>"05 - S1 - B - 103 - Leslie J Barton"</f>
        <v>05 - S1 - B - 103 - Leslie J Barton</v>
      </c>
      <c r="F8591" t="str">
        <f>"FIRST AID SAFETY"</f>
        <v>FIRST AID SAFETY</v>
      </c>
      <c r="G8591" t="str">
        <f>"05-521"</f>
        <v>05-521</v>
      </c>
      <c r="H8591" t="str">
        <f>"B"</f>
        <v>B</v>
      </c>
    </row>
    <row r="8592" spans="1:8" x14ac:dyDescent="0.2">
      <c r="A8592" t="str">
        <f t="shared" si="3123"/>
        <v>0616116329</v>
      </c>
      <c r="B8592" t="str">
        <f t="shared" si="3124"/>
        <v>JUSTIN</v>
      </c>
      <c r="C8592" t="str">
        <f t="shared" si="3125"/>
        <v>JOLLEY</v>
      </c>
      <c r="D8592" t="str">
        <f t="shared" si="3126"/>
        <v>09</v>
      </c>
      <c r="E8592" t="str">
        <f>"01 - A - 107 - Jazmin S Fletcher"</f>
        <v>01 - A - 107 - Jazmin S Fletcher</v>
      </c>
      <c r="F8592" t="str">
        <f>"WORLD HISTORY"</f>
        <v>WORLD HISTORY</v>
      </c>
      <c r="G8592" t="str">
        <f>"09-909"</f>
        <v>09-909</v>
      </c>
      <c r="H8592" t="str">
        <f>"A"</f>
        <v>A</v>
      </c>
    </row>
    <row r="8593" spans="1:8" x14ac:dyDescent="0.2">
      <c r="A8593" t="str">
        <f t="shared" si="3123"/>
        <v>0616116329</v>
      </c>
      <c r="B8593" t="str">
        <f t="shared" si="3124"/>
        <v>JUSTIN</v>
      </c>
      <c r="C8593" t="str">
        <f t="shared" si="3125"/>
        <v>JOLLEY</v>
      </c>
      <c r="D8593" t="str">
        <f t="shared" si="3126"/>
        <v>09</v>
      </c>
      <c r="E8593" t="str">
        <f>"08 - B - 107 - Brook E Goren"</f>
        <v>08 - B - 107 - Brook E Goren</v>
      </c>
      <c r="F8593" t="str">
        <f>"GEOMETRY"</f>
        <v>GEOMETRY</v>
      </c>
      <c r="G8593" t="str">
        <f>"21-2158"</f>
        <v>21-2158</v>
      </c>
      <c r="H8593" t="str">
        <f>"B"</f>
        <v>B</v>
      </c>
    </row>
    <row r="8594" spans="1:8" x14ac:dyDescent="0.2">
      <c r="A8594" t="str">
        <f t="shared" ref="A8594:A8601" si="3127">"0616007144"</f>
        <v>0616007144</v>
      </c>
      <c r="B8594" t="str">
        <f t="shared" ref="B8594:B8601" si="3128">"WOODKELY"</f>
        <v>WOODKELY</v>
      </c>
      <c r="C8594" t="str">
        <f t="shared" ref="C8594:C8601" si="3129">"JONASSAINT"</f>
        <v>JONASSAINT</v>
      </c>
      <c r="D8594">
        <f>10</f>
        <v>10</v>
      </c>
      <c r="E8594" t="str">
        <f>"04 - A - 104 - Nikiel  Nesbeth"</f>
        <v>04 - A - 104 - Nikiel  Nesbeth</v>
      </c>
      <c r="F8594" t="str">
        <f>"ENG 2"</f>
        <v>ENG 2</v>
      </c>
      <c r="G8594" t="str">
        <f>"17-1705"</f>
        <v>17-1705</v>
      </c>
      <c r="H8594" t="str">
        <f>"A"</f>
        <v>A</v>
      </c>
    </row>
    <row r="8595" spans="1:8" x14ac:dyDescent="0.2">
      <c r="A8595" t="str">
        <f t="shared" si="3127"/>
        <v>0616007144</v>
      </c>
      <c r="B8595" t="str">
        <f t="shared" si="3128"/>
        <v>WOODKELY</v>
      </c>
      <c r="C8595" t="str">
        <f t="shared" si="3129"/>
        <v>JONASSAINT</v>
      </c>
      <c r="D8595">
        <f>10</f>
        <v>10</v>
      </c>
      <c r="E8595" t="str">
        <f>"06 - B - 107 - Dorothy D Moore"</f>
        <v>06 - B - 107 - Dorothy D Moore</v>
      </c>
      <c r="F8595" t="str">
        <f>"NC STUDY HALL 1"</f>
        <v>NC STUDY HALL 1</v>
      </c>
      <c r="G8595" t="str">
        <f>"08-803"</f>
        <v>08-803</v>
      </c>
      <c r="H8595" t="str">
        <f>"B"</f>
        <v>B</v>
      </c>
    </row>
    <row r="8596" spans="1:8" x14ac:dyDescent="0.2">
      <c r="A8596" t="str">
        <f t="shared" si="3127"/>
        <v>0616007144</v>
      </c>
      <c r="B8596" t="str">
        <f t="shared" si="3128"/>
        <v>WOODKELY</v>
      </c>
      <c r="C8596" t="str">
        <f t="shared" si="3129"/>
        <v>JONASSAINT</v>
      </c>
      <c r="D8596">
        <f>10</f>
        <v>10</v>
      </c>
      <c r="E8596" t="str">
        <f>"03 - A - 101 - Eva T Rimmer"</f>
        <v>03 - A - 101 - Eva T Rimmer</v>
      </c>
      <c r="F8596" t="str">
        <f>"CRIMINAL JUST OPS 1"</f>
        <v>CRIMINAL JUST OPS 1</v>
      </c>
      <c r="G8596" t="str">
        <f>"05-523"</f>
        <v>05-523</v>
      </c>
      <c r="H8596" t="str">
        <f>"A"</f>
        <v>A</v>
      </c>
    </row>
    <row r="8597" spans="1:8" x14ac:dyDescent="0.2">
      <c r="A8597" t="str">
        <f t="shared" si="3127"/>
        <v>0616007144</v>
      </c>
      <c r="B8597" t="str">
        <f t="shared" si="3128"/>
        <v>WOODKELY</v>
      </c>
      <c r="C8597" t="str">
        <f t="shared" si="3129"/>
        <v>JONASSAINT</v>
      </c>
      <c r="D8597">
        <f>10</f>
        <v>10</v>
      </c>
      <c r="E8597" t="str">
        <f>"02 - S1 - A - 101 - James H Mccann"</f>
        <v>02 - S1 - A - 101 - James H Mccann</v>
      </c>
      <c r="F8597" t="str">
        <f>"PERS FIN &amp; MON MGT H"</f>
        <v>PERS FIN &amp; MON MGT H</v>
      </c>
      <c r="G8597" t="str">
        <f>"17-1716"</f>
        <v>17-1716</v>
      </c>
      <c r="H8597" t="str">
        <f>"A"</f>
        <v>A</v>
      </c>
    </row>
    <row r="8598" spans="1:8" x14ac:dyDescent="0.2">
      <c r="A8598" t="str">
        <f t="shared" si="3127"/>
        <v>0616007144</v>
      </c>
      <c r="B8598" t="str">
        <f t="shared" si="3128"/>
        <v>WOODKELY</v>
      </c>
      <c r="C8598" t="str">
        <f t="shared" si="3129"/>
        <v>JONASSAINT</v>
      </c>
      <c r="D8598">
        <f>10</f>
        <v>10</v>
      </c>
      <c r="E8598" t="str">
        <f>"07 - B - 201 - Angela S Adeshina-Morrison"</f>
        <v>07 - B - 201 - Angela S Adeshina-Morrison</v>
      </c>
      <c r="F8598" t="str">
        <f>"BUSINESS OWNER HON"</f>
        <v>BUSINESS OWNER HON</v>
      </c>
      <c r="G8598" t="str">
        <f>"05-518"</f>
        <v>05-518</v>
      </c>
      <c r="H8598" t="str">
        <f>"B"</f>
        <v>B</v>
      </c>
    </row>
    <row r="8599" spans="1:8" x14ac:dyDescent="0.2">
      <c r="A8599" t="str">
        <f t="shared" si="3127"/>
        <v>0616007144</v>
      </c>
      <c r="B8599" t="str">
        <f t="shared" si="3128"/>
        <v>WOODKELY</v>
      </c>
      <c r="C8599" t="str">
        <f t="shared" si="3129"/>
        <v>JONASSAINT</v>
      </c>
      <c r="D8599">
        <f>10</f>
        <v>10</v>
      </c>
      <c r="E8599" t="str">
        <f>"05 - B - 103 - Josiah I Lacy"</f>
        <v>05 - B - 103 - Josiah I Lacy</v>
      </c>
      <c r="F8599" t="str">
        <f>"PRE-AICE BIO IG"</f>
        <v>PRE-AICE BIO IG</v>
      </c>
      <c r="G8599" t="str">
        <f>"08-801"</f>
        <v>08-801</v>
      </c>
      <c r="H8599" t="str">
        <f>"B"</f>
        <v>B</v>
      </c>
    </row>
    <row r="8600" spans="1:8" x14ac:dyDescent="0.2">
      <c r="A8600" t="str">
        <f t="shared" si="3127"/>
        <v>0616007144</v>
      </c>
      <c r="B8600" t="str">
        <f t="shared" si="3128"/>
        <v>WOODKELY</v>
      </c>
      <c r="C8600" t="str">
        <f t="shared" si="3129"/>
        <v>JONASSAINT</v>
      </c>
      <c r="D8600">
        <f>10</f>
        <v>10</v>
      </c>
      <c r="E8600" t="str">
        <f>"01 - A - 104 - Milca  Exantus"</f>
        <v>01 - A - 104 - Milca  Exantus</v>
      </c>
      <c r="F8600" t="str">
        <f>"MATH COLLEGE LIB ART"</f>
        <v>MATH COLLEGE LIB ART</v>
      </c>
      <c r="G8600" t="str">
        <f>"21-2145"</f>
        <v>21-2145</v>
      </c>
      <c r="H8600" t="str">
        <f>"A"</f>
        <v>A</v>
      </c>
    </row>
    <row r="8601" spans="1:8" x14ac:dyDescent="0.2">
      <c r="A8601" t="str">
        <f t="shared" si="3127"/>
        <v>0616007144</v>
      </c>
      <c r="B8601" t="str">
        <f t="shared" si="3128"/>
        <v>WOODKELY</v>
      </c>
      <c r="C8601" t="str">
        <f t="shared" si="3129"/>
        <v>JONASSAINT</v>
      </c>
      <c r="D8601">
        <f>10</f>
        <v>10</v>
      </c>
      <c r="E8601" t="str">
        <f>"08 - S1 - B - 105 - Richard E Dunbar Iii"</f>
        <v>08 - S1 - B - 105 - Richard E Dunbar Iii</v>
      </c>
      <c r="F8601" t="str">
        <f>"WEIGHT TRAIN 1"</f>
        <v>WEIGHT TRAIN 1</v>
      </c>
      <c r="G8601" t="str">
        <f>"05-501"</f>
        <v>05-501</v>
      </c>
      <c r="H8601" t="str">
        <f>"B"</f>
        <v>B</v>
      </c>
    </row>
    <row r="8602" spans="1:8" x14ac:dyDescent="0.2">
      <c r="A8602" t="str">
        <f t="shared" ref="A8602:A8609" si="3130">"0615103978"</f>
        <v>0615103978</v>
      </c>
      <c r="B8602" t="str">
        <f t="shared" ref="B8602:B8609" si="3131">"AEDAN"</f>
        <v>AEDAN</v>
      </c>
      <c r="C8602" t="str">
        <f t="shared" ref="C8602:C8633" si="3132">"JONES"</f>
        <v>JONES</v>
      </c>
      <c r="D8602">
        <f>10</f>
        <v>10</v>
      </c>
      <c r="E8602" t="str">
        <f>"04 - A - 201 - Dorothy D Moore"</f>
        <v>04 - A - 201 - Dorothy D Moore</v>
      </c>
      <c r="F8602" t="str">
        <f>"HEALTH SCI 1/A&amp;P HON"</f>
        <v>HEALTH SCI 1/A&amp;P HON</v>
      </c>
      <c r="G8602" t="str">
        <f>"08-803"</f>
        <v>08-803</v>
      </c>
      <c r="H8602" t="str">
        <f>"A"</f>
        <v>A</v>
      </c>
    </row>
    <row r="8603" spans="1:8" x14ac:dyDescent="0.2">
      <c r="A8603" t="str">
        <f t="shared" si="3130"/>
        <v>0615103978</v>
      </c>
      <c r="B8603" t="str">
        <f t="shared" si="3131"/>
        <v>AEDAN</v>
      </c>
      <c r="C8603" t="str">
        <f t="shared" si="3132"/>
        <v>JONES</v>
      </c>
      <c r="D8603">
        <f>10</f>
        <v>10</v>
      </c>
      <c r="E8603" t="str">
        <f>"06 - B - 117 - Daniel S Tyson"</f>
        <v>06 - B - 117 - Daniel S Tyson</v>
      </c>
      <c r="F8603" t="str">
        <f>"NC STUDY HALL 1"</f>
        <v>NC STUDY HALL 1</v>
      </c>
      <c r="G8603" t="str">
        <f>"05-510"</f>
        <v>05-510</v>
      </c>
      <c r="H8603" t="str">
        <f>"B"</f>
        <v>B</v>
      </c>
    </row>
    <row r="8604" spans="1:8" x14ac:dyDescent="0.2">
      <c r="A8604" t="str">
        <f t="shared" si="3130"/>
        <v>0615103978</v>
      </c>
      <c r="B8604" t="str">
        <f t="shared" si="3131"/>
        <v>AEDAN</v>
      </c>
      <c r="C8604" t="str">
        <f t="shared" si="3132"/>
        <v>JONES</v>
      </c>
      <c r="D8604">
        <f>10</f>
        <v>10</v>
      </c>
      <c r="E8604" t="str">
        <f>"03 - S1 - A - 102 - Leslie J Barton"</f>
        <v>03 - S1 - A - 102 - Leslie J Barton</v>
      </c>
      <c r="F8604" t="str">
        <f>"FIRST AID SAFETY"</f>
        <v>FIRST AID SAFETY</v>
      </c>
      <c r="G8604" t="str">
        <f>"05-521"</f>
        <v>05-521</v>
      </c>
      <c r="H8604" t="str">
        <f>"A"</f>
        <v>A</v>
      </c>
    </row>
    <row r="8605" spans="1:8" x14ac:dyDescent="0.2">
      <c r="A8605" t="str">
        <f t="shared" si="3130"/>
        <v>0615103978</v>
      </c>
      <c r="B8605" t="str">
        <f t="shared" si="3131"/>
        <v>AEDAN</v>
      </c>
      <c r="C8605" t="str">
        <f t="shared" si="3132"/>
        <v>JONES</v>
      </c>
      <c r="D8605">
        <f>10</f>
        <v>10</v>
      </c>
      <c r="E8605" t="str">
        <f>"02 - A - 102 - Chrystina M Marchionne"</f>
        <v>02 - A - 102 - Chrystina M Marchionne</v>
      </c>
      <c r="F8605" t="str">
        <f>"AICE MEDIASTUDIES AS"</f>
        <v>AICE MEDIASTUDIES AS</v>
      </c>
      <c r="G8605" t="str">
        <f>"05-520"</f>
        <v>05-520</v>
      </c>
      <c r="H8605" t="str">
        <f>"A"</f>
        <v>A</v>
      </c>
    </row>
    <row r="8606" spans="1:8" x14ac:dyDescent="0.2">
      <c r="A8606" t="str">
        <f t="shared" si="3130"/>
        <v>0615103978</v>
      </c>
      <c r="B8606" t="str">
        <f t="shared" si="3131"/>
        <v>AEDAN</v>
      </c>
      <c r="C8606" t="str">
        <f t="shared" si="3132"/>
        <v>JONES</v>
      </c>
      <c r="D8606">
        <f>10</f>
        <v>10</v>
      </c>
      <c r="E8606" t="str">
        <f>"07 - B - 102 - Timothy J Lawrence"</f>
        <v>07 - B - 102 - Timothy J Lawrence</v>
      </c>
      <c r="F8606" t="str">
        <f>"AICE PHYS ED 1 AS"</f>
        <v>AICE PHYS ED 1 AS</v>
      </c>
      <c r="G8606" t="str">
        <f>"05-523"</f>
        <v>05-523</v>
      </c>
      <c r="H8606" t="str">
        <f>"B"</f>
        <v>B</v>
      </c>
    </row>
    <row r="8607" spans="1:8" x14ac:dyDescent="0.2">
      <c r="A8607" t="str">
        <f t="shared" si="3130"/>
        <v>0615103978</v>
      </c>
      <c r="B8607" t="str">
        <f t="shared" si="3131"/>
        <v>AEDAN</v>
      </c>
      <c r="C8607" t="str">
        <f t="shared" si="3132"/>
        <v>JONES</v>
      </c>
      <c r="D8607">
        <f>10</f>
        <v>10</v>
      </c>
      <c r="E8607" t="str">
        <f>"05 - B - 106 - Courtney E Hambright"</f>
        <v>05 - B - 106 - Courtney E Hambright</v>
      </c>
      <c r="F8607" t="str">
        <f>"AICE ENG LANG AS"</f>
        <v>AICE ENG LANG AS</v>
      </c>
      <c r="G8607" t="str">
        <f>"17-1711"</f>
        <v>17-1711</v>
      </c>
      <c r="H8607" t="str">
        <f>"B"</f>
        <v>B</v>
      </c>
    </row>
    <row r="8608" spans="1:8" x14ac:dyDescent="0.2">
      <c r="A8608" t="str">
        <f t="shared" si="3130"/>
        <v>0615103978</v>
      </c>
      <c r="B8608" t="str">
        <f t="shared" si="3131"/>
        <v>AEDAN</v>
      </c>
      <c r="C8608" t="str">
        <f t="shared" si="3132"/>
        <v>JONES</v>
      </c>
      <c r="D8608">
        <f>10</f>
        <v>10</v>
      </c>
      <c r="E8608" t="str">
        <f>"01 - A - 101 - Daniel S Katz"</f>
        <v>01 - A - 101 - Daniel S Katz</v>
      </c>
      <c r="F8608" t="str">
        <f>"EXEC INTERN 3 LH"</f>
        <v>EXEC INTERN 3 LH</v>
      </c>
      <c r="G8608" t="str">
        <f>"21-2156"</f>
        <v>21-2156</v>
      </c>
      <c r="H8608" t="str">
        <f>"A"</f>
        <v>A</v>
      </c>
    </row>
    <row r="8609" spans="1:8" x14ac:dyDescent="0.2">
      <c r="A8609" t="str">
        <f t="shared" si="3130"/>
        <v>0615103978</v>
      </c>
      <c r="B8609" t="str">
        <f t="shared" si="3131"/>
        <v>AEDAN</v>
      </c>
      <c r="C8609" t="str">
        <f t="shared" si="3132"/>
        <v>JONES</v>
      </c>
      <c r="D8609">
        <f>10</f>
        <v>10</v>
      </c>
      <c r="E8609" t="str">
        <f>"08 - B - 109 - Emmily A Sarmiento"</f>
        <v>08 - B - 109 - Emmily A Sarmiento</v>
      </c>
      <c r="F8609" t="str">
        <f>"AICE GLBL PERSP 1 AS"</f>
        <v>AICE GLBL PERSP 1 AS</v>
      </c>
      <c r="G8609" t="str">
        <f>"17-1743"</f>
        <v>17-1743</v>
      </c>
      <c r="H8609" t="str">
        <f>"B"</f>
        <v>B</v>
      </c>
    </row>
    <row r="8610" spans="1:8" x14ac:dyDescent="0.2">
      <c r="A8610" t="str">
        <f t="shared" ref="A8610:A8617" si="3133">"0615117489"</f>
        <v>0615117489</v>
      </c>
      <c r="B8610" t="str">
        <f t="shared" ref="B8610:B8617" si="3134">"GEORGE"</f>
        <v>GEORGE</v>
      </c>
      <c r="C8610" t="str">
        <f t="shared" si="3132"/>
        <v>JONES</v>
      </c>
      <c r="D8610">
        <f>10</f>
        <v>10</v>
      </c>
      <c r="E8610" t="str">
        <f>"04 - A - 102 - Eva T Rimmer"</f>
        <v>04 - A - 102 - Eva T Rimmer</v>
      </c>
      <c r="F8610" t="str">
        <f>"CRIMINAL JUST OPS 1"</f>
        <v>CRIMINAL JUST OPS 1</v>
      </c>
      <c r="G8610" t="str">
        <f>"05-523"</f>
        <v>05-523</v>
      </c>
      <c r="H8610" t="str">
        <f>"A"</f>
        <v>A</v>
      </c>
    </row>
    <row r="8611" spans="1:8" x14ac:dyDescent="0.2">
      <c r="A8611" t="str">
        <f t="shared" si="3133"/>
        <v>0615117489</v>
      </c>
      <c r="B8611" t="str">
        <f t="shared" si="3134"/>
        <v>GEORGE</v>
      </c>
      <c r="C8611" t="str">
        <f t="shared" si="3132"/>
        <v>JONES</v>
      </c>
      <c r="D8611">
        <f>10</f>
        <v>10</v>
      </c>
      <c r="E8611" t="str">
        <f>"06 - B - 104 - Robert H Rindner"</f>
        <v>06 - B - 104 - Robert H Rindner</v>
      </c>
      <c r="F8611" t="str">
        <f>"NC STUDY HALL 1"</f>
        <v>NC STUDY HALL 1</v>
      </c>
      <c r="G8611" t="str">
        <f>"21-2160"</f>
        <v>21-2160</v>
      </c>
      <c r="H8611" t="str">
        <f>"B"</f>
        <v>B</v>
      </c>
    </row>
    <row r="8612" spans="1:8" x14ac:dyDescent="0.2">
      <c r="A8612" t="str">
        <f t="shared" si="3133"/>
        <v>0615117489</v>
      </c>
      <c r="B8612" t="str">
        <f t="shared" si="3134"/>
        <v>GEORGE</v>
      </c>
      <c r="C8612" t="str">
        <f t="shared" si="3132"/>
        <v>JONES</v>
      </c>
      <c r="D8612">
        <f>10</f>
        <v>10</v>
      </c>
      <c r="E8612" t="str">
        <f>"03 - A - 002 - Nikiel  Nesbeth"</f>
        <v>03 - A - 002 - Nikiel  Nesbeth</v>
      </c>
      <c r="F8612" t="str">
        <f>"PRE-AICE ENG LIT IG"</f>
        <v>PRE-AICE ENG LIT IG</v>
      </c>
      <c r="G8612" t="str">
        <f>"17-1705"</f>
        <v>17-1705</v>
      </c>
      <c r="H8612" t="str">
        <f>"A"</f>
        <v>A</v>
      </c>
    </row>
    <row r="8613" spans="1:8" x14ac:dyDescent="0.2">
      <c r="A8613" t="str">
        <f t="shared" si="3133"/>
        <v>0615117489</v>
      </c>
      <c r="B8613" t="str">
        <f t="shared" si="3134"/>
        <v>GEORGE</v>
      </c>
      <c r="C8613" t="str">
        <f t="shared" si="3132"/>
        <v>JONES</v>
      </c>
      <c r="D8613">
        <f>10</f>
        <v>10</v>
      </c>
      <c r="E8613" t="str">
        <f>"02 - S1 - A - 102 - Richard E Dunbar Iii"</f>
        <v>02 - S1 - A - 102 - Richard E Dunbar Iii</v>
      </c>
      <c r="F8613" t="str">
        <f>"WEIGHT TRAIN 1"</f>
        <v>WEIGHT TRAIN 1</v>
      </c>
      <c r="G8613" t="str">
        <f>"05-501"</f>
        <v>05-501</v>
      </c>
      <c r="H8613" t="str">
        <f>"A"</f>
        <v>A</v>
      </c>
    </row>
    <row r="8614" spans="1:8" x14ac:dyDescent="0.2">
      <c r="A8614" t="str">
        <f t="shared" si="3133"/>
        <v>0615117489</v>
      </c>
      <c r="B8614" t="str">
        <f t="shared" si="3134"/>
        <v>GEORGE</v>
      </c>
      <c r="C8614" t="str">
        <f t="shared" si="3132"/>
        <v>JONES</v>
      </c>
      <c r="D8614">
        <f>10</f>
        <v>10</v>
      </c>
      <c r="E8614" t="str">
        <f>"07 - B - 204 - Scott A Dethloff"</f>
        <v>07 - B - 204 - Scott A Dethloff</v>
      </c>
      <c r="F8614" t="str">
        <f>"CHEMISTRY 1"</f>
        <v>CHEMISTRY 1</v>
      </c>
      <c r="G8614" t="str">
        <f>"08-812"</f>
        <v>08-812</v>
      </c>
      <c r="H8614" t="str">
        <f>"B"</f>
        <v>B</v>
      </c>
    </row>
    <row r="8615" spans="1:8" x14ac:dyDescent="0.2">
      <c r="A8615" t="str">
        <f t="shared" si="3133"/>
        <v>0615117489</v>
      </c>
      <c r="B8615" t="str">
        <f t="shared" si="3134"/>
        <v>GEORGE</v>
      </c>
      <c r="C8615" t="str">
        <f t="shared" si="3132"/>
        <v>JONES</v>
      </c>
      <c r="D8615">
        <f>10</f>
        <v>10</v>
      </c>
      <c r="E8615" t="str">
        <f>"05 - B - 104 - Maried P Ramos"</f>
        <v>05 - B - 104 - Maried P Ramos</v>
      </c>
      <c r="F8615" t="str">
        <f>"PRE-AICE MATH 2 IG"</f>
        <v>PRE-AICE MATH 2 IG</v>
      </c>
      <c r="G8615" t="str">
        <f>"21-2159"</f>
        <v>21-2159</v>
      </c>
      <c r="H8615" t="str">
        <f>"B"</f>
        <v>B</v>
      </c>
    </row>
    <row r="8616" spans="1:8" x14ac:dyDescent="0.2">
      <c r="A8616" t="str">
        <f t="shared" si="3133"/>
        <v>0615117489</v>
      </c>
      <c r="B8616" t="str">
        <f t="shared" si="3134"/>
        <v>GEORGE</v>
      </c>
      <c r="C8616" t="str">
        <f t="shared" si="3132"/>
        <v>JONES</v>
      </c>
      <c r="D8616">
        <f>10</f>
        <v>10</v>
      </c>
      <c r="E8616" t="str">
        <f>"01 - A - 101 - Joe  Kilpatrick Jr"</f>
        <v>01 - A - 101 - Joe  Kilpatrick Jr</v>
      </c>
      <c r="F8616" t="str">
        <f>"PRE-AICE SPAN 1 IG"</f>
        <v>PRE-AICE SPAN 1 IG</v>
      </c>
      <c r="G8616" t="str">
        <f>"09-912"</f>
        <v>09-912</v>
      </c>
      <c r="H8616" t="str">
        <f>"A"</f>
        <v>A</v>
      </c>
    </row>
    <row r="8617" spans="1:8" x14ac:dyDescent="0.2">
      <c r="A8617" t="str">
        <f t="shared" si="3133"/>
        <v>0615117489</v>
      </c>
      <c r="B8617" t="str">
        <f t="shared" si="3134"/>
        <v>GEORGE</v>
      </c>
      <c r="C8617" t="str">
        <f t="shared" si="3132"/>
        <v>JONES</v>
      </c>
      <c r="D8617">
        <f>10</f>
        <v>10</v>
      </c>
      <c r="E8617" t="str">
        <f>"08 - S1 - B - 105 - James H Mccann"</f>
        <v>08 - S1 - B - 105 - James H Mccann</v>
      </c>
      <c r="F8617" t="str">
        <f>"PERS FIN &amp; MON MGT H"</f>
        <v>PERS FIN &amp; MON MGT H</v>
      </c>
      <c r="G8617" t="str">
        <f>"17-1716"</f>
        <v>17-1716</v>
      </c>
      <c r="H8617" t="str">
        <f>"B"</f>
        <v>B</v>
      </c>
    </row>
    <row r="8618" spans="1:8" x14ac:dyDescent="0.2">
      <c r="A8618" t="str">
        <f t="shared" ref="A8618:A8623" si="3135">"0613084494"</f>
        <v>0613084494</v>
      </c>
      <c r="B8618" t="str">
        <f t="shared" ref="B8618:B8623" si="3136">"INIYAH"</f>
        <v>INIYAH</v>
      </c>
      <c r="C8618" t="str">
        <f t="shared" si="3132"/>
        <v>JONES</v>
      </c>
      <c r="D8618">
        <f>12</f>
        <v>12</v>
      </c>
      <c r="E8618" t="str">
        <f>"19 - S1 - MTWHF - BCC - Instructor BC"</f>
        <v>19 - S1 - MTWHF - BCC - Instructor BC</v>
      </c>
      <c r="F8618" t="str">
        <f>"CRIMINAL INVESTIGAT"</f>
        <v>CRIMINAL INVESTIGAT</v>
      </c>
      <c r="G8618" t="str">
        <f>"60-DE"</f>
        <v>60-DE</v>
      </c>
      <c r="H8618" t="str">
        <f>"-"</f>
        <v>-</v>
      </c>
    </row>
    <row r="8619" spans="1:8" x14ac:dyDescent="0.2">
      <c r="A8619" t="str">
        <f t="shared" si="3135"/>
        <v>0613084494</v>
      </c>
      <c r="B8619" t="str">
        <f t="shared" si="3136"/>
        <v>INIYAH</v>
      </c>
      <c r="C8619" t="str">
        <f t="shared" si="3132"/>
        <v>JONES</v>
      </c>
      <c r="D8619">
        <f>12</f>
        <v>12</v>
      </c>
      <c r="E8619" t="str">
        <f>"19 - S1 - MTWHF - BCC - Instructor BC"</f>
        <v>19 - S1 - MTWHF - BCC - Instructor BC</v>
      </c>
      <c r="F8619" t="str">
        <f>"GENERAL PSYCHOLOGY"</f>
        <v>GENERAL PSYCHOLOGY</v>
      </c>
      <c r="G8619" t="str">
        <f>"60-DE"</f>
        <v>60-DE</v>
      </c>
      <c r="H8619" t="str">
        <f>"-"</f>
        <v>-</v>
      </c>
    </row>
    <row r="8620" spans="1:8" x14ac:dyDescent="0.2">
      <c r="A8620" t="str">
        <f t="shared" si="3135"/>
        <v>0613084494</v>
      </c>
      <c r="B8620" t="str">
        <f t="shared" si="3136"/>
        <v>INIYAH</v>
      </c>
      <c r="C8620" t="str">
        <f t="shared" si="3132"/>
        <v>JONES</v>
      </c>
      <c r="D8620">
        <f>12</f>
        <v>12</v>
      </c>
      <c r="E8620" t="str">
        <f>"06 - B - 109 - Carol S Moore"</f>
        <v>06 - B - 109 - Carol S Moore</v>
      </c>
      <c r="F8620" t="str">
        <f>"NC STUDY HALL 1"</f>
        <v>NC STUDY HALL 1</v>
      </c>
      <c r="G8620" t="str">
        <f>"17-1733"</f>
        <v>17-1733</v>
      </c>
      <c r="H8620" t="str">
        <f>"B"</f>
        <v>B</v>
      </c>
    </row>
    <row r="8621" spans="1:8" x14ac:dyDescent="0.2">
      <c r="A8621" t="str">
        <f t="shared" si="3135"/>
        <v>0613084494</v>
      </c>
      <c r="B8621" t="str">
        <f t="shared" si="3136"/>
        <v>INIYAH</v>
      </c>
      <c r="C8621" t="str">
        <f t="shared" si="3132"/>
        <v>JONES</v>
      </c>
      <c r="D8621">
        <f>12</f>
        <v>12</v>
      </c>
      <c r="E8621" t="str">
        <f>"02 - A - 102 - Norayda D Suarez"</f>
        <v>02 - A - 102 - Norayda D Suarez</v>
      </c>
      <c r="F8621" t="str">
        <f>"RESEARCH 1 LH"</f>
        <v>RESEARCH 1 LH</v>
      </c>
      <c r="G8621">
        <f>2041</f>
        <v>2041</v>
      </c>
      <c r="H8621" t="str">
        <f>"A"</f>
        <v>A</v>
      </c>
    </row>
    <row r="8622" spans="1:8" x14ac:dyDescent="0.2">
      <c r="A8622" t="str">
        <f t="shared" si="3135"/>
        <v>0613084494</v>
      </c>
      <c r="B8622" t="str">
        <f t="shared" si="3136"/>
        <v>INIYAH</v>
      </c>
      <c r="C8622" t="str">
        <f t="shared" si="3132"/>
        <v>JONES</v>
      </c>
      <c r="D8622">
        <f>12</f>
        <v>12</v>
      </c>
      <c r="E8622" t="str">
        <f>"05 - S1 - B - 102 - Barbara L Segal"</f>
        <v>05 - S1 - B - 102 - Barbara L Segal</v>
      </c>
      <c r="F8622" t="str">
        <f>"US GOVT HON"</f>
        <v>US GOVT HON</v>
      </c>
      <c r="G8622" t="str">
        <f>"17-1742"</f>
        <v>17-1742</v>
      </c>
      <c r="H8622" t="str">
        <f>"B"</f>
        <v>B</v>
      </c>
    </row>
    <row r="8623" spans="1:8" x14ac:dyDescent="0.2">
      <c r="A8623" t="str">
        <f t="shared" si="3135"/>
        <v>0613084494</v>
      </c>
      <c r="B8623" t="str">
        <f t="shared" si="3136"/>
        <v>INIYAH</v>
      </c>
      <c r="C8623" t="str">
        <f t="shared" si="3132"/>
        <v>JONES</v>
      </c>
      <c r="D8623">
        <f>12</f>
        <v>12</v>
      </c>
      <c r="E8623" t="str">
        <f>"01 - A - 103 - Jeffrey S Gallagher"</f>
        <v>01 - A - 103 - Jeffrey S Gallagher</v>
      </c>
      <c r="F8623" t="str">
        <f>"ENG HON 4"</f>
        <v>ENG HON 4</v>
      </c>
      <c r="G8623" t="str">
        <f>"17-1724"</f>
        <v>17-1724</v>
      </c>
      <c r="H8623" t="str">
        <f>"A"</f>
        <v>A</v>
      </c>
    </row>
    <row r="8624" spans="1:8" x14ac:dyDescent="0.2">
      <c r="A8624" t="str">
        <f t="shared" ref="A8624:A8631" si="3137">"0616070082"</f>
        <v>0616070082</v>
      </c>
      <c r="B8624" t="str">
        <f t="shared" ref="B8624:B8631" si="3138">"JA'MAURI"</f>
        <v>JA'MAURI</v>
      </c>
      <c r="C8624" t="str">
        <f t="shared" si="3132"/>
        <v>JONES</v>
      </c>
      <c r="D8624" t="str">
        <f t="shared" ref="D8624:D8655" si="3139">"09"</f>
        <v>09</v>
      </c>
      <c r="E8624" t="str">
        <f>"04 - A - 107 - Amy Beth  Broyles"</f>
        <v>04 - A - 107 - Amy Beth  Broyles</v>
      </c>
      <c r="F8624" t="str">
        <f>"ENV SCI"</f>
        <v>ENV SCI</v>
      </c>
      <c r="G8624" t="str">
        <f>"08-802"</f>
        <v>08-802</v>
      </c>
      <c r="H8624" t="str">
        <f>"A"</f>
        <v>A</v>
      </c>
    </row>
    <row r="8625" spans="1:8" x14ac:dyDescent="0.2">
      <c r="A8625" t="str">
        <f t="shared" si="3137"/>
        <v>0616070082</v>
      </c>
      <c r="B8625" t="str">
        <f t="shared" si="3138"/>
        <v>JA'MAURI</v>
      </c>
      <c r="C8625" t="str">
        <f t="shared" si="3132"/>
        <v>JONES</v>
      </c>
      <c r="D8625" t="str">
        <f t="shared" si="3139"/>
        <v>09</v>
      </c>
      <c r="E8625" t="str">
        <f>"06 - B - 105 - Dayna M Foster"</f>
        <v>06 - B - 105 - Dayna M Foster</v>
      </c>
      <c r="F8625" t="str">
        <f>"ALGEBRA 1"</f>
        <v>ALGEBRA 1</v>
      </c>
      <c r="G8625" t="str">
        <f>"21-2109"</f>
        <v>21-2109</v>
      </c>
      <c r="H8625" t="str">
        <f>"B"</f>
        <v>B</v>
      </c>
    </row>
    <row r="8626" spans="1:8" x14ac:dyDescent="0.2">
      <c r="A8626" t="str">
        <f t="shared" si="3137"/>
        <v>0616070082</v>
      </c>
      <c r="B8626" t="str">
        <f t="shared" si="3138"/>
        <v>JA'MAURI</v>
      </c>
      <c r="C8626" t="str">
        <f t="shared" si="3132"/>
        <v>JONES</v>
      </c>
      <c r="D8626" t="str">
        <f t="shared" si="3139"/>
        <v>09</v>
      </c>
      <c r="E8626" t="str">
        <f>"03 - A - 101 - Dayna M Foster"</f>
        <v>03 - A - 101 - Dayna M Foster</v>
      </c>
      <c r="F8626" t="str">
        <f>"FDN SKLS MATH 9-12"</f>
        <v>FDN SKLS MATH 9-12</v>
      </c>
      <c r="G8626" t="str">
        <f>"21-2109"</f>
        <v>21-2109</v>
      </c>
      <c r="H8626" t="str">
        <f>"A"</f>
        <v>A</v>
      </c>
    </row>
    <row r="8627" spans="1:8" x14ac:dyDescent="0.2">
      <c r="A8627" t="str">
        <f t="shared" si="3137"/>
        <v>0616070082</v>
      </c>
      <c r="B8627" t="str">
        <f t="shared" si="3138"/>
        <v>JA'MAURI</v>
      </c>
      <c r="C8627" t="str">
        <f t="shared" si="3132"/>
        <v>JONES</v>
      </c>
      <c r="D8627" t="str">
        <f t="shared" si="3139"/>
        <v>09</v>
      </c>
      <c r="E8627" t="str">
        <f>"02 - A - 104 - Jazmin S Fletcher"</f>
        <v>02 - A - 104 - Jazmin S Fletcher</v>
      </c>
      <c r="F8627" t="str">
        <f>"NC STUDY HALL 1"</f>
        <v>NC STUDY HALL 1</v>
      </c>
      <c r="G8627" t="str">
        <f>"09-909"</f>
        <v>09-909</v>
      </c>
      <c r="H8627" t="str">
        <f>"A"</f>
        <v>A</v>
      </c>
    </row>
    <row r="8628" spans="1:8" x14ac:dyDescent="0.2">
      <c r="A8628" t="str">
        <f t="shared" si="3137"/>
        <v>0616070082</v>
      </c>
      <c r="B8628" t="str">
        <f t="shared" si="3138"/>
        <v>JA'MAURI</v>
      </c>
      <c r="C8628" t="str">
        <f t="shared" si="3132"/>
        <v>JONES</v>
      </c>
      <c r="D8628" t="str">
        <f t="shared" si="3139"/>
        <v>09</v>
      </c>
      <c r="E8628" t="str">
        <f>"07 - B - 104 - Lissa C Frederique"</f>
        <v>07 - B - 104 - Lissa C Frederique</v>
      </c>
      <c r="F8628" t="str">
        <f>"WORLD HISTORY"</f>
        <v>WORLD HISTORY</v>
      </c>
      <c r="G8628" t="str">
        <f>"17-1754"</f>
        <v>17-1754</v>
      </c>
      <c r="H8628" t="str">
        <f>"B"</f>
        <v>B</v>
      </c>
    </row>
    <row r="8629" spans="1:8" x14ac:dyDescent="0.2">
      <c r="A8629" t="str">
        <f t="shared" si="3137"/>
        <v>0616070082</v>
      </c>
      <c r="B8629" t="str">
        <f t="shared" si="3138"/>
        <v>JA'MAURI</v>
      </c>
      <c r="C8629" t="str">
        <f t="shared" si="3132"/>
        <v>JONES</v>
      </c>
      <c r="D8629" t="str">
        <f t="shared" si="3139"/>
        <v>09</v>
      </c>
      <c r="E8629" t="str">
        <f>"05 - B - 101 - Linda  Celestin"</f>
        <v>05 - B - 101 - Linda  Celestin</v>
      </c>
      <c r="F8629" t="str">
        <f>"LRNG STRATEGIES 9-12"</f>
        <v>LRNG STRATEGIES 9-12</v>
      </c>
      <c r="G8629" t="str">
        <f>"21-2160"</f>
        <v>21-2160</v>
      </c>
      <c r="H8629" t="str">
        <f>"B"</f>
        <v>B</v>
      </c>
    </row>
    <row r="8630" spans="1:8" x14ac:dyDescent="0.2">
      <c r="A8630" t="str">
        <f t="shared" si="3137"/>
        <v>0616070082</v>
      </c>
      <c r="B8630" t="str">
        <f t="shared" si="3138"/>
        <v>JA'MAURI</v>
      </c>
      <c r="C8630" t="str">
        <f t="shared" si="3132"/>
        <v>JONES</v>
      </c>
      <c r="D8630" t="str">
        <f t="shared" si="3139"/>
        <v>09</v>
      </c>
      <c r="E8630" t="str">
        <f>"01 - A - 101 - Adam Marcus  Drucker"</f>
        <v>01 - A - 101 - Adam Marcus  Drucker</v>
      </c>
      <c r="F8630" t="str">
        <f>"HOPE-PE V"</f>
        <v>HOPE-PE V</v>
      </c>
      <c r="G8630" t="str">
        <f>"04-254"</f>
        <v>04-254</v>
      </c>
      <c r="H8630" t="str">
        <f>"A"</f>
        <v>A</v>
      </c>
    </row>
    <row r="8631" spans="1:8" x14ac:dyDescent="0.2">
      <c r="A8631" t="str">
        <f t="shared" si="3137"/>
        <v>0616070082</v>
      </c>
      <c r="B8631" t="str">
        <f t="shared" si="3138"/>
        <v>JA'MAURI</v>
      </c>
      <c r="C8631" t="str">
        <f t="shared" si="3132"/>
        <v>JONES</v>
      </c>
      <c r="D8631" t="str">
        <f t="shared" si="3139"/>
        <v>09</v>
      </c>
      <c r="E8631" t="str">
        <f>"08 - B - 108 - Cerine S Stewart"</f>
        <v>08 - B - 108 - Cerine S Stewart</v>
      </c>
      <c r="F8631" t="str">
        <f>"ENG 1"</f>
        <v>ENG 1</v>
      </c>
      <c r="G8631" t="str">
        <f>"17-1720"</f>
        <v>17-1720</v>
      </c>
      <c r="H8631" t="str">
        <f>"B"</f>
        <v>B</v>
      </c>
    </row>
    <row r="8632" spans="1:8" x14ac:dyDescent="0.2">
      <c r="A8632" t="str">
        <f t="shared" ref="A8632:A8639" si="3140">"0616146043"</f>
        <v>0616146043</v>
      </c>
      <c r="B8632" t="str">
        <f t="shared" ref="B8632:B8639" si="3141">"JODI"</f>
        <v>JODI</v>
      </c>
      <c r="C8632" t="str">
        <f t="shared" si="3132"/>
        <v>JONES</v>
      </c>
      <c r="D8632" t="str">
        <f t="shared" si="3139"/>
        <v>09</v>
      </c>
      <c r="E8632" t="str">
        <f>"04 - A - 102 - Byron G Montenegro"</f>
        <v>04 - A - 102 - Byron G Montenegro</v>
      </c>
      <c r="F8632" t="str">
        <f>"AICE MARINE SCI 1 AS"</f>
        <v>AICE MARINE SCI 1 AS</v>
      </c>
      <c r="G8632" t="str">
        <f>"21-2144"</f>
        <v>21-2144</v>
      </c>
      <c r="H8632" t="str">
        <f>"A"</f>
        <v>A</v>
      </c>
    </row>
    <row r="8633" spans="1:8" x14ac:dyDescent="0.2">
      <c r="A8633" t="str">
        <f t="shared" si="3140"/>
        <v>0616146043</v>
      </c>
      <c r="B8633" t="str">
        <f t="shared" si="3141"/>
        <v>JODI</v>
      </c>
      <c r="C8633" t="str">
        <f t="shared" si="3132"/>
        <v>JONES</v>
      </c>
      <c r="D8633" t="str">
        <f t="shared" si="3139"/>
        <v>09</v>
      </c>
      <c r="E8633" t="str">
        <f>"06 - B - 105 - Cerine S Stewart"</f>
        <v>06 - B - 105 - Cerine S Stewart</v>
      </c>
      <c r="F8633" t="str">
        <f>"AICE ENG GEN PAPER 1"</f>
        <v>AICE ENG GEN PAPER 1</v>
      </c>
      <c r="G8633" t="str">
        <f>"17-1720"</f>
        <v>17-1720</v>
      </c>
      <c r="H8633" t="str">
        <f>"B"</f>
        <v>B</v>
      </c>
    </row>
    <row r="8634" spans="1:8" x14ac:dyDescent="0.2">
      <c r="A8634" t="str">
        <f t="shared" si="3140"/>
        <v>0616146043</v>
      </c>
      <c r="B8634" t="str">
        <f t="shared" si="3141"/>
        <v>JODI</v>
      </c>
      <c r="C8634" t="str">
        <f t="shared" ref="C8634:C8663" si="3142">"JONES"</f>
        <v>JONES</v>
      </c>
      <c r="D8634" t="str">
        <f t="shared" si="3139"/>
        <v>09</v>
      </c>
      <c r="E8634" t="str">
        <f>"03 - A - 001 - Maried P Ramos"</f>
        <v>03 - A - 001 - Maried P Ramos</v>
      </c>
      <c r="F8634" t="str">
        <f>"PRE-AICE MATH 2 IG"</f>
        <v>PRE-AICE MATH 2 IG</v>
      </c>
      <c r="G8634" t="str">
        <f>"21-2159"</f>
        <v>21-2159</v>
      </c>
      <c r="H8634" t="str">
        <f>"A"</f>
        <v>A</v>
      </c>
    </row>
    <row r="8635" spans="1:8" x14ac:dyDescent="0.2">
      <c r="A8635" t="str">
        <f t="shared" si="3140"/>
        <v>0616146043</v>
      </c>
      <c r="B8635" t="str">
        <f t="shared" si="3141"/>
        <v>JODI</v>
      </c>
      <c r="C8635" t="str">
        <f t="shared" si="3142"/>
        <v>JONES</v>
      </c>
      <c r="D8635" t="str">
        <f t="shared" si="3139"/>
        <v>09</v>
      </c>
      <c r="E8635" t="str">
        <f>"02 - A - 111 - Cheryl L Beach"</f>
        <v>02 - A - 111 - Cheryl L Beach</v>
      </c>
      <c r="F8635" t="str">
        <f>"NC STUDY HALL 1"</f>
        <v>NC STUDY HALL 1</v>
      </c>
      <c r="G8635" t="str">
        <f>"08-811"</f>
        <v>08-811</v>
      </c>
      <c r="H8635" t="str">
        <f>"A"</f>
        <v>A</v>
      </c>
    </row>
    <row r="8636" spans="1:8" x14ac:dyDescent="0.2">
      <c r="A8636" t="str">
        <f t="shared" si="3140"/>
        <v>0616146043</v>
      </c>
      <c r="B8636" t="str">
        <f t="shared" si="3141"/>
        <v>JODI</v>
      </c>
      <c r="C8636" t="str">
        <f t="shared" si="3142"/>
        <v>JONES</v>
      </c>
      <c r="D8636" t="str">
        <f t="shared" si="3139"/>
        <v>09</v>
      </c>
      <c r="E8636" t="str">
        <f>"07 - B - 105 - Paige Lauren  Brochu"</f>
        <v>07 - B - 105 - Paige Lauren  Brochu</v>
      </c>
      <c r="F8636" t="str">
        <f>"PRE-AICE BIO IG"</f>
        <v>PRE-AICE BIO IG</v>
      </c>
      <c r="G8636" t="str">
        <f>"21-2134"</f>
        <v>21-2134</v>
      </c>
      <c r="H8636" t="str">
        <f>"B"</f>
        <v>B</v>
      </c>
    </row>
    <row r="8637" spans="1:8" x14ac:dyDescent="0.2">
      <c r="A8637" t="str">
        <f t="shared" si="3140"/>
        <v>0616146043</v>
      </c>
      <c r="B8637" t="str">
        <f t="shared" si="3141"/>
        <v>JODI</v>
      </c>
      <c r="C8637" t="str">
        <f t="shared" si="3142"/>
        <v>JONES</v>
      </c>
      <c r="D8637" t="str">
        <f t="shared" si="3139"/>
        <v>09</v>
      </c>
      <c r="E8637" t="str">
        <f>"05 - B - 003 - Krystal Marie  Beruty"</f>
        <v>05 - B - 003 - Krystal Marie  Beruty</v>
      </c>
      <c r="F8637" t="str">
        <f>"AICE GLBL PERSP 1 AS"</f>
        <v>AICE GLBL PERSP 1 AS</v>
      </c>
      <c r="G8637" t="str">
        <f>"17-1721"</f>
        <v>17-1721</v>
      </c>
      <c r="H8637" t="str">
        <f>"B"</f>
        <v>B</v>
      </c>
    </row>
    <row r="8638" spans="1:8" x14ac:dyDescent="0.2">
      <c r="A8638" t="str">
        <f t="shared" si="3140"/>
        <v>0616146043</v>
      </c>
      <c r="B8638" t="str">
        <f t="shared" si="3141"/>
        <v>JODI</v>
      </c>
      <c r="C8638" t="str">
        <f t="shared" si="3142"/>
        <v>JONES</v>
      </c>
      <c r="D8638" t="str">
        <f t="shared" si="3139"/>
        <v>09</v>
      </c>
      <c r="E8638" t="str">
        <f>"01 - A - 101 - Marius D Orsolini"</f>
        <v>01 - A - 101 - Marius D Orsolini</v>
      </c>
      <c r="F8638" t="str">
        <f>"CULINARY ARTS 1"</f>
        <v>CULINARY ARTS 1</v>
      </c>
      <c r="G8638" t="str">
        <f>"21-2115"</f>
        <v>21-2115</v>
      </c>
      <c r="H8638" t="str">
        <f>"A"</f>
        <v>A</v>
      </c>
    </row>
    <row r="8639" spans="1:8" x14ac:dyDescent="0.2">
      <c r="A8639" t="str">
        <f t="shared" si="3140"/>
        <v>0616146043</v>
      </c>
      <c r="B8639" t="str">
        <f t="shared" si="3141"/>
        <v>JODI</v>
      </c>
      <c r="C8639" t="str">
        <f t="shared" si="3142"/>
        <v>JONES</v>
      </c>
      <c r="D8639" t="str">
        <f t="shared" si="3139"/>
        <v>09</v>
      </c>
      <c r="E8639" t="str">
        <f>"08 - B - 202 - Dorothy D Moore"</f>
        <v>08 - B - 202 - Dorothy D Moore</v>
      </c>
      <c r="F8639" t="str">
        <f>"HEALTH SCI 1/A&amp;P HON"</f>
        <v>HEALTH SCI 1/A&amp;P HON</v>
      </c>
      <c r="G8639" t="str">
        <f>"08-803"</f>
        <v>08-803</v>
      </c>
      <c r="H8639" t="str">
        <f>"B"</f>
        <v>B</v>
      </c>
    </row>
    <row r="8640" spans="1:8" x14ac:dyDescent="0.2">
      <c r="A8640" t="str">
        <f t="shared" ref="A8640:A8647" si="3143">"0616147451"</f>
        <v>0616147451</v>
      </c>
      <c r="B8640" t="str">
        <f t="shared" ref="B8640:B8647" si="3144">"NAOMI"</f>
        <v>NAOMI</v>
      </c>
      <c r="C8640" t="str">
        <f t="shared" si="3142"/>
        <v>JONES</v>
      </c>
      <c r="D8640" t="str">
        <f t="shared" si="3139"/>
        <v>09</v>
      </c>
      <c r="E8640" t="str">
        <f>"04 - A - 104 - Brook E Goren"</f>
        <v>04 - A - 104 - Brook E Goren</v>
      </c>
      <c r="F8640" t="str">
        <f>"ALGEBRA 2 HON"</f>
        <v>ALGEBRA 2 HON</v>
      </c>
      <c r="G8640" t="str">
        <f>"21-2158"</f>
        <v>21-2158</v>
      </c>
      <c r="H8640" t="str">
        <f>"A"</f>
        <v>A</v>
      </c>
    </row>
    <row r="8641" spans="1:8" x14ac:dyDescent="0.2">
      <c r="A8641" t="str">
        <f t="shared" si="3143"/>
        <v>0616147451</v>
      </c>
      <c r="B8641" t="str">
        <f t="shared" si="3144"/>
        <v>NAOMI</v>
      </c>
      <c r="C8641" t="str">
        <f t="shared" si="3142"/>
        <v>JONES</v>
      </c>
      <c r="D8641" t="str">
        <f t="shared" si="3139"/>
        <v>09</v>
      </c>
      <c r="E8641" t="str">
        <f>"06 - B - 102 - Rosa Elaine  Collado-Duff"</f>
        <v>06 - B - 102 - Rosa Elaine  Collado-Duff</v>
      </c>
      <c r="F8641" t="str">
        <f>"SPANISH 3 HON"</f>
        <v>SPANISH 3 HON</v>
      </c>
      <c r="G8641" t="str">
        <f>"09-913"</f>
        <v>09-913</v>
      </c>
      <c r="H8641" t="str">
        <f>"B"</f>
        <v>B</v>
      </c>
    </row>
    <row r="8642" spans="1:8" x14ac:dyDescent="0.2">
      <c r="A8642" t="str">
        <f t="shared" si="3143"/>
        <v>0616147451</v>
      </c>
      <c r="B8642" t="str">
        <f t="shared" si="3144"/>
        <v>NAOMI</v>
      </c>
      <c r="C8642" t="str">
        <f t="shared" si="3142"/>
        <v>JONES</v>
      </c>
      <c r="D8642" t="str">
        <f t="shared" si="3139"/>
        <v>09</v>
      </c>
      <c r="E8642" t="str">
        <f>"03 - A - 101 - Eva T Rimmer"</f>
        <v>03 - A - 101 - Eva T Rimmer</v>
      </c>
      <c r="F8642" t="str">
        <f>"CRIMINAL JUST OPS 1"</f>
        <v>CRIMINAL JUST OPS 1</v>
      </c>
      <c r="G8642" t="str">
        <f>"05-523"</f>
        <v>05-523</v>
      </c>
      <c r="H8642" t="str">
        <f>"A"</f>
        <v>A</v>
      </c>
    </row>
    <row r="8643" spans="1:8" x14ac:dyDescent="0.2">
      <c r="A8643" t="str">
        <f t="shared" si="3143"/>
        <v>0616147451</v>
      </c>
      <c r="B8643" t="str">
        <f t="shared" si="3144"/>
        <v>NAOMI</v>
      </c>
      <c r="C8643" t="str">
        <f t="shared" si="3142"/>
        <v>JONES</v>
      </c>
      <c r="D8643" t="str">
        <f t="shared" si="3139"/>
        <v>09</v>
      </c>
      <c r="E8643" t="str">
        <f>"02 - A - 104 - Lytrell T Dixon"</f>
        <v>02 - A - 104 - Lytrell T Dixon</v>
      </c>
      <c r="F8643" t="str">
        <f>"NC STUDY HALL 1"</f>
        <v>NC STUDY HALL 1</v>
      </c>
      <c r="G8643" t="str">
        <f>"08-808"</f>
        <v>08-808</v>
      </c>
      <c r="H8643" t="str">
        <f>"A"</f>
        <v>A</v>
      </c>
    </row>
    <row r="8644" spans="1:8" x14ac:dyDescent="0.2">
      <c r="A8644" t="str">
        <f t="shared" si="3143"/>
        <v>0616147451</v>
      </c>
      <c r="B8644" t="str">
        <f t="shared" si="3144"/>
        <v>NAOMI</v>
      </c>
      <c r="C8644" t="str">
        <f t="shared" si="3142"/>
        <v>JONES</v>
      </c>
      <c r="D8644" t="str">
        <f t="shared" si="3139"/>
        <v>09</v>
      </c>
      <c r="E8644" t="str">
        <f>"07 - B - 107 - Marius D Orsolini"</f>
        <v>07 - B - 107 - Marius D Orsolini</v>
      </c>
      <c r="F8644" t="str">
        <f>"CULINARY ARTS 1"</f>
        <v>CULINARY ARTS 1</v>
      </c>
      <c r="G8644" t="str">
        <f>"21-2115"</f>
        <v>21-2115</v>
      </c>
      <c r="H8644" t="str">
        <f>"B"</f>
        <v>B</v>
      </c>
    </row>
    <row r="8645" spans="1:8" x14ac:dyDescent="0.2">
      <c r="A8645" t="str">
        <f t="shared" si="3143"/>
        <v>0616147451</v>
      </c>
      <c r="B8645" t="str">
        <f t="shared" si="3144"/>
        <v>NAOMI</v>
      </c>
      <c r="C8645" t="str">
        <f t="shared" si="3142"/>
        <v>JONES</v>
      </c>
      <c r="D8645" t="str">
        <f t="shared" si="3139"/>
        <v>09</v>
      </c>
      <c r="E8645" t="str">
        <f>"05 - B - 103 - Byron G Montenegro"</f>
        <v>05 - B - 103 - Byron G Montenegro</v>
      </c>
      <c r="F8645" t="str">
        <f>"AICE MARINE SCI 1 AS"</f>
        <v>AICE MARINE SCI 1 AS</v>
      </c>
      <c r="G8645" t="str">
        <f>"21-2144"</f>
        <v>21-2144</v>
      </c>
      <c r="H8645" t="str">
        <f>"B"</f>
        <v>B</v>
      </c>
    </row>
    <row r="8646" spans="1:8" x14ac:dyDescent="0.2">
      <c r="A8646" t="str">
        <f t="shared" si="3143"/>
        <v>0616147451</v>
      </c>
      <c r="B8646" t="str">
        <f t="shared" si="3144"/>
        <v>NAOMI</v>
      </c>
      <c r="C8646" t="str">
        <f t="shared" si="3142"/>
        <v>JONES</v>
      </c>
      <c r="D8646" t="str">
        <f t="shared" si="3139"/>
        <v>09</v>
      </c>
      <c r="E8646" t="str">
        <f>"01 - A - 006 - Emmily A Sarmiento"</f>
        <v>01 - A - 006 - Emmily A Sarmiento</v>
      </c>
      <c r="F8646" t="str">
        <f>"AICE GLBL PERSP 1 AS"</f>
        <v>AICE GLBL PERSP 1 AS</v>
      </c>
      <c r="G8646" t="str">
        <f>"17-1743"</f>
        <v>17-1743</v>
      </c>
      <c r="H8646" t="str">
        <f>"A"</f>
        <v>A</v>
      </c>
    </row>
    <row r="8647" spans="1:8" x14ac:dyDescent="0.2">
      <c r="A8647" t="str">
        <f t="shared" si="3143"/>
        <v>0616147451</v>
      </c>
      <c r="B8647" t="str">
        <f t="shared" si="3144"/>
        <v>NAOMI</v>
      </c>
      <c r="C8647" t="str">
        <f t="shared" si="3142"/>
        <v>JONES</v>
      </c>
      <c r="D8647" t="str">
        <f t="shared" si="3139"/>
        <v>09</v>
      </c>
      <c r="E8647" t="str">
        <f>"08 - B - 004 - Cheryl Anne  Berman-Schechter"</f>
        <v>08 - B - 004 - Cheryl Anne  Berman-Schechter</v>
      </c>
      <c r="F8647" t="str">
        <f>"AICE ENG GEN PAPER 1"</f>
        <v>AICE ENG GEN PAPER 1</v>
      </c>
      <c r="G8647" t="str">
        <f>"17-1722"</f>
        <v>17-1722</v>
      </c>
      <c r="H8647" t="str">
        <f>"B"</f>
        <v>B</v>
      </c>
    </row>
    <row r="8648" spans="1:8" x14ac:dyDescent="0.2">
      <c r="A8648" t="str">
        <f t="shared" ref="A8648:A8655" si="3145">"0611106744"</f>
        <v>0611106744</v>
      </c>
      <c r="B8648" t="str">
        <f t="shared" ref="B8648:B8655" si="3146">"SHANIYA"</f>
        <v>SHANIYA</v>
      </c>
      <c r="C8648" t="str">
        <f t="shared" si="3142"/>
        <v>JONES</v>
      </c>
      <c r="D8648" t="str">
        <f t="shared" si="3139"/>
        <v>09</v>
      </c>
      <c r="E8648" t="str">
        <f>"04 - A - 106 - Lissa C Frederique"</f>
        <v>04 - A - 106 - Lissa C Frederique</v>
      </c>
      <c r="F8648" t="str">
        <f>"WORLD HISTORY"</f>
        <v>WORLD HISTORY</v>
      </c>
      <c r="G8648" t="str">
        <f>"17-1754"</f>
        <v>17-1754</v>
      </c>
      <c r="H8648" t="str">
        <f>"A"</f>
        <v>A</v>
      </c>
    </row>
    <row r="8649" spans="1:8" x14ac:dyDescent="0.2">
      <c r="A8649" t="str">
        <f t="shared" si="3145"/>
        <v>0611106744</v>
      </c>
      <c r="B8649" t="str">
        <f t="shared" si="3146"/>
        <v>SHANIYA</v>
      </c>
      <c r="C8649" t="str">
        <f t="shared" si="3142"/>
        <v>JONES</v>
      </c>
      <c r="D8649" t="str">
        <f t="shared" si="3139"/>
        <v>09</v>
      </c>
      <c r="E8649" t="str">
        <f>"06 - B - 104 - Laselleda D Shaw"</f>
        <v>06 - B - 104 - Laselleda D Shaw</v>
      </c>
      <c r="F8649" t="str">
        <f>"INTENS READ 1"</f>
        <v>INTENS READ 1</v>
      </c>
      <c r="G8649" t="str">
        <f>"17-1723"</f>
        <v>17-1723</v>
      </c>
      <c r="H8649" t="str">
        <f>"B"</f>
        <v>B</v>
      </c>
    </row>
    <row r="8650" spans="1:8" x14ac:dyDescent="0.2">
      <c r="A8650" t="str">
        <f t="shared" si="3145"/>
        <v>0611106744</v>
      </c>
      <c r="B8650" t="str">
        <f t="shared" si="3146"/>
        <v>SHANIYA</v>
      </c>
      <c r="C8650" t="str">
        <f t="shared" si="3142"/>
        <v>JONES</v>
      </c>
      <c r="D8650" t="str">
        <f t="shared" si="3139"/>
        <v>09</v>
      </c>
      <c r="E8650" t="str">
        <f>"03 - A - 101 - Helen A Flores"</f>
        <v>03 - A - 101 - Helen A Flores</v>
      </c>
      <c r="F8650" t="str">
        <f>"PRE-AICE MATH 1 IG"</f>
        <v>PRE-AICE MATH 1 IG</v>
      </c>
      <c r="G8650" t="str">
        <f>"21-2101"</f>
        <v>21-2101</v>
      </c>
      <c r="H8650" t="str">
        <f>"A"</f>
        <v>A</v>
      </c>
    </row>
    <row r="8651" spans="1:8" x14ac:dyDescent="0.2">
      <c r="A8651" t="str">
        <f t="shared" si="3145"/>
        <v>0611106744</v>
      </c>
      <c r="B8651" t="str">
        <f t="shared" si="3146"/>
        <v>SHANIYA</v>
      </c>
      <c r="C8651" t="str">
        <f t="shared" si="3142"/>
        <v>JONES</v>
      </c>
      <c r="D8651" t="str">
        <f t="shared" si="3139"/>
        <v>09</v>
      </c>
      <c r="E8651" t="str">
        <f>"02 - A - 102 - Samantha J Headley"</f>
        <v>02 - A - 102 - Samantha J Headley</v>
      </c>
      <c r="F8651" t="str">
        <f>"NC STUDY HALL 1"</f>
        <v>NC STUDY HALL 1</v>
      </c>
      <c r="G8651" t="str">
        <f>"21-2134"</f>
        <v>21-2134</v>
      </c>
      <c r="H8651" t="str">
        <f>"A"</f>
        <v>A</v>
      </c>
    </row>
    <row r="8652" spans="1:8" x14ac:dyDescent="0.2">
      <c r="A8652" t="str">
        <f t="shared" si="3145"/>
        <v>0611106744</v>
      </c>
      <c r="B8652" t="str">
        <f t="shared" si="3146"/>
        <v>SHANIYA</v>
      </c>
      <c r="C8652" t="str">
        <f t="shared" si="3142"/>
        <v>JONES</v>
      </c>
      <c r="D8652" t="str">
        <f t="shared" si="3139"/>
        <v>09</v>
      </c>
      <c r="E8652" t="str">
        <f>"07 - B - 107 - Cerine S Stewart"</f>
        <v>07 - B - 107 - Cerine S Stewart</v>
      </c>
      <c r="F8652" t="str">
        <f>"ENG 1"</f>
        <v>ENG 1</v>
      </c>
      <c r="G8652" t="str">
        <f>"17-1720"</f>
        <v>17-1720</v>
      </c>
      <c r="H8652" t="str">
        <f>"B"</f>
        <v>B</v>
      </c>
    </row>
    <row r="8653" spans="1:8" x14ac:dyDescent="0.2">
      <c r="A8653" t="str">
        <f t="shared" si="3145"/>
        <v>0611106744</v>
      </c>
      <c r="B8653" t="str">
        <f t="shared" si="3146"/>
        <v>SHANIYA</v>
      </c>
      <c r="C8653" t="str">
        <f t="shared" si="3142"/>
        <v>JONES</v>
      </c>
      <c r="D8653" t="str">
        <f t="shared" si="3139"/>
        <v>09</v>
      </c>
      <c r="E8653" t="str">
        <f>"05 - B - 105 - Adam Marcus  Drucker"</f>
        <v>05 - B - 105 - Adam Marcus  Drucker</v>
      </c>
      <c r="F8653" t="str">
        <f>"HOPE-PE V"</f>
        <v>HOPE-PE V</v>
      </c>
      <c r="G8653" t="str">
        <f>"04-254"</f>
        <v>04-254</v>
      </c>
      <c r="H8653" t="str">
        <f>"B"</f>
        <v>B</v>
      </c>
    </row>
    <row r="8654" spans="1:8" x14ac:dyDescent="0.2">
      <c r="A8654" t="str">
        <f t="shared" si="3145"/>
        <v>0611106744</v>
      </c>
      <c r="B8654" t="str">
        <f t="shared" si="3146"/>
        <v>SHANIYA</v>
      </c>
      <c r="C8654" t="str">
        <f t="shared" si="3142"/>
        <v>JONES</v>
      </c>
      <c r="D8654" t="str">
        <f t="shared" si="3139"/>
        <v>09</v>
      </c>
      <c r="E8654" t="str">
        <f>"01 - S1 - A - 101 - Leslie J Barton"</f>
        <v>01 - S1 - A - 101 - Leslie J Barton</v>
      </c>
      <c r="F8654" t="str">
        <f>"FIRST AID SAFETY"</f>
        <v>FIRST AID SAFETY</v>
      </c>
      <c r="G8654" t="str">
        <f>"05-521"</f>
        <v>05-521</v>
      </c>
      <c r="H8654" t="str">
        <f>"A"</f>
        <v>A</v>
      </c>
    </row>
    <row r="8655" spans="1:8" x14ac:dyDescent="0.2">
      <c r="A8655" t="str">
        <f t="shared" si="3145"/>
        <v>0611106744</v>
      </c>
      <c r="B8655" t="str">
        <f t="shared" si="3146"/>
        <v>SHANIYA</v>
      </c>
      <c r="C8655" t="str">
        <f t="shared" si="3142"/>
        <v>JONES</v>
      </c>
      <c r="D8655" t="str">
        <f t="shared" si="3139"/>
        <v>09</v>
      </c>
      <c r="E8655" t="str">
        <f>"08 - B - 105 - Samantha J Headley"</f>
        <v>08 - B - 105 - Samantha J Headley</v>
      </c>
      <c r="F8655" t="str">
        <f>"ENV SCI"</f>
        <v>ENV SCI</v>
      </c>
      <c r="G8655" t="str">
        <f>"08-802"</f>
        <v>08-802</v>
      </c>
      <c r="H8655" t="str">
        <f>"B"</f>
        <v>B</v>
      </c>
    </row>
    <row r="8656" spans="1:8" x14ac:dyDescent="0.2">
      <c r="A8656" t="str">
        <f t="shared" ref="A8656:A8663" si="3147">"0623085933"</f>
        <v>0623085933</v>
      </c>
      <c r="B8656" t="str">
        <f t="shared" ref="B8656:B8663" si="3148">"VINCENT"</f>
        <v>VINCENT</v>
      </c>
      <c r="C8656" t="str">
        <f t="shared" si="3142"/>
        <v>JONES</v>
      </c>
      <c r="D8656">
        <f>10</f>
        <v>10</v>
      </c>
      <c r="E8656" t="str">
        <f>"04 - A - 104 - Nikiel  Nesbeth"</f>
        <v>04 - A - 104 - Nikiel  Nesbeth</v>
      </c>
      <c r="F8656" t="str">
        <f>"ENG 2"</f>
        <v>ENG 2</v>
      </c>
      <c r="G8656" t="str">
        <f>"17-1705"</f>
        <v>17-1705</v>
      </c>
      <c r="H8656" t="str">
        <f>"A"</f>
        <v>A</v>
      </c>
    </row>
    <row r="8657" spans="1:8" x14ac:dyDescent="0.2">
      <c r="A8657" t="str">
        <f t="shared" si="3147"/>
        <v>0623085933</v>
      </c>
      <c r="B8657" t="str">
        <f t="shared" si="3148"/>
        <v>VINCENT</v>
      </c>
      <c r="C8657" t="str">
        <f t="shared" si="3142"/>
        <v>JONES</v>
      </c>
      <c r="D8657">
        <f>10</f>
        <v>10</v>
      </c>
      <c r="E8657" t="str">
        <f>"06 - B - 115 - Scott A Dethloff"</f>
        <v>06 - B - 115 - Scott A Dethloff</v>
      </c>
      <c r="F8657" t="str">
        <f>"NC STUDY HALL 1"</f>
        <v>NC STUDY HALL 1</v>
      </c>
      <c r="G8657" t="str">
        <f>"08-812"</f>
        <v>08-812</v>
      </c>
      <c r="H8657" t="str">
        <f>"B"</f>
        <v>B</v>
      </c>
    </row>
    <row r="8658" spans="1:8" x14ac:dyDescent="0.2">
      <c r="A8658" t="str">
        <f t="shared" si="3147"/>
        <v>0623085933</v>
      </c>
      <c r="B8658" t="str">
        <f t="shared" si="3148"/>
        <v>VINCENT</v>
      </c>
      <c r="C8658" t="str">
        <f t="shared" si="3142"/>
        <v>JONES</v>
      </c>
      <c r="D8658">
        <f>10</f>
        <v>10</v>
      </c>
      <c r="E8658" t="str">
        <f>"03 - A - 102 - Rory T Sponsler"</f>
        <v>03 - A - 102 - Rory T Sponsler</v>
      </c>
      <c r="F8658" t="str">
        <f>"PRE-AICE WRLD HST IG"</f>
        <v>PRE-AICE WRLD HST IG</v>
      </c>
      <c r="G8658" t="str">
        <f>"17-1740"</f>
        <v>17-1740</v>
      </c>
      <c r="H8658" t="str">
        <f>"A"</f>
        <v>A</v>
      </c>
    </row>
    <row r="8659" spans="1:8" x14ac:dyDescent="0.2">
      <c r="A8659" t="str">
        <f t="shared" si="3147"/>
        <v>0623085933</v>
      </c>
      <c r="B8659" t="str">
        <f t="shared" si="3148"/>
        <v>VINCENT</v>
      </c>
      <c r="C8659" t="str">
        <f t="shared" si="3142"/>
        <v>JONES</v>
      </c>
      <c r="D8659">
        <f>10</f>
        <v>10</v>
      </c>
      <c r="E8659" t="str">
        <f>"02 - S1 - A - 102 - Richard E Dunbar Iii"</f>
        <v>02 - S1 - A - 102 - Richard E Dunbar Iii</v>
      </c>
      <c r="F8659" t="str">
        <f>"WEIGHT TRAIN 1"</f>
        <v>WEIGHT TRAIN 1</v>
      </c>
      <c r="G8659" t="str">
        <f>"05-501"</f>
        <v>05-501</v>
      </c>
      <c r="H8659" t="str">
        <f>"A"</f>
        <v>A</v>
      </c>
    </row>
    <row r="8660" spans="1:8" x14ac:dyDescent="0.2">
      <c r="A8660" t="str">
        <f t="shared" si="3147"/>
        <v>0623085933</v>
      </c>
      <c r="B8660" t="str">
        <f t="shared" si="3148"/>
        <v>VINCENT</v>
      </c>
      <c r="C8660" t="str">
        <f t="shared" si="3142"/>
        <v>JONES</v>
      </c>
      <c r="D8660">
        <f>10</f>
        <v>10</v>
      </c>
      <c r="E8660" t="str">
        <f>"07 - B - 106 - Taraneh C Abreu"</f>
        <v>07 - B - 106 - Taraneh C Abreu</v>
      </c>
      <c r="F8660" t="str">
        <f>"INTENS READ 2"</f>
        <v>INTENS READ 2</v>
      </c>
      <c r="G8660" t="str">
        <f>"17-1713"</f>
        <v>17-1713</v>
      </c>
      <c r="H8660" t="str">
        <f>"B"</f>
        <v>B</v>
      </c>
    </row>
    <row r="8661" spans="1:8" x14ac:dyDescent="0.2">
      <c r="A8661" t="str">
        <f t="shared" si="3147"/>
        <v>0623085933</v>
      </c>
      <c r="B8661" t="str">
        <f t="shared" si="3148"/>
        <v>VINCENT</v>
      </c>
      <c r="C8661" t="str">
        <f t="shared" si="3142"/>
        <v>JONES</v>
      </c>
      <c r="D8661">
        <f>10</f>
        <v>10</v>
      </c>
      <c r="E8661" t="str">
        <f>"05 - B - 103 - Brook E Goren"</f>
        <v>05 - B - 103 - Brook E Goren</v>
      </c>
      <c r="F8661" t="str">
        <f>"PRE-AICE MATH 2 IG"</f>
        <v>PRE-AICE MATH 2 IG</v>
      </c>
      <c r="G8661" t="str">
        <f>"21-2158"</f>
        <v>21-2158</v>
      </c>
      <c r="H8661" t="str">
        <f>"B"</f>
        <v>B</v>
      </c>
    </row>
    <row r="8662" spans="1:8" x14ac:dyDescent="0.2">
      <c r="A8662" t="str">
        <f t="shared" si="3147"/>
        <v>0623085933</v>
      </c>
      <c r="B8662" t="str">
        <f t="shared" si="3148"/>
        <v>VINCENT</v>
      </c>
      <c r="C8662" t="str">
        <f t="shared" si="3142"/>
        <v>JONES</v>
      </c>
      <c r="D8662">
        <f>10</f>
        <v>10</v>
      </c>
      <c r="E8662" t="str">
        <f>"01 - A - 101 - Josiah I Lacy"</f>
        <v>01 - A - 101 - Josiah I Lacy</v>
      </c>
      <c r="F8662" t="str">
        <f>"PRE-AICE BIO IG"</f>
        <v>PRE-AICE BIO IG</v>
      </c>
      <c r="G8662" t="str">
        <f>"08-801"</f>
        <v>08-801</v>
      </c>
      <c r="H8662" t="str">
        <f>"A"</f>
        <v>A</v>
      </c>
    </row>
    <row r="8663" spans="1:8" x14ac:dyDescent="0.2">
      <c r="A8663" t="str">
        <f t="shared" si="3147"/>
        <v>0623085933</v>
      </c>
      <c r="B8663" t="str">
        <f t="shared" si="3148"/>
        <v>VINCENT</v>
      </c>
      <c r="C8663" t="str">
        <f t="shared" si="3142"/>
        <v>JONES</v>
      </c>
      <c r="D8663">
        <f>10</f>
        <v>10</v>
      </c>
      <c r="E8663" t="str">
        <f>"08 - S1 - B - 104 - Angela S Adeshina-Morrison"</f>
        <v>08 - S1 - B - 104 - Angela S Adeshina-Morrison</v>
      </c>
      <c r="F8663" t="str">
        <f>"PEER COUN 1"</f>
        <v>PEER COUN 1</v>
      </c>
      <c r="G8663" t="str">
        <f>"05-518"</f>
        <v>05-518</v>
      </c>
      <c r="H8663" t="str">
        <f>"B"</f>
        <v>B</v>
      </c>
    </row>
    <row r="8664" spans="1:8" x14ac:dyDescent="0.2">
      <c r="A8664" t="str">
        <f t="shared" ref="A8664:A8671" si="3149">"0618110566"</f>
        <v>0618110566</v>
      </c>
      <c r="B8664" t="str">
        <f t="shared" ref="B8664:B8671" si="3150">"AALIYAH"</f>
        <v>AALIYAH</v>
      </c>
      <c r="C8664" t="str">
        <f t="shared" ref="C8664:C8695" si="3151">"JOSEPH"</f>
        <v>JOSEPH</v>
      </c>
      <c r="D8664" t="str">
        <f t="shared" ref="D8664:D8679" si="3152">"09"</f>
        <v>09</v>
      </c>
      <c r="E8664" t="str">
        <f>"04 - A - 102 - Eva T Rimmer"</f>
        <v>04 - A - 102 - Eva T Rimmer</v>
      </c>
      <c r="F8664" t="str">
        <f>"CRIMINAL JUST OPS 1"</f>
        <v>CRIMINAL JUST OPS 1</v>
      </c>
      <c r="G8664" t="str">
        <f>"05-523"</f>
        <v>05-523</v>
      </c>
      <c r="H8664" t="str">
        <f>"A"</f>
        <v>A</v>
      </c>
    </row>
    <row r="8665" spans="1:8" x14ac:dyDescent="0.2">
      <c r="A8665" t="str">
        <f t="shared" si="3149"/>
        <v>0618110566</v>
      </c>
      <c r="B8665" t="str">
        <f t="shared" si="3150"/>
        <v>AALIYAH</v>
      </c>
      <c r="C8665" t="str">
        <f t="shared" si="3151"/>
        <v>JOSEPH</v>
      </c>
      <c r="D8665" t="str">
        <f t="shared" si="3152"/>
        <v>09</v>
      </c>
      <c r="E8665" t="str">
        <f>"06 - B - 104 - Rory T Sponsler"</f>
        <v>06 - B - 104 - Rory T Sponsler</v>
      </c>
      <c r="F8665" t="str">
        <f>"PRE-AICE WRLD HST IG"</f>
        <v>PRE-AICE WRLD HST IG</v>
      </c>
      <c r="G8665" t="str">
        <f>"17-1740"</f>
        <v>17-1740</v>
      </c>
      <c r="H8665" t="str">
        <f>"B"</f>
        <v>B</v>
      </c>
    </row>
    <row r="8666" spans="1:8" x14ac:dyDescent="0.2">
      <c r="A8666" t="str">
        <f t="shared" si="3149"/>
        <v>0618110566</v>
      </c>
      <c r="B8666" t="str">
        <f t="shared" si="3150"/>
        <v>AALIYAH</v>
      </c>
      <c r="C8666" t="str">
        <f t="shared" si="3151"/>
        <v>JOSEPH</v>
      </c>
      <c r="D8666" t="str">
        <f t="shared" si="3152"/>
        <v>09</v>
      </c>
      <c r="E8666" t="str">
        <f>"03 - A - 203 - Elizabeth R Walker"</f>
        <v>03 - A - 203 - Elizabeth R Walker</v>
      </c>
      <c r="F8666" t="str">
        <f>"AICE ENG GEN PAPER 1"</f>
        <v>AICE ENG GEN PAPER 1</v>
      </c>
      <c r="G8666" t="str">
        <f>"17-1703"</f>
        <v>17-1703</v>
      </c>
      <c r="H8666" t="str">
        <f>"A"</f>
        <v>A</v>
      </c>
    </row>
    <row r="8667" spans="1:8" x14ac:dyDescent="0.2">
      <c r="A8667" t="str">
        <f t="shared" si="3149"/>
        <v>0618110566</v>
      </c>
      <c r="B8667" t="str">
        <f t="shared" si="3150"/>
        <v>AALIYAH</v>
      </c>
      <c r="C8667" t="str">
        <f t="shared" si="3151"/>
        <v>JOSEPH</v>
      </c>
      <c r="D8667" t="str">
        <f t="shared" si="3152"/>
        <v>09</v>
      </c>
      <c r="E8667" t="str">
        <f>"02 - A - 110 - Maried P Ramos"</f>
        <v>02 - A - 110 - Maried P Ramos</v>
      </c>
      <c r="F8667" t="str">
        <f>"NC STUDY HALL 1"</f>
        <v>NC STUDY HALL 1</v>
      </c>
      <c r="G8667" t="str">
        <f>"21-2159"</f>
        <v>21-2159</v>
      </c>
      <c r="H8667" t="str">
        <f>"A"</f>
        <v>A</v>
      </c>
    </row>
    <row r="8668" spans="1:8" x14ac:dyDescent="0.2">
      <c r="A8668" t="str">
        <f t="shared" si="3149"/>
        <v>0618110566</v>
      </c>
      <c r="B8668" t="str">
        <f t="shared" si="3150"/>
        <v>AALIYAH</v>
      </c>
      <c r="C8668" t="str">
        <f t="shared" si="3151"/>
        <v>JOSEPH</v>
      </c>
      <c r="D8668" t="str">
        <f t="shared" si="3152"/>
        <v>09</v>
      </c>
      <c r="E8668" t="str">
        <f>"07 - B - 001 - Maried P Ramos"</f>
        <v>07 - B - 001 - Maried P Ramos</v>
      </c>
      <c r="F8668" t="str">
        <f>"GEOMETRY"</f>
        <v>GEOMETRY</v>
      </c>
      <c r="G8668" t="str">
        <f>"21-2159"</f>
        <v>21-2159</v>
      </c>
      <c r="H8668" t="str">
        <f>"B"</f>
        <v>B</v>
      </c>
    </row>
    <row r="8669" spans="1:8" x14ac:dyDescent="0.2">
      <c r="A8669" t="str">
        <f t="shared" si="3149"/>
        <v>0618110566</v>
      </c>
      <c r="B8669" t="str">
        <f t="shared" si="3150"/>
        <v>AALIYAH</v>
      </c>
      <c r="C8669" t="str">
        <f t="shared" si="3151"/>
        <v>JOSEPH</v>
      </c>
      <c r="D8669" t="str">
        <f t="shared" si="3152"/>
        <v>09</v>
      </c>
      <c r="E8669" t="str">
        <f>"05 - B - 101 - Arthur  Kulawik"</f>
        <v>05 - B - 101 - Arthur  Kulawik</v>
      </c>
      <c r="F8669" t="str">
        <f>"DEBATE 2 LH"</f>
        <v>DEBATE 2 LH</v>
      </c>
      <c r="G8669" t="str">
        <f>"05-506"</f>
        <v>05-506</v>
      </c>
      <c r="H8669" t="str">
        <f>"B"</f>
        <v>B</v>
      </c>
    </row>
    <row r="8670" spans="1:8" x14ac:dyDescent="0.2">
      <c r="A8670" t="str">
        <f t="shared" si="3149"/>
        <v>0618110566</v>
      </c>
      <c r="B8670" t="str">
        <f t="shared" si="3150"/>
        <v>AALIYAH</v>
      </c>
      <c r="C8670" t="str">
        <f t="shared" si="3151"/>
        <v>JOSEPH</v>
      </c>
      <c r="D8670" t="str">
        <f t="shared" si="3152"/>
        <v>09</v>
      </c>
      <c r="E8670" t="str">
        <f>"01 - A - 101 - Josiah I Lacy"</f>
        <v>01 - A - 101 - Josiah I Lacy</v>
      </c>
      <c r="F8670" t="str">
        <f>"PRE-AICE BIO IG"</f>
        <v>PRE-AICE BIO IG</v>
      </c>
      <c r="G8670" t="str">
        <f>"08-801"</f>
        <v>08-801</v>
      </c>
      <c r="H8670" t="str">
        <f>"A"</f>
        <v>A</v>
      </c>
    </row>
    <row r="8671" spans="1:8" x14ac:dyDescent="0.2">
      <c r="A8671" t="str">
        <f t="shared" si="3149"/>
        <v>0618110566</v>
      </c>
      <c r="B8671" t="str">
        <f t="shared" si="3150"/>
        <v>AALIYAH</v>
      </c>
      <c r="C8671" t="str">
        <f t="shared" si="3151"/>
        <v>JOSEPH</v>
      </c>
      <c r="D8671" t="str">
        <f t="shared" si="3152"/>
        <v>09</v>
      </c>
      <c r="E8671" t="str">
        <f>"08 - B - 101 - Jazmin S Fletcher"</f>
        <v>08 - B - 101 - Jazmin S Fletcher</v>
      </c>
      <c r="F8671" t="str">
        <f>"PRE-AICE DRAMA 1G"</f>
        <v>PRE-AICE DRAMA 1G</v>
      </c>
      <c r="G8671" t="str">
        <f>"09-909"</f>
        <v>09-909</v>
      </c>
      <c r="H8671" t="str">
        <f>"B"</f>
        <v>B</v>
      </c>
    </row>
    <row r="8672" spans="1:8" x14ac:dyDescent="0.2">
      <c r="A8672" t="str">
        <f t="shared" ref="A8672:A8679" si="3153">"0614102770"</f>
        <v>0614102770</v>
      </c>
      <c r="B8672" t="str">
        <f t="shared" ref="B8672:B8679" si="3154">"BELINDA"</f>
        <v>BELINDA</v>
      </c>
      <c r="C8672" t="str">
        <f t="shared" si="3151"/>
        <v>JOSEPH</v>
      </c>
      <c r="D8672" t="str">
        <f t="shared" si="3152"/>
        <v>09</v>
      </c>
      <c r="E8672" t="str">
        <f>"04 - S1 - A - 101 - Kyle  Robbins"</f>
        <v>04 - S1 - A - 101 - Kyle  Robbins</v>
      </c>
      <c r="F8672" t="str">
        <f>"PERS FIN &amp; MON MGT H"</f>
        <v>PERS FIN &amp; MON MGT H</v>
      </c>
      <c r="G8672" t="str">
        <f>"17-1745"</f>
        <v>17-1745</v>
      </c>
      <c r="H8672" t="str">
        <f>"A"</f>
        <v>A</v>
      </c>
    </row>
    <row r="8673" spans="1:8" x14ac:dyDescent="0.2">
      <c r="A8673" t="str">
        <f t="shared" si="3153"/>
        <v>0614102770</v>
      </c>
      <c r="B8673" t="str">
        <f t="shared" si="3154"/>
        <v>BELINDA</v>
      </c>
      <c r="C8673" t="str">
        <f t="shared" si="3151"/>
        <v>JOSEPH</v>
      </c>
      <c r="D8673" t="str">
        <f t="shared" si="3152"/>
        <v>09</v>
      </c>
      <c r="E8673" t="str">
        <f>"06 - S1 - B - 102 - Daniel S Katz"</f>
        <v>06 - S1 - B - 102 - Daniel S Katz</v>
      </c>
      <c r="F8673" t="str">
        <f>"COURT PROCED"</f>
        <v>COURT PROCED</v>
      </c>
      <c r="G8673" t="str">
        <f>"21-2156"</f>
        <v>21-2156</v>
      </c>
      <c r="H8673" t="str">
        <f>"B"</f>
        <v>B</v>
      </c>
    </row>
    <row r="8674" spans="1:8" x14ac:dyDescent="0.2">
      <c r="A8674" t="str">
        <f t="shared" si="3153"/>
        <v>0614102770</v>
      </c>
      <c r="B8674" t="str">
        <f t="shared" si="3154"/>
        <v>BELINDA</v>
      </c>
      <c r="C8674" t="str">
        <f t="shared" si="3151"/>
        <v>JOSEPH</v>
      </c>
      <c r="D8674" t="str">
        <f t="shared" si="3152"/>
        <v>09</v>
      </c>
      <c r="E8674" t="str">
        <f>"03 - A - 101 - Helen A Flores"</f>
        <v>03 - A - 101 - Helen A Flores</v>
      </c>
      <c r="F8674" t="str">
        <f>"PRE-AICE MATH 1 IG"</f>
        <v>PRE-AICE MATH 1 IG</v>
      </c>
      <c r="G8674" t="str">
        <f>"21-2101"</f>
        <v>21-2101</v>
      </c>
      <c r="H8674" t="str">
        <f>"A"</f>
        <v>A</v>
      </c>
    </row>
    <row r="8675" spans="1:8" x14ac:dyDescent="0.2">
      <c r="A8675" t="str">
        <f t="shared" si="3153"/>
        <v>0614102770</v>
      </c>
      <c r="B8675" t="str">
        <f t="shared" si="3154"/>
        <v>BELINDA</v>
      </c>
      <c r="C8675" t="str">
        <f t="shared" si="3151"/>
        <v>JOSEPH</v>
      </c>
      <c r="D8675" t="str">
        <f t="shared" si="3152"/>
        <v>09</v>
      </c>
      <c r="E8675" t="str">
        <f>"02 - A - 106 - Helen A Flores"</f>
        <v>02 - A - 106 - Helen A Flores</v>
      </c>
      <c r="F8675" t="str">
        <f>"NC STUDY HALL 1"</f>
        <v>NC STUDY HALL 1</v>
      </c>
      <c r="G8675" t="str">
        <f>"21-2101"</f>
        <v>21-2101</v>
      </c>
      <c r="H8675" t="str">
        <f>"A"</f>
        <v>A</v>
      </c>
    </row>
    <row r="8676" spans="1:8" x14ac:dyDescent="0.2">
      <c r="A8676" t="str">
        <f t="shared" si="3153"/>
        <v>0614102770</v>
      </c>
      <c r="B8676" t="str">
        <f t="shared" si="3154"/>
        <v>BELINDA</v>
      </c>
      <c r="C8676" t="str">
        <f t="shared" si="3151"/>
        <v>JOSEPH</v>
      </c>
      <c r="D8676" t="str">
        <f t="shared" si="3152"/>
        <v>09</v>
      </c>
      <c r="E8676" t="str">
        <f>"07 - B - 105 - Paige Lauren  Brochu"</f>
        <v>07 - B - 105 - Paige Lauren  Brochu</v>
      </c>
      <c r="F8676" t="str">
        <f>"PRE-AICE BIO IG"</f>
        <v>PRE-AICE BIO IG</v>
      </c>
      <c r="G8676" t="str">
        <f>"21-2134"</f>
        <v>21-2134</v>
      </c>
      <c r="H8676" t="str">
        <f>"B"</f>
        <v>B</v>
      </c>
    </row>
    <row r="8677" spans="1:8" x14ac:dyDescent="0.2">
      <c r="A8677" t="str">
        <f t="shared" si="3153"/>
        <v>0614102770</v>
      </c>
      <c r="B8677" t="str">
        <f t="shared" si="3154"/>
        <v>BELINDA</v>
      </c>
      <c r="C8677" t="str">
        <f t="shared" si="3151"/>
        <v>JOSEPH</v>
      </c>
      <c r="D8677" t="str">
        <f t="shared" si="3152"/>
        <v>09</v>
      </c>
      <c r="E8677" t="str">
        <f>"05 - S1 - B - 102 - Richard E Dunbar Iii"</f>
        <v>05 - S1 - B - 102 - Richard E Dunbar Iii</v>
      </c>
      <c r="F8677" t="str">
        <f>"TEAM SPORTS 1"</f>
        <v>TEAM SPORTS 1</v>
      </c>
      <c r="G8677" t="str">
        <f>"04-254"</f>
        <v>04-254</v>
      </c>
      <c r="H8677" t="str">
        <f>"B"</f>
        <v>B</v>
      </c>
    </row>
    <row r="8678" spans="1:8" x14ac:dyDescent="0.2">
      <c r="A8678" t="str">
        <f t="shared" si="3153"/>
        <v>0614102770</v>
      </c>
      <c r="B8678" t="str">
        <f t="shared" si="3154"/>
        <v>BELINDA</v>
      </c>
      <c r="C8678" t="str">
        <f t="shared" si="3151"/>
        <v>JOSEPH</v>
      </c>
      <c r="D8678" t="str">
        <f t="shared" si="3152"/>
        <v>09</v>
      </c>
      <c r="E8678" t="str">
        <f>"01 - A - 101 - Cheryl Anne  Berman-Schechter"</f>
        <v>01 - A - 101 - Cheryl Anne  Berman-Schechter</v>
      </c>
      <c r="F8678" t="str">
        <f>"PRE-AICE ENG LANG IG"</f>
        <v>PRE-AICE ENG LANG IG</v>
      </c>
      <c r="G8678" t="str">
        <f>"17-1722"</f>
        <v>17-1722</v>
      </c>
      <c r="H8678" t="str">
        <f>"A"</f>
        <v>A</v>
      </c>
    </row>
    <row r="8679" spans="1:8" x14ac:dyDescent="0.2">
      <c r="A8679" t="str">
        <f t="shared" si="3153"/>
        <v>0614102770</v>
      </c>
      <c r="B8679" t="str">
        <f t="shared" si="3154"/>
        <v>BELINDA</v>
      </c>
      <c r="C8679" t="str">
        <f t="shared" si="3151"/>
        <v>JOSEPH</v>
      </c>
      <c r="D8679" t="str">
        <f t="shared" si="3152"/>
        <v>09</v>
      </c>
      <c r="E8679" t="str">
        <f>"08 - B - 109 - Rory T Sponsler"</f>
        <v>08 - B - 109 - Rory T Sponsler</v>
      </c>
      <c r="F8679" t="str">
        <f>"PRE-AICE WRLD HST IG"</f>
        <v>PRE-AICE WRLD HST IG</v>
      </c>
      <c r="G8679" t="str">
        <f>"17-1740"</f>
        <v>17-1740</v>
      </c>
      <c r="H8679" t="str">
        <f>"B"</f>
        <v>B</v>
      </c>
    </row>
    <row r="8680" spans="1:8" x14ac:dyDescent="0.2">
      <c r="A8680" t="str">
        <f t="shared" ref="A8680:A8688" si="3155">"0612111978"</f>
        <v>0612111978</v>
      </c>
      <c r="B8680" t="str">
        <f t="shared" ref="B8680:B8688" si="3156">"CHANCELLOR"</f>
        <v>CHANCELLOR</v>
      </c>
      <c r="C8680" t="str">
        <f t="shared" si="3151"/>
        <v>JOSEPH</v>
      </c>
      <c r="D8680">
        <f>11</f>
        <v>11</v>
      </c>
      <c r="E8680" t="str">
        <f>"04 - A - 104 - Dayna M Foster"</f>
        <v>04 - A - 104 - Dayna M Foster</v>
      </c>
      <c r="F8680" t="str">
        <f>"ALGEBRA 2"</f>
        <v>ALGEBRA 2</v>
      </c>
      <c r="G8680" t="str">
        <f>"21-2109"</f>
        <v>21-2109</v>
      </c>
      <c r="H8680" t="str">
        <f>"A"</f>
        <v>A</v>
      </c>
    </row>
    <row r="8681" spans="1:8" x14ac:dyDescent="0.2">
      <c r="A8681" t="str">
        <f t="shared" si="3155"/>
        <v>0612111978</v>
      </c>
      <c r="B8681" t="str">
        <f t="shared" si="3156"/>
        <v>CHANCELLOR</v>
      </c>
      <c r="C8681" t="str">
        <f t="shared" si="3151"/>
        <v>JOSEPH</v>
      </c>
      <c r="D8681">
        <f>11</f>
        <v>11</v>
      </c>
      <c r="E8681" t="str">
        <f>"06 - B - 206 - Jacqueline R Morphet"</f>
        <v>06 - B - 206 - Jacqueline R Morphet</v>
      </c>
      <c r="F8681" t="str">
        <f>"PHYSICS 1 HON"</f>
        <v>PHYSICS 1 HON</v>
      </c>
      <c r="G8681" t="str">
        <f>"21-2138"</f>
        <v>21-2138</v>
      </c>
      <c r="H8681" t="str">
        <f>"B"</f>
        <v>B</v>
      </c>
    </row>
    <row r="8682" spans="1:8" x14ac:dyDescent="0.2">
      <c r="A8682" t="str">
        <f t="shared" si="3155"/>
        <v>0612111978</v>
      </c>
      <c r="B8682" t="str">
        <f t="shared" si="3156"/>
        <v>CHANCELLOR</v>
      </c>
      <c r="C8682" t="str">
        <f t="shared" si="3151"/>
        <v>JOSEPH</v>
      </c>
      <c r="D8682">
        <f>11</f>
        <v>11</v>
      </c>
      <c r="E8682" t="str">
        <f>"03 - A - 106 - Jerry S Jiampetti"</f>
        <v>03 - A - 106 - Jerry S Jiampetti</v>
      </c>
      <c r="F8682" t="str">
        <f>"US HISTORY HON"</f>
        <v>US HISTORY HON</v>
      </c>
      <c r="G8682" t="str">
        <f>"17-1751"</f>
        <v>17-1751</v>
      </c>
      <c r="H8682" t="str">
        <f>"A"</f>
        <v>A</v>
      </c>
    </row>
    <row r="8683" spans="1:8" x14ac:dyDescent="0.2">
      <c r="A8683" t="str">
        <f t="shared" si="3155"/>
        <v>0612111978</v>
      </c>
      <c r="B8683" t="str">
        <f t="shared" si="3156"/>
        <v>CHANCELLOR</v>
      </c>
      <c r="C8683" t="str">
        <f t="shared" si="3151"/>
        <v>JOSEPH</v>
      </c>
      <c r="D8683">
        <f>11</f>
        <v>11</v>
      </c>
      <c r="E8683" t="str">
        <f>"02 - A - 117 - Kyle  Robbins"</f>
        <v>02 - A - 117 - Kyle  Robbins</v>
      </c>
      <c r="F8683" t="str">
        <f>"NC STUDY HALL 1"</f>
        <v>NC STUDY HALL 1</v>
      </c>
      <c r="G8683" t="str">
        <f>"17-1745"</f>
        <v>17-1745</v>
      </c>
      <c r="H8683" t="str">
        <f>"A"</f>
        <v>A</v>
      </c>
    </row>
    <row r="8684" spans="1:8" x14ac:dyDescent="0.2">
      <c r="A8684" t="str">
        <f t="shared" si="3155"/>
        <v>0612111978</v>
      </c>
      <c r="B8684" t="str">
        <f t="shared" si="3156"/>
        <v>CHANCELLOR</v>
      </c>
      <c r="C8684" t="str">
        <f t="shared" si="3151"/>
        <v>JOSEPH</v>
      </c>
      <c r="D8684">
        <f>11</f>
        <v>11</v>
      </c>
      <c r="E8684" t="str">
        <f>"02 - A - 112 - Karen A Toomer"</f>
        <v>02 - A - 112 - Karen A Toomer</v>
      </c>
      <c r="F8684" t="str">
        <f>"SPEECH THRPY"</f>
        <v>SPEECH THRPY</v>
      </c>
      <c r="G8684" t="str">
        <f>"21-2110"</f>
        <v>21-2110</v>
      </c>
      <c r="H8684" t="str">
        <f>"A"</f>
        <v>A</v>
      </c>
    </row>
    <row r="8685" spans="1:8" x14ac:dyDescent="0.2">
      <c r="A8685" t="str">
        <f t="shared" si="3155"/>
        <v>0612111978</v>
      </c>
      <c r="B8685" t="str">
        <f t="shared" si="3156"/>
        <v>CHANCELLOR</v>
      </c>
      <c r="C8685" t="str">
        <f t="shared" si="3151"/>
        <v>JOSEPH</v>
      </c>
      <c r="D8685">
        <f>11</f>
        <v>11</v>
      </c>
      <c r="E8685" t="str">
        <f>"07 - B - 101 - Lisa  Quinn"</f>
        <v>07 - B - 101 - Lisa  Quinn</v>
      </c>
      <c r="F8685" t="str">
        <f>"RESEARCH 1"</f>
        <v>RESEARCH 1</v>
      </c>
      <c r="G8685" t="str">
        <f>"17-1725"</f>
        <v>17-1725</v>
      </c>
      <c r="H8685" t="str">
        <f>"B"</f>
        <v>B</v>
      </c>
    </row>
    <row r="8686" spans="1:8" x14ac:dyDescent="0.2">
      <c r="A8686" t="str">
        <f t="shared" si="3155"/>
        <v>0612111978</v>
      </c>
      <c r="B8686" t="str">
        <f t="shared" si="3156"/>
        <v>CHANCELLOR</v>
      </c>
      <c r="C8686" t="str">
        <f t="shared" si="3151"/>
        <v>JOSEPH</v>
      </c>
      <c r="D8686">
        <f>11</f>
        <v>11</v>
      </c>
      <c r="E8686" t="str">
        <f>"05 - B - 102 - Jacklyn M James"</f>
        <v>05 - B - 102 - Jacklyn M James</v>
      </c>
      <c r="F8686" t="str">
        <f>"AICE ENG LANG AS"</f>
        <v>AICE ENG LANG AS</v>
      </c>
      <c r="G8686" t="str">
        <f>"17-1731"</f>
        <v>17-1731</v>
      </c>
      <c r="H8686" t="str">
        <f>"B"</f>
        <v>B</v>
      </c>
    </row>
    <row r="8687" spans="1:8" x14ac:dyDescent="0.2">
      <c r="A8687" t="str">
        <f t="shared" si="3155"/>
        <v>0612111978</v>
      </c>
      <c r="B8687" t="str">
        <f t="shared" si="3156"/>
        <v>CHANCELLOR</v>
      </c>
      <c r="C8687" t="str">
        <f t="shared" si="3151"/>
        <v>JOSEPH</v>
      </c>
      <c r="D8687">
        <f>11</f>
        <v>11</v>
      </c>
      <c r="E8687" t="str">
        <f>"01 - A - 101 - Eva T Rimmer"</f>
        <v>01 - A - 101 - Eva T Rimmer</v>
      </c>
      <c r="F8687" t="str">
        <f>"CRIMINAL JUST OPS 2"</f>
        <v>CRIMINAL JUST OPS 2</v>
      </c>
      <c r="G8687" t="str">
        <f>"05-523"</f>
        <v>05-523</v>
      </c>
      <c r="H8687" t="str">
        <f>"A"</f>
        <v>A</v>
      </c>
    </row>
    <row r="8688" spans="1:8" x14ac:dyDescent="0.2">
      <c r="A8688" t="str">
        <f t="shared" si="3155"/>
        <v>0612111978</v>
      </c>
      <c r="B8688" t="str">
        <f t="shared" si="3156"/>
        <v>CHANCELLOR</v>
      </c>
      <c r="C8688" t="str">
        <f t="shared" si="3151"/>
        <v>JOSEPH</v>
      </c>
      <c r="D8688">
        <f>11</f>
        <v>11</v>
      </c>
      <c r="E8688" t="str">
        <f>"08 - B - 202 - Krystal Marie  Beruty"</f>
        <v>08 - B - 202 - Krystal Marie  Beruty</v>
      </c>
      <c r="F8688" t="str">
        <f>"AICE PSYCH 1 AS"</f>
        <v>AICE PSYCH 1 AS</v>
      </c>
      <c r="G8688" t="str">
        <f>"17-1721"</f>
        <v>17-1721</v>
      </c>
      <c r="H8688" t="str">
        <f>"B"</f>
        <v>B</v>
      </c>
    </row>
    <row r="8689" spans="1:8" x14ac:dyDescent="0.2">
      <c r="A8689" t="str">
        <f t="shared" ref="A8689:A8696" si="3157">"0623092818"</f>
        <v>0623092818</v>
      </c>
      <c r="B8689" t="str">
        <f t="shared" ref="B8689:B8696" si="3158">"EDVIN"</f>
        <v>EDVIN</v>
      </c>
      <c r="C8689" t="str">
        <f t="shared" si="3151"/>
        <v>JOSEPH</v>
      </c>
      <c r="D8689" t="str">
        <f t="shared" ref="D8689:D8696" si="3159">"09"</f>
        <v>09</v>
      </c>
      <c r="E8689" t="str">
        <f>"04 - A - 103 - Cerine S Stewart"</f>
        <v>04 - A - 103 - Cerine S Stewart</v>
      </c>
      <c r="F8689" t="str">
        <f>"ENG 1"</f>
        <v>ENG 1</v>
      </c>
      <c r="G8689" t="str">
        <f>"17-1720"</f>
        <v>17-1720</v>
      </c>
      <c r="H8689" t="str">
        <f>"A"</f>
        <v>A</v>
      </c>
    </row>
    <row r="8690" spans="1:8" x14ac:dyDescent="0.2">
      <c r="A8690" t="str">
        <f t="shared" si="3157"/>
        <v>0623092818</v>
      </c>
      <c r="B8690" t="str">
        <f t="shared" si="3158"/>
        <v>EDVIN</v>
      </c>
      <c r="C8690" t="str">
        <f t="shared" si="3151"/>
        <v>JOSEPH</v>
      </c>
      <c r="D8690" t="str">
        <f t="shared" si="3159"/>
        <v>09</v>
      </c>
      <c r="E8690" t="str">
        <f>"06 - B - 105 - Dayna M Foster"</f>
        <v>06 - B - 105 - Dayna M Foster</v>
      </c>
      <c r="F8690" t="str">
        <f>"ALGEBRA 1"</f>
        <v>ALGEBRA 1</v>
      </c>
      <c r="G8690" t="str">
        <f>"21-2109"</f>
        <v>21-2109</v>
      </c>
      <c r="H8690" t="str">
        <f>"B"</f>
        <v>B</v>
      </c>
    </row>
    <row r="8691" spans="1:8" x14ac:dyDescent="0.2">
      <c r="A8691" t="str">
        <f t="shared" si="3157"/>
        <v>0623092818</v>
      </c>
      <c r="B8691" t="str">
        <f t="shared" si="3158"/>
        <v>EDVIN</v>
      </c>
      <c r="C8691" t="str">
        <f t="shared" si="3151"/>
        <v>JOSEPH</v>
      </c>
      <c r="D8691" t="str">
        <f t="shared" si="3159"/>
        <v>09</v>
      </c>
      <c r="E8691" t="str">
        <f>"03 - A - 101 - Dayna M Foster"</f>
        <v>03 - A - 101 - Dayna M Foster</v>
      </c>
      <c r="F8691" t="str">
        <f>"FDN SKLS MATH 9-12"</f>
        <v>FDN SKLS MATH 9-12</v>
      </c>
      <c r="G8691" t="str">
        <f>"21-2109"</f>
        <v>21-2109</v>
      </c>
      <c r="H8691" t="str">
        <f>"A"</f>
        <v>A</v>
      </c>
    </row>
    <row r="8692" spans="1:8" x14ac:dyDescent="0.2">
      <c r="A8692" t="str">
        <f t="shared" si="3157"/>
        <v>0623092818</v>
      </c>
      <c r="B8692" t="str">
        <f t="shared" si="3158"/>
        <v>EDVIN</v>
      </c>
      <c r="C8692" t="str">
        <f t="shared" si="3151"/>
        <v>JOSEPH</v>
      </c>
      <c r="D8692" t="str">
        <f t="shared" si="3159"/>
        <v>09</v>
      </c>
      <c r="E8692" t="str">
        <f>"02 - A - 102 - Fernando  Vega-Cid"</f>
        <v>02 - A - 102 - Fernando  Vega-Cid</v>
      </c>
      <c r="F8692" t="str">
        <f>"NC STUDY HALL 1"</f>
        <v>NC STUDY HALL 1</v>
      </c>
      <c r="G8692" t="str">
        <f>"21-2163"</f>
        <v>21-2163</v>
      </c>
      <c r="H8692" t="str">
        <f>"A"</f>
        <v>A</v>
      </c>
    </row>
    <row r="8693" spans="1:8" x14ac:dyDescent="0.2">
      <c r="A8693" t="str">
        <f t="shared" si="3157"/>
        <v>0623092818</v>
      </c>
      <c r="B8693" t="str">
        <f t="shared" si="3158"/>
        <v>EDVIN</v>
      </c>
      <c r="C8693" t="str">
        <f t="shared" si="3151"/>
        <v>JOSEPH</v>
      </c>
      <c r="D8693" t="str">
        <f t="shared" si="3159"/>
        <v>09</v>
      </c>
      <c r="E8693" t="str">
        <f>"07 - B - 104 - Lissa C Frederique"</f>
        <v>07 - B - 104 - Lissa C Frederique</v>
      </c>
      <c r="F8693" t="str">
        <f>"WORLD HISTORY"</f>
        <v>WORLD HISTORY</v>
      </c>
      <c r="G8693" t="str">
        <f>"17-1754"</f>
        <v>17-1754</v>
      </c>
      <c r="H8693" t="str">
        <f>"B"</f>
        <v>B</v>
      </c>
    </row>
    <row r="8694" spans="1:8" x14ac:dyDescent="0.2">
      <c r="A8694" t="str">
        <f t="shared" si="3157"/>
        <v>0623092818</v>
      </c>
      <c r="B8694" t="str">
        <f t="shared" si="3158"/>
        <v>EDVIN</v>
      </c>
      <c r="C8694" t="str">
        <f t="shared" si="3151"/>
        <v>JOSEPH</v>
      </c>
      <c r="D8694" t="str">
        <f t="shared" si="3159"/>
        <v>09</v>
      </c>
      <c r="E8694" t="str">
        <f>"05 - B - 202 - Amy Beth  Broyles"</f>
        <v>05 - B - 202 - Amy Beth  Broyles</v>
      </c>
      <c r="F8694" t="str">
        <f>"ENV SCI"</f>
        <v>ENV SCI</v>
      </c>
      <c r="G8694" t="str">
        <f>"08-802"</f>
        <v>08-802</v>
      </c>
      <c r="H8694" t="str">
        <f>"B"</f>
        <v>B</v>
      </c>
    </row>
    <row r="8695" spans="1:8" x14ac:dyDescent="0.2">
      <c r="A8695" t="str">
        <f t="shared" si="3157"/>
        <v>0623092818</v>
      </c>
      <c r="B8695" t="str">
        <f t="shared" si="3158"/>
        <v>EDVIN</v>
      </c>
      <c r="C8695" t="str">
        <f t="shared" si="3151"/>
        <v>JOSEPH</v>
      </c>
      <c r="D8695" t="str">
        <f t="shared" si="3159"/>
        <v>09</v>
      </c>
      <c r="E8695" t="str">
        <f>"01 - S1 - A - 101 - Leslie J Barton"</f>
        <v>01 - S1 - A - 101 - Leslie J Barton</v>
      </c>
      <c r="F8695" t="str">
        <f>"FIRST AID SAFETY"</f>
        <v>FIRST AID SAFETY</v>
      </c>
      <c r="G8695" t="str">
        <f>"05-521"</f>
        <v>05-521</v>
      </c>
      <c r="H8695" t="str">
        <f>"A"</f>
        <v>A</v>
      </c>
    </row>
    <row r="8696" spans="1:8" x14ac:dyDescent="0.2">
      <c r="A8696" t="str">
        <f t="shared" si="3157"/>
        <v>0623092818</v>
      </c>
      <c r="B8696" t="str">
        <f t="shared" si="3158"/>
        <v>EDVIN</v>
      </c>
      <c r="C8696" t="str">
        <f t="shared" ref="C8696:C8727" si="3160">"JOSEPH"</f>
        <v>JOSEPH</v>
      </c>
      <c r="D8696" t="str">
        <f t="shared" si="3159"/>
        <v>09</v>
      </c>
      <c r="E8696" t="str">
        <f>"08 - B - 106 - Laselleda D Shaw"</f>
        <v>08 - B - 106 - Laselleda D Shaw</v>
      </c>
      <c r="F8696" t="str">
        <f>"INTENS READ 1"</f>
        <v>INTENS READ 1</v>
      </c>
      <c r="G8696" t="str">
        <f>"17-1723"</f>
        <v>17-1723</v>
      </c>
      <c r="H8696" t="str">
        <f>"B"</f>
        <v>B</v>
      </c>
    </row>
    <row r="8697" spans="1:8" x14ac:dyDescent="0.2">
      <c r="A8697" t="str">
        <f t="shared" ref="A8697:A8704" si="3161">"0612077338"</f>
        <v>0612077338</v>
      </c>
      <c r="B8697" t="str">
        <f t="shared" ref="B8697:B8704" si="3162">"ELIJAH"</f>
        <v>ELIJAH</v>
      </c>
      <c r="C8697" t="str">
        <f t="shared" si="3160"/>
        <v>JOSEPH</v>
      </c>
      <c r="D8697">
        <f>11</f>
        <v>11</v>
      </c>
      <c r="E8697" t="str">
        <f>"04 - A - 103 - Lisa  Quinn"</f>
        <v>04 - A - 103 - Lisa  Quinn</v>
      </c>
      <c r="F8697" t="str">
        <f>"ENG 3"</f>
        <v>ENG 3</v>
      </c>
      <c r="G8697" t="str">
        <f>"17-1725"</f>
        <v>17-1725</v>
      </c>
      <c r="H8697" t="str">
        <f>"A"</f>
        <v>A</v>
      </c>
    </row>
    <row r="8698" spans="1:8" x14ac:dyDescent="0.2">
      <c r="A8698" t="str">
        <f t="shared" si="3161"/>
        <v>0612077338</v>
      </c>
      <c r="B8698" t="str">
        <f t="shared" si="3162"/>
        <v>ELIJAH</v>
      </c>
      <c r="C8698" t="str">
        <f t="shared" si="3160"/>
        <v>JOSEPH</v>
      </c>
      <c r="D8698">
        <f>11</f>
        <v>11</v>
      </c>
      <c r="E8698" t="str">
        <f>"06 - B - 103 - Helen A Flores"</f>
        <v>06 - B - 103 - Helen A Flores</v>
      </c>
      <c r="F8698" t="str">
        <f>"ALGEBRA 2"</f>
        <v>ALGEBRA 2</v>
      </c>
      <c r="G8698" t="str">
        <f>"21-2101"</f>
        <v>21-2101</v>
      </c>
      <c r="H8698" t="str">
        <f>"B"</f>
        <v>B</v>
      </c>
    </row>
    <row r="8699" spans="1:8" x14ac:dyDescent="0.2">
      <c r="A8699" t="str">
        <f t="shared" si="3161"/>
        <v>0612077338</v>
      </c>
      <c r="B8699" t="str">
        <f t="shared" si="3162"/>
        <v>ELIJAH</v>
      </c>
      <c r="C8699" t="str">
        <f t="shared" si="3160"/>
        <v>JOSEPH</v>
      </c>
      <c r="D8699">
        <f>11</f>
        <v>11</v>
      </c>
      <c r="E8699" t="str">
        <f>"03 - A - 102 - Nahum  Saint-Preux"</f>
        <v>03 - A - 102 - Nahum  Saint-Preux</v>
      </c>
      <c r="F8699" t="str">
        <f>"INTENS READ 3"</f>
        <v>INTENS READ 3</v>
      </c>
      <c r="G8699" t="str">
        <f>"17-1712"</f>
        <v>17-1712</v>
      </c>
      <c r="H8699" t="str">
        <f>"A"</f>
        <v>A</v>
      </c>
    </row>
    <row r="8700" spans="1:8" x14ac:dyDescent="0.2">
      <c r="A8700" t="str">
        <f t="shared" si="3161"/>
        <v>0612077338</v>
      </c>
      <c r="B8700" t="str">
        <f t="shared" si="3162"/>
        <v>ELIJAH</v>
      </c>
      <c r="C8700" t="str">
        <f t="shared" si="3160"/>
        <v>JOSEPH</v>
      </c>
      <c r="D8700">
        <f>11</f>
        <v>11</v>
      </c>
      <c r="E8700" t="str">
        <f>"02 - A - 101 - Timothy J Lawrence"</f>
        <v>02 - A - 101 - Timothy J Lawrence</v>
      </c>
      <c r="F8700" t="str">
        <f>"NC STUDY HALL 1"</f>
        <v>NC STUDY HALL 1</v>
      </c>
      <c r="G8700" t="str">
        <f>"05-522"</f>
        <v>05-522</v>
      </c>
      <c r="H8700" t="str">
        <f>"A"</f>
        <v>A</v>
      </c>
    </row>
    <row r="8701" spans="1:8" x14ac:dyDescent="0.2">
      <c r="A8701" t="str">
        <f t="shared" si="3161"/>
        <v>0612077338</v>
      </c>
      <c r="B8701" t="str">
        <f t="shared" si="3162"/>
        <v>ELIJAH</v>
      </c>
      <c r="C8701" t="str">
        <f t="shared" si="3160"/>
        <v>JOSEPH</v>
      </c>
      <c r="D8701">
        <f>11</f>
        <v>11</v>
      </c>
      <c r="E8701" t="str">
        <f>"07 - B - 105 - Cliffon  Saurel"</f>
        <v>07 - B - 105 - Cliffon  Saurel</v>
      </c>
      <c r="F8701" t="str">
        <f>"PHYSICAL SCI"</f>
        <v>PHYSICAL SCI</v>
      </c>
      <c r="G8701" t="str">
        <f>"05-522"</f>
        <v>05-522</v>
      </c>
      <c r="H8701" t="str">
        <f>"B"</f>
        <v>B</v>
      </c>
    </row>
    <row r="8702" spans="1:8" x14ac:dyDescent="0.2">
      <c r="A8702" t="str">
        <f t="shared" si="3161"/>
        <v>0612077338</v>
      </c>
      <c r="B8702" t="str">
        <f t="shared" si="3162"/>
        <v>ELIJAH</v>
      </c>
      <c r="C8702" t="str">
        <f t="shared" si="3160"/>
        <v>JOSEPH</v>
      </c>
      <c r="D8702">
        <f>11</f>
        <v>11</v>
      </c>
      <c r="E8702" t="str">
        <f>"05 - B - 107 - Elizabeth Ellen  Moran"</f>
        <v>05 - B - 107 - Elizabeth Ellen  Moran</v>
      </c>
      <c r="F8702" t="str">
        <f>"US HISTORY"</f>
        <v>US HISTORY</v>
      </c>
      <c r="G8702" t="str">
        <f>"17-1752"</f>
        <v>17-1752</v>
      </c>
      <c r="H8702" t="str">
        <f>"B"</f>
        <v>B</v>
      </c>
    </row>
    <row r="8703" spans="1:8" x14ac:dyDescent="0.2">
      <c r="A8703" t="str">
        <f t="shared" si="3161"/>
        <v>0612077338</v>
      </c>
      <c r="B8703" t="str">
        <f t="shared" si="3162"/>
        <v>ELIJAH</v>
      </c>
      <c r="C8703" t="str">
        <f t="shared" si="3160"/>
        <v>JOSEPH</v>
      </c>
      <c r="D8703">
        <f>11</f>
        <v>11</v>
      </c>
      <c r="E8703" t="str">
        <f>"01 - S1 - A - 101 - Carol S Moore"</f>
        <v>01 - S1 - A - 101 - Carol S Moore</v>
      </c>
      <c r="F8703" t="str">
        <f>"PERS FIN &amp; MON MGT H"</f>
        <v>PERS FIN &amp; MON MGT H</v>
      </c>
      <c r="G8703" t="str">
        <f>"17-1733"</f>
        <v>17-1733</v>
      </c>
      <c r="H8703" t="str">
        <f>"A"</f>
        <v>A</v>
      </c>
    </row>
    <row r="8704" spans="1:8" x14ac:dyDescent="0.2">
      <c r="A8704" t="str">
        <f t="shared" si="3161"/>
        <v>0612077338</v>
      </c>
      <c r="B8704" t="str">
        <f t="shared" si="3162"/>
        <v>ELIJAH</v>
      </c>
      <c r="C8704" t="str">
        <f t="shared" si="3160"/>
        <v>JOSEPH</v>
      </c>
      <c r="D8704">
        <f>11</f>
        <v>11</v>
      </c>
      <c r="E8704" t="str">
        <f>"08 - B - 105 - Daniel S Tyson"</f>
        <v>08 - B - 105 - Daniel S Tyson</v>
      </c>
      <c r="F8704" t="str">
        <f>"JROTC NAVAL SCI 1"</f>
        <v>JROTC NAVAL SCI 1</v>
      </c>
      <c r="G8704" t="str">
        <f>"05-510"</f>
        <v>05-510</v>
      </c>
      <c r="H8704" t="str">
        <f>"B"</f>
        <v>B</v>
      </c>
    </row>
    <row r="8705" spans="1:8" x14ac:dyDescent="0.2">
      <c r="A8705" t="str">
        <f t="shared" ref="A8705:A8712" si="3163">"0614033255"</f>
        <v>0614033255</v>
      </c>
      <c r="B8705" t="str">
        <f t="shared" ref="B8705:B8712" si="3164">"ELMANIE"</f>
        <v>ELMANIE</v>
      </c>
      <c r="C8705" t="str">
        <f t="shared" si="3160"/>
        <v>JOSEPH</v>
      </c>
      <c r="D8705">
        <f>12</f>
        <v>12</v>
      </c>
      <c r="E8705" t="str">
        <f>"04 - A - 201 - Christa T Parisi"</f>
        <v>04 - A - 201 - Christa T Parisi</v>
      </c>
      <c r="F8705" t="str">
        <f>"DANCE TECHNQS 3 HON"</f>
        <v>DANCE TECHNQS 3 HON</v>
      </c>
      <c r="G8705" t="str">
        <f>"05-503"</f>
        <v>05-503</v>
      </c>
      <c r="H8705" t="str">
        <f>"A"</f>
        <v>A</v>
      </c>
    </row>
    <row r="8706" spans="1:8" x14ac:dyDescent="0.2">
      <c r="A8706" t="str">
        <f t="shared" si="3163"/>
        <v>0614033255</v>
      </c>
      <c r="B8706" t="str">
        <f t="shared" si="3164"/>
        <v>ELMANIE</v>
      </c>
      <c r="C8706" t="str">
        <f t="shared" si="3160"/>
        <v>JOSEPH</v>
      </c>
      <c r="D8706">
        <f>12</f>
        <v>12</v>
      </c>
      <c r="E8706" t="str">
        <f>"06 - B - 104 - Lissa C Frederique"</f>
        <v>06 - B - 104 - Lissa C Frederique</v>
      </c>
      <c r="F8706" t="str">
        <f>"NC STUDY HALL 1"</f>
        <v>NC STUDY HALL 1</v>
      </c>
      <c r="G8706" t="str">
        <f>"17-1754"</f>
        <v>17-1754</v>
      </c>
      <c r="H8706" t="str">
        <f>"B"</f>
        <v>B</v>
      </c>
    </row>
    <row r="8707" spans="1:8" x14ac:dyDescent="0.2">
      <c r="A8707" t="str">
        <f t="shared" si="3163"/>
        <v>0614033255</v>
      </c>
      <c r="B8707" t="str">
        <f t="shared" si="3164"/>
        <v>ELMANIE</v>
      </c>
      <c r="C8707" t="str">
        <f t="shared" si="3160"/>
        <v>JOSEPH</v>
      </c>
      <c r="D8707">
        <f>12</f>
        <v>12</v>
      </c>
      <c r="E8707" t="str">
        <f>"03 - A - 103 - Samantha J Headley"</f>
        <v>03 - A - 103 - Samantha J Headley</v>
      </c>
      <c r="F8707" t="str">
        <f>"MARINE SCI 1 HON"</f>
        <v>MARINE SCI 1 HON</v>
      </c>
      <c r="G8707" t="str">
        <f>"21-2134"</f>
        <v>21-2134</v>
      </c>
      <c r="H8707" t="str">
        <f>"A"</f>
        <v>A</v>
      </c>
    </row>
    <row r="8708" spans="1:8" x14ac:dyDescent="0.2">
      <c r="A8708" t="str">
        <f t="shared" si="3163"/>
        <v>0614033255</v>
      </c>
      <c r="B8708" t="str">
        <f t="shared" si="3164"/>
        <v>ELMANIE</v>
      </c>
      <c r="C8708" t="str">
        <f t="shared" si="3160"/>
        <v>JOSEPH</v>
      </c>
      <c r="D8708">
        <f>12</f>
        <v>12</v>
      </c>
      <c r="E8708" t="str">
        <f>"02 - S1 - A - 104 - Robert O Burger"</f>
        <v>02 - S1 - A - 104 - Robert O Burger</v>
      </c>
      <c r="F8708" t="str">
        <f>"US GOVT"</f>
        <v>US GOVT</v>
      </c>
      <c r="G8708" t="str">
        <f>"17-1755"</f>
        <v>17-1755</v>
      </c>
      <c r="H8708" t="str">
        <f>"A"</f>
        <v>A</v>
      </c>
    </row>
    <row r="8709" spans="1:8" x14ac:dyDescent="0.2">
      <c r="A8709" t="str">
        <f t="shared" si="3163"/>
        <v>0614033255</v>
      </c>
      <c r="B8709" t="str">
        <f t="shared" si="3164"/>
        <v>ELMANIE</v>
      </c>
      <c r="C8709" t="str">
        <f t="shared" si="3160"/>
        <v>JOSEPH</v>
      </c>
      <c r="D8709">
        <f>12</f>
        <v>12</v>
      </c>
      <c r="E8709" t="str">
        <f>"07 - B - 101 - Alejandro  Navarro"</f>
        <v>07 - B - 101 - Alejandro  Navarro</v>
      </c>
      <c r="F8709" t="str">
        <f>"EURHY 3"</f>
        <v>EURHY 3</v>
      </c>
      <c r="G8709" t="str">
        <f>"05-504"</f>
        <v>05-504</v>
      </c>
      <c r="H8709" t="str">
        <f>"B"</f>
        <v>B</v>
      </c>
    </row>
    <row r="8710" spans="1:8" x14ac:dyDescent="0.2">
      <c r="A8710" t="str">
        <f t="shared" si="3163"/>
        <v>0614033255</v>
      </c>
      <c r="B8710" t="str">
        <f t="shared" si="3164"/>
        <v>ELMANIE</v>
      </c>
      <c r="C8710" t="str">
        <f t="shared" si="3160"/>
        <v>JOSEPH</v>
      </c>
      <c r="D8710">
        <f>12</f>
        <v>12</v>
      </c>
      <c r="E8710" t="str">
        <f>"05 - B - 104 - Jeffrey S Gallagher"</f>
        <v>05 - B - 104 - Jeffrey S Gallagher</v>
      </c>
      <c r="F8710" t="str">
        <f>"ENG HON 4"</f>
        <v>ENG HON 4</v>
      </c>
      <c r="G8710" t="str">
        <f>"17-1724"</f>
        <v>17-1724</v>
      </c>
      <c r="H8710" t="str">
        <f>"B"</f>
        <v>B</v>
      </c>
    </row>
    <row r="8711" spans="1:8" x14ac:dyDescent="0.2">
      <c r="A8711" t="str">
        <f t="shared" si="3163"/>
        <v>0614033255</v>
      </c>
      <c r="B8711" t="str">
        <f t="shared" si="3164"/>
        <v>ELMANIE</v>
      </c>
      <c r="C8711" t="str">
        <f t="shared" si="3160"/>
        <v>JOSEPH</v>
      </c>
      <c r="D8711">
        <f>12</f>
        <v>12</v>
      </c>
      <c r="E8711" t="str">
        <f>"01 - A - 103 - Semra  Bahadir"</f>
        <v>01 - A - 103 - Semra  Bahadir</v>
      </c>
      <c r="F8711" t="str">
        <f>"MATH COLL ALGEBRA"</f>
        <v>MATH COLL ALGEBRA</v>
      </c>
      <c r="G8711" t="str">
        <f>"21-2107"</f>
        <v>21-2107</v>
      </c>
      <c r="H8711" t="str">
        <f>"A"</f>
        <v>A</v>
      </c>
    </row>
    <row r="8712" spans="1:8" x14ac:dyDescent="0.2">
      <c r="A8712" t="str">
        <f t="shared" si="3163"/>
        <v>0614033255</v>
      </c>
      <c r="B8712" t="str">
        <f t="shared" si="3164"/>
        <v>ELMANIE</v>
      </c>
      <c r="C8712" t="str">
        <f t="shared" si="3160"/>
        <v>JOSEPH</v>
      </c>
      <c r="D8712">
        <f>12</f>
        <v>12</v>
      </c>
      <c r="E8712" t="str">
        <f>"08 - S1 - B - 104 - Leslie J Barton"</f>
        <v>08 - S1 - B - 104 - Leslie J Barton</v>
      </c>
      <c r="F8712" t="str">
        <f>"TEAM SPORTS 1"</f>
        <v>TEAM SPORTS 1</v>
      </c>
      <c r="G8712" t="str">
        <f>"04-254"</f>
        <v>04-254</v>
      </c>
      <c r="H8712" t="str">
        <f>"B"</f>
        <v>B</v>
      </c>
    </row>
    <row r="8713" spans="1:8" x14ac:dyDescent="0.2">
      <c r="A8713" t="str">
        <f t="shared" ref="A8713:A8720" si="3165">"0618124720"</f>
        <v>0618124720</v>
      </c>
      <c r="B8713" t="str">
        <f t="shared" ref="B8713:B8720" si="3166">"FRANCE-LOVE"</f>
        <v>FRANCE-LOVE</v>
      </c>
      <c r="C8713" t="str">
        <f t="shared" si="3160"/>
        <v>JOSEPH</v>
      </c>
      <c r="D8713">
        <f>10</f>
        <v>10</v>
      </c>
      <c r="E8713" t="str">
        <f>"04 - A - 104 - Dayna M Foster"</f>
        <v>04 - A - 104 - Dayna M Foster</v>
      </c>
      <c r="F8713" t="str">
        <f>"ALGEBRA 2"</f>
        <v>ALGEBRA 2</v>
      </c>
      <c r="G8713" t="str">
        <f>"21-2109"</f>
        <v>21-2109</v>
      </c>
      <c r="H8713" t="str">
        <f>"A"</f>
        <v>A</v>
      </c>
    </row>
    <row r="8714" spans="1:8" x14ac:dyDescent="0.2">
      <c r="A8714" t="str">
        <f t="shared" si="3165"/>
        <v>0618124720</v>
      </c>
      <c r="B8714" t="str">
        <f t="shared" si="3166"/>
        <v>FRANCE-LOVE</v>
      </c>
      <c r="C8714" t="str">
        <f t="shared" si="3160"/>
        <v>JOSEPH</v>
      </c>
      <c r="D8714">
        <f>10</f>
        <v>10</v>
      </c>
      <c r="E8714" t="str">
        <f>"06 - B - 113 - Joe  Kilpatrick Jr"</f>
        <v>06 - B - 113 - Joe  Kilpatrick Jr</v>
      </c>
      <c r="F8714" t="str">
        <f>"NC STUDY HALL 1"</f>
        <v>NC STUDY HALL 1</v>
      </c>
      <c r="G8714" t="str">
        <f>"09-912"</f>
        <v>09-912</v>
      </c>
      <c r="H8714" t="str">
        <f>"B"</f>
        <v>B</v>
      </c>
    </row>
    <row r="8715" spans="1:8" x14ac:dyDescent="0.2">
      <c r="A8715" t="str">
        <f t="shared" si="3165"/>
        <v>0618124720</v>
      </c>
      <c r="B8715" t="str">
        <f t="shared" si="3166"/>
        <v>FRANCE-LOVE</v>
      </c>
      <c r="C8715" t="str">
        <f t="shared" si="3160"/>
        <v>JOSEPH</v>
      </c>
      <c r="D8715">
        <f>10</f>
        <v>10</v>
      </c>
      <c r="E8715" t="str">
        <f>"03 - A - 103 - Courtney E Hambright"</f>
        <v>03 - A - 103 - Courtney E Hambright</v>
      </c>
      <c r="F8715" t="str">
        <f>"AICE ENG LANG AS"</f>
        <v>AICE ENG LANG AS</v>
      </c>
      <c r="G8715" t="str">
        <f>"17-1711"</f>
        <v>17-1711</v>
      </c>
      <c r="H8715" t="str">
        <f>"A"</f>
        <v>A</v>
      </c>
    </row>
    <row r="8716" spans="1:8" x14ac:dyDescent="0.2">
      <c r="A8716" t="str">
        <f t="shared" si="3165"/>
        <v>0618124720</v>
      </c>
      <c r="B8716" t="str">
        <f t="shared" si="3166"/>
        <v>FRANCE-LOVE</v>
      </c>
      <c r="C8716" t="str">
        <f t="shared" si="3160"/>
        <v>JOSEPH</v>
      </c>
      <c r="D8716">
        <f>10</f>
        <v>10</v>
      </c>
      <c r="E8716" t="str">
        <f>"02 - A - 103 - Lenecy  Nodarse"</f>
        <v>02 - A - 103 - Lenecy  Nodarse</v>
      </c>
      <c r="F8716" t="str">
        <f>"AICE EURO HIST 1 AS"</f>
        <v>AICE EURO HIST 1 AS</v>
      </c>
      <c r="G8716" t="str">
        <f>"17-1741"</f>
        <v>17-1741</v>
      </c>
      <c r="H8716" t="str">
        <f>"A"</f>
        <v>A</v>
      </c>
    </row>
    <row r="8717" spans="1:8" x14ac:dyDescent="0.2">
      <c r="A8717" t="str">
        <f t="shared" si="3165"/>
        <v>0618124720</v>
      </c>
      <c r="B8717" t="str">
        <f t="shared" si="3166"/>
        <v>FRANCE-LOVE</v>
      </c>
      <c r="C8717" t="str">
        <f t="shared" si="3160"/>
        <v>JOSEPH</v>
      </c>
      <c r="D8717">
        <f>10</f>
        <v>10</v>
      </c>
      <c r="E8717" t="str">
        <f>"07 - B - 107 - Adam Marcus  Drucker"</f>
        <v>07 - B - 107 - Adam Marcus  Drucker</v>
      </c>
      <c r="F8717" t="str">
        <f>"HOPE-PE V"</f>
        <v>HOPE-PE V</v>
      </c>
      <c r="G8717" t="str">
        <f>"04-254"</f>
        <v>04-254</v>
      </c>
      <c r="H8717" t="str">
        <f>"B"</f>
        <v>B</v>
      </c>
    </row>
    <row r="8718" spans="1:8" x14ac:dyDescent="0.2">
      <c r="A8718" t="str">
        <f t="shared" si="3165"/>
        <v>0618124720</v>
      </c>
      <c r="B8718" t="str">
        <f t="shared" si="3166"/>
        <v>FRANCE-LOVE</v>
      </c>
      <c r="C8718" t="str">
        <f t="shared" si="3160"/>
        <v>JOSEPH</v>
      </c>
      <c r="D8718">
        <f>10</f>
        <v>10</v>
      </c>
      <c r="E8718" t="str">
        <f>"05 - S1 - B - 102 - Carol S Moore"</f>
        <v>05 - S1 - B - 102 - Carol S Moore</v>
      </c>
      <c r="F8718" t="str">
        <f>"PERS FIN &amp; MON MGT H"</f>
        <v>PERS FIN &amp; MON MGT H</v>
      </c>
      <c r="G8718" t="str">
        <f>"17-1733"</f>
        <v>17-1733</v>
      </c>
      <c r="H8718" t="str">
        <f>"B"</f>
        <v>B</v>
      </c>
    </row>
    <row r="8719" spans="1:8" x14ac:dyDescent="0.2">
      <c r="A8719" t="str">
        <f t="shared" si="3165"/>
        <v>0618124720</v>
      </c>
      <c r="B8719" t="str">
        <f t="shared" si="3166"/>
        <v>FRANCE-LOVE</v>
      </c>
      <c r="C8719" t="str">
        <f t="shared" si="3160"/>
        <v>JOSEPH</v>
      </c>
      <c r="D8719">
        <f>10</f>
        <v>10</v>
      </c>
      <c r="E8719" t="str">
        <f>"01 - A - 201 - Stefanie S Scher"</f>
        <v>01 - A - 201 - Stefanie S Scher</v>
      </c>
      <c r="F8719" t="str">
        <f>"AICE PSYCH 1 AS"</f>
        <v>AICE PSYCH 1 AS</v>
      </c>
      <c r="G8719" t="str">
        <f>"17-1735"</f>
        <v>17-1735</v>
      </c>
      <c r="H8719" t="str">
        <f>"A"</f>
        <v>A</v>
      </c>
    </row>
    <row r="8720" spans="1:8" x14ac:dyDescent="0.2">
      <c r="A8720" t="str">
        <f t="shared" si="3165"/>
        <v>0618124720</v>
      </c>
      <c r="B8720" t="str">
        <f t="shared" si="3166"/>
        <v>FRANCE-LOVE</v>
      </c>
      <c r="C8720" t="str">
        <f t="shared" si="3160"/>
        <v>JOSEPH</v>
      </c>
      <c r="D8720">
        <f>10</f>
        <v>10</v>
      </c>
      <c r="E8720" t="str">
        <f>"08 - B - 102 - Josiah I Lacy"</f>
        <v>08 - B - 102 - Josiah I Lacy</v>
      </c>
      <c r="F8720" t="str">
        <f>"ANAT PHYSIO HON"</f>
        <v>ANAT PHYSIO HON</v>
      </c>
      <c r="G8720" t="str">
        <f>"08-801"</f>
        <v>08-801</v>
      </c>
      <c r="H8720" t="str">
        <f>"B"</f>
        <v>B</v>
      </c>
    </row>
    <row r="8721" spans="1:8" x14ac:dyDescent="0.2">
      <c r="A8721" t="str">
        <f t="shared" ref="A8721:A8728" si="3167">"0617111609"</f>
        <v>0617111609</v>
      </c>
      <c r="B8721" t="str">
        <f t="shared" ref="B8721:B8728" si="3168">"FREDNEL"</f>
        <v>FREDNEL</v>
      </c>
      <c r="C8721" t="str">
        <f t="shared" si="3160"/>
        <v>JOSEPH</v>
      </c>
      <c r="D8721" t="str">
        <f t="shared" ref="D8721:D8737" si="3169">"09"</f>
        <v>09</v>
      </c>
      <c r="E8721" t="str">
        <f>"04 - A - 107 - Amy Beth  Broyles"</f>
        <v>04 - A - 107 - Amy Beth  Broyles</v>
      </c>
      <c r="F8721" t="str">
        <f>"ENV SCI"</f>
        <v>ENV SCI</v>
      </c>
      <c r="G8721" t="str">
        <f>"08-802"</f>
        <v>08-802</v>
      </c>
      <c r="H8721" t="str">
        <f>"A"</f>
        <v>A</v>
      </c>
    </row>
    <row r="8722" spans="1:8" x14ac:dyDescent="0.2">
      <c r="A8722" t="str">
        <f t="shared" si="3167"/>
        <v>0617111609</v>
      </c>
      <c r="B8722" t="str">
        <f t="shared" si="3168"/>
        <v>FREDNEL</v>
      </c>
      <c r="C8722" t="str">
        <f t="shared" si="3160"/>
        <v>JOSEPH</v>
      </c>
      <c r="D8722" t="str">
        <f t="shared" si="3169"/>
        <v>09</v>
      </c>
      <c r="E8722" t="str">
        <f>"06 - B - 104 - Laselleda D Shaw"</f>
        <v>06 - B - 104 - Laselleda D Shaw</v>
      </c>
      <c r="F8722" t="str">
        <f>"INTENS READ 1"</f>
        <v>INTENS READ 1</v>
      </c>
      <c r="G8722" t="str">
        <f>"17-1723"</f>
        <v>17-1723</v>
      </c>
      <c r="H8722" t="str">
        <f>"B"</f>
        <v>B</v>
      </c>
    </row>
    <row r="8723" spans="1:8" x14ac:dyDescent="0.2">
      <c r="A8723" t="str">
        <f t="shared" si="3167"/>
        <v>0617111609</v>
      </c>
      <c r="B8723" t="str">
        <f t="shared" si="3168"/>
        <v>FREDNEL</v>
      </c>
      <c r="C8723" t="str">
        <f t="shared" si="3160"/>
        <v>JOSEPH</v>
      </c>
      <c r="D8723" t="str">
        <f t="shared" si="3169"/>
        <v>09</v>
      </c>
      <c r="E8723" t="str">
        <f>"03 - A - 109 - Lissa C Frederique"</f>
        <v>03 - A - 109 - Lissa C Frederique</v>
      </c>
      <c r="F8723" t="str">
        <f>"WORLD HISTORY"</f>
        <v>WORLD HISTORY</v>
      </c>
      <c r="G8723" t="str">
        <f>"17-1754"</f>
        <v>17-1754</v>
      </c>
      <c r="H8723" t="str">
        <f>"A"</f>
        <v>A</v>
      </c>
    </row>
    <row r="8724" spans="1:8" x14ac:dyDescent="0.2">
      <c r="A8724" t="str">
        <f t="shared" si="3167"/>
        <v>0617111609</v>
      </c>
      <c r="B8724" t="str">
        <f t="shared" si="3168"/>
        <v>FREDNEL</v>
      </c>
      <c r="C8724" t="str">
        <f t="shared" si="3160"/>
        <v>JOSEPH</v>
      </c>
      <c r="D8724" t="str">
        <f t="shared" si="3169"/>
        <v>09</v>
      </c>
      <c r="E8724" t="str">
        <f>"02 - A - 112 - Cheryl Anne  Berman-Schechter"</f>
        <v>02 - A - 112 - Cheryl Anne  Berman-Schechter</v>
      </c>
      <c r="F8724" t="str">
        <f>"NC STUDY HALL 1"</f>
        <v>NC STUDY HALL 1</v>
      </c>
      <c r="G8724" t="str">
        <f>"17-1722"</f>
        <v>17-1722</v>
      </c>
      <c r="H8724" t="str">
        <f>"A"</f>
        <v>A</v>
      </c>
    </row>
    <row r="8725" spans="1:8" x14ac:dyDescent="0.2">
      <c r="A8725" t="str">
        <f t="shared" si="3167"/>
        <v>0617111609</v>
      </c>
      <c r="B8725" t="str">
        <f t="shared" si="3168"/>
        <v>FREDNEL</v>
      </c>
      <c r="C8725" t="str">
        <f t="shared" si="3160"/>
        <v>JOSEPH</v>
      </c>
      <c r="D8725" t="str">
        <f t="shared" si="3169"/>
        <v>09</v>
      </c>
      <c r="E8725" t="str">
        <f>"07 - B - 106 - Dayna M Foster"</f>
        <v>07 - B - 106 - Dayna M Foster</v>
      </c>
      <c r="F8725" t="str">
        <f>"FDN SKLS MATH 9-12"</f>
        <v>FDN SKLS MATH 9-12</v>
      </c>
      <c r="G8725" t="str">
        <f>"21-2109"</f>
        <v>21-2109</v>
      </c>
      <c r="H8725" t="str">
        <f>"B"</f>
        <v>B</v>
      </c>
    </row>
    <row r="8726" spans="1:8" x14ac:dyDescent="0.2">
      <c r="A8726" t="str">
        <f t="shared" si="3167"/>
        <v>0617111609</v>
      </c>
      <c r="B8726" t="str">
        <f t="shared" si="3168"/>
        <v>FREDNEL</v>
      </c>
      <c r="C8726" t="str">
        <f t="shared" si="3160"/>
        <v>JOSEPH</v>
      </c>
      <c r="D8726" t="str">
        <f t="shared" si="3169"/>
        <v>09</v>
      </c>
      <c r="E8726" t="str">
        <f>"05 - S1 - B - 102 - Richard E Dunbar Iii"</f>
        <v>05 - S1 - B - 102 - Richard E Dunbar Iii</v>
      </c>
      <c r="F8726" t="str">
        <f>"TEAM SPORTS 1"</f>
        <v>TEAM SPORTS 1</v>
      </c>
      <c r="G8726" t="str">
        <f>"04-254"</f>
        <v>04-254</v>
      </c>
      <c r="H8726" t="str">
        <f>"B"</f>
        <v>B</v>
      </c>
    </row>
    <row r="8727" spans="1:8" x14ac:dyDescent="0.2">
      <c r="A8727" t="str">
        <f t="shared" si="3167"/>
        <v>0617111609</v>
      </c>
      <c r="B8727" t="str">
        <f t="shared" si="3168"/>
        <v>FREDNEL</v>
      </c>
      <c r="C8727" t="str">
        <f t="shared" si="3160"/>
        <v>JOSEPH</v>
      </c>
      <c r="D8727" t="str">
        <f t="shared" si="3169"/>
        <v>09</v>
      </c>
      <c r="E8727" t="str">
        <f>"01 - A - 108 - Dayna M Foster"</f>
        <v>01 - A - 108 - Dayna M Foster</v>
      </c>
      <c r="F8727" t="str">
        <f>"ALGEBRA 1"</f>
        <v>ALGEBRA 1</v>
      </c>
      <c r="G8727" t="str">
        <f>"21-2109"</f>
        <v>21-2109</v>
      </c>
      <c r="H8727" t="str">
        <f>"A"</f>
        <v>A</v>
      </c>
    </row>
    <row r="8728" spans="1:8" x14ac:dyDescent="0.2">
      <c r="A8728" t="str">
        <f t="shared" si="3167"/>
        <v>0617111609</v>
      </c>
      <c r="B8728" t="str">
        <f t="shared" si="3168"/>
        <v>FREDNEL</v>
      </c>
      <c r="C8728" t="str">
        <f t="shared" ref="C8728:C8759" si="3170">"JOSEPH"</f>
        <v>JOSEPH</v>
      </c>
      <c r="D8728" t="str">
        <f t="shared" si="3169"/>
        <v>09</v>
      </c>
      <c r="E8728" t="str">
        <f>"08 - B - 108 - Cerine S Stewart"</f>
        <v>08 - B - 108 - Cerine S Stewart</v>
      </c>
      <c r="F8728" t="str">
        <f>"ENG 1"</f>
        <v>ENG 1</v>
      </c>
      <c r="G8728" t="str">
        <f>"17-1720"</f>
        <v>17-1720</v>
      </c>
      <c r="H8728" t="str">
        <f>"B"</f>
        <v>B</v>
      </c>
    </row>
    <row r="8729" spans="1:8" x14ac:dyDescent="0.2">
      <c r="A8729" t="str">
        <f t="shared" ref="A8729:A8737" si="3171">"0617012178"</f>
        <v>0617012178</v>
      </c>
      <c r="B8729" t="str">
        <f t="shared" ref="B8729:B8737" si="3172">"JADEN"</f>
        <v>JADEN</v>
      </c>
      <c r="C8729" t="str">
        <f t="shared" si="3170"/>
        <v>JOSEPH</v>
      </c>
      <c r="D8729" t="str">
        <f t="shared" si="3169"/>
        <v>09</v>
      </c>
      <c r="E8729" t="str">
        <f>"04 - A - 103 - Cerine S Stewart"</f>
        <v>04 - A - 103 - Cerine S Stewart</v>
      </c>
      <c r="F8729" t="str">
        <f>"ENG 1"</f>
        <v>ENG 1</v>
      </c>
      <c r="G8729" t="str">
        <f>"17-1720"</f>
        <v>17-1720</v>
      </c>
      <c r="H8729" t="str">
        <f>"A"</f>
        <v>A</v>
      </c>
    </row>
    <row r="8730" spans="1:8" x14ac:dyDescent="0.2">
      <c r="A8730" t="str">
        <f t="shared" si="3171"/>
        <v>0617012178</v>
      </c>
      <c r="B8730" t="str">
        <f t="shared" si="3172"/>
        <v>JADEN</v>
      </c>
      <c r="C8730" t="str">
        <f t="shared" si="3170"/>
        <v>JOSEPH</v>
      </c>
      <c r="D8730" t="str">
        <f t="shared" si="3169"/>
        <v>09</v>
      </c>
      <c r="E8730" t="str">
        <f>"06 - B - 002 - Amy Beth  Broyles"</f>
        <v>06 - B - 002 - Amy Beth  Broyles</v>
      </c>
      <c r="F8730" t="str">
        <f>"ENV SCI"</f>
        <v>ENV SCI</v>
      </c>
      <c r="G8730" t="str">
        <f>"08-802"</f>
        <v>08-802</v>
      </c>
      <c r="H8730" t="str">
        <f>"B"</f>
        <v>B</v>
      </c>
    </row>
    <row r="8731" spans="1:8" x14ac:dyDescent="0.2">
      <c r="A8731" t="str">
        <f t="shared" si="3171"/>
        <v>0617012178</v>
      </c>
      <c r="B8731" t="str">
        <f t="shared" si="3172"/>
        <v>JADEN</v>
      </c>
      <c r="C8731" t="str">
        <f t="shared" si="3170"/>
        <v>JOSEPH</v>
      </c>
      <c r="D8731" t="str">
        <f t="shared" si="3169"/>
        <v>09</v>
      </c>
      <c r="E8731" t="str">
        <f>"03 - A - 109 - Lissa C Frederique"</f>
        <v>03 - A - 109 - Lissa C Frederique</v>
      </c>
      <c r="F8731" t="str">
        <f>"WORLD HISTORY"</f>
        <v>WORLD HISTORY</v>
      </c>
      <c r="G8731" t="str">
        <f>"17-1754"</f>
        <v>17-1754</v>
      </c>
      <c r="H8731" t="str">
        <f>"A"</f>
        <v>A</v>
      </c>
    </row>
    <row r="8732" spans="1:8" x14ac:dyDescent="0.2">
      <c r="A8732" t="str">
        <f t="shared" si="3171"/>
        <v>0617012178</v>
      </c>
      <c r="B8732" t="str">
        <f t="shared" si="3172"/>
        <v>JADEN</v>
      </c>
      <c r="C8732" t="str">
        <f t="shared" si="3170"/>
        <v>JOSEPH</v>
      </c>
      <c r="D8732" t="str">
        <f t="shared" si="3169"/>
        <v>09</v>
      </c>
      <c r="E8732" t="str">
        <f>"02 - A - 104 - Jazmin S Fletcher"</f>
        <v>02 - A - 104 - Jazmin S Fletcher</v>
      </c>
      <c r="F8732" t="str">
        <f>"NC STUDY HALL 1"</f>
        <v>NC STUDY HALL 1</v>
      </c>
      <c r="G8732" t="str">
        <f>"09-909"</f>
        <v>09-909</v>
      </c>
      <c r="H8732" t="str">
        <f>"A"</f>
        <v>A</v>
      </c>
    </row>
    <row r="8733" spans="1:8" x14ac:dyDescent="0.2">
      <c r="A8733" t="str">
        <f t="shared" si="3171"/>
        <v>0617012178</v>
      </c>
      <c r="B8733" t="str">
        <f t="shared" si="3172"/>
        <v>JADEN</v>
      </c>
      <c r="C8733" t="str">
        <f t="shared" si="3170"/>
        <v>JOSEPH</v>
      </c>
      <c r="D8733" t="str">
        <f t="shared" si="3169"/>
        <v>09</v>
      </c>
      <c r="E8733" t="str">
        <f>"02 - A - 102 - Eric  Lopapa"</f>
        <v>02 - A - 102 - Eric  Lopapa</v>
      </c>
      <c r="F8733" t="str">
        <f>"LANG THERAPY"</f>
        <v>LANG THERAPY</v>
      </c>
      <c r="G8733" t="str">
        <f>"21-2110"</f>
        <v>21-2110</v>
      </c>
      <c r="H8733" t="str">
        <f>"A"</f>
        <v>A</v>
      </c>
    </row>
    <row r="8734" spans="1:8" x14ac:dyDescent="0.2">
      <c r="A8734" t="str">
        <f t="shared" si="3171"/>
        <v>0617012178</v>
      </c>
      <c r="B8734" t="str">
        <f t="shared" si="3172"/>
        <v>JADEN</v>
      </c>
      <c r="C8734" t="str">
        <f t="shared" si="3170"/>
        <v>JOSEPH</v>
      </c>
      <c r="D8734" t="str">
        <f t="shared" si="3169"/>
        <v>09</v>
      </c>
      <c r="E8734" t="str">
        <f>"07 - B - 106 - Dayna M Foster"</f>
        <v>07 - B - 106 - Dayna M Foster</v>
      </c>
      <c r="F8734" t="str">
        <f>"FDN SKLS MATH 9-12"</f>
        <v>FDN SKLS MATH 9-12</v>
      </c>
      <c r="G8734" t="str">
        <f>"21-2109"</f>
        <v>21-2109</v>
      </c>
      <c r="H8734" t="str">
        <f>"B"</f>
        <v>B</v>
      </c>
    </row>
    <row r="8735" spans="1:8" x14ac:dyDescent="0.2">
      <c r="A8735" t="str">
        <f t="shared" si="3171"/>
        <v>0617012178</v>
      </c>
      <c r="B8735" t="str">
        <f t="shared" si="3172"/>
        <v>JADEN</v>
      </c>
      <c r="C8735" t="str">
        <f t="shared" si="3170"/>
        <v>JOSEPH</v>
      </c>
      <c r="D8735" t="str">
        <f t="shared" si="3169"/>
        <v>09</v>
      </c>
      <c r="E8735" t="str">
        <f>"05 - B - 101 - Linda  Celestin"</f>
        <v>05 - B - 101 - Linda  Celestin</v>
      </c>
      <c r="F8735" t="str">
        <f>"LRNG STRATEGIES 9-12"</f>
        <v>LRNG STRATEGIES 9-12</v>
      </c>
      <c r="G8735" t="str">
        <f>"21-2160"</f>
        <v>21-2160</v>
      </c>
      <c r="H8735" t="str">
        <f>"B"</f>
        <v>B</v>
      </c>
    </row>
    <row r="8736" spans="1:8" x14ac:dyDescent="0.2">
      <c r="A8736" t="str">
        <f t="shared" si="3171"/>
        <v>0617012178</v>
      </c>
      <c r="B8736" t="str">
        <f t="shared" si="3172"/>
        <v>JADEN</v>
      </c>
      <c r="C8736" t="str">
        <f t="shared" si="3170"/>
        <v>JOSEPH</v>
      </c>
      <c r="D8736" t="str">
        <f t="shared" si="3169"/>
        <v>09</v>
      </c>
      <c r="E8736" t="str">
        <f>"01 - A - 108 - Dayna M Foster"</f>
        <v>01 - A - 108 - Dayna M Foster</v>
      </c>
      <c r="F8736" t="str">
        <f>"ALGEBRA 1"</f>
        <v>ALGEBRA 1</v>
      </c>
      <c r="G8736" t="str">
        <f>"21-2109"</f>
        <v>21-2109</v>
      </c>
      <c r="H8736" t="str">
        <f>"A"</f>
        <v>A</v>
      </c>
    </row>
    <row r="8737" spans="1:8" x14ac:dyDescent="0.2">
      <c r="A8737" t="str">
        <f t="shared" si="3171"/>
        <v>0617012178</v>
      </c>
      <c r="B8737" t="str">
        <f t="shared" si="3172"/>
        <v>JADEN</v>
      </c>
      <c r="C8737" t="str">
        <f t="shared" si="3170"/>
        <v>JOSEPH</v>
      </c>
      <c r="D8737" t="str">
        <f t="shared" si="3169"/>
        <v>09</v>
      </c>
      <c r="E8737" t="str">
        <f>"08 - S1 - B - 104 - Leslie J Barton"</f>
        <v>08 - S1 - B - 104 - Leslie J Barton</v>
      </c>
      <c r="F8737" t="str">
        <f>"TEAM SPORTS 1"</f>
        <v>TEAM SPORTS 1</v>
      </c>
      <c r="G8737" t="str">
        <f>"04-254"</f>
        <v>04-254</v>
      </c>
      <c r="H8737" t="str">
        <f>"B"</f>
        <v>B</v>
      </c>
    </row>
    <row r="8738" spans="1:8" x14ac:dyDescent="0.2">
      <c r="A8738" t="str">
        <f t="shared" ref="A8738:A8745" si="3173">"0615139387"</f>
        <v>0615139387</v>
      </c>
      <c r="B8738" t="str">
        <f t="shared" ref="B8738:B8745" si="3174">"JAI'LAH"</f>
        <v>JAI'LAH</v>
      </c>
      <c r="C8738" t="str">
        <f t="shared" si="3170"/>
        <v>JOSEPH</v>
      </c>
      <c r="D8738">
        <f>10</f>
        <v>10</v>
      </c>
      <c r="E8738" t="str">
        <f>"04 - A - 102 - Samantha J Headley"</f>
        <v>04 - A - 102 - Samantha J Headley</v>
      </c>
      <c r="F8738" t="str">
        <f>"MARINE SCI 1 HON"</f>
        <v>MARINE SCI 1 HON</v>
      </c>
      <c r="G8738" t="str">
        <f>"21-2134"</f>
        <v>21-2134</v>
      </c>
      <c r="H8738" t="str">
        <f>"A"</f>
        <v>A</v>
      </c>
    </row>
    <row r="8739" spans="1:8" x14ac:dyDescent="0.2">
      <c r="A8739" t="str">
        <f t="shared" si="3173"/>
        <v>0615139387</v>
      </c>
      <c r="B8739" t="str">
        <f t="shared" si="3174"/>
        <v>JAI'LAH</v>
      </c>
      <c r="C8739" t="str">
        <f t="shared" si="3170"/>
        <v>JOSEPH</v>
      </c>
      <c r="D8739">
        <f>10</f>
        <v>10</v>
      </c>
      <c r="E8739" t="str">
        <f>"06 - B - 109 - Semra  Bahadir"</f>
        <v>06 - B - 109 - Semra  Bahadir</v>
      </c>
      <c r="F8739" t="str">
        <f>"NC STUDY HALL 1"</f>
        <v>NC STUDY HALL 1</v>
      </c>
      <c r="G8739" t="str">
        <f>"21-2107"</f>
        <v>21-2107</v>
      </c>
      <c r="H8739" t="str">
        <f>"B"</f>
        <v>B</v>
      </c>
    </row>
    <row r="8740" spans="1:8" x14ac:dyDescent="0.2">
      <c r="A8740" t="str">
        <f t="shared" si="3173"/>
        <v>0615139387</v>
      </c>
      <c r="B8740" t="str">
        <f t="shared" si="3174"/>
        <v>JAI'LAH</v>
      </c>
      <c r="C8740" t="str">
        <f t="shared" si="3170"/>
        <v>JOSEPH</v>
      </c>
      <c r="D8740">
        <f>10</f>
        <v>10</v>
      </c>
      <c r="E8740" t="str">
        <f>"03 - A - 103 - Jacquelyn M Neeson"</f>
        <v>03 - A - 103 - Jacquelyn M Neeson</v>
      </c>
      <c r="F8740" t="str">
        <f>"ENG 2"</f>
        <v>ENG 2</v>
      </c>
      <c r="G8740" t="str">
        <f>"17-1715"</f>
        <v>17-1715</v>
      </c>
      <c r="H8740" t="str">
        <f>"A"</f>
        <v>A</v>
      </c>
    </row>
    <row r="8741" spans="1:8" x14ac:dyDescent="0.2">
      <c r="A8741" t="str">
        <f t="shared" si="3173"/>
        <v>0615139387</v>
      </c>
      <c r="B8741" t="str">
        <f t="shared" si="3174"/>
        <v>JAI'LAH</v>
      </c>
      <c r="C8741" t="str">
        <f t="shared" si="3170"/>
        <v>JOSEPH</v>
      </c>
      <c r="D8741">
        <f>10</f>
        <v>10</v>
      </c>
      <c r="E8741" t="str">
        <f>"02 - S1 - A - 101 - James H Mccann"</f>
        <v>02 - S1 - A - 101 - James H Mccann</v>
      </c>
      <c r="F8741" t="str">
        <f>"PERS FIN &amp; MON MGT H"</f>
        <v>PERS FIN &amp; MON MGT H</v>
      </c>
      <c r="G8741" t="str">
        <f>"17-1716"</f>
        <v>17-1716</v>
      </c>
      <c r="H8741" t="str">
        <f>"A"</f>
        <v>A</v>
      </c>
    </row>
    <row r="8742" spans="1:8" x14ac:dyDescent="0.2">
      <c r="A8742" t="str">
        <f t="shared" si="3173"/>
        <v>0615139387</v>
      </c>
      <c r="B8742" t="str">
        <f t="shared" si="3174"/>
        <v>JAI'LAH</v>
      </c>
      <c r="C8742" t="str">
        <f t="shared" si="3170"/>
        <v>JOSEPH</v>
      </c>
      <c r="D8742">
        <f>10</f>
        <v>10</v>
      </c>
      <c r="E8742" t="str">
        <f>"07 - B - 106 - Taraneh C Abreu"</f>
        <v>07 - B - 106 - Taraneh C Abreu</v>
      </c>
      <c r="F8742" t="str">
        <f>"INTENS READ 2"</f>
        <v>INTENS READ 2</v>
      </c>
      <c r="G8742" t="str">
        <f>"17-1713"</f>
        <v>17-1713</v>
      </c>
      <c r="H8742" t="str">
        <f>"B"</f>
        <v>B</v>
      </c>
    </row>
    <row r="8743" spans="1:8" x14ac:dyDescent="0.2">
      <c r="A8743" t="str">
        <f t="shared" si="3173"/>
        <v>0615139387</v>
      </c>
      <c r="B8743" t="str">
        <f t="shared" si="3174"/>
        <v>JAI'LAH</v>
      </c>
      <c r="C8743" t="str">
        <f t="shared" si="3170"/>
        <v>JOSEPH</v>
      </c>
      <c r="D8743">
        <f>10</f>
        <v>10</v>
      </c>
      <c r="E8743" t="str">
        <f>"05 - B - 105 - Adam Marcus  Drucker"</f>
        <v>05 - B - 105 - Adam Marcus  Drucker</v>
      </c>
      <c r="F8743" t="str">
        <f>"HOPE-PE V"</f>
        <v>HOPE-PE V</v>
      </c>
      <c r="G8743" t="str">
        <f>"04-254"</f>
        <v>04-254</v>
      </c>
      <c r="H8743" t="str">
        <f>"B"</f>
        <v>B</v>
      </c>
    </row>
    <row r="8744" spans="1:8" x14ac:dyDescent="0.2">
      <c r="A8744" t="str">
        <f t="shared" si="3173"/>
        <v>0615139387</v>
      </c>
      <c r="B8744" t="str">
        <f t="shared" si="3174"/>
        <v>JAI'LAH</v>
      </c>
      <c r="C8744" t="str">
        <f t="shared" si="3170"/>
        <v>JOSEPH</v>
      </c>
      <c r="D8744">
        <f>10</f>
        <v>10</v>
      </c>
      <c r="E8744" t="str">
        <f>"01 - A - 101 - Ferrie J Arostique"</f>
        <v>01 - A - 101 - Ferrie J Arostique</v>
      </c>
      <c r="F8744" t="str">
        <f>"GEOMETRY"</f>
        <v>GEOMETRY</v>
      </c>
      <c r="G8744" t="str">
        <f>"21-2139"</f>
        <v>21-2139</v>
      </c>
      <c r="H8744" t="str">
        <f>"A"</f>
        <v>A</v>
      </c>
    </row>
    <row r="8745" spans="1:8" x14ac:dyDescent="0.2">
      <c r="A8745" t="str">
        <f t="shared" si="3173"/>
        <v>0615139387</v>
      </c>
      <c r="B8745" t="str">
        <f t="shared" si="3174"/>
        <v>JAI'LAH</v>
      </c>
      <c r="C8745" t="str">
        <f t="shared" si="3170"/>
        <v>JOSEPH</v>
      </c>
      <c r="D8745">
        <f>10</f>
        <v>10</v>
      </c>
      <c r="E8745" t="str">
        <f>"08 - B - 105 - Daniel S Tyson"</f>
        <v>08 - B - 105 - Daniel S Tyson</v>
      </c>
      <c r="F8745" t="str">
        <f>"JROTC NAVAL SCI 1"</f>
        <v>JROTC NAVAL SCI 1</v>
      </c>
      <c r="G8745" t="str">
        <f>"05-510"</f>
        <v>05-510</v>
      </c>
      <c r="H8745" t="str">
        <f>"B"</f>
        <v>B</v>
      </c>
    </row>
    <row r="8746" spans="1:8" x14ac:dyDescent="0.2">
      <c r="A8746" t="str">
        <f t="shared" ref="A8746:A8753" si="3175">"0615023745"</f>
        <v>0615023745</v>
      </c>
      <c r="B8746" t="str">
        <f t="shared" ref="B8746:B8753" si="3176">"JENSEN"</f>
        <v>JENSEN</v>
      </c>
      <c r="C8746" t="str">
        <f t="shared" si="3170"/>
        <v>JOSEPH</v>
      </c>
      <c r="D8746">
        <f>10</f>
        <v>10</v>
      </c>
      <c r="E8746" t="str">
        <f>"04 - S1 - A - 101 - Kyle  Robbins"</f>
        <v>04 - S1 - A - 101 - Kyle  Robbins</v>
      </c>
      <c r="F8746" t="str">
        <f>"PERS FIN &amp; MON MGT H"</f>
        <v>PERS FIN &amp; MON MGT H</v>
      </c>
      <c r="G8746" t="str">
        <f>"17-1745"</f>
        <v>17-1745</v>
      </c>
      <c r="H8746" t="str">
        <f>"A"</f>
        <v>A</v>
      </c>
    </row>
    <row r="8747" spans="1:8" x14ac:dyDescent="0.2">
      <c r="A8747" t="str">
        <f t="shared" si="3175"/>
        <v>0615023745</v>
      </c>
      <c r="B8747" t="str">
        <f t="shared" si="3176"/>
        <v>JENSEN</v>
      </c>
      <c r="C8747" t="str">
        <f t="shared" si="3170"/>
        <v>JOSEPH</v>
      </c>
      <c r="D8747">
        <f>10</f>
        <v>10</v>
      </c>
      <c r="E8747" t="str">
        <f>"06 - B - 109 - Semra  Bahadir"</f>
        <v>06 - B - 109 - Semra  Bahadir</v>
      </c>
      <c r="F8747" t="str">
        <f>"NC STUDY HALL 1"</f>
        <v>NC STUDY HALL 1</v>
      </c>
      <c r="G8747" t="str">
        <f>"21-2107"</f>
        <v>21-2107</v>
      </c>
      <c r="H8747" t="str">
        <f>"B"</f>
        <v>B</v>
      </c>
    </row>
    <row r="8748" spans="1:8" x14ac:dyDescent="0.2">
      <c r="A8748" t="str">
        <f t="shared" si="3175"/>
        <v>0615023745</v>
      </c>
      <c r="B8748" t="str">
        <f t="shared" si="3176"/>
        <v>JENSEN</v>
      </c>
      <c r="C8748" t="str">
        <f t="shared" si="3170"/>
        <v>JOSEPH</v>
      </c>
      <c r="D8748">
        <f>10</f>
        <v>10</v>
      </c>
      <c r="E8748" t="str">
        <f>"03 - A - 002 - Ferrie J Arostique"</f>
        <v>03 - A - 002 - Ferrie J Arostique</v>
      </c>
      <c r="F8748" t="str">
        <f>"GEOMETRY"</f>
        <v>GEOMETRY</v>
      </c>
      <c r="G8748" t="str">
        <f>"21-2139"</f>
        <v>21-2139</v>
      </c>
      <c r="H8748" t="str">
        <f>"A"</f>
        <v>A</v>
      </c>
    </row>
    <row r="8749" spans="1:8" x14ac:dyDescent="0.2">
      <c r="A8749" t="str">
        <f t="shared" si="3175"/>
        <v>0615023745</v>
      </c>
      <c r="B8749" t="str">
        <f t="shared" si="3176"/>
        <v>JENSEN</v>
      </c>
      <c r="C8749" t="str">
        <f t="shared" si="3170"/>
        <v>JOSEPH</v>
      </c>
      <c r="D8749">
        <f>10</f>
        <v>10</v>
      </c>
      <c r="E8749" t="str">
        <f>"02 - S1 - A - 102 - Richard E Dunbar Iii"</f>
        <v>02 - S1 - A - 102 - Richard E Dunbar Iii</v>
      </c>
      <c r="F8749" t="str">
        <f>"WEIGHT TRAIN 1"</f>
        <v>WEIGHT TRAIN 1</v>
      </c>
      <c r="G8749" t="str">
        <f>"05-501"</f>
        <v>05-501</v>
      </c>
      <c r="H8749" t="str">
        <f>"A"</f>
        <v>A</v>
      </c>
    </row>
    <row r="8750" spans="1:8" x14ac:dyDescent="0.2">
      <c r="A8750" t="str">
        <f t="shared" si="3175"/>
        <v>0615023745</v>
      </c>
      <c r="B8750" t="str">
        <f t="shared" si="3176"/>
        <v>JENSEN</v>
      </c>
      <c r="C8750" t="str">
        <f t="shared" si="3170"/>
        <v>JOSEPH</v>
      </c>
      <c r="D8750">
        <f>10</f>
        <v>10</v>
      </c>
      <c r="E8750" t="str">
        <f>"07 - B - 002 - Jazmin S Fletcher"</f>
        <v>07 - B - 002 - Jazmin S Fletcher</v>
      </c>
      <c r="F8750" t="str">
        <f>"THEATRE 1"</f>
        <v>THEATRE 1</v>
      </c>
      <c r="G8750" t="str">
        <f>"09-909"</f>
        <v>09-909</v>
      </c>
      <c r="H8750" t="str">
        <f>"B"</f>
        <v>B</v>
      </c>
    </row>
    <row r="8751" spans="1:8" x14ac:dyDescent="0.2">
      <c r="A8751" t="str">
        <f t="shared" si="3175"/>
        <v>0615023745</v>
      </c>
      <c r="B8751" t="str">
        <f t="shared" si="3176"/>
        <v>JENSEN</v>
      </c>
      <c r="C8751" t="str">
        <f t="shared" si="3170"/>
        <v>JOSEPH</v>
      </c>
      <c r="D8751">
        <f>10</f>
        <v>10</v>
      </c>
      <c r="E8751" t="str">
        <f>"05 - B - 107 - Nikiel  Nesbeth"</f>
        <v>05 - B - 107 - Nikiel  Nesbeth</v>
      </c>
      <c r="F8751" t="str">
        <f>"ENG 2"</f>
        <v>ENG 2</v>
      </c>
      <c r="G8751" t="str">
        <f>"17-1705"</f>
        <v>17-1705</v>
      </c>
      <c r="H8751" t="str">
        <f>"B"</f>
        <v>B</v>
      </c>
    </row>
    <row r="8752" spans="1:8" x14ac:dyDescent="0.2">
      <c r="A8752" t="str">
        <f t="shared" si="3175"/>
        <v>0615023745</v>
      </c>
      <c r="B8752" t="str">
        <f t="shared" si="3176"/>
        <v>JENSEN</v>
      </c>
      <c r="C8752" t="str">
        <f t="shared" si="3170"/>
        <v>JOSEPH</v>
      </c>
      <c r="D8752">
        <f>10</f>
        <v>10</v>
      </c>
      <c r="E8752" t="str">
        <f>"01 - A - 101 - Taraneh C Abreu"</f>
        <v>01 - A - 101 - Taraneh C Abreu</v>
      </c>
      <c r="F8752" t="str">
        <f>"INTENS READ 2"</f>
        <v>INTENS READ 2</v>
      </c>
      <c r="G8752" t="str">
        <f>"17-1713"</f>
        <v>17-1713</v>
      </c>
      <c r="H8752" t="str">
        <f>"A"</f>
        <v>A</v>
      </c>
    </row>
    <row r="8753" spans="1:8" x14ac:dyDescent="0.2">
      <c r="A8753" t="str">
        <f t="shared" si="3175"/>
        <v>0615023745</v>
      </c>
      <c r="B8753" t="str">
        <f t="shared" si="3176"/>
        <v>JENSEN</v>
      </c>
      <c r="C8753" t="str">
        <f t="shared" si="3170"/>
        <v>JOSEPH</v>
      </c>
      <c r="D8753">
        <f>10</f>
        <v>10</v>
      </c>
      <c r="E8753" t="str">
        <f>"08 - B - 001 - Lytrell T Dixon"</f>
        <v>08 - B - 001 - Lytrell T Dixon</v>
      </c>
      <c r="F8753" t="str">
        <f>"BIOLOGY 1"</f>
        <v>BIOLOGY 1</v>
      </c>
      <c r="G8753" t="str">
        <f>"08-808"</f>
        <v>08-808</v>
      </c>
      <c r="H8753" t="str">
        <f>"B"</f>
        <v>B</v>
      </c>
    </row>
    <row r="8754" spans="1:8" x14ac:dyDescent="0.2">
      <c r="A8754" t="str">
        <f t="shared" ref="A8754:A8761" si="3177">"0616024244"</f>
        <v>0616024244</v>
      </c>
      <c r="B8754" t="str">
        <f t="shared" ref="B8754:B8761" si="3178">"JEREMIAH"</f>
        <v>JEREMIAH</v>
      </c>
      <c r="C8754" t="str">
        <f t="shared" si="3170"/>
        <v>JOSEPH</v>
      </c>
      <c r="D8754">
        <f>11</f>
        <v>11</v>
      </c>
      <c r="E8754" t="str">
        <f>"04 - A - 102 - Brandy N Zdenek"</f>
        <v>04 - A - 102 - Brandy N Zdenek</v>
      </c>
      <c r="F8754" t="str">
        <f>"AICE ENG LANG 2 AL"</f>
        <v>AICE ENG LANG 2 AL</v>
      </c>
      <c r="G8754" t="str">
        <f>"17-1704"</f>
        <v>17-1704</v>
      </c>
      <c r="H8754" t="str">
        <f>"A"</f>
        <v>A</v>
      </c>
    </row>
    <row r="8755" spans="1:8" x14ac:dyDescent="0.2">
      <c r="A8755" t="str">
        <f t="shared" si="3177"/>
        <v>0616024244</v>
      </c>
      <c r="B8755" t="str">
        <f t="shared" si="3178"/>
        <v>JEREMIAH</v>
      </c>
      <c r="C8755" t="str">
        <f t="shared" si="3170"/>
        <v>JOSEPH</v>
      </c>
      <c r="D8755">
        <f>11</f>
        <v>11</v>
      </c>
      <c r="E8755" t="str">
        <f>"06 - B - 001 - Lourivaldo  Da Silva"</f>
        <v>06 - B - 001 - Lourivaldo  Da Silva</v>
      </c>
      <c r="F8755" t="str">
        <f>"PRE-CALCULUS HON"</f>
        <v>PRE-CALCULUS HON</v>
      </c>
      <c r="G8755" t="str">
        <f>"20-2079"</f>
        <v>20-2079</v>
      </c>
      <c r="H8755" t="str">
        <f>"B"</f>
        <v>B</v>
      </c>
    </row>
    <row r="8756" spans="1:8" x14ac:dyDescent="0.2">
      <c r="A8756" t="str">
        <f t="shared" si="3177"/>
        <v>0616024244</v>
      </c>
      <c r="B8756" t="str">
        <f t="shared" si="3178"/>
        <v>JEREMIAH</v>
      </c>
      <c r="C8756" t="str">
        <f t="shared" si="3170"/>
        <v>JOSEPH</v>
      </c>
      <c r="D8756">
        <f>11</f>
        <v>11</v>
      </c>
      <c r="E8756" t="str">
        <f>"03 - A - 101 - Scott A Dethloff"</f>
        <v>03 - A - 101 - Scott A Dethloff</v>
      </c>
      <c r="F8756" t="str">
        <f>"CHEMISTRY 1 HON"</f>
        <v>CHEMISTRY 1 HON</v>
      </c>
      <c r="G8756" t="str">
        <f>"08-812"</f>
        <v>08-812</v>
      </c>
      <c r="H8756" t="str">
        <f>"A"</f>
        <v>A</v>
      </c>
    </row>
    <row r="8757" spans="1:8" x14ac:dyDescent="0.2">
      <c r="A8757" t="str">
        <f t="shared" si="3177"/>
        <v>0616024244</v>
      </c>
      <c r="B8757" t="str">
        <f t="shared" si="3178"/>
        <v>JEREMIAH</v>
      </c>
      <c r="C8757" t="str">
        <f t="shared" si="3170"/>
        <v>JOSEPH</v>
      </c>
      <c r="D8757">
        <f>11</f>
        <v>11</v>
      </c>
      <c r="E8757" t="str">
        <f>"02 - A - 104 - Dayna M Foster"</f>
        <v>02 - A - 104 - Dayna M Foster</v>
      </c>
      <c r="F8757" t="str">
        <f>"NC STUDY HALL 1"</f>
        <v>NC STUDY HALL 1</v>
      </c>
      <c r="G8757" t="str">
        <f>"21-2109"</f>
        <v>21-2109</v>
      </c>
      <c r="H8757" t="str">
        <f>"A"</f>
        <v>A</v>
      </c>
    </row>
    <row r="8758" spans="1:8" x14ac:dyDescent="0.2">
      <c r="A8758" t="str">
        <f t="shared" si="3177"/>
        <v>0616024244</v>
      </c>
      <c r="B8758" t="str">
        <f t="shared" si="3178"/>
        <v>JEREMIAH</v>
      </c>
      <c r="C8758" t="str">
        <f t="shared" si="3170"/>
        <v>JOSEPH</v>
      </c>
      <c r="D8758">
        <f>11</f>
        <v>11</v>
      </c>
      <c r="E8758" t="str">
        <f>"07 - B - 104 - Jerry S Jiampetti"</f>
        <v>07 - B - 104 - Jerry S Jiampetti</v>
      </c>
      <c r="F8758" t="str">
        <f>"AICE U.S. HIST 1 AS"</f>
        <v>AICE U.S. HIST 1 AS</v>
      </c>
      <c r="G8758" t="str">
        <f>"17-1751"</f>
        <v>17-1751</v>
      </c>
      <c r="H8758" t="str">
        <f>"B"</f>
        <v>B</v>
      </c>
    </row>
    <row r="8759" spans="1:8" x14ac:dyDescent="0.2">
      <c r="A8759" t="str">
        <f t="shared" si="3177"/>
        <v>0616024244</v>
      </c>
      <c r="B8759" t="str">
        <f t="shared" si="3178"/>
        <v>JEREMIAH</v>
      </c>
      <c r="C8759" t="str">
        <f t="shared" si="3170"/>
        <v>JOSEPH</v>
      </c>
      <c r="D8759">
        <f>11</f>
        <v>11</v>
      </c>
      <c r="E8759" t="str">
        <f>"05 - B - 101 - Jordana K Hass"</f>
        <v>05 - B - 101 - Jordana K Hass</v>
      </c>
      <c r="F8759" t="str">
        <f>"AP COMP SCI PRIN"</f>
        <v>AP COMP SCI PRIN</v>
      </c>
      <c r="G8759" t="str">
        <f>"08-807"</f>
        <v>08-807</v>
      </c>
      <c r="H8759" t="str">
        <f>"B"</f>
        <v>B</v>
      </c>
    </row>
    <row r="8760" spans="1:8" x14ac:dyDescent="0.2">
      <c r="A8760" t="str">
        <f t="shared" si="3177"/>
        <v>0616024244</v>
      </c>
      <c r="B8760" t="str">
        <f t="shared" si="3178"/>
        <v>JEREMIAH</v>
      </c>
      <c r="C8760" t="str">
        <f t="shared" ref="C8760:C8791" si="3179">"JOSEPH"</f>
        <v>JOSEPH</v>
      </c>
      <c r="D8760">
        <f>11</f>
        <v>11</v>
      </c>
      <c r="E8760" t="str">
        <f>"01 - A - 101 - Lisa J London"</f>
        <v>01 - A - 101 - Lisa J London</v>
      </c>
      <c r="F8760" t="str">
        <f>"AP CAPSTONE SEMINAR"</f>
        <v>AP CAPSTONE SEMINAR</v>
      </c>
      <c r="G8760" t="str">
        <f>"17-1714"</f>
        <v>17-1714</v>
      </c>
      <c r="H8760" t="str">
        <f>"A"</f>
        <v>A</v>
      </c>
    </row>
    <row r="8761" spans="1:8" x14ac:dyDescent="0.2">
      <c r="A8761" t="str">
        <f t="shared" si="3177"/>
        <v>0616024244</v>
      </c>
      <c r="B8761" t="str">
        <f t="shared" si="3178"/>
        <v>JEREMIAH</v>
      </c>
      <c r="C8761" t="str">
        <f t="shared" si="3179"/>
        <v>JOSEPH</v>
      </c>
      <c r="D8761">
        <f>11</f>
        <v>11</v>
      </c>
      <c r="E8761" t="str">
        <f>"08 - B - 206 - Daniel S Katz"</f>
        <v>08 - B - 206 - Daniel S Katz</v>
      </c>
      <c r="F8761" t="str">
        <f>"AICE MEDIASTUDIES AS"</f>
        <v>AICE MEDIASTUDIES AS</v>
      </c>
      <c r="G8761" t="str">
        <f>"05-521"</f>
        <v>05-521</v>
      </c>
      <c r="H8761" t="str">
        <f>"B"</f>
        <v>B</v>
      </c>
    </row>
    <row r="8762" spans="1:8" x14ac:dyDescent="0.2">
      <c r="A8762" t="str">
        <f t="shared" ref="A8762:A8770" si="3180">"0615111531"</f>
        <v>0615111531</v>
      </c>
      <c r="B8762" t="str">
        <f t="shared" ref="B8762:B8770" si="3181">"JOSHUA"</f>
        <v>JOSHUA</v>
      </c>
      <c r="C8762" t="str">
        <f t="shared" si="3179"/>
        <v>JOSEPH</v>
      </c>
      <c r="D8762" t="str">
        <f t="shared" ref="D8762:D8770" si="3182">"09"</f>
        <v>09</v>
      </c>
      <c r="E8762" t="str">
        <f>"04 - A - 104 - Helen A Flores"</f>
        <v>04 - A - 104 - Helen A Flores</v>
      </c>
      <c r="F8762" t="str">
        <f>"FDN SKLS MATH 9-12"</f>
        <v>FDN SKLS MATH 9-12</v>
      </c>
      <c r="G8762" t="str">
        <f>"21-2101"</f>
        <v>21-2101</v>
      </c>
      <c r="H8762" t="str">
        <f>"A"</f>
        <v>A</v>
      </c>
    </row>
    <row r="8763" spans="1:8" x14ac:dyDescent="0.2">
      <c r="A8763" t="str">
        <f t="shared" si="3180"/>
        <v>0615111531</v>
      </c>
      <c r="B8763" t="str">
        <f t="shared" si="3181"/>
        <v>JOSHUA</v>
      </c>
      <c r="C8763" t="str">
        <f t="shared" si="3179"/>
        <v>JOSEPH</v>
      </c>
      <c r="D8763" t="str">
        <f t="shared" si="3182"/>
        <v>09</v>
      </c>
      <c r="E8763" t="str">
        <f>"06 - B - 002 - Amy Beth  Broyles"</f>
        <v>06 - B - 002 - Amy Beth  Broyles</v>
      </c>
      <c r="F8763" t="str">
        <f>"ENV SCI"</f>
        <v>ENV SCI</v>
      </c>
      <c r="G8763" t="str">
        <f>"08-802"</f>
        <v>08-802</v>
      </c>
      <c r="H8763" t="str">
        <f>"B"</f>
        <v>B</v>
      </c>
    </row>
    <row r="8764" spans="1:8" x14ac:dyDescent="0.2">
      <c r="A8764" t="str">
        <f t="shared" si="3180"/>
        <v>0615111531</v>
      </c>
      <c r="B8764" t="str">
        <f t="shared" si="3181"/>
        <v>JOSHUA</v>
      </c>
      <c r="C8764" t="str">
        <f t="shared" si="3179"/>
        <v>JOSEPH</v>
      </c>
      <c r="D8764" t="str">
        <f t="shared" si="3182"/>
        <v>09</v>
      </c>
      <c r="E8764" t="str">
        <f>"03 - A - 102 - Laselleda D Shaw"</f>
        <v>03 - A - 102 - Laselleda D Shaw</v>
      </c>
      <c r="F8764" t="str">
        <f>"INTENS READ 1"</f>
        <v>INTENS READ 1</v>
      </c>
      <c r="G8764" t="str">
        <f>"17-1723"</f>
        <v>17-1723</v>
      </c>
      <c r="H8764" t="str">
        <f>"A"</f>
        <v>A</v>
      </c>
    </row>
    <row r="8765" spans="1:8" x14ac:dyDescent="0.2">
      <c r="A8765" t="str">
        <f t="shared" si="3180"/>
        <v>0615111531</v>
      </c>
      <c r="B8765" t="str">
        <f t="shared" si="3181"/>
        <v>JOSHUA</v>
      </c>
      <c r="C8765" t="str">
        <f t="shared" si="3179"/>
        <v>JOSEPH</v>
      </c>
      <c r="D8765" t="str">
        <f t="shared" si="3182"/>
        <v>09</v>
      </c>
      <c r="E8765" t="str">
        <f>"02 - A - 104 - Lytrell T Dixon"</f>
        <v>02 - A - 104 - Lytrell T Dixon</v>
      </c>
      <c r="F8765" t="str">
        <f>"NC STUDY HALL 1"</f>
        <v>NC STUDY HALL 1</v>
      </c>
      <c r="G8765" t="str">
        <f>"08-808"</f>
        <v>08-808</v>
      </c>
      <c r="H8765" t="str">
        <f>"A"</f>
        <v>A</v>
      </c>
    </row>
    <row r="8766" spans="1:8" x14ac:dyDescent="0.2">
      <c r="A8766" t="str">
        <f t="shared" si="3180"/>
        <v>0615111531</v>
      </c>
      <c r="B8766" t="str">
        <f t="shared" si="3181"/>
        <v>JOSHUA</v>
      </c>
      <c r="C8766" t="str">
        <f t="shared" si="3179"/>
        <v>JOSEPH</v>
      </c>
      <c r="D8766" t="str">
        <f t="shared" si="3182"/>
        <v>09</v>
      </c>
      <c r="E8766" t="str">
        <f>"02 - A - 102 - Eric  Lopapa"</f>
        <v>02 - A - 102 - Eric  Lopapa</v>
      </c>
      <c r="F8766" t="str">
        <f>"LANG THERAPY"</f>
        <v>LANG THERAPY</v>
      </c>
      <c r="G8766" t="str">
        <f>"21-2110"</f>
        <v>21-2110</v>
      </c>
      <c r="H8766" t="str">
        <f>"A"</f>
        <v>A</v>
      </c>
    </row>
    <row r="8767" spans="1:8" x14ac:dyDescent="0.2">
      <c r="A8767" t="str">
        <f t="shared" si="3180"/>
        <v>0615111531</v>
      </c>
      <c r="B8767" t="str">
        <f t="shared" si="3181"/>
        <v>JOSHUA</v>
      </c>
      <c r="C8767" t="str">
        <f t="shared" si="3179"/>
        <v>JOSEPH</v>
      </c>
      <c r="D8767" t="str">
        <f t="shared" si="3182"/>
        <v>09</v>
      </c>
      <c r="E8767" t="str">
        <f>"07 - B - 107 - Cerine S Stewart"</f>
        <v>07 - B - 107 - Cerine S Stewart</v>
      </c>
      <c r="F8767" t="str">
        <f>"ENG 1"</f>
        <v>ENG 1</v>
      </c>
      <c r="G8767" t="str">
        <f>"17-1720"</f>
        <v>17-1720</v>
      </c>
      <c r="H8767" t="str">
        <f>"B"</f>
        <v>B</v>
      </c>
    </row>
    <row r="8768" spans="1:8" x14ac:dyDescent="0.2">
      <c r="A8768" t="str">
        <f t="shared" si="3180"/>
        <v>0615111531</v>
      </c>
      <c r="B8768" t="str">
        <f t="shared" si="3181"/>
        <v>JOSHUA</v>
      </c>
      <c r="C8768" t="str">
        <f t="shared" si="3179"/>
        <v>JOSEPH</v>
      </c>
      <c r="D8768" t="str">
        <f t="shared" si="3182"/>
        <v>09</v>
      </c>
      <c r="E8768" t="str">
        <f>"05 - S1 - B - 102 - Richard E Dunbar Iii"</f>
        <v>05 - S1 - B - 102 - Richard E Dunbar Iii</v>
      </c>
      <c r="F8768" t="str">
        <f>"TEAM SPORTS 1"</f>
        <v>TEAM SPORTS 1</v>
      </c>
      <c r="G8768" t="str">
        <f>"04-254"</f>
        <v>04-254</v>
      </c>
      <c r="H8768" t="str">
        <f>"B"</f>
        <v>B</v>
      </c>
    </row>
    <row r="8769" spans="1:8" x14ac:dyDescent="0.2">
      <c r="A8769" t="str">
        <f t="shared" si="3180"/>
        <v>0615111531</v>
      </c>
      <c r="B8769" t="str">
        <f t="shared" si="3181"/>
        <v>JOSHUA</v>
      </c>
      <c r="C8769" t="str">
        <f t="shared" si="3179"/>
        <v>JOSEPH</v>
      </c>
      <c r="D8769" t="str">
        <f t="shared" si="3182"/>
        <v>09</v>
      </c>
      <c r="E8769" t="str">
        <f>"01 - A - 107 - Jazmin S Fletcher"</f>
        <v>01 - A - 107 - Jazmin S Fletcher</v>
      </c>
      <c r="F8769" t="str">
        <f>"WORLD HISTORY"</f>
        <v>WORLD HISTORY</v>
      </c>
      <c r="G8769" t="str">
        <f>"09-909"</f>
        <v>09-909</v>
      </c>
      <c r="H8769" t="str">
        <f>"A"</f>
        <v>A</v>
      </c>
    </row>
    <row r="8770" spans="1:8" x14ac:dyDescent="0.2">
      <c r="A8770" t="str">
        <f t="shared" si="3180"/>
        <v>0615111531</v>
      </c>
      <c r="B8770" t="str">
        <f t="shared" si="3181"/>
        <v>JOSHUA</v>
      </c>
      <c r="C8770" t="str">
        <f t="shared" si="3179"/>
        <v>JOSEPH</v>
      </c>
      <c r="D8770" t="str">
        <f t="shared" si="3182"/>
        <v>09</v>
      </c>
      <c r="E8770" t="str">
        <f>"08 - B - 106 - Helen A Flores"</f>
        <v>08 - B - 106 - Helen A Flores</v>
      </c>
      <c r="F8770" t="str">
        <f>"ALGEBRA 1"</f>
        <v>ALGEBRA 1</v>
      </c>
      <c r="G8770" t="str">
        <f>"21-2101"</f>
        <v>21-2101</v>
      </c>
      <c r="H8770" t="str">
        <f>"B"</f>
        <v>B</v>
      </c>
    </row>
    <row r="8771" spans="1:8" x14ac:dyDescent="0.2">
      <c r="A8771" t="str">
        <f t="shared" ref="A8771:A8778" si="3183">"0615137556"</f>
        <v>0615137556</v>
      </c>
      <c r="B8771" t="str">
        <f t="shared" ref="B8771:B8778" si="3184">"LACE"</f>
        <v>LACE</v>
      </c>
      <c r="C8771" t="str">
        <f t="shared" si="3179"/>
        <v>JOSEPH</v>
      </c>
      <c r="D8771">
        <f>10</f>
        <v>10</v>
      </c>
      <c r="E8771" t="str">
        <f>"04 - A - 104 - Dayna M Foster"</f>
        <v>04 - A - 104 - Dayna M Foster</v>
      </c>
      <c r="F8771" t="str">
        <f>"ALGEBRA 2"</f>
        <v>ALGEBRA 2</v>
      </c>
      <c r="G8771" t="str">
        <f>"21-2109"</f>
        <v>21-2109</v>
      </c>
      <c r="H8771" t="str">
        <f>"A"</f>
        <v>A</v>
      </c>
    </row>
    <row r="8772" spans="1:8" x14ac:dyDescent="0.2">
      <c r="A8772" t="str">
        <f t="shared" si="3183"/>
        <v>0615137556</v>
      </c>
      <c r="B8772" t="str">
        <f t="shared" si="3184"/>
        <v>LACE</v>
      </c>
      <c r="C8772" t="str">
        <f t="shared" si="3179"/>
        <v>JOSEPH</v>
      </c>
      <c r="D8772">
        <f>10</f>
        <v>10</v>
      </c>
      <c r="E8772" t="str">
        <f>"06 - B - 112 - Tina M Jaramillo"</f>
        <v>06 - B - 112 - Tina M Jaramillo</v>
      </c>
      <c r="F8772" t="str">
        <f>"NC STUDY HALL 1"</f>
        <v>NC STUDY HALL 1</v>
      </c>
      <c r="G8772" t="str">
        <f>"17-1706"</f>
        <v>17-1706</v>
      </c>
      <c r="H8772" t="str">
        <f>"B"</f>
        <v>B</v>
      </c>
    </row>
    <row r="8773" spans="1:8" x14ac:dyDescent="0.2">
      <c r="A8773" t="str">
        <f t="shared" si="3183"/>
        <v>0615137556</v>
      </c>
      <c r="B8773" t="str">
        <f t="shared" si="3184"/>
        <v>LACE</v>
      </c>
      <c r="C8773" t="str">
        <f t="shared" si="3179"/>
        <v>JOSEPH</v>
      </c>
      <c r="D8773">
        <f>10</f>
        <v>10</v>
      </c>
      <c r="E8773" t="str">
        <f>"03 - A - 106 - Krystal Marie  Beruty"</f>
        <v>03 - A - 106 - Krystal Marie  Beruty</v>
      </c>
      <c r="F8773" t="str">
        <f>"AICE PSYCH 1 AS"</f>
        <v>AICE PSYCH 1 AS</v>
      </c>
      <c r="G8773" t="str">
        <f>"17-1721"</f>
        <v>17-1721</v>
      </c>
      <c r="H8773" t="str">
        <f>"A"</f>
        <v>A</v>
      </c>
    </row>
    <row r="8774" spans="1:8" x14ac:dyDescent="0.2">
      <c r="A8774" t="str">
        <f t="shared" si="3183"/>
        <v>0615137556</v>
      </c>
      <c r="B8774" t="str">
        <f t="shared" si="3184"/>
        <v>LACE</v>
      </c>
      <c r="C8774" t="str">
        <f t="shared" si="3179"/>
        <v>JOSEPH</v>
      </c>
      <c r="D8774">
        <f>10</f>
        <v>10</v>
      </c>
      <c r="E8774" t="str">
        <f>"02 - A - 201 - Jordana K Hass"</f>
        <v>02 - A - 201 - Jordana K Hass</v>
      </c>
      <c r="F8774" t="str">
        <f>"CHEMISTRY 1"</f>
        <v>CHEMISTRY 1</v>
      </c>
      <c r="G8774" t="str">
        <f>"08-807"</f>
        <v>08-807</v>
      </c>
      <c r="H8774" t="str">
        <f>"A"</f>
        <v>A</v>
      </c>
    </row>
    <row r="8775" spans="1:8" x14ac:dyDescent="0.2">
      <c r="A8775" t="str">
        <f t="shared" si="3183"/>
        <v>0615137556</v>
      </c>
      <c r="B8775" t="str">
        <f t="shared" si="3184"/>
        <v>LACE</v>
      </c>
      <c r="C8775" t="str">
        <f t="shared" si="3179"/>
        <v>JOSEPH</v>
      </c>
      <c r="D8775">
        <f>10</f>
        <v>10</v>
      </c>
      <c r="E8775" t="str">
        <f>"07 - B - 204 - Elizabeth Ellen  Moran"</f>
        <v>07 - B - 204 - Elizabeth Ellen  Moran</v>
      </c>
      <c r="F8775" t="str">
        <f>"AICE EURO HIST 1 AS"</f>
        <v>AICE EURO HIST 1 AS</v>
      </c>
      <c r="G8775" t="str">
        <f>"17-1752"</f>
        <v>17-1752</v>
      </c>
      <c r="H8775" t="str">
        <f>"B"</f>
        <v>B</v>
      </c>
    </row>
    <row r="8776" spans="1:8" x14ac:dyDescent="0.2">
      <c r="A8776" t="str">
        <f t="shared" si="3183"/>
        <v>0615137556</v>
      </c>
      <c r="B8776" t="str">
        <f t="shared" si="3184"/>
        <v>LACE</v>
      </c>
      <c r="C8776" t="str">
        <f t="shared" si="3179"/>
        <v>JOSEPH</v>
      </c>
      <c r="D8776">
        <f>10</f>
        <v>10</v>
      </c>
      <c r="E8776" t="str">
        <f>"05 - B - 105 - Marius D Orsolini"</f>
        <v>05 - B - 105 - Marius D Orsolini</v>
      </c>
      <c r="F8776" t="str">
        <f>"CULINARY ARTS 1"</f>
        <v>CULINARY ARTS 1</v>
      </c>
      <c r="G8776" t="str">
        <f>"21-2115"</f>
        <v>21-2115</v>
      </c>
      <c r="H8776" t="str">
        <f>"B"</f>
        <v>B</v>
      </c>
    </row>
    <row r="8777" spans="1:8" x14ac:dyDescent="0.2">
      <c r="A8777" t="str">
        <f t="shared" si="3183"/>
        <v>0615137556</v>
      </c>
      <c r="B8777" t="str">
        <f t="shared" si="3184"/>
        <v>LACE</v>
      </c>
      <c r="C8777" t="str">
        <f t="shared" si="3179"/>
        <v>JOSEPH</v>
      </c>
      <c r="D8777">
        <f>10</f>
        <v>10</v>
      </c>
      <c r="E8777" t="str">
        <f>"01 - A - 101 - Courtney E Hambright"</f>
        <v>01 - A - 101 - Courtney E Hambright</v>
      </c>
      <c r="F8777" t="str">
        <f>"AICE ENG LANG AS"</f>
        <v>AICE ENG LANG AS</v>
      </c>
      <c r="G8777" t="str">
        <f>"17-1711"</f>
        <v>17-1711</v>
      </c>
      <c r="H8777" t="str">
        <f>"A"</f>
        <v>A</v>
      </c>
    </row>
    <row r="8778" spans="1:8" x14ac:dyDescent="0.2">
      <c r="A8778" t="str">
        <f t="shared" si="3183"/>
        <v>0615137556</v>
      </c>
      <c r="B8778" t="str">
        <f t="shared" si="3184"/>
        <v>LACE</v>
      </c>
      <c r="C8778" t="str">
        <f t="shared" si="3179"/>
        <v>JOSEPH</v>
      </c>
      <c r="D8778">
        <f>10</f>
        <v>10</v>
      </c>
      <c r="E8778" t="str">
        <f>"08 - B - 206 - Daniel S Katz"</f>
        <v>08 - B - 206 - Daniel S Katz</v>
      </c>
      <c r="F8778" t="str">
        <f>"AICE MEDIASTUDIES AS"</f>
        <v>AICE MEDIASTUDIES AS</v>
      </c>
      <c r="G8778" t="str">
        <f>"05-521"</f>
        <v>05-521</v>
      </c>
      <c r="H8778" t="str">
        <f>"B"</f>
        <v>B</v>
      </c>
    </row>
    <row r="8779" spans="1:8" x14ac:dyDescent="0.2">
      <c r="A8779" t="str">
        <f t="shared" ref="A8779:A8786" si="3185">"0615009551"</f>
        <v>0615009551</v>
      </c>
      <c r="B8779" t="str">
        <f t="shared" ref="B8779:B8786" si="3186">"LEXANI"</f>
        <v>LEXANI</v>
      </c>
      <c r="C8779" t="str">
        <f t="shared" si="3179"/>
        <v>JOSEPH</v>
      </c>
      <c r="D8779">
        <f>11</f>
        <v>11</v>
      </c>
      <c r="E8779" t="str">
        <f>"04 - A - 102 - Elizabeth Ellen  Moran"</f>
        <v>04 - A - 102 - Elizabeth Ellen  Moran</v>
      </c>
      <c r="F8779" t="str">
        <f>"US HISTORY"</f>
        <v>US HISTORY</v>
      </c>
      <c r="G8779" t="str">
        <f>"17-1752"</f>
        <v>17-1752</v>
      </c>
      <c r="H8779" t="str">
        <f>"A"</f>
        <v>A</v>
      </c>
    </row>
    <row r="8780" spans="1:8" x14ac:dyDescent="0.2">
      <c r="A8780" t="str">
        <f t="shared" si="3185"/>
        <v>0615009551</v>
      </c>
      <c r="B8780" t="str">
        <f t="shared" si="3186"/>
        <v>LEXANI</v>
      </c>
      <c r="C8780" t="str">
        <f t="shared" si="3179"/>
        <v>JOSEPH</v>
      </c>
      <c r="D8780">
        <f>11</f>
        <v>11</v>
      </c>
      <c r="E8780" t="str">
        <f>"06 - B - 108 - Milca  Exantus"</f>
        <v>06 - B - 108 - Milca  Exantus</v>
      </c>
      <c r="F8780" t="str">
        <f>"MATH COLLEGE LIB ART"</f>
        <v>MATH COLLEGE LIB ART</v>
      </c>
      <c r="G8780" t="str">
        <f>"21-2145"</f>
        <v>21-2145</v>
      </c>
      <c r="H8780" t="str">
        <f>"B"</f>
        <v>B</v>
      </c>
    </row>
    <row r="8781" spans="1:8" x14ac:dyDescent="0.2">
      <c r="A8781" t="str">
        <f t="shared" si="3185"/>
        <v>0615009551</v>
      </c>
      <c r="B8781" t="str">
        <f t="shared" si="3186"/>
        <v>LEXANI</v>
      </c>
      <c r="C8781" t="str">
        <f t="shared" si="3179"/>
        <v>JOSEPH</v>
      </c>
      <c r="D8781">
        <f>11</f>
        <v>11</v>
      </c>
      <c r="E8781" t="str">
        <f>"03 - A - 102 - Lisa  Quinn"</f>
        <v>03 - A - 102 - Lisa  Quinn</v>
      </c>
      <c r="F8781" t="str">
        <f>"ENG 3"</f>
        <v>ENG 3</v>
      </c>
      <c r="G8781" t="str">
        <f>"17-1725"</f>
        <v>17-1725</v>
      </c>
      <c r="H8781" t="str">
        <f>"A"</f>
        <v>A</v>
      </c>
    </row>
    <row r="8782" spans="1:8" x14ac:dyDescent="0.2">
      <c r="A8782" t="str">
        <f t="shared" si="3185"/>
        <v>0615009551</v>
      </c>
      <c r="B8782" t="str">
        <f t="shared" si="3186"/>
        <v>LEXANI</v>
      </c>
      <c r="C8782" t="str">
        <f t="shared" si="3179"/>
        <v>JOSEPH</v>
      </c>
      <c r="D8782">
        <f>11</f>
        <v>11</v>
      </c>
      <c r="E8782" t="str">
        <f>"02 - A - 108 - Stephen T Ripp"</f>
        <v>02 - A - 108 - Stephen T Ripp</v>
      </c>
      <c r="F8782" t="str">
        <f>"NC STUDY HALL 1"</f>
        <v>NC STUDY HALL 1</v>
      </c>
      <c r="G8782" t="str">
        <f>"17-1744"</f>
        <v>17-1744</v>
      </c>
      <c r="H8782" t="str">
        <f>"A"</f>
        <v>A</v>
      </c>
    </row>
    <row r="8783" spans="1:8" x14ac:dyDescent="0.2">
      <c r="A8783" t="str">
        <f t="shared" si="3185"/>
        <v>0615009551</v>
      </c>
      <c r="B8783" t="str">
        <f t="shared" si="3186"/>
        <v>LEXANI</v>
      </c>
      <c r="C8783" t="str">
        <f t="shared" si="3179"/>
        <v>JOSEPH</v>
      </c>
      <c r="D8783">
        <f>11</f>
        <v>11</v>
      </c>
      <c r="E8783" t="str">
        <f>"07 - B - 002 - Jazmin S Fletcher"</f>
        <v>07 - B - 002 - Jazmin S Fletcher</v>
      </c>
      <c r="F8783" t="str">
        <f>"THEATRE 1"</f>
        <v>THEATRE 1</v>
      </c>
      <c r="G8783" t="str">
        <f>"09-909"</f>
        <v>09-909</v>
      </c>
      <c r="H8783" t="str">
        <f>"B"</f>
        <v>B</v>
      </c>
    </row>
    <row r="8784" spans="1:8" x14ac:dyDescent="0.2">
      <c r="A8784" t="str">
        <f t="shared" si="3185"/>
        <v>0615009551</v>
      </c>
      <c r="B8784" t="str">
        <f t="shared" si="3186"/>
        <v>LEXANI</v>
      </c>
      <c r="C8784" t="str">
        <f t="shared" si="3179"/>
        <v>JOSEPH</v>
      </c>
      <c r="D8784">
        <f>11</f>
        <v>11</v>
      </c>
      <c r="E8784" t="str">
        <f>"05 - B - 101 - Brian M Fitzgerald"</f>
        <v>05 - B - 101 - Brian M Fitzgerald</v>
      </c>
      <c r="F8784" t="str">
        <f>"PAINT 1"</f>
        <v>PAINT 1</v>
      </c>
      <c r="G8784" t="str">
        <f>"09-908"</f>
        <v>09-908</v>
      </c>
      <c r="H8784" t="str">
        <f>"B"</f>
        <v>B</v>
      </c>
    </row>
    <row r="8785" spans="1:8" x14ac:dyDescent="0.2">
      <c r="A8785" t="str">
        <f t="shared" si="3185"/>
        <v>0615009551</v>
      </c>
      <c r="B8785" t="str">
        <f t="shared" si="3186"/>
        <v>LEXANI</v>
      </c>
      <c r="C8785" t="str">
        <f t="shared" si="3179"/>
        <v>JOSEPH</v>
      </c>
      <c r="D8785">
        <f>11</f>
        <v>11</v>
      </c>
      <c r="E8785" t="str">
        <f>"01 - A - 101 - Cliffon  Saurel"</f>
        <v>01 - A - 101 - Cliffon  Saurel</v>
      </c>
      <c r="F8785" t="str">
        <f>"PHYSICAL SCI"</f>
        <v>PHYSICAL SCI</v>
      </c>
      <c r="G8785" t="str">
        <f>"05-522"</f>
        <v>05-522</v>
      </c>
      <c r="H8785" t="str">
        <f>"A"</f>
        <v>A</v>
      </c>
    </row>
    <row r="8786" spans="1:8" x14ac:dyDescent="0.2">
      <c r="A8786" t="str">
        <f t="shared" si="3185"/>
        <v>0615009551</v>
      </c>
      <c r="B8786" t="str">
        <f t="shared" si="3186"/>
        <v>LEXANI</v>
      </c>
      <c r="C8786" t="str">
        <f t="shared" si="3179"/>
        <v>JOSEPH</v>
      </c>
      <c r="D8786">
        <f>11</f>
        <v>11</v>
      </c>
      <c r="E8786" t="str">
        <f>"08 - S1 - B - 101 - Amy Beth  Broyles"</f>
        <v>08 - S1 - B - 101 - Amy Beth  Broyles</v>
      </c>
      <c r="F8786" t="str">
        <f>"PEER COUN 3"</f>
        <v>PEER COUN 3</v>
      </c>
      <c r="G8786" t="str">
        <f>"17-1713"</f>
        <v>17-1713</v>
      </c>
      <c r="H8786" t="str">
        <f>"B"</f>
        <v>B</v>
      </c>
    </row>
    <row r="8787" spans="1:8" x14ac:dyDescent="0.2">
      <c r="A8787" t="str">
        <f t="shared" ref="A8787:A8794" si="3187">"0625034408"</f>
        <v>0625034408</v>
      </c>
      <c r="B8787" t="str">
        <f t="shared" ref="B8787:B8794" si="3188">"LOOKENDY"</f>
        <v>LOOKENDY</v>
      </c>
      <c r="C8787" t="str">
        <f t="shared" si="3179"/>
        <v>JOSEPH</v>
      </c>
      <c r="D8787">
        <f>11</f>
        <v>11</v>
      </c>
      <c r="E8787" t="str">
        <f>"04 - A - 102 - Elizabeth Ellen  Moran"</f>
        <v>04 - A - 102 - Elizabeth Ellen  Moran</v>
      </c>
      <c r="F8787" t="str">
        <f>"US HISTORY"</f>
        <v>US HISTORY</v>
      </c>
      <c r="G8787" t="str">
        <f>"17-1752"</f>
        <v>17-1752</v>
      </c>
      <c r="H8787" t="str">
        <f>"A"</f>
        <v>A</v>
      </c>
    </row>
    <row r="8788" spans="1:8" x14ac:dyDescent="0.2">
      <c r="A8788" t="str">
        <f t="shared" si="3187"/>
        <v>0625034408</v>
      </c>
      <c r="B8788" t="str">
        <f t="shared" si="3188"/>
        <v>LOOKENDY</v>
      </c>
      <c r="C8788" t="str">
        <f t="shared" si="3179"/>
        <v>JOSEPH</v>
      </c>
      <c r="D8788">
        <f>11</f>
        <v>11</v>
      </c>
      <c r="E8788" t="str">
        <f>"06 - B - 103 - Helen A Flores"</f>
        <v>06 - B - 103 - Helen A Flores</v>
      </c>
      <c r="F8788" t="str">
        <f>"ALGEBRA 2"</f>
        <v>ALGEBRA 2</v>
      </c>
      <c r="G8788" t="str">
        <f>"21-2101"</f>
        <v>21-2101</v>
      </c>
      <c r="H8788" t="str">
        <f>"B"</f>
        <v>B</v>
      </c>
    </row>
    <row r="8789" spans="1:8" x14ac:dyDescent="0.2">
      <c r="A8789" t="str">
        <f t="shared" si="3187"/>
        <v>0625034408</v>
      </c>
      <c r="B8789" t="str">
        <f t="shared" si="3188"/>
        <v>LOOKENDY</v>
      </c>
      <c r="C8789" t="str">
        <f t="shared" si="3179"/>
        <v>JOSEPH</v>
      </c>
      <c r="D8789">
        <f>11</f>
        <v>11</v>
      </c>
      <c r="E8789" t="str">
        <f>"03 - A - 208 - Marielle A Witting"</f>
        <v>03 - A - 208 - Marielle A Witting</v>
      </c>
      <c r="F8789" t="str">
        <f>"ANAT PHYSIO"</f>
        <v>ANAT PHYSIO</v>
      </c>
      <c r="G8789" t="str">
        <f>"08-805"</f>
        <v>08-805</v>
      </c>
      <c r="H8789" t="str">
        <f>"A"</f>
        <v>A</v>
      </c>
    </row>
    <row r="8790" spans="1:8" x14ac:dyDescent="0.2">
      <c r="A8790" t="str">
        <f t="shared" si="3187"/>
        <v>0625034408</v>
      </c>
      <c r="B8790" t="str">
        <f t="shared" si="3188"/>
        <v>LOOKENDY</v>
      </c>
      <c r="C8790" t="str">
        <f t="shared" si="3179"/>
        <v>JOSEPH</v>
      </c>
      <c r="D8790">
        <f>11</f>
        <v>11</v>
      </c>
      <c r="E8790" t="str">
        <f>"02 - A - 107 - Elizabeth Ellen  Moran"</f>
        <v>02 - A - 107 - Elizabeth Ellen  Moran</v>
      </c>
      <c r="F8790" t="str">
        <f>"NC STUDY HALL 1"</f>
        <v>NC STUDY HALL 1</v>
      </c>
      <c r="G8790" t="str">
        <f>"17-1752"</f>
        <v>17-1752</v>
      </c>
      <c r="H8790" t="str">
        <f>"A"</f>
        <v>A</v>
      </c>
    </row>
    <row r="8791" spans="1:8" x14ac:dyDescent="0.2">
      <c r="A8791" t="str">
        <f t="shared" si="3187"/>
        <v>0625034408</v>
      </c>
      <c r="B8791" t="str">
        <f t="shared" si="3188"/>
        <v>LOOKENDY</v>
      </c>
      <c r="C8791" t="str">
        <f t="shared" si="3179"/>
        <v>JOSEPH</v>
      </c>
      <c r="D8791">
        <f>11</f>
        <v>11</v>
      </c>
      <c r="E8791" t="str">
        <f>"07 - B - 105 - Joe  Kilpatrick Jr"</f>
        <v>07 - B - 105 - Joe  Kilpatrick Jr</v>
      </c>
      <c r="F8791" t="str">
        <f>"PRE-AICE SPAN 1 IG"</f>
        <v>PRE-AICE SPAN 1 IG</v>
      </c>
      <c r="G8791" t="str">
        <f>"09-912"</f>
        <v>09-912</v>
      </c>
      <c r="H8791" t="str">
        <f>"B"</f>
        <v>B</v>
      </c>
    </row>
    <row r="8792" spans="1:8" x14ac:dyDescent="0.2">
      <c r="A8792" t="str">
        <f t="shared" si="3187"/>
        <v>0625034408</v>
      </c>
      <c r="B8792" t="str">
        <f t="shared" si="3188"/>
        <v>LOOKENDY</v>
      </c>
      <c r="C8792" t="str">
        <f t="shared" ref="C8792:C8823" si="3189">"JOSEPH"</f>
        <v>JOSEPH</v>
      </c>
      <c r="D8792">
        <f>11</f>
        <v>11</v>
      </c>
      <c r="E8792" t="str">
        <f>"05 - B - 103 - Nahum  Saint-Preux"</f>
        <v>05 - B - 103 - Nahum  Saint-Preux</v>
      </c>
      <c r="F8792" t="str">
        <f>"INTENS READ 3"</f>
        <v>INTENS READ 3</v>
      </c>
      <c r="G8792" t="str">
        <f>"17-1712"</f>
        <v>17-1712</v>
      </c>
      <c r="H8792" t="str">
        <f>"B"</f>
        <v>B</v>
      </c>
    </row>
    <row r="8793" spans="1:8" x14ac:dyDescent="0.2">
      <c r="A8793" t="str">
        <f t="shared" si="3187"/>
        <v>0625034408</v>
      </c>
      <c r="B8793" t="str">
        <f t="shared" si="3188"/>
        <v>LOOKENDY</v>
      </c>
      <c r="C8793" t="str">
        <f t="shared" si="3189"/>
        <v>JOSEPH</v>
      </c>
      <c r="D8793">
        <f>11</f>
        <v>11</v>
      </c>
      <c r="E8793" t="str">
        <f>"01 - A - 101 - Vanessa J Pena"</f>
        <v>01 - A - 101 - Vanessa J Pena</v>
      </c>
      <c r="F8793" t="str">
        <f>"DEV LANG ARTS ESOL-R"</f>
        <v>DEV LANG ARTS ESOL-R</v>
      </c>
      <c r="G8793" t="str">
        <f>"09-926"</f>
        <v>09-926</v>
      </c>
      <c r="H8793" t="str">
        <f>"A"</f>
        <v>A</v>
      </c>
    </row>
    <row r="8794" spans="1:8" x14ac:dyDescent="0.2">
      <c r="A8794" t="str">
        <f t="shared" si="3187"/>
        <v>0625034408</v>
      </c>
      <c r="B8794" t="str">
        <f t="shared" si="3188"/>
        <v>LOOKENDY</v>
      </c>
      <c r="C8794" t="str">
        <f t="shared" si="3189"/>
        <v>JOSEPH</v>
      </c>
      <c r="D8794">
        <f>11</f>
        <v>11</v>
      </c>
      <c r="E8794" t="str">
        <f>"08 - B - 106 - Lisa  Quinn"</f>
        <v>08 - B - 106 - Lisa  Quinn</v>
      </c>
      <c r="F8794" t="str">
        <f>"ENG 3"</f>
        <v>ENG 3</v>
      </c>
      <c r="G8794" t="str">
        <f>"17-1725"</f>
        <v>17-1725</v>
      </c>
      <c r="H8794" t="str">
        <f>"B"</f>
        <v>B</v>
      </c>
    </row>
    <row r="8795" spans="1:8" x14ac:dyDescent="0.2">
      <c r="A8795" t="str">
        <f t="shared" ref="A8795:A8802" si="3190">"0616089142"</f>
        <v>0616089142</v>
      </c>
      <c r="B8795" t="str">
        <f t="shared" ref="B8795:B8802" si="3191">"MANOUSHCA"</f>
        <v>MANOUSHCA</v>
      </c>
      <c r="C8795" t="str">
        <f t="shared" si="3189"/>
        <v>JOSEPH</v>
      </c>
      <c r="D8795" t="str">
        <f t="shared" ref="D8795:D8802" si="3192">"09"</f>
        <v>09</v>
      </c>
      <c r="E8795" t="str">
        <f>"04 - A - 103 - Joe  Kilpatrick Jr"</f>
        <v>04 - A - 103 - Joe  Kilpatrick Jr</v>
      </c>
      <c r="F8795" t="str">
        <f>"PRE-AICE SPAN 1 IG"</f>
        <v>PRE-AICE SPAN 1 IG</v>
      </c>
      <c r="G8795" t="str">
        <f>"09-912"</f>
        <v>09-912</v>
      </c>
      <c r="H8795" t="str">
        <f>"A"</f>
        <v>A</v>
      </c>
    </row>
    <row r="8796" spans="1:8" x14ac:dyDescent="0.2">
      <c r="A8796" t="str">
        <f t="shared" si="3190"/>
        <v>0616089142</v>
      </c>
      <c r="B8796" t="str">
        <f t="shared" si="3191"/>
        <v>MANOUSHCA</v>
      </c>
      <c r="C8796" t="str">
        <f t="shared" si="3189"/>
        <v>JOSEPH</v>
      </c>
      <c r="D8796" t="str">
        <f t="shared" si="3192"/>
        <v>09</v>
      </c>
      <c r="E8796" t="str">
        <f>"06 - B - 104 - Rory T Sponsler"</f>
        <v>06 - B - 104 - Rory T Sponsler</v>
      </c>
      <c r="F8796" t="str">
        <f>"PRE-AICE WRLD HST IG"</f>
        <v>PRE-AICE WRLD HST IG</v>
      </c>
      <c r="G8796" t="str">
        <f>"17-1740"</f>
        <v>17-1740</v>
      </c>
      <c r="H8796" t="str">
        <f>"B"</f>
        <v>B</v>
      </c>
    </row>
    <row r="8797" spans="1:8" x14ac:dyDescent="0.2">
      <c r="A8797" t="str">
        <f t="shared" si="3190"/>
        <v>0616089142</v>
      </c>
      <c r="B8797" t="str">
        <f t="shared" si="3191"/>
        <v>MANOUSHCA</v>
      </c>
      <c r="C8797" t="str">
        <f t="shared" si="3189"/>
        <v>JOSEPH</v>
      </c>
      <c r="D8797" t="str">
        <f t="shared" si="3192"/>
        <v>09</v>
      </c>
      <c r="E8797" t="str">
        <f>"03 - A - 101 - Eva T Rimmer"</f>
        <v>03 - A - 101 - Eva T Rimmer</v>
      </c>
      <c r="F8797" t="str">
        <f>"CRIMINAL JUST OPS 1"</f>
        <v>CRIMINAL JUST OPS 1</v>
      </c>
      <c r="G8797" t="str">
        <f>"05-523"</f>
        <v>05-523</v>
      </c>
      <c r="H8797" t="str">
        <f>"A"</f>
        <v>A</v>
      </c>
    </row>
    <row r="8798" spans="1:8" x14ac:dyDescent="0.2">
      <c r="A8798" t="str">
        <f t="shared" si="3190"/>
        <v>0616089142</v>
      </c>
      <c r="B8798" t="str">
        <f t="shared" si="3191"/>
        <v>MANOUSHCA</v>
      </c>
      <c r="C8798" t="str">
        <f t="shared" si="3189"/>
        <v>JOSEPH</v>
      </c>
      <c r="D8798" t="str">
        <f t="shared" si="3192"/>
        <v>09</v>
      </c>
      <c r="E8798" t="str">
        <f>"02 - A - 110 - Maried P Ramos"</f>
        <v>02 - A - 110 - Maried P Ramos</v>
      </c>
      <c r="F8798" t="str">
        <f>"NC STUDY HALL 1"</f>
        <v>NC STUDY HALL 1</v>
      </c>
      <c r="G8798" t="str">
        <f>"21-2159"</f>
        <v>21-2159</v>
      </c>
      <c r="H8798" t="str">
        <f>"A"</f>
        <v>A</v>
      </c>
    </row>
    <row r="8799" spans="1:8" x14ac:dyDescent="0.2">
      <c r="A8799" t="str">
        <f t="shared" si="3190"/>
        <v>0616089142</v>
      </c>
      <c r="B8799" t="str">
        <f t="shared" si="3191"/>
        <v>MANOUSHCA</v>
      </c>
      <c r="C8799" t="str">
        <f t="shared" si="3189"/>
        <v>JOSEPH</v>
      </c>
      <c r="D8799" t="str">
        <f t="shared" si="3192"/>
        <v>09</v>
      </c>
      <c r="E8799" t="str">
        <f>"07 - B - 001 - Cheryl Anne  Berman-Schechter"</f>
        <v>07 - B - 001 - Cheryl Anne  Berman-Schechter</v>
      </c>
      <c r="F8799" t="str">
        <f>"AICE ENG GEN PAPER 1"</f>
        <v>AICE ENG GEN PAPER 1</v>
      </c>
      <c r="G8799" t="str">
        <f>"17-1722"</f>
        <v>17-1722</v>
      </c>
      <c r="H8799" t="str">
        <f>"B"</f>
        <v>B</v>
      </c>
    </row>
    <row r="8800" spans="1:8" x14ac:dyDescent="0.2">
      <c r="A8800" t="str">
        <f t="shared" si="3190"/>
        <v>0616089142</v>
      </c>
      <c r="B8800" t="str">
        <f t="shared" si="3191"/>
        <v>MANOUSHCA</v>
      </c>
      <c r="C8800" t="str">
        <f t="shared" si="3189"/>
        <v>JOSEPH</v>
      </c>
      <c r="D8800" t="str">
        <f t="shared" si="3192"/>
        <v>09</v>
      </c>
      <c r="E8800" t="str">
        <f>"05 - B - 108 - James H Mccann"</f>
        <v>05 - B - 108 - James H Mccann</v>
      </c>
      <c r="F8800" t="str">
        <f>"ALGEBRA 2"</f>
        <v>ALGEBRA 2</v>
      </c>
      <c r="G8800" t="str">
        <f>"17-1716"</f>
        <v>17-1716</v>
      </c>
      <c r="H8800" t="str">
        <f>"B"</f>
        <v>B</v>
      </c>
    </row>
    <row r="8801" spans="1:8" x14ac:dyDescent="0.2">
      <c r="A8801" t="str">
        <f t="shared" si="3190"/>
        <v>0616089142</v>
      </c>
      <c r="B8801" t="str">
        <f t="shared" si="3191"/>
        <v>MANOUSHCA</v>
      </c>
      <c r="C8801" t="str">
        <f t="shared" si="3189"/>
        <v>JOSEPH</v>
      </c>
      <c r="D8801" t="str">
        <f t="shared" si="3192"/>
        <v>09</v>
      </c>
      <c r="E8801" t="str">
        <f>"01 - A - 101 - Marius D Orsolini"</f>
        <v>01 - A - 101 - Marius D Orsolini</v>
      </c>
      <c r="F8801" t="str">
        <f>"CULINARY ARTS 1"</f>
        <v>CULINARY ARTS 1</v>
      </c>
      <c r="G8801" t="str">
        <f>"21-2115"</f>
        <v>21-2115</v>
      </c>
      <c r="H8801" t="str">
        <f>"A"</f>
        <v>A</v>
      </c>
    </row>
    <row r="8802" spans="1:8" x14ac:dyDescent="0.2">
      <c r="A8802" t="str">
        <f t="shared" si="3190"/>
        <v>0616089142</v>
      </c>
      <c r="B8802" t="str">
        <f t="shared" si="3191"/>
        <v>MANOUSHCA</v>
      </c>
      <c r="C8802" t="str">
        <f t="shared" si="3189"/>
        <v>JOSEPH</v>
      </c>
      <c r="D8802" t="str">
        <f t="shared" si="3192"/>
        <v>09</v>
      </c>
      <c r="E8802" t="str">
        <f>"08 - B - 102 - Josiah I Lacy"</f>
        <v>08 - B - 102 - Josiah I Lacy</v>
      </c>
      <c r="F8802" t="str">
        <f>"ANAT PHYSIO HON"</f>
        <v>ANAT PHYSIO HON</v>
      </c>
      <c r="G8802" t="str">
        <f>"08-801"</f>
        <v>08-801</v>
      </c>
      <c r="H8802" t="str">
        <f>"B"</f>
        <v>B</v>
      </c>
    </row>
    <row r="8803" spans="1:8" x14ac:dyDescent="0.2">
      <c r="A8803" t="str">
        <f t="shared" ref="A8803:A8810" si="3193">"0614004503"</f>
        <v>0614004503</v>
      </c>
      <c r="B8803" t="str">
        <f t="shared" ref="B8803:B8810" si="3194">"MOSES"</f>
        <v>MOSES</v>
      </c>
      <c r="C8803" t="str">
        <f t="shared" si="3189"/>
        <v>JOSEPH</v>
      </c>
      <c r="D8803">
        <f>12</f>
        <v>12</v>
      </c>
      <c r="E8803" t="str">
        <f>"04 - A - 104 - Robert H Rindner"</f>
        <v>04 - A - 104 - Robert H Rindner</v>
      </c>
      <c r="F8803" t="str">
        <f>"MATH DATA&amp;FIN LIT H"</f>
        <v>MATH DATA&amp;FIN LIT H</v>
      </c>
      <c r="G8803" t="str">
        <f>"21-2160"</f>
        <v>21-2160</v>
      </c>
      <c r="H8803" t="str">
        <f>"A"</f>
        <v>A</v>
      </c>
    </row>
    <row r="8804" spans="1:8" x14ac:dyDescent="0.2">
      <c r="A8804" t="str">
        <f t="shared" si="3193"/>
        <v>0614004503</v>
      </c>
      <c r="B8804" t="str">
        <f t="shared" si="3194"/>
        <v>MOSES</v>
      </c>
      <c r="C8804" t="str">
        <f t="shared" si="3189"/>
        <v>JOSEPH</v>
      </c>
      <c r="D8804">
        <f>12</f>
        <v>12</v>
      </c>
      <c r="E8804" t="str">
        <f>"06 - B - 003 - Emmily A Sarmiento"</f>
        <v>06 - B - 003 - Emmily A Sarmiento</v>
      </c>
      <c r="F8804" t="str">
        <f>"NC STUDY HALL 1"</f>
        <v>NC STUDY HALL 1</v>
      </c>
      <c r="G8804" t="str">
        <f>"17-1743"</f>
        <v>17-1743</v>
      </c>
      <c r="H8804" t="str">
        <f>"B"</f>
        <v>B</v>
      </c>
    </row>
    <row r="8805" spans="1:8" x14ac:dyDescent="0.2">
      <c r="A8805" t="str">
        <f t="shared" si="3193"/>
        <v>0614004503</v>
      </c>
      <c r="B8805" t="str">
        <f t="shared" si="3194"/>
        <v>MOSES</v>
      </c>
      <c r="C8805" t="str">
        <f t="shared" si="3189"/>
        <v>JOSEPH</v>
      </c>
      <c r="D8805">
        <f>12</f>
        <v>12</v>
      </c>
      <c r="E8805" t="str">
        <f>"03 - A - 201 - Chrystina M Marchionne"</f>
        <v>03 - A - 201 - Chrystina M Marchionne</v>
      </c>
      <c r="F8805" t="str">
        <f>"JOURN 1 (YB) LH"</f>
        <v>JOURN 1 (YB) LH</v>
      </c>
      <c r="G8805" t="str">
        <f>"05-520"</f>
        <v>05-520</v>
      </c>
      <c r="H8805" t="str">
        <f>"A"</f>
        <v>A</v>
      </c>
    </row>
    <row r="8806" spans="1:8" x14ac:dyDescent="0.2">
      <c r="A8806" t="str">
        <f t="shared" si="3193"/>
        <v>0614004503</v>
      </c>
      <c r="B8806" t="str">
        <f t="shared" si="3194"/>
        <v>MOSES</v>
      </c>
      <c r="C8806" t="str">
        <f t="shared" si="3189"/>
        <v>JOSEPH</v>
      </c>
      <c r="D8806">
        <f>12</f>
        <v>12</v>
      </c>
      <c r="E8806" t="str">
        <f>"02 - A - 103 - Dorothy D Moore"</f>
        <v>02 - A - 103 - Dorothy D Moore</v>
      </c>
      <c r="F8806" t="str">
        <f>"ANAT PHYSIO HON"</f>
        <v>ANAT PHYSIO HON</v>
      </c>
      <c r="G8806" t="str">
        <f>"08-803"</f>
        <v>08-803</v>
      </c>
      <c r="H8806" t="str">
        <f>"A"</f>
        <v>A</v>
      </c>
    </row>
    <row r="8807" spans="1:8" x14ac:dyDescent="0.2">
      <c r="A8807" t="str">
        <f t="shared" si="3193"/>
        <v>0614004503</v>
      </c>
      <c r="B8807" t="str">
        <f t="shared" si="3194"/>
        <v>MOSES</v>
      </c>
      <c r="C8807" t="str">
        <f t="shared" si="3189"/>
        <v>JOSEPH</v>
      </c>
      <c r="D8807">
        <f>12</f>
        <v>12</v>
      </c>
      <c r="E8807" t="str">
        <f>"07 - S1 - B - 102 - Barbara L Segal"</f>
        <v>07 - S1 - B - 102 - Barbara L Segal</v>
      </c>
      <c r="F8807" t="str">
        <f>"AP US GOVT/POL"</f>
        <v>AP US GOVT/POL</v>
      </c>
      <c r="G8807" t="str">
        <f>"17-1742"</f>
        <v>17-1742</v>
      </c>
      <c r="H8807" t="str">
        <f>"B"</f>
        <v>B</v>
      </c>
    </row>
    <row r="8808" spans="1:8" x14ac:dyDescent="0.2">
      <c r="A8808" t="str">
        <f t="shared" si="3193"/>
        <v>0614004503</v>
      </c>
      <c r="B8808" t="str">
        <f t="shared" si="3194"/>
        <v>MOSES</v>
      </c>
      <c r="C8808" t="str">
        <f t="shared" si="3189"/>
        <v>JOSEPH</v>
      </c>
      <c r="D8808">
        <f>12</f>
        <v>12</v>
      </c>
      <c r="E8808" t="str">
        <f>"05 - B - 105 - Norayda D Suarez"</f>
        <v>05 - B - 105 - Norayda D Suarez</v>
      </c>
      <c r="F8808" t="str">
        <f>"RESEARCH 1 LH"</f>
        <v>RESEARCH 1 LH</v>
      </c>
      <c r="G8808">
        <f>2041</f>
        <v>2041</v>
      </c>
      <c r="H8808" t="str">
        <f>"B"</f>
        <v>B</v>
      </c>
    </row>
    <row r="8809" spans="1:8" x14ac:dyDescent="0.2">
      <c r="A8809" t="str">
        <f t="shared" si="3193"/>
        <v>0614004503</v>
      </c>
      <c r="B8809" t="str">
        <f t="shared" si="3194"/>
        <v>MOSES</v>
      </c>
      <c r="C8809" t="str">
        <f t="shared" si="3189"/>
        <v>JOSEPH</v>
      </c>
      <c r="D8809">
        <f>12</f>
        <v>12</v>
      </c>
      <c r="E8809" t="str">
        <f>"01 - S1 - A - 101 - Leslie J Barton"</f>
        <v>01 - S1 - A - 101 - Leslie J Barton</v>
      </c>
      <c r="F8809" t="str">
        <f>"FIRST AID SAFETY"</f>
        <v>FIRST AID SAFETY</v>
      </c>
      <c r="G8809" t="str">
        <f>"05-521"</f>
        <v>05-521</v>
      </c>
      <c r="H8809" t="str">
        <f>"A"</f>
        <v>A</v>
      </c>
    </row>
    <row r="8810" spans="1:8" x14ac:dyDescent="0.2">
      <c r="A8810" t="str">
        <f t="shared" si="3193"/>
        <v>0614004503</v>
      </c>
      <c r="B8810" t="str">
        <f t="shared" si="3194"/>
        <v>MOSES</v>
      </c>
      <c r="C8810" t="str">
        <f t="shared" si="3189"/>
        <v>JOSEPH</v>
      </c>
      <c r="D8810">
        <f>12</f>
        <v>12</v>
      </c>
      <c r="E8810" t="str">
        <f>"08 - B - 203 - Courtney E Hambright"</f>
        <v>08 - B - 203 - Courtney E Hambright</v>
      </c>
      <c r="F8810" t="str">
        <f>"AP ENG LIT COMPO"</f>
        <v>AP ENG LIT COMPO</v>
      </c>
      <c r="G8810" t="str">
        <f>"17-1711"</f>
        <v>17-1711</v>
      </c>
      <c r="H8810" t="str">
        <f>"B"</f>
        <v>B</v>
      </c>
    </row>
    <row r="8811" spans="1:8" x14ac:dyDescent="0.2">
      <c r="A8811" t="str">
        <f t="shared" ref="A8811:A8818" si="3195">"0615021671"</f>
        <v>0615021671</v>
      </c>
      <c r="B8811" t="str">
        <f t="shared" ref="B8811:B8818" si="3196">"SAJA"</f>
        <v>SAJA</v>
      </c>
      <c r="C8811" t="str">
        <f t="shared" si="3189"/>
        <v>JOSEPH</v>
      </c>
      <c r="D8811">
        <f>11</f>
        <v>11</v>
      </c>
      <c r="E8811" t="str">
        <f>"04 - A - 201 - Scott A Dethloff"</f>
        <v>04 - A - 201 - Scott A Dethloff</v>
      </c>
      <c r="F8811" t="str">
        <f>"AICE THINK SKLS 1 AS"</f>
        <v>AICE THINK SKLS 1 AS</v>
      </c>
      <c r="G8811" t="str">
        <f>"08-812"</f>
        <v>08-812</v>
      </c>
      <c r="H8811" t="str">
        <f>"A"</f>
        <v>A</v>
      </c>
    </row>
    <row r="8812" spans="1:8" x14ac:dyDescent="0.2">
      <c r="A8812" t="str">
        <f t="shared" si="3195"/>
        <v>0615021671</v>
      </c>
      <c r="B8812" t="str">
        <f t="shared" si="3196"/>
        <v>SAJA</v>
      </c>
      <c r="C8812" t="str">
        <f t="shared" si="3189"/>
        <v>JOSEPH</v>
      </c>
      <c r="D8812">
        <f>11</f>
        <v>11</v>
      </c>
      <c r="E8812" t="str">
        <f>"06 - B - 106 - Adam Marcus  Drucker"</f>
        <v>06 - B - 106 - Adam Marcus  Drucker</v>
      </c>
      <c r="F8812" t="str">
        <f>"HOPE-PE V"</f>
        <v>HOPE-PE V</v>
      </c>
      <c r="G8812" t="str">
        <f>"04-254"</f>
        <v>04-254</v>
      </c>
      <c r="H8812" t="str">
        <f>"B"</f>
        <v>B</v>
      </c>
    </row>
    <row r="8813" spans="1:8" x14ac:dyDescent="0.2">
      <c r="A8813" t="str">
        <f t="shared" si="3195"/>
        <v>0615021671</v>
      </c>
      <c r="B8813" t="str">
        <f t="shared" si="3196"/>
        <v>SAJA</v>
      </c>
      <c r="C8813" t="str">
        <f t="shared" si="3189"/>
        <v>JOSEPH</v>
      </c>
      <c r="D8813">
        <f>11</f>
        <v>11</v>
      </c>
      <c r="E8813" t="str">
        <f>"03 - S1 - A - 101 - Arthur  Kulawik"</f>
        <v>03 - S1 - A - 101 - Arthur  Kulawik</v>
      </c>
      <c r="F8813" t="str">
        <f>"PERS FIN &amp; MON MGT H"</f>
        <v>PERS FIN &amp; MON MGT H</v>
      </c>
      <c r="G8813" t="str">
        <f>"05-506"</f>
        <v>05-506</v>
      </c>
      <c r="H8813" t="str">
        <f>"A"</f>
        <v>A</v>
      </c>
    </row>
    <row r="8814" spans="1:8" x14ac:dyDescent="0.2">
      <c r="A8814" t="str">
        <f t="shared" si="3195"/>
        <v>0615021671</v>
      </c>
      <c r="B8814" t="str">
        <f t="shared" si="3196"/>
        <v>SAJA</v>
      </c>
      <c r="C8814" t="str">
        <f t="shared" si="3189"/>
        <v>JOSEPH</v>
      </c>
      <c r="D8814">
        <f>11</f>
        <v>11</v>
      </c>
      <c r="E8814" t="str">
        <f>"02 - A - 113 - Byron G Montenegro"</f>
        <v>02 - A - 113 - Byron G Montenegro</v>
      </c>
      <c r="F8814" t="str">
        <f>"NC STUDY HALL 1"</f>
        <v>NC STUDY HALL 1</v>
      </c>
      <c r="G8814" t="str">
        <f>"21-2144"</f>
        <v>21-2144</v>
      </c>
      <c r="H8814" t="str">
        <f>"A"</f>
        <v>A</v>
      </c>
    </row>
    <row r="8815" spans="1:8" x14ac:dyDescent="0.2">
      <c r="A8815" t="str">
        <f t="shared" si="3195"/>
        <v>0615021671</v>
      </c>
      <c r="B8815" t="str">
        <f t="shared" si="3196"/>
        <v>SAJA</v>
      </c>
      <c r="C8815" t="str">
        <f t="shared" si="3189"/>
        <v>JOSEPH</v>
      </c>
      <c r="D8815">
        <f>11</f>
        <v>11</v>
      </c>
      <c r="E8815" t="str">
        <f>"07 - B - 104 - Jerry S Jiampetti"</f>
        <v>07 - B - 104 - Jerry S Jiampetti</v>
      </c>
      <c r="F8815" t="str">
        <f>"AICE U.S. HIST 1 AS"</f>
        <v>AICE U.S. HIST 1 AS</v>
      </c>
      <c r="G8815" t="str">
        <f>"17-1751"</f>
        <v>17-1751</v>
      </c>
      <c r="H8815" t="str">
        <f>"B"</f>
        <v>B</v>
      </c>
    </row>
    <row r="8816" spans="1:8" x14ac:dyDescent="0.2">
      <c r="A8816" t="str">
        <f t="shared" si="3195"/>
        <v>0615021671</v>
      </c>
      <c r="B8816" t="str">
        <f t="shared" si="3196"/>
        <v>SAJA</v>
      </c>
      <c r="C8816" t="str">
        <f t="shared" si="3189"/>
        <v>JOSEPH</v>
      </c>
      <c r="D8816">
        <f>11</f>
        <v>11</v>
      </c>
      <c r="E8816" t="str">
        <f>"05 - B - 102 - Jacklyn M James"</f>
        <v>05 - B - 102 - Jacklyn M James</v>
      </c>
      <c r="F8816" t="str">
        <f>"AICE ENG LANG AS"</f>
        <v>AICE ENG LANG AS</v>
      </c>
      <c r="G8816" t="str">
        <f>"17-1731"</f>
        <v>17-1731</v>
      </c>
      <c r="H8816" t="str">
        <f>"B"</f>
        <v>B</v>
      </c>
    </row>
    <row r="8817" spans="1:8" x14ac:dyDescent="0.2">
      <c r="A8817" t="str">
        <f t="shared" si="3195"/>
        <v>0615021671</v>
      </c>
      <c r="B8817" t="str">
        <f t="shared" si="3196"/>
        <v>SAJA</v>
      </c>
      <c r="C8817" t="str">
        <f t="shared" si="3189"/>
        <v>JOSEPH</v>
      </c>
      <c r="D8817">
        <f>11</f>
        <v>11</v>
      </c>
      <c r="E8817" t="str">
        <f>"01 - A - 201 - Chrystina M Marchionne"</f>
        <v>01 - A - 201 - Chrystina M Marchionne</v>
      </c>
      <c r="F8817" t="str">
        <f>"AICE MEDIASTUDIES AS"</f>
        <v>AICE MEDIASTUDIES AS</v>
      </c>
      <c r="G8817" t="str">
        <f>"05-520"</f>
        <v>05-520</v>
      </c>
      <c r="H8817" t="str">
        <f>"A"</f>
        <v>A</v>
      </c>
    </row>
    <row r="8818" spans="1:8" x14ac:dyDescent="0.2">
      <c r="A8818" t="str">
        <f t="shared" si="3195"/>
        <v>0615021671</v>
      </c>
      <c r="B8818" t="str">
        <f t="shared" si="3196"/>
        <v>SAJA</v>
      </c>
      <c r="C8818" t="str">
        <f t="shared" si="3189"/>
        <v>JOSEPH</v>
      </c>
      <c r="D8818">
        <f>11</f>
        <v>11</v>
      </c>
      <c r="E8818" t="str">
        <f>"08 - B - 101 - Jordana K Hass"</f>
        <v>08 - B - 101 - Jordana K Hass</v>
      </c>
      <c r="F8818" t="str">
        <f>"AICE INFO TECH 1 AS"</f>
        <v>AICE INFO TECH 1 AS</v>
      </c>
      <c r="G8818" t="str">
        <f>"08-807"</f>
        <v>08-807</v>
      </c>
      <c r="H8818" t="str">
        <f>"B"</f>
        <v>B</v>
      </c>
    </row>
    <row r="8819" spans="1:8" x14ac:dyDescent="0.2">
      <c r="A8819" t="str">
        <f t="shared" ref="A8819:A8826" si="3197">"0614059628"</f>
        <v>0614059628</v>
      </c>
      <c r="B8819" t="str">
        <f t="shared" ref="B8819:B8826" si="3198">"SANAA"</f>
        <v>SANAA</v>
      </c>
      <c r="C8819" t="str">
        <f t="shared" si="3189"/>
        <v>JOSEPH</v>
      </c>
      <c r="D8819">
        <f>12</f>
        <v>12</v>
      </c>
      <c r="E8819" t="str">
        <f>"04 - A - 101 - Christa T Parisi"</f>
        <v>04 - A - 101 - Christa T Parisi</v>
      </c>
      <c r="F8819" t="str">
        <f>"DANCE TECHNQS 2"</f>
        <v>DANCE TECHNQS 2</v>
      </c>
      <c r="G8819" t="str">
        <f>"05-503"</f>
        <v>05-503</v>
      </c>
      <c r="H8819" t="str">
        <f>"A"</f>
        <v>A</v>
      </c>
    </row>
    <row r="8820" spans="1:8" x14ac:dyDescent="0.2">
      <c r="A8820" t="str">
        <f t="shared" si="3197"/>
        <v>0614059628</v>
      </c>
      <c r="B8820" t="str">
        <f t="shared" si="3198"/>
        <v>SANAA</v>
      </c>
      <c r="C8820" t="str">
        <f t="shared" si="3189"/>
        <v>JOSEPH</v>
      </c>
      <c r="D8820">
        <f>12</f>
        <v>12</v>
      </c>
      <c r="E8820" t="str">
        <f>"06 - B - 105 - Robyn L Trainer"</f>
        <v>06 - B - 105 - Robyn L Trainer</v>
      </c>
      <c r="F8820" t="str">
        <f>"NC STUDY HALL 1"</f>
        <v>NC STUDY HALL 1</v>
      </c>
      <c r="G8820" t="str">
        <f>"17-1734"</f>
        <v>17-1734</v>
      </c>
      <c r="H8820" t="str">
        <f>"B"</f>
        <v>B</v>
      </c>
    </row>
    <row r="8821" spans="1:8" x14ac:dyDescent="0.2">
      <c r="A8821" t="str">
        <f t="shared" si="3197"/>
        <v>0614059628</v>
      </c>
      <c r="B8821" t="str">
        <f t="shared" si="3198"/>
        <v>SANAA</v>
      </c>
      <c r="C8821" t="str">
        <f t="shared" si="3189"/>
        <v>JOSEPH</v>
      </c>
      <c r="D8821">
        <f>12</f>
        <v>12</v>
      </c>
      <c r="E8821" t="str">
        <f>"03 - S1 - A - 102 - Angela S Adeshina-Morrison"</f>
        <v>03 - S1 - A - 102 - Angela S Adeshina-Morrison</v>
      </c>
      <c r="F8821" t="str">
        <f>"PEER COUN 1"</f>
        <v>PEER COUN 1</v>
      </c>
      <c r="G8821" t="str">
        <f>"05-518"</f>
        <v>05-518</v>
      </c>
      <c r="H8821" t="str">
        <f>"A"</f>
        <v>A</v>
      </c>
    </row>
    <row r="8822" spans="1:8" x14ac:dyDescent="0.2">
      <c r="A8822" t="str">
        <f t="shared" si="3197"/>
        <v>0614059628</v>
      </c>
      <c r="B8822" t="str">
        <f t="shared" si="3198"/>
        <v>SANAA</v>
      </c>
      <c r="C8822" t="str">
        <f t="shared" si="3189"/>
        <v>JOSEPH</v>
      </c>
      <c r="D8822">
        <f>12</f>
        <v>12</v>
      </c>
      <c r="E8822" t="str">
        <f>"02 - A - 102 - Jeffrey S Gallagher"</f>
        <v>02 - A - 102 - Jeffrey S Gallagher</v>
      </c>
      <c r="F8822" t="str">
        <f>"ENG HON 4"</f>
        <v>ENG HON 4</v>
      </c>
      <c r="G8822" t="str">
        <f>"17-1724"</f>
        <v>17-1724</v>
      </c>
      <c r="H8822" t="str">
        <f>"A"</f>
        <v>A</v>
      </c>
    </row>
    <row r="8823" spans="1:8" x14ac:dyDescent="0.2">
      <c r="A8823" t="str">
        <f t="shared" si="3197"/>
        <v>0614059628</v>
      </c>
      <c r="B8823" t="str">
        <f t="shared" si="3198"/>
        <v>SANAA</v>
      </c>
      <c r="C8823" t="str">
        <f t="shared" si="3189"/>
        <v>JOSEPH</v>
      </c>
      <c r="D8823">
        <f>12</f>
        <v>12</v>
      </c>
      <c r="E8823" t="str">
        <f>"07 - S1 - B - 103 - Robert O Burger"</f>
        <v>07 - S1 - B - 103 - Robert O Burger</v>
      </c>
      <c r="F8823" t="str">
        <f>"US GOVT"</f>
        <v>US GOVT</v>
      </c>
      <c r="G8823" t="str">
        <f>"17-1755"</f>
        <v>17-1755</v>
      </c>
      <c r="H8823" t="str">
        <f>"B"</f>
        <v>B</v>
      </c>
    </row>
    <row r="8824" spans="1:8" x14ac:dyDescent="0.2">
      <c r="A8824" t="str">
        <f t="shared" si="3197"/>
        <v>0614059628</v>
      </c>
      <c r="B8824" t="str">
        <f t="shared" si="3198"/>
        <v>SANAA</v>
      </c>
      <c r="C8824" t="str">
        <f t="shared" ref="C8824:C8842" si="3199">"JOSEPH"</f>
        <v>JOSEPH</v>
      </c>
      <c r="D8824">
        <f>12</f>
        <v>12</v>
      </c>
      <c r="E8824" t="str">
        <f>"05 - B - 204 - Cliffon  Saurel"</f>
        <v>05 - B - 204 - Cliffon  Saurel</v>
      </c>
      <c r="F8824" t="str">
        <f>"PHYSICAL SCI"</f>
        <v>PHYSICAL SCI</v>
      </c>
      <c r="G8824" t="str">
        <f>"05-522"</f>
        <v>05-522</v>
      </c>
      <c r="H8824" t="str">
        <f>"B"</f>
        <v>B</v>
      </c>
    </row>
    <row r="8825" spans="1:8" x14ac:dyDescent="0.2">
      <c r="A8825" t="str">
        <f t="shared" si="3197"/>
        <v>0614059628</v>
      </c>
      <c r="B8825" t="str">
        <f t="shared" si="3198"/>
        <v>SANAA</v>
      </c>
      <c r="C8825" t="str">
        <f t="shared" si="3199"/>
        <v>JOSEPH</v>
      </c>
      <c r="D8825">
        <f>12</f>
        <v>12</v>
      </c>
      <c r="E8825" t="str">
        <f>"01 - A - 102 - Robert H Rindner"</f>
        <v>01 - A - 102 - Robert H Rindner</v>
      </c>
      <c r="F8825" t="str">
        <f>"MATH DATA&amp;FIN LIT H"</f>
        <v>MATH DATA&amp;FIN LIT H</v>
      </c>
      <c r="G8825" t="str">
        <f>"21-2160"</f>
        <v>21-2160</v>
      </c>
      <c r="H8825" t="str">
        <f>"A"</f>
        <v>A</v>
      </c>
    </row>
    <row r="8826" spans="1:8" x14ac:dyDescent="0.2">
      <c r="A8826" t="str">
        <f t="shared" si="3197"/>
        <v>0614059628</v>
      </c>
      <c r="B8826" t="str">
        <f t="shared" si="3198"/>
        <v>SANAA</v>
      </c>
      <c r="C8826" t="str">
        <f t="shared" si="3199"/>
        <v>JOSEPH</v>
      </c>
      <c r="D8826">
        <f>12</f>
        <v>12</v>
      </c>
      <c r="E8826" t="str">
        <f>"08 - B - 102 - Robert H Rindner"</f>
        <v>08 - B - 102 - Robert H Rindner</v>
      </c>
      <c r="F8826" t="str">
        <f>"TV PRODUCTION TECH 1"</f>
        <v>TV PRODUCTION TECH 1</v>
      </c>
      <c r="G8826" t="str">
        <f>"21-2160"</f>
        <v>21-2160</v>
      </c>
      <c r="H8826" t="str">
        <f>"B"</f>
        <v>B</v>
      </c>
    </row>
    <row r="8827" spans="1:8" x14ac:dyDescent="0.2">
      <c r="A8827" t="str">
        <f t="shared" ref="A8827:A8834" si="3200">"0611082507"</f>
        <v>0611082507</v>
      </c>
      <c r="B8827" t="str">
        <f t="shared" ref="B8827:B8834" si="3201">"SCHNEIDER"</f>
        <v>SCHNEIDER</v>
      </c>
      <c r="C8827" t="str">
        <f t="shared" si="3199"/>
        <v>JOSEPH</v>
      </c>
      <c r="D8827">
        <f>10</f>
        <v>10</v>
      </c>
      <c r="E8827" t="str">
        <f>"04 - A - 104 - Marius D Orsolini"</f>
        <v>04 - A - 104 - Marius D Orsolini</v>
      </c>
      <c r="F8827" t="str">
        <f>"CULINARY ARTS 1"</f>
        <v>CULINARY ARTS 1</v>
      </c>
      <c r="G8827" t="str">
        <f>"21-2115"</f>
        <v>21-2115</v>
      </c>
      <c r="H8827" t="str">
        <f>"A"</f>
        <v>A</v>
      </c>
    </row>
    <row r="8828" spans="1:8" x14ac:dyDescent="0.2">
      <c r="A8828" t="str">
        <f t="shared" si="3200"/>
        <v>0611082507</v>
      </c>
      <c r="B8828" t="str">
        <f t="shared" si="3201"/>
        <v>SCHNEIDER</v>
      </c>
      <c r="C8828" t="str">
        <f t="shared" si="3199"/>
        <v>JOSEPH</v>
      </c>
      <c r="D8828">
        <f>10</f>
        <v>10</v>
      </c>
      <c r="E8828" t="str">
        <f>"06 - B - 107 - Dorothy D Moore"</f>
        <v>06 - B - 107 - Dorothy D Moore</v>
      </c>
      <c r="F8828" t="str">
        <f>"NC STUDY HALL 1"</f>
        <v>NC STUDY HALL 1</v>
      </c>
      <c r="G8828" t="str">
        <f>"08-803"</f>
        <v>08-803</v>
      </c>
      <c r="H8828" t="str">
        <f>"B"</f>
        <v>B</v>
      </c>
    </row>
    <row r="8829" spans="1:8" x14ac:dyDescent="0.2">
      <c r="A8829" t="str">
        <f t="shared" si="3200"/>
        <v>0611082507</v>
      </c>
      <c r="B8829" t="str">
        <f t="shared" si="3201"/>
        <v>SCHNEIDER</v>
      </c>
      <c r="C8829" t="str">
        <f t="shared" si="3199"/>
        <v>JOSEPH</v>
      </c>
      <c r="D8829">
        <f>10</f>
        <v>10</v>
      </c>
      <c r="E8829" t="str">
        <f>"03 - A - 208 - Marielle A Witting"</f>
        <v>03 - A - 208 - Marielle A Witting</v>
      </c>
      <c r="F8829" t="str">
        <f>"ANAT PHYSIO"</f>
        <v>ANAT PHYSIO</v>
      </c>
      <c r="G8829" t="str">
        <f>"08-805"</f>
        <v>08-805</v>
      </c>
      <c r="H8829" t="str">
        <f>"A"</f>
        <v>A</v>
      </c>
    </row>
    <row r="8830" spans="1:8" x14ac:dyDescent="0.2">
      <c r="A8830" t="str">
        <f t="shared" si="3200"/>
        <v>0611082507</v>
      </c>
      <c r="B8830" t="str">
        <f t="shared" si="3201"/>
        <v>SCHNEIDER</v>
      </c>
      <c r="C8830" t="str">
        <f t="shared" si="3199"/>
        <v>JOSEPH</v>
      </c>
      <c r="D8830">
        <f>10</f>
        <v>10</v>
      </c>
      <c r="E8830" t="str">
        <f>"02 - A - 102 - Adam Marcus  Drucker"</f>
        <v>02 - A - 102 - Adam Marcus  Drucker</v>
      </c>
      <c r="F8830" t="str">
        <f>"HOPE-PE V"</f>
        <v>HOPE-PE V</v>
      </c>
      <c r="G8830" t="str">
        <f>"04-254"</f>
        <v>04-254</v>
      </c>
      <c r="H8830" t="str">
        <f>"A"</f>
        <v>A</v>
      </c>
    </row>
    <row r="8831" spans="1:8" x14ac:dyDescent="0.2">
      <c r="A8831" t="str">
        <f t="shared" si="3200"/>
        <v>0611082507</v>
      </c>
      <c r="B8831" t="str">
        <f t="shared" si="3201"/>
        <v>SCHNEIDER</v>
      </c>
      <c r="C8831" t="str">
        <f t="shared" si="3199"/>
        <v>JOSEPH</v>
      </c>
      <c r="D8831">
        <f>10</f>
        <v>10</v>
      </c>
      <c r="E8831" t="str">
        <f>"07 - B - 107 - Milca  Exantus"</f>
        <v>07 - B - 107 - Milca  Exantus</v>
      </c>
      <c r="F8831" t="str">
        <f>"MATH COLLEGE LIB ART"</f>
        <v>MATH COLLEGE LIB ART</v>
      </c>
      <c r="G8831" t="str">
        <f>"21-2145"</f>
        <v>21-2145</v>
      </c>
      <c r="H8831" t="str">
        <f>"B"</f>
        <v>B</v>
      </c>
    </row>
    <row r="8832" spans="1:8" x14ac:dyDescent="0.2">
      <c r="A8832" t="str">
        <f t="shared" si="3200"/>
        <v>0611082507</v>
      </c>
      <c r="B8832" t="str">
        <f t="shared" si="3201"/>
        <v>SCHNEIDER</v>
      </c>
      <c r="C8832" t="str">
        <f t="shared" si="3199"/>
        <v>JOSEPH</v>
      </c>
      <c r="D8832">
        <f>10</f>
        <v>10</v>
      </c>
      <c r="E8832" t="str">
        <f>"05 - S1 - B - 102 - Carol S Moore"</f>
        <v>05 - S1 - B - 102 - Carol S Moore</v>
      </c>
      <c r="F8832" t="str">
        <f>"PERS FIN &amp; MON MGT H"</f>
        <v>PERS FIN &amp; MON MGT H</v>
      </c>
      <c r="G8832" t="str">
        <f>"17-1733"</f>
        <v>17-1733</v>
      </c>
      <c r="H8832" t="str">
        <f>"B"</f>
        <v>B</v>
      </c>
    </row>
    <row r="8833" spans="1:8" x14ac:dyDescent="0.2">
      <c r="A8833" t="str">
        <f t="shared" si="3200"/>
        <v>0611082507</v>
      </c>
      <c r="B8833" t="str">
        <f t="shared" si="3201"/>
        <v>SCHNEIDER</v>
      </c>
      <c r="C8833" t="str">
        <f t="shared" si="3199"/>
        <v>JOSEPH</v>
      </c>
      <c r="D8833">
        <f>10</f>
        <v>10</v>
      </c>
      <c r="E8833" t="str">
        <f>"01 - A - 108 - Rosa Elaine  Collado-Duff"</f>
        <v>01 - A - 108 - Rosa Elaine  Collado-Duff</v>
      </c>
      <c r="F8833" t="str">
        <f>"PRE-AICE SPAN 2 IG"</f>
        <v>PRE-AICE SPAN 2 IG</v>
      </c>
      <c r="G8833" t="str">
        <f>"09-913"</f>
        <v>09-913</v>
      </c>
      <c r="H8833" t="str">
        <f>"A"</f>
        <v>A</v>
      </c>
    </row>
    <row r="8834" spans="1:8" x14ac:dyDescent="0.2">
      <c r="A8834" t="str">
        <f t="shared" si="3200"/>
        <v>0611082507</v>
      </c>
      <c r="B8834" t="str">
        <f t="shared" si="3201"/>
        <v>SCHNEIDER</v>
      </c>
      <c r="C8834" t="str">
        <f t="shared" si="3199"/>
        <v>JOSEPH</v>
      </c>
      <c r="D8834">
        <f>10</f>
        <v>10</v>
      </c>
      <c r="E8834" t="str">
        <f>"08 - B - 109 - Nikiel  Nesbeth"</f>
        <v>08 - B - 109 - Nikiel  Nesbeth</v>
      </c>
      <c r="F8834" t="str">
        <f>"ENG 2"</f>
        <v>ENG 2</v>
      </c>
      <c r="G8834" t="str">
        <f>"17-1705"</f>
        <v>17-1705</v>
      </c>
      <c r="H8834" t="str">
        <f>"B"</f>
        <v>B</v>
      </c>
    </row>
    <row r="8835" spans="1:8" x14ac:dyDescent="0.2">
      <c r="A8835" t="str">
        <f t="shared" ref="A8835:A8842" si="3202">"0615076321"</f>
        <v>0615076321</v>
      </c>
      <c r="B8835" t="str">
        <f t="shared" ref="B8835:B8842" si="3203">"ZARIAH"</f>
        <v>ZARIAH</v>
      </c>
      <c r="C8835" t="str">
        <f t="shared" si="3199"/>
        <v>JOSEPH</v>
      </c>
      <c r="D8835">
        <f>11</f>
        <v>11</v>
      </c>
      <c r="E8835" t="str">
        <f>"04 - A - 102 - Lisa J London"</f>
        <v>04 - A - 102 - Lisa J London</v>
      </c>
      <c r="F8835" t="str">
        <f>"AP CAPSTONE SEMINAR"</f>
        <v>AP CAPSTONE SEMINAR</v>
      </c>
      <c r="G8835" t="str">
        <f>"17-1714"</f>
        <v>17-1714</v>
      </c>
      <c r="H8835" t="str">
        <f>"A"</f>
        <v>A</v>
      </c>
    </row>
    <row r="8836" spans="1:8" x14ac:dyDescent="0.2">
      <c r="A8836" t="str">
        <f t="shared" si="3202"/>
        <v>0615076321</v>
      </c>
      <c r="B8836" t="str">
        <f t="shared" si="3203"/>
        <v>ZARIAH</v>
      </c>
      <c r="C8836" t="str">
        <f t="shared" si="3199"/>
        <v>JOSEPH</v>
      </c>
      <c r="D8836">
        <f>11</f>
        <v>11</v>
      </c>
      <c r="E8836" t="str">
        <f>"06 - B - 104 - Brandy N Zdenek"</f>
        <v>06 - B - 104 - Brandy N Zdenek</v>
      </c>
      <c r="F8836" t="str">
        <f>"AICE ENG LANG 2 AL"</f>
        <v>AICE ENG LANG 2 AL</v>
      </c>
      <c r="G8836" t="str">
        <f>"17-1704"</f>
        <v>17-1704</v>
      </c>
      <c r="H8836" t="str">
        <f>"B"</f>
        <v>B</v>
      </c>
    </row>
    <row r="8837" spans="1:8" x14ac:dyDescent="0.2">
      <c r="A8837" t="str">
        <f t="shared" si="3202"/>
        <v>0615076321</v>
      </c>
      <c r="B8837" t="str">
        <f t="shared" si="3203"/>
        <v>ZARIAH</v>
      </c>
      <c r="C8837" t="str">
        <f t="shared" si="3199"/>
        <v>JOSEPH</v>
      </c>
      <c r="D8837">
        <f>11</f>
        <v>11</v>
      </c>
      <c r="E8837" t="str">
        <f>"03 - A - 204 - Norayda D Suarez"</f>
        <v>03 - A - 204 - Norayda D Suarez</v>
      </c>
      <c r="F8837" t="str">
        <f>"ANAT PHYSIO HON"</f>
        <v>ANAT PHYSIO HON</v>
      </c>
      <c r="G8837" t="str">
        <f>"21-2144"</f>
        <v>21-2144</v>
      </c>
      <c r="H8837" t="str">
        <f>"A"</f>
        <v>A</v>
      </c>
    </row>
    <row r="8838" spans="1:8" x14ac:dyDescent="0.2">
      <c r="A8838" t="str">
        <f t="shared" si="3202"/>
        <v>0615076321</v>
      </c>
      <c r="B8838" t="str">
        <f t="shared" si="3203"/>
        <v>ZARIAH</v>
      </c>
      <c r="C8838" t="str">
        <f t="shared" si="3199"/>
        <v>JOSEPH</v>
      </c>
      <c r="D8838">
        <f>11</f>
        <v>11</v>
      </c>
      <c r="E8838" t="str">
        <f>"02 - A - 103 - Kelly N Panza"</f>
        <v>02 - A - 103 - Kelly N Panza</v>
      </c>
      <c r="F8838" t="str">
        <f>"NC STUDY HALL 1"</f>
        <v>NC STUDY HALL 1</v>
      </c>
      <c r="G8838" t="str">
        <f>"17-1753"</f>
        <v>17-1753</v>
      </c>
      <c r="H8838" t="str">
        <f>"A"</f>
        <v>A</v>
      </c>
    </row>
    <row r="8839" spans="1:8" x14ac:dyDescent="0.2">
      <c r="A8839" t="str">
        <f t="shared" si="3202"/>
        <v>0615076321</v>
      </c>
      <c r="B8839" t="str">
        <f t="shared" si="3203"/>
        <v>ZARIAH</v>
      </c>
      <c r="C8839" t="str">
        <f t="shared" si="3199"/>
        <v>JOSEPH</v>
      </c>
      <c r="D8839">
        <f>11</f>
        <v>11</v>
      </c>
      <c r="E8839" t="str">
        <f>"07 - B - 104 - Jerry S Jiampetti"</f>
        <v>07 - B - 104 - Jerry S Jiampetti</v>
      </c>
      <c r="F8839" t="str">
        <f>"AICE U.S. HIST 1 AS"</f>
        <v>AICE U.S. HIST 1 AS</v>
      </c>
      <c r="G8839" t="str">
        <f>"17-1751"</f>
        <v>17-1751</v>
      </c>
      <c r="H8839" t="str">
        <f>"B"</f>
        <v>B</v>
      </c>
    </row>
    <row r="8840" spans="1:8" x14ac:dyDescent="0.2">
      <c r="A8840" t="str">
        <f t="shared" si="3202"/>
        <v>0615076321</v>
      </c>
      <c r="B8840" t="str">
        <f t="shared" si="3203"/>
        <v>ZARIAH</v>
      </c>
      <c r="C8840" t="str">
        <f t="shared" si="3199"/>
        <v>JOSEPH</v>
      </c>
      <c r="D8840">
        <f>11</f>
        <v>11</v>
      </c>
      <c r="E8840" t="str">
        <f>"05 - B - 203 - Chrystina M Marchionne"</f>
        <v>05 - B - 203 - Chrystina M Marchionne</v>
      </c>
      <c r="F8840" t="str">
        <f>"AICE MEDIASTUDIES AS"</f>
        <v>AICE MEDIASTUDIES AS</v>
      </c>
      <c r="G8840" t="str">
        <f>"05-520"</f>
        <v>05-520</v>
      </c>
      <c r="H8840" t="str">
        <f>"B"</f>
        <v>B</v>
      </c>
    </row>
    <row r="8841" spans="1:8" x14ac:dyDescent="0.2">
      <c r="A8841" t="str">
        <f t="shared" si="3202"/>
        <v>0615076321</v>
      </c>
      <c r="B8841" t="str">
        <f t="shared" si="3203"/>
        <v>ZARIAH</v>
      </c>
      <c r="C8841" t="str">
        <f t="shared" si="3199"/>
        <v>JOSEPH</v>
      </c>
      <c r="D8841">
        <f>11</f>
        <v>11</v>
      </c>
      <c r="E8841" t="str">
        <f>"01 - A - 201 - Stefanie S Scher"</f>
        <v>01 - A - 201 - Stefanie S Scher</v>
      </c>
      <c r="F8841" t="str">
        <f>"AICE PSYCH 1 AS"</f>
        <v>AICE PSYCH 1 AS</v>
      </c>
      <c r="G8841" t="str">
        <f>"17-1735"</f>
        <v>17-1735</v>
      </c>
      <c r="H8841" t="str">
        <f>"A"</f>
        <v>A</v>
      </c>
    </row>
    <row r="8842" spans="1:8" x14ac:dyDescent="0.2">
      <c r="A8842" t="str">
        <f t="shared" si="3202"/>
        <v>0615076321</v>
      </c>
      <c r="B8842" t="str">
        <f t="shared" si="3203"/>
        <v>ZARIAH</v>
      </c>
      <c r="C8842" t="str">
        <f t="shared" si="3199"/>
        <v>JOSEPH</v>
      </c>
      <c r="D8842">
        <f>11</f>
        <v>11</v>
      </c>
      <c r="E8842" t="str">
        <f>"08 - B - 105 - Semra  Bahadir"</f>
        <v>08 - B - 105 - Semra  Bahadir</v>
      </c>
      <c r="F8842" t="str">
        <f>"MATH COLL ALGEBRA"</f>
        <v>MATH COLL ALGEBRA</v>
      </c>
      <c r="G8842" t="str">
        <f>"21-2107"</f>
        <v>21-2107</v>
      </c>
      <c r="H8842" t="str">
        <f>"B"</f>
        <v>B</v>
      </c>
    </row>
    <row r="8843" spans="1:8" x14ac:dyDescent="0.2">
      <c r="A8843" t="str">
        <f t="shared" ref="A8843:A8850" si="3204">"0614003020"</f>
        <v>0614003020</v>
      </c>
      <c r="B8843" t="str">
        <f t="shared" ref="B8843:B8850" si="3205">"NAOMY"</f>
        <v>NAOMY</v>
      </c>
      <c r="C8843" t="str">
        <f t="shared" ref="C8843:C8850" si="3206">"JOSUE"</f>
        <v>JOSUE</v>
      </c>
      <c r="D8843">
        <f>12</f>
        <v>12</v>
      </c>
      <c r="E8843" t="str">
        <f>"04 - A - 201 - Vanessa J Liburd"</f>
        <v>04 - A - 201 - Vanessa J Liburd</v>
      </c>
      <c r="F8843" t="str">
        <f>"FRENCH 4 HON"</f>
        <v>FRENCH 4 HON</v>
      </c>
      <c r="G8843" t="str">
        <f>"05-519"</f>
        <v>05-519</v>
      </c>
      <c r="H8843" t="str">
        <f>"A"</f>
        <v>A</v>
      </c>
    </row>
    <row r="8844" spans="1:8" x14ac:dyDescent="0.2">
      <c r="A8844" t="str">
        <f t="shared" si="3204"/>
        <v>0614003020</v>
      </c>
      <c r="B8844" t="str">
        <f t="shared" si="3205"/>
        <v>NAOMY</v>
      </c>
      <c r="C8844" t="str">
        <f t="shared" si="3206"/>
        <v>JOSUE</v>
      </c>
      <c r="D8844">
        <f>12</f>
        <v>12</v>
      </c>
      <c r="E8844" t="str">
        <f>"06 - B - 101 - Lenecy  Nodarse"</f>
        <v>06 - B - 101 - Lenecy  Nodarse</v>
      </c>
      <c r="F8844" t="str">
        <f>"NC STUDY HALL 1"</f>
        <v>NC STUDY HALL 1</v>
      </c>
      <c r="G8844" t="str">
        <f>"17-1741"</f>
        <v>17-1741</v>
      </c>
      <c r="H8844" t="str">
        <f>"B"</f>
        <v>B</v>
      </c>
    </row>
    <row r="8845" spans="1:8" x14ac:dyDescent="0.2">
      <c r="A8845" t="str">
        <f t="shared" si="3204"/>
        <v>0614003020</v>
      </c>
      <c r="B8845" t="str">
        <f t="shared" si="3205"/>
        <v>NAOMY</v>
      </c>
      <c r="C8845" t="str">
        <f t="shared" si="3206"/>
        <v>JOSUE</v>
      </c>
      <c r="D8845">
        <f>12</f>
        <v>12</v>
      </c>
      <c r="E8845" t="str">
        <f>"03 - A - 101 - Lisa J London"</f>
        <v>03 - A - 101 - Lisa J London</v>
      </c>
      <c r="F8845" t="str">
        <f>"AP CAPSTONE RESEARCH"</f>
        <v>AP CAPSTONE RESEARCH</v>
      </c>
      <c r="G8845" t="str">
        <f>"17-1714"</f>
        <v>17-1714</v>
      </c>
      <c r="H8845" t="str">
        <f>"A"</f>
        <v>A</v>
      </c>
    </row>
    <row r="8846" spans="1:8" x14ac:dyDescent="0.2">
      <c r="A8846" t="str">
        <f t="shared" si="3204"/>
        <v>0614003020</v>
      </c>
      <c r="B8846" t="str">
        <f t="shared" si="3205"/>
        <v>NAOMY</v>
      </c>
      <c r="C8846" t="str">
        <f t="shared" si="3206"/>
        <v>JOSUE</v>
      </c>
      <c r="D8846">
        <f>12</f>
        <v>12</v>
      </c>
      <c r="E8846" t="str">
        <f>"02 - A - 107 - Tina M Jaramillo"</f>
        <v>02 - A - 107 - Tina M Jaramillo</v>
      </c>
      <c r="F8846" t="str">
        <f>"AP ENG LIT COMPO"</f>
        <v>AP ENG LIT COMPO</v>
      </c>
      <c r="G8846" t="str">
        <f>"17-1706"</f>
        <v>17-1706</v>
      </c>
      <c r="H8846" t="str">
        <f>"A"</f>
        <v>A</v>
      </c>
    </row>
    <row r="8847" spans="1:8" x14ac:dyDescent="0.2">
      <c r="A8847" t="str">
        <f t="shared" si="3204"/>
        <v>0614003020</v>
      </c>
      <c r="B8847" t="str">
        <f t="shared" si="3205"/>
        <v>NAOMY</v>
      </c>
      <c r="C8847" t="str">
        <f t="shared" si="3206"/>
        <v>JOSUE</v>
      </c>
      <c r="D8847">
        <f>12</f>
        <v>12</v>
      </c>
      <c r="E8847" t="str">
        <f>"07 - B - 204 - Stefanie S Scher"</f>
        <v>07 - B - 204 - Stefanie S Scher</v>
      </c>
      <c r="F8847" t="str">
        <f>"AP PSYCH"</f>
        <v>AP PSYCH</v>
      </c>
      <c r="G8847" t="str">
        <f>"17-1735"</f>
        <v>17-1735</v>
      </c>
      <c r="H8847" t="str">
        <f>"B"</f>
        <v>B</v>
      </c>
    </row>
    <row r="8848" spans="1:8" x14ac:dyDescent="0.2">
      <c r="A8848" t="str">
        <f t="shared" si="3204"/>
        <v>0614003020</v>
      </c>
      <c r="B8848" t="str">
        <f t="shared" si="3205"/>
        <v>NAOMY</v>
      </c>
      <c r="C8848" t="str">
        <f t="shared" si="3206"/>
        <v>JOSUE</v>
      </c>
      <c r="D8848">
        <f>12</f>
        <v>12</v>
      </c>
      <c r="E8848" t="str">
        <f>"05 - S1 - B - 103 - Stephen T Ripp"</f>
        <v>05 - S1 - B - 103 - Stephen T Ripp</v>
      </c>
      <c r="F8848" t="str">
        <f>"AP US GOVT/POL"</f>
        <v>AP US GOVT/POL</v>
      </c>
      <c r="G8848" t="str">
        <f>"17-1744"</f>
        <v>17-1744</v>
      </c>
      <c r="H8848" t="str">
        <f>"B"</f>
        <v>B</v>
      </c>
    </row>
    <row r="8849" spans="1:8" x14ac:dyDescent="0.2">
      <c r="A8849" t="str">
        <f t="shared" si="3204"/>
        <v>0614003020</v>
      </c>
      <c r="B8849" t="str">
        <f t="shared" si="3205"/>
        <v>NAOMY</v>
      </c>
      <c r="C8849" t="str">
        <f t="shared" si="3206"/>
        <v>JOSUE</v>
      </c>
      <c r="D8849">
        <f>12</f>
        <v>12</v>
      </c>
      <c r="E8849" t="str">
        <f>"01 - A - 101 - Marielle A Witting"</f>
        <v>01 - A - 101 - Marielle A Witting</v>
      </c>
      <c r="F8849" t="str">
        <f>"AP BIO"</f>
        <v>AP BIO</v>
      </c>
      <c r="G8849" t="str">
        <f>"08-805"</f>
        <v>08-805</v>
      </c>
      <c r="H8849" t="str">
        <f>"A"</f>
        <v>A</v>
      </c>
    </row>
    <row r="8850" spans="1:8" x14ac:dyDescent="0.2">
      <c r="A8850" t="str">
        <f t="shared" si="3204"/>
        <v>0614003020</v>
      </c>
      <c r="B8850" t="str">
        <f t="shared" si="3205"/>
        <v>NAOMY</v>
      </c>
      <c r="C8850" t="str">
        <f t="shared" si="3206"/>
        <v>JOSUE</v>
      </c>
      <c r="D8850">
        <f>12</f>
        <v>12</v>
      </c>
      <c r="E8850" t="str">
        <f>"08 - B - 102 - Pamela M Corzo"</f>
        <v>08 - B - 102 - Pamela M Corzo</v>
      </c>
      <c r="F8850" t="str">
        <f>"AP STAT"</f>
        <v>AP STAT</v>
      </c>
      <c r="G8850" t="str">
        <f>"21-2133"</f>
        <v>21-2133</v>
      </c>
      <c r="H8850" t="str">
        <f>"B"</f>
        <v>B</v>
      </c>
    </row>
    <row r="8851" spans="1:8" x14ac:dyDescent="0.2">
      <c r="A8851" t="str">
        <f t="shared" ref="A8851:A8858" si="3207">"0616059414"</f>
        <v>0616059414</v>
      </c>
      <c r="B8851" t="str">
        <f t="shared" ref="B8851:B8858" si="3208">"DAMARY"</f>
        <v>DAMARY</v>
      </c>
      <c r="C8851" t="str">
        <f t="shared" ref="C8851:C8858" si="3209">"JOYA VILLATORO"</f>
        <v>JOYA VILLATORO</v>
      </c>
      <c r="D8851">
        <f>10</f>
        <v>10</v>
      </c>
      <c r="E8851" t="str">
        <f>"04 - A - 104 - Adam Marcus  Drucker"</f>
        <v>04 - A - 104 - Adam Marcus  Drucker</v>
      </c>
      <c r="F8851" t="str">
        <f>"HOPE-PE V"</f>
        <v>HOPE-PE V</v>
      </c>
      <c r="G8851" t="str">
        <f>"04-254"</f>
        <v>04-254</v>
      </c>
      <c r="H8851" t="str">
        <f>"A"</f>
        <v>A</v>
      </c>
    </row>
    <row r="8852" spans="1:8" x14ac:dyDescent="0.2">
      <c r="A8852" t="str">
        <f t="shared" si="3207"/>
        <v>0616059414</v>
      </c>
      <c r="B8852" t="str">
        <f t="shared" si="3208"/>
        <v>DAMARY</v>
      </c>
      <c r="C8852" t="str">
        <f t="shared" si="3209"/>
        <v>JOYA VILLATORO</v>
      </c>
      <c r="D8852">
        <f>10</f>
        <v>10</v>
      </c>
      <c r="E8852" t="str">
        <f>"06 - B - 114 - Richard E Dunbar Iii"</f>
        <v>06 - B - 114 - Richard E Dunbar Iii</v>
      </c>
      <c r="F8852" t="str">
        <f>"NC STUDY HALL 1"</f>
        <v>NC STUDY HALL 1</v>
      </c>
      <c r="G8852" t="str">
        <f>"17-1703"</f>
        <v>17-1703</v>
      </c>
      <c r="H8852" t="str">
        <f>"B"</f>
        <v>B</v>
      </c>
    </row>
    <row r="8853" spans="1:8" x14ac:dyDescent="0.2">
      <c r="A8853" t="str">
        <f t="shared" si="3207"/>
        <v>0616059414</v>
      </c>
      <c r="B8853" t="str">
        <f t="shared" si="3208"/>
        <v>DAMARY</v>
      </c>
      <c r="C8853" t="str">
        <f t="shared" si="3209"/>
        <v>JOYA VILLATORO</v>
      </c>
      <c r="D8853">
        <f>10</f>
        <v>10</v>
      </c>
      <c r="E8853" t="str">
        <f>"03 - A - 201 - Chrystina M Marchionne"</f>
        <v>03 - A - 201 - Chrystina M Marchionne</v>
      </c>
      <c r="F8853" t="str">
        <f>"JOURN 1 (YB) LH"</f>
        <v>JOURN 1 (YB) LH</v>
      </c>
      <c r="G8853" t="str">
        <f>"05-520"</f>
        <v>05-520</v>
      </c>
      <c r="H8853" t="str">
        <f>"A"</f>
        <v>A</v>
      </c>
    </row>
    <row r="8854" spans="1:8" x14ac:dyDescent="0.2">
      <c r="A8854" t="str">
        <f t="shared" si="3207"/>
        <v>0616059414</v>
      </c>
      <c r="B8854" t="str">
        <f t="shared" si="3208"/>
        <v>DAMARY</v>
      </c>
      <c r="C8854" t="str">
        <f t="shared" si="3209"/>
        <v>JOYA VILLATORO</v>
      </c>
      <c r="D8854">
        <f>10</f>
        <v>10</v>
      </c>
      <c r="E8854" t="str">
        <f>"02 - A - 101 - Christa T Parisi"</f>
        <v>02 - A - 101 - Christa T Parisi</v>
      </c>
      <c r="F8854" t="str">
        <f>"LRNG STRATEGIES 9-12"</f>
        <v>LRNG STRATEGIES 9-12</v>
      </c>
      <c r="G8854" t="str">
        <f>"20-2072"</f>
        <v>20-2072</v>
      </c>
      <c r="H8854" t="str">
        <f>"A"</f>
        <v>A</v>
      </c>
    </row>
    <row r="8855" spans="1:8" x14ac:dyDescent="0.2">
      <c r="A8855" t="str">
        <f t="shared" si="3207"/>
        <v>0616059414</v>
      </c>
      <c r="B8855" t="str">
        <f t="shared" si="3208"/>
        <v>DAMARY</v>
      </c>
      <c r="C8855" t="str">
        <f t="shared" si="3209"/>
        <v>JOYA VILLATORO</v>
      </c>
      <c r="D8855">
        <f>10</f>
        <v>10</v>
      </c>
      <c r="E8855" t="str">
        <f>"07 - B - 001 - Maried P Ramos"</f>
        <v>07 - B - 001 - Maried P Ramos</v>
      </c>
      <c r="F8855" t="str">
        <f>"GEOMETRY"</f>
        <v>GEOMETRY</v>
      </c>
      <c r="G8855" t="str">
        <f>"21-2159"</f>
        <v>21-2159</v>
      </c>
      <c r="H8855" t="str">
        <f>"B"</f>
        <v>B</v>
      </c>
    </row>
    <row r="8856" spans="1:8" x14ac:dyDescent="0.2">
      <c r="A8856" t="str">
        <f t="shared" si="3207"/>
        <v>0616059414</v>
      </c>
      <c r="B8856" t="str">
        <f t="shared" si="3208"/>
        <v>DAMARY</v>
      </c>
      <c r="C8856" t="str">
        <f t="shared" si="3209"/>
        <v>JOYA VILLATORO</v>
      </c>
      <c r="D8856">
        <f>10</f>
        <v>10</v>
      </c>
      <c r="E8856" t="str">
        <f>"05 - B - 106 - Jacquelyn M Neeson"</f>
        <v>05 - B - 106 - Jacquelyn M Neeson</v>
      </c>
      <c r="F8856" t="str">
        <f>"ENG 2"</f>
        <v>ENG 2</v>
      </c>
      <c r="G8856" t="str">
        <f>"17-1715"</f>
        <v>17-1715</v>
      </c>
      <c r="H8856" t="str">
        <f>"B"</f>
        <v>B</v>
      </c>
    </row>
    <row r="8857" spans="1:8" x14ac:dyDescent="0.2">
      <c r="A8857" t="str">
        <f t="shared" si="3207"/>
        <v>0616059414</v>
      </c>
      <c r="B8857" t="str">
        <f t="shared" si="3208"/>
        <v>DAMARY</v>
      </c>
      <c r="C8857" t="str">
        <f t="shared" si="3209"/>
        <v>JOYA VILLATORO</v>
      </c>
      <c r="D8857">
        <f>10</f>
        <v>10</v>
      </c>
      <c r="E8857" t="str">
        <f>"01 - A - 102 - Lytrell T Dixon"</f>
        <v>01 - A - 102 - Lytrell T Dixon</v>
      </c>
      <c r="F8857" t="str">
        <f>"BIOLOGY 1"</f>
        <v>BIOLOGY 1</v>
      </c>
      <c r="G8857" t="str">
        <f>"08-808"</f>
        <v>08-808</v>
      </c>
      <c r="H8857" t="str">
        <f>"A"</f>
        <v>A</v>
      </c>
    </row>
    <row r="8858" spans="1:8" x14ac:dyDescent="0.2">
      <c r="A8858" t="str">
        <f t="shared" si="3207"/>
        <v>0616059414</v>
      </c>
      <c r="B8858" t="str">
        <f t="shared" si="3208"/>
        <v>DAMARY</v>
      </c>
      <c r="C8858" t="str">
        <f t="shared" si="3209"/>
        <v>JOYA VILLATORO</v>
      </c>
      <c r="D8858">
        <f>10</f>
        <v>10</v>
      </c>
      <c r="E8858" t="str">
        <f>"08 - S1 - B - 105 - James H Mccann"</f>
        <v>08 - S1 - B - 105 - James H Mccann</v>
      </c>
      <c r="F8858" t="str">
        <f>"PERS FIN &amp; MON MGT H"</f>
        <v>PERS FIN &amp; MON MGT H</v>
      </c>
      <c r="G8858" t="str">
        <f>"17-1716"</f>
        <v>17-1716</v>
      </c>
      <c r="H8858" t="str">
        <f>"B"</f>
        <v>B</v>
      </c>
    </row>
    <row r="8859" spans="1:8" x14ac:dyDescent="0.2">
      <c r="A8859" t="str">
        <f t="shared" ref="A8859:A8866" si="3210">"0614034188"</f>
        <v>0614034188</v>
      </c>
      <c r="B8859" t="str">
        <f t="shared" ref="B8859:B8866" si="3211">"YOSANI"</f>
        <v>YOSANI</v>
      </c>
      <c r="C8859" t="str">
        <f t="shared" ref="C8859:C8866" si="3212">"JUAREZ"</f>
        <v>JUAREZ</v>
      </c>
      <c r="D8859">
        <f>12</f>
        <v>12</v>
      </c>
      <c r="E8859" t="str">
        <f>"04 - A - 102 - Samantha J Headley"</f>
        <v>04 - A - 102 - Samantha J Headley</v>
      </c>
      <c r="F8859" t="str">
        <f>"MARINE SCI 1 HON"</f>
        <v>MARINE SCI 1 HON</v>
      </c>
      <c r="G8859" t="str">
        <f>"21-2134"</f>
        <v>21-2134</v>
      </c>
      <c r="H8859" t="str">
        <f>"A"</f>
        <v>A</v>
      </c>
    </row>
    <row r="8860" spans="1:8" x14ac:dyDescent="0.2">
      <c r="A8860" t="str">
        <f t="shared" si="3210"/>
        <v>0614034188</v>
      </c>
      <c r="B8860" t="str">
        <f t="shared" si="3211"/>
        <v>YOSANI</v>
      </c>
      <c r="C8860" t="str">
        <f t="shared" si="3212"/>
        <v>JUAREZ</v>
      </c>
      <c r="D8860">
        <f>12</f>
        <v>12</v>
      </c>
      <c r="E8860" t="str">
        <f>"06 - B - 106 - Taraneh C Abreu"</f>
        <v>06 - B - 106 - Taraneh C Abreu</v>
      </c>
      <c r="F8860" t="str">
        <f>"NC STUDY HALL 1"</f>
        <v>NC STUDY HALL 1</v>
      </c>
      <c r="G8860" t="str">
        <f>"17-1713"</f>
        <v>17-1713</v>
      </c>
      <c r="H8860" t="str">
        <f>"B"</f>
        <v>B</v>
      </c>
    </row>
    <row r="8861" spans="1:8" x14ac:dyDescent="0.2">
      <c r="A8861" t="str">
        <f t="shared" si="3210"/>
        <v>0614034188</v>
      </c>
      <c r="B8861" t="str">
        <f t="shared" si="3211"/>
        <v>YOSANI</v>
      </c>
      <c r="C8861" t="str">
        <f t="shared" si="3212"/>
        <v>JUAREZ</v>
      </c>
      <c r="D8861">
        <f>12</f>
        <v>12</v>
      </c>
      <c r="E8861" t="str">
        <f>"03 - A - 201 - Christa T Parisi"</f>
        <v>03 - A - 201 - Christa T Parisi</v>
      </c>
      <c r="F8861" t="str">
        <f>"DANCE TECHNQS 1"</f>
        <v>DANCE TECHNQS 1</v>
      </c>
      <c r="G8861" t="str">
        <f>"05-503"</f>
        <v>05-503</v>
      </c>
      <c r="H8861" t="str">
        <f>"A"</f>
        <v>A</v>
      </c>
    </row>
    <row r="8862" spans="1:8" x14ac:dyDescent="0.2">
      <c r="A8862" t="str">
        <f t="shared" si="3210"/>
        <v>0614034188</v>
      </c>
      <c r="B8862" t="str">
        <f t="shared" si="3211"/>
        <v>YOSANI</v>
      </c>
      <c r="C8862" t="str">
        <f t="shared" si="3212"/>
        <v>JUAREZ</v>
      </c>
      <c r="D8862">
        <f>12</f>
        <v>12</v>
      </c>
      <c r="E8862" t="str">
        <f>"02 - A - 102 - Jeffrey S Gallagher"</f>
        <v>02 - A - 102 - Jeffrey S Gallagher</v>
      </c>
      <c r="F8862" t="str">
        <f>"ENG HON 4"</f>
        <v>ENG HON 4</v>
      </c>
      <c r="G8862" t="str">
        <f>"17-1724"</f>
        <v>17-1724</v>
      </c>
      <c r="H8862" t="str">
        <f>"A"</f>
        <v>A</v>
      </c>
    </row>
    <row r="8863" spans="1:8" x14ac:dyDescent="0.2">
      <c r="A8863" t="str">
        <f t="shared" si="3210"/>
        <v>0614034188</v>
      </c>
      <c r="B8863" t="str">
        <f t="shared" si="3211"/>
        <v>YOSANI</v>
      </c>
      <c r="C8863" t="str">
        <f t="shared" si="3212"/>
        <v>JUAREZ</v>
      </c>
      <c r="D8863">
        <f>12</f>
        <v>12</v>
      </c>
      <c r="E8863" t="str">
        <f>"07 - B - 102 - Tina L Lovett"</f>
        <v>07 - B - 102 - Tina L Lovett</v>
      </c>
      <c r="F8863" t="str">
        <f>"MATH DATA &amp; FIN LIT"</f>
        <v>MATH DATA &amp; FIN LIT</v>
      </c>
      <c r="G8863" t="str">
        <f>"21-2153"</f>
        <v>21-2153</v>
      </c>
      <c r="H8863" t="str">
        <f>"B"</f>
        <v>B</v>
      </c>
    </row>
    <row r="8864" spans="1:8" x14ac:dyDescent="0.2">
      <c r="A8864" t="str">
        <f t="shared" si="3210"/>
        <v>0614034188</v>
      </c>
      <c r="B8864" t="str">
        <f t="shared" si="3211"/>
        <v>YOSANI</v>
      </c>
      <c r="C8864" t="str">
        <f t="shared" si="3212"/>
        <v>JUAREZ</v>
      </c>
      <c r="D8864">
        <f>12</f>
        <v>12</v>
      </c>
      <c r="E8864" t="str">
        <f>"05 - B - 102 - Emmily A Sarmiento"</f>
        <v>05 - B - 102 - Emmily A Sarmiento</v>
      </c>
      <c r="F8864" t="str">
        <f>"LEAD SKLS DEV LH"</f>
        <v>LEAD SKLS DEV LH</v>
      </c>
      <c r="G8864" t="str">
        <f>"17-1743"</f>
        <v>17-1743</v>
      </c>
      <c r="H8864" t="str">
        <f>"B"</f>
        <v>B</v>
      </c>
    </row>
    <row r="8865" spans="1:8" x14ac:dyDescent="0.2">
      <c r="A8865" t="str">
        <f t="shared" si="3210"/>
        <v>0614034188</v>
      </c>
      <c r="B8865" t="str">
        <f t="shared" si="3211"/>
        <v>YOSANI</v>
      </c>
      <c r="C8865" t="str">
        <f t="shared" si="3212"/>
        <v>JUAREZ</v>
      </c>
      <c r="D8865">
        <f>12</f>
        <v>12</v>
      </c>
      <c r="E8865" t="str">
        <f>"01 - S1 - A - 101 - Robert O Burger"</f>
        <v>01 - S1 - A - 101 - Robert O Burger</v>
      </c>
      <c r="F8865" t="str">
        <f>"US GOVT"</f>
        <v>US GOVT</v>
      </c>
      <c r="G8865" t="str">
        <f>"17-1755"</f>
        <v>17-1755</v>
      </c>
      <c r="H8865" t="str">
        <f>"A"</f>
        <v>A</v>
      </c>
    </row>
    <row r="8866" spans="1:8" x14ac:dyDescent="0.2">
      <c r="A8866" t="str">
        <f t="shared" si="3210"/>
        <v>0614034188</v>
      </c>
      <c r="B8866" t="str">
        <f t="shared" si="3211"/>
        <v>YOSANI</v>
      </c>
      <c r="C8866" t="str">
        <f t="shared" si="3212"/>
        <v>JUAREZ</v>
      </c>
      <c r="D8866">
        <f>12</f>
        <v>12</v>
      </c>
      <c r="E8866" t="str">
        <f>"08 - B - 101 - Jazmin S Fletcher"</f>
        <v>08 - B - 101 - Jazmin S Fletcher</v>
      </c>
      <c r="F8866" t="str">
        <f>"PRE-AICE DRAMA 1G"</f>
        <v>PRE-AICE DRAMA 1G</v>
      </c>
      <c r="G8866" t="str">
        <f>"09-909"</f>
        <v>09-909</v>
      </c>
      <c r="H8866" t="str">
        <f>"B"</f>
        <v>B</v>
      </c>
    </row>
    <row r="8867" spans="1:8" x14ac:dyDescent="0.2">
      <c r="A8867" t="str">
        <f t="shared" ref="A8867:A8874" si="3213">"0616137141"</f>
        <v>0616137141</v>
      </c>
      <c r="B8867" t="str">
        <f t="shared" ref="B8867:B8874" si="3214">"TANIA"</f>
        <v>TANIA</v>
      </c>
      <c r="C8867" t="str">
        <f t="shared" ref="C8867:C8874" si="3215">"JUAREZMEZA"</f>
        <v>JUAREZMEZA</v>
      </c>
      <c r="D8867" t="str">
        <f t="shared" ref="D8867:D8874" si="3216">"09"</f>
        <v>09</v>
      </c>
      <c r="E8867" t="str">
        <f>"04 - A - 102 - Eva T Rimmer"</f>
        <v>04 - A - 102 - Eva T Rimmer</v>
      </c>
      <c r="F8867" t="str">
        <f>"CRIMINAL JUST OPS 1"</f>
        <v>CRIMINAL JUST OPS 1</v>
      </c>
      <c r="G8867" t="str">
        <f>"05-523"</f>
        <v>05-523</v>
      </c>
      <c r="H8867" t="str">
        <f>"A"</f>
        <v>A</v>
      </c>
    </row>
    <row r="8868" spans="1:8" x14ac:dyDescent="0.2">
      <c r="A8868" t="str">
        <f t="shared" si="3213"/>
        <v>0616137141</v>
      </c>
      <c r="B8868" t="str">
        <f t="shared" si="3214"/>
        <v>TANIA</v>
      </c>
      <c r="C8868" t="str">
        <f t="shared" si="3215"/>
        <v>JUAREZMEZA</v>
      </c>
      <c r="D8868" t="str">
        <f t="shared" si="3216"/>
        <v>09</v>
      </c>
      <c r="E8868" t="str">
        <f>"06 - B - 104 - Rory T Sponsler"</f>
        <v>06 - B - 104 - Rory T Sponsler</v>
      </c>
      <c r="F8868" t="str">
        <f>"PRE-AICE WRLD HST IG"</f>
        <v>PRE-AICE WRLD HST IG</v>
      </c>
      <c r="G8868" t="str">
        <f>"17-1740"</f>
        <v>17-1740</v>
      </c>
      <c r="H8868" t="str">
        <f>"B"</f>
        <v>B</v>
      </c>
    </row>
    <row r="8869" spans="1:8" x14ac:dyDescent="0.2">
      <c r="A8869" t="str">
        <f t="shared" si="3213"/>
        <v>0616137141</v>
      </c>
      <c r="B8869" t="str">
        <f t="shared" si="3214"/>
        <v>TANIA</v>
      </c>
      <c r="C8869" t="str">
        <f t="shared" si="3215"/>
        <v>JUAREZMEZA</v>
      </c>
      <c r="D8869" t="str">
        <f t="shared" si="3216"/>
        <v>09</v>
      </c>
      <c r="E8869" t="str">
        <f>"03 - A - 001 - Maried P Ramos"</f>
        <v>03 - A - 001 - Maried P Ramos</v>
      </c>
      <c r="F8869" t="str">
        <f>"PRE-AICE MATH 2 IG"</f>
        <v>PRE-AICE MATH 2 IG</v>
      </c>
      <c r="G8869" t="str">
        <f>"21-2159"</f>
        <v>21-2159</v>
      </c>
      <c r="H8869" t="str">
        <f>"A"</f>
        <v>A</v>
      </c>
    </row>
    <row r="8870" spans="1:8" x14ac:dyDescent="0.2">
      <c r="A8870" t="str">
        <f t="shared" si="3213"/>
        <v>0616137141</v>
      </c>
      <c r="B8870" t="str">
        <f t="shared" si="3214"/>
        <v>TANIA</v>
      </c>
      <c r="C8870" t="str">
        <f t="shared" si="3215"/>
        <v>JUAREZMEZA</v>
      </c>
      <c r="D8870" t="str">
        <f t="shared" si="3216"/>
        <v>09</v>
      </c>
      <c r="E8870" t="str">
        <f>"02 - A - 103 - Arthur  Kulawik"</f>
        <v>02 - A - 103 - Arthur  Kulawik</v>
      </c>
      <c r="F8870" t="str">
        <f>"NC STUDY HALL 1"</f>
        <v>NC STUDY HALL 1</v>
      </c>
      <c r="G8870" t="str">
        <f>"05-506"</f>
        <v>05-506</v>
      </c>
      <c r="H8870" t="str">
        <f>"A"</f>
        <v>A</v>
      </c>
    </row>
    <row r="8871" spans="1:8" x14ac:dyDescent="0.2">
      <c r="A8871" t="str">
        <f t="shared" si="3213"/>
        <v>0616137141</v>
      </c>
      <c r="B8871" t="str">
        <f t="shared" si="3214"/>
        <v>TANIA</v>
      </c>
      <c r="C8871" t="str">
        <f t="shared" si="3215"/>
        <v>JUAREZMEZA</v>
      </c>
      <c r="D8871" t="str">
        <f t="shared" si="3216"/>
        <v>09</v>
      </c>
      <c r="E8871" t="str">
        <f>"07 - B - 201 - Angela S Adeshina-Morrison"</f>
        <v>07 - B - 201 - Angela S Adeshina-Morrison</v>
      </c>
      <c r="F8871" t="str">
        <f>"BUSINESS OWNER HON"</f>
        <v>BUSINESS OWNER HON</v>
      </c>
      <c r="G8871" t="str">
        <f>"05-518"</f>
        <v>05-518</v>
      </c>
      <c r="H8871" t="str">
        <f>"B"</f>
        <v>B</v>
      </c>
    </row>
    <row r="8872" spans="1:8" x14ac:dyDescent="0.2">
      <c r="A8872" t="str">
        <f t="shared" si="3213"/>
        <v>0616137141</v>
      </c>
      <c r="B8872" t="str">
        <f t="shared" si="3214"/>
        <v>TANIA</v>
      </c>
      <c r="C8872" t="str">
        <f t="shared" si="3215"/>
        <v>JUAREZMEZA</v>
      </c>
      <c r="D8872" t="str">
        <f t="shared" si="3216"/>
        <v>09</v>
      </c>
      <c r="E8872" t="str">
        <f>"05 - B - 207 - Marielle A Witting"</f>
        <v>05 - B - 207 - Marielle A Witting</v>
      </c>
      <c r="F8872" t="str">
        <f>"ANAT PHYSIO"</f>
        <v>ANAT PHYSIO</v>
      </c>
      <c r="G8872" t="str">
        <f>"08-805"</f>
        <v>08-805</v>
      </c>
      <c r="H8872" t="str">
        <f>"B"</f>
        <v>B</v>
      </c>
    </row>
    <row r="8873" spans="1:8" x14ac:dyDescent="0.2">
      <c r="A8873" t="str">
        <f t="shared" si="3213"/>
        <v>0616137141</v>
      </c>
      <c r="B8873" t="str">
        <f t="shared" si="3214"/>
        <v>TANIA</v>
      </c>
      <c r="C8873" t="str">
        <f t="shared" si="3215"/>
        <v>JUAREZMEZA</v>
      </c>
      <c r="D8873" t="str">
        <f t="shared" si="3216"/>
        <v>09</v>
      </c>
      <c r="E8873" t="str">
        <f>"01 - A - 101 - Jacquelyn M Neeson"</f>
        <v>01 - A - 101 - Jacquelyn M Neeson</v>
      </c>
      <c r="F8873" t="str">
        <f>"AICE ENG GEN PAPER 1"</f>
        <v>AICE ENG GEN PAPER 1</v>
      </c>
      <c r="G8873" t="str">
        <f>"17-1715"</f>
        <v>17-1715</v>
      </c>
      <c r="H8873" t="str">
        <f>"A"</f>
        <v>A</v>
      </c>
    </row>
    <row r="8874" spans="1:8" x14ac:dyDescent="0.2">
      <c r="A8874" t="str">
        <f t="shared" si="3213"/>
        <v>0616137141</v>
      </c>
      <c r="B8874" t="str">
        <f t="shared" si="3214"/>
        <v>TANIA</v>
      </c>
      <c r="C8874" t="str">
        <f t="shared" si="3215"/>
        <v>JUAREZMEZA</v>
      </c>
      <c r="D8874" t="str">
        <f t="shared" si="3216"/>
        <v>09</v>
      </c>
      <c r="E8874" t="str">
        <f>"08 - B - 108 - Adam Marcus  Drucker"</f>
        <v>08 - B - 108 - Adam Marcus  Drucker</v>
      </c>
      <c r="F8874" t="str">
        <f>"HOPE-PE V"</f>
        <v>HOPE-PE V</v>
      </c>
      <c r="G8874" t="str">
        <f>"04-254"</f>
        <v>04-254</v>
      </c>
      <c r="H8874" t="str">
        <f>"B"</f>
        <v>B</v>
      </c>
    </row>
    <row r="8875" spans="1:8" x14ac:dyDescent="0.2">
      <c r="A8875" t="str">
        <f t="shared" ref="A8875:A8882" si="3217">"0623020380"</f>
        <v>0623020380</v>
      </c>
      <c r="B8875" t="str">
        <f t="shared" ref="B8875:B8882" si="3218">"HANNAH"</f>
        <v>HANNAH</v>
      </c>
      <c r="C8875" t="str">
        <f t="shared" ref="C8875:C8882" si="3219">"JUDGE"</f>
        <v>JUDGE</v>
      </c>
      <c r="D8875">
        <f>12</f>
        <v>12</v>
      </c>
      <c r="E8875" t="str">
        <f>"04 - A - 101 - Brian M Fitzgerald"</f>
        <v>04 - A - 101 - Brian M Fitzgerald</v>
      </c>
      <c r="F8875" t="str">
        <f>"AP 2-D ART &amp; DESIGN"</f>
        <v>AP 2-D ART &amp; DESIGN</v>
      </c>
      <c r="G8875" t="str">
        <f>"09-908"</f>
        <v>09-908</v>
      </c>
      <c r="H8875" t="str">
        <f>"A"</f>
        <v>A</v>
      </c>
    </row>
    <row r="8876" spans="1:8" x14ac:dyDescent="0.2">
      <c r="A8876" t="str">
        <f t="shared" si="3217"/>
        <v>0623020380</v>
      </c>
      <c r="B8876" t="str">
        <f t="shared" si="3218"/>
        <v>HANNAH</v>
      </c>
      <c r="C8876" t="str">
        <f t="shared" si="3219"/>
        <v>JUDGE</v>
      </c>
      <c r="D8876">
        <f>12</f>
        <v>12</v>
      </c>
      <c r="E8876" t="str">
        <f>"06 - B - 107 - Pamela M Corzo"</f>
        <v>06 - B - 107 - Pamela M Corzo</v>
      </c>
      <c r="F8876" t="str">
        <f>"NC STUDY HALL 1"</f>
        <v>NC STUDY HALL 1</v>
      </c>
      <c r="G8876" t="str">
        <f>"21-2133"</f>
        <v>21-2133</v>
      </c>
      <c r="H8876" t="str">
        <f>"B"</f>
        <v>B</v>
      </c>
    </row>
    <row r="8877" spans="1:8" x14ac:dyDescent="0.2">
      <c r="A8877" t="str">
        <f t="shared" si="3217"/>
        <v>0623020380</v>
      </c>
      <c r="B8877" t="str">
        <f t="shared" si="3218"/>
        <v>HANNAH</v>
      </c>
      <c r="C8877" t="str">
        <f t="shared" si="3219"/>
        <v>JUDGE</v>
      </c>
      <c r="D8877">
        <f>12</f>
        <v>12</v>
      </c>
      <c r="E8877" t="str">
        <f>"03 - A - 101 - Rosa Elaine  Collado-Duff"</f>
        <v>03 - A - 101 - Rosa Elaine  Collado-Duff</v>
      </c>
      <c r="F8877" t="str">
        <f>"SPANISH 3 HON"</f>
        <v>SPANISH 3 HON</v>
      </c>
      <c r="G8877" t="str">
        <f>"09-913"</f>
        <v>09-913</v>
      </c>
      <c r="H8877" t="str">
        <f>"A"</f>
        <v>A</v>
      </c>
    </row>
    <row r="8878" spans="1:8" x14ac:dyDescent="0.2">
      <c r="A8878" t="str">
        <f t="shared" si="3217"/>
        <v>0623020380</v>
      </c>
      <c r="B8878" t="str">
        <f t="shared" si="3218"/>
        <v>HANNAH</v>
      </c>
      <c r="C8878" t="str">
        <f t="shared" si="3219"/>
        <v>JUDGE</v>
      </c>
      <c r="D8878">
        <f>12</f>
        <v>12</v>
      </c>
      <c r="E8878" t="str">
        <f>"02 - S1 - A - 103 - Barbara L Segal"</f>
        <v>02 - S1 - A - 103 - Barbara L Segal</v>
      </c>
      <c r="F8878" t="str">
        <f>"US GOVT HON"</f>
        <v>US GOVT HON</v>
      </c>
      <c r="G8878" t="str">
        <f>"17-1742"</f>
        <v>17-1742</v>
      </c>
      <c r="H8878" t="str">
        <f>"A"</f>
        <v>A</v>
      </c>
    </row>
    <row r="8879" spans="1:8" x14ac:dyDescent="0.2">
      <c r="A8879" t="str">
        <f t="shared" si="3217"/>
        <v>0623020380</v>
      </c>
      <c r="B8879" t="str">
        <f t="shared" si="3218"/>
        <v>HANNAH</v>
      </c>
      <c r="C8879" t="str">
        <f t="shared" si="3219"/>
        <v>JUDGE</v>
      </c>
      <c r="D8879">
        <f>12</f>
        <v>12</v>
      </c>
      <c r="E8879" t="str">
        <f>"07 - B - 204 - Stefanie S Scher"</f>
        <v>07 - B - 204 - Stefanie S Scher</v>
      </c>
      <c r="F8879" t="str">
        <f>"AP PSYCH"</f>
        <v>AP PSYCH</v>
      </c>
      <c r="G8879" t="str">
        <f>"17-1735"</f>
        <v>17-1735</v>
      </c>
      <c r="H8879" t="str">
        <f>"B"</f>
        <v>B</v>
      </c>
    </row>
    <row r="8880" spans="1:8" x14ac:dyDescent="0.2">
      <c r="A8880" t="str">
        <f t="shared" si="3217"/>
        <v>0623020380</v>
      </c>
      <c r="B8880" t="str">
        <f t="shared" si="3218"/>
        <v>HANNAH</v>
      </c>
      <c r="C8880" t="str">
        <f t="shared" si="3219"/>
        <v>JUDGE</v>
      </c>
      <c r="D8880">
        <f>12</f>
        <v>12</v>
      </c>
      <c r="E8880" t="str">
        <f>"05 - B - 104 - Lourivaldo  Da Silva"</f>
        <v>05 - B - 104 - Lourivaldo  Da Silva</v>
      </c>
      <c r="F8880" t="str">
        <f>"PRE-CALCULUS HON"</f>
        <v>PRE-CALCULUS HON</v>
      </c>
      <c r="G8880" t="str">
        <f>"20-2079"</f>
        <v>20-2079</v>
      </c>
      <c r="H8880" t="str">
        <f>"B"</f>
        <v>B</v>
      </c>
    </row>
    <row r="8881" spans="1:8" x14ac:dyDescent="0.2">
      <c r="A8881" t="str">
        <f t="shared" si="3217"/>
        <v>0623020380</v>
      </c>
      <c r="B8881" t="str">
        <f t="shared" si="3218"/>
        <v>HANNAH</v>
      </c>
      <c r="C8881" t="str">
        <f t="shared" si="3219"/>
        <v>JUDGE</v>
      </c>
      <c r="D8881">
        <f>12</f>
        <v>12</v>
      </c>
      <c r="E8881" t="str">
        <f>"01 - A - 101 - Cliffon  Saurel"</f>
        <v>01 - A - 101 - Cliffon  Saurel</v>
      </c>
      <c r="F8881" t="str">
        <f>"PHYSICAL SCI"</f>
        <v>PHYSICAL SCI</v>
      </c>
      <c r="G8881" t="str">
        <f>"05-522"</f>
        <v>05-522</v>
      </c>
      <c r="H8881" t="str">
        <f>"A"</f>
        <v>A</v>
      </c>
    </row>
    <row r="8882" spans="1:8" x14ac:dyDescent="0.2">
      <c r="A8882" t="str">
        <f t="shared" si="3217"/>
        <v>0623020380</v>
      </c>
      <c r="B8882" t="str">
        <f t="shared" si="3218"/>
        <v>HANNAH</v>
      </c>
      <c r="C8882" t="str">
        <f t="shared" si="3219"/>
        <v>JUDGE</v>
      </c>
      <c r="D8882">
        <f>12</f>
        <v>12</v>
      </c>
      <c r="E8882" t="str">
        <f>"08 - B - 105 - Jeffrey S Gallagher"</f>
        <v>08 - B - 105 - Jeffrey S Gallagher</v>
      </c>
      <c r="F8882" t="str">
        <f>"ENG HON 4"</f>
        <v>ENG HON 4</v>
      </c>
      <c r="G8882" t="str">
        <f>"17-1724"</f>
        <v>17-1724</v>
      </c>
      <c r="H8882" t="str">
        <f>"B"</f>
        <v>B</v>
      </c>
    </row>
    <row r="8883" spans="1:8" x14ac:dyDescent="0.2">
      <c r="A8883" t="str">
        <f t="shared" ref="A8883:A8890" si="3220">"0614082908"</f>
        <v>0614082908</v>
      </c>
      <c r="B8883" t="str">
        <f t="shared" ref="B8883:B8890" si="3221">"WESTIN"</f>
        <v>WESTIN</v>
      </c>
      <c r="C8883" t="str">
        <f t="shared" ref="C8883:C8890" si="3222">"JULIEN"</f>
        <v>JULIEN</v>
      </c>
      <c r="D8883">
        <f>10</f>
        <v>10</v>
      </c>
      <c r="E8883" t="str">
        <f>"04 - A - 104 - Adam Marcus  Drucker"</f>
        <v>04 - A - 104 - Adam Marcus  Drucker</v>
      </c>
      <c r="F8883" t="str">
        <f>"HOPE-PE V"</f>
        <v>HOPE-PE V</v>
      </c>
      <c r="G8883" t="str">
        <f>"04-254"</f>
        <v>04-254</v>
      </c>
      <c r="H8883" t="str">
        <f>"A"</f>
        <v>A</v>
      </c>
    </row>
    <row r="8884" spans="1:8" x14ac:dyDescent="0.2">
      <c r="A8884" t="str">
        <f t="shared" si="3220"/>
        <v>0614082908</v>
      </c>
      <c r="B8884" t="str">
        <f t="shared" si="3221"/>
        <v>WESTIN</v>
      </c>
      <c r="C8884" t="str">
        <f t="shared" si="3222"/>
        <v>JULIEN</v>
      </c>
      <c r="D8884">
        <f>10</f>
        <v>10</v>
      </c>
      <c r="E8884" t="str">
        <f>"06 - B - 105 - Jeffrey S Gallagher"</f>
        <v>06 - B - 105 - Jeffrey S Gallagher</v>
      </c>
      <c r="F8884" t="str">
        <f>"NC STUDY HALL 1"</f>
        <v>NC STUDY HALL 1</v>
      </c>
      <c r="G8884" t="str">
        <f>"17-1724"</f>
        <v>17-1724</v>
      </c>
      <c r="H8884" t="str">
        <f>"B"</f>
        <v>B</v>
      </c>
    </row>
    <row r="8885" spans="1:8" x14ac:dyDescent="0.2">
      <c r="A8885" t="str">
        <f t="shared" si="3220"/>
        <v>0614082908</v>
      </c>
      <c r="B8885" t="str">
        <f t="shared" si="3221"/>
        <v>WESTIN</v>
      </c>
      <c r="C8885" t="str">
        <f t="shared" si="3222"/>
        <v>JULIEN</v>
      </c>
      <c r="D8885">
        <f>10</f>
        <v>10</v>
      </c>
      <c r="E8885" t="str">
        <f>"03 - A - 104 - Brook E Goren"</f>
        <v>03 - A - 104 - Brook E Goren</v>
      </c>
      <c r="F8885" t="str">
        <f>"ALGEBRA 2 HON"</f>
        <v>ALGEBRA 2 HON</v>
      </c>
      <c r="G8885" t="str">
        <f>"21-2158"</f>
        <v>21-2158</v>
      </c>
      <c r="H8885" t="str">
        <f>"A"</f>
        <v>A</v>
      </c>
    </row>
    <row r="8886" spans="1:8" x14ac:dyDescent="0.2">
      <c r="A8886" t="str">
        <f t="shared" si="3220"/>
        <v>0614082908</v>
      </c>
      <c r="B8886" t="str">
        <f t="shared" si="3221"/>
        <v>WESTIN</v>
      </c>
      <c r="C8886" t="str">
        <f t="shared" si="3222"/>
        <v>JULIEN</v>
      </c>
      <c r="D8886">
        <f>10</f>
        <v>10</v>
      </c>
      <c r="E8886" t="str">
        <f>"02 - A - 103 - Lenecy  Nodarse"</f>
        <v>02 - A - 103 - Lenecy  Nodarse</v>
      </c>
      <c r="F8886" t="str">
        <f>"AICE EURO HIST 1 AS"</f>
        <v>AICE EURO HIST 1 AS</v>
      </c>
      <c r="G8886" t="str">
        <f>"17-1741"</f>
        <v>17-1741</v>
      </c>
      <c r="H8886" t="str">
        <f>"A"</f>
        <v>A</v>
      </c>
    </row>
    <row r="8887" spans="1:8" x14ac:dyDescent="0.2">
      <c r="A8887" t="str">
        <f t="shared" si="3220"/>
        <v>0614082908</v>
      </c>
      <c r="B8887" t="str">
        <f t="shared" si="3221"/>
        <v>WESTIN</v>
      </c>
      <c r="C8887" t="str">
        <f t="shared" si="3222"/>
        <v>JULIEN</v>
      </c>
      <c r="D8887">
        <f>10</f>
        <v>10</v>
      </c>
      <c r="E8887" t="str">
        <f>"07 - B - 002 - Jordana K Hass"</f>
        <v>07 - B - 002 - Jordana K Hass</v>
      </c>
      <c r="F8887" t="str">
        <f>"CHEMISTRY 1 HON"</f>
        <v>CHEMISTRY 1 HON</v>
      </c>
      <c r="G8887" t="str">
        <f>"08-807"</f>
        <v>08-807</v>
      </c>
      <c r="H8887" t="str">
        <f>"B"</f>
        <v>B</v>
      </c>
    </row>
    <row r="8888" spans="1:8" x14ac:dyDescent="0.2">
      <c r="A8888" t="str">
        <f t="shared" si="3220"/>
        <v>0614082908</v>
      </c>
      <c r="B8888" t="str">
        <f t="shared" si="3221"/>
        <v>WESTIN</v>
      </c>
      <c r="C8888" t="str">
        <f t="shared" si="3222"/>
        <v>JULIEN</v>
      </c>
      <c r="D8888">
        <f>10</f>
        <v>10</v>
      </c>
      <c r="E8888" t="str">
        <f>"05 - B - 106 - Courtney E Hambright"</f>
        <v>05 - B - 106 - Courtney E Hambright</v>
      </c>
      <c r="F8888" t="str">
        <f>"AICE ENG LANG AS"</f>
        <v>AICE ENG LANG AS</v>
      </c>
      <c r="G8888" t="str">
        <f>"17-1711"</f>
        <v>17-1711</v>
      </c>
      <c r="H8888" t="str">
        <f>"B"</f>
        <v>B</v>
      </c>
    </row>
    <row r="8889" spans="1:8" x14ac:dyDescent="0.2">
      <c r="A8889" t="str">
        <f t="shared" si="3220"/>
        <v>0614082908</v>
      </c>
      <c r="B8889" t="str">
        <f t="shared" si="3221"/>
        <v>WESTIN</v>
      </c>
      <c r="C8889" t="str">
        <f t="shared" si="3222"/>
        <v>JULIEN</v>
      </c>
      <c r="D8889">
        <f>10</f>
        <v>10</v>
      </c>
      <c r="E8889" t="str">
        <f>"01 - A - 101 - Marius D Orsolini"</f>
        <v>01 - A - 101 - Marius D Orsolini</v>
      </c>
      <c r="F8889" t="str">
        <f>"CULINARY ARTS 1"</f>
        <v>CULINARY ARTS 1</v>
      </c>
      <c r="G8889" t="str">
        <f>"21-2115"</f>
        <v>21-2115</v>
      </c>
      <c r="H8889" t="str">
        <f>"A"</f>
        <v>A</v>
      </c>
    </row>
    <row r="8890" spans="1:8" x14ac:dyDescent="0.2">
      <c r="A8890" t="str">
        <f t="shared" si="3220"/>
        <v>0614082908</v>
      </c>
      <c r="B8890" t="str">
        <f t="shared" si="3221"/>
        <v>WESTIN</v>
      </c>
      <c r="C8890" t="str">
        <f t="shared" si="3222"/>
        <v>JULIEN</v>
      </c>
      <c r="D8890">
        <f>10</f>
        <v>10</v>
      </c>
      <c r="E8890" t="str">
        <f>"08 - S1 - B - 001 - Carol S Moore"</f>
        <v>08 - S1 - B - 001 - Carol S Moore</v>
      </c>
      <c r="F8890" t="str">
        <f>"PER CAR SCH DEV 1 LH"</f>
        <v>PER CAR SCH DEV 1 LH</v>
      </c>
      <c r="G8890" t="str">
        <f>"17-1733"</f>
        <v>17-1733</v>
      </c>
      <c r="H8890" t="str">
        <f>"B"</f>
        <v>B</v>
      </c>
    </row>
    <row r="8891" spans="1:8" x14ac:dyDescent="0.2">
      <c r="A8891" t="str">
        <f t="shared" ref="A8891:A8898" si="3223">"0617032502"</f>
        <v>0617032502</v>
      </c>
      <c r="B8891" t="str">
        <f t="shared" ref="B8891:B8898" si="3224">"JOLANI"</f>
        <v>JOLANI</v>
      </c>
      <c r="C8891" t="str">
        <f t="shared" ref="C8891:C8898" si="3225">"JUSMA"</f>
        <v>JUSMA</v>
      </c>
      <c r="D8891" t="str">
        <f t="shared" ref="D8891:D8898" si="3226">"09"</f>
        <v>09</v>
      </c>
      <c r="E8891" t="str">
        <f>"04 - A - 102 - Josiah I Lacy"</f>
        <v>04 - A - 102 - Josiah I Lacy</v>
      </c>
      <c r="F8891" t="str">
        <f>"PRE-AICE BIO IG"</f>
        <v>PRE-AICE BIO IG</v>
      </c>
      <c r="G8891" t="str">
        <f>"08-801"</f>
        <v>08-801</v>
      </c>
      <c r="H8891" t="str">
        <f>"A"</f>
        <v>A</v>
      </c>
    </row>
    <row r="8892" spans="1:8" x14ac:dyDescent="0.2">
      <c r="A8892" t="str">
        <f t="shared" si="3223"/>
        <v>0617032502</v>
      </c>
      <c r="B8892" t="str">
        <f t="shared" si="3224"/>
        <v>JOLANI</v>
      </c>
      <c r="C8892" t="str">
        <f t="shared" si="3225"/>
        <v>JUSMA</v>
      </c>
      <c r="D8892" t="str">
        <f t="shared" si="3226"/>
        <v>09</v>
      </c>
      <c r="E8892" t="str">
        <f>"06 - B - 202 - Brian M Fitzgerald"</f>
        <v>06 - B - 202 - Brian M Fitzgerald</v>
      </c>
      <c r="F8892" t="str">
        <f>"DRAW 1"</f>
        <v>DRAW 1</v>
      </c>
      <c r="G8892" t="str">
        <f>"09-908"</f>
        <v>09-908</v>
      </c>
      <c r="H8892" t="str">
        <f>"B"</f>
        <v>B</v>
      </c>
    </row>
    <row r="8893" spans="1:8" x14ac:dyDescent="0.2">
      <c r="A8893" t="str">
        <f t="shared" si="3223"/>
        <v>0617032502</v>
      </c>
      <c r="B8893" t="str">
        <f t="shared" si="3224"/>
        <v>JOLANI</v>
      </c>
      <c r="C8893" t="str">
        <f t="shared" si="3225"/>
        <v>JUSMA</v>
      </c>
      <c r="D8893" t="str">
        <f t="shared" si="3226"/>
        <v>09</v>
      </c>
      <c r="E8893" t="str">
        <f>"03 - A - 203 - Elizabeth R Walker"</f>
        <v>03 - A - 203 - Elizabeth R Walker</v>
      </c>
      <c r="F8893" t="str">
        <f>"AICE ENG GEN PAPER 1"</f>
        <v>AICE ENG GEN PAPER 1</v>
      </c>
      <c r="G8893" t="str">
        <f>"17-1703"</f>
        <v>17-1703</v>
      </c>
      <c r="H8893" t="str">
        <f>"A"</f>
        <v>A</v>
      </c>
    </row>
    <row r="8894" spans="1:8" x14ac:dyDescent="0.2">
      <c r="A8894" t="str">
        <f t="shared" si="3223"/>
        <v>0617032502</v>
      </c>
      <c r="B8894" t="str">
        <f t="shared" si="3224"/>
        <v>JOLANI</v>
      </c>
      <c r="C8894" t="str">
        <f t="shared" si="3225"/>
        <v>JUSMA</v>
      </c>
      <c r="D8894" t="str">
        <f t="shared" si="3226"/>
        <v>09</v>
      </c>
      <c r="E8894" t="str">
        <f>"02 - A - 114 - Laselleda D Shaw"</f>
        <v>02 - A - 114 - Laselleda D Shaw</v>
      </c>
      <c r="F8894" t="str">
        <f>"NC STUDY HALL 1"</f>
        <v>NC STUDY HALL 1</v>
      </c>
      <c r="G8894" t="str">
        <f>"17-1723"</f>
        <v>17-1723</v>
      </c>
      <c r="H8894" t="str">
        <f>"A"</f>
        <v>A</v>
      </c>
    </row>
    <row r="8895" spans="1:8" x14ac:dyDescent="0.2">
      <c r="A8895" t="str">
        <f t="shared" si="3223"/>
        <v>0617032502</v>
      </c>
      <c r="B8895" t="str">
        <f t="shared" si="3224"/>
        <v>JOLANI</v>
      </c>
      <c r="C8895" t="str">
        <f t="shared" si="3225"/>
        <v>JUSMA</v>
      </c>
      <c r="D8895" t="str">
        <f t="shared" si="3226"/>
        <v>09</v>
      </c>
      <c r="E8895" t="str">
        <f>"07 - B - 001 - Carol S Moore"</f>
        <v>07 - B - 001 - Carol S Moore</v>
      </c>
      <c r="F8895" t="str">
        <f>"PRE-AICE WRLD HST IG"</f>
        <v>PRE-AICE WRLD HST IG</v>
      </c>
      <c r="G8895" t="str">
        <f>"17-1733"</f>
        <v>17-1733</v>
      </c>
      <c r="H8895" t="str">
        <f>"B"</f>
        <v>B</v>
      </c>
    </row>
    <row r="8896" spans="1:8" x14ac:dyDescent="0.2">
      <c r="A8896" t="str">
        <f t="shared" si="3223"/>
        <v>0617032502</v>
      </c>
      <c r="B8896" t="str">
        <f t="shared" si="3224"/>
        <v>JOLANI</v>
      </c>
      <c r="C8896" t="str">
        <f t="shared" si="3225"/>
        <v>JUSMA</v>
      </c>
      <c r="D8896" t="str">
        <f t="shared" si="3226"/>
        <v>09</v>
      </c>
      <c r="E8896" t="str">
        <f>"05 - B - 102 - Tina L Lovett"</f>
        <v>05 - B - 102 - Tina L Lovett</v>
      </c>
      <c r="F8896" t="str">
        <f>"PRE-AICE MATH 1 IG"</f>
        <v>PRE-AICE MATH 1 IG</v>
      </c>
      <c r="G8896" t="str">
        <f>"21-2153"</f>
        <v>21-2153</v>
      </c>
      <c r="H8896" t="str">
        <f>"B"</f>
        <v>B</v>
      </c>
    </row>
    <row r="8897" spans="1:8" x14ac:dyDescent="0.2">
      <c r="A8897" t="str">
        <f t="shared" si="3223"/>
        <v>0617032502</v>
      </c>
      <c r="B8897" t="str">
        <f t="shared" si="3224"/>
        <v>JOLANI</v>
      </c>
      <c r="C8897" t="str">
        <f t="shared" si="3225"/>
        <v>JUSMA</v>
      </c>
      <c r="D8897" t="str">
        <f t="shared" si="3226"/>
        <v>09</v>
      </c>
      <c r="E8897" t="str">
        <f>"01 - A - 101 - Samantha L Martinez"</f>
        <v>01 - A - 101 - Samantha L Martinez</v>
      </c>
      <c r="F8897" t="str">
        <f>"MUSIC WORLD"</f>
        <v>MUSIC WORLD</v>
      </c>
      <c r="G8897" t="str">
        <f>"05-505"</f>
        <v>05-505</v>
      </c>
      <c r="H8897" t="str">
        <f>"A"</f>
        <v>A</v>
      </c>
    </row>
    <row r="8898" spans="1:8" x14ac:dyDescent="0.2">
      <c r="A8898" t="str">
        <f t="shared" si="3223"/>
        <v>0617032502</v>
      </c>
      <c r="B8898" t="str">
        <f t="shared" si="3224"/>
        <v>JOLANI</v>
      </c>
      <c r="C8898" t="str">
        <f t="shared" si="3225"/>
        <v>JUSMA</v>
      </c>
      <c r="D8898" t="str">
        <f t="shared" si="3226"/>
        <v>09</v>
      </c>
      <c r="E8898" t="str">
        <f>"08 - S1 - B - 105 - Richard E Dunbar Iii"</f>
        <v>08 - S1 - B - 105 - Richard E Dunbar Iii</v>
      </c>
      <c r="F8898" t="str">
        <f>"WEIGHT TRAIN 1"</f>
        <v>WEIGHT TRAIN 1</v>
      </c>
      <c r="G8898" t="str">
        <f>"05-501"</f>
        <v>05-501</v>
      </c>
      <c r="H8898" t="str">
        <f>"B"</f>
        <v>B</v>
      </c>
    </row>
    <row r="8899" spans="1:8" x14ac:dyDescent="0.2">
      <c r="A8899" t="str">
        <f t="shared" ref="A8899:A8906" si="3227">"0616070734"</f>
        <v>0616070734</v>
      </c>
      <c r="B8899" t="str">
        <f t="shared" ref="B8899:B8906" si="3228">"AIYANAH"</f>
        <v>AIYANAH</v>
      </c>
      <c r="C8899" t="str">
        <f t="shared" ref="C8899:C8906" si="3229">"JUSTE"</f>
        <v>JUSTE</v>
      </c>
      <c r="D8899">
        <f>10</f>
        <v>10</v>
      </c>
      <c r="E8899" t="str">
        <f>"04 - A - 205 - Lytrell T Dixon"</f>
        <v>04 - A - 205 - Lytrell T Dixon</v>
      </c>
      <c r="F8899" t="str">
        <f>"BIOLOGY 1"</f>
        <v>BIOLOGY 1</v>
      </c>
      <c r="G8899" t="str">
        <f>"08-808"</f>
        <v>08-808</v>
      </c>
      <c r="H8899" t="str">
        <f>"A"</f>
        <v>A</v>
      </c>
    </row>
    <row r="8900" spans="1:8" x14ac:dyDescent="0.2">
      <c r="A8900" t="str">
        <f t="shared" si="3227"/>
        <v>0616070734</v>
      </c>
      <c r="B8900" t="str">
        <f t="shared" si="3228"/>
        <v>AIYANAH</v>
      </c>
      <c r="C8900" t="str">
        <f t="shared" si="3229"/>
        <v>JUSTE</v>
      </c>
      <c r="D8900">
        <f>10</f>
        <v>10</v>
      </c>
      <c r="E8900" t="str">
        <f>"06 - B - 117 - Daniel S Tyson"</f>
        <v>06 - B - 117 - Daniel S Tyson</v>
      </c>
      <c r="F8900" t="str">
        <f>"NC STUDY HALL 1"</f>
        <v>NC STUDY HALL 1</v>
      </c>
      <c r="G8900" t="str">
        <f>"05-510"</f>
        <v>05-510</v>
      </c>
      <c r="H8900" t="str">
        <f>"B"</f>
        <v>B</v>
      </c>
    </row>
    <row r="8901" spans="1:8" x14ac:dyDescent="0.2">
      <c r="A8901" t="str">
        <f t="shared" si="3227"/>
        <v>0616070734</v>
      </c>
      <c r="B8901" t="str">
        <f t="shared" si="3228"/>
        <v>AIYANAH</v>
      </c>
      <c r="C8901" t="str">
        <f t="shared" si="3229"/>
        <v>JUSTE</v>
      </c>
      <c r="D8901">
        <f>10</f>
        <v>10</v>
      </c>
      <c r="E8901" t="str">
        <f>"03 - A - 103 - Jacquelyn M Neeson"</f>
        <v>03 - A - 103 - Jacquelyn M Neeson</v>
      </c>
      <c r="F8901" t="str">
        <f>"ENG 2"</f>
        <v>ENG 2</v>
      </c>
      <c r="G8901" t="str">
        <f>"17-1715"</f>
        <v>17-1715</v>
      </c>
      <c r="H8901" t="str">
        <f>"A"</f>
        <v>A</v>
      </c>
    </row>
    <row r="8902" spans="1:8" x14ac:dyDescent="0.2">
      <c r="A8902" t="str">
        <f t="shared" si="3227"/>
        <v>0616070734</v>
      </c>
      <c r="B8902" t="str">
        <f t="shared" si="3228"/>
        <v>AIYANAH</v>
      </c>
      <c r="C8902" t="str">
        <f t="shared" si="3229"/>
        <v>JUSTE</v>
      </c>
      <c r="D8902">
        <f>10</f>
        <v>10</v>
      </c>
      <c r="E8902" t="str">
        <f>"02 - A - 102 - Taraneh C Abreu"</f>
        <v>02 - A - 102 - Taraneh C Abreu</v>
      </c>
      <c r="F8902" t="str">
        <f>"INTENS READ 2"</f>
        <v>INTENS READ 2</v>
      </c>
      <c r="G8902" t="str">
        <f>"17-1713"</f>
        <v>17-1713</v>
      </c>
      <c r="H8902" t="str">
        <f>"A"</f>
        <v>A</v>
      </c>
    </row>
    <row r="8903" spans="1:8" x14ac:dyDescent="0.2">
      <c r="A8903" t="str">
        <f t="shared" si="3227"/>
        <v>0616070734</v>
      </c>
      <c r="B8903" t="str">
        <f t="shared" si="3228"/>
        <v>AIYANAH</v>
      </c>
      <c r="C8903" t="str">
        <f t="shared" si="3229"/>
        <v>JUSTE</v>
      </c>
      <c r="D8903">
        <f>10</f>
        <v>10</v>
      </c>
      <c r="E8903" t="str">
        <f>"07 - B - 103 - Vanessa J Liburd"</f>
        <v>07 - B - 103 - Vanessa J Liburd</v>
      </c>
      <c r="F8903" t="str">
        <f>"PRE-AICE FRENCH 1 IG"</f>
        <v>PRE-AICE FRENCH 1 IG</v>
      </c>
      <c r="G8903" t="str">
        <f>"05-519"</f>
        <v>05-519</v>
      </c>
      <c r="H8903" t="str">
        <f>"B"</f>
        <v>B</v>
      </c>
    </row>
    <row r="8904" spans="1:8" x14ac:dyDescent="0.2">
      <c r="A8904" t="str">
        <f t="shared" si="3227"/>
        <v>0616070734</v>
      </c>
      <c r="B8904" t="str">
        <f t="shared" si="3228"/>
        <v>AIYANAH</v>
      </c>
      <c r="C8904" t="str">
        <f t="shared" si="3229"/>
        <v>JUSTE</v>
      </c>
      <c r="D8904">
        <f>10</f>
        <v>10</v>
      </c>
      <c r="E8904" t="str">
        <f>"05 - B - 201 - Jazmin S Fletcher"</f>
        <v>05 - B - 201 - Jazmin S Fletcher</v>
      </c>
      <c r="F8904" t="str">
        <f>"THEATRE 1"</f>
        <v>THEATRE 1</v>
      </c>
      <c r="G8904" t="str">
        <f>"09-909"</f>
        <v>09-909</v>
      </c>
      <c r="H8904" t="str">
        <f>"B"</f>
        <v>B</v>
      </c>
    </row>
    <row r="8905" spans="1:8" x14ac:dyDescent="0.2">
      <c r="A8905" t="str">
        <f t="shared" si="3227"/>
        <v>0616070734</v>
      </c>
      <c r="B8905" t="str">
        <f t="shared" si="3228"/>
        <v>AIYANAH</v>
      </c>
      <c r="C8905" t="str">
        <f t="shared" si="3229"/>
        <v>JUSTE</v>
      </c>
      <c r="D8905">
        <f>10</f>
        <v>10</v>
      </c>
      <c r="E8905" t="str">
        <f>"01 - S1 - A - 101 - Carol S Moore"</f>
        <v>01 - S1 - A - 101 - Carol S Moore</v>
      </c>
      <c r="F8905" t="str">
        <f>"PERS FIN &amp; MON MGT H"</f>
        <v>PERS FIN &amp; MON MGT H</v>
      </c>
      <c r="G8905" t="str">
        <f>"17-1733"</f>
        <v>17-1733</v>
      </c>
      <c r="H8905" t="str">
        <f>"A"</f>
        <v>A</v>
      </c>
    </row>
    <row r="8906" spans="1:8" x14ac:dyDescent="0.2">
      <c r="A8906" t="str">
        <f t="shared" si="3227"/>
        <v>0616070734</v>
      </c>
      <c r="B8906" t="str">
        <f t="shared" si="3228"/>
        <v>AIYANAH</v>
      </c>
      <c r="C8906" t="str">
        <f t="shared" si="3229"/>
        <v>JUSTE</v>
      </c>
      <c r="D8906">
        <f>10</f>
        <v>10</v>
      </c>
      <c r="E8906" t="str">
        <f>"08 - B - 107 - Brook E Goren"</f>
        <v>08 - B - 107 - Brook E Goren</v>
      </c>
      <c r="F8906" t="str">
        <f>"GEOMETRY"</f>
        <v>GEOMETRY</v>
      </c>
      <c r="G8906" t="str">
        <f>"21-2158"</f>
        <v>21-2158</v>
      </c>
      <c r="H8906" t="str">
        <f>"B"</f>
        <v>B</v>
      </c>
    </row>
    <row r="8907" spans="1:8" x14ac:dyDescent="0.2">
      <c r="A8907" t="str">
        <f t="shared" ref="A8907:A8914" si="3230">"0616079567"</f>
        <v>0616079567</v>
      </c>
      <c r="B8907" t="str">
        <f t="shared" ref="B8907:B8914" si="3231">"ZOYA"</f>
        <v>ZOYA</v>
      </c>
      <c r="C8907" t="str">
        <f t="shared" ref="C8907:C8914" si="3232">"KARPOVA"</f>
        <v>KARPOVA</v>
      </c>
      <c r="D8907">
        <f>10</f>
        <v>10</v>
      </c>
      <c r="E8907" t="str">
        <f>"04 - A - 105 - Jacklyn M James"</f>
        <v>04 - A - 105 - Jacklyn M James</v>
      </c>
      <c r="F8907" t="str">
        <f>"AICE ENG LANG AS"</f>
        <v>AICE ENG LANG AS</v>
      </c>
      <c r="G8907" t="str">
        <f>"17-1731"</f>
        <v>17-1731</v>
      </c>
      <c r="H8907" t="str">
        <f>"A"</f>
        <v>A</v>
      </c>
    </row>
    <row r="8908" spans="1:8" x14ac:dyDescent="0.2">
      <c r="A8908" t="str">
        <f t="shared" si="3230"/>
        <v>0616079567</v>
      </c>
      <c r="B8908" t="str">
        <f t="shared" si="3231"/>
        <v>ZOYA</v>
      </c>
      <c r="C8908" t="str">
        <f t="shared" si="3232"/>
        <v>KARPOVA</v>
      </c>
      <c r="D8908">
        <f>10</f>
        <v>10</v>
      </c>
      <c r="E8908" t="str">
        <f>"06 - B - 112 - Tina M Jaramillo"</f>
        <v>06 - B - 112 - Tina M Jaramillo</v>
      </c>
      <c r="F8908" t="str">
        <f>"NC STUDY HALL 1"</f>
        <v>NC STUDY HALL 1</v>
      </c>
      <c r="G8908" t="str">
        <f>"17-1706"</f>
        <v>17-1706</v>
      </c>
      <c r="H8908" t="str">
        <f>"B"</f>
        <v>B</v>
      </c>
    </row>
    <row r="8909" spans="1:8" x14ac:dyDescent="0.2">
      <c r="A8909" t="str">
        <f t="shared" si="3230"/>
        <v>0616079567</v>
      </c>
      <c r="B8909" t="str">
        <f t="shared" si="3231"/>
        <v>ZOYA</v>
      </c>
      <c r="C8909" t="str">
        <f t="shared" si="3232"/>
        <v>KARPOVA</v>
      </c>
      <c r="D8909">
        <f>10</f>
        <v>10</v>
      </c>
      <c r="E8909" t="str">
        <f>"03 - A - 002 - Lenecy  Nodarse"</f>
        <v>03 - A - 002 - Lenecy  Nodarse</v>
      </c>
      <c r="F8909" t="str">
        <f>"AICE EURO HIST 1 AS"</f>
        <v>AICE EURO HIST 1 AS</v>
      </c>
      <c r="G8909" t="str">
        <f>"17-1741"</f>
        <v>17-1741</v>
      </c>
      <c r="H8909" t="str">
        <f>"A"</f>
        <v>A</v>
      </c>
    </row>
    <row r="8910" spans="1:8" x14ac:dyDescent="0.2">
      <c r="A8910" t="str">
        <f t="shared" si="3230"/>
        <v>0616079567</v>
      </c>
      <c r="B8910" t="str">
        <f t="shared" si="3231"/>
        <v>ZOYA</v>
      </c>
      <c r="C8910" t="str">
        <f t="shared" si="3232"/>
        <v>KARPOVA</v>
      </c>
      <c r="D8910">
        <f>10</f>
        <v>10</v>
      </c>
      <c r="E8910" t="str">
        <f>"02 - A - 102 - Chrystina M Marchionne"</f>
        <v>02 - A - 102 - Chrystina M Marchionne</v>
      </c>
      <c r="F8910" t="str">
        <f>"AICE MEDIASTUDIES AS"</f>
        <v>AICE MEDIASTUDIES AS</v>
      </c>
      <c r="G8910" t="str">
        <f>"05-520"</f>
        <v>05-520</v>
      </c>
      <c r="H8910" t="str">
        <f>"A"</f>
        <v>A</v>
      </c>
    </row>
    <row r="8911" spans="1:8" x14ac:dyDescent="0.2">
      <c r="A8911" t="str">
        <f t="shared" si="3230"/>
        <v>0616079567</v>
      </c>
      <c r="B8911" t="str">
        <f t="shared" si="3231"/>
        <v>ZOYA</v>
      </c>
      <c r="C8911" t="str">
        <f t="shared" si="3232"/>
        <v>KARPOVA</v>
      </c>
      <c r="D8911">
        <f>10</f>
        <v>10</v>
      </c>
      <c r="E8911" t="str">
        <f>"07 - B - 101 - Fernando  Vega-Cid"</f>
        <v>07 - B - 101 - Fernando  Vega-Cid</v>
      </c>
      <c r="F8911" t="str">
        <f>"AP PRECALCULUS"</f>
        <v>AP PRECALCULUS</v>
      </c>
      <c r="G8911" t="str">
        <f>"21-2163"</f>
        <v>21-2163</v>
      </c>
      <c r="H8911" t="str">
        <f>"B"</f>
        <v>B</v>
      </c>
    </row>
    <row r="8912" spans="1:8" x14ac:dyDescent="0.2">
      <c r="A8912" t="str">
        <f t="shared" si="3230"/>
        <v>0616079567</v>
      </c>
      <c r="B8912" t="str">
        <f t="shared" si="3231"/>
        <v>ZOYA</v>
      </c>
      <c r="C8912" t="str">
        <f t="shared" si="3232"/>
        <v>KARPOVA</v>
      </c>
      <c r="D8912">
        <f>10</f>
        <v>10</v>
      </c>
      <c r="E8912" t="str">
        <f>"05 - B - 001 - Stefanie S Scher"</f>
        <v>05 - B - 001 - Stefanie S Scher</v>
      </c>
      <c r="F8912" t="str">
        <f>"AICE PSYCH 1 AS"</f>
        <v>AICE PSYCH 1 AS</v>
      </c>
      <c r="G8912" t="str">
        <f>"17-1735"</f>
        <v>17-1735</v>
      </c>
      <c r="H8912" t="str">
        <f>"B"</f>
        <v>B</v>
      </c>
    </row>
    <row r="8913" spans="1:8" x14ac:dyDescent="0.2">
      <c r="A8913" t="str">
        <f t="shared" si="3230"/>
        <v>0616079567</v>
      </c>
      <c r="B8913" t="str">
        <f t="shared" si="3231"/>
        <v>ZOYA</v>
      </c>
      <c r="C8913" t="str">
        <f t="shared" si="3232"/>
        <v>KARPOVA</v>
      </c>
      <c r="D8913">
        <f>10</f>
        <v>10</v>
      </c>
      <c r="E8913" t="str">
        <f>"01 - A - 107 - Valerie J Ruwe"</f>
        <v>01 - A - 107 - Valerie J Ruwe</v>
      </c>
      <c r="F8913" t="str">
        <f>"CHEMISTRY 1 HON"</f>
        <v>CHEMISTRY 1 HON</v>
      </c>
      <c r="G8913" t="str">
        <f>"21-2134"</f>
        <v>21-2134</v>
      </c>
      <c r="H8913" t="str">
        <f>"A"</f>
        <v>A</v>
      </c>
    </row>
    <row r="8914" spans="1:8" x14ac:dyDescent="0.2">
      <c r="A8914" t="str">
        <f t="shared" si="3230"/>
        <v>0616079567</v>
      </c>
      <c r="B8914" t="str">
        <f t="shared" si="3231"/>
        <v>ZOYA</v>
      </c>
      <c r="C8914" t="str">
        <f t="shared" si="3232"/>
        <v>KARPOVA</v>
      </c>
      <c r="D8914">
        <f>10</f>
        <v>10</v>
      </c>
      <c r="E8914" t="str">
        <f>"08 - B - 103 - Joe  Kilpatrick Jr"</f>
        <v>08 - B - 103 - Joe  Kilpatrick Jr</v>
      </c>
      <c r="F8914" t="str">
        <f>"PRE-AICE SPAN 2 IG"</f>
        <v>PRE-AICE SPAN 2 IG</v>
      </c>
      <c r="G8914" t="str">
        <f>"09-912"</f>
        <v>09-912</v>
      </c>
      <c r="H8914" t="str">
        <f>"B"</f>
        <v>B</v>
      </c>
    </row>
    <row r="8915" spans="1:8" x14ac:dyDescent="0.2">
      <c r="A8915" t="str">
        <f t="shared" ref="A8915:A8922" si="3233">"0618023433"</f>
        <v>0618023433</v>
      </c>
      <c r="B8915" t="str">
        <f t="shared" ref="B8915:B8922" si="3234">"JADA-ANN"</f>
        <v>JADA-ANN</v>
      </c>
      <c r="C8915" t="str">
        <f t="shared" ref="C8915:C8922" si="3235">"KATES"</f>
        <v>KATES</v>
      </c>
      <c r="D8915">
        <f>10</f>
        <v>10</v>
      </c>
      <c r="E8915" t="str">
        <f>"04 - A - 201 - Dorothy D Moore"</f>
        <v>04 - A - 201 - Dorothy D Moore</v>
      </c>
      <c r="F8915" t="str">
        <f>"HEALTH SCI 1/A&amp;P HON"</f>
        <v>HEALTH SCI 1/A&amp;P HON</v>
      </c>
      <c r="G8915" t="str">
        <f>"08-803"</f>
        <v>08-803</v>
      </c>
      <c r="H8915" t="str">
        <f>"A"</f>
        <v>A</v>
      </c>
    </row>
    <row r="8916" spans="1:8" x14ac:dyDescent="0.2">
      <c r="A8916" t="str">
        <f t="shared" si="3233"/>
        <v>0618023433</v>
      </c>
      <c r="B8916" t="str">
        <f t="shared" si="3234"/>
        <v>JADA-ANN</v>
      </c>
      <c r="C8916" t="str">
        <f t="shared" si="3235"/>
        <v>KATES</v>
      </c>
      <c r="D8916">
        <f>10</f>
        <v>10</v>
      </c>
      <c r="E8916" t="str">
        <f>"06 - B - 113 - Joe  Kilpatrick Jr"</f>
        <v>06 - B - 113 - Joe  Kilpatrick Jr</v>
      </c>
      <c r="F8916" t="str">
        <f>"NC STUDY HALL 1"</f>
        <v>NC STUDY HALL 1</v>
      </c>
      <c r="G8916" t="str">
        <f>"09-912"</f>
        <v>09-912</v>
      </c>
      <c r="H8916" t="str">
        <f>"B"</f>
        <v>B</v>
      </c>
    </row>
    <row r="8917" spans="1:8" x14ac:dyDescent="0.2">
      <c r="A8917" t="str">
        <f t="shared" si="3233"/>
        <v>0618023433</v>
      </c>
      <c r="B8917" t="str">
        <f t="shared" si="3234"/>
        <v>JADA-ANN</v>
      </c>
      <c r="C8917" t="str">
        <f t="shared" si="3235"/>
        <v>KATES</v>
      </c>
      <c r="D8917">
        <f>10</f>
        <v>10</v>
      </c>
      <c r="E8917" t="str">
        <f>"03 - A - 103 - Courtney E Hambright"</f>
        <v>03 - A - 103 - Courtney E Hambright</v>
      </c>
      <c r="F8917" t="str">
        <f>"AICE ENG LANG AS"</f>
        <v>AICE ENG LANG AS</v>
      </c>
      <c r="G8917" t="str">
        <f>"17-1711"</f>
        <v>17-1711</v>
      </c>
      <c r="H8917" t="str">
        <f>"A"</f>
        <v>A</v>
      </c>
    </row>
    <row r="8918" spans="1:8" x14ac:dyDescent="0.2">
      <c r="A8918" t="str">
        <f t="shared" si="3233"/>
        <v>0618023433</v>
      </c>
      <c r="B8918" t="str">
        <f t="shared" si="3234"/>
        <v>JADA-ANN</v>
      </c>
      <c r="C8918" t="str">
        <f t="shared" si="3235"/>
        <v>KATES</v>
      </c>
      <c r="D8918">
        <f>10</f>
        <v>10</v>
      </c>
      <c r="E8918" t="str">
        <f>"02 - A - 104 - Scott A Dethloff"</f>
        <v>02 - A - 104 - Scott A Dethloff</v>
      </c>
      <c r="F8918" t="str">
        <f>"CHEMISTRY 1 HON"</f>
        <v>CHEMISTRY 1 HON</v>
      </c>
      <c r="G8918" t="str">
        <f>"08-812"</f>
        <v>08-812</v>
      </c>
      <c r="H8918" t="str">
        <f>"A"</f>
        <v>A</v>
      </c>
    </row>
    <row r="8919" spans="1:8" x14ac:dyDescent="0.2">
      <c r="A8919" t="str">
        <f t="shared" si="3233"/>
        <v>0618023433</v>
      </c>
      <c r="B8919" t="str">
        <f t="shared" si="3234"/>
        <v>JADA-ANN</v>
      </c>
      <c r="C8919" t="str">
        <f t="shared" si="3235"/>
        <v>KATES</v>
      </c>
      <c r="D8919">
        <f>10</f>
        <v>10</v>
      </c>
      <c r="E8919" t="str">
        <f>"07 - B - 101 - Fernando  Vega-Cid"</f>
        <v>07 - B - 101 - Fernando  Vega-Cid</v>
      </c>
      <c r="F8919" t="str">
        <f>"AP PRECALCULUS"</f>
        <v>AP PRECALCULUS</v>
      </c>
      <c r="G8919" t="str">
        <f>"21-2163"</f>
        <v>21-2163</v>
      </c>
      <c r="H8919" t="str">
        <f>"B"</f>
        <v>B</v>
      </c>
    </row>
    <row r="8920" spans="1:8" x14ac:dyDescent="0.2">
      <c r="A8920" t="str">
        <f t="shared" si="3233"/>
        <v>0618023433</v>
      </c>
      <c r="B8920" t="str">
        <f t="shared" si="3234"/>
        <v>JADA-ANN</v>
      </c>
      <c r="C8920" t="str">
        <f t="shared" si="3235"/>
        <v>KATES</v>
      </c>
      <c r="D8920">
        <f>10</f>
        <v>10</v>
      </c>
      <c r="E8920" t="str">
        <f>"05 - B - 203 - Chrystina M Marchionne"</f>
        <v>05 - B - 203 - Chrystina M Marchionne</v>
      </c>
      <c r="F8920" t="str">
        <f>"AICE MEDIASTUDIES AS"</f>
        <v>AICE MEDIASTUDIES AS</v>
      </c>
      <c r="G8920" t="str">
        <f>"05-520"</f>
        <v>05-520</v>
      </c>
      <c r="H8920" t="str">
        <f>"B"</f>
        <v>B</v>
      </c>
    </row>
    <row r="8921" spans="1:8" x14ac:dyDescent="0.2">
      <c r="A8921" t="str">
        <f t="shared" si="3233"/>
        <v>0618023433</v>
      </c>
      <c r="B8921" t="str">
        <f t="shared" si="3234"/>
        <v>JADA-ANN</v>
      </c>
      <c r="C8921" t="str">
        <f t="shared" si="3235"/>
        <v>KATES</v>
      </c>
      <c r="D8921">
        <f>10</f>
        <v>10</v>
      </c>
      <c r="E8921" t="str">
        <f>"01 - A - 001 - Lenecy  Nodarse"</f>
        <v>01 - A - 001 - Lenecy  Nodarse</v>
      </c>
      <c r="F8921" t="str">
        <f>"AICE EURO HIST 1 AS"</f>
        <v>AICE EURO HIST 1 AS</v>
      </c>
      <c r="G8921" t="str">
        <f>"17-1741"</f>
        <v>17-1741</v>
      </c>
      <c r="H8921" t="str">
        <f>"A"</f>
        <v>A</v>
      </c>
    </row>
    <row r="8922" spans="1:8" x14ac:dyDescent="0.2">
      <c r="A8922" t="str">
        <f t="shared" si="3233"/>
        <v>0618023433</v>
      </c>
      <c r="B8922" t="str">
        <f t="shared" si="3234"/>
        <v>JADA-ANN</v>
      </c>
      <c r="C8922" t="str">
        <f t="shared" si="3235"/>
        <v>KATES</v>
      </c>
      <c r="D8922">
        <f>10</f>
        <v>10</v>
      </c>
      <c r="E8922" t="str">
        <f>"08 - B - 201 - Stacey A Blecker"</f>
        <v>08 - B - 201 - Stacey A Blecker</v>
      </c>
      <c r="F8922" t="str">
        <f>"AICE SOCIOLOGY 1 AS"</f>
        <v>AICE SOCIOLOGY 1 AS</v>
      </c>
      <c r="G8922" t="str">
        <f>"09-926"</f>
        <v>09-926</v>
      </c>
      <c r="H8922" t="str">
        <f>"B"</f>
        <v>B</v>
      </c>
    </row>
    <row r="8923" spans="1:8" x14ac:dyDescent="0.2">
      <c r="A8923" t="str">
        <f t="shared" ref="A8923:A8930" si="3236">"0616113682"</f>
        <v>0616113682</v>
      </c>
      <c r="B8923" t="str">
        <f t="shared" ref="B8923:B8930" si="3237">"ADAM"</f>
        <v>ADAM</v>
      </c>
      <c r="C8923" t="str">
        <f t="shared" ref="C8923:C8930" si="3238">"KAUFMAN"</f>
        <v>KAUFMAN</v>
      </c>
      <c r="D8923" t="str">
        <f t="shared" ref="D8923:D8930" si="3239">"09"</f>
        <v>09</v>
      </c>
      <c r="E8923" t="str">
        <f>"04 - A - 101 - Chrystina M Marchionne"</f>
        <v>04 - A - 101 - Chrystina M Marchionne</v>
      </c>
      <c r="F8923" t="str">
        <f>"THEA CIN &amp; FILM LH"</f>
        <v>THEA CIN &amp; FILM LH</v>
      </c>
      <c r="G8923" t="str">
        <f>"05-520"</f>
        <v>05-520</v>
      </c>
      <c r="H8923" t="str">
        <f>"A"</f>
        <v>A</v>
      </c>
    </row>
    <row r="8924" spans="1:8" x14ac:dyDescent="0.2">
      <c r="A8924" t="str">
        <f t="shared" si="3236"/>
        <v>0616113682</v>
      </c>
      <c r="B8924" t="str">
        <f t="shared" si="3237"/>
        <v>ADAM</v>
      </c>
      <c r="C8924" t="str">
        <f t="shared" si="3238"/>
        <v>KAUFMAN</v>
      </c>
      <c r="D8924" t="str">
        <f t="shared" si="3239"/>
        <v>09</v>
      </c>
      <c r="E8924" t="str">
        <f>"06 - B - 106 - Marius D Orsolini"</f>
        <v>06 - B - 106 - Marius D Orsolini</v>
      </c>
      <c r="F8924" t="str">
        <f>"CULINARY ARTS 1"</f>
        <v>CULINARY ARTS 1</v>
      </c>
      <c r="G8924" t="str">
        <f>"21-2115"</f>
        <v>21-2115</v>
      </c>
      <c r="H8924" t="str">
        <f>"B"</f>
        <v>B</v>
      </c>
    </row>
    <row r="8925" spans="1:8" x14ac:dyDescent="0.2">
      <c r="A8925" t="str">
        <f t="shared" si="3236"/>
        <v>0616113682</v>
      </c>
      <c r="B8925" t="str">
        <f t="shared" si="3237"/>
        <v>ADAM</v>
      </c>
      <c r="C8925" t="str">
        <f t="shared" si="3238"/>
        <v>KAUFMAN</v>
      </c>
      <c r="D8925" t="str">
        <f t="shared" si="3239"/>
        <v>09</v>
      </c>
      <c r="E8925" t="str">
        <f>"03 - A - 103 - Samantha J Headley"</f>
        <v>03 - A - 103 - Samantha J Headley</v>
      </c>
      <c r="F8925" t="str">
        <f>"MARINE SCI 1 HON"</f>
        <v>MARINE SCI 1 HON</v>
      </c>
      <c r="G8925" t="str">
        <f>"21-2134"</f>
        <v>21-2134</v>
      </c>
      <c r="H8925" t="str">
        <f>"A"</f>
        <v>A</v>
      </c>
    </row>
    <row r="8926" spans="1:8" x14ac:dyDescent="0.2">
      <c r="A8926" t="str">
        <f t="shared" si="3236"/>
        <v>0616113682</v>
      </c>
      <c r="B8926" t="str">
        <f t="shared" si="3237"/>
        <v>ADAM</v>
      </c>
      <c r="C8926" t="str">
        <f t="shared" si="3238"/>
        <v>KAUFMAN</v>
      </c>
      <c r="D8926" t="str">
        <f t="shared" si="3239"/>
        <v>09</v>
      </c>
      <c r="E8926" t="str">
        <f>"02 - A - 103 - Arthur  Kulawik"</f>
        <v>02 - A - 103 - Arthur  Kulawik</v>
      </c>
      <c r="F8926" t="str">
        <f>"NC STUDY HALL 1"</f>
        <v>NC STUDY HALL 1</v>
      </c>
      <c r="G8926" t="str">
        <f>"05-506"</f>
        <v>05-506</v>
      </c>
      <c r="H8926" t="str">
        <f>"A"</f>
        <v>A</v>
      </c>
    </row>
    <row r="8927" spans="1:8" x14ac:dyDescent="0.2">
      <c r="A8927" t="str">
        <f t="shared" si="3236"/>
        <v>0616113682</v>
      </c>
      <c r="B8927" t="str">
        <f t="shared" si="3237"/>
        <v>ADAM</v>
      </c>
      <c r="C8927" t="str">
        <f t="shared" si="3238"/>
        <v>KAUFMAN</v>
      </c>
      <c r="D8927" t="str">
        <f t="shared" si="3239"/>
        <v>09</v>
      </c>
      <c r="E8927" t="str">
        <f>"07 - B - 105 - Joe  Kilpatrick Jr"</f>
        <v>07 - B - 105 - Joe  Kilpatrick Jr</v>
      </c>
      <c r="F8927" t="str">
        <f>"PRE-AICE SPAN 1 IG"</f>
        <v>PRE-AICE SPAN 1 IG</v>
      </c>
      <c r="G8927" t="str">
        <f>"09-912"</f>
        <v>09-912</v>
      </c>
      <c r="H8927" t="str">
        <f>"B"</f>
        <v>B</v>
      </c>
    </row>
    <row r="8928" spans="1:8" x14ac:dyDescent="0.2">
      <c r="A8928" t="str">
        <f t="shared" si="3236"/>
        <v>0616113682</v>
      </c>
      <c r="B8928" t="str">
        <f t="shared" si="3237"/>
        <v>ADAM</v>
      </c>
      <c r="C8928" t="str">
        <f t="shared" si="3238"/>
        <v>KAUFMAN</v>
      </c>
      <c r="D8928" t="str">
        <f t="shared" si="3239"/>
        <v>09</v>
      </c>
      <c r="E8928" t="str">
        <f>"05 - B - 204 - Elizabeth R Walker"</f>
        <v>05 - B - 204 - Elizabeth R Walker</v>
      </c>
      <c r="F8928" t="str">
        <f>"AICE ENG GEN PAPER 1"</f>
        <v>AICE ENG GEN PAPER 1</v>
      </c>
      <c r="G8928" t="str">
        <f>"17-1703"</f>
        <v>17-1703</v>
      </c>
      <c r="H8928" t="str">
        <f>"B"</f>
        <v>B</v>
      </c>
    </row>
    <row r="8929" spans="1:8" x14ac:dyDescent="0.2">
      <c r="A8929" t="str">
        <f t="shared" si="3236"/>
        <v>0616113682</v>
      </c>
      <c r="B8929" t="str">
        <f t="shared" si="3237"/>
        <v>ADAM</v>
      </c>
      <c r="C8929" t="str">
        <f t="shared" si="3238"/>
        <v>KAUFMAN</v>
      </c>
      <c r="D8929" t="str">
        <f t="shared" si="3239"/>
        <v>09</v>
      </c>
      <c r="E8929" t="str">
        <f>"01 - A - 101 - Rory T Sponsler"</f>
        <v>01 - A - 101 - Rory T Sponsler</v>
      </c>
      <c r="F8929" t="str">
        <f>"PRE-AICE WRLD HST IG"</f>
        <v>PRE-AICE WRLD HST IG</v>
      </c>
      <c r="G8929" t="str">
        <f>"17-1740"</f>
        <v>17-1740</v>
      </c>
      <c r="H8929" t="str">
        <f>"A"</f>
        <v>A</v>
      </c>
    </row>
    <row r="8930" spans="1:8" x14ac:dyDescent="0.2">
      <c r="A8930" t="str">
        <f t="shared" si="3236"/>
        <v>0616113682</v>
      </c>
      <c r="B8930" t="str">
        <f t="shared" si="3237"/>
        <v>ADAM</v>
      </c>
      <c r="C8930" t="str">
        <f t="shared" si="3238"/>
        <v>KAUFMAN</v>
      </c>
      <c r="D8930" t="str">
        <f t="shared" si="3239"/>
        <v>09</v>
      </c>
      <c r="E8930" t="str">
        <f>"08 - B - 107 - Brook E Goren"</f>
        <v>08 - B - 107 - Brook E Goren</v>
      </c>
      <c r="F8930" t="str">
        <f>"GEOMETRY"</f>
        <v>GEOMETRY</v>
      </c>
      <c r="G8930" t="str">
        <f>"21-2158"</f>
        <v>21-2158</v>
      </c>
      <c r="H8930" t="str">
        <f>"B"</f>
        <v>B</v>
      </c>
    </row>
    <row r="8931" spans="1:8" x14ac:dyDescent="0.2">
      <c r="A8931" t="str">
        <f t="shared" ref="A8931:A8938" si="3240">"0611114473"</f>
        <v>0611114473</v>
      </c>
      <c r="B8931" t="str">
        <f t="shared" ref="B8931:B8938" si="3241">"ALANA"</f>
        <v>ALANA</v>
      </c>
      <c r="C8931" t="str">
        <f t="shared" ref="C8931:C8946" si="3242">"KEANE"</f>
        <v>KEANE</v>
      </c>
      <c r="D8931">
        <f>12</f>
        <v>12</v>
      </c>
      <c r="E8931" t="str">
        <f>"04 - A - 101 - Chrystina M Marchionne"</f>
        <v>04 - A - 101 - Chrystina M Marchionne</v>
      </c>
      <c r="F8931" t="str">
        <f>"THEA CIN &amp; FILM LH"</f>
        <v>THEA CIN &amp; FILM LH</v>
      </c>
      <c r="G8931" t="str">
        <f>"05-520"</f>
        <v>05-520</v>
      </c>
      <c r="H8931" t="str">
        <f>"A"</f>
        <v>A</v>
      </c>
    </row>
    <row r="8932" spans="1:8" x14ac:dyDescent="0.2">
      <c r="A8932" t="str">
        <f t="shared" si="3240"/>
        <v>0611114473</v>
      </c>
      <c r="B8932" t="str">
        <f t="shared" si="3241"/>
        <v>ALANA</v>
      </c>
      <c r="C8932" t="str">
        <f t="shared" si="3242"/>
        <v>KEANE</v>
      </c>
      <c r="D8932">
        <f>12</f>
        <v>12</v>
      </c>
      <c r="E8932" t="str">
        <f>"06 - B - 103 - Stefanie S Scher"</f>
        <v>06 - B - 103 - Stefanie S Scher</v>
      </c>
      <c r="F8932" t="str">
        <f>"NC STUDY HALL 1"</f>
        <v>NC STUDY HALL 1</v>
      </c>
      <c r="G8932" t="str">
        <f>"17-1735"</f>
        <v>17-1735</v>
      </c>
      <c r="H8932" t="str">
        <f>"B"</f>
        <v>B</v>
      </c>
    </row>
    <row r="8933" spans="1:8" x14ac:dyDescent="0.2">
      <c r="A8933" t="str">
        <f t="shared" si="3240"/>
        <v>0611114473</v>
      </c>
      <c r="B8933" t="str">
        <f t="shared" si="3241"/>
        <v>ALANA</v>
      </c>
      <c r="C8933" t="str">
        <f t="shared" si="3242"/>
        <v>KEANE</v>
      </c>
      <c r="D8933">
        <f>12</f>
        <v>12</v>
      </c>
      <c r="E8933" t="str">
        <f>"03 - A - 103 - Adam Marcus  Drucker"</f>
        <v>03 - A - 103 - Adam Marcus  Drucker</v>
      </c>
      <c r="F8933" t="str">
        <f>"HOPE-PE V"</f>
        <v>HOPE-PE V</v>
      </c>
      <c r="G8933" t="str">
        <f>"04-254"</f>
        <v>04-254</v>
      </c>
      <c r="H8933" t="str">
        <f>"A"</f>
        <v>A</v>
      </c>
    </row>
    <row r="8934" spans="1:8" x14ac:dyDescent="0.2">
      <c r="A8934" t="str">
        <f t="shared" si="3240"/>
        <v>0611114473</v>
      </c>
      <c r="B8934" t="str">
        <f t="shared" si="3241"/>
        <v>ALANA</v>
      </c>
      <c r="C8934" t="str">
        <f t="shared" si="3242"/>
        <v>KEANE</v>
      </c>
      <c r="D8934">
        <f>12</f>
        <v>12</v>
      </c>
      <c r="E8934" t="str">
        <f>"02 - S1 - A - 104 - Robert O Burger"</f>
        <v>02 - S1 - A - 104 - Robert O Burger</v>
      </c>
      <c r="F8934" t="str">
        <f>"US GOVT"</f>
        <v>US GOVT</v>
      </c>
      <c r="G8934" t="str">
        <f>"17-1755"</f>
        <v>17-1755</v>
      </c>
      <c r="H8934" t="str">
        <f>"A"</f>
        <v>A</v>
      </c>
    </row>
    <row r="8935" spans="1:8" x14ac:dyDescent="0.2">
      <c r="A8935" t="str">
        <f t="shared" si="3240"/>
        <v>0611114473</v>
      </c>
      <c r="B8935" t="str">
        <f t="shared" si="3241"/>
        <v>ALANA</v>
      </c>
      <c r="C8935" t="str">
        <f t="shared" si="3242"/>
        <v>KEANE</v>
      </c>
      <c r="D8935">
        <f>12</f>
        <v>12</v>
      </c>
      <c r="E8935" t="str">
        <f>"07 - B - 104 - Robyn L Trainer"</f>
        <v>07 - B - 104 - Robyn L Trainer</v>
      </c>
      <c r="F8935" t="str">
        <f>"ENG 4"</f>
        <v>ENG 4</v>
      </c>
      <c r="G8935" t="str">
        <f>"17-1734"</f>
        <v>17-1734</v>
      </c>
      <c r="H8935" t="str">
        <f>"B"</f>
        <v>B</v>
      </c>
    </row>
    <row r="8936" spans="1:8" x14ac:dyDescent="0.2">
      <c r="A8936" t="str">
        <f t="shared" si="3240"/>
        <v>0611114473</v>
      </c>
      <c r="B8936" t="str">
        <f t="shared" si="3241"/>
        <v>ALANA</v>
      </c>
      <c r="C8936" t="str">
        <f t="shared" si="3242"/>
        <v>KEANE</v>
      </c>
      <c r="D8936">
        <f>12</f>
        <v>12</v>
      </c>
      <c r="E8936" t="str">
        <f>"05 - S1 - B - 103 - Leslie J Barton"</f>
        <v>05 - S1 - B - 103 - Leslie J Barton</v>
      </c>
      <c r="F8936" t="str">
        <f>"FIRST AID SAFETY"</f>
        <v>FIRST AID SAFETY</v>
      </c>
      <c r="G8936" t="str">
        <f>"05-521"</f>
        <v>05-521</v>
      </c>
      <c r="H8936" t="str">
        <f>"B"</f>
        <v>B</v>
      </c>
    </row>
    <row r="8937" spans="1:8" x14ac:dyDescent="0.2">
      <c r="A8937" t="str">
        <f t="shared" si="3240"/>
        <v>0611114473</v>
      </c>
      <c r="B8937" t="str">
        <f t="shared" si="3241"/>
        <v>ALANA</v>
      </c>
      <c r="C8937" t="str">
        <f t="shared" si="3242"/>
        <v>KEANE</v>
      </c>
      <c r="D8937">
        <f>12</f>
        <v>12</v>
      </c>
      <c r="E8937" t="str">
        <f>"01 - A - 103 - Semra  Bahadir"</f>
        <v>01 - A - 103 - Semra  Bahadir</v>
      </c>
      <c r="F8937" t="str">
        <f>"MATH COLL ALGEBRA"</f>
        <v>MATH COLL ALGEBRA</v>
      </c>
      <c r="G8937" t="str">
        <f>"21-2107"</f>
        <v>21-2107</v>
      </c>
      <c r="H8937" t="str">
        <f>"A"</f>
        <v>A</v>
      </c>
    </row>
    <row r="8938" spans="1:8" x14ac:dyDescent="0.2">
      <c r="A8938" t="str">
        <f t="shared" si="3240"/>
        <v>0611114473</v>
      </c>
      <c r="B8938" t="str">
        <f t="shared" si="3241"/>
        <v>ALANA</v>
      </c>
      <c r="C8938" t="str">
        <f t="shared" si="3242"/>
        <v>KEANE</v>
      </c>
      <c r="D8938">
        <f>12</f>
        <v>12</v>
      </c>
      <c r="E8938" t="str">
        <f>"08 - B - 001 - Chrystina M Marchionne"</f>
        <v>08 - B - 001 - Chrystina M Marchionne</v>
      </c>
      <c r="F8938" t="str">
        <f>"JOURN 1 (YB) LH"</f>
        <v>JOURN 1 (YB) LH</v>
      </c>
      <c r="G8938" t="str">
        <f>"05-520"</f>
        <v>05-520</v>
      </c>
      <c r="H8938" t="str">
        <f>"B"</f>
        <v>B</v>
      </c>
    </row>
    <row r="8939" spans="1:8" x14ac:dyDescent="0.2">
      <c r="A8939" t="str">
        <f t="shared" ref="A8939:A8946" si="3243">"0612129278"</f>
        <v>0612129278</v>
      </c>
      <c r="B8939" t="str">
        <f t="shared" ref="B8939:B8946" si="3244">"NAOMI"</f>
        <v>NAOMI</v>
      </c>
      <c r="C8939" t="str">
        <f t="shared" si="3242"/>
        <v>KEANE</v>
      </c>
      <c r="D8939">
        <f>12</f>
        <v>12</v>
      </c>
      <c r="E8939" t="str">
        <f>"04 - A - 106 - Tina M Jaramillo"</f>
        <v>04 - A - 106 - Tina M Jaramillo</v>
      </c>
      <c r="F8939" t="str">
        <f>"AP ENG LIT COMPO"</f>
        <v>AP ENG LIT COMPO</v>
      </c>
      <c r="G8939" t="str">
        <f>"17-1706"</f>
        <v>17-1706</v>
      </c>
      <c r="H8939" t="str">
        <f>"A"</f>
        <v>A</v>
      </c>
    </row>
    <row r="8940" spans="1:8" x14ac:dyDescent="0.2">
      <c r="A8940" t="str">
        <f t="shared" si="3243"/>
        <v>0612129278</v>
      </c>
      <c r="B8940" t="str">
        <f t="shared" si="3244"/>
        <v>NAOMI</v>
      </c>
      <c r="C8940" t="str">
        <f t="shared" si="3242"/>
        <v>KEANE</v>
      </c>
      <c r="D8940">
        <f>12</f>
        <v>12</v>
      </c>
      <c r="E8940" t="str">
        <f>"06 - B - 107 - Pamela M Corzo"</f>
        <v>06 - B - 107 - Pamela M Corzo</v>
      </c>
      <c r="F8940" t="str">
        <f>"NC STUDY HALL 1"</f>
        <v>NC STUDY HALL 1</v>
      </c>
      <c r="G8940" t="str">
        <f>"21-2133"</f>
        <v>21-2133</v>
      </c>
      <c r="H8940" t="str">
        <f>"B"</f>
        <v>B</v>
      </c>
    </row>
    <row r="8941" spans="1:8" x14ac:dyDescent="0.2">
      <c r="A8941" t="str">
        <f t="shared" si="3243"/>
        <v>0612129278</v>
      </c>
      <c r="B8941" t="str">
        <f t="shared" si="3244"/>
        <v>NAOMI</v>
      </c>
      <c r="C8941" t="str">
        <f t="shared" si="3242"/>
        <v>KEANE</v>
      </c>
      <c r="D8941">
        <f>12</f>
        <v>12</v>
      </c>
      <c r="E8941" t="str">
        <f>"03 - A - 101 - Lisa J London"</f>
        <v>03 - A - 101 - Lisa J London</v>
      </c>
      <c r="F8941" t="str">
        <f>"AP CAPSTONE RESEARCH"</f>
        <v>AP CAPSTONE RESEARCH</v>
      </c>
      <c r="G8941" t="str">
        <f>"17-1714"</f>
        <v>17-1714</v>
      </c>
      <c r="H8941" t="str">
        <f>"A"</f>
        <v>A</v>
      </c>
    </row>
    <row r="8942" spans="1:8" x14ac:dyDescent="0.2">
      <c r="A8942" t="str">
        <f t="shared" si="3243"/>
        <v>0612129278</v>
      </c>
      <c r="B8942" t="str">
        <f t="shared" si="3244"/>
        <v>NAOMI</v>
      </c>
      <c r="C8942" t="str">
        <f t="shared" si="3242"/>
        <v>KEANE</v>
      </c>
      <c r="D8942">
        <f>12</f>
        <v>12</v>
      </c>
      <c r="E8942" t="str">
        <f>"02 - A - 102 - Marielle A Witting"</f>
        <v>02 - A - 102 - Marielle A Witting</v>
      </c>
      <c r="F8942" t="str">
        <f>"AP BIO"</f>
        <v>AP BIO</v>
      </c>
      <c r="G8942" t="str">
        <f>"08-805"</f>
        <v>08-805</v>
      </c>
      <c r="H8942" t="str">
        <f>"A"</f>
        <v>A</v>
      </c>
    </row>
    <row r="8943" spans="1:8" x14ac:dyDescent="0.2">
      <c r="A8943" t="str">
        <f t="shared" si="3243"/>
        <v>0612129278</v>
      </c>
      <c r="B8943" t="str">
        <f t="shared" si="3244"/>
        <v>NAOMI</v>
      </c>
      <c r="C8943" t="str">
        <f t="shared" si="3242"/>
        <v>KEANE</v>
      </c>
      <c r="D8943">
        <f>12</f>
        <v>12</v>
      </c>
      <c r="E8943" t="str">
        <f>"07 - B - 201 - Angela S Adeshina-Morrison"</f>
        <v>07 - B - 201 - Angela S Adeshina-Morrison</v>
      </c>
      <c r="F8943" t="str">
        <f>"BUSINESS OWNER HON"</f>
        <v>BUSINESS OWNER HON</v>
      </c>
      <c r="G8943" t="str">
        <f>"05-518"</f>
        <v>05-518</v>
      </c>
      <c r="H8943" t="str">
        <f>"B"</f>
        <v>B</v>
      </c>
    </row>
    <row r="8944" spans="1:8" x14ac:dyDescent="0.2">
      <c r="A8944" t="str">
        <f t="shared" si="3243"/>
        <v>0612129278</v>
      </c>
      <c r="B8944" t="str">
        <f t="shared" si="3244"/>
        <v>NAOMI</v>
      </c>
      <c r="C8944" t="str">
        <f t="shared" si="3242"/>
        <v>KEANE</v>
      </c>
      <c r="D8944">
        <f>12</f>
        <v>12</v>
      </c>
      <c r="E8944" t="str">
        <f>"05 - B - 105 - Norayda D Suarez"</f>
        <v>05 - B - 105 - Norayda D Suarez</v>
      </c>
      <c r="F8944" t="str">
        <f>"RESEARCH 1 LH"</f>
        <v>RESEARCH 1 LH</v>
      </c>
      <c r="G8944">
        <f>2041</f>
        <v>2041</v>
      </c>
      <c r="H8944" t="str">
        <f>"B"</f>
        <v>B</v>
      </c>
    </row>
    <row r="8945" spans="1:8" x14ac:dyDescent="0.2">
      <c r="A8945" t="str">
        <f t="shared" si="3243"/>
        <v>0612129278</v>
      </c>
      <c r="B8945" t="str">
        <f t="shared" si="3244"/>
        <v>NAOMI</v>
      </c>
      <c r="C8945" t="str">
        <f t="shared" si="3242"/>
        <v>KEANE</v>
      </c>
      <c r="D8945">
        <f>12</f>
        <v>12</v>
      </c>
      <c r="E8945" t="str">
        <f>"01 - A - 201 - Pamela M Corzo"</f>
        <v>01 - A - 201 - Pamela M Corzo</v>
      </c>
      <c r="F8945" t="str">
        <f>"AP CALCULUS BC"</f>
        <v>AP CALCULUS BC</v>
      </c>
      <c r="G8945" t="str">
        <f>"21-2133"</f>
        <v>21-2133</v>
      </c>
      <c r="H8945" t="str">
        <f>"A"</f>
        <v>A</v>
      </c>
    </row>
    <row r="8946" spans="1:8" x14ac:dyDescent="0.2">
      <c r="A8946" t="str">
        <f t="shared" si="3243"/>
        <v>0612129278</v>
      </c>
      <c r="B8946" t="str">
        <f t="shared" si="3244"/>
        <v>NAOMI</v>
      </c>
      <c r="C8946" t="str">
        <f t="shared" si="3242"/>
        <v>KEANE</v>
      </c>
      <c r="D8946">
        <f>12</f>
        <v>12</v>
      </c>
      <c r="E8946" t="str">
        <f>"08 - S1 - B - 102 - Stephen T Ripp"</f>
        <v>08 - S1 - B - 102 - Stephen T Ripp</v>
      </c>
      <c r="F8946" t="str">
        <f>"AP US GOVT/POL"</f>
        <v>AP US GOVT/POL</v>
      </c>
      <c r="G8946" t="str">
        <f>"17-1744"</f>
        <v>17-1744</v>
      </c>
      <c r="H8946" t="str">
        <f>"B"</f>
        <v>B</v>
      </c>
    </row>
    <row r="8947" spans="1:8" x14ac:dyDescent="0.2">
      <c r="A8947" t="str">
        <f t="shared" ref="A8947:A8954" si="3245">"0613126792"</f>
        <v>0613126792</v>
      </c>
      <c r="B8947" t="str">
        <f t="shared" ref="B8947:B8954" si="3246">"KYLIE"</f>
        <v>KYLIE</v>
      </c>
      <c r="C8947" t="str">
        <f t="shared" ref="C8947:C8954" si="3247">"KEENAN"</f>
        <v>KEENAN</v>
      </c>
      <c r="D8947">
        <f>12</f>
        <v>12</v>
      </c>
      <c r="E8947" t="str">
        <f>"04 - A - 106 - Tina M Jaramillo"</f>
        <v>04 - A - 106 - Tina M Jaramillo</v>
      </c>
      <c r="F8947" t="str">
        <f>"AP ENG LIT COMPO"</f>
        <v>AP ENG LIT COMPO</v>
      </c>
      <c r="G8947" t="str">
        <f>"17-1706"</f>
        <v>17-1706</v>
      </c>
      <c r="H8947" t="str">
        <f>"A"</f>
        <v>A</v>
      </c>
    </row>
    <row r="8948" spans="1:8" x14ac:dyDescent="0.2">
      <c r="A8948" t="str">
        <f t="shared" si="3245"/>
        <v>0613126792</v>
      </c>
      <c r="B8948" t="str">
        <f t="shared" si="3246"/>
        <v>KYLIE</v>
      </c>
      <c r="C8948" t="str">
        <f t="shared" si="3247"/>
        <v>KEENAN</v>
      </c>
      <c r="D8948">
        <f>12</f>
        <v>12</v>
      </c>
      <c r="E8948" t="str">
        <f>"06 - B - 101 - Lenecy  Nodarse"</f>
        <v>06 - B - 101 - Lenecy  Nodarse</v>
      </c>
      <c r="F8948" t="str">
        <f>"NC STUDY HALL 1"</f>
        <v>NC STUDY HALL 1</v>
      </c>
      <c r="G8948" t="str">
        <f>"17-1741"</f>
        <v>17-1741</v>
      </c>
      <c r="H8948" t="str">
        <f>"B"</f>
        <v>B</v>
      </c>
    </row>
    <row r="8949" spans="1:8" x14ac:dyDescent="0.2">
      <c r="A8949" t="str">
        <f t="shared" si="3245"/>
        <v>0613126792</v>
      </c>
      <c r="B8949" t="str">
        <f t="shared" si="3246"/>
        <v>KYLIE</v>
      </c>
      <c r="C8949" t="str">
        <f t="shared" si="3247"/>
        <v>KEENAN</v>
      </c>
      <c r="D8949">
        <f>12</f>
        <v>12</v>
      </c>
      <c r="E8949" t="str">
        <f>"03 - A - 101 - Lisa J London"</f>
        <v>03 - A - 101 - Lisa J London</v>
      </c>
      <c r="F8949" t="str">
        <f>"AP CAPSTONE RESEARCH"</f>
        <v>AP CAPSTONE RESEARCH</v>
      </c>
      <c r="G8949" t="str">
        <f>"17-1714"</f>
        <v>17-1714</v>
      </c>
      <c r="H8949" t="str">
        <f>"A"</f>
        <v>A</v>
      </c>
    </row>
    <row r="8950" spans="1:8" x14ac:dyDescent="0.2">
      <c r="A8950" t="str">
        <f t="shared" si="3245"/>
        <v>0613126792</v>
      </c>
      <c r="B8950" t="str">
        <f t="shared" si="3246"/>
        <v>KYLIE</v>
      </c>
      <c r="C8950" t="str">
        <f t="shared" si="3247"/>
        <v>KEENAN</v>
      </c>
      <c r="D8950">
        <f>12</f>
        <v>12</v>
      </c>
      <c r="E8950" t="str">
        <f>"02 - A - 201 - Jeanne M Bermudez"</f>
        <v>02 - A - 201 - Jeanne M Bermudez</v>
      </c>
      <c r="F8950" t="str">
        <f>"AP ENV SCI"</f>
        <v>AP ENV SCI</v>
      </c>
      <c r="G8950" t="str">
        <f>"21-2141"</f>
        <v>21-2141</v>
      </c>
      <c r="H8950" t="str">
        <f>"A"</f>
        <v>A</v>
      </c>
    </row>
    <row r="8951" spans="1:8" x14ac:dyDescent="0.2">
      <c r="A8951" t="str">
        <f t="shared" si="3245"/>
        <v>0613126792</v>
      </c>
      <c r="B8951" t="str">
        <f t="shared" si="3246"/>
        <v>KYLIE</v>
      </c>
      <c r="C8951" t="str">
        <f t="shared" si="3247"/>
        <v>KEENAN</v>
      </c>
      <c r="D8951">
        <f>12</f>
        <v>12</v>
      </c>
      <c r="E8951" t="str">
        <f>"07 - S1 - B - 101 - Stephen T Ripp"</f>
        <v>07 - S1 - B - 101 - Stephen T Ripp</v>
      </c>
      <c r="F8951" t="str">
        <f>"AP US GOVT/POL"</f>
        <v>AP US GOVT/POL</v>
      </c>
      <c r="G8951" t="str">
        <f>"17-1744"</f>
        <v>17-1744</v>
      </c>
      <c r="H8951" t="str">
        <f>"B"</f>
        <v>B</v>
      </c>
    </row>
    <row r="8952" spans="1:8" x14ac:dyDescent="0.2">
      <c r="A8952" t="str">
        <f t="shared" si="3245"/>
        <v>0613126792</v>
      </c>
      <c r="B8952" t="str">
        <f t="shared" si="3246"/>
        <v>KYLIE</v>
      </c>
      <c r="C8952" t="str">
        <f t="shared" si="3247"/>
        <v>KEENAN</v>
      </c>
      <c r="D8952">
        <f>12</f>
        <v>12</v>
      </c>
      <c r="E8952" t="str">
        <f>"05 - B - 105 - Norayda D Suarez"</f>
        <v>05 - B - 105 - Norayda D Suarez</v>
      </c>
      <c r="F8952" t="str">
        <f>"RESEARCH 1 LH"</f>
        <v>RESEARCH 1 LH</v>
      </c>
      <c r="G8952">
        <f>2041</f>
        <v>2041</v>
      </c>
      <c r="H8952" t="str">
        <f>"B"</f>
        <v>B</v>
      </c>
    </row>
    <row r="8953" spans="1:8" x14ac:dyDescent="0.2">
      <c r="A8953" t="str">
        <f t="shared" si="3245"/>
        <v>0613126792</v>
      </c>
      <c r="B8953" t="str">
        <f t="shared" si="3246"/>
        <v>KYLIE</v>
      </c>
      <c r="C8953" t="str">
        <f t="shared" si="3247"/>
        <v>KEENAN</v>
      </c>
      <c r="D8953">
        <f>12</f>
        <v>12</v>
      </c>
      <c r="E8953" t="str">
        <f>"01 - A - 201 - Pamela M Corzo"</f>
        <v>01 - A - 201 - Pamela M Corzo</v>
      </c>
      <c r="F8953" t="str">
        <f>"AP CALCULUS BC"</f>
        <v>AP CALCULUS BC</v>
      </c>
      <c r="G8953" t="str">
        <f>"21-2133"</f>
        <v>21-2133</v>
      </c>
      <c r="H8953" t="str">
        <f>"A"</f>
        <v>A</v>
      </c>
    </row>
    <row r="8954" spans="1:8" x14ac:dyDescent="0.2">
      <c r="A8954" t="str">
        <f t="shared" si="3245"/>
        <v>0613126792</v>
      </c>
      <c r="B8954" t="str">
        <f t="shared" si="3246"/>
        <v>KYLIE</v>
      </c>
      <c r="C8954" t="str">
        <f t="shared" si="3247"/>
        <v>KEENAN</v>
      </c>
      <c r="D8954">
        <f>12</f>
        <v>12</v>
      </c>
      <c r="E8954" t="str">
        <f>"08 - B - 103 - Marielle A Witting"</f>
        <v>08 - B - 103 - Marielle A Witting</v>
      </c>
      <c r="F8954" t="str">
        <f>"AP BIO"</f>
        <v>AP BIO</v>
      </c>
      <c r="G8954" t="str">
        <f>"08-805"</f>
        <v>08-805</v>
      </c>
      <c r="H8954" t="str">
        <f>"B"</f>
        <v>B</v>
      </c>
    </row>
    <row r="8955" spans="1:8" x14ac:dyDescent="0.2">
      <c r="A8955" t="str">
        <f t="shared" ref="A8955:A8962" si="3248">"0614059062"</f>
        <v>0614059062</v>
      </c>
      <c r="B8955" t="str">
        <f t="shared" ref="B8955:B8962" si="3249">"KORTNI"</f>
        <v>KORTNI</v>
      </c>
      <c r="C8955" t="str">
        <f t="shared" ref="C8955:C8962" si="3250">"KELLEM"</f>
        <v>KELLEM</v>
      </c>
      <c r="D8955">
        <f>11</f>
        <v>11</v>
      </c>
      <c r="E8955" t="str">
        <f>"04 - A - 102 - Elizabeth Ellen  Moran"</f>
        <v>04 - A - 102 - Elizabeth Ellen  Moran</v>
      </c>
      <c r="F8955" t="str">
        <f>"US HISTORY"</f>
        <v>US HISTORY</v>
      </c>
      <c r="G8955" t="str">
        <f>"17-1752"</f>
        <v>17-1752</v>
      </c>
      <c r="H8955" t="str">
        <f>"A"</f>
        <v>A</v>
      </c>
    </row>
    <row r="8956" spans="1:8" x14ac:dyDescent="0.2">
      <c r="A8956" t="str">
        <f t="shared" si="3248"/>
        <v>0614059062</v>
      </c>
      <c r="B8956" t="str">
        <f t="shared" si="3249"/>
        <v>KORTNI</v>
      </c>
      <c r="C8956" t="str">
        <f t="shared" si="3250"/>
        <v>KELLEM</v>
      </c>
      <c r="D8956">
        <f>11</f>
        <v>11</v>
      </c>
      <c r="E8956" t="str">
        <f>"06 - B - 105 - Arthur  Kulawik"</f>
        <v>06 - B - 105 - Arthur  Kulawik</v>
      </c>
      <c r="F8956" t="str">
        <f>"ENG 3"</f>
        <v>ENG 3</v>
      </c>
      <c r="G8956" t="str">
        <f>"05-506"</f>
        <v>05-506</v>
      </c>
      <c r="H8956" t="str">
        <f>"B"</f>
        <v>B</v>
      </c>
    </row>
    <row r="8957" spans="1:8" x14ac:dyDescent="0.2">
      <c r="A8957" t="str">
        <f t="shared" si="3248"/>
        <v>0614059062</v>
      </c>
      <c r="B8957" t="str">
        <f t="shared" si="3249"/>
        <v>KORTNI</v>
      </c>
      <c r="C8957" t="str">
        <f t="shared" si="3250"/>
        <v>KELLEM</v>
      </c>
      <c r="D8957">
        <f>11</f>
        <v>11</v>
      </c>
      <c r="E8957" t="str">
        <f>"03 - A - 101 - Samantha L Martinez"</f>
        <v>03 - A - 101 - Samantha L Martinez</v>
      </c>
      <c r="F8957" t="str">
        <f>"VOCAL ENS 1"</f>
        <v>VOCAL ENS 1</v>
      </c>
      <c r="G8957" t="str">
        <f>"05-505"</f>
        <v>05-505</v>
      </c>
      <c r="H8957" t="str">
        <f>"A"</f>
        <v>A</v>
      </c>
    </row>
    <row r="8958" spans="1:8" x14ac:dyDescent="0.2">
      <c r="A8958" t="str">
        <f t="shared" si="3248"/>
        <v>0614059062</v>
      </c>
      <c r="B8958" t="str">
        <f t="shared" si="3249"/>
        <v>KORTNI</v>
      </c>
      <c r="C8958" t="str">
        <f t="shared" si="3250"/>
        <v>KELLEM</v>
      </c>
      <c r="D8958">
        <f>11</f>
        <v>11</v>
      </c>
      <c r="E8958" t="str">
        <f>"02 - A - 102 - Brook E Goren"</f>
        <v>02 - A - 102 - Brook E Goren</v>
      </c>
      <c r="F8958" t="str">
        <f>"NC STUDY HALL 1"</f>
        <v>NC STUDY HALL 1</v>
      </c>
      <c r="G8958" t="str">
        <f>"21-2158"</f>
        <v>21-2158</v>
      </c>
      <c r="H8958" t="str">
        <f>"A"</f>
        <v>A</v>
      </c>
    </row>
    <row r="8959" spans="1:8" x14ac:dyDescent="0.2">
      <c r="A8959" t="str">
        <f t="shared" si="3248"/>
        <v>0614059062</v>
      </c>
      <c r="B8959" t="str">
        <f t="shared" si="3249"/>
        <v>KORTNI</v>
      </c>
      <c r="C8959" t="str">
        <f t="shared" si="3250"/>
        <v>KELLEM</v>
      </c>
      <c r="D8959">
        <f>11</f>
        <v>11</v>
      </c>
      <c r="E8959" t="str">
        <f>"07 - B - 101 - Jeanne M Bermudez"</f>
        <v>07 - B - 101 - Jeanne M Bermudez</v>
      </c>
      <c r="F8959" t="str">
        <f>"FOUND OF PROGRAM HON"</f>
        <v>FOUND OF PROGRAM HON</v>
      </c>
      <c r="G8959" t="str">
        <f>"21-2141"</f>
        <v>21-2141</v>
      </c>
      <c r="H8959" t="str">
        <f>"B"</f>
        <v>B</v>
      </c>
    </row>
    <row r="8960" spans="1:8" x14ac:dyDescent="0.2">
      <c r="A8960" t="str">
        <f t="shared" si="3248"/>
        <v>0614059062</v>
      </c>
      <c r="B8960" t="str">
        <f t="shared" si="3249"/>
        <v>KORTNI</v>
      </c>
      <c r="C8960" t="str">
        <f t="shared" si="3250"/>
        <v>KELLEM</v>
      </c>
      <c r="D8960">
        <f>11</f>
        <v>11</v>
      </c>
      <c r="E8960" t="str">
        <f>"05 - B - 207 - Marielle A Witting"</f>
        <v>05 - B - 207 - Marielle A Witting</v>
      </c>
      <c r="F8960" t="str">
        <f>"ANAT PHYSIO"</f>
        <v>ANAT PHYSIO</v>
      </c>
      <c r="G8960" t="str">
        <f>"08-805"</f>
        <v>08-805</v>
      </c>
      <c r="H8960" t="str">
        <f>"B"</f>
        <v>B</v>
      </c>
    </row>
    <row r="8961" spans="1:8" x14ac:dyDescent="0.2">
      <c r="A8961" t="str">
        <f t="shared" si="3248"/>
        <v>0614059062</v>
      </c>
      <c r="B8961" t="str">
        <f t="shared" si="3249"/>
        <v>KORTNI</v>
      </c>
      <c r="C8961" t="str">
        <f t="shared" si="3250"/>
        <v>KELLEM</v>
      </c>
      <c r="D8961">
        <f>11</f>
        <v>11</v>
      </c>
      <c r="E8961" t="str">
        <f>"01 - A - 102 - Fernando  Vega-Cid"</f>
        <v>01 - A - 102 - Fernando  Vega-Cid</v>
      </c>
      <c r="F8961" t="str">
        <f>"GEOMETRY"</f>
        <v>GEOMETRY</v>
      </c>
      <c r="G8961" t="str">
        <f>"21-2163"</f>
        <v>21-2163</v>
      </c>
      <c r="H8961" t="str">
        <f>"A"</f>
        <v>A</v>
      </c>
    </row>
    <row r="8962" spans="1:8" x14ac:dyDescent="0.2">
      <c r="A8962" t="str">
        <f t="shared" si="3248"/>
        <v>0614059062</v>
      </c>
      <c r="B8962" t="str">
        <f t="shared" si="3249"/>
        <v>KORTNI</v>
      </c>
      <c r="C8962" t="str">
        <f t="shared" si="3250"/>
        <v>KELLEM</v>
      </c>
      <c r="D8962">
        <f>11</f>
        <v>11</v>
      </c>
      <c r="E8962" t="str">
        <f>"08 - S1 - B - 104 - Richard E Dunbar Iii"</f>
        <v>08 - S1 - B - 104 - Richard E Dunbar Iii</v>
      </c>
      <c r="F8962" t="str">
        <f>"WEIGHT TRAIN 3"</f>
        <v>WEIGHT TRAIN 3</v>
      </c>
      <c r="G8962" t="str">
        <f>"05-501"</f>
        <v>05-501</v>
      </c>
      <c r="H8962" t="str">
        <f>"B"</f>
        <v>B</v>
      </c>
    </row>
    <row r="8963" spans="1:8" x14ac:dyDescent="0.2">
      <c r="A8963" t="str">
        <f t="shared" ref="A8963:A8970" si="3251">"0615061775"</f>
        <v>0615061775</v>
      </c>
      <c r="B8963" t="str">
        <f t="shared" ref="B8963:B8970" si="3252">"AMBASSADOR"</f>
        <v>AMBASSADOR</v>
      </c>
      <c r="C8963" t="str">
        <f t="shared" ref="C8963:C9002" si="3253">"KENDRICK"</f>
        <v>KENDRICK</v>
      </c>
      <c r="D8963">
        <f>11</f>
        <v>11</v>
      </c>
      <c r="E8963" t="str">
        <f>"04 - S1 - A - 101 - Nahum  Saint-Preux"</f>
        <v>04 - S1 - A - 101 - Nahum  Saint-Preux</v>
      </c>
      <c r="F8963" t="str">
        <f>"CRIT THINK ST SKLS"</f>
        <v>CRIT THINK ST SKLS</v>
      </c>
      <c r="G8963" t="str">
        <f>"17-1712"</f>
        <v>17-1712</v>
      </c>
      <c r="H8963" t="str">
        <f>"A"</f>
        <v>A</v>
      </c>
    </row>
    <row r="8964" spans="1:8" x14ac:dyDescent="0.2">
      <c r="A8964" t="str">
        <f t="shared" si="3251"/>
        <v>0615061775</v>
      </c>
      <c r="B8964" t="str">
        <f t="shared" si="3252"/>
        <v>AMBASSADOR</v>
      </c>
      <c r="C8964" t="str">
        <f t="shared" si="3253"/>
        <v>KENDRICK</v>
      </c>
      <c r="D8964">
        <f>11</f>
        <v>11</v>
      </c>
      <c r="E8964" t="str">
        <f>"06 - B - 103 - Helen A Flores"</f>
        <v>06 - B - 103 - Helen A Flores</v>
      </c>
      <c r="F8964" t="str">
        <f>"ALGEBRA 2"</f>
        <v>ALGEBRA 2</v>
      </c>
      <c r="G8964" t="str">
        <f>"21-2101"</f>
        <v>21-2101</v>
      </c>
      <c r="H8964" t="str">
        <f>"B"</f>
        <v>B</v>
      </c>
    </row>
    <row r="8965" spans="1:8" x14ac:dyDescent="0.2">
      <c r="A8965" t="str">
        <f t="shared" si="3251"/>
        <v>0615061775</v>
      </c>
      <c r="B8965" t="str">
        <f t="shared" si="3252"/>
        <v>AMBASSADOR</v>
      </c>
      <c r="C8965" t="str">
        <f t="shared" si="3253"/>
        <v>KENDRICK</v>
      </c>
      <c r="D8965">
        <f>11</f>
        <v>11</v>
      </c>
      <c r="E8965" t="str">
        <f>"03 - A - 104 - Kyle  Robbins"</f>
        <v>03 - A - 104 - Kyle  Robbins</v>
      </c>
      <c r="F8965" t="str">
        <f>"US HISTORY"</f>
        <v>US HISTORY</v>
      </c>
      <c r="G8965" t="str">
        <f>"17-1745"</f>
        <v>17-1745</v>
      </c>
      <c r="H8965" t="str">
        <f>"A"</f>
        <v>A</v>
      </c>
    </row>
    <row r="8966" spans="1:8" x14ac:dyDescent="0.2">
      <c r="A8966" t="str">
        <f t="shared" si="3251"/>
        <v>0615061775</v>
      </c>
      <c r="B8966" t="str">
        <f t="shared" si="3252"/>
        <v>AMBASSADOR</v>
      </c>
      <c r="C8966" t="str">
        <f t="shared" si="3253"/>
        <v>KENDRICK</v>
      </c>
      <c r="D8966">
        <f>11</f>
        <v>11</v>
      </c>
      <c r="E8966" t="str">
        <f>"02 - A - 101 - Timothy J Lawrence"</f>
        <v>02 - A - 101 - Timothy J Lawrence</v>
      </c>
      <c r="F8966" t="str">
        <f>"NC STUDY HALL 1"</f>
        <v>NC STUDY HALL 1</v>
      </c>
      <c r="G8966" t="str">
        <f>"05-522"</f>
        <v>05-522</v>
      </c>
      <c r="H8966" t="str">
        <f>"A"</f>
        <v>A</v>
      </c>
    </row>
    <row r="8967" spans="1:8" x14ac:dyDescent="0.2">
      <c r="A8967" t="str">
        <f t="shared" si="3251"/>
        <v>0615061775</v>
      </c>
      <c r="B8967" t="str">
        <f t="shared" si="3252"/>
        <v>AMBASSADOR</v>
      </c>
      <c r="C8967" t="str">
        <f t="shared" si="3253"/>
        <v>KENDRICK</v>
      </c>
      <c r="D8967">
        <f>11</f>
        <v>11</v>
      </c>
      <c r="E8967" t="str">
        <f>"07 - B - 101 - Lisa  Quinn"</f>
        <v>07 - B - 101 - Lisa  Quinn</v>
      </c>
      <c r="F8967" t="str">
        <f>"RESEARCH 1"</f>
        <v>RESEARCH 1</v>
      </c>
      <c r="G8967" t="str">
        <f>"17-1725"</f>
        <v>17-1725</v>
      </c>
      <c r="H8967" t="str">
        <f>"B"</f>
        <v>B</v>
      </c>
    </row>
    <row r="8968" spans="1:8" x14ac:dyDescent="0.2">
      <c r="A8968" t="str">
        <f t="shared" si="3251"/>
        <v>0615061775</v>
      </c>
      <c r="B8968" t="str">
        <f t="shared" si="3252"/>
        <v>AMBASSADOR</v>
      </c>
      <c r="C8968" t="str">
        <f t="shared" si="3253"/>
        <v>KENDRICK</v>
      </c>
      <c r="D8968">
        <f>11</f>
        <v>11</v>
      </c>
      <c r="E8968" t="str">
        <f>"05 - B - 103 - Josiah I Lacy"</f>
        <v>05 - B - 103 - Josiah I Lacy</v>
      </c>
      <c r="F8968" t="str">
        <f>"PRE-AICE BIO IG"</f>
        <v>PRE-AICE BIO IG</v>
      </c>
      <c r="G8968" t="str">
        <f>"08-801"</f>
        <v>08-801</v>
      </c>
      <c r="H8968" t="str">
        <f>"B"</f>
        <v>B</v>
      </c>
    </row>
    <row r="8969" spans="1:8" x14ac:dyDescent="0.2">
      <c r="A8969" t="str">
        <f t="shared" si="3251"/>
        <v>0615061775</v>
      </c>
      <c r="B8969" t="str">
        <f t="shared" si="3252"/>
        <v>AMBASSADOR</v>
      </c>
      <c r="C8969" t="str">
        <f t="shared" si="3253"/>
        <v>KENDRICK</v>
      </c>
      <c r="D8969">
        <f>11</f>
        <v>11</v>
      </c>
      <c r="E8969" t="str">
        <f>"01 - A - 101 - Lisa  Quinn"</f>
        <v>01 - A - 101 - Lisa  Quinn</v>
      </c>
      <c r="F8969" t="str">
        <f>"ENG 3"</f>
        <v>ENG 3</v>
      </c>
      <c r="G8969" t="str">
        <f>"17-1725"</f>
        <v>17-1725</v>
      </c>
      <c r="H8969" t="str">
        <f>"A"</f>
        <v>A</v>
      </c>
    </row>
    <row r="8970" spans="1:8" x14ac:dyDescent="0.2">
      <c r="A8970" t="str">
        <f t="shared" si="3251"/>
        <v>0615061775</v>
      </c>
      <c r="B8970" t="str">
        <f t="shared" si="3252"/>
        <v>AMBASSADOR</v>
      </c>
      <c r="C8970" t="str">
        <f t="shared" si="3253"/>
        <v>KENDRICK</v>
      </c>
      <c r="D8970">
        <f>11</f>
        <v>11</v>
      </c>
      <c r="E8970" t="str">
        <f>"08 - B - 108 - Adam Marcus  Drucker"</f>
        <v>08 - B - 108 - Adam Marcus  Drucker</v>
      </c>
      <c r="F8970" t="str">
        <f>"HOPE-PE V"</f>
        <v>HOPE-PE V</v>
      </c>
      <c r="G8970" t="str">
        <f>"04-254"</f>
        <v>04-254</v>
      </c>
      <c r="H8970" t="str">
        <f>"B"</f>
        <v>B</v>
      </c>
    </row>
    <row r="8971" spans="1:8" x14ac:dyDescent="0.2">
      <c r="A8971" t="str">
        <f t="shared" ref="A8971:A8978" si="3254">"0616087817"</f>
        <v>0616087817</v>
      </c>
      <c r="B8971" t="str">
        <f t="shared" ref="B8971:B8978" si="3255">"AMIRA"</f>
        <v>AMIRA</v>
      </c>
      <c r="C8971" t="str">
        <f t="shared" si="3253"/>
        <v>KENDRICK</v>
      </c>
      <c r="D8971">
        <f>10</f>
        <v>10</v>
      </c>
      <c r="E8971" t="str">
        <f>"04 - A - 103 - Lenecy  Nodarse"</f>
        <v>04 - A - 103 - Lenecy  Nodarse</v>
      </c>
      <c r="F8971" t="str">
        <f>"WORLD HISTORY"</f>
        <v>WORLD HISTORY</v>
      </c>
      <c r="G8971" t="str">
        <f>"17-1741"</f>
        <v>17-1741</v>
      </c>
      <c r="H8971" t="str">
        <f>"A"</f>
        <v>A</v>
      </c>
    </row>
    <row r="8972" spans="1:8" x14ac:dyDescent="0.2">
      <c r="A8972" t="str">
        <f t="shared" si="3254"/>
        <v>0616087817</v>
      </c>
      <c r="B8972" t="str">
        <f t="shared" si="3255"/>
        <v>AMIRA</v>
      </c>
      <c r="C8972" t="str">
        <f t="shared" si="3253"/>
        <v>KENDRICK</v>
      </c>
      <c r="D8972">
        <f>10</f>
        <v>10</v>
      </c>
      <c r="E8972" t="str">
        <f>"06 - B - 003 - Emmily A Sarmiento"</f>
        <v>06 - B - 003 - Emmily A Sarmiento</v>
      </c>
      <c r="F8972" t="str">
        <f>"NC STUDY HALL 1"</f>
        <v>NC STUDY HALL 1</v>
      </c>
      <c r="G8972" t="str">
        <f>"17-1743"</f>
        <v>17-1743</v>
      </c>
      <c r="H8972" t="str">
        <f>"B"</f>
        <v>B</v>
      </c>
    </row>
    <row r="8973" spans="1:8" x14ac:dyDescent="0.2">
      <c r="A8973" t="str">
        <f t="shared" si="3254"/>
        <v>0616087817</v>
      </c>
      <c r="B8973" t="str">
        <f t="shared" si="3255"/>
        <v>AMIRA</v>
      </c>
      <c r="C8973" t="str">
        <f t="shared" si="3253"/>
        <v>KENDRICK</v>
      </c>
      <c r="D8973">
        <f>10</f>
        <v>10</v>
      </c>
      <c r="E8973" t="str">
        <f>"03 - A - 103 - Taraneh C Abreu"</f>
        <v>03 - A - 103 - Taraneh C Abreu</v>
      </c>
      <c r="F8973" t="str">
        <f>"INTENS READ 2"</f>
        <v>INTENS READ 2</v>
      </c>
      <c r="G8973" t="str">
        <f>"17-1713"</f>
        <v>17-1713</v>
      </c>
      <c r="H8973" t="str">
        <f>"A"</f>
        <v>A</v>
      </c>
    </row>
    <row r="8974" spans="1:8" x14ac:dyDescent="0.2">
      <c r="A8974" t="str">
        <f t="shared" si="3254"/>
        <v>0616087817</v>
      </c>
      <c r="B8974" t="str">
        <f t="shared" si="3255"/>
        <v>AMIRA</v>
      </c>
      <c r="C8974" t="str">
        <f t="shared" si="3253"/>
        <v>KENDRICK</v>
      </c>
      <c r="D8974">
        <f>10</f>
        <v>10</v>
      </c>
      <c r="E8974" t="str">
        <f>"02 - A - 202 - Daniel S Tyson"</f>
        <v>02 - A - 202 - Daniel S Tyson</v>
      </c>
      <c r="F8974" t="str">
        <f>"JROTC NAVAL SCI 2"</f>
        <v>JROTC NAVAL SCI 2</v>
      </c>
      <c r="G8974" t="str">
        <f>"05-510"</f>
        <v>05-510</v>
      </c>
      <c r="H8974" t="str">
        <f>"A"</f>
        <v>A</v>
      </c>
    </row>
    <row r="8975" spans="1:8" x14ac:dyDescent="0.2">
      <c r="A8975" t="str">
        <f t="shared" si="3254"/>
        <v>0616087817</v>
      </c>
      <c r="B8975" t="str">
        <f t="shared" si="3255"/>
        <v>AMIRA</v>
      </c>
      <c r="C8975" t="str">
        <f t="shared" si="3253"/>
        <v>KENDRICK</v>
      </c>
      <c r="D8975">
        <f>10</f>
        <v>10</v>
      </c>
      <c r="E8975" t="str">
        <f>"07 - B - 107 - Helen A Flores"</f>
        <v>07 - B - 107 - Helen A Flores</v>
      </c>
      <c r="F8975" t="str">
        <f>"ALGEBRA 1"</f>
        <v>ALGEBRA 1</v>
      </c>
      <c r="G8975" t="str">
        <f>"21-2101"</f>
        <v>21-2101</v>
      </c>
      <c r="H8975" t="str">
        <f>"B"</f>
        <v>B</v>
      </c>
    </row>
    <row r="8976" spans="1:8" x14ac:dyDescent="0.2">
      <c r="A8976" t="str">
        <f t="shared" si="3254"/>
        <v>0616087817</v>
      </c>
      <c r="B8976" t="str">
        <f t="shared" si="3255"/>
        <v>AMIRA</v>
      </c>
      <c r="C8976" t="str">
        <f t="shared" si="3253"/>
        <v>KENDRICK</v>
      </c>
      <c r="D8976">
        <f>10</f>
        <v>10</v>
      </c>
      <c r="E8976" t="str">
        <f>"05 - B - 106 - Jacquelyn M Neeson"</f>
        <v>05 - B - 106 - Jacquelyn M Neeson</v>
      </c>
      <c r="F8976" t="str">
        <f>"ENG 2"</f>
        <v>ENG 2</v>
      </c>
      <c r="G8976" t="str">
        <f>"17-1715"</f>
        <v>17-1715</v>
      </c>
      <c r="H8976" t="str">
        <f>"B"</f>
        <v>B</v>
      </c>
    </row>
    <row r="8977" spans="1:8" x14ac:dyDescent="0.2">
      <c r="A8977" t="str">
        <f t="shared" si="3254"/>
        <v>0616087817</v>
      </c>
      <c r="B8977" t="str">
        <f t="shared" si="3255"/>
        <v>AMIRA</v>
      </c>
      <c r="C8977" t="str">
        <f t="shared" si="3253"/>
        <v>KENDRICK</v>
      </c>
      <c r="D8977">
        <f>10</f>
        <v>10</v>
      </c>
      <c r="E8977" t="str">
        <f>"01 - A - 102 - Helen A Flores"</f>
        <v>01 - A - 102 - Helen A Flores</v>
      </c>
      <c r="F8977" t="str">
        <f>"FDN SKLS MATH 9-12"</f>
        <v>FDN SKLS MATH 9-12</v>
      </c>
      <c r="G8977" t="str">
        <f>"21-2101"</f>
        <v>21-2101</v>
      </c>
      <c r="H8977" t="str">
        <f>"A"</f>
        <v>A</v>
      </c>
    </row>
    <row r="8978" spans="1:8" x14ac:dyDescent="0.2">
      <c r="A8978" t="str">
        <f t="shared" si="3254"/>
        <v>0616087817</v>
      </c>
      <c r="B8978" t="str">
        <f t="shared" si="3255"/>
        <v>AMIRA</v>
      </c>
      <c r="C8978" t="str">
        <f t="shared" si="3253"/>
        <v>KENDRICK</v>
      </c>
      <c r="D8978">
        <f>10</f>
        <v>10</v>
      </c>
      <c r="E8978" t="str">
        <f>"08 - B - 001 - Lytrell T Dixon"</f>
        <v>08 - B - 001 - Lytrell T Dixon</v>
      </c>
      <c r="F8978" t="str">
        <f>"BIOLOGY 1"</f>
        <v>BIOLOGY 1</v>
      </c>
      <c r="G8978" t="str">
        <f>"08-808"</f>
        <v>08-808</v>
      </c>
      <c r="H8978" t="str">
        <f>"B"</f>
        <v>B</v>
      </c>
    </row>
    <row r="8979" spans="1:8" x14ac:dyDescent="0.2">
      <c r="A8979" t="str">
        <f t="shared" ref="A8979:A8986" si="3256">"0612058928"</f>
        <v>0612058928</v>
      </c>
      <c r="B8979" t="str">
        <f t="shared" ref="B8979:B8986" si="3257">"DANIYAH"</f>
        <v>DANIYAH</v>
      </c>
      <c r="C8979" t="str">
        <f t="shared" si="3253"/>
        <v>KENDRICK</v>
      </c>
      <c r="D8979">
        <f>12</f>
        <v>12</v>
      </c>
      <c r="E8979" t="str">
        <f>"04 - A - 106 - Marielle A Witting"</f>
        <v>04 - A - 106 - Marielle A Witting</v>
      </c>
      <c r="F8979" t="str">
        <f>"ANAT PHYSIO"</f>
        <v>ANAT PHYSIO</v>
      </c>
      <c r="G8979" t="str">
        <f>"08-805"</f>
        <v>08-805</v>
      </c>
      <c r="H8979" t="str">
        <f>"A"</f>
        <v>A</v>
      </c>
    </row>
    <row r="8980" spans="1:8" x14ac:dyDescent="0.2">
      <c r="A8980" t="str">
        <f t="shared" si="3256"/>
        <v>0612058928</v>
      </c>
      <c r="B8980" t="str">
        <f t="shared" si="3257"/>
        <v>DANIYAH</v>
      </c>
      <c r="C8980" t="str">
        <f t="shared" si="3253"/>
        <v>KENDRICK</v>
      </c>
      <c r="D8980">
        <f>12</f>
        <v>12</v>
      </c>
      <c r="E8980" t="str">
        <f>"06 - B - 102 - Andrea A Amison"</f>
        <v>06 - B - 102 - Andrea A Amison</v>
      </c>
      <c r="F8980" t="str">
        <f>"NC STUDY HALL 1"</f>
        <v>NC STUDY HALL 1</v>
      </c>
      <c r="G8980" t="str">
        <f>"09-922C"</f>
        <v>09-922C</v>
      </c>
      <c r="H8980" t="str">
        <f>"B"</f>
        <v>B</v>
      </c>
    </row>
    <row r="8981" spans="1:8" x14ac:dyDescent="0.2">
      <c r="A8981" t="str">
        <f t="shared" si="3256"/>
        <v>0612058928</v>
      </c>
      <c r="B8981" t="str">
        <f t="shared" si="3257"/>
        <v>DANIYAH</v>
      </c>
      <c r="C8981" t="str">
        <f t="shared" si="3253"/>
        <v>KENDRICK</v>
      </c>
      <c r="D8981">
        <f>12</f>
        <v>12</v>
      </c>
      <c r="E8981" t="str">
        <f>"03 - A - 102 - Semra  Bahadir"</f>
        <v>03 - A - 102 - Semra  Bahadir</v>
      </c>
      <c r="F8981" t="str">
        <f>"ALGEBRA 2"</f>
        <v>ALGEBRA 2</v>
      </c>
      <c r="G8981" t="str">
        <f>"21-2107"</f>
        <v>21-2107</v>
      </c>
      <c r="H8981" t="str">
        <f>"A"</f>
        <v>A</v>
      </c>
    </row>
    <row r="8982" spans="1:8" x14ac:dyDescent="0.2">
      <c r="A8982" t="str">
        <f t="shared" si="3256"/>
        <v>0612058928</v>
      </c>
      <c r="B8982" t="str">
        <f t="shared" si="3257"/>
        <v>DANIYAH</v>
      </c>
      <c r="C8982" t="str">
        <f t="shared" si="3253"/>
        <v>KENDRICK</v>
      </c>
      <c r="D8982">
        <f>12</f>
        <v>12</v>
      </c>
      <c r="E8982" t="str">
        <f>"02 - A - 101 - Robyn L Trainer"</f>
        <v>02 - A - 101 - Robyn L Trainer</v>
      </c>
      <c r="F8982" t="str">
        <f>"ENG 4"</f>
        <v>ENG 4</v>
      </c>
      <c r="G8982" t="str">
        <f>"17-1734"</f>
        <v>17-1734</v>
      </c>
      <c r="H8982" t="str">
        <f>"A"</f>
        <v>A</v>
      </c>
    </row>
    <row r="8983" spans="1:8" x14ac:dyDescent="0.2">
      <c r="A8983" t="str">
        <f t="shared" si="3256"/>
        <v>0612058928</v>
      </c>
      <c r="B8983" t="str">
        <f t="shared" si="3257"/>
        <v>DANIYAH</v>
      </c>
      <c r="C8983" t="str">
        <f t="shared" si="3253"/>
        <v>KENDRICK</v>
      </c>
      <c r="D8983">
        <f>12</f>
        <v>12</v>
      </c>
      <c r="E8983" t="str">
        <f>"07 - B - 002 - Jazmin S Fletcher"</f>
        <v>07 - B - 002 - Jazmin S Fletcher</v>
      </c>
      <c r="F8983" t="str">
        <f>"THEATRE 1"</f>
        <v>THEATRE 1</v>
      </c>
      <c r="G8983" t="str">
        <f>"09-909"</f>
        <v>09-909</v>
      </c>
      <c r="H8983" t="str">
        <f>"B"</f>
        <v>B</v>
      </c>
    </row>
    <row r="8984" spans="1:8" x14ac:dyDescent="0.2">
      <c r="A8984" t="str">
        <f t="shared" si="3256"/>
        <v>0612058928</v>
      </c>
      <c r="B8984" t="str">
        <f t="shared" si="3257"/>
        <v>DANIYAH</v>
      </c>
      <c r="C8984" t="str">
        <f t="shared" si="3253"/>
        <v>KENDRICK</v>
      </c>
      <c r="D8984">
        <f>12</f>
        <v>12</v>
      </c>
      <c r="E8984" t="str">
        <f>"05 - S1 - B - 102 - Robert O Burger"</f>
        <v>05 - S1 - B - 102 - Robert O Burger</v>
      </c>
      <c r="F8984" t="str">
        <f>"US GOVT"</f>
        <v>US GOVT</v>
      </c>
      <c r="G8984" t="str">
        <f>"17-1755"</f>
        <v>17-1755</v>
      </c>
      <c r="H8984" t="str">
        <f>"B"</f>
        <v>B</v>
      </c>
    </row>
    <row r="8985" spans="1:8" x14ac:dyDescent="0.2">
      <c r="A8985" t="str">
        <f t="shared" si="3256"/>
        <v>0612058928</v>
      </c>
      <c r="B8985" t="str">
        <f t="shared" si="3257"/>
        <v>DANIYAH</v>
      </c>
      <c r="C8985" t="str">
        <f t="shared" si="3253"/>
        <v>KENDRICK</v>
      </c>
      <c r="D8985">
        <f>12</f>
        <v>12</v>
      </c>
      <c r="E8985" t="str">
        <f>"01 - A - 001 - Brian M Fitzgerald"</f>
        <v>01 - A - 001 - Brian M Fitzgerald</v>
      </c>
      <c r="F8985" t="str">
        <f>"CERAM/POT 2"</f>
        <v>CERAM/POT 2</v>
      </c>
      <c r="G8985" t="str">
        <f>"09-908"</f>
        <v>09-908</v>
      </c>
      <c r="H8985" t="str">
        <f>"A"</f>
        <v>A</v>
      </c>
    </row>
    <row r="8986" spans="1:8" x14ac:dyDescent="0.2">
      <c r="A8986" t="str">
        <f t="shared" si="3256"/>
        <v>0612058928</v>
      </c>
      <c r="B8986" t="str">
        <f t="shared" si="3257"/>
        <v>DANIYAH</v>
      </c>
      <c r="C8986" t="str">
        <f t="shared" si="3253"/>
        <v>KENDRICK</v>
      </c>
      <c r="D8986">
        <f>12</f>
        <v>12</v>
      </c>
      <c r="E8986" t="str">
        <f>"08 - B - 102 - Carleigh R Carmichael"</f>
        <v>08 - B - 102 - Carleigh R Carmichael</v>
      </c>
      <c r="F8986" t="str">
        <f>"LRNG STRATEGIES 9-12"</f>
        <v>LRNG STRATEGIES 9-12</v>
      </c>
      <c r="G8986" t="str">
        <f>"20-2072"</f>
        <v>20-2072</v>
      </c>
      <c r="H8986" t="str">
        <f>"B"</f>
        <v>B</v>
      </c>
    </row>
    <row r="8987" spans="1:8" x14ac:dyDescent="0.2">
      <c r="A8987" t="str">
        <f t="shared" ref="A8987:A8994" si="3258">"0615081677"</f>
        <v>0615081677</v>
      </c>
      <c r="B8987" t="str">
        <f t="shared" ref="B8987:B8994" si="3259">"RASHAD"</f>
        <v>RASHAD</v>
      </c>
      <c r="C8987" t="str">
        <f t="shared" si="3253"/>
        <v>KENDRICK</v>
      </c>
      <c r="D8987">
        <f>10</f>
        <v>10</v>
      </c>
      <c r="E8987" t="str">
        <f>"04 - S1 - A - 101 - Leslie J Barton"</f>
        <v>04 - S1 - A - 101 - Leslie J Barton</v>
      </c>
      <c r="F8987" t="str">
        <f>"TEAM SPORTS 1"</f>
        <v>TEAM SPORTS 1</v>
      </c>
      <c r="G8987" t="str">
        <f>"04-254"</f>
        <v>04-254</v>
      </c>
      <c r="H8987" t="str">
        <f>"A"</f>
        <v>A</v>
      </c>
    </row>
    <row r="8988" spans="1:8" x14ac:dyDescent="0.2">
      <c r="A8988" t="str">
        <f t="shared" si="3258"/>
        <v>0615081677</v>
      </c>
      <c r="B8988" t="str">
        <f t="shared" si="3259"/>
        <v>RASHAD</v>
      </c>
      <c r="C8988" t="str">
        <f t="shared" si="3253"/>
        <v>KENDRICK</v>
      </c>
      <c r="D8988">
        <f>10</f>
        <v>10</v>
      </c>
      <c r="E8988" t="str">
        <f>"06 - B - 004 - Robert O Burger"</f>
        <v>06 - B - 004 - Robert O Burger</v>
      </c>
      <c r="F8988" t="str">
        <f>"NC STUDY HALL 1"</f>
        <v>NC STUDY HALL 1</v>
      </c>
      <c r="G8988" t="str">
        <f>"17-1755"</f>
        <v>17-1755</v>
      </c>
      <c r="H8988" t="str">
        <f>"B"</f>
        <v>B</v>
      </c>
    </row>
    <row r="8989" spans="1:8" x14ac:dyDescent="0.2">
      <c r="A8989" t="str">
        <f t="shared" si="3258"/>
        <v>0615081677</v>
      </c>
      <c r="B8989" t="str">
        <f t="shared" si="3259"/>
        <v>RASHAD</v>
      </c>
      <c r="C8989" t="str">
        <f t="shared" si="3253"/>
        <v>KENDRICK</v>
      </c>
      <c r="D8989">
        <f>10</f>
        <v>10</v>
      </c>
      <c r="E8989" t="str">
        <f>"03 - A - 201 - Alejandro  Navarro"</f>
        <v>03 - A - 201 - Alejandro  Navarro</v>
      </c>
      <c r="F8989" t="str">
        <f>"BAND 2"</f>
        <v>BAND 2</v>
      </c>
      <c r="G8989" t="str">
        <f>"05-504"</f>
        <v>05-504</v>
      </c>
      <c r="H8989" t="str">
        <f>"A"</f>
        <v>A</v>
      </c>
    </row>
    <row r="8990" spans="1:8" x14ac:dyDescent="0.2">
      <c r="A8990" t="str">
        <f t="shared" si="3258"/>
        <v>0615081677</v>
      </c>
      <c r="B8990" t="str">
        <f t="shared" si="3259"/>
        <v>RASHAD</v>
      </c>
      <c r="C8990" t="str">
        <f t="shared" si="3253"/>
        <v>KENDRICK</v>
      </c>
      <c r="D8990">
        <f>10</f>
        <v>10</v>
      </c>
      <c r="E8990" t="str">
        <f>"02 - A - 102 - Taraneh C Abreu"</f>
        <v>02 - A - 102 - Taraneh C Abreu</v>
      </c>
      <c r="F8990" t="str">
        <f>"INTENS READ 2"</f>
        <v>INTENS READ 2</v>
      </c>
      <c r="G8990" t="str">
        <f>"17-1713"</f>
        <v>17-1713</v>
      </c>
      <c r="H8990" t="str">
        <f>"A"</f>
        <v>A</v>
      </c>
    </row>
    <row r="8991" spans="1:8" x14ac:dyDescent="0.2">
      <c r="A8991" t="str">
        <f t="shared" si="3258"/>
        <v>0615081677</v>
      </c>
      <c r="B8991" t="str">
        <f t="shared" si="3259"/>
        <v>RASHAD</v>
      </c>
      <c r="C8991" t="str">
        <f t="shared" si="3253"/>
        <v>KENDRICK</v>
      </c>
      <c r="D8991">
        <f>10</f>
        <v>10</v>
      </c>
      <c r="E8991" t="str">
        <f>"07 - B - 108 - Jacquelyn M Neeson"</f>
        <v>07 - B - 108 - Jacquelyn M Neeson</v>
      </c>
      <c r="F8991" t="str">
        <f>"ENG 2"</f>
        <v>ENG 2</v>
      </c>
      <c r="G8991" t="str">
        <f>"17-1715"</f>
        <v>17-1715</v>
      </c>
      <c r="H8991" t="str">
        <f>"B"</f>
        <v>B</v>
      </c>
    </row>
    <row r="8992" spans="1:8" x14ac:dyDescent="0.2">
      <c r="A8992" t="str">
        <f t="shared" si="3258"/>
        <v>0615081677</v>
      </c>
      <c r="B8992" t="str">
        <f t="shared" si="3259"/>
        <v>RASHAD</v>
      </c>
      <c r="C8992" t="str">
        <f t="shared" si="3253"/>
        <v>KENDRICK</v>
      </c>
      <c r="D8992">
        <f>10</f>
        <v>10</v>
      </c>
      <c r="E8992" t="str">
        <f>"05 - B - 106 - Milca  Exantus"</f>
        <v>05 - B - 106 - Milca  Exantus</v>
      </c>
      <c r="F8992" t="str">
        <f>"MATH COLLEGE LIB ART"</f>
        <v>MATH COLLEGE LIB ART</v>
      </c>
      <c r="G8992" t="str">
        <f>"21-2145"</f>
        <v>21-2145</v>
      </c>
      <c r="H8992" t="str">
        <f>"B"</f>
        <v>B</v>
      </c>
    </row>
    <row r="8993" spans="1:8" x14ac:dyDescent="0.2">
      <c r="A8993" t="str">
        <f t="shared" si="3258"/>
        <v>0615081677</v>
      </c>
      <c r="B8993" t="str">
        <f t="shared" si="3259"/>
        <v>RASHAD</v>
      </c>
      <c r="C8993" t="str">
        <f t="shared" si="3253"/>
        <v>KENDRICK</v>
      </c>
      <c r="D8993">
        <f>10</f>
        <v>10</v>
      </c>
      <c r="E8993" t="str">
        <f>"01 - S1 - A - 101 - Lissa C Frederique"</f>
        <v>01 - S1 - A - 101 - Lissa C Frederique</v>
      </c>
      <c r="F8993" t="str">
        <f>"PERS FIN &amp; MON MGT H"</f>
        <v>PERS FIN &amp; MON MGT H</v>
      </c>
      <c r="G8993" t="str">
        <f>"17-1754"</f>
        <v>17-1754</v>
      </c>
      <c r="H8993" t="str">
        <f>"A"</f>
        <v>A</v>
      </c>
    </row>
    <row r="8994" spans="1:8" x14ac:dyDescent="0.2">
      <c r="A8994" t="str">
        <f t="shared" si="3258"/>
        <v>0615081677</v>
      </c>
      <c r="B8994" t="str">
        <f t="shared" si="3259"/>
        <v>RASHAD</v>
      </c>
      <c r="C8994" t="str">
        <f t="shared" si="3253"/>
        <v>KENDRICK</v>
      </c>
      <c r="D8994">
        <f>10</f>
        <v>10</v>
      </c>
      <c r="E8994" t="str">
        <f>"08 - B - 001 - Lytrell T Dixon"</f>
        <v>08 - B - 001 - Lytrell T Dixon</v>
      </c>
      <c r="F8994" t="str">
        <f>"BIOLOGY 1"</f>
        <v>BIOLOGY 1</v>
      </c>
      <c r="G8994" t="str">
        <f>"08-808"</f>
        <v>08-808</v>
      </c>
      <c r="H8994" t="str">
        <f>"B"</f>
        <v>B</v>
      </c>
    </row>
    <row r="8995" spans="1:8" x14ac:dyDescent="0.2">
      <c r="A8995" t="str">
        <f t="shared" ref="A8995:A9002" si="3260">"0616064694"</f>
        <v>0616064694</v>
      </c>
      <c r="B8995" t="str">
        <f t="shared" ref="B8995:B9002" si="3261">"SHA'DAIZA"</f>
        <v>SHA'DAIZA</v>
      </c>
      <c r="C8995" t="str">
        <f t="shared" si="3253"/>
        <v>KENDRICK</v>
      </c>
      <c r="D8995">
        <f>10</f>
        <v>10</v>
      </c>
      <c r="E8995" t="str">
        <f>"04 - S1 - A - 101 - Kyle  Robbins"</f>
        <v>04 - S1 - A - 101 - Kyle  Robbins</v>
      </c>
      <c r="F8995" t="str">
        <f>"PERS FIN &amp; MON MGT H"</f>
        <v>PERS FIN &amp; MON MGT H</v>
      </c>
      <c r="G8995" t="str">
        <f>"17-1745"</f>
        <v>17-1745</v>
      </c>
      <c r="H8995" t="str">
        <f>"A"</f>
        <v>A</v>
      </c>
    </row>
    <row r="8996" spans="1:8" x14ac:dyDescent="0.2">
      <c r="A8996" t="str">
        <f t="shared" si="3260"/>
        <v>0616064694</v>
      </c>
      <c r="B8996" t="str">
        <f t="shared" si="3261"/>
        <v>SHA'DAIZA</v>
      </c>
      <c r="C8996" t="str">
        <f t="shared" si="3253"/>
        <v>KENDRICK</v>
      </c>
      <c r="D8996">
        <f>10</f>
        <v>10</v>
      </c>
      <c r="E8996" t="str">
        <f>"06 - B - 114 - Richard E Dunbar Iii"</f>
        <v>06 - B - 114 - Richard E Dunbar Iii</v>
      </c>
      <c r="F8996" t="str">
        <f>"NC STUDY HALL 1"</f>
        <v>NC STUDY HALL 1</v>
      </c>
      <c r="G8996" t="str">
        <f>"17-1703"</f>
        <v>17-1703</v>
      </c>
      <c r="H8996" t="str">
        <f>"B"</f>
        <v>B</v>
      </c>
    </row>
    <row r="8997" spans="1:8" x14ac:dyDescent="0.2">
      <c r="A8997" t="str">
        <f t="shared" si="3260"/>
        <v>0616064694</v>
      </c>
      <c r="B8997" t="str">
        <f t="shared" si="3261"/>
        <v>SHA'DAIZA</v>
      </c>
      <c r="C8997" t="str">
        <f t="shared" si="3253"/>
        <v>KENDRICK</v>
      </c>
      <c r="D8997">
        <f>10</f>
        <v>10</v>
      </c>
      <c r="E8997" t="str">
        <f>"03 - A - 206 - Josiah I Lacy"</f>
        <v>03 - A - 206 - Josiah I Lacy</v>
      </c>
      <c r="F8997" t="str">
        <f>"BIOLOGY 1"</f>
        <v>BIOLOGY 1</v>
      </c>
      <c r="G8997" t="str">
        <f>"08-801"</f>
        <v>08-801</v>
      </c>
      <c r="H8997" t="str">
        <f>"A"</f>
        <v>A</v>
      </c>
    </row>
    <row r="8998" spans="1:8" x14ac:dyDescent="0.2">
      <c r="A8998" t="str">
        <f t="shared" si="3260"/>
        <v>0616064694</v>
      </c>
      <c r="B8998" t="str">
        <f t="shared" si="3261"/>
        <v>SHA'DAIZA</v>
      </c>
      <c r="C8998" t="str">
        <f t="shared" si="3253"/>
        <v>KENDRICK</v>
      </c>
      <c r="D8998">
        <f>10</f>
        <v>10</v>
      </c>
      <c r="E8998" t="str">
        <f>"02 - A - 102 - Nikiel  Nesbeth"</f>
        <v>02 - A - 102 - Nikiel  Nesbeth</v>
      </c>
      <c r="F8998" t="str">
        <f>"ENG 2"</f>
        <v>ENG 2</v>
      </c>
      <c r="G8998" t="str">
        <f>"17-1705"</f>
        <v>17-1705</v>
      </c>
      <c r="H8998" t="str">
        <f>"A"</f>
        <v>A</v>
      </c>
    </row>
    <row r="8999" spans="1:8" x14ac:dyDescent="0.2">
      <c r="A8999" t="str">
        <f t="shared" si="3260"/>
        <v>0616064694</v>
      </c>
      <c r="B8999" t="str">
        <f t="shared" si="3261"/>
        <v>SHA'DAIZA</v>
      </c>
      <c r="C8999" t="str">
        <f t="shared" si="3253"/>
        <v>KENDRICK</v>
      </c>
      <c r="D8999">
        <f>10</f>
        <v>10</v>
      </c>
      <c r="E8999" t="str">
        <f>"07 - B - 201 - Angela S Adeshina-Morrison"</f>
        <v>07 - B - 201 - Angela S Adeshina-Morrison</v>
      </c>
      <c r="F8999" t="str">
        <f>"BUSINESS OWNER HON"</f>
        <v>BUSINESS OWNER HON</v>
      </c>
      <c r="G8999" t="str">
        <f>"05-518"</f>
        <v>05-518</v>
      </c>
      <c r="H8999" t="str">
        <f>"B"</f>
        <v>B</v>
      </c>
    </row>
    <row r="9000" spans="1:8" x14ac:dyDescent="0.2">
      <c r="A9000" t="str">
        <f t="shared" si="3260"/>
        <v>0616064694</v>
      </c>
      <c r="B9000" t="str">
        <f t="shared" si="3261"/>
        <v>SHA'DAIZA</v>
      </c>
      <c r="C9000" t="str">
        <f t="shared" si="3253"/>
        <v>KENDRICK</v>
      </c>
      <c r="D9000">
        <f>10</f>
        <v>10</v>
      </c>
      <c r="E9000" t="str">
        <f>"05 - B - 106 - Fernando  Vega-Cid"</f>
        <v>05 - B - 106 - Fernando  Vega-Cid</v>
      </c>
      <c r="F9000" t="str">
        <f>"GEOMETRY"</f>
        <v>GEOMETRY</v>
      </c>
      <c r="G9000" t="str">
        <f>"21-2163"</f>
        <v>21-2163</v>
      </c>
      <c r="H9000" t="str">
        <f>"B"</f>
        <v>B</v>
      </c>
    </row>
    <row r="9001" spans="1:8" x14ac:dyDescent="0.2">
      <c r="A9001" t="str">
        <f t="shared" si="3260"/>
        <v>0616064694</v>
      </c>
      <c r="B9001" t="str">
        <f t="shared" si="3261"/>
        <v>SHA'DAIZA</v>
      </c>
      <c r="C9001" t="str">
        <f t="shared" si="3253"/>
        <v>KENDRICK</v>
      </c>
      <c r="D9001">
        <f>10</f>
        <v>10</v>
      </c>
      <c r="E9001" t="str">
        <f>"01 - A - 101 - Samantha L Martinez"</f>
        <v>01 - A - 101 - Samantha L Martinez</v>
      </c>
      <c r="F9001" t="str">
        <f>"MUSIC WORLD"</f>
        <v>MUSIC WORLD</v>
      </c>
      <c r="G9001" t="str">
        <f>"05-505"</f>
        <v>05-505</v>
      </c>
      <c r="H9001" t="str">
        <f>"A"</f>
        <v>A</v>
      </c>
    </row>
    <row r="9002" spans="1:8" x14ac:dyDescent="0.2">
      <c r="A9002" t="str">
        <f t="shared" si="3260"/>
        <v>0616064694</v>
      </c>
      <c r="B9002" t="str">
        <f t="shared" si="3261"/>
        <v>SHA'DAIZA</v>
      </c>
      <c r="C9002" t="str">
        <f t="shared" si="3253"/>
        <v>KENDRICK</v>
      </c>
      <c r="D9002">
        <f>10</f>
        <v>10</v>
      </c>
      <c r="E9002" t="str">
        <f>"08 - S1 - B - 104 - Angela S Adeshina-Morrison"</f>
        <v>08 - S1 - B - 104 - Angela S Adeshina-Morrison</v>
      </c>
      <c r="F9002" t="str">
        <f>"PEER COUN 1"</f>
        <v>PEER COUN 1</v>
      </c>
      <c r="G9002" t="str">
        <f>"05-518"</f>
        <v>05-518</v>
      </c>
      <c r="H9002" t="str">
        <f>"B"</f>
        <v>B</v>
      </c>
    </row>
    <row r="9003" spans="1:8" x14ac:dyDescent="0.2">
      <c r="A9003" t="str">
        <f t="shared" ref="A9003:A9010" si="3262">"0616019786"</f>
        <v>0616019786</v>
      </c>
      <c r="B9003" t="str">
        <f t="shared" ref="B9003:B9010" si="3263">"CHRISTOPHER"</f>
        <v>CHRISTOPHER</v>
      </c>
      <c r="C9003" t="str">
        <f t="shared" ref="C9003:C9010" si="3264">"KENNEDY"</f>
        <v>KENNEDY</v>
      </c>
      <c r="D9003">
        <f>10</f>
        <v>10</v>
      </c>
      <c r="E9003" t="str">
        <f>"04 - A - 201 - Norayda D Suarez"</f>
        <v>04 - A - 201 - Norayda D Suarez</v>
      </c>
      <c r="F9003" t="str">
        <f>"ANAT PHYSIO HON"</f>
        <v>ANAT PHYSIO HON</v>
      </c>
      <c r="G9003" t="str">
        <f>"21-2142"</f>
        <v>21-2142</v>
      </c>
      <c r="H9003" t="str">
        <f>"A"</f>
        <v>A</v>
      </c>
    </row>
    <row r="9004" spans="1:8" x14ac:dyDescent="0.2">
      <c r="A9004" t="str">
        <f t="shared" si="3262"/>
        <v>0616019786</v>
      </c>
      <c r="B9004" t="str">
        <f t="shared" si="3263"/>
        <v>CHRISTOPHER</v>
      </c>
      <c r="C9004" t="str">
        <f t="shared" si="3264"/>
        <v>KENNEDY</v>
      </c>
      <c r="D9004">
        <f>10</f>
        <v>10</v>
      </c>
      <c r="E9004" t="str">
        <f>"06 - B - 105 - Jeffrey S Gallagher"</f>
        <v>06 - B - 105 - Jeffrey S Gallagher</v>
      </c>
      <c r="F9004" t="str">
        <f>"NC STUDY HALL 1"</f>
        <v>NC STUDY HALL 1</v>
      </c>
      <c r="G9004" t="str">
        <f>"17-1724"</f>
        <v>17-1724</v>
      </c>
      <c r="H9004" t="str">
        <f>"B"</f>
        <v>B</v>
      </c>
    </row>
    <row r="9005" spans="1:8" x14ac:dyDescent="0.2">
      <c r="A9005" t="str">
        <f t="shared" si="3262"/>
        <v>0616019786</v>
      </c>
      <c r="B9005" t="str">
        <f t="shared" si="3263"/>
        <v>CHRISTOPHER</v>
      </c>
      <c r="C9005" t="str">
        <f t="shared" si="3264"/>
        <v>KENNEDY</v>
      </c>
      <c r="D9005">
        <f>10</f>
        <v>10</v>
      </c>
      <c r="E9005" t="str">
        <f>"03 - A - 103 - Pamela M Corzo"</f>
        <v>03 - A - 103 - Pamela M Corzo</v>
      </c>
      <c r="F9005" t="str">
        <f>"ALGEBRA 2 HON"</f>
        <v>ALGEBRA 2 HON</v>
      </c>
      <c r="G9005" t="str">
        <f>"21-2133"</f>
        <v>21-2133</v>
      </c>
      <c r="H9005" t="str">
        <f>"A"</f>
        <v>A</v>
      </c>
    </row>
    <row r="9006" spans="1:8" x14ac:dyDescent="0.2">
      <c r="A9006" t="str">
        <f t="shared" si="3262"/>
        <v>0616019786</v>
      </c>
      <c r="B9006" t="str">
        <f t="shared" si="3263"/>
        <v>CHRISTOPHER</v>
      </c>
      <c r="C9006" t="str">
        <f t="shared" si="3264"/>
        <v>KENNEDY</v>
      </c>
      <c r="D9006">
        <f>10</f>
        <v>10</v>
      </c>
      <c r="E9006" t="str">
        <f>"02 - S1 - A - 102 - Richard E Dunbar Iii"</f>
        <v>02 - S1 - A - 102 - Richard E Dunbar Iii</v>
      </c>
      <c r="F9006" t="str">
        <f>"WEIGHT TRAIN 1"</f>
        <v>WEIGHT TRAIN 1</v>
      </c>
      <c r="G9006" t="str">
        <f>"05-501"</f>
        <v>05-501</v>
      </c>
      <c r="H9006" t="str">
        <f>"A"</f>
        <v>A</v>
      </c>
    </row>
    <row r="9007" spans="1:8" x14ac:dyDescent="0.2">
      <c r="A9007" t="str">
        <f t="shared" si="3262"/>
        <v>0616019786</v>
      </c>
      <c r="B9007" t="str">
        <f t="shared" si="3263"/>
        <v>CHRISTOPHER</v>
      </c>
      <c r="C9007" t="str">
        <f t="shared" si="3264"/>
        <v>KENNEDY</v>
      </c>
      <c r="D9007">
        <f>10</f>
        <v>10</v>
      </c>
      <c r="E9007" t="str">
        <f>"07 - S1 - B - 102 - Arthur  Kulawik"</f>
        <v>07 - S1 - B - 102 - Arthur  Kulawik</v>
      </c>
      <c r="F9007" t="str">
        <f>"PERS FIN &amp; MON MGT H"</f>
        <v>PERS FIN &amp; MON MGT H</v>
      </c>
      <c r="G9007" t="str">
        <f>"05-506"</f>
        <v>05-506</v>
      </c>
      <c r="H9007" t="str">
        <f>"B"</f>
        <v>B</v>
      </c>
    </row>
    <row r="9008" spans="1:8" x14ac:dyDescent="0.2">
      <c r="A9008" t="str">
        <f t="shared" si="3262"/>
        <v>0616019786</v>
      </c>
      <c r="B9008" t="str">
        <f t="shared" si="3263"/>
        <v>CHRISTOPHER</v>
      </c>
      <c r="C9008" t="str">
        <f t="shared" si="3264"/>
        <v>KENNEDY</v>
      </c>
      <c r="D9008">
        <f>10</f>
        <v>10</v>
      </c>
      <c r="E9008" t="str">
        <f>"05 - B - 101 - Alejandro  Navarro"</f>
        <v>05 - B - 101 - Alejandro  Navarro</v>
      </c>
      <c r="F9008" t="str">
        <f>"GUITAR 2"</f>
        <v>GUITAR 2</v>
      </c>
      <c r="G9008" t="str">
        <f>"05-504"</f>
        <v>05-504</v>
      </c>
      <c r="H9008" t="str">
        <f>"B"</f>
        <v>B</v>
      </c>
    </row>
    <row r="9009" spans="1:8" x14ac:dyDescent="0.2">
      <c r="A9009" t="str">
        <f t="shared" si="3262"/>
        <v>0616019786</v>
      </c>
      <c r="B9009" t="str">
        <f t="shared" si="3263"/>
        <v>CHRISTOPHER</v>
      </c>
      <c r="C9009" t="str">
        <f t="shared" si="3264"/>
        <v>KENNEDY</v>
      </c>
      <c r="D9009">
        <f>10</f>
        <v>10</v>
      </c>
      <c r="E9009" t="str">
        <f>"01 - A - 101 - Jacquelyn M Neeson"</f>
        <v>01 - A - 101 - Jacquelyn M Neeson</v>
      </c>
      <c r="F9009" t="str">
        <f>"AICE ENG GEN PAPER 1"</f>
        <v>AICE ENG GEN PAPER 1</v>
      </c>
      <c r="G9009" t="str">
        <f>"17-1715"</f>
        <v>17-1715</v>
      </c>
      <c r="H9009" t="str">
        <f>"A"</f>
        <v>A</v>
      </c>
    </row>
    <row r="9010" spans="1:8" x14ac:dyDescent="0.2">
      <c r="A9010" t="str">
        <f t="shared" si="3262"/>
        <v>0616019786</v>
      </c>
      <c r="B9010" t="str">
        <f t="shared" si="3263"/>
        <v>CHRISTOPHER</v>
      </c>
      <c r="C9010" t="str">
        <f t="shared" si="3264"/>
        <v>KENNEDY</v>
      </c>
      <c r="D9010">
        <f>10</f>
        <v>10</v>
      </c>
      <c r="E9010" t="str">
        <f>"08 - B - 103 - Jeanne M Bermudez"</f>
        <v>08 - B - 103 - Jeanne M Bermudez</v>
      </c>
      <c r="F9010" t="str">
        <f>"ADVANCED IT HON"</f>
        <v>ADVANCED IT HON</v>
      </c>
      <c r="G9010" t="str">
        <f>"21-2141"</f>
        <v>21-2141</v>
      </c>
      <c r="H9010" t="str">
        <f>"B"</f>
        <v>B</v>
      </c>
    </row>
    <row r="9011" spans="1:8" x14ac:dyDescent="0.2">
      <c r="A9011" t="str">
        <f t="shared" ref="A9011:A9018" si="3265">"0614100789"</f>
        <v>0614100789</v>
      </c>
      <c r="B9011" t="str">
        <f t="shared" ref="B9011:B9018" si="3266">"RALPH"</f>
        <v>RALPH</v>
      </c>
      <c r="C9011" t="str">
        <f t="shared" ref="C9011:C9018" si="3267">"KENOL"</f>
        <v>KENOL</v>
      </c>
      <c r="D9011">
        <f>11</f>
        <v>11</v>
      </c>
      <c r="E9011" t="str">
        <f>"04 - A - 101 - Pamela M Corzo"</f>
        <v>04 - A - 101 - Pamela M Corzo</v>
      </c>
      <c r="F9011" t="str">
        <f>"CALCULUS HON"</f>
        <v>CALCULUS HON</v>
      </c>
      <c r="G9011" t="str">
        <f>"21-2133"</f>
        <v>21-2133</v>
      </c>
      <c r="H9011" t="str">
        <f>"A"</f>
        <v>A</v>
      </c>
    </row>
    <row r="9012" spans="1:8" x14ac:dyDescent="0.2">
      <c r="A9012" t="str">
        <f t="shared" si="3265"/>
        <v>0614100789</v>
      </c>
      <c r="B9012" t="str">
        <f t="shared" si="3266"/>
        <v>RALPH</v>
      </c>
      <c r="C9012" t="str">
        <f t="shared" si="3267"/>
        <v>KENOL</v>
      </c>
      <c r="D9012">
        <f>11</f>
        <v>11</v>
      </c>
      <c r="E9012" t="str">
        <f>"06 - B - 204 - Chrystina M Marchionne"</f>
        <v>06 - B - 204 - Chrystina M Marchionne</v>
      </c>
      <c r="F9012" t="str">
        <f>"AICE MEDIASTUDIES AS"</f>
        <v>AICE MEDIASTUDIES AS</v>
      </c>
      <c r="G9012" t="str">
        <f>"05-520"</f>
        <v>05-520</v>
      </c>
      <c r="H9012" t="str">
        <f>"B"</f>
        <v>B</v>
      </c>
    </row>
    <row r="9013" spans="1:8" x14ac:dyDescent="0.2">
      <c r="A9013" t="str">
        <f t="shared" si="3265"/>
        <v>0614100789</v>
      </c>
      <c r="B9013" t="str">
        <f t="shared" si="3266"/>
        <v>RALPH</v>
      </c>
      <c r="C9013" t="str">
        <f t="shared" si="3267"/>
        <v>KENOL</v>
      </c>
      <c r="D9013">
        <f>11</f>
        <v>11</v>
      </c>
      <c r="E9013" t="str">
        <f>"03 - A - 106 - Krystal Marie  Beruty"</f>
        <v>03 - A - 106 - Krystal Marie  Beruty</v>
      </c>
      <c r="F9013" t="str">
        <f>"AICE PSYCH 1 AS"</f>
        <v>AICE PSYCH 1 AS</v>
      </c>
      <c r="G9013" t="str">
        <f>"17-1721"</f>
        <v>17-1721</v>
      </c>
      <c r="H9013" t="str">
        <f>"A"</f>
        <v>A</v>
      </c>
    </row>
    <row r="9014" spans="1:8" x14ac:dyDescent="0.2">
      <c r="A9014" t="str">
        <f t="shared" si="3265"/>
        <v>0614100789</v>
      </c>
      <c r="B9014" t="str">
        <f t="shared" si="3266"/>
        <v>RALPH</v>
      </c>
      <c r="C9014" t="str">
        <f t="shared" si="3267"/>
        <v>KENOL</v>
      </c>
      <c r="D9014">
        <f>11</f>
        <v>11</v>
      </c>
      <c r="E9014" t="str">
        <f>"02 - A - 117 - Kyle  Robbins"</f>
        <v>02 - A - 117 - Kyle  Robbins</v>
      </c>
      <c r="F9014" t="str">
        <f>"NC STUDY HALL 1"</f>
        <v>NC STUDY HALL 1</v>
      </c>
      <c r="G9014" t="str">
        <f>"17-1745"</f>
        <v>17-1745</v>
      </c>
      <c r="H9014" t="str">
        <f>"A"</f>
        <v>A</v>
      </c>
    </row>
    <row r="9015" spans="1:8" x14ac:dyDescent="0.2">
      <c r="A9015" t="str">
        <f t="shared" si="3265"/>
        <v>0614100789</v>
      </c>
      <c r="B9015" t="str">
        <f t="shared" si="3266"/>
        <v>RALPH</v>
      </c>
      <c r="C9015" t="str">
        <f t="shared" si="3267"/>
        <v>KENOL</v>
      </c>
      <c r="D9015">
        <f>11</f>
        <v>11</v>
      </c>
      <c r="E9015" t="str">
        <f>"07 - B - 002 - Jordana K Hass"</f>
        <v>07 - B - 002 - Jordana K Hass</v>
      </c>
      <c r="F9015" t="str">
        <f>"CHEMISTRY 1 HON"</f>
        <v>CHEMISTRY 1 HON</v>
      </c>
      <c r="G9015" t="str">
        <f>"08-807"</f>
        <v>08-807</v>
      </c>
      <c r="H9015" t="str">
        <f>"B"</f>
        <v>B</v>
      </c>
    </row>
    <row r="9016" spans="1:8" x14ac:dyDescent="0.2">
      <c r="A9016" t="str">
        <f t="shared" si="3265"/>
        <v>0614100789</v>
      </c>
      <c r="B9016" t="str">
        <f t="shared" si="3266"/>
        <v>RALPH</v>
      </c>
      <c r="C9016" t="str">
        <f t="shared" si="3267"/>
        <v>KENOL</v>
      </c>
      <c r="D9016">
        <f>11</f>
        <v>11</v>
      </c>
      <c r="E9016" t="str">
        <f>"05 - B - 102 - Jacklyn M James"</f>
        <v>05 - B - 102 - Jacklyn M James</v>
      </c>
      <c r="F9016" t="str">
        <f>"AICE ENG LANG AS"</f>
        <v>AICE ENG LANG AS</v>
      </c>
      <c r="G9016" t="str">
        <f>"17-1731"</f>
        <v>17-1731</v>
      </c>
      <c r="H9016" t="str">
        <f>"B"</f>
        <v>B</v>
      </c>
    </row>
    <row r="9017" spans="1:8" x14ac:dyDescent="0.2">
      <c r="A9017" t="str">
        <f t="shared" si="3265"/>
        <v>0614100789</v>
      </c>
      <c r="B9017" t="str">
        <f t="shared" si="3266"/>
        <v>RALPH</v>
      </c>
      <c r="C9017" t="str">
        <f t="shared" si="3267"/>
        <v>KENOL</v>
      </c>
      <c r="D9017">
        <f>11</f>
        <v>11</v>
      </c>
      <c r="E9017" t="str">
        <f>"01 - S1 - A - 101 - Jordana K Hass"</f>
        <v>01 - S1 - A - 101 - Jordana K Hass</v>
      </c>
      <c r="F9017" t="str">
        <f>"PRIN OF AERO SCI"</f>
        <v>PRIN OF AERO SCI</v>
      </c>
      <c r="G9017" t="str">
        <f>"08-807"</f>
        <v>08-807</v>
      </c>
      <c r="H9017" t="str">
        <f>"A"</f>
        <v>A</v>
      </c>
    </row>
    <row r="9018" spans="1:8" x14ac:dyDescent="0.2">
      <c r="A9018" t="str">
        <f t="shared" si="3265"/>
        <v>0614100789</v>
      </c>
      <c r="B9018" t="str">
        <f t="shared" si="3266"/>
        <v>RALPH</v>
      </c>
      <c r="C9018" t="str">
        <f t="shared" si="3267"/>
        <v>KENOL</v>
      </c>
      <c r="D9018">
        <f>11</f>
        <v>11</v>
      </c>
      <c r="E9018" t="str">
        <f>"08 - B - 001 - Jerry S Jiampetti"</f>
        <v>08 - B - 001 - Jerry S Jiampetti</v>
      </c>
      <c r="F9018" t="str">
        <f>"AICE U.S. HIST 1 AS"</f>
        <v>AICE U.S. HIST 1 AS</v>
      </c>
      <c r="G9018" t="str">
        <f>"17-1751"</f>
        <v>17-1751</v>
      </c>
      <c r="H9018" t="str">
        <f>"B"</f>
        <v>B</v>
      </c>
    </row>
    <row r="9019" spans="1:8" x14ac:dyDescent="0.2">
      <c r="A9019" t="str">
        <f t="shared" ref="A9019:A9026" si="3268">"0616092413"</f>
        <v>0616092413</v>
      </c>
      <c r="B9019" t="str">
        <f t="shared" ref="B9019:B9026" si="3269">"JAYLAH"</f>
        <v>JAYLAH</v>
      </c>
      <c r="C9019" t="str">
        <f t="shared" ref="C9019:C9026" si="3270">"KERWIN"</f>
        <v>KERWIN</v>
      </c>
      <c r="D9019">
        <f>10</f>
        <v>10</v>
      </c>
      <c r="E9019" t="str">
        <f>"04 - A - 005 - Emmily A Sarmiento"</f>
        <v>04 - A - 005 - Emmily A Sarmiento</v>
      </c>
      <c r="F9019" t="str">
        <f>"AICE GLBL PERSP 1 AS"</f>
        <v>AICE GLBL PERSP 1 AS</v>
      </c>
      <c r="G9019" t="str">
        <f>"17-1743"</f>
        <v>17-1743</v>
      </c>
      <c r="H9019" t="str">
        <f>"A"</f>
        <v>A</v>
      </c>
    </row>
    <row r="9020" spans="1:8" x14ac:dyDescent="0.2">
      <c r="A9020" t="str">
        <f t="shared" si="3268"/>
        <v>0616092413</v>
      </c>
      <c r="B9020" t="str">
        <f t="shared" si="3269"/>
        <v>JAYLAH</v>
      </c>
      <c r="C9020" t="str">
        <f t="shared" si="3270"/>
        <v>KERWIN</v>
      </c>
      <c r="D9020">
        <f>10</f>
        <v>10</v>
      </c>
      <c r="E9020" t="str">
        <f>"06 - B - 109 - Semra  Bahadir"</f>
        <v>06 - B - 109 - Semra  Bahadir</v>
      </c>
      <c r="F9020" t="str">
        <f>"NC STUDY HALL 1"</f>
        <v>NC STUDY HALL 1</v>
      </c>
      <c r="G9020" t="str">
        <f>"21-2107"</f>
        <v>21-2107</v>
      </c>
      <c r="H9020" t="str">
        <f>"B"</f>
        <v>B</v>
      </c>
    </row>
    <row r="9021" spans="1:8" x14ac:dyDescent="0.2">
      <c r="A9021" t="str">
        <f t="shared" si="3268"/>
        <v>0616092413</v>
      </c>
      <c r="B9021" t="str">
        <f t="shared" si="3269"/>
        <v>JAYLAH</v>
      </c>
      <c r="C9021" t="str">
        <f t="shared" si="3270"/>
        <v>KERWIN</v>
      </c>
      <c r="D9021">
        <f>10</f>
        <v>10</v>
      </c>
      <c r="E9021" t="str">
        <f>"03 - A - 103 - Courtney E Hambright"</f>
        <v>03 - A - 103 - Courtney E Hambright</v>
      </c>
      <c r="F9021" t="str">
        <f>"AICE ENG LANG AS"</f>
        <v>AICE ENG LANG AS</v>
      </c>
      <c r="G9021" t="str">
        <f>"17-1711"</f>
        <v>17-1711</v>
      </c>
      <c r="H9021" t="str">
        <f>"A"</f>
        <v>A</v>
      </c>
    </row>
    <row r="9022" spans="1:8" x14ac:dyDescent="0.2">
      <c r="A9022" t="str">
        <f t="shared" si="3268"/>
        <v>0616092413</v>
      </c>
      <c r="B9022" t="str">
        <f t="shared" si="3269"/>
        <v>JAYLAH</v>
      </c>
      <c r="C9022" t="str">
        <f t="shared" si="3270"/>
        <v>KERWIN</v>
      </c>
      <c r="D9022">
        <f>10</f>
        <v>10</v>
      </c>
      <c r="E9022" t="str">
        <f>"02 - A - 204 - Jacqueline R Morphet"</f>
        <v>02 - A - 204 - Jacqueline R Morphet</v>
      </c>
      <c r="F9022" t="str">
        <f>"PHYSICS 1 HON"</f>
        <v>PHYSICS 1 HON</v>
      </c>
      <c r="G9022" t="str">
        <f>"21-2138"</f>
        <v>21-2138</v>
      </c>
      <c r="H9022" t="str">
        <f>"A"</f>
        <v>A</v>
      </c>
    </row>
    <row r="9023" spans="1:8" x14ac:dyDescent="0.2">
      <c r="A9023" t="str">
        <f t="shared" si="3268"/>
        <v>0616092413</v>
      </c>
      <c r="B9023" t="str">
        <f t="shared" si="3269"/>
        <v>JAYLAH</v>
      </c>
      <c r="C9023" t="str">
        <f t="shared" si="3270"/>
        <v>KERWIN</v>
      </c>
      <c r="D9023">
        <f>10</f>
        <v>10</v>
      </c>
      <c r="E9023" t="str">
        <f>"07 - B - 102 - Lourivaldo  Da Silva"</f>
        <v>07 - B - 102 - Lourivaldo  Da Silva</v>
      </c>
      <c r="F9023" t="str">
        <f>"ALGEBRA 2 HON"</f>
        <v>ALGEBRA 2 HON</v>
      </c>
      <c r="G9023" t="str">
        <f>"20-2079"</f>
        <v>20-2079</v>
      </c>
      <c r="H9023" t="str">
        <f>"B"</f>
        <v>B</v>
      </c>
    </row>
    <row r="9024" spans="1:8" x14ac:dyDescent="0.2">
      <c r="A9024" t="str">
        <f t="shared" si="3268"/>
        <v>0616092413</v>
      </c>
      <c r="B9024" t="str">
        <f t="shared" si="3269"/>
        <v>JAYLAH</v>
      </c>
      <c r="C9024" t="str">
        <f t="shared" si="3270"/>
        <v>KERWIN</v>
      </c>
      <c r="D9024">
        <f>10</f>
        <v>10</v>
      </c>
      <c r="E9024" t="str">
        <f>"05 - B - 205 - Rosa Elaine  Collado-Duff"</f>
        <v>05 - B - 205 - Rosa Elaine  Collado-Duff</v>
      </c>
      <c r="F9024" t="str">
        <f>"PRE-AICE SPAN 2 IG"</f>
        <v>PRE-AICE SPAN 2 IG</v>
      </c>
      <c r="G9024" t="str">
        <f>"09-913"</f>
        <v>09-913</v>
      </c>
      <c r="H9024" t="str">
        <f>"B"</f>
        <v>B</v>
      </c>
    </row>
    <row r="9025" spans="1:8" x14ac:dyDescent="0.2">
      <c r="A9025" t="str">
        <f t="shared" si="3268"/>
        <v>0616092413</v>
      </c>
      <c r="B9025" t="str">
        <f t="shared" si="3269"/>
        <v>JAYLAH</v>
      </c>
      <c r="C9025" t="str">
        <f t="shared" si="3270"/>
        <v>KERWIN</v>
      </c>
      <c r="D9025">
        <f>10</f>
        <v>10</v>
      </c>
      <c r="E9025" t="str">
        <f>"01 - A - 101 - Byron G Montenegro"</f>
        <v>01 - A - 101 - Byron G Montenegro</v>
      </c>
      <c r="F9025" t="str">
        <f>"AICE MARINE SCI 1 AS"</f>
        <v>AICE MARINE SCI 1 AS</v>
      </c>
      <c r="G9025" t="str">
        <f>"21-2144"</f>
        <v>21-2144</v>
      </c>
      <c r="H9025" t="str">
        <f>"A"</f>
        <v>A</v>
      </c>
    </row>
    <row r="9026" spans="1:8" x14ac:dyDescent="0.2">
      <c r="A9026" t="str">
        <f t="shared" si="3268"/>
        <v>0616092413</v>
      </c>
      <c r="B9026" t="str">
        <f t="shared" si="3269"/>
        <v>JAYLAH</v>
      </c>
      <c r="C9026" t="str">
        <f t="shared" si="3270"/>
        <v>KERWIN</v>
      </c>
      <c r="D9026">
        <f>10</f>
        <v>10</v>
      </c>
      <c r="E9026" t="str">
        <f>"08 - B - 206 - Daniel S Katz"</f>
        <v>08 - B - 206 - Daniel S Katz</v>
      </c>
      <c r="F9026" t="str">
        <f>"AICE MEDIASTUDIES AS"</f>
        <v>AICE MEDIASTUDIES AS</v>
      </c>
      <c r="G9026" t="str">
        <f>"05-521"</f>
        <v>05-521</v>
      </c>
      <c r="H9026" t="str">
        <f>"B"</f>
        <v>B</v>
      </c>
    </row>
    <row r="9027" spans="1:8" x14ac:dyDescent="0.2">
      <c r="A9027" t="str">
        <f t="shared" ref="A9027:A9034" si="3271">"0610104938"</f>
        <v>0610104938</v>
      </c>
      <c r="B9027" t="str">
        <f t="shared" ref="B9027:B9034" si="3272">"JADAH"</f>
        <v>JADAH</v>
      </c>
      <c r="C9027" t="str">
        <f t="shared" ref="C9027:C9042" si="3273">"KEY"</f>
        <v>KEY</v>
      </c>
      <c r="D9027">
        <f>10</f>
        <v>10</v>
      </c>
      <c r="E9027" t="str">
        <f>"04 - A - 102 - Tina L Lovett"</f>
        <v>04 - A - 102 - Tina L Lovett</v>
      </c>
      <c r="F9027" t="str">
        <f>"ALGEBRA 1"</f>
        <v>ALGEBRA 1</v>
      </c>
      <c r="G9027" t="str">
        <f>"21-2153"</f>
        <v>21-2153</v>
      </c>
      <c r="H9027" t="str">
        <f>"A"</f>
        <v>A</v>
      </c>
    </row>
    <row r="9028" spans="1:8" x14ac:dyDescent="0.2">
      <c r="A9028" t="str">
        <f t="shared" si="3271"/>
        <v>0610104938</v>
      </c>
      <c r="B9028" t="str">
        <f t="shared" si="3272"/>
        <v>JADAH</v>
      </c>
      <c r="C9028" t="str">
        <f t="shared" si="3273"/>
        <v>KEY</v>
      </c>
      <c r="D9028">
        <f>10</f>
        <v>10</v>
      </c>
      <c r="E9028" t="str">
        <f>"06 - B - 118 - Jeanne M Bermudez"</f>
        <v>06 - B - 118 - Jeanne M Bermudez</v>
      </c>
      <c r="F9028" t="str">
        <f>"NC STUDY HALL 1"</f>
        <v>NC STUDY HALL 1</v>
      </c>
      <c r="G9028" t="str">
        <f>"21-2141"</f>
        <v>21-2141</v>
      </c>
      <c r="H9028" t="str">
        <f>"B"</f>
        <v>B</v>
      </c>
    </row>
    <row r="9029" spans="1:8" x14ac:dyDescent="0.2">
      <c r="A9029" t="str">
        <f t="shared" si="3271"/>
        <v>0610104938</v>
      </c>
      <c r="B9029" t="str">
        <f t="shared" si="3272"/>
        <v>JADAH</v>
      </c>
      <c r="C9029" t="str">
        <f t="shared" si="3273"/>
        <v>KEY</v>
      </c>
      <c r="D9029">
        <f>10</f>
        <v>10</v>
      </c>
      <c r="E9029" t="str">
        <f>"03 - S1 - A - 101 - Arthur  Kulawik"</f>
        <v>03 - S1 - A - 101 - Arthur  Kulawik</v>
      </c>
      <c r="F9029" t="str">
        <f>"PERS FIN &amp; MON MGT H"</f>
        <v>PERS FIN &amp; MON MGT H</v>
      </c>
      <c r="G9029" t="str">
        <f>"05-506"</f>
        <v>05-506</v>
      </c>
      <c r="H9029" t="str">
        <f>"A"</f>
        <v>A</v>
      </c>
    </row>
    <row r="9030" spans="1:8" x14ac:dyDescent="0.2">
      <c r="A9030" t="str">
        <f t="shared" si="3271"/>
        <v>0610104938</v>
      </c>
      <c r="B9030" t="str">
        <f t="shared" si="3272"/>
        <v>JADAH</v>
      </c>
      <c r="C9030" t="str">
        <f t="shared" si="3273"/>
        <v>KEY</v>
      </c>
      <c r="D9030">
        <f>10</f>
        <v>10</v>
      </c>
      <c r="E9030" t="str">
        <f>"02 - A - 102 - Daniel S Tyson"</f>
        <v>02 - A - 102 - Daniel S Tyson</v>
      </c>
      <c r="F9030" t="str">
        <f>"JROTC NAVAL SCI 1"</f>
        <v>JROTC NAVAL SCI 1</v>
      </c>
      <c r="G9030" t="str">
        <f>"05-510"</f>
        <v>05-510</v>
      </c>
      <c r="H9030" t="str">
        <f>"A"</f>
        <v>A</v>
      </c>
    </row>
    <row r="9031" spans="1:8" x14ac:dyDescent="0.2">
      <c r="A9031" t="str">
        <f t="shared" si="3271"/>
        <v>0610104938</v>
      </c>
      <c r="B9031" t="str">
        <f t="shared" si="3272"/>
        <v>JADAH</v>
      </c>
      <c r="C9031" t="str">
        <f t="shared" si="3273"/>
        <v>KEY</v>
      </c>
      <c r="D9031">
        <f>10</f>
        <v>10</v>
      </c>
      <c r="E9031" t="str">
        <f>"07 - B - 108 - Jacquelyn M Neeson"</f>
        <v>07 - B - 108 - Jacquelyn M Neeson</v>
      </c>
      <c r="F9031" t="str">
        <f>"ENG 2"</f>
        <v>ENG 2</v>
      </c>
      <c r="G9031" t="str">
        <f>"17-1715"</f>
        <v>17-1715</v>
      </c>
      <c r="H9031" t="str">
        <f>"B"</f>
        <v>B</v>
      </c>
    </row>
    <row r="9032" spans="1:8" x14ac:dyDescent="0.2">
      <c r="A9032" t="str">
        <f t="shared" si="3271"/>
        <v>0610104938</v>
      </c>
      <c r="B9032" t="str">
        <f t="shared" si="3272"/>
        <v>JADAH</v>
      </c>
      <c r="C9032" t="str">
        <f t="shared" si="3273"/>
        <v>KEY</v>
      </c>
      <c r="D9032">
        <f>10</f>
        <v>10</v>
      </c>
      <c r="E9032" t="str">
        <f>"05 - B - 105 - Taraneh C Abreu"</f>
        <v>05 - B - 105 - Taraneh C Abreu</v>
      </c>
      <c r="F9032" t="str">
        <f>"INTENS READ 2"</f>
        <v>INTENS READ 2</v>
      </c>
      <c r="G9032" t="str">
        <f>"17-1713"</f>
        <v>17-1713</v>
      </c>
      <c r="H9032" t="str">
        <f>"B"</f>
        <v>B</v>
      </c>
    </row>
    <row r="9033" spans="1:8" x14ac:dyDescent="0.2">
      <c r="A9033" t="str">
        <f t="shared" si="3271"/>
        <v>0610104938</v>
      </c>
      <c r="B9033" t="str">
        <f t="shared" si="3272"/>
        <v>JADAH</v>
      </c>
      <c r="C9033" t="str">
        <f t="shared" si="3273"/>
        <v>KEY</v>
      </c>
      <c r="D9033">
        <f>10</f>
        <v>10</v>
      </c>
      <c r="E9033" t="str">
        <f>"01 - A - 102 - Lytrell T Dixon"</f>
        <v>01 - A - 102 - Lytrell T Dixon</v>
      </c>
      <c r="F9033" t="str">
        <f>"BIOLOGY 1"</f>
        <v>BIOLOGY 1</v>
      </c>
      <c r="G9033" t="str">
        <f>"08-808"</f>
        <v>08-808</v>
      </c>
      <c r="H9033" t="str">
        <f>"A"</f>
        <v>A</v>
      </c>
    </row>
    <row r="9034" spans="1:8" x14ac:dyDescent="0.2">
      <c r="A9034" t="str">
        <f t="shared" si="3271"/>
        <v>0610104938</v>
      </c>
      <c r="B9034" t="str">
        <f t="shared" si="3272"/>
        <v>JADAH</v>
      </c>
      <c r="C9034" t="str">
        <f t="shared" si="3273"/>
        <v>KEY</v>
      </c>
      <c r="D9034">
        <f>10</f>
        <v>10</v>
      </c>
      <c r="E9034" t="str">
        <f>"08 - B - 108 - Tina L Lovett"</f>
        <v>08 - B - 108 - Tina L Lovett</v>
      </c>
      <c r="F9034" t="str">
        <f>"FDN SKLS MATH 9-12"</f>
        <v>FDN SKLS MATH 9-12</v>
      </c>
      <c r="G9034" t="str">
        <f>"21-2153"</f>
        <v>21-2153</v>
      </c>
      <c r="H9034" t="str">
        <f>"B"</f>
        <v>B</v>
      </c>
    </row>
    <row r="9035" spans="1:8" x14ac:dyDescent="0.2">
      <c r="A9035" t="str">
        <f t="shared" ref="A9035:A9042" si="3274">"0614005935"</f>
        <v>0614005935</v>
      </c>
      <c r="B9035" t="str">
        <f t="shared" ref="B9035:B9042" si="3275">"JW"</f>
        <v>JW</v>
      </c>
      <c r="C9035" t="str">
        <f t="shared" si="3273"/>
        <v>KEY</v>
      </c>
      <c r="D9035" t="str">
        <f t="shared" ref="D9035:D9050" si="3276">"09"</f>
        <v>09</v>
      </c>
      <c r="E9035" t="str">
        <f>"04 - A - 102 - Tina L Lovett"</f>
        <v>04 - A - 102 - Tina L Lovett</v>
      </c>
      <c r="F9035" t="str">
        <f>"ALGEBRA 1"</f>
        <v>ALGEBRA 1</v>
      </c>
      <c r="G9035" t="str">
        <f>"21-2153"</f>
        <v>21-2153</v>
      </c>
      <c r="H9035" t="str">
        <f>"A"</f>
        <v>A</v>
      </c>
    </row>
    <row r="9036" spans="1:8" x14ac:dyDescent="0.2">
      <c r="A9036" t="str">
        <f t="shared" si="3274"/>
        <v>0614005935</v>
      </c>
      <c r="B9036" t="str">
        <f t="shared" si="3275"/>
        <v>JW</v>
      </c>
      <c r="C9036" t="str">
        <f t="shared" si="3273"/>
        <v>KEY</v>
      </c>
      <c r="D9036" t="str">
        <f t="shared" si="3276"/>
        <v>09</v>
      </c>
      <c r="E9036" t="str">
        <f>"06 - B - 104 - Laselleda D Shaw"</f>
        <v>06 - B - 104 - Laselleda D Shaw</v>
      </c>
      <c r="F9036" t="str">
        <f>"INTENS READ 1"</f>
        <v>INTENS READ 1</v>
      </c>
      <c r="G9036" t="str">
        <f>"17-1723"</f>
        <v>17-1723</v>
      </c>
      <c r="H9036" t="str">
        <f>"B"</f>
        <v>B</v>
      </c>
    </row>
    <row r="9037" spans="1:8" x14ac:dyDescent="0.2">
      <c r="A9037" t="str">
        <f t="shared" si="3274"/>
        <v>0614005935</v>
      </c>
      <c r="B9037" t="str">
        <f t="shared" si="3275"/>
        <v>JW</v>
      </c>
      <c r="C9037" t="str">
        <f t="shared" si="3273"/>
        <v>KEY</v>
      </c>
      <c r="D9037" t="str">
        <f t="shared" si="3276"/>
        <v>09</v>
      </c>
      <c r="E9037" t="str">
        <f>"03 - A - 105 - Elizabeth Ellen  Moran"</f>
        <v>03 - A - 105 - Elizabeth Ellen  Moran</v>
      </c>
      <c r="F9037" t="str">
        <f>"WORLD HISTORY"</f>
        <v>WORLD HISTORY</v>
      </c>
      <c r="G9037" t="str">
        <f>"17-1752"</f>
        <v>17-1752</v>
      </c>
      <c r="H9037" t="str">
        <f>"A"</f>
        <v>A</v>
      </c>
    </row>
    <row r="9038" spans="1:8" x14ac:dyDescent="0.2">
      <c r="A9038" t="str">
        <f t="shared" si="3274"/>
        <v>0614005935</v>
      </c>
      <c r="B9038" t="str">
        <f t="shared" si="3275"/>
        <v>JW</v>
      </c>
      <c r="C9038" t="str">
        <f t="shared" si="3273"/>
        <v>KEY</v>
      </c>
      <c r="D9038" t="str">
        <f t="shared" si="3276"/>
        <v>09</v>
      </c>
      <c r="E9038" t="str">
        <f>"02 - A - 101 - Milca  Exantus"</f>
        <v>02 - A - 101 - Milca  Exantus</v>
      </c>
      <c r="F9038" t="str">
        <f>"NC STUDY HALL 1"</f>
        <v>NC STUDY HALL 1</v>
      </c>
      <c r="G9038" t="str">
        <f>"21-2145"</f>
        <v>21-2145</v>
      </c>
      <c r="H9038" t="str">
        <f>"A"</f>
        <v>A</v>
      </c>
    </row>
    <row r="9039" spans="1:8" x14ac:dyDescent="0.2">
      <c r="A9039" t="str">
        <f t="shared" si="3274"/>
        <v>0614005935</v>
      </c>
      <c r="B9039" t="str">
        <f t="shared" si="3275"/>
        <v>JW</v>
      </c>
      <c r="C9039" t="str">
        <f t="shared" si="3273"/>
        <v>KEY</v>
      </c>
      <c r="D9039" t="str">
        <f t="shared" si="3276"/>
        <v>09</v>
      </c>
      <c r="E9039" t="str">
        <f>"07 - S1 - B - 103 - Leslie J Barton"</f>
        <v>07 - S1 - B - 103 - Leslie J Barton</v>
      </c>
      <c r="F9039" t="str">
        <f>"TEAM SPORTS 1"</f>
        <v>TEAM SPORTS 1</v>
      </c>
      <c r="G9039" t="str">
        <f>"04-254"</f>
        <v>04-254</v>
      </c>
      <c r="H9039" t="str">
        <f>"B"</f>
        <v>B</v>
      </c>
    </row>
    <row r="9040" spans="1:8" x14ac:dyDescent="0.2">
      <c r="A9040" t="str">
        <f t="shared" si="3274"/>
        <v>0614005935</v>
      </c>
      <c r="B9040" t="str">
        <f t="shared" si="3275"/>
        <v>JW</v>
      </c>
      <c r="C9040" t="str">
        <f t="shared" si="3273"/>
        <v>KEY</v>
      </c>
      <c r="D9040" t="str">
        <f t="shared" si="3276"/>
        <v>09</v>
      </c>
      <c r="E9040" t="str">
        <f>"05 - B - 202 - Amy Beth  Broyles"</f>
        <v>05 - B - 202 - Amy Beth  Broyles</v>
      </c>
      <c r="F9040" t="str">
        <f>"ENV SCI"</f>
        <v>ENV SCI</v>
      </c>
      <c r="G9040" t="str">
        <f>"08-802"</f>
        <v>08-802</v>
      </c>
      <c r="H9040" t="str">
        <f>"B"</f>
        <v>B</v>
      </c>
    </row>
    <row r="9041" spans="1:8" x14ac:dyDescent="0.2">
      <c r="A9041" t="str">
        <f t="shared" si="3274"/>
        <v>0614005935</v>
      </c>
      <c r="B9041" t="str">
        <f t="shared" si="3275"/>
        <v>JW</v>
      </c>
      <c r="C9041" t="str">
        <f t="shared" si="3273"/>
        <v>KEY</v>
      </c>
      <c r="D9041" t="str">
        <f t="shared" si="3276"/>
        <v>09</v>
      </c>
      <c r="E9041" t="str">
        <f>"01 - A - 101 - Cerine S Stewart"</f>
        <v>01 - A - 101 - Cerine S Stewart</v>
      </c>
      <c r="F9041" t="str">
        <f>"ENG 1"</f>
        <v>ENG 1</v>
      </c>
      <c r="G9041" t="str">
        <f>"17-1720"</f>
        <v>17-1720</v>
      </c>
      <c r="H9041" t="str">
        <f>"A"</f>
        <v>A</v>
      </c>
    </row>
    <row r="9042" spans="1:8" x14ac:dyDescent="0.2">
      <c r="A9042" t="str">
        <f t="shared" si="3274"/>
        <v>0614005935</v>
      </c>
      <c r="B9042" t="str">
        <f t="shared" si="3275"/>
        <v>JW</v>
      </c>
      <c r="C9042" t="str">
        <f t="shared" si="3273"/>
        <v>KEY</v>
      </c>
      <c r="D9042" t="str">
        <f t="shared" si="3276"/>
        <v>09</v>
      </c>
      <c r="E9042" t="str">
        <f>"08 - B - 108 - Tina L Lovett"</f>
        <v>08 - B - 108 - Tina L Lovett</v>
      </c>
      <c r="F9042" t="str">
        <f>"FDN SKLS MATH 9-12"</f>
        <v>FDN SKLS MATH 9-12</v>
      </c>
      <c r="G9042" t="str">
        <f>"21-2153"</f>
        <v>21-2153</v>
      </c>
      <c r="H9042" t="str">
        <f>"B"</f>
        <v>B</v>
      </c>
    </row>
    <row r="9043" spans="1:8" x14ac:dyDescent="0.2">
      <c r="A9043" t="str">
        <f t="shared" ref="A9043:A9050" si="3277">"0616143097"</f>
        <v>0616143097</v>
      </c>
      <c r="B9043" t="str">
        <f t="shared" ref="B9043:B9050" si="3278">"JAMES"</f>
        <v>JAMES</v>
      </c>
      <c r="C9043" t="str">
        <f t="shared" ref="C9043:C9050" si="3279">"KILCREASE"</f>
        <v>KILCREASE</v>
      </c>
      <c r="D9043" t="str">
        <f t="shared" si="3276"/>
        <v>09</v>
      </c>
      <c r="E9043" t="str">
        <f>"04 - A - 004 - Krystal Marie  Beruty"</f>
        <v>04 - A - 004 - Krystal Marie  Beruty</v>
      </c>
      <c r="F9043" t="str">
        <f>"AICE GLBL PERSP 1 AS"</f>
        <v>AICE GLBL PERSP 1 AS</v>
      </c>
      <c r="G9043" t="str">
        <f>"17-1721"</f>
        <v>17-1721</v>
      </c>
      <c r="H9043" t="str">
        <f>"A"</f>
        <v>A</v>
      </c>
    </row>
    <row r="9044" spans="1:8" x14ac:dyDescent="0.2">
      <c r="A9044" t="str">
        <f t="shared" si="3277"/>
        <v>0616143097</v>
      </c>
      <c r="B9044" t="str">
        <f t="shared" si="3278"/>
        <v>JAMES</v>
      </c>
      <c r="C9044" t="str">
        <f t="shared" si="3279"/>
        <v>KILCREASE</v>
      </c>
      <c r="D9044" t="str">
        <f t="shared" si="3276"/>
        <v>09</v>
      </c>
      <c r="E9044" t="str">
        <f>"06 - B - 105 - Cerine S Stewart"</f>
        <v>06 - B - 105 - Cerine S Stewart</v>
      </c>
      <c r="F9044" t="str">
        <f>"AICE ENG GEN PAPER 1"</f>
        <v>AICE ENG GEN PAPER 1</v>
      </c>
      <c r="G9044" t="str">
        <f>"17-1720"</f>
        <v>17-1720</v>
      </c>
      <c r="H9044" t="str">
        <f>"B"</f>
        <v>B</v>
      </c>
    </row>
    <row r="9045" spans="1:8" x14ac:dyDescent="0.2">
      <c r="A9045" t="str">
        <f t="shared" si="3277"/>
        <v>0616143097</v>
      </c>
      <c r="B9045" t="str">
        <f t="shared" si="3278"/>
        <v>JAMES</v>
      </c>
      <c r="C9045" t="str">
        <f t="shared" si="3279"/>
        <v>KILCREASE</v>
      </c>
      <c r="D9045" t="str">
        <f t="shared" si="3276"/>
        <v>09</v>
      </c>
      <c r="E9045" t="str">
        <f>"03 - A - 001 - Maried P Ramos"</f>
        <v>03 - A - 001 - Maried P Ramos</v>
      </c>
      <c r="F9045" t="str">
        <f>"PRE-AICE MATH 2 IG"</f>
        <v>PRE-AICE MATH 2 IG</v>
      </c>
      <c r="G9045" t="str">
        <f>"21-2159"</f>
        <v>21-2159</v>
      </c>
      <c r="H9045" t="str">
        <f>"A"</f>
        <v>A</v>
      </c>
    </row>
    <row r="9046" spans="1:8" x14ac:dyDescent="0.2">
      <c r="A9046" t="str">
        <f t="shared" si="3277"/>
        <v>0616143097</v>
      </c>
      <c r="B9046" t="str">
        <f t="shared" si="3278"/>
        <v>JAMES</v>
      </c>
      <c r="C9046" t="str">
        <f t="shared" si="3279"/>
        <v>KILCREASE</v>
      </c>
      <c r="D9046" t="str">
        <f t="shared" si="3276"/>
        <v>09</v>
      </c>
      <c r="E9046" t="str">
        <f>"02 - A - 114 - Laselleda D Shaw"</f>
        <v>02 - A - 114 - Laselleda D Shaw</v>
      </c>
      <c r="F9046" t="str">
        <f>"NC STUDY HALL 1"</f>
        <v>NC STUDY HALL 1</v>
      </c>
      <c r="G9046" t="str">
        <f>"17-1723"</f>
        <v>17-1723</v>
      </c>
      <c r="H9046" t="str">
        <f>"A"</f>
        <v>A</v>
      </c>
    </row>
    <row r="9047" spans="1:8" x14ac:dyDescent="0.2">
      <c r="A9047" t="str">
        <f t="shared" si="3277"/>
        <v>0616143097</v>
      </c>
      <c r="B9047" t="str">
        <f t="shared" si="3278"/>
        <v>JAMES</v>
      </c>
      <c r="C9047" t="str">
        <f t="shared" si="3279"/>
        <v>KILCREASE</v>
      </c>
      <c r="D9047" t="str">
        <f t="shared" si="3276"/>
        <v>09</v>
      </c>
      <c r="E9047" t="str">
        <f>"07 - B - 107 - Marius D Orsolini"</f>
        <v>07 - B - 107 - Marius D Orsolini</v>
      </c>
      <c r="F9047" t="str">
        <f>"CULINARY ARTS 1"</f>
        <v>CULINARY ARTS 1</v>
      </c>
      <c r="G9047" t="str">
        <f>"21-2115"</f>
        <v>21-2115</v>
      </c>
      <c r="H9047" t="str">
        <f>"B"</f>
        <v>B</v>
      </c>
    </row>
    <row r="9048" spans="1:8" x14ac:dyDescent="0.2">
      <c r="A9048" t="str">
        <f t="shared" si="3277"/>
        <v>0616143097</v>
      </c>
      <c r="B9048" t="str">
        <f t="shared" si="3278"/>
        <v>JAMES</v>
      </c>
      <c r="C9048" t="str">
        <f t="shared" si="3279"/>
        <v>KILCREASE</v>
      </c>
      <c r="D9048" t="str">
        <f t="shared" si="3276"/>
        <v>09</v>
      </c>
      <c r="E9048" t="str">
        <f>"05 - B - 103 - Byron G Montenegro"</f>
        <v>05 - B - 103 - Byron G Montenegro</v>
      </c>
      <c r="F9048" t="str">
        <f>"AICE MARINE SCI 1 AS"</f>
        <v>AICE MARINE SCI 1 AS</v>
      </c>
      <c r="G9048" t="str">
        <f>"21-2144"</f>
        <v>21-2144</v>
      </c>
      <c r="H9048" t="str">
        <f>"B"</f>
        <v>B</v>
      </c>
    </row>
    <row r="9049" spans="1:8" x14ac:dyDescent="0.2">
      <c r="A9049" t="str">
        <f t="shared" si="3277"/>
        <v>0616143097</v>
      </c>
      <c r="B9049" t="str">
        <f t="shared" si="3278"/>
        <v>JAMES</v>
      </c>
      <c r="C9049" t="str">
        <f t="shared" si="3279"/>
        <v>KILCREASE</v>
      </c>
      <c r="D9049" t="str">
        <f t="shared" si="3276"/>
        <v>09</v>
      </c>
      <c r="E9049" t="str">
        <f>"01 - A - 504 - Alejandro  Navarro"</f>
        <v>01 - A - 504 - Alejandro  Navarro</v>
      </c>
      <c r="F9049" t="str">
        <f>"BAND 1"</f>
        <v>BAND 1</v>
      </c>
      <c r="G9049" t="str">
        <f>"05-504"</f>
        <v>05-504</v>
      </c>
      <c r="H9049" t="str">
        <f>"A"</f>
        <v>A</v>
      </c>
    </row>
    <row r="9050" spans="1:8" x14ac:dyDescent="0.2">
      <c r="A9050" t="str">
        <f t="shared" si="3277"/>
        <v>0616143097</v>
      </c>
      <c r="B9050" t="str">
        <f t="shared" si="3278"/>
        <v>JAMES</v>
      </c>
      <c r="C9050" t="str">
        <f t="shared" si="3279"/>
        <v>KILCREASE</v>
      </c>
      <c r="D9050" t="str">
        <f t="shared" si="3276"/>
        <v>09</v>
      </c>
      <c r="E9050" t="str">
        <f>"08 - S1 - B - 105 - Richard E Dunbar Iii"</f>
        <v>08 - S1 - B - 105 - Richard E Dunbar Iii</v>
      </c>
      <c r="F9050" t="str">
        <f>"WEIGHT TRAIN 1"</f>
        <v>WEIGHT TRAIN 1</v>
      </c>
      <c r="G9050" t="str">
        <f>"05-501"</f>
        <v>05-501</v>
      </c>
      <c r="H9050" t="str">
        <f>"B"</f>
        <v>B</v>
      </c>
    </row>
    <row r="9051" spans="1:8" x14ac:dyDescent="0.2">
      <c r="A9051" t="str">
        <f t="shared" ref="A9051:A9058" si="3280">"0616016857"</f>
        <v>0616016857</v>
      </c>
      <c r="B9051" t="str">
        <f t="shared" ref="B9051:B9058" si="3281">"DAVIA"</f>
        <v>DAVIA</v>
      </c>
      <c r="C9051" t="str">
        <f t="shared" ref="C9051:C9058" si="3282">"KINCHEN"</f>
        <v>KINCHEN</v>
      </c>
      <c r="D9051">
        <f>10</f>
        <v>10</v>
      </c>
      <c r="E9051" t="str">
        <f>"04 - A - 105 - Jacquelyn M Neeson"</f>
        <v>04 - A - 105 - Jacquelyn M Neeson</v>
      </c>
      <c r="F9051" t="str">
        <f>"ENG 2"</f>
        <v>ENG 2</v>
      </c>
      <c r="G9051" t="str">
        <f>"17-1715"</f>
        <v>17-1715</v>
      </c>
      <c r="H9051" t="str">
        <f>"A"</f>
        <v>A</v>
      </c>
    </row>
    <row r="9052" spans="1:8" x14ac:dyDescent="0.2">
      <c r="A9052" t="str">
        <f t="shared" si="3280"/>
        <v>0616016857</v>
      </c>
      <c r="B9052" t="str">
        <f t="shared" si="3281"/>
        <v>DAVIA</v>
      </c>
      <c r="C9052" t="str">
        <f t="shared" si="3282"/>
        <v>KINCHEN</v>
      </c>
      <c r="D9052">
        <f>10</f>
        <v>10</v>
      </c>
      <c r="E9052" t="str">
        <f>"06 - B - 112 - Tina M Jaramillo"</f>
        <v>06 - B - 112 - Tina M Jaramillo</v>
      </c>
      <c r="F9052" t="str">
        <f>"NC STUDY HALL 1"</f>
        <v>NC STUDY HALL 1</v>
      </c>
      <c r="G9052" t="str">
        <f>"17-1706"</f>
        <v>17-1706</v>
      </c>
      <c r="H9052" t="str">
        <f>"B"</f>
        <v>B</v>
      </c>
    </row>
    <row r="9053" spans="1:8" x14ac:dyDescent="0.2">
      <c r="A9053" t="str">
        <f t="shared" si="3280"/>
        <v>0616016857</v>
      </c>
      <c r="B9053" t="str">
        <f t="shared" si="3281"/>
        <v>DAVIA</v>
      </c>
      <c r="C9053" t="str">
        <f t="shared" si="3282"/>
        <v>KINCHEN</v>
      </c>
      <c r="D9053">
        <f>10</f>
        <v>10</v>
      </c>
      <c r="E9053" t="str">
        <f>"03 - A - 101 - Eva T Rimmer"</f>
        <v>03 - A - 101 - Eva T Rimmer</v>
      </c>
      <c r="F9053" t="str">
        <f>"CRIMINAL JUST OPS 1"</f>
        <v>CRIMINAL JUST OPS 1</v>
      </c>
      <c r="G9053" t="str">
        <f>"05-523"</f>
        <v>05-523</v>
      </c>
      <c r="H9053" t="str">
        <f>"A"</f>
        <v>A</v>
      </c>
    </row>
    <row r="9054" spans="1:8" x14ac:dyDescent="0.2">
      <c r="A9054" t="str">
        <f t="shared" si="3280"/>
        <v>0616016857</v>
      </c>
      <c r="B9054" t="str">
        <f t="shared" si="3281"/>
        <v>DAVIA</v>
      </c>
      <c r="C9054" t="str">
        <f t="shared" si="3282"/>
        <v>KINCHEN</v>
      </c>
      <c r="D9054">
        <f>10</f>
        <v>10</v>
      </c>
      <c r="E9054" t="str">
        <f>"02 - A - 102 - Taraneh C Abreu"</f>
        <v>02 - A - 102 - Taraneh C Abreu</v>
      </c>
      <c r="F9054" t="str">
        <f>"INTENS READ 2"</f>
        <v>INTENS READ 2</v>
      </c>
      <c r="G9054" t="str">
        <f>"17-1713"</f>
        <v>17-1713</v>
      </c>
      <c r="H9054" t="str">
        <f>"A"</f>
        <v>A</v>
      </c>
    </row>
    <row r="9055" spans="1:8" x14ac:dyDescent="0.2">
      <c r="A9055" t="str">
        <f t="shared" si="3280"/>
        <v>0616016857</v>
      </c>
      <c r="B9055" t="str">
        <f t="shared" si="3281"/>
        <v>DAVIA</v>
      </c>
      <c r="C9055" t="str">
        <f t="shared" si="3282"/>
        <v>KINCHEN</v>
      </c>
      <c r="D9055">
        <f>10</f>
        <v>10</v>
      </c>
      <c r="E9055" t="str">
        <f>"07 - B - 107 - Lytrell T Dixon"</f>
        <v>07 - B - 107 - Lytrell T Dixon</v>
      </c>
      <c r="F9055" t="str">
        <f>"BIOLOGY 1"</f>
        <v>BIOLOGY 1</v>
      </c>
      <c r="G9055" t="str">
        <f>"08-808"</f>
        <v>08-808</v>
      </c>
      <c r="H9055" t="str">
        <f>"B"</f>
        <v>B</v>
      </c>
    </row>
    <row r="9056" spans="1:8" x14ac:dyDescent="0.2">
      <c r="A9056" t="str">
        <f t="shared" si="3280"/>
        <v>0616016857</v>
      </c>
      <c r="B9056" t="str">
        <f t="shared" si="3281"/>
        <v>DAVIA</v>
      </c>
      <c r="C9056" t="str">
        <f t="shared" si="3282"/>
        <v>KINCHEN</v>
      </c>
      <c r="D9056">
        <f>10</f>
        <v>10</v>
      </c>
      <c r="E9056" t="str">
        <f>"05 - B - 201 - Jazmin S Fletcher"</f>
        <v>05 - B - 201 - Jazmin S Fletcher</v>
      </c>
      <c r="F9056" t="str">
        <f>"THEATRE 1"</f>
        <v>THEATRE 1</v>
      </c>
      <c r="G9056" t="str">
        <f>"09-909"</f>
        <v>09-909</v>
      </c>
      <c r="H9056" t="str">
        <f>"B"</f>
        <v>B</v>
      </c>
    </row>
    <row r="9057" spans="1:8" x14ac:dyDescent="0.2">
      <c r="A9057" t="str">
        <f t="shared" si="3280"/>
        <v>0616016857</v>
      </c>
      <c r="B9057" t="str">
        <f t="shared" si="3281"/>
        <v>DAVIA</v>
      </c>
      <c r="C9057" t="str">
        <f t="shared" si="3282"/>
        <v>KINCHEN</v>
      </c>
      <c r="D9057">
        <f>10</f>
        <v>10</v>
      </c>
      <c r="E9057" t="str">
        <f>"01 - A - 104 - Milca  Exantus"</f>
        <v>01 - A - 104 - Milca  Exantus</v>
      </c>
      <c r="F9057" t="str">
        <f>"MATH COLLEGE LIB ART"</f>
        <v>MATH COLLEGE LIB ART</v>
      </c>
      <c r="G9057" t="str">
        <f>"21-2145"</f>
        <v>21-2145</v>
      </c>
      <c r="H9057" t="str">
        <f>"A"</f>
        <v>A</v>
      </c>
    </row>
    <row r="9058" spans="1:8" x14ac:dyDescent="0.2">
      <c r="A9058" t="str">
        <f t="shared" si="3280"/>
        <v>0616016857</v>
      </c>
      <c r="B9058" t="str">
        <f t="shared" si="3281"/>
        <v>DAVIA</v>
      </c>
      <c r="C9058" t="str">
        <f t="shared" si="3282"/>
        <v>KINCHEN</v>
      </c>
      <c r="D9058">
        <f>10</f>
        <v>10</v>
      </c>
      <c r="E9058" t="str">
        <f>"08 - S1 - B - 001 - Carol S Moore"</f>
        <v>08 - S1 - B - 001 - Carol S Moore</v>
      </c>
      <c r="F9058" t="str">
        <f>"PER CAR SCH DEV 1 LH"</f>
        <v>PER CAR SCH DEV 1 LH</v>
      </c>
      <c r="G9058" t="str">
        <f>"17-1733"</f>
        <v>17-1733</v>
      </c>
      <c r="H9058" t="str">
        <f>"B"</f>
        <v>B</v>
      </c>
    </row>
    <row r="9059" spans="1:8" x14ac:dyDescent="0.2">
      <c r="A9059" t="str">
        <f t="shared" ref="A9059:A9067" si="3283">"0613097063"</f>
        <v>0613097063</v>
      </c>
      <c r="B9059" t="str">
        <f t="shared" ref="B9059:B9067" si="3284">"DAVONNI"</f>
        <v>DAVONNI</v>
      </c>
      <c r="C9059" t="str">
        <f t="shared" ref="C9059:C9090" si="3285">"KING"</f>
        <v>KING</v>
      </c>
      <c r="D9059">
        <f>12</f>
        <v>12</v>
      </c>
      <c r="E9059" t="str">
        <f>"04 - A - 104 - Adam Marcus  Drucker"</f>
        <v>04 - A - 104 - Adam Marcus  Drucker</v>
      </c>
      <c r="F9059" t="str">
        <f>"HOPE-PE V"</f>
        <v>HOPE-PE V</v>
      </c>
      <c r="G9059" t="str">
        <f>"04-254"</f>
        <v>04-254</v>
      </c>
      <c r="H9059" t="str">
        <f>"A"</f>
        <v>A</v>
      </c>
    </row>
    <row r="9060" spans="1:8" x14ac:dyDescent="0.2">
      <c r="A9060" t="str">
        <f t="shared" si="3283"/>
        <v>0613097063</v>
      </c>
      <c r="B9060" t="str">
        <f t="shared" si="3284"/>
        <v>DAVONNI</v>
      </c>
      <c r="C9060" t="str">
        <f t="shared" si="3285"/>
        <v>KING</v>
      </c>
      <c r="D9060">
        <f>12</f>
        <v>12</v>
      </c>
      <c r="E9060" t="str">
        <f>"06 - S1 - B - 001 - Staci M Newton"</f>
        <v>06 - S1 - B - 001 - Staci M Newton</v>
      </c>
      <c r="F9060" t="str">
        <f>"ACCESS US GOVT"</f>
        <v>ACCESS US GOVT</v>
      </c>
      <c r="G9060" t="str">
        <f>"21-2103"</f>
        <v>21-2103</v>
      </c>
      <c r="H9060" t="str">
        <f>"B"</f>
        <v>B</v>
      </c>
    </row>
    <row r="9061" spans="1:8" x14ac:dyDescent="0.2">
      <c r="A9061" t="str">
        <f t="shared" si="3283"/>
        <v>0613097063</v>
      </c>
      <c r="B9061" t="str">
        <f t="shared" si="3284"/>
        <v>DAVONNI</v>
      </c>
      <c r="C9061" t="str">
        <f t="shared" si="3285"/>
        <v>KING</v>
      </c>
      <c r="D9061">
        <f>12</f>
        <v>12</v>
      </c>
      <c r="E9061" t="str">
        <f>"03 - A - 101 - Justin D Willard"</f>
        <v>03 - A - 101 - Justin D Willard</v>
      </c>
      <c r="F9061" t="str">
        <f>"SELF-DETERMINATION"</f>
        <v>SELF-DETERMINATION</v>
      </c>
      <c r="G9061" t="str">
        <f>"21-2111"</f>
        <v>21-2111</v>
      </c>
      <c r="H9061" t="str">
        <f>"A"</f>
        <v>A</v>
      </c>
    </row>
    <row r="9062" spans="1:8" x14ac:dyDescent="0.2">
      <c r="A9062" t="str">
        <f t="shared" si="3283"/>
        <v>0613097063</v>
      </c>
      <c r="B9062" t="str">
        <f t="shared" si="3284"/>
        <v>DAVONNI</v>
      </c>
      <c r="C9062" t="str">
        <f t="shared" si="3285"/>
        <v>KING</v>
      </c>
      <c r="D9062">
        <f>12</f>
        <v>12</v>
      </c>
      <c r="E9062" t="str">
        <f>"02 - A - 101 - Justin D Willard"</f>
        <v>02 - A - 101 - Justin D Willard</v>
      </c>
      <c r="F9062" t="str">
        <f>"CAREER ED: 9-12"</f>
        <v>CAREER ED: 9-12</v>
      </c>
      <c r="G9062" t="str">
        <f>"21-2111"</f>
        <v>21-2111</v>
      </c>
      <c r="H9062" t="str">
        <f>"A"</f>
        <v>A</v>
      </c>
    </row>
    <row r="9063" spans="1:8" x14ac:dyDescent="0.2">
      <c r="A9063" t="str">
        <f t="shared" si="3283"/>
        <v>0613097063</v>
      </c>
      <c r="B9063" t="str">
        <f t="shared" si="3284"/>
        <v>DAVONNI</v>
      </c>
      <c r="C9063" t="str">
        <f t="shared" si="3285"/>
        <v>KING</v>
      </c>
      <c r="D9063">
        <f>12</f>
        <v>12</v>
      </c>
      <c r="E9063" t="str">
        <f>"07 - B - 001 - Reggie L Nixon"</f>
        <v>07 - B - 001 - Reggie L Nixon</v>
      </c>
      <c r="F9063" t="str">
        <f>"ACCESS ENGLISH 4"</f>
        <v>ACCESS ENGLISH 4</v>
      </c>
      <c r="G9063" t="str">
        <f>"21-2119"</f>
        <v>21-2119</v>
      </c>
      <c r="H9063" t="str">
        <f>"B"</f>
        <v>B</v>
      </c>
    </row>
    <row r="9064" spans="1:8" x14ac:dyDescent="0.2">
      <c r="A9064" t="str">
        <f t="shared" si="3283"/>
        <v>0613097063</v>
      </c>
      <c r="B9064" t="str">
        <f t="shared" si="3284"/>
        <v>DAVONNI</v>
      </c>
      <c r="C9064" t="str">
        <f t="shared" si="3285"/>
        <v>KING</v>
      </c>
      <c r="D9064">
        <f>12</f>
        <v>12</v>
      </c>
      <c r="E9064" t="str">
        <f>"05 - B - 001 - Reggie L Nixon"</f>
        <v>05 - B - 001 - Reggie L Nixon</v>
      </c>
      <c r="F9064" t="str">
        <f>"ACCESS INTEG SCI 1"</f>
        <v>ACCESS INTEG SCI 1</v>
      </c>
      <c r="G9064" t="str">
        <f>"21-2119"</f>
        <v>21-2119</v>
      </c>
      <c r="H9064" t="str">
        <f>"B"</f>
        <v>B</v>
      </c>
    </row>
    <row r="9065" spans="1:8" x14ac:dyDescent="0.2">
      <c r="A9065" t="str">
        <f t="shared" si="3283"/>
        <v>0613097063</v>
      </c>
      <c r="B9065" t="str">
        <f t="shared" si="3284"/>
        <v>DAVONNI</v>
      </c>
      <c r="C9065" t="str">
        <f t="shared" si="3285"/>
        <v>KING</v>
      </c>
      <c r="D9065">
        <f>12</f>
        <v>12</v>
      </c>
      <c r="E9065" t="str">
        <f>"01 - A - 101 - Justin D Willard"</f>
        <v>01 - A - 101 - Justin D Willard</v>
      </c>
      <c r="F9065" t="str">
        <f>"PREP AD LIV"</f>
        <v>PREP AD LIV</v>
      </c>
      <c r="G9065" t="str">
        <f>"21-2111"</f>
        <v>21-2111</v>
      </c>
      <c r="H9065" t="str">
        <f>"A"</f>
        <v>A</v>
      </c>
    </row>
    <row r="9066" spans="1:8" x14ac:dyDescent="0.2">
      <c r="A9066" t="str">
        <f t="shared" si="3283"/>
        <v>0613097063</v>
      </c>
      <c r="B9066" t="str">
        <f t="shared" si="3284"/>
        <v>DAVONNI</v>
      </c>
      <c r="C9066" t="str">
        <f t="shared" si="3285"/>
        <v>KING</v>
      </c>
      <c r="D9066">
        <f>12</f>
        <v>12</v>
      </c>
      <c r="E9066" t="str">
        <f>"08 - B - 101 - Reggie L Nixon"</f>
        <v>08 - B - 101 - Reggie L Nixon</v>
      </c>
      <c r="F9066" t="str">
        <f>"ACCESS LIB ARTS MATH"</f>
        <v>ACCESS LIB ARTS MATH</v>
      </c>
      <c r="G9066" t="str">
        <f>"21-2119"</f>
        <v>21-2119</v>
      </c>
      <c r="H9066" t="str">
        <f>"B"</f>
        <v>B</v>
      </c>
    </row>
    <row r="9067" spans="1:8" x14ac:dyDescent="0.2">
      <c r="A9067" t="str">
        <f t="shared" si="3283"/>
        <v>0613097063</v>
      </c>
      <c r="B9067" t="str">
        <f t="shared" si="3284"/>
        <v>DAVONNI</v>
      </c>
      <c r="C9067" t="str">
        <f t="shared" si="3285"/>
        <v>KING</v>
      </c>
      <c r="D9067">
        <f>12</f>
        <v>12</v>
      </c>
      <c r="E9067" t="str">
        <f>"08 - B - 118 - Karen A Toomer"</f>
        <v>08 - B - 118 - Karen A Toomer</v>
      </c>
      <c r="F9067" t="str">
        <f>"LANG THERAPY"</f>
        <v>LANG THERAPY</v>
      </c>
      <c r="G9067" t="str">
        <f>"21-2110"</f>
        <v>21-2110</v>
      </c>
      <c r="H9067" t="str">
        <f>"B"</f>
        <v>B</v>
      </c>
    </row>
    <row r="9068" spans="1:8" x14ac:dyDescent="0.2">
      <c r="A9068" t="str">
        <f t="shared" ref="A9068:A9075" si="3286">"0614053616"</f>
        <v>0614053616</v>
      </c>
      <c r="B9068" t="str">
        <f t="shared" ref="B9068:B9075" si="3287">"ELAINA"</f>
        <v>ELAINA</v>
      </c>
      <c r="C9068" t="str">
        <f t="shared" si="3285"/>
        <v>KING</v>
      </c>
      <c r="D9068">
        <f>12</f>
        <v>12</v>
      </c>
      <c r="E9068" t="str">
        <f>"04 - A - 101 - Pamela M Corzo"</f>
        <v>04 - A - 101 - Pamela M Corzo</v>
      </c>
      <c r="F9068" t="str">
        <f>"CALCULUS HON"</f>
        <v>CALCULUS HON</v>
      </c>
      <c r="G9068" t="str">
        <f>"21-2133"</f>
        <v>21-2133</v>
      </c>
      <c r="H9068" t="str">
        <f>"A"</f>
        <v>A</v>
      </c>
    </row>
    <row r="9069" spans="1:8" x14ac:dyDescent="0.2">
      <c r="A9069" t="str">
        <f t="shared" si="3286"/>
        <v>0614053616</v>
      </c>
      <c r="B9069" t="str">
        <f t="shared" si="3287"/>
        <v>ELAINA</v>
      </c>
      <c r="C9069" t="str">
        <f t="shared" si="3285"/>
        <v>KING</v>
      </c>
      <c r="D9069">
        <f>12</f>
        <v>12</v>
      </c>
      <c r="E9069" t="str">
        <f>"06 - B - 108 - Jacquelyn M Neeson"</f>
        <v>06 - B - 108 - Jacquelyn M Neeson</v>
      </c>
      <c r="F9069" t="str">
        <f>"NC STUDY HALL 1"</f>
        <v>NC STUDY HALL 1</v>
      </c>
      <c r="G9069" t="str">
        <f>"17-1715"</f>
        <v>17-1715</v>
      </c>
      <c r="H9069" t="str">
        <f>"B"</f>
        <v>B</v>
      </c>
    </row>
    <row r="9070" spans="1:8" x14ac:dyDescent="0.2">
      <c r="A9070" t="str">
        <f t="shared" si="3286"/>
        <v>0614053616</v>
      </c>
      <c r="B9070" t="str">
        <f t="shared" si="3287"/>
        <v>ELAINA</v>
      </c>
      <c r="C9070" t="str">
        <f t="shared" si="3285"/>
        <v>KING</v>
      </c>
      <c r="D9070">
        <f>12</f>
        <v>12</v>
      </c>
      <c r="E9070" t="str">
        <f>"03 - A - 102 - Brian M Fitzgerald"</f>
        <v>03 - A - 102 - Brian M Fitzgerald</v>
      </c>
      <c r="F9070" t="str">
        <f>"AP 2-D ART &amp; DESIGN"</f>
        <v>AP 2-D ART &amp; DESIGN</v>
      </c>
      <c r="G9070" t="str">
        <f>"09-908"</f>
        <v>09-908</v>
      </c>
      <c r="H9070" t="str">
        <f>"A"</f>
        <v>A</v>
      </c>
    </row>
    <row r="9071" spans="1:8" x14ac:dyDescent="0.2">
      <c r="A9071" t="str">
        <f t="shared" si="3286"/>
        <v>0614053616</v>
      </c>
      <c r="B9071" t="str">
        <f t="shared" si="3287"/>
        <v>ELAINA</v>
      </c>
      <c r="C9071" t="str">
        <f t="shared" si="3285"/>
        <v>KING</v>
      </c>
      <c r="D9071">
        <f>12</f>
        <v>12</v>
      </c>
      <c r="E9071" t="str">
        <f>"02 - A - 102 - Chrystina M Marchionne"</f>
        <v>02 - A - 102 - Chrystina M Marchionne</v>
      </c>
      <c r="F9071" t="str">
        <f>"AICE MEDIA STUDIES A"</f>
        <v>AICE MEDIA STUDIES A</v>
      </c>
      <c r="G9071" t="str">
        <f>"05-520"</f>
        <v>05-520</v>
      </c>
      <c r="H9071" t="str">
        <f>"A"</f>
        <v>A</v>
      </c>
    </row>
    <row r="9072" spans="1:8" x14ac:dyDescent="0.2">
      <c r="A9072" t="str">
        <f t="shared" si="3286"/>
        <v>0614053616</v>
      </c>
      <c r="B9072" t="str">
        <f t="shared" si="3287"/>
        <v>ELAINA</v>
      </c>
      <c r="C9072" t="str">
        <f t="shared" si="3285"/>
        <v>KING</v>
      </c>
      <c r="D9072">
        <f>12</f>
        <v>12</v>
      </c>
      <c r="E9072" t="str">
        <f>"07 - S1 - B - 107 - Kelly N Panza"</f>
        <v>07 - S1 - B - 107 - Kelly N Panza</v>
      </c>
      <c r="F9072" t="str">
        <f>"US GOVT HON"</f>
        <v>US GOVT HON</v>
      </c>
      <c r="G9072" t="str">
        <f>"17-1753"</f>
        <v>17-1753</v>
      </c>
      <c r="H9072" t="str">
        <f>"B"</f>
        <v>B</v>
      </c>
    </row>
    <row r="9073" spans="1:8" x14ac:dyDescent="0.2">
      <c r="A9073" t="str">
        <f t="shared" si="3286"/>
        <v>0614053616</v>
      </c>
      <c r="B9073" t="str">
        <f t="shared" si="3287"/>
        <v>ELAINA</v>
      </c>
      <c r="C9073" t="str">
        <f t="shared" si="3285"/>
        <v>KING</v>
      </c>
      <c r="D9073">
        <f>12</f>
        <v>12</v>
      </c>
      <c r="E9073" t="str">
        <f>"05 - B - 103 - Brandy N Zdenek"</f>
        <v>05 - B - 103 - Brandy N Zdenek</v>
      </c>
      <c r="F9073" t="str">
        <f>"AICE ENG LANG 2 AL"</f>
        <v>AICE ENG LANG 2 AL</v>
      </c>
      <c r="G9073" t="str">
        <f>"17-1704"</f>
        <v>17-1704</v>
      </c>
      <c r="H9073" t="str">
        <f>"B"</f>
        <v>B</v>
      </c>
    </row>
    <row r="9074" spans="1:8" x14ac:dyDescent="0.2">
      <c r="A9074" t="str">
        <f t="shared" si="3286"/>
        <v>0614053616</v>
      </c>
      <c r="B9074" t="str">
        <f t="shared" si="3287"/>
        <v>ELAINA</v>
      </c>
      <c r="C9074" t="str">
        <f t="shared" si="3285"/>
        <v>KING</v>
      </c>
      <c r="D9074">
        <f>12</f>
        <v>12</v>
      </c>
      <c r="E9074" t="str">
        <f>"01 - S1 - A - 101 - Jordana K Hass"</f>
        <v>01 - S1 - A - 101 - Jordana K Hass</v>
      </c>
      <c r="F9074" t="str">
        <f>"PRIN OF AERO SCI"</f>
        <v>PRIN OF AERO SCI</v>
      </c>
      <c r="G9074" t="str">
        <f>"08-807"</f>
        <v>08-807</v>
      </c>
      <c r="H9074" t="str">
        <f>"A"</f>
        <v>A</v>
      </c>
    </row>
    <row r="9075" spans="1:8" x14ac:dyDescent="0.2">
      <c r="A9075" t="str">
        <f t="shared" si="3286"/>
        <v>0614053616</v>
      </c>
      <c r="B9075" t="str">
        <f t="shared" si="3287"/>
        <v>ELAINA</v>
      </c>
      <c r="C9075" t="str">
        <f t="shared" si="3285"/>
        <v>KING</v>
      </c>
      <c r="D9075">
        <f>12</f>
        <v>12</v>
      </c>
      <c r="E9075" t="str">
        <f>"08 - B - 101 - Marius D Orsolini"</f>
        <v>08 - B - 101 - Marius D Orsolini</v>
      </c>
      <c r="F9075" t="str">
        <f>"CULINARY ARTS 2"</f>
        <v>CULINARY ARTS 2</v>
      </c>
      <c r="G9075" t="str">
        <f>"21-2115"</f>
        <v>21-2115</v>
      </c>
      <c r="H9075" t="str">
        <f>"B"</f>
        <v>B</v>
      </c>
    </row>
    <row r="9076" spans="1:8" x14ac:dyDescent="0.2">
      <c r="A9076" t="str">
        <f t="shared" ref="A9076:A9084" si="3288">"0615021713"</f>
        <v>0615021713</v>
      </c>
      <c r="B9076" t="str">
        <f t="shared" ref="B9076:B9084" si="3289">"KAMAL"</f>
        <v>KAMAL</v>
      </c>
      <c r="C9076" t="str">
        <f t="shared" si="3285"/>
        <v>KING</v>
      </c>
      <c r="D9076">
        <f>11</f>
        <v>11</v>
      </c>
      <c r="E9076" t="str">
        <f>"19 - S1 - MTWHF - BCC - Instructor BC"</f>
        <v>19 - S1 - MTWHF - BCC - Instructor BC</v>
      </c>
      <c r="F9076" t="str">
        <f>"INTRO TO BUSINESS"</f>
        <v>INTRO TO BUSINESS</v>
      </c>
      <c r="G9076" t="str">
        <f>"60-DE"</f>
        <v>60-DE</v>
      </c>
      <c r="H9076" t="str">
        <f>"-"</f>
        <v>-</v>
      </c>
    </row>
    <row r="9077" spans="1:8" x14ac:dyDescent="0.2">
      <c r="A9077" t="str">
        <f t="shared" si="3288"/>
        <v>0615021713</v>
      </c>
      <c r="B9077" t="str">
        <f t="shared" si="3289"/>
        <v>KAMAL</v>
      </c>
      <c r="C9077" t="str">
        <f t="shared" si="3285"/>
        <v>KING</v>
      </c>
      <c r="D9077">
        <f>11</f>
        <v>11</v>
      </c>
      <c r="E9077" t="str">
        <f>"04 - A - 101 - Stephen T Ripp"</f>
        <v>04 - A - 101 - Stephen T Ripp</v>
      </c>
      <c r="F9077" t="str">
        <f>"AP U.S. HIST"</f>
        <v>AP U.S. HIST</v>
      </c>
      <c r="G9077" t="str">
        <f>"17-1744"</f>
        <v>17-1744</v>
      </c>
      <c r="H9077" t="str">
        <f>"A"</f>
        <v>A</v>
      </c>
    </row>
    <row r="9078" spans="1:8" x14ac:dyDescent="0.2">
      <c r="A9078" t="str">
        <f t="shared" si="3288"/>
        <v>0615021713</v>
      </c>
      <c r="B9078" t="str">
        <f t="shared" si="3289"/>
        <v>KAMAL</v>
      </c>
      <c r="C9078" t="str">
        <f t="shared" si="3285"/>
        <v>KING</v>
      </c>
      <c r="D9078">
        <f>11</f>
        <v>11</v>
      </c>
      <c r="E9078" t="str">
        <f>"06 - B - 206 - Jacqueline R Morphet"</f>
        <v>06 - B - 206 - Jacqueline R Morphet</v>
      </c>
      <c r="F9078" t="str">
        <f>"PHYSICS 1 HON"</f>
        <v>PHYSICS 1 HON</v>
      </c>
      <c r="G9078" t="str">
        <f>"21-2138"</f>
        <v>21-2138</v>
      </c>
      <c r="H9078" t="str">
        <f>"B"</f>
        <v>B</v>
      </c>
    </row>
    <row r="9079" spans="1:8" x14ac:dyDescent="0.2">
      <c r="A9079" t="str">
        <f t="shared" si="3288"/>
        <v>0615021713</v>
      </c>
      <c r="B9079" t="str">
        <f t="shared" si="3289"/>
        <v>KAMAL</v>
      </c>
      <c r="C9079" t="str">
        <f t="shared" si="3285"/>
        <v>KING</v>
      </c>
      <c r="D9079">
        <f>11</f>
        <v>11</v>
      </c>
      <c r="E9079" t="str">
        <f>"03 - A - 102 - Tina M Jaramillo"</f>
        <v>03 - A - 102 - Tina M Jaramillo</v>
      </c>
      <c r="F9079" t="str">
        <f>"AP ENG COMPO"</f>
        <v>AP ENG COMPO</v>
      </c>
      <c r="G9079" t="str">
        <f>"17-1706"</f>
        <v>17-1706</v>
      </c>
      <c r="H9079" t="str">
        <f>"A"</f>
        <v>A</v>
      </c>
    </row>
    <row r="9080" spans="1:8" x14ac:dyDescent="0.2">
      <c r="A9080" t="str">
        <f t="shared" si="3288"/>
        <v>0615021713</v>
      </c>
      <c r="B9080" t="str">
        <f t="shared" si="3289"/>
        <v>KAMAL</v>
      </c>
      <c r="C9080" t="str">
        <f t="shared" si="3285"/>
        <v>KING</v>
      </c>
      <c r="D9080">
        <f>11</f>
        <v>11</v>
      </c>
      <c r="E9080" t="str">
        <f>"02 - A - 001 - Jazmin S Fletcher"</f>
        <v>02 - A - 001 - Jazmin S Fletcher</v>
      </c>
      <c r="F9080" t="str">
        <f>"NC STUDY HALL 1"</f>
        <v>NC STUDY HALL 1</v>
      </c>
      <c r="G9080" t="str">
        <f>"09-909"</f>
        <v>09-909</v>
      </c>
      <c r="H9080" t="str">
        <f>"A"</f>
        <v>A</v>
      </c>
    </row>
    <row r="9081" spans="1:8" x14ac:dyDescent="0.2">
      <c r="A9081" t="str">
        <f t="shared" si="3288"/>
        <v>0615021713</v>
      </c>
      <c r="B9081" t="str">
        <f t="shared" si="3289"/>
        <v>KAMAL</v>
      </c>
      <c r="C9081" t="str">
        <f t="shared" si="3285"/>
        <v>KING</v>
      </c>
      <c r="D9081">
        <f>11</f>
        <v>11</v>
      </c>
      <c r="E9081" t="str">
        <f>"07 - B - 102 - Thomas G Handwerg"</f>
        <v>07 - B - 102 - Thomas G Handwerg</v>
      </c>
      <c r="F9081" t="str">
        <f>"PROB STAT W/APPS HON"</f>
        <v>PROB STAT W/APPS HON</v>
      </c>
      <c r="G9081" t="str">
        <f>"21-2146"</f>
        <v>21-2146</v>
      </c>
      <c r="H9081" t="str">
        <f>"B"</f>
        <v>B</v>
      </c>
    </row>
    <row r="9082" spans="1:8" x14ac:dyDescent="0.2">
      <c r="A9082" t="str">
        <f t="shared" si="3288"/>
        <v>0615021713</v>
      </c>
      <c r="B9082" t="str">
        <f t="shared" si="3289"/>
        <v>KAMAL</v>
      </c>
      <c r="C9082" t="str">
        <f t="shared" si="3285"/>
        <v>KING</v>
      </c>
      <c r="D9082">
        <f>11</f>
        <v>11</v>
      </c>
      <c r="E9082" t="str">
        <f>"05 - B - 001 - Stefanie S Scher"</f>
        <v>05 - B - 001 - Stefanie S Scher</v>
      </c>
      <c r="F9082" t="str">
        <f>"AICE PSYCH 1 AS"</f>
        <v>AICE PSYCH 1 AS</v>
      </c>
      <c r="G9082" t="str">
        <f>"17-1735"</f>
        <v>17-1735</v>
      </c>
      <c r="H9082" t="str">
        <f>"B"</f>
        <v>B</v>
      </c>
    </row>
    <row r="9083" spans="1:8" x14ac:dyDescent="0.2">
      <c r="A9083" t="str">
        <f t="shared" si="3288"/>
        <v>0615021713</v>
      </c>
      <c r="B9083" t="str">
        <f t="shared" si="3289"/>
        <v>KAMAL</v>
      </c>
      <c r="C9083" t="str">
        <f t="shared" si="3285"/>
        <v>KING</v>
      </c>
      <c r="D9083">
        <f>11</f>
        <v>11</v>
      </c>
      <c r="E9083" t="str">
        <f>"01 - A - 101 - Lisa J London"</f>
        <v>01 - A - 101 - Lisa J London</v>
      </c>
      <c r="F9083" t="str">
        <f>"AP CAPSTONE SEMINAR"</f>
        <v>AP CAPSTONE SEMINAR</v>
      </c>
      <c r="G9083" t="str">
        <f>"17-1714"</f>
        <v>17-1714</v>
      </c>
      <c r="H9083" t="str">
        <f>"A"</f>
        <v>A</v>
      </c>
    </row>
    <row r="9084" spans="1:8" x14ac:dyDescent="0.2">
      <c r="A9084" t="str">
        <f t="shared" si="3288"/>
        <v>0615021713</v>
      </c>
      <c r="B9084" t="str">
        <f t="shared" si="3289"/>
        <v>KAMAL</v>
      </c>
      <c r="C9084" t="str">
        <f t="shared" si="3285"/>
        <v>KING</v>
      </c>
      <c r="D9084">
        <f>11</f>
        <v>11</v>
      </c>
      <c r="E9084" t="str">
        <f>"08 - B - 105 - Daniel S Katz"</f>
        <v>08 - B - 105 - Daniel S Katz</v>
      </c>
      <c r="F9084" t="str">
        <f>"AICE MEDIA STUDIES A"</f>
        <v>AICE MEDIA STUDIES A</v>
      </c>
      <c r="G9084" t="str">
        <f>"05-521"</f>
        <v>05-521</v>
      </c>
      <c r="H9084" t="str">
        <f>"B"</f>
        <v>B</v>
      </c>
    </row>
    <row r="9085" spans="1:8" x14ac:dyDescent="0.2">
      <c r="A9085" t="str">
        <f t="shared" ref="A9085:A9095" si="3290">"0613118714"</f>
        <v>0613118714</v>
      </c>
      <c r="B9085" t="str">
        <f t="shared" ref="B9085:B9095" si="3291">"MAKAYLA"</f>
        <v>MAKAYLA</v>
      </c>
      <c r="C9085" t="str">
        <f t="shared" si="3285"/>
        <v>KING</v>
      </c>
      <c r="D9085">
        <f>12</f>
        <v>12</v>
      </c>
      <c r="E9085" t="str">
        <f>"19 - S1 - MTWHF - BCC - Instructor BC"</f>
        <v>19 - S1 - MTWHF - BCC - Instructor BC</v>
      </c>
      <c r="F9085" t="str">
        <f>"ANAT &amp; PHYSIOLOGY I"</f>
        <v>ANAT &amp; PHYSIOLOGY I</v>
      </c>
      <c r="G9085" t="str">
        <f>"60-DE"</f>
        <v>60-DE</v>
      </c>
      <c r="H9085" t="str">
        <f>"-"</f>
        <v>-</v>
      </c>
    </row>
    <row r="9086" spans="1:8" x14ac:dyDescent="0.2">
      <c r="A9086" t="str">
        <f t="shared" si="3290"/>
        <v>0613118714</v>
      </c>
      <c r="B9086" t="str">
        <f t="shared" si="3291"/>
        <v>MAKAYLA</v>
      </c>
      <c r="C9086" t="str">
        <f t="shared" si="3285"/>
        <v>KING</v>
      </c>
      <c r="D9086">
        <f>12</f>
        <v>12</v>
      </c>
      <c r="E9086" t="str">
        <f>"19 - S1 - MTWHF - BCC - Instructor BC"</f>
        <v>19 - S1 - MTWHF - BCC - Instructor BC</v>
      </c>
      <c r="F9086" t="str">
        <f>"HUMAN ANA &amp; PHYS LAB"</f>
        <v>HUMAN ANA &amp; PHYS LAB</v>
      </c>
      <c r="G9086" t="str">
        <f>"60-DE"</f>
        <v>60-DE</v>
      </c>
      <c r="H9086" t="str">
        <f>"-"</f>
        <v>-</v>
      </c>
    </row>
    <row r="9087" spans="1:8" x14ac:dyDescent="0.2">
      <c r="A9087" t="str">
        <f t="shared" si="3290"/>
        <v>0613118714</v>
      </c>
      <c r="B9087" t="str">
        <f t="shared" si="3291"/>
        <v>MAKAYLA</v>
      </c>
      <c r="C9087" t="str">
        <f t="shared" si="3285"/>
        <v>KING</v>
      </c>
      <c r="D9087">
        <f>12</f>
        <v>12</v>
      </c>
      <c r="E9087" t="str">
        <f>"19 - S1 - MTWHF - B18 - Instructor BC"</f>
        <v>19 - S1 - MTWHF - B18 - Instructor BC</v>
      </c>
      <c r="F9087" t="str">
        <f>"HEALTH FITNESS"</f>
        <v>HEALTH FITNESS</v>
      </c>
      <c r="G9087" t="str">
        <f>"60-DE"</f>
        <v>60-DE</v>
      </c>
      <c r="H9087" t="str">
        <f>"-"</f>
        <v>-</v>
      </c>
    </row>
    <row r="9088" spans="1:8" x14ac:dyDescent="0.2">
      <c r="A9088" t="str">
        <f t="shared" si="3290"/>
        <v>0613118714</v>
      </c>
      <c r="B9088" t="str">
        <f t="shared" si="3291"/>
        <v>MAKAYLA</v>
      </c>
      <c r="C9088" t="str">
        <f t="shared" si="3285"/>
        <v>KING</v>
      </c>
      <c r="D9088">
        <f>12</f>
        <v>12</v>
      </c>
      <c r="E9088" t="str">
        <f>"04 - A - 101 - Pamela M Corzo"</f>
        <v>04 - A - 101 - Pamela M Corzo</v>
      </c>
      <c r="F9088" t="str">
        <f>"CALCULUS HON"</f>
        <v>CALCULUS HON</v>
      </c>
      <c r="G9088" t="str">
        <f>"21-2133"</f>
        <v>21-2133</v>
      </c>
      <c r="H9088" t="str">
        <f>"A"</f>
        <v>A</v>
      </c>
    </row>
    <row r="9089" spans="1:8" x14ac:dyDescent="0.2">
      <c r="A9089" t="str">
        <f t="shared" si="3290"/>
        <v>0613118714</v>
      </c>
      <c r="B9089" t="str">
        <f t="shared" si="3291"/>
        <v>MAKAYLA</v>
      </c>
      <c r="C9089" t="str">
        <f t="shared" si="3285"/>
        <v>KING</v>
      </c>
      <c r="D9089">
        <f>12</f>
        <v>12</v>
      </c>
      <c r="E9089" t="str">
        <f>"06 - B - 113 - Marielle A Witting"</f>
        <v>06 - B - 113 - Marielle A Witting</v>
      </c>
      <c r="F9089" t="str">
        <f>"NC STUDY HALL 1"</f>
        <v>NC STUDY HALL 1</v>
      </c>
      <c r="G9089" t="str">
        <f>"08-805"</f>
        <v>08-805</v>
      </c>
      <c r="H9089" t="str">
        <f>"B"</f>
        <v>B</v>
      </c>
    </row>
    <row r="9090" spans="1:8" x14ac:dyDescent="0.2">
      <c r="A9090" t="str">
        <f t="shared" si="3290"/>
        <v>0613118714</v>
      </c>
      <c r="B9090" t="str">
        <f t="shared" si="3291"/>
        <v>MAKAYLA</v>
      </c>
      <c r="C9090" t="str">
        <f t="shared" si="3285"/>
        <v>KING</v>
      </c>
      <c r="D9090">
        <f>12</f>
        <v>12</v>
      </c>
      <c r="E9090" t="str">
        <f>"03 - A - 101 - Jazmin S Fletcher"</f>
        <v>03 - A - 101 - Jazmin S Fletcher</v>
      </c>
      <c r="F9090" t="str">
        <f>"TECH THEA DES&amp;PROD 1"</f>
        <v>TECH THEA DES&amp;PROD 1</v>
      </c>
      <c r="G9090" t="str">
        <f>"09-909"</f>
        <v>09-909</v>
      </c>
      <c r="H9090" t="str">
        <f>"A"</f>
        <v>A</v>
      </c>
    </row>
    <row r="9091" spans="1:8" x14ac:dyDescent="0.2">
      <c r="A9091" t="str">
        <f t="shared" si="3290"/>
        <v>0613118714</v>
      </c>
      <c r="B9091" t="str">
        <f t="shared" si="3291"/>
        <v>MAKAYLA</v>
      </c>
      <c r="C9091" t="str">
        <f t="shared" ref="C9091:C9119" si="3292">"KING"</f>
        <v>KING</v>
      </c>
      <c r="D9091">
        <f>12</f>
        <v>12</v>
      </c>
      <c r="E9091" t="str">
        <f>"02 - A - 204 - Jacqueline R Morphet"</f>
        <v>02 - A - 204 - Jacqueline R Morphet</v>
      </c>
      <c r="F9091" t="str">
        <f>"PHYSICS 1 HON"</f>
        <v>PHYSICS 1 HON</v>
      </c>
      <c r="G9091" t="str">
        <f>"21-2138"</f>
        <v>21-2138</v>
      </c>
      <c r="H9091" t="str">
        <f>"A"</f>
        <v>A</v>
      </c>
    </row>
    <row r="9092" spans="1:8" x14ac:dyDescent="0.2">
      <c r="A9092" t="str">
        <f t="shared" si="3290"/>
        <v>0613118714</v>
      </c>
      <c r="B9092" t="str">
        <f t="shared" si="3291"/>
        <v>MAKAYLA</v>
      </c>
      <c r="C9092" t="str">
        <f t="shared" si="3292"/>
        <v>KING</v>
      </c>
      <c r="D9092">
        <f>12</f>
        <v>12</v>
      </c>
      <c r="E9092" t="str">
        <f>"07 - S1 - B - 105 - Richard E Dunbar Iii"</f>
        <v>07 - S1 - B - 105 - Richard E Dunbar Iii</v>
      </c>
      <c r="F9092" t="str">
        <f>"WEIGHT TRAIN 3"</f>
        <v>WEIGHT TRAIN 3</v>
      </c>
      <c r="G9092" t="str">
        <f>"05-501"</f>
        <v>05-501</v>
      </c>
      <c r="H9092" t="str">
        <f>"B"</f>
        <v>B</v>
      </c>
    </row>
    <row r="9093" spans="1:8" x14ac:dyDescent="0.2">
      <c r="A9093" t="str">
        <f t="shared" si="3290"/>
        <v>0613118714</v>
      </c>
      <c r="B9093" t="str">
        <f t="shared" si="3291"/>
        <v>MAKAYLA</v>
      </c>
      <c r="C9093" t="str">
        <f t="shared" si="3292"/>
        <v>KING</v>
      </c>
      <c r="D9093">
        <f>12</f>
        <v>12</v>
      </c>
      <c r="E9093" t="str">
        <f>"05 - B - 104 - Jeffrey S Gallagher"</f>
        <v>05 - B - 104 - Jeffrey S Gallagher</v>
      </c>
      <c r="F9093" t="str">
        <f>"ENG HON 4"</f>
        <v>ENG HON 4</v>
      </c>
      <c r="G9093" t="str">
        <f>"17-1724"</f>
        <v>17-1724</v>
      </c>
      <c r="H9093" t="str">
        <f>"B"</f>
        <v>B</v>
      </c>
    </row>
    <row r="9094" spans="1:8" x14ac:dyDescent="0.2">
      <c r="A9094" t="str">
        <f t="shared" si="3290"/>
        <v>0613118714</v>
      </c>
      <c r="B9094" t="str">
        <f t="shared" si="3291"/>
        <v>MAKAYLA</v>
      </c>
      <c r="C9094" t="str">
        <f t="shared" si="3292"/>
        <v>KING</v>
      </c>
      <c r="D9094">
        <f>12</f>
        <v>12</v>
      </c>
      <c r="E9094" t="str">
        <f>"01 - S1 - A - 101 - Barbara L Segal"</f>
        <v>01 - S1 - A - 101 - Barbara L Segal</v>
      </c>
      <c r="F9094" t="str">
        <f>"US GOVT HON"</f>
        <v>US GOVT HON</v>
      </c>
      <c r="G9094" t="str">
        <f>"17-1742"</f>
        <v>17-1742</v>
      </c>
      <c r="H9094" t="str">
        <f>"A"</f>
        <v>A</v>
      </c>
    </row>
    <row r="9095" spans="1:8" x14ac:dyDescent="0.2">
      <c r="A9095" t="str">
        <f t="shared" si="3290"/>
        <v>0613118714</v>
      </c>
      <c r="B9095" t="str">
        <f t="shared" si="3291"/>
        <v>MAKAYLA</v>
      </c>
      <c r="C9095" t="str">
        <f t="shared" si="3292"/>
        <v>KING</v>
      </c>
      <c r="D9095">
        <f>12</f>
        <v>12</v>
      </c>
      <c r="E9095" t="str">
        <f>"08 - B - 101 - Marius D Orsolini"</f>
        <v>08 - B - 101 - Marius D Orsolini</v>
      </c>
      <c r="F9095" t="str">
        <f>"CULINARY ARTS 3 HON"</f>
        <v>CULINARY ARTS 3 HON</v>
      </c>
      <c r="G9095" t="str">
        <f>"21-2115"</f>
        <v>21-2115</v>
      </c>
      <c r="H9095" t="str">
        <f>"B"</f>
        <v>B</v>
      </c>
    </row>
    <row r="9096" spans="1:8" x14ac:dyDescent="0.2">
      <c r="A9096" t="str">
        <f t="shared" ref="A9096:A9103" si="3293">"0614053682"</f>
        <v>0614053682</v>
      </c>
      <c r="B9096" t="str">
        <f t="shared" ref="B9096:B9103" si="3294">"MARKAYLA"</f>
        <v>MARKAYLA</v>
      </c>
      <c r="C9096" t="str">
        <f t="shared" si="3292"/>
        <v>KING</v>
      </c>
      <c r="D9096">
        <f>12</f>
        <v>12</v>
      </c>
      <c r="E9096" t="str">
        <f>"04 - A - 101 - Pamela M Corzo"</f>
        <v>04 - A - 101 - Pamela M Corzo</v>
      </c>
      <c r="F9096" t="str">
        <f>"CALCULUS HON"</f>
        <v>CALCULUS HON</v>
      </c>
      <c r="G9096" t="str">
        <f>"21-2133"</f>
        <v>21-2133</v>
      </c>
      <c r="H9096" t="str">
        <f>"A"</f>
        <v>A</v>
      </c>
    </row>
    <row r="9097" spans="1:8" x14ac:dyDescent="0.2">
      <c r="A9097" t="str">
        <f t="shared" si="3293"/>
        <v>0614053682</v>
      </c>
      <c r="B9097" t="str">
        <f t="shared" si="3294"/>
        <v>MARKAYLA</v>
      </c>
      <c r="C9097" t="str">
        <f t="shared" si="3292"/>
        <v>KING</v>
      </c>
      <c r="D9097">
        <f>12</f>
        <v>12</v>
      </c>
      <c r="E9097" t="str">
        <f>"06 - B - 105 - Robyn L Trainer"</f>
        <v>06 - B - 105 - Robyn L Trainer</v>
      </c>
      <c r="F9097" t="str">
        <f>"NC STUDY HALL 1"</f>
        <v>NC STUDY HALL 1</v>
      </c>
      <c r="G9097" t="str">
        <f>"17-1734"</f>
        <v>17-1734</v>
      </c>
      <c r="H9097" t="str">
        <f>"B"</f>
        <v>B</v>
      </c>
    </row>
    <row r="9098" spans="1:8" x14ac:dyDescent="0.2">
      <c r="A9098" t="str">
        <f t="shared" si="3293"/>
        <v>0614053682</v>
      </c>
      <c r="B9098" t="str">
        <f t="shared" si="3294"/>
        <v>MARKAYLA</v>
      </c>
      <c r="C9098" t="str">
        <f t="shared" si="3292"/>
        <v>KING</v>
      </c>
      <c r="D9098">
        <f>12</f>
        <v>12</v>
      </c>
      <c r="E9098" t="str">
        <f>"03 - A - 202 - Jeanne M Bermudez"</f>
        <v>03 - A - 202 - Jeanne M Bermudez</v>
      </c>
      <c r="F9098" t="str">
        <f>"PHYSICS 1 HON"</f>
        <v>PHYSICS 1 HON</v>
      </c>
      <c r="G9098" t="str">
        <f>"21-2141"</f>
        <v>21-2141</v>
      </c>
      <c r="H9098" t="str">
        <f>"A"</f>
        <v>A</v>
      </c>
    </row>
    <row r="9099" spans="1:8" x14ac:dyDescent="0.2">
      <c r="A9099" t="str">
        <f t="shared" si="3293"/>
        <v>0614053682</v>
      </c>
      <c r="B9099" t="str">
        <f t="shared" si="3294"/>
        <v>MARKAYLA</v>
      </c>
      <c r="C9099" t="str">
        <f t="shared" si="3292"/>
        <v>KING</v>
      </c>
      <c r="D9099">
        <f>12</f>
        <v>12</v>
      </c>
      <c r="E9099" t="str">
        <f>"02 - A - 102 - Chrystina M Marchionne"</f>
        <v>02 - A - 102 - Chrystina M Marchionne</v>
      </c>
      <c r="F9099" t="str">
        <f>"AICE MEDIA STUDIES A"</f>
        <v>AICE MEDIA STUDIES A</v>
      </c>
      <c r="G9099" t="str">
        <f>"05-520"</f>
        <v>05-520</v>
      </c>
      <c r="H9099" t="str">
        <f>"A"</f>
        <v>A</v>
      </c>
    </row>
    <row r="9100" spans="1:8" x14ac:dyDescent="0.2">
      <c r="A9100" t="str">
        <f t="shared" si="3293"/>
        <v>0614053682</v>
      </c>
      <c r="B9100" t="str">
        <f t="shared" si="3294"/>
        <v>MARKAYLA</v>
      </c>
      <c r="C9100" t="str">
        <f t="shared" si="3292"/>
        <v>KING</v>
      </c>
      <c r="D9100">
        <f>12</f>
        <v>12</v>
      </c>
      <c r="E9100" t="str">
        <f>"07 - S1 - B - 107 - Kelly N Panza"</f>
        <v>07 - S1 - B - 107 - Kelly N Panza</v>
      </c>
      <c r="F9100" t="str">
        <f>"US GOVT HON"</f>
        <v>US GOVT HON</v>
      </c>
      <c r="G9100" t="str">
        <f>"17-1753"</f>
        <v>17-1753</v>
      </c>
      <c r="H9100" t="str">
        <f>"B"</f>
        <v>B</v>
      </c>
    </row>
    <row r="9101" spans="1:8" x14ac:dyDescent="0.2">
      <c r="A9101" t="str">
        <f t="shared" si="3293"/>
        <v>0614053682</v>
      </c>
      <c r="B9101" t="str">
        <f t="shared" si="3294"/>
        <v>MARKAYLA</v>
      </c>
      <c r="C9101" t="str">
        <f t="shared" si="3292"/>
        <v>KING</v>
      </c>
      <c r="D9101">
        <f>12</f>
        <v>12</v>
      </c>
      <c r="E9101" t="str">
        <f>"05 - B - 103 - Brandy N Zdenek"</f>
        <v>05 - B - 103 - Brandy N Zdenek</v>
      </c>
      <c r="F9101" t="str">
        <f>"AICE ENG LANG 2 AL"</f>
        <v>AICE ENG LANG 2 AL</v>
      </c>
      <c r="G9101" t="str">
        <f>"17-1704"</f>
        <v>17-1704</v>
      </c>
      <c r="H9101" t="str">
        <f>"B"</f>
        <v>B</v>
      </c>
    </row>
    <row r="9102" spans="1:8" x14ac:dyDescent="0.2">
      <c r="A9102" t="str">
        <f t="shared" si="3293"/>
        <v>0614053682</v>
      </c>
      <c r="B9102" t="str">
        <f t="shared" si="3294"/>
        <v>MARKAYLA</v>
      </c>
      <c r="C9102" t="str">
        <f t="shared" si="3292"/>
        <v>KING</v>
      </c>
      <c r="D9102">
        <f>12</f>
        <v>12</v>
      </c>
      <c r="E9102" t="str">
        <f>"01 - S1 - A - 101 - Jordana K Hass"</f>
        <v>01 - S1 - A - 101 - Jordana K Hass</v>
      </c>
      <c r="F9102" t="str">
        <f>"PRIN OF AERO SCI"</f>
        <v>PRIN OF AERO SCI</v>
      </c>
      <c r="G9102" t="str">
        <f>"08-807"</f>
        <v>08-807</v>
      </c>
      <c r="H9102" t="str">
        <f>"A"</f>
        <v>A</v>
      </c>
    </row>
    <row r="9103" spans="1:8" x14ac:dyDescent="0.2">
      <c r="A9103" t="str">
        <f t="shared" si="3293"/>
        <v>0614053682</v>
      </c>
      <c r="B9103" t="str">
        <f t="shared" si="3294"/>
        <v>MARKAYLA</v>
      </c>
      <c r="C9103" t="str">
        <f t="shared" si="3292"/>
        <v>KING</v>
      </c>
      <c r="D9103">
        <f>12</f>
        <v>12</v>
      </c>
      <c r="E9103" t="str">
        <f>"08 - B - 101 - Marius D Orsolini"</f>
        <v>08 - B - 101 - Marius D Orsolini</v>
      </c>
      <c r="F9103" t="str">
        <f>"CULINARY ARTS 2"</f>
        <v>CULINARY ARTS 2</v>
      </c>
      <c r="G9103" t="str">
        <f>"21-2115"</f>
        <v>21-2115</v>
      </c>
      <c r="H9103" t="str">
        <f>"B"</f>
        <v>B</v>
      </c>
    </row>
    <row r="9104" spans="1:8" x14ac:dyDescent="0.2">
      <c r="A9104" t="str">
        <f t="shared" ref="A9104:A9111" si="3295">"0614122832"</f>
        <v>0614122832</v>
      </c>
      <c r="B9104" t="str">
        <f t="shared" ref="B9104:B9111" si="3296">"OLIVIA"</f>
        <v>OLIVIA</v>
      </c>
      <c r="C9104" t="str">
        <f t="shared" si="3292"/>
        <v>KING</v>
      </c>
      <c r="D9104">
        <f>12</f>
        <v>12</v>
      </c>
      <c r="E9104" t="str">
        <f>"04 - A - 201 - Brian M Fitzgerald"</f>
        <v>04 - A - 201 - Brian M Fitzgerald</v>
      </c>
      <c r="F9104" t="str">
        <f>"PAINT 2"</f>
        <v>PAINT 2</v>
      </c>
      <c r="G9104" t="str">
        <f>"09-908"</f>
        <v>09-908</v>
      </c>
      <c r="H9104" t="str">
        <f>"A"</f>
        <v>A</v>
      </c>
    </row>
    <row r="9105" spans="1:8" x14ac:dyDescent="0.2">
      <c r="A9105" t="str">
        <f t="shared" si="3295"/>
        <v>0614122832</v>
      </c>
      <c r="B9105" t="str">
        <f t="shared" si="3296"/>
        <v>OLIVIA</v>
      </c>
      <c r="C9105" t="str">
        <f t="shared" si="3292"/>
        <v>KING</v>
      </c>
      <c r="D9105">
        <f>12</f>
        <v>12</v>
      </c>
      <c r="E9105" t="str">
        <f>"06 - B - 101 - Lenecy  Nodarse"</f>
        <v>06 - B - 101 - Lenecy  Nodarse</v>
      </c>
      <c r="F9105" t="str">
        <f>"NC STUDY HALL 1"</f>
        <v>NC STUDY HALL 1</v>
      </c>
      <c r="G9105" t="str">
        <f>"17-1741"</f>
        <v>17-1741</v>
      </c>
      <c r="H9105" t="str">
        <f>"B"</f>
        <v>B</v>
      </c>
    </row>
    <row r="9106" spans="1:8" x14ac:dyDescent="0.2">
      <c r="A9106" t="str">
        <f t="shared" si="3295"/>
        <v>0614122832</v>
      </c>
      <c r="B9106" t="str">
        <f t="shared" si="3296"/>
        <v>OLIVIA</v>
      </c>
      <c r="C9106" t="str">
        <f t="shared" si="3292"/>
        <v>KING</v>
      </c>
      <c r="D9106">
        <f>12</f>
        <v>12</v>
      </c>
      <c r="E9106" t="str">
        <f>"03 - A - 203 - Stefanie S Scher"</f>
        <v>03 - A - 203 - Stefanie S Scher</v>
      </c>
      <c r="F9106" t="str">
        <f>"AP PSYCH"</f>
        <v>AP PSYCH</v>
      </c>
      <c r="G9106" t="str">
        <f>"17-1735"</f>
        <v>17-1735</v>
      </c>
      <c r="H9106" t="str">
        <f>"A"</f>
        <v>A</v>
      </c>
    </row>
    <row r="9107" spans="1:8" x14ac:dyDescent="0.2">
      <c r="A9107" t="str">
        <f t="shared" si="3295"/>
        <v>0614122832</v>
      </c>
      <c r="B9107" t="str">
        <f t="shared" si="3296"/>
        <v>OLIVIA</v>
      </c>
      <c r="C9107" t="str">
        <f t="shared" si="3292"/>
        <v>KING</v>
      </c>
      <c r="D9107">
        <f>12</f>
        <v>12</v>
      </c>
      <c r="E9107" t="str">
        <f>"02 - A - 102 - Marielle A Witting"</f>
        <v>02 - A - 102 - Marielle A Witting</v>
      </c>
      <c r="F9107" t="str">
        <f>"AP BIO"</f>
        <v>AP BIO</v>
      </c>
      <c r="G9107" t="str">
        <f>"08-805"</f>
        <v>08-805</v>
      </c>
      <c r="H9107" t="str">
        <f>"A"</f>
        <v>A</v>
      </c>
    </row>
    <row r="9108" spans="1:8" x14ac:dyDescent="0.2">
      <c r="A9108" t="str">
        <f t="shared" si="3295"/>
        <v>0614122832</v>
      </c>
      <c r="B9108" t="str">
        <f t="shared" si="3296"/>
        <v>OLIVIA</v>
      </c>
      <c r="C9108" t="str">
        <f t="shared" si="3292"/>
        <v>KING</v>
      </c>
      <c r="D9108">
        <f>12</f>
        <v>12</v>
      </c>
      <c r="E9108" t="str">
        <f>"07 - B - 102 - Courtney E Hambright"</f>
        <v>07 - B - 102 - Courtney E Hambright</v>
      </c>
      <c r="F9108" t="str">
        <f>"AP ENG LIT COMPO"</f>
        <v>AP ENG LIT COMPO</v>
      </c>
      <c r="G9108" t="str">
        <f>"17-1711"</f>
        <v>17-1711</v>
      </c>
      <c r="H9108" t="str">
        <f>"B"</f>
        <v>B</v>
      </c>
    </row>
    <row r="9109" spans="1:8" x14ac:dyDescent="0.2">
      <c r="A9109" t="str">
        <f t="shared" si="3295"/>
        <v>0614122832</v>
      </c>
      <c r="B9109" t="str">
        <f t="shared" si="3296"/>
        <v>OLIVIA</v>
      </c>
      <c r="C9109" t="str">
        <f t="shared" si="3292"/>
        <v>KING</v>
      </c>
      <c r="D9109">
        <f>12</f>
        <v>12</v>
      </c>
      <c r="E9109" t="str">
        <f>"05 - S1 - B - 103 - Stephen T Ripp"</f>
        <v>05 - S1 - B - 103 - Stephen T Ripp</v>
      </c>
      <c r="F9109" t="str">
        <f>"AP US GOVT/POL"</f>
        <v>AP US GOVT/POL</v>
      </c>
      <c r="G9109" t="str">
        <f>"17-1744"</f>
        <v>17-1744</v>
      </c>
      <c r="H9109" t="str">
        <f>"B"</f>
        <v>B</v>
      </c>
    </row>
    <row r="9110" spans="1:8" x14ac:dyDescent="0.2">
      <c r="A9110" t="str">
        <f t="shared" si="3295"/>
        <v>0614122832</v>
      </c>
      <c r="B9110" t="str">
        <f t="shared" si="3296"/>
        <v>OLIVIA</v>
      </c>
      <c r="C9110" t="str">
        <f t="shared" si="3292"/>
        <v>KING</v>
      </c>
      <c r="D9110">
        <f>12</f>
        <v>12</v>
      </c>
      <c r="E9110" t="str">
        <f>"01 - A - 101 - Thomas G Handwerg"</f>
        <v>01 - A - 101 - Thomas G Handwerg</v>
      </c>
      <c r="F9110" t="str">
        <f>"PROB STAT W/APPS HON"</f>
        <v>PROB STAT W/APPS HON</v>
      </c>
      <c r="G9110" t="str">
        <f>"21-2146"</f>
        <v>21-2146</v>
      </c>
      <c r="H9110" t="str">
        <f>"A"</f>
        <v>A</v>
      </c>
    </row>
    <row r="9111" spans="1:8" x14ac:dyDescent="0.2">
      <c r="A9111" t="str">
        <f t="shared" si="3295"/>
        <v>0614122832</v>
      </c>
      <c r="B9111" t="str">
        <f t="shared" si="3296"/>
        <v>OLIVIA</v>
      </c>
      <c r="C9111" t="str">
        <f t="shared" si="3292"/>
        <v>KING</v>
      </c>
      <c r="D9111">
        <f>12</f>
        <v>12</v>
      </c>
      <c r="E9111" t="str">
        <f>"08 - B - 102 - Lisa J London"</f>
        <v>08 - B - 102 - Lisa J London</v>
      </c>
      <c r="F9111" t="str">
        <f>"AP CAPSTONE RESEARCH"</f>
        <v>AP CAPSTONE RESEARCH</v>
      </c>
      <c r="G9111" t="str">
        <f>"17-1714"</f>
        <v>17-1714</v>
      </c>
      <c r="H9111" t="str">
        <f>"B"</f>
        <v>B</v>
      </c>
    </row>
    <row r="9112" spans="1:8" x14ac:dyDescent="0.2">
      <c r="A9112" t="str">
        <f t="shared" ref="A9112:A9119" si="3297">"0624061326"</f>
        <v>0624061326</v>
      </c>
      <c r="B9112" t="str">
        <f t="shared" ref="B9112:B9119" si="3298">"RACELYN"</f>
        <v>RACELYN</v>
      </c>
      <c r="C9112" t="str">
        <f t="shared" si="3292"/>
        <v>KING</v>
      </c>
      <c r="D9112">
        <f>12</f>
        <v>12</v>
      </c>
      <c r="E9112" t="str">
        <f>"04 - S1 - A - 101 - Leslie J Barton"</f>
        <v>04 - S1 - A - 101 - Leslie J Barton</v>
      </c>
      <c r="F9112" t="str">
        <f>"TEAM SPORTS 1"</f>
        <v>TEAM SPORTS 1</v>
      </c>
      <c r="G9112" t="str">
        <f>"04-254"</f>
        <v>04-254</v>
      </c>
      <c r="H9112" t="str">
        <f>"A"</f>
        <v>A</v>
      </c>
    </row>
    <row r="9113" spans="1:8" x14ac:dyDescent="0.2">
      <c r="A9113" t="str">
        <f t="shared" si="3297"/>
        <v>0624061326</v>
      </c>
      <c r="B9113" t="str">
        <f t="shared" si="3298"/>
        <v>RACELYN</v>
      </c>
      <c r="C9113" t="str">
        <f t="shared" si="3292"/>
        <v>KING</v>
      </c>
      <c r="D9113">
        <f>12</f>
        <v>12</v>
      </c>
      <c r="E9113" t="str">
        <f>"06 - B - 111 - James H Mccann"</f>
        <v>06 - B - 111 - James H Mccann</v>
      </c>
      <c r="F9113" t="str">
        <f>"NC STUDY HALL 1"</f>
        <v>NC STUDY HALL 1</v>
      </c>
      <c r="G9113" t="str">
        <f>"17-1716"</f>
        <v>17-1716</v>
      </c>
      <c r="H9113" t="str">
        <f>"B"</f>
        <v>B</v>
      </c>
    </row>
    <row r="9114" spans="1:8" x14ac:dyDescent="0.2">
      <c r="A9114" t="str">
        <f t="shared" si="3297"/>
        <v>0624061326</v>
      </c>
      <c r="B9114" t="str">
        <f t="shared" si="3298"/>
        <v>RACELYN</v>
      </c>
      <c r="C9114" t="str">
        <f t="shared" si="3292"/>
        <v>KING</v>
      </c>
      <c r="D9114">
        <f>12</f>
        <v>12</v>
      </c>
      <c r="E9114" t="str">
        <f>"03 - A - 202 - Bruce A Evans"</f>
        <v>03 - A - 202 - Bruce A Evans</v>
      </c>
      <c r="F9114" t="str">
        <f>"HEALTH SCI FOUND HON"</f>
        <v>HEALTH SCI FOUND HON</v>
      </c>
      <c r="G9114" t="str">
        <f>"21-2142"</f>
        <v>21-2142</v>
      </c>
      <c r="H9114" t="str">
        <f>"A"</f>
        <v>A</v>
      </c>
    </row>
    <row r="9115" spans="1:8" x14ac:dyDescent="0.2">
      <c r="A9115" t="str">
        <f t="shared" si="3297"/>
        <v>0624061326</v>
      </c>
      <c r="B9115" t="str">
        <f t="shared" si="3298"/>
        <v>RACELYN</v>
      </c>
      <c r="C9115" t="str">
        <f t="shared" si="3292"/>
        <v>KING</v>
      </c>
      <c r="D9115">
        <f>12</f>
        <v>12</v>
      </c>
      <c r="E9115" t="str">
        <f>"02 - A - 102 - Bruce A Evans"</f>
        <v>02 - A - 102 - Bruce A Evans</v>
      </c>
      <c r="F9115" t="str">
        <f>"EMERG MED RESP 3 HON"</f>
        <v>EMERG MED RESP 3 HON</v>
      </c>
      <c r="G9115" t="str">
        <f>"21-2142"</f>
        <v>21-2142</v>
      </c>
      <c r="H9115" t="str">
        <f>"A"</f>
        <v>A</v>
      </c>
    </row>
    <row r="9116" spans="1:8" x14ac:dyDescent="0.2">
      <c r="A9116" t="str">
        <f t="shared" si="3297"/>
        <v>0624061326</v>
      </c>
      <c r="B9116" t="str">
        <f t="shared" si="3298"/>
        <v>RACELYN</v>
      </c>
      <c r="C9116" t="str">
        <f t="shared" si="3292"/>
        <v>KING</v>
      </c>
      <c r="D9116">
        <f>12</f>
        <v>12</v>
      </c>
      <c r="E9116" t="str">
        <f>"07 - B - 105 - Robert H Rindner"</f>
        <v>07 - B - 105 - Robert H Rindner</v>
      </c>
      <c r="F9116" t="str">
        <f>"MATH DATA&amp;FIN LIT H"</f>
        <v>MATH DATA&amp;FIN LIT H</v>
      </c>
      <c r="G9116" t="str">
        <f>"21-2160"</f>
        <v>21-2160</v>
      </c>
      <c r="H9116" t="str">
        <f>"B"</f>
        <v>B</v>
      </c>
    </row>
    <row r="9117" spans="1:8" x14ac:dyDescent="0.2">
      <c r="A9117" t="str">
        <f t="shared" si="3297"/>
        <v>0624061326</v>
      </c>
      <c r="B9117" t="str">
        <f t="shared" si="3298"/>
        <v>RACELYN</v>
      </c>
      <c r="C9117" t="str">
        <f t="shared" si="3292"/>
        <v>KING</v>
      </c>
      <c r="D9117">
        <f>12</f>
        <v>12</v>
      </c>
      <c r="E9117" t="str">
        <f>"05 - B - 108 - Valerie J Ruwe"</f>
        <v>05 - B - 108 - Valerie J Ruwe</v>
      </c>
      <c r="F9117" t="str">
        <f>"CHEMISTRY 1 HON"</f>
        <v>CHEMISTRY 1 HON</v>
      </c>
      <c r="G9117" t="str">
        <f>"21-2138"</f>
        <v>21-2138</v>
      </c>
      <c r="H9117" t="str">
        <f>"B"</f>
        <v>B</v>
      </c>
    </row>
    <row r="9118" spans="1:8" x14ac:dyDescent="0.2">
      <c r="A9118" t="str">
        <f t="shared" si="3297"/>
        <v>0624061326</v>
      </c>
      <c r="B9118" t="str">
        <f t="shared" si="3298"/>
        <v>RACELYN</v>
      </c>
      <c r="C9118" t="str">
        <f t="shared" si="3292"/>
        <v>KING</v>
      </c>
      <c r="D9118">
        <f>12</f>
        <v>12</v>
      </c>
      <c r="E9118" t="str">
        <f>"01 - S1 - A - 101 - Barbara L Segal"</f>
        <v>01 - S1 - A - 101 - Barbara L Segal</v>
      </c>
      <c r="F9118" t="str">
        <f>"US GOVT HON"</f>
        <v>US GOVT HON</v>
      </c>
      <c r="G9118" t="str">
        <f>"17-1742"</f>
        <v>17-1742</v>
      </c>
      <c r="H9118" t="str">
        <f>"A"</f>
        <v>A</v>
      </c>
    </row>
    <row r="9119" spans="1:8" x14ac:dyDescent="0.2">
      <c r="A9119" t="str">
        <f t="shared" si="3297"/>
        <v>0624061326</v>
      </c>
      <c r="B9119" t="str">
        <f t="shared" si="3298"/>
        <v>RACELYN</v>
      </c>
      <c r="C9119" t="str">
        <f t="shared" si="3292"/>
        <v>KING</v>
      </c>
      <c r="D9119">
        <f>12</f>
        <v>12</v>
      </c>
      <c r="E9119" t="str">
        <f>"08 - B - 105 - Jeffrey S Gallagher"</f>
        <v>08 - B - 105 - Jeffrey S Gallagher</v>
      </c>
      <c r="F9119" t="str">
        <f>"ENG HON 4"</f>
        <v>ENG HON 4</v>
      </c>
      <c r="G9119" t="str">
        <f>"17-1724"</f>
        <v>17-1724</v>
      </c>
      <c r="H9119" t="str">
        <f>"B"</f>
        <v>B</v>
      </c>
    </row>
    <row r="9120" spans="1:8" x14ac:dyDescent="0.2">
      <c r="A9120" t="str">
        <f t="shared" ref="A9120:A9127" si="3299">"0615058426"</f>
        <v>0615058426</v>
      </c>
      <c r="B9120" t="str">
        <f t="shared" ref="B9120:B9127" si="3300">"SHAINA"</f>
        <v>SHAINA</v>
      </c>
      <c r="C9120" t="str">
        <f t="shared" ref="C9120:C9127" si="3301">"KINLOCKE"</f>
        <v>KINLOCKE</v>
      </c>
      <c r="D9120">
        <f>11</f>
        <v>11</v>
      </c>
      <c r="E9120" t="str">
        <f>"04 - A - 102 - Brandy N Zdenek"</f>
        <v>04 - A - 102 - Brandy N Zdenek</v>
      </c>
      <c r="F9120" t="str">
        <f>"AICE ENG LANG 2 AL"</f>
        <v>AICE ENG LANG 2 AL</v>
      </c>
      <c r="G9120" t="str">
        <f>"17-1704"</f>
        <v>17-1704</v>
      </c>
      <c r="H9120" t="str">
        <f>"A"</f>
        <v>A</v>
      </c>
    </row>
    <row r="9121" spans="1:8" x14ac:dyDescent="0.2">
      <c r="A9121" t="str">
        <f t="shared" si="3299"/>
        <v>0615058426</v>
      </c>
      <c r="B9121" t="str">
        <f t="shared" si="3300"/>
        <v>SHAINA</v>
      </c>
      <c r="C9121" t="str">
        <f t="shared" si="3301"/>
        <v>KINLOCKE</v>
      </c>
      <c r="D9121">
        <f>11</f>
        <v>11</v>
      </c>
      <c r="E9121" t="str">
        <f>"06 - B - 102 - Stephen T Ripp"</f>
        <v>06 - B - 102 - Stephen T Ripp</v>
      </c>
      <c r="F9121" t="str">
        <f>"AP U.S. HIST"</f>
        <v>AP U.S. HIST</v>
      </c>
      <c r="G9121" t="str">
        <f>"17-1744"</f>
        <v>17-1744</v>
      </c>
      <c r="H9121" t="str">
        <f>"B"</f>
        <v>B</v>
      </c>
    </row>
    <row r="9122" spans="1:8" x14ac:dyDescent="0.2">
      <c r="A9122" t="str">
        <f t="shared" si="3299"/>
        <v>0615058426</v>
      </c>
      <c r="B9122" t="str">
        <f t="shared" si="3300"/>
        <v>SHAINA</v>
      </c>
      <c r="C9122" t="str">
        <f t="shared" si="3301"/>
        <v>KINLOCKE</v>
      </c>
      <c r="D9122">
        <f>11</f>
        <v>11</v>
      </c>
      <c r="E9122" t="str">
        <f>"03 - A - 101 - Rosa Elaine  Collado-Duff"</f>
        <v>03 - A - 101 - Rosa Elaine  Collado-Duff</v>
      </c>
      <c r="F9122" t="str">
        <f>"SPANISH 3 HON"</f>
        <v>SPANISH 3 HON</v>
      </c>
      <c r="G9122" t="str">
        <f>"09-913"</f>
        <v>09-913</v>
      </c>
      <c r="H9122" t="str">
        <f>"A"</f>
        <v>A</v>
      </c>
    </row>
    <row r="9123" spans="1:8" x14ac:dyDescent="0.2">
      <c r="A9123" t="str">
        <f t="shared" si="3299"/>
        <v>0615058426</v>
      </c>
      <c r="B9123" t="str">
        <f t="shared" si="3300"/>
        <v>SHAINA</v>
      </c>
      <c r="C9123" t="str">
        <f t="shared" si="3301"/>
        <v>KINLOCKE</v>
      </c>
      <c r="D9123">
        <f>11</f>
        <v>11</v>
      </c>
      <c r="E9123" t="str">
        <f>"02 - A - 105 - Leslie J Barton"</f>
        <v>02 - A - 105 - Leslie J Barton</v>
      </c>
      <c r="F9123" t="str">
        <f>"NC STUDY HALL 1"</f>
        <v>NC STUDY HALL 1</v>
      </c>
      <c r="G9123" t="str">
        <f>"05-521"</f>
        <v>05-521</v>
      </c>
      <c r="H9123" t="str">
        <f>"A"</f>
        <v>A</v>
      </c>
    </row>
    <row r="9124" spans="1:8" x14ac:dyDescent="0.2">
      <c r="A9124" t="str">
        <f t="shared" si="3299"/>
        <v>0615058426</v>
      </c>
      <c r="B9124" t="str">
        <f t="shared" si="3300"/>
        <v>SHAINA</v>
      </c>
      <c r="C9124" t="str">
        <f t="shared" si="3301"/>
        <v>KINLOCKE</v>
      </c>
      <c r="D9124">
        <f>11</f>
        <v>11</v>
      </c>
      <c r="E9124" t="str">
        <f>"07 - B - 103 - Lisa J London"</f>
        <v>07 - B - 103 - Lisa J London</v>
      </c>
      <c r="F9124" t="str">
        <f>"AP CAPSTONE SEMINAR"</f>
        <v>AP CAPSTONE SEMINAR</v>
      </c>
      <c r="G9124" t="str">
        <f>"17-1714"</f>
        <v>17-1714</v>
      </c>
      <c r="H9124" t="str">
        <f>"B"</f>
        <v>B</v>
      </c>
    </row>
    <row r="9125" spans="1:8" x14ac:dyDescent="0.2">
      <c r="A9125" t="str">
        <f t="shared" si="3299"/>
        <v>0615058426</v>
      </c>
      <c r="B9125" t="str">
        <f t="shared" si="3300"/>
        <v>SHAINA</v>
      </c>
      <c r="C9125" t="str">
        <f t="shared" si="3301"/>
        <v>KINLOCKE</v>
      </c>
      <c r="D9125">
        <f>11</f>
        <v>11</v>
      </c>
      <c r="E9125" t="str">
        <f>"05 - B - 101 - Pamela M Corzo"</f>
        <v>05 - B - 101 - Pamela M Corzo</v>
      </c>
      <c r="F9125" t="str">
        <f>"AP CALCULUS AB"</f>
        <v>AP CALCULUS AB</v>
      </c>
      <c r="G9125" t="str">
        <f>"21-2133"</f>
        <v>21-2133</v>
      </c>
      <c r="H9125" t="str">
        <f>"B"</f>
        <v>B</v>
      </c>
    </row>
    <row r="9126" spans="1:8" x14ac:dyDescent="0.2">
      <c r="A9126" t="str">
        <f t="shared" si="3299"/>
        <v>0615058426</v>
      </c>
      <c r="B9126" t="str">
        <f t="shared" si="3300"/>
        <v>SHAINA</v>
      </c>
      <c r="C9126" t="str">
        <f t="shared" si="3301"/>
        <v>KINLOCKE</v>
      </c>
      <c r="D9126">
        <f>11</f>
        <v>11</v>
      </c>
      <c r="E9126" t="str">
        <f>"01 - A - 101 - Marielle A Witting"</f>
        <v>01 - A - 101 - Marielle A Witting</v>
      </c>
      <c r="F9126" t="str">
        <f>"AP BIO"</f>
        <v>AP BIO</v>
      </c>
      <c r="G9126" t="str">
        <f>"08-805"</f>
        <v>08-805</v>
      </c>
      <c r="H9126" t="str">
        <f>"A"</f>
        <v>A</v>
      </c>
    </row>
    <row r="9127" spans="1:8" x14ac:dyDescent="0.2">
      <c r="A9127" t="str">
        <f t="shared" si="3299"/>
        <v>0615058426</v>
      </c>
      <c r="B9127" t="str">
        <f t="shared" si="3300"/>
        <v>SHAINA</v>
      </c>
      <c r="C9127" t="str">
        <f t="shared" si="3301"/>
        <v>KINLOCKE</v>
      </c>
      <c r="D9127">
        <f>11</f>
        <v>11</v>
      </c>
      <c r="E9127" t="str">
        <f>"08 - B - 101 - Jordana K Hass"</f>
        <v>08 - B - 101 - Jordana K Hass</v>
      </c>
      <c r="F9127" t="str">
        <f>"AICE INFO TECH 1 AS"</f>
        <v>AICE INFO TECH 1 AS</v>
      </c>
      <c r="G9127" t="str">
        <f>"08-807"</f>
        <v>08-807</v>
      </c>
      <c r="H9127" t="str">
        <f>"B"</f>
        <v>B</v>
      </c>
    </row>
    <row r="9128" spans="1:8" x14ac:dyDescent="0.2">
      <c r="A9128" t="str">
        <f t="shared" ref="A9128:A9135" si="3302">"0626006292"</f>
        <v>0626006292</v>
      </c>
      <c r="B9128" t="str">
        <f t="shared" ref="B9128:B9135" si="3303">"Emiliya"</f>
        <v>Emiliya</v>
      </c>
      <c r="C9128" t="str">
        <f t="shared" ref="C9128:C9135" si="3304">"Kiryanova"</f>
        <v>Kiryanova</v>
      </c>
      <c r="D9128">
        <f>11</f>
        <v>11</v>
      </c>
      <c r="E9128" t="str">
        <f>"04 - A - 101 - Stefanie S Scher"</f>
        <v>04 - A - 101 - Stefanie S Scher</v>
      </c>
      <c r="F9128" t="str">
        <f>"AP PSYCH"</f>
        <v>AP PSYCH</v>
      </c>
      <c r="G9128" t="str">
        <f>"17-1735"</f>
        <v>17-1735</v>
      </c>
      <c r="H9128" t="str">
        <f>"A"</f>
        <v>A</v>
      </c>
    </row>
    <row r="9129" spans="1:8" x14ac:dyDescent="0.2">
      <c r="A9129" t="str">
        <f t="shared" si="3302"/>
        <v>0626006292</v>
      </c>
      <c r="B9129" t="str">
        <f t="shared" si="3303"/>
        <v>Emiliya</v>
      </c>
      <c r="C9129" t="str">
        <f t="shared" si="3304"/>
        <v>Kiryanova</v>
      </c>
      <c r="D9129">
        <f>11</f>
        <v>11</v>
      </c>
      <c r="E9129" t="str">
        <f>"06 - B - 105 - Cheryl L Beach"</f>
        <v>06 - B - 105 - Cheryl L Beach</v>
      </c>
      <c r="F9129" t="str">
        <f>"AICE ENV MGMNT AS"</f>
        <v>AICE ENV MGMNT AS</v>
      </c>
      <c r="G9129" t="str">
        <f>"08-811"</f>
        <v>08-811</v>
      </c>
      <c r="H9129" t="str">
        <f>"B"</f>
        <v>B</v>
      </c>
    </row>
    <row r="9130" spans="1:8" x14ac:dyDescent="0.2">
      <c r="A9130" t="str">
        <f t="shared" si="3302"/>
        <v>0626006292</v>
      </c>
      <c r="B9130" t="str">
        <f t="shared" si="3303"/>
        <v>Emiliya</v>
      </c>
      <c r="C9130" t="str">
        <f t="shared" si="3304"/>
        <v>Kiryanova</v>
      </c>
      <c r="D9130">
        <f>11</f>
        <v>11</v>
      </c>
      <c r="E9130" t="str">
        <f>"03 - A - 101 - Eva T Rimmer"</f>
        <v>03 - A - 101 - Eva T Rimmer</v>
      </c>
      <c r="F9130" t="str">
        <f>"CRIMINAL JUST OPS 1"</f>
        <v>CRIMINAL JUST OPS 1</v>
      </c>
      <c r="G9130" t="str">
        <f>"05-523"</f>
        <v>05-523</v>
      </c>
      <c r="H9130" t="str">
        <f>"A"</f>
        <v>A</v>
      </c>
    </row>
    <row r="9131" spans="1:8" x14ac:dyDescent="0.2">
      <c r="A9131" t="str">
        <f t="shared" si="3302"/>
        <v>0626006292</v>
      </c>
      <c r="B9131" t="str">
        <f t="shared" si="3303"/>
        <v>Emiliya</v>
      </c>
      <c r="C9131" t="str">
        <f t="shared" si="3304"/>
        <v>Kiryanova</v>
      </c>
      <c r="D9131">
        <f>11</f>
        <v>11</v>
      </c>
      <c r="E9131" t="str">
        <f>"02 - A - 103 - Kelly N Panza"</f>
        <v>02 - A - 103 - Kelly N Panza</v>
      </c>
      <c r="F9131" t="str">
        <f>"NC STUDY HALL 1"</f>
        <v>NC STUDY HALL 1</v>
      </c>
      <c r="G9131" t="str">
        <f>"17-1753"</f>
        <v>17-1753</v>
      </c>
      <c r="H9131" t="str">
        <f>"A"</f>
        <v>A</v>
      </c>
    </row>
    <row r="9132" spans="1:8" x14ac:dyDescent="0.2">
      <c r="A9132" t="str">
        <f t="shared" si="3302"/>
        <v>0626006292</v>
      </c>
      <c r="B9132" t="str">
        <f t="shared" si="3303"/>
        <v>Emiliya</v>
      </c>
      <c r="C9132" t="str">
        <f t="shared" si="3304"/>
        <v>Kiryanova</v>
      </c>
      <c r="D9132">
        <f>11</f>
        <v>11</v>
      </c>
      <c r="E9132" t="str">
        <f>"07 - B - 102 - Lourivaldo  Da Silva"</f>
        <v>07 - B - 102 - Lourivaldo  Da Silva</v>
      </c>
      <c r="F9132" t="str">
        <f>"ALGEBRA 2 HON"</f>
        <v>ALGEBRA 2 HON</v>
      </c>
      <c r="G9132" t="str">
        <f>"20-2079"</f>
        <v>20-2079</v>
      </c>
      <c r="H9132" t="str">
        <f>"B"</f>
        <v>B</v>
      </c>
    </row>
    <row r="9133" spans="1:8" x14ac:dyDescent="0.2">
      <c r="A9133" t="str">
        <f t="shared" si="3302"/>
        <v>0626006292</v>
      </c>
      <c r="B9133" t="str">
        <f t="shared" si="3303"/>
        <v>Emiliya</v>
      </c>
      <c r="C9133" t="str">
        <f t="shared" si="3304"/>
        <v>Kiryanova</v>
      </c>
      <c r="D9133">
        <f>11</f>
        <v>11</v>
      </c>
      <c r="E9133" t="str">
        <f>"05 - B - 003 - Krystal Marie  Beruty"</f>
        <v>05 - B - 003 - Krystal Marie  Beruty</v>
      </c>
      <c r="F9133" t="str">
        <f>"AICE GLBL PERSP 1 AS"</f>
        <v>AICE GLBL PERSP 1 AS</v>
      </c>
      <c r="G9133" t="str">
        <f>"17-1721"</f>
        <v>17-1721</v>
      </c>
      <c r="H9133" t="str">
        <f>"B"</f>
        <v>B</v>
      </c>
    </row>
    <row r="9134" spans="1:8" x14ac:dyDescent="0.2">
      <c r="A9134" t="str">
        <f t="shared" si="3302"/>
        <v>0626006292</v>
      </c>
      <c r="B9134" t="str">
        <f t="shared" si="3303"/>
        <v>Emiliya</v>
      </c>
      <c r="C9134" t="str">
        <f t="shared" si="3304"/>
        <v>Kiryanova</v>
      </c>
      <c r="D9134">
        <f>11</f>
        <v>11</v>
      </c>
      <c r="E9134" t="str">
        <f>"01 - A - 101 - Jacklyn M James"</f>
        <v>01 - A - 101 - Jacklyn M James</v>
      </c>
      <c r="F9134" t="str">
        <f>"AICE ENG LANG AS"</f>
        <v>AICE ENG LANG AS</v>
      </c>
      <c r="G9134" t="str">
        <f>"17-1731"</f>
        <v>17-1731</v>
      </c>
      <c r="H9134" t="str">
        <f>"A"</f>
        <v>A</v>
      </c>
    </row>
    <row r="9135" spans="1:8" x14ac:dyDescent="0.2">
      <c r="A9135" t="str">
        <f t="shared" si="3302"/>
        <v>0626006292</v>
      </c>
      <c r="B9135" t="str">
        <f t="shared" si="3303"/>
        <v>Emiliya</v>
      </c>
      <c r="C9135" t="str">
        <f t="shared" si="3304"/>
        <v>Kiryanova</v>
      </c>
      <c r="D9135">
        <f>11</f>
        <v>11</v>
      </c>
      <c r="E9135" t="str">
        <f>"08 - B - 001 - Jerry S Jiampetti"</f>
        <v>08 - B - 001 - Jerry S Jiampetti</v>
      </c>
      <c r="F9135" t="str">
        <f>"AICE U.S. HIST 1 AS"</f>
        <v>AICE U.S. HIST 1 AS</v>
      </c>
      <c r="G9135" t="str">
        <f>"17-1751"</f>
        <v>17-1751</v>
      </c>
      <c r="H9135" t="str">
        <f>"B"</f>
        <v>B</v>
      </c>
    </row>
    <row r="9136" spans="1:8" x14ac:dyDescent="0.2">
      <c r="A9136" t="str">
        <f t="shared" ref="A9136:A9143" si="3305">"0615105695"</f>
        <v>0615105695</v>
      </c>
      <c r="B9136" t="str">
        <f t="shared" ref="B9136:B9143" si="3306">"ELLIOT"</f>
        <v>ELLIOT</v>
      </c>
      <c r="C9136" t="str">
        <f t="shared" ref="C9136:C9151" si="3307">"KLAVAN"</f>
        <v>KLAVAN</v>
      </c>
      <c r="D9136">
        <f>10</f>
        <v>10</v>
      </c>
      <c r="E9136" t="str">
        <f>"04 - A - 105 - Jacklyn M James"</f>
        <v>04 - A - 105 - Jacklyn M James</v>
      </c>
      <c r="F9136" t="str">
        <f>"AICE ENG LANG AS"</f>
        <v>AICE ENG LANG AS</v>
      </c>
      <c r="G9136" t="str">
        <f>"17-1731"</f>
        <v>17-1731</v>
      </c>
      <c r="H9136" t="str">
        <f>"A"</f>
        <v>A</v>
      </c>
    </row>
    <row r="9137" spans="1:8" x14ac:dyDescent="0.2">
      <c r="A9137" t="str">
        <f t="shared" si="3305"/>
        <v>0615105695</v>
      </c>
      <c r="B9137" t="str">
        <f t="shared" si="3306"/>
        <v>ELLIOT</v>
      </c>
      <c r="C9137" t="str">
        <f t="shared" si="3307"/>
        <v>KLAVAN</v>
      </c>
      <c r="D9137">
        <f>10</f>
        <v>10</v>
      </c>
      <c r="E9137" t="str">
        <f>"06 - B - 109 - Semra  Bahadir"</f>
        <v>06 - B - 109 - Semra  Bahadir</v>
      </c>
      <c r="F9137" t="str">
        <f>"NC STUDY HALL 1"</f>
        <v>NC STUDY HALL 1</v>
      </c>
      <c r="G9137" t="str">
        <f>"21-2107"</f>
        <v>21-2107</v>
      </c>
      <c r="H9137" t="str">
        <f>"B"</f>
        <v>B</v>
      </c>
    </row>
    <row r="9138" spans="1:8" x14ac:dyDescent="0.2">
      <c r="A9138" t="str">
        <f t="shared" si="3305"/>
        <v>0615105695</v>
      </c>
      <c r="B9138" t="str">
        <f t="shared" si="3306"/>
        <v>ELLIOT</v>
      </c>
      <c r="C9138" t="str">
        <f t="shared" si="3307"/>
        <v>KLAVAN</v>
      </c>
      <c r="D9138">
        <f>10</f>
        <v>10</v>
      </c>
      <c r="E9138" t="str">
        <f>"03 - A - 101 - Brian M Fitzgerald"</f>
        <v>03 - A - 101 - Brian M Fitzgerald</v>
      </c>
      <c r="F9138" t="str">
        <f>"SCULPT 1"</f>
        <v>SCULPT 1</v>
      </c>
      <c r="G9138" t="str">
        <f>"09-908"</f>
        <v>09-908</v>
      </c>
      <c r="H9138" t="str">
        <f>"A"</f>
        <v>A</v>
      </c>
    </row>
    <row r="9139" spans="1:8" x14ac:dyDescent="0.2">
      <c r="A9139" t="str">
        <f t="shared" si="3305"/>
        <v>0615105695</v>
      </c>
      <c r="B9139" t="str">
        <f t="shared" si="3306"/>
        <v>ELLIOT</v>
      </c>
      <c r="C9139" t="str">
        <f t="shared" si="3307"/>
        <v>KLAVAN</v>
      </c>
      <c r="D9139">
        <f>10</f>
        <v>10</v>
      </c>
      <c r="E9139" t="str">
        <f>"02 - A - 104 - Joe  Kilpatrick Jr"</f>
        <v>02 - A - 104 - Joe  Kilpatrick Jr</v>
      </c>
      <c r="F9139" t="str">
        <f>"PRE-AICE SPAN 2 IG"</f>
        <v>PRE-AICE SPAN 2 IG</v>
      </c>
      <c r="G9139" t="str">
        <f>"09-912"</f>
        <v>09-912</v>
      </c>
      <c r="H9139" t="str">
        <f>"A"</f>
        <v>A</v>
      </c>
    </row>
    <row r="9140" spans="1:8" x14ac:dyDescent="0.2">
      <c r="A9140" t="str">
        <f t="shared" si="3305"/>
        <v>0615105695</v>
      </c>
      <c r="B9140" t="str">
        <f t="shared" si="3306"/>
        <v>ELLIOT</v>
      </c>
      <c r="C9140" t="str">
        <f t="shared" si="3307"/>
        <v>KLAVAN</v>
      </c>
      <c r="D9140">
        <f>10</f>
        <v>10</v>
      </c>
      <c r="E9140" t="str">
        <f>"07 - B - 102 - Thomas G Handwerg"</f>
        <v>07 - B - 102 - Thomas G Handwerg</v>
      </c>
      <c r="F9140" t="str">
        <f>"PROB STAT W/APPS HON"</f>
        <v>PROB STAT W/APPS HON</v>
      </c>
      <c r="G9140" t="str">
        <f>"21-2146"</f>
        <v>21-2146</v>
      </c>
      <c r="H9140" t="str">
        <f>"B"</f>
        <v>B</v>
      </c>
    </row>
    <row r="9141" spans="1:8" x14ac:dyDescent="0.2">
      <c r="A9141" t="str">
        <f t="shared" si="3305"/>
        <v>0615105695</v>
      </c>
      <c r="B9141" t="str">
        <f t="shared" si="3306"/>
        <v>ELLIOT</v>
      </c>
      <c r="C9141" t="str">
        <f t="shared" si="3307"/>
        <v>KLAVAN</v>
      </c>
      <c r="D9141">
        <f>10</f>
        <v>10</v>
      </c>
      <c r="E9141" t="str">
        <f>"05 - B - 001 - Stefanie S Scher"</f>
        <v>05 - B - 001 - Stefanie S Scher</v>
      </c>
      <c r="F9141" t="str">
        <f>"AICE PSYCH 1 AS"</f>
        <v>AICE PSYCH 1 AS</v>
      </c>
      <c r="G9141" t="str">
        <f>"17-1735"</f>
        <v>17-1735</v>
      </c>
      <c r="H9141" t="str">
        <f>"B"</f>
        <v>B</v>
      </c>
    </row>
    <row r="9142" spans="1:8" x14ac:dyDescent="0.2">
      <c r="A9142" t="str">
        <f t="shared" si="3305"/>
        <v>0615105695</v>
      </c>
      <c r="B9142" t="str">
        <f t="shared" si="3306"/>
        <v>ELLIOT</v>
      </c>
      <c r="C9142" t="str">
        <f t="shared" si="3307"/>
        <v>KLAVAN</v>
      </c>
      <c r="D9142">
        <f>10</f>
        <v>10</v>
      </c>
      <c r="E9142" t="str">
        <f>"01 - A - 001 - Lenecy  Nodarse"</f>
        <v>01 - A - 001 - Lenecy  Nodarse</v>
      </c>
      <c r="F9142" t="str">
        <f>"AICE EURO HIST 1 AS"</f>
        <v>AICE EURO HIST 1 AS</v>
      </c>
      <c r="G9142" t="str">
        <f>"17-1741"</f>
        <v>17-1741</v>
      </c>
      <c r="H9142" t="str">
        <f>"A"</f>
        <v>A</v>
      </c>
    </row>
    <row r="9143" spans="1:8" x14ac:dyDescent="0.2">
      <c r="A9143" t="str">
        <f t="shared" si="3305"/>
        <v>0615105695</v>
      </c>
      <c r="B9143" t="str">
        <f t="shared" si="3306"/>
        <v>ELLIOT</v>
      </c>
      <c r="C9143" t="str">
        <f t="shared" si="3307"/>
        <v>KLAVAN</v>
      </c>
      <c r="D9143">
        <f>10</f>
        <v>10</v>
      </c>
      <c r="E9143" t="str">
        <f>"08 - B - 206 - Daniel S Katz"</f>
        <v>08 - B - 206 - Daniel S Katz</v>
      </c>
      <c r="F9143" t="str">
        <f>"AICE MEDIASTUDIES AS"</f>
        <v>AICE MEDIASTUDIES AS</v>
      </c>
      <c r="G9143" t="str">
        <f>"05-521"</f>
        <v>05-521</v>
      </c>
      <c r="H9143" t="str">
        <f>"B"</f>
        <v>B</v>
      </c>
    </row>
    <row r="9144" spans="1:8" x14ac:dyDescent="0.2">
      <c r="A9144" t="str">
        <f t="shared" ref="A9144:A9151" si="3308">"0613091526"</f>
        <v>0613091526</v>
      </c>
      <c r="B9144" t="str">
        <f t="shared" ref="B9144:B9151" si="3309">"ESTHER"</f>
        <v>ESTHER</v>
      </c>
      <c r="C9144" t="str">
        <f t="shared" si="3307"/>
        <v>KLAVAN</v>
      </c>
      <c r="D9144">
        <f>12</f>
        <v>12</v>
      </c>
      <c r="E9144" t="str">
        <f>"04 - A - 106 - Tina M Jaramillo"</f>
        <v>04 - A - 106 - Tina M Jaramillo</v>
      </c>
      <c r="F9144" t="str">
        <f>"AP ENG LIT COMPO"</f>
        <v>AP ENG LIT COMPO</v>
      </c>
      <c r="G9144" t="str">
        <f>"17-1706"</f>
        <v>17-1706</v>
      </c>
      <c r="H9144" t="str">
        <f>"A"</f>
        <v>A</v>
      </c>
    </row>
    <row r="9145" spans="1:8" x14ac:dyDescent="0.2">
      <c r="A9145" t="str">
        <f t="shared" si="3308"/>
        <v>0613091526</v>
      </c>
      <c r="B9145" t="str">
        <f t="shared" si="3309"/>
        <v>ESTHER</v>
      </c>
      <c r="C9145" t="str">
        <f t="shared" si="3307"/>
        <v>KLAVAN</v>
      </c>
      <c r="D9145">
        <f>12</f>
        <v>12</v>
      </c>
      <c r="E9145" t="str">
        <f>"06 - B - 112 - Lisa  Quinn"</f>
        <v>06 - B - 112 - Lisa  Quinn</v>
      </c>
      <c r="F9145" t="str">
        <f>"NC STUDY HALL 1"</f>
        <v>NC STUDY HALL 1</v>
      </c>
      <c r="G9145" t="str">
        <f>"17-1725"</f>
        <v>17-1725</v>
      </c>
      <c r="H9145" t="str">
        <f>"B"</f>
        <v>B</v>
      </c>
    </row>
    <row r="9146" spans="1:8" x14ac:dyDescent="0.2">
      <c r="A9146" t="str">
        <f t="shared" si="3308"/>
        <v>0613091526</v>
      </c>
      <c r="B9146" t="str">
        <f t="shared" si="3309"/>
        <v>ESTHER</v>
      </c>
      <c r="C9146" t="str">
        <f t="shared" si="3307"/>
        <v>KLAVAN</v>
      </c>
      <c r="D9146">
        <f>12</f>
        <v>12</v>
      </c>
      <c r="E9146" t="str">
        <f>"03 - A - 101 - Lisa J London"</f>
        <v>03 - A - 101 - Lisa J London</v>
      </c>
      <c r="F9146" t="str">
        <f>"AP CAPSTONE RESEARCH"</f>
        <v>AP CAPSTONE RESEARCH</v>
      </c>
      <c r="G9146" t="str">
        <f>"17-1714"</f>
        <v>17-1714</v>
      </c>
      <c r="H9146" t="str">
        <f>"A"</f>
        <v>A</v>
      </c>
    </row>
    <row r="9147" spans="1:8" x14ac:dyDescent="0.2">
      <c r="A9147" t="str">
        <f t="shared" si="3308"/>
        <v>0613091526</v>
      </c>
      <c r="B9147" t="str">
        <f t="shared" si="3309"/>
        <v>ESTHER</v>
      </c>
      <c r="C9147" t="str">
        <f t="shared" si="3307"/>
        <v>KLAVAN</v>
      </c>
      <c r="D9147">
        <f>12</f>
        <v>12</v>
      </c>
      <c r="E9147" t="str">
        <f>"02 - A - 201 - Jeanne M Bermudez"</f>
        <v>02 - A - 201 - Jeanne M Bermudez</v>
      </c>
      <c r="F9147" t="str">
        <f>"AP ENV SCI"</f>
        <v>AP ENV SCI</v>
      </c>
      <c r="G9147" t="str">
        <f>"21-2141"</f>
        <v>21-2141</v>
      </c>
      <c r="H9147" t="str">
        <f>"A"</f>
        <v>A</v>
      </c>
    </row>
    <row r="9148" spans="1:8" x14ac:dyDescent="0.2">
      <c r="A9148" t="str">
        <f t="shared" si="3308"/>
        <v>0613091526</v>
      </c>
      <c r="B9148" t="str">
        <f t="shared" si="3309"/>
        <v>ESTHER</v>
      </c>
      <c r="C9148" t="str">
        <f t="shared" si="3307"/>
        <v>KLAVAN</v>
      </c>
      <c r="D9148">
        <f>12</f>
        <v>12</v>
      </c>
      <c r="E9148" t="str">
        <f>"07 - S1 - B - 101 - Stephen T Ripp"</f>
        <v>07 - S1 - B - 101 - Stephen T Ripp</v>
      </c>
      <c r="F9148" t="str">
        <f>"AP US GOVT/POL"</f>
        <v>AP US GOVT/POL</v>
      </c>
      <c r="G9148" t="str">
        <f>"17-1744"</f>
        <v>17-1744</v>
      </c>
      <c r="H9148" t="str">
        <f>"B"</f>
        <v>B</v>
      </c>
    </row>
    <row r="9149" spans="1:8" x14ac:dyDescent="0.2">
      <c r="A9149" t="str">
        <f t="shared" si="3308"/>
        <v>0613091526</v>
      </c>
      <c r="B9149" t="str">
        <f t="shared" si="3309"/>
        <v>ESTHER</v>
      </c>
      <c r="C9149" t="str">
        <f t="shared" si="3307"/>
        <v>KLAVAN</v>
      </c>
      <c r="D9149">
        <f>12</f>
        <v>12</v>
      </c>
      <c r="E9149" t="str">
        <f>"05 - B - 105 - Norayda D Suarez"</f>
        <v>05 - B - 105 - Norayda D Suarez</v>
      </c>
      <c r="F9149" t="str">
        <f>"RESEARCH 1 LH"</f>
        <v>RESEARCH 1 LH</v>
      </c>
      <c r="G9149">
        <f>2041</f>
        <v>2041</v>
      </c>
      <c r="H9149" t="str">
        <f>"B"</f>
        <v>B</v>
      </c>
    </row>
    <row r="9150" spans="1:8" x14ac:dyDescent="0.2">
      <c r="A9150" t="str">
        <f t="shared" si="3308"/>
        <v>0613091526</v>
      </c>
      <c r="B9150" t="str">
        <f t="shared" si="3309"/>
        <v>ESTHER</v>
      </c>
      <c r="C9150" t="str">
        <f t="shared" si="3307"/>
        <v>KLAVAN</v>
      </c>
      <c r="D9150">
        <f>12</f>
        <v>12</v>
      </c>
      <c r="E9150" t="str">
        <f>"01 - A - 101 - Kelly N Panza"</f>
        <v>01 - A - 101 - Kelly N Panza</v>
      </c>
      <c r="F9150" t="str">
        <f>"AP HUMAN GEOG"</f>
        <v>AP HUMAN GEOG</v>
      </c>
      <c r="G9150" t="str">
        <f>"17-1753"</f>
        <v>17-1753</v>
      </c>
      <c r="H9150" t="str">
        <f>"A"</f>
        <v>A</v>
      </c>
    </row>
    <row r="9151" spans="1:8" x14ac:dyDescent="0.2">
      <c r="A9151" t="str">
        <f t="shared" si="3308"/>
        <v>0613091526</v>
      </c>
      <c r="B9151" t="str">
        <f t="shared" si="3309"/>
        <v>ESTHER</v>
      </c>
      <c r="C9151" t="str">
        <f t="shared" si="3307"/>
        <v>KLAVAN</v>
      </c>
      <c r="D9151">
        <f>12</f>
        <v>12</v>
      </c>
      <c r="E9151" t="str">
        <f>"08 - B - 102 - Pamela M Corzo"</f>
        <v>08 - B - 102 - Pamela M Corzo</v>
      </c>
      <c r="F9151" t="str">
        <f>"AP STAT"</f>
        <v>AP STAT</v>
      </c>
      <c r="G9151" t="str">
        <f>"21-2133"</f>
        <v>21-2133</v>
      </c>
      <c r="H9151" t="str">
        <f>"B"</f>
        <v>B</v>
      </c>
    </row>
    <row r="9152" spans="1:8" x14ac:dyDescent="0.2">
      <c r="A9152" t="str">
        <f t="shared" ref="A9152:A9159" si="3310">"0625023272"</f>
        <v>0625023272</v>
      </c>
      <c r="B9152" t="str">
        <f t="shared" ref="B9152:B9159" si="3311">"Askold"</f>
        <v>Askold</v>
      </c>
      <c r="C9152" t="str">
        <f t="shared" ref="C9152:C9159" si="3312">"Kniaziev"</f>
        <v>Kniaziev</v>
      </c>
      <c r="D9152">
        <f>12</f>
        <v>12</v>
      </c>
      <c r="E9152" t="str">
        <f>"04 - S1 - A - 107 - Richard E Dunbar Iii"</f>
        <v>04 - S1 - A - 107 - Richard E Dunbar Iii</v>
      </c>
      <c r="F9152" t="str">
        <f>"WEIGHT TRAIN 3"</f>
        <v>WEIGHT TRAIN 3</v>
      </c>
      <c r="G9152" t="str">
        <f>"05-501"</f>
        <v>05-501</v>
      </c>
      <c r="H9152" t="str">
        <f>"A"</f>
        <v>A</v>
      </c>
    </row>
    <row r="9153" spans="1:8" x14ac:dyDescent="0.2">
      <c r="A9153" t="str">
        <f t="shared" si="3310"/>
        <v>0625023272</v>
      </c>
      <c r="B9153" t="str">
        <f t="shared" si="3311"/>
        <v>Askold</v>
      </c>
      <c r="C9153" t="str">
        <f t="shared" si="3312"/>
        <v>Kniaziev</v>
      </c>
      <c r="D9153">
        <f>12</f>
        <v>12</v>
      </c>
      <c r="E9153" t="str">
        <f>"06 - B - 105 - Robyn L Trainer"</f>
        <v>06 - B - 105 - Robyn L Trainer</v>
      </c>
      <c r="F9153" t="str">
        <f>"NC STUDY HALL 1"</f>
        <v>NC STUDY HALL 1</v>
      </c>
      <c r="G9153" t="str">
        <f>"17-1734"</f>
        <v>17-1734</v>
      </c>
      <c r="H9153" t="str">
        <f>"B"</f>
        <v>B</v>
      </c>
    </row>
    <row r="9154" spans="1:8" x14ac:dyDescent="0.2">
      <c r="A9154" t="str">
        <f t="shared" si="3310"/>
        <v>0625023272</v>
      </c>
      <c r="B9154" t="str">
        <f t="shared" si="3311"/>
        <v>Askold</v>
      </c>
      <c r="C9154" t="str">
        <f t="shared" si="3312"/>
        <v>Kniaziev</v>
      </c>
      <c r="D9154">
        <f>12</f>
        <v>12</v>
      </c>
      <c r="E9154" t="str">
        <f>"03 - A - 101 - Tina L Lovett"</f>
        <v>03 - A - 101 - Tina L Lovett</v>
      </c>
      <c r="F9154" t="str">
        <f>"MATH DATA &amp; FIN LIT"</f>
        <v>MATH DATA &amp; FIN LIT</v>
      </c>
      <c r="G9154" t="str">
        <f>"21-2153"</f>
        <v>21-2153</v>
      </c>
      <c r="H9154" t="str">
        <f>"A"</f>
        <v>A</v>
      </c>
    </row>
    <row r="9155" spans="1:8" x14ac:dyDescent="0.2">
      <c r="A9155" t="str">
        <f t="shared" si="3310"/>
        <v>0625023272</v>
      </c>
      <c r="B9155" t="str">
        <f t="shared" si="3311"/>
        <v>Askold</v>
      </c>
      <c r="C9155" t="str">
        <f t="shared" si="3312"/>
        <v>Kniaziev</v>
      </c>
      <c r="D9155">
        <f>12</f>
        <v>12</v>
      </c>
      <c r="E9155" t="str">
        <f>"02 - S1 - A - 101 - James H Mccann"</f>
        <v>02 - S1 - A - 101 - James H Mccann</v>
      </c>
      <c r="F9155" t="str">
        <f>"PERS FIN &amp; MON MGT H"</f>
        <v>PERS FIN &amp; MON MGT H</v>
      </c>
      <c r="G9155" t="str">
        <f>"17-1716"</f>
        <v>17-1716</v>
      </c>
      <c r="H9155" t="str">
        <f>"A"</f>
        <v>A</v>
      </c>
    </row>
    <row r="9156" spans="1:8" x14ac:dyDescent="0.2">
      <c r="A9156" t="str">
        <f t="shared" si="3310"/>
        <v>0625023272</v>
      </c>
      <c r="B9156" t="str">
        <f t="shared" si="3311"/>
        <v>Askold</v>
      </c>
      <c r="C9156" t="str">
        <f t="shared" si="3312"/>
        <v>Kniaziev</v>
      </c>
      <c r="D9156">
        <f>12</f>
        <v>12</v>
      </c>
      <c r="E9156" t="str">
        <f>"07 - B - 103 - Nahum  Saint-Preux"</f>
        <v>07 - B - 103 - Nahum  Saint-Preux</v>
      </c>
      <c r="F9156" t="str">
        <f>"INTENS READ 4"</f>
        <v>INTENS READ 4</v>
      </c>
      <c r="G9156" t="str">
        <f>"17-1712"</f>
        <v>17-1712</v>
      </c>
      <c r="H9156" t="str">
        <f>"B"</f>
        <v>B</v>
      </c>
    </row>
    <row r="9157" spans="1:8" x14ac:dyDescent="0.2">
      <c r="A9157" t="str">
        <f t="shared" si="3310"/>
        <v>0625023272</v>
      </c>
      <c r="B9157" t="str">
        <f t="shared" si="3311"/>
        <v>Askold</v>
      </c>
      <c r="C9157" t="str">
        <f t="shared" si="3312"/>
        <v>Kniaziev</v>
      </c>
      <c r="D9157">
        <f>12</f>
        <v>12</v>
      </c>
      <c r="E9157" t="str">
        <f>"05 - S1 - B - 102 - Robert O Burger"</f>
        <v>05 - S1 - B - 102 - Robert O Burger</v>
      </c>
      <c r="F9157" t="str">
        <f>"US GOVT"</f>
        <v>US GOVT</v>
      </c>
      <c r="G9157" t="str">
        <f>"17-1755"</f>
        <v>17-1755</v>
      </c>
      <c r="H9157" t="str">
        <f>"B"</f>
        <v>B</v>
      </c>
    </row>
    <row r="9158" spans="1:8" x14ac:dyDescent="0.2">
      <c r="A9158" t="str">
        <f t="shared" si="3310"/>
        <v>0625023272</v>
      </c>
      <c r="B9158" t="str">
        <f t="shared" si="3311"/>
        <v>Askold</v>
      </c>
      <c r="C9158" t="str">
        <f t="shared" si="3312"/>
        <v>Kniaziev</v>
      </c>
      <c r="D9158">
        <f>12</f>
        <v>12</v>
      </c>
      <c r="E9158" t="str">
        <f>"01 - A - 101 - Samantha L Martinez"</f>
        <v>01 - A - 101 - Samantha L Martinez</v>
      </c>
      <c r="F9158" t="str">
        <f>"MUSIC WORLD"</f>
        <v>MUSIC WORLD</v>
      </c>
      <c r="G9158" t="str">
        <f>"05-505"</f>
        <v>05-505</v>
      </c>
      <c r="H9158" t="str">
        <f>"A"</f>
        <v>A</v>
      </c>
    </row>
    <row r="9159" spans="1:8" x14ac:dyDescent="0.2">
      <c r="A9159" t="str">
        <f t="shared" si="3310"/>
        <v>0625023272</v>
      </c>
      <c r="B9159" t="str">
        <f t="shared" si="3311"/>
        <v>Askold</v>
      </c>
      <c r="C9159" t="str">
        <f t="shared" si="3312"/>
        <v>Kniaziev</v>
      </c>
      <c r="D9159">
        <f>12</f>
        <v>12</v>
      </c>
      <c r="E9159" t="str">
        <f>"08 - B - 206 - Robyn L Trainer"</f>
        <v>08 - B - 206 - Robyn L Trainer</v>
      </c>
      <c r="F9159" t="str">
        <f>"ENG 4: FL COLL PREP"</f>
        <v>ENG 4: FL COLL PREP</v>
      </c>
      <c r="G9159" t="str">
        <f>"17-1734"</f>
        <v>17-1734</v>
      </c>
      <c r="H9159" t="str">
        <f>"B"</f>
        <v>B</v>
      </c>
    </row>
    <row r="9160" spans="1:8" x14ac:dyDescent="0.2">
      <c r="A9160" t="str">
        <f t="shared" ref="A9160:A9167" si="3313">"0616041540"</f>
        <v>0616041540</v>
      </c>
      <c r="B9160" t="str">
        <f t="shared" ref="B9160:B9167" si="3314">"MALAYHA"</f>
        <v>MALAYHA</v>
      </c>
      <c r="C9160" t="str">
        <f t="shared" ref="C9160:C9175" si="3315">"KNIGHT"</f>
        <v>KNIGHT</v>
      </c>
      <c r="D9160">
        <f>10</f>
        <v>10</v>
      </c>
      <c r="E9160" t="str">
        <f>"04 - A - 104 - Nikiel  Nesbeth"</f>
        <v>04 - A - 104 - Nikiel  Nesbeth</v>
      </c>
      <c r="F9160" t="str">
        <f>"ENG 2"</f>
        <v>ENG 2</v>
      </c>
      <c r="G9160" t="str">
        <f>"17-1705"</f>
        <v>17-1705</v>
      </c>
      <c r="H9160" t="str">
        <f>"A"</f>
        <v>A</v>
      </c>
    </row>
    <row r="9161" spans="1:8" x14ac:dyDescent="0.2">
      <c r="A9161" t="str">
        <f t="shared" si="3313"/>
        <v>0616041540</v>
      </c>
      <c r="B9161" t="str">
        <f t="shared" si="3314"/>
        <v>MALAYHA</v>
      </c>
      <c r="C9161" t="str">
        <f t="shared" si="3315"/>
        <v>KNIGHT</v>
      </c>
      <c r="D9161">
        <f>10</f>
        <v>10</v>
      </c>
      <c r="E9161" t="str">
        <f>"06 - B - 003 - Emmily A Sarmiento"</f>
        <v>06 - B - 003 - Emmily A Sarmiento</v>
      </c>
      <c r="F9161" t="str">
        <f>"NC STUDY HALL 1"</f>
        <v>NC STUDY HALL 1</v>
      </c>
      <c r="G9161" t="str">
        <f>"17-1743"</f>
        <v>17-1743</v>
      </c>
      <c r="H9161" t="str">
        <f>"B"</f>
        <v>B</v>
      </c>
    </row>
    <row r="9162" spans="1:8" x14ac:dyDescent="0.2">
      <c r="A9162" t="str">
        <f t="shared" si="3313"/>
        <v>0616041540</v>
      </c>
      <c r="B9162" t="str">
        <f t="shared" si="3314"/>
        <v>MALAYHA</v>
      </c>
      <c r="C9162" t="str">
        <f t="shared" si="3315"/>
        <v>KNIGHT</v>
      </c>
      <c r="D9162">
        <f>10</f>
        <v>10</v>
      </c>
      <c r="E9162" t="str">
        <f>"03 - A - 103 - Taraneh C Abreu"</f>
        <v>03 - A - 103 - Taraneh C Abreu</v>
      </c>
      <c r="F9162" t="str">
        <f>"INTENS READ 2"</f>
        <v>INTENS READ 2</v>
      </c>
      <c r="G9162" t="str">
        <f>"17-1713"</f>
        <v>17-1713</v>
      </c>
      <c r="H9162" t="str">
        <f>"A"</f>
        <v>A</v>
      </c>
    </row>
    <row r="9163" spans="1:8" x14ac:dyDescent="0.2">
      <c r="A9163" t="str">
        <f t="shared" si="3313"/>
        <v>0616041540</v>
      </c>
      <c r="B9163" t="str">
        <f t="shared" si="3314"/>
        <v>MALAYHA</v>
      </c>
      <c r="C9163" t="str">
        <f t="shared" si="3315"/>
        <v>KNIGHT</v>
      </c>
      <c r="D9163">
        <f>10</f>
        <v>10</v>
      </c>
      <c r="E9163" t="str">
        <f>"02 - A - 102 - Adam Marcus  Drucker"</f>
        <v>02 - A - 102 - Adam Marcus  Drucker</v>
      </c>
      <c r="F9163" t="str">
        <f>"HOPE-PE V"</f>
        <v>HOPE-PE V</v>
      </c>
      <c r="G9163" t="str">
        <f>"04-254"</f>
        <v>04-254</v>
      </c>
      <c r="H9163" t="str">
        <f>"A"</f>
        <v>A</v>
      </c>
    </row>
    <row r="9164" spans="1:8" x14ac:dyDescent="0.2">
      <c r="A9164" t="str">
        <f t="shared" si="3313"/>
        <v>0616041540</v>
      </c>
      <c r="B9164" t="str">
        <f t="shared" si="3314"/>
        <v>MALAYHA</v>
      </c>
      <c r="C9164" t="str">
        <f t="shared" si="3315"/>
        <v>KNIGHT</v>
      </c>
      <c r="D9164">
        <f>10</f>
        <v>10</v>
      </c>
      <c r="E9164" t="str">
        <f>"07 - B - 107 - Milca  Exantus"</f>
        <v>07 - B - 107 - Milca  Exantus</v>
      </c>
      <c r="F9164" t="str">
        <f>"MATH COLLEGE LIB ART"</f>
        <v>MATH COLLEGE LIB ART</v>
      </c>
      <c r="G9164" t="str">
        <f>"21-2145"</f>
        <v>21-2145</v>
      </c>
      <c r="H9164" t="str">
        <f>"B"</f>
        <v>B</v>
      </c>
    </row>
    <row r="9165" spans="1:8" x14ac:dyDescent="0.2">
      <c r="A9165" t="str">
        <f t="shared" si="3313"/>
        <v>0616041540</v>
      </c>
      <c r="B9165" t="str">
        <f t="shared" si="3314"/>
        <v>MALAYHA</v>
      </c>
      <c r="C9165" t="str">
        <f t="shared" si="3315"/>
        <v>KNIGHT</v>
      </c>
      <c r="D9165">
        <f>10</f>
        <v>10</v>
      </c>
      <c r="E9165" t="str">
        <f>"05 - S1 - B - 102 - Lissa C Frederique"</f>
        <v>05 - S1 - B - 102 - Lissa C Frederique</v>
      </c>
      <c r="F9165" t="str">
        <f>"PERS FIN &amp; MON MGT H"</f>
        <v>PERS FIN &amp; MON MGT H</v>
      </c>
      <c r="G9165" t="str">
        <f>"17-1754"</f>
        <v>17-1754</v>
      </c>
      <c r="H9165" t="str">
        <f>"B"</f>
        <v>B</v>
      </c>
    </row>
    <row r="9166" spans="1:8" x14ac:dyDescent="0.2">
      <c r="A9166" t="str">
        <f t="shared" si="3313"/>
        <v>0616041540</v>
      </c>
      <c r="B9166" t="str">
        <f t="shared" si="3314"/>
        <v>MALAYHA</v>
      </c>
      <c r="C9166" t="str">
        <f t="shared" si="3315"/>
        <v>KNIGHT</v>
      </c>
      <c r="D9166">
        <f>10</f>
        <v>10</v>
      </c>
      <c r="E9166" t="str">
        <f>"01 - A - 101 - Angela S Adeshina-Morrison"</f>
        <v>01 - A - 101 - Angela S Adeshina-Morrison</v>
      </c>
      <c r="F9166" t="str">
        <f>"MARKETING ESSENTIALS"</f>
        <v>MARKETING ESSENTIALS</v>
      </c>
      <c r="G9166" t="str">
        <f>"05-518"</f>
        <v>05-518</v>
      </c>
      <c r="H9166" t="str">
        <f>"A"</f>
        <v>A</v>
      </c>
    </row>
    <row r="9167" spans="1:8" x14ac:dyDescent="0.2">
      <c r="A9167" t="str">
        <f t="shared" si="3313"/>
        <v>0616041540</v>
      </c>
      <c r="B9167" t="str">
        <f t="shared" si="3314"/>
        <v>MALAYHA</v>
      </c>
      <c r="C9167" t="str">
        <f t="shared" si="3315"/>
        <v>KNIGHT</v>
      </c>
      <c r="D9167">
        <f>10</f>
        <v>10</v>
      </c>
      <c r="E9167" t="str">
        <f>"08 - B - 108 - Paige Lauren  Brochu"</f>
        <v>08 - B - 108 - Paige Lauren  Brochu</v>
      </c>
      <c r="F9167" t="str">
        <f>"BIOLOGY 1"</f>
        <v>BIOLOGY 1</v>
      </c>
      <c r="G9167" t="str">
        <f>"21-2134"</f>
        <v>21-2134</v>
      </c>
      <c r="H9167" t="str">
        <f>"B"</f>
        <v>B</v>
      </c>
    </row>
    <row r="9168" spans="1:8" x14ac:dyDescent="0.2">
      <c r="A9168" t="str">
        <f t="shared" ref="A9168:A9175" si="3316">"0611077832"</f>
        <v>0611077832</v>
      </c>
      <c r="B9168" t="str">
        <f t="shared" ref="B9168:B9175" si="3317">"SEAN"</f>
        <v>SEAN</v>
      </c>
      <c r="C9168" t="str">
        <f t="shared" si="3315"/>
        <v>KNIGHT</v>
      </c>
      <c r="D9168">
        <f>12</f>
        <v>12</v>
      </c>
      <c r="E9168" t="str">
        <f>"04 - A - 102 - Tiffany L Colon"</f>
        <v>04 - A - 102 - Tiffany L Colon</v>
      </c>
      <c r="F9168" t="str">
        <f>"U SKLS: SOC&amp;EMO 9-12"</f>
        <v>U SKLS: SOC&amp;EMO 9-12</v>
      </c>
      <c r="G9168">
        <f>2044</f>
        <v>2044</v>
      </c>
      <c r="H9168" t="str">
        <f>"A"</f>
        <v>A</v>
      </c>
    </row>
    <row r="9169" spans="1:8" x14ac:dyDescent="0.2">
      <c r="A9169" t="str">
        <f t="shared" si="3316"/>
        <v>0611077832</v>
      </c>
      <c r="B9169" t="str">
        <f t="shared" si="3317"/>
        <v>SEAN</v>
      </c>
      <c r="C9169" t="str">
        <f t="shared" si="3315"/>
        <v>KNIGHT</v>
      </c>
      <c r="D9169">
        <f>12</f>
        <v>12</v>
      </c>
      <c r="E9169" t="str">
        <f>"06 - B - 101 - Tiffany L Colon"</f>
        <v>06 - B - 101 - Tiffany L Colon</v>
      </c>
      <c r="F9169" t="str">
        <f>"CAR EXERIENCES: 9-12"</f>
        <v>CAR EXERIENCES: 9-12</v>
      </c>
      <c r="G9169">
        <f>2044</f>
        <v>2044</v>
      </c>
      <c r="H9169" t="str">
        <f>"B"</f>
        <v>B</v>
      </c>
    </row>
    <row r="9170" spans="1:8" x14ac:dyDescent="0.2">
      <c r="A9170" t="str">
        <f t="shared" si="3316"/>
        <v>0611077832</v>
      </c>
      <c r="B9170" t="str">
        <f t="shared" si="3317"/>
        <v>SEAN</v>
      </c>
      <c r="C9170" t="str">
        <f t="shared" si="3315"/>
        <v>KNIGHT</v>
      </c>
      <c r="D9170">
        <f>12</f>
        <v>12</v>
      </c>
      <c r="E9170" t="str">
        <f>"03 - A - 101 - Tiffany L Colon"</f>
        <v>03 - A - 101 - Tiffany L Colon</v>
      </c>
      <c r="F9170" t="str">
        <f>"SELF-DETERMINATION"</f>
        <v>SELF-DETERMINATION</v>
      </c>
      <c r="G9170">
        <f>2044</f>
        <v>2044</v>
      </c>
      <c r="H9170" t="str">
        <f>"A"</f>
        <v>A</v>
      </c>
    </row>
    <row r="9171" spans="1:8" x14ac:dyDescent="0.2">
      <c r="A9171" t="str">
        <f t="shared" si="3316"/>
        <v>0611077832</v>
      </c>
      <c r="B9171" t="str">
        <f t="shared" si="3317"/>
        <v>SEAN</v>
      </c>
      <c r="C9171" t="str">
        <f t="shared" si="3315"/>
        <v>KNIGHT</v>
      </c>
      <c r="D9171">
        <f>12</f>
        <v>12</v>
      </c>
      <c r="E9171" t="str">
        <f>"02 - A - 102 - Tiffany L Colon"</f>
        <v>02 - A - 102 - Tiffany L Colon</v>
      </c>
      <c r="F9171" t="str">
        <f>"CAREER ED: 9-12"</f>
        <v>CAREER ED: 9-12</v>
      </c>
      <c r="G9171">
        <f>2044</f>
        <v>2044</v>
      </c>
      <c r="H9171" t="str">
        <f>"A"</f>
        <v>A</v>
      </c>
    </row>
    <row r="9172" spans="1:8" x14ac:dyDescent="0.2">
      <c r="A9172" t="str">
        <f t="shared" si="3316"/>
        <v>0611077832</v>
      </c>
      <c r="B9172" t="str">
        <f t="shared" si="3317"/>
        <v>SEAN</v>
      </c>
      <c r="C9172" t="str">
        <f t="shared" si="3315"/>
        <v>KNIGHT</v>
      </c>
      <c r="D9172">
        <f>12</f>
        <v>12</v>
      </c>
      <c r="E9172" t="str">
        <f>"07 - B - 101 - Tiffany L Colon"</f>
        <v>07 - B - 101 - Tiffany L Colon</v>
      </c>
      <c r="F9172" t="str">
        <f>"CAR PLACEMENT: 9-12"</f>
        <v>CAR PLACEMENT: 9-12</v>
      </c>
      <c r="G9172">
        <f>2044</f>
        <v>2044</v>
      </c>
      <c r="H9172" t="str">
        <f>"B"</f>
        <v>B</v>
      </c>
    </row>
    <row r="9173" spans="1:8" x14ac:dyDescent="0.2">
      <c r="A9173" t="str">
        <f t="shared" si="3316"/>
        <v>0611077832</v>
      </c>
      <c r="B9173" t="str">
        <f t="shared" si="3317"/>
        <v>SEAN</v>
      </c>
      <c r="C9173" t="str">
        <f t="shared" si="3315"/>
        <v>KNIGHT</v>
      </c>
      <c r="D9173">
        <f>12</f>
        <v>12</v>
      </c>
      <c r="E9173" t="str">
        <f>"05 - B - 102 - Tiffany L Colon"</f>
        <v>05 - B - 102 - Tiffany L Colon</v>
      </c>
      <c r="F9173" t="str">
        <f>"U SKLS: 9-12"</f>
        <v>U SKLS: 9-12</v>
      </c>
      <c r="G9173">
        <f>2044</f>
        <v>2044</v>
      </c>
      <c r="H9173" t="str">
        <f>"B"</f>
        <v>B</v>
      </c>
    </row>
    <row r="9174" spans="1:8" x14ac:dyDescent="0.2">
      <c r="A9174" t="str">
        <f t="shared" si="3316"/>
        <v>0611077832</v>
      </c>
      <c r="B9174" t="str">
        <f t="shared" si="3317"/>
        <v>SEAN</v>
      </c>
      <c r="C9174" t="str">
        <f t="shared" si="3315"/>
        <v>KNIGHT</v>
      </c>
      <c r="D9174">
        <f>12</f>
        <v>12</v>
      </c>
      <c r="E9174" t="str">
        <f>"01 - A - 101 - Tiffany L Colon"</f>
        <v>01 - A - 101 - Tiffany L Colon</v>
      </c>
      <c r="F9174" t="str">
        <f>"PREP AD LIV"</f>
        <v>PREP AD LIV</v>
      </c>
      <c r="G9174">
        <f>2044</f>
        <v>2044</v>
      </c>
      <c r="H9174" t="str">
        <f>"A"</f>
        <v>A</v>
      </c>
    </row>
    <row r="9175" spans="1:8" x14ac:dyDescent="0.2">
      <c r="A9175" t="str">
        <f t="shared" si="3316"/>
        <v>0611077832</v>
      </c>
      <c r="B9175" t="str">
        <f t="shared" si="3317"/>
        <v>SEAN</v>
      </c>
      <c r="C9175" t="str">
        <f t="shared" si="3315"/>
        <v>KNIGHT</v>
      </c>
      <c r="D9175">
        <f>12</f>
        <v>12</v>
      </c>
      <c r="E9175" t="str">
        <f>"08 - B - 101 - Gail S Markowitz"</f>
        <v>08 - B - 101 - Gail S Markowitz</v>
      </c>
      <c r="F9175" t="str">
        <f>"U SKLS: SOC&amp;EMO 9-12"</f>
        <v>U SKLS: SOC&amp;EMO 9-12</v>
      </c>
      <c r="G9175">
        <f>1730</f>
        <v>1730</v>
      </c>
      <c r="H9175" t="str">
        <f>"B"</f>
        <v>B</v>
      </c>
    </row>
    <row r="9176" spans="1:8" x14ac:dyDescent="0.2">
      <c r="A9176" t="str">
        <f t="shared" ref="A9176:A9183" si="3318">"0613122401"</f>
        <v>0613122401</v>
      </c>
      <c r="B9176" t="str">
        <f t="shared" ref="B9176:B9183" si="3319">"LILLY"</f>
        <v>LILLY</v>
      </c>
      <c r="C9176" t="str">
        <f t="shared" ref="C9176:C9183" si="3320">"KOCH"</f>
        <v>KOCH</v>
      </c>
      <c r="D9176">
        <f>12</f>
        <v>12</v>
      </c>
      <c r="E9176" t="str">
        <f>"04 - A - 205 - Jacqueline R Morphet"</f>
        <v>04 - A - 205 - Jacqueline R Morphet</v>
      </c>
      <c r="F9176" t="str">
        <f>"PHYSICS 1 HON"</f>
        <v>PHYSICS 1 HON</v>
      </c>
      <c r="G9176" t="str">
        <f>"21-2138"</f>
        <v>21-2138</v>
      </c>
      <c r="H9176" t="str">
        <f>"A"</f>
        <v>A</v>
      </c>
    </row>
    <row r="9177" spans="1:8" x14ac:dyDescent="0.2">
      <c r="A9177" t="str">
        <f t="shared" si="3318"/>
        <v>0613122401</v>
      </c>
      <c r="B9177" t="str">
        <f t="shared" si="3319"/>
        <v>LILLY</v>
      </c>
      <c r="C9177" t="str">
        <f t="shared" si="3320"/>
        <v>KOCH</v>
      </c>
      <c r="D9177">
        <f>12</f>
        <v>12</v>
      </c>
      <c r="E9177" t="str">
        <f>"06 - B - 101 - Cliffon  Saurel"</f>
        <v>06 - B - 101 - Cliffon  Saurel</v>
      </c>
      <c r="F9177" t="str">
        <f>"NC STUDY HALL 1"</f>
        <v>NC STUDY HALL 1</v>
      </c>
      <c r="G9177" t="str">
        <f>"05-522"</f>
        <v>05-522</v>
      </c>
      <c r="H9177" t="str">
        <f>"B"</f>
        <v>B</v>
      </c>
    </row>
    <row r="9178" spans="1:8" x14ac:dyDescent="0.2">
      <c r="A9178" t="str">
        <f t="shared" si="3318"/>
        <v>0613122401</v>
      </c>
      <c r="B9178" t="str">
        <f t="shared" si="3319"/>
        <v>LILLY</v>
      </c>
      <c r="C9178" t="str">
        <f t="shared" si="3320"/>
        <v>KOCH</v>
      </c>
      <c r="D9178">
        <f>12</f>
        <v>12</v>
      </c>
      <c r="E9178" t="str">
        <f>"03 - A - 201 - Chrystina M Marchionne"</f>
        <v>03 - A - 201 - Chrystina M Marchionne</v>
      </c>
      <c r="F9178" t="str">
        <f>"JOURN 1 (YB) LH"</f>
        <v>JOURN 1 (YB) LH</v>
      </c>
      <c r="G9178" t="str">
        <f>"05-520"</f>
        <v>05-520</v>
      </c>
      <c r="H9178" t="str">
        <f>"A"</f>
        <v>A</v>
      </c>
    </row>
    <row r="9179" spans="1:8" x14ac:dyDescent="0.2">
      <c r="A9179" t="str">
        <f t="shared" si="3318"/>
        <v>0613122401</v>
      </c>
      <c r="B9179" t="str">
        <f t="shared" si="3319"/>
        <v>LILLY</v>
      </c>
      <c r="C9179" t="str">
        <f t="shared" si="3320"/>
        <v>KOCH</v>
      </c>
      <c r="D9179">
        <f>12</f>
        <v>12</v>
      </c>
      <c r="E9179" t="str">
        <f>"02 - A - 102 - Jeffrey S Gallagher"</f>
        <v>02 - A - 102 - Jeffrey S Gallagher</v>
      </c>
      <c r="F9179" t="str">
        <f>"ENG HON 4"</f>
        <v>ENG HON 4</v>
      </c>
      <c r="G9179" t="str">
        <f>"17-1724"</f>
        <v>17-1724</v>
      </c>
      <c r="H9179" t="str">
        <f>"A"</f>
        <v>A</v>
      </c>
    </row>
    <row r="9180" spans="1:8" x14ac:dyDescent="0.2">
      <c r="A9180" t="str">
        <f t="shared" si="3318"/>
        <v>0613122401</v>
      </c>
      <c r="B9180" t="str">
        <f t="shared" si="3319"/>
        <v>LILLY</v>
      </c>
      <c r="C9180" t="str">
        <f t="shared" si="3320"/>
        <v>KOCH</v>
      </c>
      <c r="D9180">
        <f>12</f>
        <v>12</v>
      </c>
      <c r="E9180" t="str">
        <f>"07 - B - 105 - Robert H Rindner"</f>
        <v>07 - B - 105 - Robert H Rindner</v>
      </c>
      <c r="F9180" t="str">
        <f>"MATH DATA&amp;FIN LIT H"</f>
        <v>MATH DATA&amp;FIN LIT H</v>
      </c>
      <c r="G9180" t="str">
        <f>"21-2160"</f>
        <v>21-2160</v>
      </c>
      <c r="H9180" t="str">
        <f>"B"</f>
        <v>B</v>
      </c>
    </row>
    <row r="9181" spans="1:8" x14ac:dyDescent="0.2">
      <c r="A9181" t="str">
        <f t="shared" si="3318"/>
        <v>0613122401</v>
      </c>
      <c r="B9181" t="str">
        <f t="shared" si="3319"/>
        <v>LILLY</v>
      </c>
      <c r="C9181" t="str">
        <f t="shared" si="3320"/>
        <v>KOCH</v>
      </c>
      <c r="D9181">
        <f>12</f>
        <v>12</v>
      </c>
      <c r="E9181" t="str">
        <f>"05 - S1 - B - 102 - Barbara L Segal"</f>
        <v>05 - S1 - B - 102 - Barbara L Segal</v>
      </c>
      <c r="F9181" t="str">
        <f>"US GOVT HON"</f>
        <v>US GOVT HON</v>
      </c>
      <c r="G9181" t="str">
        <f>"17-1742"</f>
        <v>17-1742</v>
      </c>
      <c r="H9181" t="str">
        <f>"B"</f>
        <v>B</v>
      </c>
    </row>
    <row r="9182" spans="1:8" x14ac:dyDescent="0.2">
      <c r="A9182" t="str">
        <f t="shared" si="3318"/>
        <v>0613122401</v>
      </c>
      <c r="B9182" t="str">
        <f t="shared" si="3319"/>
        <v>LILLY</v>
      </c>
      <c r="C9182" t="str">
        <f t="shared" si="3320"/>
        <v>KOCH</v>
      </c>
      <c r="D9182">
        <f>12</f>
        <v>12</v>
      </c>
      <c r="E9182" t="str">
        <f>"01 - A - 101 - Angela S Adeshina-Morrison"</f>
        <v>01 - A - 101 - Angela S Adeshina-Morrison</v>
      </c>
      <c r="F9182" t="str">
        <f>"MARKETING ESSENTIALS"</f>
        <v>MARKETING ESSENTIALS</v>
      </c>
      <c r="G9182" t="str">
        <f>"05-518"</f>
        <v>05-518</v>
      </c>
      <c r="H9182" t="str">
        <f>"A"</f>
        <v>A</v>
      </c>
    </row>
    <row r="9183" spans="1:8" x14ac:dyDescent="0.2">
      <c r="A9183" t="str">
        <f t="shared" si="3318"/>
        <v>0613122401</v>
      </c>
      <c r="B9183" t="str">
        <f t="shared" si="3319"/>
        <v>LILLY</v>
      </c>
      <c r="C9183" t="str">
        <f t="shared" si="3320"/>
        <v>KOCH</v>
      </c>
      <c r="D9183">
        <f>12</f>
        <v>12</v>
      </c>
      <c r="E9183" t="str">
        <f>"08 - B - 201 - Tina M Jaramillo"</f>
        <v>08 - B - 201 - Tina M Jaramillo</v>
      </c>
      <c r="F9183" t="str">
        <f>"CREATIVE WRIT 3 HON"</f>
        <v>CREATIVE WRIT 3 HON</v>
      </c>
      <c r="G9183" t="str">
        <f>"17-1706"</f>
        <v>17-1706</v>
      </c>
      <c r="H9183" t="str">
        <f>"B"</f>
        <v>B</v>
      </c>
    </row>
    <row r="9184" spans="1:8" x14ac:dyDescent="0.2">
      <c r="A9184" t="str">
        <f t="shared" ref="A9184:A9191" si="3321">"0616000009"</f>
        <v>0616000009</v>
      </c>
      <c r="B9184" t="str">
        <f t="shared" ref="B9184:B9191" si="3322">"KEYLIE"</f>
        <v>KEYLIE</v>
      </c>
      <c r="C9184" t="str">
        <f t="shared" ref="C9184:C9191" si="3323">"KOENIG"</f>
        <v>KOENIG</v>
      </c>
      <c r="D9184">
        <f>11</f>
        <v>11</v>
      </c>
      <c r="E9184" t="str">
        <f>"04 - A - 102 - Lisa J London"</f>
        <v>04 - A - 102 - Lisa J London</v>
      </c>
      <c r="F9184" t="str">
        <f>"AP CAPSTONE SEMINAR"</f>
        <v>AP CAPSTONE SEMINAR</v>
      </c>
      <c r="G9184" t="str">
        <f>"17-1714"</f>
        <v>17-1714</v>
      </c>
      <c r="H9184" t="str">
        <f>"A"</f>
        <v>A</v>
      </c>
    </row>
    <row r="9185" spans="1:8" x14ac:dyDescent="0.2">
      <c r="A9185" t="str">
        <f t="shared" si="3321"/>
        <v>0616000009</v>
      </c>
      <c r="B9185" t="str">
        <f t="shared" si="3322"/>
        <v>KEYLIE</v>
      </c>
      <c r="C9185" t="str">
        <f t="shared" si="3323"/>
        <v>KOENIG</v>
      </c>
      <c r="D9185">
        <f>11</f>
        <v>11</v>
      </c>
      <c r="E9185" t="str">
        <f>"06 - B - 102 - Stephen T Ripp"</f>
        <v>06 - B - 102 - Stephen T Ripp</v>
      </c>
      <c r="F9185" t="str">
        <f>"AP U.S. HIST"</f>
        <v>AP U.S. HIST</v>
      </c>
      <c r="G9185" t="str">
        <f>"17-1744"</f>
        <v>17-1744</v>
      </c>
      <c r="H9185" t="str">
        <f>"B"</f>
        <v>B</v>
      </c>
    </row>
    <row r="9186" spans="1:8" x14ac:dyDescent="0.2">
      <c r="A9186" t="str">
        <f t="shared" si="3321"/>
        <v>0616000009</v>
      </c>
      <c r="B9186" t="str">
        <f t="shared" si="3322"/>
        <v>KEYLIE</v>
      </c>
      <c r="C9186" t="str">
        <f t="shared" si="3323"/>
        <v>KOENIG</v>
      </c>
      <c r="D9186">
        <f>11</f>
        <v>11</v>
      </c>
      <c r="E9186" t="str">
        <f>"03 - A - 204 - Norayda D Suarez"</f>
        <v>03 - A - 204 - Norayda D Suarez</v>
      </c>
      <c r="F9186" t="str">
        <f>"ANAT PHYSIO HON"</f>
        <v>ANAT PHYSIO HON</v>
      </c>
      <c r="G9186" t="str">
        <f>"21-2144"</f>
        <v>21-2144</v>
      </c>
      <c r="H9186" t="str">
        <f>"A"</f>
        <v>A</v>
      </c>
    </row>
    <row r="9187" spans="1:8" x14ac:dyDescent="0.2">
      <c r="A9187" t="str">
        <f t="shared" si="3321"/>
        <v>0616000009</v>
      </c>
      <c r="B9187" t="str">
        <f t="shared" si="3322"/>
        <v>KEYLIE</v>
      </c>
      <c r="C9187" t="str">
        <f t="shared" si="3323"/>
        <v>KOENIG</v>
      </c>
      <c r="D9187">
        <f>11</f>
        <v>11</v>
      </c>
      <c r="E9187" t="str">
        <f>"02 - A - 106 - Heidi M Knopp"</f>
        <v>02 - A - 106 - Heidi M Knopp</v>
      </c>
      <c r="F9187" t="str">
        <f>"NC STUDY HALL 1"</f>
        <v>NC STUDY HALL 1</v>
      </c>
      <c r="G9187" t="str">
        <f>"17-1735"</f>
        <v>17-1735</v>
      </c>
      <c r="H9187" t="str">
        <f>"A"</f>
        <v>A</v>
      </c>
    </row>
    <row r="9188" spans="1:8" x14ac:dyDescent="0.2">
      <c r="A9188" t="str">
        <f t="shared" si="3321"/>
        <v>0616000009</v>
      </c>
      <c r="B9188" t="str">
        <f t="shared" si="3322"/>
        <v>KEYLIE</v>
      </c>
      <c r="C9188" t="str">
        <f t="shared" si="3323"/>
        <v>KOENIG</v>
      </c>
      <c r="D9188">
        <f>11</f>
        <v>11</v>
      </c>
      <c r="E9188" t="str">
        <f>"07 - B - 101 - Fernando  Vega-Cid"</f>
        <v>07 - B - 101 - Fernando  Vega-Cid</v>
      </c>
      <c r="F9188" t="str">
        <f>"AP PRECALCULUS"</f>
        <v>AP PRECALCULUS</v>
      </c>
      <c r="G9188" t="str">
        <f>"21-2163"</f>
        <v>21-2163</v>
      </c>
      <c r="H9188" t="str">
        <f>"B"</f>
        <v>B</v>
      </c>
    </row>
    <row r="9189" spans="1:8" x14ac:dyDescent="0.2">
      <c r="A9189" t="str">
        <f t="shared" si="3321"/>
        <v>0616000009</v>
      </c>
      <c r="B9189" t="str">
        <f t="shared" si="3322"/>
        <v>KEYLIE</v>
      </c>
      <c r="C9189" t="str">
        <f t="shared" si="3323"/>
        <v>KOENIG</v>
      </c>
      <c r="D9189">
        <f>11</f>
        <v>11</v>
      </c>
      <c r="E9189" t="str">
        <f>"05 - B - 103 - Tina M Jaramillo"</f>
        <v>05 - B - 103 - Tina M Jaramillo</v>
      </c>
      <c r="F9189" t="str">
        <f>"AP ENG COMPO"</f>
        <v>AP ENG COMPO</v>
      </c>
      <c r="G9189" t="str">
        <f>"17-1706"</f>
        <v>17-1706</v>
      </c>
      <c r="H9189" t="str">
        <f>"B"</f>
        <v>B</v>
      </c>
    </row>
    <row r="9190" spans="1:8" x14ac:dyDescent="0.2">
      <c r="A9190" t="str">
        <f t="shared" si="3321"/>
        <v>0616000009</v>
      </c>
      <c r="B9190" t="str">
        <f t="shared" si="3322"/>
        <v>KEYLIE</v>
      </c>
      <c r="C9190" t="str">
        <f t="shared" si="3323"/>
        <v>KOENIG</v>
      </c>
      <c r="D9190">
        <f>11</f>
        <v>11</v>
      </c>
      <c r="E9190" t="str">
        <f>"01 - A - 101 - Chrystina M Marchionne"</f>
        <v>01 - A - 101 - Chrystina M Marchionne</v>
      </c>
      <c r="F9190" t="str">
        <f>"AICE MEDIA STUDIES A"</f>
        <v>AICE MEDIA STUDIES A</v>
      </c>
      <c r="G9190" t="str">
        <f>"05-520"</f>
        <v>05-520</v>
      </c>
      <c r="H9190" t="str">
        <f>"A"</f>
        <v>A</v>
      </c>
    </row>
    <row r="9191" spans="1:8" x14ac:dyDescent="0.2">
      <c r="A9191" t="str">
        <f t="shared" si="3321"/>
        <v>0616000009</v>
      </c>
      <c r="B9191" t="str">
        <f t="shared" si="3322"/>
        <v>KEYLIE</v>
      </c>
      <c r="C9191" t="str">
        <f t="shared" si="3323"/>
        <v>KOENIG</v>
      </c>
      <c r="D9191">
        <f>11</f>
        <v>11</v>
      </c>
      <c r="E9191" t="str">
        <f>"08 - B - 102 - Jacqueline R Morphet"</f>
        <v>08 - B - 102 - Jacqueline R Morphet</v>
      </c>
      <c r="F9191" t="str">
        <f>"AP PHYSICS 1"</f>
        <v>AP PHYSICS 1</v>
      </c>
      <c r="G9191" t="str">
        <f>"21-2138"</f>
        <v>21-2138</v>
      </c>
      <c r="H9191" t="str">
        <f>"B"</f>
        <v>B</v>
      </c>
    </row>
    <row r="9192" spans="1:8" x14ac:dyDescent="0.2">
      <c r="A9192" t="str">
        <f t="shared" ref="A9192:A9199" si="3324">"0613119750"</f>
        <v>0613119750</v>
      </c>
      <c r="B9192" t="str">
        <f t="shared" ref="B9192:B9199" si="3325">"MAYSA"</f>
        <v>MAYSA</v>
      </c>
      <c r="C9192" t="str">
        <f t="shared" ref="C9192:C9199" si="3326">"KOMOLVASRI"</f>
        <v>KOMOLVASRI</v>
      </c>
      <c r="D9192">
        <f>12</f>
        <v>12</v>
      </c>
      <c r="E9192" t="str">
        <f>"04 - A - 201 - Brian M Fitzgerald"</f>
        <v>04 - A - 201 - Brian M Fitzgerald</v>
      </c>
      <c r="F9192" t="str">
        <f>"AP 3-D ART &amp; DESIGN"</f>
        <v>AP 3-D ART &amp; DESIGN</v>
      </c>
      <c r="G9192" t="str">
        <f>"09-908"</f>
        <v>09-908</v>
      </c>
      <c r="H9192" t="str">
        <f>"A"</f>
        <v>A</v>
      </c>
    </row>
    <row r="9193" spans="1:8" x14ac:dyDescent="0.2">
      <c r="A9193" t="str">
        <f t="shared" si="3324"/>
        <v>0613119750</v>
      </c>
      <c r="B9193" t="str">
        <f t="shared" si="3325"/>
        <v>MAYSA</v>
      </c>
      <c r="C9193" t="str">
        <f t="shared" si="3326"/>
        <v>KOMOLVASRI</v>
      </c>
      <c r="D9193">
        <f>12</f>
        <v>12</v>
      </c>
      <c r="E9193" t="str">
        <f>"06 - B - 106 - Taraneh C Abreu"</f>
        <v>06 - B - 106 - Taraneh C Abreu</v>
      </c>
      <c r="F9193" t="str">
        <f>"NC STUDY HALL 1"</f>
        <v>NC STUDY HALL 1</v>
      </c>
      <c r="G9193" t="str">
        <f>"17-1713"</f>
        <v>17-1713</v>
      </c>
      <c r="H9193" t="str">
        <f>"B"</f>
        <v>B</v>
      </c>
    </row>
    <row r="9194" spans="1:8" x14ac:dyDescent="0.2">
      <c r="A9194" t="str">
        <f t="shared" si="3324"/>
        <v>0613119750</v>
      </c>
      <c r="B9194" t="str">
        <f t="shared" si="3325"/>
        <v>MAYSA</v>
      </c>
      <c r="C9194" t="str">
        <f t="shared" si="3326"/>
        <v>KOMOLVASRI</v>
      </c>
      <c r="D9194">
        <f>12</f>
        <v>12</v>
      </c>
      <c r="E9194" t="str">
        <f>"03 - A - 101 - Lourivaldo  Da Silva"</f>
        <v>03 - A - 101 - Lourivaldo  Da Silva</v>
      </c>
      <c r="F9194" t="str">
        <f>"AP STAT"</f>
        <v>AP STAT</v>
      </c>
      <c r="G9194" t="str">
        <f>"20-2079"</f>
        <v>20-2079</v>
      </c>
      <c r="H9194" t="str">
        <f>"A"</f>
        <v>A</v>
      </c>
    </row>
    <row r="9195" spans="1:8" x14ac:dyDescent="0.2">
      <c r="A9195" t="str">
        <f t="shared" si="3324"/>
        <v>0613119750</v>
      </c>
      <c r="B9195" t="str">
        <f t="shared" si="3325"/>
        <v>MAYSA</v>
      </c>
      <c r="C9195" t="str">
        <f t="shared" si="3326"/>
        <v>KOMOLVASRI</v>
      </c>
      <c r="D9195">
        <f>12</f>
        <v>12</v>
      </c>
      <c r="E9195" t="str">
        <f>"02 - A - 201 - Jeanne M Bermudez"</f>
        <v>02 - A - 201 - Jeanne M Bermudez</v>
      </c>
      <c r="F9195" t="str">
        <f>"AP ENV SCI"</f>
        <v>AP ENV SCI</v>
      </c>
      <c r="G9195" t="str">
        <f>"21-2141"</f>
        <v>21-2141</v>
      </c>
      <c r="H9195" t="str">
        <f>"A"</f>
        <v>A</v>
      </c>
    </row>
    <row r="9196" spans="1:8" x14ac:dyDescent="0.2">
      <c r="A9196" t="str">
        <f t="shared" si="3324"/>
        <v>0613119750</v>
      </c>
      <c r="B9196" t="str">
        <f t="shared" si="3325"/>
        <v>MAYSA</v>
      </c>
      <c r="C9196" t="str">
        <f t="shared" si="3326"/>
        <v>KOMOLVASRI</v>
      </c>
      <c r="D9196">
        <f>12</f>
        <v>12</v>
      </c>
      <c r="E9196" t="str">
        <f>"07 - S1 - B - 102 - Barbara L Segal"</f>
        <v>07 - S1 - B - 102 - Barbara L Segal</v>
      </c>
      <c r="F9196" t="str">
        <f>"AP US GOVT/POL"</f>
        <v>AP US GOVT/POL</v>
      </c>
      <c r="G9196" t="str">
        <f>"17-1742"</f>
        <v>17-1742</v>
      </c>
      <c r="H9196" t="str">
        <f>"B"</f>
        <v>B</v>
      </c>
    </row>
    <row r="9197" spans="1:8" x14ac:dyDescent="0.2">
      <c r="A9197" t="str">
        <f t="shared" si="3324"/>
        <v>0613119750</v>
      </c>
      <c r="B9197" t="str">
        <f t="shared" si="3325"/>
        <v>MAYSA</v>
      </c>
      <c r="C9197" t="str">
        <f t="shared" si="3326"/>
        <v>KOMOLVASRI</v>
      </c>
      <c r="D9197">
        <f>12</f>
        <v>12</v>
      </c>
      <c r="E9197" t="str">
        <f>"05 - B - 101 - Angela S Adeshina-Morrison"</f>
        <v>05 - B - 101 - Angela S Adeshina-Morrison</v>
      </c>
      <c r="F9197" t="str">
        <f>"MKT APPLCTNS LH"</f>
        <v>MKT APPLCTNS LH</v>
      </c>
      <c r="G9197" t="str">
        <f>"05-518"</f>
        <v>05-518</v>
      </c>
      <c r="H9197" t="str">
        <f>"B"</f>
        <v>B</v>
      </c>
    </row>
    <row r="9198" spans="1:8" x14ac:dyDescent="0.2">
      <c r="A9198" t="str">
        <f t="shared" si="3324"/>
        <v>0613119750</v>
      </c>
      <c r="B9198" t="str">
        <f t="shared" si="3325"/>
        <v>MAYSA</v>
      </c>
      <c r="C9198" t="str">
        <f t="shared" si="3326"/>
        <v>KOMOLVASRI</v>
      </c>
      <c r="D9198">
        <f>12</f>
        <v>12</v>
      </c>
      <c r="E9198" t="str">
        <f>"01 - A - 204 - Tina M Jaramillo"</f>
        <v>01 - A - 204 - Tina M Jaramillo</v>
      </c>
      <c r="F9198" t="str">
        <f>"AP ENG LIT COMPO"</f>
        <v>AP ENG LIT COMPO</v>
      </c>
      <c r="G9198" t="str">
        <f>"17-1706"</f>
        <v>17-1706</v>
      </c>
      <c r="H9198" t="str">
        <f>"A"</f>
        <v>A</v>
      </c>
    </row>
    <row r="9199" spans="1:8" x14ac:dyDescent="0.2">
      <c r="A9199" t="str">
        <f t="shared" si="3324"/>
        <v>0613119750</v>
      </c>
      <c r="B9199" t="str">
        <f t="shared" si="3325"/>
        <v>MAYSA</v>
      </c>
      <c r="C9199" t="str">
        <f t="shared" si="3326"/>
        <v>KOMOLVASRI</v>
      </c>
      <c r="D9199">
        <f>12</f>
        <v>12</v>
      </c>
      <c r="E9199" t="str">
        <f>"08 - B - 001 - Samantha L Martinez"</f>
        <v>08 - B - 001 - Samantha L Martinez</v>
      </c>
      <c r="F9199" t="str">
        <f>"VOCAL ENS 2"</f>
        <v>VOCAL ENS 2</v>
      </c>
      <c r="G9199" t="str">
        <f>"05-505"</f>
        <v>05-505</v>
      </c>
      <c r="H9199" t="str">
        <f>"B"</f>
        <v>B</v>
      </c>
    </row>
    <row r="9200" spans="1:8" x14ac:dyDescent="0.2">
      <c r="A9200" t="str">
        <f t="shared" ref="A9200:A9207" si="3327">"0614020500"</f>
        <v>0614020500</v>
      </c>
      <c r="B9200" t="str">
        <f t="shared" ref="B9200:B9207" si="3328">"MASON"</f>
        <v>MASON</v>
      </c>
      <c r="C9200" t="str">
        <f t="shared" ref="C9200:C9215" si="3329">"KONDRATYUK"</f>
        <v>KONDRATYUK</v>
      </c>
      <c r="D9200">
        <f>12</f>
        <v>12</v>
      </c>
      <c r="E9200" t="str">
        <f>"04 - A - 101 - Jeanne M Bermudez"</f>
        <v>04 - A - 101 - Jeanne M Bermudez</v>
      </c>
      <c r="F9200" t="str">
        <f>"ADVANCED IT HON"</f>
        <v>ADVANCED IT HON</v>
      </c>
      <c r="G9200" t="str">
        <f>"21-2141"</f>
        <v>21-2141</v>
      </c>
      <c r="H9200" t="str">
        <f>"A"</f>
        <v>A</v>
      </c>
    </row>
    <row r="9201" spans="1:8" x14ac:dyDescent="0.2">
      <c r="A9201" t="str">
        <f t="shared" si="3327"/>
        <v>0614020500</v>
      </c>
      <c r="B9201" t="str">
        <f t="shared" si="3328"/>
        <v>MASON</v>
      </c>
      <c r="C9201" t="str">
        <f t="shared" si="3329"/>
        <v>KONDRATYUK</v>
      </c>
      <c r="D9201">
        <f>12</f>
        <v>12</v>
      </c>
      <c r="E9201" t="str">
        <f>"06 - B - 101 - Cliffon  Saurel"</f>
        <v>06 - B - 101 - Cliffon  Saurel</v>
      </c>
      <c r="F9201" t="str">
        <f>"NC STUDY HALL 1"</f>
        <v>NC STUDY HALL 1</v>
      </c>
      <c r="G9201" t="str">
        <f>"05-522"</f>
        <v>05-522</v>
      </c>
      <c r="H9201" t="str">
        <f>"B"</f>
        <v>B</v>
      </c>
    </row>
    <row r="9202" spans="1:8" x14ac:dyDescent="0.2">
      <c r="A9202" t="str">
        <f t="shared" si="3327"/>
        <v>0614020500</v>
      </c>
      <c r="B9202" t="str">
        <f t="shared" si="3328"/>
        <v>MASON</v>
      </c>
      <c r="C9202" t="str">
        <f t="shared" si="3329"/>
        <v>KONDRATYUK</v>
      </c>
      <c r="D9202">
        <f>12</f>
        <v>12</v>
      </c>
      <c r="E9202" t="str">
        <f>"03 - A - 102 - Cliffon  Saurel"</f>
        <v>03 - A - 102 - Cliffon  Saurel</v>
      </c>
      <c r="F9202" t="str">
        <f>"PHYSICAL SCI"</f>
        <v>PHYSICAL SCI</v>
      </c>
      <c r="G9202" t="str">
        <f>"05-522"</f>
        <v>05-522</v>
      </c>
      <c r="H9202" t="str">
        <f>"A"</f>
        <v>A</v>
      </c>
    </row>
    <row r="9203" spans="1:8" x14ac:dyDescent="0.2">
      <c r="A9203" t="str">
        <f t="shared" si="3327"/>
        <v>0614020500</v>
      </c>
      <c r="B9203" t="str">
        <f t="shared" si="3328"/>
        <v>MASON</v>
      </c>
      <c r="C9203" t="str">
        <f t="shared" si="3329"/>
        <v>KONDRATYUK</v>
      </c>
      <c r="D9203">
        <f>12</f>
        <v>12</v>
      </c>
      <c r="E9203" t="str">
        <f>"02 - A - 101 - Robyn L Trainer"</f>
        <v>02 - A - 101 - Robyn L Trainer</v>
      </c>
      <c r="F9203" t="str">
        <f>"ENG 4"</f>
        <v>ENG 4</v>
      </c>
      <c r="G9203" t="str">
        <f>"17-1734"</f>
        <v>17-1734</v>
      </c>
      <c r="H9203" t="str">
        <f>"A"</f>
        <v>A</v>
      </c>
    </row>
    <row r="9204" spans="1:8" x14ac:dyDescent="0.2">
      <c r="A9204" t="str">
        <f t="shared" si="3327"/>
        <v>0614020500</v>
      </c>
      <c r="B9204" t="str">
        <f t="shared" si="3328"/>
        <v>MASON</v>
      </c>
      <c r="C9204" t="str">
        <f t="shared" si="3329"/>
        <v>KONDRATYUK</v>
      </c>
      <c r="D9204">
        <f>12</f>
        <v>12</v>
      </c>
      <c r="E9204" t="str">
        <f>"07 - S1 - B - 103 - Robert O Burger"</f>
        <v>07 - S1 - B - 103 - Robert O Burger</v>
      </c>
      <c r="F9204" t="str">
        <f>"US GOVT"</f>
        <v>US GOVT</v>
      </c>
      <c r="G9204" t="str">
        <f>"17-1755"</f>
        <v>17-1755</v>
      </c>
      <c r="H9204" t="str">
        <f>"B"</f>
        <v>B</v>
      </c>
    </row>
    <row r="9205" spans="1:8" x14ac:dyDescent="0.2">
      <c r="A9205" t="str">
        <f t="shared" si="3327"/>
        <v>0614020500</v>
      </c>
      <c r="B9205" t="str">
        <f t="shared" si="3328"/>
        <v>MASON</v>
      </c>
      <c r="C9205" t="str">
        <f t="shared" si="3329"/>
        <v>KONDRATYUK</v>
      </c>
      <c r="D9205">
        <f>12</f>
        <v>12</v>
      </c>
      <c r="E9205" t="str">
        <f>"05 - B - 205 - Rosa Elaine  Collado-Duff"</f>
        <v>05 - B - 205 - Rosa Elaine  Collado-Duff</v>
      </c>
      <c r="F9205" t="str">
        <f>"PRE-AICE SPAN 2 IG"</f>
        <v>PRE-AICE SPAN 2 IG</v>
      </c>
      <c r="G9205" t="str">
        <f>"09-913"</f>
        <v>09-913</v>
      </c>
      <c r="H9205" t="str">
        <f>"B"</f>
        <v>B</v>
      </c>
    </row>
    <row r="9206" spans="1:8" x14ac:dyDescent="0.2">
      <c r="A9206" t="str">
        <f t="shared" si="3327"/>
        <v>0614020500</v>
      </c>
      <c r="B9206" t="str">
        <f t="shared" si="3328"/>
        <v>MASON</v>
      </c>
      <c r="C9206" t="str">
        <f t="shared" si="3329"/>
        <v>KONDRATYUK</v>
      </c>
      <c r="D9206">
        <f>12</f>
        <v>12</v>
      </c>
      <c r="E9206" t="str">
        <f>"01 - A - 102 - Robert H Rindner"</f>
        <v>01 - A - 102 - Robert H Rindner</v>
      </c>
      <c r="F9206" t="str">
        <f>"MATH DATA&amp;FIN LIT H"</f>
        <v>MATH DATA&amp;FIN LIT H</v>
      </c>
      <c r="G9206" t="str">
        <f>"21-2160"</f>
        <v>21-2160</v>
      </c>
      <c r="H9206" t="str">
        <f>"A"</f>
        <v>A</v>
      </c>
    </row>
    <row r="9207" spans="1:8" x14ac:dyDescent="0.2">
      <c r="A9207" t="str">
        <f t="shared" si="3327"/>
        <v>0614020500</v>
      </c>
      <c r="B9207" t="str">
        <f t="shared" si="3328"/>
        <v>MASON</v>
      </c>
      <c r="C9207" t="str">
        <f t="shared" si="3329"/>
        <v>KONDRATYUK</v>
      </c>
      <c r="D9207">
        <f>12</f>
        <v>12</v>
      </c>
      <c r="E9207" t="str">
        <f>"08 - B - 102 - Carleigh R Carmichael"</f>
        <v>08 - B - 102 - Carleigh R Carmichael</v>
      </c>
      <c r="F9207" t="str">
        <f>"LRNG STRATEGIES 9-12"</f>
        <v>LRNG STRATEGIES 9-12</v>
      </c>
      <c r="G9207" t="str">
        <f>"20-2072"</f>
        <v>20-2072</v>
      </c>
      <c r="H9207" t="str">
        <f>"B"</f>
        <v>B</v>
      </c>
    </row>
    <row r="9208" spans="1:8" x14ac:dyDescent="0.2">
      <c r="A9208" t="str">
        <f t="shared" ref="A9208:A9215" si="3330">"0615029547"</f>
        <v>0615029547</v>
      </c>
      <c r="B9208" t="str">
        <f t="shared" ref="B9208:B9215" si="3331">"VICTORIA"</f>
        <v>VICTORIA</v>
      </c>
      <c r="C9208" t="str">
        <f t="shared" si="3329"/>
        <v>KONDRATYUK</v>
      </c>
      <c r="D9208">
        <f>11</f>
        <v>11</v>
      </c>
      <c r="E9208" t="str">
        <f>"04 - A - 101 - Stephen T Ripp"</f>
        <v>04 - A - 101 - Stephen T Ripp</v>
      </c>
      <c r="F9208" t="str">
        <f>"AP U.S. HIST"</f>
        <v>AP U.S. HIST</v>
      </c>
      <c r="G9208" t="str">
        <f>"17-1744"</f>
        <v>17-1744</v>
      </c>
      <c r="H9208" t="str">
        <f>"A"</f>
        <v>A</v>
      </c>
    </row>
    <row r="9209" spans="1:8" x14ac:dyDescent="0.2">
      <c r="A9209" t="str">
        <f t="shared" si="3330"/>
        <v>0615029547</v>
      </c>
      <c r="B9209" t="str">
        <f t="shared" si="3331"/>
        <v>VICTORIA</v>
      </c>
      <c r="C9209" t="str">
        <f t="shared" si="3329"/>
        <v>KONDRATYUK</v>
      </c>
      <c r="D9209">
        <f>11</f>
        <v>11</v>
      </c>
      <c r="E9209" t="str">
        <f>"06 - B - 204 - Chrystina M Marchionne"</f>
        <v>06 - B - 204 - Chrystina M Marchionne</v>
      </c>
      <c r="F9209" t="str">
        <f>"AICE MEDIASTUDIES AS"</f>
        <v>AICE MEDIASTUDIES AS</v>
      </c>
      <c r="G9209" t="str">
        <f>"05-520"</f>
        <v>05-520</v>
      </c>
      <c r="H9209" t="str">
        <f>"B"</f>
        <v>B</v>
      </c>
    </row>
    <row r="9210" spans="1:8" x14ac:dyDescent="0.2">
      <c r="A9210" t="str">
        <f t="shared" si="3330"/>
        <v>0615029547</v>
      </c>
      <c r="B9210" t="str">
        <f t="shared" si="3331"/>
        <v>VICTORIA</v>
      </c>
      <c r="C9210" t="str">
        <f t="shared" si="3329"/>
        <v>KONDRATYUK</v>
      </c>
      <c r="D9210">
        <f>11</f>
        <v>11</v>
      </c>
      <c r="E9210" t="str">
        <f>"03 - A - 102 - Tina M Jaramillo"</f>
        <v>03 - A - 102 - Tina M Jaramillo</v>
      </c>
      <c r="F9210" t="str">
        <f>"AP ENG COMPO"</f>
        <v>AP ENG COMPO</v>
      </c>
      <c r="G9210" t="str">
        <f>"17-1706"</f>
        <v>17-1706</v>
      </c>
      <c r="H9210" t="str">
        <f>"A"</f>
        <v>A</v>
      </c>
    </row>
    <row r="9211" spans="1:8" x14ac:dyDescent="0.2">
      <c r="A9211" t="str">
        <f t="shared" si="3330"/>
        <v>0615029547</v>
      </c>
      <c r="B9211" t="str">
        <f t="shared" si="3331"/>
        <v>VICTORIA</v>
      </c>
      <c r="C9211" t="str">
        <f t="shared" si="3329"/>
        <v>KONDRATYUK</v>
      </c>
      <c r="D9211">
        <f>11</f>
        <v>11</v>
      </c>
      <c r="E9211" t="str">
        <f>"02 - A - 103 - Angela S Adeshina-Morrison"</f>
        <v>02 - A - 103 - Angela S Adeshina-Morrison</v>
      </c>
      <c r="F9211" t="str">
        <f>"NC STUDY HALL 1"</f>
        <v>NC STUDY HALL 1</v>
      </c>
      <c r="G9211" t="str">
        <f>"05-518"</f>
        <v>05-518</v>
      </c>
      <c r="H9211" t="str">
        <f>"A"</f>
        <v>A</v>
      </c>
    </row>
    <row r="9212" spans="1:8" x14ac:dyDescent="0.2">
      <c r="A9212" t="str">
        <f t="shared" si="3330"/>
        <v>0615029547</v>
      </c>
      <c r="B9212" t="str">
        <f t="shared" si="3331"/>
        <v>VICTORIA</v>
      </c>
      <c r="C9212" t="str">
        <f t="shared" si="3329"/>
        <v>KONDRATYUK</v>
      </c>
      <c r="D9212">
        <f>11</f>
        <v>11</v>
      </c>
      <c r="E9212" t="str">
        <f>"07 - B - 103 - Lisa J London"</f>
        <v>07 - B - 103 - Lisa J London</v>
      </c>
      <c r="F9212" t="str">
        <f>"AP CAPSTONE SEMINAR"</f>
        <v>AP CAPSTONE SEMINAR</v>
      </c>
      <c r="G9212" t="str">
        <f>"17-1714"</f>
        <v>17-1714</v>
      </c>
      <c r="H9212" t="str">
        <f>"B"</f>
        <v>B</v>
      </c>
    </row>
    <row r="9213" spans="1:8" x14ac:dyDescent="0.2">
      <c r="A9213" t="str">
        <f t="shared" si="3330"/>
        <v>0615029547</v>
      </c>
      <c r="B9213" t="str">
        <f t="shared" si="3331"/>
        <v>VICTORIA</v>
      </c>
      <c r="C9213" t="str">
        <f t="shared" si="3329"/>
        <v>KONDRATYUK</v>
      </c>
      <c r="D9213">
        <f>11</f>
        <v>11</v>
      </c>
      <c r="E9213" t="str">
        <f>"05 - B - 104 - Lourivaldo  Da Silva"</f>
        <v>05 - B - 104 - Lourivaldo  Da Silva</v>
      </c>
      <c r="F9213" t="str">
        <f>"PRE-CALCULUS HON"</f>
        <v>PRE-CALCULUS HON</v>
      </c>
      <c r="G9213" t="str">
        <f>"20-2079"</f>
        <v>20-2079</v>
      </c>
      <c r="H9213" t="str">
        <f>"B"</f>
        <v>B</v>
      </c>
    </row>
    <row r="9214" spans="1:8" x14ac:dyDescent="0.2">
      <c r="A9214" t="str">
        <f t="shared" si="3330"/>
        <v>0615029547</v>
      </c>
      <c r="B9214" t="str">
        <f t="shared" si="3331"/>
        <v>VICTORIA</v>
      </c>
      <c r="C9214" t="str">
        <f t="shared" si="3329"/>
        <v>KONDRATYUK</v>
      </c>
      <c r="D9214">
        <f>11</f>
        <v>11</v>
      </c>
      <c r="E9214" t="str">
        <f>"01 - A - 101 - Marielle A Witting"</f>
        <v>01 - A - 101 - Marielle A Witting</v>
      </c>
      <c r="F9214" t="str">
        <f>"AP BIO"</f>
        <v>AP BIO</v>
      </c>
      <c r="G9214" t="str">
        <f>"08-805"</f>
        <v>08-805</v>
      </c>
      <c r="H9214" t="str">
        <f>"A"</f>
        <v>A</v>
      </c>
    </row>
    <row r="9215" spans="1:8" x14ac:dyDescent="0.2">
      <c r="A9215" t="str">
        <f t="shared" si="3330"/>
        <v>0615029547</v>
      </c>
      <c r="B9215" t="str">
        <f t="shared" si="3331"/>
        <v>VICTORIA</v>
      </c>
      <c r="C9215" t="str">
        <f t="shared" si="3329"/>
        <v>KONDRATYUK</v>
      </c>
      <c r="D9215">
        <f>11</f>
        <v>11</v>
      </c>
      <c r="E9215" t="str">
        <f>"08 - B - 102 - Jacqueline R Morphet"</f>
        <v>08 - B - 102 - Jacqueline R Morphet</v>
      </c>
      <c r="F9215" t="str">
        <f>"AP PHYSICS 1"</f>
        <v>AP PHYSICS 1</v>
      </c>
      <c r="G9215" t="str">
        <f>"21-2138"</f>
        <v>21-2138</v>
      </c>
      <c r="H9215" t="str">
        <f>"B"</f>
        <v>B</v>
      </c>
    </row>
    <row r="9216" spans="1:8" x14ac:dyDescent="0.2">
      <c r="A9216" t="str">
        <f t="shared" ref="A9216:A9224" si="3332">"0621040419"</f>
        <v>0621040419</v>
      </c>
      <c r="B9216" t="str">
        <f t="shared" ref="B9216:B9224" si="3333">"IMANI"</f>
        <v>IMANI</v>
      </c>
      <c r="C9216" t="str">
        <f t="shared" ref="C9216:C9224" si="3334">"KORNEGAY"</f>
        <v>KORNEGAY</v>
      </c>
      <c r="D9216">
        <f>11</f>
        <v>11</v>
      </c>
      <c r="E9216" t="str">
        <f>"04 - A - 106 - Marielle A Witting"</f>
        <v>04 - A - 106 - Marielle A Witting</v>
      </c>
      <c r="F9216" t="str">
        <f>"ANAT PHYSIO"</f>
        <v>ANAT PHYSIO</v>
      </c>
      <c r="G9216" t="str">
        <f>"08-805"</f>
        <v>08-805</v>
      </c>
      <c r="H9216" t="str">
        <f>"A"</f>
        <v>A</v>
      </c>
    </row>
    <row r="9217" spans="1:8" x14ac:dyDescent="0.2">
      <c r="A9217" t="str">
        <f t="shared" si="3332"/>
        <v>0621040419</v>
      </c>
      <c r="B9217" t="str">
        <f t="shared" si="3333"/>
        <v>IMANI</v>
      </c>
      <c r="C9217" t="str">
        <f t="shared" si="3334"/>
        <v>KORNEGAY</v>
      </c>
      <c r="D9217">
        <f>11</f>
        <v>11</v>
      </c>
      <c r="E9217" t="str">
        <f>"06 - B - 104 - Eva T Rimmer"</f>
        <v>06 - B - 104 - Eva T Rimmer</v>
      </c>
      <c r="F9217" t="str">
        <f>"CRIMINAL JUST OPS 1"</f>
        <v>CRIMINAL JUST OPS 1</v>
      </c>
      <c r="G9217" t="str">
        <f>"05-523"</f>
        <v>05-523</v>
      </c>
      <c r="H9217" t="str">
        <f>"B"</f>
        <v>B</v>
      </c>
    </row>
    <row r="9218" spans="1:8" x14ac:dyDescent="0.2">
      <c r="A9218" t="str">
        <f t="shared" si="3332"/>
        <v>0621040419</v>
      </c>
      <c r="B9218" t="str">
        <f t="shared" si="3333"/>
        <v>IMANI</v>
      </c>
      <c r="C9218" t="str">
        <f t="shared" si="3334"/>
        <v>KORNEGAY</v>
      </c>
      <c r="D9218">
        <f>11</f>
        <v>11</v>
      </c>
      <c r="E9218" t="str">
        <f>"03 - A - 102 - Lisa  Quinn"</f>
        <v>03 - A - 102 - Lisa  Quinn</v>
      </c>
      <c r="F9218" t="str">
        <f>"ENG 3"</f>
        <v>ENG 3</v>
      </c>
      <c r="G9218" t="str">
        <f>"17-1725"</f>
        <v>17-1725</v>
      </c>
      <c r="H9218" t="str">
        <f>"A"</f>
        <v>A</v>
      </c>
    </row>
    <row r="9219" spans="1:8" x14ac:dyDescent="0.2">
      <c r="A9219" t="str">
        <f t="shared" si="3332"/>
        <v>0621040419</v>
      </c>
      <c r="B9219" t="str">
        <f t="shared" si="3333"/>
        <v>IMANI</v>
      </c>
      <c r="C9219" t="str">
        <f t="shared" si="3334"/>
        <v>KORNEGAY</v>
      </c>
      <c r="D9219">
        <f>11</f>
        <v>11</v>
      </c>
      <c r="E9219" t="str">
        <f>"02 - A - 112 - Brandy N Zdenek"</f>
        <v>02 - A - 112 - Brandy N Zdenek</v>
      </c>
      <c r="F9219" t="str">
        <f>"NC STUDY HALL 1"</f>
        <v>NC STUDY HALL 1</v>
      </c>
      <c r="G9219" t="str">
        <f>"17-1704"</f>
        <v>17-1704</v>
      </c>
      <c r="H9219" t="str">
        <f>"A"</f>
        <v>A</v>
      </c>
    </row>
    <row r="9220" spans="1:8" x14ac:dyDescent="0.2">
      <c r="A9220" t="str">
        <f t="shared" si="3332"/>
        <v>0621040419</v>
      </c>
      <c r="B9220" t="str">
        <f t="shared" si="3333"/>
        <v>IMANI</v>
      </c>
      <c r="C9220" t="str">
        <f t="shared" si="3334"/>
        <v>KORNEGAY</v>
      </c>
      <c r="D9220">
        <f>11</f>
        <v>11</v>
      </c>
      <c r="E9220" t="str">
        <f>"02 - A - 112 - Karen A Toomer"</f>
        <v>02 - A - 112 - Karen A Toomer</v>
      </c>
      <c r="F9220" t="str">
        <f>"LANG THERAPY"</f>
        <v>LANG THERAPY</v>
      </c>
      <c r="G9220" t="str">
        <f>"21-2110"</f>
        <v>21-2110</v>
      </c>
      <c r="H9220" t="str">
        <f>"A"</f>
        <v>A</v>
      </c>
    </row>
    <row r="9221" spans="1:8" x14ac:dyDescent="0.2">
      <c r="A9221" t="str">
        <f t="shared" si="3332"/>
        <v>0621040419</v>
      </c>
      <c r="B9221" t="str">
        <f t="shared" si="3333"/>
        <v>IMANI</v>
      </c>
      <c r="C9221" t="str">
        <f t="shared" si="3334"/>
        <v>KORNEGAY</v>
      </c>
      <c r="D9221">
        <f>11</f>
        <v>11</v>
      </c>
      <c r="E9221" t="str">
        <f>"07 - B - 110 - Ferrie J Arostique"</f>
        <v>07 - B - 110 - Ferrie J Arostique</v>
      </c>
      <c r="F9221" t="str">
        <f>"GEOMETRY"</f>
        <v>GEOMETRY</v>
      </c>
      <c r="G9221" t="str">
        <f>"21-2139"</f>
        <v>21-2139</v>
      </c>
      <c r="H9221" t="str">
        <f>"B"</f>
        <v>B</v>
      </c>
    </row>
    <row r="9222" spans="1:8" x14ac:dyDescent="0.2">
      <c r="A9222" t="str">
        <f t="shared" si="3332"/>
        <v>0621040419</v>
      </c>
      <c r="B9222" t="str">
        <f t="shared" si="3333"/>
        <v>IMANI</v>
      </c>
      <c r="C9222" t="str">
        <f t="shared" si="3334"/>
        <v>KORNEGAY</v>
      </c>
      <c r="D9222">
        <f>11</f>
        <v>11</v>
      </c>
      <c r="E9222" t="str">
        <f>"05 - B - 104 - Daniel S Tyson"</f>
        <v>05 - B - 104 - Daniel S Tyson</v>
      </c>
      <c r="F9222" t="str">
        <f>"JROTC NAVAL SCI 2"</f>
        <v>JROTC NAVAL SCI 2</v>
      </c>
      <c r="G9222" t="str">
        <f>"05-510"</f>
        <v>05-510</v>
      </c>
      <c r="H9222" t="str">
        <f>"B"</f>
        <v>B</v>
      </c>
    </row>
    <row r="9223" spans="1:8" x14ac:dyDescent="0.2">
      <c r="A9223" t="str">
        <f t="shared" si="3332"/>
        <v>0621040419</v>
      </c>
      <c r="B9223" t="str">
        <f t="shared" si="3333"/>
        <v>IMANI</v>
      </c>
      <c r="C9223" t="str">
        <f t="shared" si="3334"/>
        <v>KORNEGAY</v>
      </c>
      <c r="D9223">
        <f>11</f>
        <v>11</v>
      </c>
      <c r="E9223" t="str">
        <f>"01 - A - 101 - Kyle  Robbins"</f>
        <v>01 - A - 101 - Kyle  Robbins</v>
      </c>
      <c r="F9223" t="str">
        <f>"US HISTORY"</f>
        <v>US HISTORY</v>
      </c>
      <c r="G9223" t="str">
        <f>"17-1745"</f>
        <v>17-1745</v>
      </c>
      <c r="H9223" t="str">
        <f>"A"</f>
        <v>A</v>
      </c>
    </row>
    <row r="9224" spans="1:8" x14ac:dyDescent="0.2">
      <c r="A9224" t="str">
        <f t="shared" si="3332"/>
        <v>0621040419</v>
      </c>
      <c r="B9224" t="str">
        <f t="shared" si="3333"/>
        <v>IMANI</v>
      </c>
      <c r="C9224" t="str">
        <f t="shared" si="3334"/>
        <v>KORNEGAY</v>
      </c>
      <c r="D9224">
        <f>11</f>
        <v>11</v>
      </c>
      <c r="E9224" t="str">
        <f>"08 - B - 102 - Carleigh R Carmichael"</f>
        <v>08 - B - 102 - Carleigh R Carmichael</v>
      </c>
      <c r="F9224" t="str">
        <f>"LRNG STRATEGIES 9-12"</f>
        <v>LRNG STRATEGIES 9-12</v>
      </c>
      <c r="G9224" t="str">
        <f>"20-2072"</f>
        <v>20-2072</v>
      </c>
      <c r="H9224" t="str">
        <f>"B"</f>
        <v>B</v>
      </c>
    </row>
    <row r="9225" spans="1:8" x14ac:dyDescent="0.2">
      <c r="A9225" t="str">
        <f t="shared" ref="A9225:A9232" si="3335">"0625030996"</f>
        <v>0625030996</v>
      </c>
      <c r="B9225" t="str">
        <f t="shared" ref="B9225:B9232" si="3336">"ANASTASIIA"</f>
        <v>ANASTASIIA</v>
      </c>
      <c r="C9225" t="str">
        <f t="shared" ref="C9225:C9232" si="3337">"KOROL"</f>
        <v>KOROL</v>
      </c>
      <c r="D9225" t="str">
        <f t="shared" ref="D9225:D9240" si="3338">"09"</f>
        <v>09</v>
      </c>
      <c r="E9225" t="str">
        <f>"04 - A - 102 - Josiah I Lacy"</f>
        <v>04 - A - 102 - Josiah I Lacy</v>
      </c>
      <c r="F9225" t="str">
        <f>"PRE-AICE BIO IG"</f>
        <v>PRE-AICE BIO IG</v>
      </c>
      <c r="G9225" t="str">
        <f>"08-801"</f>
        <v>08-801</v>
      </c>
      <c r="H9225" t="str">
        <f>"A"</f>
        <v>A</v>
      </c>
    </row>
    <row r="9226" spans="1:8" x14ac:dyDescent="0.2">
      <c r="A9226" t="str">
        <f t="shared" si="3335"/>
        <v>0625030996</v>
      </c>
      <c r="B9226" t="str">
        <f t="shared" si="3336"/>
        <v>ANASTASIIA</v>
      </c>
      <c r="C9226" t="str">
        <f t="shared" si="3337"/>
        <v>KOROL</v>
      </c>
      <c r="D9226" t="str">
        <f t="shared" si="3338"/>
        <v>09</v>
      </c>
      <c r="E9226" t="str">
        <f>"06 - S1 - B - 102 - Daniel S Katz"</f>
        <v>06 - S1 - B - 102 - Daniel S Katz</v>
      </c>
      <c r="F9226" t="str">
        <f>"COURT PROCED"</f>
        <v>COURT PROCED</v>
      </c>
      <c r="G9226" t="str">
        <f>"21-2156"</f>
        <v>21-2156</v>
      </c>
      <c r="H9226" t="str">
        <f>"B"</f>
        <v>B</v>
      </c>
    </row>
    <row r="9227" spans="1:8" x14ac:dyDescent="0.2">
      <c r="A9227" t="str">
        <f t="shared" si="3335"/>
        <v>0625030996</v>
      </c>
      <c r="B9227" t="str">
        <f t="shared" si="3336"/>
        <v>ANASTASIIA</v>
      </c>
      <c r="C9227" t="str">
        <f t="shared" si="3337"/>
        <v>KOROL</v>
      </c>
      <c r="D9227" t="str">
        <f t="shared" si="3338"/>
        <v>09</v>
      </c>
      <c r="E9227" t="str">
        <f>"03 - A - 101 - Helen A Flores"</f>
        <v>03 - A - 101 - Helen A Flores</v>
      </c>
      <c r="F9227" t="str">
        <f>"PRE-AICE MATH 1 IG"</f>
        <v>PRE-AICE MATH 1 IG</v>
      </c>
      <c r="G9227" t="str">
        <f>"21-2101"</f>
        <v>21-2101</v>
      </c>
      <c r="H9227" t="str">
        <f>"A"</f>
        <v>A</v>
      </c>
    </row>
    <row r="9228" spans="1:8" x14ac:dyDescent="0.2">
      <c r="A9228" t="str">
        <f t="shared" si="3335"/>
        <v>0625030996</v>
      </c>
      <c r="B9228" t="str">
        <f t="shared" si="3336"/>
        <v>ANASTASIIA</v>
      </c>
      <c r="C9228" t="str">
        <f t="shared" si="3337"/>
        <v>KOROL</v>
      </c>
      <c r="D9228" t="str">
        <f t="shared" si="3338"/>
        <v>09</v>
      </c>
      <c r="E9228" t="str">
        <f>"02 - A - 101 - Josiah I Lacy"</f>
        <v>02 - A - 101 - Josiah I Lacy</v>
      </c>
      <c r="F9228" t="str">
        <f>"NC STUDY HALL 1"</f>
        <v>NC STUDY HALL 1</v>
      </c>
      <c r="G9228" t="str">
        <f>"08-801"</f>
        <v>08-801</v>
      </c>
      <c r="H9228" t="str">
        <f>"A"</f>
        <v>A</v>
      </c>
    </row>
    <row r="9229" spans="1:8" x14ac:dyDescent="0.2">
      <c r="A9229" t="str">
        <f t="shared" si="3335"/>
        <v>0625030996</v>
      </c>
      <c r="B9229" t="str">
        <f t="shared" si="3336"/>
        <v>ANASTASIIA</v>
      </c>
      <c r="C9229" t="str">
        <f t="shared" si="3337"/>
        <v>KOROL</v>
      </c>
      <c r="D9229" t="str">
        <f t="shared" si="3338"/>
        <v>09</v>
      </c>
      <c r="E9229" t="str">
        <f>"07 - B - 001 - Cheryl Anne  Berman-Schechter"</f>
        <v>07 - B - 001 - Cheryl Anne  Berman-Schechter</v>
      </c>
      <c r="F9229" t="str">
        <f>"AICE ENG GEN PAPER 1"</f>
        <v>AICE ENG GEN PAPER 1</v>
      </c>
      <c r="G9229" t="str">
        <f>"17-1722"</f>
        <v>17-1722</v>
      </c>
      <c r="H9229" t="str">
        <f>"B"</f>
        <v>B</v>
      </c>
    </row>
    <row r="9230" spans="1:8" x14ac:dyDescent="0.2">
      <c r="A9230" t="str">
        <f t="shared" si="3335"/>
        <v>0625030996</v>
      </c>
      <c r="B9230" t="str">
        <f t="shared" si="3336"/>
        <v>ANASTASIIA</v>
      </c>
      <c r="C9230" t="str">
        <f t="shared" si="3337"/>
        <v>KOROL</v>
      </c>
      <c r="D9230" t="str">
        <f t="shared" si="3338"/>
        <v>09</v>
      </c>
      <c r="E9230" t="str">
        <f>"05 - B - 204 - Cheryl L Beach"</f>
        <v>05 - B - 204 - Cheryl L Beach</v>
      </c>
      <c r="F9230" t="str">
        <f>"AICE ENV MGMNT AS"</f>
        <v>AICE ENV MGMNT AS</v>
      </c>
      <c r="G9230" t="str">
        <f>"08-811"</f>
        <v>08-811</v>
      </c>
      <c r="H9230" t="str">
        <f>"B"</f>
        <v>B</v>
      </c>
    </row>
    <row r="9231" spans="1:8" x14ac:dyDescent="0.2">
      <c r="A9231" t="str">
        <f t="shared" si="3335"/>
        <v>0625030996</v>
      </c>
      <c r="B9231" t="str">
        <f t="shared" si="3336"/>
        <v>ANASTASIIA</v>
      </c>
      <c r="C9231" t="str">
        <f t="shared" si="3337"/>
        <v>KOROL</v>
      </c>
      <c r="D9231" t="str">
        <f t="shared" si="3338"/>
        <v>09</v>
      </c>
      <c r="E9231" t="str">
        <f>"01 - A - 101 - Angela S Adeshina-Morrison"</f>
        <v>01 - A - 101 - Angela S Adeshina-Morrison</v>
      </c>
      <c r="F9231" t="str">
        <f>"MARKETING ESSENTIALS"</f>
        <v>MARKETING ESSENTIALS</v>
      </c>
      <c r="G9231" t="str">
        <f>"05-518"</f>
        <v>05-518</v>
      </c>
      <c r="H9231" t="str">
        <f>"A"</f>
        <v>A</v>
      </c>
    </row>
    <row r="9232" spans="1:8" x14ac:dyDescent="0.2">
      <c r="A9232" t="str">
        <f t="shared" si="3335"/>
        <v>0625030996</v>
      </c>
      <c r="B9232" t="str">
        <f t="shared" si="3336"/>
        <v>ANASTASIIA</v>
      </c>
      <c r="C9232" t="str">
        <f t="shared" si="3337"/>
        <v>KOROL</v>
      </c>
      <c r="D9232" t="str">
        <f t="shared" si="3338"/>
        <v>09</v>
      </c>
      <c r="E9232" t="str">
        <f>"08 - B - 109 - Emmily A Sarmiento"</f>
        <v>08 - B - 109 - Emmily A Sarmiento</v>
      </c>
      <c r="F9232" t="str">
        <f>"AICE GLBL PERSP 1 AS"</f>
        <v>AICE GLBL PERSP 1 AS</v>
      </c>
      <c r="G9232" t="str">
        <f>"17-1743"</f>
        <v>17-1743</v>
      </c>
      <c r="H9232" t="str">
        <f>"B"</f>
        <v>B</v>
      </c>
    </row>
    <row r="9233" spans="1:8" x14ac:dyDescent="0.2">
      <c r="A9233" t="str">
        <f t="shared" ref="A9233:A9240" si="3339">"0616141928"</f>
        <v>0616141928</v>
      </c>
      <c r="B9233" t="str">
        <f t="shared" ref="B9233:B9240" si="3340">"JENNIFER"</f>
        <v>JENNIFER</v>
      </c>
      <c r="C9233" t="str">
        <f t="shared" ref="C9233:C9240" si="3341">"KOUCH"</f>
        <v>KOUCH</v>
      </c>
      <c r="D9233" t="str">
        <f t="shared" si="3338"/>
        <v>09</v>
      </c>
      <c r="E9233" t="str">
        <f>"04 - A - 106 - Ferrie J Arostique"</f>
        <v>04 - A - 106 - Ferrie J Arostique</v>
      </c>
      <c r="F9233" t="str">
        <f>"PRE-AICE MATH 2 IG"</f>
        <v>PRE-AICE MATH 2 IG</v>
      </c>
      <c r="G9233" t="str">
        <f>"21-2139"</f>
        <v>21-2139</v>
      </c>
      <c r="H9233" t="str">
        <f>"A"</f>
        <v>A</v>
      </c>
    </row>
    <row r="9234" spans="1:8" x14ac:dyDescent="0.2">
      <c r="A9234" t="str">
        <f t="shared" si="3339"/>
        <v>0616141928</v>
      </c>
      <c r="B9234" t="str">
        <f t="shared" si="3340"/>
        <v>JENNIFER</v>
      </c>
      <c r="C9234" t="str">
        <f t="shared" si="3341"/>
        <v>KOUCH</v>
      </c>
      <c r="D9234" t="str">
        <f t="shared" si="3338"/>
        <v>09</v>
      </c>
      <c r="E9234" t="str">
        <f>"06 - B - 104 - Rory T Sponsler"</f>
        <v>06 - B - 104 - Rory T Sponsler</v>
      </c>
      <c r="F9234" t="str">
        <f>"PRE-AICE WRLD HST IG"</f>
        <v>PRE-AICE WRLD HST IG</v>
      </c>
      <c r="G9234" t="str">
        <f>"17-1740"</f>
        <v>17-1740</v>
      </c>
      <c r="H9234" t="str">
        <f>"B"</f>
        <v>B</v>
      </c>
    </row>
    <row r="9235" spans="1:8" x14ac:dyDescent="0.2">
      <c r="A9235" t="str">
        <f t="shared" si="3339"/>
        <v>0616141928</v>
      </c>
      <c r="B9235" t="str">
        <f t="shared" si="3340"/>
        <v>JENNIFER</v>
      </c>
      <c r="C9235" t="str">
        <f t="shared" si="3341"/>
        <v>KOUCH</v>
      </c>
      <c r="D9235" t="str">
        <f t="shared" si="3338"/>
        <v>09</v>
      </c>
      <c r="E9235" t="str">
        <f>"03 - A - 103 - Marius D Orsolini"</f>
        <v>03 - A - 103 - Marius D Orsolini</v>
      </c>
      <c r="F9235" t="str">
        <f>"CULINARY ARTS 1"</f>
        <v>CULINARY ARTS 1</v>
      </c>
      <c r="G9235" t="str">
        <f>"21-2115"</f>
        <v>21-2115</v>
      </c>
      <c r="H9235" t="str">
        <f>"A"</f>
        <v>A</v>
      </c>
    </row>
    <row r="9236" spans="1:8" x14ac:dyDescent="0.2">
      <c r="A9236" t="str">
        <f t="shared" si="3339"/>
        <v>0616141928</v>
      </c>
      <c r="B9236" t="str">
        <f t="shared" si="3340"/>
        <v>JENNIFER</v>
      </c>
      <c r="C9236" t="str">
        <f t="shared" si="3341"/>
        <v>KOUCH</v>
      </c>
      <c r="D9236" t="str">
        <f t="shared" si="3338"/>
        <v>09</v>
      </c>
      <c r="E9236" t="str">
        <f>"02 - A - 113 - Amy Beth  Broyles"</f>
        <v>02 - A - 113 - Amy Beth  Broyles</v>
      </c>
      <c r="F9236" t="str">
        <f>"NC STUDY HALL 1"</f>
        <v>NC STUDY HALL 1</v>
      </c>
      <c r="G9236" t="str">
        <f>"08-802"</f>
        <v>08-802</v>
      </c>
      <c r="H9236" t="str">
        <f>"A"</f>
        <v>A</v>
      </c>
    </row>
    <row r="9237" spans="1:8" x14ac:dyDescent="0.2">
      <c r="A9237" t="str">
        <f t="shared" si="3339"/>
        <v>0616141928</v>
      </c>
      <c r="B9237" t="str">
        <f t="shared" si="3340"/>
        <v>JENNIFER</v>
      </c>
      <c r="C9237" t="str">
        <f t="shared" si="3341"/>
        <v>KOUCH</v>
      </c>
      <c r="D9237" t="str">
        <f t="shared" si="3338"/>
        <v>09</v>
      </c>
      <c r="E9237" t="str">
        <f>"07 - B - 003 - Brandy N Zdenek"</f>
        <v>07 - B - 003 - Brandy N Zdenek</v>
      </c>
      <c r="F9237" t="str">
        <f>"AICE ENG GEN PAPER 1"</f>
        <v>AICE ENG GEN PAPER 1</v>
      </c>
      <c r="G9237" t="str">
        <f>"17-1704"</f>
        <v>17-1704</v>
      </c>
      <c r="H9237" t="str">
        <f>"B"</f>
        <v>B</v>
      </c>
    </row>
    <row r="9238" spans="1:8" x14ac:dyDescent="0.2">
      <c r="A9238" t="str">
        <f t="shared" si="3339"/>
        <v>0616141928</v>
      </c>
      <c r="B9238" t="str">
        <f t="shared" si="3340"/>
        <v>JENNIFER</v>
      </c>
      <c r="C9238" t="str">
        <f t="shared" si="3341"/>
        <v>KOUCH</v>
      </c>
      <c r="D9238" t="str">
        <f t="shared" si="3338"/>
        <v>09</v>
      </c>
      <c r="E9238" t="str">
        <f>"05 - B - 201 - Jazmin S Fletcher"</f>
        <v>05 - B - 201 - Jazmin S Fletcher</v>
      </c>
      <c r="F9238" t="str">
        <f>"THEATRE 1"</f>
        <v>THEATRE 1</v>
      </c>
      <c r="G9238" t="str">
        <f>"09-909"</f>
        <v>09-909</v>
      </c>
      <c r="H9238" t="str">
        <f>"B"</f>
        <v>B</v>
      </c>
    </row>
    <row r="9239" spans="1:8" x14ac:dyDescent="0.2">
      <c r="A9239" t="str">
        <f t="shared" si="3339"/>
        <v>0616141928</v>
      </c>
      <c r="B9239" t="str">
        <f t="shared" si="3340"/>
        <v>JENNIFER</v>
      </c>
      <c r="C9239" t="str">
        <f t="shared" si="3341"/>
        <v>KOUCH</v>
      </c>
      <c r="D9239" t="str">
        <f t="shared" si="3338"/>
        <v>09</v>
      </c>
      <c r="E9239" t="str">
        <f>"01 - A - 101 - Arthur  Kulawik"</f>
        <v>01 - A - 101 - Arthur  Kulawik</v>
      </c>
      <c r="F9239" t="str">
        <f>"DEBATE 1 LH"</f>
        <v>DEBATE 1 LH</v>
      </c>
      <c r="G9239" t="str">
        <f>"05-506"</f>
        <v>05-506</v>
      </c>
      <c r="H9239" t="str">
        <f>"A"</f>
        <v>A</v>
      </c>
    </row>
    <row r="9240" spans="1:8" x14ac:dyDescent="0.2">
      <c r="A9240" t="str">
        <f t="shared" si="3339"/>
        <v>0616141928</v>
      </c>
      <c r="B9240" t="str">
        <f t="shared" si="3340"/>
        <v>JENNIFER</v>
      </c>
      <c r="C9240" t="str">
        <f t="shared" si="3341"/>
        <v>KOUCH</v>
      </c>
      <c r="D9240" t="str">
        <f t="shared" si="3338"/>
        <v>09</v>
      </c>
      <c r="E9240" t="str">
        <f>"08 - B - 102 - Josiah I Lacy"</f>
        <v>08 - B - 102 - Josiah I Lacy</v>
      </c>
      <c r="F9240" t="str">
        <f>"ANAT PHYSIO HON"</f>
        <v>ANAT PHYSIO HON</v>
      </c>
      <c r="G9240" t="str">
        <f>"08-801"</f>
        <v>08-801</v>
      </c>
      <c r="H9240" t="str">
        <f>"B"</f>
        <v>B</v>
      </c>
    </row>
    <row r="9241" spans="1:8" x14ac:dyDescent="0.2">
      <c r="A9241" t="str">
        <f t="shared" ref="A9241:A9248" si="3342">"0616009591"</f>
        <v>0616009591</v>
      </c>
      <c r="B9241" t="str">
        <f t="shared" ref="B9241:B9248" si="3343">"MATHEO"</f>
        <v>MATHEO</v>
      </c>
      <c r="C9241" t="str">
        <f t="shared" ref="C9241:C9248" si="3344">"KOUNTOURIDIS"</f>
        <v>KOUNTOURIDIS</v>
      </c>
      <c r="D9241">
        <f>10</f>
        <v>10</v>
      </c>
      <c r="E9241" t="str">
        <f>"04 - A - 105 - Milca  Exantus"</f>
        <v>04 - A - 105 - Milca  Exantus</v>
      </c>
      <c r="F9241" t="str">
        <f>"MATH COLLEGE LIB ART"</f>
        <v>MATH COLLEGE LIB ART</v>
      </c>
      <c r="G9241" t="str">
        <f>"21-2145"</f>
        <v>21-2145</v>
      </c>
      <c r="H9241" t="str">
        <f>"A"</f>
        <v>A</v>
      </c>
    </row>
    <row r="9242" spans="1:8" x14ac:dyDescent="0.2">
      <c r="A9242" t="str">
        <f t="shared" si="3342"/>
        <v>0616009591</v>
      </c>
      <c r="B9242" t="str">
        <f t="shared" si="3343"/>
        <v>MATHEO</v>
      </c>
      <c r="C9242" t="str">
        <f t="shared" si="3344"/>
        <v>KOUNTOURIDIS</v>
      </c>
      <c r="D9242">
        <f>10</f>
        <v>10</v>
      </c>
      <c r="E9242" t="str">
        <f>"06 - B - 114 - Richard E Dunbar Iii"</f>
        <v>06 - B - 114 - Richard E Dunbar Iii</v>
      </c>
      <c r="F9242" t="str">
        <f>"NC STUDY HALL 1"</f>
        <v>NC STUDY HALL 1</v>
      </c>
      <c r="G9242" t="str">
        <f>"17-1703"</f>
        <v>17-1703</v>
      </c>
      <c r="H9242" t="str">
        <f>"B"</f>
        <v>B</v>
      </c>
    </row>
    <row r="9243" spans="1:8" x14ac:dyDescent="0.2">
      <c r="A9243" t="str">
        <f t="shared" si="3342"/>
        <v>0616009591</v>
      </c>
      <c r="B9243" t="str">
        <f t="shared" si="3343"/>
        <v>MATHEO</v>
      </c>
      <c r="C9243" t="str">
        <f t="shared" si="3344"/>
        <v>KOUNTOURIDIS</v>
      </c>
      <c r="D9243">
        <f>10</f>
        <v>10</v>
      </c>
      <c r="E9243" t="str">
        <f>"03 - A - 208 - Marielle A Witting"</f>
        <v>03 - A - 208 - Marielle A Witting</v>
      </c>
      <c r="F9243" t="str">
        <f>"ANAT PHYSIO"</f>
        <v>ANAT PHYSIO</v>
      </c>
      <c r="G9243" t="str">
        <f>"08-805"</f>
        <v>08-805</v>
      </c>
      <c r="H9243" t="str">
        <f>"A"</f>
        <v>A</v>
      </c>
    </row>
    <row r="9244" spans="1:8" x14ac:dyDescent="0.2">
      <c r="A9244" t="str">
        <f t="shared" si="3342"/>
        <v>0616009591</v>
      </c>
      <c r="B9244" t="str">
        <f t="shared" si="3343"/>
        <v>MATHEO</v>
      </c>
      <c r="C9244" t="str">
        <f t="shared" si="3344"/>
        <v>KOUNTOURIDIS</v>
      </c>
      <c r="D9244">
        <f>10</f>
        <v>10</v>
      </c>
      <c r="E9244" t="str">
        <f>"02 - S1 - A - 101 - James H Mccann"</f>
        <v>02 - S1 - A - 101 - James H Mccann</v>
      </c>
      <c r="F9244" t="str">
        <f>"PERS FIN &amp; MON MGT H"</f>
        <v>PERS FIN &amp; MON MGT H</v>
      </c>
      <c r="G9244" t="str">
        <f>"17-1716"</f>
        <v>17-1716</v>
      </c>
      <c r="H9244" t="str">
        <f>"A"</f>
        <v>A</v>
      </c>
    </row>
    <row r="9245" spans="1:8" x14ac:dyDescent="0.2">
      <c r="A9245" t="str">
        <f t="shared" si="3342"/>
        <v>0616009591</v>
      </c>
      <c r="B9245" t="str">
        <f t="shared" si="3343"/>
        <v>MATHEO</v>
      </c>
      <c r="C9245" t="str">
        <f t="shared" si="3344"/>
        <v>KOUNTOURIDIS</v>
      </c>
      <c r="D9245">
        <f>10</f>
        <v>10</v>
      </c>
      <c r="E9245" t="str">
        <f>"07 - S1 - B - 107 - Richard E Dunbar Iii"</f>
        <v>07 - S1 - B - 107 - Richard E Dunbar Iii</v>
      </c>
      <c r="F9245" t="str">
        <f>"WEIGHT TRAIN 1"</f>
        <v>WEIGHT TRAIN 1</v>
      </c>
      <c r="G9245" t="str">
        <f>"05-501"</f>
        <v>05-501</v>
      </c>
      <c r="H9245" t="str">
        <f>"B"</f>
        <v>B</v>
      </c>
    </row>
    <row r="9246" spans="1:8" x14ac:dyDescent="0.2">
      <c r="A9246" t="str">
        <f t="shared" si="3342"/>
        <v>0616009591</v>
      </c>
      <c r="B9246" t="str">
        <f t="shared" si="3343"/>
        <v>MATHEO</v>
      </c>
      <c r="C9246" t="str">
        <f t="shared" si="3344"/>
        <v>KOUNTOURIDIS</v>
      </c>
      <c r="D9246">
        <f>10</f>
        <v>10</v>
      </c>
      <c r="E9246" t="str">
        <f>"05 - B - 106 - Jacquelyn M Neeson"</f>
        <v>05 - B - 106 - Jacquelyn M Neeson</v>
      </c>
      <c r="F9246" t="str">
        <f>"ENG 2"</f>
        <v>ENG 2</v>
      </c>
      <c r="G9246" t="str">
        <f>"17-1715"</f>
        <v>17-1715</v>
      </c>
      <c r="H9246" t="str">
        <f>"B"</f>
        <v>B</v>
      </c>
    </row>
    <row r="9247" spans="1:8" x14ac:dyDescent="0.2">
      <c r="A9247" t="str">
        <f t="shared" si="3342"/>
        <v>0616009591</v>
      </c>
      <c r="B9247" t="str">
        <f t="shared" si="3343"/>
        <v>MATHEO</v>
      </c>
      <c r="C9247" t="str">
        <f t="shared" si="3344"/>
        <v>KOUNTOURIDIS</v>
      </c>
      <c r="D9247">
        <f>10</f>
        <v>10</v>
      </c>
      <c r="E9247" t="str">
        <f>"01 - A - 108 - Rosa Elaine  Collado-Duff"</f>
        <v>01 - A - 108 - Rosa Elaine  Collado-Duff</v>
      </c>
      <c r="F9247" t="str">
        <f>"PRE-AICE SPAN 2 IG"</f>
        <v>PRE-AICE SPAN 2 IG</v>
      </c>
      <c r="G9247" t="str">
        <f>"09-913"</f>
        <v>09-913</v>
      </c>
      <c r="H9247" t="str">
        <f>"A"</f>
        <v>A</v>
      </c>
    </row>
    <row r="9248" spans="1:8" x14ac:dyDescent="0.2">
      <c r="A9248" t="str">
        <f t="shared" si="3342"/>
        <v>0616009591</v>
      </c>
      <c r="B9248" t="str">
        <f t="shared" si="3343"/>
        <v>MATHEO</v>
      </c>
      <c r="C9248" t="str">
        <f t="shared" si="3344"/>
        <v>KOUNTOURIDIS</v>
      </c>
      <c r="D9248">
        <f>10</f>
        <v>10</v>
      </c>
      <c r="E9248" t="str">
        <f>"08 - B - 102 - Robert H Rindner"</f>
        <v>08 - B - 102 - Robert H Rindner</v>
      </c>
      <c r="F9248" t="str">
        <f>"TV PRODUCTION TECH 1"</f>
        <v>TV PRODUCTION TECH 1</v>
      </c>
      <c r="G9248" t="str">
        <f>"21-2160"</f>
        <v>21-2160</v>
      </c>
      <c r="H9248" t="str">
        <f>"B"</f>
        <v>B</v>
      </c>
    </row>
    <row r="9249" spans="1:8" x14ac:dyDescent="0.2">
      <c r="A9249" t="str">
        <f t="shared" ref="A9249:A9256" si="3345">"0615099086"</f>
        <v>0615099086</v>
      </c>
      <c r="B9249" t="str">
        <f t="shared" ref="B9249:B9256" si="3346">"GRACIELA"</f>
        <v>GRACIELA</v>
      </c>
      <c r="C9249" t="str">
        <f t="shared" ref="C9249:C9256" si="3347">"KRUGER"</f>
        <v>KRUGER</v>
      </c>
      <c r="D9249">
        <f>10</f>
        <v>10</v>
      </c>
      <c r="E9249" t="str">
        <f>"04 - A - 104 - Marius D Orsolini"</f>
        <v>04 - A - 104 - Marius D Orsolini</v>
      </c>
      <c r="F9249" t="str">
        <f>"CULINARY ARTS 1"</f>
        <v>CULINARY ARTS 1</v>
      </c>
      <c r="G9249" t="str">
        <f>"21-2115"</f>
        <v>21-2115</v>
      </c>
      <c r="H9249" t="str">
        <f>"A"</f>
        <v>A</v>
      </c>
    </row>
    <row r="9250" spans="1:8" x14ac:dyDescent="0.2">
      <c r="A9250" t="str">
        <f t="shared" si="3345"/>
        <v>0615099086</v>
      </c>
      <c r="B9250" t="str">
        <f t="shared" si="3346"/>
        <v>GRACIELA</v>
      </c>
      <c r="C9250" t="str">
        <f t="shared" si="3347"/>
        <v>KRUGER</v>
      </c>
      <c r="D9250">
        <f>10</f>
        <v>10</v>
      </c>
      <c r="E9250" t="str">
        <f>"06 - B - 115 - Scott A Dethloff"</f>
        <v>06 - B - 115 - Scott A Dethloff</v>
      </c>
      <c r="F9250" t="str">
        <f>"NC STUDY HALL 1"</f>
        <v>NC STUDY HALL 1</v>
      </c>
      <c r="G9250" t="str">
        <f>"08-812"</f>
        <v>08-812</v>
      </c>
      <c r="H9250" t="str">
        <f>"B"</f>
        <v>B</v>
      </c>
    </row>
    <row r="9251" spans="1:8" x14ac:dyDescent="0.2">
      <c r="A9251" t="str">
        <f t="shared" si="3345"/>
        <v>0615099086</v>
      </c>
      <c r="B9251" t="str">
        <f t="shared" si="3346"/>
        <v>GRACIELA</v>
      </c>
      <c r="C9251" t="str">
        <f t="shared" si="3347"/>
        <v>KRUGER</v>
      </c>
      <c r="D9251">
        <f>10</f>
        <v>10</v>
      </c>
      <c r="E9251" t="str">
        <f>"03 - A - 002 - Lenecy  Nodarse"</f>
        <v>03 - A - 002 - Lenecy  Nodarse</v>
      </c>
      <c r="F9251" t="str">
        <f>"AICE EURO HIST 1 AS"</f>
        <v>AICE EURO HIST 1 AS</v>
      </c>
      <c r="G9251" t="str">
        <f>"17-1741"</f>
        <v>17-1741</v>
      </c>
      <c r="H9251" t="str">
        <f>"A"</f>
        <v>A</v>
      </c>
    </row>
    <row r="9252" spans="1:8" x14ac:dyDescent="0.2">
      <c r="A9252" t="str">
        <f t="shared" si="3345"/>
        <v>0615099086</v>
      </c>
      <c r="B9252" t="str">
        <f t="shared" si="3346"/>
        <v>GRACIELA</v>
      </c>
      <c r="C9252" t="str">
        <f t="shared" si="3347"/>
        <v>KRUGER</v>
      </c>
      <c r="D9252">
        <f>10</f>
        <v>10</v>
      </c>
      <c r="E9252" t="str">
        <f>"02 - A - 103 - Dorothy D Moore"</f>
        <v>02 - A - 103 - Dorothy D Moore</v>
      </c>
      <c r="F9252" t="str">
        <f>"ANAT PHYSIO HON"</f>
        <v>ANAT PHYSIO HON</v>
      </c>
      <c r="G9252" t="str">
        <f>"08-803"</f>
        <v>08-803</v>
      </c>
      <c r="H9252" t="str">
        <f>"A"</f>
        <v>A</v>
      </c>
    </row>
    <row r="9253" spans="1:8" x14ac:dyDescent="0.2">
      <c r="A9253" t="str">
        <f t="shared" si="3345"/>
        <v>0615099086</v>
      </c>
      <c r="B9253" t="str">
        <f t="shared" si="3346"/>
        <v>GRACIELA</v>
      </c>
      <c r="C9253" t="str">
        <f t="shared" si="3347"/>
        <v>KRUGER</v>
      </c>
      <c r="D9253">
        <f>10</f>
        <v>10</v>
      </c>
      <c r="E9253" t="str">
        <f>"07 - B - 101 - Jeanne M Bermudez"</f>
        <v>07 - B - 101 - Jeanne M Bermudez</v>
      </c>
      <c r="F9253" t="str">
        <f>"FOUND OF PROGRAM HON"</f>
        <v>FOUND OF PROGRAM HON</v>
      </c>
      <c r="G9253" t="str">
        <f>"21-2141"</f>
        <v>21-2141</v>
      </c>
      <c r="H9253" t="str">
        <f>"B"</f>
        <v>B</v>
      </c>
    </row>
    <row r="9254" spans="1:8" x14ac:dyDescent="0.2">
      <c r="A9254" t="str">
        <f t="shared" si="3345"/>
        <v>0615099086</v>
      </c>
      <c r="B9254" t="str">
        <f t="shared" si="3346"/>
        <v>GRACIELA</v>
      </c>
      <c r="C9254" t="str">
        <f t="shared" si="3347"/>
        <v>KRUGER</v>
      </c>
      <c r="D9254">
        <f>10</f>
        <v>10</v>
      </c>
      <c r="E9254" t="str">
        <f>"05 - B - 104 - Maried P Ramos"</f>
        <v>05 - B - 104 - Maried P Ramos</v>
      </c>
      <c r="F9254" t="str">
        <f>"PRE-AICE MATH 2 IG"</f>
        <v>PRE-AICE MATH 2 IG</v>
      </c>
      <c r="G9254" t="str">
        <f>"21-2159"</f>
        <v>21-2159</v>
      </c>
      <c r="H9254" t="str">
        <f>"B"</f>
        <v>B</v>
      </c>
    </row>
    <row r="9255" spans="1:8" x14ac:dyDescent="0.2">
      <c r="A9255" t="str">
        <f t="shared" si="3345"/>
        <v>0615099086</v>
      </c>
      <c r="B9255" t="str">
        <f t="shared" si="3346"/>
        <v>GRACIELA</v>
      </c>
      <c r="C9255" t="str">
        <f t="shared" si="3347"/>
        <v>KRUGER</v>
      </c>
      <c r="D9255">
        <f>10</f>
        <v>10</v>
      </c>
      <c r="E9255" t="str">
        <f>"01 - A - 201 - Stefanie S Scher"</f>
        <v>01 - A - 201 - Stefanie S Scher</v>
      </c>
      <c r="F9255" t="str">
        <f>"AICE PSYCH 1 AS"</f>
        <v>AICE PSYCH 1 AS</v>
      </c>
      <c r="G9255" t="str">
        <f>"17-1735"</f>
        <v>17-1735</v>
      </c>
      <c r="H9255" t="str">
        <f>"A"</f>
        <v>A</v>
      </c>
    </row>
    <row r="9256" spans="1:8" x14ac:dyDescent="0.2">
      <c r="A9256" t="str">
        <f t="shared" si="3345"/>
        <v>0615099086</v>
      </c>
      <c r="B9256" t="str">
        <f t="shared" si="3346"/>
        <v>GRACIELA</v>
      </c>
      <c r="C9256" t="str">
        <f t="shared" si="3347"/>
        <v>KRUGER</v>
      </c>
      <c r="D9256">
        <f>10</f>
        <v>10</v>
      </c>
      <c r="E9256" t="str">
        <f>"08 - B - 001 - Jacklyn M James"</f>
        <v>08 - B - 001 - Jacklyn M James</v>
      </c>
      <c r="F9256" t="str">
        <f>"AICE ENG LANG AS"</f>
        <v>AICE ENG LANG AS</v>
      </c>
      <c r="G9256" t="str">
        <f>"17-1731"</f>
        <v>17-1731</v>
      </c>
      <c r="H9256" t="str">
        <f>"B"</f>
        <v>B</v>
      </c>
    </row>
    <row r="9257" spans="1:8" x14ac:dyDescent="0.2">
      <c r="A9257" t="str">
        <f t="shared" ref="A9257:A9264" si="3348">"0615108737"</f>
        <v>0615108737</v>
      </c>
      <c r="B9257" t="str">
        <f t="shared" ref="B9257:B9264" si="3349">"MIKA"</f>
        <v>MIKA</v>
      </c>
      <c r="C9257" t="str">
        <f t="shared" ref="C9257:C9264" si="3350">"LABASTROUS BACHEL"</f>
        <v>LABASTROUS BACHEL</v>
      </c>
      <c r="D9257">
        <f>11</f>
        <v>11</v>
      </c>
      <c r="E9257" t="str">
        <f>"04 - A - 101 - Vanessa J Liburd"</f>
        <v>04 - A - 101 - Vanessa J Liburd</v>
      </c>
      <c r="F9257" t="str">
        <f>"AP FRENCH LANG &amp; CU"</f>
        <v>AP FRENCH LANG &amp; CU</v>
      </c>
      <c r="G9257" t="str">
        <f>"05-519"</f>
        <v>05-519</v>
      </c>
      <c r="H9257" t="str">
        <f>"A"</f>
        <v>A</v>
      </c>
    </row>
    <row r="9258" spans="1:8" x14ac:dyDescent="0.2">
      <c r="A9258" t="str">
        <f t="shared" si="3348"/>
        <v>0615108737</v>
      </c>
      <c r="B9258" t="str">
        <f t="shared" si="3349"/>
        <v>MIKA</v>
      </c>
      <c r="C9258" t="str">
        <f t="shared" si="3350"/>
        <v>LABASTROUS BACHEL</v>
      </c>
      <c r="D9258">
        <f>11</f>
        <v>11</v>
      </c>
      <c r="E9258" t="str">
        <f>"06 - B - 102 - Stephen T Ripp"</f>
        <v>06 - B - 102 - Stephen T Ripp</v>
      </c>
      <c r="F9258" t="str">
        <f>"AP U.S. HIST"</f>
        <v>AP U.S. HIST</v>
      </c>
      <c r="G9258" t="str">
        <f>"17-1744"</f>
        <v>17-1744</v>
      </c>
      <c r="H9258" t="str">
        <f>"B"</f>
        <v>B</v>
      </c>
    </row>
    <row r="9259" spans="1:8" x14ac:dyDescent="0.2">
      <c r="A9259" t="str">
        <f t="shared" si="3348"/>
        <v>0615108737</v>
      </c>
      <c r="B9259" t="str">
        <f t="shared" si="3349"/>
        <v>MIKA</v>
      </c>
      <c r="C9259" t="str">
        <f t="shared" si="3350"/>
        <v>LABASTROUS BACHEL</v>
      </c>
      <c r="D9259">
        <f>11</f>
        <v>11</v>
      </c>
      <c r="E9259" t="str">
        <f>"03 - A - 102 - Tina M Jaramillo"</f>
        <v>03 - A - 102 - Tina M Jaramillo</v>
      </c>
      <c r="F9259" t="str">
        <f>"AP ENG COMPO"</f>
        <v>AP ENG COMPO</v>
      </c>
      <c r="G9259" t="str">
        <f>"17-1706"</f>
        <v>17-1706</v>
      </c>
      <c r="H9259" t="str">
        <f>"A"</f>
        <v>A</v>
      </c>
    </row>
    <row r="9260" spans="1:8" x14ac:dyDescent="0.2">
      <c r="A9260" t="str">
        <f t="shared" si="3348"/>
        <v>0615108737</v>
      </c>
      <c r="B9260" t="str">
        <f t="shared" si="3349"/>
        <v>MIKA</v>
      </c>
      <c r="C9260" t="str">
        <f t="shared" si="3350"/>
        <v>LABASTROUS BACHEL</v>
      </c>
      <c r="D9260">
        <f>11</f>
        <v>11</v>
      </c>
      <c r="E9260" t="str">
        <f>"02 - A - 113 - Byron G Montenegro"</f>
        <v>02 - A - 113 - Byron G Montenegro</v>
      </c>
      <c r="F9260" t="str">
        <f>"NC STUDY HALL 1"</f>
        <v>NC STUDY HALL 1</v>
      </c>
      <c r="G9260" t="str">
        <f>"21-2144"</f>
        <v>21-2144</v>
      </c>
      <c r="H9260" t="str">
        <f>"A"</f>
        <v>A</v>
      </c>
    </row>
    <row r="9261" spans="1:8" x14ac:dyDescent="0.2">
      <c r="A9261" t="str">
        <f t="shared" si="3348"/>
        <v>0615108737</v>
      </c>
      <c r="B9261" t="str">
        <f t="shared" si="3349"/>
        <v>MIKA</v>
      </c>
      <c r="C9261" t="str">
        <f t="shared" si="3350"/>
        <v>LABASTROUS BACHEL</v>
      </c>
      <c r="D9261">
        <f>11</f>
        <v>11</v>
      </c>
      <c r="E9261" t="str">
        <f>"07 - B - 204 - Stefanie S Scher"</f>
        <v>07 - B - 204 - Stefanie S Scher</v>
      </c>
      <c r="F9261" t="str">
        <f>"AP PSYCH"</f>
        <v>AP PSYCH</v>
      </c>
      <c r="G9261" t="str">
        <f>"17-1735"</f>
        <v>17-1735</v>
      </c>
      <c r="H9261" t="str">
        <f>"B"</f>
        <v>B</v>
      </c>
    </row>
    <row r="9262" spans="1:8" x14ac:dyDescent="0.2">
      <c r="A9262" t="str">
        <f t="shared" si="3348"/>
        <v>0615108737</v>
      </c>
      <c r="B9262" t="str">
        <f t="shared" si="3349"/>
        <v>MIKA</v>
      </c>
      <c r="C9262" t="str">
        <f t="shared" si="3350"/>
        <v>LABASTROUS BACHEL</v>
      </c>
      <c r="D9262">
        <f>11</f>
        <v>11</v>
      </c>
      <c r="E9262" t="str">
        <f>"05 - B - 104 - Lourivaldo  Da Silva"</f>
        <v>05 - B - 104 - Lourivaldo  Da Silva</v>
      </c>
      <c r="F9262" t="str">
        <f>"PRE-CALCULUS HON"</f>
        <v>PRE-CALCULUS HON</v>
      </c>
      <c r="G9262" t="str">
        <f>"20-2079"</f>
        <v>20-2079</v>
      </c>
      <c r="H9262" t="str">
        <f>"B"</f>
        <v>B</v>
      </c>
    </row>
    <row r="9263" spans="1:8" x14ac:dyDescent="0.2">
      <c r="A9263" t="str">
        <f t="shared" si="3348"/>
        <v>0615108737</v>
      </c>
      <c r="B9263" t="str">
        <f t="shared" si="3349"/>
        <v>MIKA</v>
      </c>
      <c r="C9263" t="str">
        <f t="shared" si="3350"/>
        <v>LABASTROUS BACHEL</v>
      </c>
      <c r="D9263">
        <f>11</f>
        <v>11</v>
      </c>
      <c r="E9263" t="str">
        <f>"01 - A - 101 - Lisa J London"</f>
        <v>01 - A - 101 - Lisa J London</v>
      </c>
      <c r="F9263" t="str">
        <f>"AP CAPSTONE SEMINAR"</f>
        <v>AP CAPSTONE SEMINAR</v>
      </c>
      <c r="G9263" t="str">
        <f>"17-1714"</f>
        <v>17-1714</v>
      </c>
      <c r="H9263" t="str">
        <f>"A"</f>
        <v>A</v>
      </c>
    </row>
    <row r="9264" spans="1:8" x14ac:dyDescent="0.2">
      <c r="A9264" t="str">
        <f t="shared" si="3348"/>
        <v>0615108737</v>
      </c>
      <c r="B9264" t="str">
        <f t="shared" si="3349"/>
        <v>MIKA</v>
      </c>
      <c r="C9264" t="str">
        <f t="shared" si="3350"/>
        <v>LABASTROUS BACHEL</v>
      </c>
      <c r="D9264">
        <f>11</f>
        <v>11</v>
      </c>
      <c r="E9264" t="str">
        <f>"08 - B - 101 - Marius D Orsolini"</f>
        <v>08 - B - 101 - Marius D Orsolini</v>
      </c>
      <c r="F9264" t="str">
        <f>"CULINARY ARTS 2"</f>
        <v>CULINARY ARTS 2</v>
      </c>
      <c r="G9264" t="str">
        <f>"21-2115"</f>
        <v>21-2115</v>
      </c>
      <c r="H9264" t="str">
        <f>"B"</f>
        <v>B</v>
      </c>
    </row>
    <row r="9265" spans="1:8" x14ac:dyDescent="0.2">
      <c r="A9265" t="str">
        <f t="shared" ref="A9265:A9272" si="3351">"0615108377"</f>
        <v>0615108377</v>
      </c>
      <c r="B9265" t="str">
        <f t="shared" ref="B9265:B9272" si="3352">"DONOVAN"</f>
        <v>DONOVAN</v>
      </c>
      <c r="C9265" t="str">
        <f t="shared" ref="C9265:C9272" si="3353">"LAFLAMME"</f>
        <v>LAFLAMME</v>
      </c>
      <c r="D9265">
        <f>10</f>
        <v>10</v>
      </c>
      <c r="E9265" t="str">
        <f>"04 - A - 205 - Lytrell T Dixon"</f>
        <v>04 - A - 205 - Lytrell T Dixon</v>
      </c>
      <c r="F9265" t="str">
        <f>"BIOLOGY 1"</f>
        <v>BIOLOGY 1</v>
      </c>
      <c r="G9265" t="str">
        <f>"08-808"</f>
        <v>08-808</v>
      </c>
      <c r="H9265" t="str">
        <f>"A"</f>
        <v>A</v>
      </c>
    </row>
    <row r="9266" spans="1:8" x14ac:dyDescent="0.2">
      <c r="A9266" t="str">
        <f t="shared" si="3351"/>
        <v>0615108377</v>
      </c>
      <c r="B9266" t="str">
        <f t="shared" si="3352"/>
        <v>DONOVAN</v>
      </c>
      <c r="C9266" t="str">
        <f t="shared" si="3353"/>
        <v>LAFLAMME</v>
      </c>
      <c r="D9266">
        <f>10</f>
        <v>10</v>
      </c>
      <c r="E9266" t="str">
        <f>"06 - B - 107 - Dorothy D Moore"</f>
        <v>06 - B - 107 - Dorothy D Moore</v>
      </c>
      <c r="F9266" t="str">
        <f>"NC STUDY HALL 1"</f>
        <v>NC STUDY HALL 1</v>
      </c>
      <c r="G9266" t="str">
        <f>"08-803"</f>
        <v>08-803</v>
      </c>
      <c r="H9266" t="str">
        <f>"B"</f>
        <v>B</v>
      </c>
    </row>
    <row r="9267" spans="1:8" x14ac:dyDescent="0.2">
      <c r="A9267" t="str">
        <f t="shared" si="3351"/>
        <v>0615108377</v>
      </c>
      <c r="B9267" t="str">
        <f t="shared" si="3352"/>
        <v>DONOVAN</v>
      </c>
      <c r="C9267" t="str">
        <f t="shared" si="3353"/>
        <v>LAFLAMME</v>
      </c>
      <c r="D9267">
        <f>10</f>
        <v>10</v>
      </c>
      <c r="E9267" t="str">
        <f>"03 - A - 103 - Jacquelyn M Neeson"</f>
        <v>03 - A - 103 - Jacquelyn M Neeson</v>
      </c>
      <c r="F9267" t="str">
        <f>"ENG 2"</f>
        <v>ENG 2</v>
      </c>
      <c r="G9267" t="str">
        <f>"17-1715"</f>
        <v>17-1715</v>
      </c>
      <c r="H9267" t="str">
        <f>"A"</f>
        <v>A</v>
      </c>
    </row>
    <row r="9268" spans="1:8" x14ac:dyDescent="0.2">
      <c r="A9268" t="str">
        <f t="shared" si="3351"/>
        <v>0615108377</v>
      </c>
      <c r="B9268" t="str">
        <f t="shared" si="3352"/>
        <v>DONOVAN</v>
      </c>
      <c r="C9268" t="str">
        <f t="shared" si="3353"/>
        <v>LAFLAMME</v>
      </c>
      <c r="D9268">
        <f>10</f>
        <v>10</v>
      </c>
      <c r="E9268" t="str">
        <f>"02 - S1 - A - 101 - James H Mccann"</f>
        <v>02 - S1 - A - 101 - James H Mccann</v>
      </c>
      <c r="F9268" t="str">
        <f>"PERS FIN &amp; MON MGT H"</f>
        <v>PERS FIN &amp; MON MGT H</v>
      </c>
      <c r="G9268" t="str">
        <f>"17-1716"</f>
        <v>17-1716</v>
      </c>
      <c r="H9268" t="str">
        <f>"A"</f>
        <v>A</v>
      </c>
    </row>
    <row r="9269" spans="1:8" x14ac:dyDescent="0.2">
      <c r="A9269" t="str">
        <f t="shared" si="3351"/>
        <v>0615108377</v>
      </c>
      <c r="B9269" t="str">
        <f t="shared" si="3352"/>
        <v>DONOVAN</v>
      </c>
      <c r="C9269" t="str">
        <f t="shared" si="3353"/>
        <v>LAFLAMME</v>
      </c>
      <c r="D9269">
        <f>10</f>
        <v>10</v>
      </c>
      <c r="E9269" t="str">
        <f>"07 - B - 002 - Jazmin S Fletcher"</f>
        <v>07 - B - 002 - Jazmin S Fletcher</v>
      </c>
      <c r="F9269" t="str">
        <f>"THEATRE 1"</f>
        <v>THEATRE 1</v>
      </c>
      <c r="G9269" t="str">
        <f>"09-909"</f>
        <v>09-909</v>
      </c>
      <c r="H9269" t="str">
        <f>"B"</f>
        <v>B</v>
      </c>
    </row>
    <row r="9270" spans="1:8" x14ac:dyDescent="0.2">
      <c r="A9270" t="str">
        <f t="shared" si="3351"/>
        <v>0615108377</v>
      </c>
      <c r="B9270" t="str">
        <f t="shared" si="3352"/>
        <v>DONOVAN</v>
      </c>
      <c r="C9270" t="str">
        <f t="shared" si="3353"/>
        <v>LAFLAMME</v>
      </c>
      <c r="D9270">
        <f>10</f>
        <v>10</v>
      </c>
      <c r="E9270" t="str">
        <f>"05 - B - 105 - Taraneh C Abreu"</f>
        <v>05 - B - 105 - Taraneh C Abreu</v>
      </c>
      <c r="F9270" t="str">
        <f>"INTENS READ 2"</f>
        <v>INTENS READ 2</v>
      </c>
      <c r="G9270" t="str">
        <f>"17-1713"</f>
        <v>17-1713</v>
      </c>
      <c r="H9270" t="str">
        <f>"B"</f>
        <v>B</v>
      </c>
    </row>
    <row r="9271" spans="1:8" x14ac:dyDescent="0.2">
      <c r="A9271" t="str">
        <f t="shared" si="3351"/>
        <v>0615108377</v>
      </c>
      <c r="B9271" t="str">
        <f t="shared" si="3352"/>
        <v>DONOVAN</v>
      </c>
      <c r="C9271" t="str">
        <f t="shared" si="3353"/>
        <v>LAFLAMME</v>
      </c>
      <c r="D9271">
        <f>10</f>
        <v>10</v>
      </c>
      <c r="E9271" t="str">
        <f>"01 - A - 104 - Milca  Exantus"</f>
        <v>01 - A - 104 - Milca  Exantus</v>
      </c>
      <c r="F9271" t="str">
        <f>"MATH COLLEGE LIB ART"</f>
        <v>MATH COLLEGE LIB ART</v>
      </c>
      <c r="G9271" t="str">
        <f>"21-2145"</f>
        <v>21-2145</v>
      </c>
      <c r="H9271" t="str">
        <f>"A"</f>
        <v>A</v>
      </c>
    </row>
    <row r="9272" spans="1:8" x14ac:dyDescent="0.2">
      <c r="A9272" t="str">
        <f t="shared" si="3351"/>
        <v>0615108377</v>
      </c>
      <c r="B9272" t="str">
        <f t="shared" si="3352"/>
        <v>DONOVAN</v>
      </c>
      <c r="C9272" t="str">
        <f t="shared" si="3353"/>
        <v>LAFLAMME</v>
      </c>
      <c r="D9272">
        <f>10</f>
        <v>10</v>
      </c>
      <c r="E9272" t="str">
        <f>"08 - S1 - B - 105 - Richard E Dunbar Iii"</f>
        <v>08 - S1 - B - 105 - Richard E Dunbar Iii</v>
      </c>
      <c r="F9272" t="str">
        <f>"WEIGHT TRAIN 1"</f>
        <v>WEIGHT TRAIN 1</v>
      </c>
      <c r="G9272" t="str">
        <f>"05-501"</f>
        <v>05-501</v>
      </c>
      <c r="H9272" t="str">
        <f>"B"</f>
        <v>B</v>
      </c>
    </row>
    <row r="9273" spans="1:8" x14ac:dyDescent="0.2">
      <c r="A9273" t="str">
        <f t="shared" ref="A9273:A9280" si="3354">"0616106844"</f>
        <v>0616106844</v>
      </c>
      <c r="B9273" t="str">
        <f t="shared" ref="B9273:B9280" si="3355">"EPHRAIM"</f>
        <v>EPHRAIM</v>
      </c>
      <c r="C9273" t="str">
        <f t="shared" ref="C9273:C9288" si="3356">"LAFRANCE"</f>
        <v>LAFRANCE</v>
      </c>
      <c r="D9273" t="str">
        <f t="shared" ref="D9273:D9280" si="3357">"09"</f>
        <v>09</v>
      </c>
      <c r="E9273" t="str">
        <f>"04 - A - 104 - Adam Marcus  Drucker"</f>
        <v>04 - A - 104 - Adam Marcus  Drucker</v>
      </c>
      <c r="F9273" t="str">
        <f>"HOPE-PE V"</f>
        <v>HOPE-PE V</v>
      </c>
      <c r="G9273" t="str">
        <f>"04-254"</f>
        <v>04-254</v>
      </c>
      <c r="H9273" t="str">
        <f>"A"</f>
        <v>A</v>
      </c>
    </row>
    <row r="9274" spans="1:8" x14ac:dyDescent="0.2">
      <c r="A9274" t="str">
        <f t="shared" si="3354"/>
        <v>0616106844</v>
      </c>
      <c r="B9274" t="str">
        <f t="shared" si="3355"/>
        <v>EPHRAIM</v>
      </c>
      <c r="C9274" t="str">
        <f t="shared" si="3356"/>
        <v>LAFRANCE</v>
      </c>
      <c r="D9274" t="str">
        <f t="shared" si="3357"/>
        <v>09</v>
      </c>
      <c r="E9274" t="str">
        <f>"06 - B - 105 - Cerine S Stewart"</f>
        <v>06 - B - 105 - Cerine S Stewart</v>
      </c>
      <c r="F9274" t="str">
        <f>"AICE ENG GEN PAPER 1"</f>
        <v>AICE ENG GEN PAPER 1</v>
      </c>
      <c r="G9274" t="str">
        <f>"17-1720"</f>
        <v>17-1720</v>
      </c>
      <c r="H9274" t="str">
        <f>"B"</f>
        <v>B</v>
      </c>
    </row>
    <row r="9275" spans="1:8" x14ac:dyDescent="0.2">
      <c r="A9275" t="str">
        <f t="shared" si="3354"/>
        <v>0616106844</v>
      </c>
      <c r="B9275" t="str">
        <f t="shared" si="3355"/>
        <v>EPHRAIM</v>
      </c>
      <c r="C9275" t="str">
        <f t="shared" si="3356"/>
        <v>LAFRANCE</v>
      </c>
      <c r="D9275" t="str">
        <f t="shared" si="3357"/>
        <v>09</v>
      </c>
      <c r="E9275" t="str">
        <f>"03 - A - 101 - Alejandro  Navarro"</f>
        <v>03 - A - 101 - Alejandro  Navarro</v>
      </c>
      <c r="F9275" t="str">
        <f>"BAND 3"</f>
        <v>BAND 3</v>
      </c>
      <c r="G9275" t="str">
        <f>"05-504"</f>
        <v>05-504</v>
      </c>
      <c r="H9275" t="str">
        <f>"A"</f>
        <v>A</v>
      </c>
    </row>
    <row r="9276" spans="1:8" x14ac:dyDescent="0.2">
      <c r="A9276" t="str">
        <f t="shared" si="3354"/>
        <v>0616106844</v>
      </c>
      <c r="B9276" t="str">
        <f t="shared" si="3355"/>
        <v>EPHRAIM</v>
      </c>
      <c r="C9276" t="str">
        <f t="shared" si="3356"/>
        <v>LAFRANCE</v>
      </c>
      <c r="D9276" t="str">
        <f t="shared" si="3357"/>
        <v>09</v>
      </c>
      <c r="E9276" t="str">
        <f>"02 - A - 115 - Lourivaldo  Da Silva"</f>
        <v>02 - A - 115 - Lourivaldo  Da Silva</v>
      </c>
      <c r="F9276" t="str">
        <f>"NC STUDY HALL 1"</f>
        <v>NC STUDY HALL 1</v>
      </c>
      <c r="G9276" t="str">
        <f>"20-2079"</f>
        <v>20-2079</v>
      </c>
      <c r="H9276" t="str">
        <f>"A"</f>
        <v>A</v>
      </c>
    </row>
    <row r="9277" spans="1:8" x14ac:dyDescent="0.2">
      <c r="A9277" t="str">
        <f t="shared" si="3354"/>
        <v>0616106844</v>
      </c>
      <c r="B9277" t="str">
        <f t="shared" si="3355"/>
        <v>EPHRAIM</v>
      </c>
      <c r="C9277" t="str">
        <f t="shared" si="3356"/>
        <v>LAFRANCE</v>
      </c>
      <c r="D9277" t="str">
        <f t="shared" si="3357"/>
        <v>09</v>
      </c>
      <c r="E9277" t="str">
        <f>"07 - B - 001 - Carol S Moore"</f>
        <v>07 - B - 001 - Carol S Moore</v>
      </c>
      <c r="F9277" t="str">
        <f>"PRE-AICE WRLD HST IG"</f>
        <v>PRE-AICE WRLD HST IG</v>
      </c>
      <c r="G9277" t="str">
        <f>"17-1733"</f>
        <v>17-1733</v>
      </c>
      <c r="H9277" t="str">
        <f>"B"</f>
        <v>B</v>
      </c>
    </row>
    <row r="9278" spans="1:8" x14ac:dyDescent="0.2">
      <c r="A9278" t="str">
        <f t="shared" si="3354"/>
        <v>0616106844</v>
      </c>
      <c r="B9278" t="str">
        <f t="shared" si="3355"/>
        <v>EPHRAIM</v>
      </c>
      <c r="C9278" t="str">
        <f t="shared" si="3356"/>
        <v>LAFRANCE</v>
      </c>
      <c r="D9278" t="str">
        <f t="shared" si="3357"/>
        <v>09</v>
      </c>
      <c r="E9278" t="str">
        <f>"05 - B - 103 - Josiah I Lacy"</f>
        <v>05 - B - 103 - Josiah I Lacy</v>
      </c>
      <c r="F9278" t="str">
        <f>"PRE-AICE BIO IG"</f>
        <v>PRE-AICE BIO IG</v>
      </c>
      <c r="G9278" t="str">
        <f>"08-801"</f>
        <v>08-801</v>
      </c>
      <c r="H9278" t="str">
        <f>"B"</f>
        <v>B</v>
      </c>
    </row>
    <row r="9279" spans="1:8" x14ac:dyDescent="0.2">
      <c r="A9279" t="str">
        <f t="shared" si="3354"/>
        <v>0616106844</v>
      </c>
      <c r="B9279" t="str">
        <f t="shared" si="3355"/>
        <v>EPHRAIM</v>
      </c>
      <c r="C9279" t="str">
        <f t="shared" si="3356"/>
        <v>LAFRANCE</v>
      </c>
      <c r="D9279" t="str">
        <f t="shared" si="3357"/>
        <v>09</v>
      </c>
      <c r="E9279" t="str">
        <f>"01 - A - 101 - Joe  Kilpatrick Jr"</f>
        <v>01 - A - 101 - Joe  Kilpatrick Jr</v>
      </c>
      <c r="F9279" t="str">
        <f>"PRE-AICE SPAN 1 IG"</f>
        <v>PRE-AICE SPAN 1 IG</v>
      </c>
      <c r="G9279" t="str">
        <f>"09-912"</f>
        <v>09-912</v>
      </c>
      <c r="H9279" t="str">
        <f>"A"</f>
        <v>A</v>
      </c>
    </row>
    <row r="9280" spans="1:8" x14ac:dyDescent="0.2">
      <c r="A9280" t="str">
        <f t="shared" si="3354"/>
        <v>0616106844</v>
      </c>
      <c r="B9280" t="str">
        <f t="shared" si="3355"/>
        <v>EPHRAIM</v>
      </c>
      <c r="C9280" t="str">
        <f t="shared" si="3356"/>
        <v>LAFRANCE</v>
      </c>
      <c r="D9280" t="str">
        <f t="shared" si="3357"/>
        <v>09</v>
      </c>
      <c r="E9280" t="str">
        <f>"08 - B - 105 - Ferrie J Arostique"</f>
        <v>08 - B - 105 - Ferrie J Arostique</v>
      </c>
      <c r="F9280" t="str">
        <f>"PRE-AICE MATH 2 IG"</f>
        <v>PRE-AICE MATH 2 IG</v>
      </c>
      <c r="G9280" t="str">
        <f>"21-2139"</f>
        <v>21-2139</v>
      </c>
      <c r="H9280" t="str">
        <f>"B"</f>
        <v>B</v>
      </c>
    </row>
    <row r="9281" spans="1:8" x14ac:dyDescent="0.2">
      <c r="A9281" t="str">
        <f t="shared" ref="A9281:A9288" si="3358">"0615092096"</f>
        <v>0615092096</v>
      </c>
      <c r="B9281" t="str">
        <f t="shared" ref="B9281:B9288" si="3359">"KYLE"</f>
        <v>KYLE</v>
      </c>
      <c r="C9281" t="str">
        <f t="shared" si="3356"/>
        <v>LAFRANCE</v>
      </c>
      <c r="D9281">
        <f>10</f>
        <v>10</v>
      </c>
      <c r="E9281" t="str">
        <f>"04 - S1 - A - 103 - James H Mccann"</f>
        <v>04 - S1 - A - 103 - James H Mccann</v>
      </c>
      <c r="F9281" t="str">
        <f>"PERS FIN &amp; MON MGT H"</f>
        <v>PERS FIN &amp; MON MGT H</v>
      </c>
      <c r="G9281" t="str">
        <f>"17-1716"</f>
        <v>17-1716</v>
      </c>
      <c r="H9281" t="str">
        <f>"A"</f>
        <v>A</v>
      </c>
    </row>
    <row r="9282" spans="1:8" x14ac:dyDescent="0.2">
      <c r="A9282" t="str">
        <f t="shared" si="3358"/>
        <v>0615092096</v>
      </c>
      <c r="B9282" t="str">
        <f t="shared" si="3359"/>
        <v>KYLE</v>
      </c>
      <c r="C9282" t="str">
        <f t="shared" si="3356"/>
        <v>LAFRANCE</v>
      </c>
      <c r="D9282">
        <f>10</f>
        <v>10</v>
      </c>
      <c r="E9282" t="str">
        <f>"06 - B - 118 - Jeanne M Bermudez"</f>
        <v>06 - B - 118 - Jeanne M Bermudez</v>
      </c>
      <c r="F9282" t="str">
        <f>"NC STUDY HALL 1"</f>
        <v>NC STUDY HALL 1</v>
      </c>
      <c r="G9282" t="str">
        <f>"21-2141"</f>
        <v>21-2141</v>
      </c>
      <c r="H9282" t="str">
        <f>"B"</f>
        <v>B</v>
      </c>
    </row>
    <row r="9283" spans="1:8" x14ac:dyDescent="0.2">
      <c r="A9283" t="str">
        <f t="shared" si="3358"/>
        <v>0615092096</v>
      </c>
      <c r="B9283" t="str">
        <f t="shared" si="3359"/>
        <v>KYLE</v>
      </c>
      <c r="C9283" t="str">
        <f t="shared" si="3356"/>
        <v>LAFRANCE</v>
      </c>
      <c r="D9283">
        <f>10</f>
        <v>10</v>
      </c>
      <c r="E9283" t="str">
        <f>"03 - A - 103 - Courtney E Hambright"</f>
        <v>03 - A - 103 - Courtney E Hambright</v>
      </c>
      <c r="F9283" t="str">
        <f>"AICE ENG LANG AS"</f>
        <v>AICE ENG LANG AS</v>
      </c>
      <c r="G9283" t="str">
        <f>"17-1711"</f>
        <v>17-1711</v>
      </c>
      <c r="H9283" t="str">
        <f>"A"</f>
        <v>A</v>
      </c>
    </row>
    <row r="9284" spans="1:8" x14ac:dyDescent="0.2">
      <c r="A9284" t="str">
        <f t="shared" si="3358"/>
        <v>0615092096</v>
      </c>
      <c r="B9284" t="str">
        <f t="shared" si="3359"/>
        <v>KYLE</v>
      </c>
      <c r="C9284" t="str">
        <f t="shared" si="3356"/>
        <v>LAFRANCE</v>
      </c>
      <c r="D9284">
        <f>10</f>
        <v>10</v>
      </c>
      <c r="E9284" t="str">
        <f>"02 - A - 102 - Vanessa J Liburd"</f>
        <v>02 - A - 102 - Vanessa J Liburd</v>
      </c>
      <c r="F9284" t="str">
        <f>"PRE-AICE FRENCH 2 IG"</f>
        <v>PRE-AICE FRENCH 2 IG</v>
      </c>
      <c r="G9284" t="str">
        <f>"05-519"</f>
        <v>05-519</v>
      </c>
      <c r="H9284" t="str">
        <f>"A"</f>
        <v>A</v>
      </c>
    </row>
    <row r="9285" spans="1:8" x14ac:dyDescent="0.2">
      <c r="A9285" t="str">
        <f t="shared" si="3358"/>
        <v>0615092096</v>
      </c>
      <c r="B9285" t="str">
        <f t="shared" si="3359"/>
        <v>KYLE</v>
      </c>
      <c r="C9285" t="str">
        <f t="shared" si="3356"/>
        <v>LAFRANCE</v>
      </c>
      <c r="D9285">
        <f>10</f>
        <v>10</v>
      </c>
      <c r="E9285" t="str">
        <f>"07 - B - 204 - Elizabeth Ellen  Moran"</f>
        <v>07 - B - 204 - Elizabeth Ellen  Moran</v>
      </c>
      <c r="F9285" t="str">
        <f>"AICE EURO HIST 1 AS"</f>
        <v>AICE EURO HIST 1 AS</v>
      </c>
      <c r="G9285" t="str">
        <f>"17-1752"</f>
        <v>17-1752</v>
      </c>
      <c r="H9285" t="str">
        <f>"B"</f>
        <v>B</v>
      </c>
    </row>
    <row r="9286" spans="1:8" x14ac:dyDescent="0.2">
      <c r="A9286" t="str">
        <f t="shared" si="3358"/>
        <v>0615092096</v>
      </c>
      <c r="B9286" t="str">
        <f t="shared" si="3359"/>
        <v>KYLE</v>
      </c>
      <c r="C9286" t="str">
        <f t="shared" si="3356"/>
        <v>LAFRANCE</v>
      </c>
      <c r="D9286">
        <f>10</f>
        <v>10</v>
      </c>
      <c r="E9286" t="str">
        <f>"05 - B - 101 - Arthur  Kulawik"</f>
        <v>05 - B - 101 - Arthur  Kulawik</v>
      </c>
      <c r="F9286" t="str">
        <f>"DEBATE 2 LH"</f>
        <v>DEBATE 2 LH</v>
      </c>
      <c r="G9286" t="str">
        <f>"05-506"</f>
        <v>05-506</v>
      </c>
      <c r="H9286" t="str">
        <f>"B"</f>
        <v>B</v>
      </c>
    </row>
    <row r="9287" spans="1:8" x14ac:dyDescent="0.2">
      <c r="A9287" t="str">
        <f t="shared" si="3358"/>
        <v>0615092096</v>
      </c>
      <c r="B9287" t="str">
        <f t="shared" si="3359"/>
        <v>KYLE</v>
      </c>
      <c r="C9287" t="str">
        <f t="shared" si="3356"/>
        <v>LAFRANCE</v>
      </c>
      <c r="D9287">
        <f>10</f>
        <v>10</v>
      </c>
      <c r="E9287" t="str">
        <f>"01 - A - 103 - Semra  Bahadir"</f>
        <v>01 - A - 103 - Semra  Bahadir</v>
      </c>
      <c r="F9287" t="str">
        <f>"MATH COLL ALGEBRA"</f>
        <v>MATH COLL ALGEBRA</v>
      </c>
      <c r="G9287" t="str">
        <f>"21-2107"</f>
        <v>21-2107</v>
      </c>
      <c r="H9287" t="str">
        <f>"A"</f>
        <v>A</v>
      </c>
    </row>
    <row r="9288" spans="1:8" x14ac:dyDescent="0.2">
      <c r="A9288" t="str">
        <f t="shared" si="3358"/>
        <v>0615092096</v>
      </c>
      <c r="B9288" t="str">
        <f t="shared" si="3359"/>
        <v>KYLE</v>
      </c>
      <c r="C9288" t="str">
        <f t="shared" si="3356"/>
        <v>LAFRANCE</v>
      </c>
      <c r="D9288">
        <f>10</f>
        <v>10</v>
      </c>
      <c r="E9288" t="str">
        <f>"08 - B - 001 - Scott A Dethloff"</f>
        <v>08 - B - 001 - Scott A Dethloff</v>
      </c>
      <c r="F9288" t="str">
        <f>"CHEMISTRY 1 HON"</f>
        <v>CHEMISTRY 1 HON</v>
      </c>
      <c r="G9288" t="str">
        <f>"08-812"</f>
        <v>08-812</v>
      </c>
      <c r="H9288" t="str">
        <f>"B"</f>
        <v>B</v>
      </c>
    </row>
    <row r="9289" spans="1:8" x14ac:dyDescent="0.2">
      <c r="A9289" t="str">
        <f t="shared" ref="A9289:A9296" si="3360">"0615075955"</f>
        <v>0615075955</v>
      </c>
      <c r="B9289" t="str">
        <f t="shared" ref="B9289:B9296" si="3361">"MCHASON"</f>
        <v>MCHASON</v>
      </c>
      <c r="C9289" t="str">
        <f t="shared" ref="C9289:C9296" si="3362">"LAGUERRE"</f>
        <v>LAGUERRE</v>
      </c>
      <c r="D9289">
        <f>10</f>
        <v>10</v>
      </c>
      <c r="E9289" t="str">
        <f>"04 - A - 005 - Emmily A Sarmiento"</f>
        <v>04 - A - 005 - Emmily A Sarmiento</v>
      </c>
      <c r="F9289" t="str">
        <f>"AICE GLBL PERSP 1 AS"</f>
        <v>AICE GLBL PERSP 1 AS</v>
      </c>
      <c r="G9289" t="str">
        <f>"17-1743"</f>
        <v>17-1743</v>
      </c>
      <c r="H9289" t="str">
        <f>"A"</f>
        <v>A</v>
      </c>
    </row>
    <row r="9290" spans="1:8" x14ac:dyDescent="0.2">
      <c r="A9290" t="str">
        <f t="shared" si="3360"/>
        <v>0615075955</v>
      </c>
      <c r="B9290" t="str">
        <f t="shared" si="3361"/>
        <v>MCHASON</v>
      </c>
      <c r="C9290" t="str">
        <f t="shared" si="3362"/>
        <v>LAGUERRE</v>
      </c>
      <c r="D9290">
        <f>10</f>
        <v>10</v>
      </c>
      <c r="E9290" t="str">
        <f>"06 - B - 110 - Jerry S Jiampetti"</f>
        <v>06 - B - 110 - Jerry S Jiampetti</v>
      </c>
      <c r="F9290" t="str">
        <f>"NC STUDY HALL 1"</f>
        <v>NC STUDY HALL 1</v>
      </c>
      <c r="G9290" t="str">
        <f>"17-1751"</f>
        <v>17-1751</v>
      </c>
      <c r="H9290" t="str">
        <f>"B"</f>
        <v>B</v>
      </c>
    </row>
    <row r="9291" spans="1:8" x14ac:dyDescent="0.2">
      <c r="A9291" t="str">
        <f t="shared" si="3360"/>
        <v>0615075955</v>
      </c>
      <c r="B9291" t="str">
        <f t="shared" si="3361"/>
        <v>MCHASON</v>
      </c>
      <c r="C9291" t="str">
        <f t="shared" si="3362"/>
        <v>LAGUERRE</v>
      </c>
      <c r="D9291">
        <f>10</f>
        <v>10</v>
      </c>
      <c r="E9291" t="str">
        <f>"03 - A - 101 - Eva T Rimmer"</f>
        <v>03 - A - 101 - Eva T Rimmer</v>
      </c>
      <c r="F9291" t="str">
        <f>"CRIMINAL JUST OPS 1"</f>
        <v>CRIMINAL JUST OPS 1</v>
      </c>
      <c r="G9291" t="str">
        <f>"05-523"</f>
        <v>05-523</v>
      </c>
      <c r="H9291" t="str">
        <f>"A"</f>
        <v>A</v>
      </c>
    </row>
    <row r="9292" spans="1:8" x14ac:dyDescent="0.2">
      <c r="A9292" t="str">
        <f t="shared" si="3360"/>
        <v>0615075955</v>
      </c>
      <c r="B9292" t="str">
        <f t="shared" si="3361"/>
        <v>MCHASON</v>
      </c>
      <c r="C9292" t="str">
        <f t="shared" si="3362"/>
        <v>LAGUERRE</v>
      </c>
      <c r="D9292">
        <f>10</f>
        <v>10</v>
      </c>
      <c r="E9292" t="str">
        <f>"02 - S1 - A - 101 - Carol S Moore"</f>
        <v>02 - S1 - A - 101 - Carol S Moore</v>
      </c>
      <c r="F9292" t="str">
        <f>"PER CAR SCH DEV 1 LH"</f>
        <v>PER CAR SCH DEV 1 LH</v>
      </c>
      <c r="G9292" t="str">
        <f>"17-1733"</f>
        <v>17-1733</v>
      </c>
      <c r="H9292" t="str">
        <f>"A"</f>
        <v>A</v>
      </c>
    </row>
    <row r="9293" spans="1:8" x14ac:dyDescent="0.2">
      <c r="A9293" t="str">
        <f t="shared" si="3360"/>
        <v>0615075955</v>
      </c>
      <c r="B9293" t="str">
        <f t="shared" si="3361"/>
        <v>MCHASON</v>
      </c>
      <c r="C9293" t="str">
        <f t="shared" si="3362"/>
        <v>LAGUERRE</v>
      </c>
      <c r="D9293">
        <f>10</f>
        <v>10</v>
      </c>
      <c r="E9293" t="str">
        <f>"07 - B - 107 - Lytrell T Dixon"</f>
        <v>07 - B - 107 - Lytrell T Dixon</v>
      </c>
      <c r="F9293" t="str">
        <f>"BIOLOGY 1"</f>
        <v>BIOLOGY 1</v>
      </c>
      <c r="G9293" t="str">
        <f>"08-808"</f>
        <v>08-808</v>
      </c>
      <c r="H9293" t="str">
        <f>"B"</f>
        <v>B</v>
      </c>
    </row>
    <row r="9294" spans="1:8" x14ac:dyDescent="0.2">
      <c r="A9294" t="str">
        <f t="shared" si="3360"/>
        <v>0615075955</v>
      </c>
      <c r="B9294" t="str">
        <f t="shared" si="3361"/>
        <v>MCHASON</v>
      </c>
      <c r="C9294" t="str">
        <f t="shared" si="3362"/>
        <v>LAGUERRE</v>
      </c>
      <c r="D9294">
        <f>10</f>
        <v>10</v>
      </c>
      <c r="E9294" t="str">
        <f>"05 - B - 205 - Rosa Elaine  Collado-Duff"</f>
        <v>05 - B - 205 - Rosa Elaine  Collado-Duff</v>
      </c>
      <c r="F9294" t="str">
        <f>"PRE-AICE SPAN 2 IG"</f>
        <v>PRE-AICE SPAN 2 IG</v>
      </c>
      <c r="G9294" t="str">
        <f>"09-913"</f>
        <v>09-913</v>
      </c>
      <c r="H9294" t="str">
        <f>"B"</f>
        <v>B</v>
      </c>
    </row>
    <row r="9295" spans="1:8" x14ac:dyDescent="0.2">
      <c r="A9295" t="str">
        <f t="shared" si="3360"/>
        <v>0615075955</v>
      </c>
      <c r="B9295" t="str">
        <f t="shared" si="3361"/>
        <v>MCHASON</v>
      </c>
      <c r="C9295" t="str">
        <f t="shared" si="3362"/>
        <v>LAGUERRE</v>
      </c>
      <c r="D9295">
        <f>10</f>
        <v>10</v>
      </c>
      <c r="E9295" t="str">
        <f>"01 - A - 101 - Jacquelyn M Neeson"</f>
        <v>01 - A - 101 - Jacquelyn M Neeson</v>
      </c>
      <c r="F9295" t="str">
        <f>"AICE ENG GEN PAPER 1"</f>
        <v>AICE ENG GEN PAPER 1</v>
      </c>
      <c r="G9295" t="str">
        <f>"17-1715"</f>
        <v>17-1715</v>
      </c>
      <c r="H9295" t="str">
        <f>"A"</f>
        <v>A</v>
      </c>
    </row>
    <row r="9296" spans="1:8" x14ac:dyDescent="0.2">
      <c r="A9296" t="str">
        <f t="shared" si="3360"/>
        <v>0615075955</v>
      </c>
      <c r="B9296" t="str">
        <f t="shared" si="3361"/>
        <v>MCHASON</v>
      </c>
      <c r="C9296" t="str">
        <f t="shared" si="3362"/>
        <v>LAGUERRE</v>
      </c>
      <c r="D9296">
        <f>10</f>
        <v>10</v>
      </c>
      <c r="E9296" t="str">
        <f>"08 - B - 107 - Brook E Goren"</f>
        <v>08 - B - 107 - Brook E Goren</v>
      </c>
      <c r="F9296" t="str">
        <f>"GEOMETRY"</f>
        <v>GEOMETRY</v>
      </c>
      <c r="G9296" t="str">
        <f>"21-2158"</f>
        <v>21-2158</v>
      </c>
      <c r="H9296" t="str">
        <f>"B"</f>
        <v>B</v>
      </c>
    </row>
    <row r="9297" spans="1:8" x14ac:dyDescent="0.2">
      <c r="A9297" t="str">
        <f t="shared" ref="A9297:A9304" si="3363">"0616025360"</f>
        <v>0616025360</v>
      </c>
      <c r="B9297" t="str">
        <f t="shared" ref="B9297:B9304" si="3364">"JAZMINE"</f>
        <v>JAZMINE</v>
      </c>
      <c r="C9297" t="str">
        <f t="shared" ref="C9297:C9304" si="3365">"LAINE"</f>
        <v>LAINE</v>
      </c>
      <c r="D9297">
        <f>10</f>
        <v>10</v>
      </c>
      <c r="E9297" t="str">
        <f>"04 - A - 104 - Courtney E Hambright"</f>
        <v>04 - A - 104 - Courtney E Hambright</v>
      </c>
      <c r="F9297" t="str">
        <f>"AICE ENG LANG AS"</f>
        <v>AICE ENG LANG AS</v>
      </c>
      <c r="G9297" t="str">
        <f>"17-1711"</f>
        <v>17-1711</v>
      </c>
      <c r="H9297" t="str">
        <f>"A"</f>
        <v>A</v>
      </c>
    </row>
    <row r="9298" spans="1:8" x14ac:dyDescent="0.2">
      <c r="A9298" t="str">
        <f t="shared" si="3363"/>
        <v>0616025360</v>
      </c>
      <c r="B9298" t="str">
        <f t="shared" si="3364"/>
        <v>JAZMINE</v>
      </c>
      <c r="C9298" t="str">
        <f t="shared" si="3365"/>
        <v>LAINE</v>
      </c>
      <c r="D9298">
        <f>10</f>
        <v>10</v>
      </c>
      <c r="E9298" t="str">
        <f>"06 - B - 108 - Jacklyn M James"</f>
        <v>06 - B - 108 - Jacklyn M James</v>
      </c>
      <c r="F9298" t="str">
        <f>"NC STUDY HALL 1"</f>
        <v>NC STUDY HALL 1</v>
      </c>
      <c r="G9298" t="str">
        <f>"17-1731"</f>
        <v>17-1731</v>
      </c>
      <c r="H9298" t="str">
        <f>"B"</f>
        <v>B</v>
      </c>
    </row>
    <row r="9299" spans="1:8" x14ac:dyDescent="0.2">
      <c r="A9299" t="str">
        <f t="shared" si="3363"/>
        <v>0616025360</v>
      </c>
      <c r="B9299" t="str">
        <f t="shared" si="3364"/>
        <v>JAZMINE</v>
      </c>
      <c r="C9299" t="str">
        <f t="shared" si="3365"/>
        <v>LAINE</v>
      </c>
      <c r="D9299">
        <f>10</f>
        <v>10</v>
      </c>
      <c r="E9299" t="str">
        <f>"03 - A - 101 - Eva T Rimmer"</f>
        <v>03 - A - 101 - Eva T Rimmer</v>
      </c>
      <c r="F9299" t="str">
        <f>"CRIMINAL JUST OPS 1"</f>
        <v>CRIMINAL JUST OPS 1</v>
      </c>
      <c r="G9299" t="str">
        <f>"05-523"</f>
        <v>05-523</v>
      </c>
      <c r="H9299" t="str">
        <f>"A"</f>
        <v>A</v>
      </c>
    </row>
    <row r="9300" spans="1:8" x14ac:dyDescent="0.2">
      <c r="A9300" t="str">
        <f t="shared" si="3363"/>
        <v>0616025360</v>
      </c>
      <c r="B9300" t="str">
        <f t="shared" si="3364"/>
        <v>JAZMINE</v>
      </c>
      <c r="C9300" t="str">
        <f t="shared" si="3365"/>
        <v>LAINE</v>
      </c>
      <c r="D9300">
        <f>10</f>
        <v>10</v>
      </c>
      <c r="E9300" t="str">
        <f>"02 - A - 103 - Dorothy D Moore"</f>
        <v>02 - A - 103 - Dorothy D Moore</v>
      </c>
      <c r="F9300" t="str">
        <f>"ANAT PHYSIO HON"</f>
        <v>ANAT PHYSIO HON</v>
      </c>
      <c r="G9300" t="str">
        <f>"08-803"</f>
        <v>08-803</v>
      </c>
      <c r="H9300" t="str">
        <f>"A"</f>
        <v>A</v>
      </c>
    </row>
    <row r="9301" spans="1:8" x14ac:dyDescent="0.2">
      <c r="A9301" t="str">
        <f t="shared" si="3363"/>
        <v>0616025360</v>
      </c>
      <c r="B9301" t="str">
        <f t="shared" si="3364"/>
        <v>JAZMINE</v>
      </c>
      <c r="C9301" t="str">
        <f t="shared" si="3365"/>
        <v>LAINE</v>
      </c>
      <c r="D9301">
        <f>10</f>
        <v>10</v>
      </c>
      <c r="E9301" t="str">
        <f>"07 - B - 207 - Krystal Marie  Beruty"</f>
        <v>07 - B - 207 - Krystal Marie  Beruty</v>
      </c>
      <c r="F9301" t="str">
        <f>"AICE GLBL PERSP 1 AS"</f>
        <v>AICE GLBL PERSP 1 AS</v>
      </c>
      <c r="G9301" t="str">
        <f>"17-1721"</f>
        <v>17-1721</v>
      </c>
      <c r="H9301" t="str">
        <f>"B"</f>
        <v>B</v>
      </c>
    </row>
    <row r="9302" spans="1:8" x14ac:dyDescent="0.2">
      <c r="A9302" t="str">
        <f t="shared" si="3363"/>
        <v>0616025360</v>
      </c>
      <c r="B9302" t="str">
        <f t="shared" si="3364"/>
        <v>JAZMINE</v>
      </c>
      <c r="C9302" t="str">
        <f t="shared" si="3365"/>
        <v>LAINE</v>
      </c>
      <c r="D9302">
        <f>10</f>
        <v>10</v>
      </c>
      <c r="E9302" t="str">
        <f>"05 - B - 108 - James H Mccann"</f>
        <v>05 - B - 108 - James H Mccann</v>
      </c>
      <c r="F9302" t="str">
        <f>"ALGEBRA 2"</f>
        <v>ALGEBRA 2</v>
      </c>
      <c r="G9302" t="str">
        <f>"17-1716"</f>
        <v>17-1716</v>
      </c>
      <c r="H9302" t="str">
        <f>"B"</f>
        <v>B</v>
      </c>
    </row>
    <row r="9303" spans="1:8" x14ac:dyDescent="0.2">
      <c r="A9303" t="str">
        <f t="shared" si="3363"/>
        <v>0616025360</v>
      </c>
      <c r="B9303" t="str">
        <f t="shared" si="3364"/>
        <v>JAZMINE</v>
      </c>
      <c r="C9303" t="str">
        <f t="shared" si="3365"/>
        <v>LAINE</v>
      </c>
      <c r="D9303">
        <f>10</f>
        <v>10</v>
      </c>
      <c r="E9303" t="str">
        <f>"01 - A - 101 - Brian M Fitzgerald"</f>
        <v>01 - A - 101 - Brian M Fitzgerald</v>
      </c>
      <c r="F9303" t="str">
        <f>"CERAM/POT 1"</f>
        <v>CERAM/POT 1</v>
      </c>
      <c r="G9303" t="str">
        <f>"09-908"</f>
        <v>09-908</v>
      </c>
      <c r="H9303" t="str">
        <f>"A"</f>
        <v>A</v>
      </c>
    </row>
    <row r="9304" spans="1:8" x14ac:dyDescent="0.2">
      <c r="A9304" t="str">
        <f t="shared" si="3363"/>
        <v>0616025360</v>
      </c>
      <c r="B9304" t="str">
        <f t="shared" si="3364"/>
        <v>JAZMINE</v>
      </c>
      <c r="C9304" t="str">
        <f t="shared" si="3365"/>
        <v>LAINE</v>
      </c>
      <c r="D9304">
        <f>10</f>
        <v>10</v>
      </c>
      <c r="E9304" t="str">
        <f>"08 - S1 - B - 105 - James H Mccann"</f>
        <v>08 - S1 - B - 105 - James H Mccann</v>
      </c>
      <c r="F9304" t="str">
        <f>"PERS FIN &amp; MON MGT H"</f>
        <v>PERS FIN &amp; MON MGT H</v>
      </c>
      <c r="G9304" t="str">
        <f>"17-1716"</f>
        <v>17-1716</v>
      </c>
      <c r="H9304" t="str">
        <f>"B"</f>
        <v>B</v>
      </c>
    </row>
    <row r="9305" spans="1:8" x14ac:dyDescent="0.2">
      <c r="A9305" t="str">
        <f t="shared" ref="A9305:A9312" si="3366">"0615139258"</f>
        <v>0615139258</v>
      </c>
      <c r="B9305" t="str">
        <f t="shared" ref="B9305:B9312" si="3367">"PAIGE"</f>
        <v>PAIGE</v>
      </c>
      <c r="C9305" t="str">
        <f t="shared" ref="C9305:C9312" si="3368">"LAMAR"</f>
        <v>LAMAR</v>
      </c>
      <c r="D9305">
        <f>10</f>
        <v>10</v>
      </c>
      <c r="E9305" t="str">
        <f>"04 - A - 105 - Jacklyn M James"</f>
        <v>04 - A - 105 - Jacklyn M James</v>
      </c>
      <c r="F9305" t="str">
        <f>"AICE ENG LANG AS"</f>
        <v>AICE ENG LANG AS</v>
      </c>
      <c r="G9305" t="str">
        <f>"17-1731"</f>
        <v>17-1731</v>
      </c>
      <c r="H9305" t="str">
        <f>"A"</f>
        <v>A</v>
      </c>
    </row>
    <row r="9306" spans="1:8" x14ac:dyDescent="0.2">
      <c r="A9306" t="str">
        <f t="shared" si="3366"/>
        <v>0615139258</v>
      </c>
      <c r="B9306" t="str">
        <f t="shared" si="3367"/>
        <v>PAIGE</v>
      </c>
      <c r="C9306" t="str">
        <f t="shared" si="3368"/>
        <v>LAMAR</v>
      </c>
      <c r="D9306">
        <f>10</f>
        <v>10</v>
      </c>
      <c r="E9306" t="str">
        <f>"06 - B - 115 - Scott A Dethloff"</f>
        <v>06 - B - 115 - Scott A Dethloff</v>
      </c>
      <c r="F9306" t="str">
        <f>"NC STUDY HALL 1"</f>
        <v>NC STUDY HALL 1</v>
      </c>
      <c r="G9306" t="str">
        <f>"08-812"</f>
        <v>08-812</v>
      </c>
      <c r="H9306" t="str">
        <f>"B"</f>
        <v>B</v>
      </c>
    </row>
    <row r="9307" spans="1:8" x14ac:dyDescent="0.2">
      <c r="A9307" t="str">
        <f t="shared" si="3366"/>
        <v>0615139258</v>
      </c>
      <c r="B9307" t="str">
        <f t="shared" si="3367"/>
        <v>PAIGE</v>
      </c>
      <c r="C9307" t="str">
        <f t="shared" si="3368"/>
        <v>LAMAR</v>
      </c>
      <c r="D9307">
        <f>10</f>
        <v>10</v>
      </c>
      <c r="E9307" t="str">
        <f>"03 - A - 102 - Thomas G Handwerg"</f>
        <v>03 - A - 102 - Thomas G Handwerg</v>
      </c>
      <c r="F9307" t="str">
        <f>"MATH COLL ALGEBRA"</f>
        <v>MATH COLL ALGEBRA</v>
      </c>
      <c r="G9307" t="str">
        <f>"21-2146"</f>
        <v>21-2146</v>
      </c>
      <c r="H9307" t="str">
        <f>"A"</f>
        <v>A</v>
      </c>
    </row>
    <row r="9308" spans="1:8" x14ac:dyDescent="0.2">
      <c r="A9308" t="str">
        <f t="shared" si="3366"/>
        <v>0615139258</v>
      </c>
      <c r="B9308" t="str">
        <f t="shared" si="3367"/>
        <v>PAIGE</v>
      </c>
      <c r="C9308" t="str">
        <f t="shared" si="3368"/>
        <v>LAMAR</v>
      </c>
      <c r="D9308">
        <f>10</f>
        <v>10</v>
      </c>
      <c r="E9308" t="str">
        <f>"02 - S1 - A - 101 - James H Mccann"</f>
        <v>02 - S1 - A - 101 - James H Mccann</v>
      </c>
      <c r="F9308" t="str">
        <f>"PERS FIN &amp; MON MGT H"</f>
        <v>PERS FIN &amp; MON MGT H</v>
      </c>
      <c r="G9308" t="str">
        <f>"17-1716"</f>
        <v>17-1716</v>
      </c>
      <c r="H9308" t="str">
        <f>"A"</f>
        <v>A</v>
      </c>
    </row>
    <row r="9309" spans="1:8" x14ac:dyDescent="0.2">
      <c r="A9309" t="str">
        <f t="shared" si="3366"/>
        <v>0615139258</v>
      </c>
      <c r="B9309" t="str">
        <f t="shared" si="3367"/>
        <v>PAIGE</v>
      </c>
      <c r="C9309" t="str">
        <f t="shared" si="3368"/>
        <v>LAMAR</v>
      </c>
      <c r="D9309">
        <f>10</f>
        <v>10</v>
      </c>
      <c r="E9309" t="str">
        <f>"07 - B - 101 - Alejandro  Navarro"</f>
        <v>07 - B - 101 - Alejandro  Navarro</v>
      </c>
      <c r="F9309" t="str">
        <f>"EURHY 1"</f>
        <v>EURHY 1</v>
      </c>
      <c r="G9309" t="str">
        <f>"05-504"</f>
        <v>05-504</v>
      </c>
      <c r="H9309" t="str">
        <f>"B"</f>
        <v>B</v>
      </c>
    </row>
    <row r="9310" spans="1:8" x14ac:dyDescent="0.2">
      <c r="A9310" t="str">
        <f t="shared" si="3366"/>
        <v>0615139258</v>
      </c>
      <c r="B9310" t="str">
        <f t="shared" si="3367"/>
        <v>PAIGE</v>
      </c>
      <c r="C9310" t="str">
        <f t="shared" si="3368"/>
        <v>LAMAR</v>
      </c>
      <c r="D9310">
        <f>10</f>
        <v>10</v>
      </c>
      <c r="E9310" t="str">
        <f>"05 - B - 108 - Valerie J Ruwe"</f>
        <v>05 - B - 108 - Valerie J Ruwe</v>
      </c>
      <c r="F9310" t="str">
        <f>"CHEMISTRY 1 HON"</f>
        <v>CHEMISTRY 1 HON</v>
      </c>
      <c r="G9310" t="str">
        <f>"21-2138"</f>
        <v>21-2138</v>
      </c>
      <c r="H9310" t="str">
        <f>"B"</f>
        <v>B</v>
      </c>
    </row>
    <row r="9311" spans="1:8" x14ac:dyDescent="0.2">
      <c r="A9311" t="str">
        <f t="shared" si="3366"/>
        <v>0615139258</v>
      </c>
      <c r="B9311" t="str">
        <f t="shared" si="3367"/>
        <v>PAIGE</v>
      </c>
      <c r="C9311" t="str">
        <f t="shared" si="3368"/>
        <v>LAMAR</v>
      </c>
      <c r="D9311">
        <f>10</f>
        <v>10</v>
      </c>
      <c r="E9311" t="str">
        <f>"01 - A - 002 - Krystal Marie  Beruty"</f>
        <v>01 - A - 002 - Krystal Marie  Beruty</v>
      </c>
      <c r="F9311" t="str">
        <f>"AICE GLBL PERSP 1 AS"</f>
        <v>AICE GLBL PERSP 1 AS</v>
      </c>
      <c r="G9311" t="str">
        <f>"17-1721"</f>
        <v>17-1721</v>
      </c>
      <c r="H9311" t="str">
        <f>"A"</f>
        <v>A</v>
      </c>
    </row>
    <row r="9312" spans="1:8" x14ac:dyDescent="0.2">
      <c r="A9312" t="str">
        <f t="shared" si="3366"/>
        <v>0615139258</v>
      </c>
      <c r="B9312" t="str">
        <f t="shared" si="3367"/>
        <v>PAIGE</v>
      </c>
      <c r="C9312" t="str">
        <f t="shared" si="3368"/>
        <v>LAMAR</v>
      </c>
      <c r="D9312">
        <f>10</f>
        <v>10</v>
      </c>
      <c r="E9312" t="str">
        <f>"08 - B - 202 - Krystal Marie  Beruty"</f>
        <v>08 - B - 202 - Krystal Marie  Beruty</v>
      </c>
      <c r="F9312" t="str">
        <f>"AICE PSYCH 1 AS"</f>
        <v>AICE PSYCH 1 AS</v>
      </c>
      <c r="G9312" t="str">
        <f>"17-1721"</f>
        <v>17-1721</v>
      </c>
      <c r="H9312" t="str">
        <f>"B"</f>
        <v>B</v>
      </c>
    </row>
    <row r="9313" spans="1:8" x14ac:dyDescent="0.2">
      <c r="A9313" t="str">
        <f t="shared" ref="A9313:A9322" si="3369">"0621090428"</f>
        <v>0621090428</v>
      </c>
      <c r="B9313" t="str">
        <f t="shared" ref="B9313:B9322" si="3370">"NAJAY"</f>
        <v>NAJAY</v>
      </c>
      <c r="C9313" t="str">
        <f t="shared" ref="C9313:C9322" si="3371">"LAMBE"</f>
        <v>LAMBE</v>
      </c>
      <c r="D9313">
        <f>12</f>
        <v>12</v>
      </c>
      <c r="E9313" t="str">
        <f>"04 - A - 102 - Tiffany L Colon"</f>
        <v>04 - A - 102 - Tiffany L Colon</v>
      </c>
      <c r="F9313" t="str">
        <f>"U SKLS: SOC&amp;EMO 9-12"</f>
        <v>U SKLS: SOC&amp;EMO 9-12</v>
      </c>
      <c r="G9313">
        <f>2044</f>
        <v>2044</v>
      </c>
      <c r="H9313" t="str">
        <f>"A"</f>
        <v>A</v>
      </c>
    </row>
    <row r="9314" spans="1:8" x14ac:dyDescent="0.2">
      <c r="A9314" t="str">
        <f t="shared" si="3369"/>
        <v>0621090428</v>
      </c>
      <c r="B9314" t="str">
        <f t="shared" si="3370"/>
        <v>NAJAY</v>
      </c>
      <c r="C9314" t="str">
        <f t="shared" si="3371"/>
        <v>LAMBE</v>
      </c>
      <c r="D9314">
        <f>12</f>
        <v>12</v>
      </c>
      <c r="E9314" t="str">
        <f>"04 - A - 114 - Karen A Toomer"</f>
        <v>04 - A - 114 - Karen A Toomer</v>
      </c>
      <c r="F9314" t="str">
        <f>"SPEECH THRPY"</f>
        <v>SPEECH THRPY</v>
      </c>
      <c r="G9314" t="str">
        <f>"21-2110"</f>
        <v>21-2110</v>
      </c>
      <c r="H9314" t="str">
        <f>"A"</f>
        <v>A</v>
      </c>
    </row>
    <row r="9315" spans="1:8" x14ac:dyDescent="0.2">
      <c r="A9315" t="str">
        <f t="shared" si="3369"/>
        <v>0621090428</v>
      </c>
      <c r="B9315" t="str">
        <f t="shared" si="3370"/>
        <v>NAJAY</v>
      </c>
      <c r="C9315" t="str">
        <f t="shared" si="3371"/>
        <v>LAMBE</v>
      </c>
      <c r="D9315">
        <f>12</f>
        <v>12</v>
      </c>
      <c r="E9315" t="str">
        <f>"04 - A - 114 - Karen A Toomer"</f>
        <v>04 - A - 114 - Karen A Toomer</v>
      </c>
      <c r="F9315" t="str">
        <f>"LANG THERAPY"</f>
        <v>LANG THERAPY</v>
      </c>
      <c r="G9315" t="str">
        <f>"21-2110"</f>
        <v>21-2110</v>
      </c>
      <c r="H9315" t="str">
        <f>"A"</f>
        <v>A</v>
      </c>
    </row>
    <row r="9316" spans="1:8" x14ac:dyDescent="0.2">
      <c r="A9316" t="str">
        <f t="shared" si="3369"/>
        <v>0621090428</v>
      </c>
      <c r="B9316" t="str">
        <f t="shared" si="3370"/>
        <v>NAJAY</v>
      </c>
      <c r="C9316" t="str">
        <f t="shared" si="3371"/>
        <v>LAMBE</v>
      </c>
      <c r="D9316">
        <f>12</f>
        <v>12</v>
      </c>
      <c r="E9316" t="str">
        <f>"06 - B - 101 - Gail S Markowitz"</f>
        <v>06 - B - 101 - Gail S Markowitz</v>
      </c>
      <c r="F9316" t="str">
        <f>"CAR EXERIENCES: 9-12"</f>
        <v>CAR EXERIENCES: 9-12</v>
      </c>
      <c r="G9316">
        <f>1730</f>
        <v>1730</v>
      </c>
      <c r="H9316" t="str">
        <f>"B"</f>
        <v>B</v>
      </c>
    </row>
    <row r="9317" spans="1:8" x14ac:dyDescent="0.2">
      <c r="A9317" t="str">
        <f t="shared" si="3369"/>
        <v>0621090428</v>
      </c>
      <c r="B9317" t="str">
        <f t="shared" si="3370"/>
        <v>NAJAY</v>
      </c>
      <c r="C9317" t="str">
        <f t="shared" si="3371"/>
        <v>LAMBE</v>
      </c>
      <c r="D9317">
        <f>12</f>
        <v>12</v>
      </c>
      <c r="E9317" t="str">
        <f>"03 - A - 101 - Gail S Markowitz"</f>
        <v>03 - A - 101 - Gail S Markowitz</v>
      </c>
      <c r="F9317" t="str">
        <f>"SELF-DETERMINATION"</f>
        <v>SELF-DETERMINATION</v>
      </c>
      <c r="G9317">
        <f>1730</f>
        <v>1730</v>
      </c>
      <c r="H9317" t="str">
        <f>"A"</f>
        <v>A</v>
      </c>
    </row>
    <row r="9318" spans="1:8" x14ac:dyDescent="0.2">
      <c r="A9318" t="str">
        <f t="shared" si="3369"/>
        <v>0621090428</v>
      </c>
      <c r="B9318" t="str">
        <f t="shared" si="3370"/>
        <v>NAJAY</v>
      </c>
      <c r="C9318" t="str">
        <f t="shared" si="3371"/>
        <v>LAMBE</v>
      </c>
      <c r="D9318">
        <f>12</f>
        <v>12</v>
      </c>
      <c r="E9318" t="str">
        <f>"02 - A - 101 - Gail S Markowitz"</f>
        <v>02 - A - 101 - Gail S Markowitz</v>
      </c>
      <c r="F9318" t="str">
        <f>"CAREER ED: 9-12"</f>
        <v>CAREER ED: 9-12</v>
      </c>
      <c r="G9318">
        <f>1730</f>
        <v>1730</v>
      </c>
      <c r="H9318" t="str">
        <f>"A"</f>
        <v>A</v>
      </c>
    </row>
    <row r="9319" spans="1:8" x14ac:dyDescent="0.2">
      <c r="A9319" t="str">
        <f t="shared" si="3369"/>
        <v>0621090428</v>
      </c>
      <c r="B9319" t="str">
        <f t="shared" si="3370"/>
        <v>NAJAY</v>
      </c>
      <c r="C9319" t="str">
        <f t="shared" si="3371"/>
        <v>LAMBE</v>
      </c>
      <c r="D9319">
        <f>12</f>
        <v>12</v>
      </c>
      <c r="E9319" t="str">
        <f>"07 - B - 101 - Gail S Markowitz"</f>
        <v>07 - B - 101 - Gail S Markowitz</v>
      </c>
      <c r="F9319" t="str">
        <f>"CAR PLACEMENT: 9-12"</f>
        <v>CAR PLACEMENT: 9-12</v>
      </c>
      <c r="G9319">
        <f>1730</f>
        <v>1730</v>
      </c>
      <c r="H9319" t="str">
        <f>"B"</f>
        <v>B</v>
      </c>
    </row>
    <row r="9320" spans="1:8" x14ac:dyDescent="0.2">
      <c r="A9320" t="str">
        <f t="shared" si="3369"/>
        <v>0621090428</v>
      </c>
      <c r="B9320" t="str">
        <f t="shared" si="3370"/>
        <v>NAJAY</v>
      </c>
      <c r="C9320" t="str">
        <f t="shared" si="3371"/>
        <v>LAMBE</v>
      </c>
      <c r="D9320">
        <f>12</f>
        <v>12</v>
      </c>
      <c r="E9320" t="str">
        <f>"05 - B - 101 - Gail S Markowitz"</f>
        <v>05 - B - 101 - Gail S Markowitz</v>
      </c>
      <c r="F9320" t="str">
        <f>"U SKLS: 9-12"</f>
        <v>U SKLS: 9-12</v>
      </c>
      <c r="G9320">
        <f>1730</f>
        <v>1730</v>
      </c>
      <c r="H9320" t="str">
        <f>"B"</f>
        <v>B</v>
      </c>
    </row>
    <row r="9321" spans="1:8" x14ac:dyDescent="0.2">
      <c r="A9321" t="str">
        <f t="shared" si="3369"/>
        <v>0621090428</v>
      </c>
      <c r="B9321" t="str">
        <f t="shared" si="3370"/>
        <v>NAJAY</v>
      </c>
      <c r="C9321" t="str">
        <f t="shared" si="3371"/>
        <v>LAMBE</v>
      </c>
      <c r="D9321">
        <f>12</f>
        <v>12</v>
      </c>
      <c r="E9321" t="str">
        <f>"01 - A - 101 - Gail S Markowitz"</f>
        <v>01 - A - 101 - Gail S Markowitz</v>
      </c>
      <c r="F9321" t="str">
        <f>"PREP AD LIV"</f>
        <v>PREP AD LIV</v>
      </c>
      <c r="G9321">
        <f>1730</f>
        <v>1730</v>
      </c>
      <c r="H9321" t="str">
        <f>"A"</f>
        <v>A</v>
      </c>
    </row>
    <row r="9322" spans="1:8" x14ac:dyDescent="0.2">
      <c r="A9322" t="str">
        <f t="shared" si="3369"/>
        <v>0621090428</v>
      </c>
      <c r="B9322" t="str">
        <f t="shared" si="3370"/>
        <v>NAJAY</v>
      </c>
      <c r="C9322" t="str">
        <f t="shared" si="3371"/>
        <v>LAMBE</v>
      </c>
      <c r="D9322">
        <f>12</f>
        <v>12</v>
      </c>
      <c r="E9322" t="str">
        <f>"08 - B - 101 - Gail S Markowitz"</f>
        <v>08 - B - 101 - Gail S Markowitz</v>
      </c>
      <c r="F9322" t="str">
        <f>"U SKLS: SOC&amp;EMO 9-12"</f>
        <v>U SKLS: SOC&amp;EMO 9-12</v>
      </c>
      <c r="G9322">
        <f>1730</f>
        <v>1730</v>
      </c>
      <c r="H9322" t="str">
        <f>"B"</f>
        <v>B</v>
      </c>
    </row>
    <row r="9323" spans="1:8" x14ac:dyDescent="0.2">
      <c r="A9323" t="str">
        <f t="shared" ref="A9323:A9330" si="3372">"0616133545"</f>
        <v>0616133545</v>
      </c>
      <c r="B9323" t="str">
        <f t="shared" ref="B9323:B9330" si="3373">"AKILAH"</f>
        <v>AKILAH</v>
      </c>
      <c r="C9323" t="str">
        <f t="shared" ref="C9323:C9330" si="3374">"LAMPKIN"</f>
        <v>LAMPKIN</v>
      </c>
      <c r="D9323">
        <f>12</f>
        <v>12</v>
      </c>
      <c r="E9323" t="str">
        <f>"04 - A - 101 - Pamela M Corzo"</f>
        <v>04 - A - 101 - Pamela M Corzo</v>
      </c>
      <c r="F9323" t="str">
        <f>"CALCULUS HON"</f>
        <v>CALCULUS HON</v>
      </c>
      <c r="G9323" t="str">
        <f>"21-2133"</f>
        <v>21-2133</v>
      </c>
      <c r="H9323" t="str">
        <f>"A"</f>
        <v>A</v>
      </c>
    </row>
    <row r="9324" spans="1:8" x14ac:dyDescent="0.2">
      <c r="A9324" t="str">
        <f t="shared" si="3372"/>
        <v>0616133545</v>
      </c>
      <c r="B9324" t="str">
        <f t="shared" si="3373"/>
        <v>AKILAH</v>
      </c>
      <c r="C9324" t="str">
        <f t="shared" si="3374"/>
        <v>LAMPKIN</v>
      </c>
      <c r="D9324">
        <f>12</f>
        <v>12</v>
      </c>
      <c r="E9324" t="str">
        <f>"06 - B - 101 - Lenecy  Nodarse"</f>
        <v>06 - B - 101 - Lenecy  Nodarse</v>
      </c>
      <c r="F9324" t="str">
        <f>"NC STUDY HALL 1"</f>
        <v>NC STUDY HALL 1</v>
      </c>
      <c r="G9324" t="str">
        <f>"17-1741"</f>
        <v>17-1741</v>
      </c>
      <c r="H9324" t="str">
        <f>"B"</f>
        <v>B</v>
      </c>
    </row>
    <row r="9325" spans="1:8" x14ac:dyDescent="0.2">
      <c r="A9325" t="str">
        <f t="shared" si="3372"/>
        <v>0616133545</v>
      </c>
      <c r="B9325" t="str">
        <f t="shared" si="3373"/>
        <v>AKILAH</v>
      </c>
      <c r="C9325" t="str">
        <f t="shared" si="3374"/>
        <v>LAMPKIN</v>
      </c>
      <c r="D9325">
        <f>12</f>
        <v>12</v>
      </c>
      <c r="E9325" t="str">
        <f>"03 - A - 101 - Lisa J London"</f>
        <v>03 - A - 101 - Lisa J London</v>
      </c>
      <c r="F9325" t="str">
        <f>"AP CAPSTONE RESEARCH"</f>
        <v>AP CAPSTONE RESEARCH</v>
      </c>
      <c r="G9325" t="str">
        <f>"17-1714"</f>
        <v>17-1714</v>
      </c>
      <c r="H9325" t="str">
        <f>"A"</f>
        <v>A</v>
      </c>
    </row>
    <row r="9326" spans="1:8" x14ac:dyDescent="0.2">
      <c r="A9326" t="str">
        <f t="shared" si="3372"/>
        <v>0616133545</v>
      </c>
      <c r="B9326" t="str">
        <f t="shared" si="3373"/>
        <v>AKILAH</v>
      </c>
      <c r="C9326" t="str">
        <f t="shared" si="3374"/>
        <v>LAMPKIN</v>
      </c>
      <c r="D9326">
        <f>12</f>
        <v>12</v>
      </c>
      <c r="E9326" t="str">
        <f>"02 - A - 204 - Jacqueline R Morphet"</f>
        <v>02 - A - 204 - Jacqueline R Morphet</v>
      </c>
      <c r="F9326" t="str">
        <f>"PHYSICS 1 HON"</f>
        <v>PHYSICS 1 HON</v>
      </c>
      <c r="G9326" t="str">
        <f>"21-2138"</f>
        <v>21-2138</v>
      </c>
      <c r="H9326" t="str">
        <f>"A"</f>
        <v>A</v>
      </c>
    </row>
    <row r="9327" spans="1:8" x14ac:dyDescent="0.2">
      <c r="A9327" t="str">
        <f t="shared" si="3372"/>
        <v>0616133545</v>
      </c>
      <c r="B9327" t="str">
        <f t="shared" si="3373"/>
        <v>AKILAH</v>
      </c>
      <c r="C9327" t="str">
        <f t="shared" si="3374"/>
        <v>LAMPKIN</v>
      </c>
      <c r="D9327">
        <f>12</f>
        <v>12</v>
      </c>
      <c r="E9327" t="str">
        <f>"07 - B - 102 - Courtney E Hambright"</f>
        <v>07 - B - 102 - Courtney E Hambright</v>
      </c>
      <c r="F9327" t="str">
        <f>"AP ENG LIT COMPO"</f>
        <v>AP ENG LIT COMPO</v>
      </c>
      <c r="G9327" t="str">
        <f>"17-1711"</f>
        <v>17-1711</v>
      </c>
      <c r="H9327" t="str">
        <f>"B"</f>
        <v>B</v>
      </c>
    </row>
    <row r="9328" spans="1:8" x14ac:dyDescent="0.2">
      <c r="A9328" t="str">
        <f t="shared" si="3372"/>
        <v>0616133545</v>
      </c>
      <c r="B9328" t="str">
        <f t="shared" si="3373"/>
        <v>AKILAH</v>
      </c>
      <c r="C9328" t="str">
        <f t="shared" si="3374"/>
        <v>LAMPKIN</v>
      </c>
      <c r="D9328">
        <f>12</f>
        <v>12</v>
      </c>
      <c r="E9328" t="str">
        <f>"05 - B - 102 - Dorothy D Moore"</f>
        <v>05 - B - 102 - Dorothy D Moore</v>
      </c>
      <c r="F9328" t="str">
        <f>"FORC SCI 1 LH"</f>
        <v>FORC SCI 1 LH</v>
      </c>
      <c r="G9328" t="str">
        <f>"08-803"</f>
        <v>08-803</v>
      </c>
      <c r="H9328" t="str">
        <f>"B"</f>
        <v>B</v>
      </c>
    </row>
    <row r="9329" spans="1:8" x14ac:dyDescent="0.2">
      <c r="A9329" t="str">
        <f t="shared" si="3372"/>
        <v>0616133545</v>
      </c>
      <c r="B9329" t="str">
        <f t="shared" si="3373"/>
        <v>AKILAH</v>
      </c>
      <c r="C9329" t="str">
        <f t="shared" si="3374"/>
        <v>LAMPKIN</v>
      </c>
      <c r="D9329">
        <f>12</f>
        <v>12</v>
      </c>
      <c r="E9329" t="str">
        <f>"01 - S1 - A - 101 - Leslie J Barton"</f>
        <v>01 - S1 - A - 101 - Leslie J Barton</v>
      </c>
      <c r="F9329" t="str">
        <f>"FIRST AID SAFETY"</f>
        <v>FIRST AID SAFETY</v>
      </c>
      <c r="G9329" t="str">
        <f>"05-521"</f>
        <v>05-521</v>
      </c>
      <c r="H9329" t="str">
        <f>"A"</f>
        <v>A</v>
      </c>
    </row>
    <row r="9330" spans="1:8" x14ac:dyDescent="0.2">
      <c r="A9330" t="str">
        <f t="shared" si="3372"/>
        <v>0616133545</v>
      </c>
      <c r="B9330" t="str">
        <f t="shared" si="3373"/>
        <v>AKILAH</v>
      </c>
      <c r="C9330" t="str">
        <f t="shared" si="3374"/>
        <v>LAMPKIN</v>
      </c>
      <c r="D9330">
        <f>12</f>
        <v>12</v>
      </c>
      <c r="E9330" t="str">
        <f>"08 - S1 - B - 102 - Stephen T Ripp"</f>
        <v>08 - S1 - B - 102 - Stephen T Ripp</v>
      </c>
      <c r="F9330" t="str">
        <f>"AP US GOVT/POL"</f>
        <v>AP US GOVT/POL</v>
      </c>
      <c r="G9330" t="str">
        <f>"17-1744"</f>
        <v>17-1744</v>
      </c>
      <c r="H9330" t="str">
        <f>"B"</f>
        <v>B</v>
      </c>
    </row>
    <row r="9331" spans="1:8" x14ac:dyDescent="0.2">
      <c r="A9331" t="str">
        <f t="shared" ref="A9331:A9338" si="3375">"0616101759"</f>
        <v>0616101759</v>
      </c>
      <c r="B9331" t="str">
        <f t="shared" ref="B9331:B9338" si="3376">"DEREK"</f>
        <v>DEREK</v>
      </c>
      <c r="C9331" t="str">
        <f t="shared" ref="C9331:C9346" si="3377">"LANDIVAR SCHOCK"</f>
        <v>LANDIVAR SCHOCK</v>
      </c>
      <c r="D9331">
        <f>11</f>
        <v>11</v>
      </c>
      <c r="E9331" t="str">
        <f>"04 - A - 101 - Stephen T Ripp"</f>
        <v>04 - A - 101 - Stephen T Ripp</v>
      </c>
      <c r="F9331" t="str">
        <f>"AP U.S. HIST"</f>
        <v>AP U.S. HIST</v>
      </c>
      <c r="G9331" t="str">
        <f>"17-1744"</f>
        <v>17-1744</v>
      </c>
      <c r="H9331" t="str">
        <f>"A"</f>
        <v>A</v>
      </c>
    </row>
    <row r="9332" spans="1:8" x14ac:dyDescent="0.2">
      <c r="A9332" t="str">
        <f t="shared" si="3375"/>
        <v>0616101759</v>
      </c>
      <c r="B9332" t="str">
        <f t="shared" si="3376"/>
        <v>DEREK</v>
      </c>
      <c r="C9332" t="str">
        <f t="shared" si="3377"/>
        <v>LANDIVAR SCHOCK</v>
      </c>
      <c r="D9332">
        <f>11</f>
        <v>11</v>
      </c>
      <c r="E9332" t="str">
        <f>"06 - B - 001 - Lourivaldo  Da Silva"</f>
        <v>06 - B - 001 - Lourivaldo  Da Silva</v>
      </c>
      <c r="F9332" t="str">
        <f>"PRE-CALCULUS HON"</f>
        <v>PRE-CALCULUS HON</v>
      </c>
      <c r="G9332" t="str">
        <f>"20-2079"</f>
        <v>20-2079</v>
      </c>
      <c r="H9332" t="str">
        <f>"B"</f>
        <v>B</v>
      </c>
    </row>
    <row r="9333" spans="1:8" x14ac:dyDescent="0.2">
      <c r="A9333" t="str">
        <f t="shared" si="3375"/>
        <v>0616101759</v>
      </c>
      <c r="B9333" t="str">
        <f t="shared" si="3376"/>
        <v>DEREK</v>
      </c>
      <c r="C9333" t="str">
        <f t="shared" si="3377"/>
        <v>LANDIVAR SCHOCK</v>
      </c>
      <c r="D9333">
        <f>11</f>
        <v>11</v>
      </c>
      <c r="E9333" t="str">
        <f>"03 - A - 202 - Jeanne M Bermudez"</f>
        <v>03 - A - 202 - Jeanne M Bermudez</v>
      </c>
      <c r="F9333" t="str">
        <f>"PHYSICS 1 HON"</f>
        <v>PHYSICS 1 HON</v>
      </c>
      <c r="G9333" t="str">
        <f>"21-2141"</f>
        <v>21-2141</v>
      </c>
      <c r="H9333" t="str">
        <f>"A"</f>
        <v>A</v>
      </c>
    </row>
    <row r="9334" spans="1:8" x14ac:dyDescent="0.2">
      <c r="A9334" t="str">
        <f t="shared" si="3375"/>
        <v>0616101759</v>
      </c>
      <c r="B9334" t="str">
        <f t="shared" si="3376"/>
        <v>DEREK</v>
      </c>
      <c r="C9334" t="str">
        <f t="shared" si="3377"/>
        <v>LANDIVAR SCHOCK</v>
      </c>
      <c r="D9334">
        <f>11</f>
        <v>11</v>
      </c>
      <c r="E9334" t="str">
        <f>"02 - A - 104 - Dayna M Foster"</f>
        <v>02 - A - 104 - Dayna M Foster</v>
      </c>
      <c r="F9334" t="str">
        <f>"NC STUDY HALL 1"</f>
        <v>NC STUDY HALL 1</v>
      </c>
      <c r="G9334" t="str">
        <f>"21-2109"</f>
        <v>21-2109</v>
      </c>
      <c r="H9334" t="str">
        <f>"A"</f>
        <v>A</v>
      </c>
    </row>
    <row r="9335" spans="1:8" x14ac:dyDescent="0.2">
      <c r="A9335" t="str">
        <f t="shared" si="3375"/>
        <v>0616101759</v>
      </c>
      <c r="B9335" t="str">
        <f t="shared" si="3376"/>
        <v>DEREK</v>
      </c>
      <c r="C9335" t="str">
        <f t="shared" si="3377"/>
        <v>LANDIVAR SCHOCK</v>
      </c>
      <c r="D9335">
        <f>11</f>
        <v>11</v>
      </c>
      <c r="E9335" t="str">
        <f>"07 - B - 102 - Timothy J Lawrence"</f>
        <v>07 - B - 102 - Timothy J Lawrence</v>
      </c>
      <c r="F9335" t="str">
        <f>"AICE PHYS ED 1 AS"</f>
        <v>AICE PHYS ED 1 AS</v>
      </c>
      <c r="G9335" t="str">
        <f>"05-523"</f>
        <v>05-523</v>
      </c>
      <c r="H9335" t="str">
        <f>"B"</f>
        <v>B</v>
      </c>
    </row>
    <row r="9336" spans="1:8" x14ac:dyDescent="0.2">
      <c r="A9336" t="str">
        <f t="shared" si="3375"/>
        <v>0616101759</v>
      </c>
      <c r="B9336" t="str">
        <f t="shared" si="3376"/>
        <v>DEREK</v>
      </c>
      <c r="C9336" t="str">
        <f t="shared" si="3377"/>
        <v>LANDIVAR SCHOCK</v>
      </c>
      <c r="D9336">
        <f>11</f>
        <v>11</v>
      </c>
      <c r="E9336" t="str">
        <f>"05 - B - 103 - Tina M Jaramillo"</f>
        <v>05 - B - 103 - Tina M Jaramillo</v>
      </c>
      <c r="F9336" t="str">
        <f>"AP ENG COMPO"</f>
        <v>AP ENG COMPO</v>
      </c>
      <c r="G9336" t="str">
        <f>"17-1706"</f>
        <v>17-1706</v>
      </c>
      <c r="H9336" t="str">
        <f>"B"</f>
        <v>B</v>
      </c>
    </row>
    <row r="9337" spans="1:8" x14ac:dyDescent="0.2">
      <c r="A9337" t="str">
        <f t="shared" si="3375"/>
        <v>0616101759</v>
      </c>
      <c r="B9337" t="str">
        <f t="shared" si="3376"/>
        <v>DEREK</v>
      </c>
      <c r="C9337" t="str">
        <f t="shared" si="3377"/>
        <v>LANDIVAR SCHOCK</v>
      </c>
      <c r="D9337">
        <f>11</f>
        <v>11</v>
      </c>
      <c r="E9337" t="str">
        <f>"01 - A - 101 - Marielle A Witting"</f>
        <v>01 - A - 101 - Marielle A Witting</v>
      </c>
      <c r="F9337" t="str">
        <f>"AP BIO"</f>
        <v>AP BIO</v>
      </c>
      <c r="G9337" t="str">
        <f>"08-805"</f>
        <v>08-805</v>
      </c>
      <c r="H9337" t="str">
        <f>"A"</f>
        <v>A</v>
      </c>
    </row>
    <row r="9338" spans="1:8" x14ac:dyDescent="0.2">
      <c r="A9338" t="str">
        <f t="shared" si="3375"/>
        <v>0616101759</v>
      </c>
      <c r="B9338" t="str">
        <f t="shared" si="3376"/>
        <v>DEREK</v>
      </c>
      <c r="C9338" t="str">
        <f t="shared" si="3377"/>
        <v>LANDIVAR SCHOCK</v>
      </c>
      <c r="D9338">
        <f>11</f>
        <v>11</v>
      </c>
      <c r="E9338" t="str">
        <f>"08 - B - 202 - Krystal Marie  Beruty"</f>
        <v>08 - B - 202 - Krystal Marie  Beruty</v>
      </c>
      <c r="F9338" t="str">
        <f>"AICE PSYCH 1 AS"</f>
        <v>AICE PSYCH 1 AS</v>
      </c>
      <c r="G9338" t="str">
        <f>"17-1721"</f>
        <v>17-1721</v>
      </c>
      <c r="H9338" t="str">
        <f>"B"</f>
        <v>B</v>
      </c>
    </row>
    <row r="9339" spans="1:8" x14ac:dyDescent="0.2">
      <c r="A9339" t="str">
        <f t="shared" ref="A9339:A9346" si="3378">"0616151574"</f>
        <v>0616151574</v>
      </c>
      <c r="B9339" t="str">
        <f t="shared" ref="B9339:B9346" si="3379">"DYLAN"</f>
        <v>DYLAN</v>
      </c>
      <c r="C9339" t="str">
        <f t="shared" si="3377"/>
        <v>LANDIVAR SCHOCK</v>
      </c>
      <c r="D9339" t="str">
        <f t="shared" ref="D9339:D9346" si="3380">"09"</f>
        <v>09</v>
      </c>
      <c r="E9339" t="str">
        <f>"04 - A - 102 - Byron G Montenegro"</f>
        <v>04 - A - 102 - Byron G Montenegro</v>
      </c>
      <c r="F9339" t="str">
        <f>"AICE MARINE SCI 1 AS"</f>
        <v>AICE MARINE SCI 1 AS</v>
      </c>
      <c r="G9339" t="str">
        <f>"21-2144"</f>
        <v>21-2144</v>
      </c>
      <c r="H9339" t="str">
        <f>"A"</f>
        <v>A</v>
      </c>
    </row>
    <row r="9340" spans="1:8" x14ac:dyDescent="0.2">
      <c r="A9340" t="str">
        <f t="shared" si="3378"/>
        <v>0616151574</v>
      </c>
      <c r="B9340" t="str">
        <f t="shared" si="3379"/>
        <v>DYLAN</v>
      </c>
      <c r="C9340" t="str">
        <f t="shared" si="3377"/>
        <v>LANDIVAR SCHOCK</v>
      </c>
      <c r="D9340" t="str">
        <f t="shared" si="3380"/>
        <v>09</v>
      </c>
      <c r="E9340" t="str">
        <f>"06 - B - 106 - Adam Marcus  Drucker"</f>
        <v>06 - B - 106 - Adam Marcus  Drucker</v>
      </c>
      <c r="F9340" t="str">
        <f>"HOPE-PE V"</f>
        <v>HOPE-PE V</v>
      </c>
      <c r="G9340" t="str">
        <f>"04-254"</f>
        <v>04-254</v>
      </c>
      <c r="H9340" t="str">
        <f>"B"</f>
        <v>B</v>
      </c>
    </row>
    <row r="9341" spans="1:8" x14ac:dyDescent="0.2">
      <c r="A9341" t="str">
        <f t="shared" si="3378"/>
        <v>0616151574</v>
      </c>
      <c r="B9341" t="str">
        <f t="shared" si="3379"/>
        <v>DYLAN</v>
      </c>
      <c r="C9341" t="str">
        <f t="shared" si="3377"/>
        <v>LANDIVAR SCHOCK</v>
      </c>
      <c r="D9341" t="str">
        <f t="shared" si="3380"/>
        <v>09</v>
      </c>
      <c r="E9341" t="str">
        <f>"03 - A - 005 - Cerine S Stewart"</f>
        <v>03 - A - 005 - Cerine S Stewart</v>
      </c>
      <c r="F9341" t="str">
        <f>"AICE ENG GEN PAPER 1"</f>
        <v>AICE ENG GEN PAPER 1</v>
      </c>
      <c r="G9341" t="str">
        <f>"17-1720"</f>
        <v>17-1720</v>
      </c>
      <c r="H9341" t="str">
        <f>"A"</f>
        <v>A</v>
      </c>
    </row>
    <row r="9342" spans="1:8" x14ac:dyDescent="0.2">
      <c r="A9342" t="str">
        <f t="shared" si="3378"/>
        <v>0616151574</v>
      </c>
      <c r="B9342" t="str">
        <f t="shared" si="3379"/>
        <v>DYLAN</v>
      </c>
      <c r="C9342" t="str">
        <f t="shared" si="3377"/>
        <v>LANDIVAR SCHOCK</v>
      </c>
      <c r="D9342" t="str">
        <f t="shared" si="3380"/>
        <v>09</v>
      </c>
      <c r="E9342" t="str">
        <f>"02 - A - 113 - Amy Beth  Broyles"</f>
        <v>02 - A - 113 - Amy Beth  Broyles</v>
      </c>
      <c r="F9342" t="str">
        <f>"NC STUDY HALL 1"</f>
        <v>NC STUDY HALL 1</v>
      </c>
      <c r="G9342" t="str">
        <f>"08-802"</f>
        <v>08-802</v>
      </c>
      <c r="H9342" t="str">
        <f>"A"</f>
        <v>A</v>
      </c>
    </row>
    <row r="9343" spans="1:8" x14ac:dyDescent="0.2">
      <c r="A9343" t="str">
        <f t="shared" si="3378"/>
        <v>0616151574</v>
      </c>
      <c r="B9343" t="str">
        <f t="shared" si="3379"/>
        <v>DYLAN</v>
      </c>
      <c r="C9343" t="str">
        <f t="shared" si="3377"/>
        <v>LANDIVAR SCHOCK</v>
      </c>
      <c r="D9343" t="str">
        <f t="shared" si="3380"/>
        <v>09</v>
      </c>
      <c r="E9343" t="str">
        <f>"07 - B - 105 - Joe  Kilpatrick Jr"</f>
        <v>07 - B - 105 - Joe  Kilpatrick Jr</v>
      </c>
      <c r="F9343" t="str">
        <f>"PRE-AICE SPAN 1 IG"</f>
        <v>PRE-AICE SPAN 1 IG</v>
      </c>
      <c r="G9343" t="str">
        <f>"09-912"</f>
        <v>09-912</v>
      </c>
      <c r="H9343" t="str">
        <f>"B"</f>
        <v>B</v>
      </c>
    </row>
    <row r="9344" spans="1:8" x14ac:dyDescent="0.2">
      <c r="A9344" t="str">
        <f t="shared" si="3378"/>
        <v>0616151574</v>
      </c>
      <c r="B9344" t="str">
        <f t="shared" si="3379"/>
        <v>DYLAN</v>
      </c>
      <c r="C9344" t="str">
        <f t="shared" si="3377"/>
        <v>LANDIVAR SCHOCK</v>
      </c>
      <c r="D9344" t="str">
        <f t="shared" si="3380"/>
        <v>09</v>
      </c>
      <c r="E9344" t="str">
        <f>"05 - B - 001 - Kelly N Panza"</f>
        <v>05 - B - 001 - Kelly N Panza</v>
      </c>
      <c r="F9344" t="str">
        <f>"AICE GLBL PERSP 1 AS"</f>
        <v>AICE GLBL PERSP 1 AS</v>
      </c>
      <c r="G9344" t="str">
        <f>"17-1753"</f>
        <v>17-1753</v>
      </c>
      <c r="H9344" t="str">
        <f>"B"</f>
        <v>B</v>
      </c>
    </row>
    <row r="9345" spans="1:8" x14ac:dyDescent="0.2">
      <c r="A9345" t="str">
        <f t="shared" si="3378"/>
        <v>0616151574</v>
      </c>
      <c r="B9345" t="str">
        <f t="shared" si="3379"/>
        <v>DYLAN</v>
      </c>
      <c r="C9345" t="str">
        <f t="shared" si="3377"/>
        <v>LANDIVAR SCHOCK</v>
      </c>
      <c r="D9345" t="str">
        <f t="shared" si="3380"/>
        <v>09</v>
      </c>
      <c r="E9345" t="str">
        <f>"01 - A - 101 - Maried P Ramos"</f>
        <v>01 - A - 101 - Maried P Ramos</v>
      </c>
      <c r="F9345" t="str">
        <f>"ALGEBRA 2 HON"</f>
        <v>ALGEBRA 2 HON</v>
      </c>
      <c r="G9345" t="str">
        <f>"21-2159"</f>
        <v>21-2159</v>
      </c>
      <c r="H9345" t="str">
        <f>"A"</f>
        <v>A</v>
      </c>
    </row>
    <row r="9346" spans="1:8" x14ac:dyDescent="0.2">
      <c r="A9346" t="str">
        <f t="shared" si="3378"/>
        <v>0616151574</v>
      </c>
      <c r="B9346" t="str">
        <f t="shared" si="3379"/>
        <v>DYLAN</v>
      </c>
      <c r="C9346" t="str">
        <f t="shared" si="3377"/>
        <v>LANDIVAR SCHOCK</v>
      </c>
      <c r="D9346" t="str">
        <f t="shared" si="3380"/>
        <v>09</v>
      </c>
      <c r="E9346" t="str">
        <f>"08 - B - 103 - Jeanne M Bermudez"</f>
        <v>08 - B - 103 - Jeanne M Bermudez</v>
      </c>
      <c r="F9346" t="str">
        <f>"ADVANCED IT HON"</f>
        <v>ADVANCED IT HON</v>
      </c>
      <c r="G9346" t="str">
        <f>"21-2141"</f>
        <v>21-2141</v>
      </c>
      <c r="H9346" t="str">
        <f>"B"</f>
        <v>B</v>
      </c>
    </row>
    <row r="9347" spans="1:8" x14ac:dyDescent="0.2">
      <c r="A9347" t="str">
        <f t="shared" ref="A9347:A9354" si="3381">"0613129152"</f>
        <v>0613129152</v>
      </c>
      <c r="B9347" t="str">
        <f t="shared" ref="B9347:B9354" si="3382">"MIA"</f>
        <v>MIA</v>
      </c>
      <c r="C9347" t="str">
        <f t="shared" ref="C9347:C9354" si="3383">"LANDOL"</f>
        <v>LANDOL</v>
      </c>
      <c r="D9347">
        <f>12</f>
        <v>12</v>
      </c>
      <c r="E9347" t="str">
        <f>"04 - A - 104 - Robert H Rindner"</f>
        <v>04 - A - 104 - Robert H Rindner</v>
      </c>
      <c r="F9347" t="str">
        <f>"MATH DATA&amp;FIN LIT H"</f>
        <v>MATH DATA&amp;FIN LIT H</v>
      </c>
      <c r="G9347" t="str">
        <f>"21-2160"</f>
        <v>21-2160</v>
      </c>
      <c r="H9347" t="str">
        <f>"A"</f>
        <v>A</v>
      </c>
    </row>
    <row r="9348" spans="1:8" x14ac:dyDescent="0.2">
      <c r="A9348" t="str">
        <f t="shared" si="3381"/>
        <v>0613129152</v>
      </c>
      <c r="B9348" t="str">
        <f t="shared" si="3382"/>
        <v>MIA</v>
      </c>
      <c r="C9348" t="str">
        <f t="shared" si="3383"/>
        <v>LANDOL</v>
      </c>
      <c r="D9348">
        <f>12</f>
        <v>12</v>
      </c>
      <c r="E9348" t="str">
        <f>"06 - B - 106 - Taraneh C Abreu"</f>
        <v>06 - B - 106 - Taraneh C Abreu</v>
      </c>
      <c r="F9348" t="str">
        <f>"NC STUDY HALL 1"</f>
        <v>NC STUDY HALL 1</v>
      </c>
      <c r="G9348" t="str">
        <f>"17-1713"</f>
        <v>17-1713</v>
      </c>
      <c r="H9348" t="str">
        <f>"B"</f>
        <v>B</v>
      </c>
    </row>
    <row r="9349" spans="1:8" x14ac:dyDescent="0.2">
      <c r="A9349" t="str">
        <f t="shared" si="3381"/>
        <v>0613129152</v>
      </c>
      <c r="B9349" t="str">
        <f t="shared" si="3382"/>
        <v>MIA</v>
      </c>
      <c r="C9349" t="str">
        <f t="shared" si="3383"/>
        <v>LANDOL</v>
      </c>
      <c r="D9349">
        <f>12</f>
        <v>12</v>
      </c>
      <c r="E9349" t="str">
        <f>"03 - A - 101 - Rosa Elaine  Collado-Duff"</f>
        <v>03 - A - 101 - Rosa Elaine  Collado-Duff</v>
      </c>
      <c r="F9349" t="str">
        <f>"SPANISH 3 HON"</f>
        <v>SPANISH 3 HON</v>
      </c>
      <c r="G9349" t="str">
        <f>"09-913"</f>
        <v>09-913</v>
      </c>
      <c r="H9349" t="str">
        <f>"A"</f>
        <v>A</v>
      </c>
    </row>
    <row r="9350" spans="1:8" x14ac:dyDescent="0.2">
      <c r="A9350" t="str">
        <f t="shared" si="3381"/>
        <v>0613129152</v>
      </c>
      <c r="B9350" t="str">
        <f t="shared" si="3382"/>
        <v>MIA</v>
      </c>
      <c r="C9350" t="str">
        <f t="shared" si="3383"/>
        <v>LANDOL</v>
      </c>
      <c r="D9350">
        <f>12</f>
        <v>12</v>
      </c>
      <c r="E9350" t="str">
        <f>"02 - A - 107 - Tina M Jaramillo"</f>
        <v>02 - A - 107 - Tina M Jaramillo</v>
      </c>
      <c r="F9350" t="str">
        <f>"AP ENG LIT COMPO"</f>
        <v>AP ENG LIT COMPO</v>
      </c>
      <c r="G9350" t="str">
        <f>"17-1706"</f>
        <v>17-1706</v>
      </c>
      <c r="H9350" t="str">
        <f>"A"</f>
        <v>A</v>
      </c>
    </row>
    <row r="9351" spans="1:8" x14ac:dyDescent="0.2">
      <c r="A9351" t="str">
        <f t="shared" si="3381"/>
        <v>0613129152</v>
      </c>
      <c r="B9351" t="str">
        <f t="shared" si="3382"/>
        <v>MIA</v>
      </c>
      <c r="C9351" t="str">
        <f t="shared" si="3383"/>
        <v>LANDOL</v>
      </c>
      <c r="D9351">
        <f>12</f>
        <v>12</v>
      </c>
      <c r="E9351" t="str">
        <f>"07 - S1 - B - 102 - Barbara L Segal"</f>
        <v>07 - S1 - B - 102 - Barbara L Segal</v>
      </c>
      <c r="F9351" t="str">
        <f>"AP US GOVT/POL"</f>
        <v>AP US GOVT/POL</v>
      </c>
      <c r="G9351" t="str">
        <f>"17-1742"</f>
        <v>17-1742</v>
      </c>
      <c r="H9351" t="str">
        <f>"B"</f>
        <v>B</v>
      </c>
    </row>
    <row r="9352" spans="1:8" x14ac:dyDescent="0.2">
      <c r="A9352" t="str">
        <f t="shared" si="3381"/>
        <v>0613129152</v>
      </c>
      <c r="B9352" t="str">
        <f t="shared" si="3382"/>
        <v>MIA</v>
      </c>
      <c r="C9352" t="str">
        <f t="shared" si="3383"/>
        <v>LANDOL</v>
      </c>
      <c r="D9352">
        <f>12</f>
        <v>12</v>
      </c>
      <c r="E9352" t="str">
        <f>"05 - B - 102 - Emmily A Sarmiento"</f>
        <v>05 - B - 102 - Emmily A Sarmiento</v>
      </c>
      <c r="F9352" t="str">
        <f>"LEAD SKLS DEV LH"</f>
        <v>LEAD SKLS DEV LH</v>
      </c>
      <c r="G9352" t="str">
        <f>"17-1743"</f>
        <v>17-1743</v>
      </c>
      <c r="H9352" t="str">
        <f>"B"</f>
        <v>B</v>
      </c>
    </row>
    <row r="9353" spans="1:8" x14ac:dyDescent="0.2">
      <c r="A9353" t="str">
        <f t="shared" si="3381"/>
        <v>0613129152</v>
      </c>
      <c r="B9353" t="str">
        <f t="shared" si="3382"/>
        <v>MIA</v>
      </c>
      <c r="C9353" t="str">
        <f t="shared" si="3383"/>
        <v>LANDOL</v>
      </c>
      <c r="D9353">
        <f>12</f>
        <v>12</v>
      </c>
      <c r="E9353" t="str">
        <f>"01 - A - 103 - Scott A Dethloff"</f>
        <v>01 - A - 103 - Scott A Dethloff</v>
      </c>
      <c r="F9353" t="str">
        <f>"AICE THINK SKLS 1 AS"</f>
        <v>AICE THINK SKLS 1 AS</v>
      </c>
      <c r="G9353" t="str">
        <f>"08-812"</f>
        <v>08-812</v>
      </c>
      <c r="H9353" t="str">
        <f>"A"</f>
        <v>A</v>
      </c>
    </row>
    <row r="9354" spans="1:8" x14ac:dyDescent="0.2">
      <c r="A9354" t="str">
        <f t="shared" si="3381"/>
        <v>0613129152</v>
      </c>
      <c r="B9354" t="str">
        <f t="shared" si="3382"/>
        <v>MIA</v>
      </c>
      <c r="C9354" t="str">
        <f t="shared" si="3383"/>
        <v>LANDOL</v>
      </c>
      <c r="D9354">
        <f>12</f>
        <v>12</v>
      </c>
      <c r="E9354" t="str">
        <f>"08 - B - 103 - Marielle A Witting"</f>
        <v>08 - B - 103 - Marielle A Witting</v>
      </c>
      <c r="F9354" t="str">
        <f>"AP BIO"</f>
        <v>AP BIO</v>
      </c>
      <c r="G9354" t="str">
        <f>"08-805"</f>
        <v>08-805</v>
      </c>
      <c r="H9354" t="str">
        <f>"B"</f>
        <v>B</v>
      </c>
    </row>
    <row r="9355" spans="1:8" x14ac:dyDescent="0.2">
      <c r="A9355" t="str">
        <f t="shared" ref="A9355:A9362" si="3384">"0615035879"</f>
        <v>0615035879</v>
      </c>
      <c r="B9355" t="str">
        <f t="shared" ref="B9355:B9362" si="3385">"WINFIELD"</f>
        <v>WINFIELD</v>
      </c>
      <c r="C9355" t="str">
        <f t="shared" ref="C9355:C9362" si="3386">"LANTIGUA ARDON"</f>
        <v>LANTIGUA ARDON</v>
      </c>
      <c r="D9355">
        <f>10</f>
        <v>10</v>
      </c>
      <c r="E9355" t="str">
        <f>"04 - A - 205 - Lytrell T Dixon"</f>
        <v>04 - A - 205 - Lytrell T Dixon</v>
      </c>
      <c r="F9355" t="str">
        <f>"BIOLOGY 1"</f>
        <v>BIOLOGY 1</v>
      </c>
      <c r="G9355" t="str">
        <f>"08-808"</f>
        <v>08-808</v>
      </c>
      <c r="H9355" t="str">
        <f>"A"</f>
        <v>A</v>
      </c>
    </row>
    <row r="9356" spans="1:8" x14ac:dyDescent="0.2">
      <c r="A9356" t="str">
        <f t="shared" si="3384"/>
        <v>0615035879</v>
      </c>
      <c r="B9356" t="str">
        <f t="shared" si="3385"/>
        <v>WINFIELD</v>
      </c>
      <c r="C9356" t="str">
        <f t="shared" si="3386"/>
        <v>LANTIGUA ARDON</v>
      </c>
      <c r="D9356">
        <f>10</f>
        <v>10</v>
      </c>
      <c r="E9356" t="str">
        <f>"06 - B - 115 - Scott A Dethloff"</f>
        <v>06 - B - 115 - Scott A Dethloff</v>
      </c>
      <c r="F9356" t="str">
        <f>"NC STUDY HALL 1"</f>
        <v>NC STUDY HALL 1</v>
      </c>
      <c r="G9356" t="str">
        <f>"08-812"</f>
        <v>08-812</v>
      </c>
      <c r="H9356" t="str">
        <f>"B"</f>
        <v>B</v>
      </c>
    </row>
    <row r="9357" spans="1:8" x14ac:dyDescent="0.2">
      <c r="A9357" t="str">
        <f t="shared" si="3384"/>
        <v>0615035879</v>
      </c>
      <c r="B9357" t="str">
        <f t="shared" si="3385"/>
        <v>WINFIELD</v>
      </c>
      <c r="C9357" t="str">
        <f t="shared" si="3386"/>
        <v>LANTIGUA ARDON</v>
      </c>
      <c r="D9357">
        <f>10</f>
        <v>10</v>
      </c>
      <c r="E9357" t="str">
        <f>"03 - A - 105 - Elizabeth Ellen  Moran"</f>
        <v>03 - A - 105 - Elizabeth Ellen  Moran</v>
      </c>
      <c r="F9357" t="str">
        <f>"WORLD HISTORY"</f>
        <v>WORLD HISTORY</v>
      </c>
      <c r="G9357" t="str">
        <f>"17-1752"</f>
        <v>17-1752</v>
      </c>
      <c r="H9357" t="str">
        <f>"A"</f>
        <v>A</v>
      </c>
    </row>
    <row r="9358" spans="1:8" x14ac:dyDescent="0.2">
      <c r="A9358" t="str">
        <f t="shared" si="3384"/>
        <v>0615035879</v>
      </c>
      <c r="B9358" t="str">
        <f t="shared" si="3385"/>
        <v>WINFIELD</v>
      </c>
      <c r="C9358" t="str">
        <f t="shared" si="3386"/>
        <v>LANTIGUA ARDON</v>
      </c>
      <c r="D9358">
        <f>10</f>
        <v>10</v>
      </c>
      <c r="E9358" t="str">
        <f>"02 - A - 102 - Nikiel  Nesbeth"</f>
        <v>02 - A - 102 - Nikiel  Nesbeth</v>
      </c>
      <c r="F9358" t="str">
        <f>"ENG 2"</f>
        <v>ENG 2</v>
      </c>
      <c r="G9358" t="str">
        <f>"17-1705"</f>
        <v>17-1705</v>
      </c>
      <c r="H9358" t="str">
        <f>"A"</f>
        <v>A</v>
      </c>
    </row>
    <row r="9359" spans="1:8" x14ac:dyDescent="0.2">
      <c r="A9359" t="str">
        <f t="shared" si="3384"/>
        <v>0615035879</v>
      </c>
      <c r="B9359" t="str">
        <f t="shared" si="3385"/>
        <v>WINFIELD</v>
      </c>
      <c r="C9359" t="str">
        <f t="shared" si="3386"/>
        <v>LANTIGUA ARDON</v>
      </c>
      <c r="D9359">
        <f>10</f>
        <v>10</v>
      </c>
      <c r="E9359" t="str">
        <f>"07 - B - 106 - Dayna M Foster"</f>
        <v>07 - B - 106 - Dayna M Foster</v>
      </c>
      <c r="F9359" t="str">
        <f>"FDN SKLS MATH 9-12"</f>
        <v>FDN SKLS MATH 9-12</v>
      </c>
      <c r="G9359" t="str">
        <f>"21-2109"</f>
        <v>21-2109</v>
      </c>
      <c r="H9359" t="str">
        <f>"B"</f>
        <v>B</v>
      </c>
    </row>
    <row r="9360" spans="1:8" x14ac:dyDescent="0.2">
      <c r="A9360" t="str">
        <f t="shared" si="3384"/>
        <v>0615035879</v>
      </c>
      <c r="B9360" t="str">
        <f t="shared" si="3385"/>
        <v>WINFIELD</v>
      </c>
      <c r="C9360" t="str">
        <f t="shared" si="3386"/>
        <v>LANTIGUA ARDON</v>
      </c>
      <c r="D9360">
        <f>10</f>
        <v>10</v>
      </c>
      <c r="E9360" t="str">
        <f>"05 - B - 105 - Taraneh C Abreu"</f>
        <v>05 - B - 105 - Taraneh C Abreu</v>
      </c>
      <c r="F9360" t="str">
        <f>"INTENS READ 2"</f>
        <v>INTENS READ 2</v>
      </c>
      <c r="G9360" t="str">
        <f>"17-1713"</f>
        <v>17-1713</v>
      </c>
      <c r="H9360" t="str">
        <f>"B"</f>
        <v>B</v>
      </c>
    </row>
    <row r="9361" spans="1:8" x14ac:dyDescent="0.2">
      <c r="A9361" t="str">
        <f t="shared" si="3384"/>
        <v>0615035879</v>
      </c>
      <c r="B9361" t="str">
        <f t="shared" si="3385"/>
        <v>WINFIELD</v>
      </c>
      <c r="C9361" t="str">
        <f t="shared" si="3386"/>
        <v>LANTIGUA ARDON</v>
      </c>
      <c r="D9361">
        <f>10</f>
        <v>10</v>
      </c>
      <c r="E9361" t="str">
        <f>"01 - A - 108 - Dayna M Foster"</f>
        <v>01 - A - 108 - Dayna M Foster</v>
      </c>
      <c r="F9361" t="str">
        <f>"ALGEBRA 1"</f>
        <v>ALGEBRA 1</v>
      </c>
      <c r="G9361" t="str">
        <f>"21-2109"</f>
        <v>21-2109</v>
      </c>
      <c r="H9361" t="str">
        <f>"A"</f>
        <v>A</v>
      </c>
    </row>
    <row r="9362" spans="1:8" x14ac:dyDescent="0.2">
      <c r="A9362" t="str">
        <f t="shared" si="3384"/>
        <v>0615035879</v>
      </c>
      <c r="B9362" t="str">
        <f t="shared" si="3385"/>
        <v>WINFIELD</v>
      </c>
      <c r="C9362" t="str">
        <f t="shared" si="3386"/>
        <v>LANTIGUA ARDON</v>
      </c>
      <c r="D9362">
        <f>10</f>
        <v>10</v>
      </c>
      <c r="E9362" t="str">
        <f>"08 - S1 - B - 102 - Kyle  Robbins"</f>
        <v>08 - S1 - B - 102 - Kyle  Robbins</v>
      </c>
      <c r="F9362" t="str">
        <f>"PERS FIN &amp; MON MGT H"</f>
        <v>PERS FIN &amp; MON MGT H</v>
      </c>
      <c r="G9362" t="str">
        <f>"17-1745"</f>
        <v>17-1745</v>
      </c>
      <c r="H9362" t="str">
        <f>"B"</f>
        <v>B</v>
      </c>
    </row>
    <row r="9363" spans="1:8" x14ac:dyDescent="0.2">
      <c r="A9363" t="str">
        <f t="shared" ref="A9363:A9370" si="3387">"0616065795"</f>
        <v>0616065795</v>
      </c>
      <c r="B9363" t="str">
        <f t="shared" ref="B9363:B9370" si="3388">"BRIAN"</f>
        <v>BRIAN</v>
      </c>
      <c r="C9363" t="str">
        <f t="shared" ref="C9363:C9370" si="3389">"LARA"</f>
        <v>LARA</v>
      </c>
      <c r="D9363" t="str">
        <f t="shared" ref="D9363:D9370" si="3390">"09"</f>
        <v>09</v>
      </c>
      <c r="E9363" t="str">
        <f>"04 - A - 102 - Tina L Lovett"</f>
        <v>04 - A - 102 - Tina L Lovett</v>
      </c>
      <c r="F9363" t="str">
        <f>"ALGEBRA 1"</f>
        <v>ALGEBRA 1</v>
      </c>
      <c r="G9363" t="str">
        <f>"21-2153"</f>
        <v>21-2153</v>
      </c>
      <c r="H9363" t="str">
        <f>"A"</f>
        <v>A</v>
      </c>
    </row>
    <row r="9364" spans="1:8" x14ac:dyDescent="0.2">
      <c r="A9364" t="str">
        <f t="shared" si="3387"/>
        <v>0616065795</v>
      </c>
      <c r="B9364" t="str">
        <f t="shared" si="3388"/>
        <v>BRIAN</v>
      </c>
      <c r="C9364" t="str">
        <f t="shared" si="3389"/>
        <v>LARA</v>
      </c>
      <c r="D9364" t="str">
        <f t="shared" si="3390"/>
        <v>09</v>
      </c>
      <c r="E9364" t="str">
        <f>"06 - B - 002 - Amy Beth  Broyles"</f>
        <v>06 - B - 002 - Amy Beth  Broyles</v>
      </c>
      <c r="F9364" t="str">
        <f>"ENV SCI"</f>
        <v>ENV SCI</v>
      </c>
      <c r="G9364" t="str">
        <f>"08-802"</f>
        <v>08-802</v>
      </c>
      <c r="H9364" t="str">
        <f>"B"</f>
        <v>B</v>
      </c>
    </row>
    <row r="9365" spans="1:8" x14ac:dyDescent="0.2">
      <c r="A9365" t="str">
        <f t="shared" si="3387"/>
        <v>0616065795</v>
      </c>
      <c r="B9365" t="str">
        <f t="shared" si="3388"/>
        <v>BRIAN</v>
      </c>
      <c r="C9365" t="str">
        <f t="shared" si="3389"/>
        <v>LARA</v>
      </c>
      <c r="D9365" t="str">
        <f t="shared" si="3390"/>
        <v>09</v>
      </c>
      <c r="E9365" t="str">
        <f>"03 - A - 109 - Lissa C Frederique"</f>
        <v>03 - A - 109 - Lissa C Frederique</v>
      </c>
      <c r="F9365" t="str">
        <f>"WORLD HISTORY"</f>
        <v>WORLD HISTORY</v>
      </c>
      <c r="G9365" t="str">
        <f>"17-1754"</f>
        <v>17-1754</v>
      </c>
      <c r="H9365" t="str">
        <f>"A"</f>
        <v>A</v>
      </c>
    </row>
    <row r="9366" spans="1:8" x14ac:dyDescent="0.2">
      <c r="A9366" t="str">
        <f t="shared" si="3387"/>
        <v>0616065795</v>
      </c>
      <c r="B9366" t="str">
        <f t="shared" si="3388"/>
        <v>BRIAN</v>
      </c>
      <c r="C9366" t="str">
        <f t="shared" si="3389"/>
        <v>LARA</v>
      </c>
      <c r="D9366" t="str">
        <f t="shared" si="3390"/>
        <v>09</v>
      </c>
      <c r="E9366" t="str">
        <f>"02 - A - 112 - Cheryl Anne  Berman-Schechter"</f>
        <v>02 - A - 112 - Cheryl Anne  Berman-Schechter</v>
      </c>
      <c r="F9366" t="str">
        <f>"NC STUDY HALL 1"</f>
        <v>NC STUDY HALL 1</v>
      </c>
      <c r="G9366" t="str">
        <f>"17-1722"</f>
        <v>17-1722</v>
      </c>
      <c r="H9366" t="str">
        <f>"A"</f>
        <v>A</v>
      </c>
    </row>
    <row r="9367" spans="1:8" x14ac:dyDescent="0.2">
      <c r="A9367" t="str">
        <f t="shared" si="3387"/>
        <v>0616065795</v>
      </c>
      <c r="B9367" t="str">
        <f t="shared" si="3388"/>
        <v>BRIAN</v>
      </c>
      <c r="C9367" t="str">
        <f t="shared" si="3389"/>
        <v>LARA</v>
      </c>
      <c r="D9367" t="str">
        <f t="shared" si="3390"/>
        <v>09</v>
      </c>
      <c r="E9367" t="str">
        <f>"07 - B - 105 - Laselleda D Shaw"</f>
        <v>07 - B - 105 - Laselleda D Shaw</v>
      </c>
      <c r="F9367" t="str">
        <f>"INTENS READ 1"</f>
        <v>INTENS READ 1</v>
      </c>
      <c r="G9367" t="str">
        <f>"17-1723"</f>
        <v>17-1723</v>
      </c>
      <c r="H9367" t="str">
        <f>"B"</f>
        <v>B</v>
      </c>
    </row>
    <row r="9368" spans="1:8" x14ac:dyDescent="0.2">
      <c r="A9368" t="str">
        <f t="shared" si="3387"/>
        <v>0616065795</v>
      </c>
      <c r="B9368" t="str">
        <f t="shared" si="3388"/>
        <v>BRIAN</v>
      </c>
      <c r="C9368" t="str">
        <f t="shared" si="3389"/>
        <v>LARA</v>
      </c>
      <c r="D9368" t="str">
        <f t="shared" si="3390"/>
        <v>09</v>
      </c>
      <c r="E9368" t="str">
        <f>"05 - S1 - B - 102 - Richard E Dunbar Iii"</f>
        <v>05 - S1 - B - 102 - Richard E Dunbar Iii</v>
      </c>
      <c r="F9368" t="str">
        <f>"TEAM SPORTS 1"</f>
        <v>TEAM SPORTS 1</v>
      </c>
      <c r="G9368" t="str">
        <f>"04-254"</f>
        <v>04-254</v>
      </c>
      <c r="H9368" t="str">
        <f>"B"</f>
        <v>B</v>
      </c>
    </row>
    <row r="9369" spans="1:8" x14ac:dyDescent="0.2">
      <c r="A9369" t="str">
        <f t="shared" si="3387"/>
        <v>0616065795</v>
      </c>
      <c r="B9369" t="str">
        <f t="shared" si="3388"/>
        <v>BRIAN</v>
      </c>
      <c r="C9369" t="str">
        <f t="shared" si="3389"/>
        <v>LARA</v>
      </c>
      <c r="D9369" t="str">
        <f t="shared" si="3390"/>
        <v>09</v>
      </c>
      <c r="E9369" t="str">
        <f>"01 - A - 101 - Cerine S Stewart"</f>
        <v>01 - A - 101 - Cerine S Stewart</v>
      </c>
      <c r="F9369" t="str">
        <f>"ENG 1"</f>
        <v>ENG 1</v>
      </c>
      <c r="G9369" t="str">
        <f>"17-1720"</f>
        <v>17-1720</v>
      </c>
      <c r="H9369" t="str">
        <f>"A"</f>
        <v>A</v>
      </c>
    </row>
    <row r="9370" spans="1:8" x14ac:dyDescent="0.2">
      <c r="A9370" t="str">
        <f t="shared" si="3387"/>
        <v>0616065795</v>
      </c>
      <c r="B9370" t="str">
        <f t="shared" si="3388"/>
        <v>BRIAN</v>
      </c>
      <c r="C9370" t="str">
        <f t="shared" si="3389"/>
        <v>LARA</v>
      </c>
      <c r="D9370" t="str">
        <f t="shared" si="3390"/>
        <v>09</v>
      </c>
      <c r="E9370" t="str">
        <f>"08 - B - 108 - Tina L Lovett"</f>
        <v>08 - B - 108 - Tina L Lovett</v>
      </c>
      <c r="F9370" t="str">
        <f>"FDN SKLS MATH 9-12"</f>
        <v>FDN SKLS MATH 9-12</v>
      </c>
      <c r="G9370" t="str">
        <f>"21-2153"</f>
        <v>21-2153</v>
      </c>
      <c r="H9370" t="str">
        <f>"B"</f>
        <v>B</v>
      </c>
    </row>
    <row r="9371" spans="1:8" x14ac:dyDescent="0.2">
      <c r="A9371" t="str">
        <f t="shared" ref="A9371:A9378" si="3391">"0616120104"</f>
        <v>0616120104</v>
      </c>
      <c r="B9371" t="str">
        <f t="shared" ref="B9371:B9378" si="3392">"NOVIN"</f>
        <v>NOVIN</v>
      </c>
      <c r="C9371" t="str">
        <f t="shared" ref="C9371:C9378" si="3393">"LARBI-RAIMUNDO"</f>
        <v>LARBI-RAIMUNDO</v>
      </c>
      <c r="D9371">
        <f>11</f>
        <v>11</v>
      </c>
      <c r="E9371" t="str">
        <f>"04 - A - 101 - Jerry S Jiampetti"</f>
        <v>04 - A - 101 - Jerry S Jiampetti</v>
      </c>
      <c r="F9371" t="str">
        <f>"AICE U.S. HIST 1 AS"</f>
        <v>AICE U.S. HIST 1 AS</v>
      </c>
      <c r="G9371" t="str">
        <f>"17-1751"</f>
        <v>17-1751</v>
      </c>
      <c r="H9371" t="str">
        <f>"A"</f>
        <v>A</v>
      </c>
    </row>
    <row r="9372" spans="1:8" x14ac:dyDescent="0.2">
      <c r="A9372" t="str">
        <f t="shared" si="3391"/>
        <v>0616120104</v>
      </c>
      <c r="B9372" t="str">
        <f t="shared" si="3392"/>
        <v>NOVIN</v>
      </c>
      <c r="C9372" t="str">
        <f t="shared" si="3393"/>
        <v>LARBI-RAIMUNDO</v>
      </c>
      <c r="D9372">
        <f>11</f>
        <v>11</v>
      </c>
      <c r="E9372" t="str">
        <f>"06 - B - 204 - Chrystina M Marchionne"</f>
        <v>06 - B - 204 - Chrystina M Marchionne</v>
      </c>
      <c r="F9372" t="str">
        <f>"AICE MEDIASTUDIES AS"</f>
        <v>AICE MEDIASTUDIES AS</v>
      </c>
      <c r="G9372" t="str">
        <f>"05-520"</f>
        <v>05-520</v>
      </c>
      <c r="H9372" t="str">
        <f>"B"</f>
        <v>B</v>
      </c>
    </row>
    <row r="9373" spans="1:8" x14ac:dyDescent="0.2">
      <c r="A9373" t="str">
        <f t="shared" si="3391"/>
        <v>0616120104</v>
      </c>
      <c r="B9373" t="str">
        <f t="shared" si="3392"/>
        <v>NOVIN</v>
      </c>
      <c r="C9373" t="str">
        <f t="shared" si="3393"/>
        <v>LARBI-RAIMUNDO</v>
      </c>
      <c r="D9373">
        <f>11</f>
        <v>11</v>
      </c>
      <c r="E9373" t="str">
        <f>"03 - A - 104 - Brook E Goren"</f>
        <v>03 - A - 104 - Brook E Goren</v>
      </c>
      <c r="F9373" t="str">
        <f>"ALGEBRA 2 HON"</f>
        <v>ALGEBRA 2 HON</v>
      </c>
      <c r="G9373" t="str">
        <f>"21-2158"</f>
        <v>21-2158</v>
      </c>
      <c r="H9373" t="str">
        <f>"A"</f>
        <v>A</v>
      </c>
    </row>
    <row r="9374" spans="1:8" x14ac:dyDescent="0.2">
      <c r="A9374" t="str">
        <f t="shared" si="3391"/>
        <v>0616120104</v>
      </c>
      <c r="B9374" t="str">
        <f t="shared" si="3392"/>
        <v>NOVIN</v>
      </c>
      <c r="C9374" t="str">
        <f t="shared" si="3393"/>
        <v>LARBI-RAIMUNDO</v>
      </c>
      <c r="D9374">
        <f>11</f>
        <v>11</v>
      </c>
      <c r="E9374" t="str">
        <f>"02 - A - 001 - Courtney E Hambright"</f>
        <v>02 - A - 001 - Courtney E Hambright</v>
      </c>
      <c r="F9374" t="str">
        <f>"NC STUDY HALL 1"</f>
        <v>NC STUDY HALL 1</v>
      </c>
      <c r="G9374" t="str">
        <f>"17-1711"</f>
        <v>17-1711</v>
      </c>
      <c r="H9374" t="str">
        <f>"A"</f>
        <v>A</v>
      </c>
    </row>
    <row r="9375" spans="1:8" x14ac:dyDescent="0.2">
      <c r="A9375" t="str">
        <f t="shared" si="3391"/>
        <v>0616120104</v>
      </c>
      <c r="B9375" t="str">
        <f t="shared" si="3392"/>
        <v>NOVIN</v>
      </c>
      <c r="C9375" t="str">
        <f t="shared" si="3393"/>
        <v>LARBI-RAIMUNDO</v>
      </c>
      <c r="D9375">
        <f>11</f>
        <v>11</v>
      </c>
      <c r="E9375" t="str">
        <f>"07 - B - 002 - Jordana K Hass"</f>
        <v>07 - B - 002 - Jordana K Hass</v>
      </c>
      <c r="F9375" t="str">
        <f>"CHEMISTRY 1 HON"</f>
        <v>CHEMISTRY 1 HON</v>
      </c>
      <c r="G9375" t="str">
        <f>"08-807"</f>
        <v>08-807</v>
      </c>
      <c r="H9375" t="str">
        <f>"B"</f>
        <v>B</v>
      </c>
    </row>
    <row r="9376" spans="1:8" x14ac:dyDescent="0.2">
      <c r="A9376" t="str">
        <f t="shared" si="3391"/>
        <v>0616120104</v>
      </c>
      <c r="B9376" t="str">
        <f t="shared" si="3392"/>
        <v>NOVIN</v>
      </c>
      <c r="C9376" t="str">
        <f t="shared" si="3393"/>
        <v>LARBI-RAIMUNDO</v>
      </c>
      <c r="D9376">
        <f>11</f>
        <v>11</v>
      </c>
      <c r="E9376" t="str">
        <f>"05 - B - 102 - Jacklyn M James"</f>
        <v>05 - B - 102 - Jacklyn M James</v>
      </c>
      <c r="F9376" t="str">
        <f>"AICE ENG LANG AS"</f>
        <v>AICE ENG LANG AS</v>
      </c>
      <c r="G9376" t="str">
        <f>"17-1731"</f>
        <v>17-1731</v>
      </c>
      <c r="H9376" t="str">
        <f>"B"</f>
        <v>B</v>
      </c>
    </row>
    <row r="9377" spans="1:8" x14ac:dyDescent="0.2">
      <c r="A9377" t="str">
        <f t="shared" si="3391"/>
        <v>0616120104</v>
      </c>
      <c r="B9377" t="str">
        <f t="shared" si="3392"/>
        <v>NOVIN</v>
      </c>
      <c r="C9377" t="str">
        <f t="shared" si="3393"/>
        <v>LARBI-RAIMUNDO</v>
      </c>
      <c r="D9377">
        <f>11</f>
        <v>11</v>
      </c>
      <c r="E9377" t="str">
        <f>"01 - A - 101 - Lisa J London"</f>
        <v>01 - A - 101 - Lisa J London</v>
      </c>
      <c r="F9377" t="str">
        <f>"AP CAPSTONE SEMINAR"</f>
        <v>AP CAPSTONE SEMINAR</v>
      </c>
      <c r="G9377" t="str">
        <f>"17-1714"</f>
        <v>17-1714</v>
      </c>
      <c r="H9377" t="str">
        <f>"A"</f>
        <v>A</v>
      </c>
    </row>
    <row r="9378" spans="1:8" x14ac:dyDescent="0.2">
      <c r="A9378" t="str">
        <f t="shared" si="3391"/>
        <v>0616120104</v>
      </c>
      <c r="B9378" t="str">
        <f t="shared" si="3392"/>
        <v>NOVIN</v>
      </c>
      <c r="C9378" t="str">
        <f t="shared" si="3393"/>
        <v>LARBI-RAIMUNDO</v>
      </c>
      <c r="D9378">
        <f>11</f>
        <v>11</v>
      </c>
      <c r="E9378" t="str">
        <f>"08 - B - 202 - Krystal Marie  Beruty"</f>
        <v>08 - B - 202 - Krystal Marie  Beruty</v>
      </c>
      <c r="F9378" t="str">
        <f>"AICE PSYCH 1 AS"</f>
        <v>AICE PSYCH 1 AS</v>
      </c>
      <c r="G9378" t="str">
        <f>"17-1721"</f>
        <v>17-1721</v>
      </c>
      <c r="H9378" t="str">
        <f>"B"</f>
        <v>B</v>
      </c>
    </row>
    <row r="9379" spans="1:8" x14ac:dyDescent="0.2">
      <c r="A9379" t="str">
        <f t="shared" ref="A9379:A9386" si="3394">"0616123080"</f>
        <v>0616123080</v>
      </c>
      <c r="B9379" t="str">
        <f t="shared" ref="B9379:B9386" si="3395">"MEIDA"</f>
        <v>MEIDA</v>
      </c>
      <c r="C9379" t="str">
        <f t="shared" ref="C9379:C9386" si="3396">"LASICKAITE"</f>
        <v>LASICKAITE</v>
      </c>
      <c r="D9379" t="str">
        <f t="shared" ref="D9379:D9386" si="3397">"09"</f>
        <v>09</v>
      </c>
      <c r="E9379" t="str">
        <f>"04 - A - 103 - Joe  Kilpatrick Jr"</f>
        <v>04 - A - 103 - Joe  Kilpatrick Jr</v>
      </c>
      <c r="F9379" t="str">
        <f>"PRE-AICE SPAN 1 IG"</f>
        <v>PRE-AICE SPAN 1 IG</v>
      </c>
      <c r="G9379" t="str">
        <f>"09-912"</f>
        <v>09-912</v>
      </c>
      <c r="H9379" t="str">
        <f>"A"</f>
        <v>A</v>
      </c>
    </row>
    <row r="9380" spans="1:8" x14ac:dyDescent="0.2">
      <c r="A9380" t="str">
        <f t="shared" si="3394"/>
        <v>0616123080</v>
      </c>
      <c r="B9380" t="str">
        <f t="shared" si="3395"/>
        <v>MEIDA</v>
      </c>
      <c r="C9380" t="str">
        <f t="shared" si="3396"/>
        <v>LASICKAITE</v>
      </c>
      <c r="D9380" t="str">
        <f t="shared" si="3397"/>
        <v>09</v>
      </c>
      <c r="E9380" t="str">
        <f>"06 - B - 110 - Krystal Marie  Beruty"</f>
        <v>06 - B - 110 - Krystal Marie  Beruty</v>
      </c>
      <c r="F9380" t="str">
        <f>"AICE GLBL PERSP 1 AS"</f>
        <v>AICE GLBL PERSP 1 AS</v>
      </c>
      <c r="G9380" t="str">
        <f>"17-1721"</f>
        <v>17-1721</v>
      </c>
      <c r="H9380" t="str">
        <f>"B"</f>
        <v>B</v>
      </c>
    </row>
    <row r="9381" spans="1:8" x14ac:dyDescent="0.2">
      <c r="A9381" t="str">
        <f t="shared" si="3394"/>
        <v>0616123080</v>
      </c>
      <c r="B9381" t="str">
        <f t="shared" si="3395"/>
        <v>MEIDA</v>
      </c>
      <c r="C9381" t="str">
        <f t="shared" si="3396"/>
        <v>LASICKAITE</v>
      </c>
      <c r="D9381" t="str">
        <f t="shared" si="3397"/>
        <v>09</v>
      </c>
      <c r="E9381" t="str">
        <f>"03 - A - 202 - Cheryl L Beach"</f>
        <v>03 - A - 202 - Cheryl L Beach</v>
      </c>
      <c r="F9381" t="str">
        <f>"AICE ENV MGMNT AS"</f>
        <v>AICE ENV MGMNT AS</v>
      </c>
      <c r="G9381" t="str">
        <f>"08-811"</f>
        <v>08-811</v>
      </c>
      <c r="H9381" t="str">
        <f>"A"</f>
        <v>A</v>
      </c>
    </row>
    <row r="9382" spans="1:8" x14ac:dyDescent="0.2">
      <c r="A9382" t="str">
        <f t="shared" si="3394"/>
        <v>0616123080</v>
      </c>
      <c r="B9382" t="str">
        <f t="shared" si="3395"/>
        <v>MEIDA</v>
      </c>
      <c r="C9382" t="str">
        <f t="shared" si="3396"/>
        <v>LASICKAITE</v>
      </c>
      <c r="D9382" t="str">
        <f t="shared" si="3397"/>
        <v>09</v>
      </c>
      <c r="E9382" t="str">
        <f>"02 - A - 114 - Laselleda D Shaw"</f>
        <v>02 - A - 114 - Laselleda D Shaw</v>
      </c>
      <c r="F9382" t="str">
        <f>"NC STUDY HALL 1"</f>
        <v>NC STUDY HALL 1</v>
      </c>
      <c r="G9382" t="str">
        <f>"17-1723"</f>
        <v>17-1723</v>
      </c>
      <c r="H9382" t="str">
        <f>"A"</f>
        <v>A</v>
      </c>
    </row>
    <row r="9383" spans="1:8" x14ac:dyDescent="0.2">
      <c r="A9383" t="str">
        <f t="shared" si="3394"/>
        <v>0616123080</v>
      </c>
      <c r="B9383" t="str">
        <f t="shared" si="3395"/>
        <v>MEIDA</v>
      </c>
      <c r="C9383" t="str">
        <f t="shared" si="3396"/>
        <v>LASICKAITE</v>
      </c>
      <c r="D9383" t="str">
        <f t="shared" si="3397"/>
        <v>09</v>
      </c>
      <c r="E9383" t="str">
        <f>"07 - B - 107 - Adam Marcus  Drucker"</f>
        <v>07 - B - 107 - Adam Marcus  Drucker</v>
      </c>
      <c r="F9383" t="str">
        <f>"HOPE-PE V"</f>
        <v>HOPE-PE V</v>
      </c>
      <c r="G9383" t="str">
        <f>"04-254"</f>
        <v>04-254</v>
      </c>
      <c r="H9383" t="str">
        <f>"B"</f>
        <v>B</v>
      </c>
    </row>
    <row r="9384" spans="1:8" x14ac:dyDescent="0.2">
      <c r="A9384" t="str">
        <f t="shared" si="3394"/>
        <v>0616123080</v>
      </c>
      <c r="B9384" t="str">
        <f t="shared" si="3395"/>
        <v>MEIDA</v>
      </c>
      <c r="C9384" t="str">
        <f t="shared" si="3396"/>
        <v>LASICKAITE</v>
      </c>
      <c r="D9384" t="str">
        <f t="shared" si="3397"/>
        <v>09</v>
      </c>
      <c r="E9384" t="str">
        <f>"05 - S1 - B - 103 - Leslie J Barton"</f>
        <v>05 - S1 - B - 103 - Leslie J Barton</v>
      </c>
      <c r="F9384" t="str">
        <f>"FIRST AID SAFETY"</f>
        <v>FIRST AID SAFETY</v>
      </c>
      <c r="G9384" t="str">
        <f>"05-521"</f>
        <v>05-521</v>
      </c>
      <c r="H9384" t="str">
        <f>"B"</f>
        <v>B</v>
      </c>
    </row>
    <row r="9385" spans="1:8" x14ac:dyDescent="0.2">
      <c r="A9385" t="str">
        <f t="shared" si="3394"/>
        <v>0616123080</v>
      </c>
      <c r="B9385" t="str">
        <f t="shared" si="3395"/>
        <v>MEIDA</v>
      </c>
      <c r="C9385" t="str">
        <f t="shared" si="3396"/>
        <v>LASICKAITE</v>
      </c>
      <c r="D9385" t="str">
        <f t="shared" si="3397"/>
        <v>09</v>
      </c>
      <c r="E9385" t="str">
        <f>"01 - A - 102 - Brook E Goren"</f>
        <v>01 - A - 102 - Brook E Goren</v>
      </c>
      <c r="F9385" t="str">
        <f>"PRE-AICE MATH 2 IG"</f>
        <v>PRE-AICE MATH 2 IG</v>
      </c>
      <c r="G9385" t="str">
        <f>"21-2158"</f>
        <v>21-2158</v>
      </c>
      <c r="H9385" t="str">
        <f>"A"</f>
        <v>A</v>
      </c>
    </row>
    <row r="9386" spans="1:8" x14ac:dyDescent="0.2">
      <c r="A9386" t="str">
        <f t="shared" si="3394"/>
        <v>0616123080</v>
      </c>
      <c r="B9386" t="str">
        <f t="shared" si="3395"/>
        <v>MEIDA</v>
      </c>
      <c r="C9386" t="str">
        <f t="shared" si="3396"/>
        <v>LASICKAITE</v>
      </c>
      <c r="D9386" t="str">
        <f t="shared" si="3397"/>
        <v>09</v>
      </c>
      <c r="E9386" t="str">
        <f>"08 - B - 004 - Cheryl Anne  Berman-Schechter"</f>
        <v>08 - B - 004 - Cheryl Anne  Berman-Schechter</v>
      </c>
      <c r="F9386" t="str">
        <f>"AICE ENG GEN PAPER 1"</f>
        <v>AICE ENG GEN PAPER 1</v>
      </c>
      <c r="G9386" t="str">
        <f>"17-1722"</f>
        <v>17-1722</v>
      </c>
      <c r="H9386" t="str">
        <f>"B"</f>
        <v>B</v>
      </c>
    </row>
    <row r="9387" spans="1:8" x14ac:dyDescent="0.2">
      <c r="A9387" t="str">
        <f t="shared" ref="A9387:A9395" si="3398">"0611120115"</f>
        <v>0611120115</v>
      </c>
      <c r="B9387" t="str">
        <f t="shared" ref="B9387:B9395" si="3399">"ELIJAH"</f>
        <v>ELIJAH</v>
      </c>
      <c r="C9387" t="str">
        <f t="shared" ref="C9387:C9395" si="3400">"LASTER"</f>
        <v>LASTER</v>
      </c>
      <c r="D9387">
        <f>12</f>
        <v>12</v>
      </c>
      <c r="E9387" t="str">
        <f>"04 - S1 - A - 101 - Barbara L Segal"</f>
        <v>04 - S1 - A - 101 - Barbara L Segal</v>
      </c>
      <c r="F9387" t="str">
        <f>"AP US GOVT/POL"</f>
        <v>AP US GOVT/POL</v>
      </c>
      <c r="G9387" t="str">
        <f>"17-1742"</f>
        <v>17-1742</v>
      </c>
      <c r="H9387" t="str">
        <f>"A"</f>
        <v>A</v>
      </c>
    </row>
    <row r="9388" spans="1:8" x14ac:dyDescent="0.2">
      <c r="A9388" t="str">
        <f t="shared" si="3398"/>
        <v>0611120115</v>
      </c>
      <c r="B9388" t="str">
        <f t="shared" si="3399"/>
        <v>ELIJAH</v>
      </c>
      <c r="C9388" t="str">
        <f t="shared" si="3400"/>
        <v>LASTER</v>
      </c>
      <c r="D9388">
        <f>12</f>
        <v>12</v>
      </c>
      <c r="E9388" t="str">
        <f>"06 - B - 104 - Lissa C Frederique"</f>
        <v>06 - B - 104 - Lissa C Frederique</v>
      </c>
      <c r="F9388" t="str">
        <f>"NC STUDY HALL 1"</f>
        <v>NC STUDY HALL 1</v>
      </c>
      <c r="G9388" t="str">
        <f>"17-1754"</f>
        <v>17-1754</v>
      </c>
      <c r="H9388" t="str">
        <f>"B"</f>
        <v>B</v>
      </c>
    </row>
    <row r="9389" spans="1:8" x14ac:dyDescent="0.2">
      <c r="A9389" t="str">
        <f t="shared" si="3398"/>
        <v>0611120115</v>
      </c>
      <c r="B9389" t="str">
        <f t="shared" si="3399"/>
        <v>ELIJAH</v>
      </c>
      <c r="C9389" t="str">
        <f t="shared" si="3400"/>
        <v>LASTER</v>
      </c>
      <c r="D9389">
        <f>12</f>
        <v>12</v>
      </c>
      <c r="E9389" t="str">
        <f>"06 - B - 116 - Karen A Toomer"</f>
        <v>06 - B - 116 - Karen A Toomer</v>
      </c>
      <c r="F9389" t="str">
        <f>"SPEECH THRPY"</f>
        <v>SPEECH THRPY</v>
      </c>
      <c r="G9389" t="str">
        <f>"21-2110"</f>
        <v>21-2110</v>
      </c>
      <c r="H9389" t="str">
        <f>"B"</f>
        <v>B</v>
      </c>
    </row>
    <row r="9390" spans="1:8" x14ac:dyDescent="0.2">
      <c r="A9390" t="str">
        <f t="shared" si="3398"/>
        <v>0611120115</v>
      </c>
      <c r="B9390" t="str">
        <f t="shared" si="3399"/>
        <v>ELIJAH</v>
      </c>
      <c r="C9390" t="str">
        <f t="shared" si="3400"/>
        <v>LASTER</v>
      </c>
      <c r="D9390">
        <f>12</f>
        <v>12</v>
      </c>
      <c r="E9390" t="str">
        <f>"03 - A - 103 - Adam Marcus  Drucker"</f>
        <v>03 - A - 103 - Adam Marcus  Drucker</v>
      </c>
      <c r="F9390" t="str">
        <f>"HOPE-PE V"</f>
        <v>HOPE-PE V</v>
      </c>
      <c r="G9390" t="str">
        <f>"04-254"</f>
        <v>04-254</v>
      </c>
      <c r="H9390" t="str">
        <f>"A"</f>
        <v>A</v>
      </c>
    </row>
    <row r="9391" spans="1:8" x14ac:dyDescent="0.2">
      <c r="A9391" t="str">
        <f t="shared" si="3398"/>
        <v>0611120115</v>
      </c>
      <c r="B9391" t="str">
        <f t="shared" si="3399"/>
        <v>ELIJAH</v>
      </c>
      <c r="C9391" t="str">
        <f t="shared" si="3400"/>
        <v>LASTER</v>
      </c>
      <c r="D9391">
        <f>12</f>
        <v>12</v>
      </c>
      <c r="E9391" t="str">
        <f>"02 - A - 102 - Daniel S Tyson"</f>
        <v>02 - A - 102 - Daniel S Tyson</v>
      </c>
      <c r="F9391" t="str">
        <f>"JROTC NAVAL SCI 4"</f>
        <v>JROTC NAVAL SCI 4</v>
      </c>
      <c r="G9391" t="str">
        <f>"05-510"</f>
        <v>05-510</v>
      </c>
      <c r="H9391" t="str">
        <f>"A"</f>
        <v>A</v>
      </c>
    </row>
    <row r="9392" spans="1:8" x14ac:dyDescent="0.2">
      <c r="A9392" t="str">
        <f t="shared" si="3398"/>
        <v>0611120115</v>
      </c>
      <c r="B9392" t="str">
        <f t="shared" si="3399"/>
        <v>ELIJAH</v>
      </c>
      <c r="C9392" t="str">
        <f t="shared" si="3400"/>
        <v>LASTER</v>
      </c>
      <c r="D9392">
        <f>12</f>
        <v>12</v>
      </c>
      <c r="E9392" t="str">
        <f>"07 - B - 101 - Jeanne M Bermudez"</f>
        <v>07 - B - 101 - Jeanne M Bermudez</v>
      </c>
      <c r="F9392" t="str">
        <f>"FOUND OF PROGRAM HON"</f>
        <v>FOUND OF PROGRAM HON</v>
      </c>
      <c r="G9392" t="str">
        <f>"21-2141"</f>
        <v>21-2141</v>
      </c>
      <c r="H9392" t="str">
        <f>"B"</f>
        <v>B</v>
      </c>
    </row>
    <row r="9393" spans="1:8" x14ac:dyDescent="0.2">
      <c r="A9393" t="str">
        <f t="shared" si="3398"/>
        <v>0611120115</v>
      </c>
      <c r="B9393" t="str">
        <f t="shared" si="3399"/>
        <v>ELIJAH</v>
      </c>
      <c r="C9393" t="str">
        <f t="shared" si="3400"/>
        <v>LASTER</v>
      </c>
      <c r="D9393">
        <f>12</f>
        <v>12</v>
      </c>
      <c r="E9393" t="str">
        <f>"05 - B - 101 - Jordana K Hass"</f>
        <v>05 - B - 101 - Jordana K Hass</v>
      </c>
      <c r="F9393" t="str">
        <f>"AP COMP SCI PRIN"</f>
        <v>AP COMP SCI PRIN</v>
      </c>
      <c r="G9393" t="str">
        <f>"08-807"</f>
        <v>08-807</v>
      </c>
      <c r="H9393" t="str">
        <f>"B"</f>
        <v>B</v>
      </c>
    </row>
    <row r="9394" spans="1:8" x14ac:dyDescent="0.2">
      <c r="A9394" t="str">
        <f t="shared" si="3398"/>
        <v>0611120115</v>
      </c>
      <c r="B9394" t="str">
        <f t="shared" si="3399"/>
        <v>ELIJAH</v>
      </c>
      <c r="C9394" t="str">
        <f t="shared" si="3400"/>
        <v>LASTER</v>
      </c>
      <c r="D9394">
        <f>12</f>
        <v>12</v>
      </c>
      <c r="E9394" t="str">
        <f>"01 - A - 201 - Jeanne M Bermudez"</f>
        <v>01 - A - 201 - Jeanne M Bermudez</v>
      </c>
      <c r="F9394" t="str">
        <f>"PHYSICS 1 HON"</f>
        <v>PHYSICS 1 HON</v>
      </c>
      <c r="G9394" t="str">
        <f>"21-2141"</f>
        <v>21-2141</v>
      </c>
      <c r="H9394" t="str">
        <f>"A"</f>
        <v>A</v>
      </c>
    </row>
    <row r="9395" spans="1:8" x14ac:dyDescent="0.2">
      <c r="A9395" t="str">
        <f t="shared" si="3398"/>
        <v>0611120115</v>
      </c>
      <c r="B9395" t="str">
        <f t="shared" si="3399"/>
        <v>ELIJAH</v>
      </c>
      <c r="C9395" t="str">
        <f t="shared" si="3400"/>
        <v>LASTER</v>
      </c>
      <c r="D9395">
        <f>12</f>
        <v>12</v>
      </c>
      <c r="E9395" t="str">
        <f>"08 - B - 203 - Courtney E Hambright"</f>
        <v>08 - B - 203 - Courtney E Hambright</v>
      </c>
      <c r="F9395" t="str">
        <f>"AP ENG LIT COMPO"</f>
        <v>AP ENG LIT COMPO</v>
      </c>
      <c r="G9395" t="str">
        <f>"17-1711"</f>
        <v>17-1711</v>
      </c>
      <c r="H9395" t="str">
        <f>"B"</f>
        <v>B</v>
      </c>
    </row>
    <row r="9396" spans="1:8" x14ac:dyDescent="0.2">
      <c r="A9396" t="str">
        <f t="shared" ref="A9396:A9403" si="3401">"0625018090"</f>
        <v>0625018090</v>
      </c>
      <c r="B9396" t="str">
        <f t="shared" ref="B9396:B9403" si="3402">"KENNEDY"</f>
        <v>KENNEDY</v>
      </c>
      <c r="C9396" t="str">
        <f t="shared" ref="C9396:C9403" si="3403">"LASURE"</f>
        <v>LASURE</v>
      </c>
      <c r="D9396" t="str">
        <f t="shared" ref="D9396:D9411" si="3404">"09"</f>
        <v>09</v>
      </c>
      <c r="E9396" t="str">
        <f>"04 - A - 102 - Elizabeth R Walker"</f>
        <v>04 - A - 102 - Elizabeth R Walker</v>
      </c>
      <c r="F9396" t="str">
        <f>"AICE ENG GEN PAPER 1"</f>
        <v>AICE ENG GEN PAPER 1</v>
      </c>
      <c r="G9396" t="str">
        <f>"17-1703"</f>
        <v>17-1703</v>
      </c>
      <c r="H9396" t="str">
        <f>"A"</f>
        <v>A</v>
      </c>
    </row>
    <row r="9397" spans="1:8" x14ac:dyDescent="0.2">
      <c r="A9397" t="str">
        <f t="shared" si="3401"/>
        <v>0625018090</v>
      </c>
      <c r="B9397" t="str">
        <f t="shared" si="3402"/>
        <v>KENNEDY</v>
      </c>
      <c r="C9397" t="str">
        <f t="shared" si="3403"/>
        <v>LASURE</v>
      </c>
      <c r="D9397" t="str">
        <f t="shared" si="3404"/>
        <v>09</v>
      </c>
      <c r="E9397" t="str">
        <f>"06 - B - 104 - Lytrell T Dixon"</f>
        <v>06 - B - 104 - Lytrell T Dixon</v>
      </c>
      <c r="F9397" t="str">
        <f>"PRE-AICE BIO IG"</f>
        <v>PRE-AICE BIO IG</v>
      </c>
      <c r="G9397" t="str">
        <f>"08-808"</f>
        <v>08-808</v>
      </c>
      <c r="H9397" t="str">
        <f>"B"</f>
        <v>B</v>
      </c>
    </row>
    <row r="9398" spans="1:8" x14ac:dyDescent="0.2">
      <c r="A9398" t="str">
        <f t="shared" si="3401"/>
        <v>0625018090</v>
      </c>
      <c r="B9398" t="str">
        <f t="shared" si="3402"/>
        <v>KENNEDY</v>
      </c>
      <c r="C9398" t="str">
        <f t="shared" si="3403"/>
        <v>LASURE</v>
      </c>
      <c r="D9398" t="str">
        <f t="shared" si="3404"/>
        <v>09</v>
      </c>
      <c r="E9398" t="str">
        <f>"03 - A - 101 - Helen A Flores"</f>
        <v>03 - A - 101 - Helen A Flores</v>
      </c>
      <c r="F9398" t="str">
        <f>"PRE-AICE MATH 1 IG"</f>
        <v>PRE-AICE MATH 1 IG</v>
      </c>
      <c r="G9398" t="str">
        <f>"21-2101"</f>
        <v>21-2101</v>
      </c>
      <c r="H9398" t="str">
        <f>"A"</f>
        <v>A</v>
      </c>
    </row>
    <row r="9399" spans="1:8" x14ac:dyDescent="0.2">
      <c r="A9399" t="str">
        <f t="shared" si="3401"/>
        <v>0625018090</v>
      </c>
      <c r="B9399" t="str">
        <f t="shared" si="3402"/>
        <v>KENNEDY</v>
      </c>
      <c r="C9399" t="str">
        <f t="shared" si="3403"/>
        <v>LASURE</v>
      </c>
      <c r="D9399" t="str">
        <f t="shared" si="3404"/>
        <v>09</v>
      </c>
      <c r="E9399" t="str">
        <f>"02 - A - 111 - Cheryl L Beach"</f>
        <v>02 - A - 111 - Cheryl L Beach</v>
      </c>
      <c r="F9399" t="str">
        <f>"NC STUDY HALL 1"</f>
        <v>NC STUDY HALL 1</v>
      </c>
      <c r="G9399" t="str">
        <f>"08-811"</f>
        <v>08-811</v>
      </c>
      <c r="H9399" t="str">
        <f>"A"</f>
        <v>A</v>
      </c>
    </row>
    <row r="9400" spans="1:8" x14ac:dyDescent="0.2">
      <c r="A9400" t="str">
        <f t="shared" si="3401"/>
        <v>0625018090</v>
      </c>
      <c r="B9400" t="str">
        <f t="shared" si="3402"/>
        <v>KENNEDY</v>
      </c>
      <c r="C9400" t="str">
        <f t="shared" si="3403"/>
        <v>LASURE</v>
      </c>
      <c r="D9400" t="str">
        <f t="shared" si="3404"/>
        <v>09</v>
      </c>
      <c r="E9400" t="str">
        <f>"07 - B - 202 - Chrystina M Marchionne"</f>
        <v>07 - B - 202 - Chrystina M Marchionne</v>
      </c>
      <c r="F9400" t="str">
        <f>"JOURN 1 (YB) LH"</f>
        <v>JOURN 1 (YB) LH</v>
      </c>
      <c r="G9400" t="str">
        <f>"05-520"</f>
        <v>05-520</v>
      </c>
      <c r="H9400" t="str">
        <f>"B"</f>
        <v>B</v>
      </c>
    </row>
    <row r="9401" spans="1:8" x14ac:dyDescent="0.2">
      <c r="A9401" t="str">
        <f t="shared" si="3401"/>
        <v>0625018090</v>
      </c>
      <c r="B9401" t="str">
        <f t="shared" si="3402"/>
        <v>KENNEDY</v>
      </c>
      <c r="C9401" t="str">
        <f t="shared" si="3403"/>
        <v>LASURE</v>
      </c>
      <c r="D9401" t="str">
        <f t="shared" si="3404"/>
        <v>09</v>
      </c>
      <c r="E9401" t="str">
        <f>"05 - B - 103 - Eva T Rimmer"</f>
        <v>05 - B - 103 - Eva T Rimmer</v>
      </c>
      <c r="F9401" t="str">
        <f>"CRIMINAL JUST OPS 1"</f>
        <v>CRIMINAL JUST OPS 1</v>
      </c>
      <c r="G9401" t="str">
        <f>"05-523"</f>
        <v>05-523</v>
      </c>
      <c r="H9401" t="str">
        <f>"B"</f>
        <v>B</v>
      </c>
    </row>
    <row r="9402" spans="1:8" x14ac:dyDescent="0.2">
      <c r="A9402" t="str">
        <f t="shared" si="3401"/>
        <v>0625018090</v>
      </c>
      <c r="B9402" t="str">
        <f t="shared" si="3402"/>
        <v>KENNEDY</v>
      </c>
      <c r="C9402" t="str">
        <f t="shared" si="3403"/>
        <v>LASURE</v>
      </c>
      <c r="D9402" t="str">
        <f t="shared" si="3404"/>
        <v>09</v>
      </c>
      <c r="E9402" t="str">
        <f>"01 - A - 201 - Cheryl L Beach"</f>
        <v>01 - A - 201 - Cheryl L Beach</v>
      </c>
      <c r="F9402" t="str">
        <f>"AICE ENV MGMNT AS"</f>
        <v>AICE ENV MGMNT AS</v>
      </c>
      <c r="G9402" t="str">
        <f>"08-811"</f>
        <v>08-811</v>
      </c>
      <c r="H9402" t="str">
        <f>"A"</f>
        <v>A</v>
      </c>
    </row>
    <row r="9403" spans="1:8" x14ac:dyDescent="0.2">
      <c r="A9403" t="str">
        <f t="shared" si="3401"/>
        <v>0625018090</v>
      </c>
      <c r="B9403" t="str">
        <f t="shared" si="3402"/>
        <v>KENNEDY</v>
      </c>
      <c r="C9403" t="str">
        <f t="shared" si="3403"/>
        <v>LASURE</v>
      </c>
      <c r="D9403" t="str">
        <f t="shared" si="3404"/>
        <v>09</v>
      </c>
      <c r="E9403" t="str">
        <f>"08 - B - 109 - Emmily A Sarmiento"</f>
        <v>08 - B - 109 - Emmily A Sarmiento</v>
      </c>
      <c r="F9403" t="str">
        <f>"AICE GLBL PERSP 1 AS"</f>
        <v>AICE GLBL PERSP 1 AS</v>
      </c>
      <c r="G9403" t="str">
        <f>"17-1743"</f>
        <v>17-1743</v>
      </c>
      <c r="H9403" t="str">
        <f>"B"</f>
        <v>B</v>
      </c>
    </row>
    <row r="9404" spans="1:8" x14ac:dyDescent="0.2">
      <c r="A9404" t="str">
        <f t="shared" ref="A9404:A9411" si="3405">"0623043726"</f>
        <v>0623043726</v>
      </c>
      <c r="B9404" t="str">
        <f t="shared" ref="B9404:B9411" si="3406">"JOSEPH"</f>
        <v>JOSEPH</v>
      </c>
      <c r="C9404" t="str">
        <f t="shared" ref="C9404:C9411" si="3407">"LAU"</f>
        <v>LAU</v>
      </c>
      <c r="D9404" t="str">
        <f t="shared" si="3404"/>
        <v>09</v>
      </c>
      <c r="E9404" t="str">
        <f>"04 - A - 103 - Lenecy  Nodarse"</f>
        <v>04 - A - 103 - Lenecy  Nodarse</v>
      </c>
      <c r="F9404" t="str">
        <f>"WORLD HISTORY"</f>
        <v>WORLD HISTORY</v>
      </c>
      <c r="G9404" t="str">
        <f>"17-1741"</f>
        <v>17-1741</v>
      </c>
      <c r="H9404" t="str">
        <f>"A"</f>
        <v>A</v>
      </c>
    </row>
    <row r="9405" spans="1:8" x14ac:dyDescent="0.2">
      <c r="A9405" t="str">
        <f t="shared" si="3405"/>
        <v>0623043726</v>
      </c>
      <c r="B9405" t="str">
        <f t="shared" si="3406"/>
        <v>JOSEPH</v>
      </c>
      <c r="C9405" t="str">
        <f t="shared" si="3407"/>
        <v>LAU</v>
      </c>
      <c r="D9405" t="str">
        <f t="shared" si="3404"/>
        <v>09</v>
      </c>
      <c r="E9405" t="str">
        <f>"06 - B - 106 - Adam Marcus  Drucker"</f>
        <v>06 - B - 106 - Adam Marcus  Drucker</v>
      </c>
      <c r="F9405" t="str">
        <f>"HOPE-PE V"</f>
        <v>HOPE-PE V</v>
      </c>
      <c r="G9405" t="str">
        <f>"04-254"</f>
        <v>04-254</v>
      </c>
      <c r="H9405" t="str">
        <f>"B"</f>
        <v>B</v>
      </c>
    </row>
    <row r="9406" spans="1:8" x14ac:dyDescent="0.2">
      <c r="A9406" t="str">
        <f t="shared" si="3405"/>
        <v>0623043726</v>
      </c>
      <c r="B9406" t="str">
        <f t="shared" si="3406"/>
        <v>JOSEPH</v>
      </c>
      <c r="C9406" t="str">
        <f t="shared" si="3407"/>
        <v>LAU</v>
      </c>
      <c r="D9406" t="str">
        <f t="shared" si="3404"/>
        <v>09</v>
      </c>
      <c r="E9406" t="str">
        <f>"03 - A - 105 - Cheryl Anne  Berman-Schechter"</f>
        <v>03 - A - 105 - Cheryl Anne  Berman-Schechter</v>
      </c>
      <c r="F9406" t="str">
        <f>"ENG 1"</f>
        <v>ENG 1</v>
      </c>
      <c r="G9406" t="str">
        <f>"17-1722"</f>
        <v>17-1722</v>
      </c>
      <c r="H9406" t="str">
        <f>"A"</f>
        <v>A</v>
      </c>
    </row>
    <row r="9407" spans="1:8" x14ac:dyDescent="0.2">
      <c r="A9407" t="str">
        <f t="shared" si="3405"/>
        <v>0623043726</v>
      </c>
      <c r="B9407" t="str">
        <f t="shared" si="3406"/>
        <v>JOSEPH</v>
      </c>
      <c r="C9407" t="str">
        <f t="shared" si="3407"/>
        <v>LAU</v>
      </c>
      <c r="D9407" t="str">
        <f t="shared" si="3404"/>
        <v>09</v>
      </c>
      <c r="E9407" t="str">
        <f>"02 - A - 102 - Fernando  Vega-Cid"</f>
        <v>02 - A - 102 - Fernando  Vega-Cid</v>
      </c>
      <c r="F9407" t="str">
        <f>"NC STUDY HALL 1"</f>
        <v>NC STUDY HALL 1</v>
      </c>
      <c r="G9407" t="str">
        <f>"21-2163"</f>
        <v>21-2163</v>
      </c>
      <c r="H9407" t="str">
        <f>"A"</f>
        <v>A</v>
      </c>
    </row>
    <row r="9408" spans="1:8" x14ac:dyDescent="0.2">
      <c r="A9408" t="str">
        <f t="shared" si="3405"/>
        <v>0623043726</v>
      </c>
      <c r="B9408" t="str">
        <f t="shared" si="3406"/>
        <v>JOSEPH</v>
      </c>
      <c r="C9408" t="str">
        <f t="shared" si="3407"/>
        <v>LAU</v>
      </c>
      <c r="D9408" t="str">
        <f t="shared" si="3404"/>
        <v>09</v>
      </c>
      <c r="E9408" t="str">
        <f>"07 - B - 106 - Dayna M Foster"</f>
        <v>07 - B - 106 - Dayna M Foster</v>
      </c>
      <c r="F9408" t="str">
        <f>"FDN SKLS MATH 9-12"</f>
        <v>FDN SKLS MATH 9-12</v>
      </c>
      <c r="G9408" t="str">
        <f>"21-2109"</f>
        <v>21-2109</v>
      </c>
      <c r="H9408" t="str">
        <f>"B"</f>
        <v>B</v>
      </c>
    </row>
    <row r="9409" spans="1:8" x14ac:dyDescent="0.2">
      <c r="A9409" t="str">
        <f t="shared" si="3405"/>
        <v>0623043726</v>
      </c>
      <c r="B9409" t="str">
        <f t="shared" si="3406"/>
        <v>JOSEPH</v>
      </c>
      <c r="C9409" t="str">
        <f t="shared" si="3407"/>
        <v>LAU</v>
      </c>
      <c r="D9409" t="str">
        <f t="shared" si="3404"/>
        <v>09</v>
      </c>
      <c r="E9409" t="str">
        <f>"05 - B - 001 - Laselleda D Shaw"</f>
        <v>05 - B - 001 - Laselleda D Shaw</v>
      </c>
      <c r="F9409" t="str">
        <f>"INTENS READ 1"</f>
        <v>INTENS READ 1</v>
      </c>
      <c r="G9409" t="str">
        <f>"17-1723"</f>
        <v>17-1723</v>
      </c>
      <c r="H9409" t="str">
        <f>"B"</f>
        <v>B</v>
      </c>
    </row>
    <row r="9410" spans="1:8" x14ac:dyDescent="0.2">
      <c r="A9410" t="str">
        <f t="shared" si="3405"/>
        <v>0623043726</v>
      </c>
      <c r="B9410" t="str">
        <f t="shared" si="3406"/>
        <v>JOSEPH</v>
      </c>
      <c r="C9410" t="str">
        <f t="shared" si="3407"/>
        <v>LAU</v>
      </c>
      <c r="D9410" t="str">
        <f t="shared" si="3404"/>
        <v>09</v>
      </c>
      <c r="E9410" t="str">
        <f>"01 - A - 108 - Dayna M Foster"</f>
        <v>01 - A - 108 - Dayna M Foster</v>
      </c>
      <c r="F9410" t="str">
        <f>"ALGEBRA 1"</f>
        <v>ALGEBRA 1</v>
      </c>
      <c r="G9410" t="str">
        <f>"21-2109"</f>
        <v>21-2109</v>
      </c>
      <c r="H9410" t="str">
        <f>"A"</f>
        <v>A</v>
      </c>
    </row>
    <row r="9411" spans="1:8" x14ac:dyDescent="0.2">
      <c r="A9411" t="str">
        <f t="shared" si="3405"/>
        <v>0623043726</v>
      </c>
      <c r="B9411" t="str">
        <f t="shared" si="3406"/>
        <v>JOSEPH</v>
      </c>
      <c r="C9411" t="str">
        <f t="shared" si="3407"/>
        <v>LAU</v>
      </c>
      <c r="D9411" t="str">
        <f t="shared" si="3404"/>
        <v>09</v>
      </c>
      <c r="E9411" t="str">
        <f>"08 - B - 105 - Samantha J Headley"</f>
        <v>08 - B - 105 - Samantha J Headley</v>
      </c>
      <c r="F9411" t="str">
        <f>"ENV SCI"</f>
        <v>ENV SCI</v>
      </c>
      <c r="G9411" t="str">
        <f>"08-802"</f>
        <v>08-802</v>
      </c>
      <c r="H9411" t="str">
        <f>"B"</f>
        <v>B</v>
      </c>
    </row>
    <row r="9412" spans="1:8" x14ac:dyDescent="0.2">
      <c r="A9412" t="str">
        <f t="shared" ref="A9412:A9419" si="3408">"0611088050"</f>
        <v>0611088050</v>
      </c>
      <c r="B9412" t="str">
        <f t="shared" ref="B9412:B9419" si="3409">"LEONIE"</f>
        <v>LEONIE</v>
      </c>
      <c r="C9412" t="str">
        <f t="shared" ref="C9412:C9419" si="3410">"LAW"</f>
        <v>LAW</v>
      </c>
      <c r="D9412">
        <f>12</f>
        <v>12</v>
      </c>
      <c r="E9412" t="str">
        <f>"04 - A - 101 - Pamela M Corzo"</f>
        <v>04 - A - 101 - Pamela M Corzo</v>
      </c>
      <c r="F9412" t="str">
        <f>"CALCULUS HON"</f>
        <v>CALCULUS HON</v>
      </c>
      <c r="G9412" t="str">
        <f>"21-2133"</f>
        <v>21-2133</v>
      </c>
      <c r="H9412" t="str">
        <f>"A"</f>
        <v>A</v>
      </c>
    </row>
    <row r="9413" spans="1:8" x14ac:dyDescent="0.2">
      <c r="A9413" t="str">
        <f t="shared" si="3408"/>
        <v>0611088050</v>
      </c>
      <c r="B9413" t="str">
        <f t="shared" si="3409"/>
        <v>LEONIE</v>
      </c>
      <c r="C9413" t="str">
        <f t="shared" si="3410"/>
        <v>LAW</v>
      </c>
      <c r="D9413">
        <f>12</f>
        <v>12</v>
      </c>
      <c r="E9413" t="str">
        <f>"06 - B - 101 - Lenecy  Nodarse"</f>
        <v>06 - B - 101 - Lenecy  Nodarse</v>
      </c>
      <c r="F9413" t="str">
        <f>"NC STUDY HALL 1"</f>
        <v>NC STUDY HALL 1</v>
      </c>
      <c r="G9413" t="str">
        <f>"17-1741"</f>
        <v>17-1741</v>
      </c>
      <c r="H9413" t="str">
        <f>"B"</f>
        <v>B</v>
      </c>
    </row>
    <row r="9414" spans="1:8" x14ac:dyDescent="0.2">
      <c r="A9414" t="str">
        <f t="shared" si="3408"/>
        <v>0611088050</v>
      </c>
      <c r="B9414" t="str">
        <f t="shared" si="3409"/>
        <v>LEONIE</v>
      </c>
      <c r="C9414" t="str">
        <f t="shared" si="3410"/>
        <v>LAW</v>
      </c>
      <c r="D9414">
        <f>12</f>
        <v>12</v>
      </c>
      <c r="E9414" t="str">
        <f>"03 - A - 101 - Jacqueline R Morphet"</f>
        <v>03 - A - 101 - Jacqueline R Morphet</v>
      </c>
      <c r="F9414" t="str">
        <f>"AP PHYSICS 1"</f>
        <v>AP PHYSICS 1</v>
      </c>
      <c r="G9414" t="str">
        <f>"21-2138"</f>
        <v>21-2138</v>
      </c>
      <c r="H9414" t="str">
        <f>"A"</f>
        <v>A</v>
      </c>
    </row>
    <row r="9415" spans="1:8" x14ac:dyDescent="0.2">
      <c r="A9415" t="str">
        <f t="shared" si="3408"/>
        <v>0611088050</v>
      </c>
      <c r="B9415" t="str">
        <f t="shared" si="3409"/>
        <v>LEONIE</v>
      </c>
      <c r="C9415" t="str">
        <f t="shared" si="3410"/>
        <v>LAW</v>
      </c>
      <c r="D9415">
        <f>12</f>
        <v>12</v>
      </c>
      <c r="E9415" t="str">
        <f>"02 - A - 107 - Tina M Jaramillo"</f>
        <v>02 - A - 107 - Tina M Jaramillo</v>
      </c>
      <c r="F9415" t="str">
        <f>"AP ENG LIT COMPO"</f>
        <v>AP ENG LIT COMPO</v>
      </c>
      <c r="G9415" t="str">
        <f>"17-1706"</f>
        <v>17-1706</v>
      </c>
      <c r="H9415" t="str">
        <f>"A"</f>
        <v>A</v>
      </c>
    </row>
    <row r="9416" spans="1:8" x14ac:dyDescent="0.2">
      <c r="A9416" t="str">
        <f t="shared" si="3408"/>
        <v>0611088050</v>
      </c>
      <c r="B9416" t="str">
        <f t="shared" si="3409"/>
        <v>LEONIE</v>
      </c>
      <c r="C9416" t="str">
        <f t="shared" si="3410"/>
        <v>LAW</v>
      </c>
      <c r="D9416">
        <f>12</f>
        <v>12</v>
      </c>
      <c r="E9416" t="str">
        <f>"07 - S1 - B - 102 - Barbara L Segal"</f>
        <v>07 - S1 - B - 102 - Barbara L Segal</v>
      </c>
      <c r="F9416" t="str">
        <f>"AP US GOVT/POL"</f>
        <v>AP US GOVT/POL</v>
      </c>
      <c r="G9416" t="str">
        <f>"17-1742"</f>
        <v>17-1742</v>
      </c>
      <c r="H9416" t="str">
        <f>"B"</f>
        <v>B</v>
      </c>
    </row>
    <row r="9417" spans="1:8" x14ac:dyDescent="0.2">
      <c r="A9417" t="str">
        <f t="shared" si="3408"/>
        <v>0611088050</v>
      </c>
      <c r="B9417" t="str">
        <f t="shared" si="3409"/>
        <v>LEONIE</v>
      </c>
      <c r="C9417" t="str">
        <f t="shared" si="3410"/>
        <v>LAW</v>
      </c>
      <c r="D9417">
        <f>12</f>
        <v>12</v>
      </c>
      <c r="E9417" t="str">
        <f>"05 - B - 201 - Lisa J London"</f>
        <v>05 - B - 201 - Lisa J London</v>
      </c>
      <c r="F9417" t="str">
        <f>"COMPRE LAW HON"</f>
        <v>COMPRE LAW HON</v>
      </c>
      <c r="G9417" t="str">
        <f>"17-1714"</f>
        <v>17-1714</v>
      </c>
      <c r="H9417" t="str">
        <f>"B"</f>
        <v>B</v>
      </c>
    </row>
    <row r="9418" spans="1:8" x14ac:dyDescent="0.2">
      <c r="A9418" t="str">
        <f t="shared" si="3408"/>
        <v>0611088050</v>
      </c>
      <c r="B9418" t="str">
        <f t="shared" si="3409"/>
        <v>LEONIE</v>
      </c>
      <c r="C9418" t="str">
        <f t="shared" si="3410"/>
        <v>LAW</v>
      </c>
      <c r="D9418">
        <f>12</f>
        <v>12</v>
      </c>
      <c r="E9418" t="str">
        <f>"01 - A - 101 - Norayda D Suarez"</f>
        <v>01 - A - 101 - Norayda D Suarez</v>
      </c>
      <c r="F9418" t="str">
        <f>"RESEARCH 1 LH"</f>
        <v>RESEARCH 1 LH</v>
      </c>
      <c r="G9418">
        <f>2041</f>
        <v>2041</v>
      </c>
      <c r="H9418" t="str">
        <f>"A"</f>
        <v>A</v>
      </c>
    </row>
    <row r="9419" spans="1:8" x14ac:dyDescent="0.2">
      <c r="A9419" t="str">
        <f t="shared" si="3408"/>
        <v>0611088050</v>
      </c>
      <c r="B9419" t="str">
        <f t="shared" si="3409"/>
        <v>LEONIE</v>
      </c>
      <c r="C9419" t="str">
        <f t="shared" si="3410"/>
        <v>LAW</v>
      </c>
      <c r="D9419">
        <f>12</f>
        <v>12</v>
      </c>
      <c r="E9419" t="str">
        <f>"08 - B - 102 - Lisa J London"</f>
        <v>08 - B - 102 - Lisa J London</v>
      </c>
      <c r="F9419" t="str">
        <f>"AP CAPSTONE RESEARCH"</f>
        <v>AP CAPSTONE RESEARCH</v>
      </c>
      <c r="G9419" t="str">
        <f>"17-1714"</f>
        <v>17-1714</v>
      </c>
      <c r="H9419" t="str">
        <f>"B"</f>
        <v>B</v>
      </c>
    </row>
    <row r="9420" spans="1:8" x14ac:dyDescent="0.2">
      <c r="A9420" t="str">
        <f t="shared" ref="A9420:A9427" si="3411">"0615025426"</f>
        <v>0615025426</v>
      </c>
      <c r="B9420" t="str">
        <f t="shared" ref="B9420:B9427" si="3412">"JAYLIA"</f>
        <v>JAYLIA</v>
      </c>
      <c r="C9420" t="str">
        <f t="shared" ref="C9420:C9427" si="3413">"LAWHORN"</f>
        <v>LAWHORN</v>
      </c>
      <c r="D9420">
        <f>10</f>
        <v>10</v>
      </c>
      <c r="E9420" t="str">
        <f>"04 - A - 104 - Laselleda D Shaw"</f>
        <v>04 - A - 104 - Laselleda D Shaw</v>
      </c>
      <c r="F9420" t="str">
        <f>"INTENS READ 2"</f>
        <v>INTENS READ 2</v>
      </c>
      <c r="G9420" t="str">
        <f>"17-1723"</f>
        <v>17-1723</v>
      </c>
      <c r="H9420" t="str">
        <f>"A"</f>
        <v>A</v>
      </c>
    </row>
    <row r="9421" spans="1:8" x14ac:dyDescent="0.2">
      <c r="A9421" t="str">
        <f t="shared" si="3411"/>
        <v>0615025426</v>
      </c>
      <c r="B9421" t="str">
        <f t="shared" si="3412"/>
        <v>JAYLIA</v>
      </c>
      <c r="C9421" t="str">
        <f t="shared" si="3413"/>
        <v>LAWHORN</v>
      </c>
      <c r="D9421">
        <f>10</f>
        <v>10</v>
      </c>
      <c r="E9421" t="str">
        <f>"06 - B - 108 - Jacklyn M James"</f>
        <v>06 - B - 108 - Jacklyn M James</v>
      </c>
      <c r="F9421" t="str">
        <f>"NC STUDY HALL 1"</f>
        <v>NC STUDY HALL 1</v>
      </c>
      <c r="G9421" t="str">
        <f>"17-1731"</f>
        <v>17-1731</v>
      </c>
      <c r="H9421" t="str">
        <f>"B"</f>
        <v>B</v>
      </c>
    </row>
    <row r="9422" spans="1:8" x14ac:dyDescent="0.2">
      <c r="A9422" t="str">
        <f t="shared" si="3411"/>
        <v>0615025426</v>
      </c>
      <c r="B9422" t="str">
        <f t="shared" si="3412"/>
        <v>JAYLIA</v>
      </c>
      <c r="C9422" t="str">
        <f t="shared" si="3413"/>
        <v>LAWHORN</v>
      </c>
      <c r="D9422">
        <f>10</f>
        <v>10</v>
      </c>
      <c r="E9422" t="str">
        <f>"03 - A - 206 - Josiah I Lacy"</f>
        <v>03 - A - 206 - Josiah I Lacy</v>
      </c>
      <c r="F9422" t="str">
        <f>"BIOLOGY 1"</f>
        <v>BIOLOGY 1</v>
      </c>
      <c r="G9422" t="str">
        <f>"08-801"</f>
        <v>08-801</v>
      </c>
      <c r="H9422" t="str">
        <f>"A"</f>
        <v>A</v>
      </c>
    </row>
    <row r="9423" spans="1:8" x14ac:dyDescent="0.2">
      <c r="A9423" t="str">
        <f t="shared" si="3411"/>
        <v>0615025426</v>
      </c>
      <c r="B9423" t="str">
        <f t="shared" si="3412"/>
        <v>JAYLIA</v>
      </c>
      <c r="C9423" t="str">
        <f t="shared" si="3413"/>
        <v>LAWHORN</v>
      </c>
      <c r="D9423">
        <f>10</f>
        <v>10</v>
      </c>
      <c r="E9423" t="str">
        <f>"02 - A - 102 - Nikiel  Nesbeth"</f>
        <v>02 - A - 102 - Nikiel  Nesbeth</v>
      </c>
      <c r="F9423" t="str">
        <f>"ENG 2"</f>
        <v>ENG 2</v>
      </c>
      <c r="G9423" t="str">
        <f>"17-1705"</f>
        <v>17-1705</v>
      </c>
      <c r="H9423" t="str">
        <f>"A"</f>
        <v>A</v>
      </c>
    </row>
    <row r="9424" spans="1:8" x14ac:dyDescent="0.2">
      <c r="A9424" t="str">
        <f t="shared" si="3411"/>
        <v>0615025426</v>
      </c>
      <c r="B9424" t="str">
        <f t="shared" si="3412"/>
        <v>JAYLIA</v>
      </c>
      <c r="C9424" t="str">
        <f t="shared" si="3413"/>
        <v>LAWHORN</v>
      </c>
      <c r="D9424">
        <f>10</f>
        <v>10</v>
      </c>
      <c r="E9424" t="str">
        <f>"07 - B - 107 - Helen A Flores"</f>
        <v>07 - B - 107 - Helen A Flores</v>
      </c>
      <c r="F9424" t="str">
        <f>"ALGEBRA 1"</f>
        <v>ALGEBRA 1</v>
      </c>
      <c r="G9424" t="str">
        <f>"21-2101"</f>
        <v>21-2101</v>
      </c>
      <c r="H9424" t="str">
        <f>"B"</f>
        <v>B</v>
      </c>
    </row>
    <row r="9425" spans="1:8" x14ac:dyDescent="0.2">
      <c r="A9425" t="str">
        <f t="shared" si="3411"/>
        <v>0615025426</v>
      </c>
      <c r="B9425" t="str">
        <f t="shared" si="3412"/>
        <v>JAYLIA</v>
      </c>
      <c r="C9425" t="str">
        <f t="shared" si="3413"/>
        <v>LAWHORN</v>
      </c>
      <c r="D9425">
        <f>10</f>
        <v>10</v>
      </c>
      <c r="E9425" t="str">
        <f>"05 - B - 201 - Jazmin S Fletcher"</f>
        <v>05 - B - 201 - Jazmin S Fletcher</v>
      </c>
      <c r="F9425" t="str">
        <f>"THEATRE 1"</f>
        <v>THEATRE 1</v>
      </c>
      <c r="G9425" t="str">
        <f>"09-909"</f>
        <v>09-909</v>
      </c>
      <c r="H9425" t="str">
        <f>"B"</f>
        <v>B</v>
      </c>
    </row>
    <row r="9426" spans="1:8" x14ac:dyDescent="0.2">
      <c r="A9426" t="str">
        <f t="shared" si="3411"/>
        <v>0615025426</v>
      </c>
      <c r="B9426" t="str">
        <f t="shared" si="3412"/>
        <v>JAYLIA</v>
      </c>
      <c r="C9426" t="str">
        <f t="shared" si="3413"/>
        <v>LAWHORN</v>
      </c>
      <c r="D9426">
        <f>10</f>
        <v>10</v>
      </c>
      <c r="E9426" t="str">
        <f>"01 - A - 102 - Helen A Flores"</f>
        <v>01 - A - 102 - Helen A Flores</v>
      </c>
      <c r="F9426" t="str">
        <f>"FDN SKLS MATH 9-12"</f>
        <v>FDN SKLS MATH 9-12</v>
      </c>
      <c r="G9426" t="str">
        <f>"21-2101"</f>
        <v>21-2101</v>
      </c>
      <c r="H9426" t="str">
        <f>"A"</f>
        <v>A</v>
      </c>
    </row>
    <row r="9427" spans="1:8" x14ac:dyDescent="0.2">
      <c r="A9427" t="str">
        <f t="shared" si="3411"/>
        <v>0615025426</v>
      </c>
      <c r="B9427" t="str">
        <f t="shared" si="3412"/>
        <v>JAYLIA</v>
      </c>
      <c r="C9427" t="str">
        <f t="shared" si="3413"/>
        <v>LAWHORN</v>
      </c>
      <c r="D9427">
        <f>10</f>
        <v>10</v>
      </c>
      <c r="E9427" t="str">
        <f>"08 - S1 - B - 105 - James H Mccann"</f>
        <v>08 - S1 - B - 105 - James H Mccann</v>
      </c>
      <c r="F9427" t="str">
        <f>"PERS FIN &amp; MON MGT H"</f>
        <v>PERS FIN &amp; MON MGT H</v>
      </c>
      <c r="G9427" t="str">
        <f>"17-1716"</f>
        <v>17-1716</v>
      </c>
      <c r="H9427" t="str">
        <f>"B"</f>
        <v>B</v>
      </c>
    </row>
    <row r="9428" spans="1:8" x14ac:dyDescent="0.2">
      <c r="A9428" t="str">
        <f t="shared" ref="A9428:A9435" si="3414">"0613098583"</f>
        <v>0613098583</v>
      </c>
      <c r="B9428" t="str">
        <f t="shared" ref="B9428:B9435" si="3415">"DATERIA"</f>
        <v>DATERIA</v>
      </c>
      <c r="C9428" t="str">
        <f t="shared" ref="C9428:C9435" si="3416">"LAWRENCE"</f>
        <v>LAWRENCE</v>
      </c>
      <c r="D9428">
        <f>12</f>
        <v>12</v>
      </c>
      <c r="E9428" t="str">
        <f>"04 - A - 102 - Samantha J Headley"</f>
        <v>04 - A - 102 - Samantha J Headley</v>
      </c>
      <c r="F9428" t="str">
        <f>"MARINE SCI 1 HON"</f>
        <v>MARINE SCI 1 HON</v>
      </c>
      <c r="G9428" t="str">
        <f>"21-2134"</f>
        <v>21-2134</v>
      </c>
      <c r="H9428" t="str">
        <f>"A"</f>
        <v>A</v>
      </c>
    </row>
    <row r="9429" spans="1:8" x14ac:dyDescent="0.2">
      <c r="A9429" t="str">
        <f t="shared" si="3414"/>
        <v>0613098583</v>
      </c>
      <c r="B9429" t="str">
        <f t="shared" si="3415"/>
        <v>DATERIA</v>
      </c>
      <c r="C9429" t="str">
        <f t="shared" si="3416"/>
        <v>LAWRENCE</v>
      </c>
      <c r="D9429">
        <f>12</f>
        <v>12</v>
      </c>
      <c r="E9429" t="str">
        <f>"06 - B - 113 - Marielle A Witting"</f>
        <v>06 - B - 113 - Marielle A Witting</v>
      </c>
      <c r="F9429" t="str">
        <f>"NC STUDY HALL 1"</f>
        <v>NC STUDY HALL 1</v>
      </c>
      <c r="G9429" t="str">
        <f>"08-805"</f>
        <v>08-805</v>
      </c>
      <c r="H9429" t="str">
        <f>"B"</f>
        <v>B</v>
      </c>
    </row>
    <row r="9430" spans="1:8" x14ac:dyDescent="0.2">
      <c r="A9430" t="str">
        <f t="shared" si="3414"/>
        <v>0613098583</v>
      </c>
      <c r="B9430" t="str">
        <f t="shared" si="3415"/>
        <v>DATERIA</v>
      </c>
      <c r="C9430" t="str">
        <f t="shared" si="3416"/>
        <v>LAWRENCE</v>
      </c>
      <c r="D9430">
        <f>12</f>
        <v>12</v>
      </c>
      <c r="E9430" t="str">
        <f>"03 - A - 202 - Bruce A Evans"</f>
        <v>03 - A - 202 - Bruce A Evans</v>
      </c>
      <c r="F9430" t="str">
        <f>"HEALTH SCI FOUND HON"</f>
        <v>HEALTH SCI FOUND HON</v>
      </c>
      <c r="G9430" t="str">
        <f>"21-2142"</f>
        <v>21-2142</v>
      </c>
      <c r="H9430" t="str">
        <f>"A"</f>
        <v>A</v>
      </c>
    </row>
    <row r="9431" spans="1:8" x14ac:dyDescent="0.2">
      <c r="A9431" t="str">
        <f t="shared" si="3414"/>
        <v>0613098583</v>
      </c>
      <c r="B9431" t="str">
        <f t="shared" si="3415"/>
        <v>DATERIA</v>
      </c>
      <c r="C9431" t="str">
        <f t="shared" si="3416"/>
        <v>LAWRENCE</v>
      </c>
      <c r="D9431">
        <f>12</f>
        <v>12</v>
      </c>
      <c r="E9431" t="str">
        <f>"02 - A - 102 - Bruce A Evans"</f>
        <v>02 - A - 102 - Bruce A Evans</v>
      </c>
      <c r="F9431" t="str">
        <f>"EMERG MED RESP 3 HON"</f>
        <v>EMERG MED RESP 3 HON</v>
      </c>
      <c r="G9431" t="str">
        <f>"21-2142"</f>
        <v>21-2142</v>
      </c>
      <c r="H9431" t="str">
        <f>"A"</f>
        <v>A</v>
      </c>
    </row>
    <row r="9432" spans="1:8" x14ac:dyDescent="0.2">
      <c r="A9432" t="str">
        <f t="shared" si="3414"/>
        <v>0613098583</v>
      </c>
      <c r="B9432" t="str">
        <f t="shared" si="3415"/>
        <v>DATERIA</v>
      </c>
      <c r="C9432" t="str">
        <f t="shared" si="3416"/>
        <v>LAWRENCE</v>
      </c>
      <c r="D9432">
        <f>12</f>
        <v>12</v>
      </c>
      <c r="E9432" t="str">
        <f>"07 - S1 - B - 107 - Kelly N Panza"</f>
        <v>07 - S1 - B - 107 - Kelly N Panza</v>
      </c>
      <c r="F9432" t="str">
        <f>"US GOVT HON"</f>
        <v>US GOVT HON</v>
      </c>
      <c r="G9432" t="str">
        <f>"17-1753"</f>
        <v>17-1753</v>
      </c>
      <c r="H9432" t="str">
        <f>"B"</f>
        <v>B</v>
      </c>
    </row>
    <row r="9433" spans="1:8" x14ac:dyDescent="0.2">
      <c r="A9433" t="str">
        <f t="shared" si="3414"/>
        <v>0613098583</v>
      </c>
      <c r="B9433" t="str">
        <f t="shared" si="3415"/>
        <v>DATERIA</v>
      </c>
      <c r="C9433" t="str">
        <f t="shared" si="3416"/>
        <v>LAWRENCE</v>
      </c>
      <c r="D9433">
        <f>12</f>
        <v>12</v>
      </c>
      <c r="E9433" t="str">
        <f>"05 - B - 108 - James H Mccann"</f>
        <v>05 - B - 108 - James H Mccann</v>
      </c>
      <c r="F9433" t="str">
        <f>"ALGEBRA 2"</f>
        <v>ALGEBRA 2</v>
      </c>
      <c r="G9433" t="str">
        <f>"17-1716"</f>
        <v>17-1716</v>
      </c>
      <c r="H9433" t="str">
        <f>"B"</f>
        <v>B</v>
      </c>
    </row>
    <row r="9434" spans="1:8" x14ac:dyDescent="0.2">
      <c r="A9434" t="str">
        <f t="shared" si="3414"/>
        <v>0613098583</v>
      </c>
      <c r="B9434" t="str">
        <f t="shared" si="3415"/>
        <v>DATERIA</v>
      </c>
      <c r="C9434" t="str">
        <f t="shared" si="3416"/>
        <v>LAWRENCE</v>
      </c>
      <c r="D9434">
        <f>12</f>
        <v>12</v>
      </c>
      <c r="E9434" t="str">
        <f>"01 - A - 103 - Jeffrey S Gallagher"</f>
        <v>01 - A - 103 - Jeffrey S Gallagher</v>
      </c>
      <c r="F9434" t="str">
        <f>"ENG HON 4"</f>
        <v>ENG HON 4</v>
      </c>
      <c r="G9434" t="str">
        <f>"17-1724"</f>
        <v>17-1724</v>
      </c>
      <c r="H9434" t="str">
        <f>"A"</f>
        <v>A</v>
      </c>
    </row>
    <row r="9435" spans="1:8" x14ac:dyDescent="0.2">
      <c r="A9435" t="str">
        <f t="shared" si="3414"/>
        <v>0613098583</v>
      </c>
      <c r="B9435" t="str">
        <f t="shared" si="3415"/>
        <v>DATERIA</v>
      </c>
      <c r="C9435" t="str">
        <f t="shared" si="3416"/>
        <v>LAWRENCE</v>
      </c>
      <c r="D9435">
        <f>12</f>
        <v>12</v>
      </c>
      <c r="E9435" t="str">
        <f>"08 - S1 - B - 104 - Leslie J Barton"</f>
        <v>08 - S1 - B - 104 - Leslie J Barton</v>
      </c>
      <c r="F9435" t="str">
        <f>"TEAM SPORTS 1"</f>
        <v>TEAM SPORTS 1</v>
      </c>
      <c r="G9435" t="str">
        <f>"04-254"</f>
        <v>04-254</v>
      </c>
      <c r="H9435" t="str">
        <f>"B"</f>
        <v>B</v>
      </c>
    </row>
    <row r="9436" spans="1:8" x14ac:dyDescent="0.2">
      <c r="A9436" t="str">
        <f t="shared" ref="A9436:A9443" si="3417">"0612049996"</f>
        <v>0612049996</v>
      </c>
      <c r="B9436" t="str">
        <f t="shared" ref="B9436:B9443" si="3418">"ARVENIECE"</f>
        <v>ARVENIECE</v>
      </c>
      <c r="C9436" t="str">
        <f t="shared" ref="C9436:C9443" si="3419">"LAWSON"</f>
        <v>LAWSON</v>
      </c>
      <c r="D9436">
        <f>12</f>
        <v>12</v>
      </c>
      <c r="E9436" t="str">
        <f>"04 - A - 104 - Dayna M Foster"</f>
        <v>04 - A - 104 - Dayna M Foster</v>
      </c>
      <c r="F9436" t="str">
        <f>"ALGEBRA 2"</f>
        <v>ALGEBRA 2</v>
      </c>
      <c r="G9436" t="str">
        <f>"21-2109"</f>
        <v>21-2109</v>
      </c>
      <c r="H9436" t="str">
        <f>"A"</f>
        <v>A</v>
      </c>
    </row>
    <row r="9437" spans="1:8" x14ac:dyDescent="0.2">
      <c r="A9437" t="str">
        <f t="shared" si="3417"/>
        <v>0612049996</v>
      </c>
      <c r="B9437" t="str">
        <f t="shared" si="3418"/>
        <v>ARVENIECE</v>
      </c>
      <c r="C9437" t="str">
        <f t="shared" si="3419"/>
        <v>LAWSON</v>
      </c>
      <c r="D9437">
        <f>12</f>
        <v>12</v>
      </c>
      <c r="E9437" t="str">
        <f>"06 - B - 102 - Ferrie J Arostique"</f>
        <v>06 - B - 102 - Ferrie J Arostique</v>
      </c>
      <c r="F9437" t="str">
        <f>"NC STUDY HALL 1"</f>
        <v>NC STUDY HALL 1</v>
      </c>
      <c r="G9437" t="str">
        <f>"21-2139"</f>
        <v>21-2139</v>
      </c>
      <c r="H9437" t="str">
        <f>"B"</f>
        <v>B</v>
      </c>
    </row>
    <row r="9438" spans="1:8" x14ac:dyDescent="0.2">
      <c r="A9438" t="str">
        <f t="shared" si="3417"/>
        <v>0612049996</v>
      </c>
      <c r="B9438" t="str">
        <f t="shared" si="3418"/>
        <v>ARVENIECE</v>
      </c>
      <c r="C9438" t="str">
        <f t="shared" si="3419"/>
        <v>LAWSON</v>
      </c>
      <c r="D9438">
        <f>12</f>
        <v>12</v>
      </c>
      <c r="E9438" t="str">
        <f>"03 - S1 - A - 102 - Leslie J Barton"</f>
        <v>03 - S1 - A - 102 - Leslie J Barton</v>
      </c>
      <c r="F9438" t="str">
        <f>"FIRST AID SAFETY"</f>
        <v>FIRST AID SAFETY</v>
      </c>
      <c r="G9438" t="str">
        <f>"05-521"</f>
        <v>05-521</v>
      </c>
      <c r="H9438" t="str">
        <f>"A"</f>
        <v>A</v>
      </c>
    </row>
    <row r="9439" spans="1:8" x14ac:dyDescent="0.2">
      <c r="A9439" t="str">
        <f t="shared" si="3417"/>
        <v>0612049996</v>
      </c>
      <c r="B9439" t="str">
        <f t="shared" si="3418"/>
        <v>ARVENIECE</v>
      </c>
      <c r="C9439" t="str">
        <f t="shared" si="3419"/>
        <v>LAWSON</v>
      </c>
      <c r="D9439">
        <f>12</f>
        <v>12</v>
      </c>
      <c r="E9439" t="str">
        <f>"02 - S1 - A - 103 - Barbara L Segal"</f>
        <v>02 - S1 - A - 103 - Barbara L Segal</v>
      </c>
      <c r="F9439" t="str">
        <f>"US GOVT HON"</f>
        <v>US GOVT HON</v>
      </c>
      <c r="G9439" t="str">
        <f>"17-1742"</f>
        <v>17-1742</v>
      </c>
      <c r="H9439" t="str">
        <f>"A"</f>
        <v>A</v>
      </c>
    </row>
    <row r="9440" spans="1:8" x14ac:dyDescent="0.2">
      <c r="A9440" t="str">
        <f t="shared" si="3417"/>
        <v>0612049996</v>
      </c>
      <c r="B9440" t="str">
        <f t="shared" si="3418"/>
        <v>ARVENIECE</v>
      </c>
      <c r="C9440" t="str">
        <f t="shared" si="3419"/>
        <v>LAWSON</v>
      </c>
      <c r="D9440">
        <f>12</f>
        <v>12</v>
      </c>
      <c r="E9440" t="str">
        <f>"07 - B - 107 - Rosa Elaine  Collado-Duff"</f>
        <v>07 - B - 107 - Rosa Elaine  Collado-Duff</v>
      </c>
      <c r="F9440" t="str">
        <f>"PRE-AICE SPAN 2 IG"</f>
        <v>PRE-AICE SPAN 2 IG</v>
      </c>
      <c r="G9440" t="str">
        <f>"09-913"</f>
        <v>09-913</v>
      </c>
      <c r="H9440" t="str">
        <f>"B"</f>
        <v>B</v>
      </c>
    </row>
    <row r="9441" spans="1:8" x14ac:dyDescent="0.2">
      <c r="A9441" t="str">
        <f t="shared" si="3417"/>
        <v>0612049996</v>
      </c>
      <c r="B9441" t="str">
        <f t="shared" si="3418"/>
        <v>ARVENIECE</v>
      </c>
      <c r="C9441" t="str">
        <f t="shared" si="3419"/>
        <v>LAWSON</v>
      </c>
      <c r="D9441">
        <f>12</f>
        <v>12</v>
      </c>
      <c r="E9441" t="str">
        <f>"05 - B - 102 - Dorothy D Moore"</f>
        <v>05 - B - 102 - Dorothy D Moore</v>
      </c>
      <c r="F9441" t="str">
        <f>"FORC SCI 1 LH"</f>
        <v>FORC SCI 1 LH</v>
      </c>
      <c r="G9441" t="str">
        <f>"08-803"</f>
        <v>08-803</v>
      </c>
      <c r="H9441" t="str">
        <f>"B"</f>
        <v>B</v>
      </c>
    </row>
    <row r="9442" spans="1:8" x14ac:dyDescent="0.2">
      <c r="A9442" t="str">
        <f t="shared" si="3417"/>
        <v>0612049996</v>
      </c>
      <c r="B9442" t="str">
        <f t="shared" si="3418"/>
        <v>ARVENIECE</v>
      </c>
      <c r="C9442" t="str">
        <f t="shared" si="3419"/>
        <v>LAWSON</v>
      </c>
      <c r="D9442">
        <f>12</f>
        <v>12</v>
      </c>
      <c r="E9442" t="str">
        <f>"01 - A - 103 - Jeffrey S Gallagher"</f>
        <v>01 - A - 103 - Jeffrey S Gallagher</v>
      </c>
      <c r="F9442" t="str">
        <f>"ENG HON 4"</f>
        <v>ENG HON 4</v>
      </c>
      <c r="G9442" t="str">
        <f>"17-1724"</f>
        <v>17-1724</v>
      </c>
      <c r="H9442" t="str">
        <f>"A"</f>
        <v>A</v>
      </c>
    </row>
    <row r="9443" spans="1:8" x14ac:dyDescent="0.2">
      <c r="A9443" t="str">
        <f t="shared" si="3417"/>
        <v>0612049996</v>
      </c>
      <c r="B9443" t="str">
        <f t="shared" si="3418"/>
        <v>ARVENIECE</v>
      </c>
      <c r="C9443" t="str">
        <f t="shared" si="3419"/>
        <v>LAWSON</v>
      </c>
      <c r="D9443">
        <f>12</f>
        <v>12</v>
      </c>
      <c r="E9443" t="str">
        <f>"08 - B - 101 - Staci M Newton"</f>
        <v>08 - B - 101 - Staci M Newton</v>
      </c>
      <c r="F9443" t="str">
        <f>"PEER/PARTNERS LRN LH"</f>
        <v>PEER/PARTNERS LRN LH</v>
      </c>
      <c r="G9443" t="str">
        <f>"21-2103"</f>
        <v>21-2103</v>
      </c>
      <c r="H9443" t="str">
        <f>"B"</f>
        <v>B</v>
      </c>
    </row>
    <row r="9444" spans="1:8" x14ac:dyDescent="0.2">
      <c r="A9444" t="str">
        <f t="shared" ref="A9444:A9451" si="3420">"0615007088"</f>
        <v>0615007088</v>
      </c>
      <c r="B9444" t="str">
        <f t="shared" ref="B9444:B9451" si="3421">"J'DARION"</f>
        <v>J'DARION</v>
      </c>
      <c r="C9444" t="str">
        <f t="shared" ref="C9444:C9451" si="3422">"LAXAMANA"</f>
        <v>LAXAMANA</v>
      </c>
      <c r="D9444">
        <f>11</f>
        <v>11</v>
      </c>
      <c r="E9444" t="str">
        <f>"04 - S1 - A - 103 - Rory T Sponsler"</f>
        <v>04 - S1 - A - 103 - Rory T Sponsler</v>
      </c>
      <c r="F9444" t="str">
        <f>"WOMENS STUDIES LH"</f>
        <v>WOMENS STUDIES LH</v>
      </c>
      <c r="G9444" t="str">
        <f>"17-1740"</f>
        <v>17-1740</v>
      </c>
      <c r="H9444" t="str">
        <f>"A"</f>
        <v>A</v>
      </c>
    </row>
    <row r="9445" spans="1:8" x14ac:dyDescent="0.2">
      <c r="A9445" t="str">
        <f t="shared" si="3420"/>
        <v>0615007088</v>
      </c>
      <c r="B9445" t="str">
        <f t="shared" si="3421"/>
        <v>J'DARION</v>
      </c>
      <c r="C9445" t="str">
        <f t="shared" si="3422"/>
        <v>LAXAMANA</v>
      </c>
      <c r="D9445">
        <f>11</f>
        <v>11</v>
      </c>
      <c r="E9445" t="str">
        <f>"06 - B - 108 - Milca  Exantus"</f>
        <v>06 - B - 108 - Milca  Exantus</v>
      </c>
      <c r="F9445" t="str">
        <f>"MATH COLLEGE LIB ART"</f>
        <v>MATH COLLEGE LIB ART</v>
      </c>
      <c r="G9445" t="str">
        <f>"21-2145"</f>
        <v>21-2145</v>
      </c>
      <c r="H9445" t="str">
        <f>"B"</f>
        <v>B</v>
      </c>
    </row>
    <row r="9446" spans="1:8" x14ac:dyDescent="0.2">
      <c r="A9446" t="str">
        <f t="shared" si="3420"/>
        <v>0615007088</v>
      </c>
      <c r="B9446" t="str">
        <f t="shared" si="3421"/>
        <v>J'DARION</v>
      </c>
      <c r="C9446" t="str">
        <f t="shared" si="3422"/>
        <v>LAXAMANA</v>
      </c>
      <c r="D9446">
        <f>11</f>
        <v>11</v>
      </c>
      <c r="E9446" t="str">
        <f>"03 - A - 103 - Jordana K Hass"</f>
        <v>03 - A - 103 - Jordana K Hass</v>
      </c>
      <c r="F9446" t="str">
        <f>"CHEMISTRY 1"</f>
        <v>CHEMISTRY 1</v>
      </c>
      <c r="G9446" t="str">
        <f>"08-807"</f>
        <v>08-807</v>
      </c>
      <c r="H9446" t="str">
        <f>"A"</f>
        <v>A</v>
      </c>
    </row>
    <row r="9447" spans="1:8" x14ac:dyDescent="0.2">
      <c r="A9447" t="str">
        <f t="shared" si="3420"/>
        <v>0615007088</v>
      </c>
      <c r="B9447" t="str">
        <f t="shared" si="3421"/>
        <v>J'DARION</v>
      </c>
      <c r="C9447" t="str">
        <f t="shared" si="3422"/>
        <v>LAXAMANA</v>
      </c>
      <c r="D9447">
        <f>11</f>
        <v>11</v>
      </c>
      <c r="E9447" t="str">
        <f>"02 - A - 105 - Leslie J Barton"</f>
        <v>02 - A - 105 - Leslie J Barton</v>
      </c>
      <c r="F9447" t="str">
        <f>"NC STUDY HALL 1"</f>
        <v>NC STUDY HALL 1</v>
      </c>
      <c r="G9447" t="str">
        <f>"05-521"</f>
        <v>05-521</v>
      </c>
      <c r="H9447" t="str">
        <f>"A"</f>
        <v>A</v>
      </c>
    </row>
    <row r="9448" spans="1:8" x14ac:dyDescent="0.2">
      <c r="A9448" t="str">
        <f t="shared" si="3420"/>
        <v>0615007088</v>
      </c>
      <c r="B9448" t="str">
        <f t="shared" si="3421"/>
        <v>J'DARION</v>
      </c>
      <c r="C9448" t="str">
        <f t="shared" si="3422"/>
        <v>LAXAMANA</v>
      </c>
      <c r="D9448">
        <f>11</f>
        <v>11</v>
      </c>
      <c r="E9448" t="str">
        <f>"07 - B - 103 - Vanessa J Liburd"</f>
        <v>07 - B - 103 - Vanessa J Liburd</v>
      </c>
      <c r="F9448" t="str">
        <f>"PRE-AICE FRENCH 1 IG"</f>
        <v>PRE-AICE FRENCH 1 IG</v>
      </c>
      <c r="G9448" t="str">
        <f>"05-519"</f>
        <v>05-519</v>
      </c>
      <c r="H9448" t="str">
        <f>"B"</f>
        <v>B</v>
      </c>
    </row>
    <row r="9449" spans="1:8" x14ac:dyDescent="0.2">
      <c r="A9449" t="str">
        <f t="shared" si="3420"/>
        <v>0615007088</v>
      </c>
      <c r="B9449" t="str">
        <f t="shared" si="3421"/>
        <v>J'DARION</v>
      </c>
      <c r="C9449" t="str">
        <f t="shared" si="3422"/>
        <v>LAXAMANA</v>
      </c>
      <c r="D9449">
        <f>11</f>
        <v>11</v>
      </c>
      <c r="E9449" t="str">
        <f>"05 - B - 107 - Elizabeth Ellen  Moran"</f>
        <v>05 - B - 107 - Elizabeth Ellen  Moran</v>
      </c>
      <c r="F9449" t="str">
        <f>"US HISTORY"</f>
        <v>US HISTORY</v>
      </c>
      <c r="G9449" t="str">
        <f>"17-1752"</f>
        <v>17-1752</v>
      </c>
      <c r="H9449" t="str">
        <f>"B"</f>
        <v>B</v>
      </c>
    </row>
    <row r="9450" spans="1:8" x14ac:dyDescent="0.2">
      <c r="A9450" t="str">
        <f t="shared" si="3420"/>
        <v>0615007088</v>
      </c>
      <c r="B9450" t="str">
        <f t="shared" si="3421"/>
        <v>J'DARION</v>
      </c>
      <c r="C9450" t="str">
        <f t="shared" si="3422"/>
        <v>LAXAMANA</v>
      </c>
      <c r="D9450">
        <f>11</f>
        <v>11</v>
      </c>
      <c r="E9450" t="str">
        <f>"01 - A - 101 - Brian M Fitzgerald"</f>
        <v>01 - A - 101 - Brian M Fitzgerald</v>
      </c>
      <c r="F9450" t="str">
        <f>"CERAM/POT 1"</f>
        <v>CERAM/POT 1</v>
      </c>
      <c r="G9450" t="str">
        <f>"09-908"</f>
        <v>09-908</v>
      </c>
      <c r="H9450" t="str">
        <f>"A"</f>
        <v>A</v>
      </c>
    </row>
    <row r="9451" spans="1:8" x14ac:dyDescent="0.2">
      <c r="A9451" t="str">
        <f t="shared" si="3420"/>
        <v>0615007088</v>
      </c>
      <c r="B9451" t="str">
        <f t="shared" si="3421"/>
        <v>J'DARION</v>
      </c>
      <c r="C9451" t="str">
        <f t="shared" si="3422"/>
        <v>LAXAMANA</v>
      </c>
      <c r="D9451">
        <f>11</f>
        <v>11</v>
      </c>
      <c r="E9451" t="str">
        <f>"08 - B - 106 - Lisa  Quinn"</f>
        <v>08 - B - 106 - Lisa  Quinn</v>
      </c>
      <c r="F9451" t="str">
        <f>"ENG 3"</f>
        <v>ENG 3</v>
      </c>
      <c r="G9451" t="str">
        <f>"17-1725"</f>
        <v>17-1725</v>
      </c>
      <c r="H9451" t="str">
        <f>"B"</f>
        <v>B</v>
      </c>
    </row>
    <row r="9452" spans="1:8" x14ac:dyDescent="0.2">
      <c r="A9452" t="str">
        <f t="shared" ref="A9452:A9459" si="3423">"0620093531"</f>
        <v>0620093531</v>
      </c>
      <c r="B9452" t="str">
        <f t="shared" ref="B9452:B9459" si="3424">"KAMERON"</f>
        <v>KAMERON</v>
      </c>
      <c r="C9452" t="str">
        <f t="shared" ref="C9452:C9459" si="3425">"LE"</f>
        <v>LE</v>
      </c>
      <c r="D9452">
        <f>10</f>
        <v>10</v>
      </c>
      <c r="E9452" t="str">
        <f>"04 - A - 102 - Jordana K Hass"</f>
        <v>04 - A - 102 - Jordana K Hass</v>
      </c>
      <c r="F9452" t="str">
        <f>"CHEMISTRY 1"</f>
        <v>CHEMISTRY 1</v>
      </c>
      <c r="G9452" t="str">
        <f>"08-807"</f>
        <v>08-807</v>
      </c>
      <c r="H9452" t="str">
        <f>"A"</f>
        <v>A</v>
      </c>
    </row>
    <row r="9453" spans="1:8" x14ac:dyDescent="0.2">
      <c r="A9453" t="str">
        <f t="shared" si="3423"/>
        <v>0620093531</v>
      </c>
      <c r="B9453" t="str">
        <f t="shared" si="3424"/>
        <v>KAMERON</v>
      </c>
      <c r="C9453" t="str">
        <f t="shared" si="3425"/>
        <v>LE</v>
      </c>
      <c r="D9453">
        <f>10</f>
        <v>10</v>
      </c>
      <c r="E9453" t="str">
        <f>"06 - B - 112 - Tina M Jaramillo"</f>
        <v>06 - B - 112 - Tina M Jaramillo</v>
      </c>
      <c r="F9453" t="str">
        <f>"NC STUDY HALL 1"</f>
        <v>NC STUDY HALL 1</v>
      </c>
      <c r="G9453" t="str">
        <f>"17-1706"</f>
        <v>17-1706</v>
      </c>
      <c r="H9453" t="str">
        <f>"B"</f>
        <v>B</v>
      </c>
    </row>
    <row r="9454" spans="1:8" x14ac:dyDescent="0.2">
      <c r="A9454" t="str">
        <f t="shared" si="3423"/>
        <v>0620093531</v>
      </c>
      <c r="B9454" t="str">
        <f t="shared" si="3424"/>
        <v>KAMERON</v>
      </c>
      <c r="C9454" t="str">
        <f t="shared" si="3425"/>
        <v>LE</v>
      </c>
      <c r="D9454">
        <f>10</f>
        <v>10</v>
      </c>
      <c r="E9454" t="str">
        <f>"03 - A - 201 - Joe  Kilpatrick Jr"</f>
        <v>03 - A - 201 - Joe  Kilpatrick Jr</v>
      </c>
      <c r="F9454" t="str">
        <f>"PRE-AICE SPAN 2 IG"</f>
        <v>PRE-AICE SPAN 2 IG</v>
      </c>
      <c r="G9454" t="str">
        <f>"09-912"</f>
        <v>09-912</v>
      </c>
      <c r="H9454" t="str">
        <f>"A"</f>
        <v>A</v>
      </c>
    </row>
    <row r="9455" spans="1:8" x14ac:dyDescent="0.2">
      <c r="A9455" t="str">
        <f t="shared" si="3423"/>
        <v>0620093531</v>
      </c>
      <c r="B9455" t="str">
        <f t="shared" si="3424"/>
        <v>KAMERON</v>
      </c>
      <c r="C9455" t="str">
        <f t="shared" si="3425"/>
        <v>LE</v>
      </c>
      <c r="D9455">
        <f>10</f>
        <v>10</v>
      </c>
      <c r="E9455" t="str">
        <f>"02 - A - 102 - Chrystina M Marchionne"</f>
        <v>02 - A - 102 - Chrystina M Marchionne</v>
      </c>
      <c r="F9455" t="str">
        <f>"AICE MEDIASTUDIES AS"</f>
        <v>AICE MEDIASTUDIES AS</v>
      </c>
      <c r="G9455" t="str">
        <f>"05-520"</f>
        <v>05-520</v>
      </c>
      <c r="H9455" t="str">
        <f>"A"</f>
        <v>A</v>
      </c>
    </row>
    <row r="9456" spans="1:8" x14ac:dyDescent="0.2">
      <c r="A9456" t="str">
        <f t="shared" si="3423"/>
        <v>0620093531</v>
      </c>
      <c r="B9456" t="str">
        <f t="shared" si="3424"/>
        <v>KAMERON</v>
      </c>
      <c r="C9456" t="str">
        <f t="shared" si="3425"/>
        <v>LE</v>
      </c>
      <c r="D9456">
        <f>10</f>
        <v>10</v>
      </c>
      <c r="E9456" t="str">
        <f>"07 - B - 204 - Elizabeth Ellen  Moran"</f>
        <v>07 - B - 204 - Elizabeth Ellen  Moran</v>
      </c>
      <c r="F9456" t="str">
        <f>"AICE EURO HIST 1 AS"</f>
        <v>AICE EURO HIST 1 AS</v>
      </c>
      <c r="G9456" t="str">
        <f>"17-1752"</f>
        <v>17-1752</v>
      </c>
      <c r="H9456" t="str">
        <f>"B"</f>
        <v>B</v>
      </c>
    </row>
    <row r="9457" spans="1:8" x14ac:dyDescent="0.2">
      <c r="A9457" t="str">
        <f t="shared" si="3423"/>
        <v>0620093531</v>
      </c>
      <c r="B9457" t="str">
        <f t="shared" si="3424"/>
        <v>KAMERON</v>
      </c>
      <c r="C9457" t="str">
        <f t="shared" si="3425"/>
        <v>LE</v>
      </c>
      <c r="D9457">
        <f>10</f>
        <v>10</v>
      </c>
      <c r="E9457" t="str">
        <f>"05 - B - 106 - Courtney E Hambright"</f>
        <v>05 - B - 106 - Courtney E Hambright</v>
      </c>
      <c r="F9457" t="str">
        <f>"AICE ENG LANG AS"</f>
        <v>AICE ENG LANG AS</v>
      </c>
      <c r="G9457" t="str">
        <f>"17-1711"</f>
        <v>17-1711</v>
      </c>
      <c r="H9457" t="str">
        <f>"B"</f>
        <v>B</v>
      </c>
    </row>
    <row r="9458" spans="1:8" x14ac:dyDescent="0.2">
      <c r="A9458" t="str">
        <f t="shared" si="3423"/>
        <v>0620093531</v>
      </c>
      <c r="B9458" t="str">
        <f t="shared" si="3424"/>
        <v>KAMERON</v>
      </c>
      <c r="C9458" t="str">
        <f t="shared" si="3425"/>
        <v>LE</v>
      </c>
      <c r="D9458">
        <f>10</f>
        <v>10</v>
      </c>
      <c r="E9458" t="str">
        <f>"01 - A - 101 - Lourivaldo  Da Silva"</f>
        <v>01 - A - 101 - Lourivaldo  Da Silva</v>
      </c>
      <c r="F9458" t="str">
        <f>"ALGEBRA 2 HON"</f>
        <v>ALGEBRA 2 HON</v>
      </c>
      <c r="G9458" t="str">
        <f>"20-2079"</f>
        <v>20-2079</v>
      </c>
      <c r="H9458" t="str">
        <f>"A"</f>
        <v>A</v>
      </c>
    </row>
    <row r="9459" spans="1:8" x14ac:dyDescent="0.2">
      <c r="A9459" t="str">
        <f t="shared" si="3423"/>
        <v>0620093531</v>
      </c>
      <c r="B9459" t="str">
        <f t="shared" si="3424"/>
        <v>KAMERON</v>
      </c>
      <c r="C9459" t="str">
        <f t="shared" si="3425"/>
        <v>LE</v>
      </c>
      <c r="D9459">
        <f>10</f>
        <v>10</v>
      </c>
      <c r="E9459" t="str">
        <f>"08 - B - 202 - Krystal Marie  Beruty"</f>
        <v>08 - B - 202 - Krystal Marie  Beruty</v>
      </c>
      <c r="F9459" t="str">
        <f>"AICE PSYCH 1 AS"</f>
        <v>AICE PSYCH 1 AS</v>
      </c>
      <c r="G9459" t="str">
        <f>"17-1721"</f>
        <v>17-1721</v>
      </c>
      <c r="H9459" t="str">
        <f>"B"</f>
        <v>B</v>
      </c>
    </row>
    <row r="9460" spans="1:8" x14ac:dyDescent="0.2">
      <c r="A9460" t="str">
        <f t="shared" ref="A9460:A9467" si="3426">"0624017571"</f>
        <v>0624017571</v>
      </c>
      <c r="B9460" t="str">
        <f t="shared" ref="B9460:B9467" si="3427">"EDUARDO"</f>
        <v>EDUARDO</v>
      </c>
      <c r="C9460" t="str">
        <f t="shared" ref="C9460:C9467" si="3428">"LEAL LEZCANO"</f>
        <v>LEAL LEZCANO</v>
      </c>
      <c r="D9460">
        <f>12</f>
        <v>12</v>
      </c>
      <c r="E9460" t="str">
        <f>"04 - A - 101 - Samantha L Martinez"</f>
        <v>04 - A - 101 - Samantha L Martinez</v>
      </c>
      <c r="F9460" t="str">
        <f>"KEYBD 3"</f>
        <v>KEYBD 3</v>
      </c>
      <c r="G9460" t="str">
        <f>"05-505"</f>
        <v>05-505</v>
      </c>
      <c r="H9460" t="str">
        <f>"A"</f>
        <v>A</v>
      </c>
    </row>
    <row r="9461" spans="1:8" x14ac:dyDescent="0.2">
      <c r="A9461" t="str">
        <f t="shared" si="3426"/>
        <v>0624017571</v>
      </c>
      <c r="B9461" t="str">
        <f t="shared" si="3427"/>
        <v>EDUARDO</v>
      </c>
      <c r="C9461" t="str">
        <f t="shared" si="3428"/>
        <v>LEAL LEZCANO</v>
      </c>
      <c r="D9461">
        <f>12</f>
        <v>12</v>
      </c>
      <c r="E9461" t="str">
        <f>"06 - B - 104 - Vanessa J Liburd"</f>
        <v>06 - B - 104 - Vanessa J Liburd</v>
      </c>
      <c r="F9461" t="str">
        <f>"NC STUDY HALL 1"</f>
        <v>NC STUDY HALL 1</v>
      </c>
      <c r="G9461" t="str">
        <f>"05-519"</f>
        <v>05-519</v>
      </c>
      <c r="H9461" t="str">
        <f>"B"</f>
        <v>B</v>
      </c>
    </row>
    <row r="9462" spans="1:8" x14ac:dyDescent="0.2">
      <c r="A9462" t="str">
        <f t="shared" si="3426"/>
        <v>0624017571</v>
      </c>
      <c r="B9462" t="str">
        <f t="shared" si="3427"/>
        <v>EDUARDO</v>
      </c>
      <c r="C9462" t="str">
        <f t="shared" si="3428"/>
        <v>LEAL LEZCANO</v>
      </c>
      <c r="D9462">
        <f>12</f>
        <v>12</v>
      </c>
      <c r="E9462" t="str">
        <f>"03 - A - 201 - Alejandro  Navarro"</f>
        <v>03 - A - 201 - Alejandro  Navarro</v>
      </c>
      <c r="F9462" t="str">
        <f>"BAND 2"</f>
        <v>BAND 2</v>
      </c>
      <c r="G9462" t="str">
        <f>"05-504"</f>
        <v>05-504</v>
      </c>
      <c r="H9462" t="str">
        <f>"A"</f>
        <v>A</v>
      </c>
    </row>
    <row r="9463" spans="1:8" x14ac:dyDescent="0.2">
      <c r="A9463" t="str">
        <f t="shared" si="3426"/>
        <v>0624017571</v>
      </c>
      <c r="B9463" t="str">
        <f t="shared" si="3427"/>
        <v>EDUARDO</v>
      </c>
      <c r="C9463" t="str">
        <f t="shared" si="3428"/>
        <v>LEAL LEZCANO</v>
      </c>
      <c r="D9463">
        <f>12</f>
        <v>12</v>
      </c>
      <c r="E9463" t="str">
        <f>"02 - A - 107 - Tina M Jaramillo"</f>
        <v>02 - A - 107 - Tina M Jaramillo</v>
      </c>
      <c r="F9463" t="str">
        <f>"AP ENG LIT COMPO"</f>
        <v>AP ENG LIT COMPO</v>
      </c>
      <c r="G9463" t="str">
        <f>"17-1706"</f>
        <v>17-1706</v>
      </c>
      <c r="H9463" t="str">
        <f>"A"</f>
        <v>A</v>
      </c>
    </row>
    <row r="9464" spans="1:8" x14ac:dyDescent="0.2">
      <c r="A9464" t="str">
        <f t="shared" si="3426"/>
        <v>0624017571</v>
      </c>
      <c r="B9464" t="str">
        <f t="shared" si="3427"/>
        <v>EDUARDO</v>
      </c>
      <c r="C9464" t="str">
        <f t="shared" si="3428"/>
        <v>LEAL LEZCANO</v>
      </c>
      <c r="D9464">
        <f>12</f>
        <v>12</v>
      </c>
      <c r="E9464" t="str">
        <f>"07 - B - 201 - Jacqueline R Morphet"</f>
        <v>07 - B - 201 - Jacqueline R Morphet</v>
      </c>
      <c r="F9464" t="str">
        <f>"AP PHYSICS C: ME"</f>
        <v>AP PHYSICS C: ME</v>
      </c>
      <c r="G9464" t="str">
        <f>"21-2138"</f>
        <v>21-2138</v>
      </c>
      <c r="H9464" t="str">
        <f>"B"</f>
        <v>B</v>
      </c>
    </row>
    <row r="9465" spans="1:8" x14ac:dyDescent="0.2">
      <c r="A9465" t="str">
        <f t="shared" si="3426"/>
        <v>0624017571</v>
      </c>
      <c r="B9465" t="str">
        <f t="shared" si="3427"/>
        <v>EDUARDO</v>
      </c>
      <c r="C9465" t="str">
        <f t="shared" si="3428"/>
        <v>LEAL LEZCANO</v>
      </c>
      <c r="D9465">
        <f>12</f>
        <v>12</v>
      </c>
      <c r="E9465" t="str">
        <f>"05 - B - 101 - Pamela M Corzo"</f>
        <v>05 - B - 101 - Pamela M Corzo</v>
      </c>
      <c r="F9465" t="str">
        <f>"AP CALCULUS AB"</f>
        <v>AP CALCULUS AB</v>
      </c>
      <c r="G9465" t="str">
        <f>"21-2133"</f>
        <v>21-2133</v>
      </c>
      <c r="H9465" t="str">
        <f>"B"</f>
        <v>B</v>
      </c>
    </row>
    <row r="9466" spans="1:8" x14ac:dyDescent="0.2">
      <c r="A9466" t="str">
        <f t="shared" si="3426"/>
        <v>0624017571</v>
      </c>
      <c r="B9466" t="str">
        <f t="shared" si="3427"/>
        <v>EDUARDO</v>
      </c>
      <c r="C9466" t="str">
        <f t="shared" si="3428"/>
        <v>LEAL LEZCANO</v>
      </c>
      <c r="D9466">
        <f>12</f>
        <v>12</v>
      </c>
      <c r="E9466" t="str">
        <f>"01 - S1 - A - 101 - Jordana K Hass"</f>
        <v>01 - S1 - A - 101 - Jordana K Hass</v>
      </c>
      <c r="F9466" t="str">
        <f>"PRIN OF AERO SCI"</f>
        <v>PRIN OF AERO SCI</v>
      </c>
      <c r="G9466" t="str">
        <f>"08-807"</f>
        <v>08-807</v>
      </c>
      <c r="H9466" t="str">
        <f>"A"</f>
        <v>A</v>
      </c>
    </row>
    <row r="9467" spans="1:8" x14ac:dyDescent="0.2">
      <c r="A9467" t="str">
        <f t="shared" si="3426"/>
        <v>0624017571</v>
      </c>
      <c r="B9467" t="str">
        <f t="shared" si="3427"/>
        <v>EDUARDO</v>
      </c>
      <c r="C9467" t="str">
        <f t="shared" si="3428"/>
        <v>LEAL LEZCANO</v>
      </c>
      <c r="D9467">
        <f>12</f>
        <v>12</v>
      </c>
      <c r="E9467" t="str">
        <f>"08 - S1 - B - 102 - Stephen T Ripp"</f>
        <v>08 - S1 - B - 102 - Stephen T Ripp</v>
      </c>
      <c r="F9467" t="str">
        <f>"AP US GOVT/POL"</f>
        <v>AP US GOVT/POL</v>
      </c>
      <c r="G9467" t="str">
        <f>"17-1744"</f>
        <v>17-1744</v>
      </c>
      <c r="H9467" t="str">
        <f>"B"</f>
        <v>B</v>
      </c>
    </row>
    <row r="9468" spans="1:8" x14ac:dyDescent="0.2">
      <c r="A9468" t="str">
        <f t="shared" ref="A9468:A9475" si="3429">"0619115380"</f>
        <v>0619115380</v>
      </c>
      <c r="B9468" t="str">
        <f t="shared" ref="B9468:B9475" si="3430">"KAYLA"</f>
        <v>KAYLA</v>
      </c>
      <c r="C9468" t="str">
        <f t="shared" ref="C9468:C9475" si="3431">"LEBLANC"</f>
        <v>LEBLANC</v>
      </c>
      <c r="D9468" t="str">
        <f t="shared" ref="D9468:D9475" si="3432">"09"</f>
        <v>09</v>
      </c>
      <c r="E9468" t="str">
        <f>"04 - A - 104 - Adam Marcus  Drucker"</f>
        <v>04 - A - 104 - Adam Marcus  Drucker</v>
      </c>
      <c r="F9468" t="str">
        <f>"HOPE-PE V"</f>
        <v>HOPE-PE V</v>
      </c>
      <c r="G9468" t="str">
        <f>"04-254"</f>
        <v>04-254</v>
      </c>
      <c r="H9468" t="str">
        <f>"A"</f>
        <v>A</v>
      </c>
    </row>
    <row r="9469" spans="1:8" x14ac:dyDescent="0.2">
      <c r="A9469" t="str">
        <f t="shared" si="3429"/>
        <v>0619115380</v>
      </c>
      <c r="B9469" t="str">
        <f t="shared" si="3430"/>
        <v>KAYLA</v>
      </c>
      <c r="C9469" t="str">
        <f t="shared" si="3431"/>
        <v>LEBLANC</v>
      </c>
      <c r="D9469" t="str">
        <f t="shared" si="3432"/>
        <v>09</v>
      </c>
      <c r="E9469" t="str">
        <f>"06 - B - 105 - Dayna M Foster"</f>
        <v>06 - B - 105 - Dayna M Foster</v>
      </c>
      <c r="F9469" t="str">
        <f>"ALGEBRA 1"</f>
        <v>ALGEBRA 1</v>
      </c>
      <c r="G9469" t="str">
        <f>"21-2109"</f>
        <v>21-2109</v>
      </c>
      <c r="H9469" t="str">
        <f>"B"</f>
        <v>B</v>
      </c>
    </row>
    <row r="9470" spans="1:8" x14ac:dyDescent="0.2">
      <c r="A9470" t="str">
        <f t="shared" si="3429"/>
        <v>0619115380</v>
      </c>
      <c r="B9470" t="str">
        <f t="shared" si="3430"/>
        <v>KAYLA</v>
      </c>
      <c r="C9470" t="str">
        <f t="shared" si="3431"/>
        <v>LEBLANC</v>
      </c>
      <c r="D9470" t="str">
        <f t="shared" si="3432"/>
        <v>09</v>
      </c>
      <c r="E9470" t="str">
        <f>"03 - A - 101 - Dayna M Foster"</f>
        <v>03 - A - 101 - Dayna M Foster</v>
      </c>
      <c r="F9470" t="str">
        <f>"FDN SKLS MATH 9-12"</f>
        <v>FDN SKLS MATH 9-12</v>
      </c>
      <c r="G9470" t="str">
        <f>"21-2109"</f>
        <v>21-2109</v>
      </c>
      <c r="H9470" t="str">
        <f>"A"</f>
        <v>A</v>
      </c>
    </row>
    <row r="9471" spans="1:8" x14ac:dyDescent="0.2">
      <c r="A9471" t="str">
        <f t="shared" si="3429"/>
        <v>0619115380</v>
      </c>
      <c r="B9471" t="str">
        <f t="shared" si="3430"/>
        <v>KAYLA</v>
      </c>
      <c r="C9471" t="str">
        <f t="shared" si="3431"/>
        <v>LEBLANC</v>
      </c>
      <c r="D9471" t="str">
        <f t="shared" si="3432"/>
        <v>09</v>
      </c>
      <c r="E9471" t="str">
        <f>"02 - A - 110 - Maried P Ramos"</f>
        <v>02 - A - 110 - Maried P Ramos</v>
      </c>
      <c r="F9471" t="str">
        <f>"NC STUDY HALL 1"</f>
        <v>NC STUDY HALL 1</v>
      </c>
      <c r="G9471" t="str">
        <f>"21-2159"</f>
        <v>21-2159</v>
      </c>
      <c r="H9471" t="str">
        <f>"A"</f>
        <v>A</v>
      </c>
    </row>
    <row r="9472" spans="1:8" x14ac:dyDescent="0.2">
      <c r="A9472" t="str">
        <f t="shared" si="3429"/>
        <v>0619115380</v>
      </c>
      <c r="B9472" t="str">
        <f t="shared" si="3430"/>
        <v>KAYLA</v>
      </c>
      <c r="C9472" t="str">
        <f t="shared" si="3431"/>
        <v>LEBLANC</v>
      </c>
      <c r="D9472" t="str">
        <f t="shared" si="3432"/>
        <v>09</v>
      </c>
      <c r="E9472" t="str">
        <f>"07 - B - 201 - Angela S Adeshina-Morrison"</f>
        <v>07 - B - 201 - Angela S Adeshina-Morrison</v>
      </c>
      <c r="F9472" t="str">
        <f>"BUSINESS OWNER HON"</f>
        <v>BUSINESS OWNER HON</v>
      </c>
      <c r="G9472" t="str">
        <f>"05-518"</f>
        <v>05-518</v>
      </c>
      <c r="H9472" t="str">
        <f>"B"</f>
        <v>B</v>
      </c>
    </row>
    <row r="9473" spans="1:8" x14ac:dyDescent="0.2">
      <c r="A9473" t="str">
        <f t="shared" si="3429"/>
        <v>0619115380</v>
      </c>
      <c r="B9473" t="str">
        <f t="shared" si="3430"/>
        <v>KAYLA</v>
      </c>
      <c r="C9473" t="str">
        <f t="shared" si="3431"/>
        <v>LEBLANC</v>
      </c>
      <c r="D9473" t="str">
        <f t="shared" si="3432"/>
        <v>09</v>
      </c>
      <c r="E9473" t="str">
        <f>"05 - B - 002 - Cheryl Anne  Berman-Schechter"</f>
        <v>05 - B - 002 - Cheryl Anne  Berman-Schechter</v>
      </c>
      <c r="F9473" t="str">
        <f>"AICE ENG GEN PAPER 1"</f>
        <v>AICE ENG GEN PAPER 1</v>
      </c>
      <c r="G9473" t="str">
        <f>"17-1722"</f>
        <v>17-1722</v>
      </c>
      <c r="H9473" t="str">
        <f>"B"</f>
        <v>B</v>
      </c>
    </row>
    <row r="9474" spans="1:8" x14ac:dyDescent="0.2">
      <c r="A9474" t="str">
        <f t="shared" si="3429"/>
        <v>0619115380</v>
      </c>
      <c r="B9474" t="str">
        <f t="shared" si="3430"/>
        <v>KAYLA</v>
      </c>
      <c r="C9474" t="str">
        <f t="shared" si="3431"/>
        <v>LEBLANC</v>
      </c>
      <c r="D9474" t="str">
        <f t="shared" si="3432"/>
        <v>09</v>
      </c>
      <c r="E9474" t="str">
        <f>"01 - A - 101 - Josiah I Lacy"</f>
        <v>01 - A - 101 - Josiah I Lacy</v>
      </c>
      <c r="F9474" t="str">
        <f>"PRE-AICE BIO IG"</f>
        <v>PRE-AICE BIO IG</v>
      </c>
      <c r="G9474" t="str">
        <f>"08-801"</f>
        <v>08-801</v>
      </c>
      <c r="H9474" t="str">
        <f>"A"</f>
        <v>A</v>
      </c>
    </row>
    <row r="9475" spans="1:8" x14ac:dyDescent="0.2">
      <c r="A9475" t="str">
        <f t="shared" si="3429"/>
        <v>0619115380</v>
      </c>
      <c r="B9475" t="str">
        <f t="shared" si="3430"/>
        <v>KAYLA</v>
      </c>
      <c r="C9475" t="str">
        <f t="shared" si="3431"/>
        <v>LEBLANC</v>
      </c>
      <c r="D9475" t="str">
        <f t="shared" si="3432"/>
        <v>09</v>
      </c>
      <c r="E9475" t="str">
        <f>"08 - B - 201 - Lenecy  Nodarse"</f>
        <v>08 - B - 201 - Lenecy  Nodarse</v>
      </c>
      <c r="F9475" t="str">
        <f>"AICE EURO HIST 1 AS"</f>
        <v>AICE EURO HIST 1 AS</v>
      </c>
      <c r="G9475" t="str">
        <f>"17-1741"</f>
        <v>17-1741</v>
      </c>
      <c r="H9475" t="str">
        <f>"B"</f>
        <v>B</v>
      </c>
    </row>
    <row r="9476" spans="1:8" x14ac:dyDescent="0.2">
      <c r="A9476" t="str">
        <f t="shared" ref="A9476:A9483" si="3433">"0614000033"</f>
        <v>0614000033</v>
      </c>
      <c r="B9476" t="str">
        <f t="shared" ref="B9476:B9483" si="3434">"AMIYA"</f>
        <v>AMIYA</v>
      </c>
      <c r="C9476" t="str">
        <f t="shared" ref="C9476:C9499" si="3435">"LEE"</f>
        <v>LEE</v>
      </c>
      <c r="D9476">
        <f>12</f>
        <v>12</v>
      </c>
      <c r="E9476" t="str">
        <f>"04 - A - 106 - Tina M Jaramillo"</f>
        <v>04 - A - 106 - Tina M Jaramillo</v>
      </c>
      <c r="F9476" t="str">
        <f>"AP ENG LIT COMPO"</f>
        <v>AP ENG LIT COMPO</v>
      </c>
      <c r="G9476" t="str">
        <f>"17-1706"</f>
        <v>17-1706</v>
      </c>
      <c r="H9476" t="str">
        <f>"A"</f>
        <v>A</v>
      </c>
    </row>
    <row r="9477" spans="1:8" x14ac:dyDescent="0.2">
      <c r="A9477" t="str">
        <f t="shared" si="3433"/>
        <v>0614000033</v>
      </c>
      <c r="B9477" t="str">
        <f t="shared" si="3434"/>
        <v>AMIYA</v>
      </c>
      <c r="C9477" t="str">
        <f t="shared" si="3435"/>
        <v>LEE</v>
      </c>
      <c r="D9477">
        <f>12</f>
        <v>12</v>
      </c>
      <c r="E9477" t="str">
        <f>"06 - B - 111 - James H Mccann"</f>
        <v>06 - B - 111 - James H Mccann</v>
      </c>
      <c r="F9477" t="str">
        <f>"NC STUDY HALL 1"</f>
        <v>NC STUDY HALL 1</v>
      </c>
      <c r="G9477" t="str">
        <f>"17-1716"</f>
        <v>17-1716</v>
      </c>
      <c r="H9477" t="str">
        <f>"B"</f>
        <v>B</v>
      </c>
    </row>
    <row r="9478" spans="1:8" x14ac:dyDescent="0.2">
      <c r="A9478" t="str">
        <f t="shared" si="3433"/>
        <v>0614000033</v>
      </c>
      <c r="B9478" t="str">
        <f t="shared" si="3434"/>
        <v>AMIYA</v>
      </c>
      <c r="C9478" t="str">
        <f t="shared" si="3435"/>
        <v>LEE</v>
      </c>
      <c r="D9478">
        <f>12</f>
        <v>12</v>
      </c>
      <c r="E9478" t="str">
        <f>"03 - A - 101 - Dorothy D Moore"</f>
        <v>03 - A - 101 - Dorothy D Moore</v>
      </c>
      <c r="F9478" t="str">
        <f>"FORC SCI 1 LH"</f>
        <v>FORC SCI 1 LH</v>
      </c>
      <c r="G9478" t="str">
        <f>"08-803"</f>
        <v>08-803</v>
      </c>
      <c r="H9478" t="str">
        <f>"A"</f>
        <v>A</v>
      </c>
    </row>
    <row r="9479" spans="1:8" x14ac:dyDescent="0.2">
      <c r="A9479" t="str">
        <f t="shared" si="3433"/>
        <v>0614000033</v>
      </c>
      <c r="B9479" t="str">
        <f t="shared" si="3434"/>
        <v>AMIYA</v>
      </c>
      <c r="C9479" t="str">
        <f t="shared" si="3435"/>
        <v>LEE</v>
      </c>
      <c r="D9479">
        <f>12</f>
        <v>12</v>
      </c>
      <c r="E9479" t="str">
        <f>"02 - A - 101 - Brian M Fitzgerald"</f>
        <v>02 - A - 101 - Brian M Fitzgerald</v>
      </c>
      <c r="F9479" t="str">
        <f>"DRAW 1"</f>
        <v>DRAW 1</v>
      </c>
      <c r="G9479" t="str">
        <f>"09-908"</f>
        <v>09-908</v>
      </c>
      <c r="H9479" t="str">
        <f>"A"</f>
        <v>A</v>
      </c>
    </row>
    <row r="9480" spans="1:8" x14ac:dyDescent="0.2">
      <c r="A9480" t="str">
        <f t="shared" si="3433"/>
        <v>0614000033</v>
      </c>
      <c r="B9480" t="str">
        <f t="shared" si="3434"/>
        <v>AMIYA</v>
      </c>
      <c r="C9480" t="str">
        <f t="shared" si="3435"/>
        <v>LEE</v>
      </c>
      <c r="D9480">
        <f>12</f>
        <v>12</v>
      </c>
      <c r="E9480" t="str">
        <f>"07 - S1 - B - 107 - Kelly N Panza"</f>
        <v>07 - S1 - B - 107 - Kelly N Panza</v>
      </c>
      <c r="F9480" t="str">
        <f>"US GOVT HON"</f>
        <v>US GOVT HON</v>
      </c>
      <c r="G9480" t="str">
        <f>"17-1753"</f>
        <v>17-1753</v>
      </c>
      <c r="H9480" t="str">
        <f>"B"</f>
        <v>B</v>
      </c>
    </row>
    <row r="9481" spans="1:8" x14ac:dyDescent="0.2">
      <c r="A9481" t="str">
        <f t="shared" si="3433"/>
        <v>0614000033</v>
      </c>
      <c r="B9481" t="str">
        <f t="shared" si="3434"/>
        <v>AMIYA</v>
      </c>
      <c r="C9481" t="str">
        <f t="shared" si="3435"/>
        <v>LEE</v>
      </c>
      <c r="D9481">
        <f>12</f>
        <v>12</v>
      </c>
      <c r="E9481" t="str">
        <f>"05 - B - 106 - Thomas G Handwerg"</f>
        <v>05 - B - 106 - Thomas G Handwerg</v>
      </c>
      <c r="F9481" t="str">
        <f>"MATH COLL ALGEBRA"</f>
        <v>MATH COLL ALGEBRA</v>
      </c>
      <c r="G9481" t="str">
        <f>"21-2146"</f>
        <v>21-2146</v>
      </c>
      <c r="H9481" t="str">
        <f>"B"</f>
        <v>B</v>
      </c>
    </row>
    <row r="9482" spans="1:8" x14ac:dyDescent="0.2">
      <c r="A9482" t="str">
        <f t="shared" si="3433"/>
        <v>0614000033</v>
      </c>
      <c r="B9482" t="str">
        <f t="shared" si="3434"/>
        <v>AMIYA</v>
      </c>
      <c r="C9482" t="str">
        <f t="shared" si="3435"/>
        <v>LEE</v>
      </c>
      <c r="D9482">
        <f>12</f>
        <v>12</v>
      </c>
      <c r="E9482" t="str">
        <f>"01 - A - 001 - Dorothy D Moore"</f>
        <v>01 - A - 001 - Dorothy D Moore</v>
      </c>
      <c r="F9482" t="str">
        <f>"ANAT PHYSIO HON"</f>
        <v>ANAT PHYSIO HON</v>
      </c>
      <c r="G9482" t="str">
        <f>"08-803"</f>
        <v>08-803</v>
      </c>
      <c r="H9482" t="str">
        <f>"A"</f>
        <v>A</v>
      </c>
    </row>
    <row r="9483" spans="1:8" x14ac:dyDescent="0.2">
      <c r="A9483" t="str">
        <f t="shared" si="3433"/>
        <v>0614000033</v>
      </c>
      <c r="B9483" t="str">
        <f t="shared" si="3434"/>
        <v>AMIYA</v>
      </c>
      <c r="C9483" t="str">
        <f t="shared" si="3435"/>
        <v>LEE</v>
      </c>
      <c r="D9483">
        <f>12</f>
        <v>12</v>
      </c>
      <c r="E9483" t="str">
        <f>"08 - B - 101 - Marius D Orsolini"</f>
        <v>08 - B - 101 - Marius D Orsolini</v>
      </c>
      <c r="F9483" t="str">
        <f>"CULINARY ARTS 3 HON"</f>
        <v>CULINARY ARTS 3 HON</v>
      </c>
      <c r="G9483" t="str">
        <f>"21-2115"</f>
        <v>21-2115</v>
      </c>
      <c r="H9483" t="str">
        <f>"B"</f>
        <v>B</v>
      </c>
    </row>
    <row r="9484" spans="1:8" x14ac:dyDescent="0.2">
      <c r="A9484" t="str">
        <f t="shared" ref="A9484:A9491" si="3436">"0614091390"</f>
        <v>0614091390</v>
      </c>
      <c r="B9484" t="str">
        <f t="shared" ref="B9484:B9491" si="3437">"JESSICA"</f>
        <v>JESSICA</v>
      </c>
      <c r="C9484" t="str">
        <f t="shared" si="3435"/>
        <v>LEE</v>
      </c>
      <c r="D9484">
        <f>11</f>
        <v>11</v>
      </c>
      <c r="E9484" t="str">
        <f>"04 - A - 103 - Daniel S Tyson"</f>
        <v>04 - A - 103 - Daniel S Tyson</v>
      </c>
      <c r="F9484" t="str">
        <f>"JROTC NAVAL SCI 1"</f>
        <v>JROTC NAVAL SCI 1</v>
      </c>
      <c r="G9484" t="str">
        <f>"05-510"</f>
        <v>05-510</v>
      </c>
      <c r="H9484" t="str">
        <f>"A"</f>
        <v>A</v>
      </c>
    </row>
    <row r="9485" spans="1:8" x14ac:dyDescent="0.2">
      <c r="A9485" t="str">
        <f t="shared" si="3436"/>
        <v>0614091390</v>
      </c>
      <c r="B9485" t="str">
        <f t="shared" si="3437"/>
        <v>JESSICA</v>
      </c>
      <c r="C9485" t="str">
        <f t="shared" si="3435"/>
        <v>LEE</v>
      </c>
      <c r="D9485">
        <f>11</f>
        <v>11</v>
      </c>
      <c r="E9485" t="str">
        <f>"06 - B - 001 - Samantha J Headley"</f>
        <v>06 - B - 001 - Samantha J Headley</v>
      </c>
      <c r="F9485" t="str">
        <f>"MARINE SCI 1 HON"</f>
        <v>MARINE SCI 1 HON</v>
      </c>
      <c r="G9485" t="str">
        <f>"21-2134"</f>
        <v>21-2134</v>
      </c>
      <c r="H9485" t="str">
        <f>"B"</f>
        <v>B</v>
      </c>
    </row>
    <row r="9486" spans="1:8" x14ac:dyDescent="0.2">
      <c r="A9486" t="str">
        <f t="shared" si="3436"/>
        <v>0614091390</v>
      </c>
      <c r="B9486" t="str">
        <f t="shared" si="3437"/>
        <v>JESSICA</v>
      </c>
      <c r="C9486" t="str">
        <f t="shared" si="3435"/>
        <v>LEE</v>
      </c>
      <c r="D9486">
        <f>11</f>
        <v>11</v>
      </c>
      <c r="E9486" t="str">
        <f>"03 - A - 102 - Thomas G Handwerg"</f>
        <v>03 - A - 102 - Thomas G Handwerg</v>
      </c>
      <c r="F9486" t="str">
        <f>"MATH COLL ALGEBRA"</f>
        <v>MATH COLL ALGEBRA</v>
      </c>
      <c r="G9486" t="str">
        <f>"21-2146"</f>
        <v>21-2146</v>
      </c>
      <c r="H9486" t="str">
        <f>"A"</f>
        <v>A</v>
      </c>
    </row>
    <row r="9487" spans="1:8" x14ac:dyDescent="0.2">
      <c r="A9487" t="str">
        <f t="shared" si="3436"/>
        <v>0614091390</v>
      </c>
      <c r="B9487" t="str">
        <f t="shared" si="3437"/>
        <v>JESSICA</v>
      </c>
      <c r="C9487" t="str">
        <f t="shared" si="3435"/>
        <v>LEE</v>
      </c>
      <c r="D9487">
        <f>11</f>
        <v>11</v>
      </c>
      <c r="E9487" t="str">
        <f>"02 - A - 105 - Leslie J Barton"</f>
        <v>02 - A - 105 - Leslie J Barton</v>
      </c>
      <c r="F9487" t="str">
        <f>"NC STUDY HALL 1"</f>
        <v>NC STUDY HALL 1</v>
      </c>
      <c r="G9487" t="str">
        <f>"05-521"</f>
        <v>05-521</v>
      </c>
      <c r="H9487" t="str">
        <f>"A"</f>
        <v>A</v>
      </c>
    </row>
    <row r="9488" spans="1:8" x14ac:dyDescent="0.2">
      <c r="A9488" t="str">
        <f t="shared" si="3436"/>
        <v>0614091390</v>
      </c>
      <c r="B9488" t="str">
        <f t="shared" si="3437"/>
        <v>JESSICA</v>
      </c>
      <c r="C9488" t="str">
        <f t="shared" si="3435"/>
        <v>LEE</v>
      </c>
      <c r="D9488">
        <f>11</f>
        <v>11</v>
      </c>
      <c r="E9488" t="str">
        <f>"07 - B - 107 - Adam Marcus  Drucker"</f>
        <v>07 - B - 107 - Adam Marcus  Drucker</v>
      </c>
      <c r="F9488" t="str">
        <f>"HOPE-PE V"</f>
        <v>HOPE-PE V</v>
      </c>
      <c r="G9488" t="str">
        <f>"04-254"</f>
        <v>04-254</v>
      </c>
      <c r="H9488" t="str">
        <f>"B"</f>
        <v>B</v>
      </c>
    </row>
    <row r="9489" spans="1:8" x14ac:dyDescent="0.2">
      <c r="A9489" t="str">
        <f t="shared" si="3436"/>
        <v>0614091390</v>
      </c>
      <c r="B9489" t="str">
        <f t="shared" si="3437"/>
        <v>JESSICA</v>
      </c>
      <c r="C9489" t="str">
        <f t="shared" si="3435"/>
        <v>LEE</v>
      </c>
      <c r="D9489">
        <f>11</f>
        <v>11</v>
      </c>
      <c r="E9489" t="str">
        <f>"05 - B - 001 - Kyle  Robbins"</f>
        <v>05 - B - 001 - Kyle  Robbins</v>
      </c>
      <c r="F9489" t="str">
        <f>"US HISTORY HON"</f>
        <v>US HISTORY HON</v>
      </c>
      <c r="G9489" t="str">
        <f>"17-1745"</f>
        <v>17-1745</v>
      </c>
      <c r="H9489" t="str">
        <f>"B"</f>
        <v>B</v>
      </c>
    </row>
    <row r="9490" spans="1:8" x14ac:dyDescent="0.2">
      <c r="A9490" t="str">
        <f t="shared" si="3436"/>
        <v>0614091390</v>
      </c>
      <c r="B9490" t="str">
        <f t="shared" si="3437"/>
        <v>JESSICA</v>
      </c>
      <c r="C9490" t="str">
        <f t="shared" si="3435"/>
        <v>LEE</v>
      </c>
      <c r="D9490">
        <f>11</f>
        <v>11</v>
      </c>
      <c r="E9490" t="str">
        <f>"01 - A - 101 - Heidi M Knopp"</f>
        <v>01 - A - 101 - Heidi M Knopp</v>
      </c>
      <c r="F9490" t="str">
        <f>"ENG HON 3"</f>
        <v>ENG HON 3</v>
      </c>
      <c r="G9490" t="str">
        <f>"17-1752"</f>
        <v>17-1752</v>
      </c>
      <c r="H9490" t="str">
        <f>"A"</f>
        <v>A</v>
      </c>
    </row>
    <row r="9491" spans="1:8" x14ac:dyDescent="0.2">
      <c r="A9491" t="str">
        <f t="shared" si="3436"/>
        <v>0614091390</v>
      </c>
      <c r="B9491" t="str">
        <f t="shared" si="3437"/>
        <v>JESSICA</v>
      </c>
      <c r="C9491" t="str">
        <f t="shared" si="3435"/>
        <v>LEE</v>
      </c>
      <c r="D9491">
        <f>11</f>
        <v>11</v>
      </c>
      <c r="E9491" t="str">
        <f>"08 - B - 101 - Marius D Orsolini"</f>
        <v>08 - B - 101 - Marius D Orsolini</v>
      </c>
      <c r="F9491" t="str">
        <f>"CULINARY ARTS 2"</f>
        <v>CULINARY ARTS 2</v>
      </c>
      <c r="G9491" t="str">
        <f>"21-2115"</f>
        <v>21-2115</v>
      </c>
      <c r="H9491" t="str">
        <f>"B"</f>
        <v>B</v>
      </c>
    </row>
    <row r="9492" spans="1:8" x14ac:dyDescent="0.2">
      <c r="A9492" t="str">
        <f t="shared" ref="A9492:A9499" si="3438">"0615043297"</f>
        <v>0615043297</v>
      </c>
      <c r="B9492" t="str">
        <f t="shared" ref="B9492:B9499" si="3439">"KEVIN"</f>
        <v>KEVIN</v>
      </c>
      <c r="C9492" t="str">
        <f t="shared" si="3435"/>
        <v>LEE</v>
      </c>
      <c r="D9492">
        <f>10</f>
        <v>10</v>
      </c>
      <c r="E9492" t="str">
        <f>"04 - A - 108 - Maried P Ramos"</f>
        <v>04 - A - 108 - Maried P Ramos</v>
      </c>
      <c r="F9492" t="str">
        <f>"GEOMETRY"</f>
        <v>GEOMETRY</v>
      </c>
      <c r="G9492" t="str">
        <f>"21-2159"</f>
        <v>21-2159</v>
      </c>
      <c r="H9492" t="str">
        <f>"A"</f>
        <v>A</v>
      </c>
    </row>
    <row r="9493" spans="1:8" x14ac:dyDescent="0.2">
      <c r="A9493" t="str">
        <f t="shared" si="3438"/>
        <v>0615043297</v>
      </c>
      <c r="B9493" t="str">
        <f t="shared" si="3439"/>
        <v>KEVIN</v>
      </c>
      <c r="C9493" t="str">
        <f t="shared" si="3435"/>
        <v>LEE</v>
      </c>
      <c r="D9493">
        <f>10</f>
        <v>10</v>
      </c>
      <c r="E9493" t="str">
        <f>"06 - B - 113 - Joe  Kilpatrick Jr"</f>
        <v>06 - B - 113 - Joe  Kilpatrick Jr</v>
      </c>
      <c r="F9493" t="str">
        <f>"NC STUDY HALL 1"</f>
        <v>NC STUDY HALL 1</v>
      </c>
      <c r="G9493" t="str">
        <f>"09-912"</f>
        <v>09-912</v>
      </c>
      <c r="H9493" t="str">
        <f>"B"</f>
        <v>B</v>
      </c>
    </row>
    <row r="9494" spans="1:8" x14ac:dyDescent="0.2">
      <c r="A9494" t="str">
        <f t="shared" si="3438"/>
        <v>0615043297</v>
      </c>
      <c r="B9494" t="str">
        <f t="shared" si="3439"/>
        <v>KEVIN</v>
      </c>
      <c r="C9494" t="str">
        <f t="shared" si="3435"/>
        <v>LEE</v>
      </c>
      <c r="D9494">
        <f>10</f>
        <v>10</v>
      </c>
      <c r="E9494" t="str">
        <f>"03 - A - 103 - Samantha J Headley"</f>
        <v>03 - A - 103 - Samantha J Headley</v>
      </c>
      <c r="F9494" t="str">
        <f>"MARINE SCI 1 HON"</f>
        <v>MARINE SCI 1 HON</v>
      </c>
      <c r="G9494" t="str">
        <f>"21-2134"</f>
        <v>21-2134</v>
      </c>
      <c r="H9494" t="str">
        <f>"A"</f>
        <v>A</v>
      </c>
    </row>
    <row r="9495" spans="1:8" x14ac:dyDescent="0.2">
      <c r="A9495" t="str">
        <f t="shared" si="3438"/>
        <v>0615043297</v>
      </c>
      <c r="B9495" t="str">
        <f t="shared" si="3439"/>
        <v>KEVIN</v>
      </c>
      <c r="C9495" t="str">
        <f t="shared" si="3435"/>
        <v>LEE</v>
      </c>
      <c r="D9495">
        <f>10</f>
        <v>10</v>
      </c>
      <c r="E9495" t="str">
        <f>"02 - S1 - A - 101 - James H Mccann"</f>
        <v>02 - S1 - A - 101 - James H Mccann</v>
      </c>
      <c r="F9495" t="str">
        <f>"PERS FIN &amp; MON MGT H"</f>
        <v>PERS FIN &amp; MON MGT H</v>
      </c>
      <c r="G9495" t="str">
        <f>"17-1716"</f>
        <v>17-1716</v>
      </c>
      <c r="H9495" t="str">
        <f>"A"</f>
        <v>A</v>
      </c>
    </row>
    <row r="9496" spans="1:8" x14ac:dyDescent="0.2">
      <c r="A9496" t="str">
        <f t="shared" si="3438"/>
        <v>0615043297</v>
      </c>
      <c r="B9496" t="str">
        <f t="shared" si="3439"/>
        <v>KEVIN</v>
      </c>
      <c r="C9496" t="str">
        <f t="shared" si="3435"/>
        <v>LEE</v>
      </c>
      <c r="D9496">
        <f>10</f>
        <v>10</v>
      </c>
      <c r="E9496" t="str">
        <f>"07 - B - 101 - Jeanne M Bermudez"</f>
        <v>07 - B - 101 - Jeanne M Bermudez</v>
      </c>
      <c r="F9496" t="str">
        <f>"FOUND OF PROGRAM HON"</f>
        <v>FOUND OF PROGRAM HON</v>
      </c>
      <c r="G9496" t="str">
        <f>"21-2141"</f>
        <v>21-2141</v>
      </c>
      <c r="H9496" t="str">
        <f>"B"</f>
        <v>B</v>
      </c>
    </row>
    <row r="9497" spans="1:8" x14ac:dyDescent="0.2">
      <c r="A9497" t="str">
        <f t="shared" si="3438"/>
        <v>0615043297</v>
      </c>
      <c r="B9497" t="str">
        <f t="shared" si="3439"/>
        <v>KEVIN</v>
      </c>
      <c r="C9497" t="str">
        <f t="shared" si="3435"/>
        <v>LEE</v>
      </c>
      <c r="D9497">
        <f>10</f>
        <v>10</v>
      </c>
      <c r="E9497" t="str">
        <f>"05 - B - 103 - Eva T Rimmer"</f>
        <v>05 - B - 103 - Eva T Rimmer</v>
      </c>
      <c r="F9497" t="str">
        <f>"CRIMINAL JUST OPS 1"</f>
        <v>CRIMINAL JUST OPS 1</v>
      </c>
      <c r="G9497" t="str">
        <f>"05-523"</f>
        <v>05-523</v>
      </c>
      <c r="H9497" t="str">
        <f>"B"</f>
        <v>B</v>
      </c>
    </row>
    <row r="9498" spans="1:8" x14ac:dyDescent="0.2">
      <c r="A9498" t="str">
        <f t="shared" si="3438"/>
        <v>0615043297</v>
      </c>
      <c r="B9498" t="str">
        <f t="shared" si="3439"/>
        <v>KEVIN</v>
      </c>
      <c r="C9498" t="str">
        <f t="shared" si="3435"/>
        <v>LEE</v>
      </c>
      <c r="D9498">
        <f>10</f>
        <v>10</v>
      </c>
      <c r="E9498" t="str">
        <f>"01 - A - 101 - Joe  Kilpatrick Jr"</f>
        <v>01 - A - 101 - Joe  Kilpatrick Jr</v>
      </c>
      <c r="F9498" t="str">
        <f>"PRE-AICE SPAN 1 IG"</f>
        <v>PRE-AICE SPAN 1 IG</v>
      </c>
      <c r="G9498" t="str">
        <f>"09-912"</f>
        <v>09-912</v>
      </c>
      <c r="H9498" t="str">
        <f>"A"</f>
        <v>A</v>
      </c>
    </row>
    <row r="9499" spans="1:8" x14ac:dyDescent="0.2">
      <c r="A9499" t="str">
        <f t="shared" si="3438"/>
        <v>0615043297</v>
      </c>
      <c r="B9499" t="str">
        <f t="shared" si="3439"/>
        <v>KEVIN</v>
      </c>
      <c r="C9499" t="str">
        <f t="shared" si="3435"/>
        <v>LEE</v>
      </c>
      <c r="D9499">
        <f>10</f>
        <v>10</v>
      </c>
      <c r="E9499" t="str">
        <f>"08 - B - 109 - Nikiel  Nesbeth"</f>
        <v>08 - B - 109 - Nikiel  Nesbeth</v>
      </c>
      <c r="F9499" t="str">
        <f>"ENG 2"</f>
        <v>ENG 2</v>
      </c>
      <c r="G9499" t="str">
        <f>"17-1705"</f>
        <v>17-1705</v>
      </c>
      <c r="H9499" t="str">
        <f>"B"</f>
        <v>B</v>
      </c>
    </row>
    <row r="9500" spans="1:8" x14ac:dyDescent="0.2">
      <c r="A9500" t="str">
        <f t="shared" ref="A9500:A9507" si="3440">"0621008682"</f>
        <v>0621008682</v>
      </c>
      <c r="B9500" t="str">
        <f t="shared" ref="B9500:B9507" si="3441">"NOAH"</f>
        <v>NOAH</v>
      </c>
      <c r="C9500" t="str">
        <f t="shared" ref="C9500:C9507" si="3442">"LEFEVRE"</f>
        <v>LEFEVRE</v>
      </c>
      <c r="D9500">
        <f>10</f>
        <v>10</v>
      </c>
      <c r="E9500" t="str">
        <f>"04 - A - 104 - Dayna M Foster"</f>
        <v>04 - A - 104 - Dayna M Foster</v>
      </c>
      <c r="F9500" t="str">
        <f>"ALGEBRA 2"</f>
        <v>ALGEBRA 2</v>
      </c>
      <c r="G9500" t="str">
        <f>"21-2109"</f>
        <v>21-2109</v>
      </c>
      <c r="H9500" t="str">
        <f>"A"</f>
        <v>A</v>
      </c>
    </row>
    <row r="9501" spans="1:8" x14ac:dyDescent="0.2">
      <c r="A9501" t="str">
        <f t="shared" si="3440"/>
        <v>0621008682</v>
      </c>
      <c r="B9501" t="str">
        <f t="shared" si="3441"/>
        <v>NOAH</v>
      </c>
      <c r="C9501" t="str">
        <f t="shared" si="3442"/>
        <v>LEFEVRE</v>
      </c>
      <c r="D9501">
        <f>10</f>
        <v>10</v>
      </c>
      <c r="E9501" t="str">
        <f>"06 - B - 117 - Daniel S Tyson"</f>
        <v>06 - B - 117 - Daniel S Tyson</v>
      </c>
      <c r="F9501" t="str">
        <f>"NC STUDY HALL 1"</f>
        <v>NC STUDY HALL 1</v>
      </c>
      <c r="G9501" t="str">
        <f>"05-510"</f>
        <v>05-510</v>
      </c>
      <c r="H9501" t="str">
        <f>"B"</f>
        <v>B</v>
      </c>
    </row>
    <row r="9502" spans="1:8" x14ac:dyDescent="0.2">
      <c r="A9502" t="str">
        <f t="shared" si="3440"/>
        <v>0621008682</v>
      </c>
      <c r="B9502" t="str">
        <f t="shared" si="3441"/>
        <v>NOAH</v>
      </c>
      <c r="C9502" t="str">
        <f t="shared" si="3442"/>
        <v>LEFEVRE</v>
      </c>
      <c r="D9502">
        <f>10</f>
        <v>10</v>
      </c>
      <c r="E9502" t="str">
        <f>"03 - A - 002 - Nikiel  Nesbeth"</f>
        <v>03 - A - 002 - Nikiel  Nesbeth</v>
      </c>
      <c r="F9502" t="str">
        <f>"PRE-AICE ENG LIT IG"</f>
        <v>PRE-AICE ENG LIT IG</v>
      </c>
      <c r="G9502" t="str">
        <f>"17-1705"</f>
        <v>17-1705</v>
      </c>
      <c r="H9502" t="str">
        <f>"A"</f>
        <v>A</v>
      </c>
    </row>
    <row r="9503" spans="1:8" x14ac:dyDescent="0.2">
      <c r="A9503" t="str">
        <f t="shared" si="3440"/>
        <v>0621008682</v>
      </c>
      <c r="B9503" t="str">
        <f t="shared" si="3441"/>
        <v>NOAH</v>
      </c>
      <c r="C9503" t="str">
        <f t="shared" si="3442"/>
        <v>LEFEVRE</v>
      </c>
      <c r="D9503">
        <f>10</f>
        <v>10</v>
      </c>
      <c r="E9503" t="str">
        <f>"02 - S1 - A - 101 - Carol S Moore"</f>
        <v>02 - S1 - A - 101 - Carol S Moore</v>
      </c>
      <c r="F9503" t="str">
        <f>"PER CAR SCH DEV 1 LH"</f>
        <v>PER CAR SCH DEV 1 LH</v>
      </c>
      <c r="G9503" t="str">
        <f>"17-1733"</f>
        <v>17-1733</v>
      </c>
      <c r="H9503" t="str">
        <f>"A"</f>
        <v>A</v>
      </c>
    </row>
    <row r="9504" spans="1:8" x14ac:dyDescent="0.2">
      <c r="A9504" t="str">
        <f t="shared" si="3440"/>
        <v>0621008682</v>
      </c>
      <c r="B9504" t="str">
        <f t="shared" si="3441"/>
        <v>NOAH</v>
      </c>
      <c r="C9504" t="str">
        <f t="shared" si="3442"/>
        <v>LEFEVRE</v>
      </c>
      <c r="D9504">
        <f>10</f>
        <v>10</v>
      </c>
      <c r="E9504" t="str">
        <f>"07 - B - 104 - Marielle A Witting"</f>
        <v>07 - B - 104 - Marielle A Witting</v>
      </c>
      <c r="F9504" t="str">
        <f>"ANAT PHYSIO"</f>
        <v>ANAT PHYSIO</v>
      </c>
      <c r="G9504" t="str">
        <f>"08-805"</f>
        <v>08-805</v>
      </c>
      <c r="H9504" t="str">
        <f>"B"</f>
        <v>B</v>
      </c>
    </row>
    <row r="9505" spans="1:8" x14ac:dyDescent="0.2">
      <c r="A9505" t="str">
        <f t="shared" si="3440"/>
        <v>0621008682</v>
      </c>
      <c r="B9505" t="str">
        <f t="shared" si="3441"/>
        <v>NOAH</v>
      </c>
      <c r="C9505" t="str">
        <f t="shared" si="3442"/>
        <v>LEFEVRE</v>
      </c>
      <c r="D9505">
        <f>10</f>
        <v>10</v>
      </c>
      <c r="E9505" t="str">
        <f>"05 - B - 102 - Dorothy D Moore"</f>
        <v>05 - B - 102 - Dorothy D Moore</v>
      </c>
      <c r="F9505" t="str">
        <f>"FORC SCI 1 LH"</f>
        <v>FORC SCI 1 LH</v>
      </c>
      <c r="G9505" t="str">
        <f>"08-803"</f>
        <v>08-803</v>
      </c>
      <c r="H9505" t="str">
        <f>"B"</f>
        <v>B</v>
      </c>
    </row>
    <row r="9506" spans="1:8" x14ac:dyDescent="0.2">
      <c r="A9506" t="str">
        <f t="shared" si="3440"/>
        <v>0621008682</v>
      </c>
      <c r="B9506" t="str">
        <f t="shared" si="3441"/>
        <v>NOAH</v>
      </c>
      <c r="C9506" t="str">
        <f t="shared" si="3442"/>
        <v>LEFEVRE</v>
      </c>
      <c r="D9506">
        <f>10</f>
        <v>10</v>
      </c>
      <c r="E9506" t="str">
        <f>"01 - A - 101 - Marius D Orsolini"</f>
        <v>01 - A - 101 - Marius D Orsolini</v>
      </c>
      <c r="F9506" t="str">
        <f>"CULINARY ARTS 1"</f>
        <v>CULINARY ARTS 1</v>
      </c>
      <c r="G9506" t="str">
        <f>"21-2115"</f>
        <v>21-2115</v>
      </c>
      <c r="H9506" t="str">
        <f>"A"</f>
        <v>A</v>
      </c>
    </row>
    <row r="9507" spans="1:8" x14ac:dyDescent="0.2">
      <c r="A9507" t="str">
        <f t="shared" si="3440"/>
        <v>0621008682</v>
      </c>
      <c r="B9507" t="str">
        <f t="shared" si="3441"/>
        <v>NOAH</v>
      </c>
      <c r="C9507" t="str">
        <f t="shared" si="3442"/>
        <v>LEFEVRE</v>
      </c>
      <c r="D9507">
        <f>10</f>
        <v>10</v>
      </c>
      <c r="E9507" t="str">
        <f>"08 - B - 108 - Adam Marcus  Drucker"</f>
        <v>08 - B - 108 - Adam Marcus  Drucker</v>
      </c>
      <c r="F9507" t="str">
        <f>"HOPE-PE V"</f>
        <v>HOPE-PE V</v>
      </c>
      <c r="G9507" t="str">
        <f>"04-254"</f>
        <v>04-254</v>
      </c>
      <c r="H9507" t="str">
        <f>"B"</f>
        <v>B</v>
      </c>
    </row>
    <row r="9508" spans="1:8" x14ac:dyDescent="0.2">
      <c r="A9508" t="str">
        <f t="shared" ref="A9508:A9515" si="3443">"0615019852"</f>
        <v>0615019852</v>
      </c>
      <c r="B9508" t="str">
        <f t="shared" ref="B9508:B9515" si="3444">"LILY"</f>
        <v>LILY</v>
      </c>
      <c r="C9508" t="str">
        <f t="shared" ref="C9508:C9515" si="3445">"LEIPER"</f>
        <v>LEIPER</v>
      </c>
      <c r="D9508">
        <f>11</f>
        <v>11</v>
      </c>
      <c r="E9508" t="str">
        <f>"04 - A - 101 - Stephen T Ripp"</f>
        <v>04 - A - 101 - Stephen T Ripp</v>
      </c>
      <c r="F9508" t="str">
        <f>"AP U.S. HIST"</f>
        <v>AP U.S. HIST</v>
      </c>
      <c r="G9508" t="str">
        <f>"17-1744"</f>
        <v>17-1744</v>
      </c>
      <c r="H9508" t="str">
        <f>"A"</f>
        <v>A</v>
      </c>
    </row>
    <row r="9509" spans="1:8" x14ac:dyDescent="0.2">
      <c r="A9509" t="str">
        <f t="shared" si="3443"/>
        <v>0615019852</v>
      </c>
      <c r="B9509" t="str">
        <f t="shared" si="3444"/>
        <v>LILY</v>
      </c>
      <c r="C9509" t="str">
        <f t="shared" si="3445"/>
        <v>LEIPER</v>
      </c>
      <c r="D9509">
        <f>11</f>
        <v>11</v>
      </c>
      <c r="E9509" t="str">
        <f>"06 - B - 101 - Bruce A Evans"</f>
        <v>06 - B - 101 - Bruce A Evans</v>
      </c>
      <c r="F9509" t="str">
        <f>"EMERG MED RESP 3 HON"</f>
        <v>EMERG MED RESP 3 HON</v>
      </c>
      <c r="G9509" t="str">
        <f>"21-2142"</f>
        <v>21-2142</v>
      </c>
      <c r="H9509" t="str">
        <f>"B"</f>
        <v>B</v>
      </c>
    </row>
    <row r="9510" spans="1:8" x14ac:dyDescent="0.2">
      <c r="A9510" t="str">
        <f t="shared" si="3443"/>
        <v>0615019852</v>
      </c>
      <c r="B9510" t="str">
        <f t="shared" si="3444"/>
        <v>LILY</v>
      </c>
      <c r="C9510" t="str">
        <f t="shared" si="3445"/>
        <v>LEIPER</v>
      </c>
      <c r="D9510">
        <f>11</f>
        <v>11</v>
      </c>
      <c r="E9510" t="str">
        <f>"03 - A - 202 - Bruce A Evans"</f>
        <v>03 - A - 202 - Bruce A Evans</v>
      </c>
      <c r="F9510" t="str">
        <f>"HEALTH SCI FOUND HON"</f>
        <v>HEALTH SCI FOUND HON</v>
      </c>
      <c r="G9510" t="str">
        <f>"21-2142"</f>
        <v>21-2142</v>
      </c>
      <c r="H9510" t="str">
        <f>"A"</f>
        <v>A</v>
      </c>
    </row>
    <row r="9511" spans="1:8" x14ac:dyDescent="0.2">
      <c r="A9511" t="str">
        <f t="shared" si="3443"/>
        <v>0615019852</v>
      </c>
      <c r="B9511" t="str">
        <f t="shared" si="3444"/>
        <v>LILY</v>
      </c>
      <c r="C9511" t="str">
        <f t="shared" si="3445"/>
        <v>LEIPER</v>
      </c>
      <c r="D9511">
        <f>11</f>
        <v>11</v>
      </c>
      <c r="E9511" t="str">
        <f>"02 - A - 108 - Stephen T Ripp"</f>
        <v>02 - A - 108 - Stephen T Ripp</v>
      </c>
      <c r="F9511" t="str">
        <f>"NC STUDY HALL 1"</f>
        <v>NC STUDY HALL 1</v>
      </c>
      <c r="G9511" t="str">
        <f>"17-1744"</f>
        <v>17-1744</v>
      </c>
      <c r="H9511" t="str">
        <f>"A"</f>
        <v>A</v>
      </c>
    </row>
    <row r="9512" spans="1:8" x14ac:dyDescent="0.2">
      <c r="A9512" t="str">
        <f t="shared" si="3443"/>
        <v>0615019852</v>
      </c>
      <c r="B9512" t="str">
        <f t="shared" si="3444"/>
        <v>LILY</v>
      </c>
      <c r="C9512" t="str">
        <f t="shared" si="3445"/>
        <v>LEIPER</v>
      </c>
      <c r="D9512">
        <f>11</f>
        <v>11</v>
      </c>
      <c r="E9512" t="str">
        <f>"07 - B - 002 - Jordana K Hass"</f>
        <v>07 - B - 002 - Jordana K Hass</v>
      </c>
      <c r="F9512" t="str">
        <f>"CHEMISTRY 1 HON"</f>
        <v>CHEMISTRY 1 HON</v>
      </c>
      <c r="G9512" t="str">
        <f>"08-807"</f>
        <v>08-807</v>
      </c>
      <c r="H9512" t="str">
        <f>"B"</f>
        <v>B</v>
      </c>
    </row>
    <row r="9513" spans="1:8" x14ac:dyDescent="0.2">
      <c r="A9513" t="str">
        <f t="shared" si="3443"/>
        <v>0615019852</v>
      </c>
      <c r="B9513" t="str">
        <f t="shared" si="3444"/>
        <v>LILY</v>
      </c>
      <c r="C9513" t="str">
        <f t="shared" si="3445"/>
        <v>LEIPER</v>
      </c>
      <c r="D9513">
        <f>11</f>
        <v>11</v>
      </c>
      <c r="E9513" t="str">
        <f>"05 - B - 103 - Tina M Jaramillo"</f>
        <v>05 - B - 103 - Tina M Jaramillo</v>
      </c>
      <c r="F9513" t="str">
        <f>"AP ENG COMPO"</f>
        <v>AP ENG COMPO</v>
      </c>
      <c r="G9513" t="str">
        <f>"17-1706"</f>
        <v>17-1706</v>
      </c>
      <c r="H9513" t="str">
        <f>"B"</f>
        <v>B</v>
      </c>
    </row>
    <row r="9514" spans="1:8" x14ac:dyDescent="0.2">
      <c r="A9514" t="str">
        <f t="shared" si="3443"/>
        <v>0615019852</v>
      </c>
      <c r="B9514" t="str">
        <f t="shared" si="3444"/>
        <v>LILY</v>
      </c>
      <c r="C9514" t="str">
        <f t="shared" si="3445"/>
        <v>LEIPER</v>
      </c>
      <c r="D9514">
        <f>11</f>
        <v>11</v>
      </c>
      <c r="E9514" t="str">
        <f>"01 - S1 - A - 101 - Bruce A Evans"</f>
        <v>01 - S1 - A - 101 - Bruce A Evans</v>
      </c>
      <c r="F9514" t="str">
        <f>"ELECTROCARD TECH 3HN"</f>
        <v>ELECTROCARD TECH 3HN</v>
      </c>
      <c r="G9514" t="str">
        <f>"21-2142"</f>
        <v>21-2142</v>
      </c>
      <c r="H9514" t="str">
        <f>"A"</f>
        <v>A</v>
      </c>
    </row>
    <row r="9515" spans="1:8" x14ac:dyDescent="0.2">
      <c r="A9515" t="str">
        <f t="shared" si="3443"/>
        <v>0615019852</v>
      </c>
      <c r="B9515" t="str">
        <f t="shared" si="3444"/>
        <v>LILY</v>
      </c>
      <c r="C9515" t="str">
        <f t="shared" si="3445"/>
        <v>LEIPER</v>
      </c>
      <c r="D9515">
        <f>11</f>
        <v>11</v>
      </c>
      <c r="E9515" t="str">
        <f>"08 - B - 107 - Brook E Goren"</f>
        <v>08 - B - 107 - Brook E Goren</v>
      </c>
      <c r="F9515" t="str">
        <f>"GEOMETRY"</f>
        <v>GEOMETRY</v>
      </c>
      <c r="G9515" t="str">
        <f>"21-2158"</f>
        <v>21-2158</v>
      </c>
      <c r="H9515" t="str">
        <f>"B"</f>
        <v>B</v>
      </c>
    </row>
    <row r="9516" spans="1:8" x14ac:dyDescent="0.2">
      <c r="A9516" t="str">
        <f t="shared" ref="A9516:A9523" si="3446">"0614133116"</f>
        <v>0614133116</v>
      </c>
      <c r="B9516" t="str">
        <f t="shared" ref="B9516:B9523" si="3447">"JOSE"</f>
        <v>JOSE</v>
      </c>
      <c r="C9516" t="str">
        <f t="shared" ref="C9516:C9523" si="3448">"LEMUS-BARRIENTOS"</f>
        <v>LEMUS-BARRIENTOS</v>
      </c>
      <c r="D9516">
        <f>11</f>
        <v>11</v>
      </c>
      <c r="E9516" t="str">
        <f>"04 - A - 103 - Lourivaldo  Da Silva"</f>
        <v>04 - A - 103 - Lourivaldo  Da Silva</v>
      </c>
      <c r="F9516" t="str">
        <f>"PRE-CALCULUS HON"</f>
        <v>PRE-CALCULUS HON</v>
      </c>
      <c r="G9516" t="str">
        <f>"20-2079"</f>
        <v>20-2079</v>
      </c>
      <c r="H9516" t="str">
        <f>"A"</f>
        <v>A</v>
      </c>
    </row>
    <row r="9517" spans="1:8" x14ac:dyDescent="0.2">
      <c r="A9517" t="str">
        <f t="shared" si="3446"/>
        <v>0614133116</v>
      </c>
      <c r="B9517" t="str">
        <f t="shared" si="3447"/>
        <v>JOSE</v>
      </c>
      <c r="C9517" t="str">
        <f t="shared" si="3448"/>
        <v>LEMUS-BARRIENTOS</v>
      </c>
      <c r="D9517">
        <f>11</f>
        <v>11</v>
      </c>
      <c r="E9517" t="str">
        <f>"06 - B - 102 - Rosa Elaine  Collado-Duff"</f>
        <v>06 - B - 102 - Rosa Elaine  Collado-Duff</v>
      </c>
      <c r="F9517" t="str">
        <f>"SPANISH 3 HON"</f>
        <v>SPANISH 3 HON</v>
      </c>
      <c r="G9517" t="str">
        <f>"09-913"</f>
        <v>09-913</v>
      </c>
      <c r="H9517" t="str">
        <f>"B"</f>
        <v>B</v>
      </c>
    </row>
    <row r="9518" spans="1:8" x14ac:dyDescent="0.2">
      <c r="A9518" t="str">
        <f t="shared" si="3446"/>
        <v>0614133116</v>
      </c>
      <c r="B9518" t="str">
        <f t="shared" si="3447"/>
        <v>JOSE</v>
      </c>
      <c r="C9518" t="str">
        <f t="shared" si="3448"/>
        <v>LEMUS-BARRIENTOS</v>
      </c>
      <c r="D9518">
        <f>11</f>
        <v>11</v>
      </c>
      <c r="E9518" t="str">
        <f>"03 - A - 202 - Cheryl L Beach"</f>
        <v>03 - A - 202 - Cheryl L Beach</v>
      </c>
      <c r="F9518" t="str">
        <f>"AICE ENV MGMNT AS"</f>
        <v>AICE ENV MGMNT AS</v>
      </c>
      <c r="G9518" t="str">
        <f>"08-811"</f>
        <v>08-811</v>
      </c>
      <c r="H9518" t="str">
        <f>"A"</f>
        <v>A</v>
      </c>
    </row>
    <row r="9519" spans="1:8" x14ac:dyDescent="0.2">
      <c r="A9519" t="str">
        <f t="shared" si="3446"/>
        <v>0614133116</v>
      </c>
      <c r="B9519" t="str">
        <f t="shared" si="3447"/>
        <v>JOSE</v>
      </c>
      <c r="C9519" t="str">
        <f t="shared" si="3448"/>
        <v>LEMUS-BARRIENTOS</v>
      </c>
      <c r="D9519">
        <f>11</f>
        <v>11</v>
      </c>
      <c r="E9519" t="str">
        <f>"02 - A - 103 - Kelly N Panza"</f>
        <v>02 - A - 103 - Kelly N Panza</v>
      </c>
      <c r="F9519" t="str">
        <f>"NC STUDY HALL 1"</f>
        <v>NC STUDY HALL 1</v>
      </c>
      <c r="G9519" t="str">
        <f>"17-1753"</f>
        <v>17-1753</v>
      </c>
      <c r="H9519" t="str">
        <f>"A"</f>
        <v>A</v>
      </c>
    </row>
    <row r="9520" spans="1:8" x14ac:dyDescent="0.2">
      <c r="A9520" t="str">
        <f t="shared" si="3446"/>
        <v>0614133116</v>
      </c>
      <c r="B9520" t="str">
        <f t="shared" si="3447"/>
        <v>JOSE</v>
      </c>
      <c r="C9520" t="str">
        <f t="shared" si="3448"/>
        <v>LEMUS-BARRIENTOS</v>
      </c>
      <c r="D9520">
        <f>11</f>
        <v>11</v>
      </c>
      <c r="E9520" t="str">
        <f>"07 - B - 101 - Jeanne M Bermudez"</f>
        <v>07 - B - 101 - Jeanne M Bermudez</v>
      </c>
      <c r="F9520" t="str">
        <f>"FOUND OF PROGRAM HON"</f>
        <v>FOUND OF PROGRAM HON</v>
      </c>
      <c r="G9520" t="str">
        <f>"21-2141"</f>
        <v>21-2141</v>
      </c>
      <c r="H9520" t="str">
        <f>"B"</f>
        <v>B</v>
      </c>
    </row>
    <row r="9521" spans="1:8" x14ac:dyDescent="0.2">
      <c r="A9521" t="str">
        <f t="shared" si="3446"/>
        <v>0614133116</v>
      </c>
      <c r="B9521" t="str">
        <f t="shared" si="3447"/>
        <v>JOSE</v>
      </c>
      <c r="C9521" t="str">
        <f t="shared" si="3448"/>
        <v>LEMUS-BARRIENTOS</v>
      </c>
      <c r="D9521">
        <f>11</f>
        <v>11</v>
      </c>
      <c r="E9521" t="str">
        <f>"05 - B - 102 - Jacklyn M James"</f>
        <v>05 - B - 102 - Jacklyn M James</v>
      </c>
      <c r="F9521" t="str">
        <f>"AICE ENG LANG AS"</f>
        <v>AICE ENG LANG AS</v>
      </c>
      <c r="G9521" t="str">
        <f>"17-1731"</f>
        <v>17-1731</v>
      </c>
      <c r="H9521" t="str">
        <f>"B"</f>
        <v>B</v>
      </c>
    </row>
    <row r="9522" spans="1:8" x14ac:dyDescent="0.2">
      <c r="A9522" t="str">
        <f t="shared" si="3446"/>
        <v>0614133116</v>
      </c>
      <c r="B9522" t="str">
        <f t="shared" si="3447"/>
        <v>JOSE</v>
      </c>
      <c r="C9522" t="str">
        <f t="shared" si="3448"/>
        <v>LEMUS-BARRIENTOS</v>
      </c>
      <c r="D9522">
        <f>11</f>
        <v>11</v>
      </c>
      <c r="E9522" t="str">
        <f>"01 - A - 101 - Lisa J London"</f>
        <v>01 - A - 101 - Lisa J London</v>
      </c>
      <c r="F9522" t="str">
        <f>"AP CAPSTONE SEMINAR"</f>
        <v>AP CAPSTONE SEMINAR</v>
      </c>
      <c r="G9522" t="str">
        <f>"17-1714"</f>
        <v>17-1714</v>
      </c>
      <c r="H9522" t="str">
        <f>"A"</f>
        <v>A</v>
      </c>
    </row>
    <row r="9523" spans="1:8" x14ac:dyDescent="0.2">
      <c r="A9523" t="str">
        <f t="shared" si="3446"/>
        <v>0614133116</v>
      </c>
      <c r="B9523" t="str">
        <f t="shared" si="3447"/>
        <v>JOSE</v>
      </c>
      <c r="C9523" t="str">
        <f t="shared" si="3448"/>
        <v>LEMUS-BARRIENTOS</v>
      </c>
      <c r="D9523">
        <f>11</f>
        <v>11</v>
      </c>
      <c r="E9523" t="str">
        <f>"08 - B - 001 - Jerry S Jiampetti"</f>
        <v>08 - B - 001 - Jerry S Jiampetti</v>
      </c>
      <c r="F9523" t="str">
        <f>"AICE U.S. HIST 1 AS"</f>
        <v>AICE U.S. HIST 1 AS</v>
      </c>
      <c r="G9523" t="str">
        <f>"17-1751"</f>
        <v>17-1751</v>
      </c>
      <c r="H9523" t="str">
        <f>"B"</f>
        <v>B</v>
      </c>
    </row>
    <row r="9524" spans="1:8" x14ac:dyDescent="0.2">
      <c r="A9524" t="str">
        <f t="shared" ref="A9524:A9531" si="3449">"0614099087"</f>
        <v>0614099087</v>
      </c>
      <c r="B9524" t="str">
        <f t="shared" ref="B9524:B9531" si="3450">"NICOLE"</f>
        <v>NICOLE</v>
      </c>
      <c r="C9524" t="str">
        <f t="shared" ref="C9524:C9531" si="3451">"LEMUS JOYA"</f>
        <v>LEMUS JOYA</v>
      </c>
      <c r="D9524">
        <f>11</f>
        <v>11</v>
      </c>
      <c r="E9524" t="str">
        <f>"04 - A - 101 - Brian M Fitzgerald"</f>
        <v>04 - A - 101 - Brian M Fitzgerald</v>
      </c>
      <c r="F9524" t="str">
        <f>"DRAW 2"</f>
        <v>DRAW 2</v>
      </c>
      <c r="G9524" t="str">
        <f>"09-908"</f>
        <v>09-908</v>
      </c>
      <c r="H9524" t="str">
        <f>"A"</f>
        <v>A</v>
      </c>
    </row>
    <row r="9525" spans="1:8" x14ac:dyDescent="0.2">
      <c r="A9525" t="str">
        <f t="shared" si="3449"/>
        <v>0614099087</v>
      </c>
      <c r="B9525" t="str">
        <f t="shared" si="3450"/>
        <v>NICOLE</v>
      </c>
      <c r="C9525" t="str">
        <f t="shared" si="3451"/>
        <v>LEMUS JOYA</v>
      </c>
      <c r="D9525">
        <f>11</f>
        <v>11</v>
      </c>
      <c r="E9525" t="str">
        <f>"06 - B - 105 - Elizabeth Ellen  Moran"</f>
        <v>06 - B - 105 - Elizabeth Ellen  Moran</v>
      </c>
      <c r="F9525" t="str">
        <f>"US HISTORY"</f>
        <v>US HISTORY</v>
      </c>
      <c r="G9525" t="str">
        <f>"17-1752"</f>
        <v>17-1752</v>
      </c>
      <c r="H9525" t="str">
        <f>"B"</f>
        <v>B</v>
      </c>
    </row>
    <row r="9526" spans="1:8" x14ac:dyDescent="0.2">
      <c r="A9526" t="str">
        <f t="shared" si="3449"/>
        <v>0614099087</v>
      </c>
      <c r="B9526" t="str">
        <f t="shared" si="3450"/>
        <v>NICOLE</v>
      </c>
      <c r="C9526" t="str">
        <f t="shared" si="3451"/>
        <v>LEMUS JOYA</v>
      </c>
      <c r="D9526">
        <f>11</f>
        <v>11</v>
      </c>
      <c r="E9526" t="str">
        <f>"03 - A - 208 - Marielle A Witting"</f>
        <v>03 - A - 208 - Marielle A Witting</v>
      </c>
      <c r="F9526" t="str">
        <f>"ANAT PHYSIO"</f>
        <v>ANAT PHYSIO</v>
      </c>
      <c r="G9526" t="str">
        <f>"08-805"</f>
        <v>08-805</v>
      </c>
      <c r="H9526" t="str">
        <f>"A"</f>
        <v>A</v>
      </c>
    </row>
    <row r="9527" spans="1:8" x14ac:dyDescent="0.2">
      <c r="A9527" t="str">
        <f t="shared" si="3449"/>
        <v>0614099087</v>
      </c>
      <c r="B9527" t="str">
        <f t="shared" si="3450"/>
        <v>NICOLE</v>
      </c>
      <c r="C9527" t="str">
        <f t="shared" si="3451"/>
        <v>LEMUS JOYA</v>
      </c>
      <c r="D9527">
        <f>11</f>
        <v>11</v>
      </c>
      <c r="E9527" t="str">
        <f>"02 - A - 102 - Brook E Goren"</f>
        <v>02 - A - 102 - Brook E Goren</v>
      </c>
      <c r="F9527" t="str">
        <f>"NC STUDY HALL 1"</f>
        <v>NC STUDY HALL 1</v>
      </c>
      <c r="G9527" t="str">
        <f>"21-2158"</f>
        <v>21-2158</v>
      </c>
      <c r="H9527" t="str">
        <f>"A"</f>
        <v>A</v>
      </c>
    </row>
    <row r="9528" spans="1:8" x14ac:dyDescent="0.2">
      <c r="A9528" t="str">
        <f t="shared" si="3449"/>
        <v>0614099087</v>
      </c>
      <c r="B9528" t="str">
        <f t="shared" si="3450"/>
        <v>NICOLE</v>
      </c>
      <c r="C9528" t="str">
        <f t="shared" si="3451"/>
        <v>LEMUS JOYA</v>
      </c>
      <c r="D9528">
        <f>11</f>
        <v>11</v>
      </c>
      <c r="E9528" t="str">
        <f>"07 - B - 101 - Jeanne M Bermudez"</f>
        <v>07 - B - 101 - Jeanne M Bermudez</v>
      </c>
      <c r="F9528" t="str">
        <f>"FOUND OF PROGRAM HON"</f>
        <v>FOUND OF PROGRAM HON</v>
      </c>
      <c r="G9528" t="str">
        <f>"21-2141"</f>
        <v>21-2141</v>
      </c>
      <c r="H9528" t="str">
        <f>"B"</f>
        <v>B</v>
      </c>
    </row>
    <row r="9529" spans="1:8" x14ac:dyDescent="0.2">
      <c r="A9529" t="str">
        <f t="shared" si="3449"/>
        <v>0614099087</v>
      </c>
      <c r="B9529" t="str">
        <f t="shared" si="3450"/>
        <v>NICOLE</v>
      </c>
      <c r="C9529" t="str">
        <f t="shared" si="3451"/>
        <v>LEMUS JOYA</v>
      </c>
      <c r="D9529">
        <f>11</f>
        <v>11</v>
      </c>
      <c r="E9529" t="str">
        <f>"05 - B - 101 - Brian M Fitzgerald"</f>
        <v>05 - B - 101 - Brian M Fitzgerald</v>
      </c>
      <c r="F9529" t="str">
        <f>"PAINT 1"</f>
        <v>PAINT 1</v>
      </c>
      <c r="G9529" t="str">
        <f>"09-908"</f>
        <v>09-908</v>
      </c>
      <c r="H9529" t="str">
        <f>"B"</f>
        <v>B</v>
      </c>
    </row>
    <row r="9530" spans="1:8" x14ac:dyDescent="0.2">
      <c r="A9530" t="str">
        <f t="shared" si="3449"/>
        <v>0614099087</v>
      </c>
      <c r="B9530" t="str">
        <f t="shared" si="3450"/>
        <v>NICOLE</v>
      </c>
      <c r="C9530" t="str">
        <f t="shared" si="3451"/>
        <v>LEMUS JOYA</v>
      </c>
      <c r="D9530">
        <f>11</f>
        <v>11</v>
      </c>
      <c r="E9530" t="str">
        <f>"01 - A - 102 - Fernando  Vega-Cid"</f>
        <v>01 - A - 102 - Fernando  Vega-Cid</v>
      </c>
      <c r="F9530" t="str">
        <f>"GEOMETRY"</f>
        <v>GEOMETRY</v>
      </c>
      <c r="G9530" t="str">
        <f>"21-2163"</f>
        <v>21-2163</v>
      </c>
      <c r="H9530" t="str">
        <f>"A"</f>
        <v>A</v>
      </c>
    </row>
    <row r="9531" spans="1:8" x14ac:dyDescent="0.2">
      <c r="A9531" t="str">
        <f t="shared" si="3449"/>
        <v>0614099087</v>
      </c>
      <c r="B9531" t="str">
        <f t="shared" si="3450"/>
        <v>NICOLE</v>
      </c>
      <c r="C9531" t="str">
        <f t="shared" si="3451"/>
        <v>LEMUS JOYA</v>
      </c>
      <c r="D9531">
        <f>11</f>
        <v>11</v>
      </c>
      <c r="E9531" t="str">
        <f>"08 - B - 106 - Lisa  Quinn"</f>
        <v>08 - B - 106 - Lisa  Quinn</v>
      </c>
      <c r="F9531" t="str">
        <f>"ENG 3"</f>
        <v>ENG 3</v>
      </c>
      <c r="G9531" t="str">
        <f>"17-1725"</f>
        <v>17-1725</v>
      </c>
      <c r="H9531" t="str">
        <f>"B"</f>
        <v>B</v>
      </c>
    </row>
    <row r="9532" spans="1:8" x14ac:dyDescent="0.2">
      <c r="A9532" t="str">
        <f t="shared" ref="A9532:A9541" si="3452">"0615132095"</f>
        <v>0615132095</v>
      </c>
      <c r="B9532" t="str">
        <f t="shared" ref="B9532:B9541" si="3453">"CAMILA"</f>
        <v>CAMILA</v>
      </c>
      <c r="C9532" t="str">
        <f t="shared" ref="C9532:C9541" si="3454">"LEON"</f>
        <v>LEON</v>
      </c>
      <c r="D9532">
        <f>10</f>
        <v>10</v>
      </c>
      <c r="E9532" t="str">
        <f>"19 - S1 - MTWHF - B18 - Instructor BC"</f>
        <v>19 - S1 - MTWHF - B18 - Instructor BC</v>
      </c>
      <c r="F9532" t="str">
        <f>"INTRO OCEANOGRAPHY"</f>
        <v>INTRO OCEANOGRAPHY</v>
      </c>
      <c r="G9532" t="str">
        <f>"60-DE"</f>
        <v>60-DE</v>
      </c>
      <c r="H9532" t="str">
        <f>"-"</f>
        <v>-</v>
      </c>
    </row>
    <row r="9533" spans="1:8" x14ac:dyDescent="0.2">
      <c r="A9533" t="str">
        <f t="shared" si="3452"/>
        <v>0615132095</v>
      </c>
      <c r="B9533" t="str">
        <f t="shared" si="3453"/>
        <v>CAMILA</v>
      </c>
      <c r="C9533" t="str">
        <f t="shared" si="3454"/>
        <v>LEON</v>
      </c>
      <c r="D9533">
        <f>10</f>
        <v>10</v>
      </c>
      <c r="E9533" t="str">
        <f>"19 - S1 - MTWHF - B18 - Instructor BC"</f>
        <v>19 - S1 - MTWHF - B18 - Instructor BC</v>
      </c>
      <c r="F9533" t="str">
        <f>"OCEANOGAPHY LAB"</f>
        <v>OCEANOGAPHY LAB</v>
      </c>
      <c r="G9533" t="str">
        <f>"60-DE"</f>
        <v>60-DE</v>
      </c>
      <c r="H9533" t="str">
        <f>"-"</f>
        <v>-</v>
      </c>
    </row>
    <row r="9534" spans="1:8" x14ac:dyDescent="0.2">
      <c r="A9534" t="str">
        <f t="shared" si="3452"/>
        <v>0615132095</v>
      </c>
      <c r="B9534" t="str">
        <f t="shared" si="3453"/>
        <v>CAMILA</v>
      </c>
      <c r="C9534" t="str">
        <f t="shared" si="3454"/>
        <v>LEON</v>
      </c>
      <c r="D9534">
        <f>10</f>
        <v>10</v>
      </c>
      <c r="E9534" t="str">
        <f>"04 - A - 104 - Courtney E Hambright"</f>
        <v>04 - A - 104 - Courtney E Hambright</v>
      </c>
      <c r="F9534" t="str">
        <f>"AICE ENG LANG AS"</f>
        <v>AICE ENG LANG AS</v>
      </c>
      <c r="G9534" t="str">
        <f>"17-1711"</f>
        <v>17-1711</v>
      </c>
      <c r="H9534" t="str">
        <f>"A"</f>
        <v>A</v>
      </c>
    </row>
    <row r="9535" spans="1:8" x14ac:dyDescent="0.2">
      <c r="A9535" t="str">
        <f t="shared" si="3452"/>
        <v>0615132095</v>
      </c>
      <c r="B9535" t="str">
        <f t="shared" si="3453"/>
        <v>CAMILA</v>
      </c>
      <c r="C9535" t="str">
        <f t="shared" si="3454"/>
        <v>LEON</v>
      </c>
      <c r="D9535">
        <f>10</f>
        <v>10</v>
      </c>
      <c r="E9535" t="str">
        <f>"06 - B - 104 - Robert H Rindner"</f>
        <v>06 - B - 104 - Robert H Rindner</v>
      </c>
      <c r="F9535" t="str">
        <f>"NC STUDY HALL 1"</f>
        <v>NC STUDY HALL 1</v>
      </c>
      <c r="G9535" t="str">
        <f>"21-2160"</f>
        <v>21-2160</v>
      </c>
      <c r="H9535" t="str">
        <f>"B"</f>
        <v>B</v>
      </c>
    </row>
    <row r="9536" spans="1:8" x14ac:dyDescent="0.2">
      <c r="A9536" t="str">
        <f t="shared" si="3452"/>
        <v>0615132095</v>
      </c>
      <c r="B9536" t="str">
        <f t="shared" si="3453"/>
        <v>CAMILA</v>
      </c>
      <c r="C9536" t="str">
        <f t="shared" si="3454"/>
        <v>LEON</v>
      </c>
      <c r="D9536">
        <f>10</f>
        <v>10</v>
      </c>
      <c r="E9536" t="str">
        <f>"03 - S1 - A - 101 - Arthur  Kulawik"</f>
        <v>03 - S1 - A - 101 - Arthur  Kulawik</v>
      </c>
      <c r="F9536" t="str">
        <f>"PERS FIN &amp; MON MGT H"</f>
        <v>PERS FIN &amp; MON MGT H</v>
      </c>
      <c r="G9536" t="str">
        <f>"05-506"</f>
        <v>05-506</v>
      </c>
      <c r="H9536" t="str">
        <f>"A"</f>
        <v>A</v>
      </c>
    </row>
    <row r="9537" spans="1:8" x14ac:dyDescent="0.2">
      <c r="A9537" t="str">
        <f t="shared" si="3452"/>
        <v>0615132095</v>
      </c>
      <c r="B9537" t="str">
        <f t="shared" si="3453"/>
        <v>CAMILA</v>
      </c>
      <c r="C9537" t="str">
        <f t="shared" si="3454"/>
        <v>LEON</v>
      </c>
      <c r="D9537">
        <f>10</f>
        <v>10</v>
      </c>
      <c r="E9537" t="str">
        <f>"02 - A - 205 - Emmily A Sarmiento"</f>
        <v>02 - A - 205 - Emmily A Sarmiento</v>
      </c>
      <c r="F9537" t="str">
        <f>"AICE GLBL PERSP 1 AS"</f>
        <v>AICE GLBL PERSP 1 AS</v>
      </c>
      <c r="G9537" t="str">
        <f>"17-1743"</f>
        <v>17-1743</v>
      </c>
      <c r="H9537" t="str">
        <f>"A"</f>
        <v>A</v>
      </c>
    </row>
    <row r="9538" spans="1:8" x14ac:dyDescent="0.2">
      <c r="A9538" t="str">
        <f t="shared" si="3452"/>
        <v>0615132095</v>
      </c>
      <c r="B9538" t="str">
        <f t="shared" si="3453"/>
        <v>CAMILA</v>
      </c>
      <c r="C9538" t="str">
        <f t="shared" si="3454"/>
        <v>LEON</v>
      </c>
      <c r="D9538">
        <f>10</f>
        <v>10</v>
      </c>
      <c r="E9538" t="str">
        <f>"07 - B - 102 - Lourivaldo  Da Silva"</f>
        <v>07 - B - 102 - Lourivaldo  Da Silva</v>
      </c>
      <c r="F9538" t="str">
        <f>"ALGEBRA 2 HON"</f>
        <v>ALGEBRA 2 HON</v>
      </c>
      <c r="G9538" t="str">
        <f>"20-2079"</f>
        <v>20-2079</v>
      </c>
      <c r="H9538" t="str">
        <f>"B"</f>
        <v>B</v>
      </c>
    </row>
    <row r="9539" spans="1:8" x14ac:dyDescent="0.2">
      <c r="A9539" t="str">
        <f t="shared" si="3452"/>
        <v>0615132095</v>
      </c>
      <c r="B9539" t="str">
        <f t="shared" si="3453"/>
        <v>CAMILA</v>
      </c>
      <c r="C9539" t="str">
        <f t="shared" si="3454"/>
        <v>LEON</v>
      </c>
      <c r="D9539">
        <f>10</f>
        <v>10</v>
      </c>
      <c r="E9539" t="str">
        <f>"05 - B - 205 - Rosa Elaine  Collado-Duff"</f>
        <v>05 - B - 205 - Rosa Elaine  Collado-Duff</v>
      </c>
      <c r="F9539" t="str">
        <f>"PRE-AICE SPAN 2 IG"</f>
        <v>PRE-AICE SPAN 2 IG</v>
      </c>
      <c r="G9539" t="str">
        <f>"09-913"</f>
        <v>09-913</v>
      </c>
      <c r="H9539" t="str">
        <f>"B"</f>
        <v>B</v>
      </c>
    </row>
    <row r="9540" spans="1:8" x14ac:dyDescent="0.2">
      <c r="A9540" t="str">
        <f t="shared" si="3452"/>
        <v>0615132095</v>
      </c>
      <c r="B9540" t="str">
        <f t="shared" si="3453"/>
        <v>CAMILA</v>
      </c>
      <c r="C9540" t="str">
        <f t="shared" si="3454"/>
        <v>LEON</v>
      </c>
      <c r="D9540">
        <f>10</f>
        <v>10</v>
      </c>
      <c r="E9540" t="str">
        <f>"01 - A - 101 - Byron G Montenegro"</f>
        <v>01 - A - 101 - Byron G Montenegro</v>
      </c>
      <c r="F9540" t="str">
        <f>"AICE MARINE SCI 1 AS"</f>
        <v>AICE MARINE SCI 1 AS</v>
      </c>
      <c r="G9540" t="str">
        <f>"21-2144"</f>
        <v>21-2144</v>
      </c>
      <c r="H9540" t="str">
        <f>"A"</f>
        <v>A</v>
      </c>
    </row>
    <row r="9541" spans="1:8" x14ac:dyDescent="0.2">
      <c r="A9541" t="str">
        <f t="shared" si="3452"/>
        <v>0615132095</v>
      </c>
      <c r="B9541" t="str">
        <f t="shared" si="3453"/>
        <v>CAMILA</v>
      </c>
      <c r="C9541" t="str">
        <f t="shared" si="3454"/>
        <v>LEON</v>
      </c>
      <c r="D9541">
        <f>10</f>
        <v>10</v>
      </c>
      <c r="E9541" t="str">
        <f>"08 - B - 206 - Daniel S Katz"</f>
        <v>08 - B - 206 - Daniel S Katz</v>
      </c>
      <c r="F9541" t="str">
        <f>"AICE MEDIASTUDIES AS"</f>
        <v>AICE MEDIASTUDIES AS</v>
      </c>
      <c r="G9541" t="str">
        <f>"05-521"</f>
        <v>05-521</v>
      </c>
      <c r="H9541" t="str">
        <f>"B"</f>
        <v>B</v>
      </c>
    </row>
    <row r="9542" spans="1:8" x14ac:dyDescent="0.2">
      <c r="A9542" t="str">
        <f t="shared" ref="A9542:A9549" si="3455">"0625032093"</f>
        <v>0625032093</v>
      </c>
      <c r="B9542" t="str">
        <f t="shared" ref="B9542:B9549" si="3456">"Mike"</f>
        <v>Mike</v>
      </c>
      <c r="C9542" t="str">
        <f t="shared" ref="C9542:C9549" si="3457">"Leonard"</f>
        <v>Leonard</v>
      </c>
      <c r="D9542">
        <f>10</f>
        <v>10</v>
      </c>
      <c r="E9542" t="str">
        <f>"04 - S1 - A - 101 - Kyle  Robbins"</f>
        <v>04 - S1 - A - 101 - Kyle  Robbins</v>
      </c>
      <c r="F9542" t="str">
        <f>"PERS FIN &amp; MON MGT H"</f>
        <v>PERS FIN &amp; MON MGT H</v>
      </c>
      <c r="G9542" t="str">
        <f>"17-1745"</f>
        <v>17-1745</v>
      </c>
      <c r="H9542" t="str">
        <f>"A"</f>
        <v>A</v>
      </c>
    </row>
    <row r="9543" spans="1:8" x14ac:dyDescent="0.2">
      <c r="A9543" t="str">
        <f t="shared" si="3455"/>
        <v>0625032093</v>
      </c>
      <c r="B9543" t="str">
        <f t="shared" si="3456"/>
        <v>Mike</v>
      </c>
      <c r="C9543" t="str">
        <f t="shared" si="3457"/>
        <v>Leonard</v>
      </c>
      <c r="D9543">
        <f>10</f>
        <v>10</v>
      </c>
      <c r="E9543" t="str">
        <f>"06 - B - 103 - Vanessa J Liburd"</f>
        <v>06 - B - 103 - Vanessa J Liburd</v>
      </c>
      <c r="F9543" t="str">
        <f>"NC STUDY HALL 1"</f>
        <v>NC STUDY HALL 1</v>
      </c>
      <c r="G9543" t="str">
        <f>"05-519"</f>
        <v>05-519</v>
      </c>
      <c r="H9543" t="str">
        <f>"B"</f>
        <v>B</v>
      </c>
    </row>
    <row r="9544" spans="1:8" x14ac:dyDescent="0.2">
      <c r="A9544" t="str">
        <f t="shared" si="3455"/>
        <v>0625032093</v>
      </c>
      <c r="B9544" t="str">
        <f t="shared" si="3456"/>
        <v>Mike</v>
      </c>
      <c r="C9544" t="str">
        <f t="shared" si="3457"/>
        <v>Leonard</v>
      </c>
      <c r="D9544">
        <f>10</f>
        <v>10</v>
      </c>
      <c r="E9544" t="str">
        <f>"03 - A - 204 - Lytrell T Dixon"</f>
        <v>03 - A - 204 - Lytrell T Dixon</v>
      </c>
      <c r="F9544" t="str">
        <f>"BIOLOGY 1"</f>
        <v>BIOLOGY 1</v>
      </c>
      <c r="G9544" t="str">
        <f>"08-808"</f>
        <v>08-808</v>
      </c>
      <c r="H9544" t="str">
        <f>"A"</f>
        <v>A</v>
      </c>
    </row>
    <row r="9545" spans="1:8" x14ac:dyDescent="0.2">
      <c r="A9545" t="str">
        <f t="shared" si="3455"/>
        <v>0625032093</v>
      </c>
      <c r="B9545" t="str">
        <f t="shared" si="3456"/>
        <v>Mike</v>
      </c>
      <c r="C9545" t="str">
        <f t="shared" si="3457"/>
        <v>Leonard</v>
      </c>
      <c r="D9545">
        <f>10</f>
        <v>10</v>
      </c>
      <c r="E9545" t="str">
        <f>"02 - A - 102 - Nikiel  Nesbeth"</f>
        <v>02 - A - 102 - Nikiel  Nesbeth</v>
      </c>
      <c r="F9545" t="str">
        <f>"ENG 2"</f>
        <v>ENG 2</v>
      </c>
      <c r="G9545" t="str">
        <f>"17-1705"</f>
        <v>17-1705</v>
      </c>
      <c r="H9545" t="str">
        <f>"A"</f>
        <v>A</v>
      </c>
    </row>
    <row r="9546" spans="1:8" x14ac:dyDescent="0.2">
      <c r="A9546" t="str">
        <f t="shared" si="3455"/>
        <v>0625032093</v>
      </c>
      <c r="B9546" t="str">
        <f t="shared" si="3456"/>
        <v>Mike</v>
      </c>
      <c r="C9546" t="str">
        <f t="shared" si="3457"/>
        <v>Leonard</v>
      </c>
      <c r="D9546">
        <f>10</f>
        <v>10</v>
      </c>
      <c r="E9546" t="str">
        <f>"07 - B - 107 - Helen A Flores"</f>
        <v>07 - B - 107 - Helen A Flores</v>
      </c>
      <c r="F9546" t="str">
        <f>"ALGEBRA 1"</f>
        <v>ALGEBRA 1</v>
      </c>
      <c r="G9546" t="str">
        <f>"21-2101"</f>
        <v>21-2101</v>
      </c>
      <c r="H9546" t="str">
        <f>"B"</f>
        <v>B</v>
      </c>
    </row>
    <row r="9547" spans="1:8" x14ac:dyDescent="0.2">
      <c r="A9547" t="str">
        <f t="shared" si="3455"/>
        <v>0625032093</v>
      </c>
      <c r="B9547" t="str">
        <f t="shared" si="3456"/>
        <v>Mike</v>
      </c>
      <c r="C9547" t="str">
        <f t="shared" si="3457"/>
        <v>Leonard</v>
      </c>
      <c r="D9547">
        <f>10</f>
        <v>10</v>
      </c>
      <c r="E9547" t="str">
        <f>"05 - B - 102 - Vanessa J Pena"</f>
        <v>05 - B - 102 - Vanessa J Pena</v>
      </c>
      <c r="F9547" t="str">
        <f>"DEV LANG ARTS ESOL-R"</f>
        <v>DEV LANG ARTS ESOL-R</v>
      </c>
      <c r="G9547" t="str">
        <f>"09-926"</f>
        <v>09-926</v>
      </c>
      <c r="H9547" t="str">
        <f>"B"</f>
        <v>B</v>
      </c>
    </row>
    <row r="9548" spans="1:8" x14ac:dyDescent="0.2">
      <c r="A9548" t="str">
        <f t="shared" si="3455"/>
        <v>0625032093</v>
      </c>
      <c r="B9548" t="str">
        <f t="shared" si="3456"/>
        <v>Mike</v>
      </c>
      <c r="C9548" t="str">
        <f t="shared" si="3457"/>
        <v>Leonard</v>
      </c>
      <c r="D9548">
        <f>10</f>
        <v>10</v>
      </c>
      <c r="E9548" t="str">
        <f>"01 - A - 102 - Helen A Flores"</f>
        <v>01 - A - 102 - Helen A Flores</v>
      </c>
      <c r="F9548" t="str">
        <f>"FDN SKLS MATH 9-12"</f>
        <v>FDN SKLS MATH 9-12</v>
      </c>
      <c r="G9548" t="str">
        <f>"21-2101"</f>
        <v>21-2101</v>
      </c>
      <c r="H9548" t="str">
        <f>"A"</f>
        <v>A</v>
      </c>
    </row>
    <row r="9549" spans="1:8" x14ac:dyDescent="0.2">
      <c r="A9549" t="str">
        <f t="shared" si="3455"/>
        <v>0625032093</v>
      </c>
      <c r="B9549" t="str">
        <f t="shared" si="3456"/>
        <v>Mike</v>
      </c>
      <c r="C9549" t="str">
        <f t="shared" si="3457"/>
        <v>Leonard</v>
      </c>
      <c r="D9549">
        <f>10</f>
        <v>10</v>
      </c>
      <c r="E9549" t="str">
        <f>"08 - B - 101 - Elizabeth Ellen  Moran"</f>
        <v>08 - B - 101 - Elizabeth Ellen  Moran</v>
      </c>
      <c r="F9549" t="str">
        <f>"WORLD HISTORY"</f>
        <v>WORLD HISTORY</v>
      </c>
      <c r="G9549" t="str">
        <f>"17-1752"</f>
        <v>17-1752</v>
      </c>
      <c r="H9549" t="str">
        <f>"B"</f>
        <v>B</v>
      </c>
    </row>
    <row r="9550" spans="1:8" x14ac:dyDescent="0.2">
      <c r="A9550" t="str">
        <f t="shared" ref="A9550:A9557" si="3458">"0615001994"</f>
        <v>0615001994</v>
      </c>
      <c r="B9550" t="str">
        <f t="shared" ref="B9550:B9557" si="3459">"KARA"</f>
        <v>KARA</v>
      </c>
      <c r="C9550" t="str">
        <f t="shared" ref="C9550:C9557" si="3460">"LEONCE"</f>
        <v>LEONCE</v>
      </c>
      <c r="D9550">
        <f>11</f>
        <v>11</v>
      </c>
      <c r="E9550" t="str">
        <f>"04 - A - 102 - Brandy N Zdenek"</f>
        <v>04 - A - 102 - Brandy N Zdenek</v>
      </c>
      <c r="F9550" t="str">
        <f>"AICE ENG LANG 2 AL"</f>
        <v>AICE ENG LANG 2 AL</v>
      </c>
      <c r="G9550" t="str">
        <f>"17-1704"</f>
        <v>17-1704</v>
      </c>
      <c r="H9550" t="str">
        <f>"A"</f>
        <v>A</v>
      </c>
    </row>
    <row r="9551" spans="1:8" x14ac:dyDescent="0.2">
      <c r="A9551" t="str">
        <f t="shared" si="3458"/>
        <v>0615001994</v>
      </c>
      <c r="B9551" t="str">
        <f t="shared" si="3459"/>
        <v>KARA</v>
      </c>
      <c r="C9551" t="str">
        <f t="shared" si="3460"/>
        <v>LEONCE</v>
      </c>
      <c r="D9551">
        <f>11</f>
        <v>11</v>
      </c>
      <c r="E9551" t="str">
        <f>"06 - B - 204 - Chrystina M Marchionne"</f>
        <v>06 - B - 204 - Chrystina M Marchionne</v>
      </c>
      <c r="F9551" t="str">
        <f>"AICE MEDIASTUDIES AS"</f>
        <v>AICE MEDIASTUDIES AS</v>
      </c>
      <c r="G9551" t="str">
        <f>"05-520"</f>
        <v>05-520</v>
      </c>
      <c r="H9551" t="str">
        <f>"B"</f>
        <v>B</v>
      </c>
    </row>
    <row r="9552" spans="1:8" x14ac:dyDescent="0.2">
      <c r="A9552" t="str">
        <f t="shared" si="3458"/>
        <v>0615001994</v>
      </c>
      <c r="B9552" t="str">
        <f t="shared" si="3459"/>
        <v>KARA</v>
      </c>
      <c r="C9552" t="str">
        <f t="shared" si="3460"/>
        <v>LEONCE</v>
      </c>
      <c r="D9552">
        <f>11</f>
        <v>11</v>
      </c>
      <c r="E9552" t="str">
        <f>"03 - A - 102 - Thomas G Handwerg"</f>
        <v>03 - A - 102 - Thomas G Handwerg</v>
      </c>
      <c r="F9552" t="str">
        <f>"MATH COLL ALGEBRA"</f>
        <v>MATH COLL ALGEBRA</v>
      </c>
      <c r="G9552" t="str">
        <f>"21-2146"</f>
        <v>21-2146</v>
      </c>
      <c r="H9552" t="str">
        <f>"A"</f>
        <v>A</v>
      </c>
    </row>
    <row r="9553" spans="1:8" x14ac:dyDescent="0.2">
      <c r="A9553" t="str">
        <f t="shared" si="3458"/>
        <v>0615001994</v>
      </c>
      <c r="B9553" t="str">
        <f t="shared" si="3459"/>
        <v>KARA</v>
      </c>
      <c r="C9553" t="str">
        <f t="shared" si="3460"/>
        <v>LEONCE</v>
      </c>
      <c r="D9553">
        <f>11</f>
        <v>11</v>
      </c>
      <c r="E9553" t="str">
        <f>"02 - A - 101 - Timothy J Lawrence"</f>
        <v>02 - A - 101 - Timothy J Lawrence</v>
      </c>
      <c r="F9553" t="str">
        <f>"NC STUDY HALL 1"</f>
        <v>NC STUDY HALL 1</v>
      </c>
      <c r="G9553" t="str">
        <f>"05-522"</f>
        <v>05-522</v>
      </c>
      <c r="H9553" t="str">
        <f>"A"</f>
        <v>A</v>
      </c>
    </row>
    <row r="9554" spans="1:8" x14ac:dyDescent="0.2">
      <c r="A9554" t="str">
        <f t="shared" si="3458"/>
        <v>0615001994</v>
      </c>
      <c r="B9554" t="str">
        <f t="shared" si="3459"/>
        <v>KARA</v>
      </c>
      <c r="C9554" t="str">
        <f t="shared" si="3460"/>
        <v>LEONCE</v>
      </c>
      <c r="D9554">
        <f>11</f>
        <v>11</v>
      </c>
      <c r="E9554" t="str">
        <f>"07 - B - 101 - Jeanne M Bermudez"</f>
        <v>07 - B - 101 - Jeanne M Bermudez</v>
      </c>
      <c r="F9554" t="str">
        <f>"FOUND OF PROGRAM HON"</f>
        <v>FOUND OF PROGRAM HON</v>
      </c>
      <c r="G9554" t="str">
        <f>"21-2141"</f>
        <v>21-2141</v>
      </c>
      <c r="H9554" t="str">
        <f>"B"</f>
        <v>B</v>
      </c>
    </row>
    <row r="9555" spans="1:8" x14ac:dyDescent="0.2">
      <c r="A9555" t="str">
        <f t="shared" si="3458"/>
        <v>0615001994</v>
      </c>
      <c r="B9555" t="str">
        <f t="shared" si="3459"/>
        <v>KARA</v>
      </c>
      <c r="C9555" t="str">
        <f t="shared" si="3460"/>
        <v>LEONCE</v>
      </c>
      <c r="D9555">
        <f>11</f>
        <v>11</v>
      </c>
      <c r="E9555" t="str">
        <f>"05 - B - 102 - Dorothy D Moore"</f>
        <v>05 - B - 102 - Dorothy D Moore</v>
      </c>
      <c r="F9555" t="str">
        <f>"FORC SCI 1 LH"</f>
        <v>FORC SCI 1 LH</v>
      </c>
      <c r="G9555" t="str">
        <f>"08-803"</f>
        <v>08-803</v>
      </c>
      <c r="H9555" t="str">
        <f>"B"</f>
        <v>B</v>
      </c>
    </row>
    <row r="9556" spans="1:8" x14ac:dyDescent="0.2">
      <c r="A9556" t="str">
        <f t="shared" si="3458"/>
        <v>0615001994</v>
      </c>
      <c r="B9556" t="str">
        <f t="shared" si="3459"/>
        <v>KARA</v>
      </c>
      <c r="C9556" t="str">
        <f t="shared" si="3460"/>
        <v>LEONCE</v>
      </c>
      <c r="D9556">
        <f>11</f>
        <v>11</v>
      </c>
      <c r="E9556" t="str">
        <f>"01 - A - 104 - Jerry S Jiampetti"</f>
        <v>01 - A - 104 - Jerry S Jiampetti</v>
      </c>
      <c r="F9556" t="str">
        <f>"US HISTORY HON"</f>
        <v>US HISTORY HON</v>
      </c>
      <c r="G9556" t="str">
        <f>"17-1751"</f>
        <v>17-1751</v>
      </c>
      <c r="H9556" t="str">
        <f>"A"</f>
        <v>A</v>
      </c>
    </row>
    <row r="9557" spans="1:8" x14ac:dyDescent="0.2">
      <c r="A9557" t="str">
        <f t="shared" si="3458"/>
        <v>0615001994</v>
      </c>
      <c r="B9557" t="str">
        <f t="shared" si="3459"/>
        <v>KARA</v>
      </c>
      <c r="C9557" t="str">
        <f t="shared" si="3460"/>
        <v>LEONCE</v>
      </c>
      <c r="D9557">
        <f>11</f>
        <v>11</v>
      </c>
      <c r="E9557" t="str">
        <f>"08 - B - 101 - Jordana K Hass"</f>
        <v>08 - B - 101 - Jordana K Hass</v>
      </c>
      <c r="F9557" t="str">
        <f>"AICE INFO TECH 1 AS"</f>
        <v>AICE INFO TECH 1 AS</v>
      </c>
      <c r="G9557" t="str">
        <f>"08-807"</f>
        <v>08-807</v>
      </c>
      <c r="H9557" t="str">
        <f>"B"</f>
        <v>B</v>
      </c>
    </row>
    <row r="9558" spans="1:8" x14ac:dyDescent="0.2">
      <c r="A9558" t="str">
        <f t="shared" ref="A9558:A9565" si="3461">"0615008295"</f>
        <v>0615008295</v>
      </c>
      <c r="B9558" t="str">
        <f t="shared" ref="B9558:B9565" si="3462">"PRINCE"</f>
        <v>PRINCE</v>
      </c>
      <c r="C9558" t="str">
        <f t="shared" ref="C9558:C9565" si="3463">"LESLEY"</f>
        <v>LESLEY</v>
      </c>
      <c r="D9558">
        <f>12</f>
        <v>12</v>
      </c>
      <c r="E9558" t="str">
        <f>"04 - A - 106 - Marielle A Witting"</f>
        <v>04 - A - 106 - Marielle A Witting</v>
      </c>
      <c r="F9558" t="str">
        <f>"ANAT PHYSIO"</f>
        <v>ANAT PHYSIO</v>
      </c>
      <c r="G9558" t="str">
        <f>"08-805"</f>
        <v>08-805</v>
      </c>
      <c r="H9558" t="str">
        <f>"A"</f>
        <v>A</v>
      </c>
    </row>
    <row r="9559" spans="1:8" x14ac:dyDescent="0.2">
      <c r="A9559" t="str">
        <f t="shared" si="3461"/>
        <v>0615008295</v>
      </c>
      <c r="B9559" t="str">
        <f t="shared" si="3462"/>
        <v>PRINCE</v>
      </c>
      <c r="C9559" t="str">
        <f t="shared" si="3463"/>
        <v>LESLEY</v>
      </c>
      <c r="D9559">
        <f>12</f>
        <v>12</v>
      </c>
      <c r="E9559" t="str">
        <f>"06 - B - 102 - Andrea A Amison"</f>
        <v>06 - B - 102 - Andrea A Amison</v>
      </c>
      <c r="F9559" t="str">
        <f>"NC STUDY HALL 1"</f>
        <v>NC STUDY HALL 1</v>
      </c>
      <c r="G9559" t="str">
        <f>"09-922C"</f>
        <v>09-922C</v>
      </c>
      <c r="H9559" t="str">
        <f>"B"</f>
        <v>B</v>
      </c>
    </row>
    <row r="9560" spans="1:8" x14ac:dyDescent="0.2">
      <c r="A9560" t="str">
        <f t="shared" si="3461"/>
        <v>0615008295</v>
      </c>
      <c r="B9560" t="str">
        <f t="shared" si="3462"/>
        <v>PRINCE</v>
      </c>
      <c r="C9560" t="str">
        <f t="shared" si="3463"/>
        <v>LESLEY</v>
      </c>
      <c r="D9560">
        <f>12</f>
        <v>12</v>
      </c>
      <c r="E9560" t="str">
        <f>"03 - S1 - A - 002 - Barbara L Segal"</f>
        <v>03 - S1 - A - 002 - Barbara L Segal</v>
      </c>
      <c r="F9560" t="str">
        <f>"US GOVT"</f>
        <v>US GOVT</v>
      </c>
      <c r="G9560" t="str">
        <f>"17-1742"</f>
        <v>17-1742</v>
      </c>
      <c r="H9560" t="str">
        <f>"A"</f>
        <v>A</v>
      </c>
    </row>
    <row r="9561" spans="1:8" x14ac:dyDescent="0.2">
      <c r="A9561" t="str">
        <f t="shared" si="3461"/>
        <v>0615008295</v>
      </c>
      <c r="B9561" t="str">
        <f t="shared" si="3462"/>
        <v>PRINCE</v>
      </c>
      <c r="C9561" t="str">
        <f t="shared" si="3463"/>
        <v>LESLEY</v>
      </c>
      <c r="D9561">
        <f>12</f>
        <v>12</v>
      </c>
      <c r="E9561" t="str">
        <f>"02 - A - 101 - Robyn L Trainer"</f>
        <v>02 - A - 101 - Robyn L Trainer</v>
      </c>
      <c r="F9561" t="str">
        <f>"ENG 4"</f>
        <v>ENG 4</v>
      </c>
      <c r="G9561" t="str">
        <f>"17-1734"</f>
        <v>17-1734</v>
      </c>
      <c r="H9561" t="str">
        <f>"A"</f>
        <v>A</v>
      </c>
    </row>
    <row r="9562" spans="1:8" x14ac:dyDescent="0.2">
      <c r="A9562" t="str">
        <f t="shared" si="3461"/>
        <v>0615008295</v>
      </c>
      <c r="B9562" t="str">
        <f t="shared" si="3462"/>
        <v>PRINCE</v>
      </c>
      <c r="C9562" t="str">
        <f t="shared" si="3463"/>
        <v>LESLEY</v>
      </c>
      <c r="D9562">
        <f>12</f>
        <v>12</v>
      </c>
      <c r="E9562" t="str">
        <f>"07 - B - 102 - Tina L Lovett"</f>
        <v>07 - B - 102 - Tina L Lovett</v>
      </c>
      <c r="F9562" t="str">
        <f>"MATH DATA &amp; FIN LIT"</f>
        <v>MATH DATA &amp; FIN LIT</v>
      </c>
      <c r="G9562" t="str">
        <f>"21-2153"</f>
        <v>21-2153</v>
      </c>
      <c r="H9562" t="str">
        <f>"B"</f>
        <v>B</v>
      </c>
    </row>
    <row r="9563" spans="1:8" x14ac:dyDescent="0.2">
      <c r="A9563" t="str">
        <f t="shared" si="3461"/>
        <v>0615008295</v>
      </c>
      <c r="B9563" t="str">
        <f t="shared" si="3462"/>
        <v>PRINCE</v>
      </c>
      <c r="C9563" t="str">
        <f t="shared" si="3463"/>
        <v>LESLEY</v>
      </c>
      <c r="D9563">
        <f>12</f>
        <v>12</v>
      </c>
      <c r="E9563" t="str">
        <f>"05 - B - 101 - Alejandro  Navarro"</f>
        <v>05 - B - 101 - Alejandro  Navarro</v>
      </c>
      <c r="F9563" t="str">
        <f>"GUITAR 2"</f>
        <v>GUITAR 2</v>
      </c>
      <c r="G9563" t="str">
        <f>"05-504"</f>
        <v>05-504</v>
      </c>
      <c r="H9563" t="str">
        <f>"B"</f>
        <v>B</v>
      </c>
    </row>
    <row r="9564" spans="1:8" x14ac:dyDescent="0.2">
      <c r="A9564" t="str">
        <f t="shared" si="3461"/>
        <v>0615008295</v>
      </c>
      <c r="B9564" t="str">
        <f t="shared" si="3462"/>
        <v>PRINCE</v>
      </c>
      <c r="C9564" t="str">
        <f t="shared" si="3463"/>
        <v>LESLEY</v>
      </c>
      <c r="D9564">
        <f>12</f>
        <v>12</v>
      </c>
      <c r="E9564" t="str">
        <f>"01 - S1 - A - 101 - Richard E Dunbar Iii"</f>
        <v>01 - S1 - A - 101 - Richard E Dunbar Iii</v>
      </c>
      <c r="F9564" t="str">
        <f>"WEIGHT TRAIN 3"</f>
        <v>WEIGHT TRAIN 3</v>
      </c>
      <c r="G9564" t="str">
        <f>"05-501"</f>
        <v>05-501</v>
      </c>
      <c r="H9564" t="str">
        <f>"A"</f>
        <v>A</v>
      </c>
    </row>
    <row r="9565" spans="1:8" x14ac:dyDescent="0.2">
      <c r="A9565" t="str">
        <f t="shared" si="3461"/>
        <v>0615008295</v>
      </c>
      <c r="B9565" t="str">
        <f t="shared" si="3462"/>
        <v>PRINCE</v>
      </c>
      <c r="C9565" t="str">
        <f t="shared" si="3463"/>
        <v>LESLEY</v>
      </c>
      <c r="D9565">
        <f>12</f>
        <v>12</v>
      </c>
      <c r="E9565" t="str">
        <f>"08 - B - 102 - Robert H Rindner"</f>
        <v>08 - B - 102 - Robert H Rindner</v>
      </c>
      <c r="F9565" t="str">
        <f>"TV PRODUCTION TECH 1"</f>
        <v>TV PRODUCTION TECH 1</v>
      </c>
      <c r="G9565" t="str">
        <f>"21-2160"</f>
        <v>21-2160</v>
      </c>
      <c r="H9565" t="str">
        <f>"B"</f>
        <v>B</v>
      </c>
    </row>
    <row r="9566" spans="1:8" x14ac:dyDescent="0.2">
      <c r="A9566" t="str">
        <f t="shared" ref="A9566:A9573" si="3464">"0624089535"</f>
        <v>0624089535</v>
      </c>
      <c r="B9566" t="str">
        <f t="shared" ref="B9566:B9573" si="3465">"MIA"</f>
        <v>MIA</v>
      </c>
      <c r="C9566" t="str">
        <f t="shared" ref="C9566:C9573" si="3466">"LEVA CHUCO"</f>
        <v>LEVA CHUCO</v>
      </c>
      <c r="D9566" t="str">
        <f t="shared" ref="D9566:D9573" si="3467">"09"</f>
        <v>09</v>
      </c>
      <c r="E9566" t="str">
        <f>"04 - A - 107 - Amy Beth  Broyles"</f>
        <v>04 - A - 107 - Amy Beth  Broyles</v>
      </c>
      <c r="F9566" t="str">
        <f>"ENV SCI"</f>
        <v>ENV SCI</v>
      </c>
      <c r="G9566" t="str">
        <f>"08-802"</f>
        <v>08-802</v>
      </c>
      <c r="H9566" t="str">
        <f>"A"</f>
        <v>A</v>
      </c>
    </row>
    <row r="9567" spans="1:8" x14ac:dyDescent="0.2">
      <c r="A9567" t="str">
        <f t="shared" si="3464"/>
        <v>0624089535</v>
      </c>
      <c r="B9567" t="str">
        <f t="shared" si="3465"/>
        <v>MIA</v>
      </c>
      <c r="C9567" t="str">
        <f t="shared" si="3466"/>
        <v>LEVA CHUCO</v>
      </c>
      <c r="D9567" t="str">
        <f t="shared" si="3467"/>
        <v>09</v>
      </c>
      <c r="E9567" t="str">
        <f>"06 - B - 202 - Alejandro  Navarro"</f>
        <v>06 - B - 202 - Alejandro  Navarro</v>
      </c>
      <c r="F9567" t="str">
        <f>"BAND 1"</f>
        <v>BAND 1</v>
      </c>
      <c r="G9567" t="str">
        <f>"05-504"</f>
        <v>05-504</v>
      </c>
      <c r="H9567" t="str">
        <f>"B"</f>
        <v>B</v>
      </c>
    </row>
    <row r="9568" spans="1:8" x14ac:dyDescent="0.2">
      <c r="A9568" t="str">
        <f t="shared" si="3464"/>
        <v>0624089535</v>
      </c>
      <c r="B9568" t="str">
        <f t="shared" si="3465"/>
        <v>MIA</v>
      </c>
      <c r="C9568" t="str">
        <f t="shared" si="3466"/>
        <v>LEVA CHUCO</v>
      </c>
      <c r="D9568" t="str">
        <f t="shared" si="3467"/>
        <v>09</v>
      </c>
      <c r="E9568" t="str">
        <f>"03 - A - 105 - Cheryl Anne  Berman-Schechter"</f>
        <v>03 - A - 105 - Cheryl Anne  Berman-Schechter</v>
      </c>
      <c r="F9568" t="str">
        <f>"ENG 1"</f>
        <v>ENG 1</v>
      </c>
      <c r="G9568" t="str">
        <f>"17-1722"</f>
        <v>17-1722</v>
      </c>
      <c r="H9568" t="str">
        <f>"A"</f>
        <v>A</v>
      </c>
    </row>
    <row r="9569" spans="1:8" x14ac:dyDescent="0.2">
      <c r="A9569" t="str">
        <f t="shared" si="3464"/>
        <v>0624089535</v>
      </c>
      <c r="B9569" t="str">
        <f t="shared" si="3465"/>
        <v>MIA</v>
      </c>
      <c r="C9569" t="str">
        <f t="shared" si="3466"/>
        <v>LEVA CHUCO</v>
      </c>
      <c r="D9569" t="str">
        <f t="shared" si="3467"/>
        <v>09</v>
      </c>
      <c r="E9569" t="str">
        <f>"02 - A - 102 - Fernando  Vega-Cid"</f>
        <v>02 - A - 102 - Fernando  Vega-Cid</v>
      </c>
      <c r="F9569" t="str">
        <f>"NC STUDY HALL 1"</f>
        <v>NC STUDY HALL 1</v>
      </c>
      <c r="G9569" t="str">
        <f>"21-2163"</f>
        <v>21-2163</v>
      </c>
      <c r="H9569" t="str">
        <f>"A"</f>
        <v>A</v>
      </c>
    </row>
    <row r="9570" spans="1:8" x14ac:dyDescent="0.2">
      <c r="A9570" t="str">
        <f t="shared" si="3464"/>
        <v>0624089535</v>
      </c>
      <c r="B9570" t="str">
        <f t="shared" si="3465"/>
        <v>MIA</v>
      </c>
      <c r="C9570" t="str">
        <f t="shared" si="3466"/>
        <v>LEVA CHUCO</v>
      </c>
      <c r="D9570" t="str">
        <f t="shared" si="3467"/>
        <v>09</v>
      </c>
      <c r="E9570" t="str">
        <f>"07 - B - 107 - Helen A Flores"</f>
        <v>07 - B - 107 - Helen A Flores</v>
      </c>
      <c r="F9570" t="str">
        <f>"ALGEBRA 1"</f>
        <v>ALGEBRA 1</v>
      </c>
      <c r="G9570" t="str">
        <f>"21-2101"</f>
        <v>21-2101</v>
      </c>
      <c r="H9570" t="str">
        <f>"B"</f>
        <v>B</v>
      </c>
    </row>
    <row r="9571" spans="1:8" x14ac:dyDescent="0.2">
      <c r="A9571" t="str">
        <f t="shared" si="3464"/>
        <v>0624089535</v>
      </c>
      <c r="B9571" t="str">
        <f t="shared" si="3465"/>
        <v>MIA</v>
      </c>
      <c r="C9571" t="str">
        <f t="shared" si="3466"/>
        <v>LEVA CHUCO</v>
      </c>
      <c r="D9571" t="str">
        <f t="shared" si="3467"/>
        <v>09</v>
      </c>
      <c r="E9571" t="str">
        <f>"05 - B - 102 - Vanessa J Pena"</f>
        <v>05 - B - 102 - Vanessa J Pena</v>
      </c>
      <c r="F9571" t="str">
        <f>"DEV LANG ARTS ESOL-R"</f>
        <v>DEV LANG ARTS ESOL-R</v>
      </c>
      <c r="G9571" t="str">
        <f>"09-926"</f>
        <v>09-926</v>
      </c>
      <c r="H9571" t="str">
        <f>"B"</f>
        <v>B</v>
      </c>
    </row>
    <row r="9572" spans="1:8" x14ac:dyDescent="0.2">
      <c r="A9572" t="str">
        <f t="shared" si="3464"/>
        <v>0624089535</v>
      </c>
      <c r="B9572" t="str">
        <f t="shared" si="3465"/>
        <v>MIA</v>
      </c>
      <c r="C9572" t="str">
        <f t="shared" si="3466"/>
        <v>LEVA CHUCO</v>
      </c>
      <c r="D9572" t="str">
        <f t="shared" si="3467"/>
        <v>09</v>
      </c>
      <c r="E9572" t="str">
        <f>"01 - A - 102 - Helen A Flores"</f>
        <v>01 - A - 102 - Helen A Flores</v>
      </c>
      <c r="F9572" t="str">
        <f>"FDN SKLS MATH 9-12"</f>
        <v>FDN SKLS MATH 9-12</v>
      </c>
      <c r="G9572" t="str">
        <f>"21-2101"</f>
        <v>21-2101</v>
      </c>
      <c r="H9572" t="str">
        <f>"A"</f>
        <v>A</v>
      </c>
    </row>
    <row r="9573" spans="1:8" x14ac:dyDescent="0.2">
      <c r="A9573" t="str">
        <f t="shared" si="3464"/>
        <v>0624089535</v>
      </c>
      <c r="B9573" t="str">
        <f t="shared" si="3465"/>
        <v>MIA</v>
      </c>
      <c r="C9573" t="str">
        <f t="shared" si="3466"/>
        <v>LEVA CHUCO</v>
      </c>
      <c r="D9573" t="str">
        <f t="shared" si="3467"/>
        <v>09</v>
      </c>
      <c r="E9573" t="str">
        <f>"08 - B - 101 - Elizabeth Ellen  Moran"</f>
        <v>08 - B - 101 - Elizabeth Ellen  Moran</v>
      </c>
      <c r="F9573" t="str">
        <f>"WORLD HISTORY"</f>
        <v>WORLD HISTORY</v>
      </c>
      <c r="G9573" t="str">
        <f>"17-1752"</f>
        <v>17-1752</v>
      </c>
      <c r="H9573" t="str">
        <f>"B"</f>
        <v>B</v>
      </c>
    </row>
    <row r="9574" spans="1:8" x14ac:dyDescent="0.2">
      <c r="A9574" t="str">
        <f t="shared" ref="A9574:A9581" si="3468">"0615138825"</f>
        <v>0615138825</v>
      </c>
      <c r="B9574" t="str">
        <f t="shared" ref="B9574:B9581" si="3469">"AJALA"</f>
        <v>AJALA</v>
      </c>
      <c r="C9574" t="str">
        <f t="shared" ref="C9574:C9605" si="3470">"LEWIS"</f>
        <v>LEWIS</v>
      </c>
      <c r="D9574">
        <f>10</f>
        <v>10</v>
      </c>
      <c r="E9574" t="str">
        <f>"04 - A - 201 - Alejandro  Navarro"</f>
        <v>04 - A - 201 - Alejandro  Navarro</v>
      </c>
      <c r="F9574" t="str">
        <f>"BAND 4"</f>
        <v>BAND 4</v>
      </c>
      <c r="G9574" t="str">
        <f>"05-504"</f>
        <v>05-504</v>
      </c>
      <c r="H9574" t="str">
        <f>"A"</f>
        <v>A</v>
      </c>
    </row>
    <row r="9575" spans="1:8" x14ac:dyDescent="0.2">
      <c r="A9575" t="str">
        <f t="shared" si="3468"/>
        <v>0615138825</v>
      </c>
      <c r="B9575" t="str">
        <f t="shared" si="3469"/>
        <v>AJALA</v>
      </c>
      <c r="C9575" t="str">
        <f t="shared" si="3470"/>
        <v>LEWIS</v>
      </c>
      <c r="D9575">
        <f>10</f>
        <v>10</v>
      </c>
      <c r="E9575" t="str">
        <f>"06 - B - 103 - Thomas G Handwerg"</f>
        <v>06 - B - 103 - Thomas G Handwerg</v>
      </c>
      <c r="F9575" t="str">
        <f>"NC STUDY HALL 1"</f>
        <v>NC STUDY HALL 1</v>
      </c>
      <c r="G9575" t="str">
        <f>"21-2146"</f>
        <v>21-2146</v>
      </c>
      <c r="H9575" t="str">
        <f>"B"</f>
        <v>B</v>
      </c>
    </row>
    <row r="9576" spans="1:8" x14ac:dyDescent="0.2">
      <c r="A9576" t="str">
        <f t="shared" si="3468"/>
        <v>0615138825</v>
      </c>
      <c r="B9576" t="str">
        <f t="shared" si="3469"/>
        <v>AJALA</v>
      </c>
      <c r="C9576" t="str">
        <f t="shared" si="3470"/>
        <v>LEWIS</v>
      </c>
      <c r="D9576">
        <f>10</f>
        <v>10</v>
      </c>
      <c r="E9576" t="str">
        <f>"03 - A - 103 - Courtney E Hambright"</f>
        <v>03 - A - 103 - Courtney E Hambright</v>
      </c>
      <c r="F9576" t="str">
        <f>"AICE ENG LANG AS"</f>
        <v>AICE ENG LANG AS</v>
      </c>
      <c r="G9576" t="str">
        <f>"17-1711"</f>
        <v>17-1711</v>
      </c>
      <c r="H9576" t="str">
        <f>"A"</f>
        <v>A</v>
      </c>
    </row>
    <row r="9577" spans="1:8" x14ac:dyDescent="0.2">
      <c r="A9577" t="str">
        <f t="shared" si="3468"/>
        <v>0615138825</v>
      </c>
      <c r="B9577" t="str">
        <f t="shared" si="3469"/>
        <v>AJALA</v>
      </c>
      <c r="C9577" t="str">
        <f t="shared" si="3470"/>
        <v>LEWIS</v>
      </c>
      <c r="D9577">
        <f>10</f>
        <v>10</v>
      </c>
      <c r="E9577" t="str">
        <f>"02 - A - 104 - Scott A Dethloff"</f>
        <v>02 - A - 104 - Scott A Dethloff</v>
      </c>
      <c r="F9577" t="str">
        <f>"CHEMISTRY 1 HON"</f>
        <v>CHEMISTRY 1 HON</v>
      </c>
      <c r="G9577" t="str">
        <f>"08-812"</f>
        <v>08-812</v>
      </c>
      <c r="H9577" t="str">
        <f>"A"</f>
        <v>A</v>
      </c>
    </row>
    <row r="9578" spans="1:8" x14ac:dyDescent="0.2">
      <c r="A9578" t="str">
        <f t="shared" si="3468"/>
        <v>0615138825</v>
      </c>
      <c r="B9578" t="str">
        <f t="shared" si="3469"/>
        <v>AJALA</v>
      </c>
      <c r="C9578" t="str">
        <f t="shared" si="3470"/>
        <v>LEWIS</v>
      </c>
      <c r="D9578">
        <f>10</f>
        <v>10</v>
      </c>
      <c r="E9578" t="str">
        <f>"07 - B - 107 - Rosa Elaine  Collado-Duff"</f>
        <v>07 - B - 107 - Rosa Elaine  Collado-Duff</v>
      </c>
      <c r="F9578" t="str">
        <f>"PRE-AICE SPAN 2 IG"</f>
        <v>PRE-AICE SPAN 2 IG</v>
      </c>
      <c r="G9578" t="str">
        <f>"09-913"</f>
        <v>09-913</v>
      </c>
      <c r="H9578" t="str">
        <f>"B"</f>
        <v>B</v>
      </c>
    </row>
    <row r="9579" spans="1:8" x14ac:dyDescent="0.2">
      <c r="A9579" t="str">
        <f t="shared" si="3468"/>
        <v>0615138825</v>
      </c>
      <c r="B9579" t="str">
        <f t="shared" si="3469"/>
        <v>AJALA</v>
      </c>
      <c r="C9579" t="str">
        <f t="shared" si="3470"/>
        <v>LEWIS</v>
      </c>
      <c r="D9579">
        <f>10</f>
        <v>10</v>
      </c>
      <c r="E9579" t="str">
        <f>"05 - B - 203 - Chrystina M Marchionne"</f>
        <v>05 - B - 203 - Chrystina M Marchionne</v>
      </c>
      <c r="F9579" t="str">
        <f>"AICE MEDIASTUDIES AS"</f>
        <v>AICE MEDIASTUDIES AS</v>
      </c>
      <c r="G9579" t="str">
        <f>"05-520"</f>
        <v>05-520</v>
      </c>
      <c r="H9579" t="str">
        <f>"B"</f>
        <v>B</v>
      </c>
    </row>
    <row r="9580" spans="1:8" x14ac:dyDescent="0.2">
      <c r="A9580" t="str">
        <f t="shared" si="3468"/>
        <v>0615138825</v>
      </c>
      <c r="B9580" t="str">
        <f t="shared" si="3469"/>
        <v>AJALA</v>
      </c>
      <c r="C9580" t="str">
        <f t="shared" si="3470"/>
        <v>LEWIS</v>
      </c>
      <c r="D9580">
        <f>10</f>
        <v>10</v>
      </c>
      <c r="E9580" t="str">
        <f>"01 - A - 101 - Lourivaldo  Da Silva"</f>
        <v>01 - A - 101 - Lourivaldo  Da Silva</v>
      </c>
      <c r="F9580" t="str">
        <f>"ALGEBRA 2 HON"</f>
        <v>ALGEBRA 2 HON</v>
      </c>
      <c r="G9580" t="str">
        <f>"20-2079"</f>
        <v>20-2079</v>
      </c>
      <c r="H9580" t="str">
        <f>"A"</f>
        <v>A</v>
      </c>
    </row>
    <row r="9581" spans="1:8" x14ac:dyDescent="0.2">
      <c r="A9581" t="str">
        <f t="shared" si="3468"/>
        <v>0615138825</v>
      </c>
      <c r="B9581" t="str">
        <f t="shared" si="3469"/>
        <v>AJALA</v>
      </c>
      <c r="C9581" t="str">
        <f t="shared" si="3470"/>
        <v>LEWIS</v>
      </c>
      <c r="D9581">
        <f>10</f>
        <v>10</v>
      </c>
      <c r="E9581" t="str">
        <f>"08 - B - 201 - Lenecy  Nodarse"</f>
        <v>08 - B - 201 - Lenecy  Nodarse</v>
      </c>
      <c r="F9581" t="str">
        <f>"AICE EURO HIST 1 AS"</f>
        <v>AICE EURO HIST 1 AS</v>
      </c>
      <c r="G9581" t="str">
        <f>"17-1741"</f>
        <v>17-1741</v>
      </c>
      <c r="H9581" t="str">
        <f>"B"</f>
        <v>B</v>
      </c>
    </row>
    <row r="9582" spans="1:8" x14ac:dyDescent="0.2">
      <c r="A9582" t="str">
        <f t="shared" ref="A9582:A9590" si="3471">"0615102455"</f>
        <v>0615102455</v>
      </c>
      <c r="B9582" t="str">
        <f t="shared" ref="B9582:B9590" si="3472">"ANTON"</f>
        <v>ANTON</v>
      </c>
      <c r="C9582" t="str">
        <f t="shared" si="3470"/>
        <v>LEWIS</v>
      </c>
      <c r="D9582">
        <f>10</f>
        <v>10</v>
      </c>
      <c r="E9582" t="str">
        <f>"04 - A - 101 - Jeanne M Bermudez"</f>
        <v>04 - A - 101 - Jeanne M Bermudez</v>
      </c>
      <c r="F9582" t="str">
        <f>"ADVANCED IT HON"</f>
        <v>ADVANCED IT HON</v>
      </c>
      <c r="G9582" t="str">
        <f>"21-2141"</f>
        <v>21-2141</v>
      </c>
      <c r="H9582" t="str">
        <f>"A"</f>
        <v>A</v>
      </c>
    </row>
    <row r="9583" spans="1:8" x14ac:dyDescent="0.2">
      <c r="A9583" t="str">
        <f t="shared" si="3471"/>
        <v>0615102455</v>
      </c>
      <c r="B9583" t="str">
        <f t="shared" si="3472"/>
        <v>ANTON</v>
      </c>
      <c r="C9583" t="str">
        <f t="shared" si="3470"/>
        <v>LEWIS</v>
      </c>
      <c r="D9583">
        <f>10</f>
        <v>10</v>
      </c>
      <c r="E9583" t="str">
        <f>"06 - B - 002 - Lenecy  Nodarse"</f>
        <v>06 - B - 002 - Lenecy  Nodarse</v>
      </c>
      <c r="F9583" t="str">
        <f>"NC STUDY HALL 1"</f>
        <v>NC STUDY HALL 1</v>
      </c>
      <c r="G9583" t="str">
        <f>"17-1741"</f>
        <v>17-1741</v>
      </c>
      <c r="H9583" t="str">
        <f>"B"</f>
        <v>B</v>
      </c>
    </row>
    <row r="9584" spans="1:8" x14ac:dyDescent="0.2">
      <c r="A9584" t="str">
        <f t="shared" si="3471"/>
        <v>0615102455</v>
      </c>
      <c r="B9584" t="str">
        <f t="shared" si="3472"/>
        <v>ANTON</v>
      </c>
      <c r="C9584" t="str">
        <f t="shared" si="3470"/>
        <v>LEWIS</v>
      </c>
      <c r="D9584">
        <f>10</f>
        <v>10</v>
      </c>
      <c r="E9584" t="str">
        <f>"06 - B - 106 - Eric  Lopapa"</f>
        <v>06 - B - 106 - Eric  Lopapa</v>
      </c>
      <c r="F9584" t="str">
        <f>"LANG THERAPY"</f>
        <v>LANG THERAPY</v>
      </c>
      <c r="G9584" t="str">
        <f>"21-2110"</f>
        <v>21-2110</v>
      </c>
      <c r="H9584" t="str">
        <f>"B"</f>
        <v>B</v>
      </c>
    </row>
    <row r="9585" spans="1:8" x14ac:dyDescent="0.2">
      <c r="A9585" t="str">
        <f t="shared" si="3471"/>
        <v>0615102455</v>
      </c>
      <c r="B9585" t="str">
        <f t="shared" si="3472"/>
        <v>ANTON</v>
      </c>
      <c r="C9585" t="str">
        <f t="shared" si="3470"/>
        <v>LEWIS</v>
      </c>
      <c r="D9585">
        <f>10</f>
        <v>10</v>
      </c>
      <c r="E9585" t="str">
        <f>"03 - A - 103 - Jacquelyn M Neeson"</f>
        <v>03 - A - 103 - Jacquelyn M Neeson</v>
      </c>
      <c r="F9585" t="str">
        <f>"ENG 2"</f>
        <v>ENG 2</v>
      </c>
      <c r="G9585" t="str">
        <f>"17-1715"</f>
        <v>17-1715</v>
      </c>
      <c r="H9585" t="str">
        <f>"A"</f>
        <v>A</v>
      </c>
    </row>
    <row r="9586" spans="1:8" x14ac:dyDescent="0.2">
      <c r="A9586" t="str">
        <f t="shared" si="3471"/>
        <v>0615102455</v>
      </c>
      <c r="B9586" t="str">
        <f t="shared" si="3472"/>
        <v>ANTON</v>
      </c>
      <c r="C9586" t="str">
        <f t="shared" si="3470"/>
        <v>LEWIS</v>
      </c>
      <c r="D9586">
        <f>10</f>
        <v>10</v>
      </c>
      <c r="E9586" t="str">
        <f>"02 - A - 102 - Taraneh C Abreu"</f>
        <v>02 - A - 102 - Taraneh C Abreu</v>
      </c>
      <c r="F9586" t="str">
        <f>"INTENS READ 2"</f>
        <v>INTENS READ 2</v>
      </c>
      <c r="G9586" t="str">
        <f>"17-1713"</f>
        <v>17-1713</v>
      </c>
      <c r="H9586" t="str">
        <f>"A"</f>
        <v>A</v>
      </c>
    </row>
    <row r="9587" spans="1:8" x14ac:dyDescent="0.2">
      <c r="A9587" t="str">
        <f t="shared" si="3471"/>
        <v>0615102455</v>
      </c>
      <c r="B9587" t="str">
        <f t="shared" si="3472"/>
        <v>ANTON</v>
      </c>
      <c r="C9587" t="str">
        <f t="shared" si="3470"/>
        <v>LEWIS</v>
      </c>
      <c r="D9587">
        <f>10</f>
        <v>10</v>
      </c>
      <c r="E9587" t="str">
        <f>"07 - B - 107 - Lytrell T Dixon"</f>
        <v>07 - B - 107 - Lytrell T Dixon</v>
      </c>
      <c r="F9587" t="str">
        <f>"BIOLOGY 1"</f>
        <v>BIOLOGY 1</v>
      </c>
      <c r="G9587" t="str">
        <f>"08-808"</f>
        <v>08-808</v>
      </c>
      <c r="H9587" t="str">
        <f>"B"</f>
        <v>B</v>
      </c>
    </row>
    <row r="9588" spans="1:8" x14ac:dyDescent="0.2">
      <c r="A9588" t="str">
        <f t="shared" si="3471"/>
        <v>0615102455</v>
      </c>
      <c r="B9588" t="str">
        <f t="shared" si="3472"/>
        <v>ANTON</v>
      </c>
      <c r="C9588" t="str">
        <f t="shared" si="3470"/>
        <v>LEWIS</v>
      </c>
      <c r="D9588">
        <f>10</f>
        <v>10</v>
      </c>
      <c r="E9588" t="str">
        <f>"05 - B - 104 - Joe  Kilpatrick Jr"</f>
        <v>05 - B - 104 - Joe  Kilpatrick Jr</v>
      </c>
      <c r="F9588" t="str">
        <f>"PRE-AICE SPAN 1 IG"</f>
        <v>PRE-AICE SPAN 1 IG</v>
      </c>
      <c r="G9588" t="str">
        <f>"09-912"</f>
        <v>09-912</v>
      </c>
      <c r="H9588" t="str">
        <f>"B"</f>
        <v>B</v>
      </c>
    </row>
    <row r="9589" spans="1:8" x14ac:dyDescent="0.2">
      <c r="A9589" t="str">
        <f t="shared" si="3471"/>
        <v>0615102455</v>
      </c>
      <c r="B9589" t="str">
        <f t="shared" si="3472"/>
        <v>ANTON</v>
      </c>
      <c r="C9589" t="str">
        <f t="shared" si="3470"/>
        <v>LEWIS</v>
      </c>
      <c r="D9589">
        <f>10</f>
        <v>10</v>
      </c>
      <c r="E9589" t="str">
        <f>"01 - A - 104 - Milca  Exantus"</f>
        <v>01 - A - 104 - Milca  Exantus</v>
      </c>
      <c r="F9589" t="str">
        <f>"MATH COLLEGE LIB ART"</f>
        <v>MATH COLLEGE LIB ART</v>
      </c>
      <c r="G9589" t="str">
        <f>"21-2145"</f>
        <v>21-2145</v>
      </c>
      <c r="H9589" t="str">
        <f>"A"</f>
        <v>A</v>
      </c>
    </row>
    <row r="9590" spans="1:8" x14ac:dyDescent="0.2">
      <c r="A9590" t="str">
        <f t="shared" si="3471"/>
        <v>0615102455</v>
      </c>
      <c r="B9590" t="str">
        <f t="shared" si="3472"/>
        <v>ANTON</v>
      </c>
      <c r="C9590" t="str">
        <f t="shared" si="3470"/>
        <v>LEWIS</v>
      </c>
      <c r="D9590">
        <f>10</f>
        <v>10</v>
      </c>
      <c r="E9590" t="str">
        <f>"08 - S1 - B - 102 - Kyle  Robbins"</f>
        <v>08 - S1 - B - 102 - Kyle  Robbins</v>
      </c>
      <c r="F9590" t="str">
        <f>"PERS FIN &amp; MON MGT H"</f>
        <v>PERS FIN &amp; MON MGT H</v>
      </c>
      <c r="G9590" t="str">
        <f>"17-1745"</f>
        <v>17-1745</v>
      </c>
      <c r="H9590" t="str">
        <f>"B"</f>
        <v>B</v>
      </c>
    </row>
    <row r="9591" spans="1:8" x14ac:dyDescent="0.2">
      <c r="A9591" t="str">
        <f t="shared" ref="A9591:A9598" si="3473">"0615054282"</f>
        <v>0615054282</v>
      </c>
      <c r="B9591" t="str">
        <f t="shared" ref="B9591:B9598" si="3474">"HAYLEE"</f>
        <v>HAYLEE</v>
      </c>
      <c r="C9591" t="str">
        <f t="shared" si="3470"/>
        <v>LEWIS</v>
      </c>
      <c r="D9591">
        <f>10</f>
        <v>10</v>
      </c>
      <c r="E9591" t="str">
        <f>"04 - A - 104 - Laselleda D Shaw"</f>
        <v>04 - A - 104 - Laselleda D Shaw</v>
      </c>
      <c r="F9591" t="str">
        <f>"INTENS READ 2"</f>
        <v>INTENS READ 2</v>
      </c>
      <c r="G9591" t="str">
        <f>"17-1723"</f>
        <v>17-1723</v>
      </c>
      <c r="H9591" t="str">
        <f>"A"</f>
        <v>A</v>
      </c>
    </row>
    <row r="9592" spans="1:8" x14ac:dyDescent="0.2">
      <c r="A9592" t="str">
        <f t="shared" si="3473"/>
        <v>0615054282</v>
      </c>
      <c r="B9592" t="str">
        <f t="shared" si="3474"/>
        <v>HAYLEE</v>
      </c>
      <c r="C9592" t="str">
        <f t="shared" si="3470"/>
        <v>LEWIS</v>
      </c>
      <c r="D9592">
        <f>10</f>
        <v>10</v>
      </c>
      <c r="E9592" t="str">
        <f>"06 - B - 105 - Jeffrey S Gallagher"</f>
        <v>06 - B - 105 - Jeffrey S Gallagher</v>
      </c>
      <c r="F9592" t="str">
        <f>"NC STUDY HALL 1"</f>
        <v>NC STUDY HALL 1</v>
      </c>
      <c r="G9592" t="str">
        <f>"17-1724"</f>
        <v>17-1724</v>
      </c>
      <c r="H9592" t="str">
        <f>"B"</f>
        <v>B</v>
      </c>
    </row>
    <row r="9593" spans="1:8" x14ac:dyDescent="0.2">
      <c r="A9593" t="str">
        <f t="shared" si="3473"/>
        <v>0615054282</v>
      </c>
      <c r="B9593" t="str">
        <f t="shared" si="3474"/>
        <v>HAYLEE</v>
      </c>
      <c r="C9593" t="str">
        <f t="shared" si="3470"/>
        <v>LEWIS</v>
      </c>
      <c r="D9593">
        <f>10</f>
        <v>10</v>
      </c>
      <c r="E9593" t="str">
        <f>"03 - A - 201 - Alejandro  Navarro"</f>
        <v>03 - A - 201 - Alejandro  Navarro</v>
      </c>
      <c r="F9593" t="str">
        <f>"BAND 2"</f>
        <v>BAND 2</v>
      </c>
      <c r="G9593" t="str">
        <f>"05-504"</f>
        <v>05-504</v>
      </c>
      <c r="H9593" t="str">
        <f>"A"</f>
        <v>A</v>
      </c>
    </row>
    <row r="9594" spans="1:8" x14ac:dyDescent="0.2">
      <c r="A9594" t="str">
        <f t="shared" si="3473"/>
        <v>0615054282</v>
      </c>
      <c r="B9594" t="str">
        <f t="shared" si="3474"/>
        <v>HAYLEE</v>
      </c>
      <c r="C9594" t="str">
        <f t="shared" si="3470"/>
        <v>LEWIS</v>
      </c>
      <c r="D9594">
        <f>10</f>
        <v>10</v>
      </c>
      <c r="E9594" t="str">
        <f>"02 - A - 101 - Brian M Fitzgerald"</f>
        <v>02 - A - 101 - Brian M Fitzgerald</v>
      </c>
      <c r="F9594" t="str">
        <f>"DRAW 1"</f>
        <v>DRAW 1</v>
      </c>
      <c r="G9594" t="str">
        <f>"09-908"</f>
        <v>09-908</v>
      </c>
      <c r="H9594" t="str">
        <f>"A"</f>
        <v>A</v>
      </c>
    </row>
    <row r="9595" spans="1:8" x14ac:dyDescent="0.2">
      <c r="A9595" t="str">
        <f t="shared" si="3473"/>
        <v>0615054282</v>
      </c>
      <c r="B9595" t="str">
        <f t="shared" si="3474"/>
        <v>HAYLEE</v>
      </c>
      <c r="C9595" t="str">
        <f t="shared" si="3470"/>
        <v>LEWIS</v>
      </c>
      <c r="D9595">
        <f>10</f>
        <v>10</v>
      </c>
      <c r="E9595" t="str">
        <f>"07 - S1 - B - 102 - Arthur  Kulawik"</f>
        <v>07 - S1 - B - 102 - Arthur  Kulawik</v>
      </c>
      <c r="F9595" t="str">
        <f>"PERS FIN &amp; MON MGT H"</f>
        <v>PERS FIN &amp; MON MGT H</v>
      </c>
      <c r="G9595" t="str">
        <f>"05-506"</f>
        <v>05-506</v>
      </c>
      <c r="H9595" t="str">
        <f>"B"</f>
        <v>B</v>
      </c>
    </row>
    <row r="9596" spans="1:8" x14ac:dyDescent="0.2">
      <c r="A9596" t="str">
        <f t="shared" si="3473"/>
        <v>0615054282</v>
      </c>
      <c r="B9596" t="str">
        <f t="shared" si="3474"/>
        <v>HAYLEE</v>
      </c>
      <c r="C9596" t="str">
        <f t="shared" si="3470"/>
        <v>LEWIS</v>
      </c>
      <c r="D9596">
        <f>10</f>
        <v>10</v>
      </c>
      <c r="E9596" t="str">
        <f>"05 - B - 106 - Milca  Exantus"</f>
        <v>05 - B - 106 - Milca  Exantus</v>
      </c>
      <c r="F9596" t="str">
        <f>"MATH COLLEGE LIB ART"</f>
        <v>MATH COLLEGE LIB ART</v>
      </c>
      <c r="G9596" t="str">
        <f>"21-2145"</f>
        <v>21-2145</v>
      </c>
      <c r="H9596" t="str">
        <f>"B"</f>
        <v>B</v>
      </c>
    </row>
    <row r="9597" spans="1:8" x14ac:dyDescent="0.2">
      <c r="A9597" t="str">
        <f t="shared" si="3473"/>
        <v>0615054282</v>
      </c>
      <c r="B9597" t="str">
        <f t="shared" si="3474"/>
        <v>HAYLEE</v>
      </c>
      <c r="C9597" t="str">
        <f t="shared" si="3470"/>
        <v>LEWIS</v>
      </c>
      <c r="D9597">
        <f>10</f>
        <v>10</v>
      </c>
      <c r="E9597" t="str">
        <f>"01 - A - 102 - Lytrell T Dixon"</f>
        <v>01 - A - 102 - Lytrell T Dixon</v>
      </c>
      <c r="F9597" t="str">
        <f>"BIOLOGY 1"</f>
        <v>BIOLOGY 1</v>
      </c>
      <c r="G9597" t="str">
        <f>"08-808"</f>
        <v>08-808</v>
      </c>
      <c r="H9597" t="str">
        <f>"A"</f>
        <v>A</v>
      </c>
    </row>
    <row r="9598" spans="1:8" x14ac:dyDescent="0.2">
      <c r="A9598" t="str">
        <f t="shared" si="3473"/>
        <v>0615054282</v>
      </c>
      <c r="B9598" t="str">
        <f t="shared" si="3474"/>
        <v>HAYLEE</v>
      </c>
      <c r="C9598" t="str">
        <f t="shared" si="3470"/>
        <v>LEWIS</v>
      </c>
      <c r="D9598">
        <f>10</f>
        <v>10</v>
      </c>
      <c r="E9598" t="str">
        <f>"08 - B - 109 - Nikiel  Nesbeth"</f>
        <v>08 - B - 109 - Nikiel  Nesbeth</v>
      </c>
      <c r="F9598" t="str">
        <f>"ENG 2"</f>
        <v>ENG 2</v>
      </c>
      <c r="G9598" t="str">
        <f>"17-1705"</f>
        <v>17-1705</v>
      </c>
      <c r="H9598" t="str">
        <f>"B"</f>
        <v>B</v>
      </c>
    </row>
    <row r="9599" spans="1:8" x14ac:dyDescent="0.2">
      <c r="A9599" t="str">
        <f t="shared" ref="A9599:A9606" si="3475">"0612007816"</f>
        <v>0612007816</v>
      </c>
      <c r="B9599" t="str">
        <f t="shared" ref="B9599:B9606" si="3476">"JOHNAVIN"</f>
        <v>JOHNAVIN</v>
      </c>
      <c r="C9599" t="str">
        <f t="shared" si="3470"/>
        <v>LEWIS</v>
      </c>
      <c r="D9599">
        <f>10</f>
        <v>10</v>
      </c>
      <c r="E9599" t="str">
        <f>"04 - S1 - A - 101 - Kyle  Robbins"</f>
        <v>04 - S1 - A - 101 - Kyle  Robbins</v>
      </c>
      <c r="F9599" t="str">
        <f>"PERS FIN &amp; MON MGT H"</f>
        <v>PERS FIN &amp; MON MGT H</v>
      </c>
      <c r="G9599" t="str">
        <f>"17-1745"</f>
        <v>17-1745</v>
      </c>
      <c r="H9599" t="str">
        <f>"A"</f>
        <v>A</v>
      </c>
    </row>
    <row r="9600" spans="1:8" x14ac:dyDescent="0.2">
      <c r="A9600" t="str">
        <f t="shared" si="3475"/>
        <v>0612007816</v>
      </c>
      <c r="B9600" t="str">
        <f t="shared" si="3476"/>
        <v>JOHNAVIN</v>
      </c>
      <c r="C9600" t="str">
        <f t="shared" si="3470"/>
        <v>LEWIS</v>
      </c>
      <c r="D9600">
        <f>10</f>
        <v>10</v>
      </c>
      <c r="E9600" t="str">
        <f>"06 - B - 115 - Scott A Dethloff"</f>
        <v>06 - B - 115 - Scott A Dethloff</v>
      </c>
      <c r="F9600" t="str">
        <f>"NC STUDY HALL 1"</f>
        <v>NC STUDY HALL 1</v>
      </c>
      <c r="G9600" t="str">
        <f>"08-812"</f>
        <v>08-812</v>
      </c>
      <c r="H9600" t="str">
        <f>"B"</f>
        <v>B</v>
      </c>
    </row>
    <row r="9601" spans="1:8" x14ac:dyDescent="0.2">
      <c r="A9601" t="str">
        <f t="shared" si="3475"/>
        <v>0612007816</v>
      </c>
      <c r="B9601" t="str">
        <f t="shared" si="3476"/>
        <v>JOHNAVIN</v>
      </c>
      <c r="C9601" t="str">
        <f t="shared" si="3470"/>
        <v>LEWIS</v>
      </c>
      <c r="D9601">
        <f>10</f>
        <v>10</v>
      </c>
      <c r="E9601" t="str">
        <f>"03 - A - 206 - Josiah I Lacy"</f>
        <v>03 - A - 206 - Josiah I Lacy</v>
      </c>
      <c r="F9601" t="str">
        <f>"BIOLOGY 1"</f>
        <v>BIOLOGY 1</v>
      </c>
      <c r="G9601" t="str">
        <f>"08-801"</f>
        <v>08-801</v>
      </c>
      <c r="H9601" t="str">
        <f>"A"</f>
        <v>A</v>
      </c>
    </row>
    <row r="9602" spans="1:8" x14ac:dyDescent="0.2">
      <c r="A9602" t="str">
        <f t="shared" si="3475"/>
        <v>0612007816</v>
      </c>
      <c r="B9602" t="str">
        <f t="shared" si="3476"/>
        <v>JOHNAVIN</v>
      </c>
      <c r="C9602" t="str">
        <f t="shared" si="3470"/>
        <v>LEWIS</v>
      </c>
      <c r="D9602">
        <f>10</f>
        <v>10</v>
      </c>
      <c r="E9602" t="str">
        <f>"02 - S1 - A - 102 - Richard E Dunbar Iii"</f>
        <v>02 - S1 - A - 102 - Richard E Dunbar Iii</v>
      </c>
      <c r="F9602" t="str">
        <f>"WEIGHT TRAIN 3"</f>
        <v>WEIGHT TRAIN 3</v>
      </c>
      <c r="G9602" t="str">
        <f>"05-501"</f>
        <v>05-501</v>
      </c>
      <c r="H9602" t="str">
        <f>"A"</f>
        <v>A</v>
      </c>
    </row>
    <row r="9603" spans="1:8" x14ac:dyDescent="0.2">
      <c r="A9603" t="str">
        <f t="shared" si="3475"/>
        <v>0612007816</v>
      </c>
      <c r="B9603" t="str">
        <f t="shared" si="3476"/>
        <v>JOHNAVIN</v>
      </c>
      <c r="C9603" t="str">
        <f t="shared" si="3470"/>
        <v>LEWIS</v>
      </c>
      <c r="D9603">
        <f>10</f>
        <v>10</v>
      </c>
      <c r="E9603" t="str">
        <f>"07 - B - 106 - Taraneh C Abreu"</f>
        <v>07 - B - 106 - Taraneh C Abreu</v>
      </c>
      <c r="F9603" t="str">
        <f>"INTENS READ 2"</f>
        <v>INTENS READ 2</v>
      </c>
      <c r="G9603" t="str">
        <f>"17-1713"</f>
        <v>17-1713</v>
      </c>
      <c r="H9603" t="str">
        <f>"B"</f>
        <v>B</v>
      </c>
    </row>
    <row r="9604" spans="1:8" x14ac:dyDescent="0.2">
      <c r="A9604" t="str">
        <f t="shared" si="3475"/>
        <v>0612007816</v>
      </c>
      <c r="B9604" t="str">
        <f t="shared" si="3476"/>
        <v>JOHNAVIN</v>
      </c>
      <c r="C9604" t="str">
        <f t="shared" si="3470"/>
        <v>LEWIS</v>
      </c>
      <c r="D9604">
        <f>10</f>
        <v>10</v>
      </c>
      <c r="E9604" t="str">
        <f>"05 - B - 106 - Milca  Exantus"</f>
        <v>05 - B - 106 - Milca  Exantus</v>
      </c>
      <c r="F9604" t="str">
        <f>"MATH COLLEGE LIB ART"</f>
        <v>MATH COLLEGE LIB ART</v>
      </c>
      <c r="G9604" t="str">
        <f>"21-2145"</f>
        <v>21-2145</v>
      </c>
      <c r="H9604" t="str">
        <f>"B"</f>
        <v>B</v>
      </c>
    </row>
    <row r="9605" spans="1:8" x14ac:dyDescent="0.2">
      <c r="A9605" t="str">
        <f t="shared" si="3475"/>
        <v>0612007816</v>
      </c>
      <c r="B9605" t="str">
        <f t="shared" si="3476"/>
        <v>JOHNAVIN</v>
      </c>
      <c r="C9605" t="str">
        <f t="shared" si="3470"/>
        <v>LEWIS</v>
      </c>
      <c r="D9605">
        <f>10</f>
        <v>10</v>
      </c>
      <c r="E9605" t="str">
        <f>"01 - A - 504 - Alejandro  Navarro"</f>
        <v>01 - A - 504 - Alejandro  Navarro</v>
      </c>
      <c r="F9605" t="str">
        <f>"BAND 1"</f>
        <v>BAND 1</v>
      </c>
      <c r="G9605" t="str">
        <f>"05-504"</f>
        <v>05-504</v>
      </c>
      <c r="H9605" t="str">
        <f>"A"</f>
        <v>A</v>
      </c>
    </row>
    <row r="9606" spans="1:8" x14ac:dyDescent="0.2">
      <c r="A9606" t="str">
        <f t="shared" si="3475"/>
        <v>0612007816</v>
      </c>
      <c r="B9606" t="str">
        <f t="shared" si="3476"/>
        <v>JOHNAVIN</v>
      </c>
      <c r="C9606" t="str">
        <f t="shared" ref="C9606:C9637" si="3477">"LEWIS"</f>
        <v>LEWIS</v>
      </c>
      <c r="D9606">
        <f>10</f>
        <v>10</v>
      </c>
      <c r="E9606" t="str">
        <f>"08 - B - 109 - Nikiel  Nesbeth"</f>
        <v>08 - B - 109 - Nikiel  Nesbeth</v>
      </c>
      <c r="F9606" t="str">
        <f>"ENG 2"</f>
        <v>ENG 2</v>
      </c>
      <c r="G9606" t="str">
        <f>"17-1705"</f>
        <v>17-1705</v>
      </c>
      <c r="H9606" t="str">
        <f>"B"</f>
        <v>B</v>
      </c>
    </row>
    <row r="9607" spans="1:8" x14ac:dyDescent="0.2">
      <c r="A9607" t="str">
        <f t="shared" ref="A9607:A9615" si="3478">"0617126981"</f>
        <v>0617126981</v>
      </c>
      <c r="B9607" t="str">
        <f t="shared" ref="B9607:B9615" si="3479">"KAMARI"</f>
        <v>KAMARI</v>
      </c>
      <c r="C9607" t="str">
        <f t="shared" si="3477"/>
        <v>LEWIS</v>
      </c>
      <c r="D9607">
        <f>10</f>
        <v>10</v>
      </c>
      <c r="E9607" t="str">
        <f>"04 - A - 205 - Lytrell T Dixon"</f>
        <v>04 - A - 205 - Lytrell T Dixon</v>
      </c>
      <c r="F9607" t="str">
        <f>"BIOLOGY 1"</f>
        <v>BIOLOGY 1</v>
      </c>
      <c r="G9607" t="str">
        <f>"08-808"</f>
        <v>08-808</v>
      </c>
      <c r="H9607" t="str">
        <f>"A"</f>
        <v>A</v>
      </c>
    </row>
    <row r="9608" spans="1:8" x14ac:dyDescent="0.2">
      <c r="A9608" t="str">
        <f t="shared" si="3478"/>
        <v>0617126981</v>
      </c>
      <c r="B9608" t="str">
        <f t="shared" si="3479"/>
        <v>KAMARI</v>
      </c>
      <c r="C9608" t="str">
        <f t="shared" si="3477"/>
        <v>LEWIS</v>
      </c>
      <c r="D9608">
        <f>10</f>
        <v>10</v>
      </c>
      <c r="E9608" t="str">
        <f>"06 - B - 002 - Lenecy  Nodarse"</f>
        <v>06 - B - 002 - Lenecy  Nodarse</v>
      </c>
      <c r="F9608" t="str">
        <f>"NC STUDY HALL 1"</f>
        <v>NC STUDY HALL 1</v>
      </c>
      <c r="G9608" t="str">
        <f>"17-1741"</f>
        <v>17-1741</v>
      </c>
      <c r="H9608" t="str">
        <f>"B"</f>
        <v>B</v>
      </c>
    </row>
    <row r="9609" spans="1:8" x14ac:dyDescent="0.2">
      <c r="A9609" t="str">
        <f t="shared" si="3478"/>
        <v>0617126981</v>
      </c>
      <c r="B9609" t="str">
        <f t="shared" si="3479"/>
        <v>KAMARI</v>
      </c>
      <c r="C9609" t="str">
        <f t="shared" si="3477"/>
        <v>LEWIS</v>
      </c>
      <c r="D9609">
        <f>10</f>
        <v>10</v>
      </c>
      <c r="E9609" t="str">
        <f>"06 - B - 106 - Eric  Lopapa"</f>
        <v>06 - B - 106 - Eric  Lopapa</v>
      </c>
      <c r="F9609" t="str">
        <f>"LANG THERAPY"</f>
        <v>LANG THERAPY</v>
      </c>
      <c r="G9609" t="str">
        <f>"21-2110"</f>
        <v>21-2110</v>
      </c>
      <c r="H9609" t="str">
        <f>"B"</f>
        <v>B</v>
      </c>
    </row>
    <row r="9610" spans="1:8" x14ac:dyDescent="0.2">
      <c r="A9610" t="str">
        <f t="shared" si="3478"/>
        <v>0617126981</v>
      </c>
      <c r="B9610" t="str">
        <f t="shared" si="3479"/>
        <v>KAMARI</v>
      </c>
      <c r="C9610" t="str">
        <f t="shared" si="3477"/>
        <v>LEWIS</v>
      </c>
      <c r="D9610">
        <f>10</f>
        <v>10</v>
      </c>
      <c r="E9610" t="str">
        <f>"03 - S1 - A - 101 - Arthur  Kulawik"</f>
        <v>03 - S1 - A - 101 - Arthur  Kulawik</v>
      </c>
      <c r="F9610" t="str">
        <f>"PERS FIN &amp; MON MGT H"</f>
        <v>PERS FIN &amp; MON MGT H</v>
      </c>
      <c r="G9610" t="str">
        <f>"05-506"</f>
        <v>05-506</v>
      </c>
      <c r="H9610" t="str">
        <f>"A"</f>
        <v>A</v>
      </c>
    </row>
    <row r="9611" spans="1:8" x14ac:dyDescent="0.2">
      <c r="A9611" t="str">
        <f t="shared" si="3478"/>
        <v>0617126981</v>
      </c>
      <c r="B9611" t="str">
        <f t="shared" si="3479"/>
        <v>KAMARI</v>
      </c>
      <c r="C9611" t="str">
        <f t="shared" si="3477"/>
        <v>LEWIS</v>
      </c>
      <c r="D9611">
        <f>10</f>
        <v>10</v>
      </c>
      <c r="E9611" t="str">
        <f>"02 - A - 102 - Taraneh C Abreu"</f>
        <v>02 - A - 102 - Taraneh C Abreu</v>
      </c>
      <c r="F9611" t="str">
        <f>"INTENS READ 2"</f>
        <v>INTENS READ 2</v>
      </c>
      <c r="G9611" t="str">
        <f>"17-1713"</f>
        <v>17-1713</v>
      </c>
      <c r="H9611" t="str">
        <f>"A"</f>
        <v>A</v>
      </c>
    </row>
    <row r="9612" spans="1:8" x14ac:dyDescent="0.2">
      <c r="A9612" t="str">
        <f t="shared" si="3478"/>
        <v>0617126981</v>
      </c>
      <c r="B9612" t="str">
        <f t="shared" si="3479"/>
        <v>KAMARI</v>
      </c>
      <c r="C9612" t="str">
        <f t="shared" si="3477"/>
        <v>LEWIS</v>
      </c>
      <c r="D9612">
        <f>10</f>
        <v>10</v>
      </c>
      <c r="E9612" t="str">
        <f>"07 - B - 108 - Jacquelyn M Neeson"</f>
        <v>07 - B - 108 - Jacquelyn M Neeson</v>
      </c>
      <c r="F9612" t="str">
        <f>"ENG 2"</f>
        <v>ENG 2</v>
      </c>
      <c r="G9612" t="str">
        <f>"17-1715"</f>
        <v>17-1715</v>
      </c>
      <c r="H9612" t="str">
        <f>"B"</f>
        <v>B</v>
      </c>
    </row>
    <row r="9613" spans="1:8" x14ac:dyDescent="0.2">
      <c r="A9613" t="str">
        <f t="shared" si="3478"/>
        <v>0617126981</v>
      </c>
      <c r="B9613" t="str">
        <f t="shared" si="3479"/>
        <v>KAMARI</v>
      </c>
      <c r="C9613" t="str">
        <f t="shared" si="3477"/>
        <v>LEWIS</v>
      </c>
      <c r="D9613">
        <f>10</f>
        <v>10</v>
      </c>
      <c r="E9613" t="str">
        <f>"05 - B - 105 - Marius D Orsolini"</f>
        <v>05 - B - 105 - Marius D Orsolini</v>
      </c>
      <c r="F9613" t="str">
        <f>"CULINARY ARTS 1"</f>
        <v>CULINARY ARTS 1</v>
      </c>
      <c r="G9613" t="str">
        <f>"21-2115"</f>
        <v>21-2115</v>
      </c>
      <c r="H9613" t="str">
        <f>"B"</f>
        <v>B</v>
      </c>
    </row>
    <row r="9614" spans="1:8" x14ac:dyDescent="0.2">
      <c r="A9614" t="str">
        <f t="shared" si="3478"/>
        <v>0617126981</v>
      </c>
      <c r="B9614" t="str">
        <f t="shared" si="3479"/>
        <v>KAMARI</v>
      </c>
      <c r="C9614" t="str">
        <f t="shared" si="3477"/>
        <v>LEWIS</v>
      </c>
      <c r="D9614">
        <f>10</f>
        <v>10</v>
      </c>
      <c r="E9614" t="str">
        <f>"01 - A - 104 - Milca  Exantus"</f>
        <v>01 - A - 104 - Milca  Exantus</v>
      </c>
      <c r="F9614" t="str">
        <f>"MATH COLLEGE LIB ART"</f>
        <v>MATH COLLEGE LIB ART</v>
      </c>
      <c r="G9614" t="str">
        <f>"21-2145"</f>
        <v>21-2145</v>
      </c>
      <c r="H9614" t="str">
        <f>"A"</f>
        <v>A</v>
      </c>
    </row>
    <row r="9615" spans="1:8" x14ac:dyDescent="0.2">
      <c r="A9615" t="str">
        <f t="shared" si="3478"/>
        <v>0617126981</v>
      </c>
      <c r="B9615" t="str">
        <f t="shared" si="3479"/>
        <v>KAMARI</v>
      </c>
      <c r="C9615" t="str">
        <f t="shared" si="3477"/>
        <v>LEWIS</v>
      </c>
      <c r="D9615">
        <f>10</f>
        <v>10</v>
      </c>
      <c r="E9615" t="str">
        <f>"08 - B - 102 - Robert H Rindner"</f>
        <v>08 - B - 102 - Robert H Rindner</v>
      </c>
      <c r="F9615" t="str">
        <f>"TV PRODUCTION TECH 1"</f>
        <v>TV PRODUCTION TECH 1</v>
      </c>
      <c r="G9615" t="str">
        <f>"21-2160"</f>
        <v>21-2160</v>
      </c>
      <c r="H9615" t="str">
        <f>"B"</f>
        <v>B</v>
      </c>
    </row>
    <row r="9616" spans="1:8" x14ac:dyDescent="0.2">
      <c r="A9616" t="str">
        <f t="shared" ref="A9616:A9624" si="3480">"0612058297"</f>
        <v>0612058297</v>
      </c>
      <c r="B9616" t="str">
        <f t="shared" ref="B9616:B9624" si="3481">"KEOSHA"</f>
        <v>KEOSHA</v>
      </c>
      <c r="C9616" t="str">
        <f t="shared" si="3477"/>
        <v>LEWIS</v>
      </c>
      <c r="D9616">
        <f>12</f>
        <v>12</v>
      </c>
      <c r="E9616" t="str">
        <f>"04 - S1 - A - 101 - Leslie J Barton"</f>
        <v>04 - S1 - A - 101 - Leslie J Barton</v>
      </c>
      <c r="F9616" t="str">
        <f>"TEAM SPORTS 1"</f>
        <v>TEAM SPORTS 1</v>
      </c>
      <c r="G9616" t="str">
        <f>"04-254"</f>
        <v>04-254</v>
      </c>
      <c r="H9616" t="str">
        <f>"A"</f>
        <v>A</v>
      </c>
    </row>
    <row r="9617" spans="1:8" x14ac:dyDescent="0.2">
      <c r="A9617" t="str">
        <f t="shared" si="3480"/>
        <v>0612058297</v>
      </c>
      <c r="B9617" t="str">
        <f t="shared" si="3481"/>
        <v>KEOSHA</v>
      </c>
      <c r="C9617" t="str">
        <f t="shared" si="3477"/>
        <v>LEWIS</v>
      </c>
      <c r="D9617">
        <f>12</f>
        <v>12</v>
      </c>
      <c r="E9617" t="str">
        <f>"06 - B - 116 - Karen A Toomer"</f>
        <v>06 - B - 116 - Karen A Toomer</v>
      </c>
      <c r="F9617" t="str">
        <f>"LANG THERAPY"</f>
        <v>LANG THERAPY</v>
      </c>
      <c r="G9617" t="str">
        <f>"21-2110"</f>
        <v>21-2110</v>
      </c>
      <c r="H9617" t="str">
        <f>"B"</f>
        <v>B</v>
      </c>
    </row>
    <row r="9618" spans="1:8" x14ac:dyDescent="0.2">
      <c r="A9618" t="str">
        <f t="shared" si="3480"/>
        <v>0612058297</v>
      </c>
      <c r="B9618" t="str">
        <f t="shared" si="3481"/>
        <v>KEOSHA</v>
      </c>
      <c r="C9618" t="str">
        <f t="shared" si="3477"/>
        <v>LEWIS</v>
      </c>
      <c r="D9618">
        <f>12</f>
        <v>12</v>
      </c>
      <c r="E9618" t="str">
        <f>"06 - B - 102 - Andrea A Amison"</f>
        <v>06 - B - 102 - Andrea A Amison</v>
      </c>
      <c r="F9618" t="str">
        <f>"NC STUDY HALL 1"</f>
        <v>NC STUDY HALL 1</v>
      </c>
      <c r="G9618" t="str">
        <f>"09-922C"</f>
        <v>09-922C</v>
      </c>
      <c r="H9618" t="str">
        <f>"B"</f>
        <v>B</v>
      </c>
    </row>
    <row r="9619" spans="1:8" x14ac:dyDescent="0.2">
      <c r="A9619" t="str">
        <f t="shared" si="3480"/>
        <v>0612058297</v>
      </c>
      <c r="B9619" t="str">
        <f t="shared" si="3481"/>
        <v>KEOSHA</v>
      </c>
      <c r="C9619" t="str">
        <f t="shared" si="3477"/>
        <v>LEWIS</v>
      </c>
      <c r="D9619">
        <f>12</f>
        <v>12</v>
      </c>
      <c r="E9619" t="str">
        <f>"03 - S1 - A - 002 - Barbara L Segal"</f>
        <v>03 - S1 - A - 002 - Barbara L Segal</v>
      </c>
      <c r="F9619" t="str">
        <f>"US GOVT"</f>
        <v>US GOVT</v>
      </c>
      <c r="G9619" t="str">
        <f>"17-1742"</f>
        <v>17-1742</v>
      </c>
      <c r="H9619" t="str">
        <f>"A"</f>
        <v>A</v>
      </c>
    </row>
    <row r="9620" spans="1:8" x14ac:dyDescent="0.2">
      <c r="A9620" t="str">
        <f t="shared" si="3480"/>
        <v>0612058297</v>
      </c>
      <c r="B9620" t="str">
        <f t="shared" si="3481"/>
        <v>KEOSHA</v>
      </c>
      <c r="C9620" t="str">
        <f t="shared" si="3477"/>
        <v>LEWIS</v>
      </c>
      <c r="D9620">
        <f>12</f>
        <v>12</v>
      </c>
      <c r="E9620" t="str">
        <f>"02 - A - 101 - Robert H Rindner"</f>
        <v>02 - A - 101 - Robert H Rindner</v>
      </c>
      <c r="F9620" t="str">
        <f>"MATH DATA&amp;FIN LIT H"</f>
        <v>MATH DATA&amp;FIN LIT H</v>
      </c>
      <c r="G9620" t="str">
        <f>"21-2160"</f>
        <v>21-2160</v>
      </c>
      <c r="H9620" t="str">
        <f>"A"</f>
        <v>A</v>
      </c>
    </row>
    <row r="9621" spans="1:8" x14ac:dyDescent="0.2">
      <c r="A9621" t="str">
        <f t="shared" si="3480"/>
        <v>0612058297</v>
      </c>
      <c r="B9621" t="str">
        <f t="shared" si="3481"/>
        <v>KEOSHA</v>
      </c>
      <c r="C9621" t="str">
        <f t="shared" si="3477"/>
        <v>LEWIS</v>
      </c>
      <c r="D9621">
        <f>12</f>
        <v>12</v>
      </c>
      <c r="E9621" t="str">
        <f>"07 - B - 002 - Jazmin S Fletcher"</f>
        <v>07 - B - 002 - Jazmin S Fletcher</v>
      </c>
      <c r="F9621" t="str">
        <f>"THEATRE 1"</f>
        <v>THEATRE 1</v>
      </c>
      <c r="G9621" t="str">
        <f>"09-909"</f>
        <v>09-909</v>
      </c>
      <c r="H9621" t="str">
        <f>"B"</f>
        <v>B</v>
      </c>
    </row>
    <row r="9622" spans="1:8" x14ac:dyDescent="0.2">
      <c r="A9622" t="str">
        <f t="shared" si="3480"/>
        <v>0612058297</v>
      </c>
      <c r="B9622" t="str">
        <f t="shared" si="3481"/>
        <v>KEOSHA</v>
      </c>
      <c r="C9622" t="str">
        <f t="shared" si="3477"/>
        <v>LEWIS</v>
      </c>
      <c r="D9622">
        <f>12</f>
        <v>12</v>
      </c>
      <c r="E9622" t="str">
        <f>"05 - B - 102 - Robyn L Trainer"</f>
        <v>05 - B - 102 - Robyn L Trainer</v>
      </c>
      <c r="F9622" t="str">
        <f>"ENG 4"</f>
        <v>ENG 4</v>
      </c>
      <c r="G9622" t="str">
        <f>"17-1734"</f>
        <v>17-1734</v>
      </c>
      <c r="H9622" t="str">
        <f>"B"</f>
        <v>B</v>
      </c>
    </row>
    <row r="9623" spans="1:8" x14ac:dyDescent="0.2">
      <c r="A9623" t="str">
        <f t="shared" si="3480"/>
        <v>0612058297</v>
      </c>
      <c r="B9623" t="str">
        <f t="shared" si="3481"/>
        <v>KEOSHA</v>
      </c>
      <c r="C9623" t="str">
        <f t="shared" si="3477"/>
        <v>LEWIS</v>
      </c>
      <c r="D9623">
        <f>12</f>
        <v>12</v>
      </c>
      <c r="E9623" t="str">
        <f>"01 - A - 101 - Cliffon  Saurel"</f>
        <v>01 - A - 101 - Cliffon  Saurel</v>
      </c>
      <c r="F9623" t="str">
        <f>"PHYSICAL SCI"</f>
        <v>PHYSICAL SCI</v>
      </c>
      <c r="G9623" t="str">
        <f>"05-522"</f>
        <v>05-522</v>
      </c>
      <c r="H9623" t="str">
        <f>"A"</f>
        <v>A</v>
      </c>
    </row>
    <row r="9624" spans="1:8" x14ac:dyDescent="0.2">
      <c r="A9624" t="str">
        <f t="shared" si="3480"/>
        <v>0612058297</v>
      </c>
      <c r="B9624" t="str">
        <f t="shared" si="3481"/>
        <v>KEOSHA</v>
      </c>
      <c r="C9624" t="str">
        <f t="shared" si="3477"/>
        <v>LEWIS</v>
      </c>
      <c r="D9624">
        <f>12</f>
        <v>12</v>
      </c>
      <c r="E9624" t="str">
        <f>"08 - B - 102 - Carleigh R Carmichael"</f>
        <v>08 - B - 102 - Carleigh R Carmichael</v>
      </c>
      <c r="F9624" t="str">
        <f>"LRNG STRATEGIES 9-12"</f>
        <v>LRNG STRATEGIES 9-12</v>
      </c>
      <c r="G9624" t="str">
        <f>"20-2072"</f>
        <v>20-2072</v>
      </c>
      <c r="H9624" t="str">
        <f>"B"</f>
        <v>B</v>
      </c>
    </row>
    <row r="9625" spans="1:8" x14ac:dyDescent="0.2">
      <c r="A9625" t="str">
        <f t="shared" ref="A9625:A9632" si="3482">"0615030326"</f>
        <v>0615030326</v>
      </c>
      <c r="B9625" t="str">
        <f t="shared" ref="B9625:B9632" si="3483">"MIKAYLA"</f>
        <v>MIKAYLA</v>
      </c>
      <c r="C9625" t="str">
        <f t="shared" si="3477"/>
        <v>LEWIS</v>
      </c>
      <c r="D9625">
        <f>11</f>
        <v>11</v>
      </c>
      <c r="E9625" t="str">
        <f>"04 - A - 102 - Samantha J Headley"</f>
        <v>04 - A - 102 - Samantha J Headley</v>
      </c>
      <c r="F9625" t="str">
        <f>"MARINE SCI 1 HON"</f>
        <v>MARINE SCI 1 HON</v>
      </c>
      <c r="G9625" t="str">
        <f>"21-2134"</f>
        <v>21-2134</v>
      </c>
      <c r="H9625" t="str">
        <f>"A"</f>
        <v>A</v>
      </c>
    </row>
    <row r="9626" spans="1:8" x14ac:dyDescent="0.2">
      <c r="A9626" t="str">
        <f t="shared" si="3482"/>
        <v>0615030326</v>
      </c>
      <c r="B9626" t="str">
        <f t="shared" si="3483"/>
        <v>MIKAYLA</v>
      </c>
      <c r="C9626" t="str">
        <f t="shared" si="3477"/>
        <v>LEWIS</v>
      </c>
      <c r="D9626">
        <f>11</f>
        <v>11</v>
      </c>
      <c r="E9626" t="str">
        <f>"06 - B - 101 - Bruce A Evans"</f>
        <v>06 - B - 101 - Bruce A Evans</v>
      </c>
      <c r="F9626" t="str">
        <f>"EMERG MED RESP 3 HON"</f>
        <v>EMERG MED RESP 3 HON</v>
      </c>
      <c r="G9626" t="str">
        <f>"21-2142"</f>
        <v>21-2142</v>
      </c>
      <c r="H9626" t="str">
        <f>"B"</f>
        <v>B</v>
      </c>
    </row>
    <row r="9627" spans="1:8" x14ac:dyDescent="0.2">
      <c r="A9627" t="str">
        <f t="shared" si="3482"/>
        <v>0615030326</v>
      </c>
      <c r="B9627" t="str">
        <f t="shared" si="3483"/>
        <v>MIKAYLA</v>
      </c>
      <c r="C9627" t="str">
        <f t="shared" si="3477"/>
        <v>LEWIS</v>
      </c>
      <c r="D9627">
        <f>11</f>
        <v>11</v>
      </c>
      <c r="E9627" t="str">
        <f>"03 - A - 202 - Bruce A Evans"</f>
        <v>03 - A - 202 - Bruce A Evans</v>
      </c>
      <c r="F9627" t="str">
        <f>"HEALTH SCI FOUND HON"</f>
        <v>HEALTH SCI FOUND HON</v>
      </c>
      <c r="G9627" t="str">
        <f>"21-2142"</f>
        <v>21-2142</v>
      </c>
      <c r="H9627" t="str">
        <f>"A"</f>
        <v>A</v>
      </c>
    </row>
    <row r="9628" spans="1:8" x14ac:dyDescent="0.2">
      <c r="A9628" t="str">
        <f t="shared" si="3482"/>
        <v>0615030326</v>
      </c>
      <c r="B9628" t="str">
        <f t="shared" si="3483"/>
        <v>MIKAYLA</v>
      </c>
      <c r="C9628" t="str">
        <f t="shared" si="3477"/>
        <v>LEWIS</v>
      </c>
      <c r="D9628">
        <f>11</f>
        <v>11</v>
      </c>
      <c r="E9628" t="str">
        <f>"02 - A - 117 - Kyle  Robbins"</f>
        <v>02 - A - 117 - Kyle  Robbins</v>
      </c>
      <c r="F9628" t="str">
        <f>"NC STUDY HALL 1"</f>
        <v>NC STUDY HALL 1</v>
      </c>
      <c r="G9628" t="str">
        <f>"17-1745"</f>
        <v>17-1745</v>
      </c>
      <c r="H9628" t="str">
        <f>"A"</f>
        <v>A</v>
      </c>
    </row>
    <row r="9629" spans="1:8" x14ac:dyDescent="0.2">
      <c r="A9629" t="str">
        <f t="shared" si="3482"/>
        <v>0615030326</v>
      </c>
      <c r="B9629" t="str">
        <f t="shared" si="3483"/>
        <v>MIKAYLA</v>
      </c>
      <c r="C9629" t="str">
        <f t="shared" si="3477"/>
        <v>LEWIS</v>
      </c>
      <c r="D9629">
        <f>11</f>
        <v>11</v>
      </c>
      <c r="E9629" t="str">
        <f>"07 - B - 104 - Robyn L Trainer"</f>
        <v>07 - B - 104 - Robyn L Trainer</v>
      </c>
      <c r="F9629" t="str">
        <f>"ENG 4"</f>
        <v>ENG 4</v>
      </c>
      <c r="G9629" t="str">
        <f>"17-1734"</f>
        <v>17-1734</v>
      </c>
      <c r="H9629" t="str">
        <f>"B"</f>
        <v>B</v>
      </c>
    </row>
    <row r="9630" spans="1:8" x14ac:dyDescent="0.2">
      <c r="A9630" t="str">
        <f t="shared" si="3482"/>
        <v>0615030326</v>
      </c>
      <c r="B9630" t="str">
        <f t="shared" si="3483"/>
        <v>MIKAYLA</v>
      </c>
      <c r="C9630" t="str">
        <f t="shared" si="3477"/>
        <v>LEWIS</v>
      </c>
      <c r="D9630">
        <f>11</f>
        <v>11</v>
      </c>
      <c r="E9630" t="str">
        <f>"05 - B - 001 - Kyle  Robbins"</f>
        <v>05 - B - 001 - Kyle  Robbins</v>
      </c>
      <c r="F9630" t="str">
        <f>"US HISTORY HON"</f>
        <v>US HISTORY HON</v>
      </c>
      <c r="G9630" t="str">
        <f>"17-1745"</f>
        <v>17-1745</v>
      </c>
      <c r="H9630" t="str">
        <f>"B"</f>
        <v>B</v>
      </c>
    </row>
    <row r="9631" spans="1:8" x14ac:dyDescent="0.2">
      <c r="A9631" t="str">
        <f t="shared" si="3482"/>
        <v>0615030326</v>
      </c>
      <c r="B9631" t="str">
        <f t="shared" si="3483"/>
        <v>MIKAYLA</v>
      </c>
      <c r="C9631" t="str">
        <f t="shared" si="3477"/>
        <v>LEWIS</v>
      </c>
      <c r="D9631">
        <f>11</f>
        <v>11</v>
      </c>
      <c r="E9631" t="str">
        <f>"01 - A - 101 - Angela S Adeshina-Morrison"</f>
        <v>01 - A - 101 - Angela S Adeshina-Morrison</v>
      </c>
      <c r="F9631" t="str">
        <f>"MARKETING ESSENTIALS"</f>
        <v>MARKETING ESSENTIALS</v>
      </c>
      <c r="G9631" t="str">
        <f>"05-518"</f>
        <v>05-518</v>
      </c>
      <c r="H9631" t="str">
        <f>"A"</f>
        <v>A</v>
      </c>
    </row>
    <row r="9632" spans="1:8" x14ac:dyDescent="0.2">
      <c r="A9632" t="str">
        <f t="shared" si="3482"/>
        <v>0615030326</v>
      </c>
      <c r="B9632" t="str">
        <f t="shared" si="3483"/>
        <v>MIKAYLA</v>
      </c>
      <c r="C9632" t="str">
        <f t="shared" si="3477"/>
        <v>LEWIS</v>
      </c>
      <c r="D9632">
        <f>11</f>
        <v>11</v>
      </c>
      <c r="E9632" t="str">
        <f>"08 - B - 105 - Semra  Bahadir"</f>
        <v>08 - B - 105 - Semra  Bahadir</v>
      </c>
      <c r="F9632" t="str">
        <f>"MATH COLL ALGEBRA"</f>
        <v>MATH COLL ALGEBRA</v>
      </c>
      <c r="G9632" t="str">
        <f>"21-2107"</f>
        <v>21-2107</v>
      </c>
      <c r="H9632" t="str">
        <f>"B"</f>
        <v>B</v>
      </c>
    </row>
    <row r="9633" spans="1:8" x14ac:dyDescent="0.2">
      <c r="A9633" t="str">
        <f t="shared" ref="A9633:A9640" si="3484">"0613118615"</f>
        <v>0613118615</v>
      </c>
      <c r="B9633" t="str">
        <f t="shared" ref="B9633:B9640" si="3485">"NAKADA"</f>
        <v>NAKADA</v>
      </c>
      <c r="C9633" t="str">
        <f t="shared" si="3477"/>
        <v>LEWIS</v>
      </c>
      <c r="D9633">
        <f>12</f>
        <v>12</v>
      </c>
      <c r="E9633" t="str">
        <f>"04 - A - 101 - Christa T Parisi"</f>
        <v>04 - A - 101 - Christa T Parisi</v>
      </c>
      <c r="F9633" t="str">
        <f>"DANCE TECHNQS 4 HON"</f>
        <v>DANCE TECHNQS 4 HON</v>
      </c>
      <c r="G9633" t="str">
        <f>"05-503"</f>
        <v>05-503</v>
      </c>
      <c r="H9633" t="str">
        <f>"A"</f>
        <v>A</v>
      </c>
    </row>
    <row r="9634" spans="1:8" x14ac:dyDescent="0.2">
      <c r="A9634" t="str">
        <f t="shared" si="3484"/>
        <v>0613118615</v>
      </c>
      <c r="B9634" t="str">
        <f t="shared" si="3485"/>
        <v>NAKADA</v>
      </c>
      <c r="C9634" t="str">
        <f t="shared" si="3477"/>
        <v>LEWIS</v>
      </c>
      <c r="D9634">
        <f>12</f>
        <v>12</v>
      </c>
      <c r="E9634" t="str">
        <f>"06 - B - 104 - Lissa C Frederique"</f>
        <v>06 - B - 104 - Lissa C Frederique</v>
      </c>
      <c r="F9634" t="str">
        <f>"NC STUDY HALL 1"</f>
        <v>NC STUDY HALL 1</v>
      </c>
      <c r="G9634" t="str">
        <f>"17-1754"</f>
        <v>17-1754</v>
      </c>
      <c r="H9634" t="str">
        <f>"B"</f>
        <v>B</v>
      </c>
    </row>
    <row r="9635" spans="1:8" x14ac:dyDescent="0.2">
      <c r="A9635" t="str">
        <f t="shared" si="3484"/>
        <v>0613118615</v>
      </c>
      <c r="B9635" t="str">
        <f t="shared" si="3485"/>
        <v>NAKADA</v>
      </c>
      <c r="C9635" t="str">
        <f t="shared" si="3477"/>
        <v>LEWIS</v>
      </c>
      <c r="D9635">
        <f>12</f>
        <v>12</v>
      </c>
      <c r="E9635" t="str">
        <f>"03 - A - 203 - Stefanie S Scher"</f>
        <v>03 - A - 203 - Stefanie S Scher</v>
      </c>
      <c r="F9635" t="str">
        <f>"AP PSYCH"</f>
        <v>AP PSYCH</v>
      </c>
      <c r="G9635" t="str">
        <f>"17-1735"</f>
        <v>17-1735</v>
      </c>
      <c r="H9635" t="str">
        <f>"A"</f>
        <v>A</v>
      </c>
    </row>
    <row r="9636" spans="1:8" x14ac:dyDescent="0.2">
      <c r="A9636" t="str">
        <f t="shared" si="3484"/>
        <v>0613118615</v>
      </c>
      <c r="B9636" t="str">
        <f t="shared" si="3485"/>
        <v>NAKADA</v>
      </c>
      <c r="C9636" t="str">
        <f t="shared" si="3477"/>
        <v>LEWIS</v>
      </c>
      <c r="D9636">
        <f>12</f>
        <v>12</v>
      </c>
      <c r="E9636" t="str">
        <f>"02 - A - 201 - Jeanne M Bermudez"</f>
        <v>02 - A - 201 - Jeanne M Bermudez</v>
      </c>
      <c r="F9636" t="str">
        <f>"AP ENV SCI"</f>
        <v>AP ENV SCI</v>
      </c>
      <c r="G9636" t="str">
        <f>"21-2141"</f>
        <v>21-2141</v>
      </c>
      <c r="H9636" t="str">
        <f>"A"</f>
        <v>A</v>
      </c>
    </row>
    <row r="9637" spans="1:8" x14ac:dyDescent="0.2">
      <c r="A9637" t="str">
        <f t="shared" si="3484"/>
        <v>0613118615</v>
      </c>
      <c r="B9637" t="str">
        <f t="shared" si="3485"/>
        <v>NAKADA</v>
      </c>
      <c r="C9637" t="str">
        <f t="shared" si="3477"/>
        <v>LEWIS</v>
      </c>
      <c r="D9637">
        <f>12</f>
        <v>12</v>
      </c>
      <c r="E9637" t="str">
        <f>"07 - B - 102 - Courtney E Hambright"</f>
        <v>07 - B - 102 - Courtney E Hambright</v>
      </c>
      <c r="F9637" t="str">
        <f>"AP ENG LIT COMPO"</f>
        <v>AP ENG LIT COMPO</v>
      </c>
      <c r="G9637" t="str">
        <f>"17-1711"</f>
        <v>17-1711</v>
      </c>
      <c r="H9637" t="str">
        <f>"B"</f>
        <v>B</v>
      </c>
    </row>
    <row r="9638" spans="1:8" x14ac:dyDescent="0.2">
      <c r="A9638" t="str">
        <f t="shared" si="3484"/>
        <v>0613118615</v>
      </c>
      <c r="B9638" t="str">
        <f t="shared" si="3485"/>
        <v>NAKADA</v>
      </c>
      <c r="C9638" t="str">
        <f t="shared" ref="C9638:C9656" si="3486">"LEWIS"</f>
        <v>LEWIS</v>
      </c>
      <c r="D9638">
        <f>12</f>
        <v>12</v>
      </c>
      <c r="E9638" t="str">
        <f>"05 - S1 - B - 103 - Stephen T Ripp"</f>
        <v>05 - S1 - B - 103 - Stephen T Ripp</v>
      </c>
      <c r="F9638" t="str">
        <f>"AP US GOVT/POL"</f>
        <v>AP US GOVT/POL</v>
      </c>
      <c r="G9638" t="str">
        <f>"17-1744"</f>
        <v>17-1744</v>
      </c>
      <c r="H9638" t="str">
        <f>"B"</f>
        <v>B</v>
      </c>
    </row>
    <row r="9639" spans="1:8" x14ac:dyDescent="0.2">
      <c r="A9639" t="str">
        <f t="shared" si="3484"/>
        <v>0613118615</v>
      </c>
      <c r="B9639" t="str">
        <f t="shared" si="3485"/>
        <v>NAKADA</v>
      </c>
      <c r="C9639" t="str">
        <f t="shared" si="3486"/>
        <v>LEWIS</v>
      </c>
      <c r="D9639">
        <f>12</f>
        <v>12</v>
      </c>
      <c r="E9639" t="str">
        <f>"01 - A - 101 - Thomas G Handwerg"</f>
        <v>01 - A - 101 - Thomas G Handwerg</v>
      </c>
      <c r="F9639" t="str">
        <f>"PROB STAT W/APPS HON"</f>
        <v>PROB STAT W/APPS HON</v>
      </c>
      <c r="G9639" t="str">
        <f>"21-2146"</f>
        <v>21-2146</v>
      </c>
      <c r="H9639" t="str">
        <f>"A"</f>
        <v>A</v>
      </c>
    </row>
    <row r="9640" spans="1:8" x14ac:dyDescent="0.2">
      <c r="A9640" t="str">
        <f t="shared" si="3484"/>
        <v>0613118615</v>
      </c>
      <c r="B9640" t="str">
        <f t="shared" si="3485"/>
        <v>NAKADA</v>
      </c>
      <c r="C9640" t="str">
        <f t="shared" si="3486"/>
        <v>LEWIS</v>
      </c>
      <c r="D9640">
        <f>12</f>
        <v>12</v>
      </c>
      <c r="E9640" t="str">
        <f>"08 - B - 201 - Tina M Jaramillo"</f>
        <v>08 - B - 201 - Tina M Jaramillo</v>
      </c>
      <c r="F9640" t="str">
        <f>"CREATIVE WRIT 3 HON"</f>
        <v>CREATIVE WRIT 3 HON</v>
      </c>
      <c r="G9640" t="str">
        <f>"17-1706"</f>
        <v>17-1706</v>
      </c>
      <c r="H9640" t="str">
        <f>"B"</f>
        <v>B</v>
      </c>
    </row>
    <row r="9641" spans="1:8" x14ac:dyDescent="0.2">
      <c r="A9641" t="str">
        <f t="shared" ref="A9641:A9648" si="3487">"0613053257"</f>
        <v>0613053257</v>
      </c>
      <c r="B9641" t="str">
        <f t="shared" ref="B9641:B9648" si="3488">"SARIYAH"</f>
        <v>SARIYAH</v>
      </c>
      <c r="C9641" t="str">
        <f t="shared" si="3486"/>
        <v>LEWIS</v>
      </c>
      <c r="D9641">
        <f>12</f>
        <v>12</v>
      </c>
      <c r="E9641" t="str">
        <f>"04 - A - 101 - Stefanie S Scher"</f>
        <v>04 - A - 101 - Stefanie S Scher</v>
      </c>
      <c r="F9641" t="str">
        <f>"AP PSYCH"</f>
        <v>AP PSYCH</v>
      </c>
      <c r="G9641" t="str">
        <f>"17-1735"</f>
        <v>17-1735</v>
      </c>
      <c r="H9641" t="str">
        <f>"A"</f>
        <v>A</v>
      </c>
    </row>
    <row r="9642" spans="1:8" x14ac:dyDescent="0.2">
      <c r="A9642" t="str">
        <f t="shared" si="3487"/>
        <v>0613053257</v>
      </c>
      <c r="B9642" t="str">
        <f t="shared" si="3488"/>
        <v>SARIYAH</v>
      </c>
      <c r="C9642" t="str">
        <f t="shared" si="3486"/>
        <v>LEWIS</v>
      </c>
      <c r="D9642">
        <f>12</f>
        <v>12</v>
      </c>
      <c r="E9642" t="str">
        <f>"06 - B - 114 - Lisa J London"</f>
        <v>06 - B - 114 - Lisa J London</v>
      </c>
      <c r="F9642" t="str">
        <f>"NC STUDY HALL 1"</f>
        <v>NC STUDY HALL 1</v>
      </c>
      <c r="G9642" t="str">
        <f>"17-1714"</f>
        <v>17-1714</v>
      </c>
      <c r="H9642" t="str">
        <f>"B"</f>
        <v>B</v>
      </c>
    </row>
    <row r="9643" spans="1:8" x14ac:dyDescent="0.2">
      <c r="A9643" t="str">
        <f t="shared" si="3487"/>
        <v>0613053257</v>
      </c>
      <c r="B9643" t="str">
        <f t="shared" si="3488"/>
        <v>SARIYAH</v>
      </c>
      <c r="C9643" t="str">
        <f t="shared" si="3486"/>
        <v>LEWIS</v>
      </c>
      <c r="D9643">
        <f>12</f>
        <v>12</v>
      </c>
      <c r="E9643" t="str">
        <f>"03 - A - 101 - Lourivaldo  Da Silva"</f>
        <v>03 - A - 101 - Lourivaldo  Da Silva</v>
      </c>
      <c r="F9643" t="str">
        <f>"AP STAT"</f>
        <v>AP STAT</v>
      </c>
      <c r="G9643" t="str">
        <f>"20-2079"</f>
        <v>20-2079</v>
      </c>
      <c r="H9643" t="str">
        <f>"A"</f>
        <v>A</v>
      </c>
    </row>
    <row r="9644" spans="1:8" x14ac:dyDescent="0.2">
      <c r="A9644" t="str">
        <f t="shared" si="3487"/>
        <v>0613053257</v>
      </c>
      <c r="B9644" t="str">
        <f t="shared" si="3488"/>
        <v>SARIYAH</v>
      </c>
      <c r="C9644" t="str">
        <f t="shared" si="3486"/>
        <v>LEWIS</v>
      </c>
      <c r="D9644">
        <f>12</f>
        <v>12</v>
      </c>
      <c r="E9644" t="str">
        <f>"02 - A - 201 - Jeanne M Bermudez"</f>
        <v>02 - A - 201 - Jeanne M Bermudez</v>
      </c>
      <c r="F9644" t="str">
        <f>"AP ENV SCI"</f>
        <v>AP ENV SCI</v>
      </c>
      <c r="G9644" t="str">
        <f>"21-2141"</f>
        <v>21-2141</v>
      </c>
      <c r="H9644" t="str">
        <f>"A"</f>
        <v>A</v>
      </c>
    </row>
    <row r="9645" spans="1:8" x14ac:dyDescent="0.2">
      <c r="A9645" t="str">
        <f t="shared" si="3487"/>
        <v>0613053257</v>
      </c>
      <c r="B9645" t="str">
        <f t="shared" si="3488"/>
        <v>SARIYAH</v>
      </c>
      <c r="C9645" t="str">
        <f t="shared" si="3486"/>
        <v>LEWIS</v>
      </c>
      <c r="D9645">
        <f>12</f>
        <v>12</v>
      </c>
      <c r="E9645" t="str">
        <f>"07 - S1 - B - 102 - Barbara L Segal"</f>
        <v>07 - S1 - B - 102 - Barbara L Segal</v>
      </c>
      <c r="F9645" t="str">
        <f>"AP US GOVT/POL"</f>
        <v>AP US GOVT/POL</v>
      </c>
      <c r="G9645" t="str">
        <f>"17-1742"</f>
        <v>17-1742</v>
      </c>
      <c r="H9645" t="str">
        <f>"B"</f>
        <v>B</v>
      </c>
    </row>
    <row r="9646" spans="1:8" x14ac:dyDescent="0.2">
      <c r="A9646" t="str">
        <f t="shared" si="3487"/>
        <v>0613053257</v>
      </c>
      <c r="B9646" t="str">
        <f t="shared" si="3488"/>
        <v>SARIYAH</v>
      </c>
      <c r="C9646" t="str">
        <f t="shared" si="3486"/>
        <v>LEWIS</v>
      </c>
      <c r="D9646">
        <f>12</f>
        <v>12</v>
      </c>
      <c r="E9646" t="str">
        <f>"05 - B - 101 - Angela S Adeshina-Morrison"</f>
        <v>05 - B - 101 - Angela S Adeshina-Morrison</v>
      </c>
      <c r="F9646" t="str">
        <f>"MKT APPLCTNS LH"</f>
        <v>MKT APPLCTNS LH</v>
      </c>
      <c r="G9646" t="str">
        <f>"05-518"</f>
        <v>05-518</v>
      </c>
      <c r="H9646" t="str">
        <f>"B"</f>
        <v>B</v>
      </c>
    </row>
    <row r="9647" spans="1:8" x14ac:dyDescent="0.2">
      <c r="A9647" t="str">
        <f t="shared" si="3487"/>
        <v>0613053257</v>
      </c>
      <c r="B9647" t="str">
        <f t="shared" si="3488"/>
        <v>SARIYAH</v>
      </c>
      <c r="C9647" t="str">
        <f t="shared" si="3486"/>
        <v>LEWIS</v>
      </c>
      <c r="D9647">
        <f>12</f>
        <v>12</v>
      </c>
      <c r="E9647" t="str">
        <f>"01 - A - 101 - Daniel S Katz"</f>
        <v>01 - A - 101 - Daniel S Katz</v>
      </c>
      <c r="F9647" t="str">
        <f>"EXEC INTERN 4 LH"</f>
        <v>EXEC INTERN 4 LH</v>
      </c>
      <c r="G9647" t="str">
        <f>"21-2156"</f>
        <v>21-2156</v>
      </c>
      <c r="H9647" t="str">
        <f>"A"</f>
        <v>A</v>
      </c>
    </row>
    <row r="9648" spans="1:8" x14ac:dyDescent="0.2">
      <c r="A9648" t="str">
        <f t="shared" si="3487"/>
        <v>0613053257</v>
      </c>
      <c r="B9648" t="str">
        <f t="shared" si="3488"/>
        <v>SARIYAH</v>
      </c>
      <c r="C9648" t="str">
        <f t="shared" si="3486"/>
        <v>LEWIS</v>
      </c>
      <c r="D9648">
        <f>12</f>
        <v>12</v>
      </c>
      <c r="E9648" t="str">
        <f>"08 - B - 203 - Courtney E Hambright"</f>
        <v>08 - B - 203 - Courtney E Hambright</v>
      </c>
      <c r="F9648" t="str">
        <f>"AP ENG LIT COMPO"</f>
        <v>AP ENG LIT COMPO</v>
      </c>
      <c r="G9648" t="str">
        <f>"17-1711"</f>
        <v>17-1711</v>
      </c>
      <c r="H9648" t="str">
        <f>"B"</f>
        <v>B</v>
      </c>
    </row>
    <row r="9649" spans="1:8" x14ac:dyDescent="0.2">
      <c r="A9649" t="str">
        <f t="shared" ref="A9649:A9656" si="3489">"0615049364"</f>
        <v>0615049364</v>
      </c>
      <c r="B9649" t="str">
        <f t="shared" ref="B9649:B9656" si="3490">"TAYLOR"</f>
        <v>TAYLOR</v>
      </c>
      <c r="C9649" t="str">
        <f t="shared" si="3486"/>
        <v>LEWIS</v>
      </c>
      <c r="D9649" t="str">
        <f t="shared" ref="D9649:D9656" si="3491">"09"</f>
        <v>09</v>
      </c>
      <c r="E9649" t="str">
        <f>"04 - A - 104 - Helen A Flores"</f>
        <v>04 - A - 104 - Helen A Flores</v>
      </c>
      <c r="F9649" t="str">
        <f>"FDN SKLS MATH 9-12"</f>
        <v>FDN SKLS MATH 9-12</v>
      </c>
      <c r="G9649" t="str">
        <f>"21-2101"</f>
        <v>21-2101</v>
      </c>
      <c r="H9649" t="str">
        <f>"A"</f>
        <v>A</v>
      </c>
    </row>
    <row r="9650" spans="1:8" x14ac:dyDescent="0.2">
      <c r="A9650" t="str">
        <f t="shared" si="3489"/>
        <v>0615049364</v>
      </c>
      <c r="B9650" t="str">
        <f t="shared" si="3490"/>
        <v>TAYLOR</v>
      </c>
      <c r="C9650" t="str">
        <f t="shared" si="3486"/>
        <v>LEWIS</v>
      </c>
      <c r="D9650" t="str">
        <f t="shared" si="3491"/>
        <v>09</v>
      </c>
      <c r="E9650" t="str">
        <f>"06 - B - 106 - Adam Marcus  Drucker"</f>
        <v>06 - B - 106 - Adam Marcus  Drucker</v>
      </c>
      <c r="F9650" t="str">
        <f>"HOPE-PE V"</f>
        <v>HOPE-PE V</v>
      </c>
      <c r="G9650" t="str">
        <f>"04-254"</f>
        <v>04-254</v>
      </c>
      <c r="H9650" t="str">
        <f>"B"</f>
        <v>B</v>
      </c>
    </row>
    <row r="9651" spans="1:8" x14ac:dyDescent="0.2">
      <c r="A9651" t="str">
        <f t="shared" si="3489"/>
        <v>0615049364</v>
      </c>
      <c r="B9651" t="str">
        <f t="shared" si="3490"/>
        <v>TAYLOR</v>
      </c>
      <c r="C9651" t="str">
        <f t="shared" si="3486"/>
        <v>LEWIS</v>
      </c>
      <c r="D9651" t="str">
        <f t="shared" si="3491"/>
        <v>09</v>
      </c>
      <c r="E9651" t="str">
        <f>"03 - S1 - A - 102 - Angela S Adeshina-Morrison"</f>
        <v>03 - S1 - A - 102 - Angela S Adeshina-Morrison</v>
      </c>
      <c r="F9651" t="str">
        <f>"PEER COUN 1"</f>
        <v>PEER COUN 1</v>
      </c>
      <c r="G9651" t="str">
        <f>"05-518"</f>
        <v>05-518</v>
      </c>
      <c r="H9651" t="str">
        <f>"A"</f>
        <v>A</v>
      </c>
    </row>
    <row r="9652" spans="1:8" x14ac:dyDescent="0.2">
      <c r="A9652" t="str">
        <f t="shared" si="3489"/>
        <v>0615049364</v>
      </c>
      <c r="B9652" t="str">
        <f t="shared" si="3490"/>
        <v>TAYLOR</v>
      </c>
      <c r="C9652" t="str">
        <f t="shared" si="3486"/>
        <v>LEWIS</v>
      </c>
      <c r="D9652" t="str">
        <f t="shared" si="3491"/>
        <v>09</v>
      </c>
      <c r="E9652" t="str">
        <f>"02 - A - 111 - Cheryl L Beach"</f>
        <v>02 - A - 111 - Cheryl L Beach</v>
      </c>
      <c r="F9652" t="str">
        <f>"NC STUDY HALL 1"</f>
        <v>NC STUDY HALL 1</v>
      </c>
      <c r="G9652" t="str">
        <f>"08-811"</f>
        <v>08-811</v>
      </c>
      <c r="H9652" t="str">
        <f>"A"</f>
        <v>A</v>
      </c>
    </row>
    <row r="9653" spans="1:8" x14ac:dyDescent="0.2">
      <c r="A9653" t="str">
        <f t="shared" si="3489"/>
        <v>0615049364</v>
      </c>
      <c r="B9653" t="str">
        <f t="shared" si="3490"/>
        <v>TAYLOR</v>
      </c>
      <c r="C9653" t="str">
        <f t="shared" si="3486"/>
        <v>LEWIS</v>
      </c>
      <c r="D9653" t="str">
        <f t="shared" si="3491"/>
        <v>09</v>
      </c>
      <c r="E9653" t="str">
        <f>"07 - B - 001 - Carol S Moore"</f>
        <v>07 - B - 001 - Carol S Moore</v>
      </c>
      <c r="F9653" t="str">
        <f>"PRE-AICE WRLD HST IG"</f>
        <v>PRE-AICE WRLD HST IG</v>
      </c>
      <c r="G9653" t="str">
        <f>"17-1733"</f>
        <v>17-1733</v>
      </c>
      <c r="H9653" t="str">
        <f>"B"</f>
        <v>B</v>
      </c>
    </row>
    <row r="9654" spans="1:8" x14ac:dyDescent="0.2">
      <c r="A9654" t="str">
        <f t="shared" si="3489"/>
        <v>0615049364</v>
      </c>
      <c r="B9654" t="str">
        <f t="shared" si="3490"/>
        <v>TAYLOR</v>
      </c>
      <c r="C9654" t="str">
        <f t="shared" si="3486"/>
        <v>LEWIS</v>
      </c>
      <c r="D9654" t="str">
        <f t="shared" si="3491"/>
        <v>09</v>
      </c>
      <c r="E9654" t="str">
        <f>"05 - B - 204 - Elizabeth R Walker"</f>
        <v>05 - B - 204 - Elizabeth R Walker</v>
      </c>
      <c r="F9654" t="str">
        <f>"AICE ENG GEN PAPER 1"</f>
        <v>AICE ENG GEN PAPER 1</v>
      </c>
      <c r="G9654" t="str">
        <f>"17-1703"</f>
        <v>17-1703</v>
      </c>
      <c r="H9654" t="str">
        <f>"B"</f>
        <v>B</v>
      </c>
    </row>
    <row r="9655" spans="1:8" x14ac:dyDescent="0.2">
      <c r="A9655" t="str">
        <f t="shared" si="3489"/>
        <v>0615049364</v>
      </c>
      <c r="B9655" t="str">
        <f t="shared" si="3490"/>
        <v>TAYLOR</v>
      </c>
      <c r="C9655" t="str">
        <f t="shared" si="3486"/>
        <v>LEWIS</v>
      </c>
      <c r="D9655" t="str">
        <f t="shared" si="3491"/>
        <v>09</v>
      </c>
      <c r="E9655" t="str">
        <f>"01 - A - 101 - Josiah I Lacy"</f>
        <v>01 - A - 101 - Josiah I Lacy</v>
      </c>
      <c r="F9655" t="str">
        <f>"PRE-AICE BIO IG"</f>
        <v>PRE-AICE BIO IG</v>
      </c>
      <c r="G9655" t="str">
        <f>"08-801"</f>
        <v>08-801</v>
      </c>
      <c r="H9655" t="str">
        <f>"A"</f>
        <v>A</v>
      </c>
    </row>
    <row r="9656" spans="1:8" x14ac:dyDescent="0.2">
      <c r="A9656" t="str">
        <f t="shared" si="3489"/>
        <v>0615049364</v>
      </c>
      <c r="B9656" t="str">
        <f t="shared" si="3490"/>
        <v>TAYLOR</v>
      </c>
      <c r="C9656" t="str">
        <f t="shared" si="3486"/>
        <v>LEWIS</v>
      </c>
      <c r="D9656" t="str">
        <f t="shared" si="3491"/>
        <v>09</v>
      </c>
      <c r="E9656" t="str">
        <f>"08 - B - 106 - Helen A Flores"</f>
        <v>08 - B - 106 - Helen A Flores</v>
      </c>
      <c r="F9656" t="str">
        <f>"ALGEBRA 1"</f>
        <v>ALGEBRA 1</v>
      </c>
      <c r="G9656" t="str">
        <f>"21-2101"</f>
        <v>21-2101</v>
      </c>
      <c r="H9656" t="str">
        <f>"B"</f>
        <v>B</v>
      </c>
    </row>
    <row r="9657" spans="1:8" x14ac:dyDescent="0.2">
      <c r="A9657" t="str">
        <f t="shared" ref="A9657:A9664" si="3492">"0613093850"</f>
        <v>0613093850</v>
      </c>
      <c r="B9657" t="str">
        <f t="shared" ref="B9657:B9672" si="3493">"CHRISTIAN"</f>
        <v>CHRISTIAN</v>
      </c>
      <c r="C9657" t="str">
        <f t="shared" ref="C9657:C9664" si="3494">"LEWIS BOUTTE"</f>
        <v>LEWIS BOUTTE</v>
      </c>
      <c r="D9657">
        <f>12</f>
        <v>12</v>
      </c>
      <c r="E9657" t="str">
        <f>"04 - A - 102 - Daniel S Katz"</f>
        <v>04 - A - 102 - Daniel S Katz</v>
      </c>
      <c r="F9657" t="str">
        <f>"AICE DRAMA 1 AS LEV"</f>
        <v>AICE DRAMA 1 AS LEV</v>
      </c>
      <c r="G9657" t="str">
        <f>"05-521"</f>
        <v>05-521</v>
      </c>
      <c r="H9657" t="str">
        <f>"A"</f>
        <v>A</v>
      </c>
    </row>
    <row r="9658" spans="1:8" x14ac:dyDescent="0.2">
      <c r="A9658" t="str">
        <f t="shared" si="3492"/>
        <v>0613093850</v>
      </c>
      <c r="B9658" t="str">
        <f t="shared" si="3493"/>
        <v>CHRISTIAN</v>
      </c>
      <c r="C9658" t="str">
        <f t="shared" si="3494"/>
        <v>LEWIS BOUTTE</v>
      </c>
      <c r="D9658">
        <f>12</f>
        <v>12</v>
      </c>
      <c r="E9658" t="str">
        <f>"06 - B - 101 - Cliffon  Saurel"</f>
        <v>06 - B - 101 - Cliffon  Saurel</v>
      </c>
      <c r="F9658" t="str">
        <f>"NC STUDY HALL 1"</f>
        <v>NC STUDY HALL 1</v>
      </c>
      <c r="G9658" t="str">
        <f>"05-522"</f>
        <v>05-522</v>
      </c>
      <c r="H9658" t="str">
        <f>"B"</f>
        <v>B</v>
      </c>
    </row>
    <row r="9659" spans="1:8" x14ac:dyDescent="0.2">
      <c r="A9659" t="str">
        <f t="shared" si="3492"/>
        <v>0613093850</v>
      </c>
      <c r="B9659" t="str">
        <f t="shared" si="3493"/>
        <v>CHRISTIAN</v>
      </c>
      <c r="C9659" t="str">
        <f t="shared" si="3494"/>
        <v>LEWIS BOUTTE</v>
      </c>
      <c r="D9659">
        <f>12</f>
        <v>12</v>
      </c>
      <c r="E9659" t="str">
        <f>"03 - A - 101 - Scott A Dethloff"</f>
        <v>03 - A - 101 - Scott A Dethloff</v>
      </c>
      <c r="F9659" t="str">
        <f>"CHEMISTRY 1 HON"</f>
        <v>CHEMISTRY 1 HON</v>
      </c>
      <c r="G9659" t="str">
        <f>"08-812"</f>
        <v>08-812</v>
      </c>
      <c r="H9659" t="str">
        <f>"A"</f>
        <v>A</v>
      </c>
    </row>
    <row r="9660" spans="1:8" x14ac:dyDescent="0.2">
      <c r="A9660" t="str">
        <f t="shared" si="3492"/>
        <v>0613093850</v>
      </c>
      <c r="B9660" t="str">
        <f t="shared" si="3493"/>
        <v>CHRISTIAN</v>
      </c>
      <c r="C9660" t="str">
        <f t="shared" si="3494"/>
        <v>LEWIS BOUTTE</v>
      </c>
      <c r="D9660">
        <f>12</f>
        <v>12</v>
      </c>
      <c r="E9660" t="str">
        <f>"02 - A - 107 - Tina M Jaramillo"</f>
        <v>02 - A - 107 - Tina M Jaramillo</v>
      </c>
      <c r="F9660" t="str">
        <f>"AP ENG LIT COMPO"</f>
        <v>AP ENG LIT COMPO</v>
      </c>
      <c r="G9660" t="str">
        <f>"17-1706"</f>
        <v>17-1706</v>
      </c>
      <c r="H9660" t="str">
        <f>"A"</f>
        <v>A</v>
      </c>
    </row>
    <row r="9661" spans="1:8" x14ac:dyDescent="0.2">
      <c r="A9661" t="str">
        <f t="shared" si="3492"/>
        <v>0613093850</v>
      </c>
      <c r="B9661" t="str">
        <f t="shared" si="3493"/>
        <v>CHRISTIAN</v>
      </c>
      <c r="C9661" t="str">
        <f t="shared" si="3494"/>
        <v>LEWIS BOUTTE</v>
      </c>
      <c r="D9661">
        <f>12</f>
        <v>12</v>
      </c>
      <c r="E9661" t="str">
        <f>"07 - S1 - B - 102 - Barbara L Segal"</f>
        <v>07 - S1 - B - 102 - Barbara L Segal</v>
      </c>
      <c r="F9661" t="str">
        <f>"AP US GOVT/POL"</f>
        <v>AP US GOVT/POL</v>
      </c>
      <c r="G9661" t="str">
        <f>"17-1742"</f>
        <v>17-1742</v>
      </c>
      <c r="H9661" t="str">
        <f>"B"</f>
        <v>B</v>
      </c>
    </row>
    <row r="9662" spans="1:8" x14ac:dyDescent="0.2">
      <c r="A9662" t="str">
        <f t="shared" si="3492"/>
        <v>0613093850</v>
      </c>
      <c r="B9662" t="str">
        <f t="shared" si="3493"/>
        <v>CHRISTIAN</v>
      </c>
      <c r="C9662" t="str">
        <f t="shared" si="3494"/>
        <v>LEWIS BOUTTE</v>
      </c>
      <c r="D9662">
        <f>12</f>
        <v>12</v>
      </c>
      <c r="E9662" t="str">
        <f>"05 - B - 103 - Byron G Montenegro"</f>
        <v>05 - B - 103 - Byron G Montenegro</v>
      </c>
      <c r="F9662" t="str">
        <f>"AICE MARINE SCI 1 AS"</f>
        <v>AICE MARINE SCI 1 AS</v>
      </c>
      <c r="G9662" t="str">
        <f>"21-2144"</f>
        <v>21-2144</v>
      </c>
      <c r="H9662" t="str">
        <f>"B"</f>
        <v>B</v>
      </c>
    </row>
    <row r="9663" spans="1:8" x14ac:dyDescent="0.2">
      <c r="A9663" t="str">
        <f t="shared" si="3492"/>
        <v>0613093850</v>
      </c>
      <c r="B9663" t="str">
        <f t="shared" si="3493"/>
        <v>CHRISTIAN</v>
      </c>
      <c r="C9663" t="str">
        <f t="shared" si="3494"/>
        <v>LEWIS BOUTTE</v>
      </c>
      <c r="D9663">
        <f>12</f>
        <v>12</v>
      </c>
      <c r="E9663" t="str">
        <f>"01 - A - 201 - Chrystina M Marchionne"</f>
        <v>01 - A - 201 - Chrystina M Marchionne</v>
      </c>
      <c r="F9663" t="str">
        <f>"AICE MEDIASTUDIES AS"</f>
        <v>AICE MEDIASTUDIES AS</v>
      </c>
      <c r="G9663" t="str">
        <f>"05-520"</f>
        <v>05-520</v>
      </c>
      <c r="H9663" t="str">
        <f>"A"</f>
        <v>A</v>
      </c>
    </row>
    <row r="9664" spans="1:8" x14ac:dyDescent="0.2">
      <c r="A9664" t="str">
        <f t="shared" si="3492"/>
        <v>0613093850</v>
      </c>
      <c r="B9664" t="str">
        <f t="shared" si="3493"/>
        <v>CHRISTIAN</v>
      </c>
      <c r="C9664" t="str">
        <f t="shared" si="3494"/>
        <v>LEWIS BOUTTE</v>
      </c>
      <c r="D9664">
        <f>12</f>
        <v>12</v>
      </c>
      <c r="E9664" t="str">
        <f>"08 - B - 101 - Jordana K Hass"</f>
        <v>08 - B - 101 - Jordana K Hass</v>
      </c>
      <c r="F9664" t="str">
        <f>"AICE INFO TECH 1 AS"</f>
        <v>AICE INFO TECH 1 AS</v>
      </c>
      <c r="G9664" t="str">
        <f>"08-807"</f>
        <v>08-807</v>
      </c>
      <c r="H9664" t="str">
        <f>"B"</f>
        <v>B</v>
      </c>
    </row>
    <row r="9665" spans="1:8" x14ac:dyDescent="0.2">
      <c r="A9665" t="str">
        <f t="shared" ref="A9665:A9672" si="3495">"0614100356"</f>
        <v>0614100356</v>
      </c>
      <c r="B9665" t="str">
        <f t="shared" si="3493"/>
        <v>CHRISTIAN</v>
      </c>
      <c r="C9665" t="str">
        <f t="shared" ref="C9665:C9672" si="3496">"LEY"</f>
        <v>LEY</v>
      </c>
      <c r="D9665">
        <f>11</f>
        <v>11</v>
      </c>
      <c r="E9665" t="str">
        <f>"04 - A - 101 - Stefanie S Scher"</f>
        <v>04 - A - 101 - Stefanie S Scher</v>
      </c>
      <c r="F9665" t="str">
        <f>"AP PSYCH"</f>
        <v>AP PSYCH</v>
      </c>
      <c r="G9665" t="str">
        <f>"17-1735"</f>
        <v>17-1735</v>
      </c>
      <c r="H9665" t="str">
        <f>"A"</f>
        <v>A</v>
      </c>
    </row>
    <row r="9666" spans="1:8" x14ac:dyDescent="0.2">
      <c r="A9666" t="str">
        <f t="shared" si="3495"/>
        <v>0614100356</v>
      </c>
      <c r="B9666" t="str">
        <f t="shared" si="3493"/>
        <v>CHRISTIAN</v>
      </c>
      <c r="C9666" t="str">
        <f t="shared" si="3496"/>
        <v>LEY</v>
      </c>
      <c r="D9666">
        <f>11</f>
        <v>11</v>
      </c>
      <c r="E9666" t="str">
        <f>"06 - B - 206 - Jacqueline R Morphet"</f>
        <v>06 - B - 206 - Jacqueline R Morphet</v>
      </c>
      <c r="F9666" t="str">
        <f>"PHYSICS 1 HON"</f>
        <v>PHYSICS 1 HON</v>
      </c>
      <c r="G9666" t="str">
        <f>"21-2138"</f>
        <v>21-2138</v>
      </c>
      <c r="H9666" t="str">
        <f>"B"</f>
        <v>B</v>
      </c>
    </row>
    <row r="9667" spans="1:8" x14ac:dyDescent="0.2">
      <c r="A9667" t="str">
        <f t="shared" si="3495"/>
        <v>0614100356</v>
      </c>
      <c r="B9667" t="str">
        <f t="shared" si="3493"/>
        <v>CHRISTIAN</v>
      </c>
      <c r="C9667" t="str">
        <f t="shared" si="3496"/>
        <v>LEY</v>
      </c>
      <c r="D9667">
        <f>11</f>
        <v>11</v>
      </c>
      <c r="E9667" t="str">
        <f>"03 - A - 101 - Timothy J Lawrence"</f>
        <v>03 - A - 101 - Timothy J Lawrence</v>
      </c>
      <c r="F9667" t="str">
        <f>"AICE PHYS ED 1 AS"</f>
        <v>AICE PHYS ED 1 AS</v>
      </c>
      <c r="G9667" t="str">
        <f>"05-519"</f>
        <v>05-519</v>
      </c>
      <c r="H9667" t="str">
        <f>"A"</f>
        <v>A</v>
      </c>
    </row>
    <row r="9668" spans="1:8" x14ac:dyDescent="0.2">
      <c r="A9668" t="str">
        <f t="shared" si="3495"/>
        <v>0614100356</v>
      </c>
      <c r="B9668" t="str">
        <f t="shared" si="3493"/>
        <v>CHRISTIAN</v>
      </c>
      <c r="C9668" t="str">
        <f t="shared" si="3496"/>
        <v>LEY</v>
      </c>
      <c r="D9668">
        <f>11</f>
        <v>11</v>
      </c>
      <c r="E9668" t="str">
        <f>"02 - A - 107 - Elizabeth Ellen  Moran"</f>
        <v>02 - A - 107 - Elizabeth Ellen  Moran</v>
      </c>
      <c r="F9668" t="str">
        <f>"NC STUDY HALL 1"</f>
        <v>NC STUDY HALL 1</v>
      </c>
      <c r="G9668" t="str">
        <f>"17-1752"</f>
        <v>17-1752</v>
      </c>
      <c r="H9668" t="str">
        <f>"A"</f>
        <v>A</v>
      </c>
    </row>
    <row r="9669" spans="1:8" x14ac:dyDescent="0.2">
      <c r="A9669" t="str">
        <f t="shared" si="3495"/>
        <v>0614100356</v>
      </c>
      <c r="B9669" t="str">
        <f t="shared" si="3493"/>
        <v>CHRISTIAN</v>
      </c>
      <c r="C9669" t="str">
        <f t="shared" si="3496"/>
        <v>LEY</v>
      </c>
      <c r="D9669">
        <f>11</f>
        <v>11</v>
      </c>
      <c r="E9669" t="str">
        <f>"07 - B - 102 - Pamela M Corzo"</f>
        <v>07 - B - 102 - Pamela M Corzo</v>
      </c>
      <c r="F9669" t="str">
        <f>"AP CALCULUS AB"</f>
        <v>AP CALCULUS AB</v>
      </c>
      <c r="G9669" t="str">
        <f>"21-2133"</f>
        <v>21-2133</v>
      </c>
      <c r="H9669" t="str">
        <f>"B"</f>
        <v>B</v>
      </c>
    </row>
    <row r="9670" spans="1:8" x14ac:dyDescent="0.2">
      <c r="A9670" t="str">
        <f t="shared" si="3495"/>
        <v>0614100356</v>
      </c>
      <c r="B9670" t="str">
        <f t="shared" si="3493"/>
        <v>CHRISTIAN</v>
      </c>
      <c r="C9670" t="str">
        <f t="shared" si="3496"/>
        <v>LEY</v>
      </c>
      <c r="D9670">
        <f>11</f>
        <v>11</v>
      </c>
      <c r="E9670" t="str">
        <f>"05 - B - 103 - Tina M Jaramillo"</f>
        <v>05 - B - 103 - Tina M Jaramillo</v>
      </c>
      <c r="F9670" t="str">
        <f>"AP ENG COMPO"</f>
        <v>AP ENG COMPO</v>
      </c>
      <c r="G9670" t="str">
        <f>"17-1706"</f>
        <v>17-1706</v>
      </c>
      <c r="H9670" t="str">
        <f>"B"</f>
        <v>B</v>
      </c>
    </row>
    <row r="9671" spans="1:8" x14ac:dyDescent="0.2">
      <c r="A9671" t="str">
        <f t="shared" si="3495"/>
        <v>0614100356</v>
      </c>
      <c r="B9671" t="str">
        <f t="shared" si="3493"/>
        <v>CHRISTIAN</v>
      </c>
      <c r="C9671" t="str">
        <f t="shared" si="3496"/>
        <v>LEY</v>
      </c>
      <c r="D9671">
        <f>11</f>
        <v>11</v>
      </c>
      <c r="E9671" t="str">
        <f>"01 - A - 001 - Stephen T Ripp"</f>
        <v>01 - A - 001 - Stephen T Ripp</v>
      </c>
      <c r="F9671" t="str">
        <f>"AP U.S. HIST"</f>
        <v>AP U.S. HIST</v>
      </c>
      <c r="G9671" t="str">
        <f>"17-1744"</f>
        <v>17-1744</v>
      </c>
      <c r="H9671" t="str">
        <f>"A"</f>
        <v>A</v>
      </c>
    </row>
    <row r="9672" spans="1:8" x14ac:dyDescent="0.2">
      <c r="A9672" t="str">
        <f t="shared" si="3495"/>
        <v>0614100356</v>
      </c>
      <c r="B9672" t="str">
        <f t="shared" si="3493"/>
        <v>CHRISTIAN</v>
      </c>
      <c r="C9672" t="str">
        <f t="shared" si="3496"/>
        <v>LEY</v>
      </c>
      <c r="D9672">
        <f>11</f>
        <v>11</v>
      </c>
      <c r="E9672" t="str">
        <f>"08 - B - 206 - Daniel S Katz"</f>
        <v>08 - B - 206 - Daniel S Katz</v>
      </c>
      <c r="F9672" t="str">
        <f>"AICE MEDIASTUDIES AS"</f>
        <v>AICE MEDIASTUDIES AS</v>
      </c>
      <c r="G9672" t="str">
        <f>"05-521"</f>
        <v>05-521</v>
      </c>
      <c r="H9672" t="str">
        <f>"B"</f>
        <v>B</v>
      </c>
    </row>
    <row r="9673" spans="1:8" x14ac:dyDescent="0.2">
      <c r="A9673" t="str">
        <f t="shared" ref="A9673:A9680" si="3497">"0614016550"</f>
        <v>0614016550</v>
      </c>
      <c r="B9673" t="str">
        <f t="shared" ref="B9673:B9680" si="3498">"LEYLA"</f>
        <v>LEYLA</v>
      </c>
      <c r="C9673" t="str">
        <f t="shared" ref="C9673:C9680" si="3499">"LEZCANO"</f>
        <v>LEZCANO</v>
      </c>
      <c r="D9673">
        <f>12</f>
        <v>12</v>
      </c>
      <c r="E9673" t="str">
        <f>"04 - A - 102 - Daniel S Katz"</f>
        <v>04 - A - 102 - Daniel S Katz</v>
      </c>
      <c r="F9673" t="str">
        <f>"AICE DRAMA 1 AS LEV"</f>
        <v>AICE DRAMA 1 AS LEV</v>
      </c>
      <c r="G9673" t="str">
        <f>"05-521"</f>
        <v>05-521</v>
      </c>
      <c r="H9673" t="str">
        <f>"A"</f>
        <v>A</v>
      </c>
    </row>
    <row r="9674" spans="1:8" x14ac:dyDescent="0.2">
      <c r="A9674" t="str">
        <f t="shared" si="3497"/>
        <v>0614016550</v>
      </c>
      <c r="B9674" t="str">
        <f t="shared" si="3498"/>
        <v>LEYLA</v>
      </c>
      <c r="C9674" t="str">
        <f t="shared" si="3499"/>
        <v>LEZCANO</v>
      </c>
      <c r="D9674">
        <f>12</f>
        <v>12</v>
      </c>
      <c r="E9674" t="str">
        <f>"06 - B - 103 - Stefanie S Scher"</f>
        <v>06 - B - 103 - Stefanie S Scher</v>
      </c>
      <c r="F9674" t="str">
        <f>"NC STUDY HALL 1"</f>
        <v>NC STUDY HALL 1</v>
      </c>
      <c r="G9674" t="str">
        <f>"17-1735"</f>
        <v>17-1735</v>
      </c>
      <c r="H9674" t="str">
        <f>"B"</f>
        <v>B</v>
      </c>
    </row>
    <row r="9675" spans="1:8" x14ac:dyDescent="0.2">
      <c r="A9675" t="str">
        <f t="shared" si="3497"/>
        <v>0614016550</v>
      </c>
      <c r="B9675" t="str">
        <f t="shared" si="3498"/>
        <v>LEYLA</v>
      </c>
      <c r="C9675" t="str">
        <f t="shared" si="3499"/>
        <v>LEZCANO</v>
      </c>
      <c r="D9675">
        <f>12</f>
        <v>12</v>
      </c>
      <c r="E9675" t="str">
        <f>"03 - A - 202 - Jeanne M Bermudez"</f>
        <v>03 - A - 202 - Jeanne M Bermudez</v>
      </c>
      <c r="F9675" t="str">
        <f>"PHYSICS 1 HON"</f>
        <v>PHYSICS 1 HON</v>
      </c>
      <c r="G9675" t="str">
        <f>"21-2141"</f>
        <v>21-2141</v>
      </c>
      <c r="H9675" t="str">
        <f>"A"</f>
        <v>A</v>
      </c>
    </row>
    <row r="9676" spans="1:8" x14ac:dyDescent="0.2">
      <c r="A9676" t="str">
        <f t="shared" si="3497"/>
        <v>0614016550</v>
      </c>
      <c r="B9676" t="str">
        <f t="shared" si="3498"/>
        <v>LEYLA</v>
      </c>
      <c r="C9676" t="str">
        <f t="shared" si="3499"/>
        <v>LEZCANO</v>
      </c>
      <c r="D9676">
        <f>12</f>
        <v>12</v>
      </c>
      <c r="E9676" t="str">
        <f>"02 - A - 102 - Chrystina M Marchionne"</f>
        <v>02 - A - 102 - Chrystina M Marchionne</v>
      </c>
      <c r="F9676" t="str">
        <f>"AICE MEDIASTUDIES AS"</f>
        <v>AICE MEDIASTUDIES AS</v>
      </c>
      <c r="G9676" t="str">
        <f>"05-520"</f>
        <v>05-520</v>
      </c>
      <c r="H9676" t="str">
        <f>"A"</f>
        <v>A</v>
      </c>
    </row>
    <row r="9677" spans="1:8" x14ac:dyDescent="0.2">
      <c r="A9677" t="str">
        <f t="shared" si="3497"/>
        <v>0614016550</v>
      </c>
      <c r="B9677" t="str">
        <f t="shared" si="3498"/>
        <v>LEYLA</v>
      </c>
      <c r="C9677" t="str">
        <f t="shared" si="3499"/>
        <v>LEZCANO</v>
      </c>
      <c r="D9677">
        <f>12</f>
        <v>12</v>
      </c>
      <c r="E9677" t="str">
        <f>"07 - S1 - B - 102 - Barbara L Segal"</f>
        <v>07 - S1 - B - 102 - Barbara L Segal</v>
      </c>
      <c r="F9677" t="str">
        <f>"AP US GOVT/POL"</f>
        <v>AP US GOVT/POL</v>
      </c>
      <c r="G9677" t="str">
        <f>"17-1742"</f>
        <v>17-1742</v>
      </c>
      <c r="H9677" t="str">
        <f>"B"</f>
        <v>B</v>
      </c>
    </row>
    <row r="9678" spans="1:8" x14ac:dyDescent="0.2">
      <c r="A9678" t="str">
        <f t="shared" si="3497"/>
        <v>0614016550</v>
      </c>
      <c r="B9678" t="str">
        <f t="shared" si="3498"/>
        <v>LEYLA</v>
      </c>
      <c r="C9678" t="str">
        <f t="shared" si="3499"/>
        <v>LEZCANO</v>
      </c>
      <c r="D9678">
        <f>12</f>
        <v>12</v>
      </c>
      <c r="E9678" t="str">
        <f>"05 - B - 103 - Byron G Montenegro"</f>
        <v>05 - B - 103 - Byron G Montenegro</v>
      </c>
      <c r="F9678" t="str">
        <f>"AICE MARINE SCI 1 AS"</f>
        <v>AICE MARINE SCI 1 AS</v>
      </c>
      <c r="G9678" t="str">
        <f>"21-2144"</f>
        <v>21-2144</v>
      </c>
      <c r="H9678" t="str">
        <f>"B"</f>
        <v>B</v>
      </c>
    </row>
    <row r="9679" spans="1:8" x14ac:dyDescent="0.2">
      <c r="A9679" t="str">
        <f t="shared" si="3497"/>
        <v>0614016550</v>
      </c>
      <c r="B9679" t="str">
        <f t="shared" si="3498"/>
        <v>LEYLA</v>
      </c>
      <c r="C9679" t="str">
        <f t="shared" si="3499"/>
        <v>LEZCANO</v>
      </c>
      <c r="D9679">
        <f>12</f>
        <v>12</v>
      </c>
      <c r="E9679" t="str">
        <f>"01 - A - 103 - Scott A Dethloff"</f>
        <v>01 - A - 103 - Scott A Dethloff</v>
      </c>
      <c r="F9679" t="str">
        <f>"AICE THINK SKLS 1 AS"</f>
        <v>AICE THINK SKLS 1 AS</v>
      </c>
      <c r="G9679" t="str">
        <f>"08-812"</f>
        <v>08-812</v>
      </c>
      <c r="H9679" t="str">
        <f>"A"</f>
        <v>A</v>
      </c>
    </row>
    <row r="9680" spans="1:8" x14ac:dyDescent="0.2">
      <c r="A9680" t="str">
        <f t="shared" si="3497"/>
        <v>0614016550</v>
      </c>
      <c r="B9680" t="str">
        <f t="shared" si="3498"/>
        <v>LEYLA</v>
      </c>
      <c r="C9680" t="str">
        <f t="shared" si="3499"/>
        <v>LEZCANO</v>
      </c>
      <c r="D9680">
        <f>12</f>
        <v>12</v>
      </c>
      <c r="E9680" t="str">
        <f>"08 - B - 203 - Courtney E Hambright"</f>
        <v>08 - B - 203 - Courtney E Hambright</v>
      </c>
      <c r="F9680" t="str">
        <f>"AP ENG LIT COMPO"</f>
        <v>AP ENG LIT COMPO</v>
      </c>
      <c r="G9680" t="str">
        <f>"17-1711"</f>
        <v>17-1711</v>
      </c>
      <c r="H9680" t="str">
        <f>"B"</f>
        <v>B</v>
      </c>
    </row>
    <row r="9681" spans="1:8" x14ac:dyDescent="0.2">
      <c r="A9681" t="str">
        <f t="shared" ref="A9681:A9688" si="3500">"0614064849"</f>
        <v>0614064849</v>
      </c>
      <c r="B9681" t="str">
        <f t="shared" ref="B9681:B9688" si="3501">"JHAMARION"</f>
        <v>JHAMARION</v>
      </c>
      <c r="C9681" t="str">
        <f t="shared" ref="C9681:C9688" si="3502">"LIDELL"</f>
        <v>LIDELL</v>
      </c>
      <c r="D9681">
        <f>12</f>
        <v>12</v>
      </c>
      <c r="E9681" t="str">
        <f>"04 - A - 205 - Jacqueline R Morphet"</f>
        <v>04 - A - 205 - Jacqueline R Morphet</v>
      </c>
      <c r="F9681" t="str">
        <f>"PHYSICS 1 HON"</f>
        <v>PHYSICS 1 HON</v>
      </c>
      <c r="G9681" t="str">
        <f>"21-2138"</f>
        <v>21-2138</v>
      </c>
      <c r="H9681" t="str">
        <f>"A"</f>
        <v>A</v>
      </c>
    </row>
    <row r="9682" spans="1:8" x14ac:dyDescent="0.2">
      <c r="A9682" t="str">
        <f t="shared" si="3500"/>
        <v>0614064849</v>
      </c>
      <c r="B9682" t="str">
        <f t="shared" si="3501"/>
        <v>JHAMARION</v>
      </c>
      <c r="C9682" t="str">
        <f t="shared" si="3502"/>
        <v>LIDELL</v>
      </c>
      <c r="D9682">
        <f>12</f>
        <v>12</v>
      </c>
      <c r="E9682" t="str">
        <f>"06 - B - 001 - Robert O Burger"</f>
        <v>06 - B - 001 - Robert O Burger</v>
      </c>
      <c r="F9682" t="str">
        <f>"NC STUDY HALL 1"</f>
        <v>NC STUDY HALL 1</v>
      </c>
      <c r="G9682" t="str">
        <f>"17-1755"</f>
        <v>17-1755</v>
      </c>
      <c r="H9682" t="str">
        <f>"B"</f>
        <v>B</v>
      </c>
    </row>
    <row r="9683" spans="1:8" x14ac:dyDescent="0.2">
      <c r="A9683" t="str">
        <f t="shared" si="3500"/>
        <v>0614064849</v>
      </c>
      <c r="B9683" t="str">
        <f t="shared" si="3501"/>
        <v>JHAMARION</v>
      </c>
      <c r="C9683" t="str">
        <f t="shared" si="3502"/>
        <v>LIDELL</v>
      </c>
      <c r="D9683">
        <f>12</f>
        <v>12</v>
      </c>
      <c r="E9683" t="str">
        <f>"03 - A - 203 - Stefanie S Scher"</f>
        <v>03 - A - 203 - Stefanie S Scher</v>
      </c>
      <c r="F9683" t="str">
        <f>"AP PSYCH"</f>
        <v>AP PSYCH</v>
      </c>
      <c r="G9683" t="str">
        <f>"17-1735"</f>
        <v>17-1735</v>
      </c>
      <c r="H9683" t="str">
        <f>"A"</f>
        <v>A</v>
      </c>
    </row>
    <row r="9684" spans="1:8" x14ac:dyDescent="0.2">
      <c r="A9684" t="str">
        <f t="shared" si="3500"/>
        <v>0614064849</v>
      </c>
      <c r="B9684" t="str">
        <f t="shared" si="3501"/>
        <v>JHAMARION</v>
      </c>
      <c r="C9684" t="str">
        <f t="shared" si="3502"/>
        <v>LIDELL</v>
      </c>
      <c r="D9684">
        <f>12</f>
        <v>12</v>
      </c>
      <c r="E9684" t="str">
        <f>"02 - A - 102 - Chrystina M Marchionne"</f>
        <v>02 - A - 102 - Chrystina M Marchionne</v>
      </c>
      <c r="F9684" t="str">
        <f>"AICE MEDIASTUDIES AS"</f>
        <v>AICE MEDIASTUDIES AS</v>
      </c>
      <c r="G9684" t="str">
        <f>"05-520"</f>
        <v>05-520</v>
      </c>
      <c r="H9684" t="str">
        <f>"A"</f>
        <v>A</v>
      </c>
    </row>
    <row r="9685" spans="1:8" x14ac:dyDescent="0.2">
      <c r="A9685" t="str">
        <f t="shared" si="3500"/>
        <v>0614064849</v>
      </c>
      <c r="B9685" t="str">
        <f t="shared" si="3501"/>
        <v>JHAMARION</v>
      </c>
      <c r="C9685" t="str">
        <f t="shared" si="3502"/>
        <v>LIDELL</v>
      </c>
      <c r="D9685">
        <f>12</f>
        <v>12</v>
      </c>
      <c r="E9685" t="str">
        <f>"07 - B - 102 - Thomas G Handwerg"</f>
        <v>07 - B - 102 - Thomas G Handwerg</v>
      </c>
      <c r="F9685" t="str">
        <f>"PROB STAT W/APPS HON"</f>
        <v>PROB STAT W/APPS HON</v>
      </c>
      <c r="G9685" t="str">
        <f>"21-2146"</f>
        <v>21-2146</v>
      </c>
      <c r="H9685" t="str">
        <f>"B"</f>
        <v>B</v>
      </c>
    </row>
    <row r="9686" spans="1:8" x14ac:dyDescent="0.2">
      <c r="A9686" t="str">
        <f t="shared" si="3500"/>
        <v>0614064849</v>
      </c>
      <c r="B9686" t="str">
        <f t="shared" si="3501"/>
        <v>JHAMARION</v>
      </c>
      <c r="C9686" t="str">
        <f t="shared" si="3502"/>
        <v>LIDELL</v>
      </c>
      <c r="D9686">
        <f>12</f>
        <v>12</v>
      </c>
      <c r="E9686" t="str">
        <f>"05 - S1 - B - 102 - Barbara L Segal"</f>
        <v>05 - S1 - B - 102 - Barbara L Segal</v>
      </c>
      <c r="F9686" t="str">
        <f>"US GOVT HON"</f>
        <v>US GOVT HON</v>
      </c>
      <c r="G9686" t="str">
        <f>"17-1742"</f>
        <v>17-1742</v>
      </c>
      <c r="H9686" t="str">
        <f>"B"</f>
        <v>B</v>
      </c>
    </row>
    <row r="9687" spans="1:8" x14ac:dyDescent="0.2">
      <c r="A9687" t="str">
        <f t="shared" si="3500"/>
        <v>0614064849</v>
      </c>
      <c r="B9687" t="str">
        <f t="shared" si="3501"/>
        <v>JHAMARION</v>
      </c>
      <c r="C9687" t="str">
        <f t="shared" si="3502"/>
        <v>LIDELL</v>
      </c>
      <c r="D9687">
        <f>12</f>
        <v>12</v>
      </c>
      <c r="E9687" t="str">
        <f>"01 - A - 103 - Scott A Dethloff"</f>
        <v>01 - A - 103 - Scott A Dethloff</v>
      </c>
      <c r="F9687" t="str">
        <f>"AICE THINK SKLS 1 AS"</f>
        <v>AICE THINK SKLS 1 AS</v>
      </c>
      <c r="G9687" t="str">
        <f>"08-812"</f>
        <v>08-812</v>
      </c>
      <c r="H9687" t="str">
        <f>"A"</f>
        <v>A</v>
      </c>
    </row>
    <row r="9688" spans="1:8" x14ac:dyDescent="0.2">
      <c r="A9688" t="str">
        <f t="shared" si="3500"/>
        <v>0614064849</v>
      </c>
      <c r="B9688" t="str">
        <f t="shared" si="3501"/>
        <v>JHAMARION</v>
      </c>
      <c r="C9688" t="str">
        <f t="shared" si="3502"/>
        <v>LIDELL</v>
      </c>
      <c r="D9688">
        <f>12</f>
        <v>12</v>
      </c>
      <c r="E9688" t="str">
        <f>"08 - B - 105 - Brandy N Zdenek"</f>
        <v>08 - B - 105 - Brandy N Zdenek</v>
      </c>
      <c r="F9688" t="str">
        <f>"AICE ENG LANG 2 AL"</f>
        <v>AICE ENG LANG 2 AL</v>
      </c>
      <c r="G9688" t="str">
        <f>"17-1704"</f>
        <v>17-1704</v>
      </c>
      <c r="H9688" t="str">
        <f>"B"</f>
        <v>B</v>
      </c>
    </row>
    <row r="9689" spans="1:8" x14ac:dyDescent="0.2">
      <c r="A9689" t="str">
        <f t="shared" ref="A9689:A9696" si="3503">"0616142642"</f>
        <v>0616142642</v>
      </c>
      <c r="B9689" t="str">
        <f t="shared" ref="B9689:B9696" si="3504">"SIMON"</f>
        <v>SIMON</v>
      </c>
      <c r="C9689" t="str">
        <f t="shared" ref="C9689:C9696" si="3505">"LIFLAND"</f>
        <v>LIFLAND</v>
      </c>
      <c r="D9689" t="str">
        <f t="shared" ref="D9689:D9696" si="3506">"09"</f>
        <v>09</v>
      </c>
      <c r="E9689" t="str">
        <f>"04 - A - 101 - Arthur  Kulawik"</f>
        <v>04 - A - 101 - Arthur  Kulawik</v>
      </c>
      <c r="F9689" t="str">
        <f>"DEBATE 3 HON"</f>
        <v>DEBATE 3 HON</v>
      </c>
      <c r="G9689" t="str">
        <f>"05-506"</f>
        <v>05-506</v>
      </c>
      <c r="H9689" t="str">
        <f>"A"</f>
        <v>A</v>
      </c>
    </row>
    <row r="9690" spans="1:8" x14ac:dyDescent="0.2">
      <c r="A9690" t="str">
        <f t="shared" si="3503"/>
        <v>0616142642</v>
      </c>
      <c r="B9690" t="str">
        <f t="shared" si="3504"/>
        <v>SIMON</v>
      </c>
      <c r="C9690" t="str">
        <f t="shared" si="3505"/>
        <v>LIFLAND</v>
      </c>
      <c r="D9690" t="str">
        <f t="shared" si="3506"/>
        <v>09</v>
      </c>
      <c r="E9690" t="str">
        <f>"06 - B - 105 - Cheryl L Beach"</f>
        <v>06 - B - 105 - Cheryl L Beach</v>
      </c>
      <c r="F9690" t="str">
        <f>"AICE ENV MGMNT AS"</f>
        <v>AICE ENV MGMNT AS</v>
      </c>
      <c r="G9690" t="str">
        <f>"08-811"</f>
        <v>08-811</v>
      </c>
      <c r="H9690" t="str">
        <f>"B"</f>
        <v>B</v>
      </c>
    </row>
    <row r="9691" spans="1:8" x14ac:dyDescent="0.2">
      <c r="A9691" t="str">
        <f t="shared" si="3503"/>
        <v>0616142642</v>
      </c>
      <c r="B9691" t="str">
        <f t="shared" si="3504"/>
        <v>SIMON</v>
      </c>
      <c r="C9691" t="str">
        <f t="shared" si="3505"/>
        <v>LIFLAND</v>
      </c>
      <c r="D9691" t="str">
        <f t="shared" si="3506"/>
        <v>09</v>
      </c>
      <c r="E9691" t="str">
        <f>"03 - S1 - A - 101 - Daniel S Katz"</f>
        <v>03 - S1 - A - 101 - Daniel S Katz</v>
      </c>
      <c r="F9691" t="str">
        <f>"COURT PROCED"</f>
        <v>COURT PROCED</v>
      </c>
      <c r="G9691" t="str">
        <f>"21-2156"</f>
        <v>21-2156</v>
      </c>
      <c r="H9691" t="str">
        <f>"A"</f>
        <v>A</v>
      </c>
    </row>
    <row r="9692" spans="1:8" x14ac:dyDescent="0.2">
      <c r="A9692" t="str">
        <f t="shared" si="3503"/>
        <v>0616142642</v>
      </c>
      <c r="B9692" t="str">
        <f t="shared" si="3504"/>
        <v>SIMON</v>
      </c>
      <c r="C9692" t="str">
        <f t="shared" si="3505"/>
        <v>LIFLAND</v>
      </c>
      <c r="D9692" t="str">
        <f t="shared" si="3506"/>
        <v>09</v>
      </c>
      <c r="E9692" t="str">
        <f>"02 - A - 112 - Cheryl Anne  Berman-Schechter"</f>
        <v>02 - A - 112 - Cheryl Anne  Berman-Schechter</v>
      </c>
      <c r="F9692" t="str">
        <f>"NC STUDY HALL 1"</f>
        <v>NC STUDY HALL 1</v>
      </c>
      <c r="G9692" t="str">
        <f>"17-1722"</f>
        <v>17-1722</v>
      </c>
      <c r="H9692" t="str">
        <f>"A"</f>
        <v>A</v>
      </c>
    </row>
    <row r="9693" spans="1:8" x14ac:dyDescent="0.2">
      <c r="A9693" t="str">
        <f t="shared" si="3503"/>
        <v>0616142642</v>
      </c>
      <c r="B9693" t="str">
        <f t="shared" si="3504"/>
        <v>SIMON</v>
      </c>
      <c r="C9693" t="str">
        <f t="shared" si="3505"/>
        <v>LIFLAND</v>
      </c>
      <c r="D9693" t="str">
        <f t="shared" si="3506"/>
        <v>09</v>
      </c>
      <c r="E9693" t="str">
        <f>"07 - B - 002 - Rachel M Montrose"</f>
        <v>07 - B - 002 - Rachel M Montrose</v>
      </c>
      <c r="F9693" t="str">
        <f>"JOURN 1 (NP) LH"</f>
        <v>JOURN 1 (NP) LH</v>
      </c>
      <c r="G9693" t="str">
        <f>"05-521"</f>
        <v>05-521</v>
      </c>
      <c r="H9693" t="str">
        <f>"B"</f>
        <v>B</v>
      </c>
    </row>
    <row r="9694" spans="1:8" x14ac:dyDescent="0.2">
      <c r="A9694" t="str">
        <f t="shared" si="3503"/>
        <v>0616142642</v>
      </c>
      <c r="B9694" t="str">
        <f t="shared" si="3504"/>
        <v>SIMON</v>
      </c>
      <c r="C9694" t="str">
        <f t="shared" si="3505"/>
        <v>LIFLAND</v>
      </c>
      <c r="D9694" t="str">
        <f t="shared" si="3506"/>
        <v>09</v>
      </c>
      <c r="E9694" t="str">
        <f>"05 - B - 104 - Maried P Ramos"</f>
        <v>05 - B - 104 - Maried P Ramos</v>
      </c>
      <c r="F9694" t="str">
        <f>"PRE-AICE MATH 2 IG"</f>
        <v>PRE-AICE MATH 2 IG</v>
      </c>
      <c r="G9694" t="str">
        <f>"21-2159"</f>
        <v>21-2159</v>
      </c>
      <c r="H9694" t="str">
        <f>"B"</f>
        <v>B</v>
      </c>
    </row>
    <row r="9695" spans="1:8" x14ac:dyDescent="0.2">
      <c r="A9695" t="str">
        <f t="shared" si="3503"/>
        <v>0616142642</v>
      </c>
      <c r="B9695" t="str">
        <f t="shared" si="3504"/>
        <v>SIMON</v>
      </c>
      <c r="C9695" t="str">
        <f t="shared" si="3505"/>
        <v>LIFLAND</v>
      </c>
      <c r="D9695" t="str">
        <f t="shared" si="3506"/>
        <v>09</v>
      </c>
      <c r="E9695" t="str">
        <f>"01 - A - 006 - Emmily A Sarmiento"</f>
        <v>01 - A - 006 - Emmily A Sarmiento</v>
      </c>
      <c r="F9695" t="str">
        <f>"AICE GLBL PERSP 1 AS"</f>
        <v>AICE GLBL PERSP 1 AS</v>
      </c>
      <c r="G9695" t="str">
        <f>"17-1743"</f>
        <v>17-1743</v>
      </c>
      <c r="H9695" t="str">
        <f>"A"</f>
        <v>A</v>
      </c>
    </row>
    <row r="9696" spans="1:8" x14ac:dyDescent="0.2">
      <c r="A9696" t="str">
        <f t="shared" si="3503"/>
        <v>0616142642</v>
      </c>
      <c r="B9696" t="str">
        <f t="shared" si="3504"/>
        <v>SIMON</v>
      </c>
      <c r="C9696" t="str">
        <f t="shared" si="3505"/>
        <v>LIFLAND</v>
      </c>
      <c r="D9696" t="str">
        <f t="shared" si="3506"/>
        <v>09</v>
      </c>
      <c r="E9696" t="str">
        <f>"08 - B - 201 - Elizabeth R Walker"</f>
        <v>08 - B - 201 - Elizabeth R Walker</v>
      </c>
      <c r="F9696" t="str">
        <f>"AICE ENG GEN PAPER 1"</f>
        <v>AICE ENG GEN PAPER 1</v>
      </c>
      <c r="G9696" t="str">
        <f>"17-1703"</f>
        <v>17-1703</v>
      </c>
      <c r="H9696" t="str">
        <f>"B"</f>
        <v>B</v>
      </c>
    </row>
    <row r="9697" spans="1:8" x14ac:dyDescent="0.2">
      <c r="A9697" t="str">
        <f t="shared" ref="A9697:A9704" si="3507">"0615106947"</f>
        <v>0615106947</v>
      </c>
      <c r="B9697" t="str">
        <f t="shared" ref="B9697:B9704" si="3508">"MIA"</f>
        <v>MIA</v>
      </c>
      <c r="C9697" t="str">
        <f t="shared" ref="C9697:C9704" si="3509">"LINARES-COLON"</f>
        <v>LINARES-COLON</v>
      </c>
      <c r="D9697">
        <f>10</f>
        <v>10</v>
      </c>
      <c r="E9697" t="str">
        <f>"04 - A - 102 - Fernando  Vega-Cid"</f>
        <v>04 - A - 102 - Fernando  Vega-Cid</v>
      </c>
      <c r="F9697" t="str">
        <f>"PRE-CALCULUS HON"</f>
        <v>PRE-CALCULUS HON</v>
      </c>
      <c r="G9697" t="str">
        <f>"21-2163"</f>
        <v>21-2163</v>
      </c>
      <c r="H9697" t="str">
        <f>"A"</f>
        <v>A</v>
      </c>
    </row>
    <row r="9698" spans="1:8" x14ac:dyDescent="0.2">
      <c r="A9698" t="str">
        <f t="shared" si="3507"/>
        <v>0615106947</v>
      </c>
      <c r="B9698" t="str">
        <f t="shared" si="3508"/>
        <v>MIA</v>
      </c>
      <c r="C9698" t="str">
        <f t="shared" si="3509"/>
        <v>LINARES-COLON</v>
      </c>
      <c r="D9698">
        <f>10</f>
        <v>10</v>
      </c>
      <c r="E9698" t="str">
        <f>"06 - B - 113 - Joe  Kilpatrick Jr"</f>
        <v>06 - B - 113 - Joe  Kilpatrick Jr</v>
      </c>
      <c r="F9698" t="str">
        <f>"NC STUDY HALL 1"</f>
        <v>NC STUDY HALL 1</v>
      </c>
      <c r="G9698" t="str">
        <f>"09-912"</f>
        <v>09-912</v>
      </c>
      <c r="H9698" t="str">
        <f>"B"</f>
        <v>B</v>
      </c>
    </row>
    <row r="9699" spans="1:8" x14ac:dyDescent="0.2">
      <c r="A9699" t="str">
        <f t="shared" si="3507"/>
        <v>0615106947</v>
      </c>
      <c r="B9699" t="str">
        <f t="shared" si="3508"/>
        <v>MIA</v>
      </c>
      <c r="C9699" t="str">
        <f t="shared" si="3509"/>
        <v>LINARES-COLON</v>
      </c>
      <c r="D9699">
        <f>10</f>
        <v>10</v>
      </c>
      <c r="E9699" t="str">
        <f>"03 - A - 101 - Rosa Elaine  Collado-Duff"</f>
        <v>03 - A - 101 - Rosa Elaine  Collado-Duff</v>
      </c>
      <c r="F9699" t="str">
        <f>"SPANISH 3 HON"</f>
        <v>SPANISH 3 HON</v>
      </c>
      <c r="G9699" t="str">
        <f>"09-913"</f>
        <v>09-913</v>
      </c>
      <c r="H9699" t="str">
        <f>"A"</f>
        <v>A</v>
      </c>
    </row>
    <row r="9700" spans="1:8" x14ac:dyDescent="0.2">
      <c r="A9700" t="str">
        <f t="shared" si="3507"/>
        <v>0615106947</v>
      </c>
      <c r="B9700" t="str">
        <f t="shared" si="3508"/>
        <v>MIA</v>
      </c>
      <c r="C9700" t="str">
        <f t="shared" si="3509"/>
        <v>LINARES-COLON</v>
      </c>
      <c r="D9700">
        <f>10</f>
        <v>10</v>
      </c>
      <c r="E9700" t="str">
        <f>"02 - A - 102 - Jacklyn M James"</f>
        <v>02 - A - 102 - Jacklyn M James</v>
      </c>
      <c r="F9700" t="str">
        <f>"AICE ENG LANG AS"</f>
        <v>AICE ENG LANG AS</v>
      </c>
      <c r="G9700" t="str">
        <f>"17-1731"</f>
        <v>17-1731</v>
      </c>
      <c r="H9700" t="str">
        <f>"A"</f>
        <v>A</v>
      </c>
    </row>
    <row r="9701" spans="1:8" x14ac:dyDescent="0.2">
      <c r="A9701" t="str">
        <f t="shared" si="3507"/>
        <v>0615106947</v>
      </c>
      <c r="B9701" t="str">
        <f t="shared" si="3508"/>
        <v>MIA</v>
      </c>
      <c r="C9701" t="str">
        <f t="shared" si="3509"/>
        <v>LINARES-COLON</v>
      </c>
      <c r="D9701">
        <f>10</f>
        <v>10</v>
      </c>
      <c r="E9701" t="str">
        <f>"07 - B - 204 - Elizabeth Ellen  Moran"</f>
        <v>07 - B - 204 - Elizabeth Ellen  Moran</v>
      </c>
      <c r="F9701" t="str">
        <f>"AICE EURO HIST 1 AS"</f>
        <v>AICE EURO HIST 1 AS</v>
      </c>
      <c r="G9701" t="str">
        <f>"17-1752"</f>
        <v>17-1752</v>
      </c>
      <c r="H9701" t="str">
        <f>"B"</f>
        <v>B</v>
      </c>
    </row>
    <row r="9702" spans="1:8" x14ac:dyDescent="0.2">
      <c r="A9702" t="str">
        <f t="shared" si="3507"/>
        <v>0615106947</v>
      </c>
      <c r="B9702" t="str">
        <f t="shared" si="3508"/>
        <v>MIA</v>
      </c>
      <c r="C9702" t="str">
        <f t="shared" si="3509"/>
        <v>LINARES-COLON</v>
      </c>
      <c r="D9702">
        <f>10</f>
        <v>10</v>
      </c>
      <c r="E9702" t="str">
        <f>"05 - B - 001 - Stefanie S Scher"</f>
        <v>05 - B - 001 - Stefanie S Scher</v>
      </c>
      <c r="F9702" t="str">
        <f>"AICE PSYCH 1 AS"</f>
        <v>AICE PSYCH 1 AS</v>
      </c>
      <c r="G9702" t="str">
        <f>"17-1735"</f>
        <v>17-1735</v>
      </c>
      <c r="H9702" t="str">
        <f>"B"</f>
        <v>B</v>
      </c>
    </row>
    <row r="9703" spans="1:8" x14ac:dyDescent="0.2">
      <c r="A9703" t="str">
        <f t="shared" si="3507"/>
        <v>0615106947</v>
      </c>
      <c r="B9703" t="str">
        <f t="shared" si="3508"/>
        <v>MIA</v>
      </c>
      <c r="C9703" t="str">
        <f t="shared" si="3509"/>
        <v>LINARES-COLON</v>
      </c>
      <c r="D9703">
        <f>10</f>
        <v>10</v>
      </c>
      <c r="E9703" t="str">
        <f>"01 - A - 107 - Valerie J Ruwe"</f>
        <v>01 - A - 107 - Valerie J Ruwe</v>
      </c>
      <c r="F9703" t="str">
        <f>"CHEMISTRY 1 HON"</f>
        <v>CHEMISTRY 1 HON</v>
      </c>
      <c r="G9703" t="str">
        <f>"21-2134"</f>
        <v>21-2134</v>
      </c>
      <c r="H9703" t="str">
        <f>"A"</f>
        <v>A</v>
      </c>
    </row>
    <row r="9704" spans="1:8" x14ac:dyDescent="0.2">
      <c r="A9704" t="str">
        <f t="shared" si="3507"/>
        <v>0615106947</v>
      </c>
      <c r="B9704" t="str">
        <f t="shared" si="3508"/>
        <v>MIA</v>
      </c>
      <c r="C9704" t="str">
        <f t="shared" si="3509"/>
        <v>LINARES-COLON</v>
      </c>
      <c r="D9704">
        <f>10</f>
        <v>10</v>
      </c>
      <c r="E9704" t="str">
        <f>"08 - B - 001 - Samantha L Martinez"</f>
        <v>08 - B - 001 - Samantha L Martinez</v>
      </c>
      <c r="F9704" t="str">
        <f>"VOCAL ENS 2"</f>
        <v>VOCAL ENS 2</v>
      </c>
      <c r="G9704" t="str">
        <f>"05-505"</f>
        <v>05-505</v>
      </c>
      <c r="H9704" t="str">
        <f>"B"</f>
        <v>B</v>
      </c>
    </row>
    <row r="9705" spans="1:8" x14ac:dyDescent="0.2">
      <c r="A9705" t="str">
        <f t="shared" ref="A9705:A9712" si="3510">"0625014455"</f>
        <v>0625014455</v>
      </c>
      <c r="B9705" t="str">
        <f t="shared" ref="B9705:B9712" si="3511">"Elijah"</f>
        <v>Elijah</v>
      </c>
      <c r="C9705" t="str">
        <f t="shared" ref="C9705:C9712" si="3512">"Linder"</f>
        <v>Linder</v>
      </c>
      <c r="D9705">
        <f>10</f>
        <v>10</v>
      </c>
      <c r="E9705" t="str">
        <f>"04 - A - 102 - Jordana K Hass"</f>
        <v>04 - A - 102 - Jordana K Hass</v>
      </c>
      <c r="F9705" t="str">
        <f>"CHEMISTRY 1"</f>
        <v>CHEMISTRY 1</v>
      </c>
      <c r="G9705" t="str">
        <f>"08-807"</f>
        <v>08-807</v>
      </c>
      <c r="H9705" t="str">
        <f>"A"</f>
        <v>A</v>
      </c>
    </row>
    <row r="9706" spans="1:8" x14ac:dyDescent="0.2">
      <c r="A9706" t="str">
        <f t="shared" si="3510"/>
        <v>0625014455</v>
      </c>
      <c r="B9706" t="str">
        <f t="shared" si="3511"/>
        <v>Elijah</v>
      </c>
      <c r="C9706" t="str">
        <f t="shared" si="3512"/>
        <v>Linder</v>
      </c>
      <c r="D9706">
        <f>10</f>
        <v>10</v>
      </c>
      <c r="E9706" t="str">
        <f>"06 - B - 113 - Joe  Kilpatrick Jr"</f>
        <v>06 - B - 113 - Joe  Kilpatrick Jr</v>
      </c>
      <c r="F9706" t="str">
        <f>"NC STUDY HALL 1"</f>
        <v>NC STUDY HALL 1</v>
      </c>
      <c r="G9706" t="str">
        <f>"09-912"</f>
        <v>09-912</v>
      </c>
      <c r="H9706" t="str">
        <f>"B"</f>
        <v>B</v>
      </c>
    </row>
    <row r="9707" spans="1:8" x14ac:dyDescent="0.2">
      <c r="A9707" t="str">
        <f t="shared" si="3510"/>
        <v>0625014455</v>
      </c>
      <c r="B9707" t="str">
        <f t="shared" si="3511"/>
        <v>Elijah</v>
      </c>
      <c r="C9707" t="str">
        <f t="shared" si="3512"/>
        <v>Linder</v>
      </c>
      <c r="D9707">
        <f>10</f>
        <v>10</v>
      </c>
      <c r="E9707" t="str">
        <f>"03 - A - 103 - Pamela M Corzo"</f>
        <v>03 - A - 103 - Pamela M Corzo</v>
      </c>
      <c r="F9707" t="str">
        <f>"ALGEBRA 2 HON"</f>
        <v>ALGEBRA 2 HON</v>
      </c>
      <c r="G9707" t="str">
        <f>"21-2133"</f>
        <v>21-2133</v>
      </c>
      <c r="H9707" t="str">
        <f>"A"</f>
        <v>A</v>
      </c>
    </row>
    <row r="9708" spans="1:8" x14ac:dyDescent="0.2">
      <c r="A9708" t="str">
        <f t="shared" si="3510"/>
        <v>0625014455</v>
      </c>
      <c r="B9708" t="str">
        <f t="shared" si="3511"/>
        <v>Elijah</v>
      </c>
      <c r="C9708" t="str">
        <f t="shared" si="3512"/>
        <v>Linder</v>
      </c>
      <c r="D9708">
        <f>10</f>
        <v>10</v>
      </c>
      <c r="E9708" t="str">
        <f>"02 - S1 - A - 101 - Carol S Moore"</f>
        <v>02 - S1 - A - 101 - Carol S Moore</v>
      </c>
      <c r="F9708" t="str">
        <f>"PER CAR SCH DEV 1 LH"</f>
        <v>PER CAR SCH DEV 1 LH</v>
      </c>
      <c r="G9708" t="str">
        <f>"17-1733"</f>
        <v>17-1733</v>
      </c>
      <c r="H9708" t="str">
        <f>"A"</f>
        <v>A</v>
      </c>
    </row>
    <row r="9709" spans="1:8" x14ac:dyDescent="0.2">
      <c r="A9709" t="str">
        <f t="shared" si="3510"/>
        <v>0625014455</v>
      </c>
      <c r="B9709" t="str">
        <f t="shared" si="3511"/>
        <v>Elijah</v>
      </c>
      <c r="C9709" t="str">
        <f t="shared" si="3512"/>
        <v>Linder</v>
      </c>
      <c r="D9709">
        <f>10</f>
        <v>10</v>
      </c>
      <c r="E9709" t="str">
        <f>"07 - B - 204 - Elizabeth Ellen  Moran"</f>
        <v>07 - B - 204 - Elizabeth Ellen  Moran</v>
      </c>
      <c r="F9709" t="str">
        <f>"AICE EURO HIST 1 AS"</f>
        <v>AICE EURO HIST 1 AS</v>
      </c>
      <c r="G9709" t="str">
        <f>"17-1752"</f>
        <v>17-1752</v>
      </c>
      <c r="H9709" t="str">
        <f>"B"</f>
        <v>B</v>
      </c>
    </row>
    <row r="9710" spans="1:8" x14ac:dyDescent="0.2">
      <c r="A9710" t="str">
        <f t="shared" si="3510"/>
        <v>0625014455</v>
      </c>
      <c r="B9710" t="str">
        <f t="shared" si="3511"/>
        <v>Elijah</v>
      </c>
      <c r="C9710" t="str">
        <f t="shared" si="3512"/>
        <v>Linder</v>
      </c>
      <c r="D9710">
        <f>10</f>
        <v>10</v>
      </c>
      <c r="E9710" t="str">
        <f>"05 - B - 106 - Courtney E Hambright"</f>
        <v>05 - B - 106 - Courtney E Hambright</v>
      </c>
      <c r="F9710" t="str">
        <f>"AICE ENG LANG AS"</f>
        <v>AICE ENG LANG AS</v>
      </c>
      <c r="G9710" t="str">
        <f>"17-1711"</f>
        <v>17-1711</v>
      </c>
      <c r="H9710" t="str">
        <f>"B"</f>
        <v>B</v>
      </c>
    </row>
    <row r="9711" spans="1:8" x14ac:dyDescent="0.2">
      <c r="A9711" t="str">
        <f t="shared" si="3510"/>
        <v>0625014455</v>
      </c>
      <c r="B9711" t="str">
        <f t="shared" si="3511"/>
        <v>Elijah</v>
      </c>
      <c r="C9711" t="str">
        <f t="shared" si="3512"/>
        <v>Linder</v>
      </c>
      <c r="D9711">
        <f>10</f>
        <v>10</v>
      </c>
      <c r="E9711" t="str">
        <f>"01 - A - 201 - Chrystina M Marchionne"</f>
        <v>01 - A - 201 - Chrystina M Marchionne</v>
      </c>
      <c r="F9711" t="str">
        <f>"AICE MEDIASTUDIES AS"</f>
        <v>AICE MEDIASTUDIES AS</v>
      </c>
      <c r="G9711" t="str">
        <f>"05-520"</f>
        <v>05-520</v>
      </c>
      <c r="H9711" t="str">
        <f>"A"</f>
        <v>A</v>
      </c>
    </row>
    <row r="9712" spans="1:8" x14ac:dyDescent="0.2">
      <c r="A9712" t="str">
        <f t="shared" si="3510"/>
        <v>0625014455</v>
      </c>
      <c r="B9712" t="str">
        <f t="shared" si="3511"/>
        <v>Elijah</v>
      </c>
      <c r="C9712" t="str">
        <f t="shared" si="3512"/>
        <v>Linder</v>
      </c>
      <c r="D9712">
        <f>10</f>
        <v>10</v>
      </c>
      <c r="E9712" t="str">
        <f>"08 - B - 103 - Joe  Kilpatrick Jr"</f>
        <v>08 - B - 103 - Joe  Kilpatrick Jr</v>
      </c>
      <c r="F9712" t="str">
        <f>"PRE-AICE SPAN 2 IG"</f>
        <v>PRE-AICE SPAN 2 IG</v>
      </c>
      <c r="G9712" t="str">
        <f>"09-912"</f>
        <v>09-912</v>
      </c>
      <c r="H9712" t="str">
        <f>"B"</f>
        <v>B</v>
      </c>
    </row>
    <row r="9713" spans="1:8" x14ac:dyDescent="0.2">
      <c r="A9713" t="str">
        <f t="shared" ref="A9713:A9720" si="3513">"0622083474"</f>
        <v>0622083474</v>
      </c>
      <c r="B9713" t="str">
        <f t="shared" ref="B9713:B9720" si="3514">"NICKAI"</f>
        <v>NICKAI</v>
      </c>
      <c r="C9713" t="str">
        <f t="shared" ref="C9713:C9736" si="3515">"LINDSEY"</f>
        <v>LINDSEY</v>
      </c>
      <c r="D9713" t="str">
        <f t="shared" ref="D9713:D9720" si="3516">"09"</f>
        <v>09</v>
      </c>
      <c r="E9713" t="str">
        <f>"04 - A - 104 - Adam Marcus  Drucker"</f>
        <v>04 - A - 104 - Adam Marcus  Drucker</v>
      </c>
      <c r="F9713" t="str">
        <f>"HOPE-PE V"</f>
        <v>HOPE-PE V</v>
      </c>
      <c r="G9713" t="str">
        <f>"04-254"</f>
        <v>04-254</v>
      </c>
      <c r="H9713" t="str">
        <f>"A"</f>
        <v>A</v>
      </c>
    </row>
    <row r="9714" spans="1:8" x14ac:dyDescent="0.2">
      <c r="A9714" t="str">
        <f t="shared" si="3513"/>
        <v>0622083474</v>
      </c>
      <c r="B9714" t="str">
        <f t="shared" si="3514"/>
        <v>NICKAI</v>
      </c>
      <c r="C9714" t="str">
        <f t="shared" si="3515"/>
        <v>LINDSEY</v>
      </c>
      <c r="D9714" t="str">
        <f t="shared" si="3516"/>
        <v>09</v>
      </c>
      <c r="E9714" t="str">
        <f>"06 - B - 202 - Brian M Fitzgerald"</f>
        <v>06 - B - 202 - Brian M Fitzgerald</v>
      </c>
      <c r="F9714" t="str">
        <f>"DRAW 1"</f>
        <v>DRAW 1</v>
      </c>
      <c r="G9714" t="str">
        <f>"09-908"</f>
        <v>09-908</v>
      </c>
      <c r="H9714" t="str">
        <f>"B"</f>
        <v>B</v>
      </c>
    </row>
    <row r="9715" spans="1:8" x14ac:dyDescent="0.2">
      <c r="A9715" t="str">
        <f t="shared" si="3513"/>
        <v>0622083474</v>
      </c>
      <c r="B9715" t="str">
        <f t="shared" si="3514"/>
        <v>NICKAI</v>
      </c>
      <c r="C9715" t="str">
        <f t="shared" si="3515"/>
        <v>LINDSEY</v>
      </c>
      <c r="D9715" t="str">
        <f t="shared" si="3516"/>
        <v>09</v>
      </c>
      <c r="E9715" t="str">
        <f>"03 - A - 102 - Laselleda D Shaw"</f>
        <v>03 - A - 102 - Laselleda D Shaw</v>
      </c>
      <c r="F9715" t="str">
        <f>"INTENS READ 1"</f>
        <v>INTENS READ 1</v>
      </c>
      <c r="G9715" t="str">
        <f>"17-1723"</f>
        <v>17-1723</v>
      </c>
      <c r="H9715" t="str">
        <f>"A"</f>
        <v>A</v>
      </c>
    </row>
    <row r="9716" spans="1:8" x14ac:dyDescent="0.2">
      <c r="A9716" t="str">
        <f t="shared" si="3513"/>
        <v>0622083474</v>
      </c>
      <c r="B9716" t="str">
        <f t="shared" si="3514"/>
        <v>NICKAI</v>
      </c>
      <c r="C9716" t="str">
        <f t="shared" si="3515"/>
        <v>LINDSEY</v>
      </c>
      <c r="D9716" t="str">
        <f t="shared" si="3516"/>
        <v>09</v>
      </c>
      <c r="E9716" t="str">
        <f>"02 - A - 102 - Samantha J Headley"</f>
        <v>02 - A - 102 - Samantha J Headley</v>
      </c>
      <c r="F9716" t="str">
        <f>"NC STUDY HALL 1"</f>
        <v>NC STUDY HALL 1</v>
      </c>
      <c r="G9716" t="str">
        <f>"21-2134"</f>
        <v>21-2134</v>
      </c>
      <c r="H9716" t="str">
        <f>"A"</f>
        <v>A</v>
      </c>
    </row>
    <row r="9717" spans="1:8" x14ac:dyDescent="0.2">
      <c r="A9717" t="str">
        <f t="shared" si="3513"/>
        <v>0622083474</v>
      </c>
      <c r="B9717" t="str">
        <f t="shared" si="3514"/>
        <v>NICKAI</v>
      </c>
      <c r="C9717" t="str">
        <f t="shared" si="3515"/>
        <v>LINDSEY</v>
      </c>
      <c r="D9717" t="str">
        <f t="shared" si="3516"/>
        <v>09</v>
      </c>
      <c r="E9717" t="str">
        <f>"07 - B - 003 - Samantha J Headley"</f>
        <v>07 - B - 003 - Samantha J Headley</v>
      </c>
      <c r="F9717" t="str">
        <f>"ENV SCI"</f>
        <v>ENV SCI</v>
      </c>
      <c r="G9717" t="str">
        <f>"08-802"</f>
        <v>08-802</v>
      </c>
      <c r="H9717" t="str">
        <f>"B"</f>
        <v>B</v>
      </c>
    </row>
    <row r="9718" spans="1:8" x14ac:dyDescent="0.2">
      <c r="A9718" t="str">
        <f t="shared" si="3513"/>
        <v>0622083474</v>
      </c>
      <c r="B9718" t="str">
        <f t="shared" si="3514"/>
        <v>NICKAI</v>
      </c>
      <c r="C9718" t="str">
        <f t="shared" si="3515"/>
        <v>LINDSEY</v>
      </c>
      <c r="D9718" t="str">
        <f t="shared" si="3516"/>
        <v>09</v>
      </c>
      <c r="E9718" t="str">
        <f>"05 - B - 104 - Maried P Ramos"</f>
        <v>05 - B - 104 - Maried P Ramos</v>
      </c>
      <c r="F9718" t="str">
        <f>"PRE-AICE MATH 2 IG"</f>
        <v>PRE-AICE MATH 2 IG</v>
      </c>
      <c r="G9718" t="str">
        <f>"21-2159"</f>
        <v>21-2159</v>
      </c>
      <c r="H9718" t="str">
        <f>"B"</f>
        <v>B</v>
      </c>
    </row>
    <row r="9719" spans="1:8" x14ac:dyDescent="0.2">
      <c r="A9719" t="str">
        <f t="shared" si="3513"/>
        <v>0622083474</v>
      </c>
      <c r="B9719" t="str">
        <f t="shared" si="3514"/>
        <v>NICKAI</v>
      </c>
      <c r="C9719" t="str">
        <f t="shared" si="3515"/>
        <v>LINDSEY</v>
      </c>
      <c r="D9719" t="str">
        <f t="shared" si="3516"/>
        <v>09</v>
      </c>
      <c r="E9719" t="str">
        <f>"01 - A - 107 - Jazmin S Fletcher"</f>
        <v>01 - A - 107 - Jazmin S Fletcher</v>
      </c>
      <c r="F9719" t="str">
        <f>"WORLD HISTORY"</f>
        <v>WORLD HISTORY</v>
      </c>
      <c r="G9719" t="str">
        <f>"09-909"</f>
        <v>09-909</v>
      </c>
      <c r="H9719" t="str">
        <f>"A"</f>
        <v>A</v>
      </c>
    </row>
    <row r="9720" spans="1:8" x14ac:dyDescent="0.2">
      <c r="A9720" t="str">
        <f t="shared" si="3513"/>
        <v>0622083474</v>
      </c>
      <c r="B9720" t="str">
        <f t="shared" si="3514"/>
        <v>NICKAI</v>
      </c>
      <c r="C9720" t="str">
        <f t="shared" si="3515"/>
        <v>LINDSEY</v>
      </c>
      <c r="D9720" t="str">
        <f t="shared" si="3516"/>
        <v>09</v>
      </c>
      <c r="E9720" t="str">
        <f>"08 - B - 108 - Cerine S Stewart"</f>
        <v>08 - B - 108 - Cerine S Stewart</v>
      </c>
      <c r="F9720" t="str">
        <f>"ENG 1"</f>
        <v>ENG 1</v>
      </c>
      <c r="G9720" t="str">
        <f>"17-1720"</f>
        <v>17-1720</v>
      </c>
      <c r="H9720" t="str">
        <f>"B"</f>
        <v>B</v>
      </c>
    </row>
    <row r="9721" spans="1:8" x14ac:dyDescent="0.2">
      <c r="A9721" t="str">
        <f t="shared" ref="A9721:A9728" si="3517">"0613127293"</f>
        <v>0613127293</v>
      </c>
      <c r="B9721" t="str">
        <f t="shared" ref="B9721:B9728" si="3518">"NICKIYAH"</f>
        <v>NICKIYAH</v>
      </c>
      <c r="C9721" t="str">
        <f t="shared" si="3515"/>
        <v>LINDSEY</v>
      </c>
      <c r="D9721">
        <f>12</f>
        <v>12</v>
      </c>
      <c r="E9721" t="str">
        <f>"04 - A - 205 - Robyn L Trainer"</f>
        <v>04 - A - 205 - Robyn L Trainer</v>
      </c>
      <c r="F9721" t="str">
        <f>"ENG 4: FL COLL PREP"</f>
        <v>ENG 4: FL COLL PREP</v>
      </c>
      <c r="G9721" t="str">
        <f>"17-1734"</f>
        <v>17-1734</v>
      </c>
      <c r="H9721" t="str">
        <f>"A"</f>
        <v>A</v>
      </c>
    </row>
    <row r="9722" spans="1:8" x14ac:dyDescent="0.2">
      <c r="A9722" t="str">
        <f t="shared" si="3517"/>
        <v>0613127293</v>
      </c>
      <c r="B9722" t="str">
        <f t="shared" si="3518"/>
        <v>NICKIYAH</v>
      </c>
      <c r="C9722" t="str">
        <f t="shared" si="3515"/>
        <v>LINDSEY</v>
      </c>
      <c r="D9722">
        <f>12</f>
        <v>12</v>
      </c>
      <c r="E9722" t="str">
        <f>"06 - B - 110 - Barbara L Segal"</f>
        <v>06 - B - 110 - Barbara L Segal</v>
      </c>
      <c r="F9722" t="str">
        <f>"NC STUDY HALL 1"</f>
        <v>NC STUDY HALL 1</v>
      </c>
      <c r="G9722" t="str">
        <f>"17-1742"</f>
        <v>17-1742</v>
      </c>
      <c r="H9722" t="str">
        <f>"B"</f>
        <v>B</v>
      </c>
    </row>
    <row r="9723" spans="1:8" x14ac:dyDescent="0.2">
      <c r="A9723" t="str">
        <f t="shared" si="3517"/>
        <v>0613127293</v>
      </c>
      <c r="B9723" t="str">
        <f t="shared" si="3518"/>
        <v>NICKIYAH</v>
      </c>
      <c r="C9723" t="str">
        <f t="shared" si="3515"/>
        <v>LINDSEY</v>
      </c>
      <c r="D9723">
        <f>12</f>
        <v>12</v>
      </c>
      <c r="E9723" t="str">
        <f>"03 - A - 101 - Tina L Lovett"</f>
        <v>03 - A - 101 - Tina L Lovett</v>
      </c>
      <c r="F9723" t="str">
        <f>"MATH DATA &amp; FIN LIT"</f>
        <v>MATH DATA &amp; FIN LIT</v>
      </c>
      <c r="G9723" t="str">
        <f>"21-2153"</f>
        <v>21-2153</v>
      </c>
      <c r="H9723" t="str">
        <f>"A"</f>
        <v>A</v>
      </c>
    </row>
    <row r="9724" spans="1:8" x14ac:dyDescent="0.2">
      <c r="A9724" t="str">
        <f t="shared" si="3517"/>
        <v>0613127293</v>
      </c>
      <c r="B9724" t="str">
        <f t="shared" si="3518"/>
        <v>NICKIYAH</v>
      </c>
      <c r="C9724" t="str">
        <f t="shared" si="3515"/>
        <v>LINDSEY</v>
      </c>
      <c r="D9724">
        <f>12</f>
        <v>12</v>
      </c>
      <c r="E9724" t="str">
        <f>"02 - A - 102 - Vanessa J Liburd"</f>
        <v>02 - A - 102 - Vanessa J Liburd</v>
      </c>
      <c r="F9724" t="str">
        <f>"PRE-AICE FRENCH 2 IG"</f>
        <v>PRE-AICE FRENCH 2 IG</v>
      </c>
      <c r="G9724" t="str">
        <f>"05-519"</f>
        <v>05-519</v>
      </c>
      <c r="H9724" t="str">
        <f>"A"</f>
        <v>A</v>
      </c>
    </row>
    <row r="9725" spans="1:8" x14ac:dyDescent="0.2">
      <c r="A9725" t="str">
        <f t="shared" si="3517"/>
        <v>0613127293</v>
      </c>
      <c r="B9725" t="str">
        <f t="shared" si="3518"/>
        <v>NICKIYAH</v>
      </c>
      <c r="C9725" t="str">
        <f t="shared" si="3515"/>
        <v>LINDSEY</v>
      </c>
      <c r="D9725">
        <f>12</f>
        <v>12</v>
      </c>
      <c r="E9725" t="str">
        <f>"07 - B - 103 - Nahum  Saint-Preux"</f>
        <v>07 - B - 103 - Nahum  Saint-Preux</v>
      </c>
      <c r="F9725" t="str">
        <f>"INTENS READ 4"</f>
        <v>INTENS READ 4</v>
      </c>
      <c r="G9725" t="str">
        <f>"17-1712"</f>
        <v>17-1712</v>
      </c>
      <c r="H9725" t="str">
        <f>"B"</f>
        <v>B</v>
      </c>
    </row>
    <row r="9726" spans="1:8" x14ac:dyDescent="0.2">
      <c r="A9726" t="str">
        <f t="shared" si="3517"/>
        <v>0613127293</v>
      </c>
      <c r="B9726" t="str">
        <f t="shared" si="3518"/>
        <v>NICKIYAH</v>
      </c>
      <c r="C9726" t="str">
        <f t="shared" si="3515"/>
        <v>LINDSEY</v>
      </c>
      <c r="D9726">
        <f>12</f>
        <v>12</v>
      </c>
      <c r="E9726" t="str">
        <f>"05 - B - 204 - Cliffon  Saurel"</f>
        <v>05 - B - 204 - Cliffon  Saurel</v>
      </c>
      <c r="F9726" t="str">
        <f>"PHYSICAL SCI"</f>
        <v>PHYSICAL SCI</v>
      </c>
      <c r="G9726" t="str">
        <f>"05-522"</f>
        <v>05-522</v>
      </c>
      <c r="H9726" t="str">
        <f>"B"</f>
        <v>B</v>
      </c>
    </row>
    <row r="9727" spans="1:8" x14ac:dyDescent="0.2">
      <c r="A9727" t="str">
        <f t="shared" si="3517"/>
        <v>0613127293</v>
      </c>
      <c r="B9727" t="str">
        <f t="shared" si="3518"/>
        <v>NICKIYAH</v>
      </c>
      <c r="C9727" t="str">
        <f t="shared" si="3515"/>
        <v>LINDSEY</v>
      </c>
      <c r="D9727">
        <f>12</f>
        <v>12</v>
      </c>
      <c r="E9727" t="str">
        <f>"01 - S1 - A - 101 - Robert O Burger"</f>
        <v>01 - S1 - A - 101 - Robert O Burger</v>
      </c>
      <c r="F9727" t="str">
        <f>"US GOVT"</f>
        <v>US GOVT</v>
      </c>
      <c r="G9727" t="str">
        <f>"17-1755"</f>
        <v>17-1755</v>
      </c>
      <c r="H9727" t="str">
        <f>"A"</f>
        <v>A</v>
      </c>
    </row>
    <row r="9728" spans="1:8" x14ac:dyDescent="0.2">
      <c r="A9728" t="str">
        <f t="shared" si="3517"/>
        <v>0613127293</v>
      </c>
      <c r="B9728" t="str">
        <f t="shared" si="3518"/>
        <v>NICKIYAH</v>
      </c>
      <c r="C9728" t="str">
        <f t="shared" si="3515"/>
        <v>LINDSEY</v>
      </c>
      <c r="D9728">
        <f>12</f>
        <v>12</v>
      </c>
      <c r="E9728" t="str">
        <f>"08 - S1 - B - 101 - Amy Beth  Broyles"</f>
        <v>08 - S1 - B - 101 - Amy Beth  Broyles</v>
      </c>
      <c r="F9728" t="str">
        <f>"PEER COUN 3"</f>
        <v>PEER COUN 3</v>
      </c>
      <c r="G9728" t="str">
        <f>"17-1713"</f>
        <v>17-1713</v>
      </c>
      <c r="H9728" t="str">
        <f>"B"</f>
        <v>B</v>
      </c>
    </row>
    <row r="9729" spans="1:8" x14ac:dyDescent="0.2">
      <c r="A9729" t="str">
        <f t="shared" ref="A9729:A9736" si="3519">"0613121718"</f>
        <v>0613121718</v>
      </c>
      <c r="B9729" t="str">
        <f t="shared" ref="B9729:B9736" si="3520">"TORI"</f>
        <v>TORI</v>
      </c>
      <c r="C9729" t="str">
        <f t="shared" si="3515"/>
        <v>LINDSEY</v>
      </c>
      <c r="D9729">
        <f>11</f>
        <v>11</v>
      </c>
      <c r="E9729" t="str">
        <f>"04 - A - 101 - Thomas G Handwerg"</f>
        <v>04 - A - 101 - Thomas G Handwerg</v>
      </c>
      <c r="F9729" t="str">
        <f>"MATH COLL ALGEBRA"</f>
        <v>MATH COLL ALGEBRA</v>
      </c>
      <c r="G9729" t="str">
        <f>"21-2146"</f>
        <v>21-2146</v>
      </c>
      <c r="H9729" t="str">
        <f>"A"</f>
        <v>A</v>
      </c>
    </row>
    <row r="9730" spans="1:8" x14ac:dyDescent="0.2">
      <c r="A9730" t="str">
        <f t="shared" si="3519"/>
        <v>0613121718</v>
      </c>
      <c r="B9730" t="str">
        <f t="shared" si="3520"/>
        <v>TORI</v>
      </c>
      <c r="C9730" t="str">
        <f t="shared" si="3515"/>
        <v>LINDSEY</v>
      </c>
      <c r="D9730">
        <f>11</f>
        <v>11</v>
      </c>
      <c r="E9730" t="str">
        <f>"06 - B - 104 - Chrystina M Marchionne"</f>
        <v>06 - B - 104 - Chrystina M Marchionne</v>
      </c>
      <c r="F9730" t="str">
        <f>"AICE MEDIA STUDIES A"</f>
        <v>AICE MEDIA STUDIES A</v>
      </c>
      <c r="G9730" t="str">
        <f>"05-520"</f>
        <v>05-520</v>
      </c>
      <c r="H9730" t="str">
        <f>"B"</f>
        <v>B</v>
      </c>
    </row>
    <row r="9731" spans="1:8" x14ac:dyDescent="0.2">
      <c r="A9731" t="str">
        <f t="shared" si="3519"/>
        <v>0613121718</v>
      </c>
      <c r="B9731" t="str">
        <f t="shared" si="3520"/>
        <v>TORI</v>
      </c>
      <c r="C9731" t="str">
        <f t="shared" si="3515"/>
        <v>LINDSEY</v>
      </c>
      <c r="D9731">
        <f>11</f>
        <v>11</v>
      </c>
      <c r="E9731" t="str">
        <f>"03 - A - 106 - Krystal Marie  Beruty"</f>
        <v>03 - A - 106 - Krystal Marie  Beruty</v>
      </c>
      <c r="F9731" t="str">
        <f>"AICE PSYCH 1 AS"</f>
        <v>AICE PSYCH 1 AS</v>
      </c>
      <c r="G9731" t="str">
        <f>"17-1721"</f>
        <v>17-1721</v>
      </c>
      <c r="H9731" t="str">
        <f>"A"</f>
        <v>A</v>
      </c>
    </row>
    <row r="9732" spans="1:8" x14ac:dyDescent="0.2">
      <c r="A9732" t="str">
        <f t="shared" si="3519"/>
        <v>0613121718</v>
      </c>
      <c r="B9732" t="str">
        <f t="shared" si="3520"/>
        <v>TORI</v>
      </c>
      <c r="C9732" t="str">
        <f t="shared" si="3515"/>
        <v>LINDSEY</v>
      </c>
      <c r="D9732">
        <f>11</f>
        <v>11</v>
      </c>
      <c r="E9732" t="str">
        <f>"02 - A - 105 - Leslie J Barton"</f>
        <v>02 - A - 105 - Leslie J Barton</v>
      </c>
      <c r="F9732" t="str">
        <f>"NC STUDY HALL 1"</f>
        <v>NC STUDY HALL 1</v>
      </c>
      <c r="G9732" t="str">
        <f>"05-521"</f>
        <v>05-521</v>
      </c>
      <c r="H9732" t="str">
        <f>"A"</f>
        <v>A</v>
      </c>
    </row>
    <row r="9733" spans="1:8" x14ac:dyDescent="0.2">
      <c r="A9733" t="str">
        <f t="shared" si="3519"/>
        <v>0613121718</v>
      </c>
      <c r="B9733" t="str">
        <f t="shared" si="3520"/>
        <v>TORI</v>
      </c>
      <c r="C9733" t="str">
        <f t="shared" si="3515"/>
        <v>LINDSEY</v>
      </c>
      <c r="D9733">
        <f>11</f>
        <v>11</v>
      </c>
      <c r="E9733" t="str">
        <f>"07 - B - 104 - Jerry S Jiampetti"</f>
        <v>07 - B - 104 - Jerry S Jiampetti</v>
      </c>
      <c r="F9733" t="str">
        <f>"AICE U.S. HIST 1 AS"</f>
        <v>AICE U.S. HIST 1 AS</v>
      </c>
      <c r="G9733" t="str">
        <f>"17-1751"</f>
        <v>17-1751</v>
      </c>
      <c r="H9733" t="str">
        <f>"B"</f>
        <v>B</v>
      </c>
    </row>
    <row r="9734" spans="1:8" x14ac:dyDescent="0.2">
      <c r="A9734" t="str">
        <f t="shared" si="3519"/>
        <v>0613121718</v>
      </c>
      <c r="B9734" t="str">
        <f t="shared" si="3520"/>
        <v>TORI</v>
      </c>
      <c r="C9734" t="str">
        <f t="shared" si="3515"/>
        <v>LINDSEY</v>
      </c>
      <c r="D9734">
        <f>11</f>
        <v>11</v>
      </c>
      <c r="E9734" t="str">
        <f>"05 - B - 108 - Valerie J Ruwe"</f>
        <v>05 - B - 108 - Valerie J Ruwe</v>
      </c>
      <c r="F9734" t="str">
        <f>"CHEMISTRY 1 HON"</f>
        <v>CHEMISTRY 1 HON</v>
      </c>
      <c r="G9734" t="str">
        <f>"21-2138"</f>
        <v>21-2138</v>
      </c>
      <c r="H9734" t="str">
        <f>"B"</f>
        <v>B</v>
      </c>
    </row>
    <row r="9735" spans="1:8" x14ac:dyDescent="0.2">
      <c r="A9735" t="str">
        <f t="shared" si="3519"/>
        <v>0613121718</v>
      </c>
      <c r="B9735" t="str">
        <f t="shared" si="3520"/>
        <v>TORI</v>
      </c>
      <c r="C9735" t="str">
        <f t="shared" si="3515"/>
        <v>LINDSEY</v>
      </c>
      <c r="D9735">
        <f>11</f>
        <v>11</v>
      </c>
      <c r="E9735" t="str">
        <f>"01 - S1 - A - 101 - Bruce A Evans"</f>
        <v>01 - S1 - A - 101 - Bruce A Evans</v>
      </c>
      <c r="F9735" t="str">
        <f>"ELECTROCARD TECH 3HN"</f>
        <v>ELECTROCARD TECH 3HN</v>
      </c>
      <c r="G9735" t="str">
        <f>"21-2142"</f>
        <v>21-2142</v>
      </c>
      <c r="H9735" t="str">
        <f>"A"</f>
        <v>A</v>
      </c>
    </row>
    <row r="9736" spans="1:8" x14ac:dyDescent="0.2">
      <c r="A9736" t="str">
        <f t="shared" si="3519"/>
        <v>0613121718</v>
      </c>
      <c r="B9736" t="str">
        <f t="shared" si="3520"/>
        <v>TORI</v>
      </c>
      <c r="C9736" t="str">
        <f t="shared" si="3515"/>
        <v>LINDSEY</v>
      </c>
      <c r="D9736">
        <f>11</f>
        <v>11</v>
      </c>
      <c r="E9736" t="str">
        <f>"08 - B - 105 - Brandy N Zdenek"</f>
        <v>08 - B - 105 - Brandy N Zdenek</v>
      </c>
      <c r="F9736" t="str">
        <f>"AICE ENG LANG 2 AL"</f>
        <v>AICE ENG LANG 2 AL</v>
      </c>
      <c r="G9736" t="str">
        <f>"17-1704"</f>
        <v>17-1704</v>
      </c>
      <c r="H9736" t="str">
        <f>"B"</f>
        <v>B</v>
      </c>
    </row>
    <row r="9737" spans="1:8" x14ac:dyDescent="0.2">
      <c r="A9737" t="str">
        <f t="shared" ref="A9737:A9744" si="3521">"0613083667"</f>
        <v>0613083667</v>
      </c>
      <c r="B9737" t="str">
        <f t="shared" ref="B9737:B9744" si="3522">"ELLA"</f>
        <v>ELLA</v>
      </c>
      <c r="C9737" t="str">
        <f t="shared" ref="C9737:C9744" si="3523">"LIPPMAN"</f>
        <v>LIPPMAN</v>
      </c>
      <c r="D9737">
        <f>12</f>
        <v>12</v>
      </c>
      <c r="E9737" t="str">
        <f>"04 - A - 106 - Tina M Jaramillo"</f>
        <v>04 - A - 106 - Tina M Jaramillo</v>
      </c>
      <c r="F9737" t="str">
        <f>"AP ENG LIT COMPO"</f>
        <v>AP ENG LIT COMPO</v>
      </c>
      <c r="G9737" t="str">
        <f>"17-1706"</f>
        <v>17-1706</v>
      </c>
      <c r="H9737" t="str">
        <f>"A"</f>
        <v>A</v>
      </c>
    </row>
    <row r="9738" spans="1:8" x14ac:dyDescent="0.2">
      <c r="A9738" t="str">
        <f t="shared" si="3521"/>
        <v>0613083667</v>
      </c>
      <c r="B9738" t="str">
        <f t="shared" si="3522"/>
        <v>ELLA</v>
      </c>
      <c r="C9738" t="str">
        <f t="shared" si="3523"/>
        <v>LIPPMAN</v>
      </c>
      <c r="D9738">
        <f>12</f>
        <v>12</v>
      </c>
      <c r="E9738" t="str">
        <f>"06 - B - 104 - Lissa C Frederique"</f>
        <v>06 - B - 104 - Lissa C Frederique</v>
      </c>
      <c r="F9738" t="str">
        <f>"NC STUDY HALL 1"</f>
        <v>NC STUDY HALL 1</v>
      </c>
      <c r="G9738" t="str">
        <f>"17-1754"</f>
        <v>17-1754</v>
      </c>
      <c r="H9738" t="str">
        <f>"B"</f>
        <v>B</v>
      </c>
    </row>
    <row r="9739" spans="1:8" x14ac:dyDescent="0.2">
      <c r="A9739" t="str">
        <f t="shared" si="3521"/>
        <v>0613083667</v>
      </c>
      <c r="B9739" t="str">
        <f t="shared" si="3522"/>
        <v>ELLA</v>
      </c>
      <c r="C9739" t="str">
        <f t="shared" si="3523"/>
        <v>LIPPMAN</v>
      </c>
      <c r="D9739">
        <f>12</f>
        <v>12</v>
      </c>
      <c r="E9739" t="str">
        <f>"03 - A - 101 - Dorothy D Moore"</f>
        <v>03 - A - 101 - Dorothy D Moore</v>
      </c>
      <c r="F9739" t="str">
        <f>"FORC SCI 1 LH"</f>
        <v>FORC SCI 1 LH</v>
      </c>
      <c r="G9739" t="str">
        <f>"08-803"</f>
        <v>08-803</v>
      </c>
      <c r="H9739" t="str">
        <f>"A"</f>
        <v>A</v>
      </c>
    </row>
    <row r="9740" spans="1:8" x14ac:dyDescent="0.2">
      <c r="A9740" t="str">
        <f t="shared" si="3521"/>
        <v>0613083667</v>
      </c>
      <c r="B9740" t="str">
        <f t="shared" si="3522"/>
        <v>ELLA</v>
      </c>
      <c r="C9740" t="str">
        <f t="shared" si="3523"/>
        <v>LIPPMAN</v>
      </c>
      <c r="D9740">
        <f>12</f>
        <v>12</v>
      </c>
      <c r="E9740" t="str">
        <f>"02 - A - 204 - Jacqueline R Morphet"</f>
        <v>02 - A - 204 - Jacqueline R Morphet</v>
      </c>
      <c r="F9740" t="str">
        <f>"PHYSICS 1 HON"</f>
        <v>PHYSICS 1 HON</v>
      </c>
      <c r="G9740" t="str">
        <f>"21-2138"</f>
        <v>21-2138</v>
      </c>
      <c r="H9740" t="str">
        <f>"A"</f>
        <v>A</v>
      </c>
    </row>
    <row r="9741" spans="1:8" x14ac:dyDescent="0.2">
      <c r="A9741" t="str">
        <f t="shared" si="3521"/>
        <v>0613083667</v>
      </c>
      <c r="B9741" t="str">
        <f t="shared" si="3522"/>
        <v>ELLA</v>
      </c>
      <c r="C9741" t="str">
        <f t="shared" si="3523"/>
        <v>LIPPMAN</v>
      </c>
      <c r="D9741">
        <f>12</f>
        <v>12</v>
      </c>
      <c r="E9741" t="str">
        <f>"07 - B - 002 - Jazmin S Fletcher"</f>
        <v>07 - B - 002 - Jazmin S Fletcher</v>
      </c>
      <c r="F9741" t="str">
        <f>"THEATRE 1"</f>
        <v>THEATRE 1</v>
      </c>
      <c r="G9741" t="str">
        <f>"09-909"</f>
        <v>09-909</v>
      </c>
      <c r="H9741" t="str">
        <f>"B"</f>
        <v>B</v>
      </c>
    </row>
    <row r="9742" spans="1:8" x14ac:dyDescent="0.2">
      <c r="A9742" t="str">
        <f t="shared" si="3521"/>
        <v>0613083667</v>
      </c>
      <c r="B9742" t="str">
        <f t="shared" si="3522"/>
        <v>ELLA</v>
      </c>
      <c r="C9742" t="str">
        <f t="shared" si="3523"/>
        <v>LIPPMAN</v>
      </c>
      <c r="D9742">
        <f>12</f>
        <v>12</v>
      </c>
      <c r="E9742" t="str">
        <f>"05 - S1 - B - 102 - Barbara L Segal"</f>
        <v>05 - S1 - B - 102 - Barbara L Segal</v>
      </c>
      <c r="F9742" t="str">
        <f>"US GOVT HON"</f>
        <v>US GOVT HON</v>
      </c>
      <c r="G9742" t="str">
        <f>"17-1742"</f>
        <v>17-1742</v>
      </c>
      <c r="H9742" t="str">
        <f>"B"</f>
        <v>B</v>
      </c>
    </row>
    <row r="9743" spans="1:8" x14ac:dyDescent="0.2">
      <c r="A9743" t="str">
        <f t="shared" si="3521"/>
        <v>0613083667</v>
      </c>
      <c r="B9743" t="str">
        <f t="shared" si="3522"/>
        <v>ELLA</v>
      </c>
      <c r="C9743" t="str">
        <f t="shared" si="3523"/>
        <v>LIPPMAN</v>
      </c>
      <c r="D9743">
        <f>12</f>
        <v>12</v>
      </c>
      <c r="E9743" t="str">
        <f>"01 - A - 001 - Dorothy D Moore"</f>
        <v>01 - A - 001 - Dorothy D Moore</v>
      </c>
      <c r="F9743" t="str">
        <f>"ANAT PHYSIO HON"</f>
        <v>ANAT PHYSIO HON</v>
      </c>
      <c r="G9743" t="str">
        <f>"08-803"</f>
        <v>08-803</v>
      </c>
      <c r="H9743" t="str">
        <f>"A"</f>
        <v>A</v>
      </c>
    </row>
    <row r="9744" spans="1:8" x14ac:dyDescent="0.2">
      <c r="A9744" t="str">
        <f t="shared" si="3521"/>
        <v>0613083667</v>
      </c>
      <c r="B9744" t="str">
        <f t="shared" si="3522"/>
        <v>ELLA</v>
      </c>
      <c r="C9744" t="str">
        <f t="shared" si="3523"/>
        <v>LIPPMAN</v>
      </c>
      <c r="D9744">
        <f>12</f>
        <v>12</v>
      </c>
      <c r="E9744" t="str">
        <f>"08 - B - 102 - Pamela M Corzo"</f>
        <v>08 - B - 102 - Pamela M Corzo</v>
      </c>
      <c r="F9744" t="str">
        <f>"AP STAT"</f>
        <v>AP STAT</v>
      </c>
      <c r="G9744" t="str">
        <f>"21-2133"</f>
        <v>21-2133</v>
      </c>
      <c r="H9744" t="str">
        <f>"B"</f>
        <v>B</v>
      </c>
    </row>
    <row r="9745" spans="1:8" x14ac:dyDescent="0.2">
      <c r="A9745" t="str">
        <f t="shared" ref="A9745:A9752" si="3524">"0616118790"</f>
        <v>0616118790</v>
      </c>
      <c r="B9745" t="str">
        <f t="shared" ref="B9745:B9752" si="3525">"MAUI"</f>
        <v>MAUI</v>
      </c>
      <c r="C9745" t="str">
        <f t="shared" ref="C9745:C9760" si="3526">"LISJAK DUEK"</f>
        <v>LISJAK DUEK</v>
      </c>
      <c r="D9745" t="str">
        <f t="shared" ref="D9745:D9760" si="3527">"09"</f>
        <v>09</v>
      </c>
      <c r="E9745" t="str">
        <f>"04 - A - 203 - Cheryl L Beach"</f>
        <v>04 - A - 203 - Cheryl L Beach</v>
      </c>
      <c r="F9745" t="str">
        <f>"AICE ENV MGMNT AS"</f>
        <v>AICE ENV MGMNT AS</v>
      </c>
      <c r="G9745" t="str">
        <f>"08-811"</f>
        <v>08-811</v>
      </c>
      <c r="H9745" t="str">
        <f>"A"</f>
        <v>A</v>
      </c>
    </row>
    <row r="9746" spans="1:8" x14ac:dyDescent="0.2">
      <c r="A9746" t="str">
        <f t="shared" si="3524"/>
        <v>0616118790</v>
      </c>
      <c r="B9746" t="str">
        <f t="shared" si="3525"/>
        <v>MAUI</v>
      </c>
      <c r="C9746" t="str">
        <f t="shared" si="3526"/>
        <v>LISJAK DUEK</v>
      </c>
      <c r="D9746" t="str">
        <f t="shared" si="3527"/>
        <v>09</v>
      </c>
      <c r="E9746" t="str">
        <f>"06 - B - 102 - Angela S Adeshina-Morrison"</f>
        <v>06 - B - 102 - Angela S Adeshina-Morrison</v>
      </c>
      <c r="F9746" t="str">
        <f>"MARKETING ESSENTIALS"</f>
        <v>MARKETING ESSENTIALS</v>
      </c>
      <c r="G9746" t="str">
        <f>"05-518"</f>
        <v>05-518</v>
      </c>
      <c r="H9746" t="str">
        <f>"B"</f>
        <v>B</v>
      </c>
    </row>
    <row r="9747" spans="1:8" x14ac:dyDescent="0.2">
      <c r="A9747" t="str">
        <f t="shared" si="3524"/>
        <v>0616118790</v>
      </c>
      <c r="B9747" t="str">
        <f t="shared" si="3525"/>
        <v>MAUI</v>
      </c>
      <c r="C9747" t="str">
        <f t="shared" si="3526"/>
        <v>LISJAK DUEK</v>
      </c>
      <c r="D9747" t="str">
        <f t="shared" si="3527"/>
        <v>09</v>
      </c>
      <c r="E9747" t="str">
        <f>"03 - A - 203 - Elizabeth R Walker"</f>
        <v>03 - A - 203 - Elizabeth R Walker</v>
      </c>
      <c r="F9747" t="str">
        <f>"AICE ENG GEN PAPER 1"</f>
        <v>AICE ENG GEN PAPER 1</v>
      </c>
      <c r="G9747" t="str">
        <f>"17-1703"</f>
        <v>17-1703</v>
      </c>
      <c r="H9747" t="str">
        <f>"A"</f>
        <v>A</v>
      </c>
    </row>
    <row r="9748" spans="1:8" x14ac:dyDescent="0.2">
      <c r="A9748" t="str">
        <f t="shared" si="3524"/>
        <v>0616118790</v>
      </c>
      <c r="B9748" t="str">
        <f t="shared" si="3525"/>
        <v>MAUI</v>
      </c>
      <c r="C9748" t="str">
        <f t="shared" si="3526"/>
        <v>LISJAK DUEK</v>
      </c>
      <c r="D9748" t="str">
        <f t="shared" si="3527"/>
        <v>09</v>
      </c>
      <c r="E9748" t="str">
        <f>"02 - A - 107 - Cerine S Stewart"</f>
        <v>02 - A - 107 - Cerine S Stewart</v>
      </c>
      <c r="F9748" t="str">
        <f>"NC STUDY HALL 1"</f>
        <v>NC STUDY HALL 1</v>
      </c>
      <c r="G9748" t="str">
        <f>"17-1720"</f>
        <v>17-1720</v>
      </c>
      <c r="H9748" t="str">
        <f>"A"</f>
        <v>A</v>
      </c>
    </row>
    <row r="9749" spans="1:8" x14ac:dyDescent="0.2">
      <c r="A9749" t="str">
        <f t="shared" si="3524"/>
        <v>0616118790</v>
      </c>
      <c r="B9749" t="str">
        <f t="shared" si="3525"/>
        <v>MAUI</v>
      </c>
      <c r="C9749" t="str">
        <f t="shared" si="3526"/>
        <v>LISJAK DUEK</v>
      </c>
      <c r="D9749" t="str">
        <f t="shared" si="3527"/>
        <v>09</v>
      </c>
      <c r="E9749" t="str">
        <f>"07 - B - 105 - Joe  Kilpatrick Jr"</f>
        <v>07 - B - 105 - Joe  Kilpatrick Jr</v>
      </c>
      <c r="F9749" t="str">
        <f>"PRE-AICE SPAN 1 IG"</f>
        <v>PRE-AICE SPAN 1 IG</v>
      </c>
      <c r="G9749" t="str">
        <f>"09-912"</f>
        <v>09-912</v>
      </c>
      <c r="H9749" t="str">
        <f>"B"</f>
        <v>B</v>
      </c>
    </row>
    <row r="9750" spans="1:8" x14ac:dyDescent="0.2">
      <c r="A9750" t="str">
        <f t="shared" si="3524"/>
        <v>0616118790</v>
      </c>
      <c r="B9750" t="str">
        <f t="shared" si="3525"/>
        <v>MAUI</v>
      </c>
      <c r="C9750" t="str">
        <f t="shared" si="3526"/>
        <v>LISJAK DUEK</v>
      </c>
      <c r="D9750" t="str">
        <f t="shared" si="3527"/>
        <v>09</v>
      </c>
      <c r="E9750" t="str">
        <f>"05 - B - 101 - Arthur  Kulawik"</f>
        <v>05 - B - 101 - Arthur  Kulawik</v>
      </c>
      <c r="F9750" t="str">
        <f>"DEBATE 2 LH"</f>
        <v>DEBATE 2 LH</v>
      </c>
      <c r="G9750" t="str">
        <f>"05-506"</f>
        <v>05-506</v>
      </c>
      <c r="H9750" t="str">
        <f>"B"</f>
        <v>B</v>
      </c>
    </row>
    <row r="9751" spans="1:8" x14ac:dyDescent="0.2">
      <c r="A9751" t="str">
        <f t="shared" si="3524"/>
        <v>0616118790</v>
      </c>
      <c r="B9751" t="str">
        <f t="shared" si="3525"/>
        <v>MAUI</v>
      </c>
      <c r="C9751" t="str">
        <f t="shared" si="3526"/>
        <v>LISJAK DUEK</v>
      </c>
      <c r="D9751" t="str">
        <f t="shared" si="3527"/>
        <v>09</v>
      </c>
      <c r="E9751" t="str">
        <f>"01 - A - 101 - Maried P Ramos"</f>
        <v>01 - A - 101 - Maried P Ramos</v>
      </c>
      <c r="F9751" t="str">
        <f>"ALGEBRA 2 HON"</f>
        <v>ALGEBRA 2 HON</v>
      </c>
      <c r="G9751" t="str">
        <f>"21-2159"</f>
        <v>21-2159</v>
      </c>
      <c r="H9751" t="str">
        <f>"A"</f>
        <v>A</v>
      </c>
    </row>
    <row r="9752" spans="1:8" x14ac:dyDescent="0.2">
      <c r="A9752" t="str">
        <f t="shared" si="3524"/>
        <v>0616118790</v>
      </c>
      <c r="B9752" t="str">
        <f t="shared" si="3525"/>
        <v>MAUI</v>
      </c>
      <c r="C9752" t="str">
        <f t="shared" si="3526"/>
        <v>LISJAK DUEK</v>
      </c>
      <c r="D9752" t="str">
        <f t="shared" si="3527"/>
        <v>09</v>
      </c>
      <c r="E9752" t="str">
        <f>"08 - B - 109 - Emmily A Sarmiento"</f>
        <v>08 - B - 109 - Emmily A Sarmiento</v>
      </c>
      <c r="F9752" t="str">
        <f>"AICE GLBL PERSP 1 AS"</f>
        <v>AICE GLBL PERSP 1 AS</v>
      </c>
      <c r="G9752" t="str">
        <f>"17-1743"</f>
        <v>17-1743</v>
      </c>
      <c r="H9752" t="str">
        <f>"B"</f>
        <v>B</v>
      </c>
    </row>
    <row r="9753" spans="1:8" x14ac:dyDescent="0.2">
      <c r="A9753" t="str">
        <f t="shared" ref="A9753:A9760" si="3528">"0616118763"</f>
        <v>0616118763</v>
      </c>
      <c r="B9753" t="str">
        <f t="shared" ref="B9753:B9760" si="3529">"MILA"</f>
        <v>MILA</v>
      </c>
      <c r="C9753" t="str">
        <f t="shared" si="3526"/>
        <v>LISJAK DUEK</v>
      </c>
      <c r="D9753" t="str">
        <f t="shared" si="3527"/>
        <v>09</v>
      </c>
      <c r="E9753" t="str">
        <f>"04 - A - 104 - Marius D Orsolini"</f>
        <v>04 - A - 104 - Marius D Orsolini</v>
      </c>
      <c r="F9753" t="str">
        <f>"CULINARY ARTS 1"</f>
        <v>CULINARY ARTS 1</v>
      </c>
      <c r="G9753" t="str">
        <f>"21-2115"</f>
        <v>21-2115</v>
      </c>
      <c r="H9753" t="str">
        <f>"A"</f>
        <v>A</v>
      </c>
    </row>
    <row r="9754" spans="1:8" x14ac:dyDescent="0.2">
      <c r="A9754" t="str">
        <f t="shared" si="3528"/>
        <v>0616118763</v>
      </c>
      <c r="B9754" t="str">
        <f t="shared" si="3529"/>
        <v>MILA</v>
      </c>
      <c r="C9754" t="str">
        <f t="shared" si="3526"/>
        <v>LISJAK DUEK</v>
      </c>
      <c r="D9754" t="str">
        <f t="shared" si="3527"/>
        <v>09</v>
      </c>
      <c r="E9754" t="str">
        <f>"06 - B - 110 - Krystal Marie  Beruty"</f>
        <v>06 - B - 110 - Krystal Marie  Beruty</v>
      </c>
      <c r="F9754" t="str">
        <f>"AICE GLBL PERSP 1 AS"</f>
        <v>AICE GLBL PERSP 1 AS</v>
      </c>
      <c r="G9754" t="str">
        <f>"17-1721"</f>
        <v>17-1721</v>
      </c>
      <c r="H9754" t="str">
        <f>"B"</f>
        <v>B</v>
      </c>
    </row>
    <row r="9755" spans="1:8" x14ac:dyDescent="0.2">
      <c r="A9755" t="str">
        <f t="shared" si="3528"/>
        <v>0616118763</v>
      </c>
      <c r="B9755" t="str">
        <f t="shared" si="3529"/>
        <v>MILA</v>
      </c>
      <c r="C9755" t="str">
        <f t="shared" si="3526"/>
        <v>LISJAK DUEK</v>
      </c>
      <c r="D9755" t="str">
        <f t="shared" si="3527"/>
        <v>09</v>
      </c>
      <c r="E9755" t="str">
        <f>"03 - A - 005 - Cerine S Stewart"</f>
        <v>03 - A - 005 - Cerine S Stewart</v>
      </c>
      <c r="F9755" t="str">
        <f>"AICE ENG GEN PAPER 1"</f>
        <v>AICE ENG GEN PAPER 1</v>
      </c>
      <c r="G9755" t="str">
        <f>"17-1720"</f>
        <v>17-1720</v>
      </c>
      <c r="H9755" t="str">
        <f>"A"</f>
        <v>A</v>
      </c>
    </row>
    <row r="9756" spans="1:8" x14ac:dyDescent="0.2">
      <c r="A9756" t="str">
        <f t="shared" si="3528"/>
        <v>0616118763</v>
      </c>
      <c r="B9756" t="str">
        <f t="shared" si="3529"/>
        <v>MILA</v>
      </c>
      <c r="C9756" t="str">
        <f t="shared" si="3526"/>
        <v>LISJAK DUEK</v>
      </c>
      <c r="D9756" t="str">
        <f t="shared" si="3527"/>
        <v>09</v>
      </c>
      <c r="E9756" t="str">
        <f>"02 - A - 108 - Rory T Sponsler"</f>
        <v>02 - A - 108 - Rory T Sponsler</v>
      </c>
      <c r="F9756" t="str">
        <f>"NC STUDY HALL 1"</f>
        <v>NC STUDY HALL 1</v>
      </c>
      <c r="G9756" t="str">
        <f>"17-1740"</f>
        <v>17-1740</v>
      </c>
      <c r="H9756" t="str">
        <f>"A"</f>
        <v>A</v>
      </c>
    </row>
    <row r="9757" spans="1:8" x14ac:dyDescent="0.2">
      <c r="A9757" t="str">
        <f t="shared" si="3528"/>
        <v>0616118763</v>
      </c>
      <c r="B9757" t="str">
        <f t="shared" si="3529"/>
        <v>MILA</v>
      </c>
      <c r="C9757" t="str">
        <f t="shared" si="3526"/>
        <v>LISJAK DUEK</v>
      </c>
      <c r="D9757" t="str">
        <f t="shared" si="3527"/>
        <v>09</v>
      </c>
      <c r="E9757" t="str">
        <f>"07 - B - 105 - Byron G Montenegro"</f>
        <v>07 - B - 105 - Byron G Montenegro</v>
      </c>
      <c r="F9757" t="str">
        <f>"AICE MARINE SCI 1 AS"</f>
        <v>AICE MARINE SCI 1 AS</v>
      </c>
      <c r="G9757" t="str">
        <f>"21-2144"</f>
        <v>21-2144</v>
      </c>
      <c r="H9757" t="str">
        <f>"B"</f>
        <v>B</v>
      </c>
    </row>
    <row r="9758" spans="1:8" x14ac:dyDescent="0.2">
      <c r="A9758" t="str">
        <f t="shared" si="3528"/>
        <v>0616118763</v>
      </c>
      <c r="B9758" t="str">
        <f t="shared" si="3529"/>
        <v>MILA</v>
      </c>
      <c r="C9758" t="str">
        <f t="shared" si="3526"/>
        <v>LISJAK DUEK</v>
      </c>
      <c r="D9758" t="str">
        <f t="shared" si="3527"/>
        <v>09</v>
      </c>
      <c r="E9758" t="str">
        <f>"05 - B - 101 - Arthur  Kulawik"</f>
        <v>05 - B - 101 - Arthur  Kulawik</v>
      </c>
      <c r="F9758" t="str">
        <f>"DEBATE 2 LH"</f>
        <v>DEBATE 2 LH</v>
      </c>
      <c r="G9758" t="str">
        <f>"05-506"</f>
        <v>05-506</v>
      </c>
      <c r="H9758" t="str">
        <f>"B"</f>
        <v>B</v>
      </c>
    </row>
    <row r="9759" spans="1:8" x14ac:dyDescent="0.2">
      <c r="A9759" t="str">
        <f t="shared" si="3528"/>
        <v>0616118763</v>
      </c>
      <c r="B9759" t="str">
        <f t="shared" si="3529"/>
        <v>MILA</v>
      </c>
      <c r="C9759" t="str">
        <f t="shared" si="3526"/>
        <v>LISJAK DUEK</v>
      </c>
      <c r="D9759" t="str">
        <f t="shared" si="3527"/>
        <v>09</v>
      </c>
      <c r="E9759" t="str">
        <f>"01 - A - 101 - Joe  Kilpatrick Jr"</f>
        <v>01 - A - 101 - Joe  Kilpatrick Jr</v>
      </c>
      <c r="F9759" t="str">
        <f>"PRE-AICE SPAN 1 IG"</f>
        <v>PRE-AICE SPAN 1 IG</v>
      </c>
      <c r="G9759" t="str">
        <f>"09-912"</f>
        <v>09-912</v>
      </c>
      <c r="H9759" t="str">
        <f>"A"</f>
        <v>A</v>
      </c>
    </row>
    <row r="9760" spans="1:8" x14ac:dyDescent="0.2">
      <c r="A9760" t="str">
        <f t="shared" si="3528"/>
        <v>0616118763</v>
      </c>
      <c r="B9760" t="str">
        <f t="shared" si="3529"/>
        <v>MILA</v>
      </c>
      <c r="C9760" t="str">
        <f t="shared" si="3526"/>
        <v>LISJAK DUEK</v>
      </c>
      <c r="D9760" t="str">
        <f t="shared" si="3527"/>
        <v>09</v>
      </c>
      <c r="E9760" t="str">
        <f>"08 - B - 102 - Maried P Ramos"</f>
        <v>08 - B - 102 - Maried P Ramos</v>
      </c>
      <c r="F9760" t="str">
        <f>"ALGEBRA 2 HON"</f>
        <v>ALGEBRA 2 HON</v>
      </c>
      <c r="G9760" t="str">
        <f>"21-2159"</f>
        <v>21-2159</v>
      </c>
      <c r="H9760" t="str">
        <f>"B"</f>
        <v>B</v>
      </c>
    </row>
    <row r="9761" spans="1:8" x14ac:dyDescent="0.2">
      <c r="A9761" t="str">
        <f t="shared" ref="A9761:A9768" si="3530">"0624109455"</f>
        <v>0624109455</v>
      </c>
      <c r="B9761" t="str">
        <f t="shared" ref="B9761:B9768" si="3531">"ZIRUI"</f>
        <v>ZIRUI</v>
      </c>
      <c r="C9761" t="str">
        <f t="shared" ref="C9761:C9768" si="3532">"LIU"</f>
        <v>LIU</v>
      </c>
      <c r="D9761">
        <f>12</f>
        <v>12</v>
      </c>
      <c r="E9761" t="str">
        <f>"04 - A - 104 - Norayda D Suarez"</f>
        <v>04 - A - 104 - Norayda D Suarez</v>
      </c>
      <c r="F9761" t="str">
        <f>"RESEARCH 1 LH"</f>
        <v>RESEARCH 1 LH</v>
      </c>
      <c r="G9761">
        <f>2041</f>
        <v>2041</v>
      </c>
      <c r="H9761" t="str">
        <f>"A"</f>
        <v>A</v>
      </c>
    </row>
    <row r="9762" spans="1:8" x14ac:dyDescent="0.2">
      <c r="A9762" t="str">
        <f t="shared" si="3530"/>
        <v>0624109455</v>
      </c>
      <c r="B9762" t="str">
        <f t="shared" si="3531"/>
        <v>ZIRUI</v>
      </c>
      <c r="C9762" t="str">
        <f t="shared" si="3532"/>
        <v>LIU</v>
      </c>
      <c r="D9762">
        <f>12</f>
        <v>12</v>
      </c>
      <c r="E9762" t="str">
        <f>"06 - B - 102 - Ferrie J Arostique"</f>
        <v>06 - B - 102 - Ferrie J Arostique</v>
      </c>
      <c r="F9762" t="str">
        <f>"NC STUDY HALL 1"</f>
        <v>NC STUDY HALL 1</v>
      </c>
      <c r="G9762" t="str">
        <f>"21-2139"</f>
        <v>21-2139</v>
      </c>
      <c r="H9762" t="str">
        <f>"B"</f>
        <v>B</v>
      </c>
    </row>
    <row r="9763" spans="1:8" x14ac:dyDescent="0.2">
      <c r="A9763" t="str">
        <f t="shared" si="3530"/>
        <v>0624109455</v>
      </c>
      <c r="B9763" t="str">
        <f t="shared" si="3531"/>
        <v>ZIRUI</v>
      </c>
      <c r="C9763" t="str">
        <f t="shared" si="3532"/>
        <v>LIU</v>
      </c>
      <c r="D9763">
        <f>12</f>
        <v>12</v>
      </c>
      <c r="E9763" t="str">
        <f>"03 - A - 203 - Stefanie S Scher"</f>
        <v>03 - A - 203 - Stefanie S Scher</v>
      </c>
      <c r="F9763" t="str">
        <f>"AP PSYCH"</f>
        <v>AP PSYCH</v>
      </c>
      <c r="G9763" t="str">
        <f>"17-1735"</f>
        <v>17-1735</v>
      </c>
      <c r="H9763" t="str">
        <f>"A"</f>
        <v>A</v>
      </c>
    </row>
    <row r="9764" spans="1:8" x14ac:dyDescent="0.2">
      <c r="A9764" t="str">
        <f t="shared" si="3530"/>
        <v>0624109455</v>
      </c>
      <c r="B9764" t="str">
        <f t="shared" si="3531"/>
        <v>ZIRUI</v>
      </c>
      <c r="C9764" t="str">
        <f t="shared" si="3532"/>
        <v>LIU</v>
      </c>
      <c r="D9764">
        <f>12</f>
        <v>12</v>
      </c>
      <c r="E9764" t="str">
        <f>"02 - A - 102 - Jeffrey S Gallagher"</f>
        <v>02 - A - 102 - Jeffrey S Gallagher</v>
      </c>
      <c r="F9764" t="str">
        <f>"ENG HON 4"</f>
        <v>ENG HON 4</v>
      </c>
      <c r="G9764" t="str">
        <f>"17-1724"</f>
        <v>17-1724</v>
      </c>
      <c r="H9764" t="str">
        <f>"A"</f>
        <v>A</v>
      </c>
    </row>
    <row r="9765" spans="1:8" x14ac:dyDescent="0.2">
      <c r="A9765" t="str">
        <f t="shared" si="3530"/>
        <v>0624109455</v>
      </c>
      <c r="B9765" t="str">
        <f t="shared" si="3531"/>
        <v>ZIRUI</v>
      </c>
      <c r="C9765" t="str">
        <f t="shared" si="3532"/>
        <v>LIU</v>
      </c>
      <c r="D9765">
        <f>12</f>
        <v>12</v>
      </c>
      <c r="E9765" t="str">
        <f>"07 - B - 201 - Jacqueline R Morphet"</f>
        <v>07 - B - 201 - Jacqueline R Morphet</v>
      </c>
      <c r="F9765" t="str">
        <f>"AP PHYSICS C: ME"</f>
        <v>AP PHYSICS C: ME</v>
      </c>
      <c r="G9765" t="str">
        <f>"21-2138"</f>
        <v>21-2138</v>
      </c>
      <c r="H9765" t="str">
        <f>"B"</f>
        <v>B</v>
      </c>
    </row>
    <row r="9766" spans="1:8" x14ac:dyDescent="0.2">
      <c r="A9766" t="str">
        <f t="shared" si="3530"/>
        <v>0624109455</v>
      </c>
      <c r="B9766" t="str">
        <f t="shared" si="3531"/>
        <v>ZIRUI</v>
      </c>
      <c r="C9766" t="str">
        <f t="shared" si="3532"/>
        <v>LIU</v>
      </c>
      <c r="D9766">
        <f>12</f>
        <v>12</v>
      </c>
      <c r="E9766" t="str">
        <f>"05 - B - 201 - Scott A Dethloff"</f>
        <v>05 - B - 201 - Scott A Dethloff</v>
      </c>
      <c r="F9766" t="str">
        <f>"AP CHEM"</f>
        <v>AP CHEM</v>
      </c>
      <c r="G9766" t="str">
        <f>"08-812"</f>
        <v>08-812</v>
      </c>
      <c r="H9766" t="str">
        <f>"B"</f>
        <v>B</v>
      </c>
    </row>
    <row r="9767" spans="1:8" x14ac:dyDescent="0.2">
      <c r="A9767" t="str">
        <f t="shared" si="3530"/>
        <v>0624109455</v>
      </c>
      <c r="B9767" t="str">
        <f t="shared" si="3531"/>
        <v>ZIRUI</v>
      </c>
      <c r="C9767" t="str">
        <f t="shared" si="3532"/>
        <v>LIU</v>
      </c>
      <c r="D9767">
        <f>12</f>
        <v>12</v>
      </c>
      <c r="E9767" t="str">
        <f>"01 - A - 201 - Pamela M Corzo"</f>
        <v>01 - A - 201 - Pamela M Corzo</v>
      </c>
      <c r="F9767" t="str">
        <f>"AP CALCULUS BC"</f>
        <v>AP CALCULUS BC</v>
      </c>
      <c r="G9767" t="str">
        <f>"21-2133"</f>
        <v>21-2133</v>
      </c>
      <c r="H9767" t="str">
        <f>"A"</f>
        <v>A</v>
      </c>
    </row>
    <row r="9768" spans="1:8" x14ac:dyDescent="0.2">
      <c r="A9768" t="str">
        <f t="shared" si="3530"/>
        <v>0624109455</v>
      </c>
      <c r="B9768" t="str">
        <f t="shared" si="3531"/>
        <v>ZIRUI</v>
      </c>
      <c r="C9768" t="str">
        <f t="shared" si="3532"/>
        <v>LIU</v>
      </c>
      <c r="D9768">
        <f>12</f>
        <v>12</v>
      </c>
      <c r="E9768" t="str">
        <f>"08 - S1 - B - 102 - Stephen T Ripp"</f>
        <v>08 - S1 - B - 102 - Stephen T Ripp</v>
      </c>
      <c r="F9768" t="str">
        <f>"AP US GOVT/POL"</f>
        <v>AP US GOVT/POL</v>
      </c>
      <c r="G9768" t="str">
        <f>"17-1744"</f>
        <v>17-1744</v>
      </c>
      <c r="H9768" t="str">
        <f>"B"</f>
        <v>B</v>
      </c>
    </row>
    <row r="9769" spans="1:8" x14ac:dyDescent="0.2">
      <c r="A9769" t="str">
        <f t="shared" ref="A9769:A9776" si="3533">"0626008728"</f>
        <v>0626008728</v>
      </c>
      <c r="B9769" t="str">
        <f t="shared" ref="B9769:B9776" si="3534">"Amani"</f>
        <v>Amani</v>
      </c>
      <c r="C9769" t="str">
        <f t="shared" ref="C9769:C9776" si="3535">"Livingston"</f>
        <v>Livingston</v>
      </c>
      <c r="D9769">
        <f>10</f>
        <v>10</v>
      </c>
      <c r="E9769" t="str">
        <f>"04 - S1 - A - 103 - James H Mccann"</f>
        <v>04 - S1 - A - 103 - James H Mccann</v>
      </c>
      <c r="F9769" t="str">
        <f>"PERS FIN &amp; MON MGT H"</f>
        <v>PERS FIN &amp; MON MGT H</v>
      </c>
      <c r="G9769" t="str">
        <f>"17-1716"</f>
        <v>17-1716</v>
      </c>
      <c r="H9769" t="str">
        <f>"A"</f>
        <v>A</v>
      </c>
    </row>
    <row r="9770" spans="1:8" x14ac:dyDescent="0.2">
      <c r="A9770" t="str">
        <f t="shared" si="3533"/>
        <v>0626008728</v>
      </c>
      <c r="B9770" t="str">
        <f t="shared" si="3534"/>
        <v>Amani</v>
      </c>
      <c r="C9770" t="str">
        <f t="shared" si="3535"/>
        <v>Livingston</v>
      </c>
      <c r="D9770">
        <f>10</f>
        <v>10</v>
      </c>
      <c r="E9770" t="str">
        <f>"06 - B - 115 - Scott A Dethloff"</f>
        <v>06 - B - 115 - Scott A Dethloff</v>
      </c>
      <c r="F9770" t="str">
        <f>"NC STUDY HALL 1"</f>
        <v>NC STUDY HALL 1</v>
      </c>
      <c r="G9770" t="str">
        <f>"08-812"</f>
        <v>08-812</v>
      </c>
      <c r="H9770" t="str">
        <f>"B"</f>
        <v>B</v>
      </c>
    </row>
    <row r="9771" spans="1:8" x14ac:dyDescent="0.2">
      <c r="A9771" t="str">
        <f t="shared" si="3533"/>
        <v>0626008728</v>
      </c>
      <c r="B9771" t="str">
        <f t="shared" si="3534"/>
        <v>Amani</v>
      </c>
      <c r="C9771" t="str">
        <f t="shared" si="3535"/>
        <v>Livingston</v>
      </c>
      <c r="D9771">
        <f>10</f>
        <v>10</v>
      </c>
      <c r="E9771" t="str">
        <f>"03 - A - 109 - Lissa C Frederique"</f>
        <v>03 - A - 109 - Lissa C Frederique</v>
      </c>
      <c r="F9771" t="str">
        <f>"WORLD HISTORY"</f>
        <v>WORLD HISTORY</v>
      </c>
      <c r="G9771" t="str">
        <f>"17-1754"</f>
        <v>17-1754</v>
      </c>
      <c r="H9771" t="str">
        <f>"A"</f>
        <v>A</v>
      </c>
    </row>
    <row r="9772" spans="1:8" x14ac:dyDescent="0.2">
      <c r="A9772" t="str">
        <f t="shared" si="3533"/>
        <v>0626008728</v>
      </c>
      <c r="B9772" t="str">
        <f t="shared" si="3534"/>
        <v>Amani</v>
      </c>
      <c r="C9772" t="str">
        <f t="shared" si="3535"/>
        <v>Livingston</v>
      </c>
      <c r="D9772">
        <f>10</f>
        <v>10</v>
      </c>
      <c r="E9772" t="str">
        <f>"02 - A - 102 - Adam Marcus  Drucker"</f>
        <v>02 - A - 102 - Adam Marcus  Drucker</v>
      </c>
      <c r="F9772" t="str">
        <f>"HOPE-PE V"</f>
        <v>HOPE-PE V</v>
      </c>
      <c r="G9772" t="str">
        <f>"04-254"</f>
        <v>04-254</v>
      </c>
      <c r="H9772" t="str">
        <f>"A"</f>
        <v>A</v>
      </c>
    </row>
    <row r="9773" spans="1:8" x14ac:dyDescent="0.2">
      <c r="A9773" t="str">
        <f t="shared" si="3533"/>
        <v>0626008728</v>
      </c>
      <c r="B9773" t="str">
        <f t="shared" si="3534"/>
        <v>Amani</v>
      </c>
      <c r="C9773" t="str">
        <f t="shared" si="3535"/>
        <v>Livingston</v>
      </c>
      <c r="D9773">
        <f>10</f>
        <v>10</v>
      </c>
      <c r="E9773" t="str">
        <f>"07 - B - 106 - Taraneh C Abreu"</f>
        <v>07 - B - 106 - Taraneh C Abreu</v>
      </c>
      <c r="F9773" t="str">
        <f>"INTENS READ 2"</f>
        <v>INTENS READ 2</v>
      </c>
      <c r="G9773" t="str">
        <f>"17-1713"</f>
        <v>17-1713</v>
      </c>
      <c r="H9773" t="str">
        <f>"B"</f>
        <v>B</v>
      </c>
    </row>
    <row r="9774" spans="1:8" x14ac:dyDescent="0.2">
      <c r="A9774" t="str">
        <f t="shared" si="3533"/>
        <v>0626008728</v>
      </c>
      <c r="B9774" t="str">
        <f t="shared" si="3534"/>
        <v>Amani</v>
      </c>
      <c r="C9774" t="str">
        <f t="shared" si="3535"/>
        <v>Livingston</v>
      </c>
      <c r="D9774">
        <f>10</f>
        <v>10</v>
      </c>
      <c r="E9774" t="str">
        <f>"05 - B - 108 - James H Mccann"</f>
        <v>05 - B - 108 - James H Mccann</v>
      </c>
      <c r="F9774" t="str">
        <f>"ALGEBRA 2"</f>
        <v>ALGEBRA 2</v>
      </c>
      <c r="G9774" t="str">
        <f>"17-1716"</f>
        <v>17-1716</v>
      </c>
      <c r="H9774" t="str">
        <f>"B"</f>
        <v>B</v>
      </c>
    </row>
    <row r="9775" spans="1:8" x14ac:dyDescent="0.2">
      <c r="A9775" t="str">
        <f t="shared" si="3533"/>
        <v>0626008728</v>
      </c>
      <c r="B9775" t="str">
        <f t="shared" si="3534"/>
        <v>Amani</v>
      </c>
      <c r="C9775" t="str">
        <f t="shared" si="3535"/>
        <v>Livingston</v>
      </c>
      <c r="D9775">
        <f>10</f>
        <v>10</v>
      </c>
      <c r="E9775" t="str">
        <f>"01 - A - 101 - Cliffon  Saurel"</f>
        <v>01 - A - 101 - Cliffon  Saurel</v>
      </c>
      <c r="F9775" t="str">
        <f>"PHYSICAL SCI"</f>
        <v>PHYSICAL SCI</v>
      </c>
      <c r="G9775" t="str">
        <f>"05-522"</f>
        <v>05-522</v>
      </c>
      <c r="H9775" t="str">
        <f>"A"</f>
        <v>A</v>
      </c>
    </row>
    <row r="9776" spans="1:8" x14ac:dyDescent="0.2">
      <c r="A9776" t="str">
        <f t="shared" si="3533"/>
        <v>0626008728</v>
      </c>
      <c r="B9776" t="str">
        <f t="shared" si="3534"/>
        <v>Amani</v>
      </c>
      <c r="C9776" t="str">
        <f t="shared" si="3535"/>
        <v>Livingston</v>
      </c>
      <c r="D9776">
        <f>10</f>
        <v>10</v>
      </c>
      <c r="E9776" t="str">
        <f>"08 - B - 109 - Nikiel  Nesbeth"</f>
        <v>08 - B - 109 - Nikiel  Nesbeth</v>
      </c>
      <c r="F9776" t="str">
        <f>"ENG 2"</f>
        <v>ENG 2</v>
      </c>
      <c r="G9776" t="str">
        <f>"17-1705"</f>
        <v>17-1705</v>
      </c>
      <c r="H9776" t="str">
        <f>"B"</f>
        <v>B</v>
      </c>
    </row>
    <row r="9777" spans="1:8" x14ac:dyDescent="0.2">
      <c r="A9777" t="str">
        <f t="shared" ref="A9777:A9784" si="3536">"0625047875"</f>
        <v>0625047875</v>
      </c>
      <c r="B9777" t="str">
        <f t="shared" ref="B9777:B9784" si="3537">"Ricardo"</f>
        <v>Ricardo</v>
      </c>
      <c r="C9777" t="str">
        <f t="shared" ref="C9777:C9784" si="3538">"Llinas Montenegro"</f>
        <v>Llinas Montenegro</v>
      </c>
      <c r="D9777" t="str">
        <f t="shared" ref="D9777:D9784" si="3539">"09"</f>
        <v>09</v>
      </c>
      <c r="E9777" t="str">
        <f>"04 - A - 103 - Cerine S Stewart"</f>
        <v>04 - A - 103 - Cerine S Stewart</v>
      </c>
      <c r="F9777" t="str">
        <f>"ENG 1"</f>
        <v>ENG 1</v>
      </c>
      <c r="G9777" t="str">
        <f>"17-1720"</f>
        <v>17-1720</v>
      </c>
      <c r="H9777" t="str">
        <f>"A"</f>
        <v>A</v>
      </c>
    </row>
    <row r="9778" spans="1:8" x14ac:dyDescent="0.2">
      <c r="A9778" t="str">
        <f t="shared" si="3536"/>
        <v>0625047875</v>
      </c>
      <c r="B9778" t="str">
        <f t="shared" si="3537"/>
        <v>Ricardo</v>
      </c>
      <c r="C9778" t="str">
        <f t="shared" si="3538"/>
        <v>Llinas Montenegro</v>
      </c>
      <c r="D9778" t="str">
        <f t="shared" si="3539"/>
        <v>09</v>
      </c>
      <c r="E9778" t="str">
        <f>"06 - B - 104 - Laselleda D Shaw"</f>
        <v>06 - B - 104 - Laselleda D Shaw</v>
      </c>
      <c r="F9778" t="str">
        <f>"INTENS READ 1"</f>
        <v>INTENS READ 1</v>
      </c>
      <c r="G9778" t="str">
        <f>"17-1723"</f>
        <v>17-1723</v>
      </c>
      <c r="H9778" t="str">
        <f>"B"</f>
        <v>B</v>
      </c>
    </row>
    <row r="9779" spans="1:8" x14ac:dyDescent="0.2">
      <c r="A9779" t="str">
        <f t="shared" si="3536"/>
        <v>0625047875</v>
      </c>
      <c r="B9779" t="str">
        <f t="shared" si="3537"/>
        <v>Ricardo</v>
      </c>
      <c r="C9779" t="str">
        <f t="shared" si="3538"/>
        <v>Llinas Montenegro</v>
      </c>
      <c r="D9779" t="str">
        <f t="shared" si="3539"/>
        <v>09</v>
      </c>
      <c r="E9779" t="str">
        <f>"03 - A - 109 - Lissa C Frederique"</f>
        <v>03 - A - 109 - Lissa C Frederique</v>
      </c>
      <c r="F9779" t="str">
        <f>"WORLD HISTORY"</f>
        <v>WORLD HISTORY</v>
      </c>
      <c r="G9779" t="str">
        <f>"17-1754"</f>
        <v>17-1754</v>
      </c>
      <c r="H9779" t="str">
        <f>"A"</f>
        <v>A</v>
      </c>
    </row>
    <row r="9780" spans="1:8" x14ac:dyDescent="0.2">
      <c r="A9780" t="str">
        <f t="shared" si="3536"/>
        <v>0625047875</v>
      </c>
      <c r="B9780" t="str">
        <f t="shared" si="3537"/>
        <v>Ricardo</v>
      </c>
      <c r="C9780" t="str">
        <f t="shared" si="3538"/>
        <v>Llinas Montenegro</v>
      </c>
      <c r="D9780" t="str">
        <f t="shared" si="3539"/>
        <v>09</v>
      </c>
      <c r="E9780" t="str">
        <f>"02 - A - 102 - Fernando  Vega-Cid"</f>
        <v>02 - A - 102 - Fernando  Vega-Cid</v>
      </c>
      <c r="F9780" t="str">
        <f>"NC STUDY HALL 1"</f>
        <v>NC STUDY HALL 1</v>
      </c>
      <c r="G9780" t="str">
        <f>"21-2163"</f>
        <v>21-2163</v>
      </c>
      <c r="H9780" t="str">
        <f>"A"</f>
        <v>A</v>
      </c>
    </row>
    <row r="9781" spans="1:8" x14ac:dyDescent="0.2">
      <c r="A9781" t="str">
        <f t="shared" si="3536"/>
        <v>0625047875</v>
      </c>
      <c r="B9781" t="str">
        <f t="shared" si="3537"/>
        <v>Ricardo</v>
      </c>
      <c r="C9781" t="str">
        <f t="shared" si="3538"/>
        <v>Llinas Montenegro</v>
      </c>
      <c r="D9781" t="str">
        <f t="shared" si="3539"/>
        <v>09</v>
      </c>
      <c r="E9781" t="str">
        <f>"07 - B - 107 - Helen A Flores"</f>
        <v>07 - B - 107 - Helen A Flores</v>
      </c>
      <c r="F9781" t="str">
        <f>"ALGEBRA 1"</f>
        <v>ALGEBRA 1</v>
      </c>
      <c r="G9781" t="str">
        <f>"21-2101"</f>
        <v>21-2101</v>
      </c>
      <c r="H9781" t="str">
        <f>"B"</f>
        <v>B</v>
      </c>
    </row>
    <row r="9782" spans="1:8" x14ac:dyDescent="0.2">
      <c r="A9782" t="str">
        <f t="shared" si="3536"/>
        <v>0625047875</v>
      </c>
      <c r="B9782" t="str">
        <f t="shared" si="3537"/>
        <v>Ricardo</v>
      </c>
      <c r="C9782" t="str">
        <f t="shared" si="3538"/>
        <v>Llinas Montenegro</v>
      </c>
      <c r="D9782" t="str">
        <f t="shared" si="3539"/>
        <v>09</v>
      </c>
      <c r="E9782" t="str">
        <f>"05 - B - 102 - Vanessa J Pena"</f>
        <v>05 - B - 102 - Vanessa J Pena</v>
      </c>
      <c r="F9782" t="str">
        <f>"DEV LANG ARTS ESOL-R"</f>
        <v>DEV LANG ARTS ESOL-R</v>
      </c>
      <c r="G9782" t="str">
        <f>"09-926"</f>
        <v>09-926</v>
      </c>
      <c r="H9782" t="str">
        <f>"B"</f>
        <v>B</v>
      </c>
    </row>
    <row r="9783" spans="1:8" x14ac:dyDescent="0.2">
      <c r="A9783" t="str">
        <f t="shared" si="3536"/>
        <v>0625047875</v>
      </c>
      <c r="B9783" t="str">
        <f t="shared" si="3537"/>
        <v>Ricardo</v>
      </c>
      <c r="C9783" t="str">
        <f t="shared" si="3538"/>
        <v>Llinas Montenegro</v>
      </c>
      <c r="D9783" t="str">
        <f t="shared" si="3539"/>
        <v>09</v>
      </c>
      <c r="E9783" t="str">
        <f>"01 - A - 102 - Helen A Flores"</f>
        <v>01 - A - 102 - Helen A Flores</v>
      </c>
      <c r="F9783" t="str">
        <f>"FDN SKLS MATH 9-12"</f>
        <v>FDN SKLS MATH 9-12</v>
      </c>
      <c r="G9783" t="str">
        <f>"21-2101"</f>
        <v>21-2101</v>
      </c>
      <c r="H9783" t="str">
        <f>"A"</f>
        <v>A</v>
      </c>
    </row>
    <row r="9784" spans="1:8" x14ac:dyDescent="0.2">
      <c r="A9784" t="str">
        <f t="shared" si="3536"/>
        <v>0625047875</v>
      </c>
      <c r="B9784" t="str">
        <f t="shared" si="3537"/>
        <v>Ricardo</v>
      </c>
      <c r="C9784" t="str">
        <f t="shared" si="3538"/>
        <v>Llinas Montenegro</v>
      </c>
      <c r="D9784" t="str">
        <f t="shared" si="3539"/>
        <v>09</v>
      </c>
      <c r="E9784" t="str">
        <f>"08 - B - 105 - Samantha J Headley"</f>
        <v>08 - B - 105 - Samantha J Headley</v>
      </c>
      <c r="F9784" t="str">
        <f>"ENV SCI"</f>
        <v>ENV SCI</v>
      </c>
      <c r="G9784" t="str">
        <f>"08-802"</f>
        <v>08-802</v>
      </c>
      <c r="H9784" t="str">
        <f>"B"</f>
        <v>B</v>
      </c>
    </row>
    <row r="9785" spans="1:8" x14ac:dyDescent="0.2">
      <c r="A9785" t="str">
        <f t="shared" ref="A9785:A9792" si="3540">"0613093790"</f>
        <v>0613093790</v>
      </c>
      <c r="B9785" t="str">
        <f t="shared" ref="B9785:B9792" si="3541">"TOM"</f>
        <v>TOM</v>
      </c>
      <c r="C9785" t="str">
        <f t="shared" ref="C9785:C9792" si="3542">"LLUCH"</f>
        <v>LLUCH</v>
      </c>
      <c r="D9785">
        <f>12</f>
        <v>12</v>
      </c>
      <c r="E9785" t="str">
        <f>"04 - A - 101 - Rosa Elaine  Collado-Duff"</f>
        <v>04 - A - 101 - Rosa Elaine  Collado-Duff</v>
      </c>
      <c r="F9785" t="str">
        <f>"AICE SPAN LANG AS"</f>
        <v>AICE SPAN LANG AS</v>
      </c>
      <c r="G9785" t="str">
        <f>"09-913"</f>
        <v>09-913</v>
      </c>
      <c r="H9785" t="str">
        <f>"A"</f>
        <v>A</v>
      </c>
    </row>
    <row r="9786" spans="1:8" x14ac:dyDescent="0.2">
      <c r="A9786" t="str">
        <f t="shared" si="3540"/>
        <v>0613093790</v>
      </c>
      <c r="B9786" t="str">
        <f t="shared" si="3541"/>
        <v>TOM</v>
      </c>
      <c r="C9786" t="str">
        <f t="shared" si="3542"/>
        <v>LLUCH</v>
      </c>
      <c r="D9786">
        <f>12</f>
        <v>12</v>
      </c>
      <c r="E9786" t="str">
        <f>"06 - B - 113 - Marielle A Witting"</f>
        <v>06 - B - 113 - Marielle A Witting</v>
      </c>
      <c r="F9786" t="str">
        <f>"NC STUDY HALL 1"</f>
        <v>NC STUDY HALL 1</v>
      </c>
      <c r="G9786" t="str">
        <f>"08-805"</f>
        <v>08-805</v>
      </c>
      <c r="H9786" t="str">
        <f>"B"</f>
        <v>B</v>
      </c>
    </row>
    <row r="9787" spans="1:8" x14ac:dyDescent="0.2">
      <c r="A9787" t="str">
        <f t="shared" si="3540"/>
        <v>0613093790</v>
      </c>
      <c r="B9787" t="str">
        <f t="shared" si="3541"/>
        <v>TOM</v>
      </c>
      <c r="C9787" t="str">
        <f t="shared" si="3542"/>
        <v>LLUCH</v>
      </c>
      <c r="D9787">
        <f>12</f>
        <v>12</v>
      </c>
      <c r="E9787" t="str">
        <f>"03 - A - 101 - Lisa J London"</f>
        <v>03 - A - 101 - Lisa J London</v>
      </c>
      <c r="F9787" t="str">
        <f>"AP CAPSTONE RESEARCH"</f>
        <v>AP CAPSTONE RESEARCH</v>
      </c>
      <c r="G9787" t="str">
        <f>"17-1714"</f>
        <v>17-1714</v>
      </c>
      <c r="H9787" t="str">
        <f>"A"</f>
        <v>A</v>
      </c>
    </row>
    <row r="9788" spans="1:8" x14ac:dyDescent="0.2">
      <c r="A9788" t="str">
        <f t="shared" si="3540"/>
        <v>0613093790</v>
      </c>
      <c r="B9788" t="str">
        <f t="shared" si="3541"/>
        <v>TOM</v>
      </c>
      <c r="C9788" t="str">
        <f t="shared" si="3542"/>
        <v>LLUCH</v>
      </c>
      <c r="D9788">
        <f>12</f>
        <v>12</v>
      </c>
      <c r="E9788" t="str">
        <f>"02 - A - 201 - Jeanne M Bermudez"</f>
        <v>02 - A - 201 - Jeanne M Bermudez</v>
      </c>
      <c r="F9788" t="str">
        <f>"AP ENV SCI"</f>
        <v>AP ENV SCI</v>
      </c>
      <c r="G9788" t="str">
        <f>"21-2141"</f>
        <v>21-2141</v>
      </c>
      <c r="H9788" t="str">
        <f>"A"</f>
        <v>A</v>
      </c>
    </row>
    <row r="9789" spans="1:8" x14ac:dyDescent="0.2">
      <c r="A9789" t="str">
        <f t="shared" si="3540"/>
        <v>0613093790</v>
      </c>
      <c r="B9789" t="str">
        <f t="shared" si="3541"/>
        <v>TOM</v>
      </c>
      <c r="C9789" t="str">
        <f t="shared" si="3542"/>
        <v>LLUCH</v>
      </c>
      <c r="D9789">
        <f>12</f>
        <v>12</v>
      </c>
      <c r="E9789" t="str">
        <f>"07 - B - 102 - Courtney E Hambright"</f>
        <v>07 - B - 102 - Courtney E Hambright</v>
      </c>
      <c r="F9789" t="str">
        <f>"AP ENG LIT COMPO"</f>
        <v>AP ENG LIT COMPO</v>
      </c>
      <c r="G9789" t="str">
        <f>"17-1711"</f>
        <v>17-1711</v>
      </c>
      <c r="H9789" t="str">
        <f>"B"</f>
        <v>B</v>
      </c>
    </row>
    <row r="9790" spans="1:8" x14ac:dyDescent="0.2">
      <c r="A9790" t="str">
        <f t="shared" si="3540"/>
        <v>0613093790</v>
      </c>
      <c r="B9790" t="str">
        <f t="shared" si="3541"/>
        <v>TOM</v>
      </c>
      <c r="C9790" t="str">
        <f t="shared" si="3542"/>
        <v>LLUCH</v>
      </c>
      <c r="D9790">
        <f>12</f>
        <v>12</v>
      </c>
      <c r="E9790" t="str">
        <f>"05 - S1 - B - 103 - Stephen T Ripp"</f>
        <v>05 - S1 - B - 103 - Stephen T Ripp</v>
      </c>
      <c r="F9790" t="str">
        <f>"AP US GOVT/POL"</f>
        <v>AP US GOVT/POL</v>
      </c>
      <c r="G9790" t="str">
        <f>"17-1744"</f>
        <v>17-1744</v>
      </c>
      <c r="H9790" t="str">
        <f>"B"</f>
        <v>B</v>
      </c>
    </row>
    <row r="9791" spans="1:8" x14ac:dyDescent="0.2">
      <c r="A9791" t="str">
        <f t="shared" si="3540"/>
        <v>0613093790</v>
      </c>
      <c r="B9791" t="str">
        <f t="shared" si="3541"/>
        <v>TOM</v>
      </c>
      <c r="C9791" t="str">
        <f t="shared" si="3542"/>
        <v>LLUCH</v>
      </c>
      <c r="D9791">
        <f>12</f>
        <v>12</v>
      </c>
      <c r="E9791" t="str">
        <f>"01 - A - 201 - Pamela M Corzo"</f>
        <v>01 - A - 201 - Pamela M Corzo</v>
      </c>
      <c r="F9791" t="str">
        <f>"AP CALCULUS BC"</f>
        <v>AP CALCULUS BC</v>
      </c>
      <c r="G9791" t="str">
        <f>"21-2133"</f>
        <v>21-2133</v>
      </c>
      <c r="H9791" t="str">
        <f>"A"</f>
        <v>A</v>
      </c>
    </row>
    <row r="9792" spans="1:8" x14ac:dyDescent="0.2">
      <c r="A9792" t="str">
        <f t="shared" si="3540"/>
        <v>0613093790</v>
      </c>
      <c r="B9792" t="str">
        <f t="shared" si="3541"/>
        <v>TOM</v>
      </c>
      <c r="C9792" t="str">
        <f t="shared" si="3542"/>
        <v>LLUCH</v>
      </c>
      <c r="D9792">
        <f>12</f>
        <v>12</v>
      </c>
      <c r="E9792" t="str">
        <f>"08 - B - 107 - Taraneh C Abreu"</f>
        <v>08 - B - 107 - Taraneh C Abreu</v>
      </c>
      <c r="F9792" t="str">
        <f>"RESEARCH 1 LH"</f>
        <v>RESEARCH 1 LH</v>
      </c>
      <c r="G9792">
        <f>2041</f>
        <v>2041</v>
      </c>
      <c r="H9792" t="str">
        <f>"B"</f>
        <v>B</v>
      </c>
    </row>
    <row r="9793" spans="1:8" x14ac:dyDescent="0.2">
      <c r="A9793" t="str">
        <f t="shared" ref="A9793:A9800" si="3543">"0625028009"</f>
        <v>0625028009</v>
      </c>
      <c r="B9793" t="str">
        <f t="shared" ref="B9793:B9800" si="3544">"Markus"</f>
        <v>Markus</v>
      </c>
      <c r="C9793" t="str">
        <f t="shared" ref="C9793:C9800" si="3545">"Lomonosov"</f>
        <v>Lomonosov</v>
      </c>
      <c r="D9793">
        <f>10</f>
        <v>10</v>
      </c>
      <c r="E9793" t="str">
        <f>"04 - A - 104 - Marius D Orsolini"</f>
        <v>04 - A - 104 - Marius D Orsolini</v>
      </c>
      <c r="F9793" t="str">
        <f>"CULINARY ARTS 1"</f>
        <v>CULINARY ARTS 1</v>
      </c>
      <c r="G9793" t="str">
        <f>"21-2115"</f>
        <v>21-2115</v>
      </c>
      <c r="H9793" t="str">
        <f>"A"</f>
        <v>A</v>
      </c>
    </row>
    <row r="9794" spans="1:8" x14ac:dyDescent="0.2">
      <c r="A9794" t="str">
        <f t="shared" si="3543"/>
        <v>0625028009</v>
      </c>
      <c r="B9794" t="str">
        <f t="shared" si="3544"/>
        <v>Markus</v>
      </c>
      <c r="C9794" t="str">
        <f t="shared" si="3545"/>
        <v>Lomonosov</v>
      </c>
      <c r="D9794">
        <f>10</f>
        <v>10</v>
      </c>
      <c r="E9794" t="str">
        <f>"06 - B - 118 - Jeanne M Bermudez"</f>
        <v>06 - B - 118 - Jeanne M Bermudez</v>
      </c>
      <c r="F9794" t="str">
        <f>"NC STUDY HALL 1"</f>
        <v>NC STUDY HALL 1</v>
      </c>
      <c r="G9794" t="str">
        <f>"21-2141"</f>
        <v>21-2141</v>
      </c>
      <c r="H9794" t="str">
        <f>"B"</f>
        <v>B</v>
      </c>
    </row>
    <row r="9795" spans="1:8" x14ac:dyDescent="0.2">
      <c r="A9795" t="str">
        <f t="shared" si="3543"/>
        <v>0625028009</v>
      </c>
      <c r="B9795" t="str">
        <f t="shared" si="3544"/>
        <v>Markus</v>
      </c>
      <c r="C9795" t="str">
        <f t="shared" si="3545"/>
        <v>Lomonosov</v>
      </c>
      <c r="D9795">
        <f>10</f>
        <v>10</v>
      </c>
      <c r="E9795" t="str">
        <f>"03 - A - 002 - Nikiel  Nesbeth"</f>
        <v>03 - A - 002 - Nikiel  Nesbeth</v>
      </c>
      <c r="F9795" t="str">
        <f>"PRE-AICE ENG LIT IG"</f>
        <v>PRE-AICE ENG LIT IG</v>
      </c>
      <c r="G9795" t="str">
        <f>"17-1705"</f>
        <v>17-1705</v>
      </c>
      <c r="H9795" t="str">
        <f>"A"</f>
        <v>A</v>
      </c>
    </row>
    <row r="9796" spans="1:8" x14ac:dyDescent="0.2">
      <c r="A9796" t="str">
        <f t="shared" si="3543"/>
        <v>0625028009</v>
      </c>
      <c r="B9796" t="str">
        <f t="shared" si="3544"/>
        <v>Markus</v>
      </c>
      <c r="C9796" t="str">
        <f t="shared" si="3545"/>
        <v>Lomonosov</v>
      </c>
      <c r="D9796">
        <f>10</f>
        <v>10</v>
      </c>
      <c r="E9796" t="str">
        <f>"02 - A - 101 - Brian M Fitzgerald"</f>
        <v>02 - A - 101 - Brian M Fitzgerald</v>
      </c>
      <c r="F9796" t="str">
        <f>"DRAW 1"</f>
        <v>DRAW 1</v>
      </c>
      <c r="G9796" t="str">
        <f>"09-908"</f>
        <v>09-908</v>
      </c>
      <c r="H9796" t="str">
        <f>"A"</f>
        <v>A</v>
      </c>
    </row>
    <row r="9797" spans="1:8" x14ac:dyDescent="0.2">
      <c r="A9797" t="str">
        <f t="shared" si="3543"/>
        <v>0625028009</v>
      </c>
      <c r="B9797" t="str">
        <f t="shared" si="3544"/>
        <v>Markus</v>
      </c>
      <c r="C9797" t="str">
        <f t="shared" si="3545"/>
        <v>Lomonosov</v>
      </c>
      <c r="D9797">
        <f>10</f>
        <v>10</v>
      </c>
      <c r="E9797" t="str">
        <f>"07 - B - 105 - Paige Lauren  Brochu"</f>
        <v>07 - B - 105 - Paige Lauren  Brochu</v>
      </c>
      <c r="F9797" t="str">
        <f>"PRE-AICE BIO IG"</f>
        <v>PRE-AICE BIO IG</v>
      </c>
      <c r="G9797" t="str">
        <f>"21-2134"</f>
        <v>21-2134</v>
      </c>
      <c r="H9797" t="str">
        <f>"B"</f>
        <v>B</v>
      </c>
    </row>
    <row r="9798" spans="1:8" x14ac:dyDescent="0.2">
      <c r="A9798" t="str">
        <f t="shared" si="3543"/>
        <v>0625028009</v>
      </c>
      <c r="B9798" t="str">
        <f t="shared" si="3544"/>
        <v>Markus</v>
      </c>
      <c r="C9798" t="str">
        <f t="shared" si="3545"/>
        <v>Lomonosov</v>
      </c>
      <c r="D9798">
        <f>10</f>
        <v>10</v>
      </c>
      <c r="E9798" t="str">
        <f>"05 - B - 104 - Maried P Ramos"</f>
        <v>05 - B - 104 - Maried P Ramos</v>
      </c>
      <c r="F9798" t="str">
        <f>"PRE-AICE MATH 2 IG"</f>
        <v>PRE-AICE MATH 2 IG</v>
      </c>
      <c r="G9798" t="str">
        <f>"21-2159"</f>
        <v>21-2159</v>
      </c>
      <c r="H9798" t="str">
        <f>"B"</f>
        <v>B</v>
      </c>
    </row>
    <row r="9799" spans="1:8" x14ac:dyDescent="0.2">
      <c r="A9799" t="str">
        <f t="shared" si="3543"/>
        <v>0625028009</v>
      </c>
      <c r="B9799" t="str">
        <f t="shared" si="3544"/>
        <v>Markus</v>
      </c>
      <c r="C9799" t="str">
        <f t="shared" si="3545"/>
        <v>Lomonosov</v>
      </c>
      <c r="D9799">
        <f>10</f>
        <v>10</v>
      </c>
      <c r="E9799" t="str">
        <f>"01 - A - 101 - Vanessa J Liburd"</f>
        <v>01 - A - 101 - Vanessa J Liburd</v>
      </c>
      <c r="F9799" t="str">
        <f>"PRE-AICE FRENCH 1 IG"</f>
        <v>PRE-AICE FRENCH 1 IG</v>
      </c>
      <c r="G9799" t="str">
        <f>"05-519"</f>
        <v>05-519</v>
      </c>
      <c r="H9799" t="str">
        <f>"A"</f>
        <v>A</v>
      </c>
    </row>
    <row r="9800" spans="1:8" x14ac:dyDescent="0.2">
      <c r="A9800" t="str">
        <f t="shared" si="3543"/>
        <v>0625028009</v>
      </c>
      <c r="B9800" t="str">
        <f t="shared" si="3544"/>
        <v>Markus</v>
      </c>
      <c r="C9800" t="str">
        <f t="shared" si="3545"/>
        <v>Lomonosov</v>
      </c>
      <c r="D9800">
        <f>10</f>
        <v>10</v>
      </c>
      <c r="E9800" t="str">
        <f>"08 - S1 - B - 104 - Angela S Adeshina-Morrison"</f>
        <v>08 - S1 - B - 104 - Angela S Adeshina-Morrison</v>
      </c>
      <c r="F9800" t="str">
        <f>"PEER COUN 1"</f>
        <v>PEER COUN 1</v>
      </c>
      <c r="G9800" t="str">
        <f>"05-518"</f>
        <v>05-518</v>
      </c>
      <c r="H9800" t="str">
        <f>"B"</f>
        <v>B</v>
      </c>
    </row>
    <row r="9801" spans="1:8" x14ac:dyDescent="0.2">
      <c r="A9801" t="str">
        <f t="shared" ref="A9801:A9808" si="3546">"0614076532"</f>
        <v>0614076532</v>
      </c>
      <c r="B9801" t="str">
        <f t="shared" ref="B9801:B9808" si="3547">"EMMANUEL"</f>
        <v>EMMANUEL</v>
      </c>
      <c r="C9801" t="str">
        <f t="shared" ref="C9801:C9808" si="3548">"LONDONO"</f>
        <v>LONDONO</v>
      </c>
      <c r="D9801">
        <f>10</f>
        <v>10</v>
      </c>
      <c r="E9801" t="str">
        <f>"04 - S1 - A - 104 - Richard E Dunbar Iii"</f>
        <v>04 - S1 - A - 104 - Richard E Dunbar Iii</v>
      </c>
      <c r="F9801" t="str">
        <f>"WEIGHT TRAIN 1"</f>
        <v>WEIGHT TRAIN 1</v>
      </c>
      <c r="G9801" t="str">
        <f>"05-501"</f>
        <v>05-501</v>
      </c>
      <c r="H9801" t="str">
        <f>"A"</f>
        <v>A</v>
      </c>
    </row>
    <row r="9802" spans="1:8" x14ac:dyDescent="0.2">
      <c r="A9802" t="str">
        <f t="shared" si="3546"/>
        <v>0614076532</v>
      </c>
      <c r="B9802" t="str">
        <f t="shared" si="3547"/>
        <v>EMMANUEL</v>
      </c>
      <c r="C9802" t="str">
        <f t="shared" si="3548"/>
        <v>LONDONO</v>
      </c>
      <c r="D9802">
        <f>10</f>
        <v>10</v>
      </c>
      <c r="E9802" t="str">
        <f>"06 - B - 110 - Jerry S Jiampetti"</f>
        <v>06 - B - 110 - Jerry S Jiampetti</v>
      </c>
      <c r="F9802" t="str">
        <f>"NC STUDY HALL 1"</f>
        <v>NC STUDY HALL 1</v>
      </c>
      <c r="G9802" t="str">
        <f>"17-1751"</f>
        <v>17-1751</v>
      </c>
      <c r="H9802" t="str">
        <f>"B"</f>
        <v>B</v>
      </c>
    </row>
    <row r="9803" spans="1:8" x14ac:dyDescent="0.2">
      <c r="A9803" t="str">
        <f t="shared" si="3546"/>
        <v>0614076532</v>
      </c>
      <c r="B9803" t="str">
        <f t="shared" si="3547"/>
        <v>EMMANUEL</v>
      </c>
      <c r="C9803" t="str">
        <f t="shared" si="3548"/>
        <v>LONDONO</v>
      </c>
      <c r="D9803">
        <f>10</f>
        <v>10</v>
      </c>
      <c r="E9803" t="str">
        <f>"03 - A - 101 - Eva T Rimmer"</f>
        <v>03 - A - 101 - Eva T Rimmer</v>
      </c>
      <c r="F9803" t="str">
        <f>"CRIMINAL JUST OPS 1"</f>
        <v>CRIMINAL JUST OPS 1</v>
      </c>
      <c r="G9803" t="str">
        <f>"05-523"</f>
        <v>05-523</v>
      </c>
      <c r="H9803" t="str">
        <f>"A"</f>
        <v>A</v>
      </c>
    </row>
    <row r="9804" spans="1:8" x14ac:dyDescent="0.2">
      <c r="A9804" t="str">
        <f t="shared" si="3546"/>
        <v>0614076532</v>
      </c>
      <c r="B9804" t="str">
        <f t="shared" si="3547"/>
        <v>EMMANUEL</v>
      </c>
      <c r="C9804" t="str">
        <f t="shared" si="3548"/>
        <v>LONDONO</v>
      </c>
      <c r="D9804">
        <f>10</f>
        <v>10</v>
      </c>
      <c r="E9804" t="str">
        <f>"02 - A - 201 - Jordana K Hass"</f>
        <v>02 - A - 201 - Jordana K Hass</v>
      </c>
      <c r="F9804" t="str">
        <f>"CHEMISTRY 1"</f>
        <v>CHEMISTRY 1</v>
      </c>
      <c r="G9804" t="str">
        <f>"08-807"</f>
        <v>08-807</v>
      </c>
      <c r="H9804" t="str">
        <f>"A"</f>
        <v>A</v>
      </c>
    </row>
    <row r="9805" spans="1:8" x14ac:dyDescent="0.2">
      <c r="A9805" t="str">
        <f t="shared" si="3546"/>
        <v>0614076532</v>
      </c>
      <c r="B9805" t="str">
        <f t="shared" si="3547"/>
        <v>EMMANUEL</v>
      </c>
      <c r="C9805" t="str">
        <f t="shared" si="3548"/>
        <v>LONDONO</v>
      </c>
      <c r="D9805">
        <f>10</f>
        <v>10</v>
      </c>
      <c r="E9805" t="str">
        <f>"07 - B - 102 - Nikiel  Nesbeth"</f>
        <v>07 - B - 102 - Nikiel  Nesbeth</v>
      </c>
      <c r="F9805" t="str">
        <f>"PRE-AICE ENG LIT IG"</f>
        <v>PRE-AICE ENG LIT IG</v>
      </c>
      <c r="G9805" t="str">
        <f>"17-1705"</f>
        <v>17-1705</v>
      </c>
      <c r="H9805" t="str">
        <f>"B"</f>
        <v>B</v>
      </c>
    </row>
    <row r="9806" spans="1:8" x14ac:dyDescent="0.2">
      <c r="A9806" t="str">
        <f t="shared" si="3546"/>
        <v>0614076532</v>
      </c>
      <c r="B9806" t="str">
        <f t="shared" si="3547"/>
        <v>EMMANUEL</v>
      </c>
      <c r="C9806" t="str">
        <f t="shared" si="3548"/>
        <v>LONDONO</v>
      </c>
      <c r="D9806">
        <f>10</f>
        <v>10</v>
      </c>
      <c r="E9806" t="str">
        <f>"05 - B - 102 - Dorothy D Moore"</f>
        <v>05 - B - 102 - Dorothy D Moore</v>
      </c>
      <c r="F9806" t="str">
        <f>"FORC SCI 1 LH"</f>
        <v>FORC SCI 1 LH</v>
      </c>
      <c r="G9806" t="str">
        <f>"08-803"</f>
        <v>08-803</v>
      </c>
      <c r="H9806" t="str">
        <f>"B"</f>
        <v>B</v>
      </c>
    </row>
    <row r="9807" spans="1:8" x14ac:dyDescent="0.2">
      <c r="A9807" t="str">
        <f t="shared" si="3546"/>
        <v>0614076532</v>
      </c>
      <c r="B9807" t="str">
        <f t="shared" si="3547"/>
        <v>EMMANUEL</v>
      </c>
      <c r="C9807" t="str">
        <f t="shared" si="3548"/>
        <v>LONDONO</v>
      </c>
      <c r="D9807">
        <f>10</f>
        <v>10</v>
      </c>
      <c r="E9807" t="str">
        <f>"01 - A - 101 - Taraneh C Abreu"</f>
        <v>01 - A - 101 - Taraneh C Abreu</v>
      </c>
      <c r="F9807" t="str">
        <f>"INTENS READ 2"</f>
        <v>INTENS READ 2</v>
      </c>
      <c r="G9807" t="str">
        <f>"17-1713"</f>
        <v>17-1713</v>
      </c>
      <c r="H9807" t="str">
        <f>"A"</f>
        <v>A</v>
      </c>
    </row>
    <row r="9808" spans="1:8" x14ac:dyDescent="0.2">
      <c r="A9808" t="str">
        <f t="shared" si="3546"/>
        <v>0614076532</v>
      </c>
      <c r="B9808" t="str">
        <f t="shared" si="3547"/>
        <v>EMMANUEL</v>
      </c>
      <c r="C9808" t="str">
        <f t="shared" si="3548"/>
        <v>LONDONO</v>
      </c>
      <c r="D9808">
        <f>10</f>
        <v>10</v>
      </c>
      <c r="E9808" t="str">
        <f>"08 - B - 107 - Dayna M Foster"</f>
        <v>08 - B - 107 - Dayna M Foster</v>
      </c>
      <c r="F9808" t="str">
        <f>"ALGEBRA 2"</f>
        <v>ALGEBRA 2</v>
      </c>
      <c r="G9808" t="str">
        <f>"21-2109"</f>
        <v>21-2109</v>
      </c>
      <c r="H9808" t="str">
        <f>"B"</f>
        <v>B</v>
      </c>
    </row>
    <row r="9809" spans="1:8" x14ac:dyDescent="0.2">
      <c r="A9809" t="str">
        <f t="shared" ref="A9809:A9816" si="3549">"0614090759"</f>
        <v>0614090759</v>
      </c>
      <c r="B9809" t="str">
        <f t="shared" ref="B9809:B9816" si="3550">"KAILANI"</f>
        <v>KAILANI</v>
      </c>
      <c r="C9809" t="str">
        <f t="shared" ref="C9809:C9816" si="3551">"LOPES"</f>
        <v>LOPES</v>
      </c>
      <c r="D9809">
        <f>11</f>
        <v>11</v>
      </c>
      <c r="E9809" t="str">
        <f>"04 - A - 101 - Brian M Fitzgerald"</f>
        <v>04 - A - 101 - Brian M Fitzgerald</v>
      </c>
      <c r="F9809" t="str">
        <f>"DRAW 2"</f>
        <v>DRAW 2</v>
      </c>
      <c r="G9809" t="str">
        <f>"09-908"</f>
        <v>09-908</v>
      </c>
      <c r="H9809" t="str">
        <f>"A"</f>
        <v>A</v>
      </c>
    </row>
    <row r="9810" spans="1:8" x14ac:dyDescent="0.2">
      <c r="A9810" t="str">
        <f t="shared" si="3549"/>
        <v>0614090759</v>
      </c>
      <c r="B9810" t="str">
        <f t="shared" si="3550"/>
        <v>KAILANI</v>
      </c>
      <c r="C9810" t="str">
        <f t="shared" si="3551"/>
        <v>LOPES</v>
      </c>
      <c r="D9810">
        <f>11</f>
        <v>11</v>
      </c>
      <c r="E9810" t="str">
        <f>"06 - B - 002 - Kyle  Robbins"</f>
        <v>06 - B - 002 - Kyle  Robbins</v>
      </c>
      <c r="F9810" t="str">
        <f>"US HISTORY HON"</f>
        <v>US HISTORY HON</v>
      </c>
      <c r="G9810" t="str">
        <f>"17-1745"</f>
        <v>17-1745</v>
      </c>
      <c r="H9810" t="str">
        <f>"B"</f>
        <v>B</v>
      </c>
    </row>
    <row r="9811" spans="1:8" x14ac:dyDescent="0.2">
      <c r="A9811" t="str">
        <f t="shared" si="3549"/>
        <v>0614090759</v>
      </c>
      <c r="B9811" t="str">
        <f t="shared" si="3550"/>
        <v>KAILANI</v>
      </c>
      <c r="C9811" t="str">
        <f t="shared" si="3551"/>
        <v>LOPES</v>
      </c>
      <c r="D9811">
        <f>11</f>
        <v>11</v>
      </c>
      <c r="E9811" t="str">
        <f>"03 - A - 103 - Jordana K Hass"</f>
        <v>03 - A - 103 - Jordana K Hass</v>
      </c>
      <c r="F9811" t="str">
        <f>"CHEMISTRY 1"</f>
        <v>CHEMISTRY 1</v>
      </c>
      <c r="G9811" t="str">
        <f>"08-807"</f>
        <v>08-807</v>
      </c>
      <c r="H9811" t="str">
        <f>"A"</f>
        <v>A</v>
      </c>
    </row>
    <row r="9812" spans="1:8" x14ac:dyDescent="0.2">
      <c r="A9812" t="str">
        <f t="shared" si="3549"/>
        <v>0614090759</v>
      </c>
      <c r="B9812" t="str">
        <f t="shared" si="3550"/>
        <v>KAILANI</v>
      </c>
      <c r="C9812" t="str">
        <f t="shared" si="3551"/>
        <v>LOPES</v>
      </c>
      <c r="D9812">
        <f>11</f>
        <v>11</v>
      </c>
      <c r="E9812" t="str">
        <f>"02 - A - 106 - Heidi M Knopp"</f>
        <v>02 - A - 106 - Heidi M Knopp</v>
      </c>
      <c r="F9812" t="str">
        <f>"NC STUDY HALL 1"</f>
        <v>NC STUDY HALL 1</v>
      </c>
      <c r="G9812" t="str">
        <f>"17-1735"</f>
        <v>17-1735</v>
      </c>
      <c r="H9812" t="str">
        <f>"A"</f>
        <v>A</v>
      </c>
    </row>
    <row r="9813" spans="1:8" x14ac:dyDescent="0.2">
      <c r="A9813" t="str">
        <f t="shared" si="3549"/>
        <v>0614090759</v>
      </c>
      <c r="B9813" t="str">
        <f t="shared" si="3550"/>
        <v>KAILANI</v>
      </c>
      <c r="C9813" t="str">
        <f t="shared" si="3551"/>
        <v>LOPES</v>
      </c>
      <c r="D9813">
        <f>11</f>
        <v>11</v>
      </c>
      <c r="E9813" t="str">
        <f>"07 - B - 102 - Thomas G Handwerg"</f>
        <v>07 - B - 102 - Thomas G Handwerg</v>
      </c>
      <c r="F9813" t="str">
        <f>"PROB STAT W/APPS HON"</f>
        <v>PROB STAT W/APPS HON</v>
      </c>
      <c r="G9813" t="str">
        <f>"21-2146"</f>
        <v>21-2146</v>
      </c>
      <c r="H9813" t="str">
        <f>"B"</f>
        <v>B</v>
      </c>
    </row>
    <row r="9814" spans="1:8" x14ac:dyDescent="0.2">
      <c r="A9814" t="str">
        <f t="shared" si="3549"/>
        <v>0614090759</v>
      </c>
      <c r="B9814" t="str">
        <f t="shared" si="3550"/>
        <v>KAILANI</v>
      </c>
      <c r="C9814" t="str">
        <f t="shared" si="3551"/>
        <v>LOPES</v>
      </c>
      <c r="D9814">
        <f>11</f>
        <v>11</v>
      </c>
      <c r="E9814" t="str">
        <f>"05 - B - 103 - Tina M Jaramillo"</f>
        <v>05 - B - 103 - Tina M Jaramillo</v>
      </c>
      <c r="F9814" t="str">
        <f>"AP ENG COMPO"</f>
        <v>AP ENG COMPO</v>
      </c>
      <c r="G9814" t="str">
        <f>"17-1706"</f>
        <v>17-1706</v>
      </c>
      <c r="H9814" t="str">
        <f>"B"</f>
        <v>B</v>
      </c>
    </row>
    <row r="9815" spans="1:8" x14ac:dyDescent="0.2">
      <c r="A9815" t="str">
        <f t="shared" si="3549"/>
        <v>0614090759</v>
      </c>
      <c r="B9815" t="str">
        <f t="shared" si="3550"/>
        <v>KAILANI</v>
      </c>
      <c r="C9815" t="str">
        <f t="shared" si="3551"/>
        <v>LOPES</v>
      </c>
      <c r="D9815">
        <f>11</f>
        <v>11</v>
      </c>
      <c r="E9815" t="str">
        <f>"01 - A - 101 - Lisa J London"</f>
        <v>01 - A - 101 - Lisa J London</v>
      </c>
      <c r="F9815" t="str">
        <f>"AP CAPSTONE SEMINAR"</f>
        <v>AP CAPSTONE SEMINAR</v>
      </c>
      <c r="G9815" t="str">
        <f>"17-1714"</f>
        <v>17-1714</v>
      </c>
      <c r="H9815" t="str">
        <f>"A"</f>
        <v>A</v>
      </c>
    </row>
    <row r="9816" spans="1:8" x14ac:dyDescent="0.2">
      <c r="A9816" t="str">
        <f t="shared" si="3549"/>
        <v>0614090759</v>
      </c>
      <c r="B9816" t="str">
        <f t="shared" si="3550"/>
        <v>KAILANI</v>
      </c>
      <c r="C9816" t="str">
        <f t="shared" si="3551"/>
        <v>LOPES</v>
      </c>
      <c r="D9816">
        <f>11</f>
        <v>11</v>
      </c>
      <c r="E9816" t="str">
        <f>"08 - B - 101 - Jordana K Hass"</f>
        <v>08 - B - 101 - Jordana K Hass</v>
      </c>
      <c r="F9816" t="str">
        <f>"AICE INFO TECH 1 AS"</f>
        <v>AICE INFO TECH 1 AS</v>
      </c>
      <c r="G9816" t="str">
        <f>"08-807"</f>
        <v>08-807</v>
      </c>
      <c r="H9816" t="str">
        <f>"B"</f>
        <v>B</v>
      </c>
    </row>
    <row r="9817" spans="1:8" x14ac:dyDescent="0.2">
      <c r="A9817" t="str">
        <f t="shared" ref="A9817:A9824" si="3552">"0624054555"</f>
        <v>0624054555</v>
      </c>
      <c r="B9817" t="str">
        <f t="shared" ref="B9817:B9824" si="3553">"DAVI"</f>
        <v>DAVI</v>
      </c>
      <c r="C9817" t="str">
        <f t="shared" ref="C9817:C9824" si="3554">"LOPES-DEFREITAS"</f>
        <v>LOPES-DEFREITAS</v>
      </c>
      <c r="D9817">
        <f>11</f>
        <v>11</v>
      </c>
      <c r="E9817" t="str">
        <f>"04 - A - 102 - Elizabeth Ellen  Moran"</f>
        <v>04 - A - 102 - Elizabeth Ellen  Moran</v>
      </c>
      <c r="F9817" t="str">
        <f>"US HISTORY"</f>
        <v>US HISTORY</v>
      </c>
      <c r="G9817" t="str">
        <f>"17-1752"</f>
        <v>17-1752</v>
      </c>
      <c r="H9817" t="str">
        <f>"A"</f>
        <v>A</v>
      </c>
    </row>
    <row r="9818" spans="1:8" x14ac:dyDescent="0.2">
      <c r="A9818" t="str">
        <f t="shared" si="3552"/>
        <v>0624054555</v>
      </c>
      <c r="B9818" t="str">
        <f t="shared" si="3553"/>
        <v>DAVI</v>
      </c>
      <c r="C9818" t="str">
        <f t="shared" si="3554"/>
        <v>LOPES-DEFREITAS</v>
      </c>
      <c r="D9818">
        <f>11</f>
        <v>11</v>
      </c>
      <c r="E9818" t="str">
        <f>"06 - B - 202 - Brian M Fitzgerald"</f>
        <v>06 - B - 202 - Brian M Fitzgerald</v>
      </c>
      <c r="F9818" t="str">
        <f>"DRAW 1"</f>
        <v>DRAW 1</v>
      </c>
      <c r="G9818" t="str">
        <f>"09-908"</f>
        <v>09-908</v>
      </c>
      <c r="H9818" t="str">
        <f>"B"</f>
        <v>B</v>
      </c>
    </row>
    <row r="9819" spans="1:8" x14ac:dyDescent="0.2">
      <c r="A9819" t="str">
        <f t="shared" si="3552"/>
        <v>0624054555</v>
      </c>
      <c r="B9819" t="str">
        <f t="shared" si="3553"/>
        <v>DAVI</v>
      </c>
      <c r="C9819" t="str">
        <f t="shared" si="3554"/>
        <v>LOPES-DEFREITAS</v>
      </c>
      <c r="D9819">
        <f>11</f>
        <v>11</v>
      </c>
      <c r="E9819" t="str">
        <f>"03 - A - 102 - Lisa  Quinn"</f>
        <v>03 - A - 102 - Lisa  Quinn</v>
      </c>
      <c r="F9819" t="str">
        <f>"ENG 3"</f>
        <v>ENG 3</v>
      </c>
      <c r="G9819" t="str">
        <f>"17-1725"</f>
        <v>17-1725</v>
      </c>
      <c r="H9819" t="str">
        <f>"A"</f>
        <v>A</v>
      </c>
    </row>
    <row r="9820" spans="1:8" x14ac:dyDescent="0.2">
      <c r="A9820" t="str">
        <f t="shared" si="3552"/>
        <v>0624054555</v>
      </c>
      <c r="B9820" t="str">
        <f t="shared" si="3553"/>
        <v>DAVI</v>
      </c>
      <c r="C9820" t="str">
        <f t="shared" si="3554"/>
        <v>LOPES-DEFREITAS</v>
      </c>
      <c r="D9820">
        <f>11</f>
        <v>11</v>
      </c>
      <c r="E9820" t="str">
        <f>"02 - A - 103 - Kelly N Panza"</f>
        <v>02 - A - 103 - Kelly N Panza</v>
      </c>
      <c r="F9820" t="str">
        <f>"NC STUDY HALL 1"</f>
        <v>NC STUDY HALL 1</v>
      </c>
      <c r="G9820" t="str">
        <f>"17-1753"</f>
        <v>17-1753</v>
      </c>
      <c r="H9820" t="str">
        <f>"A"</f>
        <v>A</v>
      </c>
    </row>
    <row r="9821" spans="1:8" x14ac:dyDescent="0.2">
      <c r="A9821" t="str">
        <f t="shared" si="3552"/>
        <v>0624054555</v>
      </c>
      <c r="B9821" t="str">
        <f t="shared" si="3553"/>
        <v>DAVI</v>
      </c>
      <c r="C9821" t="str">
        <f t="shared" si="3554"/>
        <v>LOPES-DEFREITAS</v>
      </c>
      <c r="D9821">
        <f>11</f>
        <v>11</v>
      </c>
      <c r="E9821" t="str">
        <f>"07 - S1 - B - 103 - Leslie J Barton"</f>
        <v>07 - S1 - B - 103 - Leslie J Barton</v>
      </c>
      <c r="F9821" t="str">
        <f>"TEAM SPORTS 1"</f>
        <v>TEAM SPORTS 1</v>
      </c>
      <c r="G9821" t="str">
        <f>"04-254"</f>
        <v>04-254</v>
      </c>
      <c r="H9821" t="str">
        <f>"B"</f>
        <v>B</v>
      </c>
    </row>
    <row r="9822" spans="1:8" x14ac:dyDescent="0.2">
      <c r="A9822" t="str">
        <f t="shared" si="3552"/>
        <v>0624054555</v>
      </c>
      <c r="B9822" t="str">
        <f t="shared" si="3553"/>
        <v>DAVI</v>
      </c>
      <c r="C9822" t="str">
        <f t="shared" si="3554"/>
        <v>LOPES-DEFREITAS</v>
      </c>
      <c r="D9822">
        <f>11</f>
        <v>11</v>
      </c>
      <c r="E9822" t="str">
        <f>"05 - B - 106 - Fernando  Vega-Cid"</f>
        <v>05 - B - 106 - Fernando  Vega-Cid</v>
      </c>
      <c r="F9822" t="str">
        <f>"GEOMETRY"</f>
        <v>GEOMETRY</v>
      </c>
      <c r="G9822" t="str">
        <f>"21-2163"</f>
        <v>21-2163</v>
      </c>
      <c r="H9822" t="str">
        <f>"B"</f>
        <v>B</v>
      </c>
    </row>
    <row r="9823" spans="1:8" x14ac:dyDescent="0.2">
      <c r="A9823" t="str">
        <f t="shared" si="3552"/>
        <v>0624054555</v>
      </c>
      <c r="B9823" t="str">
        <f t="shared" si="3553"/>
        <v>DAVI</v>
      </c>
      <c r="C9823" t="str">
        <f t="shared" si="3554"/>
        <v>LOPES-DEFREITAS</v>
      </c>
      <c r="D9823">
        <f>11</f>
        <v>11</v>
      </c>
      <c r="E9823" t="str">
        <f>"01 - A - 101 - Nahum  Saint-Preux"</f>
        <v>01 - A - 101 - Nahum  Saint-Preux</v>
      </c>
      <c r="F9823" t="str">
        <f>"INTENS READ 3"</f>
        <v>INTENS READ 3</v>
      </c>
      <c r="G9823" t="str">
        <f>"17-1712"</f>
        <v>17-1712</v>
      </c>
      <c r="H9823" t="str">
        <f>"A"</f>
        <v>A</v>
      </c>
    </row>
    <row r="9824" spans="1:8" x14ac:dyDescent="0.2">
      <c r="A9824" t="str">
        <f t="shared" si="3552"/>
        <v>0624054555</v>
      </c>
      <c r="B9824" t="str">
        <f t="shared" si="3553"/>
        <v>DAVI</v>
      </c>
      <c r="C9824" t="str">
        <f t="shared" si="3554"/>
        <v>LOPES-DEFREITAS</v>
      </c>
      <c r="D9824">
        <f>11</f>
        <v>11</v>
      </c>
      <c r="E9824" t="str">
        <f>"08 - S1 - B - 105 - James H Mccann"</f>
        <v>08 - S1 - B - 105 - James H Mccann</v>
      </c>
      <c r="F9824" t="str">
        <f>"PERS FIN &amp; MON MGT H"</f>
        <v>PERS FIN &amp; MON MGT H</v>
      </c>
      <c r="G9824" t="str">
        <f>"17-1716"</f>
        <v>17-1716</v>
      </c>
      <c r="H9824" t="str">
        <f>"B"</f>
        <v>B</v>
      </c>
    </row>
    <row r="9825" spans="1:8" x14ac:dyDescent="0.2">
      <c r="A9825" t="str">
        <f t="shared" ref="A9825:A9832" si="3555">"0620059706"</f>
        <v>0620059706</v>
      </c>
      <c r="B9825" t="str">
        <f t="shared" ref="B9825:B9832" si="3556">"ANALIA"</f>
        <v>ANALIA</v>
      </c>
      <c r="C9825" t="str">
        <f t="shared" ref="C9825:C9856" si="3557">"LOPEZ"</f>
        <v>LOPEZ</v>
      </c>
      <c r="D9825">
        <f>10</f>
        <v>10</v>
      </c>
      <c r="E9825" t="str">
        <f>"04 - A - 105 - Carol S Moore"</f>
        <v>04 - A - 105 - Carol S Moore</v>
      </c>
      <c r="F9825" t="str">
        <f>"PRE-AICE WRLD HST IG"</f>
        <v>PRE-AICE WRLD HST IG</v>
      </c>
      <c r="G9825" t="str">
        <f>"17-1733"</f>
        <v>17-1733</v>
      </c>
      <c r="H9825" t="str">
        <f>"A"</f>
        <v>A</v>
      </c>
    </row>
    <row r="9826" spans="1:8" x14ac:dyDescent="0.2">
      <c r="A9826" t="str">
        <f t="shared" si="3555"/>
        <v>0620059706</v>
      </c>
      <c r="B9826" t="str">
        <f t="shared" si="3556"/>
        <v>ANALIA</v>
      </c>
      <c r="C9826" t="str">
        <f t="shared" si="3557"/>
        <v>LOPEZ</v>
      </c>
      <c r="D9826">
        <f>10</f>
        <v>10</v>
      </c>
      <c r="E9826" t="str">
        <f>"06 - B - 110 - Jerry S Jiampetti"</f>
        <v>06 - B - 110 - Jerry S Jiampetti</v>
      </c>
      <c r="F9826" t="str">
        <f>"NC STUDY HALL 1"</f>
        <v>NC STUDY HALL 1</v>
      </c>
      <c r="G9826" t="str">
        <f>"17-1751"</f>
        <v>17-1751</v>
      </c>
      <c r="H9826" t="str">
        <f>"B"</f>
        <v>B</v>
      </c>
    </row>
    <row r="9827" spans="1:8" x14ac:dyDescent="0.2">
      <c r="A9827" t="str">
        <f t="shared" si="3555"/>
        <v>0620059706</v>
      </c>
      <c r="B9827" t="str">
        <f t="shared" si="3556"/>
        <v>ANALIA</v>
      </c>
      <c r="C9827" t="str">
        <f t="shared" si="3557"/>
        <v>LOPEZ</v>
      </c>
      <c r="D9827">
        <f>10</f>
        <v>10</v>
      </c>
      <c r="E9827" t="str">
        <f>"03 - A - 002 - Nikiel  Nesbeth"</f>
        <v>03 - A - 002 - Nikiel  Nesbeth</v>
      </c>
      <c r="F9827" t="str">
        <f>"PRE-AICE ENG LIT IG"</f>
        <v>PRE-AICE ENG LIT IG</v>
      </c>
      <c r="G9827" t="str">
        <f>"17-1705"</f>
        <v>17-1705</v>
      </c>
      <c r="H9827" t="str">
        <f>"A"</f>
        <v>A</v>
      </c>
    </row>
    <row r="9828" spans="1:8" x14ac:dyDescent="0.2">
      <c r="A9828" t="str">
        <f t="shared" si="3555"/>
        <v>0620059706</v>
      </c>
      <c r="B9828" t="str">
        <f t="shared" si="3556"/>
        <v>ANALIA</v>
      </c>
      <c r="C9828" t="str">
        <f t="shared" si="3557"/>
        <v>LOPEZ</v>
      </c>
      <c r="D9828">
        <f>10</f>
        <v>10</v>
      </c>
      <c r="E9828" t="str">
        <f>"02 - A - 105 - Semra  Bahadir"</f>
        <v>02 - A - 105 - Semra  Bahadir</v>
      </c>
      <c r="F9828" t="str">
        <f>"ALGEBRA 2"</f>
        <v>ALGEBRA 2</v>
      </c>
      <c r="G9828" t="str">
        <f>"21-2107"</f>
        <v>21-2107</v>
      </c>
      <c r="H9828" t="str">
        <f>"A"</f>
        <v>A</v>
      </c>
    </row>
    <row r="9829" spans="1:8" x14ac:dyDescent="0.2">
      <c r="A9829" t="str">
        <f t="shared" si="3555"/>
        <v>0620059706</v>
      </c>
      <c r="B9829" t="str">
        <f t="shared" si="3556"/>
        <v>ANALIA</v>
      </c>
      <c r="C9829" t="str">
        <f t="shared" si="3557"/>
        <v>LOPEZ</v>
      </c>
      <c r="D9829">
        <f>10</f>
        <v>10</v>
      </c>
      <c r="E9829" t="str">
        <f>"07 - B - 204 - Scott A Dethloff"</f>
        <v>07 - B - 204 - Scott A Dethloff</v>
      </c>
      <c r="F9829" t="str">
        <f>"CHEMISTRY 1"</f>
        <v>CHEMISTRY 1</v>
      </c>
      <c r="G9829" t="str">
        <f>"08-812"</f>
        <v>08-812</v>
      </c>
      <c r="H9829" t="str">
        <f>"B"</f>
        <v>B</v>
      </c>
    </row>
    <row r="9830" spans="1:8" x14ac:dyDescent="0.2">
      <c r="A9830" t="str">
        <f t="shared" si="3555"/>
        <v>0620059706</v>
      </c>
      <c r="B9830" t="str">
        <f t="shared" si="3556"/>
        <v>ANALIA</v>
      </c>
      <c r="C9830" t="str">
        <f t="shared" si="3557"/>
        <v>LOPEZ</v>
      </c>
      <c r="D9830">
        <f>10</f>
        <v>10</v>
      </c>
      <c r="E9830" t="str">
        <f>"05 - B - 104 - Joe  Kilpatrick Jr"</f>
        <v>05 - B - 104 - Joe  Kilpatrick Jr</v>
      </c>
      <c r="F9830" t="str">
        <f>"PRE-AICE SPAN 1 IG"</f>
        <v>PRE-AICE SPAN 1 IG</v>
      </c>
      <c r="G9830" t="str">
        <f>"09-912"</f>
        <v>09-912</v>
      </c>
      <c r="H9830" t="str">
        <f>"B"</f>
        <v>B</v>
      </c>
    </row>
    <row r="9831" spans="1:8" x14ac:dyDescent="0.2">
      <c r="A9831" t="str">
        <f t="shared" si="3555"/>
        <v>0620059706</v>
      </c>
      <c r="B9831" t="str">
        <f t="shared" si="3556"/>
        <v>ANALIA</v>
      </c>
      <c r="C9831" t="str">
        <f t="shared" si="3557"/>
        <v>LOPEZ</v>
      </c>
      <c r="D9831">
        <f>10</f>
        <v>10</v>
      </c>
      <c r="E9831" t="str">
        <f>"01 - A - 101 - Daniel S Katz"</f>
        <v>01 - A - 101 - Daniel S Katz</v>
      </c>
      <c r="F9831" t="str">
        <f>"EXEC INTERN 3 LH"</f>
        <v>EXEC INTERN 3 LH</v>
      </c>
      <c r="G9831" t="str">
        <f>"21-2156"</f>
        <v>21-2156</v>
      </c>
      <c r="H9831" t="str">
        <f>"A"</f>
        <v>A</v>
      </c>
    </row>
    <row r="9832" spans="1:8" x14ac:dyDescent="0.2">
      <c r="A9832" t="str">
        <f t="shared" si="3555"/>
        <v>0620059706</v>
      </c>
      <c r="B9832" t="str">
        <f t="shared" si="3556"/>
        <v>ANALIA</v>
      </c>
      <c r="C9832" t="str">
        <f t="shared" si="3557"/>
        <v>LOPEZ</v>
      </c>
      <c r="D9832">
        <f>10</f>
        <v>10</v>
      </c>
      <c r="E9832" t="str">
        <f>"08 - B - 201 - Tina M Jaramillo"</f>
        <v>08 - B - 201 - Tina M Jaramillo</v>
      </c>
      <c r="F9832" t="str">
        <f>"CREATIVE WRIT 3 HON"</f>
        <v>CREATIVE WRIT 3 HON</v>
      </c>
      <c r="G9832" t="str">
        <f>"17-1706"</f>
        <v>17-1706</v>
      </c>
      <c r="H9832" t="str">
        <f>"B"</f>
        <v>B</v>
      </c>
    </row>
    <row r="9833" spans="1:8" x14ac:dyDescent="0.2">
      <c r="A9833" t="str">
        <f t="shared" ref="A9833:A9840" si="3558">"0615011136"</f>
        <v>0615011136</v>
      </c>
      <c r="B9833" t="str">
        <f t="shared" ref="B9833:B9840" si="3559">"ANDREA"</f>
        <v>ANDREA</v>
      </c>
      <c r="C9833" t="str">
        <f t="shared" si="3557"/>
        <v>LOPEZ</v>
      </c>
      <c r="D9833">
        <f>11</f>
        <v>11</v>
      </c>
      <c r="E9833" t="str">
        <f>"04 - A - 101 - Jerry S Jiampetti"</f>
        <v>04 - A - 101 - Jerry S Jiampetti</v>
      </c>
      <c r="F9833" t="str">
        <f>"AICE U.S. HIST 1 AS"</f>
        <v>AICE U.S. HIST 1 AS</v>
      </c>
      <c r="G9833" t="str">
        <f>"17-1751"</f>
        <v>17-1751</v>
      </c>
      <c r="H9833" t="str">
        <f>"A"</f>
        <v>A</v>
      </c>
    </row>
    <row r="9834" spans="1:8" x14ac:dyDescent="0.2">
      <c r="A9834" t="str">
        <f t="shared" si="3558"/>
        <v>0615011136</v>
      </c>
      <c r="B9834" t="str">
        <f t="shared" si="3559"/>
        <v>ANDREA</v>
      </c>
      <c r="C9834" t="str">
        <f t="shared" si="3557"/>
        <v>LOPEZ</v>
      </c>
      <c r="D9834">
        <f>11</f>
        <v>11</v>
      </c>
      <c r="E9834" t="str">
        <f>"06 - B - 104 - Brandy N Zdenek"</f>
        <v>06 - B - 104 - Brandy N Zdenek</v>
      </c>
      <c r="F9834" t="str">
        <f>"AICE ENG LANG 2 AL"</f>
        <v>AICE ENG LANG 2 AL</v>
      </c>
      <c r="G9834" t="str">
        <f>"17-1704"</f>
        <v>17-1704</v>
      </c>
      <c r="H9834" t="str">
        <f>"B"</f>
        <v>B</v>
      </c>
    </row>
    <row r="9835" spans="1:8" x14ac:dyDescent="0.2">
      <c r="A9835" t="str">
        <f t="shared" si="3558"/>
        <v>0615011136</v>
      </c>
      <c r="B9835" t="str">
        <f t="shared" si="3559"/>
        <v>ANDREA</v>
      </c>
      <c r="C9835" t="str">
        <f t="shared" si="3557"/>
        <v>LOPEZ</v>
      </c>
      <c r="D9835">
        <f>11</f>
        <v>11</v>
      </c>
      <c r="E9835" t="str">
        <f>"03 - A - 202 - Jeanne M Bermudez"</f>
        <v>03 - A - 202 - Jeanne M Bermudez</v>
      </c>
      <c r="F9835" t="str">
        <f>"PHYSICS 1 HON"</f>
        <v>PHYSICS 1 HON</v>
      </c>
      <c r="G9835" t="str">
        <f>"21-2141"</f>
        <v>21-2141</v>
      </c>
      <c r="H9835" t="str">
        <f>"A"</f>
        <v>A</v>
      </c>
    </row>
    <row r="9836" spans="1:8" x14ac:dyDescent="0.2">
      <c r="A9836" t="str">
        <f t="shared" si="3558"/>
        <v>0615011136</v>
      </c>
      <c r="B9836" t="str">
        <f t="shared" si="3559"/>
        <v>ANDREA</v>
      </c>
      <c r="C9836" t="str">
        <f t="shared" si="3557"/>
        <v>LOPEZ</v>
      </c>
      <c r="D9836">
        <f>11</f>
        <v>11</v>
      </c>
      <c r="E9836" t="str">
        <f>"02 - A - 114 - Eva T Rimmer"</f>
        <v>02 - A - 114 - Eva T Rimmer</v>
      </c>
      <c r="F9836" t="str">
        <f>"NC STUDY HALL 1"</f>
        <v>NC STUDY HALL 1</v>
      </c>
      <c r="G9836" t="str">
        <f>"05-523"</f>
        <v>05-523</v>
      </c>
      <c r="H9836" t="str">
        <f>"A"</f>
        <v>A</v>
      </c>
    </row>
    <row r="9837" spans="1:8" x14ac:dyDescent="0.2">
      <c r="A9837" t="str">
        <f t="shared" si="3558"/>
        <v>0615011136</v>
      </c>
      <c r="B9837" t="str">
        <f t="shared" si="3559"/>
        <v>ANDREA</v>
      </c>
      <c r="C9837" t="str">
        <f t="shared" si="3557"/>
        <v>LOPEZ</v>
      </c>
      <c r="D9837">
        <f>11</f>
        <v>11</v>
      </c>
      <c r="E9837" t="str">
        <f>"07 - B - 107 - Semra  Bahadir"</f>
        <v>07 - B - 107 - Semra  Bahadir</v>
      </c>
      <c r="F9837" t="str">
        <f>"MATH COLL ALGEBRA"</f>
        <v>MATH COLL ALGEBRA</v>
      </c>
      <c r="G9837" t="str">
        <f>"21-2107"</f>
        <v>21-2107</v>
      </c>
      <c r="H9837" t="str">
        <f>"B"</f>
        <v>B</v>
      </c>
    </row>
    <row r="9838" spans="1:8" x14ac:dyDescent="0.2">
      <c r="A9838" t="str">
        <f t="shared" si="3558"/>
        <v>0615011136</v>
      </c>
      <c r="B9838" t="str">
        <f t="shared" si="3559"/>
        <v>ANDREA</v>
      </c>
      <c r="C9838" t="str">
        <f t="shared" si="3557"/>
        <v>LOPEZ</v>
      </c>
      <c r="D9838">
        <f>11</f>
        <v>11</v>
      </c>
      <c r="E9838" t="str">
        <f>"05 - B - 102 - Daniel S Katz"</f>
        <v>05 - B - 102 - Daniel S Katz</v>
      </c>
      <c r="F9838" t="str">
        <f>"EXEC INTERN 4 LH"</f>
        <v>EXEC INTERN 4 LH</v>
      </c>
      <c r="G9838" t="str">
        <f>"21-2156"</f>
        <v>21-2156</v>
      </c>
      <c r="H9838" t="str">
        <f>"B"</f>
        <v>B</v>
      </c>
    </row>
    <row r="9839" spans="1:8" x14ac:dyDescent="0.2">
      <c r="A9839" t="str">
        <f t="shared" si="3558"/>
        <v>0615011136</v>
      </c>
      <c r="B9839" t="str">
        <f t="shared" si="3559"/>
        <v>ANDREA</v>
      </c>
      <c r="C9839" t="str">
        <f t="shared" si="3557"/>
        <v>LOPEZ</v>
      </c>
      <c r="D9839">
        <f>11</f>
        <v>11</v>
      </c>
      <c r="E9839" t="str">
        <f>"01 - A - 101 - Lisa J London"</f>
        <v>01 - A - 101 - Lisa J London</v>
      </c>
      <c r="F9839" t="str">
        <f>"AP CAPSTONE SEMINAR"</f>
        <v>AP CAPSTONE SEMINAR</v>
      </c>
      <c r="G9839" t="str">
        <f>"17-1714"</f>
        <v>17-1714</v>
      </c>
      <c r="H9839" t="str">
        <f>"A"</f>
        <v>A</v>
      </c>
    </row>
    <row r="9840" spans="1:8" x14ac:dyDescent="0.2">
      <c r="A9840" t="str">
        <f t="shared" si="3558"/>
        <v>0615011136</v>
      </c>
      <c r="B9840" t="str">
        <f t="shared" si="3559"/>
        <v>ANDREA</v>
      </c>
      <c r="C9840" t="str">
        <f t="shared" si="3557"/>
        <v>LOPEZ</v>
      </c>
      <c r="D9840">
        <f>11</f>
        <v>11</v>
      </c>
      <c r="E9840" t="str">
        <f>"08 - B - 202 - Krystal Marie  Beruty"</f>
        <v>08 - B - 202 - Krystal Marie  Beruty</v>
      </c>
      <c r="F9840" t="str">
        <f>"AICE PSYCH 1 AS"</f>
        <v>AICE PSYCH 1 AS</v>
      </c>
      <c r="G9840" t="str">
        <f>"17-1721"</f>
        <v>17-1721</v>
      </c>
      <c r="H9840" t="str">
        <f>"B"</f>
        <v>B</v>
      </c>
    </row>
    <row r="9841" spans="1:8" x14ac:dyDescent="0.2">
      <c r="A9841" t="str">
        <f t="shared" ref="A9841:A9848" si="3560">"0616016767"</f>
        <v>0616016767</v>
      </c>
      <c r="B9841" t="str">
        <f t="shared" ref="B9841:B9848" si="3561">"BRIANNA"</f>
        <v>BRIANNA</v>
      </c>
      <c r="C9841" t="str">
        <f t="shared" si="3557"/>
        <v>LOPEZ</v>
      </c>
      <c r="D9841">
        <f>10</f>
        <v>10</v>
      </c>
      <c r="E9841" t="str">
        <f>"04 - A - 104 - Courtney E Hambright"</f>
        <v>04 - A - 104 - Courtney E Hambright</v>
      </c>
      <c r="F9841" t="str">
        <f>"AICE ENG LANG AS"</f>
        <v>AICE ENG LANG AS</v>
      </c>
      <c r="G9841" t="str">
        <f>"17-1711"</f>
        <v>17-1711</v>
      </c>
      <c r="H9841" t="str">
        <f>"A"</f>
        <v>A</v>
      </c>
    </row>
    <row r="9842" spans="1:8" x14ac:dyDescent="0.2">
      <c r="A9842" t="str">
        <f t="shared" si="3560"/>
        <v>0616016767</v>
      </c>
      <c r="B9842" t="str">
        <f t="shared" si="3561"/>
        <v>BRIANNA</v>
      </c>
      <c r="C9842" t="str">
        <f t="shared" si="3557"/>
        <v>LOPEZ</v>
      </c>
      <c r="D9842">
        <f>10</f>
        <v>10</v>
      </c>
      <c r="E9842" t="str">
        <f>"06 - B - 115 - Scott A Dethloff"</f>
        <v>06 - B - 115 - Scott A Dethloff</v>
      </c>
      <c r="F9842" t="str">
        <f>"NC STUDY HALL 1"</f>
        <v>NC STUDY HALL 1</v>
      </c>
      <c r="G9842" t="str">
        <f>"08-812"</f>
        <v>08-812</v>
      </c>
      <c r="H9842" t="str">
        <f>"B"</f>
        <v>B</v>
      </c>
    </row>
    <row r="9843" spans="1:8" x14ac:dyDescent="0.2">
      <c r="A9843" t="str">
        <f t="shared" si="3560"/>
        <v>0616016767</v>
      </c>
      <c r="B9843" t="str">
        <f t="shared" si="3561"/>
        <v>BRIANNA</v>
      </c>
      <c r="C9843" t="str">
        <f t="shared" si="3557"/>
        <v>LOPEZ</v>
      </c>
      <c r="D9843">
        <f>10</f>
        <v>10</v>
      </c>
      <c r="E9843" t="str">
        <f>"03 - A - 103 - Kelly N Panza"</f>
        <v>03 - A - 103 - Kelly N Panza</v>
      </c>
      <c r="F9843" t="str">
        <f>"AICE GLBL PERSP 1 AS"</f>
        <v>AICE GLBL PERSP 1 AS</v>
      </c>
      <c r="G9843" t="str">
        <f>"17-1753"</f>
        <v>17-1753</v>
      </c>
      <c r="H9843" t="str">
        <f>"A"</f>
        <v>A</v>
      </c>
    </row>
    <row r="9844" spans="1:8" x14ac:dyDescent="0.2">
      <c r="A9844" t="str">
        <f t="shared" si="3560"/>
        <v>0616016767</v>
      </c>
      <c r="B9844" t="str">
        <f t="shared" si="3561"/>
        <v>BRIANNA</v>
      </c>
      <c r="C9844" t="str">
        <f t="shared" si="3557"/>
        <v>LOPEZ</v>
      </c>
      <c r="D9844">
        <f>10</f>
        <v>10</v>
      </c>
      <c r="E9844" t="str">
        <f>"02 - S1 - A - 101 - Carol S Moore"</f>
        <v>02 - S1 - A - 101 - Carol S Moore</v>
      </c>
      <c r="F9844" t="str">
        <f>"PER CAR SCH DEV 1 LH"</f>
        <v>PER CAR SCH DEV 1 LH</v>
      </c>
      <c r="G9844" t="str">
        <f>"17-1733"</f>
        <v>17-1733</v>
      </c>
      <c r="H9844" t="str">
        <f>"A"</f>
        <v>A</v>
      </c>
    </row>
    <row r="9845" spans="1:8" x14ac:dyDescent="0.2">
      <c r="A9845" t="str">
        <f t="shared" si="3560"/>
        <v>0616016767</v>
      </c>
      <c r="B9845" t="str">
        <f t="shared" si="3561"/>
        <v>BRIANNA</v>
      </c>
      <c r="C9845" t="str">
        <f t="shared" si="3557"/>
        <v>LOPEZ</v>
      </c>
      <c r="D9845">
        <f>10</f>
        <v>10</v>
      </c>
      <c r="E9845" t="str">
        <f>"07 - B - 107 - Brook E Goren"</f>
        <v>07 - B - 107 - Brook E Goren</v>
      </c>
      <c r="F9845" t="str">
        <f>"PRE-AICE MATH 2 IG"</f>
        <v>PRE-AICE MATH 2 IG</v>
      </c>
      <c r="G9845" t="str">
        <f>"21-2158"</f>
        <v>21-2158</v>
      </c>
      <c r="H9845" t="str">
        <f>"B"</f>
        <v>B</v>
      </c>
    </row>
    <row r="9846" spans="1:8" x14ac:dyDescent="0.2">
      <c r="A9846" t="str">
        <f t="shared" si="3560"/>
        <v>0616016767</v>
      </c>
      <c r="B9846" t="str">
        <f t="shared" si="3561"/>
        <v>BRIANNA</v>
      </c>
      <c r="C9846" t="str">
        <f t="shared" si="3557"/>
        <v>LOPEZ</v>
      </c>
      <c r="D9846">
        <f>10</f>
        <v>10</v>
      </c>
      <c r="E9846" t="str">
        <f>"05 - B - 203 - Chrystina M Marchionne"</f>
        <v>05 - B - 203 - Chrystina M Marchionne</v>
      </c>
      <c r="F9846" t="str">
        <f>"AICE MEDIASTUDIES AS"</f>
        <v>AICE MEDIASTUDIES AS</v>
      </c>
      <c r="G9846" t="str">
        <f>"05-520"</f>
        <v>05-520</v>
      </c>
      <c r="H9846" t="str">
        <f>"B"</f>
        <v>B</v>
      </c>
    </row>
    <row r="9847" spans="1:8" x14ac:dyDescent="0.2">
      <c r="A9847" t="str">
        <f t="shared" si="3560"/>
        <v>0616016767</v>
      </c>
      <c r="B9847" t="str">
        <f t="shared" si="3561"/>
        <v>BRIANNA</v>
      </c>
      <c r="C9847" t="str">
        <f t="shared" si="3557"/>
        <v>LOPEZ</v>
      </c>
      <c r="D9847">
        <f>10</f>
        <v>10</v>
      </c>
      <c r="E9847" t="str">
        <f>"01 - A - 101 - Byron G Montenegro"</f>
        <v>01 - A - 101 - Byron G Montenegro</v>
      </c>
      <c r="F9847" t="str">
        <f>"AICE MARINE SCI 1 AS"</f>
        <v>AICE MARINE SCI 1 AS</v>
      </c>
      <c r="G9847" t="str">
        <f>"21-2144"</f>
        <v>21-2144</v>
      </c>
      <c r="H9847" t="str">
        <f>"A"</f>
        <v>A</v>
      </c>
    </row>
    <row r="9848" spans="1:8" x14ac:dyDescent="0.2">
      <c r="A9848" t="str">
        <f t="shared" si="3560"/>
        <v>0616016767</v>
      </c>
      <c r="B9848" t="str">
        <f t="shared" si="3561"/>
        <v>BRIANNA</v>
      </c>
      <c r="C9848" t="str">
        <f t="shared" si="3557"/>
        <v>LOPEZ</v>
      </c>
      <c r="D9848">
        <f>10</f>
        <v>10</v>
      </c>
      <c r="E9848" t="str">
        <f>"08 - B - 103 - Joe  Kilpatrick Jr"</f>
        <v>08 - B - 103 - Joe  Kilpatrick Jr</v>
      </c>
      <c r="F9848" t="str">
        <f>"PRE-AICE SPAN 2 IG"</f>
        <v>PRE-AICE SPAN 2 IG</v>
      </c>
      <c r="G9848" t="str">
        <f>"09-912"</f>
        <v>09-912</v>
      </c>
      <c r="H9848" t="str">
        <f>"B"</f>
        <v>B</v>
      </c>
    </row>
    <row r="9849" spans="1:8" x14ac:dyDescent="0.2">
      <c r="A9849" t="str">
        <f t="shared" ref="A9849:A9856" si="3562">"0616049916"</f>
        <v>0616049916</v>
      </c>
      <c r="B9849" t="str">
        <f t="shared" ref="B9849:B9856" si="3563">"DAVID"</f>
        <v>DAVID</v>
      </c>
      <c r="C9849" t="str">
        <f t="shared" si="3557"/>
        <v>LOPEZ</v>
      </c>
      <c r="D9849">
        <f>12</f>
        <v>12</v>
      </c>
      <c r="E9849" t="str">
        <f>"04 - S1 - A - 106 - Kelly N Panza"</f>
        <v>04 - S1 - A - 106 - Kelly N Panza</v>
      </c>
      <c r="F9849" t="str">
        <f>"US GOVT HON"</f>
        <v>US GOVT HON</v>
      </c>
      <c r="G9849" t="str">
        <f>"17-1753"</f>
        <v>17-1753</v>
      </c>
      <c r="H9849" t="str">
        <f>"A"</f>
        <v>A</v>
      </c>
    </row>
    <row r="9850" spans="1:8" x14ac:dyDescent="0.2">
      <c r="A9850" t="str">
        <f t="shared" si="3562"/>
        <v>0616049916</v>
      </c>
      <c r="B9850" t="str">
        <f t="shared" si="3563"/>
        <v>DAVID</v>
      </c>
      <c r="C9850" t="str">
        <f t="shared" si="3557"/>
        <v>LOPEZ</v>
      </c>
      <c r="D9850">
        <f>12</f>
        <v>12</v>
      </c>
      <c r="E9850" t="str">
        <f>"06 - B - 112 - Lisa  Quinn"</f>
        <v>06 - B - 112 - Lisa  Quinn</v>
      </c>
      <c r="F9850" t="str">
        <f>"NC STUDY HALL 1"</f>
        <v>NC STUDY HALL 1</v>
      </c>
      <c r="G9850" t="str">
        <f>"17-1725"</f>
        <v>17-1725</v>
      </c>
      <c r="H9850" t="str">
        <f>"B"</f>
        <v>B</v>
      </c>
    </row>
    <row r="9851" spans="1:8" x14ac:dyDescent="0.2">
      <c r="A9851" t="str">
        <f t="shared" si="3562"/>
        <v>0616049916</v>
      </c>
      <c r="B9851" t="str">
        <f t="shared" si="3563"/>
        <v>DAVID</v>
      </c>
      <c r="C9851" t="str">
        <f t="shared" si="3557"/>
        <v>LOPEZ</v>
      </c>
      <c r="D9851">
        <f>12</f>
        <v>12</v>
      </c>
      <c r="E9851" t="str">
        <f>"03 - A - 202 - Jeanne M Bermudez"</f>
        <v>03 - A - 202 - Jeanne M Bermudez</v>
      </c>
      <c r="F9851" t="str">
        <f>"PHYSICS 1 HON"</f>
        <v>PHYSICS 1 HON</v>
      </c>
      <c r="G9851" t="str">
        <f>"21-2141"</f>
        <v>21-2141</v>
      </c>
      <c r="H9851" t="str">
        <f>"A"</f>
        <v>A</v>
      </c>
    </row>
    <row r="9852" spans="1:8" x14ac:dyDescent="0.2">
      <c r="A9852" t="str">
        <f t="shared" si="3562"/>
        <v>0616049916</v>
      </c>
      <c r="B9852" t="str">
        <f t="shared" si="3563"/>
        <v>DAVID</v>
      </c>
      <c r="C9852" t="str">
        <f t="shared" si="3557"/>
        <v>LOPEZ</v>
      </c>
      <c r="D9852">
        <f>12</f>
        <v>12</v>
      </c>
      <c r="E9852" t="str">
        <f>"02 - A - 102 - Daniel S Tyson"</f>
        <v>02 - A - 102 - Daniel S Tyson</v>
      </c>
      <c r="F9852" t="str">
        <f>"JROTC NAVAL SCI 4"</f>
        <v>JROTC NAVAL SCI 4</v>
      </c>
      <c r="G9852" t="str">
        <f>"05-510"</f>
        <v>05-510</v>
      </c>
      <c r="H9852" t="str">
        <f>"A"</f>
        <v>A</v>
      </c>
    </row>
    <row r="9853" spans="1:8" x14ac:dyDescent="0.2">
      <c r="A9853" t="str">
        <f t="shared" si="3562"/>
        <v>0616049916</v>
      </c>
      <c r="B9853" t="str">
        <f t="shared" si="3563"/>
        <v>DAVID</v>
      </c>
      <c r="C9853" t="str">
        <f t="shared" si="3557"/>
        <v>LOPEZ</v>
      </c>
      <c r="D9853">
        <f>12</f>
        <v>12</v>
      </c>
      <c r="E9853" t="str">
        <f>"07 - B - 201 - Angela S Adeshina-Morrison"</f>
        <v>07 - B - 201 - Angela S Adeshina-Morrison</v>
      </c>
      <c r="F9853" t="str">
        <f>"BUSINESS OWNER HON"</f>
        <v>BUSINESS OWNER HON</v>
      </c>
      <c r="G9853" t="str">
        <f>"05-518"</f>
        <v>05-518</v>
      </c>
      <c r="H9853" t="str">
        <f>"B"</f>
        <v>B</v>
      </c>
    </row>
    <row r="9854" spans="1:8" x14ac:dyDescent="0.2">
      <c r="A9854" t="str">
        <f t="shared" si="3562"/>
        <v>0616049916</v>
      </c>
      <c r="B9854" t="str">
        <f t="shared" si="3563"/>
        <v>DAVID</v>
      </c>
      <c r="C9854" t="str">
        <f t="shared" si="3557"/>
        <v>LOPEZ</v>
      </c>
      <c r="D9854">
        <f>12</f>
        <v>12</v>
      </c>
      <c r="E9854" t="str">
        <f>"05 - B - 103 - Brandy N Zdenek"</f>
        <v>05 - B - 103 - Brandy N Zdenek</v>
      </c>
      <c r="F9854" t="str">
        <f>"AICE ENG LANG 2 AL"</f>
        <v>AICE ENG LANG 2 AL</v>
      </c>
      <c r="G9854" t="str">
        <f>"17-1704"</f>
        <v>17-1704</v>
      </c>
      <c r="H9854" t="str">
        <f>"B"</f>
        <v>B</v>
      </c>
    </row>
    <row r="9855" spans="1:8" x14ac:dyDescent="0.2">
      <c r="A9855" t="str">
        <f t="shared" si="3562"/>
        <v>0616049916</v>
      </c>
      <c r="B9855" t="str">
        <f t="shared" si="3563"/>
        <v>DAVID</v>
      </c>
      <c r="C9855" t="str">
        <f t="shared" si="3557"/>
        <v>LOPEZ</v>
      </c>
      <c r="D9855">
        <f>12</f>
        <v>12</v>
      </c>
      <c r="E9855" t="str">
        <f>"01 - A - 101 - Thomas G Handwerg"</f>
        <v>01 - A - 101 - Thomas G Handwerg</v>
      </c>
      <c r="F9855" t="str">
        <f>"PROB STAT W/APPS HON"</f>
        <v>PROB STAT W/APPS HON</v>
      </c>
      <c r="G9855" t="str">
        <f>"21-2146"</f>
        <v>21-2146</v>
      </c>
      <c r="H9855" t="str">
        <f>"A"</f>
        <v>A</v>
      </c>
    </row>
    <row r="9856" spans="1:8" x14ac:dyDescent="0.2">
      <c r="A9856" t="str">
        <f t="shared" si="3562"/>
        <v>0616049916</v>
      </c>
      <c r="B9856" t="str">
        <f t="shared" si="3563"/>
        <v>DAVID</v>
      </c>
      <c r="C9856" t="str">
        <f t="shared" si="3557"/>
        <v>LOPEZ</v>
      </c>
      <c r="D9856">
        <f>12</f>
        <v>12</v>
      </c>
      <c r="E9856" t="str">
        <f>"08 - B - 101 - Jordana K Hass"</f>
        <v>08 - B - 101 - Jordana K Hass</v>
      </c>
      <c r="F9856" t="str">
        <f>"AICE INFO TECH 1 AS"</f>
        <v>AICE INFO TECH 1 AS</v>
      </c>
      <c r="G9856" t="str">
        <f>"08-807"</f>
        <v>08-807</v>
      </c>
      <c r="H9856" t="str">
        <f>"B"</f>
        <v>B</v>
      </c>
    </row>
    <row r="9857" spans="1:8" x14ac:dyDescent="0.2">
      <c r="A9857" t="str">
        <f t="shared" ref="A9857:A9864" si="3564">"0616049850"</f>
        <v>0616049850</v>
      </c>
      <c r="B9857" t="str">
        <f t="shared" ref="B9857:B9864" si="3565">"EVA"</f>
        <v>EVA</v>
      </c>
      <c r="C9857" t="str">
        <f t="shared" ref="C9857:C9888" si="3566">"LOPEZ"</f>
        <v>LOPEZ</v>
      </c>
      <c r="D9857">
        <f>11</f>
        <v>11</v>
      </c>
      <c r="E9857" t="str">
        <f>"04 - A - 101 - Brian M Fitzgerald"</f>
        <v>04 - A - 101 - Brian M Fitzgerald</v>
      </c>
      <c r="F9857" t="str">
        <f>"DRAW 2"</f>
        <v>DRAW 2</v>
      </c>
      <c r="G9857" t="str">
        <f>"09-908"</f>
        <v>09-908</v>
      </c>
      <c r="H9857" t="str">
        <f>"A"</f>
        <v>A</v>
      </c>
    </row>
    <row r="9858" spans="1:8" x14ac:dyDescent="0.2">
      <c r="A9858" t="str">
        <f t="shared" si="3564"/>
        <v>0616049850</v>
      </c>
      <c r="B9858" t="str">
        <f t="shared" si="3565"/>
        <v>EVA</v>
      </c>
      <c r="C9858" t="str">
        <f t="shared" si="3566"/>
        <v>LOPEZ</v>
      </c>
      <c r="D9858">
        <f>11</f>
        <v>11</v>
      </c>
      <c r="E9858" t="str">
        <f>"06 - B - 001 - Lourivaldo  Da Silva"</f>
        <v>06 - B - 001 - Lourivaldo  Da Silva</v>
      </c>
      <c r="F9858" t="str">
        <f>"PRE-CALCULUS HON"</f>
        <v>PRE-CALCULUS HON</v>
      </c>
      <c r="G9858" t="str">
        <f>"20-2079"</f>
        <v>20-2079</v>
      </c>
      <c r="H9858" t="str">
        <f>"B"</f>
        <v>B</v>
      </c>
    </row>
    <row r="9859" spans="1:8" x14ac:dyDescent="0.2">
      <c r="A9859" t="str">
        <f t="shared" si="3564"/>
        <v>0616049850</v>
      </c>
      <c r="B9859" t="str">
        <f t="shared" si="3565"/>
        <v>EVA</v>
      </c>
      <c r="C9859" t="str">
        <f t="shared" si="3566"/>
        <v>LOPEZ</v>
      </c>
      <c r="D9859">
        <f>11</f>
        <v>11</v>
      </c>
      <c r="E9859" t="str">
        <f>"03 - A - 103 - Jordana K Hass"</f>
        <v>03 - A - 103 - Jordana K Hass</v>
      </c>
      <c r="F9859" t="str">
        <f>"CHEMISTRY 1"</f>
        <v>CHEMISTRY 1</v>
      </c>
      <c r="G9859" t="str">
        <f>"08-807"</f>
        <v>08-807</v>
      </c>
      <c r="H9859" t="str">
        <f>"A"</f>
        <v>A</v>
      </c>
    </row>
    <row r="9860" spans="1:8" x14ac:dyDescent="0.2">
      <c r="A9860" t="str">
        <f t="shared" si="3564"/>
        <v>0616049850</v>
      </c>
      <c r="B9860" t="str">
        <f t="shared" si="3565"/>
        <v>EVA</v>
      </c>
      <c r="C9860" t="str">
        <f t="shared" si="3566"/>
        <v>LOPEZ</v>
      </c>
      <c r="D9860">
        <f>11</f>
        <v>11</v>
      </c>
      <c r="E9860" t="str">
        <f>"02 - A - 112 - Brandy N Zdenek"</f>
        <v>02 - A - 112 - Brandy N Zdenek</v>
      </c>
      <c r="F9860" t="str">
        <f>"NC STUDY HALL 1"</f>
        <v>NC STUDY HALL 1</v>
      </c>
      <c r="G9860" t="str">
        <f>"17-1704"</f>
        <v>17-1704</v>
      </c>
      <c r="H9860" t="str">
        <f>"A"</f>
        <v>A</v>
      </c>
    </row>
    <row r="9861" spans="1:8" x14ac:dyDescent="0.2">
      <c r="A9861" t="str">
        <f t="shared" si="3564"/>
        <v>0616049850</v>
      </c>
      <c r="B9861" t="str">
        <f t="shared" si="3565"/>
        <v>EVA</v>
      </c>
      <c r="C9861" t="str">
        <f t="shared" si="3566"/>
        <v>LOPEZ</v>
      </c>
      <c r="D9861">
        <f>11</f>
        <v>11</v>
      </c>
      <c r="E9861" t="str">
        <f>"07 - B - 105 - Josiah I Lacy"</f>
        <v>07 - B - 105 - Josiah I Lacy</v>
      </c>
      <c r="F9861" t="str">
        <f>"ANAT PHYSIO HON"</f>
        <v>ANAT PHYSIO HON</v>
      </c>
      <c r="G9861" t="str">
        <f>"08-801"</f>
        <v>08-801</v>
      </c>
      <c r="H9861" t="str">
        <f>"B"</f>
        <v>B</v>
      </c>
    </row>
    <row r="9862" spans="1:8" x14ac:dyDescent="0.2">
      <c r="A9862" t="str">
        <f t="shared" si="3564"/>
        <v>0616049850</v>
      </c>
      <c r="B9862" t="str">
        <f t="shared" si="3565"/>
        <v>EVA</v>
      </c>
      <c r="C9862" t="str">
        <f t="shared" si="3566"/>
        <v>LOPEZ</v>
      </c>
      <c r="D9862">
        <f>11</f>
        <v>11</v>
      </c>
      <c r="E9862" t="str">
        <f>"05 - B - 103 - Tina M Jaramillo"</f>
        <v>05 - B - 103 - Tina M Jaramillo</v>
      </c>
      <c r="F9862" t="str">
        <f>"AP ENG COMPO"</f>
        <v>AP ENG COMPO</v>
      </c>
      <c r="G9862" t="str">
        <f>"17-1706"</f>
        <v>17-1706</v>
      </c>
      <c r="H9862" t="str">
        <f>"B"</f>
        <v>B</v>
      </c>
    </row>
    <row r="9863" spans="1:8" x14ac:dyDescent="0.2">
      <c r="A9863" t="str">
        <f t="shared" si="3564"/>
        <v>0616049850</v>
      </c>
      <c r="B9863" t="str">
        <f t="shared" si="3565"/>
        <v>EVA</v>
      </c>
      <c r="C9863" t="str">
        <f t="shared" si="3566"/>
        <v>LOPEZ</v>
      </c>
      <c r="D9863">
        <f>11</f>
        <v>11</v>
      </c>
      <c r="E9863" t="str">
        <f>"01 - A - 001 - Stephen T Ripp"</f>
        <v>01 - A - 001 - Stephen T Ripp</v>
      </c>
      <c r="F9863" t="str">
        <f>"AP U.S. HIST"</f>
        <v>AP U.S. HIST</v>
      </c>
      <c r="G9863" t="str">
        <f>"17-1744"</f>
        <v>17-1744</v>
      </c>
      <c r="H9863" t="str">
        <f>"A"</f>
        <v>A</v>
      </c>
    </row>
    <row r="9864" spans="1:8" x14ac:dyDescent="0.2">
      <c r="A9864" t="str">
        <f t="shared" si="3564"/>
        <v>0616049850</v>
      </c>
      <c r="B9864" t="str">
        <f t="shared" si="3565"/>
        <v>EVA</v>
      </c>
      <c r="C9864" t="str">
        <f t="shared" si="3566"/>
        <v>LOPEZ</v>
      </c>
      <c r="D9864">
        <f>11</f>
        <v>11</v>
      </c>
      <c r="E9864" t="str">
        <f>"08 - B - 105 - Daniel S Tyson"</f>
        <v>08 - B - 105 - Daniel S Tyson</v>
      </c>
      <c r="F9864" t="str">
        <f>"JROTC NAVAL SCI 1"</f>
        <v>JROTC NAVAL SCI 1</v>
      </c>
      <c r="G9864" t="str">
        <f>"05-510"</f>
        <v>05-510</v>
      </c>
      <c r="H9864" t="str">
        <f>"B"</f>
        <v>B</v>
      </c>
    </row>
    <row r="9865" spans="1:8" x14ac:dyDescent="0.2">
      <c r="A9865" t="str">
        <f t="shared" ref="A9865:A9872" si="3567">"0613126825"</f>
        <v>0613126825</v>
      </c>
      <c r="B9865" t="str">
        <f t="shared" ref="B9865:B9872" si="3568">"GABRIEL"</f>
        <v>GABRIEL</v>
      </c>
      <c r="C9865" t="str">
        <f t="shared" si="3566"/>
        <v>LOPEZ</v>
      </c>
      <c r="D9865">
        <f>12</f>
        <v>12</v>
      </c>
      <c r="E9865" t="str">
        <f>"04 - A - 101 - Alejandro  Navarro"</f>
        <v>04 - A - 101 - Alejandro  Navarro</v>
      </c>
      <c r="F9865" t="str">
        <f>"BAND 6 HON"</f>
        <v>BAND 6 HON</v>
      </c>
      <c r="G9865" t="str">
        <f>"05-504"</f>
        <v>05-504</v>
      </c>
      <c r="H9865" t="str">
        <f>"A"</f>
        <v>A</v>
      </c>
    </row>
    <row r="9866" spans="1:8" x14ac:dyDescent="0.2">
      <c r="A9866" t="str">
        <f t="shared" si="3567"/>
        <v>0613126825</v>
      </c>
      <c r="B9866" t="str">
        <f t="shared" si="3568"/>
        <v>GABRIEL</v>
      </c>
      <c r="C9866" t="str">
        <f t="shared" si="3566"/>
        <v>LOPEZ</v>
      </c>
      <c r="D9866">
        <f>12</f>
        <v>12</v>
      </c>
      <c r="E9866" t="str">
        <f>"06 - B - 109 - Carol S Moore"</f>
        <v>06 - B - 109 - Carol S Moore</v>
      </c>
      <c r="F9866" t="str">
        <f>"NC STUDY HALL 1"</f>
        <v>NC STUDY HALL 1</v>
      </c>
      <c r="G9866" t="str">
        <f>"17-1733"</f>
        <v>17-1733</v>
      </c>
      <c r="H9866" t="str">
        <f>"B"</f>
        <v>B</v>
      </c>
    </row>
    <row r="9867" spans="1:8" x14ac:dyDescent="0.2">
      <c r="A9867" t="str">
        <f t="shared" si="3567"/>
        <v>0613126825</v>
      </c>
      <c r="B9867" t="str">
        <f t="shared" si="3568"/>
        <v>GABRIEL</v>
      </c>
      <c r="C9867" t="str">
        <f t="shared" si="3566"/>
        <v>LOPEZ</v>
      </c>
      <c r="D9867">
        <f>12</f>
        <v>12</v>
      </c>
      <c r="E9867" t="str">
        <f>"03 - A - 202 - Bruce A Evans"</f>
        <v>03 - A - 202 - Bruce A Evans</v>
      </c>
      <c r="F9867" t="str">
        <f>"HEALTH SCI FOUND HON"</f>
        <v>HEALTH SCI FOUND HON</v>
      </c>
      <c r="G9867" t="str">
        <f>"21-2142"</f>
        <v>21-2142</v>
      </c>
      <c r="H9867" t="str">
        <f>"A"</f>
        <v>A</v>
      </c>
    </row>
    <row r="9868" spans="1:8" x14ac:dyDescent="0.2">
      <c r="A9868" t="str">
        <f t="shared" si="3567"/>
        <v>0613126825</v>
      </c>
      <c r="B9868" t="str">
        <f t="shared" si="3568"/>
        <v>GABRIEL</v>
      </c>
      <c r="C9868" t="str">
        <f t="shared" si="3566"/>
        <v>LOPEZ</v>
      </c>
      <c r="D9868">
        <f>12</f>
        <v>12</v>
      </c>
      <c r="E9868" t="str">
        <f>"02 - A - 102 - Bruce A Evans"</f>
        <v>02 - A - 102 - Bruce A Evans</v>
      </c>
      <c r="F9868" t="str">
        <f>"EMERG MED RESP 3 HON"</f>
        <v>EMERG MED RESP 3 HON</v>
      </c>
      <c r="G9868" t="str">
        <f>"21-2142"</f>
        <v>21-2142</v>
      </c>
      <c r="H9868" t="str">
        <f>"A"</f>
        <v>A</v>
      </c>
    </row>
    <row r="9869" spans="1:8" x14ac:dyDescent="0.2">
      <c r="A9869" t="str">
        <f t="shared" si="3567"/>
        <v>0613126825</v>
      </c>
      <c r="B9869" t="str">
        <f t="shared" si="3568"/>
        <v>GABRIEL</v>
      </c>
      <c r="C9869" t="str">
        <f t="shared" si="3566"/>
        <v>LOPEZ</v>
      </c>
      <c r="D9869">
        <f>12</f>
        <v>12</v>
      </c>
      <c r="E9869" t="str">
        <f>"07 - B - 102 - Pamela M Corzo"</f>
        <v>07 - B - 102 - Pamela M Corzo</v>
      </c>
      <c r="F9869" t="str">
        <f>"AP CALCULUS AB"</f>
        <v>AP CALCULUS AB</v>
      </c>
      <c r="G9869" t="str">
        <f>"21-2133"</f>
        <v>21-2133</v>
      </c>
      <c r="H9869" t="str">
        <f>"B"</f>
        <v>B</v>
      </c>
    </row>
    <row r="9870" spans="1:8" x14ac:dyDescent="0.2">
      <c r="A9870" t="str">
        <f t="shared" si="3567"/>
        <v>0613126825</v>
      </c>
      <c r="B9870" t="str">
        <f t="shared" si="3568"/>
        <v>GABRIEL</v>
      </c>
      <c r="C9870" t="str">
        <f t="shared" si="3566"/>
        <v>LOPEZ</v>
      </c>
      <c r="D9870">
        <f>12</f>
        <v>12</v>
      </c>
      <c r="E9870" t="str">
        <f>"05 - B - 201 - Scott A Dethloff"</f>
        <v>05 - B - 201 - Scott A Dethloff</v>
      </c>
      <c r="F9870" t="str">
        <f>"AP CHEM"</f>
        <v>AP CHEM</v>
      </c>
      <c r="G9870" t="str">
        <f>"08-812"</f>
        <v>08-812</v>
      </c>
      <c r="H9870" t="str">
        <f>"B"</f>
        <v>B</v>
      </c>
    </row>
    <row r="9871" spans="1:8" x14ac:dyDescent="0.2">
      <c r="A9871" t="str">
        <f t="shared" si="3567"/>
        <v>0613126825</v>
      </c>
      <c r="B9871" t="str">
        <f t="shared" si="3568"/>
        <v>GABRIEL</v>
      </c>
      <c r="C9871" t="str">
        <f t="shared" si="3566"/>
        <v>LOPEZ</v>
      </c>
      <c r="D9871">
        <f>12</f>
        <v>12</v>
      </c>
      <c r="E9871" t="str">
        <f>"01 - A - 204 - Tina M Jaramillo"</f>
        <v>01 - A - 204 - Tina M Jaramillo</v>
      </c>
      <c r="F9871" t="str">
        <f>"AP ENG LIT COMPO"</f>
        <v>AP ENG LIT COMPO</v>
      </c>
      <c r="G9871" t="str">
        <f>"17-1706"</f>
        <v>17-1706</v>
      </c>
      <c r="H9871" t="str">
        <f>"A"</f>
        <v>A</v>
      </c>
    </row>
    <row r="9872" spans="1:8" x14ac:dyDescent="0.2">
      <c r="A9872" t="str">
        <f t="shared" si="3567"/>
        <v>0613126825</v>
      </c>
      <c r="B9872" t="str">
        <f t="shared" si="3568"/>
        <v>GABRIEL</v>
      </c>
      <c r="C9872" t="str">
        <f t="shared" si="3566"/>
        <v>LOPEZ</v>
      </c>
      <c r="D9872">
        <f>12</f>
        <v>12</v>
      </c>
      <c r="E9872" t="str">
        <f>"08 - S1 - B - 102 - Stephen T Ripp"</f>
        <v>08 - S1 - B - 102 - Stephen T Ripp</v>
      </c>
      <c r="F9872" t="str">
        <f>"AP US GOVT/POL"</f>
        <v>AP US GOVT/POL</v>
      </c>
      <c r="G9872" t="str">
        <f>"17-1744"</f>
        <v>17-1744</v>
      </c>
      <c r="H9872" t="str">
        <f>"B"</f>
        <v>B</v>
      </c>
    </row>
    <row r="9873" spans="1:8" x14ac:dyDescent="0.2">
      <c r="A9873" t="str">
        <f t="shared" ref="A9873:A9880" si="3569">"0613133646"</f>
        <v>0613133646</v>
      </c>
      <c r="B9873" t="str">
        <f t="shared" ref="B9873:B9880" si="3570">"KEVIN"</f>
        <v>KEVIN</v>
      </c>
      <c r="C9873" t="str">
        <f t="shared" si="3566"/>
        <v>LOPEZ</v>
      </c>
      <c r="D9873">
        <f>12</f>
        <v>12</v>
      </c>
      <c r="E9873" t="str">
        <f>"04 - A - 104 - Robert H Rindner"</f>
        <v>04 - A - 104 - Robert H Rindner</v>
      </c>
      <c r="F9873" t="str">
        <f>"MATH DATA&amp;FIN LIT H"</f>
        <v>MATH DATA&amp;FIN LIT H</v>
      </c>
      <c r="G9873" t="str">
        <f>"21-2160"</f>
        <v>21-2160</v>
      </c>
      <c r="H9873" t="str">
        <f>"A"</f>
        <v>A</v>
      </c>
    </row>
    <row r="9874" spans="1:8" x14ac:dyDescent="0.2">
      <c r="A9874" t="str">
        <f t="shared" si="3569"/>
        <v>0613133646</v>
      </c>
      <c r="B9874" t="str">
        <f t="shared" si="3570"/>
        <v>KEVIN</v>
      </c>
      <c r="C9874" t="str">
        <f t="shared" si="3566"/>
        <v>LOPEZ</v>
      </c>
      <c r="D9874">
        <f>12</f>
        <v>12</v>
      </c>
      <c r="E9874" t="str">
        <f>"06 - B - 001 - Robert O Burger"</f>
        <v>06 - B - 001 - Robert O Burger</v>
      </c>
      <c r="F9874" t="str">
        <f>"NC STUDY HALL 1"</f>
        <v>NC STUDY HALL 1</v>
      </c>
      <c r="G9874" t="str">
        <f>"17-1755"</f>
        <v>17-1755</v>
      </c>
      <c r="H9874" t="str">
        <f>"B"</f>
        <v>B</v>
      </c>
    </row>
    <row r="9875" spans="1:8" x14ac:dyDescent="0.2">
      <c r="A9875" t="str">
        <f t="shared" si="3569"/>
        <v>0613133646</v>
      </c>
      <c r="B9875" t="str">
        <f t="shared" si="3570"/>
        <v>KEVIN</v>
      </c>
      <c r="C9875" t="str">
        <f t="shared" si="3566"/>
        <v>LOPEZ</v>
      </c>
      <c r="D9875">
        <f>12</f>
        <v>12</v>
      </c>
      <c r="E9875" t="str">
        <f>"03 - S1 - A - 102 - Angela S Adeshina-Morrison"</f>
        <v>03 - S1 - A - 102 - Angela S Adeshina-Morrison</v>
      </c>
      <c r="F9875" t="str">
        <f>"PEER COUN 1"</f>
        <v>PEER COUN 1</v>
      </c>
      <c r="G9875" t="str">
        <f>"05-518"</f>
        <v>05-518</v>
      </c>
      <c r="H9875" t="str">
        <f>"A"</f>
        <v>A</v>
      </c>
    </row>
    <row r="9876" spans="1:8" x14ac:dyDescent="0.2">
      <c r="A9876" t="str">
        <f t="shared" si="3569"/>
        <v>0613133646</v>
      </c>
      <c r="B9876" t="str">
        <f t="shared" si="3570"/>
        <v>KEVIN</v>
      </c>
      <c r="C9876" t="str">
        <f t="shared" si="3566"/>
        <v>LOPEZ</v>
      </c>
      <c r="D9876">
        <f>12</f>
        <v>12</v>
      </c>
      <c r="E9876" t="str">
        <f>"02 - A - 102 - Norayda D Suarez"</f>
        <v>02 - A - 102 - Norayda D Suarez</v>
      </c>
      <c r="F9876" t="str">
        <f>"RESEARCH 1 LH"</f>
        <v>RESEARCH 1 LH</v>
      </c>
      <c r="G9876">
        <f>2041</f>
        <v>2041</v>
      </c>
      <c r="H9876" t="str">
        <f>"A"</f>
        <v>A</v>
      </c>
    </row>
    <row r="9877" spans="1:8" x14ac:dyDescent="0.2">
      <c r="A9877" t="str">
        <f t="shared" si="3569"/>
        <v>0613133646</v>
      </c>
      <c r="B9877" t="str">
        <f t="shared" si="3570"/>
        <v>KEVIN</v>
      </c>
      <c r="C9877" t="str">
        <f t="shared" si="3566"/>
        <v>LOPEZ</v>
      </c>
      <c r="D9877">
        <f>12</f>
        <v>12</v>
      </c>
      <c r="E9877" t="str">
        <f>"07 - B - 105 - Josiah I Lacy"</f>
        <v>07 - B - 105 - Josiah I Lacy</v>
      </c>
      <c r="F9877" t="str">
        <f>"ANAT PHYSIO HON"</f>
        <v>ANAT PHYSIO HON</v>
      </c>
      <c r="G9877" t="str">
        <f>"08-801"</f>
        <v>08-801</v>
      </c>
      <c r="H9877" t="str">
        <f>"B"</f>
        <v>B</v>
      </c>
    </row>
    <row r="9878" spans="1:8" x14ac:dyDescent="0.2">
      <c r="A9878" t="str">
        <f t="shared" si="3569"/>
        <v>0613133646</v>
      </c>
      <c r="B9878" t="str">
        <f t="shared" si="3570"/>
        <v>KEVIN</v>
      </c>
      <c r="C9878" t="str">
        <f t="shared" si="3566"/>
        <v>LOPEZ</v>
      </c>
      <c r="D9878">
        <f>12</f>
        <v>12</v>
      </c>
      <c r="E9878" t="str">
        <f>"05 - B - 103 - Brandy N Zdenek"</f>
        <v>05 - B - 103 - Brandy N Zdenek</v>
      </c>
      <c r="F9878" t="str">
        <f>"AICE ENG LANG 2 AL"</f>
        <v>AICE ENG LANG 2 AL</v>
      </c>
      <c r="G9878" t="str">
        <f>"17-1704"</f>
        <v>17-1704</v>
      </c>
      <c r="H9878" t="str">
        <f>"B"</f>
        <v>B</v>
      </c>
    </row>
    <row r="9879" spans="1:8" x14ac:dyDescent="0.2">
      <c r="A9879" t="str">
        <f t="shared" si="3569"/>
        <v>0613133646</v>
      </c>
      <c r="B9879" t="str">
        <f t="shared" si="3570"/>
        <v>KEVIN</v>
      </c>
      <c r="C9879" t="str">
        <f t="shared" si="3566"/>
        <v>LOPEZ</v>
      </c>
      <c r="D9879">
        <f>12</f>
        <v>12</v>
      </c>
      <c r="E9879" t="str">
        <f>"01 - A - 103 - Scott A Dethloff"</f>
        <v>01 - A - 103 - Scott A Dethloff</v>
      </c>
      <c r="F9879" t="str">
        <f>"AICE THINK SKLS 1 AS"</f>
        <v>AICE THINK SKLS 1 AS</v>
      </c>
      <c r="G9879" t="str">
        <f>"08-812"</f>
        <v>08-812</v>
      </c>
      <c r="H9879" t="str">
        <f>"A"</f>
        <v>A</v>
      </c>
    </row>
    <row r="9880" spans="1:8" x14ac:dyDescent="0.2">
      <c r="A9880" t="str">
        <f t="shared" si="3569"/>
        <v>0613133646</v>
      </c>
      <c r="B9880" t="str">
        <f t="shared" si="3570"/>
        <v>KEVIN</v>
      </c>
      <c r="C9880" t="str">
        <f t="shared" si="3566"/>
        <v>LOPEZ</v>
      </c>
      <c r="D9880">
        <f>12</f>
        <v>12</v>
      </c>
      <c r="E9880" t="str">
        <f>"08 - S1 - B - 105 - Kelly N Panza"</f>
        <v>08 - S1 - B - 105 - Kelly N Panza</v>
      </c>
      <c r="F9880" t="str">
        <f>"US GOVT HON"</f>
        <v>US GOVT HON</v>
      </c>
      <c r="G9880" t="str">
        <f>"17-1753"</f>
        <v>17-1753</v>
      </c>
      <c r="H9880" t="str">
        <f>"B"</f>
        <v>B</v>
      </c>
    </row>
    <row r="9881" spans="1:8" x14ac:dyDescent="0.2">
      <c r="A9881" t="str">
        <f t="shared" ref="A9881:A9888" si="3571">"0615138564"</f>
        <v>0615138564</v>
      </c>
      <c r="B9881" t="str">
        <f t="shared" ref="B9881:B9888" si="3572">"KIANA"</f>
        <v>KIANA</v>
      </c>
      <c r="C9881" t="str">
        <f t="shared" si="3566"/>
        <v>LOPEZ</v>
      </c>
      <c r="D9881">
        <f>10</f>
        <v>10</v>
      </c>
      <c r="E9881" t="str">
        <f>"04 - A - 004 - Krystal Marie  Beruty"</f>
        <v>04 - A - 004 - Krystal Marie  Beruty</v>
      </c>
      <c r="F9881" t="str">
        <f>"AICE GLBL PERSP 1 AS"</f>
        <v>AICE GLBL PERSP 1 AS</v>
      </c>
      <c r="G9881" t="str">
        <f>"17-1721"</f>
        <v>17-1721</v>
      </c>
      <c r="H9881" t="str">
        <f>"A"</f>
        <v>A</v>
      </c>
    </row>
    <row r="9882" spans="1:8" x14ac:dyDescent="0.2">
      <c r="A9882" t="str">
        <f t="shared" si="3571"/>
        <v>0615138564</v>
      </c>
      <c r="B9882" t="str">
        <f t="shared" si="3572"/>
        <v>KIANA</v>
      </c>
      <c r="C9882" t="str">
        <f t="shared" si="3566"/>
        <v>LOPEZ</v>
      </c>
      <c r="D9882">
        <f>10</f>
        <v>10</v>
      </c>
      <c r="E9882" t="str">
        <f>"06 - B - 114 - Richard E Dunbar Iii"</f>
        <v>06 - B - 114 - Richard E Dunbar Iii</v>
      </c>
      <c r="F9882" t="str">
        <f>"NC STUDY HALL 1"</f>
        <v>NC STUDY HALL 1</v>
      </c>
      <c r="G9882" t="str">
        <f>"17-1703"</f>
        <v>17-1703</v>
      </c>
      <c r="H9882" t="str">
        <f>"B"</f>
        <v>B</v>
      </c>
    </row>
    <row r="9883" spans="1:8" x14ac:dyDescent="0.2">
      <c r="A9883" t="str">
        <f t="shared" si="3571"/>
        <v>0615138564</v>
      </c>
      <c r="B9883" t="str">
        <f t="shared" si="3572"/>
        <v>KIANA</v>
      </c>
      <c r="C9883" t="str">
        <f t="shared" si="3566"/>
        <v>LOPEZ</v>
      </c>
      <c r="D9883">
        <f>10</f>
        <v>10</v>
      </c>
      <c r="E9883" t="str">
        <f>"03 - A - 002 - Ferrie J Arostique"</f>
        <v>03 - A - 002 - Ferrie J Arostique</v>
      </c>
      <c r="F9883" t="str">
        <f>"GEOMETRY"</f>
        <v>GEOMETRY</v>
      </c>
      <c r="G9883" t="str">
        <f>"21-2139"</f>
        <v>21-2139</v>
      </c>
      <c r="H9883" t="str">
        <f>"A"</f>
        <v>A</v>
      </c>
    </row>
    <row r="9884" spans="1:8" x14ac:dyDescent="0.2">
      <c r="A9884" t="str">
        <f t="shared" si="3571"/>
        <v>0615138564</v>
      </c>
      <c r="B9884" t="str">
        <f t="shared" si="3572"/>
        <v>KIANA</v>
      </c>
      <c r="C9884" t="str">
        <f t="shared" si="3566"/>
        <v>LOPEZ</v>
      </c>
      <c r="D9884">
        <f>10</f>
        <v>10</v>
      </c>
      <c r="E9884" t="str">
        <f>"02 - S1 - A - 101 - Carol S Moore"</f>
        <v>02 - S1 - A - 101 - Carol S Moore</v>
      </c>
      <c r="F9884" t="str">
        <f>"PER CAR SCH DEV 1 LH"</f>
        <v>PER CAR SCH DEV 1 LH</v>
      </c>
      <c r="G9884" t="str">
        <f>"17-1733"</f>
        <v>17-1733</v>
      </c>
      <c r="H9884" t="str">
        <f>"A"</f>
        <v>A</v>
      </c>
    </row>
    <row r="9885" spans="1:8" x14ac:dyDescent="0.2">
      <c r="A9885" t="str">
        <f t="shared" si="3571"/>
        <v>0615138564</v>
      </c>
      <c r="B9885" t="str">
        <f t="shared" si="3572"/>
        <v>KIANA</v>
      </c>
      <c r="C9885" t="str">
        <f t="shared" si="3566"/>
        <v>LOPEZ</v>
      </c>
      <c r="D9885">
        <f>10</f>
        <v>10</v>
      </c>
      <c r="E9885" t="str">
        <f>"07 - B - 201 - Angela S Adeshina-Morrison"</f>
        <v>07 - B - 201 - Angela S Adeshina-Morrison</v>
      </c>
      <c r="F9885" t="str">
        <f>"BUSINESS OWNER HON"</f>
        <v>BUSINESS OWNER HON</v>
      </c>
      <c r="G9885" t="str">
        <f>"05-518"</f>
        <v>05-518</v>
      </c>
      <c r="H9885" t="str">
        <f>"B"</f>
        <v>B</v>
      </c>
    </row>
    <row r="9886" spans="1:8" x14ac:dyDescent="0.2">
      <c r="A9886" t="str">
        <f t="shared" si="3571"/>
        <v>0615138564</v>
      </c>
      <c r="B9886" t="str">
        <f t="shared" si="3572"/>
        <v>KIANA</v>
      </c>
      <c r="C9886" t="str">
        <f t="shared" si="3566"/>
        <v>LOPEZ</v>
      </c>
      <c r="D9886">
        <f>10</f>
        <v>10</v>
      </c>
      <c r="E9886" t="str">
        <f>"05 - B - 104 - Joe  Kilpatrick Jr"</f>
        <v>05 - B - 104 - Joe  Kilpatrick Jr</v>
      </c>
      <c r="F9886" t="str">
        <f>"PRE-AICE SPAN 1 IG"</f>
        <v>PRE-AICE SPAN 1 IG</v>
      </c>
      <c r="G9886" t="str">
        <f>"09-912"</f>
        <v>09-912</v>
      </c>
      <c r="H9886" t="str">
        <f>"B"</f>
        <v>B</v>
      </c>
    </row>
    <row r="9887" spans="1:8" x14ac:dyDescent="0.2">
      <c r="A9887" t="str">
        <f t="shared" si="3571"/>
        <v>0615138564</v>
      </c>
      <c r="B9887" t="str">
        <f t="shared" si="3572"/>
        <v>KIANA</v>
      </c>
      <c r="C9887" t="str">
        <f t="shared" si="3566"/>
        <v>LOPEZ</v>
      </c>
      <c r="D9887">
        <f>10</f>
        <v>10</v>
      </c>
      <c r="E9887" t="str">
        <f>"01 - A - 101 - Jacquelyn M Neeson"</f>
        <v>01 - A - 101 - Jacquelyn M Neeson</v>
      </c>
      <c r="F9887" t="str">
        <f>"AICE ENG GEN PAPER 1"</f>
        <v>AICE ENG GEN PAPER 1</v>
      </c>
      <c r="G9887" t="str">
        <f>"17-1715"</f>
        <v>17-1715</v>
      </c>
      <c r="H9887" t="str">
        <f>"A"</f>
        <v>A</v>
      </c>
    </row>
    <row r="9888" spans="1:8" x14ac:dyDescent="0.2">
      <c r="A9888" t="str">
        <f t="shared" si="3571"/>
        <v>0615138564</v>
      </c>
      <c r="B9888" t="str">
        <f t="shared" si="3572"/>
        <v>KIANA</v>
      </c>
      <c r="C9888" t="str">
        <f t="shared" si="3566"/>
        <v>LOPEZ</v>
      </c>
      <c r="D9888">
        <f>10</f>
        <v>10</v>
      </c>
      <c r="E9888" t="str">
        <f>"08 - B - 108 - Paige Lauren  Brochu"</f>
        <v>08 - B - 108 - Paige Lauren  Brochu</v>
      </c>
      <c r="F9888" t="str">
        <f>"BIOLOGY 1"</f>
        <v>BIOLOGY 1</v>
      </c>
      <c r="G9888" t="str">
        <f>"21-2134"</f>
        <v>21-2134</v>
      </c>
      <c r="H9888" t="str">
        <f>"B"</f>
        <v>B</v>
      </c>
    </row>
    <row r="9889" spans="1:8" x14ac:dyDescent="0.2">
      <c r="A9889" t="str">
        <f t="shared" ref="A9889:A9898" si="3573">"0613090465"</f>
        <v>0613090465</v>
      </c>
      <c r="B9889" t="str">
        <f t="shared" ref="B9889:B9898" si="3574">"MIA"</f>
        <v>MIA</v>
      </c>
      <c r="C9889" t="str">
        <f t="shared" ref="C9889:C9898" si="3575">"LOPEZ"</f>
        <v>LOPEZ</v>
      </c>
      <c r="D9889">
        <f>12</f>
        <v>12</v>
      </c>
      <c r="E9889" t="str">
        <f>"19 - S1 - MTWHF - BCC - Instructor BC"</f>
        <v>19 - S1 - MTWHF - BCC - Instructor BC</v>
      </c>
      <c r="F9889" t="str">
        <f>"COLLEGE ALGEBRA"</f>
        <v>COLLEGE ALGEBRA</v>
      </c>
      <c r="G9889" t="str">
        <f>"60-DE"</f>
        <v>60-DE</v>
      </c>
      <c r="H9889" t="str">
        <f>"-"</f>
        <v>-</v>
      </c>
    </row>
    <row r="9890" spans="1:8" x14ac:dyDescent="0.2">
      <c r="A9890" t="str">
        <f t="shared" si="3573"/>
        <v>0613090465</v>
      </c>
      <c r="B9890" t="str">
        <f t="shared" si="3574"/>
        <v>MIA</v>
      </c>
      <c r="C9890" t="str">
        <f t="shared" si="3575"/>
        <v>LOPEZ</v>
      </c>
      <c r="D9890">
        <f>12</f>
        <v>12</v>
      </c>
      <c r="E9890" t="str">
        <f>"19 - S1 - MTWHF - B18 - Instructor BC"</f>
        <v>19 - S1 - MTWHF - B18 - Instructor BC</v>
      </c>
      <c r="F9890" t="str">
        <f>"INTRO TO ETHICS"</f>
        <v>INTRO TO ETHICS</v>
      </c>
      <c r="G9890" t="str">
        <f>"60-DE"</f>
        <v>60-DE</v>
      </c>
      <c r="H9890" t="str">
        <f>"-"</f>
        <v>-</v>
      </c>
    </row>
    <row r="9891" spans="1:8" x14ac:dyDescent="0.2">
      <c r="A9891" t="str">
        <f t="shared" si="3573"/>
        <v>0613090465</v>
      </c>
      <c r="B9891" t="str">
        <f t="shared" si="3574"/>
        <v>MIA</v>
      </c>
      <c r="C9891" t="str">
        <f t="shared" si="3575"/>
        <v>LOPEZ</v>
      </c>
      <c r="D9891">
        <f>12</f>
        <v>12</v>
      </c>
      <c r="E9891" t="str">
        <f>"04 - S1 - A - 101 - Barbara L Segal"</f>
        <v>04 - S1 - A - 101 - Barbara L Segal</v>
      </c>
      <c r="F9891" t="str">
        <f>"AP US GOVT/POL"</f>
        <v>AP US GOVT/POL</v>
      </c>
      <c r="G9891" t="str">
        <f>"17-1742"</f>
        <v>17-1742</v>
      </c>
      <c r="H9891" t="str">
        <f>"A"</f>
        <v>A</v>
      </c>
    </row>
    <row r="9892" spans="1:8" x14ac:dyDescent="0.2">
      <c r="A9892" t="str">
        <f t="shared" si="3573"/>
        <v>0613090465</v>
      </c>
      <c r="B9892" t="str">
        <f t="shared" si="3574"/>
        <v>MIA</v>
      </c>
      <c r="C9892" t="str">
        <f t="shared" si="3575"/>
        <v>LOPEZ</v>
      </c>
      <c r="D9892">
        <f>12</f>
        <v>12</v>
      </c>
      <c r="E9892" t="str">
        <f>"06 - B - 104 - Lissa C Frederique"</f>
        <v>06 - B - 104 - Lissa C Frederique</v>
      </c>
      <c r="F9892" t="str">
        <f>"NC STUDY HALL 1"</f>
        <v>NC STUDY HALL 1</v>
      </c>
      <c r="G9892" t="str">
        <f>"17-1754"</f>
        <v>17-1754</v>
      </c>
      <c r="H9892" t="str">
        <f>"B"</f>
        <v>B</v>
      </c>
    </row>
    <row r="9893" spans="1:8" x14ac:dyDescent="0.2">
      <c r="A9893" t="str">
        <f t="shared" si="3573"/>
        <v>0613090465</v>
      </c>
      <c r="B9893" t="str">
        <f t="shared" si="3574"/>
        <v>MIA</v>
      </c>
      <c r="C9893" t="str">
        <f t="shared" si="3575"/>
        <v>LOPEZ</v>
      </c>
      <c r="D9893">
        <f>12</f>
        <v>12</v>
      </c>
      <c r="E9893" t="str">
        <f>"03 - A - 103 - Norayda D Suarez"</f>
        <v>03 - A - 103 - Norayda D Suarez</v>
      </c>
      <c r="F9893" t="str">
        <f>"RESEARCH 1 LH"</f>
        <v>RESEARCH 1 LH</v>
      </c>
      <c r="G9893">
        <f>2041</f>
        <v>2041</v>
      </c>
      <c r="H9893" t="str">
        <f>"A"</f>
        <v>A</v>
      </c>
    </row>
    <row r="9894" spans="1:8" x14ac:dyDescent="0.2">
      <c r="A9894" t="str">
        <f t="shared" si="3573"/>
        <v>0613090465</v>
      </c>
      <c r="B9894" t="str">
        <f t="shared" si="3574"/>
        <v>MIA</v>
      </c>
      <c r="C9894" t="str">
        <f t="shared" si="3575"/>
        <v>LOPEZ</v>
      </c>
      <c r="D9894">
        <f>12</f>
        <v>12</v>
      </c>
      <c r="E9894" t="str">
        <f>"02 - A - 107 - Tina M Jaramillo"</f>
        <v>02 - A - 107 - Tina M Jaramillo</v>
      </c>
      <c r="F9894" t="str">
        <f>"AP ENG LIT COMPO"</f>
        <v>AP ENG LIT COMPO</v>
      </c>
      <c r="G9894" t="str">
        <f>"17-1706"</f>
        <v>17-1706</v>
      </c>
      <c r="H9894" t="str">
        <f>"A"</f>
        <v>A</v>
      </c>
    </row>
    <row r="9895" spans="1:8" x14ac:dyDescent="0.2">
      <c r="A9895" t="str">
        <f t="shared" si="3573"/>
        <v>0613090465</v>
      </c>
      <c r="B9895" t="str">
        <f t="shared" si="3574"/>
        <v>MIA</v>
      </c>
      <c r="C9895" t="str">
        <f t="shared" si="3575"/>
        <v>LOPEZ</v>
      </c>
      <c r="D9895">
        <f>12</f>
        <v>12</v>
      </c>
      <c r="E9895" t="str">
        <f>"07 - B - 101 - Bruce A Evans"</f>
        <v>07 - B - 101 - Bruce A Evans</v>
      </c>
      <c r="F9895" t="str">
        <f>"FIREFIGHTING 1 LH"</f>
        <v>FIREFIGHTING 1 LH</v>
      </c>
      <c r="G9895" t="str">
        <f>"21-2142"</f>
        <v>21-2142</v>
      </c>
      <c r="H9895" t="str">
        <f>"B"</f>
        <v>B</v>
      </c>
    </row>
    <row r="9896" spans="1:8" x14ac:dyDescent="0.2">
      <c r="A9896" t="str">
        <f t="shared" si="3573"/>
        <v>0613090465</v>
      </c>
      <c r="B9896" t="str">
        <f t="shared" si="3574"/>
        <v>MIA</v>
      </c>
      <c r="C9896" t="str">
        <f t="shared" si="3575"/>
        <v>LOPEZ</v>
      </c>
      <c r="D9896">
        <f>12</f>
        <v>12</v>
      </c>
      <c r="E9896" t="str">
        <f>"05 - B - 101 - Jordana K Hass"</f>
        <v>05 - B - 101 - Jordana K Hass</v>
      </c>
      <c r="F9896" t="str">
        <f>"AP COMP SCI PRIN"</f>
        <v>AP COMP SCI PRIN</v>
      </c>
      <c r="G9896" t="str">
        <f>"08-807"</f>
        <v>08-807</v>
      </c>
      <c r="H9896" t="str">
        <f>"B"</f>
        <v>B</v>
      </c>
    </row>
    <row r="9897" spans="1:8" x14ac:dyDescent="0.2">
      <c r="A9897" t="str">
        <f t="shared" si="3573"/>
        <v>0613090465</v>
      </c>
      <c r="B9897" t="str">
        <f t="shared" si="3574"/>
        <v>MIA</v>
      </c>
      <c r="C9897" t="str">
        <f t="shared" si="3575"/>
        <v>LOPEZ</v>
      </c>
      <c r="D9897">
        <f>12</f>
        <v>12</v>
      </c>
      <c r="E9897" t="str">
        <f>"01 - A - 101 - Kelly N Panza"</f>
        <v>01 - A - 101 - Kelly N Panza</v>
      </c>
      <c r="F9897" t="str">
        <f>"AP HUMAN GEOG"</f>
        <v>AP HUMAN GEOG</v>
      </c>
      <c r="G9897" t="str">
        <f>"17-1753"</f>
        <v>17-1753</v>
      </c>
      <c r="H9897" t="str">
        <f>"A"</f>
        <v>A</v>
      </c>
    </row>
    <row r="9898" spans="1:8" x14ac:dyDescent="0.2">
      <c r="A9898" t="str">
        <f t="shared" si="3573"/>
        <v>0613090465</v>
      </c>
      <c r="B9898" t="str">
        <f t="shared" si="3574"/>
        <v>MIA</v>
      </c>
      <c r="C9898" t="str">
        <f t="shared" si="3575"/>
        <v>LOPEZ</v>
      </c>
      <c r="D9898">
        <f>12</f>
        <v>12</v>
      </c>
      <c r="E9898" t="str">
        <f>"08 - B - 102 - Lisa J London"</f>
        <v>08 - B - 102 - Lisa J London</v>
      </c>
      <c r="F9898" t="str">
        <f>"AP CAPSTONE RESEARCH"</f>
        <v>AP CAPSTONE RESEARCH</v>
      </c>
      <c r="G9898" t="str">
        <f>"17-1714"</f>
        <v>17-1714</v>
      </c>
      <c r="H9898" t="str">
        <f>"B"</f>
        <v>B</v>
      </c>
    </row>
    <row r="9899" spans="1:8" x14ac:dyDescent="0.2">
      <c r="A9899" t="str">
        <f t="shared" ref="A9899:A9906" si="3576">"0614088150"</f>
        <v>0614088150</v>
      </c>
      <c r="B9899" t="str">
        <f t="shared" ref="B9899:B9906" si="3577">"ANDRES"</f>
        <v>ANDRES</v>
      </c>
      <c r="C9899" t="str">
        <f t="shared" ref="C9899:C9906" si="3578">"LOPEZ ESTRADA"</f>
        <v>LOPEZ ESTRADA</v>
      </c>
      <c r="D9899">
        <f>11</f>
        <v>11</v>
      </c>
      <c r="E9899" t="str">
        <f>"04 - A - 101 - Thomas G Handwerg"</f>
        <v>04 - A - 101 - Thomas G Handwerg</v>
      </c>
      <c r="F9899" t="str">
        <f>"MATH COLL ALGEBRA"</f>
        <v>MATH COLL ALGEBRA</v>
      </c>
      <c r="G9899" t="str">
        <f>"21-2146"</f>
        <v>21-2146</v>
      </c>
      <c r="H9899" t="str">
        <f>"A"</f>
        <v>A</v>
      </c>
    </row>
    <row r="9900" spans="1:8" x14ac:dyDescent="0.2">
      <c r="A9900" t="str">
        <f t="shared" si="3576"/>
        <v>0614088150</v>
      </c>
      <c r="B9900" t="str">
        <f t="shared" si="3577"/>
        <v>ANDRES</v>
      </c>
      <c r="C9900" t="str">
        <f t="shared" si="3578"/>
        <v>LOPEZ ESTRADA</v>
      </c>
      <c r="D9900">
        <f>11</f>
        <v>11</v>
      </c>
      <c r="E9900" t="str">
        <f>"06 - B - 002 - Kyle  Robbins"</f>
        <v>06 - B - 002 - Kyle  Robbins</v>
      </c>
      <c r="F9900" t="str">
        <f>"US HISTORY HON"</f>
        <v>US HISTORY HON</v>
      </c>
      <c r="G9900" t="str">
        <f>"17-1745"</f>
        <v>17-1745</v>
      </c>
      <c r="H9900" t="str">
        <f>"B"</f>
        <v>B</v>
      </c>
    </row>
    <row r="9901" spans="1:8" x14ac:dyDescent="0.2">
      <c r="A9901" t="str">
        <f t="shared" si="3576"/>
        <v>0614088150</v>
      </c>
      <c r="B9901" t="str">
        <f t="shared" si="3577"/>
        <v>ANDRES</v>
      </c>
      <c r="C9901" t="str">
        <f t="shared" si="3578"/>
        <v>LOPEZ ESTRADA</v>
      </c>
      <c r="D9901">
        <f>11</f>
        <v>11</v>
      </c>
      <c r="E9901" t="str">
        <f>"03 - A - 201 - Joe  Kilpatrick Jr"</f>
        <v>03 - A - 201 - Joe  Kilpatrick Jr</v>
      </c>
      <c r="F9901" t="str">
        <f>"PRE-AICE SPAN 2 IG"</f>
        <v>PRE-AICE SPAN 2 IG</v>
      </c>
      <c r="G9901" t="str">
        <f>"09-912"</f>
        <v>09-912</v>
      </c>
      <c r="H9901" t="str">
        <f>"A"</f>
        <v>A</v>
      </c>
    </row>
    <row r="9902" spans="1:8" x14ac:dyDescent="0.2">
      <c r="A9902" t="str">
        <f t="shared" si="3576"/>
        <v>0614088150</v>
      </c>
      <c r="B9902" t="str">
        <f t="shared" si="3577"/>
        <v>ANDRES</v>
      </c>
      <c r="C9902" t="str">
        <f t="shared" si="3578"/>
        <v>LOPEZ ESTRADA</v>
      </c>
      <c r="D9902">
        <f>11</f>
        <v>11</v>
      </c>
      <c r="E9902" t="str">
        <f>"02 - A - 113 - Byron G Montenegro"</f>
        <v>02 - A - 113 - Byron G Montenegro</v>
      </c>
      <c r="F9902" t="str">
        <f>"NC STUDY HALL 1"</f>
        <v>NC STUDY HALL 1</v>
      </c>
      <c r="G9902" t="str">
        <f>"21-2144"</f>
        <v>21-2144</v>
      </c>
      <c r="H9902" t="str">
        <f>"A"</f>
        <v>A</v>
      </c>
    </row>
    <row r="9903" spans="1:8" x14ac:dyDescent="0.2">
      <c r="A9903" t="str">
        <f t="shared" si="3576"/>
        <v>0614088150</v>
      </c>
      <c r="B9903" t="str">
        <f t="shared" si="3577"/>
        <v>ANDRES</v>
      </c>
      <c r="C9903" t="str">
        <f t="shared" si="3578"/>
        <v>LOPEZ ESTRADA</v>
      </c>
      <c r="D9903">
        <f>11</f>
        <v>11</v>
      </c>
      <c r="E9903" t="str">
        <f>"07 - B - 105 - Josiah I Lacy"</f>
        <v>07 - B - 105 - Josiah I Lacy</v>
      </c>
      <c r="F9903" t="str">
        <f>"ANAT PHYSIO HON"</f>
        <v>ANAT PHYSIO HON</v>
      </c>
      <c r="G9903" t="str">
        <f>"08-801"</f>
        <v>08-801</v>
      </c>
      <c r="H9903" t="str">
        <f>"B"</f>
        <v>B</v>
      </c>
    </row>
    <row r="9904" spans="1:8" x14ac:dyDescent="0.2">
      <c r="A9904" t="str">
        <f t="shared" si="3576"/>
        <v>0614088150</v>
      </c>
      <c r="B9904" t="str">
        <f t="shared" si="3577"/>
        <v>ANDRES</v>
      </c>
      <c r="C9904" t="str">
        <f t="shared" si="3578"/>
        <v>LOPEZ ESTRADA</v>
      </c>
      <c r="D9904">
        <f>11</f>
        <v>11</v>
      </c>
      <c r="E9904" t="str">
        <f>"05 - B - 103 - Heidi M Knopp"</f>
        <v>05 - B - 103 - Heidi M Knopp</v>
      </c>
      <c r="F9904" t="str">
        <f>"ENG HON 3"</f>
        <v>ENG HON 3</v>
      </c>
      <c r="G9904" t="str">
        <f>"17-1723"</f>
        <v>17-1723</v>
      </c>
      <c r="H9904" t="str">
        <f>"B"</f>
        <v>B</v>
      </c>
    </row>
    <row r="9905" spans="1:8" x14ac:dyDescent="0.2">
      <c r="A9905" t="str">
        <f t="shared" si="3576"/>
        <v>0614088150</v>
      </c>
      <c r="B9905" t="str">
        <f t="shared" si="3577"/>
        <v>ANDRES</v>
      </c>
      <c r="C9905" t="str">
        <f t="shared" si="3578"/>
        <v>LOPEZ ESTRADA</v>
      </c>
      <c r="D9905">
        <f>11</f>
        <v>11</v>
      </c>
      <c r="E9905" t="str">
        <f>"01 - A - 201 - Chrystina M Marchionne"</f>
        <v>01 - A - 201 - Chrystina M Marchionne</v>
      </c>
      <c r="F9905" t="str">
        <f>"AICE MEDIASTUDIES AS"</f>
        <v>AICE MEDIASTUDIES AS</v>
      </c>
      <c r="G9905" t="str">
        <f>"05-520"</f>
        <v>05-520</v>
      </c>
      <c r="H9905" t="str">
        <f>"A"</f>
        <v>A</v>
      </c>
    </row>
    <row r="9906" spans="1:8" x14ac:dyDescent="0.2">
      <c r="A9906" t="str">
        <f t="shared" si="3576"/>
        <v>0614088150</v>
      </c>
      <c r="B9906" t="str">
        <f t="shared" si="3577"/>
        <v>ANDRES</v>
      </c>
      <c r="C9906" t="str">
        <f t="shared" si="3578"/>
        <v>LOPEZ ESTRADA</v>
      </c>
      <c r="D9906">
        <f>11</f>
        <v>11</v>
      </c>
      <c r="E9906" t="str">
        <f>"08 - B - 102 - Robert H Rindner"</f>
        <v>08 - B - 102 - Robert H Rindner</v>
      </c>
      <c r="F9906" t="str">
        <f>"TV PRODUCTION TECH 1"</f>
        <v>TV PRODUCTION TECH 1</v>
      </c>
      <c r="G9906" t="str">
        <f>"21-2160"</f>
        <v>21-2160</v>
      </c>
      <c r="H9906" t="str">
        <f>"B"</f>
        <v>B</v>
      </c>
    </row>
    <row r="9907" spans="1:8" x14ac:dyDescent="0.2">
      <c r="A9907" t="str">
        <f t="shared" ref="A9907:A9914" si="3579">"0622123606"</f>
        <v>0622123606</v>
      </c>
      <c r="B9907" t="str">
        <f t="shared" ref="B9907:B9914" si="3580">"SOL"</f>
        <v>SOL</v>
      </c>
      <c r="C9907" t="str">
        <f t="shared" ref="C9907:C9914" si="3581">"LOPEZ HERNANDEZ"</f>
        <v>LOPEZ HERNANDEZ</v>
      </c>
      <c r="D9907" t="str">
        <f t="shared" ref="D9907:D9914" si="3582">"09"</f>
        <v>09</v>
      </c>
      <c r="E9907" t="str">
        <f>"04 - A - 103 - Lenecy  Nodarse"</f>
        <v>04 - A - 103 - Lenecy  Nodarse</v>
      </c>
      <c r="F9907" t="str">
        <f>"WORLD HISTORY"</f>
        <v>WORLD HISTORY</v>
      </c>
      <c r="G9907" t="str">
        <f>"17-1741"</f>
        <v>17-1741</v>
      </c>
      <c r="H9907" t="str">
        <f>"A"</f>
        <v>A</v>
      </c>
    </row>
    <row r="9908" spans="1:8" x14ac:dyDescent="0.2">
      <c r="A9908" t="str">
        <f t="shared" si="3579"/>
        <v>0622123606</v>
      </c>
      <c r="B9908" t="str">
        <f t="shared" si="3580"/>
        <v>SOL</v>
      </c>
      <c r="C9908" t="str">
        <f t="shared" si="3581"/>
        <v>LOPEZ HERNANDEZ</v>
      </c>
      <c r="D9908" t="str">
        <f t="shared" si="3582"/>
        <v>09</v>
      </c>
      <c r="E9908" t="str">
        <f>"06 - B - 105 - Tina L Lovett"</f>
        <v>06 - B - 105 - Tina L Lovett</v>
      </c>
      <c r="F9908" t="str">
        <f>"FDN SKLS MATH 9-12"</f>
        <v>FDN SKLS MATH 9-12</v>
      </c>
      <c r="G9908" t="str">
        <f>"21-2153"</f>
        <v>21-2153</v>
      </c>
      <c r="H9908" t="str">
        <f>"B"</f>
        <v>B</v>
      </c>
    </row>
    <row r="9909" spans="1:8" x14ac:dyDescent="0.2">
      <c r="A9909" t="str">
        <f t="shared" si="3579"/>
        <v>0622123606</v>
      </c>
      <c r="B9909" t="str">
        <f t="shared" si="3580"/>
        <v>SOL</v>
      </c>
      <c r="C9909" t="str">
        <f t="shared" si="3581"/>
        <v>LOPEZ HERNANDEZ</v>
      </c>
      <c r="D9909" t="str">
        <f t="shared" si="3582"/>
        <v>09</v>
      </c>
      <c r="E9909" t="str">
        <f>"03 - A - 102 - Laselleda D Shaw"</f>
        <v>03 - A - 102 - Laselleda D Shaw</v>
      </c>
      <c r="F9909" t="str">
        <f>"INTENS READ 1"</f>
        <v>INTENS READ 1</v>
      </c>
      <c r="G9909" t="str">
        <f>"17-1723"</f>
        <v>17-1723</v>
      </c>
      <c r="H9909" t="str">
        <f>"A"</f>
        <v>A</v>
      </c>
    </row>
    <row r="9910" spans="1:8" x14ac:dyDescent="0.2">
      <c r="A9910" t="str">
        <f t="shared" si="3579"/>
        <v>0622123606</v>
      </c>
      <c r="B9910" t="str">
        <f t="shared" si="3580"/>
        <v>SOL</v>
      </c>
      <c r="C9910" t="str">
        <f t="shared" si="3581"/>
        <v>LOPEZ HERNANDEZ</v>
      </c>
      <c r="D9910" t="str">
        <f t="shared" si="3582"/>
        <v>09</v>
      </c>
      <c r="E9910" t="str">
        <f>"02 - A - 112 - Cheryl Anne  Berman-Schechter"</f>
        <v>02 - A - 112 - Cheryl Anne  Berman-Schechter</v>
      </c>
      <c r="F9910" t="str">
        <f>"NC STUDY HALL 1"</f>
        <v>NC STUDY HALL 1</v>
      </c>
      <c r="G9910" t="str">
        <f>"17-1722"</f>
        <v>17-1722</v>
      </c>
      <c r="H9910" t="str">
        <f>"A"</f>
        <v>A</v>
      </c>
    </row>
    <row r="9911" spans="1:8" x14ac:dyDescent="0.2">
      <c r="A9911" t="str">
        <f t="shared" si="3579"/>
        <v>0622123606</v>
      </c>
      <c r="B9911" t="str">
        <f t="shared" si="3580"/>
        <v>SOL</v>
      </c>
      <c r="C9911" t="str">
        <f t="shared" si="3581"/>
        <v>LOPEZ HERNANDEZ</v>
      </c>
      <c r="D9911" t="str">
        <f t="shared" si="3582"/>
        <v>09</v>
      </c>
      <c r="E9911" t="str">
        <f>"07 - B - 003 - Samantha J Headley"</f>
        <v>07 - B - 003 - Samantha J Headley</v>
      </c>
      <c r="F9911" t="str">
        <f>"ENV SCI"</f>
        <v>ENV SCI</v>
      </c>
      <c r="G9911" t="str">
        <f>"08-802"</f>
        <v>08-802</v>
      </c>
      <c r="H9911" t="str">
        <f>"B"</f>
        <v>B</v>
      </c>
    </row>
    <row r="9912" spans="1:8" x14ac:dyDescent="0.2">
      <c r="A9912" t="str">
        <f t="shared" si="3579"/>
        <v>0622123606</v>
      </c>
      <c r="B9912" t="str">
        <f t="shared" si="3580"/>
        <v>SOL</v>
      </c>
      <c r="C9912" t="str">
        <f t="shared" si="3581"/>
        <v>LOPEZ HERNANDEZ</v>
      </c>
      <c r="D9912" t="str">
        <f t="shared" si="3582"/>
        <v>09</v>
      </c>
      <c r="E9912" t="str">
        <f>"05 - B - 104 - Cerine S Stewart"</f>
        <v>05 - B - 104 - Cerine S Stewart</v>
      </c>
      <c r="F9912" t="str">
        <f>"ENG 1"</f>
        <v>ENG 1</v>
      </c>
      <c r="G9912" t="str">
        <f>"17-1720"</f>
        <v>17-1720</v>
      </c>
      <c r="H9912" t="str">
        <f>"B"</f>
        <v>B</v>
      </c>
    </row>
    <row r="9913" spans="1:8" x14ac:dyDescent="0.2">
      <c r="A9913" t="str">
        <f t="shared" si="3579"/>
        <v>0622123606</v>
      </c>
      <c r="B9913" t="str">
        <f t="shared" si="3580"/>
        <v>SOL</v>
      </c>
      <c r="C9913" t="str">
        <f t="shared" si="3581"/>
        <v>LOPEZ HERNANDEZ</v>
      </c>
      <c r="D9913" t="str">
        <f t="shared" si="3582"/>
        <v>09</v>
      </c>
      <c r="E9913" t="str">
        <f>"01 - A - 101 - Tina L Lovett"</f>
        <v>01 - A - 101 - Tina L Lovett</v>
      </c>
      <c r="F9913" t="str">
        <f>"ALGEBRA 1"</f>
        <v>ALGEBRA 1</v>
      </c>
      <c r="G9913" t="str">
        <f>"21-2153"</f>
        <v>21-2153</v>
      </c>
      <c r="H9913" t="str">
        <f>"A"</f>
        <v>A</v>
      </c>
    </row>
    <row r="9914" spans="1:8" x14ac:dyDescent="0.2">
      <c r="A9914" t="str">
        <f t="shared" si="3579"/>
        <v>0622123606</v>
      </c>
      <c r="B9914" t="str">
        <f t="shared" si="3580"/>
        <v>SOL</v>
      </c>
      <c r="C9914" t="str">
        <f t="shared" si="3581"/>
        <v>LOPEZ HERNANDEZ</v>
      </c>
      <c r="D9914" t="str">
        <f t="shared" si="3582"/>
        <v>09</v>
      </c>
      <c r="E9914" t="str">
        <f>"08 - B - 108 - Adam Marcus  Drucker"</f>
        <v>08 - B - 108 - Adam Marcus  Drucker</v>
      </c>
      <c r="F9914" t="str">
        <f>"HOPE-PE V"</f>
        <v>HOPE-PE V</v>
      </c>
      <c r="G9914" t="str">
        <f>"04-254"</f>
        <v>04-254</v>
      </c>
      <c r="H9914" t="str">
        <f>"B"</f>
        <v>B</v>
      </c>
    </row>
    <row r="9915" spans="1:8" x14ac:dyDescent="0.2">
      <c r="A9915" t="str">
        <f t="shared" ref="A9915:A9922" si="3583">"0620023045"</f>
        <v>0620023045</v>
      </c>
      <c r="B9915" t="str">
        <f t="shared" ref="B9915:B9922" si="3584">"LEILANI"</f>
        <v>LEILANI</v>
      </c>
      <c r="C9915" t="str">
        <f t="shared" ref="C9915:C9922" si="3585">"LOPEZ TORRES"</f>
        <v>LOPEZ TORRES</v>
      </c>
      <c r="D9915">
        <f>10</f>
        <v>10</v>
      </c>
      <c r="E9915" t="str">
        <f>"04 - A - 104 - Marius D Orsolini"</f>
        <v>04 - A - 104 - Marius D Orsolini</v>
      </c>
      <c r="F9915" t="str">
        <f>"CULINARY ARTS 1"</f>
        <v>CULINARY ARTS 1</v>
      </c>
      <c r="G9915" t="str">
        <f>"21-2115"</f>
        <v>21-2115</v>
      </c>
      <c r="H9915" t="str">
        <f>"A"</f>
        <v>A</v>
      </c>
    </row>
    <row r="9916" spans="1:8" x14ac:dyDescent="0.2">
      <c r="A9916" t="str">
        <f t="shared" si="3583"/>
        <v>0620023045</v>
      </c>
      <c r="B9916" t="str">
        <f t="shared" si="3584"/>
        <v>LEILANI</v>
      </c>
      <c r="C9916" t="str">
        <f t="shared" si="3585"/>
        <v>LOPEZ TORRES</v>
      </c>
      <c r="D9916">
        <f>10</f>
        <v>10</v>
      </c>
      <c r="E9916" t="str">
        <f>"06 - B - 105 - Jeffrey S Gallagher"</f>
        <v>06 - B - 105 - Jeffrey S Gallagher</v>
      </c>
      <c r="F9916" t="str">
        <f>"NC STUDY HALL 1"</f>
        <v>NC STUDY HALL 1</v>
      </c>
      <c r="G9916" t="str">
        <f>"17-1724"</f>
        <v>17-1724</v>
      </c>
      <c r="H9916" t="str">
        <f>"B"</f>
        <v>B</v>
      </c>
    </row>
    <row r="9917" spans="1:8" x14ac:dyDescent="0.2">
      <c r="A9917" t="str">
        <f t="shared" si="3583"/>
        <v>0620023045</v>
      </c>
      <c r="B9917" t="str">
        <f t="shared" si="3584"/>
        <v>LEILANI</v>
      </c>
      <c r="C9917" t="str">
        <f t="shared" si="3585"/>
        <v>LOPEZ TORRES</v>
      </c>
      <c r="D9917">
        <f>10</f>
        <v>10</v>
      </c>
      <c r="E9917" t="str">
        <f>"03 - A - 103 - Jordana K Hass"</f>
        <v>03 - A - 103 - Jordana K Hass</v>
      </c>
      <c r="F9917" t="str">
        <f>"CHEMISTRY 1"</f>
        <v>CHEMISTRY 1</v>
      </c>
      <c r="G9917" t="str">
        <f>"08-807"</f>
        <v>08-807</v>
      </c>
      <c r="H9917" t="str">
        <f>"A"</f>
        <v>A</v>
      </c>
    </row>
    <row r="9918" spans="1:8" x14ac:dyDescent="0.2">
      <c r="A9918" t="str">
        <f t="shared" si="3583"/>
        <v>0620023045</v>
      </c>
      <c r="B9918" t="str">
        <f t="shared" si="3584"/>
        <v>LEILANI</v>
      </c>
      <c r="C9918" t="str">
        <f t="shared" si="3585"/>
        <v>LOPEZ TORRES</v>
      </c>
      <c r="D9918">
        <f>10</f>
        <v>10</v>
      </c>
      <c r="E9918" t="str">
        <f>"02 - A - 101 - Brian M Fitzgerald"</f>
        <v>02 - A - 101 - Brian M Fitzgerald</v>
      </c>
      <c r="F9918" t="str">
        <f>"DRAW 1"</f>
        <v>DRAW 1</v>
      </c>
      <c r="G9918" t="str">
        <f>"09-908"</f>
        <v>09-908</v>
      </c>
      <c r="H9918" t="str">
        <f>"A"</f>
        <v>A</v>
      </c>
    </row>
    <row r="9919" spans="1:8" x14ac:dyDescent="0.2">
      <c r="A9919" t="str">
        <f t="shared" si="3583"/>
        <v>0620023045</v>
      </c>
      <c r="B9919" t="str">
        <f t="shared" si="3584"/>
        <v>LEILANI</v>
      </c>
      <c r="C9919" t="str">
        <f t="shared" si="3585"/>
        <v>LOPEZ TORRES</v>
      </c>
      <c r="D9919">
        <f>10</f>
        <v>10</v>
      </c>
      <c r="E9919" t="str">
        <f>"07 - B - 107 - Rosa Elaine  Collado-Duff"</f>
        <v>07 - B - 107 - Rosa Elaine  Collado-Duff</v>
      </c>
      <c r="F9919" t="str">
        <f>"PRE-AICE SPAN 2 IG"</f>
        <v>PRE-AICE SPAN 2 IG</v>
      </c>
      <c r="G9919" t="str">
        <f>"09-913"</f>
        <v>09-913</v>
      </c>
      <c r="H9919" t="str">
        <f>"B"</f>
        <v>B</v>
      </c>
    </row>
    <row r="9920" spans="1:8" x14ac:dyDescent="0.2">
      <c r="A9920" t="str">
        <f t="shared" si="3583"/>
        <v>0620023045</v>
      </c>
      <c r="B9920" t="str">
        <f t="shared" si="3584"/>
        <v>LEILANI</v>
      </c>
      <c r="C9920" t="str">
        <f t="shared" si="3585"/>
        <v>LOPEZ TORRES</v>
      </c>
      <c r="D9920">
        <f>10</f>
        <v>10</v>
      </c>
      <c r="E9920" t="str">
        <f>"05 - B - 108 - James H Mccann"</f>
        <v>05 - B - 108 - James H Mccann</v>
      </c>
      <c r="F9920" t="str">
        <f>"ALGEBRA 2"</f>
        <v>ALGEBRA 2</v>
      </c>
      <c r="G9920" t="str">
        <f>"17-1716"</f>
        <v>17-1716</v>
      </c>
      <c r="H9920" t="str">
        <f>"B"</f>
        <v>B</v>
      </c>
    </row>
    <row r="9921" spans="1:8" x14ac:dyDescent="0.2">
      <c r="A9921" t="str">
        <f t="shared" si="3583"/>
        <v>0620023045</v>
      </c>
      <c r="B9921" t="str">
        <f t="shared" si="3584"/>
        <v>LEILANI</v>
      </c>
      <c r="C9921" t="str">
        <f t="shared" si="3585"/>
        <v>LOPEZ TORRES</v>
      </c>
      <c r="D9921">
        <f>10</f>
        <v>10</v>
      </c>
      <c r="E9921" t="str">
        <f>"01 - S1 - A - 101 - Carol S Moore"</f>
        <v>01 - S1 - A - 101 - Carol S Moore</v>
      </c>
      <c r="F9921" t="str">
        <f>"PERS FIN &amp; MON MGT H"</f>
        <v>PERS FIN &amp; MON MGT H</v>
      </c>
      <c r="G9921" t="str">
        <f>"17-1733"</f>
        <v>17-1733</v>
      </c>
      <c r="H9921" t="str">
        <f>"A"</f>
        <v>A</v>
      </c>
    </row>
    <row r="9922" spans="1:8" x14ac:dyDescent="0.2">
      <c r="A9922" t="str">
        <f t="shared" si="3583"/>
        <v>0620023045</v>
      </c>
      <c r="B9922" t="str">
        <f t="shared" si="3584"/>
        <v>LEILANI</v>
      </c>
      <c r="C9922" t="str">
        <f t="shared" si="3585"/>
        <v>LOPEZ TORRES</v>
      </c>
      <c r="D9922">
        <f>10</f>
        <v>10</v>
      </c>
      <c r="E9922" t="str">
        <f>"08 - B - 102 - Jacquelyn M Neeson"</f>
        <v>08 - B - 102 - Jacquelyn M Neeson</v>
      </c>
      <c r="F9922" t="str">
        <f>"AICE ENG GEN PAPER 1"</f>
        <v>AICE ENG GEN PAPER 1</v>
      </c>
      <c r="G9922" t="str">
        <f>"17-1715"</f>
        <v>17-1715</v>
      </c>
      <c r="H9922" t="str">
        <f>"B"</f>
        <v>B</v>
      </c>
    </row>
    <row r="9923" spans="1:8" x14ac:dyDescent="0.2">
      <c r="A9923" t="str">
        <f t="shared" ref="A9923:A9930" si="3586">"0624107961"</f>
        <v>0624107961</v>
      </c>
      <c r="B9923" t="str">
        <f t="shared" ref="B9923:B9930" si="3587">"ALISSON"</f>
        <v>ALISSON</v>
      </c>
      <c r="C9923" t="str">
        <f t="shared" ref="C9923:C9930" si="3588">"L√ìPEZ TOVAR"</f>
        <v>L√ìPEZ TOVAR</v>
      </c>
      <c r="D9923" t="str">
        <f t="shared" ref="D9923:D9930" si="3589">"09"</f>
        <v>09</v>
      </c>
      <c r="E9923" t="str">
        <f>"04 - A - 107 - Amy Beth  Broyles"</f>
        <v>04 - A - 107 - Amy Beth  Broyles</v>
      </c>
      <c r="F9923" t="str">
        <f>"ENV SCI"</f>
        <v>ENV SCI</v>
      </c>
      <c r="G9923" t="str">
        <f>"08-802"</f>
        <v>08-802</v>
      </c>
      <c r="H9923" t="str">
        <f>"A"</f>
        <v>A</v>
      </c>
    </row>
    <row r="9924" spans="1:8" x14ac:dyDescent="0.2">
      <c r="A9924" t="str">
        <f t="shared" si="3586"/>
        <v>0624107961</v>
      </c>
      <c r="B9924" t="str">
        <f t="shared" si="3587"/>
        <v>ALISSON</v>
      </c>
      <c r="C9924" t="str">
        <f t="shared" si="3588"/>
        <v>L√ìPEZ TOVAR</v>
      </c>
      <c r="D9924" t="str">
        <f t="shared" si="3589"/>
        <v>09</v>
      </c>
      <c r="E9924" t="str">
        <f>"06 - B - 106 - Adam Marcus  Drucker"</f>
        <v>06 - B - 106 - Adam Marcus  Drucker</v>
      </c>
      <c r="F9924" t="str">
        <f>"HOPE-PE V"</f>
        <v>HOPE-PE V</v>
      </c>
      <c r="G9924" t="str">
        <f>"04-254"</f>
        <v>04-254</v>
      </c>
      <c r="H9924" t="str">
        <f>"B"</f>
        <v>B</v>
      </c>
    </row>
    <row r="9925" spans="1:8" x14ac:dyDescent="0.2">
      <c r="A9925" t="str">
        <f t="shared" si="3586"/>
        <v>0624107961</v>
      </c>
      <c r="B9925" t="str">
        <f t="shared" si="3587"/>
        <v>ALISSON</v>
      </c>
      <c r="C9925" t="str">
        <f t="shared" si="3588"/>
        <v>L√ìPEZ TOVAR</v>
      </c>
      <c r="D9925" t="str">
        <f t="shared" si="3589"/>
        <v>09</v>
      </c>
      <c r="E9925" t="str">
        <f>"03 - A - 105 - Cheryl Anne  Berman-Schechter"</f>
        <v>03 - A - 105 - Cheryl Anne  Berman-Schechter</v>
      </c>
      <c r="F9925" t="str">
        <f>"ENG 1"</f>
        <v>ENG 1</v>
      </c>
      <c r="G9925" t="str">
        <f>"17-1722"</f>
        <v>17-1722</v>
      </c>
      <c r="H9925" t="str">
        <f>"A"</f>
        <v>A</v>
      </c>
    </row>
    <row r="9926" spans="1:8" x14ac:dyDescent="0.2">
      <c r="A9926" t="str">
        <f t="shared" si="3586"/>
        <v>0624107961</v>
      </c>
      <c r="B9926" t="str">
        <f t="shared" si="3587"/>
        <v>ALISSON</v>
      </c>
      <c r="C9926" t="str">
        <f t="shared" si="3588"/>
        <v>L√ìPEZ TOVAR</v>
      </c>
      <c r="D9926" t="str">
        <f t="shared" si="3589"/>
        <v>09</v>
      </c>
      <c r="E9926" t="str">
        <f>"02 - A - 112 - Cheryl Anne  Berman-Schechter"</f>
        <v>02 - A - 112 - Cheryl Anne  Berman-Schechter</v>
      </c>
      <c r="F9926" t="str">
        <f>"NC STUDY HALL 1"</f>
        <v>NC STUDY HALL 1</v>
      </c>
      <c r="G9926" t="str">
        <f>"17-1722"</f>
        <v>17-1722</v>
      </c>
      <c r="H9926" t="str">
        <f>"A"</f>
        <v>A</v>
      </c>
    </row>
    <row r="9927" spans="1:8" x14ac:dyDescent="0.2">
      <c r="A9927" t="str">
        <f t="shared" si="3586"/>
        <v>0624107961</v>
      </c>
      <c r="B9927" t="str">
        <f t="shared" si="3587"/>
        <v>ALISSON</v>
      </c>
      <c r="C9927" t="str">
        <f t="shared" si="3588"/>
        <v>L√ìPEZ TOVAR</v>
      </c>
      <c r="D9927" t="str">
        <f t="shared" si="3589"/>
        <v>09</v>
      </c>
      <c r="E9927" t="str">
        <f>"07 - B - 105 - Laselleda D Shaw"</f>
        <v>07 - B - 105 - Laselleda D Shaw</v>
      </c>
      <c r="F9927" t="str">
        <f>"INTENS READ 1"</f>
        <v>INTENS READ 1</v>
      </c>
      <c r="G9927" t="str">
        <f>"17-1723"</f>
        <v>17-1723</v>
      </c>
      <c r="H9927" t="str">
        <f>"B"</f>
        <v>B</v>
      </c>
    </row>
    <row r="9928" spans="1:8" x14ac:dyDescent="0.2">
      <c r="A9928" t="str">
        <f t="shared" si="3586"/>
        <v>0624107961</v>
      </c>
      <c r="B9928" t="str">
        <f t="shared" si="3587"/>
        <v>ALISSON</v>
      </c>
      <c r="C9928" t="str">
        <f t="shared" si="3588"/>
        <v>L√ìPEZ TOVAR</v>
      </c>
      <c r="D9928" t="str">
        <f t="shared" si="3589"/>
        <v>09</v>
      </c>
      <c r="E9928" t="str">
        <f>"05 - B - 102 - Tina L Lovett"</f>
        <v>05 - B - 102 - Tina L Lovett</v>
      </c>
      <c r="F9928" t="str">
        <f>"PRE-AICE MATH 1 IG"</f>
        <v>PRE-AICE MATH 1 IG</v>
      </c>
      <c r="G9928" t="str">
        <f>"21-2153"</f>
        <v>21-2153</v>
      </c>
      <c r="H9928" t="str">
        <f>"B"</f>
        <v>B</v>
      </c>
    </row>
    <row r="9929" spans="1:8" x14ac:dyDescent="0.2">
      <c r="A9929" t="str">
        <f t="shared" si="3586"/>
        <v>0624107961</v>
      </c>
      <c r="B9929" t="str">
        <f t="shared" si="3587"/>
        <v>ALISSON</v>
      </c>
      <c r="C9929" t="str">
        <f t="shared" si="3588"/>
        <v>L√ìPEZ TOVAR</v>
      </c>
      <c r="D9929" t="str">
        <f t="shared" si="3589"/>
        <v>09</v>
      </c>
      <c r="E9929" t="str">
        <f>"01 - A - 101 - Vanessa J Pena"</f>
        <v>01 - A - 101 - Vanessa J Pena</v>
      </c>
      <c r="F9929" t="str">
        <f>"DEV LANG ARTS ESOL-R"</f>
        <v>DEV LANG ARTS ESOL-R</v>
      </c>
      <c r="G9929" t="str">
        <f>"09-926"</f>
        <v>09-926</v>
      </c>
      <c r="H9929" t="str">
        <f>"A"</f>
        <v>A</v>
      </c>
    </row>
    <row r="9930" spans="1:8" x14ac:dyDescent="0.2">
      <c r="A9930" t="str">
        <f t="shared" si="3586"/>
        <v>0624107961</v>
      </c>
      <c r="B9930" t="str">
        <f t="shared" si="3587"/>
        <v>ALISSON</v>
      </c>
      <c r="C9930" t="str">
        <f t="shared" si="3588"/>
        <v>L√ìPEZ TOVAR</v>
      </c>
      <c r="D9930" t="str">
        <f t="shared" si="3589"/>
        <v>09</v>
      </c>
      <c r="E9930" t="str">
        <f>"08 - B - 101 - Jazmin S Fletcher"</f>
        <v>08 - B - 101 - Jazmin S Fletcher</v>
      </c>
      <c r="F9930" t="str">
        <f>"PRE-AICE DRAMA 1G"</f>
        <v>PRE-AICE DRAMA 1G</v>
      </c>
      <c r="G9930" t="str">
        <f>"09-909"</f>
        <v>09-909</v>
      </c>
      <c r="H9930" t="str">
        <f>"B"</f>
        <v>B</v>
      </c>
    </row>
    <row r="9931" spans="1:8" x14ac:dyDescent="0.2">
      <c r="A9931" t="str">
        <f t="shared" ref="A9931:A9938" si="3590">"0614051478"</f>
        <v>0614051478</v>
      </c>
      <c r="B9931" t="str">
        <f t="shared" ref="B9931:B9938" si="3591">"NOLA"</f>
        <v>NOLA</v>
      </c>
      <c r="C9931" t="str">
        <f t="shared" ref="C9931:C9938" si="3592">"LORDEUS"</f>
        <v>LORDEUS</v>
      </c>
      <c r="D9931">
        <f>12</f>
        <v>12</v>
      </c>
      <c r="E9931" t="str">
        <f>"04 - A - 103 - Daniel S Tyson"</f>
        <v>04 - A - 103 - Daniel S Tyson</v>
      </c>
      <c r="F9931" t="str">
        <f>"JROTC NAVAL SCI 1"</f>
        <v>JROTC NAVAL SCI 1</v>
      </c>
      <c r="G9931" t="str">
        <f>"05-510"</f>
        <v>05-510</v>
      </c>
      <c r="H9931" t="str">
        <f>"A"</f>
        <v>A</v>
      </c>
    </row>
    <row r="9932" spans="1:8" x14ac:dyDescent="0.2">
      <c r="A9932" t="str">
        <f t="shared" si="3590"/>
        <v>0614051478</v>
      </c>
      <c r="B9932" t="str">
        <f t="shared" si="3591"/>
        <v>NOLA</v>
      </c>
      <c r="C9932" t="str">
        <f t="shared" si="3592"/>
        <v>LORDEUS</v>
      </c>
      <c r="D9932">
        <f>12</f>
        <v>12</v>
      </c>
      <c r="E9932" t="str">
        <f>"06 - B - 108 - Jacquelyn M Neeson"</f>
        <v>06 - B - 108 - Jacquelyn M Neeson</v>
      </c>
      <c r="F9932" t="str">
        <f>"NC STUDY HALL 1"</f>
        <v>NC STUDY HALL 1</v>
      </c>
      <c r="G9932" t="str">
        <f>"17-1715"</f>
        <v>17-1715</v>
      </c>
      <c r="H9932" t="str">
        <f>"B"</f>
        <v>B</v>
      </c>
    </row>
    <row r="9933" spans="1:8" x14ac:dyDescent="0.2">
      <c r="A9933" t="str">
        <f t="shared" si="3590"/>
        <v>0614051478</v>
      </c>
      <c r="B9933" t="str">
        <f t="shared" si="3591"/>
        <v>NOLA</v>
      </c>
      <c r="C9933" t="str">
        <f t="shared" si="3592"/>
        <v>LORDEUS</v>
      </c>
      <c r="D9933">
        <f>12</f>
        <v>12</v>
      </c>
      <c r="E9933" t="str">
        <f>"03 - A - 101 - Dorothy D Moore"</f>
        <v>03 - A - 101 - Dorothy D Moore</v>
      </c>
      <c r="F9933" t="str">
        <f>"FORC SCI 1 LH"</f>
        <v>FORC SCI 1 LH</v>
      </c>
      <c r="G9933" t="str">
        <f>"08-803"</f>
        <v>08-803</v>
      </c>
      <c r="H9933" t="str">
        <f>"A"</f>
        <v>A</v>
      </c>
    </row>
    <row r="9934" spans="1:8" x14ac:dyDescent="0.2">
      <c r="A9934" t="str">
        <f t="shared" si="3590"/>
        <v>0614051478</v>
      </c>
      <c r="B9934" t="str">
        <f t="shared" si="3591"/>
        <v>NOLA</v>
      </c>
      <c r="C9934" t="str">
        <f t="shared" si="3592"/>
        <v>LORDEUS</v>
      </c>
      <c r="D9934">
        <f>12</f>
        <v>12</v>
      </c>
      <c r="E9934" t="str">
        <f>"02 - S1 - A - 104 - Robert O Burger"</f>
        <v>02 - S1 - A - 104 - Robert O Burger</v>
      </c>
      <c r="F9934" t="str">
        <f>"US GOVT"</f>
        <v>US GOVT</v>
      </c>
      <c r="G9934" t="str">
        <f>"17-1755"</f>
        <v>17-1755</v>
      </c>
      <c r="H9934" t="str">
        <f>"A"</f>
        <v>A</v>
      </c>
    </row>
    <row r="9935" spans="1:8" x14ac:dyDescent="0.2">
      <c r="A9935" t="str">
        <f t="shared" si="3590"/>
        <v>0614051478</v>
      </c>
      <c r="B9935" t="str">
        <f t="shared" si="3591"/>
        <v>NOLA</v>
      </c>
      <c r="C9935" t="str">
        <f t="shared" si="3592"/>
        <v>LORDEUS</v>
      </c>
      <c r="D9935">
        <f>12</f>
        <v>12</v>
      </c>
      <c r="E9935" t="str">
        <f>"07 - B - 103 - Nahum  Saint-Preux"</f>
        <v>07 - B - 103 - Nahum  Saint-Preux</v>
      </c>
      <c r="F9935" t="str">
        <f>"INTENS READ 4"</f>
        <v>INTENS READ 4</v>
      </c>
      <c r="G9935" t="str">
        <f>"17-1712"</f>
        <v>17-1712</v>
      </c>
      <c r="H9935" t="str">
        <f>"B"</f>
        <v>B</v>
      </c>
    </row>
    <row r="9936" spans="1:8" x14ac:dyDescent="0.2">
      <c r="A9936" t="str">
        <f t="shared" si="3590"/>
        <v>0614051478</v>
      </c>
      <c r="B9936" t="str">
        <f t="shared" si="3591"/>
        <v>NOLA</v>
      </c>
      <c r="C9936" t="str">
        <f t="shared" si="3592"/>
        <v>LORDEUS</v>
      </c>
      <c r="D9936">
        <f>12</f>
        <v>12</v>
      </c>
      <c r="E9936" t="str">
        <f>"05 - B - 201 - Jazmin S Fletcher"</f>
        <v>05 - B - 201 - Jazmin S Fletcher</v>
      </c>
      <c r="F9936" t="str">
        <f>"THEATRE 1"</f>
        <v>THEATRE 1</v>
      </c>
      <c r="G9936" t="str">
        <f>"09-909"</f>
        <v>09-909</v>
      </c>
      <c r="H9936" t="str">
        <f>"B"</f>
        <v>B</v>
      </c>
    </row>
    <row r="9937" spans="1:8" x14ac:dyDescent="0.2">
      <c r="A9937" t="str">
        <f t="shared" si="3590"/>
        <v>0614051478</v>
      </c>
      <c r="B9937" t="str">
        <f t="shared" si="3591"/>
        <v>NOLA</v>
      </c>
      <c r="C9937" t="str">
        <f t="shared" si="3592"/>
        <v>LORDEUS</v>
      </c>
      <c r="D9937">
        <f>12</f>
        <v>12</v>
      </c>
      <c r="E9937" t="str">
        <f>"01 - A - 102 - Robert H Rindner"</f>
        <v>01 - A - 102 - Robert H Rindner</v>
      </c>
      <c r="F9937" t="str">
        <f>"MATH DATA&amp;FIN LIT H"</f>
        <v>MATH DATA&amp;FIN LIT H</v>
      </c>
      <c r="G9937" t="str">
        <f>"21-2160"</f>
        <v>21-2160</v>
      </c>
      <c r="H9937" t="str">
        <f>"A"</f>
        <v>A</v>
      </c>
    </row>
    <row r="9938" spans="1:8" x14ac:dyDescent="0.2">
      <c r="A9938" t="str">
        <f t="shared" si="3590"/>
        <v>0614051478</v>
      </c>
      <c r="B9938" t="str">
        <f t="shared" si="3591"/>
        <v>NOLA</v>
      </c>
      <c r="C9938" t="str">
        <f t="shared" si="3592"/>
        <v>LORDEUS</v>
      </c>
      <c r="D9938">
        <f>12</f>
        <v>12</v>
      </c>
      <c r="E9938" t="str">
        <f>"08 - B - 206 - Robyn L Trainer"</f>
        <v>08 - B - 206 - Robyn L Trainer</v>
      </c>
      <c r="F9938" t="str">
        <f>"ENG 4: FL COLL PREP"</f>
        <v>ENG 4: FL COLL PREP</v>
      </c>
      <c r="G9938" t="str">
        <f>"17-1734"</f>
        <v>17-1734</v>
      </c>
      <c r="H9938" t="str">
        <f>"B"</f>
        <v>B</v>
      </c>
    </row>
    <row r="9939" spans="1:8" x14ac:dyDescent="0.2">
      <c r="A9939" t="str">
        <f t="shared" ref="A9939:A9946" si="3593">"0613078337"</f>
        <v>0613078337</v>
      </c>
      <c r="B9939" t="str">
        <f t="shared" ref="B9939:B9946" si="3594">"ISNEE"</f>
        <v>ISNEE</v>
      </c>
      <c r="C9939" t="str">
        <f t="shared" ref="C9939:C9946" si="3595">"LORFILS"</f>
        <v>LORFILS</v>
      </c>
      <c r="D9939">
        <f>11</f>
        <v>11</v>
      </c>
      <c r="E9939" t="str">
        <f>"04 - A - 101 - Pamela M Corzo"</f>
        <v>04 - A - 101 - Pamela M Corzo</v>
      </c>
      <c r="F9939" t="str">
        <f>"CALCULUS HON"</f>
        <v>CALCULUS HON</v>
      </c>
      <c r="G9939" t="str">
        <f>"21-2133"</f>
        <v>21-2133</v>
      </c>
      <c r="H9939" t="str">
        <f>"A"</f>
        <v>A</v>
      </c>
    </row>
    <row r="9940" spans="1:8" x14ac:dyDescent="0.2">
      <c r="A9940" t="str">
        <f t="shared" si="3593"/>
        <v>0613078337</v>
      </c>
      <c r="B9940" t="str">
        <f t="shared" si="3594"/>
        <v>ISNEE</v>
      </c>
      <c r="C9940" t="str">
        <f t="shared" si="3595"/>
        <v>LORFILS</v>
      </c>
      <c r="D9940">
        <f>11</f>
        <v>11</v>
      </c>
      <c r="E9940" t="str">
        <f>"06 - B - 202 - Brian M Fitzgerald"</f>
        <v>06 - B - 202 - Brian M Fitzgerald</v>
      </c>
      <c r="F9940" t="str">
        <f>"DRAW 1"</f>
        <v>DRAW 1</v>
      </c>
      <c r="G9940" t="str">
        <f>"09-908"</f>
        <v>09-908</v>
      </c>
      <c r="H9940" t="str">
        <f>"B"</f>
        <v>B</v>
      </c>
    </row>
    <row r="9941" spans="1:8" x14ac:dyDescent="0.2">
      <c r="A9941" t="str">
        <f t="shared" si="3593"/>
        <v>0613078337</v>
      </c>
      <c r="B9941" t="str">
        <f t="shared" si="3594"/>
        <v>ISNEE</v>
      </c>
      <c r="C9941" t="str">
        <f t="shared" si="3595"/>
        <v>LORFILS</v>
      </c>
      <c r="D9941">
        <f>11</f>
        <v>11</v>
      </c>
      <c r="E9941" t="str">
        <f>"03 - A - 204 - Norayda D Suarez"</f>
        <v>03 - A - 204 - Norayda D Suarez</v>
      </c>
      <c r="F9941" t="str">
        <f>"ANAT PHYSIO HON"</f>
        <v>ANAT PHYSIO HON</v>
      </c>
      <c r="G9941" t="str">
        <f>"21-2144"</f>
        <v>21-2144</v>
      </c>
      <c r="H9941" t="str">
        <f>"A"</f>
        <v>A</v>
      </c>
    </row>
    <row r="9942" spans="1:8" x14ac:dyDescent="0.2">
      <c r="A9942" t="str">
        <f t="shared" si="3593"/>
        <v>0613078337</v>
      </c>
      <c r="B9942" t="str">
        <f t="shared" si="3594"/>
        <v>ISNEE</v>
      </c>
      <c r="C9942" t="str">
        <f t="shared" si="3595"/>
        <v>LORFILS</v>
      </c>
      <c r="D9942">
        <f>11</f>
        <v>11</v>
      </c>
      <c r="E9942" t="str">
        <f>"02 - A - 104 - Dayna M Foster"</f>
        <v>02 - A - 104 - Dayna M Foster</v>
      </c>
      <c r="F9942" t="str">
        <f>"NC STUDY HALL 1"</f>
        <v>NC STUDY HALL 1</v>
      </c>
      <c r="G9942" t="str">
        <f>"21-2109"</f>
        <v>21-2109</v>
      </c>
      <c r="H9942" t="str">
        <f>"A"</f>
        <v>A</v>
      </c>
    </row>
    <row r="9943" spans="1:8" x14ac:dyDescent="0.2">
      <c r="A9943" t="str">
        <f t="shared" si="3593"/>
        <v>0613078337</v>
      </c>
      <c r="B9943" t="str">
        <f t="shared" si="3594"/>
        <v>ISNEE</v>
      </c>
      <c r="C9943" t="str">
        <f t="shared" si="3595"/>
        <v>LORFILS</v>
      </c>
      <c r="D9943">
        <f>11</f>
        <v>11</v>
      </c>
      <c r="E9943" t="str">
        <f>"07 - B - 104 - Jerry S Jiampetti"</f>
        <v>07 - B - 104 - Jerry S Jiampetti</v>
      </c>
      <c r="F9943" t="str">
        <f>"AICE U.S. HIST 1 AS"</f>
        <v>AICE U.S. HIST 1 AS</v>
      </c>
      <c r="G9943" t="str">
        <f>"17-1751"</f>
        <v>17-1751</v>
      </c>
      <c r="H9943" t="str">
        <f>"B"</f>
        <v>B</v>
      </c>
    </row>
    <row r="9944" spans="1:8" x14ac:dyDescent="0.2">
      <c r="A9944" t="str">
        <f t="shared" si="3593"/>
        <v>0613078337</v>
      </c>
      <c r="B9944" t="str">
        <f t="shared" si="3594"/>
        <v>ISNEE</v>
      </c>
      <c r="C9944" t="str">
        <f t="shared" si="3595"/>
        <v>LORFILS</v>
      </c>
      <c r="D9944">
        <f>11</f>
        <v>11</v>
      </c>
      <c r="E9944" t="str">
        <f>"05 - B - 001 - Stefanie S Scher"</f>
        <v>05 - B - 001 - Stefanie S Scher</v>
      </c>
      <c r="F9944" t="str">
        <f>"AICE PSYCH 1 AS"</f>
        <v>AICE PSYCH 1 AS</v>
      </c>
      <c r="G9944" t="str">
        <f>"17-1735"</f>
        <v>17-1735</v>
      </c>
      <c r="H9944" t="str">
        <f>"B"</f>
        <v>B</v>
      </c>
    </row>
    <row r="9945" spans="1:8" x14ac:dyDescent="0.2">
      <c r="A9945" t="str">
        <f t="shared" si="3593"/>
        <v>0613078337</v>
      </c>
      <c r="B9945" t="str">
        <f t="shared" si="3594"/>
        <v>ISNEE</v>
      </c>
      <c r="C9945" t="str">
        <f t="shared" si="3595"/>
        <v>LORFILS</v>
      </c>
      <c r="D9945">
        <f>11</f>
        <v>11</v>
      </c>
      <c r="E9945" t="str">
        <f>"01 - A - 101 - Lisa J London"</f>
        <v>01 - A - 101 - Lisa J London</v>
      </c>
      <c r="F9945" t="str">
        <f>"AP CAPSTONE SEMINAR"</f>
        <v>AP CAPSTONE SEMINAR</v>
      </c>
      <c r="G9945" t="str">
        <f>"17-1714"</f>
        <v>17-1714</v>
      </c>
      <c r="H9945" t="str">
        <f>"A"</f>
        <v>A</v>
      </c>
    </row>
    <row r="9946" spans="1:8" x14ac:dyDescent="0.2">
      <c r="A9946" t="str">
        <f t="shared" si="3593"/>
        <v>0613078337</v>
      </c>
      <c r="B9946" t="str">
        <f t="shared" si="3594"/>
        <v>ISNEE</v>
      </c>
      <c r="C9946" t="str">
        <f t="shared" si="3595"/>
        <v>LORFILS</v>
      </c>
      <c r="D9946">
        <f>11</f>
        <v>11</v>
      </c>
      <c r="E9946" t="str">
        <f>"08 - B - 105 - Brandy N Zdenek"</f>
        <v>08 - B - 105 - Brandy N Zdenek</v>
      </c>
      <c r="F9946" t="str">
        <f>"AICE ENG LANG 2 AL"</f>
        <v>AICE ENG LANG 2 AL</v>
      </c>
      <c r="G9946" t="str">
        <f>"17-1704"</f>
        <v>17-1704</v>
      </c>
      <c r="H9946" t="str">
        <f>"B"</f>
        <v>B</v>
      </c>
    </row>
    <row r="9947" spans="1:8" x14ac:dyDescent="0.2">
      <c r="A9947" t="str">
        <f t="shared" ref="A9947:A9954" si="3596">"0625047944"</f>
        <v>0625047944</v>
      </c>
      <c r="B9947" t="str">
        <f t="shared" ref="B9947:B9954" si="3597">"KINGSTON"</f>
        <v>KINGSTON</v>
      </c>
      <c r="C9947" t="str">
        <f t="shared" ref="C9947:C9954" si="3598">"LOSINSKE"</f>
        <v>LOSINSKE</v>
      </c>
      <c r="D9947" t="str">
        <f t="shared" ref="D9947:D9954" si="3599">"09"</f>
        <v>09</v>
      </c>
      <c r="E9947" t="str">
        <f>"04 - A - 107 - Amy Beth  Broyles"</f>
        <v>04 - A - 107 - Amy Beth  Broyles</v>
      </c>
      <c r="F9947" t="str">
        <f>"ENV SCI"</f>
        <v>ENV SCI</v>
      </c>
      <c r="G9947" t="str">
        <f>"08-802"</f>
        <v>08-802</v>
      </c>
      <c r="H9947" t="str">
        <f>"A"</f>
        <v>A</v>
      </c>
    </row>
    <row r="9948" spans="1:8" x14ac:dyDescent="0.2">
      <c r="A9948" t="str">
        <f t="shared" si="3596"/>
        <v>0625047944</v>
      </c>
      <c r="B9948" t="str">
        <f t="shared" si="3597"/>
        <v>KINGSTON</v>
      </c>
      <c r="C9948" t="str">
        <f t="shared" si="3598"/>
        <v>LOSINSKE</v>
      </c>
      <c r="D9948" t="str">
        <f t="shared" si="3599"/>
        <v>09</v>
      </c>
      <c r="E9948" t="str">
        <f>"06 - B - 202 - Brian M Fitzgerald"</f>
        <v>06 - B - 202 - Brian M Fitzgerald</v>
      </c>
      <c r="F9948" t="str">
        <f>"DRAW 1"</f>
        <v>DRAW 1</v>
      </c>
      <c r="G9948" t="str">
        <f>"09-908"</f>
        <v>09-908</v>
      </c>
      <c r="H9948" t="str">
        <f>"B"</f>
        <v>B</v>
      </c>
    </row>
    <row r="9949" spans="1:8" x14ac:dyDescent="0.2">
      <c r="A9949" t="str">
        <f t="shared" si="3596"/>
        <v>0625047944</v>
      </c>
      <c r="B9949" t="str">
        <f t="shared" si="3597"/>
        <v>KINGSTON</v>
      </c>
      <c r="C9949" t="str">
        <f t="shared" si="3598"/>
        <v>LOSINSKE</v>
      </c>
      <c r="D9949" t="str">
        <f t="shared" si="3599"/>
        <v>09</v>
      </c>
      <c r="E9949" t="str">
        <f>"03 - A - 201 - Chrystina M Marchionne"</f>
        <v>03 - A - 201 - Chrystina M Marchionne</v>
      </c>
      <c r="F9949" t="str">
        <f>"JOURN 1 (YB) LH"</f>
        <v>JOURN 1 (YB) LH</v>
      </c>
      <c r="G9949" t="str">
        <f>"05-520"</f>
        <v>05-520</v>
      </c>
      <c r="H9949" t="str">
        <f>"A"</f>
        <v>A</v>
      </c>
    </row>
    <row r="9950" spans="1:8" x14ac:dyDescent="0.2">
      <c r="A9950" t="str">
        <f t="shared" si="3596"/>
        <v>0625047944</v>
      </c>
      <c r="B9950" t="str">
        <f t="shared" si="3597"/>
        <v>KINGSTON</v>
      </c>
      <c r="C9950" t="str">
        <f t="shared" si="3598"/>
        <v>LOSINSKE</v>
      </c>
      <c r="D9950" t="str">
        <f t="shared" si="3599"/>
        <v>09</v>
      </c>
      <c r="E9950" t="str">
        <f>"02 - A - 104 - Lytrell T Dixon"</f>
        <v>02 - A - 104 - Lytrell T Dixon</v>
      </c>
      <c r="F9950" t="str">
        <f>"NC STUDY HALL 1"</f>
        <v>NC STUDY HALL 1</v>
      </c>
      <c r="G9950" t="str">
        <f>"08-808"</f>
        <v>08-808</v>
      </c>
      <c r="H9950" t="str">
        <f>"A"</f>
        <v>A</v>
      </c>
    </row>
    <row r="9951" spans="1:8" x14ac:dyDescent="0.2">
      <c r="A9951" t="str">
        <f t="shared" si="3596"/>
        <v>0625047944</v>
      </c>
      <c r="B9951" t="str">
        <f t="shared" si="3597"/>
        <v>KINGSTON</v>
      </c>
      <c r="C9951" t="str">
        <f t="shared" si="3598"/>
        <v>LOSINSKE</v>
      </c>
      <c r="D9951" t="str">
        <f t="shared" si="3599"/>
        <v>09</v>
      </c>
      <c r="E9951" t="str">
        <f>"07 - S1 - B - 103 - Leslie J Barton"</f>
        <v>07 - S1 - B - 103 - Leslie J Barton</v>
      </c>
      <c r="F9951" t="str">
        <f>"TEAM SPORTS 1"</f>
        <v>TEAM SPORTS 1</v>
      </c>
      <c r="G9951" t="str">
        <f>"04-254"</f>
        <v>04-254</v>
      </c>
      <c r="H9951" t="str">
        <f>"B"</f>
        <v>B</v>
      </c>
    </row>
    <row r="9952" spans="1:8" x14ac:dyDescent="0.2">
      <c r="A9952" t="str">
        <f t="shared" si="3596"/>
        <v>0625047944</v>
      </c>
      <c r="B9952" t="str">
        <f t="shared" si="3597"/>
        <v>KINGSTON</v>
      </c>
      <c r="C9952" t="str">
        <f t="shared" si="3598"/>
        <v>LOSINSKE</v>
      </c>
      <c r="D9952" t="str">
        <f t="shared" si="3599"/>
        <v>09</v>
      </c>
      <c r="E9952" t="str">
        <f>"05 - B - 102 - Tina L Lovett"</f>
        <v>05 - B - 102 - Tina L Lovett</v>
      </c>
      <c r="F9952" t="str">
        <f>"PRE-AICE MATH 1 IG"</f>
        <v>PRE-AICE MATH 1 IG</v>
      </c>
      <c r="G9952" t="str">
        <f>"21-2153"</f>
        <v>21-2153</v>
      </c>
      <c r="H9952" t="str">
        <f>"B"</f>
        <v>B</v>
      </c>
    </row>
    <row r="9953" spans="1:8" x14ac:dyDescent="0.2">
      <c r="A9953" t="str">
        <f t="shared" si="3596"/>
        <v>0625047944</v>
      </c>
      <c r="B9953" t="str">
        <f t="shared" si="3597"/>
        <v>KINGSTON</v>
      </c>
      <c r="C9953" t="str">
        <f t="shared" si="3598"/>
        <v>LOSINSKE</v>
      </c>
      <c r="D9953" t="str">
        <f t="shared" si="3599"/>
        <v>09</v>
      </c>
      <c r="E9953" t="str">
        <f>"01 - A - 107 - Jazmin S Fletcher"</f>
        <v>01 - A - 107 - Jazmin S Fletcher</v>
      </c>
      <c r="F9953" t="str">
        <f>"WORLD HISTORY"</f>
        <v>WORLD HISTORY</v>
      </c>
      <c r="G9953" t="str">
        <f>"09-909"</f>
        <v>09-909</v>
      </c>
      <c r="H9953" t="str">
        <f>"A"</f>
        <v>A</v>
      </c>
    </row>
    <row r="9954" spans="1:8" x14ac:dyDescent="0.2">
      <c r="A9954" t="str">
        <f t="shared" si="3596"/>
        <v>0625047944</v>
      </c>
      <c r="B9954" t="str">
        <f t="shared" si="3597"/>
        <v>KINGSTON</v>
      </c>
      <c r="C9954" t="str">
        <f t="shared" si="3598"/>
        <v>LOSINSKE</v>
      </c>
      <c r="D9954" t="str">
        <f t="shared" si="3599"/>
        <v>09</v>
      </c>
      <c r="E9954" t="str">
        <f>"08 - B - 108 - Cerine S Stewart"</f>
        <v>08 - B - 108 - Cerine S Stewart</v>
      </c>
      <c r="F9954" t="str">
        <f>"ENG 1"</f>
        <v>ENG 1</v>
      </c>
      <c r="G9954" t="str">
        <f>"17-1720"</f>
        <v>17-1720</v>
      </c>
      <c r="H9954" t="str">
        <f>"B"</f>
        <v>B</v>
      </c>
    </row>
    <row r="9955" spans="1:8" x14ac:dyDescent="0.2">
      <c r="A9955" t="str">
        <f t="shared" ref="A9955:A9962" si="3600">"0614010421"</f>
        <v>0614010421</v>
      </c>
      <c r="B9955" t="str">
        <f t="shared" ref="B9955:B9962" si="3601">"GISELLE"</f>
        <v>GISELLE</v>
      </c>
      <c r="C9955" t="str">
        <f t="shared" ref="C9955:C9962" si="3602">"LOSSE"</f>
        <v>LOSSE</v>
      </c>
      <c r="D9955">
        <f>12</f>
        <v>12</v>
      </c>
      <c r="E9955" t="str">
        <f>"04 - A - 101 - Brian M Fitzgerald"</f>
        <v>04 - A - 101 - Brian M Fitzgerald</v>
      </c>
      <c r="F9955" t="str">
        <f>"AP 2-D ART &amp; DESIGN"</f>
        <v>AP 2-D ART &amp; DESIGN</v>
      </c>
      <c r="G9955" t="str">
        <f>"09-908"</f>
        <v>09-908</v>
      </c>
      <c r="H9955" t="str">
        <f>"A"</f>
        <v>A</v>
      </c>
    </row>
    <row r="9956" spans="1:8" x14ac:dyDescent="0.2">
      <c r="A9956" t="str">
        <f t="shared" si="3600"/>
        <v>0614010421</v>
      </c>
      <c r="B9956" t="str">
        <f t="shared" si="3601"/>
        <v>GISELLE</v>
      </c>
      <c r="C9956" t="str">
        <f t="shared" si="3602"/>
        <v>LOSSE</v>
      </c>
      <c r="D9956">
        <f>12</f>
        <v>12</v>
      </c>
      <c r="E9956" t="str">
        <f>"06 - B - 114 - Lisa J London"</f>
        <v>06 - B - 114 - Lisa J London</v>
      </c>
      <c r="F9956" t="str">
        <f>"NC STUDY HALL 1"</f>
        <v>NC STUDY HALL 1</v>
      </c>
      <c r="G9956" t="str">
        <f>"17-1714"</f>
        <v>17-1714</v>
      </c>
      <c r="H9956" t="str">
        <f>"B"</f>
        <v>B</v>
      </c>
    </row>
    <row r="9957" spans="1:8" x14ac:dyDescent="0.2">
      <c r="A9957" t="str">
        <f t="shared" si="3600"/>
        <v>0614010421</v>
      </c>
      <c r="B9957" t="str">
        <f t="shared" si="3601"/>
        <v>GISELLE</v>
      </c>
      <c r="C9957" t="str">
        <f t="shared" si="3602"/>
        <v>LOSSE</v>
      </c>
      <c r="D9957">
        <f>12</f>
        <v>12</v>
      </c>
      <c r="E9957" t="str">
        <f>"03 - A - 201 - Christa T Parisi"</f>
        <v>03 - A - 201 - Christa T Parisi</v>
      </c>
      <c r="F9957" t="str">
        <f>"DANCE TECHNQS 1"</f>
        <v>DANCE TECHNQS 1</v>
      </c>
      <c r="G9957" t="str">
        <f>"05-503"</f>
        <v>05-503</v>
      </c>
      <c r="H9957" t="str">
        <f>"A"</f>
        <v>A</v>
      </c>
    </row>
    <row r="9958" spans="1:8" x14ac:dyDescent="0.2">
      <c r="A9958" t="str">
        <f t="shared" si="3600"/>
        <v>0614010421</v>
      </c>
      <c r="B9958" t="str">
        <f t="shared" si="3601"/>
        <v>GISELLE</v>
      </c>
      <c r="C9958" t="str">
        <f t="shared" si="3602"/>
        <v>LOSSE</v>
      </c>
      <c r="D9958">
        <f>12</f>
        <v>12</v>
      </c>
      <c r="E9958" t="str">
        <f>"02 - A - 107 - Tina M Jaramillo"</f>
        <v>02 - A - 107 - Tina M Jaramillo</v>
      </c>
      <c r="F9958" t="str">
        <f>"AP ENG LIT COMPO"</f>
        <v>AP ENG LIT COMPO</v>
      </c>
      <c r="G9958" t="str">
        <f>"17-1706"</f>
        <v>17-1706</v>
      </c>
      <c r="H9958" t="str">
        <f>"A"</f>
        <v>A</v>
      </c>
    </row>
    <row r="9959" spans="1:8" x14ac:dyDescent="0.2">
      <c r="A9959" t="str">
        <f t="shared" si="3600"/>
        <v>0614010421</v>
      </c>
      <c r="B9959" t="str">
        <f t="shared" si="3601"/>
        <v>GISELLE</v>
      </c>
      <c r="C9959" t="str">
        <f t="shared" si="3602"/>
        <v>LOSSE</v>
      </c>
      <c r="D9959">
        <f>12</f>
        <v>12</v>
      </c>
      <c r="E9959" t="str">
        <f>"07 - S1 - B - 107 - Kelly N Panza"</f>
        <v>07 - S1 - B - 107 - Kelly N Panza</v>
      </c>
      <c r="F9959" t="str">
        <f>"US GOVT HON"</f>
        <v>US GOVT HON</v>
      </c>
      <c r="G9959" t="str">
        <f>"17-1753"</f>
        <v>17-1753</v>
      </c>
      <c r="H9959" t="str">
        <f>"B"</f>
        <v>B</v>
      </c>
    </row>
    <row r="9960" spans="1:8" x14ac:dyDescent="0.2">
      <c r="A9960" t="str">
        <f t="shared" si="3600"/>
        <v>0614010421</v>
      </c>
      <c r="B9960" t="str">
        <f t="shared" si="3601"/>
        <v>GISELLE</v>
      </c>
      <c r="C9960" t="str">
        <f t="shared" si="3602"/>
        <v>LOSSE</v>
      </c>
      <c r="D9960">
        <f>12</f>
        <v>12</v>
      </c>
      <c r="E9960" t="str">
        <f>"05 - B - 101 - Angela S Adeshina-Morrison"</f>
        <v>05 - B - 101 - Angela S Adeshina-Morrison</v>
      </c>
      <c r="F9960" t="str">
        <f>"MKT MANAGEMENT LH"</f>
        <v>MKT MANAGEMENT LH</v>
      </c>
      <c r="G9960" t="str">
        <f>"05-518"</f>
        <v>05-518</v>
      </c>
      <c r="H9960" t="str">
        <f>"B"</f>
        <v>B</v>
      </c>
    </row>
    <row r="9961" spans="1:8" x14ac:dyDescent="0.2">
      <c r="A9961" t="str">
        <f t="shared" si="3600"/>
        <v>0614010421</v>
      </c>
      <c r="B9961" t="str">
        <f t="shared" si="3601"/>
        <v>GISELLE</v>
      </c>
      <c r="C9961" t="str">
        <f t="shared" si="3602"/>
        <v>LOSSE</v>
      </c>
      <c r="D9961">
        <f>12</f>
        <v>12</v>
      </c>
      <c r="E9961" t="str">
        <f>"01 - A - 101 - Thomas G Handwerg"</f>
        <v>01 - A - 101 - Thomas G Handwerg</v>
      </c>
      <c r="F9961" t="str">
        <f>"PROB STAT W/APPS HON"</f>
        <v>PROB STAT W/APPS HON</v>
      </c>
      <c r="G9961" t="str">
        <f>"21-2146"</f>
        <v>21-2146</v>
      </c>
      <c r="H9961" t="str">
        <f>"A"</f>
        <v>A</v>
      </c>
    </row>
    <row r="9962" spans="1:8" x14ac:dyDescent="0.2">
      <c r="A9962" t="str">
        <f t="shared" si="3600"/>
        <v>0614010421</v>
      </c>
      <c r="B9962" t="str">
        <f t="shared" si="3601"/>
        <v>GISELLE</v>
      </c>
      <c r="C9962" t="str">
        <f t="shared" si="3602"/>
        <v>LOSSE</v>
      </c>
      <c r="D9962">
        <f>12</f>
        <v>12</v>
      </c>
      <c r="E9962" t="str">
        <f>"08 - B - 107 - Taraneh C Abreu"</f>
        <v>08 - B - 107 - Taraneh C Abreu</v>
      </c>
      <c r="F9962" t="str">
        <f>"RESEARCH 1 LH"</f>
        <v>RESEARCH 1 LH</v>
      </c>
      <c r="G9962">
        <f>2041</f>
        <v>2041</v>
      </c>
      <c r="H9962" t="str">
        <f>"B"</f>
        <v>B</v>
      </c>
    </row>
    <row r="9963" spans="1:8" x14ac:dyDescent="0.2">
      <c r="A9963" t="str">
        <f t="shared" ref="A9963:A9970" si="3603">"0618120547"</f>
        <v>0618120547</v>
      </c>
      <c r="B9963" t="str">
        <f t="shared" ref="B9963:B9970" si="3604">"LENCHIE"</f>
        <v>LENCHIE</v>
      </c>
      <c r="C9963" t="str">
        <f t="shared" ref="C9963:C9978" si="3605">"LOUIMA"</f>
        <v>LOUIMA</v>
      </c>
      <c r="D9963" t="str">
        <f t="shared" ref="D9963:D9970" si="3606">"09"</f>
        <v>09</v>
      </c>
      <c r="E9963" t="str">
        <f>"04 - A - 104 - Marius D Orsolini"</f>
        <v>04 - A - 104 - Marius D Orsolini</v>
      </c>
      <c r="F9963" t="str">
        <f>"CULINARY ARTS 1"</f>
        <v>CULINARY ARTS 1</v>
      </c>
      <c r="G9963" t="str">
        <f>"21-2115"</f>
        <v>21-2115</v>
      </c>
      <c r="H9963" t="str">
        <f>"A"</f>
        <v>A</v>
      </c>
    </row>
    <row r="9964" spans="1:8" x14ac:dyDescent="0.2">
      <c r="A9964" t="str">
        <f t="shared" si="3603"/>
        <v>0618120547</v>
      </c>
      <c r="B9964" t="str">
        <f t="shared" si="3604"/>
        <v>LENCHIE</v>
      </c>
      <c r="C9964" t="str">
        <f t="shared" si="3605"/>
        <v>LOUIMA</v>
      </c>
      <c r="D9964" t="str">
        <f t="shared" si="3606"/>
        <v>09</v>
      </c>
      <c r="E9964" t="str">
        <f>"06 - B - 202 - Alejandro  Navarro"</f>
        <v>06 - B - 202 - Alejandro  Navarro</v>
      </c>
      <c r="F9964" t="str">
        <f>"BAND 1"</f>
        <v>BAND 1</v>
      </c>
      <c r="G9964" t="str">
        <f>"05-504"</f>
        <v>05-504</v>
      </c>
      <c r="H9964" t="str">
        <f>"B"</f>
        <v>B</v>
      </c>
    </row>
    <row r="9965" spans="1:8" x14ac:dyDescent="0.2">
      <c r="A9965" t="str">
        <f t="shared" si="3603"/>
        <v>0618120547</v>
      </c>
      <c r="B9965" t="str">
        <f t="shared" si="3604"/>
        <v>LENCHIE</v>
      </c>
      <c r="C9965" t="str">
        <f t="shared" si="3605"/>
        <v>LOUIMA</v>
      </c>
      <c r="D9965" t="str">
        <f t="shared" si="3606"/>
        <v>09</v>
      </c>
      <c r="E9965" t="str">
        <f>"03 - A - 001 - Maried P Ramos"</f>
        <v>03 - A - 001 - Maried P Ramos</v>
      </c>
      <c r="F9965" t="str">
        <f>"PRE-AICE MATH 2 IG"</f>
        <v>PRE-AICE MATH 2 IG</v>
      </c>
      <c r="G9965" t="str">
        <f>"21-2159"</f>
        <v>21-2159</v>
      </c>
      <c r="H9965" t="str">
        <f>"A"</f>
        <v>A</v>
      </c>
    </row>
    <row r="9966" spans="1:8" x14ac:dyDescent="0.2">
      <c r="A9966" t="str">
        <f t="shared" si="3603"/>
        <v>0618120547</v>
      </c>
      <c r="B9966" t="str">
        <f t="shared" si="3604"/>
        <v>LENCHIE</v>
      </c>
      <c r="C9966" t="str">
        <f t="shared" si="3605"/>
        <v>LOUIMA</v>
      </c>
      <c r="D9966" t="str">
        <f t="shared" si="3606"/>
        <v>09</v>
      </c>
      <c r="E9966" t="str">
        <f>"02 - A - 114 - Laselleda D Shaw"</f>
        <v>02 - A - 114 - Laselleda D Shaw</v>
      </c>
      <c r="F9966" t="str">
        <f>"NC STUDY HALL 1"</f>
        <v>NC STUDY HALL 1</v>
      </c>
      <c r="G9966" t="str">
        <f>"17-1723"</f>
        <v>17-1723</v>
      </c>
      <c r="H9966" t="str">
        <f>"A"</f>
        <v>A</v>
      </c>
    </row>
    <row r="9967" spans="1:8" x14ac:dyDescent="0.2">
      <c r="A9967" t="str">
        <f t="shared" si="3603"/>
        <v>0618120547</v>
      </c>
      <c r="B9967" t="str">
        <f t="shared" si="3604"/>
        <v>LENCHIE</v>
      </c>
      <c r="C9967" t="str">
        <f t="shared" si="3605"/>
        <v>LOUIMA</v>
      </c>
      <c r="D9967" t="str">
        <f t="shared" si="3606"/>
        <v>09</v>
      </c>
      <c r="E9967" t="str">
        <f>"07 - B - 001 - Cheryl Anne  Berman-Schechter"</f>
        <v>07 - B - 001 - Cheryl Anne  Berman-Schechter</v>
      </c>
      <c r="F9967" t="str">
        <f>"AICE ENG GEN PAPER 1"</f>
        <v>AICE ENG GEN PAPER 1</v>
      </c>
      <c r="G9967" t="str">
        <f>"17-1722"</f>
        <v>17-1722</v>
      </c>
      <c r="H9967" t="str">
        <f>"B"</f>
        <v>B</v>
      </c>
    </row>
    <row r="9968" spans="1:8" x14ac:dyDescent="0.2">
      <c r="A9968" t="str">
        <f t="shared" si="3603"/>
        <v>0618120547</v>
      </c>
      <c r="B9968" t="str">
        <f t="shared" si="3604"/>
        <v>LENCHIE</v>
      </c>
      <c r="C9968" t="str">
        <f t="shared" si="3605"/>
        <v>LOUIMA</v>
      </c>
      <c r="D9968" t="str">
        <f t="shared" si="3606"/>
        <v>09</v>
      </c>
      <c r="E9968" t="str">
        <f>"05 - B - 003 - Krystal Marie  Beruty"</f>
        <v>05 - B - 003 - Krystal Marie  Beruty</v>
      </c>
      <c r="F9968" t="str">
        <f>"AICE GLBL PERSP 1 AS"</f>
        <v>AICE GLBL PERSP 1 AS</v>
      </c>
      <c r="G9968" t="str">
        <f>"17-1721"</f>
        <v>17-1721</v>
      </c>
      <c r="H9968" t="str">
        <f>"B"</f>
        <v>B</v>
      </c>
    </row>
    <row r="9969" spans="1:8" x14ac:dyDescent="0.2">
      <c r="A9969" t="str">
        <f t="shared" si="3603"/>
        <v>0618120547</v>
      </c>
      <c r="B9969" t="str">
        <f t="shared" si="3604"/>
        <v>LENCHIE</v>
      </c>
      <c r="C9969" t="str">
        <f t="shared" si="3605"/>
        <v>LOUIMA</v>
      </c>
      <c r="D9969" t="str">
        <f t="shared" si="3606"/>
        <v>09</v>
      </c>
      <c r="E9969" t="str">
        <f>"01 - A - 201 - Cheryl L Beach"</f>
        <v>01 - A - 201 - Cheryl L Beach</v>
      </c>
      <c r="F9969" t="str">
        <f>"AICE ENV MGMNT AS"</f>
        <v>AICE ENV MGMNT AS</v>
      </c>
      <c r="G9969" t="str">
        <f>"08-811"</f>
        <v>08-811</v>
      </c>
      <c r="H9969" t="str">
        <f>"A"</f>
        <v>A</v>
      </c>
    </row>
    <row r="9970" spans="1:8" x14ac:dyDescent="0.2">
      <c r="A9970" t="str">
        <f t="shared" si="3603"/>
        <v>0618120547</v>
      </c>
      <c r="B9970" t="str">
        <f t="shared" si="3604"/>
        <v>LENCHIE</v>
      </c>
      <c r="C9970" t="str">
        <f t="shared" si="3605"/>
        <v>LOUIMA</v>
      </c>
      <c r="D9970" t="str">
        <f t="shared" si="3606"/>
        <v>09</v>
      </c>
      <c r="E9970" t="str">
        <f>"08 - B - 001 - Chrystina M Marchionne"</f>
        <v>08 - B - 001 - Chrystina M Marchionne</v>
      </c>
      <c r="F9970" t="str">
        <f>"JOURN 1 (YB) LH"</f>
        <v>JOURN 1 (YB) LH</v>
      </c>
      <c r="G9970" t="str">
        <f>"05-520"</f>
        <v>05-520</v>
      </c>
      <c r="H9970" t="str">
        <f>"B"</f>
        <v>B</v>
      </c>
    </row>
    <row r="9971" spans="1:8" x14ac:dyDescent="0.2">
      <c r="A9971" t="str">
        <f t="shared" ref="A9971:A9978" si="3607">"0616074994"</f>
        <v>0616074994</v>
      </c>
      <c r="B9971" t="str">
        <f t="shared" ref="B9971:B9978" si="3608">"NAY'LA"</f>
        <v>NAY'LA</v>
      </c>
      <c r="C9971" t="str">
        <f t="shared" si="3605"/>
        <v>LOUIMA</v>
      </c>
      <c r="D9971">
        <f>10</f>
        <v>10</v>
      </c>
      <c r="E9971" t="str">
        <f>"04 - A - 105 - Milca  Exantus"</f>
        <v>04 - A - 105 - Milca  Exantus</v>
      </c>
      <c r="F9971" t="str">
        <f>"MATH COLLEGE LIB ART"</f>
        <v>MATH COLLEGE LIB ART</v>
      </c>
      <c r="G9971" t="str">
        <f>"21-2145"</f>
        <v>21-2145</v>
      </c>
      <c r="H9971" t="str">
        <f>"A"</f>
        <v>A</v>
      </c>
    </row>
    <row r="9972" spans="1:8" x14ac:dyDescent="0.2">
      <c r="A9972" t="str">
        <f t="shared" si="3607"/>
        <v>0616074994</v>
      </c>
      <c r="B9972" t="str">
        <f t="shared" si="3608"/>
        <v>NAY'LA</v>
      </c>
      <c r="C9972" t="str">
        <f t="shared" si="3605"/>
        <v>LOUIMA</v>
      </c>
      <c r="D9972">
        <f>10</f>
        <v>10</v>
      </c>
      <c r="E9972" t="str">
        <f>"06 - B - 114 - Richard E Dunbar Iii"</f>
        <v>06 - B - 114 - Richard E Dunbar Iii</v>
      </c>
      <c r="F9972" t="str">
        <f>"NC STUDY HALL 1"</f>
        <v>NC STUDY HALL 1</v>
      </c>
      <c r="G9972" t="str">
        <f>"17-1703"</f>
        <v>17-1703</v>
      </c>
      <c r="H9972" t="str">
        <f>"B"</f>
        <v>B</v>
      </c>
    </row>
    <row r="9973" spans="1:8" x14ac:dyDescent="0.2">
      <c r="A9973" t="str">
        <f t="shared" si="3607"/>
        <v>0616074994</v>
      </c>
      <c r="B9973" t="str">
        <f t="shared" si="3608"/>
        <v>NAY'LA</v>
      </c>
      <c r="C9973" t="str">
        <f t="shared" si="3605"/>
        <v>LOUIMA</v>
      </c>
      <c r="D9973">
        <f>10</f>
        <v>10</v>
      </c>
      <c r="E9973" t="str">
        <f>"03 - A - 208 - Marielle A Witting"</f>
        <v>03 - A - 208 - Marielle A Witting</v>
      </c>
      <c r="F9973" t="str">
        <f>"ANAT PHYSIO"</f>
        <v>ANAT PHYSIO</v>
      </c>
      <c r="G9973" t="str">
        <f>"08-805"</f>
        <v>08-805</v>
      </c>
      <c r="H9973" t="str">
        <f>"A"</f>
        <v>A</v>
      </c>
    </row>
    <row r="9974" spans="1:8" x14ac:dyDescent="0.2">
      <c r="A9974" t="str">
        <f t="shared" si="3607"/>
        <v>0616074994</v>
      </c>
      <c r="B9974" t="str">
        <f t="shared" si="3608"/>
        <v>NAY'LA</v>
      </c>
      <c r="C9974" t="str">
        <f t="shared" si="3605"/>
        <v>LOUIMA</v>
      </c>
      <c r="D9974">
        <f>10</f>
        <v>10</v>
      </c>
      <c r="E9974" t="str">
        <f>"02 - S1 - A - 101 - Carol S Moore"</f>
        <v>02 - S1 - A - 101 - Carol S Moore</v>
      </c>
      <c r="F9974" t="str">
        <f>"PER CAR SCH DEV 1 LH"</f>
        <v>PER CAR SCH DEV 1 LH</v>
      </c>
      <c r="G9974" t="str">
        <f>"17-1733"</f>
        <v>17-1733</v>
      </c>
      <c r="H9974" t="str">
        <f>"A"</f>
        <v>A</v>
      </c>
    </row>
    <row r="9975" spans="1:8" x14ac:dyDescent="0.2">
      <c r="A9975" t="str">
        <f t="shared" si="3607"/>
        <v>0616074994</v>
      </c>
      <c r="B9975" t="str">
        <f t="shared" si="3608"/>
        <v>NAY'LA</v>
      </c>
      <c r="C9975" t="str">
        <f t="shared" si="3605"/>
        <v>LOUIMA</v>
      </c>
      <c r="D9975">
        <f>10</f>
        <v>10</v>
      </c>
      <c r="E9975" t="str">
        <f>"07 - B - 201 - Angela S Adeshina-Morrison"</f>
        <v>07 - B - 201 - Angela S Adeshina-Morrison</v>
      </c>
      <c r="F9975" t="str">
        <f>"BUSINESS OWNER HON"</f>
        <v>BUSINESS OWNER HON</v>
      </c>
      <c r="G9975" t="str">
        <f>"05-518"</f>
        <v>05-518</v>
      </c>
      <c r="H9975" t="str">
        <f>"B"</f>
        <v>B</v>
      </c>
    </row>
    <row r="9976" spans="1:8" x14ac:dyDescent="0.2">
      <c r="A9976" t="str">
        <f t="shared" si="3607"/>
        <v>0616074994</v>
      </c>
      <c r="B9976" t="str">
        <f t="shared" si="3608"/>
        <v>NAY'LA</v>
      </c>
      <c r="C9976" t="str">
        <f t="shared" si="3605"/>
        <v>LOUIMA</v>
      </c>
      <c r="D9976">
        <f>10</f>
        <v>10</v>
      </c>
      <c r="E9976" t="str">
        <f>"05 - B - 201 - Jazmin S Fletcher"</f>
        <v>05 - B - 201 - Jazmin S Fletcher</v>
      </c>
      <c r="F9976" t="str">
        <f>"THEATRE 1"</f>
        <v>THEATRE 1</v>
      </c>
      <c r="G9976" t="str">
        <f>"09-909"</f>
        <v>09-909</v>
      </c>
      <c r="H9976" t="str">
        <f>"B"</f>
        <v>B</v>
      </c>
    </row>
    <row r="9977" spans="1:8" x14ac:dyDescent="0.2">
      <c r="A9977" t="str">
        <f t="shared" si="3607"/>
        <v>0616074994</v>
      </c>
      <c r="B9977" t="str">
        <f t="shared" si="3608"/>
        <v>NAY'LA</v>
      </c>
      <c r="C9977" t="str">
        <f t="shared" si="3605"/>
        <v>LOUIMA</v>
      </c>
      <c r="D9977">
        <f>10</f>
        <v>10</v>
      </c>
      <c r="E9977" t="str">
        <f>"01 - A - 101 - Brian M Fitzgerald"</f>
        <v>01 - A - 101 - Brian M Fitzgerald</v>
      </c>
      <c r="F9977" t="str">
        <f>"CERAM/POT 1"</f>
        <v>CERAM/POT 1</v>
      </c>
      <c r="G9977" t="str">
        <f>"09-908"</f>
        <v>09-908</v>
      </c>
      <c r="H9977" t="str">
        <f>"A"</f>
        <v>A</v>
      </c>
    </row>
    <row r="9978" spans="1:8" x14ac:dyDescent="0.2">
      <c r="A9978" t="str">
        <f t="shared" si="3607"/>
        <v>0616074994</v>
      </c>
      <c r="B9978" t="str">
        <f t="shared" si="3608"/>
        <v>NAY'LA</v>
      </c>
      <c r="C9978" t="str">
        <f t="shared" si="3605"/>
        <v>LOUIMA</v>
      </c>
      <c r="D9978">
        <f>10</f>
        <v>10</v>
      </c>
      <c r="E9978" t="str">
        <f>"08 - B - 109 - Nikiel  Nesbeth"</f>
        <v>08 - B - 109 - Nikiel  Nesbeth</v>
      </c>
      <c r="F9978" t="str">
        <f>"ENG 2"</f>
        <v>ENG 2</v>
      </c>
      <c r="G9978" t="str">
        <f>"17-1705"</f>
        <v>17-1705</v>
      </c>
      <c r="H9978" t="str">
        <f>"B"</f>
        <v>B</v>
      </c>
    </row>
    <row r="9979" spans="1:8" x14ac:dyDescent="0.2">
      <c r="A9979" t="str">
        <f t="shared" ref="A9979:A9986" si="3609">"0617002596"</f>
        <v>0617002596</v>
      </c>
      <c r="B9979" t="str">
        <f t="shared" ref="B9979:B9986" si="3610">"ALLISANDRA"</f>
        <v>ALLISANDRA</v>
      </c>
      <c r="C9979" t="str">
        <f t="shared" ref="C9979:C10002" si="3611">"LOUIS"</f>
        <v>LOUIS</v>
      </c>
      <c r="D9979" t="str">
        <f t="shared" ref="D9979:D9986" si="3612">"09"</f>
        <v>09</v>
      </c>
      <c r="E9979" t="str">
        <f>"04 - A - 102 - Josiah I Lacy"</f>
        <v>04 - A - 102 - Josiah I Lacy</v>
      </c>
      <c r="F9979" t="str">
        <f>"PRE-AICE BIO IG"</f>
        <v>PRE-AICE BIO IG</v>
      </c>
      <c r="G9979" t="str">
        <f>"08-801"</f>
        <v>08-801</v>
      </c>
      <c r="H9979" t="str">
        <f>"A"</f>
        <v>A</v>
      </c>
    </row>
    <row r="9980" spans="1:8" x14ac:dyDescent="0.2">
      <c r="A9980" t="str">
        <f t="shared" si="3609"/>
        <v>0617002596</v>
      </c>
      <c r="B9980" t="str">
        <f t="shared" si="3610"/>
        <v>ALLISANDRA</v>
      </c>
      <c r="C9980" t="str">
        <f t="shared" si="3611"/>
        <v>LOUIS</v>
      </c>
      <c r="D9980" t="str">
        <f t="shared" si="3612"/>
        <v>09</v>
      </c>
      <c r="E9980" t="str">
        <f>"06 - B - 202 - Alejandro  Navarro"</f>
        <v>06 - B - 202 - Alejandro  Navarro</v>
      </c>
      <c r="F9980" t="str">
        <f>"BAND 1"</f>
        <v>BAND 1</v>
      </c>
      <c r="G9980" t="str">
        <f>"05-504"</f>
        <v>05-504</v>
      </c>
      <c r="H9980" t="str">
        <f>"B"</f>
        <v>B</v>
      </c>
    </row>
    <row r="9981" spans="1:8" x14ac:dyDescent="0.2">
      <c r="A9981" t="str">
        <f t="shared" si="3609"/>
        <v>0617002596</v>
      </c>
      <c r="B9981" t="str">
        <f t="shared" si="3610"/>
        <v>ALLISANDRA</v>
      </c>
      <c r="C9981" t="str">
        <f t="shared" si="3611"/>
        <v>LOUIS</v>
      </c>
      <c r="D9981" t="str">
        <f t="shared" si="3612"/>
        <v>09</v>
      </c>
      <c r="E9981" t="str">
        <f>"03 - A - 202 - Cheryl L Beach"</f>
        <v>03 - A - 202 - Cheryl L Beach</v>
      </c>
      <c r="F9981" t="str">
        <f>"AICE ENV MGMNT AS"</f>
        <v>AICE ENV MGMNT AS</v>
      </c>
      <c r="G9981" t="str">
        <f>"08-811"</f>
        <v>08-811</v>
      </c>
      <c r="H9981" t="str">
        <f>"A"</f>
        <v>A</v>
      </c>
    </row>
    <row r="9982" spans="1:8" x14ac:dyDescent="0.2">
      <c r="A9982" t="str">
        <f t="shared" si="3609"/>
        <v>0617002596</v>
      </c>
      <c r="B9982" t="str">
        <f t="shared" si="3610"/>
        <v>ALLISANDRA</v>
      </c>
      <c r="C9982" t="str">
        <f t="shared" si="3611"/>
        <v>LOUIS</v>
      </c>
      <c r="D9982" t="str">
        <f t="shared" si="3612"/>
        <v>09</v>
      </c>
      <c r="E9982" t="str">
        <f>"02 - A - 114 - Laselleda D Shaw"</f>
        <v>02 - A - 114 - Laselleda D Shaw</v>
      </c>
      <c r="F9982" t="str">
        <f>"NC STUDY HALL 1"</f>
        <v>NC STUDY HALL 1</v>
      </c>
      <c r="G9982" t="str">
        <f>"17-1723"</f>
        <v>17-1723</v>
      </c>
      <c r="H9982" t="str">
        <f>"A"</f>
        <v>A</v>
      </c>
    </row>
    <row r="9983" spans="1:8" x14ac:dyDescent="0.2">
      <c r="A9983" t="str">
        <f t="shared" si="3609"/>
        <v>0617002596</v>
      </c>
      <c r="B9983" t="str">
        <f t="shared" si="3610"/>
        <v>ALLISANDRA</v>
      </c>
      <c r="C9983" t="str">
        <f t="shared" si="3611"/>
        <v>LOUIS</v>
      </c>
      <c r="D9983" t="str">
        <f t="shared" si="3612"/>
        <v>09</v>
      </c>
      <c r="E9983" t="str">
        <f>"07 - B - 001 - Cheryl Anne  Berman-Schechter"</f>
        <v>07 - B - 001 - Cheryl Anne  Berman-Schechter</v>
      </c>
      <c r="F9983" t="str">
        <f>"AICE ENG GEN PAPER 1"</f>
        <v>AICE ENG GEN PAPER 1</v>
      </c>
      <c r="G9983" t="str">
        <f>"17-1722"</f>
        <v>17-1722</v>
      </c>
      <c r="H9983" t="str">
        <f>"B"</f>
        <v>B</v>
      </c>
    </row>
    <row r="9984" spans="1:8" x14ac:dyDescent="0.2">
      <c r="A9984" t="str">
        <f t="shared" si="3609"/>
        <v>0617002596</v>
      </c>
      <c r="B9984" t="str">
        <f t="shared" si="3610"/>
        <v>ALLISANDRA</v>
      </c>
      <c r="C9984" t="str">
        <f t="shared" si="3611"/>
        <v>LOUIS</v>
      </c>
      <c r="D9984" t="str">
        <f t="shared" si="3612"/>
        <v>09</v>
      </c>
      <c r="E9984" t="str">
        <f>"05 - B - 103 - Brook E Goren"</f>
        <v>05 - B - 103 - Brook E Goren</v>
      </c>
      <c r="F9984" t="str">
        <f>"PRE-AICE MATH 2 IG"</f>
        <v>PRE-AICE MATH 2 IG</v>
      </c>
      <c r="G9984" t="str">
        <f>"21-2158"</f>
        <v>21-2158</v>
      </c>
      <c r="H9984" t="str">
        <f>"B"</f>
        <v>B</v>
      </c>
    </row>
    <row r="9985" spans="1:8" x14ac:dyDescent="0.2">
      <c r="A9985" t="str">
        <f t="shared" si="3609"/>
        <v>0617002596</v>
      </c>
      <c r="B9985" t="str">
        <f t="shared" si="3610"/>
        <v>ALLISANDRA</v>
      </c>
      <c r="C9985" t="str">
        <f t="shared" si="3611"/>
        <v>LOUIS</v>
      </c>
      <c r="D9985" t="str">
        <f t="shared" si="3612"/>
        <v>09</v>
      </c>
      <c r="E9985" t="str">
        <f>"01 - A - 101 - Arthur  Kulawik"</f>
        <v>01 - A - 101 - Arthur  Kulawik</v>
      </c>
      <c r="F9985" t="str">
        <f>"DEBATE 1 LH"</f>
        <v>DEBATE 1 LH</v>
      </c>
      <c r="G9985" t="str">
        <f>"05-506"</f>
        <v>05-506</v>
      </c>
      <c r="H9985" t="str">
        <f>"A"</f>
        <v>A</v>
      </c>
    </row>
    <row r="9986" spans="1:8" x14ac:dyDescent="0.2">
      <c r="A9986" t="str">
        <f t="shared" si="3609"/>
        <v>0617002596</v>
      </c>
      <c r="B9986" t="str">
        <f t="shared" si="3610"/>
        <v>ALLISANDRA</v>
      </c>
      <c r="C9986" t="str">
        <f t="shared" si="3611"/>
        <v>LOUIS</v>
      </c>
      <c r="D9986" t="str">
        <f t="shared" si="3612"/>
        <v>09</v>
      </c>
      <c r="E9986" t="str">
        <f>"08 - B - 109 - Emmily A Sarmiento"</f>
        <v>08 - B - 109 - Emmily A Sarmiento</v>
      </c>
      <c r="F9986" t="str">
        <f>"AICE GLBL PERSP 1 AS"</f>
        <v>AICE GLBL PERSP 1 AS</v>
      </c>
      <c r="G9986" t="str">
        <f>"17-1743"</f>
        <v>17-1743</v>
      </c>
      <c r="H9986" t="str">
        <f>"B"</f>
        <v>B</v>
      </c>
    </row>
    <row r="9987" spans="1:8" x14ac:dyDescent="0.2">
      <c r="A9987" t="str">
        <f t="shared" ref="A9987:A9994" si="3613">"0614068572"</f>
        <v>0614068572</v>
      </c>
      <c r="B9987" t="str">
        <f t="shared" ref="B9987:B9994" si="3614">"ROVENS"</f>
        <v>ROVENS</v>
      </c>
      <c r="C9987" t="str">
        <f t="shared" si="3611"/>
        <v>LOUIS</v>
      </c>
      <c r="D9987">
        <f>10</f>
        <v>10</v>
      </c>
      <c r="E9987" t="str">
        <f>"04 - A - 005 - Emmily A Sarmiento"</f>
        <v>04 - A - 005 - Emmily A Sarmiento</v>
      </c>
      <c r="F9987" t="str">
        <f>"AICE GLBL PERSP 1 AS"</f>
        <v>AICE GLBL PERSP 1 AS</v>
      </c>
      <c r="G9987" t="str">
        <f>"17-1743"</f>
        <v>17-1743</v>
      </c>
      <c r="H9987" t="str">
        <f>"A"</f>
        <v>A</v>
      </c>
    </row>
    <row r="9988" spans="1:8" x14ac:dyDescent="0.2">
      <c r="A9988" t="str">
        <f t="shared" si="3613"/>
        <v>0614068572</v>
      </c>
      <c r="B9988" t="str">
        <f t="shared" si="3614"/>
        <v>ROVENS</v>
      </c>
      <c r="C9988" t="str">
        <f t="shared" si="3611"/>
        <v>LOUIS</v>
      </c>
      <c r="D9988">
        <f>10</f>
        <v>10</v>
      </c>
      <c r="E9988" t="str">
        <f>"06 - B - 112 - Tina M Jaramillo"</f>
        <v>06 - B - 112 - Tina M Jaramillo</v>
      </c>
      <c r="F9988" t="str">
        <f>"NC STUDY HALL 1"</f>
        <v>NC STUDY HALL 1</v>
      </c>
      <c r="G9988" t="str">
        <f>"17-1706"</f>
        <v>17-1706</v>
      </c>
      <c r="H9988" t="str">
        <f>"B"</f>
        <v>B</v>
      </c>
    </row>
    <row r="9989" spans="1:8" x14ac:dyDescent="0.2">
      <c r="A9989" t="str">
        <f t="shared" si="3613"/>
        <v>0614068572</v>
      </c>
      <c r="B9989" t="str">
        <f t="shared" si="3614"/>
        <v>ROVENS</v>
      </c>
      <c r="C9989" t="str">
        <f t="shared" si="3611"/>
        <v>LOUIS</v>
      </c>
      <c r="D9989">
        <f>10</f>
        <v>10</v>
      </c>
      <c r="E9989" t="str">
        <f>"03 - A - 103 - Marius D Orsolini"</f>
        <v>03 - A - 103 - Marius D Orsolini</v>
      </c>
      <c r="F9989" t="str">
        <f>"CULINARY ARTS 1"</f>
        <v>CULINARY ARTS 1</v>
      </c>
      <c r="G9989" t="str">
        <f>"21-2115"</f>
        <v>21-2115</v>
      </c>
      <c r="H9989" t="str">
        <f>"A"</f>
        <v>A</v>
      </c>
    </row>
    <row r="9990" spans="1:8" x14ac:dyDescent="0.2">
      <c r="A9990" t="str">
        <f t="shared" si="3613"/>
        <v>0614068572</v>
      </c>
      <c r="B9990" t="str">
        <f t="shared" si="3614"/>
        <v>ROVENS</v>
      </c>
      <c r="C9990" t="str">
        <f t="shared" si="3611"/>
        <v>LOUIS</v>
      </c>
      <c r="D9990">
        <f>10</f>
        <v>10</v>
      </c>
      <c r="E9990" t="str">
        <f>"02 - A - 202 - Daniel S Tyson"</f>
        <v>02 - A - 202 - Daniel S Tyson</v>
      </c>
      <c r="F9990" t="str">
        <f>"JROTC NAVAL SCI 2"</f>
        <v>JROTC NAVAL SCI 2</v>
      </c>
      <c r="G9990" t="str">
        <f>"05-510"</f>
        <v>05-510</v>
      </c>
      <c r="H9990" t="str">
        <f>"A"</f>
        <v>A</v>
      </c>
    </row>
    <row r="9991" spans="1:8" x14ac:dyDescent="0.2">
      <c r="A9991" t="str">
        <f t="shared" si="3613"/>
        <v>0614068572</v>
      </c>
      <c r="B9991" t="str">
        <f t="shared" si="3614"/>
        <v>ROVENS</v>
      </c>
      <c r="C9991" t="str">
        <f t="shared" si="3611"/>
        <v>LOUIS</v>
      </c>
      <c r="D9991">
        <f>10</f>
        <v>10</v>
      </c>
      <c r="E9991" t="str">
        <f>"07 - B - 107 - Jacklyn M James"</f>
        <v>07 - B - 107 - Jacklyn M James</v>
      </c>
      <c r="F9991" t="str">
        <f>"AICE ENG LANG AS"</f>
        <v>AICE ENG LANG AS</v>
      </c>
      <c r="G9991" t="str">
        <f>"17-1731"</f>
        <v>17-1731</v>
      </c>
      <c r="H9991" t="str">
        <f>"B"</f>
        <v>B</v>
      </c>
    </row>
    <row r="9992" spans="1:8" x14ac:dyDescent="0.2">
      <c r="A9992" t="str">
        <f t="shared" si="3613"/>
        <v>0614068572</v>
      </c>
      <c r="B9992" t="str">
        <f t="shared" si="3614"/>
        <v>ROVENS</v>
      </c>
      <c r="C9992" t="str">
        <f t="shared" si="3611"/>
        <v>LOUIS</v>
      </c>
      <c r="D9992">
        <f>10</f>
        <v>10</v>
      </c>
      <c r="E9992" t="str">
        <f>"05 - S1 - B - 102 - Carol S Moore"</f>
        <v>05 - S1 - B - 102 - Carol S Moore</v>
      </c>
      <c r="F9992" t="str">
        <f>"PERS FIN &amp; MON MGT H"</f>
        <v>PERS FIN &amp; MON MGT H</v>
      </c>
      <c r="G9992" t="str">
        <f>"17-1733"</f>
        <v>17-1733</v>
      </c>
      <c r="H9992" t="str">
        <f>"B"</f>
        <v>B</v>
      </c>
    </row>
    <row r="9993" spans="1:8" x14ac:dyDescent="0.2">
      <c r="A9993" t="str">
        <f t="shared" si="3613"/>
        <v>0614068572</v>
      </c>
      <c r="B9993" t="str">
        <f t="shared" si="3614"/>
        <v>ROVENS</v>
      </c>
      <c r="C9993" t="str">
        <f t="shared" si="3611"/>
        <v>LOUIS</v>
      </c>
      <c r="D9993">
        <f>10</f>
        <v>10</v>
      </c>
      <c r="E9993" t="str">
        <f>"01 - A - 101 - Byron G Montenegro"</f>
        <v>01 - A - 101 - Byron G Montenegro</v>
      </c>
      <c r="F9993" t="str">
        <f>"AICE MARINE SCI 1 AS"</f>
        <v>AICE MARINE SCI 1 AS</v>
      </c>
      <c r="G9993" t="str">
        <f>"21-2144"</f>
        <v>21-2144</v>
      </c>
      <c r="H9993" t="str">
        <f>"A"</f>
        <v>A</v>
      </c>
    </row>
    <row r="9994" spans="1:8" x14ac:dyDescent="0.2">
      <c r="A9994" t="str">
        <f t="shared" si="3613"/>
        <v>0614068572</v>
      </c>
      <c r="B9994" t="str">
        <f t="shared" si="3614"/>
        <v>ROVENS</v>
      </c>
      <c r="C9994" t="str">
        <f t="shared" si="3611"/>
        <v>LOUIS</v>
      </c>
      <c r="D9994">
        <f>10</f>
        <v>10</v>
      </c>
      <c r="E9994" t="str">
        <f>"08 - B - 107 - Dayna M Foster"</f>
        <v>08 - B - 107 - Dayna M Foster</v>
      </c>
      <c r="F9994" t="str">
        <f>"ALGEBRA 2"</f>
        <v>ALGEBRA 2</v>
      </c>
      <c r="G9994" t="str">
        <f>"21-2109"</f>
        <v>21-2109</v>
      </c>
      <c r="H9994" t="str">
        <f>"B"</f>
        <v>B</v>
      </c>
    </row>
    <row r="9995" spans="1:8" x14ac:dyDescent="0.2">
      <c r="A9995" t="str">
        <f t="shared" ref="A9995:A10002" si="3615">"0614028804"</f>
        <v>0614028804</v>
      </c>
      <c r="B9995" t="str">
        <f t="shared" ref="B9995:B10002" si="3616">"ZACHERY"</f>
        <v>ZACHERY</v>
      </c>
      <c r="C9995" t="str">
        <f t="shared" si="3611"/>
        <v>LOUIS</v>
      </c>
      <c r="D9995">
        <f>12</f>
        <v>12</v>
      </c>
      <c r="E9995" t="str">
        <f>"04 - S1 - A - 101 - Leslie J Barton"</f>
        <v>04 - S1 - A - 101 - Leslie J Barton</v>
      </c>
      <c r="F9995" t="str">
        <f>"TEAM SPORTS 1"</f>
        <v>TEAM SPORTS 1</v>
      </c>
      <c r="G9995" t="str">
        <f>"04-254"</f>
        <v>04-254</v>
      </c>
      <c r="H9995" t="str">
        <f>"A"</f>
        <v>A</v>
      </c>
    </row>
    <row r="9996" spans="1:8" x14ac:dyDescent="0.2">
      <c r="A9996" t="str">
        <f t="shared" si="3615"/>
        <v>0614028804</v>
      </c>
      <c r="B9996" t="str">
        <f t="shared" si="3616"/>
        <v>ZACHERY</v>
      </c>
      <c r="C9996" t="str">
        <f t="shared" si="3611"/>
        <v>LOUIS</v>
      </c>
      <c r="D9996">
        <f>12</f>
        <v>12</v>
      </c>
      <c r="E9996" t="str">
        <f>"06 - B - 102 - Andrea A Amison"</f>
        <v>06 - B - 102 - Andrea A Amison</v>
      </c>
      <c r="F9996" t="str">
        <f>"NC STUDY HALL 1"</f>
        <v>NC STUDY HALL 1</v>
      </c>
      <c r="G9996" t="str">
        <f>"09-922C"</f>
        <v>09-922C</v>
      </c>
      <c r="H9996" t="str">
        <f>"B"</f>
        <v>B</v>
      </c>
    </row>
    <row r="9997" spans="1:8" x14ac:dyDescent="0.2">
      <c r="A9997" t="str">
        <f t="shared" si="3615"/>
        <v>0614028804</v>
      </c>
      <c r="B9997" t="str">
        <f t="shared" si="3616"/>
        <v>ZACHERY</v>
      </c>
      <c r="C9997" t="str">
        <f t="shared" si="3611"/>
        <v>LOUIS</v>
      </c>
      <c r="D9997">
        <f>12</f>
        <v>12</v>
      </c>
      <c r="E9997" t="str">
        <f>"03 - A - 102 - Cliffon  Saurel"</f>
        <v>03 - A - 102 - Cliffon  Saurel</v>
      </c>
      <c r="F9997" t="str">
        <f>"PHYSICAL SCI"</f>
        <v>PHYSICAL SCI</v>
      </c>
      <c r="G9997" t="str">
        <f>"05-522"</f>
        <v>05-522</v>
      </c>
      <c r="H9997" t="str">
        <f>"A"</f>
        <v>A</v>
      </c>
    </row>
    <row r="9998" spans="1:8" x14ac:dyDescent="0.2">
      <c r="A9998" t="str">
        <f t="shared" si="3615"/>
        <v>0614028804</v>
      </c>
      <c r="B9998" t="str">
        <f t="shared" si="3616"/>
        <v>ZACHERY</v>
      </c>
      <c r="C9998" t="str">
        <f t="shared" si="3611"/>
        <v>LOUIS</v>
      </c>
      <c r="D9998">
        <f>12</f>
        <v>12</v>
      </c>
      <c r="E9998" t="str">
        <f>"02 - A - 101 - Robyn L Trainer"</f>
        <v>02 - A - 101 - Robyn L Trainer</v>
      </c>
      <c r="F9998" t="str">
        <f>"ENG 4"</f>
        <v>ENG 4</v>
      </c>
      <c r="G9998" t="str">
        <f>"17-1734"</f>
        <v>17-1734</v>
      </c>
      <c r="H9998" t="str">
        <f>"A"</f>
        <v>A</v>
      </c>
    </row>
    <row r="9999" spans="1:8" x14ac:dyDescent="0.2">
      <c r="A9999" t="str">
        <f t="shared" si="3615"/>
        <v>0614028804</v>
      </c>
      <c r="B9999" t="str">
        <f t="shared" si="3616"/>
        <v>ZACHERY</v>
      </c>
      <c r="C9999" t="str">
        <f t="shared" si="3611"/>
        <v>LOUIS</v>
      </c>
      <c r="D9999">
        <f>12</f>
        <v>12</v>
      </c>
      <c r="E9999" t="str">
        <f>"07 - B - 105 - Robert H Rindner"</f>
        <v>07 - B - 105 - Robert H Rindner</v>
      </c>
      <c r="F9999" t="str">
        <f>"MATH DATA&amp;FIN LIT H"</f>
        <v>MATH DATA&amp;FIN LIT H</v>
      </c>
      <c r="G9999" t="str">
        <f>"21-2160"</f>
        <v>21-2160</v>
      </c>
      <c r="H9999" t="str">
        <f>"B"</f>
        <v>B</v>
      </c>
    </row>
    <row r="10000" spans="1:8" x14ac:dyDescent="0.2">
      <c r="A10000" t="str">
        <f t="shared" si="3615"/>
        <v>0614028804</v>
      </c>
      <c r="B10000" t="str">
        <f t="shared" si="3616"/>
        <v>ZACHERY</v>
      </c>
      <c r="C10000" t="str">
        <f t="shared" si="3611"/>
        <v>LOUIS</v>
      </c>
      <c r="D10000">
        <f>12</f>
        <v>12</v>
      </c>
      <c r="E10000" t="str">
        <f>"05 - S1 - B - 102 - Robert O Burger"</f>
        <v>05 - S1 - B - 102 - Robert O Burger</v>
      </c>
      <c r="F10000" t="str">
        <f>"US GOVT"</f>
        <v>US GOVT</v>
      </c>
      <c r="G10000" t="str">
        <f>"17-1755"</f>
        <v>17-1755</v>
      </c>
      <c r="H10000" t="str">
        <f>"B"</f>
        <v>B</v>
      </c>
    </row>
    <row r="10001" spans="1:8" x14ac:dyDescent="0.2">
      <c r="A10001" t="str">
        <f t="shared" si="3615"/>
        <v>0614028804</v>
      </c>
      <c r="B10001" t="str">
        <f t="shared" si="3616"/>
        <v>ZACHERY</v>
      </c>
      <c r="C10001" t="str">
        <f t="shared" si="3611"/>
        <v>LOUIS</v>
      </c>
      <c r="D10001">
        <f>12</f>
        <v>12</v>
      </c>
      <c r="E10001" t="str">
        <f>"01 - A - 107 - Jazmin S Fletcher"</f>
        <v>01 - A - 107 - Jazmin S Fletcher</v>
      </c>
      <c r="F10001" t="str">
        <f>"WORLD HISTORY"</f>
        <v>WORLD HISTORY</v>
      </c>
      <c r="G10001" t="str">
        <f>"09-909"</f>
        <v>09-909</v>
      </c>
      <c r="H10001" t="str">
        <f>"A"</f>
        <v>A</v>
      </c>
    </row>
    <row r="10002" spans="1:8" x14ac:dyDescent="0.2">
      <c r="A10002" t="str">
        <f t="shared" si="3615"/>
        <v>0614028804</v>
      </c>
      <c r="B10002" t="str">
        <f t="shared" si="3616"/>
        <v>ZACHERY</v>
      </c>
      <c r="C10002" t="str">
        <f t="shared" si="3611"/>
        <v>LOUIS</v>
      </c>
      <c r="D10002">
        <f>12</f>
        <v>12</v>
      </c>
      <c r="E10002" t="str">
        <f>"08 - B - 102 - Robert H Rindner"</f>
        <v>08 - B - 102 - Robert H Rindner</v>
      </c>
      <c r="F10002" t="str">
        <f>"TV PRODUCTION TECH 1"</f>
        <v>TV PRODUCTION TECH 1</v>
      </c>
      <c r="G10002" t="str">
        <f>"21-2160"</f>
        <v>21-2160</v>
      </c>
      <c r="H10002" t="str">
        <f>"B"</f>
        <v>B</v>
      </c>
    </row>
    <row r="10003" spans="1:8" x14ac:dyDescent="0.2">
      <c r="A10003" t="str">
        <f t="shared" ref="A10003:A10010" si="3617">"0615113097"</f>
        <v>0615113097</v>
      </c>
      <c r="B10003" t="str">
        <f t="shared" ref="B10003:B10010" si="3618">"KAYLAH"</f>
        <v>KAYLAH</v>
      </c>
      <c r="C10003" t="str">
        <f t="shared" ref="C10003:C10018" si="3619">"LOUISGENOR"</f>
        <v>LOUISGENOR</v>
      </c>
      <c r="D10003" t="str">
        <f t="shared" ref="D10003:D10010" si="3620">"09"</f>
        <v>09</v>
      </c>
      <c r="E10003" t="str">
        <f>"04 - A - 101 - Chrystina M Marchionne"</f>
        <v>04 - A - 101 - Chrystina M Marchionne</v>
      </c>
      <c r="F10003" t="str">
        <f>"THEA CIN &amp; FILM LH"</f>
        <v>THEA CIN &amp; FILM LH</v>
      </c>
      <c r="G10003" t="str">
        <f>"05-520"</f>
        <v>05-520</v>
      </c>
      <c r="H10003" t="str">
        <f>"A"</f>
        <v>A</v>
      </c>
    </row>
    <row r="10004" spans="1:8" x14ac:dyDescent="0.2">
      <c r="A10004" t="str">
        <f t="shared" si="3617"/>
        <v>0615113097</v>
      </c>
      <c r="B10004" t="str">
        <f t="shared" si="3618"/>
        <v>KAYLAH</v>
      </c>
      <c r="C10004" t="str">
        <f t="shared" si="3619"/>
        <v>LOUISGENOR</v>
      </c>
      <c r="D10004" t="str">
        <f t="shared" si="3620"/>
        <v>09</v>
      </c>
      <c r="E10004" t="str">
        <f>"06 - B - 104 - Rory T Sponsler"</f>
        <v>06 - B - 104 - Rory T Sponsler</v>
      </c>
      <c r="F10004" t="str">
        <f>"PRE-AICE WRLD HST IG"</f>
        <v>PRE-AICE WRLD HST IG</v>
      </c>
      <c r="G10004" t="str">
        <f>"17-1740"</f>
        <v>17-1740</v>
      </c>
      <c r="H10004" t="str">
        <f>"B"</f>
        <v>B</v>
      </c>
    </row>
    <row r="10005" spans="1:8" x14ac:dyDescent="0.2">
      <c r="A10005" t="str">
        <f t="shared" si="3617"/>
        <v>0615113097</v>
      </c>
      <c r="B10005" t="str">
        <f t="shared" si="3618"/>
        <v>KAYLAH</v>
      </c>
      <c r="C10005" t="str">
        <f t="shared" si="3619"/>
        <v>LOUISGENOR</v>
      </c>
      <c r="D10005" t="str">
        <f t="shared" si="3620"/>
        <v>09</v>
      </c>
      <c r="E10005" t="str">
        <f>"03 - A - 204 - Norayda D Suarez"</f>
        <v>03 - A - 204 - Norayda D Suarez</v>
      </c>
      <c r="F10005" t="str">
        <f>"ANAT PHYSIO HON"</f>
        <v>ANAT PHYSIO HON</v>
      </c>
      <c r="G10005" t="str">
        <f>"21-2144"</f>
        <v>21-2144</v>
      </c>
      <c r="H10005" t="str">
        <f>"A"</f>
        <v>A</v>
      </c>
    </row>
    <row r="10006" spans="1:8" x14ac:dyDescent="0.2">
      <c r="A10006" t="str">
        <f t="shared" si="3617"/>
        <v>0615113097</v>
      </c>
      <c r="B10006" t="str">
        <f t="shared" si="3618"/>
        <v>KAYLAH</v>
      </c>
      <c r="C10006" t="str">
        <f t="shared" si="3619"/>
        <v>LOUISGENOR</v>
      </c>
      <c r="D10006" t="str">
        <f t="shared" si="3620"/>
        <v>09</v>
      </c>
      <c r="E10006" t="str">
        <f>"02 - A - 109 - Krystal Marie  Beruty"</f>
        <v>02 - A - 109 - Krystal Marie  Beruty</v>
      </c>
      <c r="F10006" t="str">
        <f>"NC STUDY HALL 1"</f>
        <v>NC STUDY HALL 1</v>
      </c>
      <c r="G10006" t="str">
        <f>"17-1721"</f>
        <v>17-1721</v>
      </c>
      <c r="H10006" t="str">
        <f>"A"</f>
        <v>A</v>
      </c>
    </row>
    <row r="10007" spans="1:8" x14ac:dyDescent="0.2">
      <c r="A10007" t="str">
        <f t="shared" si="3617"/>
        <v>0615113097</v>
      </c>
      <c r="B10007" t="str">
        <f t="shared" si="3618"/>
        <v>KAYLAH</v>
      </c>
      <c r="C10007" t="str">
        <f t="shared" si="3619"/>
        <v>LOUISGENOR</v>
      </c>
      <c r="D10007" t="str">
        <f t="shared" si="3620"/>
        <v>09</v>
      </c>
      <c r="E10007" t="str">
        <f>"07 - B - 001 - Cheryl Anne  Berman-Schechter"</f>
        <v>07 - B - 001 - Cheryl Anne  Berman-Schechter</v>
      </c>
      <c r="F10007" t="str">
        <f>"AICE ENG GEN PAPER 1"</f>
        <v>AICE ENG GEN PAPER 1</v>
      </c>
      <c r="G10007" t="str">
        <f>"17-1722"</f>
        <v>17-1722</v>
      </c>
      <c r="H10007" t="str">
        <f>"B"</f>
        <v>B</v>
      </c>
    </row>
    <row r="10008" spans="1:8" x14ac:dyDescent="0.2">
      <c r="A10008" t="str">
        <f t="shared" si="3617"/>
        <v>0615113097</v>
      </c>
      <c r="B10008" t="str">
        <f t="shared" si="3618"/>
        <v>KAYLAH</v>
      </c>
      <c r="C10008" t="str">
        <f t="shared" si="3619"/>
        <v>LOUISGENOR</v>
      </c>
      <c r="D10008" t="str">
        <f t="shared" si="3620"/>
        <v>09</v>
      </c>
      <c r="E10008" t="str">
        <f>"05 - B - 105 - Adam Marcus  Drucker"</f>
        <v>05 - B - 105 - Adam Marcus  Drucker</v>
      </c>
      <c r="F10008" t="str">
        <f>"HOPE-PE V"</f>
        <v>HOPE-PE V</v>
      </c>
      <c r="G10008" t="str">
        <f>"04-254"</f>
        <v>04-254</v>
      </c>
      <c r="H10008" t="str">
        <f>"B"</f>
        <v>B</v>
      </c>
    </row>
    <row r="10009" spans="1:8" x14ac:dyDescent="0.2">
      <c r="A10009" t="str">
        <f t="shared" si="3617"/>
        <v>0615113097</v>
      </c>
      <c r="B10009" t="str">
        <f t="shared" si="3618"/>
        <v>KAYLAH</v>
      </c>
      <c r="C10009" t="str">
        <f t="shared" si="3619"/>
        <v>LOUISGENOR</v>
      </c>
      <c r="D10009" t="str">
        <f t="shared" si="3620"/>
        <v>09</v>
      </c>
      <c r="E10009" t="str">
        <f>"01 - A - 101 - Vanessa J Liburd"</f>
        <v>01 - A - 101 - Vanessa J Liburd</v>
      </c>
      <c r="F10009" t="str">
        <f>"PRE-AICE FRENCH 1 IG"</f>
        <v>PRE-AICE FRENCH 1 IG</v>
      </c>
      <c r="G10009" t="str">
        <f>"05-519"</f>
        <v>05-519</v>
      </c>
      <c r="H10009" t="str">
        <f>"A"</f>
        <v>A</v>
      </c>
    </row>
    <row r="10010" spans="1:8" x14ac:dyDescent="0.2">
      <c r="A10010" t="str">
        <f t="shared" si="3617"/>
        <v>0615113097</v>
      </c>
      <c r="B10010" t="str">
        <f t="shared" si="3618"/>
        <v>KAYLAH</v>
      </c>
      <c r="C10010" t="str">
        <f t="shared" si="3619"/>
        <v>LOUISGENOR</v>
      </c>
      <c r="D10010" t="str">
        <f t="shared" si="3620"/>
        <v>09</v>
      </c>
      <c r="E10010" t="str">
        <f>"08 - B - 105 - Ferrie J Arostique"</f>
        <v>08 - B - 105 - Ferrie J Arostique</v>
      </c>
      <c r="F10010" t="str">
        <f>"PRE-AICE MATH 2 IG"</f>
        <v>PRE-AICE MATH 2 IG</v>
      </c>
      <c r="G10010" t="str">
        <f>"21-2139"</f>
        <v>21-2139</v>
      </c>
      <c r="H10010" t="str">
        <f>"B"</f>
        <v>B</v>
      </c>
    </row>
    <row r="10011" spans="1:8" x14ac:dyDescent="0.2">
      <c r="A10011" t="str">
        <f t="shared" ref="A10011:A10018" si="3621">"0614083061"</f>
        <v>0614083061</v>
      </c>
      <c r="B10011" t="str">
        <f t="shared" ref="B10011:B10018" si="3622">"KYLE"</f>
        <v>KYLE</v>
      </c>
      <c r="C10011" t="str">
        <f t="shared" si="3619"/>
        <v>LOUISGENOR</v>
      </c>
      <c r="D10011">
        <f>10</f>
        <v>10</v>
      </c>
      <c r="E10011" t="str">
        <f>"04 - A - 105 - Jacklyn M James"</f>
        <v>04 - A - 105 - Jacklyn M James</v>
      </c>
      <c r="F10011" t="str">
        <f>"AICE ENG LANG AS"</f>
        <v>AICE ENG LANG AS</v>
      </c>
      <c r="G10011" t="str">
        <f>"17-1731"</f>
        <v>17-1731</v>
      </c>
      <c r="H10011" t="str">
        <f>"A"</f>
        <v>A</v>
      </c>
    </row>
    <row r="10012" spans="1:8" x14ac:dyDescent="0.2">
      <c r="A10012" t="str">
        <f t="shared" si="3621"/>
        <v>0614083061</v>
      </c>
      <c r="B10012" t="str">
        <f t="shared" si="3622"/>
        <v>KYLE</v>
      </c>
      <c r="C10012" t="str">
        <f t="shared" si="3619"/>
        <v>LOUISGENOR</v>
      </c>
      <c r="D10012">
        <f>10</f>
        <v>10</v>
      </c>
      <c r="E10012" t="str">
        <f>"06 - B - 108 - Jacklyn M James"</f>
        <v>06 - B - 108 - Jacklyn M James</v>
      </c>
      <c r="F10012" t="str">
        <f>"NC STUDY HALL 1"</f>
        <v>NC STUDY HALL 1</v>
      </c>
      <c r="G10012" t="str">
        <f>"17-1731"</f>
        <v>17-1731</v>
      </c>
      <c r="H10012" t="str">
        <f>"B"</f>
        <v>B</v>
      </c>
    </row>
    <row r="10013" spans="1:8" x14ac:dyDescent="0.2">
      <c r="A10013" t="str">
        <f t="shared" si="3621"/>
        <v>0614083061</v>
      </c>
      <c r="B10013" t="str">
        <f t="shared" si="3622"/>
        <v>KYLE</v>
      </c>
      <c r="C10013" t="str">
        <f t="shared" si="3619"/>
        <v>LOUISGENOR</v>
      </c>
      <c r="D10013">
        <f>10</f>
        <v>10</v>
      </c>
      <c r="E10013" t="str">
        <f>"03 - A - 002 - Lenecy  Nodarse"</f>
        <v>03 - A - 002 - Lenecy  Nodarse</v>
      </c>
      <c r="F10013" t="str">
        <f>"AICE EURO HIST 1 AS"</f>
        <v>AICE EURO HIST 1 AS</v>
      </c>
      <c r="G10013" t="str">
        <f>"17-1741"</f>
        <v>17-1741</v>
      </c>
      <c r="H10013" t="str">
        <f>"A"</f>
        <v>A</v>
      </c>
    </row>
    <row r="10014" spans="1:8" x14ac:dyDescent="0.2">
      <c r="A10014" t="str">
        <f t="shared" si="3621"/>
        <v>0614083061</v>
      </c>
      <c r="B10014" t="str">
        <f t="shared" si="3622"/>
        <v>KYLE</v>
      </c>
      <c r="C10014" t="str">
        <f t="shared" si="3619"/>
        <v>LOUISGENOR</v>
      </c>
      <c r="D10014">
        <f>10</f>
        <v>10</v>
      </c>
      <c r="E10014" t="str">
        <f>"02 - A - 103 - Dorothy D Moore"</f>
        <v>02 - A - 103 - Dorothy D Moore</v>
      </c>
      <c r="F10014" t="str">
        <f>"ANAT PHYSIO HON"</f>
        <v>ANAT PHYSIO HON</v>
      </c>
      <c r="G10014" t="str">
        <f>"08-803"</f>
        <v>08-803</v>
      </c>
      <c r="H10014" t="str">
        <f>"A"</f>
        <v>A</v>
      </c>
    </row>
    <row r="10015" spans="1:8" x14ac:dyDescent="0.2">
      <c r="A10015" t="str">
        <f t="shared" si="3621"/>
        <v>0614083061</v>
      </c>
      <c r="B10015" t="str">
        <f t="shared" si="3622"/>
        <v>KYLE</v>
      </c>
      <c r="C10015" t="str">
        <f t="shared" si="3619"/>
        <v>LOUISGENOR</v>
      </c>
      <c r="D10015">
        <f>10</f>
        <v>10</v>
      </c>
      <c r="E10015" t="str">
        <f>"07 - B - 202 - Chrystina M Marchionne"</f>
        <v>07 - B - 202 - Chrystina M Marchionne</v>
      </c>
      <c r="F10015" t="str">
        <f>"JOURN 1 (YB) LH"</f>
        <v>JOURN 1 (YB) LH</v>
      </c>
      <c r="G10015" t="str">
        <f>"05-520"</f>
        <v>05-520</v>
      </c>
      <c r="H10015" t="str">
        <f>"B"</f>
        <v>B</v>
      </c>
    </row>
    <row r="10016" spans="1:8" x14ac:dyDescent="0.2">
      <c r="A10016" t="str">
        <f t="shared" si="3621"/>
        <v>0614083061</v>
      </c>
      <c r="B10016" t="str">
        <f t="shared" si="3622"/>
        <v>KYLE</v>
      </c>
      <c r="C10016" t="str">
        <f t="shared" si="3619"/>
        <v>LOUISGENOR</v>
      </c>
      <c r="D10016">
        <f>10</f>
        <v>10</v>
      </c>
      <c r="E10016" t="str">
        <f>"05 - B - 103 - Vanessa J Liburd"</f>
        <v>05 - B - 103 - Vanessa J Liburd</v>
      </c>
      <c r="F10016" t="str">
        <f>"PRE-AICE FRENCH 2 IG"</f>
        <v>PRE-AICE FRENCH 2 IG</v>
      </c>
      <c r="G10016" t="str">
        <f>"05-519"</f>
        <v>05-519</v>
      </c>
      <c r="H10016" t="str">
        <f>"B"</f>
        <v>B</v>
      </c>
    </row>
    <row r="10017" spans="1:8" x14ac:dyDescent="0.2">
      <c r="A10017" t="str">
        <f t="shared" si="3621"/>
        <v>0614083061</v>
      </c>
      <c r="B10017" t="str">
        <f t="shared" si="3622"/>
        <v>KYLE</v>
      </c>
      <c r="C10017" t="str">
        <f t="shared" si="3619"/>
        <v>LOUISGENOR</v>
      </c>
      <c r="D10017">
        <f>10</f>
        <v>10</v>
      </c>
      <c r="E10017" t="str">
        <f>"01 - A - 102 - Brook E Goren"</f>
        <v>01 - A - 102 - Brook E Goren</v>
      </c>
      <c r="F10017" t="str">
        <f>"PRE-AICE MATH 2 IG"</f>
        <v>PRE-AICE MATH 2 IG</v>
      </c>
      <c r="G10017" t="str">
        <f>"21-2158"</f>
        <v>21-2158</v>
      </c>
      <c r="H10017" t="str">
        <f>"A"</f>
        <v>A</v>
      </c>
    </row>
    <row r="10018" spans="1:8" x14ac:dyDescent="0.2">
      <c r="A10018" t="str">
        <f t="shared" si="3621"/>
        <v>0614083061</v>
      </c>
      <c r="B10018" t="str">
        <f t="shared" si="3622"/>
        <v>KYLE</v>
      </c>
      <c r="C10018" t="str">
        <f t="shared" si="3619"/>
        <v>LOUISGENOR</v>
      </c>
      <c r="D10018">
        <f>10</f>
        <v>10</v>
      </c>
      <c r="E10018" t="str">
        <f>"08 - B - 206 - Daniel S Katz"</f>
        <v>08 - B - 206 - Daniel S Katz</v>
      </c>
      <c r="F10018" t="str">
        <f>"AICE MEDIASTUDIES AS"</f>
        <v>AICE MEDIASTUDIES AS</v>
      </c>
      <c r="G10018" t="str">
        <f>"05-521"</f>
        <v>05-521</v>
      </c>
      <c r="H10018" t="str">
        <f>"B"</f>
        <v>B</v>
      </c>
    </row>
    <row r="10019" spans="1:8" x14ac:dyDescent="0.2">
      <c r="A10019" t="str">
        <f t="shared" ref="A10019:A10026" si="3623">"0614039312"</f>
        <v>0614039312</v>
      </c>
      <c r="B10019" t="str">
        <f t="shared" ref="B10019:B10026" si="3624">"ADIAS"</f>
        <v>ADIAS</v>
      </c>
      <c r="C10019" t="str">
        <f t="shared" ref="C10019:C10034" si="3625">"LOUIS JEUNE"</f>
        <v>LOUIS JEUNE</v>
      </c>
      <c r="D10019">
        <f>12</f>
        <v>12</v>
      </c>
      <c r="E10019" t="str">
        <f>"04 - A - 201 - Vanessa J Liburd"</f>
        <v>04 - A - 201 - Vanessa J Liburd</v>
      </c>
      <c r="F10019" t="str">
        <f>"FRENCH 4 HON"</f>
        <v>FRENCH 4 HON</v>
      </c>
      <c r="G10019" t="str">
        <f>"05-519"</f>
        <v>05-519</v>
      </c>
      <c r="H10019" t="str">
        <f>"A"</f>
        <v>A</v>
      </c>
    </row>
    <row r="10020" spans="1:8" x14ac:dyDescent="0.2">
      <c r="A10020" t="str">
        <f t="shared" si="3623"/>
        <v>0614039312</v>
      </c>
      <c r="B10020" t="str">
        <f t="shared" si="3624"/>
        <v>ADIAS</v>
      </c>
      <c r="C10020" t="str">
        <f t="shared" si="3625"/>
        <v>LOUIS JEUNE</v>
      </c>
      <c r="D10020">
        <f>12</f>
        <v>12</v>
      </c>
      <c r="E10020" t="str">
        <f>"06 - B - 101 - Cliffon  Saurel"</f>
        <v>06 - B - 101 - Cliffon  Saurel</v>
      </c>
      <c r="F10020" t="str">
        <f>"NC STUDY HALL 1"</f>
        <v>NC STUDY HALL 1</v>
      </c>
      <c r="G10020" t="str">
        <f>"05-522"</f>
        <v>05-522</v>
      </c>
      <c r="H10020" t="str">
        <f>"B"</f>
        <v>B</v>
      </c>
    </row>
    <row r="10021" spans="1:8" x14ac:dyDescent="0.2">
      <c r="A10021" t="str">
        <f t="shared" si="3623"/>
        <v>0614039312</v>
      </c>
      <c r="B10021" t="str">
        <f t="shared" si="3624"/>
        <v>ADIAS</v>
      </c>
      <c r="C10021" t="str">
        <f t="shared" si="3625"/>
        <v>LOUIS JEUNE</v>
      </c>
      <c r="D10021">
        <f>12</f>
        <v>12</v>
      </c>
      <c r="E10021" t="str">
        <f>"03 - A - 203 - Stefanie S Scher"</f>
        <v>03 - A - 203 - Stefanie S Scher</v>
      </c>
      <c r="F10021" t="str">
        <f>"AP PSYCH"</f>
        <v>AP PSYCH</v>
      </c>
      <c r="G10021" t="str">
        <f>"17-1735"</f>
        <v>17-1735</v>
      </c>
      <c r="H10021" t="str">
        <f>"A"</f>
        <v>A</v>
      </c>
    </row>
    <row r="10022" spans="1:8" x14ac:dyDescent="0.2">
      <c r="A10022" t="str">
        <f t="shared" si="3623"/>
        <v>0614039312</v>
      </c>
      <c r="B10022" t="str">
        <f t="shared" si="3624"/>
        <v>ADIAS</v>
      </c>
      <c r="C10022" t="str">
        <f t="shared" si="3625"/>
        <v>LOUIS JEUNE</v>
      </c>
      <c r="D10022">
        <f>12</f>
        <v>12</v>
      </c>
      <c r="E10022" t="str">
        <f>"02 - A - 102 - Marielle A Witting"</f>
        <v>02 - A - 102 - Marielle A Witting</v>
      </c>
      <c r="F10022" t="str">
        <f>"AP BIO"</f>
        <v>AP BIO</v>
      </c>
      <c r="G10022" t="str">
        <f>"08-805"</f>
        <v>08-805</v>
      </c>
      <c r="H10022" t="str">
        <f>"A"</f>
        <v>A</v>
      </c>
    </row>
    <row r="10023" spans="1:8" x14ac:dyDescent="0.2">
      <c r="A10023" t="str">
        <f t="shared" si="3623"/>
        <v>0614039312</v>
      </c>
      <c r="B10023" t="str">
        <f t="shared" si="3624"/>
        <v>ADIAS</v>
      </c>
      <c r="C10023" t="str">
        <f t="shared" si="3625"/>
        <v>LOUIS JEUNE</v>
      </c>
      <c r="D10023">
        <f>12</f>
        <v>12</v>
      </c>
      <c r="E10023" t="str">
        <f>"07 - S1 - B - 101 - Stephen T Ripp"</f>
        <v>07 - S1 - B - 101 - Stephen T Ripp</v>
      </c>
      <c r="F10023" t="str">
        <f>"AP US GOVT/POL"</f>
        <v>AP US GOVT/POL</v>
      </c>
      <c r="G10023" t="str">
        <f>"17-1744"</f>
        <v>17-1744</v>
      </c>
      <c r="H10023" t="str">
        <f>"B"</f>
        <v>B</v>
      </c>
    </row>
    <row r="10024" spans="1:8" x14ac:dyDescent="0.2">
      <c r="A10024" t="str">
        <f t="shared" si="3623"/>
        <v>0614039312</v>
      </c>
      <c r="B10024" t="str">
        <f t="shared" si="3624"/>
        <v>ADIAS</v>
      </c>
      <c r="C10024" t="str">
        <f t="shared" si="3625"/>
        <v>LOUIS JEUNE</v>
      </c>
      <c r="D10024">
        <f>12</f>
        <v>12</v>
      </c>
      <c r="E10024" t="str">
        <f>"05 - B - 103 - Brandy N Zdenek"</f>
        <v>05 - B - 103 - Brandy N Zdenek</v>
      </c>
      <c r="F10024" t="str">
        <f>"AICE ENG LANG 2 AL"</f>
        <v>AICE ENG LANG 2 AL</v>
      </c>
      <c r="G10024" t="str">
        <f>"17-1704"</f>
        <v>17-1704</v>
      </c>
      <c r="H10024" t="str">
        <f>"B"</f>
        <v>B</v>
      </c>
    </row>
    <row r="10025" spans="1:8" x14ac:dyDescent="0.2">
      <c r="A10025" t="str">
        <f t="shared" si="3623"/>
        <v>0614039312</v>
      </c>
      <c r="B10025" t="str">
        <f t="shared" si="3624"/>
        <v>ADIAS</v>
      </c>
      <c r="C10025" t="str">
        <f t="shared" si="3625"/>
        <v>LOUIS JEUNE</v>
      </c>
      <c r="D10025">
        <f>12</f>
        <v>12</v>
      </c>
      <c r="E10025" t="str">
        <f>"01 - A - 103 - Scott A Dethloff"</f>
        <v>01 - A - 103 - Scott A Dethloff</v>
      </c>
      <c r="F10025" t="str">
        <f>"AICE THINK SKLS 1 AS"</f>
        <v>AICE THINK SKLS 1 AS</v>
      </c>
      <c r="G10025" t="str">
        <f>"08-812"</f>
        <v>08-812</v>
      </c>
      <c r="H10025" t="str">
        <f>"A"</f>
        <v>A</v>
      </c>
    </row>
    <row r="10026" spans="1:8" x14ac:dyDescent="0.2">
      <c r="A10026" t="str">
        <f t="shared" si="3623"/>
        <v>0614039312</v>
      </c>
      <c r="B10026" t="str">
        <f t="shared" si="3624"/>
        <v>ADIAS</v>
      </c>
      <c r="C10026" t="str">
        <f t="shared" si="3625"/>
        <v>LOUIS JEUNE</v>
      </c>
      <c r="D10026">
        <f>12</f>
        <v>12</v>
      </c>
      <c r="E10026" t="str">
        <f>"08 - B - 102 - Pamela M Corzo"</f>
        <v>08 - B - 102 - Pamela M Corzo</v>
      </c>
      <c r="F10026" t="str">
        <f>"AP STAT"</f>
        <v>AP STAT</v>
      </c>
      <c r="G10026" t="str">
        <f>"21-2133"</f>
        <v>21-2133</v>
      </c>
      <c r="H10026" t="str">
        <f>"B"</f>
        <v>B</v>
      </c>
    </row>
    <row r="10027" spans="1:8" x14ac:dyDescent="0.2">
      <c r="A10027" t="str">
        <f t="shared" ref="A10027:A10034" si="3626">"0618121087"</f>
        <v>0618121087</v>
      </c>
      <c r="B10027" t="str">
        <f t="shared" ref="B10027:B10034" si="3627">"QUAMAINE"</f>
        <v>QUAMAINE</v>
      </c>
      <c r="C10027" t="str">
        <f t="shared" si="3625"/>
        <v>LOUIS JEUNE</v>
      </c>
      <c r="D10027" t="str">
        <f t="shared" ref="D10027:D10034" si="3628">"09"</f>
        <v>09</v>
      </c>
      <c r="E10027" t="str">
        <f>"04 - A - 103 - Lenecy  Nodarse"</f>
        <v>04 - A - 103 - Lenecy  Nodarse</v>
      </c>
      <c r="F10027" t="str">
        <f>"WORLD HISTORY"</f>
        <v>WORLD HISTORY</v>
      </c>
      <c r="G10027" t="str">
        <f>"17-1741"</f>
        <v>17-1741</v>
      </c>
      <c r="H10027" t="str">
        <f>"A"</f>
        <v>A</v>
      </c>
    </row>
    <row r="10028" spans="1:8" x14ac:dyDescent="0.2">
      <c r="A10028" t="str">
        <f t="shared" si="3626"/>
        <v>0618121087</v>
      </c>
      <c r="B10028" t="str">
        <f t="shared" si="3627"/>
        <v>QUAMAINE</v>
      </c>
      <c r="C10028" t="str">
        <f t="shared" si="3625"/>
        <v>LOUIS JEUNE</v>
      </c>
      <c r="D10028" t="str">
        <f t="shared" si="3628"/>
        <v>09</v>
      </c>
      <c r="E10028" t="str">
        <f>"06 - B - 104 - Laselleda D Shaw"</f>
        <v>06 - B - 104 - Laselleda D Shaw</v>
      </c>
      <c r="F10028" t="str">
        <f>"INTENS READ 1"</f>
        <v>INTENS READ 1</v>
      </c>
      <c r="G10028" t="str">
        <f>"17-1723"</f>
        <v>17-1723</v>
      </c>
      <c r="H10028" t="str">
        <f>"B"</f>
        <v>B</v>
      </c>
    </row>
    <row r="10029" spans="1:8" x14ac:dyDescent="0.2">
      <c r="A10029" t="str">
        <f t="shared" si="3626"/>
        <v>0618121087</v>
      </c>
      <c r="B10029" t="str">
        <f t="shared" si="3627"/>
        <v>QUAMAINE</v>
      </c>
      <c r="C10029" t="str">
        <f t="shared" si="3625"/>
        <v>LOUIS JEUNE</v>
      </c>
      <c r="D10029" t="str">
        <f t="shared" si="3628"/>
        <v>09</v>
      </c>
      <c r="E10029" t="str">
        <f>"03 - A - 101 - Helen A Flores"</f>
        <v>03 - A - 101 - Helen A Flores</v>
      </c>
      <c r="F10029" t="str">
        <f>"PRE-AICE MATH 1 IG"</f>
        <v>PRE-AICE MATH 1 IG</v>
      </c>
      <c r="G10029" t="str">
        <f>"21-2101"</f>
        <v>21-2101</v>
      </c>
      <c r="H10029" t="str">
        <f>"A"</f>
        <v>A</v>
      </c>
    </row>
    <row r="10030" spans="1:8" x14ac:dyDescent="0.2">
      <c r="A10030" t="str">
        <f t="shared" si="3626"/>
        <v>0618121087</v>
      </c>
      <c r="B10030" t="str">
        <f t="shared" si="3627"/>
        <v>QUAMAINE</v>
      </c>
      <c r="C10030" t="str">
        <f t="shared" si="3625"/>
        <v>LOUIS JEUNE</v>
      </c>
      <c r="D10030" t="str">
        <f t="shared" si="3628"/>
        <v>09</v>
      </c>
      <c r="E10030" t="str">
        <f>"02 - A - 101 - Josiah I Lacy"</f>
        <v>02 - A - 101 - Josiah I Lacy</v>
      </c>
      <c r="F10030" t="str">
        <f>"NC STUDY HALL 1"</f>
        <v>NC STUDY HALL 1</v>
      </c>
      <c r="G10030" t="str">
        <f>"08-801"</f>
        <v>08-801</v>
      </c>
      <c r="H10030" t="str">
        <f>"A"</f>
        <v>A</v>
      </c>
    </row>
    <row r="10031" spans="1:8" x14ac:dyDescent="0.2">
      <c r="A10031" t="str">
        <f t="shared" si="3626"/>
        <v>0618121087</v>
      </c>
      <c r="B10031" t="str">
        <f t="shared" si="3627"/>
        <v>QUAMAINE</v>
      </c>
      <c r="C10031" t="str">
        <f t="shared" si="3625"/>
        <v>LOUIS JEUNE</v>
      </c>
      <c r="D10031" t="str">
        <f t="shared" si="3628"/>
        <v>09</v>
      </c>
      <c r="E10031" t="str">
        <f>"07 - B - 107 - Cerine S Stewart"</f>
        <v>07 - B - 107 - Cerine S Stewart</v>
      </c>
      <c r="F10031" t="str">
        <f>"ENG 1"</f>
        <v>ENG 1</v>
      </c>
      <c r="G10031" t="str">
        <f>"17-1720"</f>
        <v>17-1720</v>
      </c>
      <c r="H10031" t="str">
        <f>"B"</f>
        <v>B</v>
      </c>
    </row>
    <row r="10032" spans="1:8" x14ac:dyDescent="0.2">
      <c r="A10032" t="str">
        <f t="shared" si="3626"/>
        <v>0618121087</v>
      </c>
      <c r="B10032" t="str">
        <f t="shared" si="3627"/>
        <v>QUAMAINE</v>
      </c>
      <c r="C10032" t="str">
        <f t="shared" si="3625"/>
        <v>LOUIS JEUNE</v>
      </c>
      <c r="D10032" t="str">
        <f t="shared" si="3628"/>
        <v>09</v>
      </c>
      <c r="E10032" t="str">
        <f>"05 - B - 202 - Amy Beth  Broyles"</f>
        <v>05 - B - 202 - Amy Beth  Broyles</v>
      </c>
      <c r="F10032" t="str">
        <f>"ENV SCI"</f>
        <v>ENV SCI</v>
      </c>
      <c r="G10032" t="str">
        <f>"08-802"</f>
        <v>08-802</v>
      </c>
      <c r="H10032" t="str">
        <f>"B"</f>
        <v>B</v>
      </c>
    </row>
    <row r="10033" spans="1:8" x14ac:dyDescent="0.2">
      <c r="A10033" t="str">
        <f t="shared" si="3626"/>
        <v>0618121087</v>
      </c>
      <c r="B10033" t="str">
        <f t="shared" si="3627"/>
        <v>QUAMAINE</v>
      </c>
      <c r="C10033" t="str">
        <f t="shared" si="3625"/>
        <v>LOUIS JEUNE</v>
      </c>
      <c r="D10033" t="str">
        <f t="shared" si="3628"/>
        <v>09</v>
      </c>
      <c r="E10033" t="str">
        <f>"01 - S1 - A - 101 - Leslie J Barton"</f>
        <v>01 - S1 - A - 101 - Leslie J Barton</v>
      </c>
      <c r="F10033" t="str">
        <f>"FIRST AID SAFETY"</f>
        <v>FIRST AID SAFETY</v>
      </c>
      <c r="G10033" t="str">
        <f>"05-521"</f>
        <v>05-521</v>
      </c>
      <c r="H10033" t="str">
        <f>"A"</f>
        <v>A</v>
      </c>
    </row>
    <row r="10034" spans="1:8" x14ac:dyDescent="0.2">
      <c r="A10034" t="str">
        <f t="shared" si="3626"/>
        <v>0618121087</v>
      </c>
      <c r="B10034" t="str">
        <f t="shared" si="3627"/>
        <v>QUAMAINE</v>
      </c>
      <c r="C10034" t="str">
        <f t="shared" si="3625"/>
        <v>LOUIS JEUNE</v>
      </c>
      <c r="D10034" t="str">
        <f t="shared" si="3628"/>
        <v>09</v>
      </c>
      <c r="E10034" t="str">
        <f>"08 - B - 108 - Adam Marcus  Drucker"</f>
        <v>08 - B - 108 - Adam Marcus  Drucker</v>
      </c>
      <c r="F10034" t="str">
        <f>"HOPE-PE V"</f>
        <v>HOPE-PE V</v>
      </c>
      <c r="G10034" t="str">
        <f>"04-254"</f>
        <v>04-254</v>
      </c>
      <c r="H10034" t="str">
        <f>"B"</f>
        <v>B</v>
      </c>
    </row>
    <row r="10035" spans="1:8" x14ac:dyDescent="0.2">
      <c r="A10035" t="str">
        <f t="shared" ref="A10035:A10042" si="3629">"0616002430"</f>
        <v>0616002430</v>
      </c>
      <c r="B10035" t="str">
        <f t="shared" ref="B10035:B10042" si="3630">"KERVENSKY"</f>
        <v>KERVENSKY</v>
      </c>
      <c r="C10035" t="str">
        <f t="shared" ref="C10035:C10042" si="3631">"LOUISSAINT"</f>
        <v>LOUISSAINT</v>
      </c>
      <c r="D10035">
        <f>10</f>
        <v>10</v>
      </c>
      <c r="E10035" t="str">
        <f>"04 - S1 - A - 103 - Rory T Sponsler"</f>
        <v>04 - S1 - A - 103 - Rory T Sponsler</v>
      </c>
      <c r="F10035" t="str">
        <f>"WOMENS STUDIES LH"</f>
        <v>WOMENS STUDIES LH</v>
      </c>
      <c r="G10035" t="str">
        <f>"17-1740"</f>
        <v>17-1740</v>
      </c>
      <c r="H10035" t="str">
        <f>"A"</f>
        <v>A</v>
      </c>
    </row>
    <row r="10036" spans="1:8" x14ac:dyDescent="0.2">
      <c r="A10036" t="str">
        <f t="shared" si="3629"/>
        <v>0616002430</v>
      </c>
      <c r="B10036" t="str">
        <f t="shared" si="3630"/>
        <v>KERVENSKY</v>
      </c>
      <c r="C10036" t="str">
        <f t="shared" si="3631"/>
        <v>LOUISSAINT</v>
      </c>
      <c r="D10036">
        <f>10</f>
        <v>10</v>
      </c>
      <c r="E10036" t="str">
        <f>"06 - B - 110 - Jerry S Jiampetti"</f>
        <v>06 - B - 110 - Jerry S Jiampetti</v>
      </c>
      <c r="F10036" t="str">
        <f>"NC STUDY HALL 1"</f>
        <v>NC STUDY HALL 1</v>
      </c>
      <c r="G10036" t="str">
        <f>"17-1751"</f>
        <v>17-1751</v>
      </c>
      <c r="H10036" t="str">
        <f>"B"</f>
        <v>B</v>
      </c>
    </row>
    <row r="10037" spans="1:8" x14ac:dyDescent="0.2">
      <c r="A10037" t="str">
        <f t="shared" si="3629"/>
        <v>0616002430</v>
      </c>
      <c r="B10037" t="str">
        <f t="shared" si="3630"/>
        <v>KERVENSKY</v>
      </c>
      <c r="C10037" t="str">
        <f t="shared" si="3631"/>
        <v>LOUISSAINT</v>
      </c>
      <c r="D10037">
        <f>10</f>
        <v>10</v>
      </c>
      <c r="E10037" t="str">
        <f>"03 - A - 103 - Taraneh C Abreu"</f>
        <v>03 - A - 103 - Taraneh C Abreu</v>
      </c>
      <c r="F10037" t="str">
        <f>"INTENS READ 2"</f>
        <v>INTENS READ 2</v>
      </c>
      <c r="G10037" t="str">
        <f>"17-1713"</f>
        <v>17-1713</v>
      </c>
      <c r="H10037" t="str">
        <f>"A"</f>
        <v>A</v>
      </c>
    </row>
    <row r="10038" spans="1:8" x14ac:dyDescent="0.2">
      <c r="A10038" t="str">
        <f t="shared" si="3629"/>
        <v>0616002430</v>
      </c>
      <c r="B10038" t="str">
        <f t="shared" si="3630"/>
        <v>KERVENSKY</v>
      </c>
      <c r="C10038" t="str">
        <f t="shared" si="3631"/>
        <v>LOUISSAINT</v>
      </c>
      <c r="D10038">
        <f>10</f>
        <v>10</v>
      </c>
      <c r="E10038" t="str">
        <f>"02 - A - 102 - Adam Marcus  Drucker"</f>
        <v>02 - A - 102 - Adam Marcus  Drucker</v>
      </c>
      <c r="F10038" t="str">
        <f>"HOPE-PE V"</f>
        <v>HOPE-PE V</v>
      </c>
      <c r="G10038" t="str">
        <f>"04-254"</f>
        <v>04-254</v>
      </c>
      <c r="H10038" t="str">
        <f>"A"</f>
        <v>A</v>
      </c>
    </row>
    <row r="10039" spans="1:8" x14ac:dyDescent="0.2">
      <c r="A10039" t="str">
        <f t="shared" si="3629"/>
        <v>0616002430</v>
      </c>
      <c r="B10039" t="str">
        <f t="shared" si="3630"/>
        <v>KERVENSKY</v>
      </c>
      <c r="C10039" t="str">
        <f t="shared" si="3631"/>
        <v>LOUISSAINT</v>
      </c>
      <c r="D10039">
        <f>10</f>
        <v>10</v>
      </c>
      <c r="E10039" t="str">
        <f>"07 - B - 002 - Jazmin S Fletcher"</f>
        <v>07 - B - 002 - Jazmin S Fletcher</v>
      </c>
      <c r="F10039" t="str">
        <f>"THEATRE 1"</f>
        <v>THEATRE 1</v>
      </c>
      <c r="G10039" t="str">
        <f>"09-909"</f>
        <v>09-909</v>
      </c>
      <c r="H10039" t="str">
        <f>"B"</f>
        <v>B</v>
      </c>
    </row>
    <row r="10040" spans="1:8" x14ac:dyDescent="0.2">
      <c r="A10040" t="str">
        <f t="shared" si="3629"/>
        <v>0616002430</v>
      </c>
      <c r="B10040" t="str">
        <f t="shared" si="3630"/>
        <v>KERVENSKY</v>
      </c>
      <c r="C10040" t="str">
        <f t="shared" si="3631"/>
        <v>LOUISSAINT</v>
      </c>
      <c r="D10040">
        <f>10</f>
        <v>10</v>
      </c>
      <c r="E10040" t="str">
        <f>"05 - B - 107 - Nikiel  Nesbeth"</f>
        <v>05 - B - 107 - Nikiel  Nesbeth</v>
      </c>
      <c r="F10040" t="str">
        <f>"ENG 2"</f>
        <v>ENG 2</v>
      </c>
      <c r="G10040" t="str">
        <f>"17-1705"</f>
        <v>17-1705</v>
      </c>
      <c r="H10040" t="str">
        <f>"B"</f>
        <v>B</v>
      </c>
    </row>
    <row r="10041" spans="1:8" x14ac:dyDescent="0.2">
      <c r="A10041" t="str">
        <f t="shared" si="3629"/>
        <v>0616002430</v>
      </c>
      <c r="B10041" t="str">
        <f t="shared" si="3630"/>
        <v>KERVENSKY</v>
      </c>
      <c r="C10041" t="str">
        <f t="shared" si="3631"/>
        <v>LOUISSAINT</v>
      </c>
      <c r="D10041">
        <f>10</f>
        <v>10</v>
      </c>
      <c r="E10041" t="str">
        <f>"01 - A - 101 - Ferrie J Arostique"</f>
        <v>01 - A - 101 - Ferrie J Arostique</v>
      </c>
      <c r="F10041" t="str">
        <f>"GEOMETRY"</f>
        <v>GEOMETRY</v>
      </c>
      <c r="G10041" t="str">
        <f>"21-2139"</f>
        <v>21-2139</v>
      </c>
      <c r="H10041" t="str">
        <f>"A"</f>
        <v>A</v>
      </c>
    </row>
    <row r="10042" spans="1:8" x14ac:dyDescent="0.2">
      <c r="A10042" t="str">
        <f t="shared" si="3629"/>
        <v>0616002430</v>
      </c>
      <c r="B10042" t="str">
        <f t="shared" si="3630"/>
        <v>KERVENSKY</v>
      </c>
      <c r="C10042" t="str">
        <f t="shared" si="3631"/>
        <v>LOUISSAINT</v>
      </c>
      <c r="D10042">
        <f>10</f>
        <v>10</v>
      </c>
      <c r="E10042" t="str">
        <f>"08 - B - 001 - Lytrell T Dixon"</f>
        <v>08 - B - 001 - Lytrell T Dixon</v>
      </c>
      <c r="F10042" t="str">
        <f>"BIOLOGY 1"</f>
        <v>BIOLOGY 1</v>
      </c>
      <c r="G10042" t="str">
        <f>"08-808"</f>
        <v>08-808</v>
      </c>
      <c r="H10042" t="str">
        <f>"B"</f>
        <v>B</v>
      </c>
    </row>
    <row r="10043" spans="1:8" x14ac:dyDescent="0.2">
      <c r="A10043" t="str">
        <f t="shared" ref="A10043:A10050" si="3632">"0625047287"</f>
        <v>0625047287</v>
      </c>
      <c r="B10043" t="str">
        <f t="shared" ref="B10043:B10050" si="3633">"Cadence"</f>
        <v>Cadence</v>
      </c>
      <c r="C10043" t="str">
        <f t="shared" ref="C10043:C10050" si="3634">"Loustaunau-Short"</f>
        <v>Loustaunau-Short</v>
      </c>
      <c r="D10043" t="str">
        <f t="shared" ref="D10043:D10050" si="3635">"09"</f>
        <v>09</v>
      </c>
      <c r="E10043" t="str">
        <f>"04 - S1 - A - 101 - Kyle  Robbins"</f>
        <v>04 - S1 - A - 101 - Kyle  Robbins</v>
      </c>
      <c r="F10043" t="str">
        <f>"PERS FIN &amp; MON MGT H"</f>
        <v>PERS FIN &amp; MON MGT H</v>
      </c>
      <c r="G10043" t="str">
        <f>"17-1745"</f>
        <v>17-1745</v>
      </c>
      <c r="H10043" t="str">
        <f>"A"</f>
        <v>A</v>
      </c>
    </row>
    <row r="10044" spans="1:8" x14ac:dyDescent="0.2">
      <c r="A10044" t="str">
        <f t="shared" si="3632"/>
        <v>0625047287</v>
      </c>
      <c r="B10044" t="str">
        <f t="shared" si="3633"/>
        <v>Cadence</v>
      </c>
      <c r="C10044" t="str">
        <f t="shared" si="3634"/>
        <v>Loustaunau-Short</v>
      </c>
      <c r="D10044" t="str">
        <f t="shared" si="3635"/>
        <v>09</v>
      </c>
      <c r="E10044" t="str">
        <f>"06 - B - 105 - Cerine S Stewart"</f>
        <v>06 - B - 105 - Cerine S Stewart</v>
      </c>
      <c r="F10044" t="str">
        <f>"AICE ENG GEN PAPER 1"</f>
        <v>AICE ENG GEN PAPER 1</v>
      </c>
      <c r="G10044" t="str">
        <f>"17-1720"</f>
        <v>17-1720</v>
      </c>
      <c r="H10044" t="str">
        <f>"B"</f>
        <v>B</v>
      </c>
    </row>
    <row r="10045" spans="1:8" x14ac:dyDescent="0.2">
      <c r="A10045" t="str">
        <f t="shared" si="3632"/>
        <v>0625047287</v>
      </c>
      <c r="B10045" t="str">
        <f t="shared" si="3633"/>
        <v>Cadence</v>
      </c>
      <c r="C10045" t="str">
        <f t="shared" si="3634"/>
        <v>Loustaunau-Short</v>
      </c>
      <c r="D10045" t="str">
        <f t="shared" si="3635"/>
        <v>09</v>
      </c>
      <c r="E10045" t="str">
        <f>"03 - A - 101 - Helen A Flores"</f>
        <v>03 - A - 101 - Helen A Flores</v>
      </c>
      <c r="F10045" t="str">
        <f>"PRE-AICE MATH 1 IG"</f>
        <v>PRE-AICE MATH 1 IG</v>
      </c>
      <c r="G10045" t="str">
        <f>"21-2101"</f>
        <v>21-2101</v>
      </c>
      <c r="H10045" t="str">
        <f>"A"</f>
        <v>A</v>
      </c>
    </row>
    <row r="10046" spans="1:8" x14ac:dyDescent="0.2">
      <c r="A10046" t="str">
        <f t="shared" si="3632"/>
        <v>0625047287</v>
      </c>
      <c r="B10046" t="str">
        <f t="shared" si="3633"/>
        <v>Cadence</v>
      </c>
      <c r="C10046" t="str">
        <f t="shared" si="3634"/>
        <v>Loustaunau-Short</v>
      </c>
      <c r="D10046" t="str">
        <f t="shared" si="3635"/>
        <v>09</v>
      </c>
      <c r="E10046" t="str">
        <f>"02 - A - 108 - Rory T Sponsler"</f>
        <v>02 - A - 108 - Rory T Sponsler</v>
      </c>
      <c r="F10046" t="str">
        <f>"NC STUDY HALL 1"</f>
        <v>NC STUDY HALL 1</v>
      </c>
      <c r="G10046" t="str">
        <f>"17-1740"</f>
        <v>17-1740</v>
      </c>
      <c r="H10046" t="str">
        <f>"A"</f>
        <v>A</v>
      </c>
    </row>
    <row r="10047" spans="1:8" x14ac:dyDescent="0.2">
      <c r="A10047" t="str">
        <f t="shared" si="3632"/>
        <v>0625047287</v>
      </c>
      <c r="B10047" t="str">
        <f t="shared" si="3633"/>
        <v>Cadence</v>
      </c>
      <c r="C10047" t="str">
        <f t="shared" si="3634"/>
        <v>Loustaunau-Short</v>
      </c>
      <c r="D10047" t="str">
        <f t="shared" si="3635"/>
        <v>09</v>
      </c>
      <c r="E10047" t="str">
        <f>"07 - B - 001 - Carol S Moore"</f>
        <v>07 - B - 001 - Carol S Moore</v>
      </c>
      <c r="F10047" t="str">
        <f>"PRE-AICE WRLD HST IG"</f>
        <v>PRE-AICE WRLD HST IG</v>
      </c>
      <c r="G10047" t="str">
        <f>"17-1733"</f>
        <v>17-1733</v>
      </c>
      <c r="H10047" t="str">
        <f>"B"</f>
        <v>B</v>
      </c>
    </row>
    <row r="10048" spans="1:8" x14ac:dyDescent="0.2">
      <c r="A10048" t="str">
        <f t="shared" si="3632"/>
        <v>0625047287</v>
      </c>
      <c r="B10048" t="str">
        <f t="shared" si="3633"/>
        <v>Cadence</v>
      </c>
      <c r="C10048" t="str">
        <f t="shared" si="3634"/>
        <v>Loustaunau-Short</v>
      </c>
      <c r="D10048" t="str">
        <f t="shared" si="3635"/>
        <v>09</v>
      </c>
      <c r="E10048" t="str">
        <f>"05 - B - 103 - Josiah I Lacy"</f>
        <v>05 - B - 103 - Josiah I Lacy</v>
      </c>
      <c r="F10048" t="str">
        <f>"PRE-AICE BIO IG"</f>
        <v>PRE-AICE BIO IG</v>
      </c>
      <c r="G10048" t="str">
        <f>"08-801"</f>
        <v>08-801</v>
      </c>
      <c r="H10048" t="str">
        <f>"B"</f>
        <v>B</v>
      </c>
    </row>
    <row r="10049" spans="1:8" x14ac:dyDescent="0.2">
      <c r="A10049" t="str">
        <f t="shared" si="3632"/>
        <v>0625047287</v>
      </c>
      <c r="B10049" t="str">
        <f t="shared" si="3633"/>
        <v>Cadence</v>
      </c>
      <c r="C10049" t="str">
        <f t="shared" si="3634"/>
        <v>Loustaunau-Short</v>
      </c>
      <c r="D10049" t="str">
        <f t="shared" si="3635"/>
        <v>09</v>
      </c>
      <c r="E10049" t="str">
        <f>"01 - A - 101 - Daniel S Katz"</f>
        <v>01 - A - 101 - Daniel S Katz</v>
      </c>
      <c r="F10049" t="str">
        <f>"EXEC INTERN 3 LH"</f>
        <v>EXEC INTERN 3 LH</v>
      </c>
      <c r="G10049" t="str">
        <f>"21-2156"</f>
        <v>21-2156</v>
      </c>
      <c r="H10049" t="str">
        <f>"A"</f>
        <v>A</v>
      </c>
    </row>
    <row r="10050" spans="1:8" x14ac:dyDescent="0.2">
      <c r="A10050" t="str">
        <f t="shared" si="3632"/>
        <v>0625047287</v>
      </c>
      <c r="B10050" t="str">
        <f t="shared" si="3633"/>
        <v>Cadence</v>
      </c>
      <c r="C10050" t="str">
        <f t="shared" si="3634"/>
        <v>Loustaunau-Short</v>
      </c>
      <c r="D10050" t="str">
        <f t="shared" si="3635"/>
        <v>09</v>
      </c>
      <c r="E10050" t="str">
        <f>"08 - B - 101 - Staci M Newton"</f>
        <v>08 - B - 101 - Staci M Newton</v>
      </c>
      <c r="F10050" t="str">
        <f>"PEER/PARTNERS LRN LH"</f>
        <v>PEER/PARTNERS LRN LH</v>
      </c>
      <c r="G10050" t="str">
        <f>"21-2103"</f>
        <v>21-2103</v>
      </c>
      <c r="H10050" t="str">
        <f>"B"</f>
        <v>B</v>
      </c>
    </row>
    <row r="10051" spans="1:8" x14ac:dyDescent="0.2">
      <c r="A10051" t="str">
        <f t="shared" ref="A10051:A10058" si="3636">"0614091629"</f>
        <v>0614091629</v>
      </c>
      <c r="B10051" t="str">
        <f t="shared" ref="B10051:B10058" si="3637">"DYLAN"</f>
        <v>DYLAN</v>
      </c>
      <c r="C10051" t="str">
        <f t="shared" ref="C10051:C10066" si="3638">"LOUWRENS"</f>
        <v>LOUWRENS</v>
      </c>
      <c r="D10051">
        <f>11</f>
        <v>11</v>
      </c>
      <c r="E10051" t="str">
        <f>"04 - A - 102 - Lisa J London"</f>
        <v>04 - A - 102 - Lisa J London</v>
      </c>
      <c r="F10051" t="str">
        <f>"AP CAPSTONE SEMINAR"</f>
        <v>AP CAPSTONE SEMINAR</v>
      </c>
      <c r="G10051" t="str">
        <f>"17-1714"</f>
        <v>17-1714</v>
      </c>
      <c r="H10051" t="str">
        <f>"A"</f>
        <v>A</v>
      </c>
    </row>
    <row r="10052" spans="1:8" x14ac:dyDescent="0.2">
      <c r="A10052" t="str">
        <f t="shared" si="3636"/>
        <v>0614091629</v>
      </c>
      <c r="B10052" t="str">
        <f t="shared" si="3637"/>
        <v>DYLAN</v>
      </c>
      <c r="C10052" t="str">
        <f t="shared" si="3638"/>
        <v>LOUWRENS</v>
      </c>
      <c r="D10052">
        <f>11</f>
        <v>11</v>
      </c>
      <c r="E10052" t="str">
        <f>"06 - B - 102 - Stephen T Ripp"</f>
        <v>06 - B - 102 - Stephen T Ripp</v>
      </c>
      <c r="F10052" t="str">
        <f>"AP U.S. HIST"</f>
        <v>AP U.S. HIST</v>
      </c>
      <c r="G10052" t="str">
        <f>"17-1744"</f>
        <v>17-1744</v>
      </c>
      <c r="H10052" t="str">
        <f>"B"</f>
        <v>B</v>
      </c>
    </row>
    <row r="10053" spans="1:8" x14ac:dyDescent="0.2">
      <c r="A10053" t="str">
        <f t="shared" si="3636"/>
        <v>0614091629</v>
      </c>
      <c r="B10053" t="str">
        <f t="shared" si="3637"/>
        <v>DYLAN</v>
      </c>
      <c r="C10053" t="str">
        <f t="shared" si="3638"/>
        <v>LOUWRENS</v>
      </c>
      <c r="D10053">
        <f>11</f>
        <v>11</v>
      </c>
      <c r="E10053" t="str">
        <f>"03 - A - 102 - Tina M Jaramillo"</f>
        <v>03 - A - 102 - Tina M Jaramillo</v>
      </c>
      <c r="F10053" t="str">
        <f>"AP ENG COMPO"</f>
        <v>AP ENG COMPO</v>
      </c>
      <c r="G10053" t="str">
        <f>"17-1706"</f>
        <v>17-1706</v>
      </c>
      <c r="H10053" t="str">
        <f>"A"</f>
        <v>A</v>
      </c>
    </row>
    <row r="10054" spans="1:8" x14ac:dyDescent="0.2">
      <c r="A10054" t="str">
        <f t="shared" si="3636"/>
        <v>0614091629</v>
      </c>
      <c r="B10054" t="str">
        <f t="shared" si="3637"/>
        <v>DYLAN</v>
      </c>
      <c r="C10054" t="str">
        <f t="shared" si="3638"/>
        <v>LOUWRENS</v>
      </c>
      <c r="D10054">
        <f>11</f>
        <v>11</v>
      </c>
      <c r="E10054" t="str">
        <f>"02 - A - 109 - Daniel S Katz"</f>
        <v>02 - A - 109 - Daniel S Katz</v>
      </c>
      <c r="F10054" t="str">
        <f>"NC STUDY HALL 1"</f>
        <v>NC STUDY HALL 1</v>
      </c>
      <c r="G10054" t="str">
        <f>"21-2156"</f>
        <v>21-2156</v>
      </c>
      <c r="H10054" t="str">
        <f>"A"</f>
        <v>A</v>
      </c>
    </row>
    <row r="10055" spans="1:8" x14ac:dyDescent="0.2">
      <c r="A10055" t="str">
        <f t="shared" si="3636"/>
        <v>0614091629</v>
      </c>
      <c r="B10055" t="str">
        <f t="shared" si="3637"/>
        <v>DYLAN</v>
      </c>
      <c r="C10055" t="str">
        <f t="shared" si="3638"/>
        <v>LOUWRENS</v>
      </c>
      <c r="D10055">
        <f>11</f>
        <v>11</v>
      </c>
      <c r="E10055" t="str">
        <f>"07 - B - 107 - Semra  Bahadir"</f>
        <v>07 - B - 107 - Semra  Bahadir</v>
      </c>
      <c r="F10055" t="str">
        <f>"MATH COLL ALGEBRA"</f>
        <v>MATH COLL ALGEBRA</v>
      </c>
      <c r="G10055" t="str">
        <f>"21-2107"</f>
        <v>21-2107</v>
      </c>
      <c r="H10055" t="str">
        <f>"B"</f>
        <v>B</v>
      </c>
    </row>
    <row r="10056" spans="1:8" x14ac:dyDescent="0.2">
      <c r="A10056" t="str">
        <f t="shared" si="3636"/>
        <v>0614091629</v>
      </c>
      <c r="B10056" t="str">
        <f t="shared" si="3637"/>
        <v>DYLAN</v>
      </c>
      <c r="C10056" t="str">
        <f t="shared" si="3638"/>
        <v>LOUWRENS</v>
      </c>
      <c r="D10056">
        <f>11</f>
        <v>11</v>
      </c>
      <c r="E10056" t="str">
        <f>"05 - B - 103 - Vanessa J Liburd"</f>
        <v>05 - B - 103 - Vanessa J Liburd</v>
      </c>
      <c r="F10056" t="str">
        <f>"PRE-AICE FRENCH 2 IG"</f>
        <v>PRE-AICE FRENCH 2 IG</v>
      </c>
      <c r="G10056" t="str">
        <f>"05-519"</f>
        <v>05-519</v>
      </c>
      <c r="H10056" t="str">
        <f>"B"</f>
        <v>B</v>
      </c>
    </row>
    <row r="10057" spans="1:8" x14ac:dyDescent="0.2">
      <c r="A10057" t="str">
        <f t="shared" si="3636"/>
        <v>0614091629</v>
      </c>
      <c r="B10057" t="str">
        <f t="shared" si="3637"/>
        <v>DYLAN</v>
      </c>
      <c r="C10057" t="str">
        <f t="shared" si="3638"/>
        <v>LOUWRENS</v>
      </c>
      <c r="D10057">
        <f>11</f>
        <v>11</v>
      </c>
      <c r="E10057" t="str">
        <f>"01 - A - 101 - Chrystina M Marchionne"</f>
        <v>01 - A - 101 - Chrystina M Marchionne</v>
      </c>
      <c r="F10057" t="str">
        <f>"AICE MEDIA STUDIES A"</f>
        <v>AICE MEDIA STUDIES A</v>
      </c>
      <c r="G10057" t="str">
        <f>"05-520"</f>
        <v>05-520</v>
      </c>
      <c r="H10057" t="str">
        <f>"A"</f>
        <v>A</v>
      </c>
    </row>
    <row r="10058" spans="1:8" x14ac:dyDescent="0.2">
      <c r="A10058" t="str">
        <f t="shared" si="3636"/>
        <v>0614091629</v>
      </c>
      <c r="B10058" t="str">
        <f t="shared" si="3637"/>
        <v>DYLAN</v>
      </c>
      <c r="C10058" t="str">
        <f t="shared" si="3638"/>
        <v>LOUWRENS</v>
      </c>
      <c r="D10058">
        <f>11</f>
        <v>11</v>
      </c>
      <c r="E10058" t="str">
        <f>"08 - B - 102 - Josiah I Lacy"</f>
        <v>08 - B - 102 - Josiah I Lacy</v>
      </c>
      <c r="F10058" t="str">
        <f>"ANAT PHYSIO HON"</f>
        <v>ANAT PHYSIO HON</v>
      </c>
      <c r="G10058" t="str">
        <f>"08-801"</f>
        <v>08-801</v>
      </c>
      <c r="H10058" t="str">
        <f>"B"</f>
        <v>B</v>
      </c>
    </row>
    <row r="10059" spans="1:8" x14ac:dyDescent="0.2">
      <c r="A10059" t="str">
        <f t="shared" ref="A10059:A10066" si="3639">"0614091635"</f>
        <v>0614091635</v>
      </c>
      <c r="B10059" t="str">
        <f t="shared" ref="B10059:B10066" si="3640">"NICOLAS"</f>
        <v>NICOLAS</v>
      </c>
      <c r="C10059" t="str">
        <f t="shared" si="3638"/>
        <v>LOUWRENS</v>
      </c>
      <c r="D10059">
        <f>11</f>
        <v>11</v>
      </c>
      <c r="E10059" t="str">
        <f>"04 - A - 101 - Jerry S Jiampetti"</f>
        <v>04 - A - 101 - Jerry S Jiampetti</v>
      </c>
      <c r="F10059" t="str">
        <f>"AICE U.S. HIST 1 AS"</f>
        <v>AICE U.S. HIST 1 AS</v>
      </c>
      <c r="G10059" t="str">
        <f>"17-1751"</f>
        <v>17-1751</v>
      </c>
      <c r="H10059" t="str">
        <f>"A"</f>
        <v>A</v>
      </c>
    </row>
    <row r="10060" spans="1:8" x14ac:dyDescent="0.2">
      <c r="A10060" t="str">
        <f t="shared" si="3639"/>
        <v>0614091635</v>
      </c>
      <c r="B10060" t="str">
        <f t="shared" si="3640"/>
        <v>NICOLAS</v>
      </c>
      <c r="C10060" t="str">
        <f t="shared" si="3638"/>
        <v>LOUWRENS</v>
      </c>
      <c r="D10060">
        <f>11</f>
        <v>11</v>
      </c>
      <c r="E10060" t="str">
        <f>"06 - B - 001 - Lourivaldo  Da Silva"</f>
        <v>06 - B - 001 - Lourivaldo  Da Silva</v>
      </c>
      <c r="F10060" t="str">
        <f>"PRE-CALCULUS HON"</f>
        <v>PRE-CALCULUS HON</v>
      </c>
      <c r="G10060" t="str">
        <f>"20-2079"</f>
        <v>20-2079</v>
      </c>
      <c r="H10060" t="str">
        <f>"B"</f>
        <v>B</v>
      </c>
    </row>
    <row r="10061" spans="1:8" x14ac:dyDescent="0.2">
      <c r="A10061" t="str">
        <f t="shared" si="3639"/>
        <v>0614091635</v>
      </c>
      <c r="B10061" t="str">
        <f t="shared" si="3640"/>
        <v>NICOLAS</v>
      </c>
      <c r="C10061" t="str">
        <f t="shared" si="3638"/>
        <v>LOUWRENS</v>
      </c>
      <c r="D10061">
        <f>11</f>
        <v>11</v>
      </c>
      <c r="E10061" t="str">
        <f>"03 - A - 103 - Adam Marcus  Drucker"</f>
        <v>03 - A - 103 - Adam Marcus  Drucker</v>
      </c>
      <c r="F10061" t="str">
        <f>"HOPE-PE V"</f>
        <v>HOPE-PE V</v>
      </c>
      <c r="G10061" t="str">
        <f>"04-254"</f>
        <v>04-254</v>
      </c>
      <c r="H10061" t="str">
        <f>"A"</f>
        <v>A</v>
      </c>
    </row>
    <row r="10062" spans="1:8" x14ac:dyDescent="0.2">
      <c r="A10062" t="str">
        <f t="shared" si="3639"/>
        <v>0614091635</v>
      </c>
      <c r="B10062" t="str">
        <f t="shared" si="3640"/>
        <v>NICOLAS</v>
      </c>
      <c r="C10062" t="str">
        <f t="shared" si="3638"/>
        <v>LOUWRENS</v>
      </c>
      <c r="D10062">
        <f>11</f>
        <v>11</v>
      </c>
      <c r="E10062" t="str">
        <f>"02 - A - 104 - Dayna M Foster"</f>
        <v>02 - A - 104 - Dayna M Foster</v>
      </c>
      <c r="F10062" t="str">
        <f>"NC STUDY HALL 1"</f>
        <v>NC STUDY HALL 1</v>
      </c>
      <c r="G10062" t="str">
        <f>"21-2109"</f>
        <v>21-2109</v>
      </c>
      <c r="H10062" t="str">
        <f>"A"</f>
        <v>A</v>
      </c>
    </row>
    <row r="10063" spans="1:8" x14ac:dyDescent="0.2">
      <c r="A10063" t="str">
        <f t="shared" si="3639"/>
        <v>0614091635</v>
      </c>
      <c r="B10063" t="str">
        <f t="shared" si="3640"/>
        <v>NICOLAS</v>
      </c>
      <c r="C10063" t="str">
        <f t="shared" si="3638"/>
        <v>LOUWRENS</v>
      </c>
      <c r="D10063">
        <f>11</f>
        <v>11</v>
      </c>
      <c r="E10063" t="str">
        <f>"07 - B - 105 - Josiah I Lacy"</f>
        <v>07 - B - 105 - Josiah I Lacy</v>
      </c>
      <c r="F10063" t="str">
        <f>"ANAT PHYSIO HON"</f>
        <v>ANAT PHYSIO HON</v>
      </c>
      <c r="G10063" t="str">
        <f>"08-801"</f>
        <v>08-801</v>
      </c>
      <c r="H10063" t="str">
        <f>"B"</f>
        <v>B</v>
      </c>
    </row>
    <row r="10064" spans="1:8" x14ac:dyDescent="0.2">
      <c r="A10064" t="str">
        <f t="shared" si="3639"/>
        <v>0614091635</v>
      </c>
      <c r="B10064" t="str">
        <f t="shared" si="3640"/>
        <v>NICOLAS</v>
      </c>
      <c r="C10064" t="str">
        <f t="shared" si="3638"/>
        <v>LOUWRENS</v>
      </c>
      <c r="D10064">
        <f>11</f>
        <v>11</v>
      </c>
      <c r="E10064" t="str">
        <f>"05 - B - 001 - Stefanie S Scher"</f>
        <v>05 - B - 001 - Stefanie S Scher</v>
      </c>
      <c r="F10064" t="str">
        <f>"AICE PSYCH 1 AS"</f>
        <v>AICE PSYCH 1 AS</v>
      </c>
      <c r="G10064" t="str">
        <f>"17-1735"</f>
        <v>17-1735</v>
      </c>
      <c r="H10064" t="str">
        <f>"B"</f>
        <v>B</v>
      </c>
    </row>
    <row r="10065" spans="1:8" x14ac:dyDescent="0.2">
      <c r="A10065" t="str">
        <f t="shared" si="3639"/>
        <v>0614091635</v>
      </c>
      <c r="B10065" t="str">
        <f t="shared" si="3640"/>
        <v>NICOLAS</v>
      </c>
      <c r="C10065" t="str">
        <f t="shared" si="3638"/>
        <v>LOUWRENS</v>
      </c>
      <c r="D10065">
        <f>11</f>
        <v>11</v>
      </c>
      <c r="E10065" t="str">
        <f>"01 - A - 101 - Brandy N Zdenek"</f>
        <v>01 - A - 101 - Brandy N Zdenek</v>
      </c>
      <c r="F10065" t="str">
        <f>"AICE ENG LANG 2 AL"</f>
        <v>AICE ENG LANG 2 AL</v>
      </c>
      <c r="G10065" t="str">
        <f>"17-1704"</f>
        <v>17-1704</v>
      </c>
      <c r="H10065" t="str">
        <f>"A"</f>
        <v>A</v>
      </c>
    </row>
    <row r="10066" spans="1:8" x14ac:dyDescent="0.2">
      <c r="A10066" t="str">
        <f t="shared" si="3639"/>
        <v>0614091635</v>
      </c>
      <c r="B10066" t="str">
        <f t="shared" si="3640"/>
        <v>NICOLAS</v>
      </c>
      <c r="C10066" t="str">
        <f t="shared" si="3638"/>
        <v>LOUWRENS</v>
      </c>
      <c r="D10066">
        <f>11</f>
        <v>11</v>
      </c>
      <c r="E10066" t="str">
        <f>"08 - B - 201 - Vanessa J Liburd"</f>
        <v>08 - B - 201 - Vanessa J Liburd</v>
      </c>
      <c r="F10066" t="str">
        <f>"FRENCH 3 HON"</f>
        <v>FRENCH 3 HON</v>
      </c>
      <c r="G10066" t="str">
        <f>"05-519"</f>
        <v>05-519</v>
      </c>
      <c r="H10066" t="str">
        <f>"B"</f>
        <v>B</v>
      </c>
    </row>
    <row r="10067" spans="1:8" x14ac:dyDescent="0.2">
      <c r="A10067" t="str">
        <f t="shared" ref="A10067:A10074" si="3641">"0616064823"</f>
        <v>0616064823</v>
      </c>
      <c r="B10067" t="str">
        <f t="shared" ref="B10067:B10074" si="3642">"LONDON"</f>
        <v>LONDON</v>
      </c>
      <c r="C10067" t="str">
        <f t="shared" ref="C10067:C10074" si="3643">"LOVE"</f>
        <v>LOVE</v>
      </c>
      <c r="D10067" t="str">
        <f t="shared" ref="D10067:D10074" si="3644">"09"</f>
        <v>09</v>
      </c>
      <c r="E10067" t="str">
        <f>"04 - A - 101 - Chrystina M Marchionne"</f>
        <v>04 - A - 101 - Chrystina M Marchionne</v>
      </c>
      <c r="F10067" t="str">
        <f>"THEA CIN &amp; FILM LH"</f>
        <v>THEA CIN &amp; FILM LH</v>
      </c>
      <c r="G10067" t="str">
        <f>"05-520"</f>
        <v>05-520</v>
      </c>
      <c r="H10067" t="str">
        <f>"A"</f>
        <v>A</v>
      </c>
    </row>
    <row r="10068" spans="1:8" x14ac:dyDescent="0.2">
      <c r="A10068" t="str">
        <f t="shared" si="3641"/>
        <v>0616064823</v>
      </c>
      <c r="B10068" t="str">
        <f t="shared" si="3642"/>
        <v>LONDON</v>
      </c>
      <c r="C10068" t="str">
        <f t="shared" si="3643"/>
        <v>LOVE</v>
      </c>
      <c r="D10068" t="str">
        <f t="shared" si="3644"/>
        <v>09</v>
      </c>
      <c r="E10068" t="str">
        <f>"06 - B - 110 - Krystal Marie  Beruty"</f>
        <v>06 - B - 110 - Krystal Marie  Beruty</v>
      </c>
      <c r="F10068" t="str">
        <f>"AICE GLBL PERSP 1 AS"</f>
        <v>AICE GLBL PERSP 1 AS</v>
      </c>
      <c r="G10068" t="str">
        <f>"17-1721"</f>
        <v>17-1721</v>
      </c>
      <c r="H10068" t="str">
        <f>"B"</f>
        <v>B</v>
      </c>
    </row>
    <row r="10069" spans="1:8" x14ac:dyDescent="0.2">
      <c r="A10069" t="str">
        <f t="shared" si="3641"/>
        <v>0616064823</v>
      </c>
      <c r="B10069" t="str">
        <f t="shared" si="3642"/>
        <v>LONDON</v>
      </c>
      <c r="C10069" t="str">
        <f t="shared" si="3643"/>
        <v>LOVE</v>
      </c>
      <c r="D10069" t="str">
        <f t="shared" si="3644"/>
        <v>09</v>
      </c>
      <c r="E10069" t="str">
        <f>"03 - S1 - A - 101 - Daniel S Katz"</f>
        <v>03 - S1 - A - 101 - Daniel S Katz</v>
      </c>
      <c r="F10069" t="str">
        <f>"COURT PROCED"</f>
        <v>COURT PROCED</v>
      </c>
      <c r="G10069" t="str">
        <f>"21-2156"</f>
        <v>21-2156</v>
      </c>
      <c r="H10069" t="str">
        <f>"A"</f>
        <v>A</v>
      </c>
    </row>
    <row r="10070" spans="1:8" x14ac:dyDescent="0.2">
      <c r="A10070" t="str">
        <f t="shared" si="3641"/>
        <v>0616064823</v>
      </c>
      <c r="B10070" t="str">
        <f t="shared" si="3642"/>
        <v>LONDON</v>
      </c>
      <c r="C10070" t="str">
        <f t="shared" si="3643"/>
        <v>LOVE</v>
      </c>
      <c r="D10070" t="str">
        <f t="shared" si="3644"/>
        <v>09</v>
      </c>
      <c r="E10070" t="str">
        <f>"02 - A - 101 - Josiah I Lacy"</f>
        <v>02 - A - 101 - Josiah I Lacy</v>
      </c>
      <c r="F10070" t="str">
        <f>"NC STUDY HALL 1"</f>
        <v>NC STUDY HALL 1</v>
      </c>
      <c r="G10070" t="str">
        <f>"08-801"</f>
        <v>08-801</v>
      </c>
      <c r="H10070" t="str">
        <f>"A"</f>
        <v>A</v>
      </c>
    </row>
    <row r="10071" spans="1:8" x14ac:dyDescent="0.2">
      <c r="A10071" t="str">
        <f t="shared" si="3641"/>
        <v>0616064823</v>
      </c>
      <c r="B10071" t="str">
        <f t="shared" si="3642"/>
        <v>LONDON</v>
      </c>
      <c r="C10071" t="str">
        <f t="shared" si="3643"/>
        <v>LOVE</v>
      </c>
      <c r="D10071" t="str">
        <f t="shared" si="3644"/>
        <v>09</v>
      </c>
      <c r="E10071" t="str">
        <f>"07 - B - 105 - Byron G Montenegro"</f>
        <v>07 - B - 105 - Byron G Montenegro</v>
      </c>
      <c r="F10071" t="str">
        <f>"AICE MARINE SCI 1 AS"</f>
        <v>AICE MARINE SCI 1 AS</v>
      </c>
      <c r="G10071" t="str">
        <f>"21-2144"</f>
        <v>21-2144</v>
      </c>
      <c r="H10071" t="str">
        <f>"B"</f>
        <v>B</v>
      </c>
    </row>
    <row r="10072" spans="1:8" x14ac:dyDescent="0.2">
      <c r="A10072" t="str">
        <f t="shared" si="3641"/>
        <v>0616064823</v>
      </c>
      <c r="B10072" t="str">
        <f t="shared" si="3642"/>
        <v>LONDON</v>
      </c>
      <c r="C10072" t="str">
        <f t="shared" si="3643"/>
        <v>LOVE</v>
      </c>
      <c r="D10072" t="str">
        <f t="shared" si="3644"/>
        <v>09</v>
      </c>
      <c r="E10072" t="str">
        <f>"05 - B - 002 - Cheryl Anne  Berman-Schechter"</f>
        <v>05 - B - 002 - Cheryl Anne  Berman-Schechter</v>
      </c>
      <c r="F10072" t="str">
        <f>"AICE ENG GEN PAPER 1"</f>
        <v>AICE ENG GEN PAPER 1</v>
      </c>
      <c r="G10072" t="str">
        <f>"17-1722"</f>
        <v>17-1722</v>
      </c>
      <c r="H10072" t="str">
        <f>"B"</f>
        <v>B</v>
      </c>
    </row>
    <row r="10073" spans="1:8" x14ac:dyDescent="0.2">
      <c r="A10073" t="str">
        <f t="shared" si="3641"/>
        <v>0616064823</v>
      </c>
      <c r="B10073" t="str">
        <f t="shared" si="3642"/>
        <v>LONDON</v>
      </c>
      <c r="C10073" t="str">
        <f t="shared" si="3643"/>
        <v>LOVE</v>
      </c>
      <c r="D10073" t="str">
        <f t="shared" si="3644"/>
        <v>09</v>
      </c>
      <c r="E10073" t="str">
        <f>"01 - A - 101 - Nikiel  Nesbeth"</f>
        <v>01 - A - 101 - Nikiel  Nesbeth</v>
      </c>
      <c r="F10073" t="str">
        <f>"CONST LAW HON"</f>
        <v>CONST LAW HON</v>
      </c>
      <c r="G10073" t="str">
        <f>"17-1705"</f>
        <v>17-1705</v>
      </c>
      <c r="H10073" t="str">
        <f>"A"</f>
        <v>A</v>
      </c>
    </row>
    <row r="10074" spans="1:8" x14ac:dyDescent="0.2">
      <c r="A10074" t="str">
        <f t="shared" si="3641"/>
        <v>0616064823</v>
      </c>
      <c r="B10074" t="str">
        <f t="shared" si="3642"/>
        <v>LONDON</v>
      </c>
      <c r="C10074" t="str">
        <f t="shared" si="3643"/>
        <v>LOVE</v>
      </c>
      <c r="D10074" t="str">
        <f t="shared" si="3644"/>
        <v>09</v>
      </c>
      <c r="E10074" t="str">
        <f>"08 - B - 102 - Maried P Ramos"</f>
        <v>08 - B - 102 - Maried P Ramos</v>
      </c>
      <c r="F10074" t="str">
        <f>"ALGEBRA 2 HON"</f>
        <v>ALGEBRA 2 HON</v>
      </c>
      <c r="G10074" t="str">
        <f>"21-2159"</f>
        <v>21-2159</v>
      </c>
      <c r="H10074" t="str">
        <f>"B"</f>
        <v>B</v>
      </c>
    </row>
    <row r="10075" spans="1:8" x14ac:dyDescent="0.2">
      <c r="A10075" t="str">
        <f t="shared" ref="A10075:A10082" si="3645">"0624101130"</f>
        <v>0624101130</v>
      </c>
      <c r="B10075" t="str">
        <f t="shared" ref="B10075:B10082" si="3646">"DANYLO"</f>
        <v>DANYLO</v>
      </c>
      <c r="C10075" t="str">
        <f t="shared" ref="C10075:C10082" si="3647">"LUCHYTSKYI"</f>
        <v>LUCHYTSKYI</v>
      </c>
      <c r="D10075">
        <f>11</f>
        <v>11</v>
      </c>
      <c r="E10075" t="str">
        <f>"04 - A - 108 - Maried P Ramos"</f>
        <v>04 - A - 108 - Maried P Ramos</v>
      </c>
      <c r="F10075" t="str">
        <f>"GEOMETRY"</f>
        <v>GEOMETRY</v>
      </c>
      <c r="G10075" t="str">
        <f>"21-2159"</f>
        <v>21-2159</v>
      </c>
      <c r="H10075" t="str">
        <f>"A"</f>
        <v>A</v>
      </c>
    </row>
    <row r="10076" spans="1:8" x14ac:dyDescent="0.2">
      <c r="A10076" t="str">
        <f t="shared" si="3645"/>
        <v>0624101130</v>
      </c>
      <c r="B10076" t="str">
        <f t="shared" si="3646"/>
        <v>DANYLO</v>
      </c>
      <c r="C10076" t="str">
        <f t="shared" si="3647"/>
        <v>LUCHYTSKYI</v>
      </c>
      <c r="D10076">
        <f>11</f>
        <v>11</v>
      </c>
      <c r="E10076" t="str">
        <f>"06 - B - 104 - Nahum  Saint-Preux"</f>
        <v>06 - B - 104 - Nahum  Saint-Preux</v>
      </c>
      <c r="F10076" t="str">
        <f>"INTENS READ 3"</f>
        <v>INTENS READ 3</v>
      </c>
      <c r="G10076" t="str">
        <f>"17-1712"</f>
        <v>17-1712</v>
      </c>
      <c r="H10076" t="str">
        <f>"B"</f>
        <v>B</v>
      </c>
    </row>
    <row r="10077" spans="1:8" x14ac:dyDescent="0.2">
      <c r="A10077" t="str">
        <f t="shared" si="3645"/>
        <v>0624101130</v>
      </c>
      <c r="B10077" t="str">
        <f t="shared" si="3646"/>
        <v>DANYLO</v>
      </c>
      <c r="C10077" t="str">
        <f t="shared" si="3647"/>
        <v>LUCHYTSKYI</v>
      </c>
      <c r="D10077">
        <f>11</f>
        <v>11</v>
      </c>
      <c r="E10077" t="str">
        <f>"03 - A - 102 - Cliffon  Saurel"</f>
        <v>03 - A - 102 - Cliffon  Saurel</v>
      </c>
      <c r="F10077" t="str">
        <f>"PHYSICAL SCI"</f>
        <v>PHYSICAL SCI</v>
      </c>
      <c r="G10077" t="str">
        <f>"05-522"</f>
        <v>05-522</v>
      </c>
      <c r="H10077" t="str">
        <f>"A"</f>
        <v>A</v>
      </c>
    </row>
    <row r="10078" spans="1:8" x14ac:dyDescent="0.2">
      <c r="A10078" t="str">
        <f t="shared" si="3645"/>
        <v>0624101130</v>
      </c>
      <c r="B10078" t="str">
        <f t="shared" si="3646"/>
        <v>DANYLO</v>
      </c>
      <c r="C10078" t="str">
        <f t="shared" si="3647"/>
        <v>LUCHYTSKYI</v>
      </c>
      <c r="D10078">
        <f>11</f>
        <v>11</v>
      </c>
      <c r="E10078" t="str">
        <f>"02 - A - 108 - Stephen T Ripp"</f>
        <v>02 - A - 108 - Stephen T Ripp</v>
      </c>
      <c r="F10078" t="str">
        <f>"NC STUDY HALL 1"</f>
        <v>NC STUDY HALL 1</v>
      </c>
      <c r="G10078" t="str">
        <f>"17-1744"</f>
        <v>17-1744</v>
      </c>
      <c r="H10078" t="str">
        <f>"A"</f>
        <v>A</v>
      </c>
    </row>
    <row r="10079" spans="1:8" x14ac:dyDescent="0.2">
      <c r="A10079" t="str">
        <f t="shared" si="3645"/>
        <v>0624101130</v>
      </c>
      <c r="B10079" t="str">
        <f t="shared" si="3646"/>
        <v>DANYLO</v>
      </c>
      <c r="C10079" t="str">
        <f t="shared" si="3647"/>
        <v>LUCHYTSKYI</v>
      </c>
      <c r="D10079">
        <f>11</f>
        <v>11</v>
      </c>
      <c r="E10079" t="str">
        <f>"07 - B - 108 - Lauren N Logan"</f>
        <v>07 - B - 108 - Lauren N Logan</v>
      </c>
      <c r="F10079" t="str">
        <f>"US HISTORY"</f>
        <v>US HISTORY</v>
      </c>
      <c r="G10079" t="str">
        <f>"17-1745"</f>
        <v>17-1745</v>
      </c>
      <c r="H10079" t="str">
        <f>"B"</f>
        <v>B</v>
      </c>
    </row>
    <row r="10080" spans="1:8" x14ac:dyDescent="0.2">
      <c r="A10080" t="str">
        <f t="shared" si="3645"/>
        <v>0624101130</v>
      </c>
      <c r="B10080" t="str">
        <f t="shared" si="3646"/>
        <v>DANYLO</v>
      </c>
      <c r="C10080" t="str">
        <f t="shared" si="3647"/>
        <v>LUCHYTSKYI</v>
      </c>
      <c r="D10080">
        <f>11</f>
        <v>11</v>
      </c>
      <c r="E10080" t="str">
        <f>"05 - B - 104 - Lisa  Quinn"</f>
        <v>05 - B - 104 - Lisa  Quinn</v>
      </c>
      <c r="F10080" t="str">
        <f>"ENG 3"</f>
        <v>ENG 3</v>
      </c>
      <c r="G10080" t="str">
        <f>"17-1725"</f>
        <v>17-1725</v>
      </c>
      <c r="H10080" t="str">
        <f>"B"</f>
        <v>B</v>
      </c>
    </row>
    <row r="10081" spans="1:8" x14ac:dyDescent="0.2">
      <c r="A10081" t="str">
        <f t="shared" si="3645"/>
        <v>0624101130</v>
      </c>
      <c r="B10081" t="str">
        <f t="shared" si="3646"/>
        <v>DANYLO</v>
      </c>
      <c r="C10081" t="str">
        <f t="shared" si="3647"/>
        <v>LUCHYTSKYI</v>
      </c>
      <c r="D10081">
        <f>11</f>
        <v>11</v>
      </c>
      <c r="E10081" t="str">
        <f>"01 - S1 - A - 101 - Richard E Dunbar Iii"</f>
        <v>01 - S1 - A - 101 - Richard E Dunbar Iii</v>
      </c>
      <c r="F10081" t="str">
        <f>"WEIGHT TRAIN 1"</f>
        <v>WEIGHT TRAIN 1</v>
      </c>
      <c r="G10081" t="str">
        <f>"05-501"</f>
        <v>05-501</v>
      </c>
      <c r="H10081" t="str">
        <f>"A"</f>
        <v>A</v>
      </c>
    </row>
    <row r="10082" spans="1:8" x14ac:dyDescent="0.2">
      <c r="A10082" t="str">
        <f t="shared" si="3645"/>
        <v>0624101130</v>
      </c>
      <c r="B10082" t="str">
        <f t="shared" si="3646"/>
        <v>DANYLO</v>
      </c>
      <c r="C10082" t="str">
        <f t="shared" si="3647"/>
        <v>LUCHYTSKYI</v>
      </c>
      <c r="D10082">
        <f>11</f>
        <v>11</v>
      </c>
      <c r="E10082" t="str">
        <f>"08 - S1 - B - 001 - Carol S Moore"</f>
        <v>08 - S1 - B - 001 - Carol S Moore</v>
      </c>
      <c r="F10082" t="str">
        <f>"PER CAR SCH DEV 1 LH"</f>
        <v>PER CAR SCH DEV 1 LH</v>
      </c>
      <c r="G10082" t="str">
        <f>"17-1733"</f>
        <v>17-1733</v>
      </c>
      <c r="H10082" t="str">
        <f>"B"</f>
        <v>B</v>
      </c>
    </row>
    <row r="10083" spans="1:8" x14ac:dyDescent="0.2">
      <c r="A10083" t="str">
        <f t="shared" ref="A10083:A10090" si="3648">"0616059780"</f>
        <v>0616059780</v>
      </c>
      <c r="B10083" t="str">
        <f t="shared" ref="B10083:B10090" si="3649">"JEREMIAH"</f>
        <v>JEREMIAH</v>
      </c>
      <c r="C10083" t="str">
        <f t="shared" ref="C10083:C10090" si="3650">"LUCIEN"</f>
        <v>LUCIEN</v>
      </c>
      <c r="D10083">
        <f>10</f>
        <v>10</v>
      </c>
      <c r="E10083" t="str">
        <f>"04 - A - 105 - Milca  Exantus"</f>
        <v>04 - A - 105 - Milca  Exantus</v>
      </c>
      <c r="F10083" t="str">
        <f>"MATH COLLEGE LIB ART"</f>
        <v>MATH COLLEGE LIB ART</v>
      </c>
      <c r="G10083" t="str">
        <f>"21-2145"</f>
        <v>21-2145</v>
      </c>
      <c r="H10083" t="str">
        <f>"A"</f>
        <v>A</v>
      </c>
    </row>
    <row r="10084" spans="1:8" x14ac:dyDescent="0.2">
      <c r="A10084" t="str">
        <f t="shared" si="3648"/>
        <v>0616059780</v>
      </c>
      <c r="B10084" t="str">
        <f t="shared" si="3649"/>
        <v>JEREMIAH</v>
      </c>
      <c r="C10084" t="str">
        <f t="shared" si="3650"/>
        <v>LUCIEN</v>
      </c>
      <c r="D10084">
        <f>10</f>
        <v>10</v>
      </c>
      <c r="E10084" t="str">
        <f>"06 - B - 002 - Lenecy  Nodarse"</f>
        <v>06 - B - 002 - Lenecy  Nodarse</v>
      </c>
      <c r="F10084" t="str">
        <f>"NC STUDY HALL 1"</f>
        <v>NC STUDY HALL 1</v>
      </c>
      <c r="G10084" t="str">
        <f>"17-1741"</f>
        <v>17-1741</v>
      </c>
      <c r="H10084" t="str">
        <f>"B"</f>
        <v>B</v>
      </c>
    </row>
    <row r="10085" spans="1:8" x14ac:dyDescent="0.2">
      <c r="A10085" t="str">
        <f t="shared" si="3648"/>
        <v>0616059780</v>
      </c>
      <c r="B10085" t="str">
        <f t="shared" si="3649"/>
        <v>JEREMIAH</v>
      </c>
      <c r="C10085" t="str">
        <f t="shared" si="3650"/>
        <v>LUCIEN</v>
      </c>
      <c r="D10085">
        <f>10</f>
        <v>10</v>
      </c>
      <c r="E10085" t="str">
        <f>"03 - A - 105 - Elizabeth Ellen  Moran"</f>
        <v>03 - A - 105 - Elizabeth Ellen  Moran</v>
      </c>
      <c r="F10085" t="str">
        <f>"WORLD HISTORY"</f>
        <v>WORLD HISTORY</v>
      </c>
      <c r="G10085" t="str">
        <f>"17-1752"</f>
        <v>17-1752</v>
      </c>
      <c r="H10085" t="str">
        <f>"A"</f>
        <v>A</v>
      </c>
    </row>
    <row r="10086" spans="1:8" x14ac:dyDescent="0.2">
      <c r="A10086" t="str">
        <f t="shared" si="3648"/>
        <v>0616059780</v>
      </c>
      <c r="B10086" t="str">
        <f t="shared" si="3649"/>
        <v>JEREMIAH</v>
      </c>
      <c r="C10086" t="str">
        <f t="shared" si="3650"/>
        <v>LUCIEN</v>
      </c>
      <c r="D10086">
        <f>10</f>
        <v>10</v>
      </c>
      <c r="E10086" t="str">
        <f>"02 - A - 102 - Adam Marcus  Drucker"</f>
        <v>02 - A - 102 - Adam Marcus  Drucker</v>
      </c>
      <c r="F10086" t="str">
        <f>"HOPE-PE V"</f>
        <v>HOPE-PE V</v>
      </c>
      <c r="G10086" t="str">
        <f>"04-254"</f>
        <v>04-254</v>
      </c>
      <c r="H10086" t="str">
        <f>"A"</f>
        <v>A</v>
      </c>
    </row>
    <row r="10087" spans="1:8" x14ac:dyDescent="0.2">
      <c r="A10087" t="str">
        <f t="shared" si="3648"/>
        <v>0616059780</v>
      </c>
      <c r="B10087" t="str">
        <f t="shared" si="3649"/>
        <v>JEREMIAH</v>
      </c>
      <c r="C10087" t="str">
        <f t="shared" si="3650"/>
        <v>LUCIEN</v>
      </c>
      <c r="D10087">
        <f>10</f>
        <v>10</v>
      </c>
      <c r="E10087" t="str">
        <f>"07 - B - 106 - Taraneh C Abreu"</f>
        <v>07 - B - 106 - Taraneh C Abreu</v>
      </c>
      <c r="F10087" t="str">
        <f>"INTENS READ 2"</f>
        <v>INTENS READ 2</v>
      </c>
      <c r="G10087" t="str">
        <f>"17-1713"</f>
        <v>17-1713</v>
      </c>
      <c r="H10087" t="str">
        <f>"B"</f>
        <v>B</v>
      </c>
    </row>
    <row r="10088" spans="1:8" x14ac:dyDescent="0.2">
      <c r="A10088" t="str">
        <f t="shared" si="3648"/>
        <v>0616059780</v>
      </c>
      <c r="B10088" t="str">
        <f t="shared" si="3649"/>
        <v>JEREMIAH</v>
      </c>
      <c r="C10088" t="str">
        <f t="shared" si="3650"/>
        <v>LUCIEN</v>
      </c>
      <c r="D10088">
        <f>10</f>
        <v>10</v>
      </c>
      <c r="E10088" t="str">
        <f>"05 - B - 201 - Jazmin S Fletcher"</f>
        <v>05 - B - 201 - Jazmin S Fletcher</v>
      </c>
      <c r="F10088" t="str">
        <f>"THEATRE 1"</f>
        <v>THEATRE 1</v>
      </c>
      <c r="G10088" t="str">
        <f>"09-909"</f>
        <v>09-909</v>
      </c>
      <c r="H10088" t="str">
        <f>"B"</f>
        <v>B</v>
      </c>
    </row>
    <row r="10089" spans="1:8" x14ac:dyDescent="0.2">
      <c r="A10089" t="str">
        <f t="shared" si="3648"/>
        <v>0616059780</v>
      </c>
      <c r="B10089" t="str">
        <f t="shared" si="3649"/>
        <v>JEREMIAH</v>
      </c>
      <c r="C10089" t="str">
        <f t="shared" si="3650"/>
        <v>LUCIEN</v>
      </c>
      <c r="D10089">
        <f>10</f>
        <v>10</v>
      </c>
      <c r="E10089" t="str">
        <f>"01 - A - 102 - Lytrell T Dixon"</f>
        <v>01 - A - 102 - Lytrell T Dixon</v>
      </c>
      <c r="F10089" t="str">
        <f>"BIOLOGY 1"</f>
        <v>BIOLOGY 1</v>
      </c>
      <c r="G10089" t="str">
        <f>"08-808"</f>
        <v>08-808</v>
      </c>
      <c r="H10089" t="str">
        <f>"A"</f>
        <v>A</v>
      </c>
    </row>
    <row r="10090" spans="1:8" x14ac:dyDescent="0.2">
      <c r="A10090" t="str">
        <f t="shared" si="3648"/>
        <v>0616059780</v>
      </c>
      <c r="B10090" t="str">
        <f t="shared" si="3649"/>
        <v>JEREMIAH</v>
      </c>
      <c r="C10090" t="str">
        <f t="shared" si="3650"/>
        <v>LUCIEN</v>
      </c>
      <c r="D10090">
        <f>10</f>
        <v>10</v>
      </c>
      <c r="E10090" t="str">
        <f>"08 - B - 109 - Nikiel  Nesbeth"</f>
        <v>08 - B - 109 - Nikiel  Nesbeth</v>
      </c>
      <c r="F10090" t="str">
        <f>"ENG 2"</f>
        <v>ENG 2</v>
      </c>
      <c r="G10090" t="str">
        <f>"17-1705"</f>
        <v>17-1705</v>
      </c>
      <c r="H10090" t="str">
        <f>"B"</f>
        <v>B</v>
      </c>
    </row>
    <row r="10091" spans="1:8" x14ac:dyDescent="0.2">
      <c r="A10091" t="str">
        <f t="shared" ref="A10091:A10098" si="3651">"0614033923"</f>
        <v>0614033923</v>
      </c>
      <c r="B10091" t="str">
        <f t="shared" ref="B10091:B10098" si="3652">"JESSE"</f>
        <v>JESSE</v>
      </c>
      <c r="C10091" t="str">
        <f t="shared" ref="C10091:C10098" si="3653">"LUGO"</f>
        <v>LUGO</v>
      </c>
      <c r="D10091">
        <f>12</f>
        <v>12</v>
      </c>
      <c r="E10091" t="str">
        <f>"04 - S1 - A - 107 - Richard E Dunbar Iii"</f>
        <v>04 - S1 - A - 107 - Richard E Dunbar Iii</v>
      </c>
      <c r="F10091" t="str">
        <f>"WEIGHT TRAIN 3"</f>
        <v>WEIGHT TRAIN 3</v>
      </c>
      <c r="G10091" t="str">
        <f>"05-501"</f>
        <v>05-501</v>
      </c>
      <c r="H10091" t="str">
        <f>"A"</f>
        <v>A</v>
      </c>
    </row>
    <row r="10092" spans="1:8" x14ac:dyDescent="0.2">
      <c r="A10092" t="str">
        <f t="shared" si="3651"/>
        <v>0614033923</v>
      </c>
      <c r="B10092" t="str">
        <f t="shared" si="3652"/>
        <v>JESSE</v>
      </c>
      <c r="C10092" t="str">
        <f t="shared" si="3653"/>
        <v>LUGO</v>
      </c>
      <c r="D10092">
        <f>12</f>
        <v>12</v>
      </c>
      <c r="E10092" t="str">
        <f>"06 - B - 103 - Stefanie S Scher"</f>
        <v>06 - B - 103 - Stefanie S Scher</v>
      </c>
      <c r="F10092" t="str">
        <f>"NC STUDY HALL 1"</f>
        <v>NC STUDY HALL 1</v>
      </c>
      <c r="G10092" t="str">
        <f>"17-1735"</f>
        <v>17-1735</v>
      </c>
      <c r="H10092" t="str">
        <f>"B"</f>
        <v>B</v>
      </c>
    </row>
    <row r="10093" spans="1:8" x14ac:dyDescent="0.2">
      <c r="A10093" t="str">
        <f t="shared" si="3651"/>
        <v>0614033923</v>
      </c>
      <c r="B10093" t="str">
        <f t="shared" si="3652"/>
        <v>JESSE</v>
      </c>
      <c r="C10093" t="str">
        <f t="shared" si="3653"/>
        <v>LUGO</v>
      </c>
      <c r="D10093">
        <f>12</f>
        <v>12</v>
      </c>
      <c r="E10093" t="str">
        <f>"03 - A - 102 - Cliffon  Saurel"</f>
        <v>03 - A - 102 - Cliffon  Saurel</v>
      </c>
      <c r="F10093" t="str">
        <f>"PHYSICAL SCI"</f>
        <v>PHYSICAL SCI</v>
      </c>
      <c r="G10093" t="str">
        <f>"05-522"</f>
        <v>05-522</v>
      </c>
      <c r="H10093" t="str">
        <f>"A"</f>
        <v>A</v>
      </c>
    </row>
    <row r="10094" spans="1:8" x14ac:dyDescent="0.2">
      <c r="A10094" t="str">
        <f t="shared" si="3651"/>
        <v>0614033923</v>
      </c>
      <c r="B10094" t="str">
        <f t="shared" si="3652"/>
        <v>JESSE</v>
      </c>
      <c r="C10094" t="str">
        <f t="shared" si="3653"/>
        <v>LUGO</v>
      </c>
      <c r="D10094">
        <f>12</f>
        <v>12</v>
      </c>
      <c r="E10094" t="str">
        <f>"02 - A - 101 - Robert H Rindner"</f>
        <v>02 - A - 101 - Robert H Rindner</v>
      </c>
      <c r="F10094" t="str">
        <f>"MATH DATA&amp;FIN LIT H"</f>
        <v>MATH DATA&amp;FIN LIT H</v>
      </c>
      <c r="G10094" t="str">
        <f>"21-2160"</f>
        <v>21-2160</v>
      </c>
      <c r="H10094" t="str">
        <f>"A"</f>
        <v>A</v>
      </c>
    </row>
    <row r="10095" spans="1:8" x14ac:dyDescent="0.2">
      <c r="A10095" t="str">
        <f t="shared" si="3651"/>
        <v>0614033923</v>
      </c>
      <c r="B10095" t="str">
        <f t="shared" si="3652"/>
        <v>JESSE</v>
      </c>
      <c r="C10095" t="str">
        <f t="shared" si="3653"/>
        <v>LUGO</v>
      </c>
      <c r="D10095">
        <f>12</f>
        <v>12</v>
      </c>
      <c r="E10095" t="str">
        <f>"07 - B - 103 - Nahum  Saint-Preux"</f>
        <v>07 - B - 103 - Nahum  Saint-Preux</v>
      </c>
      <c r="F10095" t="str">
        <f>"INTENS READ 4"</f>
        <v>INTENS READ 4</v>
      </c>
      <c r="G10095" t="str">
        <f>"17-1712"</f>
        <v>17-1712</v>
      </c>
      <c r="H10095" t="str">
        <f>"B"</f>
        <v>B</v>
      </c>
    </row>
    <row r="10096" spans="1:8" x14ac:dyDescent="0.2">
      <c r="A10096" t="str">
        <f t="shared" si="3651"/>
        <v>0614033923</v>
      </c>
      <c r="B10096" t="str">
        <f t="shared" si="3652"/>
        <v>JESSE</v>
      </c>
      <c r="C10096" t="str">
        <f t="shared" si="3653"/>
        <v>LUGO</v>
      </c>
      <c r="D10096">
        <f>12</f>
        <v>12</v>
      </c>
      <c r="E10096" t="str">
        <f>"05 - S1 - B - 102 - Robert O Burger"</f>
        <v>05 - S1 - B - 102 - Robert O Burger</v>
      </c>
      <c r="F10096" t="str">
        <f>"US GOVT"</f>
        <v>US GOVT</v>
      </c>
      <c r="G10096" t="str">
        <f>"17-1755"</f>
        <v>17-1755</v>
      </c>
      <c r="H10096" t="str">
        <f>"B"</f>
        <v>B</v>
      </c>
    </row>
    <row r="10097" spans="1:8" x14ac:dyDescent="0.2">
      <c r="A10097" t="str">
        <f t="shared" si="3651"/>
        <v>0614033923</v>
      </c>
      <c r="B10097" t="str">
        <f t="shared" si="3652"/>
        <v>JESSE</v>
      </c>
      <c r="C10097" t="str">
        <f t="shared" si="3653"/>
        <v>LUGO</v>
      </c>
      <c r="D10097">
        <f>12</f>
        <v>12</v>
      </c>
      <c r="E10097" t="str">
        <f>"01 - A - 101 - Samantha L Martinez"</f>
        <v>01 - A - 101 - Samantha L Martinez</v>
      </c>
      <c r="F10097" t="str">
        <f>"MUSIC WORLD"</f>
        <v>MUSIC WORLD</v>
      </c>
      <c r="G10097" t="str">
        <f>"05-505"</f>
        <v>05-505</v>
      </c>
      <c r="H10097" t="str">
        <f>"A"</f>
        <v>A</v>
      </c>
    </row>
    <row r="10098" spans="1:8" x14ac:dyDescent="0.2">
      <c r="A10098" t="str">
        <f t="shared" si="3651"/>
        <v>0614033923</v>
      </c>
      <c r="B10098" t="str">
        <f t="shared" si="3652"/>
        <v>JESSE</v>
      </c>
      <c r="C10098" t="str">
        <f t="shared" si="3653"/>
        <v>LUGO</v>
      </c>
      <c r="D10098">
        <f>12</f>
        <v>12</v>
      </c>
      <c r="E10098" t="str">
        <f>"08 - B - 206 - Robyn L Trainer"</f>
        <v>08 - B - 206 - Robyn L Trainer</v>
      </c>
      <c r="F10098" t="str">
        <f>"ENG 4: FL COLL PREP"</f>
        <v>ENG 4: FL COLL PREP</v>
      </c>
      <c r="G10098" t="str">
        <f>"17-1734"</f>
        <v>17-1734</v>
      </c>
      <c r="H10098" t="str">
        <f>"B"</f>
        <v>B</v>
      </c>
    </row>
    <row r="10099" spans="1:8" x14ac:dyDescent="0.2">
      <c r="A10099" t="str">
        <f t="shared" ref="A10099:A10106" si="3654">"0614001739"</f>
        <v>0614001739</v>
      </c>
      <c r="B10099" t="str">
        <f t="shared" ref="B10099:B10106" si="3655">"SAMANTHA"</f>
        <v>SAMANTHA</v>
      </c>
      <c r="C10099" t="str">
        <f t="shared" ref="C10099:C10106" si="3656">"LULLY"</f>
        <v>LULLY</v>
      </c>
      <c r="D10099">
        <f>12</f>
        <v>12</v>
      </c>
      <c r="E10099" t="str">
        <f>"04 - A - 101 - Thomas G Handwerg"</f>
        <v>04 - A - 101 - Thomas G Handwerg</v>
      </c>
      <c r="F10099" t="str">
        <f>"MATH COLL ALGEBRA"</f>
        <v>MATH COLL ALGEBRA</v>
      </c>
      <c r="G10099" t="str">
        <f>"21-2146"</f>
        <v>21-2146</v>
      </c>
      <c r="H10099" t="str">
        <f>"A"</f>
        <v>A</v>
      </c>
    </row>
    <row r="10100" spans="1:8" x14ac:dyDescent="0.2">
      <c r="A10100" t="str">
        <f t="shared" si="3654"/>
        <v>0614001739</v>
      </c>
      <c r="B10100" t="str">
        <f t="shared" si="3655"/>
        <v>SAMANTHA</v>
      </c>
      <c r="C10100" t="str">
        <f t="shared" si="3656"/>
        <v>LULLY</v>
      </c>
      <c r="D10100">
        <f>12</f>
        <v>12</v>
      </c>
      <c r="E10100" t="str">
        <f>"06 - B - 107 - Pamela M Corzo"</f>
        <v>06 - B - 107 - Pamela M Corzo</v>
      </c>
      <c r="F10100" t="str">
        <f>"NC STUDY HALL 1"</f>
        <v>NC STUDY HALL 1</v>
      </c>
      <c r="G10100" t="str">
        <f>"21-2133"</f>
        <v>21-2133</v>
      </c>
      <c r="H10100" t="str">
        <f>"B"</f>
        <v>B</v>
      </c>
    </row>
    <row r="10101" spans="1:8" x14ac:dyDescent="0.2">
      <c r="A10101" t="str">
        <f t="shared" si="3654"/>
        <v>0614001739</v>
      </c>
      <c r="B10101" t="str">
        <f t="shared" si="3655"/>
        <v>SAMANTHA</v>
      </c>
      <c r="C10101" t="str">
        <f t="shared" si="3656"/>
        <v>LULLY</v>
      </c>
      <c r="D10101">
        <f>12</f>
        <v>12</v>
      </c>
      <c r="E10101" t="str">
        <f>"03 - A - 201 - Christa T Parisi"</f>
        <v>03 - A - 201 - Christa T Parisi</v>
      </c>
      <c r="F10101" t="str">
        <f>"DANCE TECHNQS 1"</f>
        <v>DANCE TECHNQS 1</v>
      </c>
      <c r="G10101" t="str">
        <f>"05-503"</f>
        <v>05-503</v>
      </c>
      <c r="H10101" t="str">
        <f>"A"</f>
        <v>A</v>
      </c>
    </row>
    <row r="10102" spans="1:8" x14ac:dyDescent="0.2">
      <c r="A10102" t="str">
        <f t="shared" si="3654"/>
        <v>0614001739</v>
      </c>
      <c r="B10102" t="str">
        <f t="shared" si="3655"/>
        <v>SAMANTHA</v>
      </c>
      <c r="C10102" t="str">
        <f t="shared" si="3656"/>
        <v>LULLY</v>
      </c>
      <c r="D10102">
        <f>12</f>
        <v>12</v>
      </c>
      <c r="E10102" t="str">
        <f>"02 - S1 - A - 103 - Barbara L Segal"</f>
        <v>02 - S1 - A - 103 - Barbara L Segal</v>
      </c>
      <c r="F10102" t="str">
        <f>"US GOVT HON"</f>
        <v>US GOVT HON</v>
      </c>
      <c r="G10102" t="str">
        <f>"17-1742"</f>
        <v>17-1742</v>
      </c>
      <c r="H10102" t="str">
        <f>"A"</f>
        <v>A</v>
      </c>
    </row>
    <row r="10103" spans="1:8" x14ac:dyDescent="0.2">
      <c r="A10103" t="str">
        <f t="shared" si="3654"/>
        <v>0614001739</v>
      </c>
      <c r="B10103" t="str">
        <f t="shared" si="3655"/>
        <v>SAMANTHA</v>
      </c>
      <c r="C10103" t="str">
        <f t="shared" si="3656"/>
        <v>LULLY</v>
      </c>
      <c r="D10103">
        <f>12</f>
        <v>12</v>
      </c>
      <c r="E10103" t="str">
        <f>"07 - B - 202 - Chrystina M Marchionne"</f>
        <v>07 - B - 202 - Chrystina M Marchionne</v>
      </c>
      <c r="F10103" t="str">
        <f>"JOURN 1 (YB) LH"</f>
        <v>JOURN 1 (YB) LH</v>
      </c>
      <c r="G10103" t="str">
        <f>"05-520"</f>
        <v>05-520</v>
      </c>
      <c r="H10103" t="str">
        <f>"B"</f>
        <v>B</v>
      </c>
    </row>
    <row r="10104" spans="1:8" x14ac:dyDescent="0.2">
      <c r="A10104" t="str">
        <f t="shared" si="3654"/>
        <v>0614001739</v>
      </c>
      <c r="B10104" t="str">
        <f t="shared" si="3655"/>
        <v>SAMANTHA</v>
      </c>
      <c r="C10104" t="str">
        <f t="shared" si="3656"/>
        <v>LULLY</v>
      </c>
      <c r="D10104">
        <f>12</f>
        <v>12</v>
      </c>
      <c r="E10104" t="str">
        <f>"05 - B - 104 - Jeffrey S Gallagher"</f>
        <v>05 - B - 104 - Jeffrey S Gallagher</v>
      </c>
      <c r="F10104" t="str">
        <f>"ENG HON 4"</f>
        <v>ENG HON 4</v>
      </c>
      <c r="G10104" t="str">
        <f>"17-1724"</f>
        <v>17-1724</v>
      </c>
      <c r="H10104" t="str">
        <f>"B"</f>
        <v>B</v>
      </c>
    </row>
    <row r="10105" spans="1:8" x14ac:dyDescent="0.2">
      <c r="A10105" t="str">
        <f t="shared" si="3654"/>
        <v>0614001739</v>
      </c>
      <c r="B10105" t="str">
        <f t="shared" si="3655"/>
        <v>SAMANTHA</v>
      </c>
      <c r="C10105" t="str">
        <f t="shared" si="3656"/>
        <v>LULLY</v>
      </c>
      <c r="D10105">
        <f>12</f>
        <v>12</v>
      </c>
      <c r="E10105" t="str">
        <f>"01 - S1 - A - 101 - Bruce A Evans"</f>
        <v>01 - S1 - A - 101 - Bruce A Evans</v>
      </c>
      <c r="F10105" t="str">
        <f>"ELECTROCARD TECH 3HN"</f>
        <v>ELECTROCARD TECH 3HN</v>
      </c>
      <c r="G10105" t="str">
        <f>"21-2142"</f>
        <v>21-2142</v>
      </c>
      <c r="H10105" t="str">
        <f>"A"</f>
        <v>A</v>
      </c>
    </row>
    <row r="10106" spans="1:8" x14ac:dyDescent="0.2">
      <c r="A10106" t="str">
        <f t="shared" si="3654"/>
        <v>0614001739</v>
      </c>
      <c r="B10106" t="str">
        <f t="shared" si="3655"/>
        <v>SAMANTHA</v>
      </c>
      <c r="C10106" t="str">
        <f t="shared" si="3656"/>
        <v>LULLY</v>
      </c>
      <c r="D10106">
        <f>12</f>
        <v>12</v>
      </c>
      <c r="E10106" t="str">
        <f>"08 - B - 101 - Staci M Newton"</f>
        <v>08 - B - 101 - Staci M Newton</v>
      </c>
      <c r="F10106" t="str">
        <f>"PEER/PARTNERS LRN LH"</f>
        <v>PEER/PARTNERS LRN LH</v>
      </c>
      <c r="G10106" t="str">
        <f>"21-2103"</f>
        <v>21-2103</v>
      </c>
      <c r="H10106" t="str">
        <f>"B"</f>
        <v>B</v>
      </c>
    </row>
    <row r="10107" spans="1:8" x14ac:dyDescent="0.2">
      <c r="A10107" t="str">
        <f t="shared" ref="A10107:A10114" si="3657">"0624083295"</f>
        <v>0624083295</v>
      </c>
      <c r="B10107" t="str">
        <f t="shared" ref="B10107:B10114" si="3658">"EDGAR"</f>
        <v>EDGAR</v>
      </c>
      <c r="C10107" t="str">
        <f t="shared" ref="C10107:C10114" si="3659">"LUNA METIVIER"</f>
        <v>LUNA METIVIER</v>
      </c>
      <c r="D10107">
        <f>10</f>
        <v>10</v>
      </c>
      <c r="E10107" t="str">
        <f>"04 - A - 104 - Courtney E Hambright"</f>
        <v>04 - A - 104 - Courtney E Hambright</v>
      </c>
      <c r="F10107" t="str">
        <f>"AICE ENG LANG AS"</f>
        <v>AICE ENG LANG AS</v>
      </c>
      <c r="G10107" t="str">
        <f>"17-1711"</f>
        <v>17-1711</v>
      </c>
      <c r="H10107" t="str">
        <f>"A"</f>
        <v>A</v>
      </c>
    </row>
    <row r="10108" spans="1:8" x14ac:dyDescent="0.2">
      <c r="A10108" t="str">
        <f t="shared" si="3657"/>
        <v>0624083295</v>
      </c>
      <c r="B10108" t="str">
        <f t="shared" si="3658"/>
        <v>EDGAR</v>
      </c>
      <c r="C10108" t="str">
        <f t="shared" si="3659"/>
        <v>LUNA METIVIER</v>
      </c>
      <c r="D10108">
        <f>10</f>
        <v>10</v>
      </c>
      <c r="E10108" t="str">
        <f>"06 - B - 116 - Jordana K Hass"</f>
        <v>06 - B - 116 - Jordana K Hass</v>
      </c>
      <c r="F10108" t="str">
        <f>"NC STUDY HALL 1"</f>
        <v>NC STUDY HALL 1</v>
      </c>
      <c r="G10108" t="str">
        <f>"08-807"</f>
        <v>08-807</v>
      </c>
      <c r="H10108" t="str">
        <f>"B"</f>
        <v>B</v>
      </c>
    </row>
    <row r="10109" spans="1:8" x14ac:dyDescent="0.2">
      <c r="A10109" t="str">
        <f t="shared" si="3657"/>
        <v>0624083295</v>
      </c>
      <c r="B10109" t="str">
        <f t="shared" si="3658"/>
        <v>EDGAR</v>
      </c>
      <c r="C10109" t="str">
        <f t="shared" si="3659"/>
        <v>LUNA METIVIER</v>
      </c>
      <c r="D10109">
        <f>10</f>
        <v>10</v>
      </c>
      <c r="E10109" t="str">
        <f>"03 - A - 201 - Alejandro  Navarro"</f>
        <v>03 - A - 201 - Alejandro  Navarro</v>
      </c>
      <c r="F10109" t="str">
        <f>"BAND 2"</f>
        <v>BAND 2</v>
      </c>
      <c r="G10109" t="str">
        <f>"05-504"</f>
        <v>05-504</v>
      </c>
      <c r="H10109" t="str">
        <f>"A"</f>
        <v>A</v>
      </c>
    </row>
    <row r="10110" spans="1:8" x14ac:dyDescent="0.2">
      <c r="A10110" t="str">
        <f t="shared" si="3657"/>
        <v>0624083295</v>
      </c>
      <c r="B10110" t="str">
        <f t="shared" si="3658"/>
        <v>EDGAR</v>
      </c>
      <c r="C10110" t="str">
        <f t="shared" si="3659"/>
        <v>LUNA METIVIER</v>
      </c>
      <c r="D10110">
        <f>10</f>
        <v>10</v>
      </c>
      <c r="E10110" t="str">
        <f>"02 - A - 103 - Dorothy D Moore"</f>
        <v>02 - A - 103 - Dorothy D Moore</v>
      </c>
      <c r="F10110" t="str">
        <f>"ANAT PHYSIO HON"</f>
        <v>ANAT PHYSIO HON</v>
      </c>
      <c r="G10110" t="str">
        <f>"08-803"</f>
        <v>08-803</v>
      </c>
      <c r="H10110" t="str">
        <f>"A"</f>
        <v>A</v>
      </c>
    </row>
    <row r="10111" spans="1:8" x14ac:dyDescent="0.2">
      <c r="A10111" t="str">
        <f t="shared" si="3657"/>
        <v>0624083295</v>
      </c>
      <c r="B10111" t="str">
        <f t="shared" si="3658"/>
        <v>EDGAR</v>
      </c>
      <c r="C10111" t="str">
        <f t="shared" si="3659"/>
        <v>LUNA METIVIER</v>
      </c>
      <c r="D10111">
        <f>10</f>
        <v>10</v>
      </c>
      <c r="E10111" t="str">
        <f>"07 - B - 107 - Adam Marcus  Drucker"</f>
        <v>07 - B - 107 - Adam Marcus  Drucker</v>
      </c>
      <c r="F10111" t="str">
        <f>"HOPE-PE V"</f>
        <v>HOPE-PE V</v>
      </c>
      <c r="G10111" t="str">
        <f>"04-254"</f>
        <v>04-254</v>
      </c>
      <c r="H10111" t="str">
        <f>"B"</f>
        <v>B</v>
      </c>
    </row>
    <row r="10112" spans="1:8" x14ac:dyDescent="0.2">
      <c r="A10112" t="str">
        <f t="shared" si="3657"/>
        <v>0624083295</v>
      </c>
      <c r="B10112" t="str">
        <f t="shared" si="3658"/>
        <v>EDGAR</v>
      </c>
      <c r="C10112" t="str">
        <f t="shared" si="3659"/>
        <v>LUNA METIVIER</v>
      </c>
      <c r="D10112">
        <f>10</f>
        <v>10</v>
      </c>
      <c r="E10112" t="str">
        <f>"05 - B - 205 - Lenecy  Nodarse"</f>
        <v>05 - B - 205 - Lenecy  Nodarse</v>
      </c>
      <c r="F10112" t="str">
        <f>"WORLD HISTORY"</f>
        <v>WORLD HISTORY</v>
      </c>
      <c r="G10112" t="str">
        <f>"17-1741"</f>
        <v>17-1741</v>
      </c>
      <c r="H10112" t="str">
        <f>"B"</f>
        <v>B</v>
      </c>
    </row>
    <row r="10113" spans="1:8" x14ac:dyDescent="0.2">
      <c r="A10113" t="str">
        <f t="shared" si="3657"/>
        <v>0624083295</v>
      </c>
      <c r="B10113" t="str">
        <f t="shared" si="3658"/>
        <v>EDGAR</v>
      </c>
      <c r="C10113" t="str">
        <f t="shared" si="3659"/>
        <v>LUNA METIVIER</v>
      </c>
      <c r="D10113">
        <f>10</f>
        <v>10</v>
      </c>
      <c r="E10113" t="str">
        <f>"01 - A - 102 - Brook E Goren"</f>
        <v>01 - A - 102 - Brook E Goren</v>
      </c>
      <c r="F10113" t="str">
        <f>"PRE-AICE MATH 2 IG"</f>
        <v>PRE-AICE MATH 2 IG</v>
      </c>
      <c r="G10113" t="str">
        <f>"21-2158"</f>
        <v>21-2158</v>
      </c>
      <c r="H10113" t="str">
        <f>"A"</f>
        <v>A</v>
      </c>
    </row>
    <row r="10114" spans="1:8" x14ac:dyDescent="0.2">
      <c r="A10114" t="str">
        <f t="shared" si="3657"/>
        <v>0624083295</v>
      </c>
      <c r="B10114" t="str">
        <f t="shared" si="3658"/>
        <v>EDGAR</v>
      </c>
      <c r="C10114" t="str">
        <f t="shared" si="3659"/>
        <v>LUNA METIVIER</v>
      </c>
      <c r="D10114">
        <f>10</f>
        <v>10</v>
      </c>
      <c r="E10114" t="str">
        <f>"08 - B - 101 - Rosa Elaine  Collado-Duff"</f>
        <v>08 - B - 101 - Rosa Elaine  Collado-Duff</v>
      </c>
      <c r="F10114" t="str">
        <f>"AP SPANISH LANG &amp; CU"</f>
        <v>AP SPANISH LANG &amp; CU</v>
      </c>
      <c r="G10114" t="str">
        <f>"09-913"</f>
        <v>09-913</v>
      </c>
      <c r="H10114" t="str">
        <f>"B"</f>
        <v>B</v>
      </c>
    </row>
    <row r="10115" spans="1:8" x14ac:dyDescent="0.2">
      <c r="A10115" t="str">
        <f t="shared" ref="A10115:A10122" si="3660">"0615075244"</f>
        <v>0615075244</v>
      </c>
      <c r="B10115" t="str">
        <f t="shared" ref="B10115:B10122" si="3661">"ISAIAH"</f>
        <v>ISAIAH</v>
      </c>
      <c r="C10115" t="str">
        <f t="shared" ref="C10115:C10122" si="3662">"MABSON"</f>
        <v>MABSON</v>
      </c>
      <c r="D10115">
        <f>11</f>
        <v>11</v>
      </c>
      <c r="E10115" t="str">
        <f>"04 - A - 101 - Jeanne M Bermudez"</f>
        <v>04 - A - 101 - Jeanne M Bermudez</v>
      </c>
      <c r="F10115" t="str">
        <f>"ADVANCED IT HON"</f>
        <v>ADVANCED IT HON</v>
      </c>
      <c r="G10115" t="str">
        <f>"21-2141"</f>
        <v>21-2141</v>
      </c>
      <c r="H10115" t="str">
        <f>"A"</f>
        <v>A</v>
      </c>
    </row>
    <row r="10116" spans="1:8" x14ac:dyDescent="0.2">
      <c r="A10116" t="str">
        <f t="shared" si="3660"/>
        <v>0615075244</v>
      </c>
      <c r="B10116" t="str">
        <f t="shared" si="3661"/>
        <v>ISAIAH</v>
      </c>
      <c r="C10116" t="str">
        <f t="shared" si="3662"/>
        <v>MABSON</v>
      </c>
      <c r="D10116">
        <f>11</f>
        <v>11</v>
      </c>
      <c r="E10116" t="str">
        <f>"06 - B - 104 - Brandy N Zdenek"</f>
        <v>06 - B - 104 - Brandy N Zdenek</v>
      </c>
      <c r="F10116" t="str">
        <f>"AICE ENG LANG 2 AL"</f>
        <v>AICE ENG LANG 2 AL</v>
      </c>
      <c r="G10116" t="str">
        <f>"17-1704"</f>
        <v>17-1704</v>
      </c>
      <c r="H10116" t="str">
        <f>"B"</f>
        <v>B</v>
      </c>
    </row>
    <row r="10117" spans="1:8" x14ac:dyDescent="0.2">
      <c r="A10117" t="str">
        <f t="shared" si="3660"/>
        <v>0615075244</v>
      </c>
      <c r="B10117" t="str">
        <f t="shared" si="3661"/>
        <v>ISAIAH</v>
      </c>
      <c r="C10117" t="str">
        <f t="shared" si="3662"/>
        <v>MABSON</v>
      </c>
      <c r="D10117">
        <f>11</f>
        <v>11</v>
      </c>
      <c r="E10117" t="str">
        <f>"03 - A - 103 - Samantha J Headley"</f>
        <v>03 - A - 103 - Samantha J Headley</v>
      </c>
      <c r="F10117" t="str">
        <f>"MARINE SCI 1 HON"</f>
        <v>MARINE SCI 1 HON</v>
      </c>
      <c r="G10117" t="str">
        <f>"21-2134"</f>
        <v>21-2134</v>
      </c>
      <c r="H10117" t="str">
        <f>"A"</f>
        <v>A</v>
      </c>
    </row>
    <row r="10118" spans="1:8" x14ac:dyDescent="0.2">
      <c r="A10118" t="str">
        <f t="shared" si="3660"/>
        <v>0615075244</v>
      </c>
      <c r="B10118" t="str">
        <f t="shared" si="3661"/>
        <v>ISAIAH</v>
      </c>
      <c r="C10118" t="str">
        <f t="shared" si="3662"/>
        <v>MABSON</v>
      </c>
      <c r="D10118">
        <f>11</f>
        <v>11</v>
      </c>
      <c r="E10118" t="str">
        <f>"02 - A - 103 - Kelly N Panza"</f>
        <v>02 - A - 103 - Kelly N Panza</v>
      </c>
      <c r="F10118" t="str">
        <f>"NC STUDY HALL 1"</f>
        <v>NC STUDY HALL 1</v>
      </c>
      <c r="G10118" t="str">
        <f>"17-1753"</f>
        <v>17-1753</v>
      </c>
      <c r="H10118" t="str">
        <f>"A"</f>
        <v>A</v>
      </c>
    </row>
    <row r="10119" spans="1:8" x14ac:dyDescent="0.2">
      <c r="A10119" t="str">
        <f t="shared" si="3660"/>
        <v>0615075244</v>
      </c>
      <c r="B10119" t="str">
        <f t="shared" si="3661"/>
        <v>ISAIAH</v>
      </c>
      <c r="C10119" t="str">
        <f t="shared" si="3662"/>
        <v>MABSON</v>
      </c>
      <c r="D10119">
        <f>11</f>
        <v>11</v>
      </c>
      <c r="E10119" t="str">
        <f>"07 - S1 - B - 105 - Richard E Dunbar Iii"</f>
        <v>07 - S1 - B - 105 - Richard E Dunbar Iii</v>
      </c>
      <c r="F10119" t="str">
        <f>"WEIGHT TRAIN 3"</f>
        <v>WEIGHT TRAIN 3</v>
      </c>
      <c r="G10119" t="str">
        <f>"05-501"</f>
        <v>05-501</v>
      </c>
      <c r="H10119" t="str">
        <f>"B"</f>
        <v>B</v>
      </c>
    </row>
    <row r="10120" spans="1:8" x14ac:dyDescent="0.2">
      <c r="A10120" t="str">
        <f t="shared" si="3660"/>
        <v>0615075244</v>
      </c>
      <c r="B10120" t="str">
        <f t="shared" si="3661"/>
        <v>ISAIAH</v>
      </c>
      <c r="C10120" t="str">
        <f t="shared" si="3662"/>
        <v>MABSON</v>
      </c>
      <c r="D10120">
        <f>11</f>
        <v>11</v>
      </c>
      <c r="E10120" t="str">
        <f>"05 - B - 104 - Semra  Bahadir"</f>
        <v>05 - B - 104 - Semra  Bahadir</v>
      </c>
      <c r="F10120" t="str">
        <f>"MATH COLL ALGEBRA"</f>
        <v>MATH COLL ALGEBRA</v>
      </c>
      <c r="G10120" t="str">
        <f>"21-2107"</f>
        <v>21-2107</v>
      </c>
      <c r="H10120" t="str">
        <f>"B"</f>
        <v>B</v>
      </c>
    </row>
    <row r="10121" spans="1:8" x14ac:dyDescent="0.2">
      <c r="A10121" t="str">
        <f t="shared" si="3660"/>
        <v>0615075244</v>
      </c>
      <c r="B10121" t="str">
        <f t="shared" si="3661"/>
        <v>ISAIAH</v>
      </c>
      <c r="C10121" t="str">
        <f t="shared" si="3662"/>
        <v>MABSON</v>
      </c>
      <c r="D10121">
        <f>11</f>
        <v>11</v>
      </c>
      <c r="E10121" t="str">
        <f>"01 - A - 101 - Kyle  Robbins"</f>
        <v>01 - A - 101 - Kyle  Robbins</v>
      </c>
      <c r="F10121" t="str">
        <f>"US HISTORY"</f>
        <v>US HISTORY</v>
      </c>
      <c r="G10121" t="str">
        <f>"17-1745"</f>
        <v>17-1745</v>
      </c>
      <c r="H10121" t="str">
        <f>"A"</f>
        <v>A</v>
      </c>
    </row>
    <row r="10122" spans="1:8" x14ac:dyDescent="0.2">
      <c r="A10122" t="str">
        <f t="shared" si="3660"/>
        <v>0615075244</v>
      </c>
      <c r="B10122" t="str">
        <f t="shared" si="3661"/>
        <v>ISAIAH</v>
      </c>
      <c r="C10122" t="str">
        <f t="shared" si="3662"/>
        <v>MABSON</v>
      </c>
      <c r="D10122">
        <f>11</f>
        <v>11</v>
      </c>
      <c r="E10122" t="str">
        <f>"08 - B - 202 - Krystal Marie  Beruty"</f>
        <v>08 - B - 202 - Krystal Marie  Beruty</v>
      </c>
      <c r="F10122" t="str">
        <f>"AICE PSYCH 1 AS"</f>
        <v>AICE PSYCH 1 AS</v>
      </c>
      <c r="G10122" t="str">
        <f>"17-1721"</f>
        <v>17-1721</v>
      </c>
      <c r="H10122" t="str">
        <f>"B"</f>
        <v>B</v>
      </c>
    </row>
    <row r="10123" spans="1:8" x14ac:dyDescent="0.2">
      <c r="A10123" t="str">
        <f t="shared" ref="A10123:A10130" si="3663">"0622124764"</f>
        <v>0622124764</v>
      </c>
      <c r="B10123" t="str">
        <f t="shared" ref="B10123:B10130" si="3664">"LUKE"</f>
        <v>LUKE</v>
      </c>
      <c r="C10123" t="str">
        <f t="shared" ref="C10123:C10130" si="3665">"MACHATKA"</f>
        <v>MACHATKA</v>
      </c>
      <c r="D10123" t="str">
        <f t="shared" ref="D10123:D10130" si="3666">"09"</f>
        <v>09</v>
      </c>
      <c r="E10123" t="str">
        <f>"04 - A - 107 - Amy Beth  Broyles"</f>
        <v>04 - A - 107 - Amy Beth  Broyles</v>
      </c>
      <c r="F10123" t="str">
        <f>"ENV SCI"</f>
        <v>ENV SCI</v>
      </c>
      <c r="G10123" t="str">
        <f>"08-802"</f>
        <v>08-802</v>
      </c>
      <c r="H10123" t="str">
        <f>"A"</f>
        <v>A</v>
      </c>
    </row>
    <row r="10124" spans="1:8" x14ac:dyDescent="0.2">
      <c r="A10124" t="str">
        <f t="shared" si="3663"/>
        <v>0622124764</v>
      </c>
      <c r="B10124" t="str">
        <f t="shared" si="3664"/>
        <v>LUKE</v>
      </c>
      <c r="C10124" t="str">
        <f t="shared" si="3665"/>
        <v>MACHATKA</v>
      </c>
      <c r="D10124" t="str">
        <f t="shared" si="3666"/>
        <v>09</v>
      </c>
      <c r="E10124" t="str">
        <f>"06 - B - 106 - Adam Marcus  Drucker"</f>
        <v>06 - B - 106 - Adam Marcus  Drucker</v>
      </c>
      <c r="F10124" t="str">
        <f>"HOPE-PE V"</f>
        <v>HOPE-PE V</v>
      </c>
      <c r="G10124" t="str">
        <f>"04-254"</f>
        <v>04-254</v>
      </c>
      <c r="H10124" t="str">
        <f>"B"</f>
        <v>B</v>
      </c>
    </row>
    <row r="10125" spans="1:8" x14ac:dyDescent="0.2">
      <c r="A10125" t="str">
        <f t="shared" si="3663"/>
        <v>0622124764</v>
      </c>
      <c r="B10125" t="str">
        <f t="shared" si="3664"/>
        <v>LUKE</v>
      </c>
      <c r="C10125" t="str">
        <f t="shared" si="3665"/>
        <v>MACHATKA</v>
      </c>
      <c r="D10125" t="str">
        <f t="shared" si="3666"/>
        <v>09</v>
      </c>
      <c r="E10125" t="str">
        <f>"03 - A - 105 - Elizabeth Ellen  Moran"</f>
        <v>03 - A - 105 - Elizabeth Ellen  Moran</v>
      </c>
      <c r="F10125" t="str">
        <f>"WORLD HISTORY"</f>
        <v>WORLD HISTORY</v>
      </c>
      <c r="G10125" t="str">
        <f>"17-1752"</f>
        <v>17-1752</v>
      </c>
      <c r="H10125" t="str">
        <f>"A"</f>
        <v>A</v>
      </c>
    </row>
    <row r="10126" spans="1:8" x14ac:dyDescent="0.2">
      <c r="A10126" t="str">
        <f t="shared" si="3663"/>
        <v>0622124764</v>
      </c>
      <c r="B10126" t="str">
        <f t="shared" si="3664"/>
        <v>LUKE</v>
      </c>
      <c r="C10126" t="str">
        <f t="shared" si="3665"/>
        <v>MACHATKA</v>
      </c>
      <c r="D10126" t="str">
        <f t="shared" si="3666"/>
        <v>09</v>
      </c>
      <c r="E10126" t="str">
        <f>"02 - A - 102 - Samantha J Headley"</f>
        <v>02 - A - 102 - Samantha J Headley</v>
      </c>
      <c r="F10126" t="str">
        <f>"NC STUDY HALL 1"</f>
        <v>NC STUDY HALL 1</v>
      </c>
      <c r="G10126" t="str">
        <f>"21-2134"</f>
        <v>21-2134</v>
      </c>
      <c r="H10126" t="str">
        <f>"A"</f>
        <v>A</v>
      </c>
    </row>
    <row r="10127" spans="1:8" x14ac:dyDescent="0.2">
      <c r="A10127" t="str">
        <f t="shared" si="3663"/>
        <v>0622124764</v>
      </c>
      <c r="B10127" t="str">
        <f t="shared" si="3664"/>
        <v>LUKE</v>
      </c>
      <c r="C10127" t="str">
        <f t="shared" si="3665"/>
        <v>MACHATKA</v>
      </c>
      <c r="D10127" t="str">
        <f t="shared" si="3666"/>
        <v>09</v>
      </c>
      <c r="E10127" t="str">
        <f>"07 - B - 107 - Helen A Flores"</f>
        <v>07 - B - 107 - Helen A Flores</v>
      </c>
      <c r="F10127" t="str">
        <f>"ALGEBRA 1"</f>
        <v>ALGEBRA 1</v>
      </c>
      <c r="G10127" t="str">
        <f>"21-2101"</f>
        <v>21-2101</v>
      </c>
      <c r="H10127" t="str">
        <f>"B"</f>
        <v>B</v>
      </c>
    </row>
    <row r="10128" spans="1:8" x14ac:dyDescent="0.2">
      <c r="A10128" t="str">
        <f t="shared" si="3663"/>
        <v>0622124764</v>
      </c>
      <c r="B10128" t="str">
        <f t="shared" si="3664"/>
        <v>LUKE</v>
      </c>
      <c r="C10128" t="str">
        <f t="shared" si="3665"/>
        <v>MACHATKA</v>
      </c>
      <c r="D10128" t="str">
        <f t="shared" si="3666"/>
        <v>09</v>
      </c>
      <c r="E10128" t="str">
        <f>"05 - B - 104 - Cerine S Stewart"</f>
        <v>05 - B - 104 - Cerine S Stewart</v>
      </c>
      <c r="F10128" t="str">
        <f>"ENG 1"</f>
        <v>ENG 1</v>
      </c>
      <c r="G10128" t="str">
        <f>"17-1720"</f>
        <v>17-1720</v>
      </c>
      <c r="H10128" t="str">
        <f>"B"</f>
        <v>B</v>
      </c>
    </row>
    <row r="10129" spans="1:8" x14ac:dyDescent="0.2">
      <c r="A10129" t="str">
        <f t="shared" si="3663"/>
        <v>0622124764</v>
      </c>
      <c r="B10129" t="str">
        <f t="shared" si="3664"/>
        <v>LUKE</v>
      </c>
      <c r="C10129" t="str">
        <f t="shared" si="3665"/>
        <v>MACHATKA</v>
      </c>
      <c r="D10129" t="str">
        <f t="shared" si="3666"/>
        <v>09</v>
      </c>
      <c r="E10129" t="str">
        <f>"01 - A - 102 - Helen A Flores"</f>
        <v>01 - A - 102 - Helen A Flores</v>
      </c>
      <c r="F10129" t="str">
        <f>"FDN SKLS MATH 9-12"</f>
        <v>FDN SKLS MATH 9-12</v>
      </c>
      <c r="G10129" t="str">
        <f>"21-2101"</f>
        <v>21-2101</v>
      </c>
      <c r="H10129" t="str">
        <f>"A"</f>
        <v>A</v>
      </c>
    </row>
    <row r="10130" spans="1:8" x14ac:dyDescent="0.2">
      <c r="A10130" t="str">
        <f t="shared" si="3663"/>
        <v>0622124764</v>
      </c>
      <c r="B10130" t="str">
        <f t="shared" si="3664"/>
        <v>LUKE</v>
      </c>
      <c r="C10130" t="str">
        <f t="shared" si="3665"/>
        <v>MACHATKA</v>
      </c>
      <c r="D10130" t="str">
        <f t="shared" si="3666"/>
        <v>09</v>
      </c>
      <c r="E10130" t="str">
        <f>"08 - B - 106 - Laselleda D Shaw"</f>
        <v>08 - B - 106 - Laselleda D Shaw</v>
      </c>
      <c r="F10130" t="str">
        <f>"INTENS READ 1"</f>
        <v>INTENS READ 1</v>
      </c>
      <c r="G10130" t="str">
        <f>"17-1723"</f>
        <v>17-1723</v>
      </c>
      <c r="H10130" t="str">
        <f>"B"</f>
        <v>B</v>
      </c>
    </row>
    <row r="10131" spans="1:8" x14ac:dyDescent="0.2">
      <c r="A10131" t="str">
        <f t="shared" ref="A10131:A10138" si="3667">"0616024394"</f>
        <v>0616024394</v>
      </c>
      <c r="B10131" t="str">
        <f t="shared" ref="B10131:B10138" si="3668">"ALEXIS"</f>
        <v>ALEXIS</v>
      </c>
      <c r="C10131" t="str">
        <f t="shared" ref="C10131:C10146" si="3669">"MACK"</f>
        <v>MACK</v>
      </c>
      <c r="D10131">
        <f>10</f>
        <v>10</v>
      </c>
      <c r="E10131" t="str">
        <f>"04 - A - 103 - Daniel S Tyson"</f>
        <v>04 - A - 103 - Daniel S Tyson</v>
      </c>
      <c r="F10131" t="str">
        <f>"JROTC NAVAL SCI 1"</f>
        <v>JROTC NAVAL SCI 1</v>
      </c>
      <c r="G10131" t="str">
        <f>"05-510"</f>
        <v>05-510</v>
      </c>
      <c r="H10131" t="str">
        <f>"A"</f>
        <v>A</v>
      </c>
    </row>
    <row r="10132" spans="1:8" x14ac:dyDescent="0.2">
      <c r="A10132" t="str">
        <f t="shared" si="3667"/>
        <v>0616024394</v>
      </c>
      <c r="B10132" t="str">
        <f t="shared" si="3668"/>
        <v>ALEXIS</v>
      </c>
      <c r="C10132" t="str">
        <f t="shared" si="3669"/>
        <v>MACK</v>
      </c>
      <c r="D10132">
        <f>10</f>
        <v>10</v>
      </c>
      <c r="E10132" t="str">
        <f>"06 - B - 105 - Jeffrey S Gallagher"</f>
        <v>06 - B - 105 - Jeffrey S Gallagher</v>
      </c>
      <c r="F10132" t="str">
        <f>"NC STUDY HALL 1"</f>
        <v>NC STUDY HALL 1</v>
      </c>
      <c r="G10132" t="str">
        <f>"17-1724"</f>
        <v>17-1724</v>
      </c>
      <c r="H10132" t="str">
        <f>"B"</f>
        <v>B</v>
      </c>
    </row>
    <row r="10133" spans="1:8" x14ac:dyDescent="0.2">
      <c r="A10133" t="str">
        <f t="shared" si="3667"/>
        <v>0616024394</v>
      </c>
      <c r="B10133" t="str">
        <f t="shared" si="3668"/>
        <v>ALEXIS</v>
      </c>
      <c r="C10133" t="str">
        <f t="shared" si="3669"/>
        <v>MACK</v>
      </c>
      <c r="D10133">
        <f>10</f>
        <v>10</v>
      </c>
      <c r="E10133" t="str">
        <f>"03 - A - 002 - Nikiel  Nesbeth"</f>
        <v>03 - A - 002 - Nikiel  Nesbeth</v>
      </c>
      <c r="F10133" t="str">
        <f>"PRE-AICE ENG LIT IG"</f>
        <v>PRE-AICE ENG LIT IG</v>
      </c>
      <c r="G10133" t="str">
        <f>"17-1705"</f>
        <v>17-1705</v>
      </c>
      <c r="H10133" t="str">
        <f>"A"</f>
        <v>A</v>
      </c>
    </row>
    <row r="10134" spans="1:8" x14ac:dyDescent="0.2">
      <c r="A10134" t="str">
        <f t="shared" si="3667"/>
        <v>0616024394</v>
      </c>
      <c r="B10134" t="str">
        <f t="shared" si="3668"/>
        <v>ALEXIS</v>
      </c>
      <c r="C10134" t="str">
        <f t="shared" si="3669"/>
        <v>MACK</v>
      </c>
      <c r="D10134">
        <f>10</f>
        <v>10</v>
      </c>
      <c r="E10134" t="str">
        <f>"02 - A - 104 - Joe  Kilpatrick Jr"</f>
        <v>02 - A - 104 - Joe  Kilpatrick Jr</v>
      </c>
      <c r="F10134" t="str">
        <f>"PRE-AICE SPAN 2 IG"</f>
        <v>PRE-AICE SPAN 2 IG</v>
      </c>
      <c r="G10134" t="str">
        <f>"09-912"</f>
        <v>09-912</v>
      </c>
      <c r="H10134" t="str">
        <f>"A"</f>
        <v>A</v>
      </c>
    </row>
    <row r="10135" spans="1:8" x14ac:dyDescent="0.2">
      <c r="A10135" t="str">
        <f t="shared" si="3667"/>
        <v>0616024394</v>
      </c>
      <c r="B10135" t="str">
        <f t="shared" si="3668"/>
        <v>ALEXIS</v>
      </c>
      <c r="C10135" t="str">
        <f t="shared" si="3669"/>
        <v>MACK</v>
      </c>
      <c r="D10135">
        <f>10</f>
        <v>10</v>
      </c>
      <c r="E10135" t="str">
        <f>"07 - B - 102 - Lourivaldo  Da Silva"</f>
        <v>07 - B - 102 - Lourivaldo  Da Silva</v>
      </c>
      <c r="F10135" t="str">
        <f>"ALGEBRA 2 HON"</f>
        <v>ALGEBRA 2 HON</v>
      </c>
      <c r="G10135" t="str">
        <f>"20-2079"</f>
        <v>20-2079</v>
      </c>
      <c r="H10135" t="str">
        <f>"B"</f>
        <v>B</v>
      </c>
    </row>
    <row r="10136" spans="1:8" x14ac:dyDescent="0.2">
      <c r="A10136" t="str">
        <f t="shared" si="3667"/>
        <v>0616024394</v>
      </c>
      <c r="B10136" t="str">
        <f t="shared" si="3668"/>
        <v>ALEXIS</v>
      </c>
      <c r="C10136" t="str">
        <f t="shared" si="3669"/>
        <v>MACK</v>
      </c>
      <c r="D10136">
        <f>10</f>
        <v>10</v>
      </c>
      <c r="E10136" t="str">
        <f>"05 - B - 103 - Rory T Sponsler"</f>
        <v>05 - B - 103 - Rory T Sponsler</v>
      </c>
      <c r="F10136" t="str">
        <f>"PRE-AICE WRLD HST IG"</f>
        <v>PRE-AICE WRLD HST IG</v>
      </c>
      <c r="G10136" t="str">
        <f>"17-1740"</f>
        <v>17-1740</v>
      </c>
      <c r="H10136" t="str">
        <f>"B"</f>
        <v>B</v>
      </c>
    </row>
    <row r="10137" spans="1:8" x14ac:dyDescent="0.2">
      <c r="A10137" t="str">
        <f t="shared" si="3667"/>
        <v>0616024394</v>
      </c>
      <c r="B10137" t="str">
        <f t="shared" si="3668"/>
        <v>ALEXIS</v>
      </c>
      <c r="C10137" t="str">
        <f t="shared" si="3669"/>
        <v>MACK</v>
      </c>
      <c r="D10137">
        <f>10</f>
        <v>10</v>
      </c>
      <c r="E10137" t="str">
        <f>"01 - A - 107 - Valerie J Ruwe"</f>
        <v>01 - A - 107 - Valerie J Ruwe</v>
      </c>
      <c r="F10137" t="str">
        <f>"CHEMISTRY 1 HON"</f>
        <v>CHEMISTRY 1 HON</v>
      </c>
      <c r="G10137" t="str">
        <f>"21-2134"</f>
        <v>21-2134</v>
      </c>
      <c r="H10137" t="str">
        <f>"A"</f>
        <v>A</v>
      </c>
    </row>
    <row r="10138" spans="1:8" x14ac:dyDescent="0.2">
      <c r="A10138" t="str">
        <f t="shared" si="3667"/>
        <v>0616024394</v>
      </c>
      <c r="B10138" t="str">
        <f t="shared" si="3668"/>
        <v>ALEXIS</v>
      </c>
      <c r="C10138" t="str">
        <f t="shared" si="3669"/>
        <v>MACK</v>
      </c>
      <c r="D10138">
        <f>10</f>
        <v>10</v>
      </c>
      <c r="E10138" t="str">
        <f>"08 - S1 - B - 001 - Carol S Moore"</f>
        <v>08 - S1 - B - 001 - Carol S Moore</v>
      </c>
      <c r="F10138" t="str">
        <f>"PER CAR SCH DEV 1 LH"</f>
        <v>PER CAR SCH DEV 1 LH</v>
      </c>
      <c r="G10138" t="str">
        <f>"17-1733"</f>
        <v>17-1733</v>
      </c>
      <c r="H10138" t="str">
        <f>"B"</f>
        <v>B</v>
      </c>
    </row>
    <row r="10139" spans="1:8" x14ac:dyDescent="0.2">
      <c r="A10139" t="str">
        <f t="shared" ref="A10139:A10146" si="3670">"0613079615"</f>
        <v>0613079615</v>
      </c>
      <c r="B10139" t="str">
        <f t="shared" ref="B10139:B10146" si="3671">"MORGAN"</f>
        <v>MORGAN</v>
      </c>
      <c r="C10139" t="str">
        <f t="shared" si="3669"/>
        <v>MACK</v>
      </c>
      <c r="D10139">
        <f>10</f>
        <v>10</v>
      </c>
      <c r="E10139" t="str">
        <f>"04 - S1 - A - 101 - Kyle  Robbins"</f>
        <v>04 - S1 - A - 101 - Kyle  Robbins</v>
      </c>
      <c r="F10139" t="str">
        <f>"PERS FIN &amp; MON MGT H"</f>
        <v>PERS FIN &amp; MON MGT H</v>
      </c>
      <c r="G10139" t="str">
        <f>"17-1745"</f>
        <v>17-1745</v>
      </c>
      <c r="H10139" t="str">
        <f>"A"</f>
        <v>A</v>
      </c>
    </row>
    <row r="10140" spans="1:8" x14ac:dyDescent="0.2">
      <c r="A10140" t="str">
        <f t="shared" si="3670"/>
        <v>0613079615</v>
      </c>
      <c r="B10140" t="str">
        <f t="shared" si="3671"/>
        <v>MORGAN</v>
      </c>
      <c r="C10140" t="str">
        <f t="shared" si="3669"/>
        <v>MACK</v>
      </c>
      <c r="D10140">
        <f>10</f>
        <v>10</v>
      </c>
      <c r="E10140" t="str">
        <f>"06 - B - 108 - Jacklyn M James"</f>
        <v>06 - B - 108 - Jacklyn M James</v>
      </c>
      <c r="F10140" t="str">
        <f>"NC STUDY HALL 1"</f>
        <v>NC STUDY HALL 1</v>
      </c>
      <c r="G10140" t="str">
        <f>"17-1731"</f>
        <v>17-1731</v>
      </c>
      <c r="H10140" t="str">
        <f>"B"</f>
        <v>B</v>
      </c>
    </row>
    <row r="10141" spans="1:8" x14ac:dyDescent="0.2">
      <c r="A10141" t="str">
        <f t="shared" si="3670"/>
        <v>0613079615</v>
      </c>
      <c r="B10141" t="str">
        <f t="shared" si="3671"/>
        <v>MORGAN</v>
      </c>
      <c r="C10141" t="str">
        <f t="shared" si="3669"/>
        <v>MACK</v>
      </c>
      <c r="D10141">
        <f>10</f>
        <v>10</v>
      </c>
      <c r="E10141" t="str">
        <f>"03 - A - 101 - Rosa Elaine  Collado-Duff"</f>
        <v>03 - A - 101 - Rosa Elaine  Collado-Duff</v>
      </c>
      <c r="F10141" t="str">
        <f>"SPANISH 3 HON"</f>
        <v>SPANISH 3 HON</v>
      </c>
      <c r="G10141" t="str">
        <f>"09-913"</f>
        <v>09-913</v>
      </c>
      <c r="H10141" t="str">
        <f>"A"</f>
        <v>A</v>
      </c>
    </row>
    <row r="10142" spans="1:8" x14ac:dyDescent="0.2">
      <c r="A10142" t="str">
        <f t="shared" si="3670"/>
        <v>0613079615</v>
      </c>
      <c r="B10142" t="str">
        <f t="shared" si="3671"/>
        <v>MORGAN</v>
      </c>
      <c r="C10142" t="str">
        <f t="shared" si="3669"/>
        <v>MACK</v>
      </c>
      <c r="D10142">
        <f>10</f>
        <v>10</v>
      </c>
      <c r="E10142" t="str">
        <f>"02 - A - 103 - Dorothy D Moore"</f>
        <v>02 - A - 103 - Dorothy D Moore</v>
      </c>
      <c r="F10142" t="str">
        <f>"ANAT PHYSIO HON"</f>
        <v>ANAT PHYSIO HON</v>
      </c>
      <c r="G10142" t="str">
        <f>"08-803"</f>
        <v>08-803</v>
      </c>
      <c r="H10142" t="str">
        <f>"A"</f>
        <v>A</v>
      </c>
    </row>
    <row r="10143" spans="1:8" x14ac:dyDescent="0.2">
      <c r="A10143" t="str">
        <f t="shared" si="3670"/>
        <v>0613079615</v>
      </c>
      <c r="B10143" t="str">
        <f t="shared" si="3671"/>
        <v>MORGAN</v>
      </c>
      <c r="C10143" t="str">
        <f t="shared" si="3669"/>
        <v>MACK</v>
      </c>
      <c r="D10143">
        <f>10</f>
        <v>10</v>
      </c>
      <c r="E10143" t="str">
        <f>"07 - B - 107 - Jacklyn M James"</f>
        <v>07 - B - 107 - Jacklyn M James</v>
      </c>
      <c r="F10143" t="str">
        <f>"AICE ENG LANG AS"</f>
        <v>AICE ENG LANG AS</v>
      </c>
      <c r="G10143" t="str">
        <f>"17-1731"</f>
        <v>17-1731</v>
      </c>
      <c r="H10143" t="str">
        <f>"B"</f>
        <v>B</v>
      </c>
    </row>
    <row r="10144" spans="1:8" x14ac:dyDescent="0.2">
      <c r="A10144" t="str">
        <f t="shared" si="3670"/>
        <v>0613079615</v>
      </c>
      <c r="B10144" t="str">
        <f t="shared" si="3671"/>
        <v>MORGAN</v>
      </c>
      <c r="C10144" t="str">
        <f t="shared" si="3669"/>
        <v>MACK</v>
      </c>
      <c r="D10144">
        <f>10</f>
        <v>10</v>
      </c>
      <c r="E10144" t="str">
        <f>"05 - B - 106 - Thomas G Handwerg"</f>
        <v>05 - B - 106 - Thomas G Handwerg</v>
      </c>
      <c r="F10144" t="str">
        <f>"MATH COLL ALGEBRA"</f>
        <v>MATH COLL ALGEBRA</v>
      </c>
      <c r="G10144" t="str">
        <f>"21-2146"</f>
        <v>21-2146</v>
      </c>
      <c r="H10144" t="str">
        <f>"B"</f>
        <v>B</v>
      </c>
    </row>
    <row r="10145" spans="1:8" x14ac:dyDescent="0.2">
      <c r="A10145" t="str">
        <f t="shared" si="3670"/>
        <v>0613079615</v>
      </c>
      <c r="B10145" t="str">
        <f t="shared" si="3671"/>
        <v>MORGAN</v>
      </c>
      <c r="C10145" t="str">
        <f t="shared" si="3669"/>
        <v>MACK</v>
      </c>
      <c r="D10145">
        <f>10</f>
        <v>10</v>
      </c>
      <c r="E10145" t="str">
        <f>"01 - A - 101 - Arthur  Kulawik"</f>
        <v>01 - A - 101 - Arthur  Kulawik</v>
      </c>
      <c r="F10145" t="str">
        <f>"DEBATE 1 LH"</f>
        <v>DEBATE 1 LH</v>
      </c>
      <c r="G10145" t="str">
        <f>"05-506"</f>
        <v>05-506</v>
      </c>
      <c r="H10145" t="str">
        <f>"A"</f>
        <v>A</v>
      </c>
    </row>
    <row r="10146" spans="1:8" x14ac:dyDescent="0.2">
      <c r="A10146" t="str">
        <f t="shared" si="3670"/>
        <v>0613079615</v>
      </c>
      <c r="B10146" t="str">
        <f t="shared" si="3671"/>
        <v>MORGAN</v>
      </c>
      <c r="C10146" t="str">
        <f t="shared" si="3669"/>
        <v>MACK</v>
      </c>
      <c r="D10146">
        <f>10</f>
        <v>10</v>
      </c>
      <c r="E10146" t="str">
        <f>"08 - B - 202 - Krystal Marie  Beruty"</f>
        <v>08 - B - 202 - Krystal Marie  Beruty</v>
      </c>
      <c r="F10146" t="str">
        <f>"AICE PSYCH 1 AS"</f>
        <v>AICE PSYCH 1 AS</v>
      </c>
      <c r="G10146" t="str">
        <f>"17-1721"</f>
        <v>17-1721</v>
      </c>
      <c r="H10146" t="str">
        <f>"B"</f>
        <v>B</v>
      </c>
    </row>
    <row r="10147" spans="1:8" x14ac:dyDescent="0.2">
      <c r="A10147" t="str">
        <f t="shared" ref="A10147:A10154" si="3672">"0616009468"</f>
        <v>0616009468</v>
      </c>
      <c r="B10147" t="str">
        <f t="shared" ref="B10147:B10154" si="3673">"ALEA"</f>
        <v>ALEA</v>
      </c>
      <c r="C10147" t="str">
        <f t="shared" ref="C10147:C10164" si="3674">"MACKEL"</f>
        <v>MACKEL</v>
      </c>
      <c r="D10147">
        <f>10</f>
        <v>10</v>
      </c>
      <c r="E10147" t="str">
        <f>"04 - A - 104 - Dayna M Foster"</f>
        <v>04 - A - 104 - Dayna M Foster</v>
      </c>
      <c r="F10147" t="str">
        <f>"ALGEBRA 2"</f>
        <v>ALGEBRA 2</v>
      </c>
      <c r="G10147" t="str">
        <f>"21-2109"</f>
        <v>21-2109</v>
      </c>
      <c r="H10147" t="str">
        <f>"A"</f>
        <v>A</v>
      </c>
    </row>
    <row r="10148" spans="1:8" x14ac:dyDescent="0.2">
      <c r="A10148" t="str">
        <f t="shared" si="3672"/>
        <v>0616009468</v>
      </c>
      <c r="B10148" t="str">
        <f t="shared" si="3673"/>
        <v>ALEA</v>
      </c>
      <c r="C10148" t="str">
        <f t="shared" si="3674"/>
        <v>MACKEL</v>
      </c>
      <c r="D10148">
        <f>10</f>
        <v>10</v>
      </c>
      <c r="E10148" t="str">
        <f>"06 - B - 117 - Daniel S Tyson"</f>
        <v>06 - B - 117 - Daniel S Tyson</v>
      </c>
      <c r="F10148" t="str">
        <f>"NC STUDY HALL 1"</f>
        <v>NC STUDY HALL 1</v>
      </c>
      <c r="G10148" t="str">
        <f>"05-510"</f>
        <v>05-510</v>
      </c>
      <c r="H10148" t="str">
        <f>"B"</f>
        <v>B</v>
      </c>
    </row>
    <row r="10149" spans="1:8" x14ac:dyDescent="0.2">
      <c r="A10149" t="str">
        <f t="shared" si="3672"/>
        <v>0616009468</v>
      </c>
      <c r="B10149" t="str">
        <f t="shared" si="3673"/>
        <v>ALEA</v>
      </c>
      <c r="C10149" t="str">
        <f t="shared" si="3674"/>
        <v>MACKEL</v>
      </c>
      <c r="D10149">
        <f>10</f>
        <v>10</v>
      </c>
      <c r="E10149" t="str">
        <f>"03 - A - 002 - Brandy N Zdenek"</f>
        <v>03 - A - 002 - Brandy N Zdenek</v>
      </c>
      <c r="F10149" t="str">
        <f>"AICE ENG LANG AS"</f>
        <v>AICE ENG LANG AS</v>
      </c>
      <c r="G10149" t="str">
        <f>"17-1704"</f>
        <v>17-1704</v>
      </c>
      <c r="H10149" t="str">
        <f>"A"</f>
        <v>A</v>
      </c>
    </row>
    <row r="10150" spans="1:8" x14ac:dyDescent="0.2">
      <c r="A10150" t="str">
        <f t="shared" si="3672"/>
        <v>0616009468</v>
      </c>
      <c r="B10150" t="str">
        <f t="shared" si="3673"/>
        <v>ALEA</v>
      </c>
      <c r="C10150" t="str">
        <f t="shared" si="3674"/>
        <v>MACKEL</v>
      </c>
      <c r="D10150">
        <f>10</f>
        <v>10</v>
      </c>
      <c r="E10150" t="str">
        <f>"02 - A - 102 - Bruce A Evans"</f>
        <v>02 - A - 102 - Bruce A Evans</v>
      </c>
      <c r="F10150" t="str">
        <f>"EMERG MED RESP 3 HON"</f>
        <v>EMERG MED RESP 3 HON</v>
      </c>
      <c r="G10150" t="str">
        <f>"21-2142"</f>
        <v>21-2142</v>
      </c>
      <c r="H10150" t="str">
        <f>"A"</f>
        <v>A</v>
      </c>
    </row>
    <row r="10151" spans="1:8" x14ac:dyDescent="0.2">
      <c r="A10151" t="str">
        <f t="shared" si="3672"/>
        <v>0616009468</v>
      </c>
      <c r="B10151" t="str">
        <f t="shared" si="3673"/>
        <v>ALEA</v>
      </c>
      <c r="C10151" t="str">
        <f t="shared" si="3674"/>
        <v>MACKEL</v>
      </c>
      <c r="D10151">
        <f>10</f>
        <v>10</v>
      </c>
      <c r="E10151" t="str">
        <f>"07 - B - 204 - Elizabeth Ellen  Moran"</f>
        <v>07 - B - 204 - Elizabeth Ellen  Moran</v>
      </c>
      <c r="F10151" t="str">
        <f>"AICE EURO HIST 1 AS"</f>
        <v>AICE EURO HIST 1 AS</v>
      </c>
      <c r="G10151" t="str">
        <f>"17-1752"</f>
        <v>17-1752</v>
      </c>
      <c r="H10151" t="str">
        <f>"B"</f>
        <v>B</v>
      </c>
    </row>
    <row r="10152" spans="1:8" x14ac:dyDescent="0.2">
      <c r="A10152" t="str">
        <f t="shared" si="3672"/>
        <v>0616009468</v>
      </c>
      <c r="B10152" t="str">
        <f t="shared" si="3673"/>
        <v>ALEA</v>
      </c>
      <c r="C10152" t="str">
        <f t="shared" si="3674"/>
        <v>MACKEL</v>
      </c>
      <c r="D10152">
        <f>10</f>
        <v>10</v>
      </c>
      <c r="E10152" t="str">
        <f>"05 - B - 201 - Bruce A Evans"</f>
        <v>05 - B - 201 - Bruce A Evans</v>
      </c>
      <c r="F10152" t="str">
        <f>"HEALTH SCI FOUND HON"</f>
        <v>HEALTH SCI FOUND HON</v>
      </c>
      <c r="G10152" t="str">
        <f>"21-2142"</f>
        <v>21-2142</v>
      </c>
      <c r="H10152" t="str">
        <f>"B"</f>
        <v>B</v>
      </c>
    </row>
    <row r="10153" spans="1:8" x14ac:dyDescent="0.2">
      <c r="A10153" t="str">
        <f t="shared" si="3672"/>
        <v>0616009468</v>
      </c>
      <c r="B10153" t="str">
        <f t="shared" si="3673"/>
        <v>ALEA</v>
      </c>
      <c r="C10153" t="str">
        <f t="shared" si="3674"/>
        <v>MACKEL</v>
      </c>
      <c r="D10153">
        <f>10</f>
        <v>10</v>
      </c>
      <c r="E10153" t="str">
        <f>"01 - A - 201 - Chrystina M Marchionne"</f>
        <v>01 - A - 201 - Chrystina M Marchionne</v>
      </c>
      <c r="F10153" t="str">
        <f>"AICE MEDIASTUDIES AS"</f>
        <v>AICE MEDIASTUDIES AS</v>
      </c>
      <c r="G10153" t="str">
        <f>"05-520"</f>
        <v>05-520</v>
      </c>
      <c r="H10153" t="str">
        <f>"A"</f>
        <v>A</v>
      </c>
    </row>
    <row r="10154" spans="1:8" x14ac:dyDescent="0.2">
      <c r="A10154" t="str">
        <f t="shared" si="3672"/>
        <v>0616009468</v>
      </c>
      <c r="B10154" t="str">
        <f t="shared" si="3673"/>
        <v>ALEA</v>
      </c>
      <c r="C10154" t="str">
        <f t="shared" si="3674"/>
        <v>MACKEL</v>
      </c>
      <c r="D10154">
        <f>10</f>
        <v>10</v>
      </c>
      <c r="E10154" t="str">
        <f>"08 - B - 202 - Krystal Marie  Beruty"</f>
        <v>08 - B - 202 - Krystal Marie  Beruty</v>
      </c>
      <c r="F10154" t="str">
        <f>"AICE PSYCH 1 AS"</f>
        <v>AICE PSYCH 1 AS</v>
      </c>
      <c r="G10154" t="str">
        <f>"17-1721"</f>
        <v>17-1721</v>
      </c>
      <c r="H10154" t="str">
        <f>"B"</f>
        <v>B</v>
      </c>
    </row>
    <row r="10155" spans="1:8" x14ac:dyDescent="0.2">
      <c r="A10155" t="str">
        <f t="shared" ref="A10155:A10164" si="3675">"0613097477"</f>
        <v>0613097477</v>
      </c>
      <c r="B10155" t="str">
        <f t="shared" ref="B10155:B10164" si="3676">"AVA"</f>
        <v>AVA</v>
      </c>
      <c r="C10155" t="str">
        <f t="shared" si="3674"/>
        <v>MACKEL</v>
      </c>
      <c r="D10155">
        <f>12</f>
        <v>12</v>
      </c>
      <c r="E10155" t="str">
        <f>"19 - S1 - MTWHF - UF - Instructor UF"</f>
        <v>19 - S1 - MTWHF - UF - Instructor UF</v>
      </c>
      <c r="F10155" t="str">
        <f>"DEVELOPMENT PSYC"</f>
        <v>DEVELOPMENT PSYC</v>
      </c>
      <c r="G10155" t="str">
        <f>"60-DE"</f>
        <v>60-DE</v>
      </c>
      <c r="H10155" t="str">
        <f>"-"</f>
        <v>-</v>
      </c>
    </row>
    <row r="10156" spans="1:8" x14ac:dyDescent="0.2">
      <c r="A10156" t="str">
        <f t="shared" si="3675"/>
        <v>0613097477</v>
      </c>
      <c r="B10156" t="str">
        <f t="shared" si="3676"/>
        <v>AVA</v>
      </c>
      <c r="C10156" t="str">
        <f t="shared" si="3674"/>
        <v>MACKEL</v>
      </c>
      <c r="D10156">
        <f>12</f>
        <v>12</v>
      </c>
      <c r="E10156" t="str">
        <f>"19 - S1 - MTWHF - UF - Instructor UF"</f>
        <v>19 - S1 - MTWHF - UF - Instructor UF</v>
      </c>
      <c r="F10156" t="str">
        <f>"MICROBIOLOGY"</f>
        <v>MICROBIOLOGY</v>
      </c>
      <c r="G10156" t="str">
        <f>"60-DE"</f>
        <v>60-DE</v>
      </c>
      <c r="H10156" t="str">
        <f>"-"</f>
        <v>-</v>
      </c>
    </row>
    <row r="10157" spans="1:8" x14ac:dyDescent="0.2">
      <c r="A10157" t="str">
        <f t="shared" si="3675"/>
        <v>0613097477</v>
      </c>
      <c r="B10157" t="str">
        <f t="shared" si="3676"/>
        <v>AVA</v>
      </c>
      <c r="C10157" t="str">
        <f t="shared" si="3674"/>
        <v>MACKEL</v>
      </c>
      <c r="D10157">
        <f>12</f>
        <v>12</v>
      </c>
      <c r="E10157" t="str">
        <f>"04 - A - 101 - Stefanie S Scher"</f>
        <v>04 - A - 101 - Stefanie S Scher</v>
      </c>
      <c r="F10157" t="str">
        <f>"AP PSYCH"</f>
        <v>AP PSYCH</v>
      </c>
      <c r="G10157" t="str">
        <f>"17-1735"</f>
        <v>17-1735</v>
      </c>
      <c r="H10157" t="str">
        <f>"A"</f>
        <v>A</v>
      </c>
    </row>
    <row r="10158" spans="1:8" x14ac:dyDescent="0.2">
      <c r="A10158" t="str">
        <f t="shared" si="3675"/>
        <v>0613097477</v>
      </c>
      <c r="B10158" t="str">
        <f t="shared" si="3676"/>
        <v>AVA</v>
      </c>
      <c r="C10158" t="str">
        <f t="shared" si="3674"/>
        <v>MACKEL</v>
      </c>
      <c r="D10158">
        <f>12</f>
        <v>12</v>
      </c>
      <c r="E10158" t="str">
        <f>"06 - B - 104 - Lissa C Frederique"</f>
        <v>06 - B - 104 - Lissa C Frederique</v>
      </c>
      <c r="F10158" t="str">
        <f>"NC STUDY HALL 1"</f>
        <v>NC STUDY HALL 1</v>
      </c>
      <c r="G10158" t="str">
        <f>"17-1754"</f>
        <v>17-1754</v>
      </c>
      <c r="H10158" t="str">
        <f>"B"</f>
        <v>B</v>
      </c>
    </row>
    <row r="10159" spans="1:8" x14ac:dyDescent="0.2">
      <c r="A10159" t="str">
        <f t="shared" si="3675"/>
        <v>0613097477</v>
      </c>
      <c r="B10159" t="str">
        <f t="shared" si="3676"/>
        <v>AVA</v>
      </c>
      <c r="C10159" t="str">
        <f t="shared" si="3674"/>
        <v>MACKEL</v>
      </c>
      <c r="D10159">
        <f>12</f>
        <v>12</v>
      </c>
      <c r="E10159" t="str">
        <f>"03 - A - 101 - Lourivaldo  Da Silva"</f>
        <v>03 - A - 101 - Lourivaldo  Da Silva</v>
      </c>
      <c r="F10159" t="str">
        <f>"AP STAT"</f>
        <v>AP STAT</v>
      </c>
      <c r="G10159" t="str">
        <f>"20-2079"</f>
        <v>20-2079</v>
      </c>
      <c r="H10159" t="str">
        <f>"A"</f>
        <v>A</v>
      </c>
    </row>
    <row r="10160" spans="1:8" x14ac:dyDescent="0.2">
      <c r="A10160" t="str">
        <f t="shared" si="3675"/>
        <v>0613097477</v>
      </c>
      <c r="B10160" t="str">
        <f t="shared" si="3676"/>
        <v>AVA</v>
      </c>
      <c r="C10160" t="str">
        <f t="shared" si="3674"/>
        <v>MACKEL</v>
      </c>
      <c r="D10160">
        <f>12</f>
        <v>12</v>
      </c>
      <c r="E10160" t="str">
        <f>"02 - A - 107 - Tina M Jaramillo"</f>
        <v>02 - A - 107 - Tina M Jaramillo</v>
      </c>
      <c r="F10160" t="str">
        <f>"AP ENG LIT COMPO"</f>
        <v>AP ENG LIT COMPO</v>
      </c>
      <c r="G10160" t="str">
        <f>"17-1706"</f>
        <v>17-1706</v>
      </c>
      <c r="H10160" t="str">
        <f>"A"</f>
        <v>A</v>
      </c>
    </row>
    <row r="10161" spans="1:8" x14ac:dyDescent="0.2">
      <c r="A10161" t="str">
        <f t="shared" si="3675"/>
        <v>0613097477</v>
      </c>
      <c r="B10161" t="str">
        <f t="shared" si="3676"/>
        <v>AVA</v>
      </c>
      <c r="C10161" t="str">
        <f t="shared" si="3674"/>
        <v>MACKEL</v>
      </c>
      <c r="D10161">
        <f>12</f>
        <v>12</v>
      </c>
      <c r="E10161" t="str">
        <f>"07 - B - 101 - Bruce A Evans"</f>
        <v>07 - B - 101 - Bruce A Evans</v>
      </c>
      <c r="F10161" t="str">
        <f>"FIREFIGHTING 1 LH"</f>
        <v>FIREFIGHTING 1 LH</v>
      </c>
      <c r="G10161" t="str">
        <f>"21-2142"</f>
        <v>21-2142</v>
      </c>
      <c r="H10161" t="str">
        <f>"B"</f>
        <v>B</v>
      </c>
    </row>
    <row r="10162" spans="1:8" x14ac:dyDescent="0.2">
      <c r="A10162" t="str">
        <f t="shared" si="3675"/>
        <v>0613097477</v>
      </c>
      <c r="B10162" t="str">
        <f t="shared" si="3676"/>
        <v>AVA</v>
      </c>
      <c r="C10162" t="str">
        <f t="shared" si="3674"/>
        <v>MACKEL</v>
      </c>
      <c r="D10162">
        <f>12</f>
        <v>12</v>
      </c>
      <c r="E10162" t="str">
        <f>"05 - S1 - B - 103 - Stephen T Ripp"</f>
        <v>05 - S1 - B - 103 - Stephen T Ripp</v>
      </c>
      <c r="F10162" t="str">
        <f>"AP US GOVT/POL"</f>
        <v>AP US GOVT/POL</v>
      </c>
      <c r="G10162" t="str">
        <f>"17-1744"</f>
        <v>17-1744</v>
      </c>
      <c r="H10162" t="str">
        <f>"B"</f>
        <v>B</v>
      </c>
    </row>
    <row r="10163" spans="1:8" x14ac:dyDescent="0.2">
      <c r="A10163" t="str">
        <f t="shared" si="3675"/>
        <v>0613097477</v>
      </c>
      <c r="B10163" t="str">
        <f t="shared" si="3676"/>
        <v>AVA</v>
      </c>
      <c r="C10163" t="str">
        <f t="shared" si="3674"/>
        <v>MACKEL</v>
      </c>
      <c r="D10163">
        <f>12</f>
        <v>12</v>
      </c>
      <c r="E10163" t="str">
        <f>"01 - A - 201 - Jeanne M Bermudez"</f>
        <v>01 - A - 201 - Jeanne M Bermudez</v>
      </c>
      <c r="F10163" t="str">
        <f>"PHYSICS 1 HON"</f>
        <v>PHYSICS 1 HON</v>
      </c>
      <c r="G10163" t="str">
        <f>"21-2141"</f>
        <v>21-2141</v>
      </c>
      <c r="H10163" t="str">
        <f>"A"</f>
        <v>A</v>
      </c>
    </row>
    <row r="10164" spans="1:8" x14ac:dyDescent="0.2">
      <c r="A10164" t="str">
        <f t="shared" si="3675"/>
        <v>0613097477</v>
      </c>
      <c r="B10164" t="str">
        <f t="shared" si="3676"/>
        <v>AVA</v>
      </c>
      <c r="C10164" t="str">
        <f t="shared" si="3674"/>
        <v>MACKEL</v>
      </c>
      <c r="D10164">
        <f>12</f>
        <v>12</v>
      </c>
      <c r="E10164" t="str">
        <f>"08 - B - 102 - Lisa J London"</f>
        <v>08 - B - 102 - Lisa J London</v>
      </c>
      <c r="F10164" t="str">
        <f>"AP CAPSTONE RESEARCH"</f>
        <v>AP CAPSTONE RESEARCH</v>
      </c>
      <c r="G10164" t="str">
        <f>"17-1714"</f>
        <v>17-1714</v>
      </c>
      <c r="H10164" t="str">
        <f>"B"</f>
        <v>B</v>
      </c>
    </row>
    <row r="10165" spans="1:8" x14ac:dyDescent="0.2">
      <c r="A10165" t="str">
        <f t="shared" ref="A10165:A10172" si="3677">"0623017419"</f>
        <v>0623017419</v>
      </c>
      <c r="B10165" t="str">
        <f t="shared" ref="B10165:B10172" si="3678">"ALEXANDER"</f>
        <v>ALEXANDER</v>
      </c>
      <c r="C10165" t="str">
        <f t="shared" ref="C10165:C10172" si="3679">"MACRI"</f>
        <v>MACRI</v>
      </c>
      <c r="D10165">
        <f>12</f>
        <v>12</v>
      </c>
      <c r="E10165" t="str">
        <f>"04 - S1 - A - 106 - Kelly N Panza"</f>
        <v>04 - S1 - A - 106 - Kelly N Panza</v>
      </c>
      <c r="F10165" t="str">
        <f>"US GOVT HON"</f>
        <v>US GOVT HON</v>
      </c>
      <c r="G10165" t="str">
        <f>"17-1753"</f>
        <v>17-1753</v>
      </c>
      <c r="H10165" t="str">
        <f>"A"</f>
        <v>A</v>
      </c>
    </row>
    <row r="10166" spans="1:8" x14ac:dyDescent="0.2">
      <c r="A10166" t="str">
        <f t="shared" si="3677"/>
        <v>0623017419</v>
      </c>
      <c r="B10166" t="str">
        <f t="shared" si="3678"/>
        <v>ALEXANDER</v>
      </c>
      <c r="C10166" t="str">
        <f t="shared" si="3679"/>
        <v>MACRI</v>
      </c>
      <c r="D10166">
        <f>12</f>
        <v>12</v>
      </c>
      <c r="E10166" t="str">
        <f>"06 - B - 108 - Jacquelyn M Neeson"</f>
        <v>06 - B - 108 - Jacquelyn M Neeson</v>
      </c>
      <c r="F10166" t="str">
        <f>"NC STUDY HALL 1"</f>
        <v>NC STUDY HALL 1</v>
      </c>
      <c r="G10166" t="str">
        <f>"17-1715"</f>
        <v>17-1715</v>
      </c>
      <c r="H10166" t="str">
        <f>"B"</f>
        <v>B</v>
      </c>
    </row>
    <row r="10167" spans="1:8" x14ac:dyDescent="0.2">
      <c r="A10167" t="str">
        <f t="shared" si="3677"/>
        <v>0623017419</v>
      </c>
      <c r="B10167" t="str">
        <f t="shared" si="3678"/>
        <v>ALEXANDER</v>
      </c>
      <c r="C10167" t="str">
        <f t="shared" si="3679"/>
        <v>MACRI</v>
      </c>
      <c r="D10167">
        <f>12</f>
        <v>12</v>
      </c>
      <c r="E10167" t="str">
        <f>"03 - A - 101 - Chrystina M Marchionne"</f>
        <v>03 - A - 101 - Chrystina M Marchionne</v>
      </c>
      <c r="F10167" t="str">
        <f>"JOURN 2 (YB) LH"</f>
        <v>JOURN 2 (YB) LH</v>
      </c>
      <c r="G10167" t="str">
        <f>"05-520"</f>
        <v>05-520</v>
      </c>
      <c r="H10167" t="str">
        <f>"A"</f>
        <v>A</v>
      </c>
    </row>
    <row r="10168" spans="1:8" x14ac:dyDescent="0.2">
      <c r="A10168" t="str">
        <f t="shared" si="3677"/>
        <v>0623017419</v>
      </c>
      <c r="B10168" t="str">
        <f t="shared" si="3678"/>
        <v>ALEXANDER</v>
      </c>
      <c r="C10168" t="str">
        <f t="shared" si="3679"/>
        <v>MACRI</v>
      </c>
      <c r="D10168">
        <f>12</f>
        <v>12</v>
      </c>
      <c r="E10168" t="str">
        <f>"02 - A - 201 - Jordana K Hass"</f>
        <v>02 - A - 201 - Jordana K Hass</v>
      </c>
      <c r="F10168" t="str">
        <f>"CHEMISTRY 1"</f>
        <v>CHEMISTRY 1</v>
      </c>
      <c r="G10168" t="str">
        <f>"08-807"</f>
        <v>08-807</v>
      </c>
      <c r="H10168" t="str">
        <f>"A"</f>
        <v>A</v>
      </c>
    </row>
    <row r="10169" spans="1:8" x14ac:dyDescent="0.2">
      <c r="A10169" t="str">
        <f t="shared" si="3677"/>
        <v>0623017419</v>
      </c>
      <c r="B10169" t="str">
        <f t="shared" si="3678"/>
        <v>ALEXANDER</v>
      </c>
      <c r="C10169" t="str">
        <f t="shared" si="3679"/>
        <v>MACRI</v>
      </c>
      <c r="D10169">
        <f>12</f>
        <v>12</v>
      </c>
      <c r="E10169" t="str">
        <f>"07 - B - 105 - Robert H Rindner"</f>
        <v>07 - B - 105 - Robert H Rindner</v>
      </c>
      <c r="F10169" t="str">
        <f>"MATH DATA&amp;FIN LIT H"</f>
        <v>MATH DATA&amp;FIN LIT H</v>
      </c>
      <c r="G10169" t="str">
        <f>"21-2160"</f>
        <v>21-2160</v>
      </c>
      <c r="H10169" t="str">
        <f>"B"</f>
        <v>B</v>
      </c>
    </row>
    <row r="10170" spans="1:8" x14ac:dyDescent="0.2">
      <c r="A10170" t="str">
        <f t="shared" si="3677"/>
        <v>0623017419</v>
      </c>
      <c r="B10170" t="str">
        <f t="shared" si="3678"/>
        <v>ALEXANDER</v>
      </c>
      <c r="C10170" t="str">
        <f t="shared" si="3679"/>
        <v>MACRI</v>
      </c>
      <c r="D10170">
        <f>12</f>
        <v>12</v>
      </c>
      <c r="E10170" t="str">
        <f>"05 - B - 205 - Rosa Elaine  Collado-Duff"</f>
        <v>05 - B - 205 - Rosa Elaine  Collado-Duff</v>
      </c>
      <c r="F10170" t="str">
        <f>"PRE-AICE SPAN 2 IG"</f>
        <v>PRE-AICE SPAN 2 IG</v>
      </c>
      <c r="G10170" t="str">
        <f>"09-913"</f>
        <v>09-913</v>
      </c>
      <c r="H10170" t="str">
        <f>"B"</f>
        <v>B</v>
      </c>
    </row>
    <row r="10171" spans="1:8" x14ac:dyDescent="0.2">
      <c r="A10171" t="str">
        <f t="shared" si="3677"/>
        <v>0623017419</v>
      </c>
      <c r="B10171" t="str">
        <f t="shared" si="3678"/>
        <v>ALEXANDER</v>
      </c>
      <c r="C10171" t="str">
        <f t="shared" si="3679"/>
        <v>MACRI</v>
      </c>
      <c r="D10171">
        <f>12</f>
        <v>12</v>
      </c>
      <c r="E10171" t="str">
        <f>"01 - A - 201 - Chrystina M Marchionne"</f>
        <v>01 - A - 201 - Chrystina M Marchionne</v>
      </c>
      <c r="F10171" t="str">
        <f>"AICE MEDIASTUDIES AS"</f>
        <v>AICE MEDIASTUDIES AS</v>
      </c>
      <c r="G10171" t="str">
        <f>"05-520"</f>
        <v>05-520</v>
      </c>
      <c r="H10171" t="str">
        <f>"A"</f>
        <v>A</v>
      </c>
    </row>
    <row r="10172" spans="1:8" x14ac:dyDescent="0.2">
      <c r="A10172" t="str">
        <f t="shared" si="3677"/>
        <v>0623017419</v>
      </c>
      <c r="B10172" t="str">
        <f t="shared" si="3678"/>
        <v>ALEXANDER</v>
      </c>
      <c r="C10172" t="str">
        <f t="shared" si="3679"/>
        <v>MACRI</v>
      </c>
      <c r="D10172">
        <f>12</f>
        <v>12</v>
      </c>
      <c r="E10172" t="str">
        <f>"08 - B - 105 - Jeffrey S Gallagher"</f>
        <v>08 - B - 105 - Jeffrey S Gallagher</v>
      </c>
      <c r="F10172" t="str">
        <f>"ENG HON 4"</f>
        <v>ENG HON 4</v>
      </c>
      <c r="G10172" t="str">
        <f>"17-1724"</f>
        <v>17-1724</v>
      </c>
      <c r="H10172" t="str">
        <f>"B"</f>
        <v>B</v>
      </c>
    </row>
    <row r="10173" spans="1:8" x14ac:dyDescent="0.2">
      <c r="A10173" t="str">
        <f t="shared" ref="A10173:A10180" si="3680">"0620047163"</f>
        <v>0620047163</v>
      </c>
      <c r="B10173" t="str">
        <f t="shared" ref="B10173:B10180" si="3681">"SHERICE"</f>
        <v>SHERICE</v>
      </c>
      <c r="C10173" t="str">
        <f t="shared" ref="C10173:C10180" si="3682">"MADISON"</f>
        <v>MADISON</v>
      </c>
      <c r="D10173">
        <f>10</f>
        <v>10</v>
      </c>
      <c r="E10173" t="str">
        <f>"04 - S1 - A - 101 - Leslie J Barton"</f>
        <v>04 - S1 - A - 101 - Leslie J Barton</v>
      </c>
      <c r="F10173" t="str">
        <f>"TEAM SPORTS 1"</f>
        <v>TEAM SPORTS 1</v>
      </c>
      <c r="G10173" t="str">
        <f>"04-254"</f>
        <v>04-254</v>
      </c>
      <c r="H10173" t="str">
        <f>"A"</f>
        <v>A</v>
      </c>
    </row>
    <row r="10174" spans="1:8" x14ac:dyDescent="0.2">
      <c r="A10174" t="str">
        <f t="shared" si="3680"/>
        <v>0620047163</v>
      </c>
      <c r="B10174" t="str">
        <f t="shared" si="3681"/>
        <v>SHERICE</v>
      </c>
      <c r="C10174" t="str">
        <f t="shared" si="3682"/>
        <v>MADISON</v>
      </c>
      <c r="D10174">
        <f>10</f>
        <v>10</v>
      </c>
      <c r="E10174" t="str">
        <f>"06 - B - 109 - Semra  Bahadir"</f>
        <v>06 - B - 109 - Semra  Bahadir</v>
      </c>
      <c r="F10174" t="str">
        <f>"NC STUDY HALL 1"</f>
        <v>NC STUDY HALL 1</v>
      </c>
      <c r="G10174" t="str">
        <f>"21-2107"</f>
        <v>21-2107</v>
      </c>
      <c r="H10174" t="str">
        <f>"B"</f>
        <v>B</v>
      </c>
    </row>
    <row r="10175" spans="1:8" x14ac:dyDescent="0.2">
      <c r="A10175" t="str">
        <f t="shared" si="3680"/>
        <v>0620047163</v>
      </c>
      <c r="B10175" t="str">
        <f t="shared" si="3681"/>
        <v>SHERICE</v>
      </c>
      <c r="C10175" t="str">
        <f t="shared" si="3682"/>
        <v>MADISON</v>
      </c>
      <c r="D10175">
        <f>10</f>
        <v>10</v>
      </c>
      <c r="E10175" t="str">
        <f>"03 - A - 204 - Lytrell T Dixon"</f>
        <v>03 - A - 204 - Lytrell T Dixon</v>
      </c>
      <c r="F10175" t="str">
        <f>"BIOLOGY 1"</f>
        <v>BIOLOGY 1</v>
      </c>
      <c r="G10175" t="str">
        <f>"08-808"</f>
        <v>08-808</v>
      </c>
      <c r="H10175" t="str">
        <f>"A"</f>
        <v>A</v>
      </c>
    </row>
    <row r="10176" spans="1:8" x14ac:dyDescent="0.2">
      <c r="A10176" t="str">
        <f t="shared" si="3680"/>
        <v>0620047163</v>
      </c>
      <c r="B10176" t="str">
        <f t="shared" si="3681"/>
        <v>SHERICE</v>
      </c>
      <c r="C10176" t="str">
        <f t="shared" si="3682"/>
        <v>MADISON</v>
      </c>
      <c r="D10176">
        <f>10</f>
        <v>10</v>
      </c>
      <c r="E10176" t="str">
        <f>"02 - A - 102 - Marius D Orsolini"</f>
        <v>02 - A - 102 - Marius D Orsolini</v>
      </c>
      <c r="F10176" t="str">
        <f>"CULINARY ARTS 1"</f>
        <v>CULINARY ARTS 1</v>
      </c>
      <c r="G10176" t="str">
        <f>"21-2115"</f>
        <v>21-2115</v>
      </c>
      <c r="H10176" t="str">
        <f>"A"</f>
        <v>A</v>
      </c>
    </row>
    <row r="10177" spans="1:8" x14ac:dyDescent="0.2">
      <c r="A10177" t="str">
        <f t="shared" si="3680"/>
        <v>0620047163</v>
      </c>
      <c r="B10177" t="str">
        <f t="shared" si="3681"/>
        <v>SHERICE</v>
      </c>
      <c r="C10177" t="str">
        <f t="shared" si="3682"/>
        <v>MADISON</v>
      </c>
      <c r="D10177">
        <f>10</f>
        <v>10</v>
      </c>
      <c r="E10177" t="str">
        <f>"07 - B - 106 - Taraneh C Abreu"</f>
        <v>07 - B - 106 - Taraneh C Abreu</v>
      </c>
      <c r="F10177" t="str">
        <f>"INTENS READ 2"</f>
        <v>INTENS READ 2</v>
      </c>
      <c r="G10177" t="str">
        <f>"17-1713"</f>
        <v>17-1713</v>
      </c>
      <c r="H10177" t="str">
        <f>"B"</f>
        <v>B</v>
      </c>
    </row>
    <row r="10178" spans="1:8" x14ac:dyDescent="0.2">
      <c r="A10178" t="str">
        <f t="shared" si="3680"/>
        <v>0620047163</v>
      </c>
      <c r="B10178" t="str">
        <f t="shared" si="3681"/>
        <v>SHERICE</v>
      </c>
      <c r="C10178" t="str">
        <f t="shared" si="3682"/>
        <v>MADISON</v>
      </c>
      <c r="D10178">
        <f>10</f>
        <v>10</v>
      </c>
      <c r="E10178" t="str">
        <f>"05 - B - 107 - Nikiel  Nesbeth"</f>
        <v>05 - B - 107 - Nikiel  Nesbeth</v>
      </c>
      <c r="F10178" t="str">
        <f>"ENG 2"</f>
        <v>ENG 2</v>
      </c>
      <c r="G10178" t="str">
        <f>"17-1705"</f>
        <v>17-1705</v>
      </c>
      <c r="H10178" t="str">
        <f>"B"</f>
        <v>B</v>
      </c>
    </row>
    <row r="10179" spans="1:8" x14ac:dyDescent="0.2">
      <c r="A10179" t="str">
        <f t="shared" si="3680"/>
        <v>0620047163</v>
      </c>
      <c r="B10179" t="str">
        <f t="shared" si="3681"/>
        <v>SHERICE</v>
      </c>
      <c r="C10179" t="str">
        <f t="shared" si="3682"/>
        <v>MADISON</v>
      </c>
      <c r="D10179">
        <f>10</f>
        <v>10</v>
      </c>
      <c r="E10179" t="str">
        <f>"01 - A - 104 - Milca  Exantus"</f>
        <v>01 - A - 104 - Milca  Exantus</v>
      </c>
      <c r="F10179" t="str">
        <f>"MATH COLLEGE LIB ART"</f>
        <v>MATH COLLEGE LIB ART</v>
      </c>
      <c r="G10179" t="str">
        <f>"21-2145"</f>
        <v>21-2145</v>
      </c>
      <c r="H10179" t="str">
        <f>"A"</f>
        <v>A</v>
      </c>
    </row>
    <row r="10180" spans="1:8" x14ac:dyDescent="0.2">
      <c r="A10180" t="str">
        <f t="shared" si="3680"/>
        <v>0620047163</v>
      </c>
      <c r="B10180" t="str">
        <f t="shared" si="3681"/>
        <v>SHERICE</v>
      </c>
      <c r="C10180" t="str">
        <f t="shared" si="3682"/>
        <v>MADISON</v>
      </c>
      <c r="D10180">
        <f>10</f>
        <v>10</v>
      </c>
      <c r="E10180" t="str">
        <f>"08 - S1 - B - 105 - James H Mccann"</f>
        <v>08 - S1 - B - 105 - James H Mccann</v>
      </c>
      <c r="F10180" t="str">
        <f>"PERS FIN &amp; MON MGT H"</f>
        <v>PERS FIN &amp; MON MGT H</v>
      </c>
      <c r="G10180" t="str">
        <f>"17-1716"</f>
        <v>17-1716</v>
      </c>
      <c r="H10180" t="str">
        <f>"B"</f>
        <v>B</v>
      </c>
    </row>
    <row r="10181" spans="1:8" x14ac:dyDescent="0.2">
      <c r="A10181" t="str">
        <f t="shared" ref="A10181:A10188" si="3683">"0616011445"</f>
        <v>0616011445</v>
      </c>
      <c r="B10181" t="str">
        <f t="shared" ref="B10181:B10188" si="3684">"MAKAYLA"</f>
        <v>MAKAYLA</v>
      </c>
      <c r="C10181" t="str">
        <f t="shared" ref="C10181:C10188" si="3685">"MADRY"</f>
        <v>MADRY</v>
      </c>
      <c r="D10181">
        <f>10</f>
        <v>10</v>
      </c>
      <c r="E10181" t="str">
        <f>"04 - A - 101 - Brian M Fitzgerald"</f>
        <v>04 - A - 101 - Brian M Fitzgerald</v>
      </c>
      <c r="F10181" t="str">
        <f>"DRAW 2"</f>
        <v>DRAW 2</v>
      </c>
      <c r="G10181" t="str">
        <f>"09-908"</f>
        <v>09-908</v>
      </c>
      <c r="H10181" t="str">
        <f>"A"</f>
        <v>A</v>
      </c>
    </row>
    <row r="10182" spans="1:8" x14ac:dyDescent="0.2">
      <c r="A10182" t="str">
        <f t="shared" si="3683"/>
        <v>0616011445</v>
      </c>
      <c r="B10182" t="str">
        <f t="shared" si="3684"/>
        <v>MAKAYLA</v>
      </c>
      <c r="C10182" t="str">
        <f t="shared" si="3685"/>
        <v>MADRY</v>
      </c>
      <c r="D10182">
        <f>10</f>
        <v>10</v>
      </c>
      <c r="E10182" t="str">
        <f>"06 - B - 112 - Tina M Jaramillo"</f>
        <v>06 - B - 112 - Tina M Jaramillo</v>
      </c>
      <c r="F10182" t="str">
        <f>"NC STUDY HALL 1"</f>
        <v>NC STUDY HALL 1</v>
      </c>
      <c r="G10182" t="str">
        <f>"17-1706"</f>
        <v>17-1706</v>
      </c>
      <c r="H10182" t="str">
        <f>"B"</f>
        <v>B</v>
      </c>
    </row>
    <row r="10183" spans="1:8" x14ac:dyDescent="0.2">
      <c r="A10183" t="str">
        <f t="shared" si="3683"/>
        <v>0616011445</v>
      </c>
      <c r="B10183" t="str">
        <f t="shared" si="3684"/>
        <v>MAKAYLA</v>
      </c>
      <c r="C10183" t="str">
        <f t="shared" si="3685"/>
        <v>MADRY</v>
      </c>
      <c r="D10183">
        <f>10</f>
        <v>10</v>
      </c>
      <c r="E10183" t="str">
        <f>"03 - A - 002 - Nikiel  Nesbeth"</f>
        <v>03 - A - 002 - Nikiel  Nesbeth</v>
      </c>
      <c r="F10183" t="str">
        <f>"PRE-AICE ENG LIT IG"</f>
        <v>PRE-AICE ENG LIT IG</v>
      </c>
      <c r="G10183" t="str">
        <f>"17-1705"</f>
        <v>17-1705</v>
      </c>
      <c r="H10183" t="str">
        <f>"A"</f>
        <v>A</v>
      </c>
    </row>
    <row r="10184" spans="1:8" x14ac:dyDescent="0.2">
      <c r="A10184" t="str">
        <f t="shared" si="3683"/>
        <v>0616011445</v>
      </c>
      <c r="B10184" t="str">
        <f t="shared" si="3684"/>
        <v>MAKAYLA</v>
      </c>
      <c r="C10184" t="str">
        <f t="shared" si="3685"/>
        <v>MADRY</v>
      </c>
      <c r="D10184">
        <f>10</f>
        <v>10</v>
      </c>
      <c r="E10184" t="str">
        <f>"02 - A - 102 - Adam Marcus  Drucker"</f>
        <v>02 - A - 102 - Adam Marcus  Drucker</v>
      </c>
      <c r="F10184" t="str">
        <f>"HOPE-PE V"</f>
        <v>HOPE-PE V</v>
      </c>
      <c r="G10184" t="str">
        <f>"04-254"</f>
        <v>04-254</v>
      </c>
      <c r="H10184" t="str">
        <f>"A"</f>
        <v>A</v>
      </c>
    </row>
    <row r="10185" spans="1:8" x14ac:dyDescent="0.2">
      <c r="A10185" t="str">
        <f t="shared" si="3683"/>
        <v>0616011445</v>
      </c>
      <c r="B10185" t="str">
        <f t="shared" si="3684"/>
        <v>MAKAYLA</v>
      </c>
      <c r="C10185" t="str">
        <f t="shared" si="3685"/>
        <v>MADRY</v>
      </c>
      <c r="D10185">
        <f>10</f>
        <v>10</v>
      </c>
      <c r="E10185" t="str">
        <f>"07 - B - 102 - Lourivaldo  Da Silva"</f>
        <v>07 - B - 102 - Lourivaldo  Da Silva</v>
      </c>
      <c r="F10185" t="str">
        <f>"ALGEBRA 2 HON"</f>
        <v>ALGEBRA 2 HON</v>
      </c>
      <c r="G10185" t="str">
        <f>"20-2079"</f>
        <v>20-2079</v>
      </c>
      <c r="H10185" t="str">
        <f>"B"</f>
        <v>B</v>
      </c>
    </row>
    <row r="10186" spans="1:8" x14ac:dyDescent="0.2">
      <c r="A10186" t="str">
        <f t="shared" si="3683"/>
        <v>0616011445</v>
      </c>
      <c r="B10186" t="str">
        <f t="shared" si="3684"/>
        <v>MAKAYLA</v>
      </c>
      <c r="C10186" t="str">
        <f t="shared" si="3685"/>
        <v>MADRY</v>
      </c>
      <c r="D10186">
        <f>10</f>
        <v>10</v>
      </c>
      <c r="E10186" t="str">
        <f>"05 - S1 - B - 102 - Lissa C Frederique"</f>
        <v>05 - S1 - B - 102 - Lissa C Frederique</v>
      </c>
      <c r="F10186" t="str">
        <f>"PERS FIN &amp; MON MGT H"</f>
        <v>PERS FIN &amp; MON MGT H</v>
      </c>
      <c r="G10186" t="str">
        <f>"17-1754"</f>
        <v>17-1754</v>
      </c>
      <c r="H10186" t="str">
        <f>"B"</f>
        <v>B</v>
      </c>
    </row>
    <row r="10187" spans="1:8" x14ac:dyDescent="0.2">
      <c r="A10187" t="str">
        <f t="shared" si="3683"/>
        <v>0616011445</v>
      </c>
      <c r="B10187" t="str">
        <f t="shared" si="3684"/>
        <v>MAKAYLA</v>
      </c>
      <c r="C10187" t="str">
        <f t="shared" si="3685"/>
        <v>MADRY</v>
      </c>
      <c r="D10187">
        <f>10</f>
        <v>10</v>
      </c>
      <c r="E10187" t="str">
        <f>"01 - A - 001 - Dorothy D Moore"</f>
        <v>01 - A - 001 - Dorothy D Moore</v>
      </c>
      <c r="F10187" t="str">
        <f>"ANAT PHYSIO HON"</f>
        <v>ANAT PHYSIO HON</v>
      </c>
      <c r="G10187" t="str">
        <f>"08-803"</f>
        <v>08-803</v>
      </c>
      <c r="H10187" t="str">
        <f>"A"</f>
        <v>A</v>
      </c>
    </row>
    <row r="10188" spans="1:8" x14ac:dyDescent="0.2">
      <c r="A10188" t="str">
        <f t="shared" si="3683"/>
        <v>0616011445</v>
      </c>
      <c r="B10188" t="str">
        <f t="shared" si="3684"/>
        <v>MAKAYLA</v>
      </c>
      <c r="C10188" t="str">
        <f t="shared" si="3685"/>
        <v>MADRY</v>
      </c>
      <c r="D10188">
        <f>10</f>
        <v>10</v>
      </c>
      <c r="E10188" t="str">
        <f>"08 - B - 001 - Chrystina M Marchionne"</f>
        <v>08 - B - 001 - Chrystina M Marchionne</v>
      </c>
      <c r="F10188" t="str">
        <f>"JOURN 1 (YB) LH"</f>
        <v>JOURN 1 (YB) LH</v>
      </c>
      <c r="G10188" t="str">
        <f>"05-520"</f>
        <v>05-520</v>
      </c>
      <c r="H10188" t="str">
        <f>"B"</f>
        <v>B</v>
      </c>
    </row>
    <row r="10189" spans="1:8" x14ac:dyDescent="0.2">
      <c r="A10189" t="str">
        <f t="shared" ref="A10189:A10196" si="3686">"0616063125"</f>
        <v>0616063125</v>
      </c>
      <c r="B10189" t="str">
        <f t="shared" ref="B10189:B10196" si="3687">"ANGELO"</f>
        <v>ANGELO</v>
      </c>
      <c r="C10189" t="str">
        <f t="shared" ref="C10189:C10204" si="3688">"MAFREDAS"</f>
        <v>MAFREDAS</v>
      </c>
      <c r="D10189">
        <f>10</f>
        <v>10</v>
      </c>
      <c r="E10189" t="str">
        <f>"04 - A - 105 - Jacquelyn M Neeson"</f>
        <v>04 - A - 105 - Jacquelyn M Neeson</v>
      </c>
      <c r="F10189" t="str">
        <f>"ENG 2"</f>
        <v>ENG 2</v>
      </c>
      <c r="G10189" t="str">
        <f>"17-1715"</f>
        <v>17-1715</v>
      </c>
      <c r="H10189" t="str">
        <f>"A"</f>
        <v>A</v>
      </c>
    </row>
    <row r="10190" spans="1:8" x14ac:dyDescent="0.2">
      <c r="A10190" t="str">
        <f t="shared" si="3686"/>
        <v>0616063125</v>
      </c>
      <c r="B10190" t="str">
        <f t="shared" si="3687"/>
        <v>ANGELO</v>
      </c>
      <c r="C10190" t="str">
        <f t="shared" si="3688"/>
        <v>MAFREDAS</v>
      </c>
      <c r="D10190">
        <f>10</f>
        <v>10</v>
      </c>
      <c r="E10190" t="str">
        <f>"06 - B - 002 - Lenecy  Nodarse"</f>
        <v>06 - B - 002 - Lenecy  Nodarse</v>
      </c>
      <c r="F10190" t="str">
        <f>"NC STUDY HALL 1"</f>
        <v>NC STUDY HALL 1</v>
      </c>
      <c r="G10190" t="str">
        <f>"17-1741"</f>
        <v>17-1741</v>
      </c>
      <c r="H10190" t="str">
        <f>"B"</f>
        <v>B</v>
      </c>
    </row>
    <row r="10191" spans="1:8" x14ac:dyDescent="0.2">
      <c r="A10191" t="str">
        <f t="shared" si="3686"/>
        <v>0616063125</v>
      </c>
      <c r="B10191" t="str">
        <f t="shared" si="3687"/>
        <v>ANGELO</v>
      </c>
      <c r="C10191" t="str">
        <f t="shared" si="3688"/>
        <v>MAFREDAS</v>
      </c>
      <c r="D10191">
        <f>10</f>
        <v>10</v>
      </c>
      <c r="E10191" t="str">
        <f>"03 - A - 103 - Marius D Orsolini"</f>
        <v>03 - A - 103 - Marius D Orsolini</v>
      </c>
      <c r="F10191" t="str">
        <f>"CULINARY ARTS 1"</f>
        <v>CULINARY ARTS 1</v>
      </c>
      <c r="G10191" t="str">
        <f>"21-2115"</f>
        <v>21-2115</v>
      </c>
      <c r="H10191" t="str">
        <f>"A"</f>
        <v>A</v>
      </c>
    </row>
    <row r="10192" spans="1:8" x14ac:dyDescent="0.2">
      <c r="A10192" t="str">
        <f t="shared" si="3686"/>
        <v>0616063125</v>
      </c>
      <c r="B10192" t="str">
        <f t="shared" si="3687"/>
        <v>ANGELO</v>
      </c>
      <c r="C10192" t="str">
        <f t="shared" si="3688"/>
        <v>MAFREDAS</v>
      </c>
      <c r="D10192">
        <f>10</f>
        <v>10</v>
      </c>
      <c r="E10192" t="str">
        <f>"02 - A - 101 - Christa T Parisi"</f>
        <v>02 - A - 101 - Christa T Parisi</v>
      </c>
      <c r="F10192" t="str">
        <f>"LRNG STRATEGIES 9-12"</f>
        <v>LRNG STRATEGIES 9-12</v>
      </c>
      <c r="G10192" t="str">
        <f>"20-2072"</f>
        <v>20-2072</v>
      </c>
      <c r="H10192" t="str">
        <f>"A"</f>
        <v>A</v>
      </c>
    </row>
    <row r="10193" spans="1:8" x14ac:dyDescent="0.2">
      <c r="A10193" t="str">
        <f t="shared" si="3686"/>
        <v>0616063125</v>
      </c>
      <c r="B10193" t="str">
        <f t="shared" si="3687"/>
        <v>ANGELO</v>
      </c>
      <c r="C10193" t="str">
        <f t="shared" si="3688"/>
        <v>MAFREDAS</v>
      </c>
      <c r="D10193">
        <f>10</f>
        <v>10</v>
      </c>
      <c r="E10193" t="str">
        <f>"07 - B - 107 - Lytrell T Dixon"</f>
        <v>07 - B - 107 - Lytrell T Dixon</v>
      </c>
      <c r="F10193" t="str">
        <f>"BIOLOGY 1"</f>
        <v>BIOLOGY 1</v>
      </c>
      <c r="G10193" t="str">
        <f>"08-808"</f>
        <v>08-808</v>
      </c>
      <c r="H10193" t="str">
        <f>"B"</f>
        <v>B</v>
      </c>
    </row>
    <row r="10194" spans="1:8" x14ac:dyDescent="0.2">
      <c r="A10194" t="str">
        <f t="shared" si="3686"/>
        <v>0616063125</v>
      </c>
      <c r="B10194" t="str">
        <f t="shared" si="3687"/>
        <v>ANGELO</v>
      </c>
      <c r="C10194" t="str">
        <f t="shared" si="3688"/>
        <v>MAFREDAS</v>
      </c>
      <c r="D10194">
        <f>10</f>
        <v>10</v>
      </c>
      <c r="E10194" t="str">
        <f>"05 - B - 106 - Milca  Exantus"</f>
        <v>05 - B - 106 - Milca  Exantus</v>
      </c>
      <c r="F10194" t="str">
        <f>"MATH COLLEGE LIB ART"</f>
        <v>MATH COLLEGE LIB ART</v>
      </c>
      <c r="G10194" t="str">
        <f>"21-2145"</f>
        <v>21-2145</v>
      </c>
      <c r="H10194" t="str">
        <f>"B"</f>
        <v>B</v>
      </c>
    </row>
    <row r="10195" spans="1:8" x14ac:dyDescent="0.2">
      <c r="A10195" t="str">
        <f t="shared" si="3686"/>
        <v>0616063125</v>
      </c>
      <c r="B10195" t="str">
        <f t="shared" si="3687"/>
        <v>ANGELO</v>
      </c>
      <c r="C10195" t="str">
        <f t="shared" si="3688"/>
        <v>MAFREDAS</v>
      </c>
      <c r="D10195">
        <f>10</f>
        <v>10</v>
      </c>
      <c r="E10195" t="str">
        <f>"01 - A - 101 - Adam Marcus  Drucker"</f>
        <v>01 - A - 101 - Adam Marcus  Drucker</v>
      </c>
      <c r="F10195" t="str">
        <f>"HOPE-PE V"</f>
        <v>HOPE-PE V</v>
      </c>
      <c r="G10195" t="str">
        <f>"04-254"</f>
        <v>04-254</v>
      </c>
      <c r="H10195" t="str">
        <f>"A"</f>
        <v>A</v>
      </c>
    </row>
    <row r="10196" spans="1:8" x14ac:dyDescent="0.2">
      <c r="A10196" t="str">
        <f t="shared" si="3686"/>
        <v>0616063125</v>
      </c>
      <c r="B10196" t="str">
        <f t="shared" si="3687"/>
        <v>ANGELO</v>
      </c>
      <c r="C10196" t="str">
        <f t="shared" si="3688"/>
        <v>MAFREDAS</v>
      </c>
      <c r="D10196">
        <f>10</f>
        <v>10</v>
      </c>
      <c r="E10196" t="str">
        <f>"08 - S1 - B - 102 - Kyle  Robbins"</f>
        <v>08 - S1 - B - 102 - Kyle  Robbins</v>
      </c>
      <c r="F10196" t="str">
        <f>"PERS FIN &amp; MON MGT H"</f>
        <v>PERS FIN &amp; MON MGT H</v>
      </c>
      <c r="G10196" t="str">
        <f>"17-1745"</f>
        <v>17-1745</v>
      </c>
      <c r="H10196" t="str">
        <f>"B"</f>
        <v>B</v>
      </c>
    </row>
    <row r="10197" spans="1:8" x14ac:dyDescent="0.2">
      <c r="A10197" t="str">
        <f t="shared" ref="A10197:A10204" si="3689">"0615029802"</f>
        <v>0615029802</v>
      </c>
      <c r="B10197" t="str">
        <f t="shared" ref="B10197:B10204" si="3690">"VASILIKI"</f>
        <v>VASILIKI</v>
      </c>
      <c r="C10197" t="str">
        <f t="shared" si="3688"/>
        <v>MAFREDAS</v>
      </c>
      <c r="D10197">
        <f>11</f>
        <v>11</v>
      </c>
      <c r="E10197" t="str">
        <f>"04 - A - 104 - Adam Marcus  Drucker"</f>
        <v>04 - A - 104 - Adam Marcus  Drucker</v>
      </c>
      <c r="F10197" t="str">
        <f>"HOPE-PE V"</f>
        <v>HOPE-PE V</v>
      </c>
      <c r="G10197" t="str">
        <f>"04-254"</f>
        <v>04-254</v>
      </c>
      <c r="H10197" t="str">
        <f>"A"</f>
        <v>A</v>
      </c>
    </row>
    <row r="10198" spans="1:8" x14ac:dyDescent="0.2">
      <c r="A10198" t="str">
        <f t="shared" si="3689"/>
        <v>0615029802</v>
      </c>
      <c r="B10198" t="str">
        <f t="shared" si="3690"/>
        <v>VASILIKI</v>
      </c>
      <c r="C10198" t="str">
        <f t="shared" si="3688"/>
        <v>MAFREDAS</v>
      </c>
      <c r="D10198">
        <f>11</f>
        <v>11</v>
      </c>
      <c r="E10198" t="str">
        <f>"06 - B - 108 - Milca  Exantus"</f>
        <v>06 - B - 108 - Milca  Exantus</v>
      </c>
      <c r="F10198" t="str">
        <f>"MATH COLLEGE LIB ART"</f>
        <v>MATH COLLEGE LIB ART</v>
      </c>
      <c r="G10198" t="str">
        <f>"21-2145"</f>
        <v>21-2145</v>
      </c>
      <c r="H10198" t="str">
        <f>"B"</f>
        <v>B</v>
      </c>
    </row>
    <row r="10199" spans="1:8" x14ac:dyDescent="0.2">
      <c r="A10199" t="str">
        <f t="shared" si="3689"/>
        <v>0615029802</v>
      </c>
      <c r="B10199" t="str">
        <f t="shared" si="3690"/>
        <v>VASILIKI</v>
      </c>
      <c r="C10199" t="str">
        <f t="shared" si="3688"/>
        <v>MAFREDAS</v>
      </c>
      <c r="D10199">
        <f>11</f>
        <v>11</v>
      </c>
      <c r="E10199" t="str">
        <f>"03 - A - 204 - Norayda D Suarez"</f>
        <v>03 - A - 204 - Norayda D Suarez</v>
      </c>
      <c r="F10199" t="str">
        <f>"ANAT PHYSIO HON"</f>
        <v>ANAT PHYSIO HON</v>
      </c>
      <c r="G10199" t="str">
        <f>"21-2144"</f>
        <v>21-2144</v>
      </c>
      <c r="H10199" t="str">
        <f>"A"</f>
        <v>A</v>
      </c>
    </row>
    <row r="10200" spans="1:8" x14ac:dyDescent="0.2">
      <c r="A10200" t="str">
        <f t="shared" si="3689"/>
        <v>0615029802</v>
      </c>
      <c r="B10200" t="str">
        <f t="shared" si="3690"/>
        <v>VASILIKI</v>
      </c>
      <c r="C10200" t="str">
        <f t="shared" si="3688"/>
        <v>MAFREDAS</v>
      </c>
      <c r="D10200">
        <f>11</f>
        <v>11</v>
      </c>
      <c r="E10200" t="str">
        <f>"02 - A - 104 - Dayna M Foster"</f>
        <v>02 - A - 104 - Dayna M Foster</v>
      </c>
      <c r="F10200" t="str">
        <f>"NC STUDY HALL 1"</f>
        <v>NC STUDY HALL 1</v>
      </c>
      <c r="G10200" t="str">
        <f>"21-2109"</f>
        <v>21-2109</v>
      </c>
      <c r="H10200" t="str">
        <f>"A"</f>
        <v>A</v>
      </c>
    </row>
    <row r="10201" spans="1:8" x14ac:dyDescent="0.2">
      <c r="A10201" t="str">
        <f t="shared" si="3689"/>
        <v>0615029802</v>
      </c>
      <c r="B10201" t="str">
        <f t="shared" si="3690"/>
        <v>VASILIKI</v>
      </c>
      <c r="C10201" t="str">
        <f t="shared" si="3688"/>
        <v>MAFREDAS</v>
      </c>
      <c r="D10201">
        <f>11</f>
        <v>11</v>
      </c>
      <c r="E10201" t="str">
        <f>"07 - B - 103 - Vanessa J Liburd"</f>
        <v>07 - B - 103 - Vanessa J Liburd</v>
      </c>
      <c r="F10201" t="str">
        <f>"PRE-AICE FRENCH 1 IG"</f>
        <v>PRE-AICE FRENCH 1 IG</v>
      </c>
      <c r="G10201" t="str">
        <f>"05-519"</f>
        <v>05-519</v>
      </c>
      <c r="H10201" t="str">
        <f>"B"</f>
        <v>B</v>
      </c>
    </row>
    <row r="10202" spans="1:8" x14ac:dyDescent="0.2">
      <c r="A10202" t="str">
        <f t="shared" si="3689"/>
        <v>0615029802</v>
      </c>
      <c r="B10202" t="str">
        <f t="shared" si="3690"/>
        <v>VASILIKI</v>
      </c>
      <c r="C10202" t="str">
        <f t="shared" si="3688"/>
        <v>MAFREDAS</v>
      </c>
      <c r="D10202">
        <f>11</f>
        <v>11</v>
      </c>
      <c r="E10202" t="str">
        <f>"05 - B - 001 - Kyle  Robbins"</f>
        <v>05 - B - 001 - Kyle  Robbins</v>
      </c>
      <c r="F10202" t="str">
        <f>"US HISTORY HON"</f>
        <v>US HISTORY HON</v>
      </c>
      <c r="G10202" t="str">
        <f>"17-1745"</f>
        <v>17-1745</v>
      </c>
      <c r="H10202" t="str">
        <f>"B"</f>
        <v>B</v>
      </c>
    </row>
    <row r="10203" spans="1:8" x14ac:dyDescent="0.2">
      <c r="A10203" t="str">
        <f t="shared" si="3689"/>
        <v>0615029802</v>
      </c>
      <c r="B10203" t="str">
        <f t="shared" si="3690"/>
        <v>VASILIKI</v>
      </c>
      <c r="C10203" t="str">
        <f t="shared" si="3688"/>
        <v>MAFREDAS</v>
      </c>
      <c r="D10203">
        <f>11</f>
        <v>11</v>
      </c>
      <c r="E10203" t="str">
        <f>"01 - A - 101 - Nahum  Saint-Preux"</f>
        <v>01 - A - 101 - Nahum  Saint-Preux</v>
      </c>
      <c r="F10203" t="str">
        <f>"INTENS READ 3"</f>
        <v>INTENS READ 3</v>
      </c>
      <c r="G10203" t="str">
        <f>"17-1712"</f>
        <v>17-1712</v>
      </c>
      <c r="H10203" t="str">
        <f>"A"</f>
        <v>A</v>
      </c>
    </row>
    <row r="10204" spans="1:8" x14ac:dyDescent="0.2">
      <c r="A10204" t="str">
        <f t="shared" si="3689"/>
        <v>0615029802</v>
      </c>
      <c r="B10204" t="str">
        <f t="shared" si="3690"/>
        <v>VASILIKI</v>
      </c>
      <c r="C10204" t="str">
        <f t="shared" si="3688"/>
        <v>MAFREDAS</v>
      </c>
      <c r="D10204">
        <f>11</f>
        <v>11</v>
      </c>
      <c r="E10204" t="str">
        <f>"08 - B - 106 - Lisa  Quinn"</f>
        <v>08 - B - 106 - Lisa  Quinn</v>
      </c>
      <c r="F10204" t="str">
        <f>"ENG 3"</f>
        <v>ENG 3</v>
      </c>
      <c r="G10204" t="str">
        <f>"17-1725"</f>
        <v>17-1725</v>
      </c>
      <c r="H10204" t="str">
        <f>"B"</f>
        <v>B</v>
      </c>
    </row>
    <row r="10205" spans="1:8" x14ac:dyDescent="0.2">
      <c r="A10205" t="str">
        <f t="shared" ref="A10205:A10212" si="3691">"0619089835"</f>
        <v>0619089835</v>
      </c>
      <c r="B10205" t="str">
        <f t="shared" ref="B10205:B10212" si="3692">"ASAD"</f>
        <v>ASAD</v>
      </c>
      <c r="C10205" t="str">
        <f t="shared" ref="C10205:C10212" si="3693">"MAGEE"</f>
        <v>MAGEE</v>
      </c>
      <c r="D10205" t="str">
        <f t="shared" ref="D10205:D10212" si="3694">"09"</f>
        <v>09</v>
      </c>
      <c r="E10205" t="str">
        <f>"04 - A - 104 - Helen A Flores"</f>
        <v>04 - A - 104 - Helen A Flores</v>
      </c>
      <c r="F10205" t="str">
        <f>"FDN SKLS MATH 9-12"</f>
        <v>FDN SKLS MATH 9-12</v>
      </c>
      <c r="G10205" t="str">
        <f>"21-2101"</f>
        <v>21-2101</v>
      </c>
      <c r="H10205" t="str">
        <f>"A"</f>
        <v>A</v>
      </c>
    </row>
    <row r="10206" spans="1:8" x14ac:dyDescent="0.2">
      <c r="A10206" t="str">
        <f t="shared" si="3691"/>
        <v>0619089835</v>
      </c>
      <c r="B10206" t="str">
        <f t="shared" si="3692"/>
        <v>ASAD</v>
      </c>
      <c r="C10206" t="str">
        <f t="shared" si="3693"/>
        <v>MAGEE</v>
      </c>
      <c r="D10206" t="str">
        <f t="shared" si="3694"/>
        <v>09</v>
      </c>
      <c r="E10206" t="str">
        <f>"06 - B - 102 - Angela S Adeshina-Morrison"</f>
        <v>06 - B - 102 - Angela S Adeshina-Morrison</v>
      </c>
      <c r="F10206" t="str">
        <f>"MARKETING ESSENTIALS"</f>
        <v>MARKETING ESSENTIALS</v>
      </c>
      <c r="G10206" t="str">
        <f>"05-518"</f>
        <v>05-518</v>
      </c>
      <c r="H10206" t="str">
        <f>"B"</f>
        <v>B</v>
      </c>
    </row>
    <row r="10207" spans="1:8" x14ac:dyDescent="0.2">
      <c r="A10207" t="str">
        <f t="shared" si="3691"/>
        <v>0619089835</v>
      </c>
      <c r="B10207" t="str">
        <f t="shared" si="3692"/>
        <v>ASAD</v>
      </c>
      <c r="C10207" t="str">
        <f t="shared" si="3693"/>
        <v>MAGEE</v>
      </c>
      <c r="D10207" t="str">
        <f t="shared" si="3694"/>
        <v>09</v>
      </c>
      <c r="E10207" t="str">
        <f>"03 - A - 103 - Adam Marcus  Drucker"</f>
        <v>03 - A - 103 - Adam Marcus  Drucker</v>
      </c>
      <c r="F10207" t="str">
        <f>"HOPE-PE V"</f>
        <v>HOPE-PE V</v>
      </c>
      <c r="G10207" t="str">
        <f>"04-254"</f>
        <v>04-254</v>
      </c>
      <c r="H10207" t="str">
        <f>"A"</f>
        <v>A</v>
      </c>
    </row>
    <row r="10208" spans="1:8" x14ac:dyDescent="0.2">
      <c r="A10208" t="str">
        <f t="shared" si="3691"/>
        <v>0619089835</v>
      </c>
      <c r="B10208" t="str">
        <f t="shared" si="3692"/>
        <v>ASAD</v>
      </c>
      <c r="C10208" t="str">
        <f t="shared" si="3693"/>
        <v>MAGEE</v>
      </c>
      <c r="D10208" t="str">
        <f t="shared" si="3694"/>
        <v>09</v>
      </c>
      <c r="E10208" t="str">
        <f>"02 - A - 113 - Amy Beth  Broyles"</f>
        <v>02 - A - 113 - Amy Beth  Broyles</v>
      </c>
      <c r="F10208" t="str">
        <f>"NC STUDY HALL 1"</f>
        <v>NC STUDY HALL 1</v>
      </c>
      <c r="G10208" t="str">
        <f>"08-802"</f>
        <v>08-802</v>
      </c>
      <c r="H10208" t="str">
        <f>"A"</f>
        <v>A</v>
      </c>
    </row>
    <row r="10209" spans="1:8" x14ac:dyDescent="0.2">
      <c r="A10209" t="str">
        <f t="shared" si="3691"/>
        <v>0619089835</v>
      </c>
      <c r="B10209" t="str">
        <f t="shared" si="3692"/>
        <v>ASAD</v>
      </c>
      <c r="C10209" t="str">
        <f t="shared" si="3693"/>
        <v>MAGEE</v>
      </c>
      <c r="D10209" t="str">
        <f t="shared" si="3694"/>
        <v>09</v>
      </c>
      <c r="E10209" t="str">
        <f>"07 - B - 003 - Samantha J Headley"</f>
        <v>07 - B - 003 - Samantha J Headley</v>
      </c>
      <c r="F10209" t="str">
        <f>"ENV SCI"</f>
        <v>ENV SCI</v>
      </c>
      <c r="G10209" t="str">
        <f>"08-802"</f>
        <v>08-802</v>
      </c>
      <c r="H10209" t="str">
        <f>"B"</f>
        <v>B</v>
      </c>
    </row>
    <row r="10210" spans="1:8" x14ac:dyDescent="0.2">
      <c r="A10210" t="str">
        <f t="shared" si="3691"/>
        <v>0619089835</v>
      </c>
      <c r="B10210" t="str">
        <f t="shared" si="3692"/>
        <v>ASAD</v>
      </c>
      <c r="C10210" t="str">
        <f t="shared" si="3693"/>
        <v>MAGEE</v>
      </c>
      <c r="D10210" t="str">
        <f t="shared" si="3694"/>
        <v>09</v>
      </c>
      <c r="E10210" t="str">
        <f>"05 - B - 104 - Joe  Kilpatrick Jr"</f>
        <v>05 - B - 104 - Joe  Kilpatrick Jr</v>
      </c>
      <c r="F10210" t="str">
        <f>"PRE-AICE SPAN 1 IG"</f>
        <v>PRE-AICE SPAN 1 IG</v>
      </c>
      <c r="G10210" t="str">
        <f>"09-912"</f>
        <v>09-912</v>
      </c>
      <c r="H10210" t="str">
        <f>"B"</f>
        <v>B</v>
      </c>
    </row>
    <row r="10211" spans="1:8" x14ac:dyDescent="0.2">
      <c r="A10211" t="str">
        <f t="shared" si="3691"/>
        <v>0619089835</v>
      </c>
      <c r="B10211" t="str">
        <f t="shared" si="3692"/>
        <v>ASAD</v>
      </c>
      <c r="C10211" t="str">
        <f t="shared" si="3693"/>
        <v>MAGEE</v>
      </c>
      <c r="D10211" t="str">
        <f t="shared" si="3694"/>
        <v>09</v>
      </c>
      <c r="E10211" t="str">
        <f>"01 - A - 101 - Cerine S Stewart"</f>
        <v>01 - A - 101 - Cerine S Stewart</v>
      </c>
      <c r="F10211" t="str">
        <f>"ENG 1"</f>
        <v>ENG 1</v>
      </c>
      <c r="G10211" t="str">
        <f>"17-1720"</f>
        <v>17-1720</v>
      </c>
      <c r="H10211" t="str">
        <f>"A"</f>
        <v>A</v>
      </c>
    </row>
    <row r="10212" spans="1:8" x14ac:dyDescent="0.2">
      <c r="A10212" t="str">
        <f t="shared" si="3691"/>
        <v>0619089835</v>
      </c>
      <c r="B10212" t="str">
        <f t="shared" si="3692"/>
        <v>ASAD</v>
      </c>
      <c r="C10212" t="str">
        <f t="shared" si="3693"/>
        <v>MAGEE</v>
      </c>
      <c r="D10212" t="str">
        <f t="shared" si="3694"/>
        <v>09</v>
      </c>
      <c r="E10212" t="str">
        <f>"08 - B - 106 - Helen A Flores"</f>
        <v>08 - B - 106 - Helen A Flores</v>
      </c>
      <c r="F10212" t="str">
        <f>"ALGEBRA 1"</f>
        <v>ALGEBRA 1</v>
      </c>
      <c r="G10212" t="str">
        <f>"21-2101"</f>
        <v>21-2101</v>
      </c>
      <c r="H10212" t="str">
        <f>"B"</f>
        <v>B</v>
      </c>
    </row>
    <row r="10213" spans="1:8" x14ac:dyDescent="0.2">
      <c r="A10213" t="str">
        <f t="shared" ref="A10213:A10220" si="3695">"0611021407"</f>
        <v>0611021407</v>
      </c>
      <c r="B10213" t="str">
        <f t="shared" ref="B10213:B10220" si="3696">"VISHAL"</f>
        <v>VISHAL</v>
      </c>
      <c r="C10213" t="str">
        <f t="shared" ref="C10213:C10220" si="3697">"MAHARAJ"</f>
        <v>MAHARAJ</v>
      </c>
      <c r="D10213">
        <f>12</f>
        <v>12</v>
      </c>
      <c r="E10213" t="str">
        <f>"04 - A - 102 - Samantha J Headley"</f>
        <v>04 - A - 102 - Samantha J Headley</v>
      </c>
      <c r="F10213" t="str">
        <f>"MARINE SCI 1 HON"</f>
        <v>MARINE SCI 1 HON</v>
      </c>
      <c r="G10213" t="str">
        <f>"21-2134"</f>
        <v>21-2134</v>
      </c>
      <c r="H10213" t="str">
        <f>"A"</f>
        <v>A</v>
      </c>
    </row>
    <row r="10214" spans="1:8" x14ac:dyDescent="0.2">
      <c r="A10214" t="str">
        <f t="shared" si="3695"/>
        <v>0611021407</v>
      </c>
      <c r="B10214" t="str">
        <f t="shared" si="3696"/>
        <v>VISHAL</v>
      </c>
      <c r="C10214" t="str">
        <f t="shared" si="3697"/>
        <v>MAHARAJ</v>
      </c>
      <c r="D10214">
        <f>12</f>
        <v>12</v>
      </c>
      <c r="E10214" t="str">
        <f>"06 - B - 101 - Lenecy  Nodarse"</f>
        <v>06 - B - 101 - Lenecy  Nodarse</v>
      </c>
      <c r="F10214" t="str">
        <f>"NC STUDY HALL 1"</f>
        <v>NC STUDY HALL 1</v>
      </c>
      <c r="G10214" t="str">
        <f>"17-1741"</f>
        <v>17-1741</v>
      </c>
      <c r="H10214" t="str">
        <f>"B"</f>
        <v>B</v>
      </c>
    </row>
    <row r="10215" spans="1:8" x14ac:dyDescent="0.2">
      <c r="A10215" t="str">
        <f t="shared" si="3695"/>
        <v>0611021407</v>
      </c>
      <c r="B10215" t="str">
        <f t="shared" si="3696"/>
        <v>VISHAL</v>
      </c>
      <c r="C10215" t="str">
        <f t="shared" si="3697"/>
        <v>MAHARAJ</v>
      </c>
      <c r="D10215">
        <f>12</f>
        <v>12</v>
      </c>
      <c r="E10215" t="str">
        <f>"03 - A - 101 - Lourivaldo  Da Silva"</f>
        <v>03 - A - 101 - Lourivaldo  Da Silva</v>
      </c>
      <c r="F10215" t="str">
        <f>"AP STAT"</f>
        <v>AP STAT</v>
      </c>
      <c r="G10215" t="str">
        <f>"20-2079"</f>
        <v>20-2079</v>
      </c>
      <c r="H10215" t="str">
        <f>"A"</f>
        <v>A</v>
      </c>
    </row>
    <row r="10216" spans="1:8" x14ac:dyDescent="0.2">
      <c r="A10216" t="str">
        <f t="shared" si="3695"/>
        <v>0611021407</v>
      </c>
      <c r="B10216" t="str">
        <f t="shared" si="3696"/>
        <v>VISHAL</v>
      </c>
      <c r="C10216" t="str">
        <f t="shared" si="3697"/>
        <v>MAHARAJ</v>
      </c>
      <c r="D10216">
        <f>12</f>
        <v>12</v>
      </c>
      <c r="E10216" t="str">
        <f>"02 - A - 102 - Jeffrey S Gallagher"</f>
        <v>02 - A - 102 - Jeffrey S Gallagher</v>
      </c>
      <c r="F10216" t="str">
        <f>"ENG HON 4"</f>
        <v>ENG HON 4</v>
      </c>
      <c r="G10216" t="str">
        <f>"17-1724"</f>
        <v>17-1724</v>
      </c>
      <c r="H10216" t="str">
        <f>"A"</f>
        <v>A</v>
      </c>
    </row>
    <row r="10217" spans="1:8" x14ac:dyDescent="0.2">
      <c r="A10217" t="str">
        <f t="shared" si="3695"/>
        <v>0611021407</v>
      </c>
      <c r="B10217" t="str">
        <f t="shared" si="3696"/>
        <v>VISHAL</v>
      </c>
      <c r="C10217" t="str">
        <f t="shared" si="3697"/>
        <v>MAHARAJ</v>
      </c>
      <c r="D10217">
        <f>12</f>
        <v>12</v>
      </c>
      <c r="E10217" t="str">
        <f>"07 - S1 - B - 107 - Kelly N Panza"</f>
        <v>07 - S1 - B - 107 - Kelly N Panza</v>
      </c>
      <c r="F10217" t="str">
        <f>"US GOVT HON"</f>
        <v>US GOVT HON</v>
      </c>
      <c r="G10217" t="str">
        <f>"17-1753"</f>
        <v>17-1753</v>
      </c>
      <c r="H10217" t="str">
        <f>"B"</f>
        <v>B</v>
      </c>
    </row>
    <row r="10218" spans="1:8" x14ac:dyDescent="0.2">
      <c r="A10218" t="str">
        <f t="shared" si="3695"/>
        <v>0611021407</v>
      </c>
      <c r="B10218" t="str">
        <f t="shared" si="3696"/>
        <v>VISHAL</v>
      </c>
      <c r="C10218" t="str">
        <f t="shared" si="3697"/>
        <v>MAHARAJ</v>
      </c>
      <c r="D10218">
        <f>12</f>
        <v>12</v>
      </c>
      <c r="E10218" t="str">
        <f>"05 - B - 201 - Lisa J London"</f>
        <v>05 - B - 201 - Lisa J London</v>
      </c>
      <c r="F10218" t="str">
        <f>"COMPRE LAW HON"</f>
        <v>COMPRE LAW HON</v>
      </c>
      <c r="G10218" t="str">
        <f>"17-1714"</f>
        <v>17-1714</v>
      </c>
      <c r="H10218" t="str">
        <f>"B"</f>
        <v>B</v>
      </c>
    </row>
    <row r="10219" spans="1:8" x14ac:dyDescent="0.2">
      <c r="A10219" t="str">
        <f t="shared" si="3695"/>
        <v>0611021407</v>
      </c>
      <c r="B10219" t="str">
        <f t="shared" si="3696"/>
        <v>VISHAL</v>
      </c>
      <c r="C10219" t="str">
        <f t="shared" si="3697"/>
        <v>MAHARAJ</v>
      </c>
      <c r="D10219">
        <f>12</f>
        <v>12</v>
      </c>
      <c r="E10219" t="str">
        <f>"01 - A - 101 - Nikiel  Nesbeth"</f>
        <v>01 - A - 101 - Nikiel  Nesbeth</v>
      </c>
      <c r="F10219" t="str">
        <f>"CONST LAW HON"</f>
        <v>CONST LAW HON</v>
      </c>
      <c r="G10219" t="str">
        <f>"17-1705"</f>
        <v>17-1705</v>
      </c>
      <c r="H10219" t="str">
        <f>"A"</f>
        <v>A</v>
      </c>
    </row>
    <row r="10220" spans="1:8" x14ac:dyDescent="0.2">
      <c r="A10220" t="str">
        <f t="shared" si="3695"/>
        <v>0611021407</v>
      </c>
      <c r="B10220" t="str">
        <f t="shared" si="3696"/>
        <v>VISHAL</v>
      </c>
      <c r="C10220" t="str">
        <f t="shared" si="3697"/>
        <v>MAHARAJ</v>
      </c>
      <c r="D10220">
        <f>12</f>
        <v>12</v>
      </c>
      <c r="E10220" t="str">
        <f>"08 - B - 101 - Eva T Rimmer"</f>
        <v>08 - B - 101 - Eva T Rimmer</v>
      </c>
      <c r="F10220" t="str">
        <f>"CRIM JUST OPS 3 HON"</f>
        <v>CRIM JUST OPS 3 HON</v>
      </c>
      <c r="G10220" t="str">
        <f>"05-523"</f>
        <v>05-523</v>
      </c>
      <c r="H10220" t="str">
        <f>"B"</f>
        <v>B</v>
      </c>
    </row>
    <row r="10221" spans="1:8" x14ac:dyDescent="0.2">
      <c r="A10221" t="str">
        <f t="shared" ref="A10221:A10228" si="3698">"0613116581"</f>
        <v>0613116581</v>
      </c>
      <c r="B10221" t="str">
        <f t="shared" ref="B10221:B10228" si="3699">"LUDJMILLA"</f>
        <v>LUDJMILLA</v>
      </c>
      <c r="C10221" t="str">
        <f t="shared" ref="C10221:C10236" si="3700">"MAIGNAN"</f>
        <v>MAIGNAN</v>
      </c>
      <c r="D10221">
        <f>12</f>
        <v>12</v>
      </c>
      <c r="E10221" t="str">
        <f>"04 - A - 201 - Vanessa J Liburd"</f>
        <v>04 - A - 201 - Vanessa J Liburd</v>
      </c>
      <c r="F10221" t="str">
        <f>"FRENCH 4 HON"</f>
        <v>FRENCH 4 HON</v>
      </c>
      <c r="G10221" t="str">
        <f>"05-519"</f>
        <v>05-519</v>
      </c>
      <c r="H10221" t="str">
        <f>"A"</f>
        <v>A</v>
      </c>
    </row>
    <row r="10222" spans="1:8" x14ac:dyDescent="0.2">
      <c r="A10222" t="str">
        <f t="shared" si="3698"/>
        <v>0613116581</v>
      </c>
      <c r="B10222" t="str">
        <f t="shared" si="3699"/>
        <v>LUDJMILLA</v>
      </c>
      <c r="C10222" t="str">
        <f t="shared" si="3700"/>
        <v>MAIGNAN</v>
      </c>
      <c r="D10222">
        <f>12</f>
        <v>12</v>
      </c>
      <c r="E10222" t="str">
        <f>"06 - B - 112 - Lisa  Quinn"</f>
        <v>06 - B - 112 - Lisa  Quinn</v>
      </c>
      <c r="F10222" t="str">
        <f>"NC STUDY HALL 1"</f>
        <v>NC STUDY HALL 1</v>
      </c>
      <c r="G10222" t="str">
        <f>"17-1725"</f>
        <v>17-1725</v>
      </c>
      <c r="H10222" t="str">
        <f>"B"</f>
        <v>B</v>
      </c>
    </row>
    <row r="10223" spans="1:8" x14ac:dyDescent="0.2">
      <c r="A10223" t="str">
        <f t="shared" si="3698"/>
        <v>0613116581</v>
      </c>
      <c r="B10223" t="str">
        <f t="shared" si="3699"/>
        <v>LUDJMILLA</v>
      </c>
      <c r="C10223" t="str">
        <f t="shared" si="3700"/>
        <v>MAIGNAN</v>
      </c>
      <c r="D10223">
        <f>12</f>
        <v>12</v>
      </c>
      <c r="E10223" t="str">
        <f>"03 - A - 101 - Jacqueline R Morphet"</f>
        <v>03 - A - 101 - Jacqueline R Morphet</v>
      </c>
      <c r="F10223" t="str">
        <f>"AP PHYSICS 1"</f>
        <v>AP PHYSICS 1</v>
      </c>
      <c r="G10223" t="str">
        <f>"21-2138"</f>
        <v>21-2138</v>
      </c>
      <c r="H10223" t="str">
        <f>"A"</f>
        <v>A</v>
      </c>
    </row>
    <row r="10224" spans="1:8" x14ac:dyDescent="0.2">
      <c r="A10224" t="str">
        <f t="shared" si="3698"/>
        <v>0613116581</v>
      </c>
      <c r="B10224" t="str">
        <f t="shared" si="3699"/>
        <v>LUDJMILLA</v>
      </c>
      <c r="C10224" t="str">
        <f t="shared" si="3700"/>
        <v>MAIGNAN</v>
      </c>
      <c r="D10224">
        <f>12</f>
        <v>12</v>
      </c>
      <c r="E10224" t="str">
        <f>"02 - A - 102 - Marielle A Witting"</f>
        <v>02 - A - 102 - Marielle A Witting</v>
      </c>
      <c r="F10224" t="str">
        <f>"AP BIO"</f>
        <v>AP BIO</v>
      </c>
      <c r="G10224" t="str">
        <f>"08-805"</f>
        <v>08-805</v>
      </c>
      <c r="H10224" t="str">
        <f>"A"</f>
        <v>A</v>
      </c>
    </row>
    <row r="10225" spans="1:8" x14ac:dyDescent="0.2">
      <c r="A10225" t="str">
        <f t="shared" si="3698"/>
        <v>0613116581</v>
      </c>
      <c r="B10225" t="str">
        <f t="shared" si="3699"/>
        <v>LUDJMILLA</v>
      </c>
      <c r="C10225" t="str">
        <f t="shared" si="3700"/>
        <v>MAIGNAN</v>
      </c>
      <c r="D10225">
        <f>12</f>
        <v>12</v>
      </c>
      <c r="E10225" t="str">
        <f>"07 - B - 102 - Courtney E Hambright"</f>
        <v>07 - B - 102 - Courtney E Hambright</v>
      </c>
      <c r="F10225" t="str">
        <f>"AP ENG LIT COMPO"</f>
        <v>AP ENG LIT COMPO</v>
      </c>
      <c r="G10225" t="str">
        <f>"17-1711"</f>
        <v>17-1711</v>
      </c>
      <c r="H10225" t="str">
        <f>"B"</f>
        <v>B</v>
      </c>
    </row>
    <row r="10226" spans="1:8" x14ac:dyDescent="0.2">
      <c r="A10226" t="str">
        <f t="shared" si="3698"/>
        <v>0613116581</v>
      </c>
      <c r="B10226" t="str">
        <f t="shared" si="3699"/>
        <v>LUDJMILLA</v>
      </c>
      <c r="C10226" t="str">
        <f t="shared" si="3700"/>
        <v>MAIGNAN</v>
      </c>
      <c r="D10226">
        <f>12</f>
        <v>12</v>
      </c>
      <c r="E10226" t="str">
        <f>"05 - S1 - B - 103 - Stephen T Ripp"</f>
        <v>05 - S1 - B - 103 - Stephen T Ripp</v>
      </c>
      <c r="F10226" t="str">
        <f>"AP US GOVT/POL"</f>
        <v>AP US GOVT/POL</v>
      </c>
      <c r="G10226" t="str">
        <f>"17-1744"</f>
        <v>17-1744</v>
      </c>
      <c r="H10226" t="str">
        <f>"B"</f>
        <v>B</v>
      </c>
    </row>
    <row r="10227" spans="1:8" x14ac:dyDescent="0.2">
      <c r="A10227" t="str">
        <f t="shared" si="3698"/>
        <v>0613116581</v>
      </c>
      <c r="B10227" t="str">
        <f t="shared" si="3699"/>
        <v>LUDJMILLA</v>
      </c>
      <c r="C10227" t="str">
        <f t="shared" si="3700"/>
        <v>MAIGNAN</v>
      </c>
      <c r="D10227">
        <f>12</f>
        <v>12</v>
      </c>
      <c r="E10227" t="str">
        <f>"01 - A - 201 - Pamela M Corzo"</f>
        <v>01 - A - 201 - Pamela M Corzo</v>
      </c>
      <c r="F10227" t="str">
        <f>"AP CALCULUS BC"</f>
        <v>AP CALCULUS BC</v>
      </c>
      <c r="G10227" t="str">
        <f>"21-2133"</f>
        <v>21-2133</v>
      </c>
      <c r="H10227" t="str">
        <f>"A"</f>
        <v>A</v>
      </c>
    </row>
    <row r="10228" spans="1:8" x14ac:dyDescent="0.2">
      <c r="A10228" t="str">
        <f t="shared" si="3698"/>
        <v>0613116581</v>
      </c>
      <c r="B10228" t="str">
        <f t="shared" si="3699"/>
        <v>LUDJMILLA</v>
      </c>
      <c r="C10228" t="str">
        <f t="shared" si="3700"/>
        <v>MAIGNAN</v>
      </c>
      <c r="D10228">
        <f>12</f>
        <v>12</v>
      </c>
      <c r="E10228" t="str">
        <f>"08 - B - 102 - Lisa J London"</f>
        <v>08 - B - 102 - Lisa J London</v>
      </c>
      <c r="F10228" t="str">
        <f>"AP CAPSTONE RESEARCH"</f>
        <v>AP CAPSTONE RESEARCH</v>
      </c>
      <c r="G10228" t="str">
        <f>"17-1714"</f>
        <v>17-1714</v>
      </c>
      <c r="H10228" t="str">
        <f>"B"</f>
        <v>B</v>
      </c>
    </row>
    <row r="10229" spans="1:8" x14ac:dyDescent="0.2">
      <c r="A10229" t="str">
        <f t="shared" ref="A10229:A10236" si="3701">"0614089034"</f>
        <v>0614089034</v>
      </c>
      <c r="B10229" t="str">
        <f t="shared" ref="B10229:B10236" si="3702">"LUDJYANNA"</f>
        <v>LUDJYANNA</v>
      </c>
      <c r="C10229" t="str">
        <f t="shared" si="3700"/>
        <v>MAIGNAN</v>
      </c>
      <c r="D10229">
        <f>11</f>
        <v>11</v>
      </c>
      <c r="E10229" t="str">
        <f>"04 - A - 103 - Lourivaldo  Da Silva"</f>
        <v>04 - A - 103 - Lourivaldo  Da Silva</v>
      </c>
      <c r="F10229" t="str">
        <f>"PRE-CALCULUS HON"</f>
        <v>PRE-CALCULUS HON</v>
      </c>
      <c r="G10229" t="str">
        <f>"20-2079"</f>
        <v>20-2079</v>
      </c>
      <c r="H10229" t="str">
        <f>"A"</f>
        <v>A</v>
      </c>
    </row>
    <row r="10230" spans="1:8" x14ac:dyDescent="0.2">
      <c r="A10230" t="str">
        <f t="shared" si="3701"/>
        <v>0614089034</v>
      </c>
      <c r="B10230" t="str">
        <f t="shared" si="3702"/>
        <v>LUDJYANNA</v>
      </c>
      <c r="C10230" t="str">
        <f t="shared" si="3700"/>
        <v>MAIGNAN</v>
      </c>
      <c r="D10230">
        <f>11</f>
        <v>11</v>
      </c>
      <c r="E10230" t="str">
        <f>"06 - B - 204 - Chrystina M Marchionne"</f>
        <v>06 - B - 204 - Chrystina M Marchionne</v>
      </c>
      <c r="F10230" t="str">
        <f>"AICE MEDIASTUDIES AS"</f>
        <v>AICE MEDIASTUDIES AS</v>
      </c>
      <c r="G10230" t="str">
        <f>"05-520"</f>
        <v>05-520</v>
      </c>
      <c r="H10230" t="str">
        <f>"B"</f>
        <v>B</v>
      </c>
    </row>
    <row r="10231" spans="1:8" x14ac:dyDescent="0.2">
      <c r="A10231" t="str">
        <f t="shared" si="3701"/>
        <v>0614089034</v>
      </c>
      <c r="B10231" t="str">
        <f t="shared" si="3702"/>
        <v>LUDJYANNA</v>
      </c>
      <c r="C10231" t="str">
        <f t="shared" si="3700"/>
        <v>MAIGNAN</v>
      </c>
      <c r="D10231">
        <f>11</f>
        <v>11</v>
      </c>
      <c r="E10231" t="str">
        <f>"03 - A - 102 - Tina M Jaramillo"</f>
        <v>03 - A - 102 - Tina M Jaramillo</v>
      </c>
      <c r="F10231" t="str">
        <f>"AP ENG COMPO"</f>
        <v>AP ENG COMPO</v>
      </c>
      <c r="G10231" t="str">
        <f>"17-1706"</f>
        <v>17-1706</v>
      </c>
      <c r="H10231" t="str">
        <f>"A"</f>
        <v>A</v>
      </c>
    </row>
    <row r="10232" spans="1:8" x14ac:dyDescent="0.2">
      <c r="A10232" t="str">
        <f t="shared" si="3701"/>
        <v>0614089034</v>
      </c>
      <c r="B10232" t="str">
        <f t="shared" si="3702"/>
        <v>LUDJYANNA</v>
      </c>
      <c r="C10232" t="str">
        <f t="shared" si="3700"/>
        <v>MAIGNAN</v>
      </c>
      <c r="D10232">
        <f>11</f>
        <v>11</v>
      </c>
      <c r="E10232" t="str">
        <f>"02 - A - 102 - Brook E Goren"</f>
        <v>02 - A - 102 - Brook E Goren</v>
      </c>
      <c r="F10232" t="str">
        <f>"NC STUDY HALL 1"</f>
        <v>NC STUDY HALL 1</v>
      </c>
      <c r="G10232" t="str">
        <f>"21-2158"</f>
        <v>21-2158</v>
      </c>
      <c r="H10232" t="str">
        <f>"A"</f>
        <v>A</v>
      </c>
    </row>
    <row r="10233" spans="1:8" x14ac:dyDescent="0.2">
      <c r="A10233" t="str">
        <f t="shared" si="3701"/>
        <v>0614089034</v>
      </c>
      <c r="B10233" t="str">
        <f t="shared" si="3702"/>
        <v>LUDJYANNA</v>
      </c>
      <c r="C10233" t="str">
        <f t="shared" si="3700"/>
        <v>MAIGNAN</v>
      </c>
      <c r="D10233">
        <f>11</f>
        <v>11</v>
      </c>
      <c r="E10233" t="str">
        <f>"07 - B - 103 - Lisa J London"</f>
        <v>07 - B - 103 - Lisa J London</v>
      </c>
      <c r="F10233" t="str">
        <f>"AP CAPSTONE SEMINAR"</f>
        <v>AP CAPSTONE SEMINAR</v>
      </c>
      <c r="G10233" t="str">
        <f>"17-1714"</f>
        <v>17-1714</v>
      </c>
      <c r="H10233" t="str">
        <f>"B"</f>
        <v>B</v>
      </c>
    </row>
    <row r="10234" spans="1:8" x14ac:dyDescent="0.2">
      <c r="A10234" t="str">
        <f t="shared" si="3701"/>
        <v>0614089034</v>
      </c>
      <c r="B10234" t="str">
        <f t="shared" si="3702"/>
        <v>LUDJYANNA</v>
      </c>
      <c r="C10234" t="str">
        <f t="shared" si="3700"/>
        <v>MAIGNAN</v>
      </c>
      <c r="D10234">
        <f>11</f>
        <v>11</v>
      </c>
      <c r="E10234" t="str">
        <f>"05 - B - 102 - Jerry S Jiampetti"</f>
        <v>05 - B - 102 - Jerry S Jiampetti</v>
      </c>
      <c r="F10234" t="str">
        <f>"AICE U.S. HIST 1 AS"</f>
        <v>AICE U.S. HIST 1 AS</v>
      </c>
      <c r="G10234" t="str">
        <f>"17-1751"</f>
        <v>17-1751</v>
      </c>
      <c r="H10234" t="str">
        <f>"B"</f>
        <v>B</v>
      </c>
    </row>
    <row r="10235" spans="1:8" x14ac:dyDescent="0.2">
      <c r="A10235" t="str">
        <f t="shared" si="3701"/>
        <v>0614089034</v>
      </c>
      <c r="B10235" t="str">
        <f t="shared" si="3702"/>
        <v>LUDJYANNA</v>
      </c>
      <c r="C10235" t="str">
        <f t="shared" si="3700"/>
        <v>MAIGNAN</v>
      </c>
      <c r="D10235">
        <f>11</f>
        <v>11</v>
      </c>
      <c r="E10235" t="str">
        <f>"01 - A - 101 - Marielle A Witting"</f>
        <v>01 - A - 101 - Marielle A Witting</v>
      </c>
      <c r="F10235" t="str">
        <f>"AP BIO"</f>
        <v>AP BIO</v>
      </c>
      <c r="G10235" t="str">
        <f>"08-805"</f>
        <v>08-805</v>
      </c>
      <c r="H10235" t="str">
        <f>"A"</f>
        <v>A</v>
      </c>
    </row>
    <row r="10236" spans="1:8" x14ac:dyDescent="0.2">
      <c r="A10236" t="str">
        <f t="shared" si="3701"/>
        <v>0614089034</v>
      </c>
      <c r="B10236" t="str">
        <f t="shared" si="3702"/>
        <v>LUDJYANNA</v>
      </c>
      <c r="C10236" t="str">
        <f t="shared" si="3700"/>
        <v>MAIGNAN</v>
      </c>
      <c r="D10236">
        <f>11</f>
        <v>11</v>
      </c>
      <c r="E10236" t="str">
        <f>"08 - B - 201 - Vanessa J Liburd"</f>
        <v>08 - B - 201 - Vanessa J Liburd</v>
      </c>
      <c r="F10236" t="str">
        <f>"FRENCH 3 HON"</f>
        <v>FRENCH 3 HON</v>
      </c>
      <c r="G10236" t="str">
        <f>"05-519"</f>
        <v>05-519</v>
      </c>
      <c r="H10236" t="str">
        <f>"B"</f>
        <v>B</v>
      </c>
    </row>
    <row r="10237" spans="1:8" x14ac:dyDescent="0.2">
      <c r="A10237" t="str">
        <f t="shared" ref="A10237:A10244" si="3703">"0615015744"</f>
        <v>0615015744</v>
      </c>
      <c r="B10237" t="str">
        <f t="shared" ref="B10237:B10244" si="3704">"MICHAEL"</f>
        <v>MICHAEL</v>
      </c>
      <c r="C10237" t="str">
        <f t="shared" ref="C10237:C10244" si="3705">"MAINES"</f>
        <v>MAINES</v>
      </c>
      <c r="D10237">
        <f>11</f>
        <v>11</v>
      </c>
      <c r="E10237" t="str">
        <f>"04 - A - 103 - Joe  Kilpatrick Jr"</f>
        <v>04 - A - 103 - Joe  Kilpatrick Jr</v>
      </c>
      <c r="F10237" t="str">
        <f>"PRE-AICE SPAN 1 IG"</f>
        <v>PRE-AICE SPAN 1 IG</v>
      </c>
      <c r="G10237" t="str">
        <f>"09-912"</f>
        <v>09-912</v>
      </c>
      <c r="H10237" t="str">
        <f>"A"</f>
        <v>A</v>
      </c>
    </row>
    <row r="10238" spans="1:8" x14ac:dyDescent="0.2">
      <c r="A10238" t="str">
        <f t="shared" si="3703"/>
        <v>0615015744</v>
      </c>
      <c r="B10238" t="str">
        <f t="shared" si="3704"/>
        <v>MICHAEL</v>
      </c>
      <c r="C10238" t="str">
        <f t="shared" si="3705"/>
        <v>MAINES</v>
      </c>
      <c r="D10238">
        <f>11</f>
        <v>11</v>
      </c>
      <c r="E10238" t="str">
        <f>"06 - B - 105 - Elizabeth Ellen  Moran"</f>
        <v>06 - B - 105 - Elizabeth Ellen  Moran</v>
      </c>
      <c r="F10238" t="str">
        <f>"US HISTORY"</f>
        <v>US HISTORY</v>
      </c>
      <c r="G10238" t="str">
        <f>"17-1752"</f>
        <v>17-1752</v>
      </c>
      <c r="H10238" t="str">
        <f>"B"</f>
        <v>B</v>
      </c>
    </row>
    <row r="10239" spans="1:8" x14ac:dyDescent="0.2">
      <c r="A10239" t="str">
        <f t="shared" si="3703"/>
        <v>0615015744</v>
      </c>
      <c r="B10239" t="str">
        <f t="shared" si="3704"/>
        <v>MICHAEL</v>
      </c>
      <c r="C10239" t="str">
        <f t="shared" si="3705"/>
        <v>MAINES</v>
      </c>
      <c r="D10239">
        <f>11</f>
        <v>11</v>
      </c>
      <c r="E10239" t="str">
        <f>"03 - A - 102 - Lisa  Quinn"</f>
        <v>03 - A - 102 - Lisa  Quinn</v>
      </c>
      <c r="F10239" t="str">
        <f>"ENG 3"</f>
        <v>ENG 3</v>
      </c>
      <c r="G10239" t="str">
        <f>"17-1725"</f>
        <v>17-1725</v>
      </c>
      <c r="H10239" t="str">
        <f>"A"</f>
        <v>A</v>
      </c>
    </row>
    <row r="10240" spans="1:8" x14ac:dyDescent="0.2">
      <c r="A10240" t="str">
        <f t="shared" si="3703"/>
        <v>0615015744</v>
      </c>
      <c r="B10240" t="str">
        <f t="shared" si="3704"/>
        <v>MICHAEL</v>
      </c>
      <c r="C10240" t="str">
        <f t="shared" si="3705"/>
        <v>MAINES</v>
      </c>
      <c r="D10240">
        <f>11</f>
        <v>11</v>
      </c>
      <c r="E10240" t="str">
        <f>"02 - A - 108 - Stephen T Ripp"</f>
        <v>02 - A - 108 - Stephen T Ripp</v>
      </c>
      <c r="F10240" t="str">
        <f>"NC STUDY HALL 1"</f>
        <v>NC STUDY HALL 1</v>
      </c>
      <c r="G10240" t="str">
        <f>"17-1744"</f>
        <v>17-1744</v>
      </c>
      <c r="H10240" t="str">
        <f>"A"</f>
        <v>A</v>
      </c>
    </row>
    <row r="10241" spans="1:8" x14ac:dyDescent="0.2">
      <c r="A10241" t="str">
        <f t="shared" si="3703"/>
        <v>0615015744</v>
      </c>
      <c r="B10241" t="str">
        <f t="shared" si="3704"/>
        <v>MICHAEL</v>
      </c>
      <c r="C10241" t="str">
        <f t="shared" si="3705"/>
        <v>MAINES</v>
      </c>
      <c r="D10241">
        <f>11</f>
        <v>11</v>
      </c>
      <c r="E10241" t="str">
        <f>"07 - B - 105 - Cliffon  Saurel"</f>
        <v>07 - B - 105 - Cliffon  Saurel</v>
      </c>
      <c r="F10241" t="str">
        <f>"PHYSICAL SCI"</f>
        <v>PHYSICAL SCI</v>
      </c>
      <c r="G10241" t="str">
        <f>"05-522"</f>
        <v>05-522</v>
      </c>
      <c r="H10241" t="str">
        <f>"B"</f>
        <v>B</v>
      </c>
    </row>
    <row r="10242" spans="1:8" x14ac:dyDescent="0.2">
      <c r="A10242" t="str">
        <f t="shared" si="3703"/>
        <v>0615015744</v>
      </c>
      <c r="B10242" t="str">
        <f t="shared" si="3704"/>
        <v>MICHAEL</v>
      </c>
      <c r="C10242" t="str">
        <f t="shared" si="3705"/>
        <v>MAINES</v>
      </c>
      <c r="D10242">
        <f>11</f>
        <v>11</v>
      </c>
      <c r="E10242" t="str">
        <f>"05 - B - 109 - Ferrie J Arostique"</f>
        <v>05 - B - 109 - Ferrie J Arostique</v>
      </c>
      <c r="F10242" t="str">
        <f>"GEOMETRY"</f>
        <v>GEOMETRY</v>
      </c>
      <c r="G10242" t="str">
        <f>"21-2139"</f>
        <v>21-2139</v>
      </c>
      <c r="H10242" t="str">
        <f>"B"</f>
        <v>B</v>
      </c>
    </row>
    <row r="10243" spans="1:8" x14ac:dyDescent="0.2">
      <c r="A10243" t="str">
        <f t="shared" si="3703"/>
        <v>0615015744</v>
      </c>
      <c r="B10243" t="str">
        <f t="shared" si="3704"/>
        <v>MICHAEL</v>
      </c>
      <c r="C10243" t="str">
        <f t="shared" si="3705"/>
        <v>MAINES</v>
      </c>
      <c r="D10243">
        <f>11</f>
        <v>11</v>
      </c>
      <c r="E10243" t="str">
        <f>"01 - A - 101 - Nahum  Saint-Preux"</f>
        <v>01 - A - 101 - Nahum  Saint-Preux</v>
      </c>
      <c r="F10243" t="str">
        <f>"INTENS READ 3"</f>
        <v>INTENS READ 3</v>
      </c>
      <c r="G10243" t="str">
        <f>"17-1712"</f>
        <v>17-1712</v>
      </c>
      <c r="H10243" t="str">
        <f>"A"</f>
        <v>A</v>
      </c>
    </row>
    <row r="10244" spans="1:8" x14ac:dyDescent="0.2">
      <c r="A10244" t="str">
        <f t="shared" si="3703"/>
        <v>0615015744</v>
      </c>
      <c r="B10244" t="str">
        <f t="shared" si="3704"/>
        <v>MICHAEL</v>
      </c>
      <c r="C10244" t="str">
        <f t="shared" si="3705"/>
        <v>MAINES</v>
      </c>
      <c r="D10244">
        <f>11</f>
        <v>11</v>
      </c>
      <c r="E10244" t="str">
        <f>"08 - S1 - B - 105 - Richard E Dunbar Iii"</f>
        <v>08 - S1 - B - 105 - Richard E Dunbar Iii</v>
      </c>
      <c r="F10244" t="str">
        <f>"WEIGHT TRAIN 1"</f>
        <v>WEIGHT TRAIN 1</v>
      </c>
      <c r="G10244" t="str">
        <f>"05-501"</f>
        <v>05-501</v>
      </c>
      <c r="H10244" t="str">
        <f>"B"</f>
        <v>B</v>
      </c>
    </row>
    <row r="10245" spans="1:8" x14ac:dyDescent="0.2">
      <c r="A10245" t="str">
        <f t="shared" ref="A10245:A10252" si="3706">"0615000702"</f>
        <v>0615000702</v>
      </c>
      <c r="B10245" t="str">
        <f t="shared" ref="B10245:B10252" si="3707">"SYMAYA"</f>
        <v>SYMAYA</v>
      </c>
      <c r="C10245" t="str">
        <f t="shared" ref="C10245:C10252" si="3708">"MALCOLM"</f>
        <v>MALCOLM</v>
      </c>
      <c r="D10245">
        <f>11</f>
        <v>11</v>
      </c>
      <c r="E10245" t="str">
        <f>"04 - A - 102 - Elizabeth Ellen  Moran"</f>
        <v>04 - A - 102 - Elizabeth Ellen  Moran</v>
      </c>
      <c r="F10245" t="str">
        <f>"US HISTORY"</f>
        <v>US HISTORY</v>
      </c>
      <c r="G10245" t="str">
        <f>"17-1752"</f>
        <v>17-1752</v>
      </c>
      <c r="H10245" t="str">
        <f>"A"</f>
        <v>A</v>
      </c>
    </row>
    <row r="10246" spans="1:8" x14ac:dyDescent="0.2">
      <c r="A10246" t="str">
        <f t="shared" si="3706"/>
        <v>0615000702</v>
      </c>
      <c r="B10246" t="str">
        <f t="shared" si="3707"/>
        <v>SYMAYA</v>
      </c>
      <c r="C10246" t="str">
        <f t="shared" si="3708"/>
        <v>MALCOLM</v>
      </c>
      <c r="D10246">
        <f>11</f>
        <v>11</v>
      </c>
      <c r="E10246" t="str">
        <f>"06 - B - 202 - Brian M Fitzgerald"</f>
        <v>06 - B - 202 - Brian M Fitzgerald</v>
      </c>
      <c r="F10246" t="str">
        <f>"DRAW 1"</f>
        <v>DRAW 1</v>
      </c>
      <c r="G10246" t="str">
        <f>"09-908"</f>
        <v>09-908</v>
      </c>
      <c r="H10246" t="str">
        <f>"B"</f>
        <v>B</v>
      </c>
    </row>
    <row r="10247" spans="1:8" x14ac:dyDescent="0.2">
      <c r="A10247" t="str">
        <f t="shared" si="3706"/>
        <v>0615000702</v>
      </c>
      <c r="B10247" t="str">
        <f t="shared" si="3707"/>
        <v>SYMAYA</v>
      </c>
      <c r="C10247" t="str">
        <f t="shared" si="3708"/>
        <v>MALCOLM</v>
      </c>
      <c r="D10247">
        <f>11</f>
        <v>11</v>
      </c>
      <c r="E10247" t="str">
        <f>"03 - A - 102 - Nahum  Saint-Preux"</f>
        <v>03 - A - 102 - Nahum  Saint-Preux</v>
      </c>
      <c r="F10247" t="str">
        <f>"INTENS READ 3"</f>
        <v>INTENS READ 3</v>
      </c>
      <c r="G10247" t="str">
        <f>"17-1712"</f>
        <v>17-1712</v>
      </c>
      <c r="H10247" t="str">
        <f>"A"</f>
        <v>A</v>
      </c>
    </row>
    <row r="10248" spans="1:8" x14ac:dyDescent="0.2">
      <c r="A10248" t="str">
        <f t="shared" si="3706"/>
        <v>0615000702</v>
      </c>
      <c r="B10248" t="str">
        <f t="shared" si="3707"/>
        <v>SYMAYA</v>
      </c>
      <c r="C10248" t="str">
        <f t="shared" si="3708"/>
        <v>MALCOLM</v>
      </c>
      <c r="D10248">
        <f>11</f>
        <v>11</v>
      </c>
      <c r="E10248" t="str">
        <f>"02 - A - 117 - Kyle  Robbins"</f>
        <v>02 - A - 117 - Kyle  Robbins</v>
      </c>
      <c r="F10248" t="str">
        <f>"NC STUDY HALL 1"</f>
        <v>NC STUDY HALL 1</v>
      </c>
      <c r="G10248" t="str">
        <f>"17-1745"</f>
        <v>17-1745</v>
      </c>
      <c r="H10248" t="str">
        <f>"A"</f>
        <v>A</v>
      </c>
    </row>
    <row r="10249" spans="1:8" x14ac:dyDescent="0.2">
      <c r="A10249" t="str">
        <f t="shared" si="3706"/>
        <v>0615000702</v>
      </c>
      <c r="B10249" t="str">
        <f t="shared" si="3707"/>
        <v>SYMAYA</v>
      </c>
      <c r="C10249" t="str">
        <f t="shared" si="3708"/>
        <v>MALCOLM</v>
      </c>
      <c r="D10249">
        <f>11</f>
        <v>11</v>
      </c>
      <c r="E10249" t="str">
        <f>"07 - B - 104 - Marielle A Witting"</f>
        <v>07 - B - 104 - Marielle A Witting</v>
      </c>
      <c r="F10249" t="str">
        <f>"ANAT PHYSIO"</f>
        <v>ANAT PHYSIO</v>
      </c>
      <c r="G10249" t="str">
        <f>"08-805"</f>
        <v>08-805</v>
      </c>
      <c r="H10249" t="str">
        <f>"B"</f>
        <v>B</v>
      </c>
    </row>
    <row r="10250" spans="1:8" x14ac:dyDescent="0.2">
      <c r="A10250" t="str">
        <f t="shared" si="3706"/>
        <v>0615000702</v>
      </c>
      <c r="B10250" t="str">
        <f t="shared" si="3707"/>
        <v>SYMAYA</v>
      </c>
      <c r="C10250" t="str">
        <f t="shared" si="3708"/>
        <v>MALCOLM</v>
      </c>
      <c r="D10250">
        <f>11</f>
        <v>11</v>
      </c>
      <c r="E10250" t="str">
        <f>"05 - B - 103 - Heidi M Knopp"</f>
        <v>05 - B - 103 - Heidi M Knopp</v>
      </c>
      <c r="F10250" t="str">
        <f>"ENG HON 3"</f>
        <v>ENG HON 3</v>
      </c>
      <c r="G10250" t="str">
        <f>"17-1723"</f>
        <v>17-1723</v>
      </c>
      <c r="H10250" t="str">
        <f>"B"</f>
        <v>B</v>
      </c>
    </row>
    <row r="10251" spans="1:8" x14ac:dyDescent="0.2">
      <c r="A10251" t="str">
        <f t="shared" si="3706"/>
        <v>0615000702</v>
      </c>
      <c r="B10251" t="str">
        <f t="shared" si="3707"/>
        <v>SYMAYA</v>
      </c>
      <c r="C10251" t="str">
        <f t="shared" si="3708"/>
        <v>MALCOLM</v>
      </c>
      <c r="D10251">
        <f>11</f>
        <v>11</v>
      </c>
      <c r="E10251" t="str">
        <f>"01 - A - 101 - James H Mccann"</f>
        <v>01 - A - 101 - James H Mccann</v>
      </c>
      <c r="F10251" t="str">
        <f>"ALGEBRA 2"</f>
        <v>ALGEBRA 2</v>
      </c>
      <c r="G10251" t="str">
        <f>"17-1716"</f>
        <v>17-1716</v>
      </c>
      <c r="H10251" t="str">
        <f>"A"</f>
        <v>A</v>
      </c>
    </row>
    <row r="10252" spans="1:8" x14ac:dyDescent="0.2">
      <c r="A10252" t="str">
        <f t="shared" si="3706"/>
        <v>0615000702</v>
      </c>
      <c r="B10252" t="str">
        <f t="shared" si="3707"/>
        <v>SYMAYA</v>
      </c>
      <c r="C10252" t="str">
        <f t="shared" si="3708"/>
        <v>MALCOLM</v>
      </c>
      <c r="D10252">
        <f>11</f>
        <v>11</v>
      </c>
      <c r="E10252" t="str">
        <f>"08 - B - 205 - Daniel S Tyson"</f>
        <v>08 - B - 205 - Daniel S Tyson</v>
      </c>
      <c r="F10252" t="str">
        <f>"JROTC NAVAL SCI 3"</f>
        <v>JROTC NAVAL SCI 3</v>
      </c>
      <c r="G10252" t="str">
        <f>"05-510"</f>
        <v>05-510</v>
      </c>
      <c r="H10252" t="str">
        <f>"B"</f>
        <v>B</v>
      </c>
    </row>
    <row r="10253" spans="1:8" x14ac:dyDescent="0.2">
      <c r="A10253" t="str">
        <f t="shared" ref="A10253:A10260" si="3709">"0615061973"</f>
        <v>0615061973</v>
      </c>
      <c r="B10253" t="str">
        <f t="shared" ref="B10253:B10260" si="3710">"ALISSON"</f>
        <v>ALISSON</v>
      </c>
      <c r="C10253" t="str">
        <f t="shared" ref="C10253:C10260" si="3711">"MALDONADO"</f>
        <v>MALDONADO</v>
      </c>
      <c r="D10253">
        <f>11</f>
        <v>11</v>
      </c>
      <c r="E10253" t="str">
        <f>"04 - A - 102 - Jordana K Hass"</f>
        <v>04 - A - 102 - Jordana K Hass</v>
      </c>
      <c r="F10253" t="str">
        <f>"CHEMISTRY 1"</f>
        <v>CHEMISTRY 1</v>
      </c>
      <c r="G10253" t="str">
        <f>"08-807"</f>
        <v>08-807</v>
      </c>
      <c r="H10253" t="str">
        <f>"A"</f>
        <v>A</v>
      </c>
    </row>
    <row r="10254" spans="1:8" x14ac:dyDescent="0.2">
      <c r="A10254" t="str">
        <f t="shared" si="3709"/>
        <v>0615061973</v>
      </c>
      <c r="B10254" t="str">
        <f t="shared" si="3710"/>
        <v>ALISSON</v>
      </c>
      <c r="C10254" t="str">
        <f t="shared" si="3711"/>
        <v>MALDONADO</v>
      </c>
      <c r="D10254">
        <f>11</f>
        <v>11</v>
      </c>
      <c r="E10254" t="str">
        <f>"06 - B - 204 - Chrystina M Marchionne"</f>
        <v>06 - B - 204 - Chrystina M Marchionne</v>
      </c>
      <c r="F10254" t="str">
        <f>"AICE MEDIASTUDIES AS"</f>
        <v>AICE MEDIASTUDIES AS</v>
      </c>
      <c r="G10254" t="str">
        <f>"05-520"</f>
        <v>05-520</v>
      </c>
      <c r="H10254" t="str">
        <f>"B"</f>
        <v>B</v>
      </c>
    </row>
    <row r="10255" spans="1:8" x14ac:dyDescent="0.2">
      <c r="A10255" t="str">
        <f t="shared" si="3709"/>
        <v>0615061973</v>
      </c>
      <c r="B10255" t="str">
        <f t="shared" si="3710"/>
        <v>ALISSON</v>
      </c>
      <c r="C10255" t="str">
        <f t="shared" si="3711"/>
        <v>MALDONADO</v>
      </c>
      <c r="D10255">
        <f>11</f>
        <v>11</v>
      </c>
      <c r="E10255" t="str">
        <f>"03 - A - 101 - Timothy J Lawrence"</f>
        <v>03 - A - 101 - Timothy J Lawrence</v>
      </c>
      <c r="F10255" t="str">
        <f>"AICE PHYS ED 1 AS"</f>
        <v>AICE PHYS ED 1 AS</v>
      </c>
      <c r="G10255" t="str">
        <f>"05-519"</f>
        <v>05-519</v>
      </c>
      <c r="H10255" t="str">
        <f>"A"</f>
        <v>A</v>
      </c>
    </row>
    <row r="10256" spans="1:8" x14ac:dyDescent="0.2">
      <c r="A10256" t="str">
        <f t="shared" si="3709"/>
        <v>0615061973</v>
      </c>
      <c r="B10256" t="str">
        <f t="shared" si="3710"/>
        <v>ALISSON</v>
      </c>
      <c r="C10256" t="str">
        <f t="shared" si="3711"/>
        <v>MALDONADO</v>
      </c>
      <c r="D10256">
        <f>11</f>
        <v>11</v>
      </c>
      <c r="E10256" t="str">
        <f>"02 - A - 102 - Fernando  Vega-Cid"</f>
        <v>02 - A - 102 - Fernando  Vega-Cid</v>
      </c>
      <c r="F10256" t="str">
        <f>"NC STUDY HALL 1"</f>
        <v>NC STUDY HALL 1</v>
      </c>
      <c r="G10256" t="str">
        <f>"21-2163"</f>
        <v>21-2163</v>
      </c>
      <c r="H10256" t="str">
        <f>"A"</f>
        <v>A</v>
      </c>
    </row>
    <row r="10257" spans="1:8" x14ac:dyDescent="0.2">
      <c r="A10257" t="str">
        <f t="shared" si="3709"/>
        <v>0615061973</v>
      </c>
      <c r="B10257" t="str">
        <f t="shared" si="3710"/>
        <v>ALISSON</v>
      </c>
      <c r="C10257" t="str">
        <f t="shared" si="3711"/>
        <v>MALDONADO</v>
      </c>
      <c r="D10257">
        <f>11</f>
        <v>11</v>
      </c>
      <c r="E10257" t="str">
        <f>"07 - B - 002 - Rachel M Montrose"</f>
        <v>07 - B - 002 - Rachel M Montrose</v>
      </c>
      <c r="F10257" t="str">
        <f>"JOURN 1 (NP) LH"</f>
        <v>JOURN 1 (NP) LH</v>
      </c>
      <c r="G10257" t="str">
        <f>"05-521"</f>
        <v>05-521</v>
      </c>
      <c r="H10257" t="str">
        <f>"B"</f>
        <v>B</v>
      </c>
    </row>
    <row r="10258" spans="1:8" x14ac:dyDescent="0.2">
      <c r="A10258" t="str">
        <f t="shared" si="3709"/>
        <v>0615061973</v>
      </c>
      <c r="B10258" t="str">
        <f t="shared" si="3710"/>
        <v>ALISSON</v>
      </c>
      <c r="C10258" t="str">
        <f t="shared" si="3711"/>
        <v>MALDONADO</v>
      </c>
      <c r="D10258">
        <f>11</f>
        <v>11</v>
      </c>
      <c r="E10258" t="str">
        <f>"05 - B - 001 - Kyle  Robbins"</f>
        <v>05 - B - 001 - Kyle  Robbins</v>
      </c>
      <c r="F10258" t="str">
        <f>"US HISTORY HON"</f>
        <v>US HISTORY HON</v>
      </c>
      <c r="G10258" t="str">
        <f>"17-1745"</f>
        <v>17-1745</v>
      </c>
      <c r="H10258" t="str">
        <f>"B"</f>
        <v>B</v>
      </c>
    </row>
    <row r="10259" spans="1:8" x14ac:dyDescent="0.2">
      <c r="A10259" t="str">
        <f t="shared" si="3709"/>
        <v>0615061973</v>
      </c>
      <c r="B10259" t="str">
        <f t="shared" si="3710"/>
        <v>ALISSON</v>
      </c>
      <c r="C10259" t="str">
        <f t="shared" si="3711"/>
        <v>MALDONADO</v>
      </c>
      <c r="D10259">
        <f>11</f>
        <v>11</v>
      </c>
      <c r="E10259" t="str">
        <f>"01 - A - 101 - Brandy N Zdenek"</f>
        <v>01 - A - 101 - Brandy N Zdenek</v>
      </c>
      <c r="F10259" t="str">
        <f>"AICE ENG LANG 2 AL"</f>
        <v>AICE ENG LANG 2 AL</v>
      </c>
      <c r="G10259" t="str">
        <f>"17-1704"</f>
        <v>17-1704</v>
      </c>
      <c r="H10259" t="str">
        <f>"A"</f>
        <v>A</v>
      </c>
    </row>
    <row r="10260" spans="1:8" x14ac:dyDescent="0.2">
      <c r="A10260" t="str">
        <f t="shared" si="3709"/>
        <v>0615061973</v>
      </c>
      <c r="B10260" t="str">
        <f t="shared" si="3710"/>
        <v>ALISSON</v>
      </c>
      <c r="C10260" t="str">
        <f t="shared" si="3711"/>
        <v>MALDONADO</v>
      </c>
      <c r="D10260">
        <f>11</f>
        <v>11</v>
      </c>
      <c r="E10260" t="str">
        <f>"08 - B - 105 - Semra  Bahadir"</f>
        <v>08 - B - 105 - Semra  Bahadir</v>
      </c>
      <c r="F10260" t="str">
        <f>"MATH COLL ALGEBRA"</f>
        <v>MATH COLL ALGEBRA</v>
      </c>
      <c r="G10260" t="str">
        <f>"21-2107"</f>
        <v>21-2107</v>
      </c>
      <c r="H10260" t="str">
        <f>"B"</f>
        <v>B</v>
      </c>
    </row>
    <row r="10261" spans="1:8" x14ac:dyDescent="0.2">
      <c r="A10261" t="str">
        <f t="shared" ref="A10261:A10268" si="3712">"0616125471"</f>
        <v>0616125471</v>
      </c>
      <c r="B10261" t="str">
        <f t="shared" ref="B10261:B10268" si="3713">"SOPHIA"</f>
        <v>SOPHIA</v>
      </c>
      <c r="C10261" t="str">
        <f t="shared" ref="C10261:C10268" si="3714">"MALEBRANCHE"</f>
        <v>MALEBRANCHE</v>
      </c>
      <c r="D10261" t="str">
        <f t="shared" ref="D10261:D10276" si="3715">"09"</f>
        <v>09</v>
      </c>
      <c r="E10261" t="str">
        <f>"04 - A - 201 - Norayda D Suarez"</f>
        <v>04 - A - 201 - Norayda D Suarez</v>
      </c>
      <c r="F10261" t="str">
        <f>"ANAT PHYSIO HON"</f>
        <v>ANAT PHYSIO HON</v>
      </c>
      <c r="G10261" t="str">
        <f>"21-2142"</f>
        <v>21-2142</v>
      </c>
      <c r="H10261" t="str">
        <f>"A"</f>
        <v>A</v>
      </c>
    </row>
    <row r="10262" spans="1:8" x14ac:dyDescent="0.2">
      <c r="A10262" t="str">
        <f t="shared" si="3712"/>
        <v>0616125471</v>
      </c>
      <c r="B10262" t="str">
        <f t="shared" si="3713"/>
        <v>SOPHIA</v>
      </c>
      <c r="C10262" t="str">
        <f t="shared" si="3714"/>
        <v>MALEBRANCHE</v>
      </c>
      <c r="D10262" t="str">
        <f t="shared" si="3715"/>
        <v>09</v>
      </c>
      <c r="E10262" t="str">
        <f>"06 - B - 104 - Rory T Sponsler"</f>
        <v>06 - B - 104 - Rory T Sponsler</v>
      </c>
      <c r="F10262" t="str">
        <f>"PRE-AICE WRLD HST IG"</f>
        <v>PRE-AICE WRLD HST IG</v>
      </c>
      <c r="G10262" t="str">
        <f>"17-1740"</f>
        <v>17-1740</v>
      </c>
      <c r="H10262" t="str">
        <f>"B"</f>
        <v>B</v>
      </c>
    </row>
    <row r="10263" spans="1:8" x14ac:dyDescent="0.2">
      <c r="A10263" t="str">
        <f t="shared" si="3712"/>
        <v>0616125471</v>
      </c>
      <c r="B10263" t="str">
        <f t="shared" si="3713"/>
        <v>SOPHIA</v>
      </c>
      <c r="C10263" t="str">
        <f t="shared" si="3714"/>
        <v>MALEBRANCHE</v>
      </c>
      <c r="D10263" t="str">
        <f t="shared" si="3715"/>
        <v>09</v>
      </c>
      <c r="E10263" t="str">
        <f>"03 - A - 203 - Elizabeth R Walker"</f>
        <v>03 - A - 203 - Elizabeth R Walker</v>
      </c>
      <c r="F10263" t="str">
        <f>"AICE ENG GEN PAPER 1"</f>
        <v>AICE ENG GEN PAPER 1</v>
      </c>
      <c r="G10263" t="str">
        <f>"17-1703"</f>
        <v>17-1703</v>
      </c>
      <c r="H10263" t="str">
        <f>"A"</f>
        <v>A</v>
      </c>
    </row>
    <row r="10264" spans="1:8" x14ac:dyDescent="0.2">
      <c r="A10264" t="str">
        <f t="shared" si="3712"/>
        <v>0616125471</v>
      </c>
      <c r="B10264" t="str">
        <f t="shared" si="3713"/>
        <v>SOPHIA</v>
      </c>
      <c r="C10264" t="str">
        <f t="shared" si="3714"/>
        <v>MALEBRANCHE</v>
      </c>
      <c r="D10264" t="str">
        <f t="shared" si="3715"/>
        <v>09</v>
      </c>
      <c r="E10264" t="str">
        <f>"02 - A - 114 - Laselleda D Shaw"</f>
        <v>02 - A - 114 - Laselleda D Shaw</v>
      </c>
      <c r="F10264" t="str">
        <f>"NC STUDY HALL 1"</f>
        <v>NC STUDY HALL 1</v>
      </c>
      <c r="G10264" t="str">
        <f>"17-1723"</f>
        <v>17-1723</v>
      </c>
      <c r="H10264" t="str">
        <f>"A"</f>
        <v>A</v>
      </c>
    </row>
    <row r="10265" spans="1:8" x14ac:dyDescent="0.2">
      <c r="A10265" t="str">
        <f t="shared" si="3712"/>
        <v>0616125471</v>
      </c>
      <c r="B10265" t="str">
        <f t="shared" si="3713"/>
        <v>SOPHIA</v>
      </c>
      <c r="C10265" t="str">
        <f t="shared" si="3714"/>
        <v>MALEBRANCHE</v>
      </c>
      <c r="D10265" t="str">
        <f t="shared" si="3715"/>
        <v>09</v>
      </c>
      <c r="E10265" t="str">
        <f>"07 - B - 103 - Vanessa J Liburd"</f>
        <v>07 - B - 103 - Vanessa J Liburd</v>
      </c>
      <c r="F10265" t="str">
        <f>"PRE-AICE FRENCH 1 IG"</f>
        <v>PRE-AICE FRENCH 1 IG</v>
      </c>
      <c r="G10265" t="str">
        <f>"05-519"</f>
        <v>05-519</v>
      </c>
      <c r="H10265" t="str">
        <f>"B"</f>
        <v>B</v>
      </c>
    </row>
    <row r="10266" spans="1:8" x14ac:dyDescent="0.2">
      <c r="A10266" t="str">
        <f t="shared" si="3712"/>
        <v>0616125471</v>
      </c>
      <c r="B10266" t="str">
        <f t="shared" si="3713"/>
        <v>SOPHIA</v>
      </c>
      <c r="C10266" t="str">
        <f t="shared" si="3714"/>
        <v>MALEBRANCHE</v>
      </c>
      <c r="D10266" t="str">
        <f t="shared" si="3715"/>
        <v>09</v>
      </c>
      <c r="E10266" t="str">
        <f>"05 - B - 201 - Lisa J London"</f>
        <v>05 - B - 201 - Lisa J London</v>
      </c>
      <c r="F10266" t="str">
        <f>"COMPRE LAW HON"</f>
        <v>COMPRE LAW HON</v>
      </c>
      <c r="G10266" t="str">
        <f>"17-1714"</f>
        <v>17-1714</v>
      </c>
      <c r="H10266" t="str">
        <f>"B"</f>
        <v>B</v>
      </c>
    </row>
    <row r="10267" spans="1:8" x14ac:dyDescent="0.2">
      <c r="A10267" t="str">
        <f t="shared" si="3712"/>
        <v>0616125471</v>
      </c>
      <c r="B10267" t="str">
        <f t="shared" si="3713"/>
        <v>SOPHIA</v>
      </c>
      <c r="C10267" t="str">
        <f t="shared" si="3714"/>
        <v>MALEBRANCHE</v>
      </c>
      <c r="D10267" t="str">
        <f t="shared" si="3715"/>
        <v>09</v>
      </c>
      <c r="E10267" t="str">
        <f>"01 - A - 101 - Nikiel  Nesbeth"</f>
        <v>01 - A - 101 - Nikiel  Nesbeth</v>
      </c>
      <c r="F10267" t="str">
        <f>"CONST LAW HON"</f>
        <v>CONST LAW HON</v>
      </c>
      <c r="G10267" t="str">
        <f>"17-1705"</f>
        <v>17-1705</v>
      </c>
      <c r="H10267" t="str">
        <f>"A"</f>
        <v>A</v>
      </c>
    </row>
    <row r="10268" spans="1:8" x14ac:dyDescent="0.2">
      <c r="A10268" t="str">
        <f t="shared" si="3712"/>
        <v>0616125471</v>
      </c>
      <c r="B10268" t="str">
        <f t="shared" si="3713"/>
        <v>SOPHIA</v>
      </c>
      <c r="C10268" t="str">
        <f t="shared" si="3714"/>
        <v>MALEBRANCHE</v>
      </c>
      <c r="D10268" t="str">
        <f t="shared" si="3715"/>
        <v>09</v>
      </c>
      <c r="E10268" t="str">
        <f>"08 - B - 107 - Dayna M Foster"</f>
        <v>08 - B - 107 - Dayna M Foster</v>
      </c>
      <c r="F10268" t="str">
        <f>"ALGEBRA 2"</f>
        <v>ALGEBRA 2</v>
      </c>
      <c r="G10268" t="str">
        <f>"21-2109"</f>
        <v>21-2109</v>
      </c>
      <c r="H10268" t="str">
        <f>"B"</f>
        <v>B</v>
      </c>
    </row>
    <row r="10269" spans="1:8" x14ac:dyDescent="0.2">
      <c r="A10269" t="str">
        <f t="shared" ref="A10269:A10276" si="3716">"0617067171"</f>
        <v>0617067171</v>
      </c>
      <c r="B10269" t="str">
        <f t="shared" ref="B10269:B10276" si="3717">"ANDREA"</f>
        <v>ANDREA</v>
      </c>
      <c r="C10269" t="str">
        <f t="shared" ref="C10269:C10284" si="3718">"MALTEZ"</f>
        <v>MALTEZ</v>
      </c>
      <c r="D10269" t="str">
        <f t="shared" si="3715"/>
        <v>09</v>
      </c>
      <c r="E10269" t="str">
        <f>"04 - A - 103 - Lenecy  Nodarse"</f>
        <v>04 - A - 103 - Lenecy  Nodarse</v>
      </c>
      <c r="F10269" t="str">
        <f>"WORLD HISTORY"</f>
        <v>WORLD HISTORY</v>
      </c>
      <c r="G10269" t="str">
        <f>"17-1741"</f>
        <v>17-1741</v>
      </c>
      <c r="H10269" t="str">
        <f>"A"</f>
        <v>A</v>
      </c>
    </row>
    <row r="10270" spans="1:8" x14ac:dyDescent="0.2">
      <c r="A10270" t="str">
        <f t="shared" si="3716"/>
        <v>0617067171</v>
      </c>
      <c r="B10270" t="str">
        <f t="shared" si="3717"/>
        <v>ANDREA</v>
      </c>
      <c r="C10270" t="str">
        <f t="shared" si="3718"/>
        <v>MALTEZ</v>
      </c>
      <c r="D10270" t="str">
        <f t="shared" si="3715"/>
        <v>09</v>
      </c>
      <c r="E10270" t="str">
        <f>"06 - S1 - B - 104 - Leslie J Barton"</f>
        <v>06 - S1 - B - 104 - Leslie J Barton</v>
      </c>
      <c r="F10270" t="str">
        <f>"FIRST AID SAFETY"</f>
        <v>FIRST AID SAFETY</v>
      </c>
      <c r="G10270" t="str">
        <f>"05-521"</f>
        <v>05-521</v>
      </c>
      <c r="H10270" t="str">
        <f>"B"</f>
        <v>B</v>
      </c>
    </row>
    <row r="10271" spans="1:8" x14ac:dyDescent="0.2">
      <c r="A10271" t="str">
        <f t="shared" si="3716"/>
        <v>0617067171</v>
      </c>
      <c r="B10271" t="str">
        <f t="shared" si="3717"/>
        <v>ANDREA</v>
      </c>
      <c r="C10271" t="str">
        <f t="shared" si="3718"/>
        <v>MALTEZ</v>
      </c>
      <c r="D10271" t="str">
        <f t="shared" si="3715"/>
        <v>09</v>
      </c>
      <c r="E10271" t="str">
        <f>"03 - A - 201 - Christa T Parisi"</f>
        <v>03 - A - 201 - Christa T Parisi</v>
      </c>
      <c r="F10271" t="str">
        <f>"DANCE TECHNQS 1"</f>
        <v>DANCE TECHNQS 1</v>
      </c>
      <c r="G10271" t="str">
        <f>"05-503"</f>
        <v>05-503</v>
      </c>
      <c r="H10271" t="str">
        <f>"A"</f>
        <v>A</v>
      </c>
    </row>
    <row r="10272" spans="1:8" x14ac:dyDescent="0.2">
      <c r="A10272" t="str">
        <f t="shared" si="3716"/>
        <v>0617067171</v>
      </c>
      <c r="B10272" t="str">
        <f t="shared" si="3717"/>
        <v>ANDREA</v>
      </c>
      <c r="C10272" t="str">
        <f t="shared" si="3718"/>
        <v>MALTEZ</v>
      </c>
      <c r="D10272" t="str">
        <f t="shared" si="3715"/>
        <v>09</v>
      </c>
      <c r="E10272" t="str">
        <f>"02 - A - 107 - Cerine S Stewart"</f>
        <v>02 - A - 107 - Cerine S Stewart</v>
      </c>
      <c r="F10272" t="str">
        <f>"NC STUDY HALL 1"</f>
        <v>NC STUDY HALL 1</v>
      </c>
      <c r="G10272" t="str">
        <f>"17-1720"</f>
        <v>17-1720</v>
      </c>
      <c r="H10272" t="str">
        <f>"A"</f>
        <v>A</v>
      </c>
    </row>
    <row r="10273" spans="1:8" x14ac:dyDescent="0.2">
      <c r="A10273" t="str">
        <f t="shared" si="3716"/>
        <v>0617067171</v>
      </c>
      <c r="B10273" t="str">
        <f t="shared" si="3717"/>
        <v>ANDREA</v>
      </c>
      <c r="C10273" t="str">
        <f t="shared" si="3718"/>
        <v>MALTEZ</v>
      </c>
      <c r="D10273" t="str">
        <f t="shared" si="3715"/>
        <v>09</v>
      </c>
      <c r="E10273" t="str">
        <f>"07 - B - 106 - Dayna M Foster"</f>
        <v>07 - B - 106 - Dayna M Foster</v>
      </c>
      <c r="F10273" t="str">
        <f>"FDN SKLS MATH 9-12"</f>
        <v>FDN SKLS MATH 9-12</v>
      </c>
      <c r="G10273" t="str">
        <f>"21-2109"</f>
        <v>21-2109</v>
      </c>
      <c r="H10273" t="str">
        <f>"B"</f>
        <v>B</v>
      </c>
    </row>
    <row r="10274" spans="1:8" x14ac:dyDescent="0.2">
      <c r="A10274" t="str">
        <f t="shared" si="3716"/>
        <v>0617067171</v>
      </c>
      <c r="B10274" t="str">
        <f t="shared" si="3717"/>
        <v>ANDREA</v>
      </c>
      <c r="C10274" t="str">
        <f t="shared" si="3718"/>
        <v>MALTEZ</v>
      </c>
      <c r="D10274" t="str">
        <f t="shared" si="3715"/>
        <v>09</v>
      </c>
      <c r="E10274" t="str">
        <f>"05 - B - 104 - Cerine S Stewart"</f>
        <v>05 - B - 104 - Cerine S Stewart</v>
      </c>
      <c r="F10274" t="str">
        <f>"ENG 1"</f>
        <v>ENG 1</v>
      </c>
      <c r="G10274" t="str">
        <f>"17-1720"</f>
        <v>17-1720</v>
      </c>
      <c r="H10274" t="str">
        <f>"B"</f>
        <v>B</v>
      </c>
    </row>
    <row r="10275" spans="1:8" x14ac:dyDescent="0.2">
      <c r="A10275" t="str">
        <f t="shared" si="3716"/>
        <v>0617067171</v>
      </c>
      <c r="B10275" t="str">
        <f t="shared" si="3717"/>
        <v>ANDREA</v>
      </c>
      <c r="C10275" t="str">
        <f t="shared" si="3718"/>
        <v>MALTEZ</v>
      </c>
      <c r="D10275" t="str">
        <f t="shared" si="3715"/>
        <v>09</v>
      </c>
      <c r="E10275" t="str">
        <f>"01 - A - 108 - Dayna M Foster"</f>
        <v>01 - A - 108 - Dayna M Foster</v>
      </c>
      <c r="F10275" t="str">
        <f>"ALGEBRA 1"</f>
        <v>ALGEBRA 1</v>
      </c>
      <c r="G10275" t="str">
        <f>"21-2109"</f>
        <v>21-2109</v>
      </c>
      <c r="H10275" t="str">
        <f>"A"</f>
        <v>A</v>
      </c>
    </row>
    <row r="10276" spans="1:8" x14ac:dyDescent="0.2">
      <c r="A10276" t="str">
        <f t="shared" si="3716"/>
        <v>0617067171</v>
      </c>
      <c r="B10276" t="str">
        <f t="shared" si="3717"/>
        <v>ANDREA</v>
      </c>
      <c r="C10276" t="str">
        <f t="shared" si="3718"/>
        <v>MALTEZ</v>
      </c>
      <c r="D10276" t="str">
        <f t="shared" si="3715"/>
        <v>09</v>
      </c>
      <c r="E10276" t="str">
        <f>"08 - B - 105 - Samantha J Headley"</f>
        <v>08 - B - 105 - Samantha J Headley</v>
      </c>
      <c r="F10276" t="str">
        <f>"ENV SCI"</f>
        <v>ENV SCI</v>
      </c>
      <c r="G10276" t="str">
        <f>"08-802"</f>
        <v>08-802</v>
      </c>
      <c r="H10276" t="str">
        <f>"B"</f>
        <v>B</v>
      </c>
    </row>
    <row r="10277" spans="1:8" x14ac:dyDescent="0.2">
      <c r="A10277" t="str">
        <f t="shared" ref="A10277:A10284" si="3719">"0614058391"</f>
        <v>0614058391</v>
      </c>
      <c r="B10277" t="str">
        <f t="shared" ref="B10277:B10284" si="3720">"LYANA"</f>
        <v>LYANA</v>
      </c>
      <c r="C10277" t="str">
        <f t="shared" si="3718"/>
        <v>MALTEZ</v>
      </c>
      <c r="D10277">
        <f>11</f>
        <v>11</v>
      </c>
      <c r="E10277" t="str">
        <f>"04 - S1 - A - 101 - Leslie J Barton"</f>
        <v>04 - S1 - A - 101 - Leslie J Barton</v>
      </c>
      <c r="F10277" t="str">
        <f>"TEAM SPORTS 1"</f>
        <v>TEAM SPORTS 1</v>
      </c>
      <c r="G10277" t="str">
        <f>"04-254"</f>
        <v>04-254</v>
      </c>
      <c r="H10277" t="str">
        <f>"A"</f>
        <v>A</v>
      </c>
    </row>
    <row r="10278" spans="1:8" x14ac:dyDescent="0.2">
      <c r="A10278" t="str">
        <f t="shared" si="3719"/>
        <v>0614058391</v>
      </c>
      <c r="B10278" t="str">
        <f t="shared" si="3720"/>
        <v>LYANA</v>
      </c>
      <c r="C10278" t="str">
        <f t="shared" si="3718"/>
        <v>MALTEZ</v>
      </c>
      <c r="D10278">
        <f>11</f>
        <v>11</v>
      </c>
      <c r="E10278" t="str">
        <f>"06 - B - 103 - Helen A Flores"</f>
        <v>06 - B - 103 - Helen A Flores</v>
      </c>
      <c r="F10278" t="str">
        <f>"ALGEBRA 2"</f>
        <v>ALGEBRA 2</v>
      </c>
      <c r="G10278" t="str">
        <f>"21-2101"</f>
        <v>21-2101</v>
      </c>
      <c r="H10278" t="str">
        <f>"B"</f>
        <v>B</v>
      </c>
    </row>
    <row r="10279" spans="1:8" x14ac:dyDescent="0.2">
      <c r="A10279" t="str">
        <f t="shared" si="3719"/>
        <v>0614058391</v>
      </c>
      <c r="B10279" t="str">
        <f t="shared" si="3720"/>
        <v>LYANA</v>
      </c>
      <c r="C10279" t="str">
        <f t="shared" si="3718"/>
        <v>MALTEZ</v>
      </c>
      <c r="D10279">
        <f>11</f>
        <v>11</v>
      </c>
      <c r="E10279" t="str">
        <f>"03 - A - 201 - Christa T Parisi"</f>
        <v>03 - A - 201 - Christa T Parisi</v>
      </c>
      <c r="F10279" t="str">
        <f>"DANCE TECHNQS 1"</f>
        <v>DANCE TECHNQS 1</v>
      </c>
      <c r="G10279" t="str">
        <f>"05-503"</f>
        <v>05-503</v>
      </c>
      <c r="H10279" t="str">
        <f>"A"</f>
        <v>A</v>
      </c>
    </row>
    <row r="10280" spans="1:8" x14ac:dyDescent="0.2">
      <c r="A10280" t="str">
        <f t="shared" si="3719"/>
        <v>0614058391</v>
      </c>
      <c r="B10280" t="str">
        <f t="shared" si="3720"/>
        <v>LYANA</v>
      </c>
      <c r="C10280" t="str">
        <f t="shared" si="3718"/>
        <v>MALTEZ</v>
      </c>
      <c r="D10280">
        <f>11</f>
        <v>11</v>
      </c>
      <c r="E10280" t="str">
        <f>"02 - A - 106 - Heidi M Knopp"</f>
        <v>02 - A - 106 - Heidi M Knopp</v>
      </c>
      <c r="F10280" t="str">
        <f>"NC STUDY HALL 1"</f>
        <v>NC STUDY HALL 1</v>
      </c>
      <c r="G10280" t="str">
        <f>"17-1735"</f>
        <v>17-1735</v>
      </c>
      <c r="H10280" t="str">
        <f>"A"</f>
        <v>A</v>
      </c>
    </row>
    <row r="10281" spans="1:8" x14ac:dyDescent="0.2">
      <c r="A10281" t="str">
        <f t="shared" si="3719"/>
        <v>0614058391</v>
      </c>
      <c r="B10281" t="str">
        <f t="shared" si="3720"/>
        <v>LYANA</v>
      </c>
      <c r="C10281" t="str">
        <f t="shared" si="3718"/>
        <v>MALTEZ</v>
      </c>
      <c r="D10281">
        <f>11</f>
        <v>11</v>
      </c>
      <c r="E10281" t="str">
        <f>"07 - B - 204 - Scott A Dethloff"</f>
        <v>07 - B - 204 - Scott A Dethloff</v>
      </c>
      <c r="F10281" t="str">
        <f>"CHEMISTRY 1"</f>
        <v>CHEMISTRY 1</v>
      </c>
      <c r="G10281" t="str">
        <f>"08-812"</f>
        <v>08-812</v>
      </c>
      <c r="H10281" t="str">
        <f>"B"</f>
        <v>B</v>
      </c>
    </row>
    <row r="10282" spans="1:8" x14ac:dyDescent="0.2">
      <c r="A10282" t="str">
        <f t="shared" si="3719"/>
        <v>0614058391</v>
      </c>
      <c r="B10282" t="str">
        <f t="shared" si="3720"/>
        <v>LYANA</v>
      </c>
      <c r="C10282" t="str">
        <f t="shared" si="3718"/>
        <v>MALTEZ</v>
      </c>
      <c r="D10282">
        <f>11</f>
        <v>11</v>
      </c>
      <c r="E10282" t="str">
        <f>"05 - B - 102 - Emmily A Sarmiento"</f>
        <v>05 - B - 102 - Emmily A Sarmiento</v>
      </c>
      <c r="F10282" t="str">
        <f>"LEAD TECHQS HONORS"</f>
        <v>LEAD TECHQS HONORS</v>
      </c>
      <c r="G10282" t="str">
        <f>"17-1743"</f>
        <v>17-1743</v>
      </c>
      <c r="H10282" t="str">
        <f>"B"</f>
        <v>B</v>
      </c>
    </row>
    <row r="10283" spans="1:8" x14ac:dyDescent="0.2">
      <c r="A10283" t="str">
        <f t="shared" si="3719"/>
        <v>0614058391</v>
      </c>
      <c r="B10283" t="str">
        <f t="shared" si="3720"/>
        <v>LYANA</v>
      </c>
      <c r="C10283" t="str">
        <f t="shared" si="3718"/>
        <v>MALTEZ</v>
      </c>
      <c r="D10283">
        <f>11</f>
        <v>11</v>
      </c>
      <c r="E10283" t="str">
        <f>"01 - A - 101 - Kyle  Robbins"</f>
        <v>01 - A - 101 - Kyle  Robbins</v>
      </c>
      <c r="F10283" t="str">
        <f>"US HISTORY"</f>
        <v>US HISTORY</v>
      </c>
      <c r="G10283" t="str">
        <f>"17-1745"</f>
        <v>17-1745</v>
      </c>
      <c r="H10283" t="str">
        <f>"A"</f>
        <v>A</v>
      </c>
    </row>
    <row r="10284" spans="1:8" x14ac:dyDescent="0.2">
      <c r="A10284" t="str">
        <f t="shared" si="3719"/>
        <v>0614058391</v>
      </c>
      <c r="B10284" t="str">
        <f t="shared" si="3720"/>
        <v>LYANA</v>
      </c>
      <c r="C10284" t="str">
        <f t="shared" si="3718"/>
        <v>MALTEZ</v>
      </c>
      <c r="D10284">
        <f>11</f>
        <v>11</v>
      </c>
      <c r="E10284" t="str">
        <f>"08 - B - 106 - Lisa  Quinn"</f>
        <v>08 - B - 106 - Lisa  Quinn</v>
      </c>
      <c r="F10284" t="str">
        <f>"ENG 3"</f>
        <v>ENG 3</v>
      </c>
      <c r="G10284" t="str">
        <f>"17-1725"</f>
        <v>17-1725</v>
      </c>
      <c r="H10284" t="str">
        <f>"B"</f>
        <v>B</v>
      </c>
    </row>
    <row r="10285" spans="1:8" x14ac:dyDescent="0.2">
      <c r="A10285" t="str">
        <f t="shared" ref="A10285:A10292" si="3721">"0623104167"</f>
        <v>0623104167</v>
      </c>
      <c r="B10285" t="str">
        <f t="shared" ref="B10285:B10292" si="3722">"NICOLE"</f>
        <v>NICOLE</v>
      </c>
      <c r="C10285" t="str">
        <f t="shared" ref="C10285:C10292" si="3723">"MANCA"</f>
        <v>MANCA</v>
      </c>
      <c r="D10285">
        <f>10</f>
        <v>10</v>
      </c>
      <c r="E10285" t="str">
        <f>"04 - A - 004 - Krystal Marie  Beruty"</f>
        <v>04 - A - 004 - Krystal Marie  Beruty</v>
      </c>
      <c r="F10285" t="str">
        <f>"AICE GLBL PERSP 1 AS"</f>
        <v>AICE GLBL PERSP 1 AS</v>
      </c>
      <c r="G10285" t="str">
        <f>"17-1721"</f>
        <v>17-1721</v>
      </c>
      <c r="H10285" t="str">
        <f>"A"</f>
        <v>A</v>
      </c>
    </row>
    <row r="10286" spans="1:8" x14ac:dyDescent="0.2">
      <c r="A10286" t="str">
        <f t="shared" si="3721"/>
        <v>0623104167</v>
      </c>
      <c r="B10286" t="str">
        <f t="shared" si="3722"/>
        <v>NICOLE</v>
      </c>
      <c r="C10286" t="str">
        <f t="shared" si="3723"/>
        <v>MANCA</v>
      </c>
      <c r="D10286">
        <f>10</f>
        <v>10</v>
      </c>
      <c r="E10286" t="str">
        <f>"06 - B - 113 - Joe  Kilpatrick Jr"</f>
        <v>06 - B - 113 - Joe  Kilpatrick Jr</v>
      </c>
      <c r="F10286" t="str">
        <f>"NC STUDY HALL 1"</f>
        <v>NC STUDY HALL 1</v>
      </c>
      <c r="G10286" t="str">
        <f>"09-912"</f>
        <v>09-912</v>
      </c>
      <c r="H10286" t="str">
        <f>"B"</f>
        <v>B</v>
      </c>
    </row>
    <row r="10287" spans="1:8" x14ac:dyDescent="0.2">
      <c r="A10287" t="str">
        <f t="shared" si="3721"/>
        <v>0623104167</v>
      </c>
      <c r="B10287" t="str">
        <f t="shared" si="3722"/>
        <v>NICOLE</v>
      </c>
      <c r="C10287" t="str">
        <f t="shared" si="3723"/>
        <v>MANCA</v>
      </c>
      <c r="D10287">
        <f>10</f>
        <v>10</v>
      </c>
      <c r="E10287" t="str">
        <f>"03 - A - 101 - Timothy J Lawrence"</f>
        <v>03 - A - 101 - Timothy J Lawrence</v>
      </c>
      <c r="F10287" t="str">
        <f>"AICE PHYS ED 1 AS"</f>
        <v>AICE PHYS ED 1 AS</v>
      </c>
      <c r="G10287" t="str">
        <f>"05-519"</f>
        <v>05-519</v>
      </c>
      <c r="H10287" t="str">
        <f>"A"</f>
        <v>A</v>
      </c>
    </row>
    <row r="10288" spans="1:8" x14ac:dyDescent="0.2">
      <c r="A10288" t="str">
        <f t="shared" si="3721"/>
        <v>0623104167</v>
      </c>
      <c r="B10288" t="str">
        <f t="shared" si="3722"/>
        <v>NICOLE</v>
      </c>
      <c r="C10288" t="str">
        <f t="shared" si="3723"/>
        <v>MANCA</v>
      </c>
      <c r="D10288">
        <f>10</f>
        <v>10</v>
      </c>
      <c r="E10288" t="str">
        <f>"02 - A - 204 - Jacqueline R Morphet"</f>
        <v>02 - A - 204 - Jacqueline R Morphet</v>
      </c>
      <c r="F10288" t="str">
        <f>"PHYSICS 1 HON"</f>
        <v>PHYSICS 1 HON</v>
      </c>
      <c r="G10288" t="str">
        <f>"21-2138"</f>
        <v>21-2138</v>
      </c>
      <c r="H10288" t="str">
        <f>"A"</f>
        <v>A</v>
      </c>
    </row>
    <row r="10289" spans="1:8" x14ac:dyDescent="0.2">
      <c r="A10289" t="str">
        <f t="shared" si="3721"/>
        <v>0623104167</v>
      </c>
      <c r="B10289" t="str">
        <f t="shared" si="3722"/>
        <v>NICOLE</v>
      </c>
      <c r="C10289" t="str">
        <f t="shared" si="3723"/>
        <v>MANCA</v>
      </c>
      <c r="D10289">
        <f>10</f>
        <v>10</v>
      </c>
      <c r="E10289" t="str">
        <f>"07 - B - 107 - Rosa Elaine  Collado-Duff"</f>
        <v>07 - B - 107 - Rosa Elaine  Collado-Duff</v>
      </c>
      <c r="F10289" t="str">
        <f>"PRE-AICE SPAN 2 IG"</f>
        <v>PRE-AICE SPAN 2 IG</v>
      </c>
      <c r="G10289" t="str">
        <f>"09-913"</f>
        <v>09-913</v>
      </c>
      <c r="H10289" t="str">
        <f>"B"</f>
        <v>B</v>
      </c>
    </row>
    <row r="10290" spans="1:8" x14ac:dyDescent="0.2">
      <c r="A10290" t="str">
        <f t="shared" si="3721"/>
        <v>0623104167</v>
      </c>
      <c r="B10290" t="str">
        <f t="shared" si="3722"/>
        <v>NICOLE</v>
      </c>
      <c r="C10290" t="str">
        <f t="shared" si="3723"/>
        <v>MANCA</v>
      </c>
      <c r="D10290">
        <f>10</f>
        <v>10</v>
      </c>
      <c r="E10290" t="str">
        <f>"05 - S1 - B - 102 - Lissa C Frederique"</f>
        <v>05 - S1 - B - 102 - Lissa C Frederique</v>
      </c>
      <c r="F10290" t="str">
        <f>"PERS FIN &amp; MON MGT H"</f>
        <v>PERS FIN &amp; MON MGT H</v>
      </c>
      <c r="G10290" t="str">
        <f>"17-1754"</f>
        <v>17-1754</v>
      </c>
      <c r="H10290" t="str">
        <f>"B"</f>
        <v>B</v>
      </c>
    </row>
    <row r="10291" spans="1:8" x14ac:dyDescent="0.2">
      <c r="A10291" t="str">
        <f t="shared" si="3721"/>
        <v>0623104167</v>
      </c>
      <c r="B10291" t="str">
        <f t="shared" si="3722"/>
        <v>NICOLE</v>
      </c>
      <c r="C10291" t="str">
        <f t="shared" si="3723"/>
        <v>MANCA</v>
      </c>
      <c r="D10291">
        <f>10</f>
        <v>10</v>
      </c>
      <c r="E10291" t="str">
        <f>"01 - A - 101 - Lourivaldo  Da Silva"</f>
        <v>01 - A - 101 - Lourivaldo  Da Silva</v>
      </c>
      <c r="F10291" t="str">
        <f>"ALGEBRA 2 HON"</f>
        <v>ALGEBRA 2 HON</v>
      </c>
      <c r="G10291" t="str">
        <f>"20-2079"</f>
        <v>20-2079</v>
      </c>
      <c r="H10291" t="str">
        <f>"A"</f>
        <v>A</v>
      </c>
    </row>
    <row r="10292" spans="1:8" x14ac:dyDescent="0.2">
      <c r="A10292" t="str">
        <f t="shared" si="3721"/>
        <v>0623104167</v>
      </c>
      <c r="B10292" t="str">
        <f t="shared" si="3722"/>
        <v>NICOLE</v>
      </c>
      <c r="C10292" t="str">
        <f t="shared" si="3723"/>
        <v>MANCA</v>
      </c>
      <c r="D10292">
        <f>10</f>
        <v>10</v>
      </c>
      <c r="E10292" t="str">
        <f>"08 - B - 102 - Jacquelyn M Neeson"</f>
        <v>08 - B - 102 - Jacquelyn M Neeson</v>
      </c>
      <c r="F10292" t="str">
        <f>"AICE ENG GEN PAPER 1"</f>
        <v>AICE ENG GEN PAPER 1</v>
      </c>
      <c r="G10292" t="str">
        <f>"17-1715"</f>
        <v>17-1715</v>
      </c>
      <c r="H10292" t="str">
        <f>"B"</f>
        <v>B</v>
      </c>
    </row>
    <row r="10293" spans="1:8" x14ac:dyDescent="0.2">
      <c r="A10293" t="str">
        <f t="shared" ref="A10293:A10300" si="3724">"0613031767"</f>
        <v>0613031767</v>
      </c>
      <c r="B10293" t="str">
        <f t="shared" ref="B10293:B10300" si="3725">"ANN-CHRISTIE"</f>
        <v>ANN-CHRISTIE</v>
      </c>
      <c r="C10293" t="str">
        <f t="shared" ref="C10293:C10300" si="3726">"MANIGAT"</f>
        <v>MANIGAT</v>
      </c>
      <c r="D10293">
        <f>12</f>
        <v>12</v>
      </c>
      <c r="E10293" t="str">
        <f>"04 - A - 102 - Daniel S Katz"</f>
        <v>04 - A - 102 - Daniel S Katz</v>
      </c>
      <c r="F10293" t="str">
        <f>"AICE DRAMA 1 AS LEV"</f>
        <v>AICE DRAMA 1 AS LEV</v>
      </c>
      <c r="G10293" t="str">
        <f>"05-521"</f>
        <v>05-521</v>
      </c>
      <c r="H10293" t="str">
        <f>"A"</f>
        <v>A</v>
      </c>
    </row>
    <row r="10294" spans="1:8" x14ac:dyDescent="0.2">
      <c r="A10294" t="str">
        <f t="shared" si="3724"/>
        <v>0613031767</v>
      </c>
      <c r="B10294" t="str">
        <f t="shared" si="3725"/>
        <v>ANN-CHRISTIE</v>
      </c>
      <c r="C10294" t="str">
        <f t="shared" si="3726"/>
        <v>MANIGAT</v>
      </c>
      <c r="D10294">
        <f>12</f>
        <v>12</v>
      </c>
      <c r="E10294" t="str">
        <f>"06 - B - 001 - Robert O Burger"</f>
        <v>06 - B - 001 - Robert O Burger</v>
      </c>
      <c r="F10294" t="str">
        <f>"NC STUDY HALL 1"</f>
        <v>NC STUDY HALL 1</v>
      </c>
      <c r="G10294" t="str">
        <f>"17-1755"</f>
        <v>17-1755</v>
      </c>
      <c r="H10294" t="str">
        <f>"B"</f>
        <v>B</v>
      </c>
    </row>
    <row r="10295" spans="1:8" x14ac:dyDescent="0.2">
      <c r="A10295" t="str">
        <f t="shared" si="3724"/>
        <v>0613031767</v>
      </c>
      <c r="B10295" t="str">
        <f t="shared" si="3725"/>
        <v>ANN-CHRISTIE</v>
      </c>
      <c r="C10295" t="str">
        <f t="shared" si="3726"/>
        <v>MANIGAT</v>
      </c>
      <c r="D10295">
        <f>12</f>
        <v>12</v>
      </c>
      <c r="E10295" t="str">
        <f>"03 - A - 203 - Stefanie S Scher"</f>
        <v>03 - A - 203 - Stefanie S Scher</v>
      </c>
      <c r="F10295" t="str">
        <f>"AP PSYCH"</f>
        <v>AP PSYCH</v>
      </c>
      <c r="G10295" t="str">
        <f>"17-1735"</f>
        <v>17-1735</v>
      </c>
      <c r="H10295" t="str">
        <f>"A"</f>
        <v>A</v>
      </c>
    </row>
    <row r="10296" spans="1:8" x14ac:dyDescent="0.2">
      <c r="A10296" t="str">
        <f t="shared" si="3724"/>
        <v>0613031767</v>
      </c>
      <c r="B10296" t="str">
        <f t="shared" si="3725"/>
        <v>ANN-CHRISTIE</v>
      </c>
      <c r="C10296" t="str">
        <f t="shared" si="3726"/>
        <v>MANIGAT</v>
      </c>
      <c r="D10296">
        <f>12</f>
        <v>12</v>
      </c>
      <c r="E10296" t="str">
        <f>"02 - A - 102 - Marielle A Witting"</f>
        <v>02 - A - 102 - Marielle A Witting</v>
      </c>
      <c r="F10296" t="str">
        <f>"AP BIO"</f>
        <v>AP BIO</v>
      </c>
      <c r="G10296" t="str">
        <f>"08-805"</f>
        <v>08-805</v>
      </c>
      <c r="H10296" t="str">
        <f>"A"</f>
        <v>A</v>
      </c>
    </row>
    <row r="10297" spans="1:8" x14ac:dyDescent="0.2">
      <c r="A10297" t="str">
        <f t="shared" si="3724"/>
        <v>0613031767</v>
      </c>
      <c r="B10297" t="str">
        <f t="shared" si="3725"/>
        <v>ANN-CHRISTIE</v>
      </c>
      <c r="C10297" t="str">
        <f t="shared" si="3726"/>
        <v>MANIGAT</v>
      </c>
      <c r="D10297">
        <f>12</f>
        <v>12</v>
      </c>
      <c r="E10297" t="str">
        <f>"07 - S1 - B - 101 - Stephen T Ripp"</f>
        <v>07 - S1 - B - 101 - Stephen T Ripp</v>
      </c>
      <c r="F10297" t="str">
        <f>"AP US GOVT/POL"</f>
        <v>AP US GOVT/POL</v>
      </c>
      <c r="G10297" t="str">
        <f>"17-1744"</f>
        <v>17-1744</v>
      </c>
      <c r="H10297" t="str">
        <f>"B"</f>
        <v>B</v>
      </c>
    </row>
    <row r="10298" spans="1:8" x14ac:dyDescent="0.2">
      <c r="A10298" t="str">
        <f t="shared" si="3724"/>
        <v>0613031767</v>
      </c>
      <c r="B10298" t="str">
        <f t="shared" si="3725"/>
        <v>ANN-CHRISTIE</v>
      </c>
      <c r="C10298" t="str">
        <f t="shared" si="3726"/>
        <v>MANIGAT</v>
      </c>
      <c r="D10298">
        <f>12</f>
        <v>12</v>
      </c>
      <c r="E10298" t="str">
        <f>"05 - B - 105 - Norayda D Suarez"</f>
        <v>05 - B - 105 - Norayda D Suarez</v>
      </c>
      <c r="F10298" t="str">
        <f>"RESEARCH 1 LH"</f>
        <v>RESEARCH 1 LH</v>
      </c>
      <c r="G10298">
        <f>2041</f>
        <v>2041</v>
      </c>
      <c r="H10298" t="str">
        <f>"B"</f>
        <v>B</v>
      </c>
    </row>
    <row r="10299" spans="1:8" x14ac:dyDescent="0.2">
      <c r="A10299" t="str">
        <f t="shared" si="3724"/>
        <v>0613031767</v>
      </c>
      <c r="B10299" t="str">
        <f t="shared" si="3725"/>
        <v>ANN-CHRISTIE</v>
      </c>
      <c r="C10299" t="str">
        <f t="shared" si="3726"/>
        <v>MANIGAT</v>
      </c>
      <c r="D10299">
        <f>12</f>
        <v>12</v>
      </c>
      <c r="E10299" t="str">
        <f>"01 - A - 204 - Tina M Jaramillo"</f>
        <v>01 - A - 204 - Tina M Jaramillo</v>
      </c>
      <c r="F10299" t="str">
        <f>"AP ENG LIT COMPO"</f>
        <v>AP ENG LIT COMPO</v>
      </c>
      <c r="G10299" t="str">
        <f>"17-1706"</f>
        <v>17-1706</v>
      </c>
      <c r="H10299" t="str">
        <f>"A"</f>
        <v>A</v>
      </c>
    </row>
    <row r="10300" spans="1:8" x14ac:dyDescent="0.2">
      <c r="A10300" t="str">
        <f t="shared" si="3724"/>
        <v>0613031767</v>
      </c>
      <c r="B10300" t="str">
        <f t="shared" si="3725"/>
        <v>ANN-CHRISTIE</v>
      </c>
      <c r="C10300" t="str">
        <f t="shared" si="3726"/>
        <v>MANIGAT</v>
      </c>
      <c r="D10300">
        <f>12</f>
        <v>12</v>
      </c>
      <c r="E10300" t="str">
        <f>"08 - B - 102 - Pamela M Corzo"</f>
        <v>08 - B - 102 - Pamela M Corzo</v>
      </c>
      <c r="F10300" t="str">
        <f>"AP STAT"</f>
        <v>AP STAT</v>
      </c>
      <c r="G10300" t="str">
        <f>"21-2133"</f>
        <v>21-2133</v>
      </c>
      <c r="H10300" t="str">
        <f>"B"</f>
        <v>B</v>
      </c>
    </row>
    <row r="10301" spans="1:8" x14ac:dyDescent="0.2">
      <c r="A10301" t="str">
        <f t="shared" ref="A10301:A10308" si="3727">"0618114580"</f>
        <v>0618114580</v>
      </c>
      <c r="B10301" t="str">
        <f t="shared" ref="B10301:B10308" si="3728">"JULIANA"</f>
        <v>JULIANA</v>
      </c>
      <c r="C10301" t="str">
        <f t="shared" ref="C10301:C10308" si="3729">"MANRIQUE CASTILLO"</f>
        <v>MANRIQUE CASTILLO</v>
      </c>
      <c r="D10301">
        <f>11</f>
        <v>11</v>
      </c>
      <c r="E10301" t="str">
        <f>"04 - A - 103 - Lisa  Quinn"</f>
        <v>04 - A - 103 - Lisa  Quinn</v>
      </c>
      <c r="F10301" t="str">
        <f>"ENG 3"</f>
        <v>ENG 3</v>
      </c>
      <c r="G10301" t="str">
        <f>"17-1725"</f>
        <v>17-1725</v>
      </c>
      <c r="H10301" t="str">
        <f>"A"</f>
        <v>A</v>
      </c>
    </row>
    <row r="10302" spans="1:8" x14ac:dyDescent="0.2">
      <c r="A10302" t="str">
        <f t="shared" si="3727"/>
        <v>0618114580</v>
      </c>
      <c r="B10302" t="str">
        <f t="shared" si="3728"/>
        <v>JULIANA</v>
      </c>
      <c r="C10302" t="str">
        <f t="shared" si="3729"/>
        <v>MANRIQUE CASTILLO</v>
      </c>
      <c r="D10302">
        <f>11</f>
        <v>11</v>
      </c>
      <c r="E10302" t="str">
        <f>"06 - B - 102 - Rosa Elaine  Collado-Duff"</f>
        <v>06 - B - 102 - Rosa Elaine  Collado-Duff</v>
      </c>
      <c r="F10302" t="str">
        <f>"SPANISH 3 HON"</f>
        <v>SPANISH 3 HON</v>
      </c>
      <c r="G10302" t="str">
        <f>"09-913"</f>
        <v>09-913</v>
      </c>
      <c r="H10302" t="str">
        <f>"B"</f>
        <v>B</v>
      </c>
    </row>
    <row r="10303" spans="1:8" x14ac:dyDescent="0.2">
      <c r="A10303" t="str">
        <f t="shared" si="3727"/>
        <v>0618114580</v>
      </c>
      <c r="B10303" t="str">
        <f t="shared" si="3728"/>
        <v>JULIANA</v>
      </c>
      <c r="C10303" t="str">
        <f t="shared" si="3729"/>
        <v>MANRIQUE CASTILLO</v>
      </c>
      <c r="D10303">
        <f>11</f>
        <v>11</v>
      </c>
      <c r="E10303" t="str">
        <f>"03 - A - 103 - Samantha J Headley"</f>
        <v>03 - A - 103 - Samantha J Headley</v>
      </c>
      <c r="F10303" t="str">
        <f>"MARINE SCI 1 HON"</f>
        <v>MARINE SCI 1 HON</v>
      </c>
      <c r="G10303" t="str">
        <f>"21-2134"</f>
        <v>21-2134</v>
      </c>
      <c r="H10303" t="str">
        <f>"A"</f>
        <v>A</v>
      </c>
    </row>
    <row r="10304" spans="1:8" x14ac:dyDescent="0.2">
      <c r="A10304" t="str">
        <f t="shared" si="3727"/>
        <v>0618114580</v>
      </c>
      <c r="B10304" t="str">
        <f t="shared" si="3728"/>
        <v>JULIANA</v>
      </c>
      <c r="C10304" t="str">
        <f t="shared" si="3729"/>
        <v>MANRIQUE CASTILLO</v>
      </c>
      <c r="D10304">
        <f>11</f>
        <v>11</v>
      </c>
      <c r="E10304" t="str">
        <f>"02 - A - 102 - Brook E Goren"</f>
        <v>02 - A - 102 - Brook E Goren</v>
      </c>
      <c r="F10304" t="str">
        <f>"NC STUDY HALL 1"</f>
        <v>NC STUDY HALL 1</v>
      </c>
      <c r="G10304" t="str">
        <f>"21-2158"</f>
        <v>21-2158</v>
      </c>
      <c r="H10304" t="str">
        <f>"A"</f>
        <v>A</v>
      </c>
    </row>
    <row r="10305" spans="1:8" x14ac:dyDescent="0.2">
      <c r="A10305" t="str">
        <f t="shared" si="3727"/>
        <v>0618114580</v>
      </c>
      <c r="B10305" t="str">
        <f t="shared" si="3728"/>
        <v>JULIANA</v>
      </c>
      <c r="C10305" t="str">
        <f t="shared" si="3729"/>
        <v>MANRIQUE CASTILLO</v>
      </c>
      <c r="D10305">
        <f>11</f>
        <v>11</v>
      </c>
      <c r="E10305" t="str">
        <f>"07 - B - 110 - Ferrie J Arostique"</f>
        <v>07 - B - 110 - Ferrie J Arostique</v>
      </c>
      <c r="F10305" t="str">
        <f>"GEOMETRY"</f>
        <v>GEOMETRY</v>
      </c>
      <c r="G10305" t="str">
        <f>"21-2139"</f>
        <v>21-2139</v>
      </c>
      <c r="H10305" t="str">
        <f>"B"</f>
        <v>B</v>
      </c>
    </row>
    <row r="10306" spans="1:8" x14ac:dyDescent="0.2">
      <c r="A10306" t="str">
        <f t="shared" si="3727"/>
        <v>0618114580</v>
      </c>
      <c r="B10306" t="str">
        <f t="shared" si="3728"/>
        <v>JULIANA</v>
      </c>
      <c r="C10306" t="str">
        <f t="shared" si="3729"/>
        <v>MANRIQUE CASTILLO</v>
      </c>
      <c r="D10306">
        <f>11</f>
        <v>11</v>
      </c>
      <c r="E10306" t="str">
        <f>"05 - B - 001 - Kyle  Robbins"</f>
        <v>05 - B - 001 - Kyle  Robbins</v>
      </c>
      <c r="F10306" t="str">
        <f>"US HISTORY HON"</f>
        <v>US HISTORY HON</v>
      </c>
      <c r="G10306" t="str">
        <f>"17-1745"</f>
        <v>17-1745</v>
      </c>
      <c r="H10306" t="str">
        <f>"B"</f>
        <v>B</v>
      </c>
    </row>
    <row r="10307" spans="1:8" x14ac:dyDescent="0.2">
      <c r="A10307" t="str">
        <f t="shared" si="3727"/>
        <v>0618114580</v>
      </c>
      <c r="B10307" t="str">
        <f t="shared" si="3728"/>
        <v>JULIANA</v>
      </c>
      <c r="C10307" t="str">
        <f t="shared" si="3729"/>
        <v>MANRIQUE CASTILLO</v>
      </c>
      <c r="D10307">
        <f>11</f>
        <v>11</v>
      </c>
      <c r="E10307" t="str">
        <f>"01 - A - 101 - Nahum  Saint-Preux"</f>
        <v>01 - A - 101 - Nahum  Saint-Preux</v>
      </c>
      <c r="F10307" t="str">
        <f>"INTENS READ 3"</f>
        <v>INTENS READ 3</v>
      </c>
      <c r="G10307" t="str">
        <f>"17-1712"</f>
        <v>17-1712</v>
      </c>
      <c r="H10307" t="str">
        <f>"A"</f>
        <v>A</v>
      </c>
    </row>
    <row r="10308" spans="1:8" x14ac:dyDescent="0.2">
      <c r="A10308" t="str">
        <f t="shared" si="3727"/>
        <v>0618114580</v>
      </c>
      <c r="B10308" t="str">
        <f t="shared" si="3728"/>
        <v>JULIANA</v>
      </c>
      <c r="C10308" t="str">
        <f t="shared" si="3729"/>
        <v>MANRIQUE CASTILLO</v>
      </c>
      <c r="D10308">
        <f>11</f>
        <v>11</v>
      </c>
      <c r="E10308" t="str">
        <f>"08 - B - 101 - Jazmin S Fletcher"</f>
        <v>08 - B - 101 - Jazmin S Fletcher</v>
      </c>
      <c r="F10308" t="str">
        <f>"PRE-AICE DRAMA 1G"</f>
        <v>PRE-AICE DRAMA 1G</v>
      </c>
      <c r="G10308" t="str">
        <f>"09-909"</f>
        <v>09-909</v>
      </c>
      <c r="H10308" t="str">
        <f>"B"</f>
        <v>B</v>
      </c>
    </row>
    <row r="10309" spans="1:8" x14ac:dyDescent="0.2">
      <c r="A10309" t="str">
        <f t="shared" ref="A10309:A10316" si="3730">"0611067691"</f>
        <v>0611067691</v>
      </c>
      <c r="B10309" t="str">
        <f t="shared" ref="B10309:B10316" si="3731">"ISABELLA"</f>
        <v>ISABELLA</v>
      </c>
      <c r="C10309" t="str">
        <f t="shared" ref="C10309:C10316" si="3732">"MAQUEIRA"</f>
        <v>MAQUEIRA</v>
      </c>
      <c r="D10309">
        <f>10</f>
        <v>10</v>
      </c>
      <c r="E10309" t="str">
        <f>"04 - A - 104 - Dayna M Foster"</f>
        <v>04 - A - 104 - Dayna M Foster</v>
      </c>
      <c r="F10309" t="str">
        <f>"ALGEBRA 2"</f>
        <v>ALGEBRA 2</v>
      </c>
      <c r="G10309" t="str">
        <f>"21-2109"</f>
        <v>21-2109</v>
      </c>
      <c r="H10309" t="str">
        <f>"A"</f>
        <v>A</v>
      </c>
    </row>
    <row r="10310" spans="1:8" x14ac:dyDescent="0.2">
      <c r="A10310" t="str">
        <f t="shared" si="3730"/>
        <v>0611067691</v>
      </c>
      <c r="B10310" t="str">
        <f t="shared" si="3731"/>
        <v>ISABELLA</v>
      </c>
      <c r="C10310" t="str">
        <f t="shared" si="3732"/>
        <v>MAQUEIRA</v>
      </c>
      <c r="D10310">
        <f>10</f>
        <v>10</v>
      </c>
      <c r="E10310" t="str">
        <f>"06 - B - 118 - Jeanne M Bermudez"</f>
        <v>06 - B - 118 - Jeanne M Bermudez</v>
      </c>
      <c r="F10310" t="str">
        <f>"NC STUDY HALL 1"</f>
        <v>NC STUDY HALL 1</v>
      </c>
      <c r="G10310" t="str">
        <f>"21-2141"</f>
        <v>21-2141</v>
      </c>
      <c r="H10310" t="str">
        <f>"B"</f>
        <v>B</v>
      </c>
    </row>
    <row r="10311" spans="1:8" x14ac:dyDescent="0.2">
      <c r="A10311" t="str">
        <f t="shared" si="3730"/>
        <v>0611067691</v>
      </c>
      <c r="B10311" t="str">
        <f t="shared" si="3731"/>
        <v>ISABELLA</v>
      </c>
      <c r="C10311" t="str">
        <f t="shared" si="3732"/>
        <v>MAQUEIRA</v>
      </c>
      <c r="D10311">
        <f>10</f>
        <v>10</v>
      </c>
      <c r="E10311" t="str">
        <f>"03 - A - 002 - Brandy N Zdenek"</f>
        <v>03 - A - 002 - Brandy N Zdenek</v>
      </c>
      <c r="F10311" t="str">
        <f>"AICE ENG LANG AS"</f>
        <v>AICE ENG LANG AS</v>
      </c>
      <c r="G10311" t="str">
        <f>"17-1704"</f>
        <v>17-1704</v>
      </c>
      <c r="H10311" t="str">
        <f>"A"</f>
        <v>A</v>
      </c>
    </row>
    <row r="10312" spans="1:8" x14ac:dyDescent="0.2">
      <c r="A10312" t="str">
        <f t="shared" si="3730"/>
        <v>0611067691</v>
      </c>
      <c r="B10312" t="str">
        <f t="shared" si="3731"/>
        <v>ISABELLA</v>
      </c>
      <c r="C10312" t="str">
        <f t="shared" si="3732"/>
        <v>MAQUEIRA</v>
      </c>
      <c r="D10312">
        <f>10</f>
        <v>10</v>
      </c>
      <c r="E10312" t="str">
        <f>"02 - A - 104 - Joe  Kilpatrick Jr"</f>
        <v>02 - A - 104 - Joe  Kilpatrick Jr</v>
      </c>
      <c r="F10312" t="str">
        <f>"PRE-AICE SPAN 2 IG"</f>
        <v>PRE-AICE SPAN 2 IG</v>
      </c>
      <c r="G10312" t="str">
        <f>"09-912"</f>
        <v>09-912</v>
      </c>
      <c r="H10312" t="str">
        <f>"A"</f>
        <v>A</v>
      </c>
    </row>
    <row r="10313" spans="1:8" x14ac:dyDescent="0.2">
      <c r="A10313" t="str">
        <f t="shared" si="3730"/>
        <v>0611067691</v>
      </c>
      <c r="B10313" t="str">
        <f t="shared" si="3731"/>
        <v>ISABELLA</v>
      </c>
      <c r="C10313" t="str">
        <f t="shared" si="3732"/>
        <v>MAQUEIRA</v>
      </c>
      <c r="D10313">
        <f>10</f>
        <v>10</v>
      </c>
      <c r="E10313" t="str">
        <f>"07 - B - 105 - Byron G Montenegro"</f>
        <v>07 - B - 105 - Byron G Montenegro</v>
      </c>
      <c r="F10313" t="str">
        <f>"AICE MARINE SCI 1 AS"</f>
        <v>AICE MARINE SCI 1 AS</v>
      </c>
      <c r="G10313" t="str">
        <f>"21-2144"</f>
        <v>21-2144</v>
      </c>
      <c r="H10313" t="str">
        <f>"B"</f>
        <v>B</v>
      </c>
    </row>
    <row r="10314" spans="1:8" x14ac:dyDescent="0.2">
      <c r="A10314" t="str">
        <f t="shared" si="3730"/>
        <v>0611067691</v>
      </c>
      <c r="B10314" t="str">
        <f t="shared" si="3731"/>
        <v>ISABELLA</v>
      </c>
      <c r="C10314" t="str">
        <f t="shared" si="3732"/>
        <v>MAQUEIRA</v>
      </c>
      <c r="D10314">
        <f>10</f>
        <v>10</v>
      </c>
      <c r="E10314" t="str">
        <f>"05 - B - 003 - Krystal Marie  Beruty"</f>
        <v>05 - B - 003 - Krystal Marie  Beruty</v>
      </c>
      <c r="F10314" t="str">
        <f>"AICE GLBL PERSP 1 AS"</f>
        <v>AICE GLBL PERSP 1 AS</v>
      </c>
      <c r="G10314" t="str">
        <f>"17-1721"</f>
        <v>17-1721</v>
      </c>
      <c r="H10314" t="str">
        <f>"B"</f>
        <v>B</v>
      </c>
    </row>
    <row r="10315" spans="1:8" x14ac:dyDescent="0.2">
      <c r="A10315" t="str">
        <f t="shared" si="3730"/>
        <v>0611067691</v>
      </c>
      <c r="B10315" t="str">
        <f t="shared" si="3731"/>
        <v>ISABELLA</v>
      </c>
      <c r="C10315" t="str">
        <f t="shared" si="3732"/>
        <v>MAQUEIRA</v>
      </c>
      <c r="D10315">
        <f>10</f>
        <v>10</v>
      </c>
      <c r="E10315" t="str">
        <f>"01 - A - 101 - Eva T Rimmer"</f>
        <v>01 - A - 101 - Eva T Rimmer</v>
      </c>
      <c r="F10315" t="str">
        <f>"CRIMINAL JUST OPS 2"</f>
        <v>CRIMINAL JUST OPS 2</v>
      </c>
      <c r="G10315" t="str">
        <f>"05-523"</f>
        <v>05-523</v>
      </c>
      <c r="H10315" t="str">
        <f>"A"</f>
        <v>A</v>
      </c>
    </row>
    <row r="10316" spans="1:8" x14ac:dyDescent="0.2">
      <c r="A10316" t="str">
        <f t="shared" si="3730"/>
        <v>0611067691</v>
      </c>
      <c r="B10316" t="str">
        <f t="shared" si="3731"/>
        <v>ISABELLA</v>
      </c>
      <c r="C10316" t="str">
        <f t="shared" si="3732"/>
        <v>MAQUEIRA</v>
      </c>
      <c r="D10316">
        <f>10</f>
        <v>10</v>
      </c>
      <c r="E10316" t="str">
        <f>"08 - B - 202 - Brian M Fitzgerald"</f>
        <v>08 - B - 202 - Brian M Fitzgerald</v>
      </c>
      <c r="F10316" t="str">
        <f>"CERAM/POT 2"</f>
        <v>CERAM/POT 2</v>
      </c>
      <c r="G10316" t="str">
        <f>"09-908"</f>
        <v>09-908</v>
      </c>
      <c r="H10316" t="str">
        <f>"B"</f>
        <v>B</v>
      </c>
    </row>
    <row r="10317" spans="1:8" x14ac:dyDescent="0.2">
      <c r="A10317" t="str">
        <f t="shared" ref="A10317:A10324" si="3733">"0616145194"</f>
        <v>0616145194</v>
      </c>
      <c r="B10317" t="str">
        <f t="shared" ref="B10317:B10324" si="3734">"MIA"</f>
        <v>MIA</v>
      </c>
      <c r="C10317" t="str">
        <f t="shared" ref="C10317:C10324" si="3735">"MAQUIEIRA"</f>
        <v>MAQUIEIRA</v>
      </c>
      <c r="D10317" t="str">
        <f t="shared" ref="D10317:D10324" si="3736">"09"</f>
        <v>09</v>
      </c>
      <c r="E10317" t="str">
        <f>"04 - A - 101 - Chrystina M Marchionne"</f>
        <v>04 - A - 101 - Chrystina M Marchionne</v>
      </c>
      <c r="F10317" t="str">
        <f>"THEA CIN &amp; FILM LH"</f>
        <v>THEA CIN &amp; FILM LH</v>
      </c>
      <c r="G10317" t="str">
        <f>"05-520"</f>
        <v>05-520</v>
      </c>
      <c r="H10317" t="str">
        <f>"A"</f>
        <v>A</v>
      </c>
    </row>
    <row r="10318" spans="1:8" x14ac:dyDescent="0.2">
      <c r="A10318" t="str">
        <f t="shared" si="3733"/>
        <v>0616145194</v>
      </c>
      <c r="B10318" t="str">
        <f t="shared" si="3734"/>
        <v>MIA</v>
      </c>
      <c r="C10318" t="str">
        <f t="shared" si="3735"/>
        <v>MAQUIEIRA</v>
      </c>
      <c r="D10318" t="str">
        <f t="shared" si="3736"/>
        <v>09</v>
      </c>
      <c r="E10318" t="str">
        <f>"06 - B - 110 - Krystal Marie  Beruty"</f>
        <v>06 - B - 110 - Krystal Marie  Beruty</v>
      </c>
      <c r="F10318" t="str">
        <f>"AICE GLBL PERSP 1 AS"</f>
        <v>AICE GLBL PERSP 1 AS</v>
      </c>
      <c r="G10318" t="str">
        <f>"17-1721"</f>
        <v>17-1721</v>
      </c>
      <c r="H10318" t="str">
        <f>"B"</f>
        <v>B</v>
      </c>
    </row>
    <row r="10319" spans="1:8" x14ac:dyDescent="0.2">
      <c r="A10319" t="str">
        <f t="shared" si="3733"/>
        <v>0616145194</v>
      </c>
      <c r="B10319" t="str">
        <f t="shared" si="3734"/>
        <v>MIA</v>
      </c>
      <c r="C10319" t="str">
        <f t="shared" si="3735"/>
        <v>MAQUIEIRA</v>
      </c>
      <c r="D10319" t="str">
        <f t="shared" si="3736"/>
        <v>09</v>
      </c>
      <c r="E10319" t="str">
        <f>"03 - A - 101 - Samantha L Martinez"</f>
        <v>03 - A - 101 - Samantha L Martinez</v>
      </c>
      <c r="F10319" t="str">
        <f>"VOCAL ENS 1"</f>
        <v>VOCAL ENS 1</v>
      </c>
      <c r="G10319" t="str">
        <f>"05-505"</f>
        <v>05-505</v>
      </c>
      <c r="H10319" t="str">
        <f>"A"</f>
        <v>A</v>
      </c>
    </row>
    <row r="10320" spans="1:8" x14ac:dyDescent="0.2">
      <c r="A10320" t="str">
        <f t="shared" si="3733"/>
        <v>0616145194</v>
      </c>
      <c r="B10320" t="str">
        <f t="shared" si="3734"/>
        <v>MIA</v>
      </c>
      <c r="C10320" t="str">
        <f t="shared" si="3735"/>
        <v>MAQUIEIRA</v>
      </c>
      <c r="D10320" t="str">
        <f t="shared" si="3736"/>
        <v>09</v>
      </c>
      <c r="E10320" t="str">
        <f>"02 - A - 110 - Maried P Ramos"</f>
        <v>02 - A - 110 - Maried P Ramos</v>
      </c>
      <c r="F10320" t="str">
        <f>"NC STUDY HALL 1"</f>
        <v>NC STUDY HALL 1</v>
      </c>
      <c r="G10320" t="str">
        <f>"21-2159"</f>
        <v>21-2159</v>
      </c>
      <c r="H10320" t="str">
        <f>"A"</f>
        <v>A</v>
      </c>
    </row>
    <row r="10321" spans="1:8" x14ac:dyDescent="0.2">
      <c r="A10321" t="str">
        <f t="shared" si="3733"/>
        <v>0616145194</v>
      </c>
      <c r="B10321" t="str">
        <f t="shared" si="3734"/>
        <v>MIA</v>
      </c>
      <c r="C10321" t="str">
        <f t="shared" si="3735"/>
        <v>MAQUIEIRA</v>
      </c>
      <c r="D10321" t="str">
        <f t="shared" si="3736"/>
        <v>09</v>
      </c>
      <c r="E10321" t="str">
        <f>"07 - B - 206 - Cheryl L Beach"</f>
        <v>07 - B - 206 - Cheryl L Beach</v>
      </c>
      <c r="F10321" t="str">
        <f>"AICE ENV MGMNT AS"</f>
        <v>AICE ENV MGMNT AS</v>
      </c>
      <c r="G10321" t="str">
        <f>"08-811"</f>
        <v>08-811</v>
      </c>
      <c r="H10321" t="str">
        <f>"B"</f>
        <v>B</v>
      </c>
    </row>
    <row r="10322" spans="1:8" x14ac:dyDescent="0.2">
      <c r="A10322" t="str">
        <f t="shared" si="3733"/>
        <v>0616145194</v>
      </c>
      <c r="B10322" t="str">
        <f t="shared" si="3734"/>
        <v>MIA</v>
      </c>
      <c r="C10322" t="str">
        <f t="shared" si="3735"/>
        <v>MAQUIEIRA</v>
      </c>
      <c r="D10322" t="str">
        <f t="shared" si="3736"/>
        <v>09</v>
      </c>
      <c r="E10322" t="str">
        <f>"05 - B - 204 - Elizabeth R Walker"</f>
        <v>05 - B - 204 - Elizabeth R Walker</v>
      </c>
      <c r="F10322" t="str">
        <f>"AICE ENG GEN PAPER 1"</f>
        <v>AICE ENG GEN PAPER 1</v>
      </c>
      <c r="G10322" t="str">
        <f>"17-1703"</f>
        <v>17-1703</v>
      </c>
      <c r="H10322" t="str">
        <f>"B"</f>
        <v>B</v>
      </c>
    </row>
    <row r="10323" spans="1:8" x14ac:dyDescent="0.2">
      <c r="A10323" t="str">
        <f t="shared" si="3733"/>
        <v>0616145194</v>
      </c>
      <c r="B10323" t="str">
        <f t="shared" si="3734"/>
        <v>MIA</v>
      </c>
      <c r="C10323" t="str">
        <f t="shared" si="3735"/>
        <v>MAQUIEIRA</v>
      </c>
      <c r="D10323" t="str">
        <f t="shared" si="3736"/>
        <v>09</v>
      </c>
      <c r="E10323" t="str">
        <f>"01 - A - 101 - Maried P Ramos"</f>
        <v>01 - A - 101 - Maried P Ramos</v>
      </c>
      <c r="F10323" t="str">
        <f>"ALGEBRA 2 HON"</f>
        <v>ALGEBRA 2 HON</v>
      </c>
      <c r="G10323" t="str">
        <f>"21-2159"</f>
        <v>21-2159</v>
      </c>
      <c r="H10323" t="str">
        <f>"A"</f>
        <v>A</v>
      </c>
    </row>
    <row r="10324" spans="1:8" x14ac:dyDescent="0.2">
      <c r="A10324" t="str">
        <f t="shared" si="3733"/>
        <v>0616145194</v>
      </c>
      <c r="B10324" t="str">
        <f t="shared" si="3734"/>
        <v>MIA</v>
      </c>
      <c r="C10324" t="str">
        <f t="shared" si="3735"/>
        <v>MAQUIEIRA</v>
      </c>
      <c r="D10324" t="str">
        <f t="shared" si="3736"/>
        <v>09</v>
      </c>
      <c r="E10324" t="str">
        <f>"08 - B - 202 - Dorothy D Moore"</f>
        <v>08 - B - 202 - Dorothy D Moore</v>
      </c>
      <c r="F10324" t="str">
        <f>"HEALTH SCI 1/A&amp;P HON"</f>
        <v>HEALTH SCI 1/A&amp;P HON</v>
      </c>
      <c r="G10324" t="str">
        <f>"08-803"</f>
        <v>08-803</v>
      </c>
      <c r="H10324" t="str">
        <f>"B"</f>
        <v>B</v>
      </c>
    </row>
    <row r="10325" spans="1:8" x14ac:dyDescent="0.2">
      <c r="A10325" t="str">
        <f t="shared" ref="A10325:A10332" si="3737">"0625032225"</f>
        <v>0625032225</v>
      </c>
      <c r="B10325" t="str">
        <f t="shared" ref="B10325:B10332" si="3738">"Roger"</f>
        <v>Roger</v>
      </c>
      <c r="C10325" t="str">
        <f t="shared" ref="C10325:C10332" si="3739">"Maradiaga Escalante"</f>
        <v>Maradiaga Escalante</v>
      </c>
      <c r="D10325">
        <f>11</f>
        <v>11</v>
      </c>
      <c r="E10325" t="str">
        <f>"04 - A - 102 - Elizabeth Ellen  Moran"</f>
        <v>04 - A - 102 - Elizabeth Ellen  Moran</v>
      </c>
      <c r="F10325" t="str">
        <f>"US HISTORY"</f>
        <v>US HISTORY</v>
      </c>
      <c r="G10325" t="str">
        <f>"17-1752"</f>
        <v>17-1752</v>
      </c>
      <c r="H10325" t="str">
        <f>"A"</f>
        <v>A</v>
      </c>
    </row>
    <row r="10326" spans="1:8" x14ac:dyDescent="0.2">
      <c r="A10326" t="str">
        <f t="shared" si="3737"/>
        <v>0625032225</v>
      </c>
      <c r="B10326" t="str">
        <f t="shared" si="3738"/>
        <v>Roger</v>
      </c>
      <c r="C10326" t="str">
        <f t="shared" si="3739"/>
        <v>Maradiaga Escalante</v>
      </c>
      <c r="D10326">
        <f>11</f>
        <v>11</v>
      </c>
      <c r="E10326" t="str">
        <f>"06 - B - 108 - Milca  Exantus"</f>
        <v>06 - B - 108 - Milca  Exantus</v>
      </c>
      <c r="F10326" t="str">
        <f>"MATH COLLEGE LIB ART"</f>
        <v>MATH COLLEGE LIB ART</v>
      </c>
      <c r="G10326" t="str">
        <f>"21-2145"</f>
        <v>21-2145</v>
      </c>
      <c r="H10326" t="str">
        <f>"B"</f>
        <v>B</v>
      </c>
    </row>
    <row r="10327" spans="1:8" x14ac:dyDescent="0.2">
      <c r="A10327" t="str">
        <f t="shared" si="3737"/>
        <v>0625032225</v>
      </c>
      <c r="B10327" t="str">
        <f t="shared" si="3738"/>
        <v>Roger</v>
      </c>
      <c r="C10327" t="str">
        <f t="shared" si="3739"/>
        <v>Maradiaga Escalante</v>
      </c>
      <c r="D10327">
        <f>11</f>
        <v>11</v>
      </c>
      <c r="E10327" t="str">
        <f>"03 - A - 102 - Lisa  Quinn"</f>
        <v>03 - A - 102 - Lisa  Quinn</v>
      </c>
      <c r="F10327" t="str">
        <f>"ENG 3"</f>
        <v>ENG 3</v>
      </c>
      <c r="G10327" t="str">
        <f>"17-1725"</f>
        <v>17-1725</v>
      </c>
      <c r="H10327" t="str">
        <f>"A"</f>
        <v>A</v>
      </c>
    </row>
    <row r="10328" spans="1:8" x14ac:dyDescent="0.2">
      <c r="A10328" t="str">
        <f t="shared" si="3737"/>
        <v>0625032225</v>
      </c>
      <c r="B10328" t="str">
        <f t="shared" si="3738"/>
        <v>Roger</v>
      </c>
      <c r="C10328" t="str">
        <f t="shared" si="3739"/>
        <v>Maradiaga Escalante</v>
      </c>
      <c r="D10328">
        <f>11</f>
        <v>11</v>
      </c>
      <c r="E10328" t="str">
        <f>"02 - A - 001 - Courtney E Hambright"</f>
        <v>02 - A - 001 - Courtney E Hambright</v>
      </c>
      <c r="F10328" t="str">
        <f>"NC STUDY HALL 1"</f>
        <v>NC STUDY HALL 1</v>
      </c>
      <c r="G10328" t="str">
        <f>"17-1711"</f>
        <v>17-1711</v>
      </c>
      <c r="H10328" t="str">
        <f>"A"</f>
        <v>A</v>
      </c>
    </row>
    <row r="10329" spans="1:8" x14ac:dyDescent="0.2">
      <c r="A10329" t="str">
        <f t="shared" si="3737"/>
        <v>0625032225</v>
      </c>
      <c r="B10329" t="str">
        <f t="shared" si="3738"/>
        <v>Roger</v>
      </c>
      <c r="C10329" t="str">
        <f t="shared" si="3739"/>
        <v>Maradiaga Escalante</v>
      </c>
      <c r="D10329">
        <f>11</f>
        <v>11</v>
      </c>
      <c r="E10329" t="str">
        <f>"07 - B - 107 - Adam Marcus  Drucker"</f>
        <v>07 - B - 107 - Adam Marcus  Drucker</v>
      </c>
      <c r="F10329" t="str">
        <f>"HOPE-PE V"</f>
        <v>HOPE-PE V</v>
      </c>
      <c r="G10329" t="str">
        <f>"04-254"</f>
        <v>04-254</v>
      </c>
      <c r="H10329" t="str">
        <f>"B"</f>
        <v>B</v>
      </c>
    </row>
    <row r="10330" spans="1:8" x14ac:dyDescent="0.2">
      <c r="A10330" t="str">
        <f t="shared" si="3737"/>
        <v>0625032225</v>
      </c>
      <c r="B10330" t="str">
        <f t="shared" si="3738"/>
        <v>Roger</v>
      </c>
      <c r="C10330" t="str">
        <f t="shared" si="3739"/>
        <v>Maradiaga Escalante</v>
      </c>
      <c r="D10330">
        <f>11</f>
        <v>11</v>
      </c>
      <c r="E10330" t="str">
        <f>"05 - B - 204 - Cliffon  Saurel"</f>
        <v>05 - B - 204 - Cliffon  Saurel</v>
      </c>
      <c r="F10330" t="str">
        <f>"PHYSICAL SCI"</f>
        <v>PHYSICAL SCI</v>
      </c>
      <c r="G10330" t="str">
        <f>"05-522"</f>
        <v>05-522</v>
      </c>
      <c r="H10330" t="str">
        <f>"B"</f>
        <v>B</v>
      </c>
    </row>
    <row r="10331" spans="1:8" x14ac:dyDescent="0.2">
      <c r="A10331" t="str">
        <f t="shared" si="3737"/>
        <v>0625032225</v>
      </c>
      <c r="B10331" t="str">
        <f t="shared" si="3738"/>
        <v>Roger</v>
      </c>
      <c r="C10331" t="str">
        <f t="shared" si="3739"/>
        <v>Maradiaga Escalante</v>
      </c>
      <c r="D10331">
        <f>11</f>
        <v>11</v>
      </c>
      <c r="E10331" t="str">
        <f>"01 - A - 101 - Vanessa J Pena"</f>
        <v>01 - A - 101 - Vanessa J Pena</v>
      </c>
      <c r="F10331" t="str">
        <f>"DEV LANG ARTS ESOL-R"</f>
        <v>DEV LANG ARTS ESOL-R</v>
      </c>
      <c r="G10331" t="str">
        <f>"09-926"</f>
        <v>09-926</v>
      </c>
      <c r="H10331" t="str">
        <f>"A"</f>
        <v>A</v>
      </c>
    </row>
    <row r="10332" spans="1:8" x14ac:dyDescent="0.2">
      <c r="A10332" t="str">
        <f t="shared" si="3737"/>
        <v>0625032225</v>
      </c>
      <c r="B10332" t="str">
        <f t="shared" si="3738"/>
        <v>Roger</v>
      </c>
      <c r="C10332" t="str">
        <f t="shared" si="3739"/>
        <v>Maradiaga Escalante</v>
      </c>
      <c r="D10332">
        <f>11</f>
        <v>11</v>
      </c>
      <c r="E10332" t="str">
        <f>"08 - S1 - B - 001 - Carol S Moore"</f>
        <v>08 - S1 - B - 001 - Carol S Moore</v>
      </c>
      <c r="F10332" t="str">
        <f>"PER CAR SCH DEV 1 LH"</f>
        <v>PER CAR SCH DEV 1 LH</v>
      </c>
      <c r="G10332" t="str">
        <f>"17-1733"</f>
        <v>17-1733</v>
      </c>
      <c r="H10332" t="str">
        <f>"B"</f>
        <v>B</v>
      </c>
    </row>
    <row r="10333" spans="1:8" x14ac:dyDescent="0.2">
      <c r="A10333" t="str">
        <f t="shared" ref="A10333:A10340" si="3740">"0622005764"</f>
        <v>0622005764</v>
      </c>
      <c r="B10333" t="str">
        <f t="shared" ref="B10333:B10340" si="3741">"ALEJANDRO"</f>
        <v>ALEJANDRO</v>
      </c>
      <c r="C10333" t="str">
        <f t="shared" ref="C10333:C10340" si="3742">"MARCANO"</f>
        <v>MARCANO</v>
      </c>
      <c r="D10333">
        <f>12</f>
        <v>12</v>
      </c>
      <c r="E10333" t="str">
        <f>"04 - S1 - A - 106 - Kelly N Panza"</f>
        <v>04 - S1 - A - 106 - Kelly N Panza</v>
      </c>
      <c r="F10333" t="str">
        <f>"US GOVT HON"</f>
        <v>US GOVT HON</v>
      </c>
      <c r="G10333" t="str">
        <f>"17-1753"</f>
        <v>17-1753</v>
      </c>
      <c r="H10333" t="str">
        <f>"A"</f>
        <v>A</v>
      </c>
    </row>
    <row r="10334" spans="1:8" x14ac:dyDescent="0.2">
      <c r="A10334" t="str">
        <f t="shared" si="3740"/>
        <v>0622005764</v>
      </c>
      <c r="B10334" t="str">
        <f t="shared" si="3741"/>
        <v>ALEJANDRO</v>
      </c>
      <c r="C10334" t="str">
        <f t="shared" si="3742"/>
        <v>MARCANO</v>
      </c>
      <c r="D10334">
        <f>12</f>
        <v>12</v>
      </c>
      <c r="E10334" t="str">
        <f>"06 - B - 111 - James H Mccann"</f>
        <v>06 - B - 111 - James H Mccann</v>
      </c>
      <c r="F10334" t="str">
        <f>"NC STUDY HALL 1"</f>
        <v>NC STUDY HALL 1</v>
      </c>
      <c r="G10334" t="str">
        <f>"17-1716"</f>
        <v>17-1716</v>
      </c>
      <c r="H10334" t="str">
        <f>"B"</f>
        <v>B</v>
      </c>
    </row>
    <row r="10335" spans="1:8" x14ac:dyDescent="0.2">
      <c r="A10335" t="str">
        <f t="shared" si="3740"/>
        <v>0622005764</v>
      </c>
      <c r="B10335" t="str">
        <f t="shared" si="3741"/>
        <v>ALEJANDRO</v>
      </c>
      <c r="C10335" t="str">
        <f t="shared" si="3742"/>
        <v>MARCANO</v>
      </c>
      <c r="D10335">
        <f>12</f>
        <v>12</v>
      </c>
      <c r="E10335" t="str">
        <f>"03 - A - 102 - Thomas G Handwerg"</f>
        <v>03 - A - 102 - Thomas G Handwerg</v>
      </c>
      <c r="F10335" t="str">
        <f>"MATH COLL ALGEBRA"</f>
        <v>MATH COLL ALGEBRA</v>
      </c>
      <c r="G10335" t="str">
        <f>"21-2146"</f>
        <v>21-2146</v>
      </c>
      <c r="H10335" t="str">
        <f>"A"</f>
        <v>A</v>
      </c>
    </row>
    <row r="10336" spans="1:8" x14ac:dyDescent="0.2">
      <c r="A10336" t="str">
        <f t="shared" si="3740"/>
        <v>0622005764</v>
      </c>
      <c r="B10336" t="str">
        <f t="shared" si="3741"/>
        <v>ALEJANDRO</v>
      </c>
      <c r="C10336" t="str">
        <f t="shared" si="3742"/>
        <v>MARCANO</v>
      </c>
      <c r="D10336">
        <f>12</f>
        <v>12</v>
      </c>
      <c r="E10336" t="str">
        <f>"02 - A - 102 - Jeffrey S Gallagher"</f>
        <v>02 - A - 102 - Jeffrey S Gallagher</v>
      </c>
      <c r="F10336" t="str">
        <f>"ENG HON 4"</f>
        <v>ENG HON 4</v>
      </c>
      <c r="G10336" t="str">
        <f>"17-1724"</f>
        <v>17-1724</v>
      </c>
      <c r="H10336" t="str">
        <f>"A"</f>
        <v>A</v>
      </c>
    </row>
    <row r="10337" spans="1:8" x14ac:dyDescent="0.2">
      <c r="A10337" t="str">
        <f t="shared" si="3740"/>
        <v>0622005764</v>
      </c>
      <c r="B10337" t="str">
        <f t="shared" si="3741"/>
        <v>ALEJANDRO</v>
      </c>
      <c r="C10337" t="str">
        <f t="shared" si="3742"/>
        <v>MARCANO</v>
      </c>
      <c r="D10337">
        <f>12</f>
        <v>12</v>
      </c>
      <c r="E10337" t="str">
        <f>"07 - S1 - B - 103 - Leslie J Barton"</f>
        <v>07 - S1 - B - 103 - Leslie J Barton</v>
      </c>
      <c r="F10337" t="str">
        <f>"TEAM SPORTS 1"</f>
        <v>TEAM SPORTS 1</v>
      </c>
      <c r="G10337" t="str">
        <f>"04-254"</f>
        <v>04-254</v>
      </c>
      <c r="H10337" t="str">
        <f>"B"</f>
        <v>B</v>
      </c>
    </row>
    <row r="10338" spans="1:8" x14ac:dyDescent="0.2">
      <c r="A10338" t="str">
        <f t="shared" si="3740"/>
        <v>0622005764</v>
      </c>
      <c r="B10338" t="str">
        <f t="shared" si="3741"/>
        <v>ALEJANDRO</v>
      </c>
      <c r="C10338" t="str">
        <f t="shared" si="3742"/>
        <v>MARCANO</v>
      </c>
      <c r="D10338">
        <f>12</f>
        <v>12</v>
      </c>
      <c r="E10338" t="str">
        <f>"05 - B - 102 - Jeanne M Bermudez"</f>
        <v>05 - B - 102 - Jeanne M Bermudez</v>
      </c>
      <c r="F10338" t="str">
        <f>"ADVANCED IT HON"</f>
        <v>ADVANCED IT HON</v>
      </c>
      <c r="G10338" t="str">
        <f>"21-2141"</f>
        <v>21-2141</v>
      </c>
      <c r="H10338" t="str">
        <f>"B"</f>
        <v>B</v>
      </c>
    </row>
    <row r="10339" spans="1:8" x14ac:dyDescent="0.2">
      <c r="A10339" t="str">
        <f t="shared" si="3740"/>
        <v>0622005764</v>
      </c>
      <c r="B10339" t="str">
        <f t="shared" si="3741"/>
        <v>ALEJANDRO</v>
      </c>
      <c r="C10339" t="str">
        <f t="shared" si="3742"/>
        <v>MARCANO</v>
      </c>
      <c r="D10339">
        <f>12</f>
        <v>12</v>
      </c>
      <c r="E10339" t="str">
        <f>"01 - A - 001 - Dorothy D Moore"</f>
        <v>01 - A - 001 - Dorothy D Moore</v>
      </c>
      <c r="F10339" t="str">
        <f>"ANAT PHYSIO HON"</f>
        <v>ANAT PHYSIO HON</v>
      </c>
      <c r="G10339" t="str">
        <f>"08-803"</f>
        <v>08-803</v>
      </c>
      <c r="H10339" t="str">
        <f>"A"</f>
        <v>A</v>
      </c>
    </row>
    <row r="10340" spans="1:8" x14ac:dyDescent="0.2">
      <c r="A10340" t="str">
        <f t="shared" si="3740"/>
        <v>0622005764</v>
      </c>
      <c r="B10340" t="str">
        <f t="shared" si="3741"/>
        <v>ALEJANDRO</v>
      </c>
      <c r="C10340" t="str">
        <f t="shared" si="3742"/>
        <v>MARCANO</v>
      </c>
      <c r="D10340">
        <f>12</f>
        <v>12</v>
      </c>
      <c r="E10340" t="str">
        <f>"08 - B - 107 - Taraneh C Abreu"</f>
        <v>08 - B - 107 - Taraneh C Abreu</v>
      </c>
      <c r="F10340" t="str">
        <f>"RESEARCH 1 LH"</f>
        <v>RESEARCH 1 LH</v>
      </c>
      <c r="G10340">
        <f>2041</f>
        <v>2041</v>
      </c>
      <c r="H10340" t="str">
        <f>"B"</f>
        <v>B</v>
      </c>
    </row>
    <row r="10341" spans="1:8" x14ac:dyDescent="0.2">
      <c r="A10341" t="str">
        <f t="shared" ref="A10341:A10348" si="3743">"0620051690"</f>
        <v>0620051690</v>
      </c>
      <c r="B10341" t="str">
        <f t="shared" ref="B10341:B10348" si="3744">"MELISSA"</f>
        <v>MELISSA</v>
      </c>
      <c r="C10341" t="str">
        <f t="shared" ref="C10341:C10348" si="3745">"MARCELIN"</f>
        <v>MARCELIN</v>
      </c>
      <c r="D10341">
        <f>11</f>
        <v>11</v>
      </c>
      <c r="E10341" t="str">
        <f>"04 - A - 102 - Daniel S Katz"</f>
        <v>04 - A - 102 - Daniel S Katz</v>
      </c>
      <c r="F10341" t="str">
        <f>"AICE DRAMA 1 AS LEV"</f>
        <v>AICE DRAMA 1 AS LEV</v>
      </c>
      <c r="G10341" t="str">
        <f>"05-521"</f>
        <v>05-521</v>
      </c>
      <c r="H10341" t="str">
        <f>"A"</f>
        <v>A</v>
      </c>
    </row>
    <row r="10342" spans="1:8" x14ac:dyDescent="0.2">
      <c r="A10342" t="str">
        <f t="shared" si="3743"/>
        <v>0620051690</v>
      </c>
      <c r="B10342" t="str">
        <f t="shared" si="3744"/>
        <v>MELISSA</v>
      </c>
      <c r="C10342" t="str">
        <f t="shared" si="3745"/>
        <v>MARCELIN</v>
      </c>
      <c r="D10342">
        <f>11</f>
        <v>11</v>
      </c>
      <c r="E10342" t="str">
        <f>"06 - B - 001 - Lourivaldo  Da Silva"</f>
        <v>06 - B - 001 - Lourivaldo  Da Silva</v>
      </c>
      <c r="F10342" t="str">
        <f>"PRE-CALCULUS HON"</f>
        <v>PRE-CALCULUS HON</v>
      </c>
      <c r="G10342" t="str">
        <f>"20-2079"</f>
        <v>20-2079</v>
      </c>
      <c r="H10342" t="str">
        <f>"B"</f>
        <v>B</v>
      </c>
    </row>
    <row r="10343" spans="1:8" x14ac:dyDescent="0.2">
      <c r="A10343" t="str">
        <f t="shared" si="3743"/>
        <v>0620051690</v>
      </c>
      <c r="B10343" t="str">
        <f t="shared" si="3744"/>
        <v>MELISSA</v>
      </c>
      <c r="C10343" t="str">
        <f t="shared" si="3745"/>
        <v>MARCELIN</v>
      </c>
      <c r="D10343">
        <f>11</f>
        <v>11</v>
      </c>
      <c r="E10343" t="str">
        <f>"03 - A - 201 - Joe  Kilpatrick Jr"</f>
        <v>03 - A - 201 - Joe  Kilpatrick Jr</v>
      </c>
      <c r="F10343" t="str">
        <f>"PRE-AICE SPAN 2 IG"</f>
        <v>PRE-AICE SPAN 2 IG</v>
      </c>
      <c r="G10343" t="str">
        <f>"09-912"</f>
        <v>09-912</v>
      </c>
      <c r="H10343" t="str">
        <f>"A"</f>
        <v>A</v>
      </c>
    </row>
    <row r="10344" spans="1:8" x14ac:dyDescent="0.2">
      <c r="A10344" t="str">
        <f t="shared" si="3743"/>
        <v>0620051690</v>
      </c>
      <c r="B10344" t="str">
        <f t="shared" si="3744"/>
        <v>MELISSA</v>
      </c>
      <c r="C10344" t="str">
        <f t="shared" si="3745"/>
        <v>MARCELIN</v>
      </c>
      <c r="D10344">
        <f>11</f>
        <v>11</v>
      </c>
      <c r="E10344" t="str">
        <f>"02 - A - 103 - Angela S Adeshina-Morrison"</f>
        <v>02 - A - 103 - Angela S Adeshina-Morrison</v>
      </c>
      <c r="F10344" t="str">
        <f>"NC STUDY HALL 1"</f>
        <v>NC STUDY HALL 1</v>
      </c>
      <c r="G10344" t="str">
        <f>"05-518"</f>
        <v>05-518</v>
      </c>
      <c r="H10344" t="str">
        <f>"A"</f>
        <v>A</v>
      </c>
    </row>
    <row r="10345" spans="1:8" x14ac:dyDescent="0.2">
      <c r="A10345" t="str">
        <f t="shared" si="3743"/>
        <v>0620051690</v>
      </c>
      <c r="B10345" t="str">
        <f t="shared" si="3744"/>
        <v>MELISSA</v>
      </c>
      <c r="C10345" t="str">
        <f t="shared" si="3745"/>
        <v>MARCELIN</v>
      </c>
      <c r="D10345">
        <f>11</f>
        <v>11</v>
      </c>
      <c r="E10345" t="str">
        <f>"07 - B - 104 - Jerry S Jiampetti"</f>
        <v>07 - B - 104 - Jerry S Jiampetti</v>
      </c>
      <c r="F10345" t="str">
        <f>"AICE U.S. HIST 1 AS"</f>
        <v>AICE U.S. HIST 1 AS</v>
      </c>
      <c r="G10345" t="str">
        <f>"17-1751"</f>
        <v>17-1751</v>
      </c>
      <c r="H10345" t="str">
        <f>"B"</f>
        <v>B</v>
      </c>
    </row>
    <row r="10346" spans="1:8" x14ac:dyDescent="0.2">
      <c r="A10346" t="str">
        <f t="shared" si="3743"/>
        <v>0620051690</v>
      </c>
      <c r="B10346" t="str">
        <f t="shared" si="3744"/>
        <v>MELISSA</v>
      </c>
      <c r="C10346" t="str">
        <f t="shared" si="3745"/>
        <v>MARCELIN</v>
      </c>
      <c r="D10346">
        <f>11</f>
        <v>11</v>
      </c>
      <c r="E10346" t="str">
        <f>"05 - B - 202 - Daniel S Katz"</f>
        <v>05 - B - 202 - Daniel S Katz</v>
      </c>
      <c r="F10346" t="str">
        <f>"EXEC INTERN 3 LH"</f>
        <v>EXEC INTERN 3 LH</v>
      </c>
      <c r="G10346" t="str">
        <f>"21-2156"</f>
        <v>21-2156</v>
      </c>
      <c r="H10346" t="str">
        <f>"B"</f>
        <v>B</v>
      </c>
    </row>
    <row r="10347" spans="1:8" x14ac:dyDescent="0.2">
      <c r="A10347" t="str">
        <f t="shared" si="3743"/>
        <v>0620051690</v>
      </c>
      <c r="B10347" t="str">
        <f t="shared" si="3744"/>
        <v>MELISSA</v>
      </c>
      <c r="C10347" t="str">
        <f t="shared" si="3745"/>
        <v>MARCELIN</v>
      </c>
      <c r="D10347">
        <f>11</f>
        <v>11</v>
      </c>
      <c r="E10347" t="str">
        <f>"01 - A - 101 - Brandy N Zdenek"</f>
        <v>01 - A - 101 - Brandy N Zdenek</v>
      </c>
      <c r="F10347" t="str">
        <f>"AICE ENG LANG 2 AL"</f>
        <v>AICE ENG LANG 2 AL</v>
      </c>
      <c r="G10347" t="str">
        <f>"17-1704"</f>
        <v>17-1704</v>
      </c>
      <c r="H10347" t="str">
        <f>"A"</f>
        <v>A</v>
      </c>
    </row>
    <row r="10348" spans="1:8" x14ac:dyDescent="0.2">
      <c r="A10348" t="str">
        <f t="shared" si="3743"/>
        <v>0620051690</v>
      </c>
      <c r="B10348" t="str">
        <f t="shared" si="3744"/>
        <v>MELISSA</v>
      </c>
      <c r="C10348" t="str">
        <f t="shared" si="3745"/>
        <v>MARCELIN</v>
      </c>
      <c r="D10348">
        <f>11</f>
        <v>11</v>
      </c>
      <c r="E10348" t="str">
        <f>"08 - B - 001 - Scott A Dethloff"</f>
        <v>08 - B - 001 - Scott A Dethloff</v>
      </c>
      <c r="F10348" t="str">
        <f>"CHEMISTRY 1 HON"</f>
        <v>CHEMISTRY 1 HON</v>
      </c>
      <c r="G10348" t="str">
        <f>"08-812"</f>
        <v>08-812</v>
      </c>
      <c r="H10348" t="str">
        <f>"B"</f>
        <v>B</v>
      </c>
    </row>
    <row r="10349" spans="1:8" x14ac:dyDescent="0.2">
      <c r="A10349" t="str">
        <f t="shared" ref="A10349:A10357" si="3746">"0614000292"</f>
        <v>0614000292</v>
      </c>
      <c r="B10349" t="str">
        <f t="shared" ref="B10349:B10357" si="3747">"ANGELA"</f>
        <v>ANGELA</v>
      </c>
      <c r="C10349" t="str">
        <f t="shared" ref="C10349:C10375" si="3748">"MARCELON"</f>
        <v>MARCELON</v>
      </c>
      <c r="D10349">
        <f>10</f>
        <v>10</v>
      </c>
      <c r="E10349" t="str">
        <f>"04 - S1 - A - 101 - Kyle  Robbins"</f>
        <v>04 - S1 - A - 101 - Kyle  Robbins</v>
      </c>
      <c r="F10349" t="str">
        <f>"PERS FIN &amp; MON MGT H"</f>
        <v>PERS FIN &amp; MON MGT H</v>
      </c>
      <c r="G10349" t="str">
        <f>"17-1745"</f>
        <v>17-1745</v>
      </c>
      <c r="H10349" t="str">
        <f>"A"</f>
        <v>A</v>
      </c>
    </row>
    <row r="10350" spans="1:8" x14ac:dyDescent="0.2">
      <c r="A10350" t="str">
        <f t="shared" si="3746"/>
        <v>0614000292</v>
      </c>
      <c r="B10350" t="str">
        <f t="shared" si="3747"/>
        <v>ANGELA</v>
      </c>
      <c r="C10350" t="str">
        <f t="shared" si="3748"/>
        <v>MARCELON</v>
      </c>
      <c r="D10350">
        <f>10</f>
        <v>10</v>
      </c>
      <c r="E10350" t="str">
        <f>"06 - B - 002 - Lenecy  Nodarse"</f>
        <v>06 - B - 002 - Lenecy  Nodarse</v>
      </c>
      <c r="F10350" t="str">
        <f>"NC STUDY HALL 1"</f>
        <v>NC STUDY HALL 1</v>
      </c>
      <c r="G10350" t="str">
        <f>"17-1741"</f>
        <v>17-1741</v>
      </c>
      <c r="H10350" t="str">
        <f>"B"</f>
        <v>B</v>
      </c>
    </row>
    <row r="10351" spans="1:8" x14ac:dyDescent="0.2">
      <c r="A10351" t="str">
        <f t="shared" si="3746"/>
        <v>0614000292</v>
      </c>
      <c r="B10351" t="str">
        <f t="shared" si="3747"/>
        <v>ANGELA</v>
      </c>
      <c r="C10351" t="str">
        <f t="shared" si="3748"/>
        <v>MARCELON</v>
      </c>
      <c r="D10351">
        <f>10</f>
        <v>10</v>
      </c>
      <c r="E10351" t="str">
        <f>"06 - B - 106 - Eric  Lopapa"</f>
        <v>06 - B - 106 - Eric  Lopapa</v>
      </c>
      <c r="F10351" t="str">
        <f>"LANG THERAPY"</f>
        <v>LANG THERAPY</v>
      </c>
      <c r="G10351" t="str">
        <f>"21-2110"</f>
        <v>21-2110</v>
      </c>
      <c r="H10351" t="str">
        <f>"B"</f>
        <v>B</v>
      </c>
    </row>
    <row r="10352" spans="1:8" x14ac:dyDescent="0.2">
      <c r="A10352" t="str">
        <f t="shared" si="3746"/>
        <v>0614000292</v>
      </c>
      <c r="B10352" t="str">
        <f t="shared" si="3747"/>
        <v>ANGELA</v>
      </c>
      <c r="C10352" t="str">
        <f t="shared" si="3748"/>
        <v>MARCELON</v>
      </c>
      <c r="D10352">
        <f>10</f>
        <v>10</v>
      </c>
      <c r="E10352" t="str">
        <f>"03 - A - 103 - Taraneh C Abreu"</f>
        <v>03 - A - 103 - Taraneh C Abreu</v>
      </c>
      <c r="F10352" t="str">
        <f>"INTENS READ 2"</f>
        <v>INTENS READ 2</v>
      </c>
      <c r="G10352" t="str">
        <f>"17-1713"</f>
        <v>17-1713</v>
      </c>
      <c r="H10352" t="str">
        <f>"A"</f>
        <v>A</v>
      </c>
    </row>
    <row r="10353" spans="1:8" x14ac:dyDescent="0.2">
      <c r="A10353" t="str">
        <f t="shared" si="3746"/>
        <v>0614000292</v>
      </c>
      <c r="B10353" t="str">
        <f t="shared" si="3747"/>
        <v>ANGELA</v>
      </c>
      <c r="C10353" t="str">
        <f t="shared" si="3748"/>
        <v>MARCELON</v>
      </c>
      <c r="D10353">
        <f>10</f>
        <v>10</v>
      </c>
      <c r="E10353" t="str">
        <f>"02 - A - 001 - Alejandro  Navarro"</f>
        <v>02 - A - 001 - Alejandro  Navarro</v>
      </c>
      <c r="F10353" t="str">
        <f>"BAND 1"</f>
        <v>BAND 1</v>
      </c>
      <c r="G10353" t="str">
        <f>"05-504"</f>
        <v>05-504</v>
      </c>
      <c r="H10353" t="str">
        <f>"A"</f>
        <v>A</v>
      </c>
    </row>
    <row r="10354" spans="1:8" x14ac:dyDescent="0.2">
      <c r="A10354" t="str">
        <f t="shared" si="3746"/>
        <v>0614000292</v>
      </c>
      <c r="B10354" t="str">
        <f t="shared" si="3747"/>
        <v>ANGELA</v>
      </c>
      <c r="C10354" t="str">
        <f t="shared" si="3748"/>
        <v>MARCELON</v>
      </c>
      <c r="D10354">
        <f>10</f>
        <v>10</v>
      </c>
      <c r="E10354" t="str">
        <f>"07 - B - 107 - Adam Marcus  Drucker"</f>
        <v>07 - B - 107 - Adam Marcus  Drucker</v>
      </c>
      <c r="F10354" t="str">
        <f>"HOPE-PE V"</f>
        <v>HOPE-PE V</v>
      </c>
      <c r="G10354" t="str">
        <f>"04-254"</f>
        <v>04-254</v>
      </c>
      <c r="H10354" t="str">
        <f>"B"</f>
        <v>B</v>
      </c>
    </row>
    <row r="10355" spans="1:8" x14ac:dyDescent="0.2">
      <c r="A10355" t="str">
        <f t="shared" si="3746"/>
        <v>0614000292</v>
      </c>
      <c r="B10355" t="str">
        <f t="shared" si="3747"/>
        <v>ANGELA</v>
      </c>
      <c r="C10355" t="str">
        <f t="shared" si="3748"/>
        <v>MARCELON</v>
      </c>
      <c r="D10355">
        <f>10</f>
        <v>10</v>
      </c>
      <c r="E10355" t="str">
        <f>"05 - B - 107 - Nikiel  Nesbeth"</f>
        <v>05 - B - 107 - Nikiel  Nesbeth</v>
      </c>
      <c r="F10355" t="str">
        <f>"ENG 2"</f>
        <v>ENG 2</v>
      </c>
      <c r="G10355" t="str">
        <f>"17-1705"</f>
        <v>17-1705</v>
      </c>
      <c r="H10355" t="str">
        <f>"B"</f>
        <v>B</v>
      </c>
    </row>
    <row r="10356" spans="1:8" x14ac:dyDescent="0.2">
      <c r="A10356" t="str">
        <f t="shared" si="3746"/>
        <v>0614000292</v>
      </c>
      <c r="B10356" t="str">
        <f t="shared" si="3747"/>
        <v>ANGELA</v>
      </c>
      <c r="C10356" t="str">
        <f t="shared" si="3748"/>
        <v>MARCELON</v>
      </c>
      <c r="D10356">
        <f>10</f>
        <v>10</v>
      </c>
      <c r="E10356" t="str">
        <f>"01 - A - 102 - Lytrell T Dixon"</f>
        <v>01 - A - 102 - Lytrell T Dixon</v>
      </c>
      <c r="F10356" t="str">
        <f>"BIOLOGY 1"</f>
        <v>BIOLOGY 1</v>
      </c>
      <c r="G10356" t="str">
        <f>"08-808"</f>
        <v>08-808</v>
      </c>
      <c r="H10356" t="str">
        <f>"A"</f>
        <v>A</v>
      </c>
    </row>
    <row r="10357" spans="1:8" x14ac:dyDescent="0.2">
      <c r="A10357" t="str">
        <f t="shared" si="3746"/>
        <v>0614000292</v>
      </c>
      <c r="B10357" t="str">
        <f t="shared" si="3747"/>
        <v>ANGELA</v>
      </c>
      <c r="C10357" t="str">
        <f t="shared" si="3748"/>
        <v>MARCELON</v>
      </c>
      <c r="D10357">
        <f>10</f>
        <v>10</v>
      </c>
      <c r="E10357" t="str">
        <f>"08 - B - 107 - Brook E Goren"</f>
        <v>08 - B - 107 - Brook E Goren</v>
      </c>
      <c r="F10357" t="str">
        <f>"GEOMETRY"</f>
        <v>GEOMETRY</v>
      </c>
      <c r="G10357" t="str">
        <f>"21-2158"</f>
        <v>21-2158</v>
      </c>
      <c r="H10357" t="str">
        <f>"B"</f>
        <v>B</v>
      </c>
    </row>
    <row r="10358" spans="1:8" x14ac:dyDescent="0.2">
      <c r="A10358" t="str">
        <f t="shared" ref="A10358:A10366" si="3749">"0613058103"</f>
        <v>0613058103</v>
      </c>
      <c r="B10358" t="str">
        <f t="shared" ref="B10358:B10366" si="3750">"CHRISTINE"</f>
        <v>CHRISTINE</v>
      </c>
      <c r="C10358" t="str">
        <f t="shared" si="3748"/>
        <v>MARCELON</v>
      </c>
      <c r="D10358">
        <f>12</f>
        <v>12</v>
      </c>
      <c r="E10358" t="str">
        <f>"04 - A - 102 - Samantha L Martinez"</f>
        <v>04 - A - 102 - Samantha L Martinez</v>
      </c>
      <c r="F10358" t="str">
        <f>"KEYBD 1"</f>
        <v>KEYBD 1</v>
      </c>
      <c r="G10358" t="str">
        <f>"05-505"</f>
        <v>05-505</v>
      </c>
      <c r="H10358" t="str">
        <f>"A"</f>
        <v>A</v>
      </c>
    </row>
    <row r="10359" spans="1:8" x14ac:dyDescent="0.2">
      <c r="A10359" t="str">
        <f t="shared" si="3749"/>
        <v>0613058103</v>
      </c>
      <c r="B10359" t="str">
        <f t="shared" si="3750"/>
        <v>CHRISTINE</v>
      </c>
      <c r="C10359" t="str">
        <f t="shared" si="3748"/>
        <v>MARCELON</v>
      </c>
      <c r="D10359">
        <f>12</f>
        <v>12</v>
      </c>
      <c r="E10359" t="str">
        <f>"06 - B - 110 - Barbara L Segal"</f>
        <v>06 - B - 110 - Barbara L Segal</v>
      </c>
      <c r="F10359" t="str">
        <f>"NC STUDY HALL 1"</f>
        <v>NC STUDY HALL 1</v>
      </c>
      <c r="G10359" t="str">
        <f>"17-1742"</f>
        <v>17-1742</v>
      </c>
      <c r="H10359" t="str">
        <f>"B"</f>
        <v>B</v>
      </c>
    </row>
    <row r="10360" spans="1:8" x14ac:dyDescent="0.2">
      <c r="A10360" t="str">
        <f t="shared" si="3749"/>
        <v>0613058103</v>
      </c>
      <c r="B10360" t="str">
        <f t="shared" si="3750"/>
        <v>CHRISTINE</v>
      </c>
      <c r="C10360" t="str">
        <f t="shared" si="3748"/>
        <v>MARCELON</v>
      </c>
      <c r="D10360">
        <f>12</f>
        <v>12</v>
      </c>
      <c r="E10360" t="str">
        <f>"06 - B - 116 - Karen A Toomer"</f>
        <v>06 - B - 116 - Karen A Toomer</v>
      </c>
      <c r="F10360" t="str">
        <f>"LANG THERAPY"</f>
        <v>LANG THERAPY</v>
      </c>
      <c r="G10360" t="str">
        <f>"21-2110"</f>
        <v>21-2110</v>
      </c>
      <c r="H10360" t="str">
        <f>"B"</f>
        <v>B</v>
      </c>
    </row>
    <row r="10361" spans="1:8" x14ac:dyDescent="0.2">
      <c r="A10361" t="str">
        <f t="shared" si="3749"/>
        <v>0613058103</v>
      </c>
      <c r="B10361" t="str">
        <f t="shared" si="3750"/>
        <v>CHRISTINE</v>
      </c>
      <c r="C10361" t="str">
        <f t="shared" si="3748"/>
        <v>MARCELON</v>
      </c>
      <c r="D10361">
        <f>12</f>
        <v>12</v>
      </c>
      <c r="E10361" t="str">
        <f>"03 - A - 103 - Samantha J Headley"</f>
        <v>03 - A - 103 - Samantha J Headley</v>
      </c>
      <c r="F10361" t="str">
        <f>"MARINE SCI 1 HON"</f>
        <v>MARINE SCI 1 HON</v>
      </c>
      <c r="G10361" t="str">
        <f>"21-2134"</f>
        <v>21-2134</v>
      </c>
      <c r="H10361" t="str">
        <f>"A"</f>
        <v>A</v>
      </c>
    </row>
    <row r="10362" spans="1:8" x14ac:dyDescent="0.2">
      <c r="A10362" t="str">
        <f t="shared" si="3749"/>
        <v>0613058103</v>
      </c>
      <c r="B10362" t="str">
        <f t="shared" si="3750"/>
        <v>CHRISTINE</v>
      </c>
      <c r="C10362" t="str">
        <f t="shared" si="3748"/>
        <v>MARCELON</v>
      </c>
      <c r="D10362">
        <f>12</f>
        <v>12</v>
      </c>
      <c r="E10362" t="str">
        <f>"02 - A - 101 - Robert H Rindner"</f>
        <v>02 - A - 101 - Robert H Rindner</v>
      </c>
      <c r="F10362" t="str">
        <f>"MATH DATA&amp;FIN LIT H"</f>
        <v>MATH DATA&amp;FIN LIT H</v>
      </c>
      <c r="G10362" t="str">
        <f>"21-2160"</f>
        <v>21-2160</v>
      </c>
      <c r="H10362" t="str">
        <f>"A"</f>
        <v>A</v>
      </c>
    </row>
    <row r="10363" spans="1:8" x14ac:dyDescent="0.2">
      <c r="A10363" t="str">
        <f t="shared" si="3749"/>
        <v>0613058103</v>
      </c>
      <c r="B10363" t="str">
        <f t="shared" si="3750"/>
        <v>CHRISTINE</v>
      </c>
      <c r="C10363" t="str">
        <f t="shared" si="3748"/>
        <v>MARCELON</v>
      </c>
      <c r="D10363">
        <f>12</f>
        <v>12</v>
      </c>
      <c r="E10363" t="str">
        <f>"07 - S1 - B - 103 - Robert O Burger"</f>
        <v>07 - S1 - B - 103 - Robert O Burger</v>
      </c>
      <c r="F10363" t="str">
        <f>"US GOVT"</f>
        <v>US GOVT</v>
      </c>
      <c r="G10363" t="str">
        <f>"17-1755"</f>
        <v>17-1755</v>
      </c>
      <c r="H10363" t="str">
        <f>"B"</f>
        <v>B</v>
      </c>
    </row>
    <row r="10364" spans="1:8" x14ac:dyDescent="0.2">
      <c r="A10364" t="str">
        <f t="shared" si="3749"/>
        <v>0613058103</v>
      </c>
      <c r="B10364" t="str">
        <f t="shared" si="3750"/>
        <v>CHRISTINE</v>
      </c>
      <c r="C10364" t="str">
        <f t="shared" si="3748"/>
        <v>MARCELON</v>
      </c>
      <c r="D10364">
        <f>12</f>
        <v>12</v>
      </c>
      <c r="E10364" t="str">
        <f>"05 - B - 103 - Eva T Rimmer"</f>
        <v>05 - B - 103 - Eva T Rimmer</v>
      </c>
      <c r="F10364" t="str">
        <f>"CRIMINAL JUST OPS 1"</f>
        <v>CRIMINAL JUST OPS 1</v>
      </c>
      <c r="G10364" t="str">
        <f>"05-523"</f>
        <v>05-523</v>
      </c>
      <c r="H10364" t="str">
        <f>"B"</f>
        <v>B</v>
      </c>
    </row>
    <row r="10365" spans="1:8" x14ac:dyDescent="0.2">
      <c r="A10365" t="str">
        <f t="shared" si="3749"/>
        <v>0613058103</v>
      </c>
      <c r="B10365" t="str">
        <f t="shared" si="3750"/>
        <v>CHRISTINE</v>
      </c>
      <c r="C10365" t="str">
        <f t="shared" si="3748"/>
        <v>MARCELON</v>
      </c>
      <c r="D10365">
        <f>12</f>
        <v>12</v>
      </c>
      <c r="E10365" t="str">
        <f>"01 - A - 103 - Robyn L Trainer"</f>
        <v>01 - A - 103 - Robyn L Trainer</v>
      </c>
      <c r="F10365" t="str">
        <f>"ENG 4"</f>
        <v>ENG 4</v>
      </c>
      <c r="G10365" t="str">
        <f>"17-1734"</f>
        <v>17-1734</v>
      </c>
      <c r="H10365" t="str">
        <f>"A"</f>
        <v>A</v>
      </c>
    </row>
    <row r="10366" spans="1:8" x14ac:dyDescent="0.2">
      <c r="A10366" t="str">
        <f t="shared" si="3749"/>
        <v>0613058103</v>
      </c>
      <c r="B10366" t="str">
        <f t="shared" si="3750"/>
        <v>CHRISTINE</v>
      </c>
      <c r="C10366" t="str">
        <f t="shared" si="3748"/>
        <v>MARCELON</v>
      </c>
      <c r="D10366">
        <f>12</f>
        <v>12</v>
      </c>
      <c r="E10366" t="str">
        <f>"08 - B - 102 - Carleigh R Carmichael"</f>
        <v>08 - B - 102 - Carleigh R Carmichael</v>
      </c>
      <c r="F10366" t="str">
        <f>"LRNG STRATEGIES 9-12"</f>
        <v>LRNG STRATEGIES 9-12</v>
      </c>
      <c r="G10366" t="str">
        <f>"20-2072"</f>
        <v>20-2072</v>
      </c>
      <c r="H10366" t="str">
        <f>"B"</f>
        <v>B</v>
      </c>
    </row>
    <row r="10367" spans="1:8" x14ac:dyDescent="0.2">
      <c r="A10367" t="str">
        <f t="shared" ref="A10367:A10375" si="3751">"0616024262"</f>
        <v>0616024262</v>
      </c>
      <c r="B10367" t="str">
        <f t="shared" ref="B10367:B10375" si="3752">"JOHNKERRY"</f>
        <v>JOHNKERRY</v>
      </c>
      <c r="C10367" t="str">
        <f t="shared" si="3748"/>
        <v>MARCELON</v>
      </c>
      <c r="D10367" t="str">
        <f t="shared" ref="D10367:D10383" si="3753">"09"</f>
        <v>09</v>
      </c>
      <c r="E10367" t="str">
        <f>"04 - S1 - A - 101 - Leslie J Barton"</f>
        <v>04 - S1 - A - 101 - Leslie J Barton</v>
      </c>
      <c r="F10367" t="str">
        <f>"TEAM SPORTS 1"</f>
        <v>TEAM SPORTS 1</v>
      </c>
      <c r="G10367" t="str">
        <f>"04-254"</f>
        <v>04-254</v>
      </c>
      <c r="H10367" t="str">
        <f>"A"</f>
        <v>A</v>
      </c>
    </row>
    <row r="10368" spans="1:8" x14ac:dyDescent="0.2">
      <c r="A10368" t="str">
        <f t="shared" si="3751"/>
        <v>0616024262</v>
      </c>
      <c r="B10368" t="str">
        <f t="shared" si="3752"/>
        <v>JOHNKERRY</v>
      </c>
      <c r="C10368" t="str">
        <f t="shared" si="3748"/>
        <v>MARCELON</v>
      </c>
      <c r="D10368" t="str">
        <f t="shared" si="3753"/>
        <v>09</v>
      </c>
      <c r="E10368" t="str">
        <f>"06 - B - 002 - Amy Beth  Broyles"</f>
        <v>06 - B - 002 - Amy Beth  Broyles</v>
      </c>
      <c r="F10368" t="str">
        <f>"ENV SCI"</f>
        <v>ENV SCI</v>
      </c>
      <c r="G10368" t="str">
        <f>"08-802"</f>
        <v>08-802</v>
      </c>
      <c r="H10368" t="str">
        <f>"B"</f>
        <v>B</v>
      </c>
    </row>
    <row r="10369" spans="1:8" x14ac:dyDescent="0.2">
      <c r="A10369" t="str">
        <f t="shared" si="3751"/>
        <v>0616024262</v>
      </c>
      <c r="B10369" t="str">
        <f t="shared" si="3752"/>
        <v>JOHNKERRY</v>
      </c>
      <c r="C10369" t="str">
        <f t="shared" si="3748"/>
        <v>MARCELON</v>
      </c>
      <c r="D10369" t="str">
        <f t="shared" si="3753"/>
        <v>09</v>
      </c>
      <c r="E10369" t="str">
        <f>"03 - A - 102 - Laselleda D Shaw"</f>
        <v>03 - A - 102 - Laselleda D Shaw</v>
      </c>
      <c r="F10369" t="str">
        <f>"INTENS READ 1"</f>
        <v>INTENS READ 1</v>
      </c>
      <c r="G10369" t="str">
        <f>"17-1723"</f>
        <v>17-1723</v>
      </c>
      <c r="H10369" t="str">
        <f>"A"</f>
        <v>A</v>
      </c>
    </row>
    <row r="10370" spans="1:8" x14ac:dyDescent="0.2">
      <c r="A10370" t="str">
        <f t="shared" si="3751"/>
        <v>0616024262</v>
      </c>
      <c r="B10370" t="str">
        <f t="shared" si="3752"/>
        <v>JOHNKERRY</v>
      </c>
      <c r="C10370" t="str">
        <f t="shared" si="3748"/>
        <v>MARCELON</v>
      </c>
      <c r="D10370" t="str">
        <f t="shared" si="3753"/>
        <v>09</v>
      </c>
      <c r="E10370" t="str">
        <f>"02 - A - 112 - Cheryl Anne  Berman-Schechter"</f>
        <v>02 - A - 112 - Cheryl Anne  Berman-Schechter</v>
      </c>
      <c r="F10370" t="str">
        <f>"NC STUDY HALL 1"</f>
        <v>NC STUDY HALL 1</v>
      </c>
      <c r="G10370" t="str">
        <f>"17-1722"</f>
        <v>17-1722</v>
      </c>
      <c r="H10370" t="str">
        <f>"A"</f>
        <v>A</v>
      </c>
    </row>
    <row r="10371" spans="1:8" x14ac:dyDescent="0.2">
      <c r="A10371" t="str">
        <f t="shared" si="3751"/>
        <v>0616024262</v>
      </c>
      <c r="B10371" t="str">
        <f t="shared" si="3752"/>
        <v>JOHNKERRY</v>
      </c>
      <c r="C10371" t="str">
        <f t="shared" si="3748"/>
        <v>MARCELON</v>
      </c>
      <c r="D10371" t="str">
        <f t="shared" si="3753"/>
        <v>09</v>
      </c>
      <c r="E10371" t="str">
        <f>"02 - A - 102 - Eric  Lopapa"</f>
        <v>02 - A - 102 - Eric  Lopapa</v>
      </c>
      <c r="F10371" t="str">
        <f>"LANG THERAPY"</f>
        <v>LANG THERAPY</v>
      </c>
      <c r="G10371" t="str">
        <f>"21-2110"</f>
        <v>21-2110</v>
      </c>
      <c r="H10371" t="str">
        <f>"A"</f>
        <v>A</v>
      </c>
    </row>
    <row r="10372" spans="1:8" x14ac:dyDescent="0.2">
      <c r="A10372" t="str">
        <f t="shared" si="3751"/>
        <v>0616024262</v>
      </c>
      <c r="B10372" t="str">
        <f t="shared" si="3752"/>
        <v>JOHNKERRY</v>
      </c>
      <c r="C10372" t="str">
        <f t="shared" si="3748"/>
        <v>MARCELON</v>
      </c>
      <c r="D10372" t="str">
        <f t="shared" si="3753"/>
        <v>09</v>
      </c>
      <c r="E10372" t="str">
        <f>"07 - B - 107 - Cerine S Stewart"</f>
        <v>07 - B - 107 - Cerine S Stewart</v>
      </c>
      <c r="F10372" t="str">
        <f>"ENG 1"</f>
        <v>ENG 1</v>
      </c>
      <c r="G10372" t="str">
        <f>"17-1720"</f>
        <v>17-1720</v>
      </c>
      <c r="H10372" t="str">
        <f>"B"</f>
        <v>B</v>
      </c>
    </row>
    <row r="10373" spans="1:8" x14ac:dyDescent="0.2">
      <c r="A10373" t="str">
        <f t="shared" si="3751"/>
        <v>0616024262</v>
      </c>
      <c r="B10373" t="str">
        <f t="shared" si="3752"/>
        <v>JOHNKERRY</v>
      </c>
      <c r="C10373" t="str">
        <f t="shared" si="3748"/>
        <v>MARCELON</v>
      </c>
      <c r="D10373" t="str">
        <f t="shared" si="3753"/>
        <v>09</v>
      </c>
      <c r="E10373" t="str">
        <f>"05 - B - 102 - Tina L Lovett"</f>
        <v>05 - B - 102 - Tina L Lovett</v>
      </c>
      <c r="F10373" t="str">
        <f>"PRE-AICE MATH 1 IG"</f>
        <v>PRE-AICE MATH 1 IG</v>
      </c>
      <c r="G10373" t="str">
        <f>"21-2153"</f>
        <v>21-2153</v>
      </c>
      <c r="H10373" t="str">
        <f>"B"</f>
        <v>B</v>
      </c>
    </row>
    <row r="10374" spans="1:8" x14ac:dyDescent="0.2">
      <c r="A10374" t="str">
        <f t="shared" si="3751"/>
        <v>0616024262</v>
      </c>
      <c r="B10374" t="str">
        <f t="shared" si="3752"/>
        <v>JOHNKERRY</v>
      </c>
      <c r="C10374" t="str">
        <f t="shared" si="3748"/>
        <v>MARCELON</v>
      </c>
      <c r="D10374" t="str">
        <f t="shared" si="3753"/>
        <v>09</v>
      </c>
      <c r="E10374" t="str">
        <f>"01 - A - 504 - Alejandro  Navarro"</f>
        <v>01 - A - 504 - Alejandro  Navarro</v>
      </c>
      <c r="F10374" t="str">
        <f>"BAND 1"</f>
        <v>BAND 1</v>
      </c>
      <c r="G10374" t="str">
        <f>"05-504"</f>
        <v>05-504</v>
      </c>
      <c r="H10374" t="str">
        <f>"A"</f>
        <v>A</v>
      </c>
    </row>
    <row r="10375" spans="1:8" x14ac:dyDescent="0.2">
      <c r="A10375" t="str">
        <f t="shared" si="3751"/>
        <v>0616024262</v>
      </c>
      <c r="B10375" t="str">
        <f t="shared" si="3752"/>
        <v>JOHNKERRY</v>
      </c>
      <c r="C10375" t="str">
        <f t="shared" si="3748"/>
        <v>MARCELON</v>
      </c>
      <c r="D10375" t="str">
        <f t="shared" si="3753"/>
        <v>09</v>
      </c>
      <c r="E10375" t="str">
        <f>"08 - B - 101 - Elizabeth Ellen  Moran"</f>
        <v>08 - B - 101 - Elizabeth Ellen  Moran</v>
      </c>
      <c r="F10375" t="str">
        <f>"WORLD HISTORY"</f>
        <v>WORLD HISTORY</v>
      </c>
      <c r="G10375" t="str">
        <f>"17-1752"</f>
        <v>17-1752</v>
      </c>
      <c r="H10375" t="str">
        <f>"B"</f>
        <v>B</v>
      </c>
    </row>
    <row r="10376" spans="1:8" x14ac:dyDescent="0.2">
      <c r="A10376" t="str">
        <f t="shared" ref="A10376:A10383" si="3754">"0615007759"</f>
        <v>0615007759</v>
      </c>
      <c r="B10376" t="str">
        <f t="shared" ref="B10376:B10383" si="3755">"JOSHUA"</f>
        <v>JOSHUA</v>
      </c>
      <c r="C10376" t="str">
        <f t="shared" ref="C10376:C10383" si="3756">"MARIANO"</f>
        <v>MARIANO</v>
      </c>
      <c r="D10376" t="str">
        <f t="shared" si="3753"/>
        <v>09</v>
      </c>
      <c r="E10376" t="str">
        <f>"04 - A - 105 - Carol S Moore"</f>
        <v>04 - A - 105 - Carol S Moore</v>
      </c>
      <c r="F10376" t="str">
        <f>"PRE-AICE WRLD HST IG"</f>
        <v>PRE-AICE WRLD HST IG</v>
      </c>
      <c r="G10376" t="str">
        <f>"17-1733"</f>
        <v>17-1733</v>
      </c>
      <c r="H10376" t="str">
        <f>"A"</f>
        <v>A</v>
      </c>
    </row>
    <row r="10377" spans="1:8" x14ac:dyDescent="0.2">
      <c r="A10377" t="str">
        <f t="shared" si="3754"/>
        <v>0615007759</v>
      </c>
      <c r="B10377" t="str">
        <f t="shared" si="3755"/>
        <v>JOSHUA</v>
      </c>
      <c r="C10377" t="str">
        <f t="shared" si="3756"/>
        <v>MARIANO</v>
      </c>
      <c r="D10377" t="str">
        <f t="shared" si="3753"/>
        <v>09</v>
      </c>
      <c r="E10377" t="str">
        <f>"06 - B - 102 - Angela S Adeshina-Morrison"</f>
        <v>06 - B - 102 - Angela S Adeshina-Morrison</v>
      </c>
      <c r="F10377" t="str">
        <f>"MARKETING ESSENTIALS"</f>
        <v>MARKETING ESSENTIALS</v>
      </c>
      <c r="G10377" t="str">
        <f>"05-518"</f>
        <v>05-518</v>
      </c>
      <c r="H10377" t="str">
        <f>"B"</f>
        <v>B</v>
      </c>
    </row>
    <row r="10378" spans="1:8" x14ac:dyDescent="0.2">
      <c r="A10378" t="str">
        <f t="shared" si="3754"/>
        <v>0615007759</v>
      </c>
      <c r="B10378" t="str">
        <f t="shared" si="3755"/>
        <v>JOSHUA</v>
      </c>
      <c r="C10378" t="str">
        <f t="shared" si="3756"/>
        <v>MARIANO</v>
      </c>
      <c r="D10378" t="str">
        <f t="shared" si="3753"/>
        <v>09</v>
      </c>
      <c r="E10378" t="str">
        <f>"03 - A - 201 - Emmily A Sarmiento"</f>
        <v>03 - A - 201 - Emmily A Sarmiento</v>
      </c>
      <c r="F10378" t="str">
        <f>"LEAD SKLS DEV LH"</f>
        <v>LEAD SKLS DEV LH</v>
      </c>
      <c r="G10378" t="str">
        <f>"17-1743"</f>
        <v>17-1743</v>
      </c>
      <c r="H10378" t="str">
        <f>"A"</f>
        <v>A</v>
      </c>
    </row>
    <row r="10379" spans="1:8" x14ac:dyDescent="0.2">
      <c r="A10379" t="str">
        <f t="shared" si="3754"/>
        <v>0615007759</v>
      </c>
      <c r="B10379" t="str">
        <f t="shared" si="3755"/>
        <v>JOSHUA</v>
      </c>
      <c r="C10379" t="str">
        <f t="shared" si="3756"/>
        <v>MARIANO</v>
      </c>
      <c r="D10379" t="str">
        <f t="shared" si="3753"/>
        <v>09</v>
      </c>
      <c r="E10379" t="str">
        <f>"02 - A - 116 - Tina L Lovett"</f>
        <v>02 - A - 116 - Tina L Lovett</v>
      </c>
      <c r="F10379" t="str">
        <f>"NC STUDY HALL 1"</f>
        <v>NC STUDY HALL 1</v>
      </c>
      <c r="G10379" t="str">
        <f>"21-2153"</f>
        <v>21-2153</v>
      </c>
      <c r="H10379" t="str">
        <f>"A"</f>
        <v>A</v>
      </c>
    </row>
    <row r="10380" spans="1:8" x14ac:dyDescent="0.2">
      <c r="A10380" t="str">
        <f t="shared" si="3754"/>
        <v>0615007759</v>
      </c>
      <c r="B10380" t="str">
        <f t="shared" si="3755"/>
        <v>JOSHUA</v>
      </c>
      <c r="C10380" t="str">
        <f t="shared" si="3756"/>
        <v>MARIANO</v>
      </c>
      <c r="D10380" t="str">
        <f t="shared" si="3753"/>
        <v>09</v>
      </c>
      <c r="E10380" t="str">
        <f>"07 - B - 105 - Josiah I Lacy"</f>
        <v>07 - B - 105 - Josiah I Lacy</v>
      </c>
      <c r="F10380" t="str">
        <f>"ANAT PHYSIO HON"</f>
        <v>ANAT PHYSIO HON</v>
      </c>
      <c r="G10380" t="str">
        <f>"08-801"</f>
        <v>08-801</v>
      </c>
      <c r="H10380" t="str">
        <f>"B"</f>
        <v>B</v>
      </c>
    </row>
    <row r="10381" spans="1:8" x14ac:dyDescent="0.2">
      <c r="A10381" t="str">
        <f t="shared" si="3754"/>
        <v>0615007759</v>
      </c>
      <c r="B10381" t="str">
        <f t="shared" si="3755"/>
        <v>JOSHUA</v>
      </c>
      <c r="C10381" t="str">
        <f t="shared" si="3756"/>
        <v>MARIANO</v>
      </c>
      <c r="D10381" t="str">
        <f t="shared" si="3753"/>
        <v>09</v>
      </c>
      <c r="E10381" t="str">
        <f>"05 - B - 104 - Joe  Kilpatrick Jr"</f>
        <v>05 - B - 104 - Joe  Kilpatrick Jr</v>
      </c>
      <c r="F10381" t="str">
        <f>"PRE-AICE SPAN 1 IG"</f>
        <v>PRE-AICE SPAN 1 IG</v>
      </c>
      <c r="G10381" t="str">
        <f>"09-912"</f>
        <v>09-912</v>
      </c>
      <c r="H10381" t="str">
        <f>"B"</f>
        <v>B</v>
      </c>
    </row>
    <row r="10382" spans="1:8" x14ac:dyDescent="0.2">
      <c r="A10382" t="str">
        <f t="shared" si="3754"/>
        <v>0615007759</v>
      </c>
      <c r="B10382" t="str">
        <f t="shared" si="3755"/>
        <v>JOSHUA</v>
      </c>
      <c r="C10382" t="str">
        <f t="shared" si="3756"/>
        <v>MARIANO</v>
      </c>
      <c r="D10382" t="str">
        <f t="shared" si="3753"/>
        <v>09</v>
      </c>
      <c r="E10382" t="str">
        <f>"01 - A - 102 - Brook E Goren"</f>
        <v>01 - A - 102 - Brook E Goren</v>
      </c>
      <c r="F10382" t="str">
        <f>"PRE-AICE MATH 2 IG"</f>
        <v>PRE-AICE MATH 2 IG</v>
      </c>
      <c r="G10382" t="str">
        <f>"21-2158"</f>
        <v>21-2158</v>
      </c>
      <c r="H10382" t="str">
        <f>"A"</f>
        <v>A</v>
      </c>
    </row>
    <row r="10383" spans="1:8" x14ac:dyDescent="0.2">
      <c r="A10383" t="str">
        <f t="shared" si="3754"/>
        <v>0615007759</v>
      </c>
      <c r="B10383" t="str">
        <f t="shared" si="3755"/>
        <v>JOSHUA</v>
      </c>
      <c r="C10383" t="str">
        <f t="shared" si="3756"/>
        <v>MARIANO</v>
      </c>
      <c r="D10383" t="str">
        <f t="shared" si="3753"/>
        <v>09</v>
      </c>
      <c r="E10383" t="str">
        <f>"08 - B - 004 - Cheryl Anne  Berman-Schechter"</f>
        <v>08 - B - 004 - Cheryl Anne  Berman-Schechter</v>
      </c>
      <c r="F10383" t="str">
        <f>"AICE ENG GEN PAPER 1"</f>
        <v>AICE ENG GEN PAPER 1</v>
      </c>
      <c r="G10383" t="str">
        <f>"17-1722"</f>
        <v>17-1722</v>
      </c>
      <c r="H10383" t="str">
        <f>"B"</f>
        <v>B</v>
      </c>
    </row>
    <row r="10384" spans="1:8" x14ac:dyDescent="0.2">
      <c r="A10384" t="str">
        <f t="shared" ref="A10384:A10391" si="3757">"0616050594"</f>
        <v>0616050594</v>
      </c>
      <c r="B10384" t="str">
        <f t="shared" ref="B10384:B10391" si="3758">"SARAH"</f>
        <v>SARAH</v>
      </c>
      <c r="C10384" t="str">
        <f t="shared" ref="C10384:C10391" si="3759">"MARIN"</f>
        <v>MARIN</v>
      </c>
      <c r="D10384">
        <f>10</f>
        <v>10</v>
      </c>
      <c r="E10384" t="str">
        <f>"04 - A - 103 - Lourivaldo  Da Silva"</f>
        <v>04 - A - 103 - Lourivaldo  Da Silva</v>
      </c>
      <c r="F10384" t="str">
        <f>"PRE-CALCULUS HON"</f>
        <v>PRE-CALCULUS HON</v>
      </c>
      <c r="G10384" t="str">
        <f>"20-2079"</f>
        <v>20-2079</v>
      </c>
      <c r="H10384" t="str">
        <f>"A"</f>
        <v>A</v>
      </c>
    </row>
    <row r="10385" spans="1:8" x14ac:dyDescent="0.2">
      <c r="A10385" t="str">
        <f t="shared" si="3757"/>
        <v>0616050594</v>
      </c>
      <c r="B10385" t="str">
        <f t="shared" si="3758"/>
        <v>SARAH</v>
      </c>
      <c r="C10385" t="str">
        <f t="shared" si="3759"/>
        <v>MARIN</v>
      </c>
      <c r="D10385">
        <f>10</f>
        <v>10</v>
      </c>
      <c r="E10385" t="str">
        <f>"06 - B - 110 - Jerry S Jiampetti"</f>
        <v>06 - B - 110 - Jerry S Jiampetti</v>
      </c>
      <c r="F10385" t="str">
        <f>"NC STUDY HALL 1"</f>
        <v>NC STUDY HALL 1</v>
      </c>
      <c r="G10385" t="str">
        <f>"17-1751"</f>
        <v>17-1751</v>
      </c>
      <c r="H10385" t="str">
        <f>"B"</f>
        <v>B</v>
      </c>
    </row>
    <row r="10386" spans="1:8" x14ac:dyDescent="0.2">
      <c r="A10386" t="str">
        <f t="shared" si="3757"/>
        <v>0616050594</v>
      </c>
      <c r="B10386" t="str">
        <f t="shared" si="3758"/>
        <v>SARAH</v>
      </c>
      <c r="C10386" t="str">
        <f t="shared" si="3759"/>
        <v>MARIN</v>
      </c>
      <c r="D10386">
        <f>10</f>
        <v>10</v>
      </c>
      <c r="E10386" t="str">
        <f>"03 - A - 101 - Scott A Dethloff"</f>
        <v>03 - A - 101 - Scott A Dethloff</v>
      </c>
      <c r="F10386" t="str">
        <f>"CHEMISTRY 1 HON"</f>
        <v>CHEMISTRY 1 HON</v>
      </c>
      <c r="G10386" t="str">
        <f>"08-812"</f>
        <v>08-812</v>
      </c>
      <c r="H10386" t="str">
        <f>"A"</f>
        <v>A</v>
      </c>
    </row>
    <row r="10387" spans="1:8" x14ac:dyDescent="0.2">
      <c r="A10387" t="str">
        <f t="shared" si="3757"/>
        <v>0616050594</v>
      </c>
      <c r="B10387" t="str">
        <f t="shared" si="3758"/>
        <v>SARAH</v>
      </c>
      <c r="C10387" t="str">
        <f t="shared" si="3759"/>
        <v>MARIN</v>
      </c>
      <c r="D10387">
        <f>10</f>
        <v>10</v>
      </c>
      <c r="E10387" t="str">
        <f>"02 - A - 103 - Lenecy  Nodarse"</f>
        <v>02 - A - 103 - Lenecy  Nodarse</v>
      </c>
      <c r="F10387" t="str">
        <f>"AICE EURO HIST 1 AS"</f>
        <v>AICE EURO HIST 1 AS</v>
      </c>
      <c r="G10387" t="str">
        <f>"17-1741"</f>
        <v>17-1741</v>
      </c>
      <c r="H10387" t="str">
        <f>"A"</f>
        <v>A</v>
      </c>
    </row>
    <row r="10388" spans="1:8" x14ac:dyDescent="0.2">
      <c r="A10388" t="str">
        <f t="shared" si="3757"/>
        <v>0616050594</v>
      </c>
      <c r="B10388" t="str">
        <f t="shared" si="3758"/>
        <v>SARAH</v>
      </c>
      <c r="C10388" t="str">
        <f t="shared" si="3759"/>
        <v>MARIN</v>
      </c>
      <c r="D10388">
        <f>10</f>
        <v>10</v>
      </c>
      <c r="E10388" t="str">
        <f>"07 - B - 204 - Stefanie S Scher"</f>
        <v>07 - B - 204 - Stefanie S Scher</v>
      </c>
      <c r="F10388" t="str">
        <f>"AP PSYCH"</f>
        <v>AP PSYCH</v>
      </c>
      <c r="G10388" t="str">
        <f>"17-1735"</f>
        <v>17-1735</v>
      </c>
      <c r="H10388" t="str">
        <f>"B"</f>
        <v>B</v>
      </c>
    </row>
    <row r="10389" spans="1:8" x14ac:dyDescent="0.2">
      <c r="A10389" t="str">
        <f t="shared" si="3757"/>
        <v>0616050594</v>
      </c>
      <c r="B10389" t="str">
        <f t="shared" si="3758"/>
        <v>SARAH</v>
      </c>
      <c r="C10389" t="str">
        <f t="shared" si="3759"/>
        <v>MARIN</v>
      </c>
      <c r="D10389">
        <f>10</f>
        <v>10</v>
      </c>
      <c r="E10389" t="str">
        <f>"05 - B - 106 - Courtney E Hambright"</f>
        <v>05 - B - 106 - Courtney E Hambright</v>
      </c>
      <c r="F10389" t="str">
        <f>"AICE ENG LANG AS"</f>
        <v>AICE ENG LANG AS</v>
      </c>
      <c r="G10389" t="str">
        <f>"17-1711"</f>
        <v>17-1711</v>
      </c>
      <c r="H10389" t="str">
        <f>"B"</f>
        <v>B</v>
      </c>
    </row>
    <row r="10390" spans="1:8" x14ac:dyDescent="0.2">
      <c r="A10390" t="str">
        <f t="shared" si="3757"/>
        <v>0616050594</v>
      </c>
      <c r="B10390" t="str">
        <f t="shared" si="3758"/>
        <v>SARAH</v>
      </c>
      <c r="C10390" t="str">
        <f t="shared" si="3759"/>
        <v>MARIN</v>
      </c>
      <c r="D10390">
        <f>10</f>
        <v>10</v>
      </c>
      <c r="E10390" t="str">
        <f>"01 - A - 101 - Nikiel  Nesbeth"</f>
        <v>01 - A - 101 - Nikiel  Nesbeth</v>
      </c>
      <c r="F10390" t="str">
        <f>"CONST LAW HON"</f>
        <v>CONST LAW HON</v>
      </c>
      <c r="G10390" t="str">
        <f>"17-1705"</f>
        <v>17-1705</v>
      </c>
      <c r="H10390" t="str">
        <f>"A"</f>
        <v>A</v>
      </c>
    </row>
    <row r="10391" spans="1:8" x14ac:dyDescent="0.2">
      <c r="A10391" t="str">
        <f t="shared" si="3757"/>
        <v>0616050594</v>
      </c>
      <c r="B10391" t="str">
        <f t="shared" si="3758"/>
        <v>SARAH</v>
      </c>
      <c r="C10391" t="str">
        <f t="shared" si="3759"/>
        <v>MARIN</v>
      </c>
      <c r="D10391">
        <f>10</f>
        <v>10</v>
      </c>
      <c r="E10391" t="str">
        <f>"08 - B - 101 - Rosa Elaine  Collado-Duff"</f>
        <v>08 - B - 101 - Rosa Elaine  Collado-Duff</v>
      </c>
      <c r="F10391" t="str">
        <f>"AP SPANISH LANG &amp; CU"</f>
        <v>AP SPANISH LANG &amp; CU</v>
      </c>
      <c r="G10391" t="str">
        <f>"09-913"</f>
        <v>09-913</v>
      </c>
      <c r="H10391" t="str">
        <f>"B"</f>
        <v>B</v>
      </c>
    </row>
    <row r="10392" spans="1:8" x14ac:dyDescent="0.2">
      <c r="A10392" t="str">
        <f t="shared" ref="A10392:A10399" si="3760">"0617072262"</f>
        <v>0617072262</v>
      </c>
      <c r="B10392" t="str">
        <f t="shared" ref="B10392:B10399" si="3761">"VIRGINIA"</f>
        <v>VIRGINIA</v>
      </c>
      <c r="C10392" t="str">
        <f t="shared" ref="C10392:C10399" si="3762">"MARING"</f>
        <v>MARING</v>
      </c>
      <c r="D10392">
        <f>12</f>
        <v>12</v>
      </c>
      <c r="E10392" t="str">
        <f>"04 - A - 104 - Robert H Rindner"</f>
        <v>04 - A - 104 - Robert H Rindner</v>
      </c>
      <c r="F10392" t="str">
        <f>"MATH DATA&amp;FIN LIT H"</f>
        <v>MATH DATA&amp;FIN LIT H</v>
      </c>
      <c r="G10392" t="str">
        <f>"21-2160"</f>
        <v>21-2160</v>
      </c>
      <c r="H10392" t="str">
        <f>"A"</f>
        <v>A</v>
      </c>
    </row>
    <row r="10393" spans="1:8" x14ac:dyDescent="0.2">
      <c r="A10393" t="str">
        <f t="shared" si="3760"/>
        <v>0617072262</v>
      </c>
      <c r="B10393" t="str">
        <f t="shared" si="3761"/>
        <v>VIRGINIA</v>
      </c>
      <c r="C10393" t="str">
        <f t="shared" si="3762"/>
        <v>MARING</v>
      </c>
      <c r="D10393">
        <f>12</f>
        <v>12</v>
      </c>
      <c r="E10393" t="str">
        <f>"06 - B - 105 - Robyn L Trainer"</f>
        <v>06 - B - 105 - Robyn L Trainer</v>
      </c>
      <c r="F10393" t="str">
        <f>"NC STUDY HALL 1"</f>
        <v>NC STUDY HALL 1</v>
      </c>
      <c r="G10393" t="str">
        <f>"17-1734"</f>
        <v>17-1734</v>
      </c>
      <c r="H10393" t="str">
        <f>"B"</f>
        <v>B</v>
      </c>
    </row>
    <row r="10394" spans="1:8" x14ac:dyDescent="0.2">
      <c r="A10394" t="str">
        <f t="shared" si="3760"/>
        <v>0617072262</v>
      </c>
      <c r="B10394" t="str">
        <f t="shared" si="3761"/>
        <v>VIRGINIA</v>
      </c>
      <c r="C10394" t="str">
        <f t="shared" si="3762"/>
        <v>MARING</v>
      </c>
      <c r="D10394">
        <f>12</f>
        <v>12</v>
      </c>
      <c r="E10394" t="str">
        <f>"03 - A - 103 - Adam Marcus  Drucker"</f>
        <v>03 - A - 103 - Adam Marcus  Drucker</v>
      </c>
      <c r="F10394" t="str">
        <f>"HOPE-PE V"</f>
        <v>HOPE-PE V</v>
      </c>
      <c r="G10394" t="str">
        <f>"04-254"</f>
        <v>04-254</v>
      </c>
      <c r="H10394" t="str">
        <f>"A"</f>
        <v>A</v>
      </c>
    </row>
    <row r="10395" spans="1:8" x14ac:dyDescent="0.2">
      <c r="A10395" t="str">
        <f t="shared" si="3760"/>
        <v>0617072262</v>
      </c>
      <c r="B10395" t="str">
        <f t="shared" si="3761"/>
        <v>VIRGINIA</v>
      </c>
      <c r="C10395" t="str">
        <f t="shared" si="3762"/>
        <v>MARING</v>
      </c>
      <c r="D10395">
        <f>12</f>
        <v>12</v>
      </c>
      <c r="E10395" t="str">
        <f>"02 - A - 103 - Dorothy D Moore"</f>
        <v>02 - A - 103 - Dorothy D Moore</v>
      </c>
      <c r="F10395" t="str">
        <f>"ANAT PHYSIO HON"</f>
        <v>ANAT PHYSIO HON</v>
      </c>
      <c r="G10395" t="str">
        <f>"08-803"</f>
        <v>08-803</v>
      </c>
      <c r="H10395" t="str">
        <f>"A"</f>
        <v>A</v>
      </c>
    </row>
    <row r="10396" spans="1:8" x14ac:dyDescent="0.2">
      <c r="A10396" t="str">
        <f t="shared" si="3760"/>
        <v>0617072262</v>
      </c>
      <c r="B10396" t="str">
        <f t="shared" si="3761"/>
        <v>VIRGINIA</v>
      </c>
      <c r="C10396" t="str">
        <f t="shared" si="3762"/>
        <v>MARING</v>
      </c>
      <c r="D10396">
        <f>12</f>
        <v>12</v>
      </c>
      <c r="E10396" t="str">
        <f>"07 - B - 102 - Courtney E Hambright"</f>
        <v>07 - B - 102 - Courtney E Hambright</v>
      </c>
      <c r="F10396" t="str">
        <f>"AP ENG LIT COMPO"</f>
        <v>AP ENG LIT COMPO</v>
      </c>
      <c r="G10396" t="str">
        <f>"17-1711"</f>
        <v>17-1711</v>
      </c>
      <c r="H10396" t="str">
        <f>"B"</f>
        <v>B</v>
      </c>
    </row>
    <row r="10397" spans="1:8" x14ac:dyDescent="0.2">
      <c r="A10397" t="str">
        <f t="shared" si="3760"/>
        <v>0617072262</v>
      </c>
      <c r="B10397" t="str">
        <f t="shared" si="3761"/>
        <v>VIRGINIA</v>
      </c>
      <c r="C10397" t="str">
        <f t="shared" si="3762"/>
        <v>MARING</v>
      </c>
      <c r="D10397">
        <f>12</f>
        <v>12</v>
      </c>
      <c r="E10397" t="str">
        <f>"05 - S1 - B - 102 - Barbara L Segal"</f>
        <v>05 - S1 - B - 102 - Barbara L Segal</v>
      </c>
      <c r="F10397" t="str">
        <f>"US GOVT HON"</f>
        <v>US GOVT HON</v>
      </c>
      <c r="G10397" t="str">
        <f>"17-1742"</f>
        <v>17-1742</v>
      </c>
      <c r="H10397" t="str">
        <f>"B"</f>
        <v>B</v>
      </c>
    </row>
    <row r="10398" spans="1:8" x14ac:dyDescent="0.2">
      <c r="A10398" t="str">
        <f t="shared" si="3760"/>
        <v>0617072262</v>
      </c>
      <c r="B10398" t="str">
        <f t="shared" si="3761"/>
        <v>VIRGINIA</v>
      </c>
      <c r="C10398" t="str">
        <f t="shared" si="3762"/>
        <v>MARING</v>
      </c>
      <c r="D10398">
        <f>12</f>
        <v>12</v>
      </c>
      <c r="E10398" t="str">
        <f>"01 - A - 101 - Chrystina M Marchionne"</f>
        <v>01 - A - 101 - Chrystina M Marchionne</v>
      </c>
      <c r="F10398" t="str">
        <f>"AICE MEDIA STUDIES A"</f>
        <v>AICE MEDIA STUDIES A</v>
      </c>
      <c r="G10398" t="str">
        <f>"05-520"</f>
        <v>05-520</v>
      </c>
      <c r="H10398" t="str">
        <f>"A"</f>
        <v>A</v>
      </c>
    </row>
    <row r="10399" spans="1:8" x14ac:dyDescent="0.2">
      <c r="A10399" t="str">
        <f t="shared" si="3760"/>
        <v>0617072262</v>
      </c>
      <c r="B10399" t="str">
        <f t="shared" si="3761"/>
        <v>VIRGINIA</v>
      </c>
      <c r="C10399" t="str">
        <f t="shared" si="3762"/>
        <v>MARING</v>
      </c>
      <c r="D10399">
        <f>12</f>
        <v>12</v>
      </c>
      <c r="E10399" t="str">
        <f>"08 - B - 101 - Marius D Orsolini"</f>
        <v>08 - B - 101 - Marius D Orsolini</v>
      </c>
      <c r="F10399" t="str">
        <f>"CULINARY ARTS 2"</f>
        <v>CULINARY ARTS 2</v>
      </c>
      <c r="G10399" t="str">
        <f>"21-2115"</f>
        <v>21-2115</v>
      </c>
      <c r="H10399" t="str">
        <f>"B"</f>
        <v>B</v>
      </c>
    </row>
    <row r="10400" spans="1:8" x14ac:dyDescent="0.2">
      <c r="A10400" t="str">
        <f t="shared" ref="A10400:A10407" si="3763">"0615023616"</f>
        <v>0615023616</v>
      </c>
      <c r="B10400" t="str">
        <f t="shared" ref="B10400:B10407" si="3764">"JOSHUA"</f>
        <v>JOSHUA</v>
      </c>
      <c r="C10400" t="str">
        <f t="shared" ref="C10400:C10407" si="3765">"MARION"</f>
        <v>MARION</v>
      </c>
      <c r="D10400">
        <f>11</f>
        <v>11</v>
      </c>
      <c r="E10400" t="str">
        <f>"04 - S1 - A - 103 - Rory T Sponsler"</f>
        <v>04 - S1 - A - 103 - Rory T Sponsler</v>
      </c>
      <c r="F10400" t="str">
        <f>"WOMENS STUDIES LH"</f>
        <v>WOMENS STUDIES LH</v>
      </c>
      <c r="G10400" t="str">
        <f>"17-1740"</f>
        <v>17-1740</v>
      </c>
      <c r="H10400" t="str">
        <f>"A"</f>
        <v>A</v>
      </c>
    </row>
    <row r="10401" spans="1:8" x14ac:dyDescent="0.2">
      <c r="A10401" t="str">
        <f t="shared" si="3763"/>
        <v>0615023616</v>
      </c>
      <c r="B10401" t="str">
        <f t="shared" si="3764"/>
        <v>JOSHUA</v>
      </c>
      <c r="C10401" t="str">
        <f t="shared" si="3765"/>
        <v>MARION</v>
      </c>
      <c r="D10401">
        <f>11</f>
        <v>11</v>
      </c>
      <c r="E10401" t="str">
        <f>"06 - B - 105 - Elizabeth Ellen  Moran"</f>
        <v>06 - B - 105 - Elizabeth Ellen  Moran</v>
      </c>
      <c r="F10401" t="str">
        <f>"US HISTORY"</f>
        <v>US HISTORY</v>
      </c>
      <c r="G10401" t="str">
        <f>"17-1752"</f>
        <v>17-1752</v>
      </c>
      <c r="H10401" t="str">
        <f>"B"</f>
        <v>B</v>
      </c>
    </row>
    <row r="10402" spans="1:8" x14ac:dyDescent="0.2">
      <c r="A10402" t="str">
        <f t="shared" si="3763"/>
        <v>0615023616</v>
      </c>
      <c r="B10402" t="str">
        <f t="shared" si="3764"/>
        <v>JOSHUA</v>
      </c>
      <c r="C10402" t="str">
        <f t="shared" si="3765"/>
        <v>MARION</v>
      </c>
      <c r="D10402">
        <f>11</f>
        <v>11</v>
      </c>
      <c r="E10402" t="str">
        <f>"03 - A - 002 - Ferrie J Arostique"</f>
        <v>03 - A - 002 - Ferrie J Arostique</v>
      </c>
      <c r="F10402" t="str">
        <f>"GEOMETRY"</f>
        <v>GEOMETRY</v>
      </c>
      <c r="G10402" t="str">
        <f>"21-2139"</f>
        <v>21-2139</v>
      </c>
      <c r="H10402" t="str">
        <f>"A"</f>
        <v>A</v>
      </c>
    </row>
    <row r="10403" spans="1:8" x14ac:dyDescent="0.2">
      <c r="A10403" t="str">
        <f t="shared" si="3763"/>
        <v>0615023616</v>
      </c>
      <c r="B10403" t="str">
        <f t="shared" si="3764"/>
        <v>JOSHUA</v>
      </c>
      <c r="C10403" t="str">
        <f t="shared" si="3765"/>
        <v>MARION</v>
      </c>
      <c r="D10403">
        <f>11</f>
        <v>11</v>
      </c>
      <c r="E10403" t="str">
        <f>"02 - A - 113 - Byron G Montenegro"</f>
        <v>02 - A - 113 - Byron G Montenegro</v>
      </c>
      <c r="F10403" t="str">
        <f>"NC STUDY HALL 1"</f>
        <v>NC STUDY HALL 1</v>
      </c>
      <c r="G10403" t="str">
        <f>"21-2144"</f>
        <v>21-2144</v>
      </c>
      <c r="H10403" t="str">
        <f>"A"</f>
        <v>A</v>
      </c>
    </row>
    <row r="10404" spans="1:8" x14ac:dyDescent="0.2">
      <c r="A10404" t="str">
        <f t="shared" si="3763"/>
        <v>0615023616</v>
      </c>
      <c r="B10404" t="str">
        <f t="shared" si="3764"/>
        <v>JOSHUA</v>
      </c>
      <c r="C10404" t="str">
        <f t="shared" si="3765"/>
        <v>MARION</v>
      </c>
      <c r="D10404">
        <f>11</f>
        <v>11</v>
      </c>
      <c r="E10404" t="str">
        <f>"07 - S1 - B - 105 - Richard E Dunbar Iii"</f>
        <v>07 - S1 - B - 105 - Richard E Dunbar Iii</v>
      </c>
      <c r="F10404" t="str">
        <f>"WEIGHT TRAIN 3"</f>
        <v>WEIGHT TRAIN 3</v>
      </c>
      <c r="G10404" t="str">
        <f>"05-501"</f>
        <v>05-501</v>
      </c>
      <c r="H10404" t="str">
        <f>"B"</f>
        <v>B</v>
      </c>
    </row>
    <row r="10405" spans="1:8" x14ac:dyDescent="0.2">
      <c r="A10405" t="str">
        <f t="shared" si="3763"/>
        <v>0615023616</v>
      </c>
      <c r="B10405" t="str">
        <f t="shared" si="3764"/>
        <v>JOSHUA</v>
      </c>
      <c r="C10405" t="str">
        <f t="shared" si="3765"/>
        <v>MARION</v>
      </c>
      <c r="D10405">
        <f>11</f>
        <v>11</v>
      </c>
      <c r="E10405" t="str">
        <f>"05 - B - 103 - Nahum  Saint-Preux"</f>
        <v>05 - B - 103 - Nahum  Saint-Preux</v>
      </c>
      <c r="F10405" t="str">
        <f>"INTENS READ 3"</f>
        <v>INTENS READ 3</v>
      </c>
      <c r="G10405" t="str">
        <f>"17-1712"</f>
        <v>17-1712</v>
      </c>
      <c r="H10405" t="str">
        <f>"B"</f>
        <v>B</v>
      </c>
    </row>
    <row r="10406" spans="1:8" x14ac:dyDescent="0.2">
      <c r="A10406" t="str">
        <f t="shared" si="3763"/>
        <v>0615023616</v>
      </c>
      <c r="B10406" t="str">
        <f t="shared" si="3764"/>
        <v>JOSHUA</v>
      </c>
      <c r="C10406" t="str">
        <f t="shared" si="3765"/>
        <v>MARION</v>
      </c>
      <c r="D10406">
        <f>11</f>
        <v>11</v>
      </c>
      <c r="E10406" t="str">
        <f>"01 - A - 101 - Cliffon  Saurel"</f>
        <v>01 - A - 101 - Cliffon  Saurel</v>
      </c>
      <c r="F10406" t="str">
        <f>"PHYSICAL SCI"</f>
        <v>PHYSICAL SCI</v>
      </c>
      <c r="G10406" t="str">
        <f>"05-522"</f>
        <v>05-522</v>
      </c>
      <c r="H10406" t="str">
        <f>"A"</f>
        <v>A</v>
      </c>
    </row>
    <row r="10407" spans="1:8" x14ac:dyDescent="0.2">
      <c r="A10407" t="str">
        <f t="shared" si="3763"/>
        <v>0615023616</v>
      </c>
      <c r="B10407" t="str">
        <f t="shared" si="3764"/>
        <v>JOSHUA</v>
      </c>
      <c r="C10407" t="str">
        <f t="shared" si="3765"/>
        <v>MARION</v>
      </c>
      <c r="D10407">
        <f>11</f>
        <v>11</v>
      </c>
      <c r="E10407" t="str">
        <f>"08 - B - 106 - Lisa  Quinn"</f>
        <v>08 - B - 106 - Lisa  Quinn</v>
      </c>
      <c r="F10407" t="str">
        <f>"ENG 3"</f>
        <v>ENG 3</v>
      </c>
      <c r="G10407" t="str">
        <f>"17-1725"</f>
        <v>17-1725</v>
      </c>
      <c r="H10407" t="str">
        <f>"B"</f>
        <v>B</v>
      </c>
    </row>
    <row r="10408" spans="1:8" x14ac:dyDescent="0.2">
      <c r="A10408" t="str">
        <f t="shared" ref="A10408:A10415" si="3766">"0622132759"</f>
        <v>0622132759</v>
      </c>
      <c r="B10408" t="str">
        <f t="shared" ref="B10408:B10415" si="3767">"HLIB"</f>
        <v>HLIB</v>
      </c>
      <c r="C10408" t="str">
        <f t="shared" ref="C10408:C10415" si="3768">"MARKOV"</f>
        <v>MARKOV</v>
      </c>
      <c r="D10408" t="str">
        <f t="shared" ref="D10408:D10415" si="3769">"09"</f>
        <v>09</v>
      </c>
      <c r="E10408" t="str">
        <f>"04 - A - 102 - Samantha L Martinez"</f>
        <v>04 - A - 102 - Samantha L Martinez</v>
      </c>
      <c r="F10408" t="str">
        <f>"KEYBD 1"</f>
        <v>KEYBD 1</v>
      </c>
      <c r="G10408" t="str">
        <f>"05-505"</f>
        <v>05-505</v>
      </c>
      <c r="H10408" t="str">
        <f>"A"</f>
        <v>A</v>
      </c>
    </row>
    <row r="10409" spans="1:8" x14ac:dyDescent="0.2">
      <c r="A10409" t="str">
        <f t="shared" si="3766"/>
        <v>0622132759</v>
      </c>
      <c r="B10409" t="str">
        <f t="shared" si="3767"/>
        <v>HLIB</v>
      </c>
      <c r="C10409" t="str">
        <f t="shared" si="3768"/>
        <v>MARKOV</v>
      </c>
      <c r="D10409" t="str">
        <f t="shared" si="3769"/>
        <v>09</v>
      </c>
      <c r="E10409" t="str">
        <f>"06 - B - 106 - Adam Marcus  Drucker"</f>
        <v>06 - B - 106 - Adam Marcus  Drucker</v>
      </c>
      <c r="F10409" t="str">
        <f>"HOPE-PE V"</f>
        <v>HOPE-PE V</v>
      </c>
      <c r="G10409" t="str">
        <f>"04-254"</f>
        <v>04-254</v>
      </c>
      <c r="H10409" t="str">
        <f>"B"</f>
        <v>B</v>
      </c>
    </row>
    <row r="10410" spans="1:8" x14ac:dyDescent="0.2">
      <c r="A10410" t="str">
        <f t="shared" si="3766"/>
        <v>0622132759</v>
      </c>
      <c r="B10410" t="str">
        <f t="shared" si="3767"/>
        <v>HLIB</v>
      </c>
      <c r="C10410" t="str">
        <f t="shared" si="3768"/>
        <v>MARKOV</v>
      </c>
      <c r="D10410" t="str">
        <f t="shared" si="3769"/>
        <v>09</v>
      </c>
      <c r="E10410" t="str">
        <f>"03 - A - 101 - Helen A Flores"</f>
        <v>03 - A - 101 - Helen A Flores</v>
      </c>
      <c r="F10410" t="str">
        <f>"PRE-AICE MATH 1 IG"</f>
        <v>PRE-AICE MATH 1 IG</v>
      </c>
      <c r="G10410" t="str">
        <f>"21-2101"</f>
        <v>21-2101</v>
      </c>
      <c r="H10410" t="str">
        <f>"A"</f>
        <v>A</v>
      </c>
    </row>
    <row r="10411" spans="1:8" x14ac:dyDescent="0.2">
      <c r="A10411" t="str">
        <f t="shared" si="3766"/>
        <v>0622132759</v>
      </c>
      <c r="B10411" t="str">
        <f t="shared" si="3767"/>
        <v>HLIB</v>
      </c>
      <c r="C10411" t="str">
        <f t="shared" si="3768"/>
        <v>MARKOV</v>
      </c>
      <c r="D10411" t="str">
        <f t="shared" si="3769"/>
        <v>09</v>
      </c>
      <c r="E10411" t="str">
        <f>"02 - A - 113 - Amy Beth  Broyles"</f>
        <v>02 - A - 113 - Amy Beth  Broyles</v>
      </c>
      <c r="F10411" t="str">
        <f>"NC STUDY HALL 1"</f>
        <v>NC STUDY HALL 1</v>
      </c>
      <c r="G10411" t="str">
        <f>"08-802"</f>
        <v>08-802</v>
      </c>
      <c r="H10411" t="str">
        <f>"A"</f>
        <v>A</v>
      </c>
    </row>
    <row r="10412" spans="1:8" x14ac:dyDescent="0.2">
      <c r="A10412" t="str">
        <f t="shared" si="3766"/>
        <v>0622132759</v>
      </c>
      <c r="B10412" t="str">
        <f t="shared" si="3767"/>
        <v>HLIB</v>
      </c>
      <c r="C10412" t="str">
        <f t="shared" si="3768"/>
        <v>MARKOV</v>
      </c>
      <c r="D10412" t="str">
        <f t="shared" si="3769"/>
        <v>09</v>
      </c>
      <c r="E10412" t="str">
        <f>"07 - B - 104 - Lissa C Frederique"</f>
        <v>07 - B - 104 - Lissa C Frederique</v>
      </c>
      <c r="F10412" t="str">
        <f>"WORLD HISTORY"</f>
        <v>WORLD HISTORY</v>
      </c>
      <c r="G10412" t="str">
        <f>"17-1754"</f>
        <v>17-1754</v>
      </c>
      <c r="H10412" t="str">
        <f>"B"</f>
        <v>B</v>
      </c>
    </row>
    <row r="10413" spans="1:8" x14ac:dyDescent="0.2">
      <c r="A10413" t="str">
        <f t="shared" si="3766"/>
        <v>0622132759</v>
      </c>
      <c r="B10413" t="str">
        <f t="shared" si="3767"/>
        <v>HLIB</v>
      </c>
      <c r="C10413" t="str">
        <f t="shared" si="3768"/>
        <v>MARKOV</v>
      </c>
      <c r="D10413" t="str">
        <f t="shared" si="3769"/>
        <v>09</v>
      </c>
      <c r="E10413" t="str">
        <f>"05 - B - 202 - Amy Beth  Broyles"</f>
        <v>05 - B - 202 - Amy Beth  Broyles</v>
      </c>
      <c r="F10413" t="str">
        <f>"ENV SCI"</f>
        <v>ENV SCI</v>
      </c>
      <c r="G10413" t="str">
        <f>"08-802"</f>
        <v>08-802</v>
      </c>
      <c r="H10413" t="str">
        <f>"B"</f>
        <v>B</v>
      </c>
    </row>
    <row r="10414" spans="1:8" x14ac:dyDescent="0.2">
      <c r="A10414" t="str">
        <f t="shared" si="3766"/>
        <v>0622132759</v>
      </c>
      <c r="B10414" t="str">
        <f t="shared" si="3767"/>
        <v>HLIB</v>
      </c>
      <c r="C10414" t="str">
        <f t="shared" si="3768"/>
        <v>MARKOV</v>
      </c>
      <c r="D10414" t="str">
        <f t="shared" si="3769"/>
        <v>09</v>
      </c>
      <c r="E10414" t="str">
        <f>"01 - A - 101 - Cerine S Stewart"</f>
        <v>01 - A - 101 - Cerine S Stewart</v>
      </c>
      <c r="F10414" t="str">
        <f>"ENG 1"</f>
        <v>ENG 1</v>
      </c>
      <c r="G10414" t="str">
        <f>"17-1720"</f>
        <v>17-1720</v>
      </c>
      <c r="H10414" t="str">
        <f>"A"</f>
        <v>A</v>
      </c>
    </row>
    <row r="10415" spans="1:8" x14ac:dyDescent="0.2">
      <c r="A10415" t="str">
        <f t="shared" si="3766"/>
        <v>0622132759</v>
      </c>
      <c r="B10415" t="str">
        <f t="shared" si="3767"/>
        <v>HLIB</v>
      </c>
      <c r="C10415" t="str">
        <f t="shared" si="3768"/>
        <v>MARKOV</v>
      </c>
      <c r="D10415" t="str">
        <f t="shared" si="3769"/>
        <v>09</v>
      </c>
      <c r="E10415" t="str">
        <f>"08 - B - 105 - Daniel S Tyson"</f>
        <v>08 - B - 105 - Daniel S Tyson</v>
      </c>
      <c r="F10415" t="str">
        <f>"JROTC NAVAL SCI 1"</f>
        <v>JROTC NAVAL SCI 1</v>
      </c>
      <c r="G10415" t="str">
        <f>"05-510"</f>
        <v>05-510</v>
      </c>
      <c r="H10415" t="str">
        <f>"B"</f>
        <v>B</v>
      </c>
    </row>
    <row r="10416" spans="1:8" x14ac:dyDescent="0.2">
      <c r="A10416" t="str">
        <f t="shared" ref="A10416:A10423" si="3770">"0614092096"</f>
        <v>0614092096</v>
      </c>
      <c r="B10416" t="str">
        <f t="shared" ref="B10416:B10423" si="3771">"KAI"</f>
        <v>KAI</v>
      </c>
      <c r="C10416" t="str">
        <f t="shared" ref="C10416:C10423" si="3772">"MARO"</f>
        <v>MARO</v>
      </c>
      <c r="D10416">
        <f>11</f>
        <v>11</v>
      </c>
      <c r="E10416" t="str">
        <f>"04 - A - 102 - Daniel S Katz"</f>
        <v>04 - A - 102 - Daniel S Katz</v>
      </c>
      <c r="F10416" t="str">
        <f>"AICE DRAMA 1 AS LEV"</f>
        <v>AICE DRAMA 1 AS LEV</v>
      </c>
      <c r="G10416" t="str">
        <f>"05-521"</f>
        <v>05-521</v>
      </c>
      <c r="H10416" t="str">
        <f>"A"</f>
        <v>A</v>
      </c>
    </row>
    <row r="10417" spans="1:8" x14ac:dyDescent="0.2">
      <c r="A10417" t="str">
        <f t="shared" si="3770"/>
        <v>0614092096</v>
      </c>
      <c r="B10417" t="str">
        <f t="shared" si="3771"/>
        <v>KAI</v>
      </c>
      <c r="C10417" t="str">
        <f t="shared" si="3772"/>
        <v>MARO</v>
      </c>
      <c r="D10417">
        <f>11</f>
        <v>11</v>
      </c>
      <c r="E10417" t="str">
        <f>"06 - B - 102 - Stephen T Ripp"</f>
        <v>06 - B - 102 - Stephen T Ripp</v>
      </c>
      <c r="F10417" t="str">
        <f>"AP U.S. HIST"</f>
        <v>AP U.S. HIST</v>
      </c>
      <c r="G10417" t="str">
        <f>"17-1744"</f>
        <v>17-1744</v>
      </c>
      <c r="H10417" t="str">
        <f>"B"</f>
        <v>B</v>
      </c>
    </row>
    <row r="10418" spans="1:8" x14ac:dyDescent="0.2">
      <c r="A10418" t="str">
        <f t="shared" si="3770"/>
        <v>0614092096</v>
      </c>
      <c r="B10418" t="str">
        <f t="shared" si="3771"/>
        <v>KAI</v>
      </c>
      <c r="C10418" t="str">
        <f t="shared" si="3772"/>
        <v>MARO</v>
      </c>
      <c r="D10418">
        <f>11</f>
        <v>11</v>
      </c>
      <c r="E10418" t="str">
        <f>"03 - A - 101 - Timothy J Lawrence"</f>
        <v>03 - A - 101 - Timothy J Lawrence</v>
      </c>
      <c r="F10418" t="str">
        <f>"AICE PHYS ED 1 AS"</f>
        <v>AICE PHYS ED 1 AS</v>
      </c>
      <c r="G10418" t="str">
        <f>"05-519"</f>
        <v>05-519</v>
      </c>
      <c r="H10418" t="str">
        <f>"A"</f>
        <v>A</v>
      </c>
    </row>
    <row r="10419" spans="1:8" x14ac:dyDescent="0.2">
      <c r="A10419" t="str">
        <f t="shared" si="3770"/>
        <v>0614092096</v>
      </c>
      <c r="B10419" t="str">
        <f t="shared" si="3771"/>
        <v>KAI</v>
      </c>
      <c r="C10419" t="str">
        <f t="shared" si="3772"/>
        <v>MARO</v>
      </c>
      <c r="D10419">
        <f>11</f>
        <v>11</v>
      </c>
      <c r="E10419" t="str">
        <f>"02 - A - 104 - Dayna M Foster"</f>
        <v>02 - A - 104 - Dayna M Foster</v>
      </c>
      <c r="F10419" t="str">
        <f>"NC STUDY HALL 1"</f>
        <v>NC STUDY HALL 1</v>
      </c>
      <c r="G10419" t="str">
        <f>"21-2109"</f>
        <v>21-2109</v>
      </c>
      <c r="H10419" t="str">
        <f>"A"</f>
        <v>A</v>
      </c>
    </row>
    <row r="10420" spans="1:8" x14ac:dyDescent="0.2">
      <c r="A10420" t="str">
        <f t="shared" si="3770"/>
        <v>0614092096</v>
      </c>
      <c r="B10420" t="str">
        <f t="shared" si="3771"/>
        <v>KAI</v>
      </c>
      <c r="C10420" t="str">
        <f t="shared" si="3772"/>
        <v>MARO</v>
      </c>
      <c r="D10420">
        <f>11</f>
        <v>11</v>
      </c>
      <c r="E10420" t="str">
        <f>"07 - B - 107 - Semra  Bahadir"</f>
        <v>07 - B - 107 - Semra  Bahadir</v>
      </c>
      <c r="F10420" t="str">
        <f>"MATH COLL ALGEBRA"</f>
        <v>MATH COLL ALGEBRA</v>
      </c>
      <c r="G10420" t="str">
        <f>"21-2107"</f>
        <v>21-2107</v>
      </c>
      <c r="H10420" t="str">
        <f>"B"</f>
        <v>B</v>
      </c>
    </row>
    <row r="10421" spans="1:8" x14ac:dyDescent="0.2">
      <c r="A10421" t="str">
        <f t="shared" si="3770"/>
        <v>0614092096</v>
      </c>
      <c r="B10421" t="str">
        <f t="shared" si="3771"/>
        <v>KAI</v>
      </c>
      <c r="C10421" t="str">
        <f t="shared" si="3772"/>
        <v>MARO</v>
      </c>
      <c r="D10421">
        <f>11</f>
        <v>11</v>
      </c>
      <c r="E10421" t="str">
        <f>"05 - B - 103 - Tina M Jaramillo"</f>
        <v>05 - B - 103 - Tina M Jaramillo</v>
      </c>
      <c r="F10421" t="str">
        <f>"AP ENG COMPO"</f>
        <v>AP ENG COMPO</v>
      </c>
      <c r="G10421" t="str">
        <f>"17-1706"</f>
        <v>17-1706</v>
      </c>
      <c r="H10421" t="str">
        <f>"B"</f>
        <v>B</v>
      </c>
    </row>
    <row r="10422" spans="1:8" x14ac:dyDescent="0.2">
      <c r="A10422" t="str">
        <f t="shared" si="3770"/>
        <v>0614092096</v>
      </c>
      <c r="B10422" t="str">
        <f t="shared" si="3771"/>
        <v>KAI</v>
      </c>
      <c r="C10422" t="str">
        <f t="shared" si="3772"/>
        <v>MARO</v>
      </c>
      <c r="D10422">
        <f>11</f>
        <v>11</v>
      </c>
      <c r="E10422" t="str">
        <f>"01 - A - 201 - Stefanie S Scher"</f>
        <v>01 - A - 201 - Stefanie S Scher</v>
      </c>
      <c r="F10422" t="str">
        <f>"AICE PSYCH 1 AS"</f>
        <v>AICE PSYCH 1 AS</v>
      </c>
      <c r="G10422" t="str">
        <f>"17-1735"</f>
        <v>17-1735</v>
      </c>
      <c r="H10422" t="str">
        <f>"A"</f>
        <v>A</v>
      </c>
    </row>
    <row r="10423" spans="1:8" x14ac:dyDescent="0.2">
      <c r="A10423" t="str">
        <f t="shared" si="3770"/>
        <v>0614092096</v>
      </c>
      <c r="B10423" t="str">
        <f t="shared" si="3771"/>
        <v>KAI</v>
      </c>
      <c r="C10423" t="str">
        <f t="shared" si="3772"/>
        <v>MARO</v>
      </c>
      <c r="D10423">
        <f>11</f>
        <v>11</v>
      </c>
      <c r="E10423" t="str">
        <f>"08 - B - 102 - Jacqueline R Morphet"</f>
        <v>08 - B - 102 - Jacqueline R Morphet</v>
      </c>
      <c r="F10423" t="str">
        <f>"AP PHYSICS 1"</f>
        <v>AP PHYSICS 1</v>
      </c>
      <c r="G10423" t="str">
        <f>"21-2138"</f>
        <v>21-2138</v>
      </c>
      <c r="H10423" t="str">
        <f>"B"</f>
        <v>B</v>
      </c>
    </row>
    <row r="10424" spans="1:8" x14ac:dyDescent="0.2">
      <c r="A10424" t="str">
        <f t="shared" ref="A10424:A10431" si="3773">"0617014671"</f>
        <v>0617014671</v>
      </c>
      <c r="B10424" t="str">
        <f t="shared" ref="B10424:B10431" si="3774">"CAMILA"</f>
        <v>CAMILA</v>
      </c>
      <c r="C10424" t="str">
        <f t="shared" ref="C10424:C10431" si="3775">"MARROQUIN-AGUILAR"</f>
        <v>MARROQUIN-AGUILAR</v>
      </c>
      <c r="D10424" t="str">
        <f t="shared" ref="D10424:D10455" si="3776">"09"</f>
        <v>09</v>
      </c>
      <c r="E10424" t="str">
        <f>"04 - A - 102 - Byron G Montenegro"</f>
        <v>04 - A - 102 - Byron G Montenegro</v>
      </c>
      <c r="F10424" t="str">
        <f>"AICE MARINE SCI 1 AS"</f>
        <v>AICE MARINE SCI 1 AS</v>
      </c>
      <c r="G10424" t="str">
        <f>"21-2144"</f>
        <v>21-2144</v>
      </c>
      <c r="H10424" t="str">
        <f>"A"</f>
        <v>A</v>
      </c>
    </row>
    <row r="10425" spans="1:8" x14ac:dyDescent="0.2">
      <c r="A10425" t="str">
        <f t="shared" si="3773"/>
        <v>0617014671</v>
      </c>
      <c r="B10425" t="str">
        <f t="shared" si="3774"/>
        <v>CAMILA</v>
      </c>
      <c r="C10425" t="str">
        <f t="shared" si="3775"/>
        <v>MARROQUIN-AGUILAR</v>
      </c>
      <c r="D10425" t="str">
        <f t="shared" si="3776"/>
        <v>09</v>
      </c>
      <c r="E10425" t="str">
        <f>"06 - B - 106 - Marius D Orsolini"</f>
        <v>06 - B - 106 - Marius D Orsolini</v>
      </c>
      <c r="F10425" t="str">
        <f>"CULINARY ARTS 1"</f>
        <v>CULINARY ARTS 1</v>
      </c>
      <c r="G10425" t="str">
        <f>"21-2115"</f>
        <v>21-2115</v>
      </c>
      <c r="H10425" t="str">
        <f>"B"</f>
        <v>B</v>
      </c>
    </row>
    <row r="10426" spans="1:8" x14ac:dyDescent="0.2">
      <c r="A10426" t="str">
        <f t="shared" si="3773"/>
        <v>0617014671</v>
      </c>
      <c r="B10426" t="str">
        <f t="shared" si="3774"/>
        <v>CAMILA</v>
      </c>
      <c r="C10426" t="str">
        <f t="shared" si="3775"/>
        <v>MARROQUIN-AGUILAR</v>
      </c>
      <c r="D10426" t="str">
        <f t="shared" si="3776"/>
        <v>09</v>
      </c>
      <c r="E10426" t="str">
        <f>"03 - A - 005 - Cerine S Stewart"</f>
        <v>03 - A - 005 - Cerine S Stewart</v>
      </c>
      <c r="F10426" t="str">
        <f>"AICE ENG GEN PAPER 1"</f>
        <v>AICE ENG GEN PAPER 1</v>
      </c>
      <c r="G10426" t="str">
        <f>"17-1720"</f>
        <v>17-1720</v>
      </c>
      <c r="H10426" t="str">
        <f>"A"</f>
        <v>A</v>
      </c>
    </row>
    <row r="10427" spans="1:8" x14ac:dyDescent="0.2">
      <c r="A10427" t="str">
        <f t="shared" si="3773"/>
        <v>0617014671</v>
      </c>
      <c r="B10427" t="str">
        <f t="shared" si="3774"/>
        <v>CAMILA</v>
      </c>
      <c r="C10427" t="str">
        <f t="shared" si="3775"/>
        <v>MARROQUIN-AGUILAR</v>
      </c>
      <c r="D10427" t="str">
        <f t="shared" si="3776"/>
        <v>09</v>
      </c>
      <c r="E10427" t="str">
        <f>"02 - A - 111 - Cheryl L Beach"</f>
        <v>02 - A - 111 - Cheryl L Beach</v>
      </c>
      <c r="F10427" t="str">
        <f>"NC STUDY HALL 1"</f>
        <v>NC STUDY HALL 1</v>
      </c>
      <c r="G10427" t="str">
        <f>"08-811"</f>
        <v>08-811</v>
      </c>
      <c r="H10427" t="str">
        <f>"A"</f>
        <v>A</v>
      </c>
    </row>
    <row r="10428" spans="1:8" x14ac:dyDescent="0.2">
      <c r="A10428" t="str">
        <f t="shared" si="3773"/>
        <v>0617014671</v>
      </c>
      <c r="B10428" t="str">
        <f t="shared" si="3774"/>
        <v>CAMILA</v>
      </c>
      <c r="C10428" t="str">
        <f t="shared" si="3775"/>
        <v>MARROQUIN-AGUILAR</v>
      </c>
      <c r="D10428" t="str">
        <f t="shared" si="3776"/>
        <v>09</v>
      </c>
      <c r="E10428" t="str">
        <f>"07 - B - 103 - Vanessa J Liburd"</f>
        <v>07 - B - 103 - Vanessa J Liburd</v>
      </c>
      <c r="F10428" t="str">
        <f>"PRE-AICE FRENCH 1 IG"</f>
        <v>PRE-AICE FRENCH 1 IG</v>
      </c>
      <c r="G10428" t="str">
        <f>"05-519"</f>
        <v>05-519</v>
      </c>
      <c r="H10428" t="str">
        <f>"B"</f>
        <v>B</v>
      </c>
    </row>
    <row r="10429" spans="1:8" x14ac:dyDescent="0.2">
      <c r="A10429" t="str">
        <f t="shared" si="3773"/>
        <v>0617014671</v>
      </c>
      <c r="B10429" t="str">
        <f t="shared" si="3774"/>
        <v>CAMILA</v>
      </c>
      <c r="C10429" t="str">
        <f t="shared" si="3775"/>
        <v>MARROQUIN-AGUILAR</v>
      </c>
      <c r="D10429" t="str">
        <f t="shared" si="3776"/>
        <v>09</v>
      </c>
      <c r="E10429" t="str">
        <f>"05 - S1 - B - 103 - Leslie J Barton"</f>
        <v>05 - S1 - B - 103 - Leslie J Barton</v>
      </c>
      <c r="F10429" t="str">
        <f>"FIRST AID SAFETY"</f>
        <v>FIRST AID SAFETY</v>
      </c>
      <c r="G10429" t="str">
        <f>"05-521"</f>
        <v>05-521</v>
      </c>
      <c r="H10429" t="str">
        <f>"B"</f>
        <v>B</v>
      </c>
    </row>
    <row r="10430" spans="1:8" x14ac:dyDescent="0.2">
      <c r="A10430" t="str">
        <f t="shared" si="3773"/>
        <v>0617014671</v>
      </c>
      <c r="B10430" t="str">
        <f t="shared" si="3774"/>
        <v>CAMILA</v>
      </c>
      <c r="C10430" t="str">
        <f t="shared" si="3775"/>
        <v>MARROQUIN-AGUILAR</v>
      </c>
      <c r="D10430" t="str">
        <f t="shared" si="3776"/>
        <v>09</v>
      </c>
      <c r="E10430" t="str">
        <f>"01 - A - 002 - Krystal Marie  Beruty"</f>
        <v>01 - A - 002 - Krystal Marie  Beruty</v>
      </c>
      <c r="F10430" t="str">
        <f>"AICE GLBL PERSP 1 AS"</f>
        <v>AICE GLBL PERSP 1 AS</v>
      </c>
      <c r="G10430" t="str">
        <f>"17-1721"</f>
        <v>17-1721</v>
      </c>
      <c r="H10430" t="str">
        <f>"A"</f>
        <v>A</v>
      </c>
    </row>
    <row r="10431" spans="1:8" x14ac:dyDescent="0.2">
      <c r="A10431" t="str">
        <f t="shared" si="3773"/>
        <v>0617014671</v>
      </c>
      <c r="B10431" t="str">
        <f t="shared" si="3774"/>
        <v>CAMILA</v>
      </c>
      <c r="C10431" t="str">
        <f t="shared" si="3775"/>
        <v>MARROQUIN-AGUILAR</v>
      </c>
      <c r="D10431" t="str">
        <f t="shared" si="3776"/>
        <v>09</v>
      </c>
      <c r="E10431" t="str">
        <f>"08 - B - 107 - Dayna M Foster"</f>
        <v>08 - B - 107 - Dayna M Foster</v>
      </c>
      <c r="F10431" t="str">
        <f>"ALGEBRA 2"</f>
        <v>ALGEBRA 2</v>
      </c>
      <c r="G10431" t="str">
        <f>"21-2109"</f>
        <v>21-2109</v>
      </c>
      <c r="H10431" t="str">
        <f>"B"</f>
        <v>B</v>
      </c>
    </row>
    <row r="10432" spans="1:8" x14ac:dyDescent="0.2">
      <c r="A10432" t="str">
        <f t="shared" ref="A10432:A10439" si="3777">"0617050472"</f>
        <v>0617050472</v>
      </c>
      <c r="B10432" t="str">
        <f t="shared" ref="B10432:B10439" si="3778">"JAHLANNA"</f>
        <v>JAHLANNA</v>
      </c>
      <c r="C10432" t="str">
        <f t="shared" ref="C10432:C10455" si="3779">"MARSHALL"</f>
        <v>MARSHALL</v>
      </c>
      <c r="D10432" t="str">
        <f t="shared" si="3776"/>
        <v>09</v>
      </c>
      <c r="E10432" t="str">
        <f>"04 - A - 005 - Emmily A Sarmiento"</f>
        <v>04 - A - 005 - Emmily A Sarmiento</v>
      </c>
      <c r="F10432" t="str">
        <f>"AICE GLBL PERSP 1 AS"</f>
        <v>AICE GLBL PERSP 1 AS</v>
      </c>
      <c r="G10432" t="str">
        <f>"17-1743"</f>
        <v>17-1743</v>
      </c>
      <c r="H10432" t="str">
        <f>"A"</f>
        <v>A</v>
      </c>
    </row>
    <row r="10433" spans="1:8" x14ac:dyDescent="0.2">
      <c r="A10433" t="str">
        <f t="shared" si="3777"/>
        <v>0617050472</v>
      </c>
      <c r="B10433" t="str">
        <f t="shared" si="3778"/>
        <v>JAHLANNA</v>
      </c>
      <c r="C10433" t="str">
        <f t="shared" si="3779"/>
        <v>MARSHALL</v>
      </c>
      <c r="D10433" t="str">
        <f t="shared" si="3776"/>
        <v>09</v>
      </c>
      <c r="E10433" t="str">
        <f>"06 - B - 202 - Alejandro  Navarro"</f>
        <v>06 - B - 202 - Alejandro  Navarro</v>
      </c>
      <c r="F10433" t="str">
        <f>"BAND 1"</f>
        <v>BAND 1</v>
      </c>
      <c r="G10433" t="str">
        <f>"05-504"</f>
        <v>05-504</v>
      </c>
      <c r="H10433" t="str">
        <f>"B"</f>
        <v>B</v>
      </c>
    </row>
    <row r="10434" spans="1:8" x14ac:dyDescent="0.2">
      <c r="A10434" t="str">
        <f t="shared" si="3777"/>
        <v>0617050472</v>
      </c>
      <c r="B10434" t="str">
        <f t="shared" si="3778"/>
        <v>JAHLANNA</v>
      </c>
      <c r="C10434" t="str">
        <f t="shared" si="3779"/>
        <v>MARSHALL</v>
      </c>
      <c r="D10434" t="str">
        <f t="shared" si="3776"/>
        <v>09</v>
      </c>
      <c r="E10434" t="str">
        <f>"03 - A - 102 - Semra  Bahadir"</f>
        <v>03 - A - 102 - Semra  Bahadir</v>
      </c>
      <c r="F10434" t="str">
        <f>"ALGEBRA 2"</f>
        <v>ALGEBRA 2</v>
      </c>
      <c r="G10434" t="str">
        <f>"21-2107"</f>
        <v>21-2107</v>
      </c>
      <c r="H10434" t="str">
        <f>"A"</f>
        <v>A</v>
      </c>
    </row>
    <row r="10435" spans="1:8" x14ac:dyDescent="0.2">
      <c r="A10435" t="str">
        <f t="shared" si="3777"/>
        <v>0617050472</v>
      </c>
      <c r="B10435" t="str">
        <f t="shared" si="3778"/>
        <v>JAHLANNA</v>
      </c>
      <c r="C10435" t="str">
        <f t="shared" si="3779"/>
        <v>MARSHALL</v>
      </c>
      <c r="D10435" t="str">
        <f t="shared" si="3776"/>
        <v>09</v>
      </c>
      <c r="E10435" t="str">
        <f>"02 - A - 108 - Rory T Sponsler"</f>
        <v>02 - A - 108 - Rory T Sponsler</v>
      </c>
      <c r="F10435" t="str">
        <f>"NC STUDY HALL 1"</f>
        <v>NC STUDY HALL 1</v>
      </c>
      <c r="G10435" t="str">
        <f>"17-1740"</f>
        <v>17-1740</v>
      </c>
      <c r="H10435" t="str">
        <f>"A"</f>
        <v>A</v>
      </c>
    </row>
    <row r="10436" spans="1:8" x14ac:dyDescent="0.2">
      <c r="A10436" t="str">
        <f t="shared" si="3777"/>
        <v>0617050472</v>
      </c>
      <c r="B10436" t="str">
        <f t="shared" si="3778"/>
        <v>JAHLANNA</v>
      </c>
      <c r="C10436" t="str">
        <f t="shared" si="3779"/>
        <v>MARSHALL</v>
      </c>
      <c r="D10436" t="str">
        <f t="shared" si="3776"/>
        <v>09</v>
      </c>
      <c r="E10436" t="str">
        <f>"07 - B - 002 - Rachel M Montrose"</f>
        <v>07 - B - 002 - Rachel M Montrose</v>
      </c>
      <c r="F10436" t="str">
        <f>"JOURN 1 (NP) LH"</f>
        <v>JOURN 1 (NP) LH</v>
      </c>
      <c r="G10436" t="str">
        <f>"05-521"</f>
        <v>05-521</v>
      </c>
      <c r="H10436" t="str">
        <f>"B"</f>
        <v>B</v>
      </c>
    </row>
    <row r="10437" spans="1:8" x14ac:dyDescent="0.2">
      <c r="A10437" t="str">
        <f t="shared" si="3777"/>
        <v>0617050472</v>
      </c>
      <c r="B10437" t="str">
        <f t="shared" si="3778"/>
        <v>JAHLANNA</v>
      </c>
      <c r="C10437" t="str">
        <f t="shared" si="3779"/>
        <v>MARSHALL</v>
      </c>
      <c r="D10437" t="str">
        <f t="shared" si="3776"/>
        <v>09</v>
      </c>
      <c r="E10437" t="str">
        <f>"05 - B - 204 - Cheryl L Beach"</f>
        <v>05 - B - 204 - Cheryl L Beach</v>
      </c>
      <c r="F10437" t="str">
        <f>"AICE ENV MGMNT AS"</f>
        <v>AICE ENV MGMNT AS</v>
      </c>
      <c r="G10437" t="str">
        <f>"08-811"</f>
        <v>08-811</v>
      </c>
      <c r="H10437" t="str">
        <f>"B"</f>
        <v>B</v>
      </c>
    </row>
    <row r="10438" spans="1:8" x14ac:dyDescent="0.2">
      <c r="A10438" t="str">
        <f t="shared" si="3777"/>
        <v>0617050472</v>
      </c>
      <c r="B10438" t="str">
        <f t="shared" si="3778"/>
        <v>JAHLANNA</v>
      </c>
      <c r="C10438" t="str">
        <f t="shared" si="3779"/>
        <v>MARSHALL</v>
      </c>
      <c r="D10438" t="str">
        <f t="shared" si="3776"/>
        <v>09</v>
      </c>
      <c r="E10438" t="str">
        <f>"01 - A - 101 - Nikiel  Nesbeth"</f>
        <v>01 - A - 101 - Nikiel  Nesbeth</v>
      </c>
      <c r="F10438" t="str">
        <f>"CONST LAW HON"</f>
        <v>CONST LAW HON</v>
      </c>
      <c r="G10438" t="str">
        <f>"17-1705"</f>
        <v>17-1705</v>
      </c>
      <c r="H10438" t="str">
        <f>"A"</f>
        <v>A</v>
      </c>
    </row>
    <row r="10439" spans="1:8" x14ac:dyDescent="0.2">
      <c r="A10439" t="str">
        <f t="shared" si="3777"/>
        <v>0617050472</v>
      </c>
      <c r="B10439" t="str">
        <f t="shared" si="3778"/>
        <v>JAHLANNA</v>
      </c>
      <c r="C10439" t="str">
        <f t="shared" si="3779"/>
        <v>MARSHALL</v>
      </c>
      <c r="D10439" t="str">
        <f t="shared" si="3776"/>
        <v>09</v>
      </c>
      <c r="E10439" t="str">
        <f>"08 - B - 201 - Elizabeth R Walker"</f>
        <v>08 - B - 201 - Elizabeth R Walker</v>
      </c>
      <c r="F10439" t="str">
        <f>"AICE ENG GEN PAPER 1"</f>
        <v>AICE ENG GEN PAPER 1</v>
      </c>
      <c r="G10439" t="str">
        <f>"17-1703"</f>
        <v>17-1703</v>
      </c>
      <c r="H10439" t="str">
        <f>"B"</f>
        <v>B</v>
      </c>
    </row>
    <row r="10440" spans="1:8" x14ac:dyDescent="0.2">
      <c r="A10440" t="str">
        <f t="shared" ref="A10440:A10447" si="3780">"0616077064"</f>
        <v>0616077064</v>
      </c>
      <c r="B10440" t="str">
        <f t="shared" ref="B10440:B10447" si="3781">"MICHAEL"</f>
        <v>MICHAEL</v>
      </c>
      <c r="C10440" t="str">
        <f t="shared" si="3779"/>
        <v>MARSHALL</v>
      </c>
      <c r="D10440" t="str">
        <f t="shared" si="3776"/>
        <v>09</v>
      </c>
      <c r="E10440" t="str">
        <f>"04 - A - 103 - Lenecy  Nodarse"</f>
        <v>04 - A - 103 - Lenecy  Nodarse</v>
      </c>
      <c r="F10440" t="str">
        <f>"WORLD HISTORY"</f>
        <v>WORLD HISTORY</v>
      </c>
      <c r="G10440" t="str">
        <f>"17-1741"</f>
        <v>17-1741</v>
      </c>
      <c r="H10440" t="str">
        <f>"A"</f>
        <v>A</v>
      </c>
    </row>
    <row r="10441" spans="1:8" x14ac:dyDescent="0.2">
      <c r="A10441" t="str">
        <f t="shared" si="3780"/>
        <v>0616077064</v>
      </c>
      <c r="B10441" t="str">
        <f t="shared" si="3781"/>
        <v>MICHAEL</v>
      </c>
      <c r="C10441" t="str">
        <f t="shared" si="3779"/>
        <v>MARSHALL</v>
      </c>
      <c r="D10441" t="str">
        <f t="shared" si="3776"/>
        <v>09</v>
      </c>
      <c r="E10441" t="str">
        <f>"06 - B - 002 - Amy Beth  Broyles"</f>
        <v>06 - B - 002 - Amy Beth  Broyles</v>
      </c>
      <c r="F10441" t="str">
        <f>"ENV SCI"</f>
        <v>ENV SCI</v>
      </c>
      <c r="G10441" t="str">
        <f>"08-802"</f>
        <v>08-802</v>
      </c>
      <c r="H10441" t="str">
        <f>"B"</f>
        <v>B</v>
      </c>
    </row>
    <row r="10442" spans="1:8" x14ac:dyDescent="0.2">
      <c r="A10442" t="str">
        <f t="shared" si="3780"/>
        <v>0616077064</v>
      </c>
      <c r="B10442" t="str">
        <f t="shared" si="3781"/>
        <v>MICHAEL</v>
      </c>
      <c r="C10442" t="str">
        <f t="shared" si="3779"/>
        <v>MARSHALL</v>
      </c>
      <c r="D10442" t="str">
        <f t="shared" si="3776"/>
        <v>09</v>
      </c>
      <c r="E10442" t="str">
        <f>"03 - A - 001 - Maried P Ramos"</f>
        <v>03 - A - 001 - Maried P Ramos</v>
      </c>
      <c r="F10442" t="str">
        <f>"PRE-AICE MATH 2 IG"</f>
        <v>PRE-AICE MATH 2 IG</v>
      </c>
      <c r="G10442" t="str">
        <f>"21-2159"</f>
        <v>21-2159</v>
      </c>
      <c r="H10442" t="str">
        <f>"A"</f>
        <v>A</v>
      </c>
    </row>
    <row r="10443" spans="1:8" x14ac:dyDescent="0.2">
      <c r="A10443" t="str">
        <f t="shared" si="3780"/>
        <v>0616077064</v>
      </c>
      <c r="B10443" t="str">
        <f t="shared" si="3781"/>
        <v>MICHAEL</v>
      </c>
      <c r="C10443" t="str">
        <f t="shared" si="3779"/>
        <v>MARSHALL</v>
      </c>
      <c r="D10443" t="str">
        <f t="shared" si="3776"/>
        <v>09</v>
      </c>
      <c r="E10443" t="str">
        <f>"02 - A - 114 - Laselleda D Shaw"</f>
        <v>02 - A - 114 - Laselleda D Shaw</v>
      </c>
      <c r="F10443" t="str">
        <f>"NC STUDY HALL 1"</f>
        <v>NC STUDY HALL 1</v>
      </c>
      <c r="G10443" t="str">
        <f>"17-1723"</f>
        <v>17-1723</v>
      </c>
      <c r="H10443" t="str">
        <f>"A"</f>
        <v>A</v>
      </c>
    </row>
    <row r="10444" spans="1:8" x14ac:dyDescent="0.2">
      <c r="A10444" t="str">
        <f t="shared" si="3780"/>
        <v>0616077064</v>
      </c>
      <c r="B10444" t="str">
        <f t="shared" si="3781"/>
        <v>MICHAEL</v>
      </c>
      <c r="C10444" t="str">
        <f t="shared" si="3779"/>
        <v>MARSHALL</v>
      </c>
      <c r="D10444" t="str">
        <f t="shared" si="3776"/>
        <v>09</v>
      </c>
      <c r="E10444" t="str">
        <f>"07 - B - 105 - Laselleda D Shaw"</f>
        <v>07 - B - 105 - Laselleda D Shaw</v>
      </c>
      <c r="F10444" t="str">
        <f>"INTENS READ 1"</f>
        <v>INTENS READ 1</v>
      </c>
      <c r="G10444" t="str">
        <f>"17-1723"</f>
        <v>17-1723</v>
      </c>
      <c r="H10444" t="str">
        <f>"B"</f>
        <v>B</v>
      </c>
    </row>
    <row r="10445" spans="1:8" x14ac:dyDescent="0.2">
      <c r="A10445" t="str">
        <f t="shared" si="3780"/>
        <v>0616077064</v>
      </c>
      <c r="B10445" t="str">
        <f t="shared" si="3781"/>
        <v>MICHAEL</v>
      </c>
      <c r="C10445" t="str">
        <f t="shared" si="3779"/>
        <v>MARSHALL</v>
      </c>
      <c r="D10445" t="str">
        <f t="shared" si="3776"/>
        <v>09</v>
      </c>
      <c r="E10445" t="str">
        <f>"05 - B - 104 - Cerine S Stewart"</f>
        <v>05 - B - 104 - Cerine S Stewart</v>
      </c>
      <c r="F10445" t="str">
        <f>"ENG 1"</f>
        <v>ENG 1</v>
      </c>
      <c r="G10445" t="str">
        <f>"17-1720"</f>
        <v>17-1720</v>
      </c>
      <c r="H10445" t="str">
        <f>"B"</f>
        <v>B</v>
      </c>
    </row>
    <row r="10446" spans="1:8" x14ac:dyDescent="0.2">
      <c r="A10446" t="str">
        <f t="shared" si="3780"/>
        <v>0616077064</v>
      </c>
      <c r="B10446" t="str">
        <f t="shared" si="3781"/>
        <v>MICHAEL</v>
      </c>
      <c r="C10446" t="str">
        <f t="shared" si="3779"/>
        <v>MARSHALL</v>
      </c>
      <c r="D10446" t="str">
        <f t="shared" si="3776"/>
        <v>09</v>
      </c>
      <c r="E10446" t="str">
        <f>"01 - S1 - A - 101 - Richard E Dunbar Iii"</f>
        <v>01 - S1 - A - 101 - Richard E Dunbar Iii</v>
      </c>
      <c r="F10446" t="str">
        <f>"WEIGHT TRAIN 1"</f>
        <v>WEIGHT TRAIN 1</v>
      </c>
      <c r="G10446" t="str">
        <f>"05-501"</f>
        <v>05-501</v>
      </c>
      <c r="H10446" t="str">
        <f>"A"</f>
        <v>A</v>
      </c>
    </row>
    <row r="10447" spans="1:8" x14ac:dyDescent="0.2">
      <c r="A10447" t="str">
        <f t="shared" si="3780"/>
        <v>0616077064</v>
      </c>
      <c r="B10447" t="str">
        <f t="shared" si="3781"/>
        <v>MICHAEL</v>
      </c>
      <c r="C10447" t="str">
        <f t="shared" si="3779"/>
        <v>MARSHALL</v>
      </c>
      <c r="D10447" t="str">
        <f t="shared" si="3776"/>
        <v>09</v>
      </c>
      <c r="E10447" t="str">
        <f>"08 - B - 202 - Dorothy D Moore"</f>
        <v>08 - B - 202 - Dorothy D Moore</v>
      </c>
      <c r="F10447" t="str">
        <f>"HEALTH SCI 1/A&amp;P HON"</f>
        <v>HEALTH SCI 1/A&amp;P HON</v>
      </c>
      <c r="G10447" t="str">
        <f>"08-803"</f>
        <v>08-803</v>
      </c>
      <c r="H10447" t="str">
        <f>"B"</f>
        <v>B</v>
      </c>
    </row>
    <row r="10448" spans="1:8" x14ac:dyDescent="0.2">
      <c r="A10448" t="str">
        <f t="shared" ref="A10448:A10455" si="3782">"0622051112"</f>
        <v>0622051112</v>
      </c>
      <c r="B10448" t="str">
        <f t="shared" ref="B10448:B10455" si="3783">"SOPHIA"</f>
        <v>SOPHIA</v>
      </c>
      <c r="C10448" t="str">
        <f t="shared" si="3779"/>
        <v>MARSHALL</v>
      </c>
      <c r="D10448" t="str">
        <f t="shared" si="3776"/>
        <v>09</v>
      </c>
      <c r="E10448" t="str">
        <f>"04 - A - 102 - Eva T Rimmer"</f>
        <v>04 - A - 102 - Eva T Rimmer</v>
      </c>
      <c r="F10448" t="str">
        <f>"CRIMINAL JUST OPS 1"</f>
        <v>CRIMINAL JUST OPS 1</v>
      </c>
      <c r="G10448" t="str">
        <f>"05-523"</f>
        <v>05-523</v>
      </c>
      <c r="H10448" t="str">
        <f>"A"</f>
        <v>A</v>
      </c>
    </row>
    <row r="10449" spans="1:8" x14ac:dyDescent="0.2">
      <c r="A10449" t="str">
        <f t="shared" si="3782"/>
        <v>0622051112</v>
      </c>
      <c r="B10449" t="str">
        <f t="shared" si="3783"/>
        <v>SOPHIA</v>
      </c>
      <c r="C10449" t="str">
        <f t="shared" si="3779"/>
        <v>MARSHALL</v>
      </c>
      <c r="D10449" t="str">
        <f t="shared" si="3776"/>
        <v>09</v>
      </c>
      <c r="E10449" t="str">
        <f>"06 - B - 106 - Marius D Orsolini"</f>
        <v>06 - B - 106 - Marius D Orsolini</v>
      </c>
      <c r="F10449" t="str">
        <f>"CULINARY ARTS 1"</f>
        <v>CULINARY ARTS 1</v>
      </c>
      <c r="G10449" t="str">
        <f>"21-2115"</f>
        <v>21-2115</v>
      </c>
      <c r="H10449" t="str">
        <f>"B"</f>
        <v>B</v>
      </c>
    </row>
    <row r="10450" spans="1:8" x14ac:dyDescent="0.2">
      <c r="A10450" t="str">
        <f t="shared" si="3782"/>
        <v>0622051112</v>
      </c>
      <c r="B10450" t="str">
        <f t="shared" si="3783"/>
        <v>SOPHIA</v>
      </c>
      <c r="C10450" t="str">
        <f t="shared" si="3779"/>
        <v>MARSHALL</v>
      </c>
      <c r="D10450" t="str">
        <f t="shared" si="3776"/>
        <v>09</v>
      </c>
      <c r="E10450" t="str">
        <f>"03 - A - 101 - Helen A Flores"</f>
        <v>03 - A - 101 - Helen A Flores</v>
      </c>
      <c r="F10450" t="str">
        <f>"PRE-AICE MATH 1 IG"</f>
        <v>PRE-AICE MATH 1 IG</v>
      </c>
      <c r="G10450" t="str">
        <f>"21-2101"</f>
        <v>21-2101</v>
      </c>
      <c r="H10450" t="str">
        <f>"A"</f>
        <v>A</v>
      </c>
    </row>
    <row r="10451" spans="1:8" x14ac:dyDescent="0.2">
      <c r="A10451" t="str">
        <f t="shared" si="3782"/>
        <v>0622051112</v>
      </c>
      <c r="B10451" t="str">
        <f t="shared" si="3783"/>
        <v>SOPHIA</v>
      </c>
      <c r="C10451" t="str">
        <f t="shared" si="3779"/>
        <v>MARSHALL</v>
      </c>
      <c r="D10451" t="str">
        <f t="shared" si="3776"/>
        <v>09</v>
      </c>
      <c r="E10451" t="str">
        <f>"02 - A - 106 - Helen A Flores"</f>
        <v>02 - A - 106 - Helen A Flores</v>
      </c>
      <c r="F10451" t="str">
        <f>"NC STUDY HALL 1"</f>
        <v>NC STUDY HALL 1</v>
      </c>
      <c r="G10451" t="str">
        <f>"21-2101"</f>
        <v>21-2101</v>
      </c>
      <c r="H10451" t="str">
        <f>"A"</f>
        <v>A</v>
      </c>
    </row>
    <row r="10452" spans="1:8" x14ac:dyDescent="0.2">
      <c r="A10452" t="str">
        <f t="shared" si="3782"/>
        <v>0622051112</v>
      </c>
      <c r="B10452" t="str">
        <f t="shared" si="3783"/>
        <v>SOPHIA</v>
      </c>
      <c r="C10452" t="str">
        <f t="shared" si="3779"/>
        <v>MARSHALL</v>
      </c>
      <c r="D10452" t="str">
        <f t="shared" si="3776"/>
        <v>09</v>
      </c>
      <c r="E10452" t="str">
        <f>"07 - B - 105 - Paige Lauren  Brochu"</f>
        <v>07 - B - 105 - Paige Lauren  Brochu</v>
      </c>
      <c r="F10452" t="str">
        <f>"PRE-AICE BIO IG"</f>
        <v>PRE-AICE BIO IG</v>
      </c>
      <c r="G10452" t="str">
        <f>"21-2134"</f>
        <v>21-2134</v>
      </c>
      <c r="H10452" t="str">
        <f>"B"</f>
        <v>B</v>
      </c>
    </row>
    <row r="10453" spans="1:8" x14ac:dyDescent="0.2">
      <c r="A10453" t="str">
        <f t="shared" si="3782"/>
        <v>0622051112</v>
      </c>
      <c r="B10453" t="str">
        <f t="shared" si="3783"/>
        <v>SOPHIA</v>
      </c>
      <c r="C10453" t="str">
        <f t="shared" si="3779"/>
        <v>MARSHALL</v>
      </c>
      <c r="D10453" t="str">
        <f t="shared" si="3776"/>
        <v>09</v>
      </c>
      <c r="E10453" t="str">
        <f>"05 - B - 002 - Cheryl Anne  Berman-Schechter"</f>
        <v>05 - B - 002 - Cheryl Anne  Berman-Schechter</v>
      </c>
      <c r="F10453" t="str">
        <f>"AICE ENG GEN PAPER 1"</f>
        <v>AICE ENG GEN PAPER 1</v>
      </c>
      <c r="G10453" t="str">
        <f>"17-1722"</f>
        <v>17-1722</v>
      </c>
      <c r="H10453" t="str">
        <f>"B"</f>
        <v>B</v>
      </c>
    </row>
    <row r="10454" spans="1:8" x14ac:dyDescent="0.2">
      <c r="A10454" t="str">
        <f t="shared" si="3782"/>
        <v>0622051112</v>
      </c>
      <c r="B10454" t="str">
        <f t="shared" si="3783"/>
        <v>SOPHIA</v>
      </c>
      <c r="C10454" t="str">
        <f t="shared" si="3779"/>
        <v>MARSHALL</v>
      </c>
      <c r="D10454" t="str">
        <f t="shared" si="3776"/>
        <v>09</v>
      </c>
      <c r="E10454" t="str">
        <f>"01 - A - 504 - Alejandro  Navarro"</f>
        <v>01 - A - 504 - Alejandro  Navarro</v>
      </c>
      <c r="F10454" t="str">
        <f>"BAND 1"</f>
        <v>BAND 1</v>
      </c>
      <c r="G10454" t="str">
        <f>"05-504"</f>
        <v>05-504</v>
      </c>
      <c r="H10454" t="str">
        <f>"A"</f>
        <v>A</v>
      </c>
    </row>
    <row r="10455" spans="1:8" x14ac:dyDescent="0.2">
      <c r="A10455" t="str">
        <f t="shared" si="3782"/>
        <v>0622051112</v>
      </c>
      <c r="B10455" t="str">
        <f t="shared" si="3783"/>
        <v>SOPHIA</v>
      </c>
      <c r="C10455" t="str">
        <f t="shared" si="3779"/>
        <v>MARSHALL</v>
      </c>
      <c r="D10455" t="str">
        <f t="shared" si="3776"/>
        <v>09</v>
      </c>
      <c r="E10455" t="str">
        <f>"08 - B - 109 - Rory T Sponsler"</f>
        <v>08 - B - 109 - Rory T Sponsler</v>
      </c>
      <c r="F10455" t="str">
        <f>"PRE-AICE WRLD HST IG"</f>
        <v>PRE-AICE WRLD HST IG</v>
      </c>
      <c r="G10455" t="str">
        <f>"17-1740"</f>
        <v>17-1740</v>
      </c>
      <c r="H10455" t="str">
        <f>"B"</f>
        <v>B</v>
      </c>
    </row>
    <row r="10456" spans="1:8" x14ac:dyDescent="0.2">
      <c r="A10456" t="str">
        <f t="shared" ref="A10456:A10463" si="3784">"0614097385"</f>
        <v>0614097385</v>
      </c>
      <c r="B10456" t="str">
        <f t="shared" ref="B10456:B10463" si="3785">"BRIANNA"</f>
        <v>BRIANNA</v>
      </c>
      <c r="C10456" t="str">
        <f t="shared" ref="C10456:C10463" si="3786">"MARTAGON MEJIA"</f>
        <v>MARTAGON MEJIA</v>
      </c>
      <c r="D10456">
        <f>11</f>
        <v>11</v>
      </c>
      <c r="E10456" t="str">
        <f>"04 - A - 103 - Cliffon  Saurel"</f>
        <v>04 - A - 103 - Cliffon  Saurel</v>
      </c>
      <c r="F10456" t="str">
        <f>"PHYSICAL SCI"</f>
        <v>PHYSICAL SCI</v>
      </c>
      <c r="G10456" t="str">
        <f>"05-522"</f>
        <v>05-522</v>
      </c>
      <c r="H10456" t="str">
        <f>"A"</f>
        <v>A</v>
      </c>
    </row>
    <row r="10457" spans="1:8" x14ac:dyDescent="0.2">
      <c r="A10457" t="str">
        <f t="shared" si="3784"/>
        <v>0614097385</v>
      </c>
      <c r="B10457" t="str">
        <f t="shared" si="3785"/>
        <v>BRIANNA</v>
      </c>
      <c r="C10457" t="str">
        <f t="shared" si="3786"/>
        <v>MARTAGON MEJIA</v>
      </c>
      <c r="D10457">
        <f>11</f>
        <v>11</v>
      </c>
      <c r="E10457" t="str">
        <f>"06 - B - 105 - Elizabeth Ellen  Moran"</f>
        <v>06 - B - 105 - Elizabeth Ellen  Moran</v>
      </c>
      <c r="F10457" t="str">
        <f>"US HISTORY"</f>
        <v>US HISTORY</v>
      </c>
      <c r="G10457" t="str">
        <f>"17-1752"</f>
        <v>17-1752</v>
      </c>
      <c r="H10457" t="str">
        <f>"B"</f>
        <v>B</v>
      </c>
    </row>
    <row r="10458" spans="1:8" x14ac:dyDescent="0.2">
      <c r="A10458" t="str">
        <f t="shared" si="3784"/>
        <v>0614097385</v>
      </c>
      <c r="B10458" t="str">
        <f t="shared" si="3785"/>
        <v>BRIANNA</v>
      </c>
      <c r="C10458" t="str">
        <f t="shared" si="3786"/>
        <v>MARTAGON MEJIA</v>
      </c>
      <c r="D10458">
        <f>11</f>
        <v>11</v>
      </c>
      <c r="E10458" t="str">
        <f>"03 - A - 101 - Carleigh R Carmichael"</f>
        <v>03 - A - 101 - Carleigh R Carmichael</v>
      </c>
      <c r="F10458" t="str">
        <f>"LEAD TECHQS HONORS"</f>
        <v>LEAD TECHQS HONORS</v>
      </c>
      <c r="G10458" t="str">
        <f>"20-2072"</f>
        <v>20-2072</v>
      </c>
      <c r="H10458" t="str">
        <f>"A"</f>
        <v>A</v>
      </c>
    </row>
    <row r="10459" spans="1:8" x14ac:dyDescent="0.2">
      <c r="A10459" t="str">
        <f t="shared" si="3784"/>
        <v>0614097385</v>
      </c>
      <c r="B10459" t="str">
        <f t="shared" si="3785"/>
        <v>BRIANNA</v>
      </c>
      <c r="C10459" t="str">
        <f t="shared" si="3786"/>
        <v>MARTAGON MEJIA</v>
      </c>
      <c r="D10459">
        <f>11</f>
        <v>11</v>
      </c>
      <c r="E10459" t="str">
        <f>"02 - A - 001 - Courtney E Hambright"</f>
        <v>02 - A - 001 - Courtney E Hambright</v>
      </c>
      <c r="F10459" t="str">
        <f>"NC STUDY HALL 1"</f>
        <v>NC STUDY HALL 1</v>
      </c>
      <c r="G10459" t="str">
        <f>"17-1711"</f>
        <v>17-1711</v>
      </c>
      <c r="H10459" t="str">
        <f>"A"</f>
        <v>A</v>
      </c>
    </row>
    <row r="10460" spans="1:8" x14ac:dyDescent="0.2">
      <c r="A10460" t="str">
        <f t="shared" si="3784"/>
        <v>0614097385</v>
      </c>
      <c r="B10460" t="str">
        <f t="shared" si="3785"/>
        <v>BRIANNA</v>
      </c>
      <c r="C10460" t="str">
        <f t="shared" si="3786"/>
        <v>MARTAGON MEJIA</v>
      </c>
      <c r="D10460">
        <f>11</f>
        <v>11</v>
      </c>
      <c r="E10460" t="str">
        <f>"07 - B - 110 - Ferrie J Arostique"</f>
        <v>07 - B - 110 - Ferrie J Arostique</v>
      </c>
      <c r="F10460" t="str">
        <f>"GEOMETRY"</f>
        <v>GEOMETRY</v>
      </c>
      <c r="G10460" t="str">
        <f>"21-2139"</f>
        <v>21-2139</v>
      </c>
      <c r="H10460" t="str">
        <f>"B"</f>
        <v>B</v>
      </c>
    </row>
    <row r="10461" spans="1:8" x14ac:dyDescent="0.2">
      <c r="A10461" t="str">
        <f t="shared" si="3784"/>
        <v>0614097385</v>
      </c>
      <c r="B10461" t="str">
        <f t="shared" si="3785"/>
        <v>BRIANNA</v>
      </c>
      <c r="C10461" t="str">
        <f t="shared" si="3786"/>
        <v>MARTAGON MEJIA</v>
      </c>
      <c r="D10461">
        <f>11</f>
        <v>11</v>
      </c>
      <c r="E10461" t="str">
        <f>"05 - B - 101 - Brian M Fitzgerald"</f>
        <v>05 - B - 101 - Brian M Fitzgerald</v>
      </c>
      <c r="F10461" t="str">
        <f>"PAINT 1"</f>
        <v>PAINT 1</v>
      </c>
      <c r="G10461" t="str">
        <f>"09-908"</f>
        <v>09-908</v>
      </c>
      <c r="H10461" t="str">
        <f>"B"</f>
        <v>B</v>
      </c>
    </row>
    <row r="10462" spans="1:8" x14ac:dyDescent="0.2">
      <c r="A10462" t="str">
        <f t="shared" si="3784"/>
        <v>0614097385</v>
      </c>
      <c r="B10462" t="str">
        <f t="shared" si="3785"/>
        <v>BRIANNA</v>
      </c>
      <c r="C10462" t="str">
        <f t="shared" si="3786"/>
        <v>MARTAGON MEJIA</v>
      </c>
      <c r="D10462">
        <f>11</f>
        <v>11</v>
      </c>
      <c r="E10462" t="str">
        <f>"01 - A - 101 - Lisa  Quinn"</f>
        <v>01 - A - 101 - Lisa  Quinn</v>
      </c>
      <c r="F10462" t="str">
        <f>"ENG 3"</f>
        <v>ENG 3</v>
      </c>
      <c r="G10462" t="str">
        <f>"17-1725"</f>
        <v>17-1725</v>
      </c>
      <c r="H10462" t="str">
        <f>"A"</f>
        <v>A</v>
      </c>
    </row>
    <row r="10463" spans="1:8" x14ac:dyDescent="0.2">
      <c r="A10463" t="str">
        <f t="shared" si="3784"/>
        <v>0614097385</v>
      </c>
      <c r="B10463" t="str">
        <f t="shared" si="3785"/>
        <v>BRIANNA</v>
      </c>
      <c r="C10463" t="str">
        <f t="shared" si="3786"/>
        <v>MARTAGON MEJIA</v>
      </c>
      <c r="D10463">
        <f>11</f>
        <v>11</v>
      </c>
      <c r="E10463" t="str">
        <f>"08 - S1 - B - 102 - Nahum  Saint-Preux"</f>
        <v>08 - S1 - B - 102 - Nahum  Saint-Preux</v>
      </c>
      <c r="F10463" t="str">
        <f>"CRIT THINK ST SKLS"</f>
        <v>CRIT THINK ST SKLS</v>
      </c>
      <c r="G10463" t="str">
        <f>"17-1712"</f>
        <v>17-1712</v>
      </c>
      <c r="H10463" t="str">
        <f>"B"</f>
        <v>B</v>
      </c>
    </row>
    <row r="10464" spans="1:8" x14ac:dyDescent="0.2">
      <c r="A10464" t="str">
        <f t="shared" ref="A10464:A10471" si="3787">"0615139636"</f>
        <v>0615139636</v>
      </c>
      <c r="B10464" t="str">
        <f t="shared" ref="B10464:B10471" si="3788">"FELICITY"</f>
        <v>FELICITY</v>
      </c>
      <c r="C10464" t="str">
        <f t="shared" ref="C10464:C10495" si="3789">"MARTIN"</f>
        <v>MARTIN</v>
      </c>
      <c r="D10464">
        <f>10</f>
        <v>10</v>
      </c>
      <c r="E10464" t="str">
        <f>"04 - A - 102 - Daniel S Katz"</f>
        <v>04 - A - 102 - Daniel S Katz</v>
      </c>
      <c r="F10464" t="str">
        <f>"AICE DRAMA 1 AS LEV"</f>
        <v>AICE DRAMA 1 AS LEV</v>
      </c>
      <c r="G10464" t="str">
        <f>"05-521"</f>
        <v>05-521</v>
      </c>
      <c r="H10464" t="str">
        <f>"A"</f>
        <v>A</v>
      </c>
    </row>
    <row r="10465" spans="1:8" x14ac:dyDescent="0.2">
      <c r="A10465" t="str">
        <f t="shared" si="3787"/>
        <v>0615139636</v>
      </c>
      <c r="B10465" t="str">
        <f t="shared" si="3788"/>
        <v>FELICITY</v>
      </c>
      <c r="C10465" t="str">
        <f t="shared" si="3789"/>
        <v>MARTIN</v>
      </c>
      <c r="D10465">
        <f>10</f>
        <v>10</v>
      </c>
      <c r="E10465" t="str">
        <f>"06 - B - 108 - Jacklyn M James"</f>
        <v>06 - B - 108 - Jacklyn M James</v>
      </c>
      <c r="F10465" t="str">
        <f>"NC STUDY HALL 1"</f>
        <v>NC STUDY HALL 1</v>
      </c>
      <c r="G10465" t="str">
        <f>"17-1731"</f>
        <v>17-1731</v>
      </c>
      <c r="H10465" t="str">
        <f>"B"</f>
        <v>B</v>
      </c>
    </row>
    <row r="10466" spans="1:8" x14ac:dyDescent="0.2">
      <c r="A10466" t="str">
        <f t="shared" si="3787"/>
        <v>0615139636</v>
      </c>
      <c r="B10466" t="str">
        <f t="shared" si="3788"/>
        <v>FELICITY</v>
      </c>
      <c r="C10466" t="str">
        <f t="shared" si="3789"/>
        <v>MARTIN</v>
      </c>
      <c r="D10466">
        <f>10</f>
        <v>10</v>
      </c>
      <c r="E10466" t="str">
        <f>"03 - A - 002 - Lenecy  Nodarse"</f>
        <v>03 - A - 002 - Lenecy  Nodarse</v>
      </c>
      <c r="F10466" t="str">
        <f>"AICE EURO HIST 1 AS"</f>
        <v>AICE EURO HIST 1 AS</v>
      </c>
      <c r="G10466" t="str">
        <f>"17-1741"</f>
        <v>17-1741</v>
      </c>
      <c r="H10466" t="str">
        <f>"A"</f>
        <v>A</v>
      </c>
    </row>
    <row r="10467" spans="1:8" x14ac:dyDescent="0.2">
      <c r="A10467" t="str">
        <f t="shared" si="3787"/>
        <v>0615139636</v>
      </c>
      <c r="B10467" t="str">
        <f t="shared" si="3788"/>
        <v>FELICITY</v>
      </c>
      <c r="C10467" t="str">
        <f t="shared" si="3789"/>
        <v>MARTIN</v>
      </c>
      <c r="D10467">
        <f>10</f>
        <v>10</v>
      </c>
      <c r="E10467" t="str">
        <f>"02 - A - 104 - Joe  Kilpatrick Jr"</f>
        <v>02 - A - 104 - Joe  Kilpatrick Jr</v>
      </c>
      <c r="F10467" t="str">
        <f>"PRE-AICE SPAN 2 IG"</f>
        <v>PRE-AICE SPAN 2 IG</v>
      </c>
      <c r="G10467" t="str">
        <f>"09-912"</f>
        <v>09-912</v>
      </c>
      <c r="H10467" t="str">
        <f>"A"</f>
        <v>A</v>
      </c>
    </row>
    <row r="10468" spans="1:8" x14ac:dyDescent="0.2">
      <c r="A10468" t="str">
        <f t="shared" si="3787"/>
        <v>0615139636</v>
      </c>
      <c r="B10468" t="str">
        <f t="shared" si="3788"/>
        <v>FELICITY</v>
      </c>
      <c r="C10468" t="str">
        <f t="shared" si="3789"/>
        <v>MARTIN</v>
      </c>
      <c r="D10468">
        <f>10</f>
        <v>10</v>
      </c>
      <c r="E10468" t="str">
        <f>"07 - B - 107 - Brook E Goren"</f>
        <v>07 - B - 107 - Brook E Goren</v>
      </c>
      <c r="F10468" t="str">
        <f>"PRE-AICE MATH 2 IG"</f>
        <v>PRE-AICE MATH 2 IG</v>
      </c>
      <c r="G10468" t="str">
        <f>"21-2158"</f>
        <v>21-2158</v>
      </c>
      <c r="H10468" t="str">
        <f>"B"</f>
        <v>B</v>
      </c>
    </row>
    <row r="10469" spans="1:8" x14ac:dyDescent="0.2">
      <c r="A10469" t="str">
        <f t="shared" si="3787"/>
        <v>0615139636</v>
      </c>
      <c r="B10469" t="str">
        <f t="shared" si="3788"/>
        <v>FELICITY</v>
      </c>
      <c r="C10469" t="str">
        <f t="shared" si="3789"/>
        <v>MARTIN</v>
      </c>
      <c r="D10469">
        <f>10</f>
        <v>10</v>
      </c>
      <c r="E10469" t="str">
        <f>"05 - B - 203 - Chrystina M Marchionne"</f>
        <v>05 - B - 203 - Chrystina M Marchionne</v>
      </c>
      <c r="F10469" t="str">
        <f>"AICE MEDIASTUDIES AS"</f>
        <v>AICE MEDIASTUDIES AS</v>
      </c>
      <c r="G10469" t="str">
        <f>"05-520"</f>
        <v>05-520</v>
      </c>
      <c r="H10469" t="str">
        <f>"B"</f>
        <v>B</v>
      </c>
    </row>
    <row r="10470" spans="1:8" x14ac:dyDescent="0.2">
      <c r="A10470" t="str">
        <f t="shared" si="3787"/>
        <v>0615139636</v>
      </c>
      <c r="B10470" t="str">
        <f t="shared" si="3788"/>
        <v>FELICITY</v>
      </c>
      <c r="C10470" t="str">
        <f t="shared" si="3789"/>
        <v>MARTIN</v>
      </c>
      <c r="D10470">
        <f>10</f>
        <v>10</v>
      </c>
      <c r="E10470" t="str">
        <f>"01 - A - 101 - Josiah I Lacy"</f>
        <v>01 - A - 101 - Josiah I Lacy</v>
      </c>
      <c r="F10470" t="str">
        <f>"PRE-AICE BIO IG"</f>
        <v>PRE-AICE BIO IG</v>
      </c>
      <c r="G10470" t="str">
        <f>"08-801"</f>
        <v>08-801</v>
      </c>
      <c r="H10470" t="str">
        <f>"A"</f>
        <v>A</v>
      </c>
    </row>
    <row r="10471" spans="1:8" x14ac:dyDescent="0.2">
      <c r="A10471" t="str">
        <f t="shared" si="3787"/>
        <v>0615139636</v>
      </c>
      <c r="B10471" t="str">
        <f t="shared" si="3788"/>
        <v>FELICITY</v>
      </c>
      <c r="C10471" t="str">
        <f t="shared" si="3789"/>
        <v>MARTIN</v>
      </c>
      <c r="D10471">
        <f>10</f>
        <v>10</v>
      </c>
      <c r="E10471" t="str">
        <f>"08 - B - 001 - Jacklyn M James"</f>
        <v>08 - B - 001 - Jacklyn M James</v>
      </c>
      <c r="F10471" t="str">
        <f>"AICE ENG LANG AS"</f>
        <v>AICE ENG LANG AS</v>
      </c>
      <c r="G10471" t="str">
        <f>"17-1731"</f>
        <v>17-1731</v>
      </c>
      <c r="H10471" t="str">
        <f>"B"</f>
        <v>B</v>
      </c>
    </row>
    <row r="10472" spans="1:8" x14ac:dyDescent="0.2">
      <c r="A10472" t="str">
        <f t="shared" ref="A10472:A10479" si="3790">"0616113463"</f>
        <v>0616113463</v>
      </c>
      <c r="B10472" t="str">
        <f t="shared" ref="B10472:B10479" si="3791">"HANANYAH"</f>
        <v>HANANYAH</v>
      </c>
      <c r="C10472" t="str">
        <f t="shared" si="3789"/>
        <v>MARTIN</v>
      </c>
      <c r="D10472" t="str">
        <f t="shared" ref="D10472:D10487" si="3792">"09"</f>
        <v>09</v>
      </c>
      <c r="E10472" t="str">
        <f>"04 - A - 104 - Marius D Orsolini"</f>
        <v>04 - A - 104 - Marius D Orsolini</v>
      </c>
      <c r="F10472" t="str">
        <f>"CULINARY ARTS 1"</f>
        <v>CULINARY ARTS 1</v>
      </c>
      <c r="G10472" t="str">
        <f>"21-2115"</f>
        <v>21-2115</v>
      </c>
      <c r="H10472" t="str">
        <f>"A"</f>
        <v>A</v>
      </c>
    </row>
    <row r="10473" spans="1:8" x14ac:dyDescent="0.2">
      <c r="A10473" t="str">
        <f t="shared" si="3790"/>
        <v>0616113463</v>
      </c>
      <c r="B10473" t="str">
        <f t="shared" si="3791"/>
        <v>HANANYAH</v>
      </c>
      <c r="C10473" t="str">
        <f t="shared" si="3789"/>
        <v>MARTIN</v>
      </c>
      <c r="D10473" t="str">
        <f t="shared" si="3792"/>
        <v>09</v>
      </c>
      <c r="E10473" t="str">
        <f>"06 - B - 110 - Krystal Marie  Beruty"</f>
        <v>06 - B - 110 - Krystal Marie  Beruty</v>
      </c>
      <c r="F10473" t="str">
        <f>"AICE GLBL PERSP 1 AS"</f>
        <v>AICE GLBL PERSP 1 AS</v>
      </c>
      <c r="G10473" t="str">
        <f>"17-1721"</f>
        <v>17-1721</v>
      </c>
      <c r="H10473" t="str">
        <f>"B"</f>
        <v>B</v>
      </c>
    </row>
    <row r="10474" spans="1:8" x14ac:dyDescent="0.2">
      <c r="A10474" t="str">
        <f t="shared" si="3790"/>
        <v>0616113463</v>
      </c>
      <c r="B10474" t="str">
        <f t="shared" si="3791"/>
        <v>HANANYAH</v>
      </c>
      <c r="C10474" t="str">
        <f t="shared" si="3789"/>
        <v>MARTIN</v>
      </c>
      <c r="D10474" t="str">
        <f t="shared" si="3792"/>
        <v>09</v>
      </c>
      <c r="E10474" t="str">
        <f>"03 - A - 202 - Cheryl L Beach"</f>
        <v>03 - A - 202 - Cheryl L Beach</v>
      </c>
      <c r="F10474" t="str">
        <f>"AICE ENV MGMNT AS"</f>
        <v>AICE ENV MGMNT AS</v>
      </c>
      <c r="G10474" t="str">
        <f>"08-811"</f>
        <v>08-811</v>
      </c>
      <c r="H10474" t="str">
        <f>"A"</f>
        <v>A</v>
      </c>
    </row>
    <row r="10475" spans="1:8" x14ac:dyDescent="0.2">
      <c r="A10475" t="str">
        <f t="shared" si="3790"/>
        <v>0616113463</v>
      </c>
      <c r="B10475" t="str">
        <f t="shared" si="3791"/>
        <v>HANANYAH</v>
      </c>
      <c r="C10475" t="str">
        <f t="shared" si="3789"/>
        <v>MARTIN</v>
      </c>
      <c r="D10475" t="str">
        <f t="shared" si="3792"/>
        <v>09</v>
      </c>
      <c r="E10475" t="str">
        <f>"02 - A - 101 - Josiah I Lacy"</f>
        <v>02 - A - 101 - Josiah I Lacy</v>
      </c>
      <c r="F10475" t="str">
        <f>"NC STUDY HALL 1"</f>
        <v>NC STUDY HALL 1</v>
      </c>
      <c r="G10475" t="str">
        <f>"08-801"</f>
        <v>08-801</v>
      </c>
      <c r="H10475" t="str">
        <f>"A"</f>
        <v>A</v>
      </c>
    </row>
    <row r="10476" spans="1:8" x14ac:dyDescent="0.2">
      <c r="A10476" t="str">
        <f t="shared" si="3790"/>
        <v>0616113463</v>
      </c>
      <c r="B10476" t="str">
        <f t="shared" si="3791"/>
        <v>HANANYAH</v>
      </c>
      <c r="C10476" t="str">
        <f t="shared" si="3789"/>
        <v>MARTIN</v>
      </c>
      <c r="D10476" t="str">
        <f t="shared" si="3792"/>
        <v>09</v>
      </c>
      <c r="E10476" t="str">
        <f>"07 - B - 107 - Brook E Goren"</f>
        <v>07 - B - 107 - Brook E Goren</v>
      </c>
      <c r="F10476" t="str">
        <f>"PRE-AICE MATH 2 IG"</f>
        <v>PRE-AICE MATH 2 IG</v>
      </c>
      <c r="G10476" t="str">
        <f>"21-2158"</f>
        <v>21-2158</v>
      </c>
      <c r="H10476" t="str">
        <f>"B"</f>
        <v>B</v>
      </c>
    </row>
    <row r="10477" spans="1:8" x14ac:dyDescent="0.2">
      <c r="A10477" t="str">
        <f t="shared" si="3790"/>
        <v>0616113463</v>
      </c>
      <c r="B10477" t="str">
        <f t="shared" si="3791"/>
        <v>HANANYAH</v>
      </c>
      <c r="C10477" t="str">
        <f t="shared" si="3789"/>
        <v>MARTIN</v>
      </c>
      <c r="D10477" t="str">
        <f t="shared" si="3792"/>
        <v>09</v>
      </c>
      <c r="E10477" t="str">
        <f>"05 - B - 102 - Jeanne M Bermudez"</f>
        <v>05 - B - 102 - Jeanne M Bermudez</v>
      </c>
      <c r="F10477" t="str">
        <f>"ADVANCED IT HON"</f>
        <v>ADVANCED IT HON</v>
      </c>
      <c r="G10477" t="str">
        <f>"21-2141"</f>
        <v>21-2141</v>
      </c>
      <c r="H10477" t="str">
        <f>"B"</f>
        <v>B</v>
      </c>
    </row>
    <row r="10478" spans="1:8" x14ac:dyDescent="0.2">
      <c r="A10478" t="str">
        <f t="shared" si="3790"/>
        <v>0616113463</v>
      </c>
      <c r="B10478" t="str">
        <f t="shared" si="3791"/>
        <v>HANANYAH</v>
      </c>
      <c r="C10478" t="str">
        <f t="shared" si="3789"/>
        <v>MARTIN</v>
      </c>
      <c r="D10478" t="str">
        <f t="shared" si="3792"/>
        <v>09</v>
      </c>
      <c r="E10478" t="str">
        <f>"01 - A - 101 - Joe  Kilpatrick Jr"</f>
        <v>01 - A - 101 - Joe  Kilpatrick Jr</v>
      </c>
      <c r="F10478" t="str">
        <f>"PRE-AICE SPAN 1 IG"</f>
        <v>PRE-AICE SPAN 1 IG</v>
      </c>
      <c r="G10478" t="str">
        <f>"09-912"</f>
        <v>09-912</v>
      </c>
      <c r="H10478" t="str">
        <f>"A"</f>
        <v>A</v>
      </c>
    </row>
    <row r="10479" spans="1:8" x14ac:dyDescent="0.2">
      <c r="A10479" t="str">
        <f t="shared" si="3790"/>
        <v>0616113463</v>
      </c>
      <c r="B10479" t="str">
        <f t="shared" si="3791"/>
        <v>HANANYAH</v>
      </c>
      <c r="C10479" t="str">
        <f t="shared" si="3789"/>
        <v>MARTIN</v>
      </c>
      <c r="D10479" t="str">
        <f t="shared" si="3792"/>
        <v>09</v>
      </c>
      <c r="E10479" t="str">
        <f>"08 - B - 201 - Elizabeth R Walker"</f>
        <v>08 - B - 201 - Elizabeth R Walker</v>
      </c>
      <c r="F10479" t="str">
        <f>"AICE ENG GEN PAPER 1"</f>
        <v>AICE ENG GEN PAPER 1</v>
      </c>
      <c r="G10479" t="str">
        <f>"17-1703"</f>
        <v>17-1703</v>
      </c>
      <c r="H10479" t="str">
        <f>"B"</f>
        <v>B</v>
      </c>
    </row>
    <row r="10480" spans="1:8" x14ac:dyDescent="0.2">
      <c r="A10480" t="str">
        <f t="shared" ref="A10480:A10487" si="3793">"0611076781"</f>
        <v>0611076781</v>
      </c>
      <c r="B10480" t="str">
        <f t="shared" ref="B10480:B10487" si="3794">"JA'QUAN"</f>
        <v>JA'QUAN</v>
      </c>
      <c r="C10480" t="str">
        <f t="shared" si="3789"/>
        <v>MARTIN</v>
      </c>
      <c r="D10480" t="str">
        <f t="shared" si="3792"/>
        <v>09</v>
      </c>
      <c r="E10480" t="str">
        <f>"04 - A - 102 - Tina L Lovett"</f>
        <v>04 - A - 102 - Tina L Lovett</v>
      </c>
      <c r="F10480" t="str">
        <f>"ALGEBRA 1"</f>
        <v>ALGEBRA 1</v>
      </c>
      <c r="G10480" t="str">
        <f>"21-2153"</f>
        <v>21-2153</v>
      </c>
      <c r="H10480" t="str">
        <f>"A"</f>
        <v>A</v>
      </c>
    </row>
    <row r="10481" spans="1:8" x14ac:dyDescent="0.2">
      <c r="A10481" t="str">
        <f t="shared" si="3793"/>
        <v>0611076781</v>
      </c>
      <c r="B10481" t="str">
        <f t="shared" si="3794"/>
        <v>JA'QUAN</v>
      </c>
      <c r="C10481" t="str">
        <f t="shared" si="3789"/>
        <v>MARTIN</v>
      </c>
      <c r="D10481" t="str">
        <f t="shared" si="3792"/>
        <v>09</v>
      </c>
      <c r="E10481" t="str">
        <f>"06 - B - 202 - Alejandro  Navarro"</f>
        <v>06 - B - 202 - Alejandro  Navarro</v>
      </c>
      <c r="F10481" t="str">
        <f>"BAND 1"</f>
        <v>BAND 1</v>
      </c>
      <c r="G10481" t="str">
        <f>"05-504"</f>
        <v>05-504</v>
      </c>
      <c r="H10481" t="str">
        <f>"B"</f>
        <v>B</v>
      </c>
    </row>
    <row r="10482" spans="1:8" x14ac:dyDescent="0.2">
      <c r="A10482" t="str">
        <f t="shared" si="3793"/>
        <v>0611076781</v>
      </c>
      <c r="B10482" t="str">
        <f t="shared" si="3794"/>
        <v>JA'QUAN</v>
      </c>
      <c r="C10482" t="str">
        <f t="shared" si="3789"/>
        <v>MARTIN</v>
      </c>
      <c r="D10482" t="str">
        <f t="shared" si="3792"/>
        <v>09</v>
      </c>
      <c r="E10482" t="str">
        <f>"03 - A - 102 - Rory T Sponsler"</f>
        <v>03 - A - 102 - Rory T Sponsler</v>
      </c>
      <c r="F10482" t="str">
        <f>"PRE-AICE WRLD HST IG"</f>
        <v>PRE-AICE WRLD HST IG</v>
      </c>
      <c r="G10482" t="str">
        <f>"17-1740"</f>
        <v>17-1740</v>
      </c>
      <c r="H10482" t="str">
        <f>"A"</f>
        <v>A</v>
      </c>
    </row>
    <row r="10483" spans="1:8" x14ac:dyDescent="0.2">
      <c r="A10483" t="str">
        <f t="shared" si="3793"/>
        <v>0611076781</v>
      </c>
      <c r="B10483" t="str">
        <f t="shared" si="3794"/>
        <v>JA'QUAN</v>
      </c>
      <c r="C10483" t="str">
        <f t="shared" si="3789"/>
        <v>MARTIN</v>
      </c>
      <c r="D10483" t="str">
        <f t="shared" si="3792"/>
        <v>09</v>
      </c>
      <c r="E10483" t="str">
        <f>"02 - A - 115 - Lourivaldo  Da Silva"</f>
        <v>02 - A - 115 - Lourivaldo  Da Silva</v>
      </c>
      <c r="F10483" t="str">
        <f>"NC STUDY HALL 1"</f>
        <v>NC STUDY HALL 1</v>
      </c>
      <c r="G10483" t="str">
        <f>"20-2079"</f>
        <v>20-2079</v>
      </c>
      <c r="H10483" t="str">
        <f>"A"</f>
        <v>A</v>
      </c>
    </row>
    <row r="10484" spans="1:8" x14ac:dyDescent="0.2">
      <c r="A10484" t="str">
        <f t="shared" si="3793"/>
        <v>0611076781</v>
      </c>
      <c r="B10484" t="str">
        <f t="shared" si="3794"/>
        <v>JA'QUAN</v>
      </c>
      <c r="C10484" t="str">
        <f t="shared" si="3789"/>
        <v>MARTIN</v>
      </c>
      <c r="D10484" t="str">
        <f t="shared" si="3792"/>
        <v>09</v>
      </c>
      <c r="E10484" t="str">
        <f>"07 - B - 107 - Adam Marcus  Drucker"</f>
        <v>07 - B - 107 - Adam Marcus  Drucker</v>
      </c>
      <c r="F10484" t="str">
        <f>"HOPE-PE V"</f>
        <v>HOPE-PE V</v>
      </c>
      <c r="G10484" t="str">
        <f>"04-254"</f>
        <v>04-254</v>
      </c>
      <c r="H10484" t="str">
        <f>"B"</f>
        <v>B</v>
      </c>
    </row>
    <row r="10485" spans="1:8" x14ac:dyDescent="0.2">
      <c r="A10485" t="str">
        <f t="shared" si="3793"/>
        <v>0611076781</v>
      </c>
      <c r="B10485" t="str">
        <f t="shared" si="3794"/>
        <v>JA'QUAN</v>
      </c>
      <c r="C10485" t="str">
        <f t="shared" si="3789"/>
        <v>MARTIN</v>
      </c>
      <c r="D10485" t="str">
        <f t="shared" si="3792"/>
        <v>09</v>
      </c>
      <c r="E10485" t="str">
        <f>"05 - B - 103 - Josiah I Lacy"</f>
        <v>05 - B - 103 - Josiah I Lacy</v>
      </c>
      <c r="F10485" t="str">
        <f>"PRE-AICE BIO IG"</f>
        <v>PRE-AICE BIO IG</v>
      </c>
      <c r="G10485" t="str">
        <f>"08-801"</f>
        <v>08-801</v>
      </c>
      <c r="H10485" t="str">
        <f>"B"</f>
        <v>B</v>
      </c>
    </row>
    <row r="10486" spans="1:8" x14ac:dyDescent="0.2">
      <c r="A10486" t="str">
        <f t="shared" si="3793"/>
        <v>0611076781</v>
      </c>
      <c r="B10486" t="str">
        <f t="shared" si="3794"/>
        <v>JA'QUAN</v>
      </c>
      <c r="C10486" t="str">
        <f t="shared" si="3789"/>
        <v>MARTIN</v>
      </c>
      <c r="D10486" t="str">
        <f t="shared" si="3792"/>
        <v>09</v>
      </c>
      <c r="E10486" t="str">
        <f>"01 - A - 101 - Cheryl Anne  Berman-Schechter"</f>
        <v>01 - A - 101 - Cheryl Anne  Berman-Schechter</v>
      </c>
      <c r="F10486" t="str">
        <f>"PRE-AICE ENG LANG IG"</f>
        <v>PRE-AICE ENG LANG IG</v>
      </c>
      <c r="G10486" t="str">
        <f>"17-1722"</f>
        <v>17-1722</v>
      </c>
      <c r="H10486" t="str">
        <f>"A"</f>
        <v>A</v>
      </c>
    </row>
    <row r="10487" spans="1:8" x14ac:dyDescent="0.2">
      <c r="A10487" t="str">
        <f t="shared" si="3793"/>
        <v>0611076781</v>
      </c>
      <c r="B10487" t="str">
        <f t="shared" si="3794"/>
        <v>JA'QUAN</v>
      </c>
      <c r="C10487" t="str">
        <f t="shared" si="3789"/>
        <v>MARTIN</v>
      </c>
      <c r="D10487" t="str">
        <f t="shared" si="3792"/>
        <v>09</v>
      </c>
      <c r="E10487" t="str">
        <f>"08 - B - 108 - Tina L Lovett"</f>
        <v>08 - B - 108 - Tina L Lovett</v>
      </c>
      <c r="F10487" t="str">
        <f>"FDN SKLS MATH 9-12"</f>
        <v>FDN SKLS MATH 9-12</v>
      </c>
      <c r="G10487" t="str">
        <f>"21-2153"</f>
        <v>21-2153</v>
      </c>
      <c r="H10487" t="str">
        <f>"B"</f>
        <v>B</v>
      </c>
    </row>
    <row r="10488" spans="1:8" x14ac:dyDescent="0.2">
      <c r="A10488" t="str">
        <f t="shared" ref="A10488:A10495" si="3795">"0614013905"</f>
        <v>0614013905</v>
      </c>
      <c r="B10488" t="str">
        <f t="shared" ref="B10488:B10495" si="3796">"JAYLA"</f>
        <v>JAYLA</v>
      </c>
      <c r="C10488" t="str">
        <f t="shared" si="3789"/>
        <v>MARTIN</v>
      </c>
      <c r="D10488">
        <f>12</f>
        <v>12</v>
      </c>
      <c r="E10488" t="str">
        <f>"04 - A - 205 - Robyn L Trainer"</f>
        <v>04 - A - 205 - Robyn L Trainer</v>
      </c>
      <c r="F10488" t="str">
        <f>"ENG 4: FL COLL PREP"</f>
        <v>ENG 4: FL COLL PREP</v>
      </c>
      <c r="G10488" t="str">
        <f>"17-1734"</f>
        <v>17-1734</v>
      </c>
      <c r="H10488" t="str">
        <f>"A"</f>
        <v>A</v>
      </c>
    </row>
    <row r="10489" spans="1:8" x14ac:dyDescent="0.2">
      <c r="A10489" t="str">
        <f t="shared" si="3795"/>
        <v>0614013905</v>
      </c>
      <c r="B10489" t="str">
        <f t="shared" si="3796"/>
        <v>JAYLA</v>
      </c>
      <c r="C10489" t="str">
        <f t="shared" si="3789"/>
        <v>MARTIN</v>
      </c>
      <c r="D10489">
        <f>12</f>
        <v>12</v>
      </c>
      <c r="E10489" t="str">
        <f>"06 - B - 102 - Andrea A Amison"</f>
        <v>06 - B - 102 - Andrea A Amison</v>
      </c>
      <c r="F10489" t="str">
        <f>"NC STUDY HALL 1"</f>
        <v>NC STUDY HALL 1</v>
      </c>
      <c r="G10489" t="str">
        <f>"09-922C"</f>
        <v>09-922C</v>
      </c>
      <c r="H10489" t="str">
        <f>"B"</f>
        <v>B</v>
      </c>
    </row>
    <row r="10490" spans="1:8" x14ac:dyDescent="0.2">
      <c r="A10490" t="str">
        <f t="shared" si="3795"/>
        <v>0614013905</v>
      </c>
      <c r="B10490" t="str">
        <f t="shared" si="3796"/>
        <v>JAYLA</v>
      </c>
      <c r="C10490" t="str">
        <f t="shared" si="3789"/>
        <v>MARTIN</v>
      </c>
      <c r="D10490">
        <f>12</f>
        <v>12</v>
      </c>
      <c r="E10490" t="str">
        <f>"03 - A - 101 - Tina L Lovett"</f>
        <v>03 - A - 101 - Tina L Lovett</v>
      </c>
      <c r="F10490" t="str">
        <f>"MATH DATA &amp; FIN LIT"</f>
        <v>MATH DATA &amp; FIN LIT</v>
      </c>
      <c r="G10490" t="str">
        <f>"21-2153"</f>
        <v>21-2153</v>
      </c>
      <c r="H10490" t="str">
        <f>"A"</f>
        <v>A</v>
      </c>
    </row>
    <row r="10491" spans="1:8" x14ac:dyDescent="0.2">
      <c r="A10491" t="str">
        <f t="shared" si="3795"/>
        <v>0614013905</v>
      </c>
      <c r="B10491" t="str">
        <f t="shared" si="3796"/>
        <v>JAYLA</v>
      </c>
      <c r="C10491" t="str">
        <f t="shared" si="3789"/>
        <v>MARTIN</v>
      </c>
      <c r="D10491">
        <f>12</f>
        <v>12</v>
      </c>
      <c r="E10491" t="str">
        <f>"02 - S1 - A - 104 - Robert O Burger"</f>
        <v>02 - S1 - A - 104 - Robert O Burger</v>
      </c>
      <c r="F10491" t="str">
        <f>"US GOVT"</f>
        <v>US GOVT</v>
      </c>
      <c r="G10491" t="str">
        <f>"17-1755"</f>
        <v>17-1755</v>
      </c>
      <c r="H10491" t="str">
        <f>"A"</f>
        <v>A</v>
      </c>
    </row>
    <row r="10492" spans="1:8" x14ac:dyDescent="0.2">
      <c r="A10492" t="str">
        <f t="shared" si="3795"/>
        <v>0614013905</v>
      </c>
      <c r="B10492" t="str">
        <f t="shared" si="3796"/>
        <v>JAYLA</v>
      </c>
      <c r="C10492" t="str">
        <f t="shared" si="3789"/>
        <v>MARTIN</v>
      </c>
      <c r="D10492">
        <f>12</f>
        <v>12</v>
      </c>
      <c r="E10492" t="str">
        <f>"07 - B - 103 - Nahum  Saint-Preux"</f>
        <v>07 - B - 103 - Nahum  Saint-Preux</v>
      </c>
      <c r="F10492" t="str">
        <f>"INTENS READ 4"</f>
        <v>INTENS READ 4</v>
      </c>
      <c r="G10492" t="str">
        <f>"17-1712"</f>
        <v>17-1712</v>
      </c>
      <c r="H10492" t="str">
        <f>"B"</f>
        <v>B</v>
      </c>
    </row>
    <row r="10493" spans="1:8" x14ac:dyDescent="0.2">
      <c r="A10493" t="str">
        <f t="shared" si="3795"/>
        <v>0614013905</v>
      </c>
      <c r="B10493" t="str">
        <f t="shared" si="3796"/>
        <v>JAYLA</v>
      </c>
      <c r="C10493" t="str">
        <f t="shared" si="3789"/>
        <v>MARTIN</v>
      </c>
      <c r="D10493">
        <f>12</f>
        <v>12</v>
      </c>
      <c r="E10493" t="str">
        <f>"05 - B - 201 - Jazmin S Fletcher"</f>
        <v>05 - B - 201 - Jazmin S Fletcher</v>
      </c>
      <c r="F10493" t="str">
        <f>"THEATRE 1"</f>
        <v>THEATRE 1</v>
      </c>
      <c r="G10493" t="str">
        <f>"09-909"</f>
        <v>09-909</v>
      </c>
      <c r="H10493" t="str">
        <f>"B"</f>
        <v>B</v>
      </c>
    </row>
    <row r="10494" spans="1:8" x14ac:dyDescent="0.2">
      <c r="A10494" t="str">
        <f t="shared" si="3795"/>
        <v>0614013905</v>
      </c>
      <c r="B10494" t="str">
        <f t="shared" si="3796"/>
        <v>JAYLA</v>
      </c>
      <c r="C10494" t="str">
        <f t="shared" si="3789"/>
        <v>MARTIN</v>
      </c>
      <c r="D10494">
        <f>12</f>
        <v>12</v>
      </c>
      <c r="E10494" t="str">
        <f>"01 - A - 101 - Adam Marcus  Drucker"</f>
        <v>01 - A - 101 - Adam Marcus  Drucker</v>
      </c>
      <c r="F10494" t="str">
        <f>"HOPE-PE V"</f>
        <v>HOPE-PE V</v>
      </c>
      <c r="G10494" t="str">
        <f>"04-254"</f>
        <v>04-254</v>
      </c>
      <c r="H10494" t="str">
        <f>"A"</f>
        <v>A</v>
      </c>
    </row>
    <row r="10495" spans="1:8" x14ac:dyDescent="0.2">
      <c r="A10495" t="str">
        <f t="shared" si="3795"/>
        <v>0614013905</v>
      </c>
      <c r="B10495" t="str">
        <f t="shared" si="3796"/>
        <v>JAYLA</v>
      </c>
      <c r="C10495" t="str">
        <f t="shared" si="3789"/>
        <v>MARTIN</v>
      </c>
      <c r="D10495">
        <f>12</f>
        <v>12</v>
      </c>
      <c r="E10495" t="str">
        <f>"08 - S1 - B - 101 - Amy Beth  Broyles"</f>
        <v>08 - S1 - B - 101 - Amy Beth  Broyles</v>
      </c>
      <c r="F10495" t="str">
        <f>"PEER COUN 3"</f>
        <v>PEER COUN 3</v>
      </c>
      <c r="G10495" t="str">
        <f>"17-1713"</f>
        <v>17-1713</v>
      </c>
      <c r="H10495" t="str">
        <f>"B"</f>
        <v>B</v>
      </c>
    </row>
    <row r="10496" spans="1:8" x14ac:dyDescent="0.2">
      <c r="A10496" t="str">
        <f t="shared" ref="A10496:A10503" si="3797">"0615075247"</f>
        <v>0615075247</v>
      </c>
      <c r="B10496" t="str">
        <f t="shared" ref="B10496:B10503" si="3798">"JULIANNA"</f>
        <v>JULIANNA</v>
      </c>
      <c r="C10496" t="str">
        <f t="shared" ref="C10496:C10512" si="3799">"MARTIN"</f>
        <v>MARTIN</v>
      </c>
      <c r="D10496">
        <f>11</f>
        <v>11</v>
      </c>
      <c r="E10496" t="str">
        <f>"04 - S1 - A - 101 - Nahum  Saint-Preux"</f>
        <v>04 - S1 - A - 101 - Nahum  Saint-Preux</v>
      </c>
      <c r="F10496" t="str">
        <f>"CRIT THINK ST SKLS"</f>
        <v>CRIT THINK ST SKLS</v>
      </c>
      <c r="G10496" t="str">
        <f>"17-1712"</f>
        <v>17-1712</v>
      </c>
      <c r="H10496" t="str">
        <f>"A"</f>
        <v>A</v>
      </c>
    </row>
    <row r="10497" spans="1:8" x14ac:dyDescent="0.2">
      <c r="A10497" t="str">
        <f t="shared" si="3797"/>
        <v>0615075247</v>
      </c>
      <c r="B10497" t="str">
        <f t="shared" si="3798"/>
        <v>JULIANNA</v>
      </c>
      <c r="C10497" t="str">
        <f t="shared" si="3799"/>
        <v>MARTIN</v>
      </c>
      <c r="D10497">
        <f>11</f>
        <v>11</v>
      </c>
      <c r="E10497" t="str">
        <f>"06 - B - 206 - Jacqueline R Morphet"</f>
        <v>06 - B - 206 - Jacqueline R Morphet</v>
      </c>
      <c r="F10497" t="str">
        <f>"PHYSICS 1 HON"</f>
        <v>PHYSICS 1 HON</v>
      </c>
      <c r="G10497" t="str">
        <f>"21-2138"</f>
        <v>21-2138</v>
      </c>
      <c r="H10497" t="str">
        <f>"B"</f>
        <v>B</v>
      </c>
    </row>
    <row r="10498" spans="1:8" x14ac:dyDescent="0.2">
      <c r="A10498" t="str">
        <f t="shared" si="3797"/>
        <v>0615075247</v>
      </c>
      <c r="B10498" t="str">
        <f t="shared" si="3798"/>
        <v>JULIANNA</v>
      </c>
      <c r="C10498" t="str">
        <f t="shared" si="3799"/>
        <v>MARTIN</v>
      </c>
      <c r="D10498">
        <f>11</f>
        <v>11</v>
      </c>
      <c r="E10498" t="str">
        <f>"03 - A - 106 - Jerry S Jiampetti"</f>
        <v>03 - A - 106 - Jerry S Jiampetti</v>
      </c>
      <c r="F10498" t="str">
        <f>"US HISTORY HON"</f>
        <v>US HISTORY HON</v>
      </c>
      <c r="G10498" t="str">
        <f>"17-1751"</f>
        <v>17-1751</v>
      </c>
      <c r="H10498" t="str">
        <f>"A"</f>
        <v>A</v>
      </c>
    </row>
    <row r="10499" spans="1:8" x14ac:dyDescent="0.2">
      <c r="A10499" t="str">
        <f t="shared" si="3797"/>
        <v>0615075247</v>
      </c>
      <c r="B10499" t="str">
        <f t="shared" si="3798"/>
        <v>JULIANNA</v>
      </c>
      <c r="C10499" t="str">
        <f t="shared" si="3799"/>
        <v>MARTIN</v>
      </c>
      <c r="D10499">
        <f>11</f>
        <v>11</v>
      </c>
      <c r="E10499" t="str">
        <f>"02 - A - 108 - Stephen T Ripp"</f>
        <v>02 - A - 108 - Stephen T Ripp</v>
      </c>
      <c r="F10499" t="str">
        <f>"NC STUDY HALL 1"</f>
        <v>NC STUDY HALL 1</v>
      </c>
      <c r="G10499" t="str">
        <f>"17-1744"</f>
        <v>17-1744</v>
      </c>
      <c r="H10499" t="str">
        <f>"A"</f>
        <v>A</v>
      </c>
    </row>
    <row r="10500" spans="1:8" x14ac:dyDescent="0.2">
      <c r="A10500" t="str">
        <f t="shared" si="3797"/>
        <v>0615075247</v>
      </c>
      <c r="B10500" t="str">
        <f t="shared" si="3798"/>
        <v>JULIANNA</v>
      </c>
      <c r="C10500" t="str">
        <f t="shared" si="3799"/>
        <v>MARTIN</v>
      </c>
      <c r="D10500">
        <f>11</f>
        <v>11</v>
      </c>
      <c r="E10500" t="str">
        <f>"07 - B - 107 - Milca  Exantus"</f>
        <v>07 - B - 107 - Milca  Exantus</v>
      </c>
      <c r="F10500" t="str">
        <f>"MATH COLLEGE LIB ART"</f>
        <v>MATH COLLEGE LIB ART</v>
      </c>
      <c r="G10500" t="str">
        <f>"21-2145"</f>
        <v>21-2145</v>
      </c>
      <c r="H10500" t="str">
        <f>"B"</f>
        <v>B</v>
      </c>
    </row>
    <row r="10501" spans="1:8" x14ac:dyDescent="0.2">
      <c r="A10501" t="str">
        <f t="shared" si="3797"/>
        <v>0615075247</v>
      </c>
      <c r="B10501" t="str">
        <f t="shared" si="3798"/>
        <v>JULIANNA</v>
      </c>
      <c r="C10501" t="str">
        <f t="shared" si="3799"/>
        <v>MARTIN</v>
      </c>
      <c r="D10501">
        <f>11</f>
        <v>11</v>
      </c>
      <c r="E10501" t="str">
        <f>"05 - B - 103 - Vanessa J Liburd"</f>
        <v>05 - B - 103 - Vanessa J Liburd</v>
      </c>
      <c r="F10501" t="str">
        <f>"PRE-AICE FRENCH 2 IG"</f>
        <v>PRE-AICE FRENCH 2 IG</v>
      </c>
      <c r="G10501" t="str">
        <f>"05-519"</f>
        <v>05-519</v>
      </c>
      <c r="H10501" t="str">
        <f>"B"</f>
        <v>B</v>
      </c>
    </row>
    <row r="10502" spans="1:8" x14ac:dyDescent="0.2">
      <c r="A10502" t="str">
        <f t="shared" si="3797"/>
        <v>0615075247</v>
      </c>
      <c r="B10502" t="str">
        <f t="shared" si="3798"/>
        <v>JULIANNA</v>
      </c>
      <c r="C10502" t="str">
        <f t="shared" si="3799"/>
        <v>MARTIN</v>
      </c>
      <c r="D10502">
        <f>11</f>
        <v>11</v>
      </c>
      <c r="E10502" t="str">
        <f>"01 - A - 101 - Heidi M Knopp"</f>
        <v>01 - A - 101 - Heidi M Knopp</v>
      </c>
      <c r="F10502" t="str">
        <f>"ENG HON 3"</f>
        <v>ENG HON 3</v>
      </c>
      <c r="G10502" t="str">
        <f>"17-1752"</f>
        <v>17-1752</v>
      </c>
      <c r="H10502" t="str">
        <f>"A"</f>
        <v>A</v>
      </c>
    </row>
    <row r="10503" spans="1:8" x14ac:dyDescent="0.2">
      <c r="A10503" t="str">
        <f t="shared" si="3797"/>
        <v>0615075247</v>
      </c>
      <c r="B10503" t="str">
        <f t="shared" si="3798"/>
        <v>JULIANNA</v>
      </c>
      <c r="C10503" t="str">
        <f t="shared" si="3799"/>
        <v>MARTIN</v>
      </c>
      <c r="D10503">
        <f>11</f>
        <v>11</v>
      </c>
      <c r="E10503" t="str">
        <f>"08 - S1 - B - 001 - Carol S Moore"</f>
        <v>08 - S1 - B - 001 - Carol S Moore</v>
      </c>
      <c r="F10503" t="str">
        <f>"PER CAR SCH DEV 1 LH"</f>
        <v>PER CAR SCH DEV 1 LH</v>
      </c>
      <c r="G10503" t="str">
        <f>"17-1733"</f>
        <v>17-1733</v>
      </c>
      <c r="H10503" t="str">
        <f>"B"</f>
        <v>B</v>
      </c>
    </row>
    <row r="10504" spans="1:8" x14ac:dyDescent="0.2">
      <c r="A10504" t="str">
        <f>"0618015357"</f>
        <v>0618015357</v>
      </c>
      <c r="B10504" t="str">
        <f>"MARC"</f>
        <v>MARC</v>
      </c>
      <c r="C10504" t="str">
        <f t="shared" si="3799"/>
        <v>MARTIN</v>
      </c>
      <c r="D10504">
        <f>12</f>
        <v>12</v>
      </c>
      <c r="E10504" t="str">
        <f>"19 - S1 - MTWHF - BCC - Instructor BC"</f>
        <v>19 - S1 - MTWHF - BCC - Instructor BC</v>
      </c>
      <c r="F10504" t="str">
        <f>"COLLEGE ALGEBRA"</f>
        <v>COLLEGE ALGEBRA</v>
      </c>
      <c r="G10504" t="str">
        <f t="shared" ref="G10504:G10512" si="3800">"60-DE"</f>
        <v>60-DE</v>
      </c>
      <c r="H10504" t="str">
        <f t="shared" ref="H10504:H10512" si="3801">"-"</f>
        <v>-</v>
      </c>
    </row>
    <row r="10505" spans="1:8" x14ac:dyDescent="0.2">
      <c r="A10505" t="str">
        <f>"0618015357"</f>
        <v>0618015357</v>
      </c>
      <c r="B10505" t="str">
        <f>"MARC"</f>
        <v>MARC</v>
      </c>
      <c r="C10505" t="str">
        <f t="shared" si="3799"/>
        <v>MARTIN</v>
      </c>
      <c r="D10505">
        <f>12</f>
        <v>12</v>
      </c>
      <c r="E10505" t="str">
        <f>"19 - S1 - MTWHF - BCC - Instructor BC"</f>
        <v>19 - S1 - MTWHF - BCC - Instructor BC</v>
      </c>
      <c r="F10505" t="str">
        <f>"HUMAN NUTRITION"</f>
        <v>HUMAN NUTRITION</v>
      </c>
      <c r="G10505" t="str">
        <f t="shared" si="3800"/>
        <v>60-DE</v>
      </c>
      <c r="H10505" t="str">
        <f t="shared" si="3801"/>
        <v>-</v>
      </c>
    </row>
    <row r="10506" spans="1:8" x14ac:dyDescent="0.2">
      <c r="A10506" t="str">
        <f>"0618015357"</f>
        <v>0618015357</v>
      </c>
      <c r="B10506" t="str">
        <f>"MARC"</f>
        <v>MARC</v>
      </c>
      <c r="C10506" t="str">
        <f t="shared" si="3799"/>
        <v>MARTIN</v>
      </c>
      <c r="D10506">
        <f>12</f>
        <v>12</v>
      </c>
      <c r="E10506" t="str">
        <f>"19 - S1 - MTWHF - B18 - Instructor BC"</f>
        <v>19 - S1 - MTWHF - B18 - Instructor BC</v>
      </c>
      <c r="F10506" t="str">
        <f>"COMP &amp; INTERNET LIT"</f>
        <v>COMP &amp; INTERNET LIT</v>
      </c>
      <c r="G10506" t="str">
        <f t="shared" si="3800"/>
        <v>60-DE</v>
      </c>
      <c r="H10506" t="str">
        <f t="shared" si="3801"/>
        <v>-</v>
      </c>
    </row>
    <row r="10507" spans="1:8" x14ac:dyDescent="0.2">
      <c r="A10507" t="str">
        <f>"0618015357"</f>
        <v>0618015357</v>
      </c>
      <c r="B10507" t="str">
        <f>"MARC"</f>
        <v>MARC</v>
      </c>
      <c r="C10507" t="str">
        <f t="shared" si="3799"/>
        <v>MARTIN</v>
      </c>
      <c r="D10507">
        <f>12</f>
        <v>12</v>
      </c>
      <c r="E10507" t="str">
        <f>"19 - S1 - MTWHF - B18 - Instructor BC"</f>
        <v>19 - S1 - MTWHF - B18 - Instructor BC</v>
      </c>
      <c r="F10507" t="str">
        <f>"GEN CHM SCI ALLIED"</f>
        <v>GEN CHM SCI ALLIED</v>
      </c>
      <c r="G10507" t="str">
        <f t="shared" si="3800"/>
        <v>60-DE</v>
      </c>
      <c r="H10507" t="str">
        <f t="shared" si="3801"/>
        <v>-</v>
      </c>
    </row>
    <row r="10508" spans="1:8" x14ac:dyDescent="0.2">
      <c r="A10508" t="str">
        <f>"0617049431"</f>
        <v>0617049431</v>
      </c>
      <c r="B10508" t="str">
        <f>"TIAMOY"</f>
        <v>TIAMOY</v>
      </c>
      <c r="C10508" t="str">
        <f t="shared" si="3799"/>
        <v>MARTIN</v>
      </c>
      <c r="D10508">
        <f>12</f>
        <v>12</v>
      </c>
      <c r="E10508" t="str">
        <f>"19 - S1 - MTWHF - BCC - Instructor BC"</f>
        <v>19 - S1 - MTWHF - BCC - Instructor BC</v>
      </c>
      <c r="F10508" t="str">
        <f>"COLLEGE ALGEBRA"</f>
        <v>COLLEGE ALGEBRA</v>
      </c>
      <c r="G10508" t="str">
        <f t="shared" si="3800"/>
        <v>60-DE</v>
      </c>
      <c r="H10508" t="str">
        <f t="shared" si="3801"/>
        <v>-</v>
      </c>
    </row>
    <row r="10509" spans="1:8" x14ac:dyDescent="0.2">
      <c r="A10509" t="str">
        <f>"0617049431"</f>
        <v>0617049431</v>
      </c>
      <c r="B10509" t="str">
        <f>"TIAMOY"</f>
        <v>TIAMOY</v>
      </c>
      <c r="C10509" t="str">
        <f t="shared" si="3799"/>
        <v>MARTIN</v>
      </c>
      <c r="D10509">
        <f>12</f>
        <v>12</v>
      </c>
      <c r="E10509" t="str">
        <f>"19 - S1 - MTWHF - BCC - Instructor BC"</f>
        <v>19 - S1 - MTWHF - BCC - Instructor BC</v>
      </c>
      <c r="F10509" t="str">
        <f>"INTRO PUBLIC SPEAK"</f>
        <v>INTRO PUBLIC SPEAK</v>
      </c>
      <c r="G10509" t="str">
        <f t="shared" si="3800"/>
        <v>60-DE</v>
      </c>
      <c r="H10509" t="str">
        <f t="shared" si="3801"/>
        <v>-</v>
      </c>
    </row>
    <row r="10510" spans="1:8" x14ac:dyDescent="0.2">
      <c r="A10510" t="str">
        <f>"0617049431"</f>
        <v>0617049431</v>
      </c>
      <c r="B10510" t="str">
        <f>"TIAMOY"</f>
        <v>TIAMOY</v>
      </c>
      <c r="C10510" t="str">
        <f t="shared" si="3799"/>
        <v>MARTIN</v>
      </c>
      <c r="D10510">
        <f>12</f>
        <v>12</v>
      </c>
      <c r="E10510" t="str">
        <f>"19 - S1 - MTWHF - BCC - Instructor BC"</f>
        <v>19 - S1 - MTWHF - BCC - Instructor BC</v>
      </c>
      <c r="F10510" t="str">
        <f>"INTRO TO PHILOSOPHY"</f>
        <v>INTRO TO PHILOSOPHY</v>
      </c>
      <c r="G10510" t="str">
        <f t="shared" si="3800"/>
        <v>60-DE</v>
      </c>
      <c r="H10510" t="str">
        <f t="shared" si="3801"/>
        <v>-</v>
      </c>
    </row>
    <row r="10511" spans="1:8" x14ac:dyDescent="0.2">
      <c r="A10511" t="str">
        <f>"0617049431"</f>
        <v>0617049431</v>
      </c>
      <c r="B10511" t="str">
        <f>"TIAMOY"</f>
        <v>TIAMOY</v>
      </c>
      <c r="C10511" t="str">
        <f t="shared" si="3799"/>
        <v>MARTIN</v>
      </c>
      <c r="D10511">
        <f>12</f>
        <v>12</v>
      </c>
      <c r="E10511" t="str">
        <f>"19 - S1 - MTWHF - BCC - Instructor BC"</f>
        <v>19 - S1 - MTWHF - BCC - Instructor BC</v>
      </c>
      <c r="F10511" t="str">
        <f>"PRIN ECONOMICS I"</f>
        <v>PRIN ECONOMICS I</v>
      </c>
      <c r="G10511" t="str">
        <f t="shared" si="3800"/>
        <v>60-DE</v>
      </c>
      <c r="H10511" t="str">
        <f t="shared" si="3801"/>
        <v>-</v>
      </c>
    </row>
    <row r="10512" spans="1:8" x14ac:dyDescent="0.2">
      <c r="A10512" t="str">
        <f>"0617049431"</f>
        <v>0617049431</v>
      </c>
      <c r="B10512" t="str">
        <f>"TIAMOY"</f>
        <v>TIAMOY</v>
      </c>
      <c r="C10512" t="str">
        <f t="shared" si="3799"/>
        <v>MARTIN</v>
      </c>
      <c r="D10512">
        <f>12</f>
        <v>12</v>
      </c>
      <c r="E10512" t="str">
        <f>"19 - S1 - MTWHF - B18 - Instructor BC"</f>
        <v>19 - S1 - MTWHF - B18 - Instructor BC</v>
      </c>
      <c r="F10512" t="str">
        <f>"COMP &amp; INTERNET LIT"</f>
        <v>COMP &amp; INTERNET LIT</v>
      </c>
      <c r="G10512" t="str">
        <f t="shared" si="3800"/>
        <v>60-DE</v>
      </c>
      <c r="H10512" t="str">
        <f t="shared" si="3801"/>
        <v>-</v>
      </c>
    </row>
    <row r="10513" spans="1:8" x14ac:dyDescent="0.2">
      <c r="A10513" t="str">
        <f t="shared" ref="A10513:A10520" si="3802">"0622068455"</f>
        <v>0622068455</v>
      </c>
      <c r="B10513" t="str">
        <f t="shared" ref="B10513:B10520" si="3803">"ANDERSON"</f>
        <v>ANDERSON</v>
      </c>
      <c r="C10513" t="str">
        <f t="shared" ref="C10513:C10544" si="3804">"MARTINEZ"</f>
        <v>MARTINEZ</v>
      </c>
      <c r="D10513" t="str">
        <f t="shared" ref="D10513:D10520" si="3805">"09"</f>
        <v>09</v>
      </c>
      <c r="E10513" t="str">
        <f>"04 - A - 103 - Cerine S Stewart"</f>
        <v>04 - A - 103 - Cerine S Stewart</v>
      </c>
      <c r="F10513" t="str">
        <f>"ENG 1"</f>
        <v>ENG 1</v>
      </c>
      <c r="G10513" t="str">
        <f>"17-1720"</f>
        <v>17-1720</v>
      </c>
      <c r="H10513" t="str">
        <f>"A"</f>
        <v>A</v>
      </c>
    </row>
    <row r="10514" spans="1:8" x14ac:dyDescent="0.2">
      <c r="A10514" t="str">
        <f t="shared" si="3802"/>
        <v>0622068455</v>
      </c>
      <c r="B10514" t="str">
        <f t="shared" si="3803"/>
        <v>ANDERSON</v>
      </c>
      <c r="C10514" t="str">
        <f t="shared" si="3804"/>
        <v>MARTINEZ</v>
      </c>
      <c r="D10514" t="str">
        <f t="shared" si="3805"/>
        <v>09</v>
      </c>
      <c r="E10514" t="str">
        <f>"06 - B - 105 - Dayna M Foster"</f>
        <v>06 - B - 105 - Dayna M Foster</v>
      </c>
      <c r="F10514" t="str">
        <f>"ALGEBRA 1"</f>
        <v>ALGEBRA 1</v>
      </c>
      <c r="G10514" t="str">
        <f>"21-2109"</f>
        <v>21-2109</v>
      </c>
      <c r="H10514" t="str">
        <f>"B"</f>
        <v>B</v>
      </c>
    </row>
    <row r="10515" spans="1:8" x14ac:dyDescent="0.2">
      <c r="A10515" t="str">
        <f t="shared" si="3802"/>
        <v>0622068455</v>
      </c>
      <c r="B10515" t="str">
        <f t="shared" si="3803"/>
        <v>ANDERSON</v>
      </c>
      <c r="C10515" t="str">
        <f t="shared" si="3804"/>
        <v>MARTINEZ</v>
      </c>
      <c r="D10515" t="str">
        <f t="shared" si="3805"/>
        <v>09</v>
      </c>
      <c r="E10515" t="str">
        <f>"03 - A - 101 - Dayna M Foster"</f>
        <v>03 - A - 101 - Dayna M Foster</v>
      </c>
      <c r="F10515" t="str">
        <f>"FDN SKLS MATH 9-12"</f>
        <v>FDN SKLS MATH 9-12</v>
      </c>
      <c r="G10515" t="str">
        <f>"21-2109"</f>
        <v>21-2109</v>
      </c>
      <c r="H10515" t="str">
        <f>"A"</f>
        <v>A</v>
      </c>
    </row>
    <row r="10516" spans="1:8" x14ac:dyDescent="0.2">
      <c r="A10516" t="str">
        <f t="shared" si="3802"/>
        <v>0622068455</v>
      </c>
      <c r="B10516" t="str">
        <f t="shared" si="3803"/>
        <v>ANDERSON</v>
      </c>
      <c r="C10516" t="str">
        <f t="shared" si="3804"/>
        <v>MARTINEZ</v>
      </c>
      <c r="D10516" t="str">
        <f t="shared" si="3805"/>
        <v>09</v>
      </c>
      <c r="E10516" t="str">
        <f>"02 - A - 101 - Milca  Exantus"</f>
        <v>02 - A - 101 - Milca  Exantus</v>
      </c>
      <c r="F10516" t="str">
        <f>"NC STUDY HALL 1"</f>
        <v>NC STUDY HALL 1</v>
      </c>
      <c r="G10516" t="str">
        <f>"21-2145"</f>
        <v>21-2145</v>
      </c>
      <c r="H10516" t="str">
        <f>"A"</f>
        <v>A</v>
      </c>
    </row>
    <row r="10517" spans="1:8" x14ac:dyDescent="0.2">
      <c r="A10517" t="str">
        <f t="shared" si="3802"/>
        <v>0622068455</v>
      </c>
      <c r="B10517" t="str">
        <f t="shared" si="3803"/>
        <v>ANDERSON</v>
      </c>
      <c r="C10517" t="str">
        <f t="shared" si="3804"/>
        <v>MARTINEZ</v>
      </c>
      <c r="D10517" t="str">
        <f t="shared" si="3805"/>
        <v>09</v>
      </c>
      <c r="E10517" t="str">
        <f>"07 - B - 003 - Samantha J Headley"</f>
        <v>07 - B - 003 - Samantha J Headley</v>
      </c>
      <c r="F10517" t="str">
        <f>"ENV SCI"</f>
        <v>ENV SCI</v>
      </c>
      <c r="G10517" t="str">
        <f>"08-802"</f>
        <v>08-802</v>
      </c>
      <c r="H10517" t="str">
        <f>"B"</f>
        <v>B</v>
      </c>
    </row>
    <row r="10518" spans="1:8" x14ac:dyDescent="0.2">
      <c r="A10518" t="str">
        <f t="shared" si="3802"/>
        <v>0622068455</v>
      </c>
      <c r="B10518" t="str">
        <f t="shared" si="3803"/>
        <v>ANDERSON</v>
      </c>
      <c r="C10518" t="str">
        <f t="shared" si="3804"/>
        <v>MARTINEZ</v>
      </c>
      <c r="D10518" t="str">
        <f t="shared" si="3805"/>
        <v>09</v>
      </c>
      <c r="E10518" t="str">
        <f>"05 - B - 001 - Laselleda D Shaw"</f>
        <v>05 - B - 001 - Laselleda D Shaw</v>
      </c>
      <c r="F10518" t="str">
        <f>"INTENS READ 1"</f>
        <v>INTENS READ 1</v>
      </c>
      <c r="G10518" t="str">
        <f>"17-1723"</f>
        <v>17-1723</v>
      </c>
      <c r="H10518" t="str">
        <f>"B"</f>
        <v>B</v>
      </c>
    </row>
    <row r="10519" spans="1:8" x14ac:dyDescent="0.2">
      <c r="A10519" t="str">
        <f t="shared" si="3802"/>
        <v>0622068455</v>
      </c>
      <c r="B10519" t="str">
        <f t="shared" si="3803"/>
        <v>ANDERSON</v>
      </c>
      <c r="C10519" t="str">
        <f t="shared" si="3804"/>
        <v>MARTINEZ</v>
      </c>
      <c r="D10519" t="str">
        <f t="shared" si="3805"/>
        <v>09</v>
      </c>
      <c r="E10519" t="str">
        <f>"01 - A - 504 - Alejandro  Navarro"</f>
        <v>01 - A - 504 - Alejandro  Navarro</v>
      </c>
      <c r="F10519" t="str">
        <f>"BAND 1"</f>
        <v>BAND 1</v>
      </c>
      <c r="G10519" t="str">
        <f>"05-504"</f>
        <v>05-504</v>
      </c>
      <c r="H10519" t="str">
        <f>"A"</f>
        <v>A</v>
      </c>
    </row>
    <row r="10520" spans="1:8" x14ac:dyDescent="0.2">
      <c r="A10520" t="str">
        <f t="shared" si="3802"/>
        <v>0622068455</v>
      </c>
      <c r="B10520" t="str">
        <f t="shared" si="3803"/>
        <v>ANDERSON</v>
      </c>
      <c r="C10520" t="str">
        <f t="shared" si="3804"/>
        <v>MARTINEZ</v>
      </c>
      <c r="D10520" t="str">
        <f t="shared" si="3805"/>
        <v>09</v>
      </c>
      <c r="E10520" t="str">
        <f>"08 - B - 101 - Elizabeth Ellen  Moran"</f>
        <v>08 - B - 101 - Elizabeth Ellen  Moran</v>
      </c>
      <c r="F10520" t="str">
        <f>"WORLD HISTORY"</f>
        <v>WORLD HISTORY</v>
      </c>
      <c r="G10520" t="str">
        <f>"17-1752"</f>
        <v>17-1752</v>
      </c>
      <c r="H10520" t="str">
        <f>"B"</f>
        <v>B</v>
      </c>
    </row>
    <row r="10521" spans="1:8" x14ac:dyDescent="0.2">
      <c r="A10521" t="str">
        <f t="shared" ref="A10521:A10528" si="3806">"0614003281"</f>
        <v>0614003281</v>
      </c>
      <c r="B10521" t="str">
        <f t="shared" ref="B10521:B10528" si="3807">"CELESTE"</f>
        <v>CELESTE</v>
      </c>
      <c r="C10521" t="str">
        <f t="shared" si="3804"/>
        <v>MARTINEZ</v>
      </c>
      <c r="D10521">
        <f>12</f>
        <v>12</v>
      </c>
      <c r="E10521" t="str">
        <f>"04 - S1 - A - 101 - Leslie J Barton"</f>
        <v>04 - S1 - A - 101 - Leslie J Barton</v>
      </c>
      <c r="F10521" t="str">
        <f>"TEAM SPORTS 1"</f>
        <v>TEAM SPORTS 1</v>
      </c>
      <c r="G10521" t="str">
        <f>"04-254"</f>
        <v>04-254</v>
      </c>
      <c r="H10521" t="str">
        <f>"A"</f>
        <v>A</v>
      </c>
    </row>
    <row r="10522" spans="1:8" x14ac:dyDescent="0.2">
      <c r="A10522" t="str">
        <f t="shared" si="3806"/>
        <v>0614003281</v>
      </c>
      <c r="B10522" t="str">
        <f t="shared" si="3807"/>
        <v>CELESTE</v>
      </c>
      <c r="C10522" t="str">
        <f t="shared" si="3804"/>
        <v>MARTINEZ</v>
      </c>
      <c r="D10522">
        <f>12</f>
        <v>12</v>
      </c>
      <c r="E10522" t="str">
        <f>"06 - B - 104 - Vanessa J Liburd"</f>
        <v>06 - B - 104 - Vanessa J Liburd</v>
      </c>
      <c r="F10522" t="str">
        <f>"NC STUDY HALL 1"</f>
        <v>NC STUDY HALL 1</v>
      </c>
      <c r="G10522" t="str">
        <f>"05-519"</f>
        <v>05-519</v>
      </c>
      <c r="H10522" t="str">
        <f>"B"</f>
        <v>B</v>
      </c>
    </row>
    <row r="10523" spans="1:8" x14ac:dyDescent="0.2">
      <c r="A10523" t="str">
        <f t="shared" si="3806"/>
        <v>0614003281</v>
      </c>
      <c r="B10523" t="str">
        <f t="shared" si="3807"/>
        <v>CELESTE</v>
      </c>
      <c r="C10523" t="str">
        <f t="shared" si="3804"/>
        <v>MARTINEZ</v>
      </c>
      <c r="D10523">
        <f>12</f>
        <v>12</v>
      </c>
      <c r="E10523" t="str">
        <f>"03 - A - 202 - Jeanne M Bermudez"</f>
        <v>03 - A - 202 - Jeanne M Bermudez</v>
      </c>
      <c r="F10523" t="str">
        <f>"PHYSICS 1 HON"</f>
        <v>PHYSICS 1 HON</v>
      </c>
      <c r="G10523" t="str">
        <f>"21-2141"</f>
        <v>21-2141</v>
      </c>
      <c r="H10523" t="str">
        <f>"A"</f>
        <v>A</v>
      </c>
    </row>
    <row r="10524" spans="1:8" x14ac:dyDescent="0.2">
      <c r="A10524" t="str">
        <f t="shared" si="3806"/>
        <v>0614003281</v>
      </c>
      <c r="B10524" t="str">
        <f t="shared" si="3807"/>
        <v>CELESTE</v>
      </c>
      <c r="C10524" t="str">
        <f t="shared" si="3804"/>
        <v>MARTINEZ</v>
      </c>
      <c r="D10524">
        <f>12</f>
        <v>12</v>
      </c>
      <c r="E10524" t="str">
        <f>"02 - A - 107 - Tina M Jaramillo"</f>
        <v>02 - A - 107 - Tina M Jaramillo</v>
      </c>
      <c r="F10524" t="str">
        <f>"AP ENG LIT COMPO"</f>
        <v>AP ENG LIT COMPO</v>
      </c>
      <c r="G10524" t="str">
        <f>"17-1706"</f>
        <v>17-1706</v>
      </c>
      <c r="H10524" t="str">
        <f>"A"</f>
        <v>A</v>
      </c>
    </row>
    <row r="10525" spans="1:8" x14ac:dyDescent="0.2">
      <c r="A10525" t="str">
        <f t="shared" si="3806"/>
        <v>0614003281</v>
      </c>
      <c r="B10525" t="str">
        <f t="shared" si="3807"/>
        <v>CELESTE</v>
      </c>
      <c r="C10525" t="str">
        <f t="shared" si="3804"/>
        <v>MARTINEZ</v>
      </c>
      <c r="D10525">
        <f>12</f>
        <v>12</v>
      </c>
      <c r="E10525" t="str">
        <f>"07 - B - 204 - Stefanie S Scher"</f>
        <v>07 - B - 204 - Stefanie S Scher</v>
      </c>
      <c r="F10525" t="str">
        <f>"AP PSYCH"</f>
        <v>AP PSYCH</v>
      </c>
      <c r="G10525" t="str">
        <f>"17-1735"</f>
        <v>17-1735</v>
      </c>
      <c r="H10525" t="str">
        <f>"B"</f>
        <v>B</v>
      </c>
    </row>
    <row r="10526" spans="1:8" x14ac:dyDescent="0.2">
      <c r="A10526" t="str">
        <f t="shared" si="3806"/>
        <v>0614003281</v>
      </c>
      <c r="B10526" t="str">
        <f t="shared" si="3807"/>
        <v>CELESTE</v>
      </c>
      <c r="C10526" t="str">
        <f t="shared" si="3804"/>
        <v>MARTINEZ</v>
      </c>
      <c r="D10526">
        <f>12</f>
        <v>12</v>
      </c>
      <c r="E10526" t="str">
        <f>"05 - S1 - B - 102 - Barbara L Segal"</f>
        <v>05 - S1 - B - 102 - Barbara L Segal</v>
      </c>
      <c r="F10526" t="str">
        <f>"US GOVT HON"</f>
        <v>US GOVT HON</v>
      </c>
      <c r="G10526" t="str">
        <f>"17-1742"</f>
        <v>17-1742</v>
      </c>
      <c r="H10526" t="str">
        <f>"B"</f>
        <v>B</v>
      </c>
    </row>
    <row r="10527" spans="1:8" x14ac:dyDescent="0.2">
      <c r="A10527" t="str">
        <f t="shared" si="3806"/>
        <v>0614003281</v>
      </c>
      <c r="B10527" t="str">
        <f t="shared" si="3807"/>
        <v>CELESTE</v>
      </c>
      <c r="C10527" t="str">
        <f t="shared" si="3804"/>
        <v>MARTINEZ</v>
      </c>
      <c r="D10527">
        <f>12</f>
        <v>12</v>
      </c>
      <c r="E10527" t="str">
        <f>"01 - A - 102 - Robert H Rindner"</f>
        <v>01 - A - 102 - Robert H Rindner</v>
      </c>
      <c r="F10527" t="str">
        <f>"MATH DATA&amp;FIN LIT H"</f>
        <v>MATH DATA&amp;FIN LIT H</v>
      </c>
      <c r="G10527" t="str">
        <f>"21-2160"</f>
        <v>21-2160</v>
      </c>
      <c r="H10527" t="str">
        <f>"A"</f>
        <v>A</v>
      </c>
    </row>
    <row r="10528" spans="1:8" x14ac:dyDescent="0.2">
      <c r="A10528" t="str">
        <f t="shared" si="3806"/>
        <v>0614003281</v>
      </c>
      <c r="B10528" t="str">
        <f t="shared" si="3807"/>
        <v>CELESTE</v>
      </c>
      <c r="C10528" t="str">
        <f t="shared" si="3804"/>
        <v>MARTINEZ</v>
      </c>
      <c r="D10528">
        <f>12</f>
        <v>12</v>
      </c>
      <c r="E10528" t="str">
        <f>"08 - B - 201 - Stacey A Blecker"</f>
        <v>08 - B - 201 - Stacey A Blecker</v>
      </c>
      <c r="F10528" t="str">
        <f>"AICE SOCIOLOGY 1 AS"</f>
        <v>AICE SOCIOLOGY 1 AS</v>
      </c>
      <c r="G10528" t="str">
        <f>"09-926"</f>
        <v>09-926</v>
      </c>
      <c r="H10528" t="str">
        <f>"B"</f>
        <v>B</v>
      </c>
    </row>
    <row r="10529" spans="1:8" x14ac:dyDescent="0.2">
      <c r="A10529" t="str">
        <f t="shared" ref="A10529:A10536" si="3808">"0616160489"</f>
        <v>0616160489</v>
      </c>
      <c r="B10529" t="str">
        <f t="shared" ref="B10529:B10536" si="3809">"FEDERICO"</f>
        <v>FEDERICO</v>
      </c>
      <c r="C10529" t="str">
        <f t="shared" si="3804"/>
        <v>MARTINEZ</v>
      </c>
      <c r="D10529" t="str">
        <f t="shared" ref="D10529:D10536" si="3810">"09"</f>
        <v>09</v>
      </c>
      <c r="E10529" t="str">
        <f>"04 - A - 201 - Norayda D Suarez"</f>
        <v>04 - A - 201 - Norayda D Suarez</v>
      </c>
      <c r="F10529" t="str">
        <f>"ANAT PHYSIO HON"</f>
        <v>ANAT PHYSIO HON</v>
      </c>
      <c r="G10529" t="str">
        <f>"21-2142"</f>
        <v>21-2142</v>
      </c>
      <c r="H10529" t="str">
        <f>"A"</f>
        <v>A</v>
      </c>
    </row>
    <row r="10530" spans="1:8" x14ac:dyDescent="0.2">
      <c r="A10530" t="str">
        <f t="shared" si="3808"/>
        <v>0616160489</v>
      </c>
      <c r="B10530" t="str">
        <f t="shared" si="3809"/>
        <v>FEDERICO</v>
      </c>
      <c r="C10530" t="str">
        <f t="shared" si="3804"/>
        <v>MARTINEZ</v>
      </c>
      <c r="D10530" t="str">
        <f t="shared" si="3810"/>
        <v>09</v>
      </c>
      <c r="E10530" t="str">
        <f>"06 - S1 - B - 104 - Leslie J Barton"</f>
        <v>06 - S1 - B - 104 - Leslie J Barton</v>
      </c>
      <c r="F10530" t="str">
        <f>"FIRST AID SAFETY"</f>
        <v>FIRST AID SAFETY</v>
      </c>
      <c r="G10530" t="str">
        <f>"05-521"</f>
        <v>05-521</v>
      </c>
      <c r="H10530" t="str">
        <f>"B"</f>
        <v>B</v>
      </c>
    </row>
    <row r="10531" spans="1:8" x14ac:dyDescent="0.2">
      <c r="A10531" t="str">
        <f t="shared" si="3808"/>
        <v>0616160489</v>
      </c>
      <c r="B10531" t="str">
        <f t="shared" si="3809"/>
        <v>FEDERICO</v>
      </c>
      <c r="C10531" t="str">
        <f t="shared" si="3804"/>
        <v>MARTINEZ</v>
      </c>
      <c r="D10531" t="str">
        <f t="shared" si="3810"/>
        <v>09</v>
      </c>
      <c r="E10531" t="str">
        <f>"03 - A - 001 - Maried P Ramos"</f>
        <v>03 - A - 001 - Maried P Ramos</v>
      </c>
      <c r="F10531" t="str">
        <f>"PRE-AICE MATH 2 IG"</f>
        <v>PRE-AICE MATH 2 IG</v>
      </c>
      <c r="G10531" t="str">
        <f>"21-2159"</f>
        <v>21-2159</v>
      </c>
      <c r="H10531" t="str">
        <f>"A"</f>
        <v>A</v>
      </c>
    </row>
    <row r="10532" spans="1:8" x14ac:dyDescent="0.2">
      <c r="A10532" t="str">
        <f t="shared" si="3808"/>
        <v>0616160489</v>
      </c>
      <c r="B10532" t="str">
        <f t="shared" si="3809"/>
        <v>FEDERICO</v>
      </c>
      <c r="C10532" t="str">
        <f t="shared" si="3804"/>
        <v>MARTINEZ</v>
      </c>
      <c r="D10532" t="str">
        <f t="shared" si="3810"/>
        <v>09</v>
      </c>
      <c r="E10532" t="str">
        <f>"02 - A - 105 - Elizabeth R Walker"</f>
        <v>02 - A - 105 - Elizabeth R Walker</v>
      </c>
      <c r="F10532" t="str">
        <f>"NC STUDY HALL 1"</f>
        <v>NC STUDY HALL 1</v>
      </c>
      <c r="G10532" t="str">
        <f>"17-1703"</f>
        <v>17-1703</v>
      </c>
      <c r="H10532" t="str">
        <f>"A"</f>
        <v>A</v>
      </c>
    </row>
    <row r="10533" spans="1:8" x14ac:dyDescent="0.2">
      <c r="A10533" t="str">
        <f t="shared" si="3808"/>
        <v>0616160489</v>
      </c>
      <c r="B10533" t="str">
        <f t="shared" si="3809"/>
        <v>FEDERICO</v>
      </c>
      <c r="C10533" t="str">
        <f t="shared" si="3804"/>
        <v>MARTINEZ</v>
      </c>
      <c r="D10533" t="str">
        <f t="shared" si="3810"/>
        <v>09</v>
      </c>
      <c r="E10533" t="str">
        <f>"07 - B - 103 - Vanessa J Liburd"</f>
        <v>07 - B - 103 - Vanessa J Liburd</v>
      </c>
      <c r="F10533" t="str">
        <f>"PRE-AICE FRENCH 1 IG"</f>
        <v>PRE-AICE FRENCH 1 IG</v>
      </c>
      <c r="G10533" t="str">
        <f>"05-519"</f>
        <v>05-519</v>
      </c>
      <c r="H10533" t="str">
        <f>"B"</f>
        <v>B</v>
      </c>
    </row>
    <row r="10534" spans="1:8" x14ac:dyDescent="0.2">
      <c r="A10534" t="str">
        <f t="shared" si="3808"/>
        <v>0616160489</v>
      </c>
      <c r="B10534" t="str">
        <f t="shared" si="3809"/>
        <v>FEDERICO</v>
      </c>
      <c r="C10534" t="str">
        <f t="shared" si="3804"/>
        <v>MARTINEZ</v>
      </c>
      <c r="D10534" t="str">
        <f t="shared" si="3810"/>
        <v>09</v>
      </c>
      <c r="E10534" t="str">
        <f>"05 - B - 105 - Adam Marcus  Drucker"</f>
        <v>05 - B - 105 - Adam Marcus  Drucker</v>
      </c>
      <c r="F10534" t="str">
        <f>"HOPE-PE V"</f>
        <v>HOPE-PE V</v>
      </c>
      <c r="G10534" t="str">
        <f>"04-254"</f>
        <v>04-254</v>
      </c>
      <c r="H10534" t="str">
        <f>"B"</f>
        <v>B</v>
      </c>
    </row>
    <row r="10535" spans="1:8" x14ac:dyDescent="0.2">
      <c r="A10535" t="str">
        <f t="shared" si="3808"/>
        <v>0616160489</v>
      </c>
      <c r="B10535" t="str">
        <f t="shared" si="3809"/>
        <v>FEDERICO</v>
      </c>
      <c r="C10535" t="str">
        <f t="shared" si="3804"/>
        <v>MARTINEZ</v>
      </c>
      <c r="D10535" t="str">
        <f t="shared" si="3810"/>
        <v>09</v>
      </c>
      <c r="E10535" t="str">
        <f>"01 - A - 101 - Rory T Sponsler"</f>
        <v>01 - A - 101 - Rory T Sponsler</v>
      </c>
      <c r="F10535" t="str">
        <f>"PRE-AICE WRLD HST IG"</f>
        <v>PRE-AICE WRLD HST IG</v>
      </c>
      <c r="G10535" t="str">
        <f>"17-1740"</f>
        <v>17-1740</v>
      </c>
      <c r="H10535" t="str">
        <f>"A"</f>
        <v>A</v>
      </c>
    </row>
    <row r="10536" spans="1:8" x14ac:dyDescent="0.2">
      <c r="A10536" t="str">
        <f t="shared" si="3808"/>
        <v>0616160489</v>
      </c>
      <c r="B10536" t="str">
        <f t="shared" si="3809"/>
        <v>FEDERICO</v>
      </c>
      <c r="C10536" t="str">
        <f t="shared" si="3804"/>
        <v>MARTINEZ</v>
      </c>
      <c r="D10536" t="str">
        <f t="shared" si="3810"/>
        <v>09</v>
      </c>
      <c r="E10536" t="str">
        <f>"08 - B - 004 - Cheryl Anne  Berman-Schechter"</f>
        <v>08 - B - 004 - Cheryl Anne  Berman-Schechter</v>
      </c>
      <c r="F10536" t="str">
        <f>"AICE ENG GEN PAPER 1"</f>
        <v>AICE ENG GEN PAPER 1</v>
      </c>
      <c r="G10536" t="str">
        <f>"17-1722"</f>
        <v>17-1722</v>
      </c>
      <c r="H10536" t="str">
        <f>"B"</f>
        <v>B</v>
      </c>
    </row>
    <row r="10537" spans="1:8" x14ac:dyDescent="0.2">
      <c r="A10537" t="str">
        <f t="shared" ref="A10537:A10544" si="3811">"0611073417"</f>
        <v>0611073417</v>
      </c>
      <c r="B10537" t="str">
        <f t="shared" ref="B10537:B10544" si="3812">"LANA"</f>
        <v>LANA</v>
      </c>
      <c r="C10537" t="str">
        <f t="shared" si="3804"/>
        <v>MARTINEZ</v>
      </c>
      <c r="D10537">
        <f>12</f>
        <v>12</v>
      </c>
      <c r="E10537" t="str">
        <f>"04 - A - 101 - Stefanie S Scher"</f>
        <v>04 - A - 101 - Stefanie S Scher</v>
      </c>
      <c r="F10537" t="str">
        <f>"AP PSYCH"</f>
        <v>AP PSYCH</v>
      </c>
      <c r="G10537" t="str">
        <f>"17-1735"</f>
        <v>17-1735</v>
      </c>
      <c r="H10537" t="str">
        <f>"A"</f>
        <v>A</v>
      </c>
    </row>
    <row r="10538" spans="1:8" x14ac:dyDescent="0.2">
      <c r="A10538" t="str">
        <f t="shared" si="3811"/>
        <v>0611073417</v>
      </c>
      <c r="B10538" t="str">
        <f t="shared" si="3812"/>
        <v>LANA</v>
      </c>
      <c r="C10538" t="str">
        <f t="shared" si="3804"/>
        <v>MARTINEZ</v>
      </c>
      <c r="D10538">
        <f>12</f>
        <v>12</v>
      </c>
      <c r="E10538" t="str">
        <f>"06 - B - 003 - Emmily A Sarmiento"</f>
        <v>06 - B - 003 - Emmily A Sarmiento</v>
      </c>
      <c r="F10538" t="str">
        <f>"NC STUDY HALL 1"</f>
        <v>NC STUDY HALL 1</v>
      </c>
      <c r="G10538" t="str">
        <f>"17-1743"</f>
        <v>17-1743</v>
      </c>
      <c r="H10538" t="str">
        <f>"B"</f>
        <v>B</v>
      </c>
    </row>
    <row r="10539" spans="1:8" x14ac:dyDescent="0.2">
      <c r="A10539" t="str">
        <f t="shared" si="3811"/>
        <v>0611073417</v>
      </c>
      <c r="B10539" t="str">
        <f t="shared" si="3812"/>
        <v>LANA</v>
      </c>
      <c r="C10539" t="str">
        <f t="shared" si="3804"/>
        <v>MARTINEZ</v>
      </c>
      <c r="D10539">
        <f>12</f>
        <v>12</v>
      </c>
      <c r="E10539" t="str">
        <f>"03 - A - 202 - Jeanne M Bermudez"</f>
        <v>03 - A - 202 - Jeanne M Bermudez</v>
      </c>
      <c r="F10539" t="str">
        <f>"PHYSICS 1 HON"</f>
        <v>PHYSICS 1 HON</v>
      </c>
      <c r="G10539" t="str">
        <f>"21-2141"</f>
        <v>21-2141</v>
      </c>
      <c r="H10539" t="str">
        <f>"A"</f>
        <v>A</v>
      </c>
    </row>
    <row r="10540" spans="1:8" x14ac:dyDescent="0.2">
      <c r="A10540" t="str">
        <f t="shared" si="3811"/>
        <v>0611073417</v>
      </c>
      <c r="B10540" t="str">
        <f t="shared" si="3812"/>
        <v>LANA</v>
      </c>
      <c r="C10540" t="str">
        <f t="shared" si="3804"/>
        <v>MARTINEZ</v>
      </c>
      <c r="D10540">
        <f>12</f>
        <v>12</v>
      </c>
      <c r="E10540" t="str">
        <f>"02 - A - 107 - Tina M Jaramillo"</f>
        <v>02 - A - 107 - Tina M Jaramillo</v>
      </c>
      <c r="F10540" t="str">
        <f>"AP ENG LIT COMPO"</f>
        <v>AP ENG LIT COMPO</v>
      </c>
      <c r="G10540" t="str">
        <f>"17-1706"</f>
        <v>17-1706</v>
      </c>
      <c r="H10540" t="str">
        <f>"A"</f>
        <v>A</v>
      </c>
    </row>
    <row r="10541" spans="1:8" x14ac:dyDescent="0.2">
      <c r="A10541" t="str">
        <f t="shared" si="3811"/>
        <v>0611073417</v>
      </c>
      <c r="B10541" t="str">
        <f t="shared" si="3812"/>
        <v>LANA</v>
      </c>
      <c r="C10541" t="str">
        <f t="shared" si="3804"/>
        <v>MARTINEZ</v>
      </c>
      <c r="D10541">
        <f>12</f>
        <v>12</v>
      </c>
      <c r="E10541" t="str">
        <f>"07 - S1 - B - 101 - Stephen T Ripp"</f>
        <v>07 - S1 - B - 101 - Stephen T Ripp</v>
      </c>
      <c r="F10541" t="str">
        <f>"AP US GOVT/POL"</f>
        <v>AP US GOVT/POL</v>
      </c>
      <c r="G10541" t="str">
        <f>"17-1744"</f>
        <v>17-1744</v>
      </c>
      <c r="H10541" t="str">
        <f>"B"</f>
        <v>B</v>
      </c>
    </row>
    <row r="10542" spans="1:8" x14ac:dyDescent="0.2">
      <c r="A10542" t="str">
        <f t="shared" si="3811"/>
        <v>0611073417</v>
      </c>
      <c r="B10542" t="str">
        <f t="shared" si="3812"/>
        <v>LANA</v>
      </c>
      <c r="C10542" t="str">
        <f t="shared" si="3804"/>
        <v>MARTINEZ</v>
      </c>
      <c r="D10542">
        <f>12</f>
        <v>12</v>
      </c>
      <c r="E10542" t="str">
        <f>"05 - B - 106 - Thomas G Handwerg"</f>
        <v>05 - B - 106 - Thomas G Handwerg</v>
      </c>
      <c r="F10542" t="str">
        <f>"MATH COLL ALGEBRA"</f>
        <v>MATH COLL ALGEBRA</v>
      </c>
      <c r="G10542" t="str">
        <f>"21-2146"</f>
        <v>21-2146</v>
      </c>
      <c r="H10542" t="str">
        <f>"B"</f>
        <v>B</v>
      </c>
    </row>
    <row r="10543" spans="1:8" x14ac:dyDescent="0.2">
      <c r="A10543" t="str">
        <f t="shared" si="3811"/>
        <v>0611073417</v>
      </c>
      <c r="B10543" t="str">
        <f t="shared" si="3812"/>
        <v>LANA</v>
      </c>
      <c r="C10543" t="str">
        <f t="shared" si="3804"/>
        <v>MARTINEZ</v>
      </c>
      <c r="D10543">
        <f>12</f>
        <v>12</v>
      </c>
      <c r="E10543" t="str">
        <f>"01 - A - 101 - Kelly N Panza"</f>
        <v>01 - A - 101 - Kelly N Panza</v>
      </c>
      <c r="F10543" t="str">
        <f>"AP HUMAN GEOG"</f>
        <v>AP HUMAN GEOG</v>
      </c>
      <c r="G10543" t="str">
        <f>"17-1753"</f>
        <v>17-1753</v>
      </c>
      <c r="H10543" t="str">
        <f>"A"</f>
        <v>A</v>
      </c>
    </row>
    <row r="10544" spans="1:8" x14ac:dyDescent="0.2">
      <c r="A10544" t="str">
        <f t="shared" si="3811"/>
        <v>0611073417</v>
      </c>
      <c r="B10544" t="str">
        <f t="shared" si="3812"/>
        <v>LANA</v>
      </c>
      <c r="C10544" t="str">
        <f t="shared" si="3804"/>
        <v>MARTINEZ</v>
      </c>
      <c r="D10544">
        <f>12</f>
        <v>12</v>
      </c>
      <c r="E10544" t="str">
        <f>"08 - B - 101 - Marius D Orsolini"</f>
        <v>08 - B - 101 - Marius D Orsolini</v>
      </c>
      <c r="F10544" t="str">
        <f>"CULINARY ARTS 3 HON"</f>
        <v>CULINARY ARTS 3 HON</v>
      </c>
      <c r="G10544" t="str">
        <f>"21-2115"</f>
        <v>21-2115</v>
      </c>
      <c r="H10544" t="str">
        <f>"B"</f>
        <v>B</v>
      </c>
    </row>
    <row r="10545" spans="1:8" x14ac:dyDescent="0.2">
      <c r="A10545" t="str">
        <f t="shared" ref="A10545:A10552" si="3813">"0618057501"</f>
        <v>0618057501</v>
      </c>
      <c r="B10545" t="str">
        <f t="shared" ref="B10545:B10552" si="3814">"LESLIE"</f>
        <v>LESLIE</v>
      </c>
      <c r="C10545" t="str">
        <f t="shared" ref="C10545:C10576" si="3815">"MARTINEZ"</f>
        <v>MARTINEZ</v>
      </c>
      <c r="D10545">
        <f>10</f>
        <v>10</v>
      </c>
      <c r="E10545" t="str">
        <f>"04 - A - 105 - Jacquelyn M Neeson"</f>
        <v>04 - A - 105 - Jacquelyn M Neeson</v>
      </c>
      <c r="F10545" t="str">
        <f>"ENG 2"</f>
        <v>ENG 2</v>
      </c>
      <c r="G10545" t="str">
        <f>"17-1715"</f>
        <v>17-1715</v>
      </c>
      <c r="H10545" t="str">
        <f>"A"</f>
        <v>A</v>
      </c>
    </row>
    <row r="10546" spans="1:8" x14ac:dyDescent="0.2">
      <c r="A10546" t="str">
        <f t="shared" si="3813"/>
        <v>0618057501</v>
      </c>
      <c r="B10546" t="str">
        <f t="shared" si="3814"/>
        <v>LESLIE</v>
      </c>
      <c r="C10546" t="str">
        <f t="shared" si="3815"/>
        <v>MARTINEZ</v>
      </c>
      <c r="D10546">
        <f>10</f>
        <v>10</v>
      </c>
      <c r="E10546" t="str">
        <f>"06 - B - 115 - Scott A Dethloff"</f>
        <v>06 - B - 115 - Scott A Dethloff</v>
      </c>
      <c r="F10546" t="str">
        <f>"NC STUDY HALL 1"</f>
        <v>NC STUDY HALL 1</v>
      </c>
      <c r="G10546" t="str">
        <f>"08-812"</f>
        <v>08-812</v>
      </c>
      <c r="H10546" t="str">
        <f>"B"</f>
        <v>B</v>
      </c>
    </row>
    <row r="10547" spans="1:8" x14ac:dyDescent="0.2">
      <c r="A10547" t="str">
        <f t="shared" si="3813"/>
        <v>0618057501</v>
      </c>
      <c r="B10547" t="str">
        <f t="shared" si="3814"/>
        <v>LESLIE</v>
      </c>
      <c r="C10547" t="str">
        <f t="shared" si="3815"/>
        <v>MARTINEZ</v>
      </c>
      <c r="D10547">
        <f>10</f>
        <v>10</v>
      </c>
      <c r="E10547" t="str">
        <f>"03 - A - 103 - Marius D Orsolini"</f>
        <v>03 - A - 103 - Marius D Orsolini</v>
      </c>
      <c r="F10547" t="str">
        <f>"CULINARY ARTS 1"</f>
        <v>CULINARY ARTS 1</v>
      </c>
      <c r="G10547" t="str">
        <f>"21-2115"</f>
        <v>21-2115</v>
      </c>
      <c r="H10547" t="str">
        <f>"A"</f>
        <v>A</v>
      </c>
    </row>
    <row r="10548" spans="1:8" x14ac:dyDescent="0.2">
      <c r="A10548" t="str">
        <f t="shared" si="3813"/>
        <v>0618057501</v>
      </c>
      <c r="B10548" t="str">
        <f t="shared" si="3814"/>
        <v>LESLIE</v>
      </c>
      <c r="C10548" t="str">
        <f t="shared" si="3815"/>
        <v>MARTINEZ</v>
      </c>
      <c r="D10548">
        <f>10</f>
        <v>10</v>
      </c>
      <c r="E10548" t="str">
        <f>"02 - A - 101 - Brian M Fitzgerald"</f>
        <v>02 - A - 101 - Brian M Fitzgerald</v>
      </c>
      <c r="F10548" t="str">
        <f>"DRAW 1"</f>
        <v>DRAW 1</v>
      </c>
      <c r="G10548" t="str">
        <f>"09-908"</f>
        <v>09-908</v>
      </c>
      <c r="H10548" t="str">
        <f>"A"</f>
        <v>A</v>
      </c>
    </row>
    <row r="10549" spans="1:8" x14ac:dyDescent="0.2">
      <c r="A10549" t="str">
        <f t="shared" si="3813"/>
        <v>0618057501</v>
      </c>
      <c r="B10549" t="str">
        <f t="shared" si="3814"/>
        <v>LESLIE</v>
      </c>
      <c r="C10549" t="str">
        <f t="shared" si="3815"/>
        <v>MARTINEZ</v>
      </c>
      <c r="D10549">
        <f>10</f>
        <v>10</v>
      </c>
      <c r="E10549" t="str">
        <f>"07 - B - 107 - Milca  Exantus"</f>
        <v>07 - B - 107 - Milca  Exantus</v>
      </c>
      <c r="F10549" t="str">
        <f>"MATH COLLEGE LIB ART"</f>
        <v>MATH COLLEGE LIB ART</v>
      </c>
      <c r="G10549" t="str">
        <f>"21-2145"</f>
        <v>21-2145</v>
      </c>
      <c r="H10549" t="str">
        <f>"B"</f>
        <v>B</v>
      </c>
    </row>
    <row r="10550" spans="1:8" x14ac:dyDescent="0.2">
      <c r="A10550" t="str">
        <f t="shared" si="3813"/>
        <v>0618057501</v>
      </c>
      <c r="B10550" t="str">
        <f t="shared" si="3814"/>
        <v>LESLIE</v>
      </c>
      <c r="C10550" t="str">
        <f t="shared" si="3815"/>
        <v>MARTINEZ</v>
      </c>
      <c r="D10550">
        <f>10</f>
        <v>10</v>
      </c>
      <c r="E10550" t="str">
        <f>"05 - B - 101 - Brian M Fitzgerald"</f>
        <v>05 - B - 101 - Brian M Fitzgerald</v>
      </c>
      <c r="F10550" t="str">
        <f>"PAINT 1"</f>
        <v>PAINT 1</v>
      </c>
      <c r="G10550" t="str">
        <f>"09-908"</f>
        <v>09-908</v>
      </c>
      <c r="H10550" t="str">
        <f>"B"</f>
        <v>B</v>
      </c>
    </row>
    <row r="10551" spans="1:8" x14ac:dyDescent="0.2">
      <c r="A10551" t="str">
        <f t="shared" si="3813"/>
        <v>0618057501</v>
      </c>
      <c r="B10551" t="str">
        <f t="shared" si="3814"/>
        <v>LESLIE</v>
      </c>
      <c r="C10551" t="str">
        <f t="shared" si="3815"/>
        <v>MARTINEZ</v>
      </c>
      <c r="D10551">
        <f>10</f>
        <v>10</v>
      </c>
      <c r="E10551" t="str">
        <f>"01 - S1 - A - 101 - Lissa C Frederique"</f>
        <v>01 - S1 - A - 101 - Lissa C Frederique</v>
      </c>
      <c r="F10551" t="str">
        <f>"PERS FIN &amp; MON MGT H"</f>
        <v>PERS FIN &amp; MON MGT H</v>
      </c>
      <c r="G10551" t="str">
        <f>"17-1754"</f>
        <v>17-1754</v>
      </c>
      <c r="H10551" t="str">
        <f>"A"</f>
        <v>A</v>
      </c>
    </row>
    <row r="10552" spans="1:8" x14ac:dyDescent="0.2">
      <c r="A10552" t="str">
        <f t="shared" si="3813"/>
        <v>0618057501</v>
      </c>
      <c r="B10552" t="str">
        <f t="shared" si="3814"/>
        <v>LESLIE</v>
      </c>
      <c r="C10552" t="str">
        <f t="shared" si="3815"/>
        <v>MARTINEZ</v>
      </c>
      <c r="D10552">
        <f>10</f>
        <v>10</v>
      </c>
      <c r="E10552" t="str">
        <f>"08 - B - 001 - Lytrell T Dixon"</f>
        <v>08 - B - 001 - Lytrell T Dixon</v>
      </c>
      <c r="F10552" t="str">
        <f>"BIOLOGY 1"</f>
        <v>BIOLOGY 1</v>
      </c>
      <c r="G10552" t="str">
        <f>"08-808"</f>
        <v>08-808</v>
      </c>
      <c r="H10552" t="str">
        <f>"B"</f>
        <v>B</v>
      </c>
    </row>
    <row r="10553" spans="1:8" x14ac:dyDescent="0.2">
      <c r="A10553" t="str">
        <f t="shared" ref="A10553:A10560" si="3816">"0622077170"</f>
        <v>0622077170</v>
      </c>
      <c r="B10553" t="str">
        <f t="shared" ref="B10553:B10560" si="3817">"MATIAS"</f>
        <v>MATIAS</v>
      </c>
      <c r="C10553" t="str">
        <f t="shared" si="3815"/>
        <v>MARTINEZ</v>
      </c>
      <c r="D10553">
        <f>12</f>
        <v>12</v>
      </c>
      <c r="E10553" t="str">
        <f>"04 - A - 101 - Rosa Elaine  Collado-Duff"</f>
        <v>04 - A - 101 - Rosa Elaine  Collado-Duff</v>
      </c>
      <c r="F10553" t="str">
        <f>"AICE SPAN LANG AS"</f>
        <v>AICE SPAN LANG AS</v>
      </c>
      <c r="G10553" t="str">
        <f>"09-913"</f>
        <v>09-913</v>
      </c>
      <c r="H10553" t="str">
        <f>"A"</f>
        <v>A</v>
      </c>
    </row>
    <row r="10554" spans="1:8" x14ac:dyDescent="0.2">
      <c r="A10554" t="str">
        <f t="shared" si="3816"/>
        <v>0622077170</v>
      </c>
      <c r="B10554" t="str">
        <f t="shared" si="3817"/>
        <v>MATIAS</v>
      </c>
      <c r="C10554" t="str">
        <f t="shared" si="3815"/>
        <v>MARTINEZ</v>
      </c>
      <c r="D10554">
        <f>12</f>
        <v>12</v>
      </c>
      <c r="E10554" t="str">
        <f>"06 - B - 104 - Lissa C Frederique"</f>
        <v>06 - B - 104 - Lissa C Frederique</v>
      </c>
      <c r="F10554" t="str">
        <f>"NC STUDY HALL 1"</f>
        <v>NC STUDY HALL 1</v>
      </c>
      <c r="G10554" t="str">
        <f>"17-1754"</f>
        <v>17-1754</v>
      </c>
      <c r="H10554" t="str">
        <f>"B"</f>
        <v>B</v>
      </c>
    </row>
    <row r="10555" spans="1:8" x14ac:dyDescent="0.2">
      <c r="A10555" t="str">
        <f t="shared" si="3816"/>
        <v>0622077170</v>
      </c>
      <c r="B10555" t="str">
        <f t="shared" si="3817"/>
        <v>MATIAS</v>
      </c>
      <c r="C10555" t="str">
        <f t="shared" si="3815"/>
        <v>MARTINEZ</v>
      </c>
      <c r="D10555">
        <f>12</f>
        <v>12</v>
      </c>
      <c r="E10555" t="str">
        <f>"03 - A - 101 - Jeffrey S Gallagher"</f>
        <v>03 - A - 101 - Jeffrey S Gallagher</v>
      </c>
      <c r="F10555" t="str">
        <f>"ENG HON 4"</f>
        <v>ENG HON 4</v>
      </c>
      <c r="G10555" t="str">
        <f>"17-1724"</f>
        <v>17-1724</v>
      </c>
      <c r="H10555" t="str">
        <f>"A"</f>
        <v>A</v>
      </c>
    </row>
    <row r="10556" spans="1:8" x14ac:dyDescent="0.2">
      <c r="A10556" t="str">
        <f t="shared" si="3816"/>
        <v>0622077170</v>
      </c>
      <c r="B10556" t="str">
        <f t="shared" si="3817"/>
        <v>MATIAS</v>
      </c>
      <c r="C10556" t="str">
        <f t="shared" si="3815"/>
        <v>MARTINEZ</v>
      </c>
      <c r="D10556">
        <f>12</f>
        <v>12</v>
      </c>
      <c r="E10556" t="str">
        <f>"02 - A - 102 - Daniel S Tyson"</f>
        <v>02 - A - 102 - Daniel S Tyson</v>
      </c>
      <c r="F10556" t="str">
        <f>"JROTC NAVAL SCI 4"</f>
        <v>JROTC NAVAL SCI 4</v>
      </c>
      <c r="G10556" t="str">
        <f>"05-510"</f>
        <v>05-510</v>
      </c>
      <c r="H10556" t="str">
        <f>"A"</f>
        <v>A</v>
      </c>
    </row>
    <row r="10557" spans="1:8" x14ac:dyDescent="0.2">
      <c r="A10557" t="str">
        <f t="shared" si="3816"/>
        <v>0622077170</v>
      </c>
      <c r="B10557" t="str">
        <f t="shared" si="3817"/>
        <v>MATIAS</v>
      </c>
      <c r="C10557" t="str">
        <f t="shared" si="3815"/>
        <v>MARTINEZ</v>
      </c>
      <c r="D10557">
        <f>12</f>
        <v>12</v>
      </c>
      <c r="E10557" t="str">
        <f>"07 - B - 201 - Jacqueline R Morphet"</f>
        <v>07 - B - 201 - Jacqueline R Morphet</v>
      </c>
      <c r="F10557" t="str">
        <f>"AP PHYSICS C: ME"</f>
        <v>AP PHYSICS C: ME</v>
      </c>
      <c r="G10557" t="str">
        <f>"21-2138"</f>
        <v>21-2138</v>
      </c>
      <c r="H10557" t="str">
        <f>"B"</f>
        <v>B</v>
      </c>
    </row>
    <row r="10558" spans="1:8" x14ac:dyDescent="0.2">
      <c r="A10558" t="str">
        <f t="shared" si="3816"/>
        <v>0622077170</v>
      </c>
      <c r="B10558" t="str">
        <f t="shared" si="3817"/>
        <v>MATIAS</v>
      </c>
      <c r="C10558" t="str">
        <f t="shared" si="3815"/>
        <v>MARTINEZ</v>
      </c>
      <c r="D10558">
        <f>12</f>
        <v>12</v>
      </c>
      <c r="E10558" t="str">
        <f>"05 - B - 101 - Pamela M Corzo"</f>
        <v>05 - B - 101 - Pamela M Corzo</v>
      </c>
      <c r="F10558" t="str">
        <f>"AP CALCULUS AB"</f>
        <v>AP CALCULUS AB</v>
      </c>
      <c r="G10558" t="str">
        <f>"21-2133"</f>
        <v>21-2133</v>
      </c>
      <c r="H10558" t="str">
        <f>"B"</f>
        <v>B</v>
      </c>
    </row>
    <row r="10559" spans="1:8" x14ac:dyDescent="0.2">
      <c r="A10559" t="str">
        <f t="shared" si="3816"/>
        <v>0622077170</v>
      </c>
      <c r="B10559" t="str">
        <f t="shared" si="3817"/>
        <v>MATIAS</v>
      </c>
      <c r="C10559" t="str">
        <f t="shared" si="3815"/>
        <v>MARTINEZ</v>
      </c>
      <c r="D10559">
        <f>12</f>
        <v>12</v>
      </c>
      <c r="E10559" t="str">
        <f>"01 - A - 201 - Stefanie S Scher"</f>
        <v>01 - A - 201 - Stefanie S Scher</v>
      </c>
      <c r="F10559" t="str">
        <f>"AICE PSYCH 1 AS"</f>
        <v>AICE PSYCH 1 AS</v>
      </c>
      <c r="G10559" t="str">
        <f>"17-1735"</f>
        <v>17-1735</v>
      </c>
      <c r="H10559" t="str">
        <f>"A"</f>
        <v>A</v>
      </c>
    </row>
    <row r="10560" spans="1:8" x14ac:dyDescent="0.2">
      <c r="A10560" t="str">
        <f t="shared" si="3816"/>
        <v>0622077170</v>
      </c>
      <c r="B10560" t="str">
        <f t="shared" si="3817"/>
        <v>MATIAS</v>
      </c>
      <c r="C10560" t="str">
        <f t="shared" si="3815"/>
        <v>MARTINEZ</v>
      </c>
      <c r="D10560">
        <f>12</f>
        <v>12</v>
      </c>
      <c r="E10560" t="str">
        <f>"08 - S1 - B - 102 - Stephen T Ripp"</f>
        <v>08 - S1 - B - 102 - Stephen T Ripp</v>
      </c>
      <c r="F10560" t="str">
        <f>"AP US GOVT/POL"</f>
        <v>AP US GOVT/POL</v>
      </c>
      <c r="G10560" t="str">
        <f>"17-1744"</f>
        <v>17-1744</v>
      </c>
      <c r="H10560" t="str">
        <f>"B"</f>
        <v>B</v>
      </c>
    </row>
    <row r="10561" spans="1:8" x14ac:dyDescent="0.2">
      <c r="A10561" t="str">
        <f t="shared" ref="A10561:A10568" si="3818">"0623303021"</f>
        <v>0623303021</v>
      </c>
      <c r="B10561" t="str">
        <f t="shared" ref="B10561:B10568" si="3819">"NAHOMY"</f>
        <v>NAHOMY</v>
      </c>
      <c r="C10561" t="str">
        <f t="shared" si="3815"/>
        <v>MARTINEZ</v>
      </c>
      <c r="D10561">
        <f>10</f>
        <v>10</v>
      </c>
      <c r="E10561" t="str">
        <f>"04 - A - 108 - Maried P Ramos"</f>
        <v>04 - A - 108 - Maried P Ramos</v>
      </c>
      <c r="F10561" t="str">
        <f>"GEOMETRY"</f>
        <v>GEOMETRY</v>
      </c>
      <c r="G10561" t="str">
        <f>"21-2159"</f>
        <v>21-2159</v>
      </c>
      <c r="H10561" t="str">
        <f>"A"</f>
        <v>A</v>
      </c>
    </row>
    <row r="10562" spans="1:8" x14ac:dyDescent="0.2">
      <c r="A10562" t="str">
        <f t="shared" si="3818"/>
        <v>0623303021</v>
      </c>
      <c r="B10562" t="str">
        <f t="shared" si="3819"/>
        <v>NAHOMY</v>
      </c>
      <c r="C10562" t="str">
        <f t="shared" si="3815"/>
        <v>MARTINEZ</v>
      </c>
      <c r="D10562">
        <f>10</f>
        <v>10</v>
      </c>
      <c r="E10562" t="str">
        <f>"06 - B - 001 - Ferrie J Arostique"</f>
        <v>06 - B - 001 - Ferrie J Arostique</v>
      </c>
      <c r="F10562" t="str">
        <f>"NC STUDY HALL 1"</f>
        <v>NC STUDY HALL 1</v>
      </c>
      <c r="G10562" t="str">
        <f>"21-2139"</f>
        <v>21-2139</v>
      </c>
      <c r="H10562" t="str">
        <f>"B"</f>
        <v>B</v>
      </c>
    </row>
    <row r="10563" spans="1:8" x14ac:dyDescent="0.2">
      <c r="A10563" t="str">
        <f t="shared" si="3818"/>
        <v>0623303021</v>
      </c>
      <c r="B10563" t="str">
        <f t="shared" si="3819"/>
        <v>NAHOMY</v>
      </c>
      <c r="C10563" t="str">
        <f t="shared" si="3815"/>
        <v>MARTINEZ</v>
      </c>
      <c r="D10563">
        <f>10</f>
        <v>10</v>
      </c>
      <c r="E10563" t="str">
        <f>"03 - A - 101 - Brian M Fitzgerald"</f>
        <v>03 - A - 101 - Brian M Fitzgerald</v>
      </c>
      <c r="F10563" t="str">
        <f>"SCULPT 1"</f>
        <v>SCULPT 1</v>
      </c>
      <c r="G10563" t="str">
        <f>"09-908"</f>
        <v>09-908</v>
      </c>
      <c r="H10563" t="str">
        <f>"A"</f>
        <v>A</v>
      </c>
    </row>
    <row r="10564" spans="1:8" x14ac:dyDescent="0.2">
      <c r="A10564" t="str">
        <f t="shared" si="3818"/>
        <v>0623303021</v>
      </c>
      <c r="B10564" t="str">
        <f t="shared" si="3819"/>
        <v>NAHOMY</v>
      </c>
      <c r="C10564" t="str">
        <f t="shared" si="3815"/>
        <v>MARTINEZ</v>
      </c>
      <c r="D10564">
        <f>10</f>
        <v>10</v>
      </c>
      <c r="E10564" t="str">
        <f>"02 - A - 102 - Daniel S Tyson"</f>
        <v>02 - A - 102 - Daniel S Tyson</v>
      </c>
      <c r="F10564" t="str">
        <f>"JROTC NAVAL SCI 1"</f>
        <v>JROTC NAVAL SCI 1</v>
      </c>
      <c r="G10564" t="str">
        <f>"05-510"</f>
        <v>05-510</v>
      </c>
      <c r="H10564" t="str">
        <f>"A"</f>
        <v>A</v>
      </c>
    </row>
    <row r="10565" spans="1:8" x14ac:dyDescent="0.2">
      <c r="A10565" t="str">
        <f t="shared" si="3818"/>
        <v>0623303021</v>
      </c>
      <c r="B10565" t="str">
        <f t="shared" si="3819"/>
        <v>NAHOMY</v>
      </c>
      <c r="C10565" t="str">
        <f t="shared" si="3815"/>
        <v>MARTINEZ</v>
      </c>
      <c r="D10565">
        <f>10</f>
        <v>10</v>
      </c>
      <c r="E10565" t="str">
        <f>"07 - B - 106 - Taraneh C Abreu"</f>
        <v>07 - B - 106 - Taraneh C Abreu</v>
      </c>
      <c r="F10565" t="str">
        <f>"INTENS READ 2"</f>
        <v>INTENS READ 2</v>
      </c>
      <c r="G10565" t="str">
        <f>"17-1713"</f>
        <v>17-1713</v>
      </c>
      <c r="H10565" t="str">
        <f>"B"</f>
        <v>B</v>
      </c>
    </row>
    <row r="10566" spans="1:8" x14ac:dyDescent="0.2">
      <c r="A10566" t="str">
        <f t="shared" si="3818"/>
        <v>0623303021</v>
      </c>
      <c r="B10566" t="str">
        <f t="shared" si="3819"/>
        <v>NAHOMY</v>
      </c>
      <c r="C10566" t="str">
        <f t="shared" si="3815"/>
        <v>MARTINEZ</v>
      </c>
      <c r="D10566">
        <f>10</f>
        <v>10</v>
      </c>
      <c r="E10566" t="str">
        <f>"05 - B - 107 - Nikiel  Nesbeth"</f>
        <v>05 - B - 107 - Nikiel  Nesbeth</v>
      </c>
      <c r="F10566" t="str">
        <f>"ENG 2"</f>
        <v>ENG 2</v>
      </c>
      <c r="G10566" t="str">
        <f>"17-1705"</f>
        <v>17-1705</v>
      </c>
      <c r="H10566" t="str">
        <f>"B"</f>
        <v>B</v>
      </c>
    </row>
    <row r="10567" spans="1:8" x14ac:dyDescent="0.2">
      <c r="A10567" t="str">
        <f t="shared" si="3818"/>
        <v>0623303021</v>
      </c>
      <c r="B10567" t="str">
        <f t="shared" si="3819"/>
        <v>NAHOMY</v>
      </c>
      <c r="C10567" t="str">
        <f t="shared" si="3815"/>
        <v>MARTINEZ</v>
      </c>
      <c r="D10567">
        <f>10</f>
        <v>10</v>
      </c>
      <c r="E10567" t="str">
        <f>"01 - A - 101 - Marius D Orsolini"</f>
        <v>01 - A - 101 - Marius D Orsolini</v>
      </c>
      <c r="F10567" t="str">
        <f>"CULINARY ARTS 1"</f>
        <v>CULINARY ARTS 1</v>
      </c>
      <c r="G10567" t="str">
        <f>"21-2115"</f>
        <v>21-2115</v>
      </c>
      <c r="H10567" t="str">
        <f>"A"</f>
        <v>A</v>
      </c>
    </row>
    <row r="10568" spans="1:8" x14ac:dyDescent="0.2">
      <c r="A10568" t="str">
        <f t="shared" si="3818"/>
        <v>0623303021</v>
      </c>
      <c r="B10568" t="str">
        <f t="shared" si="3819"/>
        <v>NAHOMY</v>
      </c>
      <c r="C10568" t="str">
        <f t="shared" si="3815"/>
        <v>MARTINEZ</v>
      </c>
      <c r="D10568">
        <f>10</f>
        <v>10</v>
      </c>
      <c r="E10568" t="str">
        <f>"08 - B - 001 - Lytrell T Dixon"</f>
        <v>08 - B - 001 - Lytrell T Dixon</v>
      </c>
      <c r="F10568" t="str">
        <f>"BIOLOGY 1"</f>
        <v>BIOLOGY 1</v>
      </c>
      <c r="G10568" t="str">
        <f>"08-808"</f>
        <v>08-808</v>
      </c>
      <c r="H10568" t="str">
        <f>"B"</f>
        <v>B</v>
      </c>
    </row>
    <row r="10569" spans="1:8" x14ac:dyDescent="0.2">
      <c r="A10569" t="str">
        <f t="shared" ref="A10569:A10576" si="3820">"0622068056"</f>
        <v>0622068056</v>
      </c>
      <c r="B10569" t="str">
        <f t="shared" ref="B10569:B10576" si="3821">"RODRIGO"</f>
        <v>RODRIGO</v>
      </c>
      <c r="C10569" t="str">
        <f t="shared" si="3815"/>
        <v>MARTINEZ</v>
      </c>
      <c r="D10569">
        <f>11</f>
        <v>11</v>
      </c>
      <c r="E10569" t="str">
        <f>"04 - A - 101 - Alejandro  Navarro"</f>
        <v>04 - A - 101 - Alejandro  Navarro</v>
      </c>
      <c r="F10569" t="str">
        <f>"BAND 5 HON"</f>
        <v>BAND 5 HON</v>
      </c>
      <c r="G10569" t="str">
        <f>"05-504"</f>
        <v>05-504</v>
      </c>
      <c r="H10569" t="str">
        <f>"A"</f>
        <v>A</v>
      </c>
    </row>
    <row r="10570" spans="1:8" x14ac:dyDescent="0.2">
      <c r="A10570" t="str">
        <f t="shared" si="3820"/>
        <v>0622068056</v>
      </c>
      <c r="B10570" t="str">
        <f t="shared" si="3821"/>
        <v>RODRIGO</v>
      </c>
      <c r="C10570" t="str">
        <f t="shared" si="3815"/>
        <v>MARTINEZ</v>
      </c>
      <c r="D10570">
        <f>11</f>
        <v>11</v>
      </c>
      <c r="E10570" t="str">
        <f>"06 - B - 108 - Milca  Exantus"</f>
        <v>06 - B - 108 - Milca  Exantus</v>
      </c>
      <c r="F10570" t="str">
        <f>"MATH COLLEGE LIB ART"</f>
        <v>MATH COLLEGE LIB ART</v>
      </c>
      <c r="G10570" t="str">
        <f>"21-2145"</f>
        <v>21-2145</v>
      </c>
      <c r="H10570" t="str">
        <f>"B"</f>
        <v>B</v>
      </c>
    </row>
    <row r="10571" spans="1:8" x14ac:dyDescent="0.2">
      <c r="A10571" t="str">
        <f t="shared" si="3820"/>
        <v>0622068056</v>
      </c>
      <c r="B10571" t="str">
        <f t="shared" si="3821"/>
        <v>RODRIGO</v>
      </c>
      <c r="C10571" t="str">
        <f t="shared" si="3815"/>
        <v>MARTINEZ</v>
      </c>
      <c r="D10571">
        <f>11</f>
        <v>11</v>
      </c>
      <c r="E10571" t="str">
        <f>"03 - A - 103 - Samantha J Headley"</f>
        <v>03 - A - 103 - Samantha J Headley</v>
      </c>
      <c r="F10571" t="str">
        <f>"MARINE SCI 1 HON"</f>
        <v>MARINE SCI 1 HON</v>
      </c>
      <c r="G10571" t="str">
        <f>"21-2134"</f>
        <v>21-2134</v>
      </c>
      <c r="H10571" t="str">
        <f>"A"</f>
        <v>A</v>
      </c>
    </row>
    <row r="10572" spans="1:8" x14ac:dyDescent="0.2">
      <c r="A10572" t="str">
        <f t="shared" si="3820"/>
        <v>0622068056</v>
      </c>
      <c r="B10572" t="str">
        <f t="shared" si="3821"/>
        <v>RODRIGO</v>
      </c>
      <c r="C10572" t="str">
        <f t="shared" si="3815"/>
        <v>MARTINEZ</v>
      </c>
      <c r="D10572">
        <f>11</f>
        <v>11</v>
      </c>
      <c r="E10572" t="str">
        <f>"02 - A - 104 - Dayna M Foster"</f>
        <v>02 - A - 104 - Dayna M Foster</v>
      </c>
      <c r="F10572" t="str">
        <f>"NC STUDY HALL 1"</f>
        <v>NC STUDY HALL 1</v>
      </c>
      <c r="G10572" t="str">
        <f>"21-2109"</f>
        <v>21-2109</v>
      </c>
      <c r="H10572" t="str">
        <f>"A"</f>
        <v>A</v>
      </c>
    </row>
    <row r="10573" spans="1:8" x14ac:dyDescent="0.2">
      <c r="A10573" t="str">
        <f t="shared" si="3820"/>
        <v>0622068056</v>
      </c>
      <c r="B10573" t="str">
        <f t="shared" si="3821"/>
        <v>RODRIGO</v>
      </c>
      <c r="C10573" t="str">
        <f t="shared" si="3815"/>
        <v>MARTINEZ</v>
      </c>
      <c r="D10573">
        <f>11</f>
        <v>11</v>
      </c>
      <c r="E10573" t="str">
        <f>"07 - B - 105 - Joe  Kilpatrick Jr"</f>
        <v>07 - B - 105 - Joe  Kilpatrick Jr</v>
      </c>
      <c r="F10573" t="str">
        <f>"PRE-AICE SPAN 1 IG"</f>
        <v>PRE-AICE SPAN 1 IG</v>
      </c>
      <c r="G10573" t="str">
        <f>"09-912"</f>
        <v>09-912</v>
      </c>
      <c r="H10573" t="str">
        <f>"B"</f>
        <v>B</v>
      </c>
    </row>
    <row r="10574" spans="1:8" x14ac:dyDescent="0.2">
      <c r="A10574" t="str">
        <f t="shared" si="3820"/>
        <v>0622068056</v>
      </c>
      <c r="B10574" t="str">
        <f t="shared" si="3821"/>
        <v>RODRIGO</v>
      </c>
      <c r="C10574" t="str">
        <f t="shared" si="3815"/>
        <v>MARTINEZ</v>
      </c>
      <c r="D10574">
        <f>11</f>
        <v>11</v>
      </c>
      <c r="E10574" t="str">
        <f>"05 - B - 103 - Nahum  Saint-Preux"</f>
        <v>05 - B - 103 - Nahum  Saint-Preux</v>
      </c>
      <c r="F10574" t="str">
        <f>"INTENS READ 3"</f>
        <v>INTENS READ 3</v>
      </c>
      <c r="G10574" t="str">
        <f>"17-1712"</f>
        <v>17-1712</v>
      </c>
      <c r="H10574" t="str">
        <f>"B"</f>
        <v>B</v>
      </c>
    </row>
    <row r="10575" spans="1:8" x14ac:dyDescent="0.2">
      <c r="A10575" t="str">
        <f t="shared" si="3820"/>
        <v>0622068056</v>
      </c>
      <c r="B10575" t="str">
        <f t="shared" si="3821"/>
        <v>RODRIGO</v>
      </c>
      <c r="C10575" t="str">
        <f t="shared" si="3815"/>
        <v>MARTINEZ</v>
      </c>
      <c r="D10575">
        <f>11</f>
        <v>11</v>
      </c>
      <c r="E10575" t="str">
        <f>"01 - A - 101 - Lisa  Quinn"</f>
        <v>01 - A - 101 - Lisa  Quinn</v>
      </c>
      <c r="F10575" t="str">
        <f>"ENG 3"</f>
        <v>ENG 3</v>
      </c>
      <c r="G10575" t="str">
        <f>"17-1725"</f>
        <v>17-1725</v>
      </c>
      <c r="H10575" t="str">
        <f>"A"</f>
        <v>A</v>
      </c>
    </row>
    <row r="10576" spans="1:8" x14ac:dyDescent="0.2">
      <c r="A10576" t="str">
        <f t="shared" si="3820"/>
        <v>0622068056</v>
      </c>
      <c r="B10576" t="str">
        <f t="shared" si="3821"/>
        <v>RODRIGO</v>
      </c>
      <c r="C10576" t="str">
        <f t="shared" si="3815"/>
        <v>MARTINEZ</v>
      </c>
      <c r="D10576">
        <f>11</f>
        <v>11</v>
      </c>
      <c r="E10576" t="str">
        <f>"08 - B - 109 - Lauren N Logan"</f>
        <v>08 - B - 109 - Lauren N Logan</v>
      </c>
      <c r="F10576" t="str">
        <f>"US HISTORY"</f>
        <v>US HISTORY</v>
      </c>
      <c r="G10576" t="str">
        <f>"17-1754"</f>
        <v>17-1754</v>
      </c>
      <c r="H10576" t="str">
        <f>"B"</f>
        <v>B</v>
      </c>
    </row>
    <row r="10577" spans="1:8" x14ac:dyDescent="0.2">
      <c r="A10577" t="str">
        <f t="shared" ref="A10577:A10585" si="3822">"0608132269"</f>
        <v>0608132269</v>
      </c>
      <c r="B10577" t="str">
        <f t="shared" ref="B10577:B10585" si="3823">"ROGELIO"</f>
        <v>ROGELIO</v>
      </c>
      <c r="C10577" t="str">
        <f t="shared" ref="C10577:C10601" si="3824">"MARTINEZ"</f>
        <v>MARTINEZ</v>
      </c>
      <c r="D10577">
        <f>11</f>
        <v>11</v>
      </c>
      <c r="E10577" t="str">
        <f>"04 - A - 103 - Cliffon  Saurel"</f>
        <v>04 - A - 103 - Cliffon  Saurel</v>
      </c>
      <c r="F10577" t="str">
        <f>"PHYSICAL SCI"</f>
        <v>PHYSICAL SCI</v>
      </c>
      <c r="G10577" t="str">
        <f>"05-522"</f>
        <v>05-522</v>
      </c>
      <c r="H10577" t="str">
        <f>"A"</f>
        <v>A</v>
      </c>
    </row>
    <row r="10578" spans="1:8" x14ac:dyDescent="0.2">
      <c r="A10578" t="str">
        <f t="shared" si="3822"/>
        <v>0608132269</v>
      </c>
      <c r="B10578" t="str">
        <f t="shared" si="3823"/>
        <v>ROGELIO</v>
      </c>
      <c r="C10578" t="str">
        <f t="shared" si="3824"/>
        <v>MARTINEZ</v>
      </c>
      <c r="D10578">
        <f>11</f>
        <v>11</v>
      </c>
      <c r="E10578" t="str">
        <f>"06 - B - 102 - Angela S Adeshina-Morrison"</f>
        <v>06 - B - 102 - Angela S Adeshina-Morrison</v>
      </c>
      <c r="F10578" t="str">
        <f>"MARKETING ESSENTIALS"</f>
        <v>MARKETING ESSENTIALS</v>
      </c>
      <c r="G10578" t="str">
        <f>"05-518"</f>
        <v>05-518</v>
      </c>
      <c r="H10578" t="str">
        <f>"B"</f>
        <v>B</v>
      </c>
    </row>
    <row r="10579" spans="1:8" x14ac:dyDescent="0.2">
      <c r="A10579" t="str">
        <f t="shared" si="3822"/>
        <v>0608132269</v>
      </c>
      <c r="B10579" t="str">
        <f t="shared" si="3823"/>
        <v>ROGELIO</v>
      </c>
      <c r="C10579" t="str">
        <f t="shared" si="3824"/>
        <v>MARTINEZ</v>
      </c>
      <c r="D10579">
        <f>11</f>
        <v>11</v>
      </c>
      <c r="E10579" t="str">
        <f>"03 - A - 104 - Kyle  Robbins"</f>
        <v>03 - A - 104 - Kyle  Robbins</v>
      </c>
      <c r="F10579" t="str">
        <f>"US HISTORY"</f>
        <v>US HISTORY</v>
      </c>
      <c r="G10579" t="str">
        <f>"17-1745"</f>
        <v>17-1745</v>
      </c>
      <c r="H10579" t="str">
        <f>"A"</f>
        <v>A</v>
      </c>
    </row>
    <row r="10580" spans="1:8" x14ac:dyDescent="0.2">
      <c r="A10580" t="str">
        <f t="shared" si="3822"/>
        <v>0608132269</v>
      </c>
      <c r="B10580" t="str">
        <f t="shared" si="3823"/>
        <v>ROGELIO</v>
      </c>
      <c r="C10580" t="str">
        <f t="shared" si="3824"/>
        <v>MARTINEZ</v>
      </c>
      <c r="D10580">
        <f>11</f>
        <v>11</v>
      </c>
      <c r="E10580" t="str">
        <f>"02 - A - 108 - Stephen T Ripp"</f>
        <v>02 - A - 108 - Stephen T Ripp</v>
      </c>
      <c r="F10580" t="str">
        <f>"NC STUDY HALL 1"</f>
        <v>NC STUDY HALL 1</v>
      </c>
      <c r="G10580" t="str">
        <f>"17-1744"</f>
        <v>17-1744</v>
      </c>
      <c r="H10580" t="str">
        <f>"A"</f>
        <v>A</v>
      </c>
    </row>
    <row r="10581" spans="1:8" x14ac:dyDescent="0.2">
      <c r="A10581" t="str">
        <f t="shared" si="3822"/>
        <v>0608132269</v>
      </c>
      <c r="B10581" t="str">
        <f t="shared" si="3823"/>
        <v>ROGELIO</v>
      </c>
      <c r="C10581" t="str">
        <f t="shared" si="3824"/>
        <v>MARTINEZ</v>
      </c>
      <c r="D10581">
        <f>11</f>
        <v>11</v>
      </c>
      <c r="E10581" t="str">
        <f>"02 - A - 112 - Karen A Toomer"</f>
        <v>02 - A - 112 - Karen A Toomer</v>
      </c>
      <c r="F10581" t="str">
        <f>"LANG THERAPY"</f>
        <v>LANG THERAPY</v>
      </c>
      <c r="G10581" t="str">
        <f>"21-2110"</f>
        <v>21-2110</v>
      </c>
      <c r="H10581" t="str">
        <f>"A"</f>
        <v>A</v>
      </c>
    </row>
    <row r="10582" spans="1:8" x14ac:dyDescent="0.2">
      <c r="A10582" t="str">
        <f t="shared" si="3822"/>
        <v>0608132269</v>
      </c>
      <c r="B10582" t="str">
        <f t="shared" si="3823"/>
        <v>ROGELIO</v>
      </c>
      <c r="C10582" t="str">
        <f t="shared" si="3824"/>
        <v>MARTINEZ</v>
      </c>
      <c r="D10582">
        <f>11</f>
        <v>11</v>
      </c>
      <c r="E10582" t="str">
        <f>"07 - S1 - B - 103 - Leslie J Barton"</f>
        <v>07 - S1 - B - 103 - Leslie J Barton</v>
      </c>
      <c r="F10582" t="str">
        <f>"TEAM SPORTS 1"</f>
        <v>TEAM SPORTS 1</v>
      </c>
      <c r="G10582" t="str">
        <f>"04-254"</f>
        <v>04-254</v>
      </c>
      <c r="H10582" t="str">
        <f>"B"</f>
        <v>B</v>
      </c>
    </row>
    <row r="10583" spans="1:8" x14ac:dyDescent="0.2">
      <c r="A10583" t="str">
        <f t="shared" si="3822"/>
        <v>0608132269</v>
      </c>
      <c r="B10583" t="str">
        <f t="shared" si="3823"/>
        <v>ROGELIO</v>
      </c>
      <c r="C10583" t="str">
        <f t="shared" si="3824"/>
        <v>MARTINEZ</v>
      </c>
      <c r="D10583">
        <f>11</f>
        <v>11</v>
      </c>
      <c r="E10583" t="str">
        <f>"05 - B - 104 - Lisa  Quinn"</f>
        <v>05 - B - 104 - Lisa  Quinn</v>
      </c>
      <c r="F10583" t="str">
        <f>"ENG 3"</f>
        <v>ENG 3</v>
      </c>
      <c r="G10583" t="str">
        <f>"17-1725"</f>
        <v>17-1725</v>
      </c>
      <c r="H10583" t="str">
        <f>"B"</f>
        <v>B</v>
      </c>
    </row>
    <row r="10584" spans="1:8" x14ac:dyDescent="0.2">
      <c r="A10584" t="str">
        <f t="shared" si="3822"/>
        <v>0608132269</v>
      </c>
      <c r="B10584" t="str">
        <f t="shared" si="3823"/>
        <v>ROGELIO</v>
      </c>
      <c r="C10584" t="str">
        <f t="shared" si="3824"/>
        <v>MARTINEZ</v>
      </c>
      <c r="D10584">
        <f>11</f>
        <v>11</v>
      </c>
      <c r="E10584" t="str">
        <f>"01 - A - 102 - Fernando  Vega-Cid"</f>
        <v>01 - A - 102 - Fernando  Vega-Cid</v>
      </c>
      <c r="F10584" t="str">
        <f>"GEOMETRY"</f>
        <v>GEOMETRY</v>
      </c>
      <c r="G10584" t="str">
        <f>"21-2163"</f>
        <v>21-2163</v>
      </c>
      <c r="H10584" t="str">
        <f>"A"</f>
        <v>A</v>
      </c>
    </row>
    <row r="10585" spans="1:8" x14ac:dyDescent="0.2">
      <c r="A10585" t="str">
        <f t="shared" si="3822"/>
        <v>0608132269</v>
      </c>
      <c r="B10585" t="str">
        <f t="shared" si="3823"/>
        <v>ROGELIO</v>
      </c>
      <c r="C10585" t="str">
        <f t="shared" si="3824"/>
        <v>MARTINEZ</v>
      </c>
      <c r="D10585">
        <f>11</f>
        <v>11</v>
      </c>
      <c r="E10585" t="str">
        <f>"08 - B - 102 - Carleigh R Carmichael"</f>
        <v>08 - B - 102 - Carleigh R Carmichael</v>
      </c>
      <c r="F10585" t="str">
        <f>"LRNG STRATEGIES 9-12"</f>
        <v>LRNG STRATEGIES 9-12</v>
      </c>
      <c r="G10585" t="str">
        <f>"20-2072"</f>
        <v>20-2072</v>
      </c>
      <c r="H10585" t="str">
        <f>"B"</f>
        <v>B</v>
      </c>
    </row>
    <row r="10586" spans="1:8" x14ac:dyDescent="0.2">
      <c r="A10586" t="str">
        <f t="shared" ref="A10586:A10593" si="3825">"0614134716"</f>
        <v>0614134716</v>
      </c>
      <c r="B10586" t="str">
        <f t="shared" ref="B10586:B10593" si="3826">"ROLAND"</f>
        <v>ROLAND</v>
      </c>
      <c r="C10586" t="str">
        <f t="shared" si="3824"/>
        <v>MARTINEZ</v>
      </c>
      <c r="D10586" t="str">
        <f t="shared" ref="D10586:D10593" si="3827">"09"</f>
        <v>09</v>
      </c>
      <c r="E10586" t="str">
        <f>"04 - A - 103 - Joe  Kilpatrick Jr"</f>
        <v>04 - A - 103 - Joe  Kilpatrick Jr</v>
      </c>
      <c r="F10586" t="str">
        <f>"PRE-AICE SPAN 1 IG"</f>
        <v>PRE-AICE SPAN 1 IG</v>
      </c>
      <c r="G10586" t="str">
        <f>"09-912"</f>
        <v>09-912</v>
      </c>
      <c r="H10586" t="str">
        <f>"A"</f>
        <v>A</v>
      </c>
    </row>
    <row r="10587" spans="1:8" x14ac:dyDescent="0.2">
      <c r="A10587" t="str">
        <f t="shared" si="3825"/>
        <v>0614134716</v>
      </c>
      <c r="B10587" t="str">
        <f t="shared" si="3826"/>
        <v>ROLAND</v>
      </c>
      <c r="C10587" t="str">
        <f t="shared" si="3824"/>
        <v>MARTINEZ</v>
      </c>
      <c r="D10587" t="str">
        <f t="shared" si="3827"/>
        <v>09</v>
      </c>
      <c r="E10587" t="str">
        <f>"06 - B - 105 - Cheryl L Beach"</f>
        <v>06 - B - 105 - Cheryl L Beach</v>
      </c>
      <c r="F10587" t="str">
        <f>"AICE ENV MGMNT AS"</f>
        <v>AICE ENV MGMNT AS</v>
      </c>
      <c r="G10587" t="str">
        <f>"08-811"</f>
        <v>08-811</v>
      </c>
      <c r="H10587" t="str">
        <f>"B"</f>
        <v>B</v>
      </c>
    </row>
    <row r="10588" spans="1:8" x14ac:dyDescent="0.2">
      <c r="A10588" t="str">
        <f t="shared" si="3825"/>
        <v>0614134716</v>
      </c>
      <c r="B10588" t="str">
        <f t="shared" si="3826"/>
        <v>ROLAND</v>
      </c>
      <c r="C10588" t="str">
        <f t="shared" si="3824"/>
        <v>MARTINEZ</v>
      </c>
      <c r="D10588" t="str">
        <f t="shared" si="3827"/>
        <v>09</v>
      </c>
      <c r="E10588" t="str">
        <f>"03 - A - 203 - Elizabeth R Walker"</f>
        <v>03 - A - 203 - Elizabeth R Walker</v>
      </c>
      <c r="F10588" t="str">
        <f>"AICE ENG GEN PAPER 1"</f>
        <v>AICE ENG GEN PAPER 1</v>
      </c>
      <c r="G10588" t="str">
        <f>"17-1703"</f>
        <v>17-1703</v>
      </c>
      <c r="H10588" t="str">
        <f>"A"</f>
        <v>A</v>
      </c>
    </row>
    <row r="10589" spans="1:8" x14ac:dyDescent="0.2">
      <c r="A10589" t="str">
        <f t="shared" si="3825"/>
        <v>0614134716</v>
      </c>
      <c r="B10589" t="str">
        <f t="shared" si="3826"/>
        <v>ROLAND</v>
      </c>
      <c r="C10589" t="str">
        <f t="shared" si="3824"/>
        <v>MARTINEZ</v>
      </c>
      <c r="D10589" t="str">
        <f t="shared" si="3827"/>
        <v>09</v>
      </c>
      <c r="E10589" t="str">
        <f>"02 - A - 103 - Arthur  Kulawik"</f>
        <v>02 - A - 103 - Arthur  Kulawik</v>
      </c>
      <c r="F10589" t="str">
        <f>"NC STUDY HALL 1"</f>
        <v>NC STUDY HALL 1</v>
      </c>
      <c r="G10589" t="str">
        <f>"05-506"</f>
        <v>05-506</v>
      </c>
      <c r="H10589" t="str">
        <f>"A"</f>
        <v>A</v>
      </c>
    </row>
    <row r="10590" spans="1:8" x14ac:dyDescent="0.2">
      <c r="A10590" t="str">
        <f t="shared" si="3825"/>
        <v>0614134716</v>
      </c>
      <c r="B10590" t="str">
        <f t="shared" si="3826"/>
        <v>ROLAND</v>
      </c>
      <c r="C10590" t="str">
        <f t="shared" si="3824"/>
        <v>MARTINEZ</v>
      </c>
      <c r="D10590" t="str">
        <f t="shared" si="3827"/>
        <v>09</v>
      </c>
      <c r="E10590" t="str">
        <f>"07 - B - 107 - Marius D Orsolini"</f>
        <v>07 - B - 107 - Marius D Orsolini</v>
      </c>
      <c r="F10590" t="str">
        <f>"CULINARY ARTS 1"</f>
        <v>CULINARY ARTS 1</v>
      </c>
      <c r="G10590" t="str">
        <f>"21-2115"</f>
        <v>21-2115</v>
      </c>
      <c r="H10590" t="str">
        <f>"B"</f>
        <v>B</v>
      </c>
    </row>
    <row r="10591" spans="1:8" x14ac:dyDescent="0.2">
      <c r="A10591" t="str">
        <f t="shared" si="3825"/>
        <v>0614134716</v>
      </c>
      <c r="B10591" t="str">
        <f t="shared" si="3826"/>
        <v>ROLAND</v>
      </c>
      <c r="C10591" t="str">
        <f t="shared" si="3824"/>
        <v>MARTINEZ</v>
      </c>
      <c r="D10591" t="str">
        <f t="shared" si="3827"/>
        <v>09</v>
      </c>
      <c r="E10591" t="str">
        <f>"05 - B - 003 - Krystal Marie  Beruty"</f>
        <v>05 - B - 003 - Krystal Marie  Beruty</v>
      </c>
      <c r="F10591" t="str">
        <f>"AICE GLBL PERSP 1 AS"</f>
        <v>AICE GLBL PERSP 1 AS</v>
      </c>
      <c r="G10591" t="str">
        <f>"17-1721"</f>
        <v>17-1721</v>
      </c>
      <c r="H10591" t="str">
        <f>"B"</f>
        <v>B</v>
      </c>
    </row>
    <row r="10592" spans="1:8" x14ac:dyDescent="0.2">
      <c r="A10592" t="str">
        <f t="shared" si="3825"/>
        <v>0614134716</v>
      </c>
      <c r="B10592" t="str">
        <f t="shared" si="3826"/>
        <v>ROLAND</v>
      </c>
      <c r="C10592" t="str">
        <f t="shared" si="3824"/>
        <v>MARTINEZ</v>
      </c>
      <c r="D10592" t="str">
        <f t="shared" si="3827"/>
        <v>09</v>
      </c>
      <c r="E10592" t="str">
        <f>"01 - A - 101 - Samantha L Martinez"</f>
        <v>01 - A - 101 - Samantha L Martinez</v>
      </c>
      <c r="F10592" t="str">
        <f>"MUSIC WORLD"</f>
        <v>MUSIC WORLD</v>
      </c>
      <c r="G10592" t="str">
        <f>"05-505"</f>
        <v>05-505</v>
      </c>
      <c r="H10592" t="str">
        <f>"A"</f>
        <v>A</v>
      </c>
    </row>
    <row r="10593" spans="1:8" x14ac:dyDescent="0.2">
      <c r="A10593" t="str">
        <f t="shared" si="3825"/>
        <v>0614134716</v>
      </c>
      <c r="B10593" t="str">
        <f t="shared" si="3826"/>
        <v>ROLAND</v>
      </c>
      <c r="C10593" t="str">
        <f t="shared" si="3824"/>
        <v>MARTINEZ</v>
      </c>
      <c r="D10593" t="str">
        <f t="shared" si="3827"/>
        <v>09</v>
      </c>
      <c r="E10593" t="str">
        <f>"08 - B - 107 - Dayna M Foster"</f>
        <v>08 - B - 107 - Dayna M Foster</v>
      </c>
      <c r="F10593" t="str">
        <f>"ALGEBRA 2"</f>
        <v>ALGEBRA 2</v>
      </c>
      <c r="G10593" t="str">
        <f>"21-2109"</f>
        <v>21-2109</v>
      </c>
      <c r="H10593" t="str">
        <f>"B"</f>
        <v>B</v>
      </c>
    </row>
    <row r="10594" spans="1:8" x14ac:dyDescent="0.2">
      <c r="A10594" t="str">
        <f t="shared" ref="A10594:A10601" si="3828">"0622103498"</f>
        <v>0622103498</v>
      </c>
      <c r="B10594" t="str">
        <f t="shared" ref="B10594:B10601" si="3829">"SABRINA"</f>
        <v>SABRINA</v>
      </c>
      <c r="C10594" t="str">
        <f t="shared" si="3824"/>
        <v>MARTINEZ</v>
      </c>
      <c r="D10594">
        <f>12</f>
        <v>12</v>
      </c>
      <c r="E10594" t="str">
        <f>"04 - A - 104 - Dayna M Foster"</f>
        <v>04 - A - 104 - Dayna M Foster</v>
      </c>
      <c r="F10594" t="str">
        <f>"ALGEBRA 2"</f>
        <v>ALGEBRA 2</v>
      </c>
      <c r="G10594" t="str">
        <f>"21-2109"</f>
        <v>21-2109</v>
      </c>
      <c r="H10594" t="str">
        <f>"A"</f>
        <v>A</v>
      </c>
    </row>
    <row r="10595" spans="1:8" x14ac:dyDescent="0.2">
      <c r="A10595" t="str">
        <f t="shared" si="3828"/>
        <v>0622103498</v>
      </c>
      <c r="B10595" t="str">
        <f t="shared" si="3829"/>
        <v>SABRINA</v>
      </c>
      <c r="C10595" t="str">
        <f t="shared" si="3824"/>
        <v>MARTINEZ</v>
      </c>
      <c r="D10595">
        <f>12</f>
        <v>12</v>
      </c>
      <c r="E10595" t="str">
        <f>"06 - B - 104 - Lissa C Frederique"</f>
        <v>06 - B - 104 - Lissa C Frederique</v>
      </c>
      <c r="F10595" t="str">
        <f>"NC STUDY HALL 1"</f>
        <v>NC STUDY HALL 1</v>
      </c>
      <c r="G10595" t="str">
        <f>"17-1754"</f>
        <v>17-1754</v>
      </c>
      <c r="H10595" t="str">
        <f>"B"</f>
        <v>B</v>
      </c>
    </row>
    <row r="10596" spans="1:8" x14ac:dyDescent="0.2">
      <c r="A10596" t="str">
        <f t="shared" si="3828"/>
        <v>0622103498</v>
      </c>
      <c r="B10596" t="str">
        <f t="shared" si="3829"/>
        <v>SABRINA</v>
      </c>
      <c r="C10596" t="str">
        <f t="shared" si="3824"/>
        <v>MARTINEZ</v>
      </c>
      <c r="D10596">
        <f>12</f>
        <v>12</v>
      </c>
      <c r="E10596" t="str">
        <f>"03 - A - 201 - Christa T Parisi"</f>
        <v>03 - A - 201 - Christa T Parisi</v>
      </c>
      <c r="F10596" t="str">
        <f>"DANCE TECHNQS 1"</f>
        <v>DANCE TECHNQS 1</v>
      </c>
      <c r="G10596" t="str">
        <f>"05-503"</f>
        <v>05-503</v>
      </c>
      <c r="H10596" t="str">
        <f>"A"</f>
        <v>A</v>
      </c>
    </row>
    <row r="10597" spans="1:8" x14ac:dyDescent="0.2">
      <c r="A10597" t="str">
        <f t="shared" si="3828"/>
        <v>0622103498</v>
      </c>
      <c r="B10597" t="str">
        <f t="shared" si="3829"/>
        <v>SABRINA</v>
      </c>
      <c r="C10597" t="str">
        <f t="shared" si="3824"/>
        <v>MARTINEZ</v>
      </c>
      <c r="D10597">
        <f>12</f>
        <v>12</v>
      </c>
      <c r="E10597" t="str">
        <f>"02 - A - 201 - Jeanne M Bermudez"</f>
        <v>02 - A - 201 - Jeanne M Bermudez</v>
      </c>
      <c r="F10597" t="str">
        <f>"AP ENV SCI"</f>
        <v>AP ENV SCI</v>
      </c>
      <c r="G10597" t="str">
        <f>"21-2141"</f>
        <v>21-2141</v>
      </c>
      <c r="H10597" t="str">
        <f>"A"</f>
        <v>A</v>
      </c>
    </row>
    <row r="10598" spans="1:8" x14ac:dyDescent="0.2">
      <c r="A10598" t="str">
        <f t="shared" si="3828"/>
        <v>0622103498</v>
      </c>
      <c r="B10598" t="str">
        <f t="shared" si="3829"/>
        <v>SABRINA</v>
      </c>
      <c r="C10598" t="str">
        <f t="shared" si="3824"/>
        <v>MARTINEZ</v>
      </c>
      <c r="D10598">
        <f>12</f>
        <v>12</v>
      </c>
      <c r="E10598" t="str">
        <f>"07 - B - 201 - Angela S Adeshina-Morrison"</f>
        <v>07 - B - 201 - Angela S Adeshina-Morrison</v>
      </c>
      <c r="F10598" t="str">
        <f>"BUSINESS OWNER HON"</f>
        <v>BUSINESS OWNER HON</v>
      </c>
      <c r="G10598" t="str">
        <f>"05-518"</f>
        <v>05-518</v>
      </c>
      <c r="H10598" t="str">
        <f>"B"</f>
        <v>B</v>
      </c>
    </row>
    <row r="10599" spans="1:8" x14ac:dyDescent="0.2">
      <c r="A10599" t="str">
        <f t="shared" si="3828"/>
        <v>0622103498</v>
      </c>
      <c r="B10599" t="str">
        <f t="shared" si="3829"/>
        <v>SABRINA</v>
      </c>
      <c r="C10599" t="str">
        <f t="shared" si="3824"/>
        <v>MARTINEZ</v>
      </c>
      <c r="D10599">
        <f>12</f>
        <v>12</v>
      </c>
      <c r="E10599" t="str">
        <f>"05 - B - 102 - Emmily A Sarmiento"</f>
        <v>05 - B - 102 - Emmily A Sarmiento</v>
      </c>
      <c r="F10599" t="str">
        <f>"LEAD SKLS DEV LH"</f>
        <v>LEAD SKLS DEV LH</v>
      </c>
      <c r="G10599" t="str">
        <f>"17-1743"</f>
        <v>17-1743</v>
      </c>
      <c r="H10599" t="str">
        <f>"B"</f>
        <v>B</v>
      </c>
    </row>
    <row r="10600" spans="1:8" x14ac:dyDescent="0.2">
      <c r="A10600" t="str">
        <f t="shared" si="3828"/>
        <v>0622103498</v>
      </c>
      <c r="B10600" t="str">
        <f t="shared" si="3829"/>
        <v>SABRINA</v>
      </c>
      <c r="C10600" t="str">
        <f t="shared" si="3824"/>
        <v>MARTINEZ</v>
      </c>
      <c r="D10600">
        <f>12</f>
        <v>12</v>
      </c>
      <c r="E10600" t="str">
        <f>"01 - S1 - A - 101 - Barbara L Segal"</f>
        <v>01 - S1 - A - 101 - Barbara L Segal</v>
      </c>
      <c r="F10600" t="str">
        <f>"US GOVT HON"</f>
        <v>US GOVT HON</v>
      </c>
      <c r="G10600" t="str">
        <f>"17-1742"</f>
        <v>17-1742</v>
      </c>
      <c r="H10600" t="str">
        <f>"A"</f>
        <v>A</v>
      </c>
    </row>
    <row r="10601" spans="1:8" x14ac:dyDescent="0.2">
      <c r="A10601" t="str">
        <f t="shared" si="3828"/>
        <v>0622103498</v>
      </c>
      <c r="B10601" t="str">
        <f t="shared" si="3829"/>
        <v>SABRINA</v>
      </c>
      <c r="C10601" t="str">
        <f t="shared" si="3824"/>
        <v>MARTINEZ</v>
      </c>
      <c r="D10601">
        <f>12</f>
        <v>12</v>
      </c>
      <c r="E10601" t="str">
        <f>"08 - B - 105 - Jeffrey S Gallagher"</f>
        <v>08 - B - 105 - Jeffrey S Gallagher</v>
      </c>
      <c r="F10601" t="str">
        <f>"ENG HON 4"</f>
        <v>ENG HON 4</v>
      </c>
      <c r="G10601" t="str">
        <f>"17-1724"</f>
        <v>17-1724</v>
      </c>
      <c r="H10601" t="str">
        <f>"B"</f>
        <v>B</v>
      </c>
    </row>
    <row r="10602" spans="1:8" x14ac:dyDescent="0.2">
      <c r="A10602" t="str">
        <f t="shared" ref="A10602:A10609" si="3830">"0613059872"</f>
        <v>0613059872</v>
      </c>
      <c r="B10602" t="str">
        <f t="shared" ref="B10602:B10609" si="3831">"BRITTANY"</f>
        <v>BRITTANY</v>
      </c>
      <c r="C10602" t="str">
        <f t="shared" ref="C10602:C10609" si="3832">"MARTINEZCALLEJA"</f>
        <v>MARTINEZCALLEJA</v>
      </c>
      <c r="D10602" t="str">
        <f t="shared" ref="D10602:D10617" si="3833">"09"</f>
        <v>09</v>
      </c>
      <c r="E10602" t="str">
        <f>"04 - A - 106 - Lissa C Frederique"</f>
        <v>04 - A - 106 - Lissa C Frederique</v>
      </c>
      <c r="F10602" t="str">
        <f>"WORLD HISTORY"</f>
        <v>WORLD HISTORY</v>
      </c>
      <c r="G10602" t="str">
        <f>"17-1754"</f>
        <v>17-1754</v>
      </c>
      <c r="H10602" t="str">
        <f>"A"</f>
        <v>A</v>
      </c>
    </row>
    <row r="10603" spans="1:8" x14ac:dyDescent="0.2">
      <c r="A10603" t="str">
        <f t="shared" si="3830"/>
        <v>0613059872</v>
      </c>
      <c r="B10603" t="str">
        <f t="shared" si="3831"/>
        <v>BRITTANY</v>
      </c>
      <c r="C10603" t="str">
        <f t="shared" si="3832"/>
        <v>MARTINEZCALLEJA</v>
      </c>
      <c r="D10603" t="str">
        <f t="shared" si="3833"/>
        <v>09</v>
      </c>
      <c r="E10603" t="str">
        <f>"06 - B - 101 - Fernando  Vega-Cid"</f>
        <v>06 - B - 101 - Fernando  Vega-Cid</v>
      </c>
      <c r="F10603" t="str">
        <f>"PRE-AICE MATH 2 IG"</f>
        <v>PRE-AICE MATH 2 IG</v>
      </c>
      <c r="G10603" t="str">
        <f>"21-2163"</f>
        <v>21-2163</v>
      </c>
      <c r="H10603" t="str">
        <f>"B"</f>
        <v>B</v>
      </c>
    </row>
    <row r="10604" spans="1:8" x14ac:dyDescent="0.2">
      <c r="A10604" t="str">
        <f t="shared" si="3830"/>
        <v>0613059872</v>
      </c>
      <c r="B10604" t="str">
        <f t="shared" si="3831"/>
        <v>BRITTANY</v>
      </c>
      <c r="C10604" t="str">
        <f t="shared" si="3832"/>
        <v>MARTINEZCALLEJA</v>
      </c>
      <c r="D10604" t="str">
        <f t="shared" si="3833"/>
        <v>09</v>
      </c>
      <c r="E10604" t="str">
        <f>"03 - A - 102 - Laselleda D Shaw"</f>
        <v>03 - A - 102 - Laselleda D Shaw</v>
      </c>
      <c r="F10604" t="str">
        <f>"INTENS READ 1"</f>
        <v>INTENS READ 1</v>
      </c>
      <c r="G10604" t="str">
        <f>"17-1723"</f>
        <v>17-1723</v>
      </c>
      <c r="H10604" t="str">
        <f>"A"</f>
        <v>A</v>
      </c>
    </row>
    <row r="10605" spans="1:8" x14ac:dyDescent="0.2">
      <c r="A10605" t="str">
        <f t="shared" si="3830"/>
        <v>0613059872</v>
      </c>
      <c r="B10605" t="str">
        <f t="shared" si="3831"/>
        <v>BRITTANY</v>
      </c>
      <c r="C10605" t="str">
        <f t="shared" si="3832"/>
        <v>MARTINEZCALLEJA</v>
      </c>
      <c r="D10605" t="str">
        <f t="shared" si="3833"/>
        <v>09</v>
      </c>
      <c r="E10605" t="str">
        <f>"02 - A - 112 - Cheryl Anne  Berman-Schechter"</f>
        <v>02 - A - 112 - Cheryl Anne  Berman-Schechter</v>
      </c>
      <c r="F10605" t="str">
        <f>"NC STUDY HALL 1"</f>
        <v>NC STUDY HALL 1</v>
      </c>
      <c r="G10605" t="str">
        <f>"17-1722"</f>
        <v>17-1722</v>
      </c>
      <c r="H10605" t="str">
        <f>"A"</f>
        <v>A</v>
      </c>
    </row>
    <row r="10606" spans="1:8" x14ac:dyDescent="0.2">
      <c r="A10606" t="str">
        <f t="shared" si="3830"/>
        <v>0613059872</v>
      </c>
      <c r="B10606" t="str">
        <f t="shared" si="3831"/>
        <v>BRITTANY</v>
      </c>
      <c r="C10606" t="str">
        <f t="shared" si="3832"/>
        <v>MARTINEZCALLEJA</v>
      </c>
      <c r="D10606" t="str">
        <f t="shared" si="3833"/>
        <v>09</v>
      </c>
      <c r="E10606" t="str">
        <f>"07 - B - 202 - Chrystina M Marchionne"</f>
        <v>07 - B - 202 - Chrystina M Marchionne</v>
      </c>
      <c r="F10606" t="str">
        <f>"JOURN 1 (YB) LH"</f>
        <v>JOURN 1 (YB) LH</v>
      </c>
      <c r="G10606" t="str">
        <f>"05-520"</f>
        <v>05-520</v>
      </c>
      <c r="H10606" t="str">
        <f>"B"</f>
        <v>B</v>
      </c>
    </row>
    <row r="10607" spans="1:8" x14ac:dyDescent="0.2">
      <c r="A10607" t="str">
        <f t="shared" si="3830"/>
        <v>0613059872</v>
      </c>
      <c r="B10607" t="str">
        <f t="shared" si="3831"/>
        <v>BRITTANY</v>
      </c>
      <c r="C10607" t="str">
        <f t="shared" si="3832"/>
        <v>MARTINEZCALLEJA</v>
      </c>
      <c r="D10607" t="str">
        <f t="shared" si="3833"/>
        <v>09</v>
      </c>
      <c r="E10607" t="str">
        <f>"05 - B - 102 - Emmily A Sarmiento"</f>
        <v>05 - B - 102 - Emmily A Sarmiento</v>
      </c>
      <c r="F10607" t="str">
        <f>"LEAD SKLS DEV LH"</f>
        <v>LEAD SKLS DEV LH</v>
      </c>
      <c r="G10607" t="str">
        <f>"17-1743"</f>
        <v>17-1743</v>
      </c>
      <c r="H10607" t="str">
        <f>"B"</f>
        <v>B</v>
      </c>
    </row>
    <row r="10608" spans="1:8" x14ac:dyDescent="0.2">
      <c r="A10608" t="str">
        <f t="shared" si="3830"/>
        <v>0613059872</v>
      </c>
      <c r="B10608" t="str">
        <f t="shared" si="3831"/>
        <v>BRITTANY</v>
      </c>
      <c r="C10608" t="str">
        <f t="shared" si="3832"/>
        <v>MARTINEZCALLEJA</v>
      </c>
      <c r="D10608" t="str">
        <f t="shared" si="3833"/>
        <v>09</v>
      </c>
      <c r="E10608" t="str">
        <f>"01 - A - 101 - Cerine S Stewart"</f>
        <v>01 - A - 101 - Cerine S Stewart</v>
      </c>
      <c r="F10608" t="str">
        <f>"ENG 1"</f>
        <v>ENG 1</v>
      </c>
      <c r="G10608" t="str">
        <f>"17-1720"</f>
        <v>17-1720</v>
      </c>
      <c r="H10608" t="str">
        <f>"A"</f>
        <v>A</v>
      </c>
    </row>
    <row r="10609" spans="1:8" x14ac:dyDescent="0.2">
      <c r="A10609" t="str">
        <f t="shared" si="3830"/>
        <v>0613059872</v>
      </c>
      <c r="B10609" t="str">
        <f t="shared" si="3831"/>
        <v>BRITTANY</v>
      </c>
      <c r="C10609" t="str">
        <f t="shared" si="3832"/>
        <v>MARTINEZCALLEJA</v>
      </c>
      <c r="D10609" t="str">
        <f t="shared" si="3833"/>
        <v>09</v>
      </c>
      <c r="E10609" t="str">
        <f>"08 - B - 105 - Samantha J Headley"</f>
        <v>08 - B - 105 - Samantha J Headley</v>
      </c>
      <c r="F10609" t="str">
        <f>"ENV SCI"</f>
        <v>ENV SCI</v>
      </c>
      <c r="G10609" t="str">
        <f>"08-802"</f>
        <v>08-802</v>
      </c>
      <c r="H10609" t="str">
        <f>"B"</f>
        <v>B</v>
      </c>
    </row>
    <row r="10610" spans="1:8" x14ac:dyDescent="0.2">
      <c r="A10610" t="str">
        <f t="shared" ref="A10610:A10617" si="3834">"0616154373"</f>
        <v>0616154373</v>
      </c>
      <c r="B10610" t="str">
        <f t="shared" ref="B10610:B10617" si="3835">"ANGEL"</f>
        <v>ANGEL</v>
      </c>
      <c r="C10610" t="str">
        <f t="shared" ref="C10610:C10617" si="3836">"MARTINEZ MATA"</f>
        <v>MARTINEZ MATA</v>
      </c>
      <c r="D10610" t="str">
        <f t="shared" si="3833"/>
        <v>09</v>
      </c>
      <c r="E10610" t="str">
        <f>"04 - A - 101 - Chrystina M Marchionne"</f>
        <v>04 - A - 101 - Chrystina M Marchionne</v>
      </c>
      <c r="F10610" t="str">
        <f>"THEA CIN &amp; FILM LH"</f>
        <v>THEA CIN &amp; FILM LH</v>
      </c>
      <c r="G10610" t="str">
        <f>"05-520"</f>
        <v>05-520</v>
      </c>
      <c r="H10610" t="str">
        <f>"A"</f>
        <v>A</v>
      </c>
    </row>
    <row r="10611" spans="1:8" x14ac:dyDescent="0.2">
      <c r="A10611" t="str">
        <f t="shared" si="3834"/>
        <v>0616154373</v>
      </c>
      <c r="B10611" t="str">
        <f t="shared" si="3835"/>
        <v>ANGEL</v>
      </c>
      <c r="C10611" t="str">
        <f t="shared" si="3836"/>
        <v>MARTINEZ MATA</v>
      </c>
      <c r="D10611" t="str">
        <f t="shared" si="3833"/>
        <v>09</v>
      </c>
      <c r="E10611" t="str">
        <f>"06 - B - 105 - Cheryl L Beach"</f>
        <v>06 - B - 105 - Cheryl L Beach</v>
      </c>
      <c r="F10611" t="str">
        <f>"AICE ENV MGMNT AS"</f>
        <v>AICE ENV MGMNT AS</v>
      </c>
      <c r="G10611" t="str">
        <f>"08-811"</f>
        <v>08-811</v>
      </c>
      <c r="H10611" t="str">
        <f>"B"</f>
        <v>B</v>
      </c>
    </row>
    <row r="10612" spans="1:8" x14ac:dyDescent="0.2">
      <c r="A10612" t="str">
        <f t="shared" si="3834"/>
        <v>0616154373</v>
      </c>
      <c r="B10612" t="str">
        <f t="shared" si="3835"/>
        <v>ANGEL</v>
      </c>
      <c r="C10612" t="str">
        <f t="shared" si="3836"/>
        <v>MARTINEZ MATA</v>
      </c>
      <c r="D10612" t="str">
        <f t="shared" si="3833"/>
        <v>09</v>
      </c>
      <c r="E10612" t="str">
        <f>"03 - A - 201 - Chrystina M Marchionne"</f>
        <v>03 - A - 201 - Chrystina M Marchionne</v>
      </c>
      <c r="F10612" t="str">
        <f>"JOURN 1 (YB) LH"</f>
        <v>JOURN 1 (YB) LH</v>
      </c>
      <c r="G10612" t="str">
        <f>"05-520"</f>
        <v>05-520</v>
      </c>
      <c r="H10612" t="str">
        <f>"A"</f>
        <v>A</v>
      </c>
    </row>
    <row r="10613" spans="1:8" x14ac:dyDescent="0.2">
      <c r="A10613" t="str">
        <f t="shared" si="3834"/>
        <v>0616154373</v>
      </c>
      <c r="B10613" t="str">
        <f t="shared" si="3835"/>
        <v>ANGEL</v>
      </c>
      <c r="C10613" t="str">
        <f t="shared" si="3836"/>
        <v>MARTINEZ MATA</v>
      </c>
      <c r="D10613" t="str">
        <f t="shared" si="3833"/>
        <v>09</v>
      </c>
      <c r="E10613" t="str">
        <f>"02 - A - 107 - Cerine S Stewart"</f>
        <v>02 - A - 107 - Cerine S Stewart</v>
      </c>
      <c r="F10613" t="str">
        <f>"NC STUDY HALL 1"</f>
        <v>NC STUDY HALL 1</v>
      </c>
      <c r="G10613" t="str">
        <f>"17-1720"</f>
        <v>17-1720</v>
      </c>
      <c r="H10613" t="str">
        <f>"A"</f>
        <v>A</v>
      </c>
    </row>
    <row r="10614" spans="1:8" x14ac:dyDescent="0.2">
      <c r="A10614" t="str">
        <f t="shared" si="3834"/>
        <v>0616154373</v>
      </c>
      <c r="B10614" t="str">
        <f t="shared" si="3835"/>
        <v>ANGEL</v>
      </c>
      <c r="C10614" t="str">
        <f t="shared" si="3836"/>
        <v>MARTINEZ MATA</v>
      </c>
      <c r="D10614" t="str">
        <f t="shared" si="3833"/>
        <v>09</v>
      </c>
      <c r="E10614" t="str">
        <f>"07 - B - 003 - Brandy N Zdenek"</f>
        <v>07 - B - 003 - Brandy N Zdenek</v>
      </c>
      <c r="F10614" t="str">
        <f>"AICE ENG GEN PAPER 1"</f>
        <v>AICE ENG GEN PAPER 1</v>
      </c>
      <c r="G10614" t="str">
        <f>"17-1704"</f>
        <v>17-1704</v>
      </c>
      <c r="H10614" t="str">
        <f>"B"</f>
        <v>B</v>
      </c>
    </row>
    <row r="10615" spans="1:8" x14ac:dyDescent="0.2">
      <c r="A10615" t="str">
        <f t="shared" si="3834"/>
        <v>0616154373</v>
      </c>
      <c r="B10615" t="str">
        <f t="shared" si="3835"/>
        <v>ANGEL</v>
      </c>
      <c r="C10615" t="str">
        <f t="shared" si="3836"/>
        <v>MARTINEZ MATA</v>
      </c>
      <c r="D10615" t="str">
        <f t="shared" si="3833"/>
        <v>09</v>
      </c>
      <c r="E10615" t="str">
        <f>"05 - B - 104 - Maried P Ramos"</f>
        <v>05 - B - 104 - Maried P Ramos</v>
      </c>
      <c r="F10615" t="str">
        <f>"PRE-AICE MATH 2 IG"</f>
        <v>PRE-AICE MATH 2 IG</v>
      </c>
      <c r="G10615" t="str">
        <f>"21-2159"</f>
        <v>21-2159</v>
      </c>
      <c r="H10615" t="str">
        <f>"B"</f>
        <v>B</v>
      </c>
    </row>
    <row r="10616" spans="1:8" x14ac:dyDescent="0.2">
      <c r="A10616" t="str">
        <f t="shared" si="3834"/>
        <v>0616154373</v>
      </c>
      <c r="B10616" t="str">
        <f t="shared" si="3835"/>
        <v>ANGEL</v>
      </c>
      <c r="C10616" t="str">
        <f t="shared" si="3836"/>
        <v>MARTINEZ MATA</v>
      </c>
      <c r="D10616" t="str">
        <f t="shared" si="3833"/>
        <v>09</v>
      </c>
      <c r="E10616" t="str">
        <f>"01 - A - 101 - Nikiel  Nesbeth"</f>
        <v>01 - A - 101 - Nikiel  Nesbeth</v>
      </c>
      <c r="F10616" t="str">
        <f>"CONST LAW HON"</f>
        <v>CONST LAW HON</v>
      </c>
      <c r="G10616" t="str">
        <f>"17-1705"</f>
        <v>17-1705</v>
      </c>
      <c r="H10616" t="str">
        <f>"A"</f>
        <v>A</v>
      </c>
    </row>
    <row r="10617" spans="1:8" x14ac:dyDescent="0.2">
      <c r="A10617" t="str">
        <f t="shared" si="3834"/>
        <v>0616154373</v>
      </c>
      <c r="B10617" t="str">
        <f t="shared" si="3835"/>
        <v>ANGEL</v>
      </c>
      <c r="C10617" t="str">
        <f t="shared" si="3836"/>
        <v>MARTINEZ MATA</v>
      </c>
      <c r="D10617" t="str">
        <f t="shared" si="3833"/>
        <v>09</v>
      </c>
      <c r="E10617" t="str">
        <f>"08 - B - 109 - Emmily A Sarmiento"</f>
        <v>08 - B - 109 - Emmily A Sarmiento</v>
      </c>
      <c r="F10617" t="str">
        <f>"AICE GLBL PERSP 1 AS"</f>
        <v>AICE GLBL PERSP 1 AS</v>
      </c>
      <c r="G10617" t="str">
        <f>"17-1743"</f>
        <v>17-1743</v>
      </c>
      <c r="H10617" t="str">
        <f>"B"</f>
        <v>B</v>
      </c>
    </row>
    <row r="10618" spans="1:8" x14ac:dyDescent="0.2">
      <c r="A10618" t="str">
        <f t="shared" ref="A10618:A10625" si="3837">"0623101314"</f>
        <v>0623101314</v>
      </c>
      <c r="B10618" t="str">
        <f t="shared" ref="B10618:B10625" si="3838">"JOSUE"</f>
        <v>JOSUE</v>
      </c>
      <c r="C10618" t="str">
        <f t="shared" ref="C10618:C10625" si="3839">"MARTINEZ MELGAR"</f>
        <v>MARTINEZ MELGAR</v>
      </c>
      <c r="D10618">
        <f>11</f>
        <v>11</v>
      </c>
      <c r="E10618" t="str">
        <f>"04 - A - 108 - Maried P Ramos"</f>
        <v>04 - A - 108 - Maried P Ramos</v>
      </c>
      <c r="F10618" t="str">
        <f>"GEOMETRY"</f>
        <v>GEOMETRY</v>
      </c>
      <c r="G10618" t="str">
        <f>"21-2159"</f>
        <v>21-2159</v>
      </c>
      <c r="H10618" t="str">
        <f>"A"</f>
        <v>A</v>
      </c>
    </row>
    <row r="10619" spans="1:8" x14ac:dyDescent="0.2">
      <c r="A10619" t="str">
        <f t="shared" si="3837"/>
        <v>0623101314</v>
      </c>
      <c r="B10619" t="str">
        <f t="shared" si="3838"/>
        <v>JOSUE</v>
      </c>
      <c r="C10619" t="str">
        <f t="shared" si="3839"/>
        <v>MARTINEZ MELGAR</v>
      </c>
      <c r="D10619">
        <f>11</f>
        <v>11</v>
      </c>
      <c r="E10619" t="str">
        <f>"06 - B - 105 - Elizabeth Ellen  Moran"</f>
        <v>06 - B - 105 - Elizabeth Ellen  Moran</v>
      </c>
      <c r="F10619" t="str">
        <f>"US HISTORY"</f>
        <v>US HISTORY</v>
      </c>
      <c r="G10619" t="str">
        <f>"17-1752"</f>
        <v>17-1752</v>
      </c>
      <c r="H10619" t="str">
        <f>"B"</f>
        <v>B</v>
      </c>
    </row>
    <row r="10620" spans="1:8" x14ac:dyDescent="0.2">
      <c r="A10620" t="str">
        <f t="shared" si="3837"/>
        <v>0623101314</v>
      </c>
      <c r="B10620" t="str">
        <f t="shared" si="3838"/>
        <v>JOSUE</v>
      </c>
      <c r="C10620" t="str">
        <f t="shared" si="3839"/>
        <v>MARTINEZ MELGAR</v>
      </c>
      <c r="D10620">
        <f>11</f>
        <v>11</v>
      </c>
      <c r="E10620" t="str">
        <f>"03 - A - 102 - Cliffon  Saurel"</f>
        <v>03 - A - 102 - Cliffon  Saurel</v>
      </c>
      <c r="F10620" t="str">
        <f>"PHYSICAL SCI"</f>
        <v>PHYSICAL SCI</v>
      </c>
      <c r="G10620" t="str">
        <f>"05-522"</f>
        <v>05-522</v>
      </c>
      <c r="H10620" t="str">
        <f>"A"</f>
        <v>A</v>
      </c>
    </row>
    <row r="10621" spans="1:8" x14ac:dyDescent="0.2">
      <c r="A10621" t="str">
        <f t="shared" si="3837"/>
        <v>0623101314</v>
      </c>
      <c r="B10621" t="str">
        <f t="shared" si="3838"/>
        <v>JOSUE</v>
      </c>
      <c r="C10621" t="str">
        <f t="shared" si="3839"/>
        <v>MARTINEZ MELGAR</v>
      </c>
      <c r="D10621">
        <f>11</f>
        <v>11</v>
      </c>
      <c r="E10621" t="str">
        <f>"02 - A - 103 - Kelly N Panza"</f>
        <v>02 - A - 103 - Kelly N Panza</v>
      </c>
      <c r="F10621" t="str">
        <f>"NC STUDY HALL 1"</f>
        <v>NC STUDY HALL 1</v>
      </c>
      <c r="G10621" t="str">
        <f>"17-1753"</f>
        <v>17-1753</v>
      </c>
      <c r="H10621" t="str">
        <f>"A"</f>
        <v>A</v>
      </c>
    </row>
    <row r="10622" spans="1:8" x14ac:dyDescent="0.2">
      <c r="A10622" t="str">
        <f t="shared" si="3837"/>
        <v>0623101314</v>
      </c>
      <c r="B10622" t="str">
        <f t="shared" si="3838"/>
        <v>JOSUE</v>
      </c>
      <c r="C10622" t="str">
        <f t="shared" si="3839"/>
        <v>MARTINEZ MELGAR</v>
      </c>
      <c r="D10622">
        <f>11</f>
        <v>11</v>
      </c>
      <c r="E10622" t="str">
        <f>"07 - S1 - B - 105 - Richard E Dunbar Iii"</f>
        <v>07 - S1 - B - 105 - Richard E Dunbar Iii</v>
      </c>
      <c r="F10622" t="str">
        <f>"WEIGHT TRAIN 3"</f>
        <v>WEIGHT TRAIN 3</v>
      </c>
      <c r="G10622" t="str">
        <f>"05-501"</f>
        <v>05-501</v>
      </c>
      <c r="H10622" t="str">
        <f>"B"</f>
        <v>B</v>
      </c>
    </row>
    <row r="10623" spans="1:8" x14ac:dyDescent="0.2">
      <c r="A10623" t="str">
        <f t="shared" si="3837"/>
        <v>0623101314</v>
      </c>
      <c r="B10623" t="str">
        <f t="shared" si="3838"/>
        <v>JOSUE</v>
      </c>
      <c r="C10623" t="str">
        <f t="shared" si="3839"/>
        <v>MARTINEZ MELGAR</v>
      </c>
      <c r="D10623">
        <f>11</f>
        <v>11</v>
      </c>
      <c r="E10623" t="str">
        <f>"05 - B - 104 - Lisa  Quinn"</f>
        <v>05 - B - 104 - Lisa  Quinn</v>
      </c>
      <c r="F10623" t="str">
        <f>"ENG 3"</f>
        <v>ENG 3</v>
      </c>
      <c r="G10623" t="str">
        <f>"17-1725"</f>
        <v>17-1725</v>
      </c>
      <c r="H10623" t="str">
        <f>"B"</f>
        <v>B</v>
      </c>
    </row>
    <row r="10624" spans="1:8" x14ac:dyDescent="0.2">
      <c r="A10624" t="str">
        <f t="shared" si="3837"/>
        <v>0623101314</v>
      </c>
      <c r="B10624" t="str">
        <f t="shared" si="3838"/>
        <v>JOSUE</v>
      </c>
      <c r="C10624" t="str">
        <f t="shared" si="3839"/>
        <v>MARTINEZ MELGAR</v>
      </c>
      <c r="D10624">
        <f>11</f>
        <v>11</v>
      </c>
      <c r="E10624" t="str">
        <f>"01 - A - 101 - Vanessa J Pena"</f>
        <v>01 - A - 101 - Vanessa J Pena</v>
      </c>
      <c r="F10624" t="str">
        <f>"DEV LANG ARTS ESOL-R"</f>
        <v>DEV LANG ARTS ESOL-R</v>
      </c>
      <c r="G10624" t="str">
        <f>"09-926"</f>
        <v>09-926</v>
      </c>
      <c r="H10624" t="str">
        <f>"A"</f>
        <v>A</v>
      </c>
    </row>
    <row r="10625" spans="1:8" x14ac:dyDescent="0.2">
      <c r="A10625" t="str">
        <f t="shared" si="3837"/>
        <v>0623101314</v>
      </c>
      <c r="B10625" t="str">
        <f t="shared" si="3838"/>
        <v>JOSUE</v>
      </c>
      <c r="C10625" t="str">
        <f t="shared" si="3839"/>
        <v>MARTINEZ MELGAR</v>
      </c>
      <c r="D10625">
        <f>11</f>
        <v>11</v>
      </c>
      <c r="E10625" t="str">
        <f>"08 - B - 101 - Robert H Rindner"</f>
        <v>08 - B - 101 - Robert H Rindner</v>
      </c>
      <c r="F10625" t="str">
        <f>"TV PRODUCTION TECH 2"</f>
        <v>TV PRODUCTION TECH 2</v>
      </c>
      <c r="G10625" t="str">
        <f>"21-2160"</f>
        <v>21-2160</v>
      </c>
      <c r="H10625" t="str">
        <f>"B"</f>
        <v>B</v>
      </c>
    </row>
    <row r="10626" spans="1:8" x14ac:dyDescent="0.2">
      <c r="A10626" t="str">
        <f t="shared" ref="A10626:A10633" si="3840">"0617032655"</f>
        <v>0617032655</v>
      </c>
      <c r="B10626" t="str">
        <f t="shared" ref="B10626:B10633" si="3841">"YESENIA"</f>
        <v>YESENIA</v>
      </c>
      <c r="C10626" t="str">
        <f t="shared" ref="C10626:C10633" si="3842">"MARTINEZ ORTIZ"</f>
        <v>MARTINEZ ORTIZ</v>
      </c>
      <c r="D10626" t="str">
        <f t="shared" ref="D10626:D10633" si="3843">"09"</f>
        <v>09</v>
      </c>
      <c r="E10626" t="str">
        <f>"04 - A - 201 - Dorothy D Moore"</f>
        <v>04 - A - 201 - Dorothy D Moore</v>
      </c>
      <c r="F10626" t="str">
        <f>"HEALTH SCI 1/A&amp;P HON"</f>
        <v>HEALTH SCI 1/A&amp;P HON</v>
      </c>
      <c r="G10626" t="str">
        <f>"08-803"</f>
        <v>08-803</v>
      </c>
      <c r="H10626" t="str">
        <f>"A"</f>
        <v>A</v>
      </c>
    </row>
    <row r="10627" spans="1:8" x14ac:dyDescent="0.2">
      <c r="A10627" t="str">
        <f t="shared" si="3840"/>
        <v>0617032655</v>
      </c>
      <c r="B10627" t="str">
        <f t="shared" si="3841"/>
        <v>YESENIA</v>
      </c>
      <c r="C10627" t="str">
        <f t="shared" si="3842"/>
        <v>MARTINEZ ORTIZ</v>
      </c>
      <c r="D10627" t="str">
        <f t="shared" si="3843"/>
        <v>09</v>
      </c>
      <c r="E10627" t="str">
        <f>"06 - B - 106 - Adam Marcus  Drucker"</f>
        <v>06 - B - 106 - Adam Marcus  Drucker</v>
      </c>
      <c r="F10627" t="str">
        <f>"HOPE-PE V"</f>
        <v>HOPE-PE V</v>
      </c>
      <c r="G10627" t="str">
        <f>"04-254"</f>
        <v>04-254</v>
      </c>
      <c r="H10627" t="str">
        <f>"B"</f>
        <v>B</v>
      </c>
    </row>
    <row r="10628" spans="1:8" x14ac:dyDescent="0.2">
      <c r="A10628" t="str">
        <f t="shared" si="3840"/>
        <v>0617032655</v>
      </c>
      <c r="B10628" t="str">
        <f t="shared" si="3841"/>
        <v>YESENIA</v>
      </c>
      <c r="C10628" t="str">
        <f t="shared" si="3842"/>
        <v>MARTINEZ ORTIZ</v>
      </c>
      <c r="D10628" t="str">
        <f t="shared" si="3843"/>
        <v>09</v>
      </c>
      <c r="E10628" t="str">
        <f>"03 - A - 101 - Samantha L Martinez"</f>
        <v>03 - A - 101 - Samantha L Martinez</v>
      </c>
      <c r="F10628" t="str">
        <f>"VOCAL ENS 1"</f>
        <v>VOCAL ENS 1</v>
      </c>
      <c r="G10628" t="str">
        <f>"05-505"</f>
        <v>05-505</v>
      </c>
      <c r="H10628" t="str">
        <f>"A"</f>
        <v>A</v>
      </c>
    </row>
    <row r="10629" spans="1:8" x14ac:dyDescent="0.2">
      <c r="A10629" t="str">
        <f t="shared" si="3840"/>
        <v>0617032655</v>
      </c>
      <c r="B10629" t="str">
        <f t="shared" si="3841"/>
        <v>YESENIA</v>
      </c>
      <c r="C10629" t="str">
        <f t="shared" si="3842"/>
        <v>MARTINEZ ORTIZ</v>
      </c>
      <c r="D10629" t="str">
        <f t="shared" si="3843"/>
        <v>09</v>
      </c>
      <c r="E10629" t="str">
        <f>"02 - A - 101 - Josiah I Lacy"</f>
        <v>02 - A - 101 - Josiah I Lacy</v>
      </c>
      <c r="F10629" t="str">
        <f>"NC STUDY HALL 1"</f>
        <v>NC STUDY HALL 1</v>
      </c>
      <c r="G10629" t="str">
        <f>"08-801"</f>
        <v>08-801</v>
      </c>
      <c r="H10629" t="str">
        <f>"A"</f>
        <v>A</v>
      </c>
    </row>
    <row r="10630" spans="1:8" x14ac:dyDescent="0.2">
      <c r="A10630" t="str">
        <f t="shared" si="3840"/>
        <v>0617032655</v>
      </c>
      <c r="B10630" t="str">
        <f t="shared" si="3841"/>
        <v>YESENIA</v>
      </c>
      <c r="C10630" t="str">
        <f t="shared" si="3842"/>
        <v>MARTINEZ ORTIZ</v>
      </c>
      <c r="D10630" t="str">
        <f t="shared" si="3843"/>
        <v>09</v>
      </c>
      <c r="E10630" t="str">
        <f>"07 - B - 001 - Maried P Ramos"</f>
        <v>07 - B - 001 - Maried P Ramos</v>
      </c>
      <c r="F10630" t="str">
        <f>"GEOMETRY"</f>
        <v>GEOMETRY</v>
      </c>
      <c r="G10630" t="str">
        <f>"21-2159"</f>
        <v>21-2159</v>
      </c>
      <c r="H10630" t="str">
        <f>"B"</f>
        <v>B</v>
      </c>
    </row>
    <row r="10631" spans="1:8" x14ac:dyDescent="0.2">
      <c r="A10631" t="str">
        <f t="shared" si="3840"/>
        <v>0617032655</v>
      </c>
      <c r="B10631" t="str">
        <f t="shared" si="3841"/>
        <v>YESENIA</v>
      </c>
      <c r="C10631" t="str">
        <f t="shared" si="3842"/>
        <v>MARTINEZ ORTIZ</v>
      </c>
      <c r="D10631" t="str">
        <f t="shared" si="3843"/>
        <v>09</v>
      </c>
      <c r="E10631" t="str">
        <f>"05 - B - 207 - Marielle A Witting"</f>
        <v>05 - B - 207 - Marielle A Witting</v>
      </c>
      <c r="F10631" t="str">
        <f>"ANAT PHYSIO"</f>
        <v>ANAT PHYSIO</v>
      </c>
      <c r="G10631" t="str">
        <f>"08-805"</f>
        <v>08-805</v>
      </c>
      <c r="H10631" t="str">
        <f>"B"</f>
        <v>B</v>
      </c>
    </row>
    <row r="10632" spans="1:8" x14ac:dyDescent="0.2">
      <c r="A10632" t="str">
        <f t="shared" si="3840"/>
        <v>0617032655</v>
      </c>
      <c r="B10632" t="str">
        <f t="shared" si="3841"/>
        <v>YESENIA</v>
      </c>
      <c r="C10632" t="str">
        <f t="shared" si="3842"/>
        <v>MARTINEZ ORTIZ</v>
      </c>
      <c r="D10632" t="str">
        <f t="shared" si="3843"/>
        <v>09</v>
      </c>
      <c r="E10632" t="str">
        <f>"01 - A - 107 - Jazmin S Fletcher"</f>
        <v>01 - A - 107 - Jazmin S Fletcher</v>
      </c>
      <c r="F10632" t="str">
        <f>"WORLD HISTORY"</f>
        <v>WORLD HISTORY</v>
      </c>
      <c r="G10632" t="str">
        <f>"09-909"</f>
        <v>09-909</v>
      </c>
      <c r="H10632" t="str">
        <f>"A"</f>
        <v>A</v>
      </c>
    </row>
    <row r="10633" spans="1:8" x14ac:dyDescent="0.2">
      <c r="A10633" t="str">
        <f t="shared" si="3840"/>
        <v>0617032655</v>
      </c>
      <c r="B10633" t="str">
        <f t="shared" si="3841"/>
        <v>YESENIA</v>
      </c>
      <c r="C10633" t="str">
        <f t="shared" si="3842"/>
        <v>MARTINEZ ORTIZ</v>
      </c>
      <c r="D10633" t="str">
        <f t="shared" si="3843"/>
        <v>09</v>
      </c>
      <c r="E10633" t="str">
        <f>"08 - B - 108 - Cerine S Stewart"</f>
        <v>08 - B - 108 - Cerine S Stewart</v>
      </c>
      <c r="F10633" t="str">
        <f>"ENG 1"</f>
        <v>ENG 1</v>
      </c>
      <c r="G10633" t="str">
        <f>"17-1720"</f>
        <v>17-1720</v>
      </c>
      <c r="H10633" t="str">
        <f>"B"</f>
        <v>B</v>
      </c>
    </row>
    <row r="10634" spans="1:8" x14ac:dyDescent="0.2">
      <c r="A10634" t="str">
        <f t="shared" ref="A10634:A10641" si="3844">"0625020145"</f>
        <v>0625020145</v>
      </c>
      <c r="B10634" t="str">
        <f t="shared" ref="B10634:B10641" si="3845">"Gabriela"</f>
        <v>Gabriela</v>
      </c>
      <c r="C10634" t="str">
        <f t="shared" ref="C10634:C10641" si="3846">"Martinez Silva"</f>
        <v>Martinez Silva</v>
      </c>
      <c r="D10634">
        <f>12</f>
        <v>12</v>
      </c>
      <c r="E10634" t="str">
        <f>"04 - S1 - A - 101 - Nahum  Saint-Preux"</f>
        <v>04 - S1 - A - 101 - Nahum  Saint-Preux</v>
      </c>
      <c r="F10634" t="str">
        <f>"CRIT THINK ST SKLS"</f>
        <v>CRIT THINK ST SKLS</v>
      </c>
      <c r="G10634" t="str">
        <f>"17-1712"</f>
        <v>17-1712</v>
      </c>
      <c r="H10634" t="str">
        <f>"A"</f>
        <v>A</v>
      </c>
    </row>
    <row r="10635" spans="1:8" x14ac:dyDescent="0.2">
      <c r="A10635" t="str">
        <f t="shared" si="3844"/>
        <v>0625020145</v>
      </c>
      <c r="B10635" t="str">
        <f t="shared" si="3845"/>
        <v>Gabriela</v>
      </c>
      <c r="C10635" t="str">
        <f t="shared" si="3846"/>
        <v>Martinez Silva</v>
      </c>
      <c r="D10635">
        <f>12</f>
        <v>12</v>
      </c>
      <c r="E10635" t="str">
        <f>"06 - B - 113 - Marielle A Witting"</f>
        <v>06 - B - 113 - Marielle A Witting</v>
      </c>
      <c r="F10635" t="str">
        <f>"NC STUDY HALL 1"</f>
        <v>NC STUDY HALL 1</v>
      </c>
      <c r="G10635" t="str">
        <f>"08-805"</f>
        <v>08-805</v>
      </c>
      <c r="H10635" t="str">
        <f>"B"</f>
        <v>B</v>
      </c>
    </row>
    <row r="10636" spans="1:8" x14ac:dyDescent="0.2">
      <c r="A10636" t="str">
        <f t="shared" si="3844"/>
        <v>0625020145</v>
      </c>
      <c r="B10636" t="str">
        <f t="shared" si="3845"/>
        <v>Gabriela</v>
      </c>
      <c r="C10636" t="str">
        <f t="shared" si="3846"/>
        <v>Martinez Silva</v>
      </c>
      <c r="D10636">
        <f>12</f>
        <v>12</v>
      </c>
      <c r="E10636" t="str">
        <f>"03 - A - 103 - Adam Marcus  Drucker"</f>
        <v>03 - A - 103 - Adam Marcus  Drucker</v>
      </c>
      <c r="F10636" t="str">
        <f>"HOPE-PE V"</f>
        <v>HOPE-PE V</v>
      </c>
      <c r="G10636" t="str">
        <f>"04-254"</f>
        <v>04-254</v>
      </c>
      <c r="H10636" t="str">
        <f>"A"</f>
        <v>A</v>
      </c>
    </row>
    <row r="10637" spans="1:8" x14ac:dyDescent="0.2">
      <c r="A10637" t="str">
        <f t="shared" si="3844"/>
        <v>0625020145</v>
      </c>
      <c r="B10637" t="str">
        <f t="shared" si="3845"/>
        <v>Gabriela</v>
      </c>
      <c r="C10637" t="str">
        <f t="shared" si="3846"/>
        <v>Martinez Silva</v>
      </c>
      <c r="D10637">
        <f>12</f>
        <v>12</v>
      </c>
      <c r="E10637" t="str">
        <f>"02 - A - 101 - Robyn L Trainer"</f>
        <v>02 - A - 101 - Robyn L Trainer</v>
      </c>
      <c r="F10637" t="str">
        <f>"ENG 4"</f>
        <v>ENG 4</v>
      </c>
      <c r="G10637" t="str">
        <f>"17-1734"</f>
        <v>17-1734</v>
      </c>
      <c r="H10637" t="str">
        <f>"A"</f>
        <v>A</v>
      </c>
    </row>
    <row r="10638" spans="1:8" x14ac:dyDescent="0.2">
      <c r="A10638" t="str">
        <f t="shared" si="3844"/>
        <v>0625020145</v>
      </c>
      <c r="B10638" t="str">
        <f t="shared" si="3845"/>
        <v>Gabriela</v>
      </c>
      <c r="C10638" t="str">
        <f t="shared" si="3846"/>
        <v>Martinez Silva</v>
      </c>
      <c r="D10638">
        <f>12</f>
        <v>12</v>
      </c>
      <c r="E10638" t="str">
        <f>"07 - S1 - B - 107 - Kelly N Panza"</f>
        <v>07 - S1 - B - 107 - Kelly N Panza</v>
      </c>
      <c r="F10638" t="str">
        <f>"US GOVT HON"</f>
        <v>US GOVT HON</v>
      </c>
      <c r="G10638" t="str">
        <f>"17-1753"</f>
        <v>17-1753</v>
      </c>
      <c r="H10638" t="str">
        <f>"B"</f>
        <v>B</v>
      </c>
    </row>
    <row r="10639" spans="1:8" x14ac:dyDescent="0.2">
      <c r="A10639" t="str">
        <f t="shared" si="3844"/>
        <v>0625020145</v>
      </c>
      <c r="B10639" t="str">
        <f t="shared" si="3845"/>
        <v>Gabriela</v>
      </c>
      <c r="C10639" t="str">
        <f t="shared" si="3846"/>
        <v>Martinez Silva</v>
      </c>
      <c r="D10639">
        <f>12</f>
        <v>12</v>
      </c>
      <c r="E10639" t="str">
        <f>"05 - B - 102 - Dorothy D Moore"</f>
        <v>05 - B - 102 - Dorothy D Moore</v>
      </c>
      <c r="F10639" t="str">
        <f>"FORC SCI 1 LH"</f>
        <v>FORC SCI 1 LH</v>
      </c>
      <c r="G10639" t="str">
        <f>"08-803"</f>
        <v>08-803</v>
      </c>
      <c r="H10639" t="str">
        <f>"B"</f>
        <v>B</v>
      </c>
    </row>
    <row r="10640" spans="1:8" x14ac:dyDescent="0.2">
      <c r="A10640" t="str">
        <f t="shared" si="3844"/>
        <v>0625020145</v>
      </c>
      <c r="B10640" t="str">
        <f t="shared" si="3845"/>
        <v>Gabriela</v>
      </c>
      <c r="C10640" t="str">
        <f t="shared" si="3846"/>
        <v>Martinez Silva</v>
      </c>
      <c r="D10640">
        <f>12</f>
        <v>12</v>
      </c>
      <c r="E10640" t="str">
        <f>"01 - A - 101 - Norayda D Suarez"</f>
        <v>01 - A - 101 - Norayda D Suarez</v>
      </c>
      <c r="F10640" t="str">
        <f>"RESEARCH 1 LH"</f>
        <v>RESEARCH 1 LH</v>
      </c>
      <c r="G10640">
        <f>2041</f>
        <v>2041</v>
      </c>
      <c r="H10640" t="str">
        <f>"A"</f>
        <v>A</v>
      </c>
    </row>
    <row r="10641" spans="1:8" x14ac:dyDescent="0.2">
      <c r="A10641" t="str">
        <f t="shared" si="3844"/>
        <v>0625020145</v>
      </c>
      <c r="B10641" t="str">
        <f t="shared" si="3845"/>
        <v>Gabriela</v>
      </c>
      <c r="C10641" t="str">
        <f t="shared" si="3846"/>
        <v>Martinez Silva</v>
      </c>
      <c r="D10641">
        <f>12</f>
        <v>12</v>
      </c>
      <c r="E10641" t="str">
        <f>"08 - B - 105 - Semra  Bahadir"</f>
        <v>08 - B - 105 - Semra  Bahadir</v>
      </c>
      <c r="F10641" t="str">
        <f>"MATH COLL ALGEBRA"</f>
        <v>MATH COLL ALGEBRA</v>
      </c>
      <c r="G10641" t="str">
        <f>"21-2107"</f>
        <v>21-2107</v>
      </c>
      <c r="H10641" t="str">
        <f>"B"</f>
        <v>B</v>
      </c>
    </row>
    <row r="10642" spans="1:8" x14ac:dyDescent="0.2">
      <c r="A10642" t="str">
        <f t="shared" ref="A10642:A10649" si="3847">"0614004189"</f>
        <v>0614004189</v>
      </c>
      <c r="B10642" t="str">
        <f t="shared" ref="B10642:B10649" si="3848">"JAI-DA"</f>
        <v>JAI-DA</v>
      </c>
      <c r="C10642" t="str">
        <f t="shared" ref="C10642:C10649" si="3849">"MASON"</f>
        <v>MASON</v>
      </c>
      <c r="D10642">
        <f>11</f>
        <v>11</v>
      </c>
      <c r="E10642" t="str">
        <f>"04 - A - 103 - Cliffon  Saurel"</f>
        <v>04 - A - 103 - Cliffon  Saurel</v>
      </c>
      <c r="F10642" t="str">
        <f>"PHYSICAL SCI"</f>
        <v>PHYSICAL SCI</v>
      </c>
      <c r="G10642" t="str">
        <f>"05-522"</f>
        <v>05-522</v>
      </c>
      <c r="H10642" t="str">
        <f>"A"</f>
        <v>A</v>
      </c>
    </row>
    <row r="10643" spans="1:8" x14ac:dyDescent="0.2">
      <c r="A10643" t="str">
        <f t="shared" si="3847"/>
        <v>0614004189</v>
      </c>
      <c r="B10643" t="str">
        <f t="shared" si="3848"/>
        <v>JAI-DA</v>
      </c>
      <c r="C10643" t="str">
        <f t="shared" si="3849"/>
        <v>MASON</v>
      </c>
      <c r="D10643">
        <f>11</f>
        <v>11</v>
      </c>
      <c r="E10643" t="str">
        <f>"06 - B - 105 - Arthur  Kulawik"</f>
        <v>06 - B - 105 - Arthur  Kulawik</v>
      </c>
      <c r="F10643" t="str">
        <f>"ENG 3"</f>
        <v>ENG 3</v>
      </c>
      <c r="G10643" t="str">
        <f>"05-506"</f>
        <v>05-506</v>
      </c>
      <c r="H10643" t="str">
        <f>"B"</f>
        <v>B</v>
      </c>
    </row>
    <row r="10644" spans="1:8" x14ac:dyDescent="0.2">
      <c r="A10644" t="str">
        <f t="shared" si="3847"/>
        <v>0614004189</v>
      </c>
      <c r="B10644" t="str">
        <f t="shared" si="3848"/>
        <v>JAI-DA</v>
      </c>
      <c r="C10644" t="str">
        <f t="shared" si="3849"/>
        <v>MASON</v>
      </c>
      <c r="D10644">
        <f>11</f>
        <v>11</v>
      </c>
      <c r="E10644" t="str">
        <f>"03 - A - 104 - Fernando  Vega-Cid"</f>
        <v>03 - A - 104 - Fernando  Vega-Cid</v>
      </c>
      <c r="F10644" t="str">
        <f>"GEOMETRY"</f>
        <v>GEOMETRY</v>
      </c>
      <c r="G10644" t="str">
        <f>"21-2163"</f>
        <v>21-2163</v>
      </c>
      <c r="H10644" t="str">
        <f>"A"</f>
        <v>A</v>
      </c>
    </row>
    <row r="10645" spans="1:8" x14ac:dyDescent="0.2">
      <c r="A10645" t="str">
        <f t="shared" si="3847"/>
        <v>0614004189</v>
      </c>
      <c r="B10645" t="str">
        <f t="shared" si="3848"/>
        <v>JAI-DA</v>
      </c>
      <c r="C10645" t="str">
        <f t="shared" si="3849"/>
        <v>MASON</v>
      </c>
      <c r="D10645">
        <f>11</f>
        <v>11</v>
      </c>
      <c r="E10645" t="str">
        <f>"02 - A - 104 - Dayna M Foster"</f>
        <v>02 - A - 104 - Dayna M Foster</v>
      </c>
      <c r="F10645" t="str">
        <f>"NC STUDY HALL 1"</f>
        <v>NC STUDY HALL 1</v>
      </c>
      <c r="G10645" t="str">
        <f>"21-2109"</f>
        <v>21-2109</v>
      </c>
      <c r="H10645" t="str">
        <f>"A"</f>
        <v>A</v>
      </c>
    </row>
    <row r="10646" spans="1:8" x14ac:dyDescent="0.2">
      <c r="A10646" t="str">
        <f t="shared" si="3847"/>
        <v>0614004189</v>
      </c>
      <c r="B10646" t="str">
        <f t="shared" si="3848"/>
        <v>JAI-DA</v>
      </c>
      <c r="C10646" t="str">
        <f t="shared" si="3849"/>
        <v>MASON</v>
      </c>
      <c r="D10646">
        <f>11</f>
        <v>11</v>
      </c>
      <c r="E10646" t="str">
        <f>"07 - B - 108 - Lauren N Logan"</f>
        <v>07 - B - 108 - Lauren N Logan</v>
      </c>
      <c r="F10646" t="str">
        <f>"US HISTORY"</f>
        <v>US HISTORY</v>
      </c>
      <c r="G10646" t="str">
        <f>"17-1745"</f>
        <v>17-1745</v>
      </c>
      <c r="H10646" t="str">
        <f>"B"</f>
        <v>B</v>
      </c>
    </row>
    <row r="10647" spans="1:8" x14ac:dyDescent="0.2">
      <c r="A10647" t="str">
        <f t="shared" si="3847"/>
        <v>0614004189</v>
      </c>
      <c r="B10647" t="str">
        <f t="shared" si="3848"/>
        <v>JAI-DA</v>
      </c>
      <c r="C10647" t="str">
        <f t="shared" si="3849"/>
        <v>MASON</v>
      </c>
      <c r="D10647">
        <f>11</f>
        <v>11</v>
      </c>
      <c r="E10647" t="str">
        <f>"05 - B - 102 - Jeanne M Bermudez"</f>
        <v>05 - B - 102 - Jeanne M Bermudez</v>
      </c>
      <c r="F10647" t="str">
        <f>"ADVANCED IT HON"</f>
        <v>ADVANCED IT HON</v>
      </c>
      <c r="G10647" t="str">
        <f>"21-2141"</f>
        <v>21-2141</v>
      </c>
      <c r="H10647" t="str">
        <f>"B"</f>
        <v>B</v>
      </c>
    </row>
    <row r="10648" spans="1:8" x14ac:dyDescent="0.2">
      <c r="A10648" t="str">
        <f t="shared" si="3847"/>
        <v>0614004189</v>
      </c>
      <c r="B10648" t="str">
        <f t="shared" si="3848"/>
        <v>JAI-DA</v>
      </c>
      <c r="C10648" t="str">
        <f t="shared" si="3849"/>
        <v>MASON</v>
      </c>
      <c r="D10648">
        <f>11</f>
        <v>11</v>
      </c>
      <c r="E10648" t="str">
        <f>"01 - A - 504 - Alejandro  Navarro"</f>
        <v>01 - A - 504 - Alejandro  Navarro</v>
      </c>
      <c r="F10648" t="str">
        <f>"BAND 1"</f>
        <v>BAND 1</v>
      </c>
      <c r="G10648" t="str">
        <f>"05-504"</f>
        <v>05-504</v>
      </c>
      <c r="H10648" t="str">
        <f>"A"</f>
        <v>A</v>
      </c>
    </row>
    <row r="10649" spans="1:8" x14ac:dyDescent="0.2">
      <c r="A10649" t="str">
        <f t="shared" si="3847"/>
        <v>0614004189</v>
      </c>
      <c r="B10649" t="str">
        <f t="shared" si="3848"/>
        <v>JAI-DA</v>
      </c>
      <c r="C10649" t="str">
        <f t="shared" si="3849"/>
        <v>MASON</v>
      </c>
      <c r="D10649">
        <f>11</f>
        <v>11</v>
      </c>
      <c r="E10649" t="str">
        <f>"08 - S1 - B - 102 - Nahum  Saint-Preux"</f>
        <v>08 - S1 - B - 102 - Nahum  Saint-Preux</v>
      </c>
      <c r="F10649" t="str">
        <f>"CRIT THINK ST SKLS"</f>
        <v>CRIT THINK ST SKLS</v>
      </c>
      <c r="G10649" t="str">
        <f>"17-1712"</f>
        <v>17-1712</v>
      </c>
      <c r="H10649" t="str">
        <f>"B"</f>
        <v>B</v>
      </c>
    </row>
    <row r="10650" spans="1:8" x14ac:dyDescent="0.2">
      <c r="A10650" t="str">
        <f t="shared" ref="A10650:A10657" si="3850">"0615034465"</f>
        <v>0615034465</v>
      </c>
      <c r="B10650" t="str">
        <f t="shared" ref="B10650:B10657" si="3851">"GABRIELLE"</f>
        <v>GABRIELLE</v>
      </c>
      <c r="C10650" t="str">
        <f t="shared" ref="C10650:C10665" si="3852">"MASSIAH"</f>
        <v>MASSIAH</v>
      </c>
      <c r="D10650">
        <f>12</f>
        <v>12</v>
      </c>
      <c r="E10650" t="str">
        <f>"04 - S1 - A - 106 - Kelly N Panza"</f>
        <v>04 - S1 - A - 106 - Kelly N Panza</v>
      </c>
      <c r="F10650" t="str">
        <f>"US GOVT HON"</f>
        <v>US GOVT HON</v>
      </c>
      <c r="G10650" t="str">
        <f>"17-1753"</f>
        <v>17-1753</v>
      </c>
      <c r="H10650" t="str">
        <f>"A"</f>
        <v>A</v>
      </c>
    </row>
    <row r="10651" spans="1:8" x14ac:dyDescent="0.2">
      <c r="A10651" t="str">
        <f t="shared" si="3850"/>
        <v>0615034465</v>
      </c>
      <c r="B10651" t="str">
        <f t="shared" si="3851"/>
        <v>GABRIELLE</v>
      </c>
      <c r="C10651" t="str">
        <f t="shared" si="3852"/>
        <v>MASSIAH</v>
      </c>
      <c r="D10651">
        <f>12</f>
        <v>12</v>
      </c>
      <c r="E10651" t="str">
        <f>"06 - B - 103 - Stefanie S Scher"</f>
        <v>06 - B - 103 - Stefanie S Scher</v>
      </c>
      <c r="F10651" t="str">
        <f>"NC STUDY HALL 1"</f>
        <v>NC STUDY HALL 1</v>
      </c>
      <c r="G10651" t="str">
        <f>"17-1735"</f>
        <v>17-1735</v>
      </c>
      <c r="H10651" t="str">
        <f>"B"</f>
        <v>B</v>
      </c>
    </row>
    <row r="10652" spans="1:8" x14ac:dyDescent="0.2">
      <c r="A10652" t="str">
        <f t="shared" si="3850"/>
        <v>0615034465</v>
      </c>
      <c r="B10652" t="str">
        <f t="shared" si="3851"/>
        <v>GABRIELLE</v>
      </c>
      <c r="C10652" t="str">
        <f t="shared" si="3852"/>
        <v>MASSIAH</v>
      </c>
      <c r="D10652">
        <f>12</f>
        <v>12</v>
      </c>
      <c r="E10652" t="str">
        <f>"03 - S1 - A - 102 - Angela S Adeshina-Morrison"</f>
        <v>03 - S1 - A - 102 - Angela S Adeshina-Morrison</v>
      </c>
      <c r="F10652" t="str">
        <f>"PEER COUN 1"</f>
        <v>PEER COUN 1</v>
      </c>
      <c r="G10652" t="str">
        <f>"05-518"</f>
        <v>05-518</v>
      </c>
      <c r="H10652" t="str">
        <f>"A"</f>
        <v>A</v>
      </c>
    </row>
    <row r="10653" spans="1:8" x14ac:dyDescent="0.2">
      <c r="A10653" t="str">
        <f t="shared" si="3850"/>
        <v>0615034465</v>
      </c>
      <c r="B10653" t="str">
        <f t="shared" si="3851"/>
        <v>GABRIELLE</v>
      </c>
      <c r="C10653" t="str">
        <f t="shared" si="3852"/>
        <v>MASSIAH</v>
      </c>
      <c r="D10653">
        <f>12</f>
        <v>12</v>
      </c>
      <c r="E10653" t="str">
        <f>"02 - A - 102 - Jeffrey S Gallagher"</f>
        <v>02 - A - 102 - Jeffrey S Gallagher</v>
      </c>
      <c r="F10653" t="str">
        <f>"ENG HON 4"</f>
        <v>ENG HON 4</v>
      </c>
      <c r="G10653" t="str">
        <f>"17-1724"</f>
        <v>17-1724</v>
      </c>
      <c r="H10653" t="str">
        <f>"A"</f>
        <v>A</v>
      </c>
    </row>
    <row r="10654" spans="1:8" x14ac:dyDescent="0.2">
      <c r="A10654" t="str">
        <f t="shared" si="3850"/>
        <v>0615034465</v>
      </c>
      <c r="B10654" t="str">
        <f t="shared" si="3851"/>
        <v>GABRIELLE</v>
      </c>
      <c r="C10654" t="str">
        <f t="shared" si="3852"/>
        <v>MASSIAH</v>
      </c>
      <c r="D10654">
        <f>12</f>
        <v>12</v>
      </c>
      <c r="E10654" t="str">
        <f>"07 - B - 102 - Thomas G Handwerg"</f>
        <v>07 - B - 102 - Thomas G Handwerg</v>
      </c>
      <c r="F10654" t="str">
        <f>"PROB STAT W/APPS HON"</f>
        <v>PROB STAT W/APPS HON</v>
      </c>
      <c r="G10654" t="str">
        <f>"21-2146"</f>
        <v>21-2146</v>
      </c>
      <c r="H10654" t="str">
        <f>"B"</f>
        <v>B</v>
      </c>
    </row>
    <row r="10655" spans="1:8" x14ac:dyDescent="0.2">
      <c r="A10655" t="str">
        <f t="shared" si="3850"/>
        <v>0615034465</v>
      </c>
      <c r="B10655" t="str">
        <f t="shared" si="3851"/>
        <v>GABRIELLE</v>
      </c>
      <c r="C10655" t="str">
        <f t="shared" si="3852"/>
        <v>MASSIAH</v>
      </c>
      <c r="D10655">
        <f>12</f>
        <v>12</v>
      </c>
      <c r="E10655" t="str">
        <f>"05 - B - 101 - Brian M Fitzgerald"</f>
        <v>05 - B - 101 - Brian M Fitzgerald</v>
      </c>
      <c r="F10655" t="str">
        <f>"PAINT 1"</f>
        <v>PAINT 1</v>
      </c>
      <c r="G10655" t="str">
        <f>"09-908"</f>
        <v>09-908</v>
      </c>
      <c r="H10655" t="str">
        <f>"B"</f>
        <v>B</v>
      </c>
    </row>
    <row r="10656" spans="1:8" x14ac:dyDescent="0.2">
      <c r="A10656" t="str">
        <f t="shared" si="3850"/>
        <v>0615034465</v>
      </c>
      <c r="B10656" t="str">
        <f t="shared" si="3851"/>
        <v>GABRIELLE</v>
      </c>
      <c r="C10656" t="str">
        <f t="shared" si="3852"/>
        <v>MASSIAH</v>
      </c>
      <c r="D10656">
        <f>12</f>
        <v>12</v>
      </c>
      <c r="E10656" t="str">
        <f>"01 - A - 201 - Jeanne M Bermudez"</f>
        <v>01 - A - 201 - Jeanne M Bermudez</v>
      </c>
      <c r="F10656" t="str">
        <f>"PHYSICS 1 HON"</f>
        <v>PHYSICS 1 HON</v>
      </c>
      <c r="G10656" t="str">
        <f>"21-2141"</f>
        <v>21-2141</v>
      </c>
      <c r="H10656" t="str">
        <f>"A"</f>
        <v>A</v>
      </c>
    </row>
    <row r="10657" spans="1:8" x14ac:dyDescent="0.2">
      <c r="A10657" t="str">
        <f t="shared" si="3850"/>
        <v>0615034465</v>
      </c>
      <c r="B10657" t="str">
        <f t="shared" si="3851"/>
        <v>GABRIELLE</v>
      </c>
      <c r="C10657" t="str">
        <f t="shared" si="3852"/>
        <v>MASSIAH</v>
      </c>
      <c r="D10657">
        <f>12</f>
        <v>12</v>
      </c>
      <c r="E10657" t="str">
        <f>"08 - B - 201 - Stacey A Blecker"</f>
        <v>08 - B - 201 - Stacey A Blecker</v>
      </c>
      <c r="F10657" t="str">
        <f>"AICE SOCIOLOGY 1 AS"</f>
        <v>AICE SOCIOLOGY 1 AS</v>
      </c>
      <c r="G10657" t="str">
        <f>"09-926"</f>
        <v>09-926</v>
      </c>
      <c r="H10657" t="str">
        <f>"B"</f>
        <v>B</v>
      </c>
    </row>
    <row r="10658" spans="1:8" x14ac:dyDescent="0.2">
      <c r="A10658" t="str">
        <f t="shared" ref="A10658:A10665" si="3853">"0617073661"</f>
        <v>0617073661</v>
      </c>
      <c r="B10658" t="str">
        <f t="shared" ref="B10658:B10665" si="3854">"XAVIER"</f>
        <v>XAVIER</v>
      </c>
      <c r="C10658" t="str">
        <f t="shared" si="3852"/>
        <v>MASSIAH</v>
      </c>
      <c r="D10658" t="str">
        <f t="shared" ref="D10658:D10665" si="3855">"09"</f>
        <v>09</v>
      </c>
      <c r="E10658" t="str">
        <f>"04 - A - 105 - Carol S Moore"</f>
        <v>04 - A - 105 - Carol S Moore</v>
      </c>
      <c r="F10658" t="str">
        <f>"PRE-AICE WRLD HST IG"</f>
        <v>PRE-AICE WRLD HST IG</v>
      </c>
      <c r="G10658" t="str">
        <f>"17-1733"</f>
        <v>17-1733</v>
      </c>
      <c r="H10658" t="str">
        <f>"A"</f>
        <v>A</v>
      </c>
    </row>
    <row r="10659" spans="1:8" x14ac:dyDescent="0.2">
      <c r="A10659" t="str">
        <f t="shared" si="3853"/>
        <v>0617073661</v>
      </c>
      <c r="B10659" t="str">
        <f t="shared" si="3854"/>
        <v>XAVIER</v>
      </c>
      <c r="C10659" t="str">
        <f t="shared" si="3852"/>
        <v>MASSIAH</v>
      </c>
      <c r="D10659" t="str">
        <f t="shared" si="3855"/>
        <v>09</v>
      </c>
      <c r="E10659" t="str">
        <f>"06 - B - 101 - Fernando  Vega-Cid"</f>
        <v>06 - B - 101 - Fernando  Vega-Cid</v>
      </c>
      <c r="F10659" t="str">
        <f>"PRE-AICE MATH 2 IG"</f>
        <v>PRE-AICE MATH 2 IG</v>
      </c>
      <c r="G10659" t="str">
        <f>"21-2163"</f>
        <v>21-2163</v>
      </c>
      <c r="H10659" t="str">
        <f>"B"</f>
        <v>B</v>
      </c>
    </row>
    <row r="10660" spans="1:8" x14ac:dyDescent="0.2">
      <c r="A10660" t="str">
        <f t="shared" si="3853"/>
        <v>0617073661</v>
      </c>
      <c r="B10660" t="str">
        <f t="shared" si="3854"/>
        <v>XAVIER</v>
      </c>
      <c r="C10660" t="str">
        <f t="shared" si="3852"/>
        <v>MASSIAH</v>
      </c>
      <c r="D10660" t="str">
        <f t="shared" si="3855"/>
        <v>09</v>
      </c>
      <c r="E10660" t="str">
        <f>"03 - A - 103 - Marius D Orsolini"</f>
        <v>03 - A - 103 - Marius D Orsolini</v>
      </c>
      <c r="F10660" t="str">
        <f>"CULINARY ARTS 1"</f>
        <v>CULINARY ARTS 1</v>
      </c>
      <c r="G10660" t="str">
        <f>"21-2115"</f>
        <v>21-2115</v>
      </c>
      <c r="H10660" t="str">
        <f>"A"</f>
        <v>A</v>
      </c>
    </row>
    <row r="10661" spans="1:8" x14ac:dyDescent="0.2">
      <c r="A10661" t="str">
        <f t="shared" si="3853"/>
        <v>0617073661</v>
      </c>
      <c r="B10661" t="str">
        <f t="shared" si="3854"/>
        <v>XAVIER</v>
      </c>
      <c r="C10661" t="str">
        <f t="shared" si="3852"/>
        <v>MASSIAH</v>
      </c>
      <c r="D10661" t="str">
        <f t="shared" si="3855"/>
        <v>09</v>
      </c>
      <c r="E10661" t="str">
        <f>"02 - A - 104 - Lytrell T Dixon"</f>
        <v>02 - A - 104 - Lytrell T Dixon</v>
      </c>
      <c r="F10661" t="str">
        <f>"NC STUDY HALL 1"</f>
        <v>NC STUDY HALL 1</v>
      </c>
      <c r="G10661" t="str">
        <f>"08-808"</f>
        <v>08-808</v>
      </c>
      <c r="H10661" t="str">
        <f>"A"</f>
        <v>A</v>
      </c>
    </row>
    <row r="10662" spans="1:8" x14ac:dyDescent="0.2">
      <c r="A10662" t="str">
        <f t="shared" si="3853"/>
        <v>0617073661</v>
      </c>
      <c r="B10662" t="str">
        <f t="shared" si="3854"/>
        <v>XAVIER</v>
      </c>
      <c r="C10662" t="str">
        <f t="shared" si="3852"/>
        <v>MASSIAH</v>
      </c>
      <c r="D10662" t="str">
        <f t="shared" si="3855"/>
        <v>09</v>
      </c>
      <c r="E10662" t="str">
        <f>"07 - B - 003 - Brandy N Zdenek"</f>
        <v>07 - B - 003 - Brandy N Zdenek</v>
      </c>
      <c r="F10662" t="str">
        <f>"AICE ENG GEN PAPER 1"</f>
        <v>AICE ENG GEN PAPER 1</v>
      </c>
      <c r="G10662" t="str">
        <f>"17-1704"</f>
        <v>17-1704</v>
      </c>
      <c r="H10662" t="str">
        <f>"B"</f>
        <v>B</v>
      </c>
    </row>
    <row r="10663" spans="1:8" x14ac:dyDescent="0.2">
      <c r="A10663" t="str">
        <f t="shared" si="3853"/>
        <v>0617073661</v>
      </c>
      <c r="B10663" t="str">
        <f t="shared" si="3854"/>
        <v>XAVIER</v>
      </c>
      <c r="C10663" t="str">
        <f t="shared" si="3852"/>
        <v>MASSIAH</v>
      </c>
      <c r="D10663" t="str">
        <f t="shared" si="3855"/>
        <v>09</v>
      </c>
      <c r="E10663" t="str">
        <f>"05 - S1 - B - 103 - Leslie J Barton"</f>
        <v>05 - S1 - B - 103 - Leslie J Barton</v>
      </c>
      <c r="F10663" t="str">
        <f>"FIRST AID SAFETY"</f>
        <v>FIRST AID SAFETY</v>
      </c>
      <c r="G10663" t="str">
        <f>"05-521"</f>
        <v>05-521</v>
      </c>
      <c r="H10663" t="str">
        <f>"B"</f>
        <v>B</v>
      </c>
    </row>
    <row r="10664" spans="1:8" x14ac:dyDescent="0.2">
      <c r="A10664" t="str">
        <f t="shared" si="3853"/>
        <v>0617073661</v>
      </c>
      <c r="B10664" t="str">
        <f t="shared" si="3854"/>
        <v>XAVIER</v>
      </c>
      <c r="C10664" t="str">
        <f t="shared" si="3852"/>
        <v>MASSIAH</v>
      </c>
      <c r="D10664" t="str">
        <f t="shared" si="3855"/>
        <v>09</v>
      </c>
      <c r="E10664" t="str">
        <f>"01 - A - 101 - Adam Marcus  Drucker"</f>
        <v>01 - A - 101 - Adam Marcus  Drucker</v>
      </c>
      <c r="F10664" t="str">
        <f>"HOPE-PE V"</f>
        <v>HOPE-PE V</v>
      </c>
      <c r="G10664" t="str">
        <f>"04-254"</f>
        <v>04-254</v>
      </c>
      <c r="H10664" t="str">
        <f>"A"</f>
        <v>A</v>
      </c>
    </row>
    <row r="10665" spans="1:8" x14ac:dyDescent="0.2">
      <c r="A10665" t="str">
        <f t="shared" si="3853"/>
        <v>0617073661</v>
      </c>
      <c r="B10665" t="str">
        <f t="shared" si="3854"/>
        <v>XAVIER</v>
      </c>
      <c r="C10665" t="str">
        <f t="shared" si="3852"/>
        <v>MASSIAH</v>
      </c>
      <c r="D10665" t="str">
        <f t="shared" si="3855"/>
        <v>09</v>
      </c>
      <c r="E10665" t="str">
        <f>"08 - B - 101 - Staci M Newton"</f>
        <v>08 - B - 101 - Staci M Newton</v>
      </c>
      <c r="F10665" t="str">
        <f>"PEER/PARTNERS LRN LH"</f>
        <v>PEER/PARTNERS LRN LH</v>
      </c>
      <c r="G10665" t="str">
        <f>"21-2103"</f>
        <v>21-2103</v>
      </c>
      <c r="H10665" t="str">
        <f>"B"</f>
        <v>B</v>
      </c>
    </row>
    <row r="10666" spans="1:8" x14ac:dyDescent="0.2">
      <c r="A10666" t="str">
        <f t="shared" ref="A10666:A10673" si="3856">"0617092144"</f>
        <v>0617092144</v>
      </c>
      <c r="B10666" t="str">
        <f t="shared" ref="B10666:B10673" si="3857">"KELVIN"</f>
        <v>KELVIN</v>
      </c>
      <c r="C10666" t="str">
        <f t="shared" ref="C10666:C10673" si="3858">"MATEO"</f>
        <v>MATEO</v>
      </c>
      <c r="D10666">
        <f>11</f>
        <v>11</v>
      </c>
      <c r="E10666" t="str">
        <f>"04 - A - 201 - Scott A Dethloff"</f>
        <v>04 - A - 201 - Scott A Dethloff</v>
      </c>
      <c r="F10666" t="str">
        <f>"AICE THINK SKLS 1 AS"</f>
        <v>AICE THINK SKLS 1 AS</v>
      </c>
      <c r="G10666" t="str">
        <f>"08-812"</f>
        <v>08-812</v>
      </c>
      <c r="H10666" t="str">
        <f>"A"</f>
        <v>A</v>
      </c>
    </row>
    <row r="10667" spans="1:8" x14ac:dyDescent="0.2">
      <c r="A10667" t="str">
        <f t="shared" si="3856"/>
        <v>0617092144</v>
      </c>
      <c r="B10667" t="str">
        <f t="shared" si="3857"/>
        <v>KELVIN</v>
      </c>
      <c r="C10667" t="str">
        <f t="shared" si="3858"/>
        <v>MATEO</v>
      </c>
      <c r="D10667">
        <f>11</f>
        <v>11</v>
      </c>
      <c r="E10667" t="str">
        <f>"06 - B - 102 - Angela S Adeshina-Morrison"</f>
        <v>06 - B - 102 - Angela S Adeshina-Morrison</v>
      </c>
      <c r="F10667" t="str">
        <f>"MARKETING ESSENTIALS"</f>
        <v>MARKETING ESSENTIALS</v>
      </c>
      <c r="G10667" t="str">
        <f>"05-518"</f>
        <v>05-518</v>
      </c>
      <c r="H10667" t="str">
        <f>"B"</f>
        <v>B</v>
      </c>
    </row>
    <row r="10668" spans="1:8" x14ac:dyDescent="0.2">
      <c r="A10668" t="str">
        <f t="shared" si="3856"/>
        <v>0617092144</v>
      </c>
      <c r="B10668" t="str">
        <f t="shared" si="3857"/>
        <v>KELVIN</v>
      </c>
      <c r="C10668" t="str">
        <f t="shared" si="3858"/>
        <v>MATEO</v>
      </c>
      <c r="D10668">
        <f>11</f>
        <v>11</v>
      </c>
      <c r="E10668" t="str">
        <f>"03 - A - 103 - Jordana K Hass"</f>
        <v>03 - A - 103 - Jordana K Hass</v>
      </c>
      <c r="F10668" t="str">
        <f>"CHEMISTRY 1"</f>
        <v>CHEMISTRY 1</v>
      </c>
      <c r="G10668" t="str">
        <f>"08-807"</f>
        <v>08-807</v>
      </c>
      <c r="H10668" t="str">
        <f>"A"</f>
        <v>A</v>
      </c>
    </row>
    <row r="10669" spans="1:8" x14ac:dyDescent="0.2">
      <c r="A10669" t="str">
        <f t="shared" si="3856"/>
        <v>0617092144</v>
      </c>
      <c r="B10669" t="str">
        <f t="shared" si="3857"/>
        <v>KELVIN</v>
      </c>
      <c r="C10669" t="str">
        <f t="shared" si="3858"/>
        <v>MATEO</v>
      </c>
      <c r="D10669">
        <f>11</f>
        <v>11</v>
      </c>
      <c r="E10669" t="str">
        <f>"02 - A - 113 - Byron G Montenegro"</f>
        <v>02 - A - 113 - Byron G Montenegro</v>
      </c>
      <c r="F10669" t="str">
        <f>"NC STUDY HALL 1"</f>
        <v>NC STUDY HALL 1</v>
      </c>
      <c r="G10669" t="str">
        <f>"21-2144"</f>
        <v>21-2144</v>
      </c>
      <c r="H10669" t="str">
        <f>"A"</f>
        <v>A</v>
      </c>
    </row>
    <row r="10670" spans="1:8" x14ac:dyDescent="0.2">
      <c r="A10670" t="str">
        <f t="shared" si="3856"/>
        <v>0617092144</v>
      </c>
      <c r="B10670" t="str">
        <f t="shared" si="3857"/>
        <v>KELVIN</v>
      </c>
      <c r="C10670" t="str">
        <f t="shared" si="3858"/>
        <v>MATEO</v>
      </c>
      <c r="D10670">
        <f>11</f>
        <v>11</v>
      </c>
      <c r="E10670" t="str">
        <f>"07 - B - 104 - Jerry S Jiampetti"</f>
        <v>07 - B - 104 - Jerry S Jiampetti</v>
      </c>
      <c r="F10670" t="str">
        <f>"AICE U.S. HIST 1 AS"</f>
        <v>AICE U.S. HIST 1 AS</v>
      </c>
      <c r="G10670" t="str">
        <f>"17-1751"</f>
        <v>17-1751</v>
      </c>
      <c r="H10670" t="str">
        <f>"B"</f>
        <v>B</v>
      </c>
    </row>
    <row r="10671" spans="1:8" x14ac:dyDescent="0.2">
      <c r="A10671" t="str">
        <f t="shared" si="3856"/>
        <v>0617092144</v>
      </c>
      <c r="B10671" t="str">
        <f t="shared" si="3857"/>
        <v>KELVIN</v>
      </c>
      <c r="C10671" t="str">
        <f t="shared" si="3858"/>
        <v>MATEO</v>
      </c>
      <c r="D10671">
        <f>11</f>
        <v>11</v>
      </c>
      <c r="E10671" t="str">
        <f>"05 - B - 102 - Jacklyn M James"</f>
        <v>05 - B - 102 - Jacklyn M James</v>
      </c>
      <c r="F10671" t="str">
        <f>"AICE ENG LANG AS"</f>
        <v>AICE ENG LANG AS</v>
      </c>
      <c r="G10671" t="str">
        <f>"17-1731"</f>
        <v>17-1731</v>
      </c>
      <c r="H10671" t="str">
        <f>"B"</f>
        <v>B</v>
      </c>
    </row>
    <row r="10672" spans="1:8" x14ac:dyDescent="0.2">
      <c r="A10672" t="str">
        <f t="shared" si="3856"/>
        <v>0617092144</v>
      </c>
      <c r="B10672" t="str">
        <f t="shared" si="3857"/>
        <v>KELVIN</v>
      </c>
      <c r="C10672" t="str">
        <f t="shared" si="3858"/>
        <v>MATEO</v>
      </c>
      <c r="D10672">
        <f>11</f>
        <v>11</v>
      </c>
      <c r="E10672" t="str">
        <f>"01 - A - 201 - Stefanie S Scher"</f>
        <v>01 - A - 201 - Stefanie S Scher</v>
      </c>
      <c r="F10672" t="str">
        <f>"AICE PSYCH 1 AS"</f>
        <v>AICE PSYCH 1 AS</v>
      </c>
      <c r="G10672" t="str">
        <f>"17-1735"</f>
        <v>17-1735</v>
      </c>
      <c r="H10672" t="str">
        <f>"A"</f>
        <v>A</v>
      </c>
    </row>
    <row r="10673" spans="1:8" x14ac:dyDescent="0.2">
      <c r="A10673" t="str">
        <f t="shared" si="3856"/>
        <v>0617092144</v>
      </c>
      <c r="B10673" t="str">
        <f t="shared" si="3857"/>
        <v>KELVIN</v>
      </c>
      <c r="C10673" t="str">
        <f t="shared" si="3858"/>
        <v>MATEO</v>
      </c>
      <c r="D10673">
        <f>11</f>
        <v>11</v>
      </c>
      <c r="E10673" t="str">
        <f>"08 - B - 105 - Semra  Bahadir"</f>
        <v>08 - B - 105 - Semra  Bahadir</v>
      </c>
      <c r="F10673" t="str">
        <f>"MATH COLL ALGEBRA"</f>
        <v>MATH COLL ALGEBRA</v>
      </c>
      <c r="G10673" t="str">
        <f>"21-2107"</f>
        <v>21-2107</v>
      </c>
      <c r="H10673" t="str">
        <f>"B"</f>
        <v>B</v>
      </c>
    </row>
    <row r="10674" spans="1:8" x14ac:dyDescent="0.2">
      <c r="A10674" t="str">
        <f t="shared" ref="A10674:A10681" si="3859">"0622029908"</f>
        <v>0622029908</v>
      </c>
      <c r="B10674" t="str">
        <f t="shared" ref="B10674:B10681" si="3860">"LAILA"</f>
        <v>LAILA</v>
      </c>
      <c r="C10674" t="str">
        <f t="shared" ref="C10674:C10681" si="3861">"MATHIS"</f>
        <v>MATHIS</v>
      </c>
      <c r="D10674">
        <f>11</f>
        <v>11</v>
      </c>
      <c r="E10674" t="str">
        <f>"04 - A - 102 - Samantha J Headley"</f>
        <v>04 - A - 102 - Samantha J Headley</v>
      </c>
      <c r="F10674" t="str">
        <f>"MARINE SCI 1 HON"</f>
        <v>MARINE SCI 1 HON</v>
      </c>
      <c r="G10674" t="str">
        <f>"21-2134"</f>
        <v>21-2134</v>
      </c>
      <c r="H10674" t="str">
        <f>"A"</f>
        <v>A</v>
      </c>
    </row>
    <row r="10675" spans="1:8" x14ac:dyDescent="0.2">
      <c r="A10675" t="str">
        <f t="shared" si="3859"/>
        <v>0622029908</v>
      </c>
      <c r="B10675" t="str">
        <f t="shared" si="3860"/>
        <v>LAILA</v>
      </c>
      <c r="C10675" t="str">
        <f t="shared" si="3861"/>
        <v>MATHIS</v>
      </c>
      <c r="D10675">
        <f>11</f>
        <v>11</v>
      </c>
      <c r="E10675" t="str">
        <f>"06 - B - 002 - Kyle  Robbins"</f>
        <v>06 - B - 002 - Kyle  Robbins</v>
      </c>
      <c r="F10675" t="str">
        <f>"US HISTORY HON"</f>
        <v>US HISTORY HON</v>
      </c>
      <c r="G10675" t="str">
        <f>"17-1745"</f>
        <v>17-1745</v>
      </c>
      <c r="H10675" t="str">
        <f>"B"</f>
        <v>B</v>
      </c>
    </row>
    <row r="10676" spans="1:8" x14ac:dyDescent="0.2">
      <c r="A10676" t="str">
        <f t="shared" si="3859"/>
        <v>0622029908</v>
      </c>
      <c r="B10676" t="str">
        <f t="shared" si="3860"/>
        <v>LAILA</v>
      </c>
      <c r="C10676" t="str">
        <f t="shared" si="3861"/>
        <v>MATHIS</v>
      </c>
      <c r="D10676">
        <f>11</f>
        <v>11</v>
      </c>
      <c r="E10676" t="str">
        <f>"03 - A - 102 - Tina M Jaramillo"</f>
        <v>03 - A - 102 - Tina M Jaramillo</v>
      </c>
      <c r="F10676" t="str">
        <f>"AP ENG COMPO"</f>
        <v>AP ENG COMPO</v>
      </c>
      <c r="G10676" t="str">
        <f>"17-1706"</f>
        <v>17-1706</v>
      </c>
      <c r="H10676" t="str">
        <f>"A"</f>
        <v>A</v>
      </c>
    </row>
    <row r="10677" spans="1:8" x14ac:dyDescent="0.2">
      <c r="A10677" t="str">
        <f t="shared" si="3859"/>
        <v>0622029908</v>
      </c>
      <c r="B10677" t="str">
        <f t="shared" si="3860"/>
        <v>LAILA</v>
      </c>
      <c r="C10677" t="str">
        <f t="shared" si="3861"/>
        <v>MATHIS</v>
      </c>
      <c r="D10677">
        <f>11</f>
        <v>11</v>
      </c>
      <c r="E10677" t="str">
        <f>"02 - A - 117 - Kyle  Robbins"</f>
        <v>02 - A - 117 - Kyle  Robbins</v>
      </c>
      <c r="F10677" t="str">
        <f>"NC STUDY HALL 1"</f>
        <v>NC STUDY HALL 1</v>
      </c>
      <c r="G10677" t="str">
        <f>"17-1745"</f>
        <v>17-1745</v>
      </c>
      <c r="H10677" t="str">
        <f>"A"</f>
        <v>A</v>
      </c>
    </row>
    <row r="10678" spans="1:8" x14ac:dyDescent="0.2">
      <c r="A10678" t="str">
        <f t="shared" si="3859"/>
        <v>0622029908</v>
      </c>
      <c r="B10678" t="str">
        <f t="shared" si="3860"/>
        <v>LAILA</v>
      </c>
      <c r="C10678" t="str">
        <f t="shared" si="3861"/>
        <v>MATHIS</v>
      </c>
      <c r="D10678">
        <f>11</f>
        <v>11</v>
      </c>
      <c r="E10678" t="str">
        <f>"07 - B - 202 - Chrystina M Marchionne"</f>
        <v>07 - B - 202 - Chrystina M Marchionne</v>
      </c>
      <c r="F10678" t="str">
        <f>"JOURN 1 (YB) LH"</f>
        <v>JOURN 1 (YB) LH</v>
      </c>
      <c r="G10678" t="str">
        <f>"05-520"</f>
        <v>05-520</v>
      </c>
      <c r="H10678" t="str">
        <f>"B"</f>
        <v>B</v>
      </c>
    </row>
    <row r="10679" spans="1:8" x14ac:dyDescent="0.2">
      <c r="A10679" t="str">
        <f t="shared" si="3859"/>
        <v>0622029908</v>
      </c>
      <c r="B10679" t="str">
        <f t="shared" si="3860"/>
        <v>LAILA</v>
      </c>
      <c r="C10679" t="str">
        <f t="shared" si="3861"/>
        <v>MATHIS</v>
      </c>
      <c r="D10679">
        <f>11</f>
        <v>11</v>
      </c>
      <c r="E10679" t="str">
        <f>"05 - B - 106 - Thomas G Handwerg"</f>
        <v>05 - B - 106 - Thomas G Handwerg</v>
      </c>
      <c r="F10679" t="str">
        <f>"MATH COLL ALGEBRA"</f>
        <v>MATH COLL ALGEBRA</v>
      </c>
      <c r="G10679" t="str">
        <f>"21-2146"</f>
        <v>21-2146</v>
      </c>
      <c r="H10679" t="str">
        <f>"B"</f>
        <v>B</v>
      </c>
    </row>
    <row r="10680" spans="1:8" x14ac:dyDescent="0.2">
      <c r="A10680" t="str">
        <f t="shared" si="3859"/>
        <v>0622029908</v>
      </c>
      <c r="B10680" t="str">
        <f t="shared" si="3860"/>
        <v>LAILA</v>
      </c>
      <c r="C10680" t="str">
        <f t="shared" si="3861"/>
        <v>MATHIS</v>
      </c>
      <c r="D10680">
        <f>11</f>
        <v>11</v>
      </c>
      <c r="E10680" t="str">
        <f>"01 - S1 - A - 101 - Leslie J Barton"</f>
        <v>01 - S1 - A - 101 - Leslie J Barton</v>
      </c>
      <c r="F10680" t="str">
        <f>"FIRST AID SAFETY"</f>
        <v>FIRST AID SAFETY</v>
      </c>
      <c r="G10680" t="str">
        <f>"05-521"</f>
        <v>05-521</v>
      </c>
      <c r="H10680" t="str">
        <f>"A"</f>
        <v>A</v>
      </c>
    </row>
    <row r="10681" spans="1:8" x14ac:dyDescent="0.2">
      <c r="A10681" t="str">
        <f t="shared" si="3859"/>
        <v>0622029908</v>
      </c>
      <c r="B10681" t="str">
        <f t="shared" si="3860"/>
        <v>LAILA</v>
      </c>
      <c r="C10681" t="str">
        <f t="shared" si="3861"/>
        <v>MATHIS</v>
      </c>
      <c r="D10681">
        <f>11</f>
        <v>11</v>
      </c>
      <c r="E10681" t="str">
        <f>"08 - B - 201 - Vanessa J Liburd"</f>
        <v>08 - B - 201 - Vanessa J Liburd</v>
      </c>
      <c r="F10681" t="str">
        <f>"FRENCH 3 HON"</f>
        <v>FRENCH 3 HON</v>
      </c>
      <c r="G10681" t="str">
        <f>"05-519"</f>
        <v>05-519</v>
      </c>
      <c r="H10681" t="str">
        <f>"B"</f>
        <v>B</v>
      </c>
    </row>
    <row r="10682" spans="1:8" x14ac:dyDescent="0.2">
      <c r="A10682" t="str">
        <f t="shared" ref="A10682:A10689" si="3862">"0617063520"</f>
        <v>0617063520</v>
      </c>
      <c r="B10682" t="str">
        <f t="shared" ref="B10682:B10689" si="3863">"BELLA"</f>
        <v>BELLA</v>
      </c>
      <c r="C10682" t="str">
        <f t="shared" ref="C10682:C10697" si="3864">"MATTEAR"</f>
        <v>MATTEAR</v>
      </c>
      <c r="D10682" t="str">
        <f t="shared" ref="D10682:D10705" si="3865">"09"</f>
        <v>09</v>
      </c>
      <c r="E10682" t="str">
        <f>"04 - A - 102 - Tina L Lovett"</f>
        <v>04 - A - 102 - Tina L Lovett</v>
      </c>
      <c r="F10682" t="str">
        <f>"ALGEBRA 1"</f>
        <v>ALGEBRA 1</v>
      </c>
      <c r="G10682" t="str">
        <f>"21-2153"</f>
        <v>21-2153</v>
      </c>
      <c r="H10682" t="str">
        <f>"A"</f>
        <v>A</v>
      </c>
    </row>
    <row r="10683" spans="1:8" x14ac:dyDescent="0.2">
      <c r="A10683" t="str">
        <f t="shared" si="3862"/>
        <v>0617063520</v>
      </c>
      <c r="B10683" t="str">
        <f t="shared" si="3863"/>
        <v>BELLA</v>
      </c>
      <c r="C10683" t="str">
        <f t="shared" si="3864"/>
        <v>MATTEAR</v>
      </c>
      <c r="D10683" t="str">
        <f t="shared" si="3865"/>
        <v>09</v>
      </c>
      <c r="E10683" t="str">
        <f>"06 - B - 104 - Lytrell T Dixon"</f>
        <v>06 - B - 104 - Lytrell T Dixon</v>
      </c>
      <c r="F10683" t="str">
        <f>"PRE-AICE BIO IG"</f>
        <v>PRE-AICE BIO IG</v>
      </c>
      <c r="G10683" t="str">
        <f>"08-808"</f>
        <v>08-808</v>
      </c>
      <c r="H10683" t="str">
        <f>"B"</f>
        <v>B</v>
      </c>
    </row>
    <row r="10684" spans="1:8" x14ac:dyDescent="0.2">
      <c r="A10684" t="str">
        <f t="shared" si="3862"/>
        <v>0617063520</v>
      </c>
      <c r="B10684" t="str">
        <f t="shared" si="3863"/>
        <v>BELLA</v>
      </c>
      <c r="C10684" t="str">
        <f t="shared" si="3864"/>
        <v>MATTEAR</v>
      </c>
      <c r="D10684" t="str">
        <f t="shared" si="3865"/>
        <v>09</v>
      </c>
      <c r="E10684" t="str">
        <f>"03 - A - 203 - Elizabeth R Walker"</f>
        <v>03 - A - 203 - Elizabeth R Walker</v>
      </c>
      <c r="F10684" t="str">
        <f>"AICE ENG GEN PAPER 1"</f>
        <v>AICE ENG GEN PAPER 1</v>
      </c>
      <c r="G10684" t="str">
        <f>"17-1703"</f>
        <v>17-1703</v>
      </c>
      <c r="H10684" t="str">
        <f>"A"</f>
        <v>A</v>
      </c>
    </row>
    <row r="10685" spans="1:8" x14ac:dyDescent="0.2">
      <c r="A10685" t="str">
        <f t="shared" si="3862"/>
        <v>0617063520</v>
      </c>
      <c r="B10685" t="str">
        <f t="shared" si="3863"/>
        <v>BELLA</v>
      </c>
      <c r="C10685" t="str">
        <f t="shared" si="3864"/>
        <v>MATTEAR</v>
      </c>
      <c r="D10685" t="str">
        <f t="shared" si="3865"/>
        <v>09</v>
      </c>
      <c r="E10685" t="str">
        <f>"02 - A - 111 - Cheryl L Beach"</f>
        <v>02 - A - 111 - Cheryl L Beach</v>
      </c>
      <c r="F10685" t="str">
        <f>"NC STUDY HALL 1"</f>
        <v>NC STUDY HALL 1</v>
      </c>
      <c r="G10685" t="str">
        <f>"08-811"</f>
        <v>08-811</v>
      </c>
      <c r="H10685" t="str">
        <f>"A"</f>
        <v>A</v>
      </c>
    </row>
    <row r="10686" spans="1:8" x14ac:dyDescent="0.2">
      <c r="A10686" t="str">
        <f t="shared" si="3862"/>
        <v>0617063520</v>
      </c>
      <c r="B10686" t="str">
        <f t="shared" si="3863"/>
        <v>BELLA</v>
      </c>
      <c r="C10686" t="str">
        <f t="shared" si="3864"/>
        <v>MATTEAR</v>
      </c>
      <c r="D10686" t="str">
        <f t="shared" si="3865"/>
        <v>09</v>
      </c>
      <c r="E10686" t="str">
        <f>"07 - B - 103 - Vanessa J Liburd"</f>
        <v>07 - B - 103 - Vanessa J Liburd</v>
      </c>
      <c r="F10686" t="str">
        <f>"PRE-AICE FRENCH 1 IG"</f>
        <v>PRE-AICE FRENCH 1 IG</v>
      </c>
      <c r="G10686" t="str">
        <f>"05-519"</f>
        <v>05-519</v>
      </c>
      <c r="H10686" t="str">
        <f>"B"</f>
        <v>B</v>
      </c>
    </row>
    <row r="10687" spans="1:8" x14ac:dyDescent="0.2">
      <c r="A10687" t="str">
        <f t="shared" si="3862"/>
        <v>0617063520</v>
      </c>
      <c r="B10687" t="str">
        <f t="shared" si="3863"/>
        <v>BELLA</v>
      </c>
      <c r="C10687" t="str">
        <f t="shared" si="3864"/>
        <v>MATTEAR</v>
      </c>
      <c r="D10687" t="str">
        <f t="shared" si="3865"/>
        <v>09</v>
      </c>
      <c r="E10687" t="str">
        <f>"05 - S1 - B - 102 - Lissa C Frederique"</f>
        <v>05 - S1 - B - 102 - Lissa C Frederique</v>
      </c>
      <c r="F10687" t="str">
        <f>"PERS FIN &amp; MON MGT H"</f>
        <v>PERS FIN &amp; MON MGT H</v>
      </c>
      <c r="G10687" t="str">
        <f>"17-1754"</f>
        <v>17-1754</v>
      </c>
      <c r="H10687" t="str">
        <f>"B"</f>
        <v>B</v>
      </c>
    </row>
    <row r="10688" spans="1:8" x14ac:dyDescent="0.2">
      <c r="A10688" t="str">
        <f t="shared" si="3862"/>
        <v>0617063520</v>
      </c>
      <c r="B10688" t="str">
        <f t="shared" si="3863"/>
        <v>BELLA</v>
      </c>
      <c r="C10688" t="str">
        <f t="shared" si="3864"/>
        <v>MATTEAR</v>
      </c>
      <c r="D10688" t="str">
        <f t="shared" si="3865"/>
        <v>09</v>
      </c>
      <c r="E10688" t="str">
        <f>"01 - A - 101 - Rory T Sponsler"</f>
        <v>01 - A - 101 - Rory T Sponsler</v>
      </c>
      <c r="F10688" t="str">
        <f>"PRE-AICE WRLD HST IG"</f>
        <v>PRE-AICE WRLD HST IG</v>
      </c>
      <c r="G10688" t="str">
        <f>"17-1740"</f>
        <v>17-1740</v>
      </c>
      <c r="H10688" t="str">
        <f>"A"</f>
        <v>A</v>
      </c>
    </row>
    <row r="10689" spans="1:8" x14ac:dyDescent="0.2">
      <c r="A10689" t="str">
        <f t="shared" si="3862"/>
        <v>0617063520</v>
      </c>
      <c r="B10689" t="str">
        <f t="shared" si="3863"/>
        <v>BELLA</v>
      </c>
      <c r="C10689" t="str">
        <f t="shared" si="3864"/>
        <v>MATTEAR</v>
      </c>
      <c r="D10689" t="str">
        <f t="shared" si="3865"/>
        <v>09</v>
      </c>
      <c r="E10689" t="str">
        <f>"08 - B - 108 - Tina L Lovett"</f>
        <v>08 - B - 108 - Tina L Lovett</v>
      </c>
      <c r="F10689" t="str">
        <f>"FDN SKLS MATH 9-12"</f>
        <v>FDN SKLS MATH 9-12</v>
      </c>
      <c r="G10689" t="str">
        <f>"21-2153"</f>
        <v>21-2153</v>
      </c>
      <c r="H10689" t="str">
        <f>"B"</f>
        <v>B</v>
      </c>
    </row>
    <row r="10690" spans="1:8" x14ac:dyDescent="0.2">
      <c r="A10690" t="str">
        <f t="shared" ref="A10690:A10697" si="3866">"0619065221"</f>
        <v>0619065221</v>
      </c>
      <c r="B10690" t="str">
        <f t="shared" ref="B10690:B10697" si="3867">"DARRYLE"</f>
        <v>DARRYLE</v>
      </c>
      <c r="C10690" t="str">
        <f t="shared" si="3864"/>
        <v>MATTEAR</v>
      </c>
      <c r="D10690" t="str">
        <f t="shared" si="3865"/>
        <v>09</v>
      </c>
      <c r="E10690" t="str">
        <f>"04 - A - 103 - Cerine S Stewart"</f>
        <v>04 - A - 103 - Cerine S Stewart</v>
      </c>
      <c r="F10690" t="str">
        <f>"ENG 1"</f>
        <v>ENG 1</v>
      </c>
      <c r="G10690" t="str">
        <f>"17-1720"</f>
        <v>17-1720</v>
      </c>
      <c r="H10690" t="str">
        <f>"A"</f>
        <v>A</v>
      </c>
    </row>
    <row r="10691" spans="1:8" x14ac:dyDescent="0.2">
      <c r="A10691" t="str">
        <f t="shared" si="3866"/>
        <v>0619065221</v>
      </c>
      <c r="B10691" t="str">
        <f t="shared" si="3867"/>
        <v>DARRYLE</v>
      </c>
      <c r="C10691" t="str">
        <f t="shared" si="3864"/>
        <v>MATTEAR</v>
      </c>
      <c r="D10691" t="str">
        <f t="shared" si="3865"/>
        <v>09</v>
      </c>
      <c r="E10691" t="str">
        <f>"06 - B - 104 - Eva T Rimmer"</f>
        <v>06 - B - 104 - Eva T Rimmer</v>
      </c>
      <c r="F10691" t="str">
        <f>"CRIMINAL JUST OPS 1"</f>
        <v>CRIMINAL JUST OPS 1</v>
      </c>
      <c r="G10691" t="str">
        <f>"05-523"</f>
        <v>05-523</v>
      </c>
      <c r="H10691" t="str">
        <f>"B"</f>
        <v>B</v>
      </c>
    </row>
    <row r="10692" spans="1:8" x14ac:dyDescent="0.2">
      <c r="A10692" t="str">
        <f t="shared" si="3866"/>
        <v>0619065221</v>
      </c>
      <c r="B10692" t="str">
        <f t="shared" si="3867"/>
        <v>DARRYLE</v>
      </c>
      <c r="C10692" t="str">
        <f t="shared" si="3864"/>
        <v>MATTEAR</v>
      </c>
      <c r="D10692" t="str">
        <f t="shared" si="3865"/>
        <v>09</v>
      </c>
      <c r="E10692" t="str">
        <f>"03 - A - 109 - Lissa C Frederique"</f>
        <v>03 - A - 109 - Lissa C Frederique</v>
      </c>
      <c r="F10692" t="str">
        <f>"WORLD HISTORY"</f>
        <v>WORLD HISTORY</v>
      </c>
      <c r="G10692" t="str">
        <f>"17-1754"</f>
        <v>17-1754</v>
      </c>
      <c r="H10692" t="str">
        <f>"A"</f>
        <v>A</v>
      </c>
    </row>
    <row r="10693" spans="1:8" x14ac:dyDescent="0.2">
      <c r="A10693" t="str">
        <f t="shared" si="3866"/>
        <v>0619065221</v>
      </c>
      <c r="B10693" t="str">
        <f t="shared" si="3867"/>
        <v>DARRYLE</v>
      </c>
      <c r="C10693" t="str">
        <f t="shared" si="3864"/>
        <v>MATTEAR</v>
      </c>
      <c r="D10693" t="str">
        <f t="shared" si="3865"/>
        <v>09</v>
      </c>
      <c r="E10693" t="str">
        <f>"02 - A - 103 - Arthur  Kulawik"</f>
        <v>02 - A - 103 - Arthur  Kulawik</v>
      </c>
      <c r="F10693" t="str">
        <f>"NC STUDY HALL 1"</f>
        <v>NC STUDY HALL 1</v>
      </c>
      <c r="G10693" t="str">
        <f>"05-506"</f>
        <v>05-506</v>
      </c>
      <c r="H10693" t="str">
        <f>"A"</f>
        <v>A</v>
      </c>
    </row>
    <row r="10694" spans="1:8" x14ac:dyDescent="0.2">
      <c r="A10694" t="str">
        <f t="shared" si="3866"/>
        <v>0619065221</v>
      </c>
      <c r="B10694" t="str">
        <f t="shared" si="3867"/>
        <v>DARRYLE</v>
      </c>
      <c r="C10694" t="str">
        <f t="shared" si="3864"/>
        <v>MATTEAR</v>
      </c>
      <c r="D10694" t="str">
        <f t="shared" si="3865"/>
        <v>09</v>
      </c>
      <c r="E10694" t="str">
        <f>"07 - B - 105 - Laselleda D Shaw"</f>
        <v>07 - B - 105 - Laselleda D Shaw</v>
      </c>
      <c r="F10694" t="str">
        <f>"INTENS READ 1"</f>
        <v>INTENS READ 1</v>
      </c>
      <c r="G10694" t="str">
        <f>"17-1723"</f>
        <v>17-1723</v>
      </c>
      <c r="H10694" t="str">
        <f>"B"</f>
        <v>B</v>
      </c>
    </row>
    <row r="10695" spans="1:8" x14ac:dyDescent="0.2">
      <c r="A10695" t="str">
        <f t="shared" si="3866"/>
        <v>0619065221</v>
      </c>
      <c r="B10695" t="str">
        <f t="shared" si="3867"/>
        <v>DARRYLE</v>
      </c>
      <c r="C10695" t="str">
        <f t="shared" si="3864"/>
        <v>MATTEAR</v>
      </c>
      <c r="D10695" t="str">
        <f t="shared" si="3865"/>
        <v>09</v>
      </c>
      <c r="E10695" t="str">
        <f>"05 - B - 102 - Tina L Lovett"</f>
        <v>05 - B - 102 - Tina L Lovett</v>
      </c>
      <c r="F10695" t="str">
        <f>"PRE-AICE MATH 1 IG"</f>
        <v>PRE-AICE MATH 1 IG</v>
      </c>
      <c r="G10695" t="str">
        <f>"21-2153"</f>
        <v>21-2153</v>
      </c>
      <c r="H10695" t="str">
        <f>"B"</f>
        <v>B</v>
      </c>
    </row>
    <row r="10696" spans="1:8" x14ac:dyDescent="0.2">
      <c r="A10696" t="str">
        <f t="shared" si="3866"/>
        <v>0619065221</v>
      </c>
      <c r="B10696" t="str">
        <f t="shared" si="3867"/>
        <v>DARRYLE</v>
      </c>
      <c r="C10696" t="str">
        <f t="shared" si="3864"/>
        <v>MATTEAR</v>
      </c>
      <c r="D10696" t="str">
        <f t="shared" si="3865"/>
        <v>09</v>
      </c>
      <c r="E10696" t="str">
        <f>"01 - A - 103 - Amy Beth  Broyles"</f>
        <v>01 - A - 103 - Amy Beth  Broyles</v>
      </c>
      <c r="F10696" t="str">
        <f>"ENV SCI"</f>
        <v>ENV SCI</v>
      </c>
      <c r="G10696" t="str">
        <f>"08-802"</f>
        <v>08-802</v>
      </c>
      <c r="H10696" t="str">
        <f>"A"</f>
        <v>A</v>
      </c>
    </row>
    <row r="10697" spans="1:8" x14ac:dyDescent="0.2">
      <c r="A10697" t="str">
        <f t="shared" si="3866"/>
        <v>0619065221</v>
      </c>
      <c r="B10697" t="str">
        <f t="shared" si="3867"/>
        <v>DARRYLE</v>
      </c>
      <c r="C10697" t="str">
        <f t="shared" si="3864"/>
        <v>MATTEAR</v>
      </c>
      <c r="D10697" t="str">
        <f t="shared" si="3865"/>
        <v>09</v>
      </c>
      <c r="E10697" t="str">
        <f>"08 - B - 105 - Daniel S Tyson"</f>
        <v>08 - B - 105 - Daniel S Tyson</v>
      </c>
      <c r="F10697" t="str">
        <f>"JROTC NAVAL SCI 1"</f>
        <v>JROTC NAVAL SCI 1</v>
      </c>
      <c r="G10697" t="str">
        <f>"05-510"</f>
        <v>05-510</v>
      </c>
      <c r="H10697" t="str">
        <f>"B"</f>
        <v>B</v>
      </c>
    </row>
    <row r="10698" spans="1:8" x14ac:dyDescent="0.2">
      <c r="A10698" t="str">
        <f t="shared" ref="A10698:A10705" si="3868">"0617002050"</f>
        <v>0617002050</v>
      </c>
      <c r="B10698" t="str">
        <f t="shared" ref="B10698:B10705" si="3869">"KANIAH"</f>
        <v>KANIAH</v>
      </c>
      <c r="C10698" t="str">
        <f t="shared" ref="C10698:C10705" si="3870">"MAXIDE"</f>
        <v>MAXIDE</v>
      </c>
      <c r="D10698" t="str">
        <f t="shared" si="3865"/>
        <v>09</v>
      </c>
      <c r="E10698" t="str">
        <f>"04 - A - 105 - Carol S Moore"</f>
        <v>04 - A - 105 - Carol S Moore</v>
      </c>
      <c r="F10698" t="str">
        <f>"PRE-AICE WRLD HST IG"</f>
        <v>PRE-AICE WRLD HST IG</v>
      </c>
      <c r="G10698" t="str">
        <f>"17-1733"</f>
        <v>17-1733</v>
      </c>
      <c r="H10698" t="str">
        <f>"A"</f>
        <v>A</v>
      </c>
    </row>
    <row r="10699" spans="1:8" x14ac:dyDescent="0.2">
      <c r="A10699" t="str">
        <f t="shared" si="3868"/>
        <v>0617002050</v>
      </c>
      <c r="B10699" t="str">
        <f t="shared" si="3869"/>
        <v>KANIAH</v>
      </c>
      <c r="C10699" t="str">
        <f t="shared" si="3870"/>
        <v>MAXIDE</v>
      </c>
      <c r="D10699" t="str">
        <f t="shared" si="3865"/>
        <v>09</v>
      </c>
      <c r="E10699" t="str">
        <f>"06 - S1 - B - 102 - Daniel S Katz"</f>
        <v>06 - S1 - B - 102 - Daniel S Katz</v>
      </c>
      <c r="F10699" t="str">
        <f>"COURT PROCED"</f>
        <v>COURT PROCED</v>
      </c>
      <c r="G10699" t="str">
        <f>"21-2156"</f>
        <v>21-2156</v>
      </c>
      <c r="H10699" t="str">
        <f>"B"</f>
        <v>B</v>
      </c>
    </row>
    <row r="10700" spans="1:8" x14ac:dyDescent="0.2">
      <c r="A10700" t="str">
        <f t="shared" si="3868"/>
        <v>0617002050</v>
      </c>
      <c r="B10700" t="str">
        <f t="shared" si="3869"/>
        <v>KANIAH</v>
      </c>
      <c r="C10700" t="str">
        <f t="shared" si="3870"/>
        <v>MAXIDE</v>
      </c>
      <c r="D10700" t="str">
        <f t="shared" si="3865"/>
        <v>09</v>
      </c>
      <c r="E10700" t="str">
        <f>"03 - A - 005 - Cerine S Stewart"</f>
        <v>03 - A - 005 - Cerine S Stewart</v>
      </c>
      <c r="F10700" t="str">
        <f>"AICE ENG GEN PAPER 1"</f>
        <v>AICE ENG GEN PAPER 1</v>
      </c>
      <c r="G10700" t="str">
        <f>"17-1720"</f>
        <v>17-1720</v>
      </c>
      <c r="H10700" t="str">
        <f>"A"</f>
        <v>A</v>
      </c>
    </row>
    <row r="10701" spans="1:8" x14ac:dyDescent="0.2">
      <c r="A10701" t="str">
        <f t="shared" si="3868"/>
        <v>0617002050</v>
      </c>
      <c r="B10701" t="str">
        <f t="shared" si="3869"/>
        <v>KANIAH</v>
      </c>
      <c r="C10701" t="str">
        <f t="shared" si="3870"/>
        <v>MAXIDE</v>
      </c>
      <c r="D10701" t="str">
        <f t="shared" si="3865"/>
        <v>09</v>
      </c>
      <c r="E10701" t="str">
        <f>"02 - A - 101 - Josiah I Lacy"</f>
        <v>02 - A - 101 - Josiah I Lacy</v>
      </c>
      <c r="F10701" t="str">
        <f>"NC STUDY HALL 1"</f>
        <v>NC STUDY HALL 1</v>
      </c>
      <c r="G10701" t="str">
        <f>"08-801"</f>
        <v>08-801</v>
      </c>
      <c r="H10701" t="str">
        <f>"A"</f>
        <v>A</v>
      </c>
    </row>
    <row r="10702" spans="1:8" x14ac:dyDescent="0.2">
      <c r="A10702" t="str">
        <f t="shared" si="3868"/>
        <v>0617002050</v>
      </c>
      <c r="B10702" t="str">
        <f t="shared" si="3869"/>
        <v>KANIAH</v>
      </c>
      <c r="C10702" t="str">
        <f t="shared" si="3870"/>
        <v>MAXIDE</v>
      </c>
      <c r="D10702" t="str">
        <f t="shared" si="3865"/>
        <v>09</v>
      </c>
      <c r="E10702" t="str">
        <f>"07 - B - 107 - Brook E Goren"</f>
        <v>07 - B - 107 - Brook E Goren</v>
      </c>
      <c r="F10702" t="str">
        <f>"PRE-AICE MATH 2 IG"</f>
        <v>PRE-AICE MATH 2 IG</v>
      </c>
      <c r="G10702" t="str">
        <f>"21-2158"</f>
        <v>21-2158</v>
      </c>
      <c r="H10702" t="str">
        <f>"B"</f>
        <v>B</v>
      </c>
    </row>
    <row r="10703" spans="1:8" x14ac:dyDescent="0.2">
      <c r="A10703" t="str">
        <f t="shared" si="3868"/>
        <v>0617002050</v>
      </c>
      <c r="B10703" t="str">
        <f t="shared" si="3869"/>
        <v>KANIAH</v>
      </c>
      <c r="C10703" t="str">
        <f t="shared" si="3870"/>
        <v>MAXIDE</v>
      </c>
      <c r="D10703" t="str">
        <f t="shared" si="3865"/>
        <v>09</v>
      </c>
      <c r="E10703" t="str">
        <f>"05 - B - 103 - Josiah I Lacy"</f>
        <v>05 - B - 103 - Josiah I Lacy</v>
      </c>
      <c r="F10703" t="str">
        <f>"PRE-AICE BIO IG"</f>
        <v>PRE-AICE BIO IG</v>
      </c>
      <c r="G10703" t="str">
        <f>"08-801"</f>
        <v>08-801</v>
      </c>
      <c r="H10703" t="str">
        <f>"B"</f>
        <v>B</v>
      </c>
    </row>
    <row r="10704" spans="1:8" x14ac:dyDescent="0.2">
      <c r="A10704" t="str">
        <f t="shared" si="3868"/>
        <v>0617002050</v>
      </c>
      <c r="B10704" t="str">
        <f t="shared" si="3869"/>
        <v>KANIAH</v>
      </c>
      <c r="C10704" t="str">
        <f t="shared" si="3870"/>
        <v>MAXIDE</v>
      </c>
      <c r="D10704" t="str">
        <f t="shared" si="3865"/>
        <v>09</v>
      </c>
      <c r="E10704" t="str">
        <f>"01 - A - 101 - Samantha L Martinez"</f>
        <v>01 - A - 101 - Samantha L Martinez</v>
      </c>
      <c r="F10704" t="str">
        <f>"MUSIC WORLD"</f>
        <v>MUSIC WORLD</v>
      </c>
      <c r="G10704" t="str">
        <f>"05-505"</f>
        <v>05-505</v>
      </c>
      <c r="H10704" t="str">
        <f>"A"</f>
        <v>A</v>
      </c>
    </row>
    <row r="10705" spans="1:8" x14ac:dyDescent="0.2">
      <c r="A10705" t="str">
        <f t="shared" si="3868"/>
        <v>0617002050</v>
      </c>
      <c r="B10705" t="str">
        <f t="shared" si="3869"/>
        <v>KANIAH</v>
      </c>
      <c r="C10705" t="str">
        <f t="shared" si="3870"/>
        <v>MAXIDE</v>
      </c>
      <c r="D10705" t="str">
        <f t="shared" si="3865"/>
        <v>09</v>
      </c>
      <c r="E10705" t="str">
        <f>"08 - S1 - B - 104 - Angela S Adeshina-Morrison"</f>
        <v>08 - S1 - B - 104 - Angela S Adeshina-Morrison</v>
      </c>
      <c r="F10705" t="str">
        <f>"PEER COUN 1"</f>
        <v>PEER COUN 1</v>
      </c>
      <c r="G10705" t="str">
        <f>"05-518"</f>
        <v>05-518</v>
      </c>
      <c r="H10705" t="str">
        <f>"B"</f>
        <v>B</v>
      </c>
    </row>
    <row r="10706" spans="1:8" x14ac:dyDescent="0.2">
      <c r="A10706" t="str">
        <f t="shared" ref="A10706:A10713" si="3871">"0613045931"</f>
        <v>0613045931</v>
      </c>
      <c r="B10706" t="str">
        <f t="shared" ref="B10706:B10713" si="3872">"COURTNEY"</f>
        <v>COURTNEY</v>
      </c>
      <c r="C10706" t="str">
        <f t="shared" ref="C10706:C10713" si="3873">"MAXIMILIEN"</f>
        <v>MAXIMILIEN</v>
      </c>
      <c r="D10706">
        <f>12</f>
        <v>12</v>
      </c>
      <c r="E10706" t="str">
        <f>"04 - A - 101 - Thomas G Handwerg"</f>
        <v>04 - A - 101 - Thomas G Handwerg</v>
      </c>
      <c r="F10706" t="str">
        <f>"MATH COLL ALGEBRA"</f>
        <v>MATH COLL ALGEBRA</v>
      </c>
      <c r="G10706" t="str">
        <f>"21-2146"</f>
        <v>21-2146</v>
      </c>
      <c r="H10706" t="str">
        <f>"A"</f>
        <v>A</v>
      </c>
    </row>
    <row r="10707" spans="1:8" x14ac:dyDescent="0.2">
      <c r="A10707" t="str">
        <f t="shared" si="3871"/>
        <v>0613045931</v>
      </c>
      <c r="B10707" t="str">
        <f t="shared" si="3872"/>
        <v>COURTNEY</v>
      </c>
      <c r="C10707" t="str">
        <f t="shared" si="3873"/>
        <v>MAXIMILIEN</v>
      </c>
      <c r="D10707">
        <f>12</f>
        <v>12</v>
      </c>
      <c r="E10707" t="str">
        <f>"06 - B - 101 - Cliffon  Saurel"</f>
        <v>06 - B - 101 - Cliffon  Saurel</v>
      </c>
      <c r="F10707" t="str">
        <f>"NC STUDY HALL 1"</f>
        <v>NC STUDY HALL 1</v>
      </c>
      <c r="G10707" t="str">
        <f>"05-522"</f>
        <v>05-522</v>
      </c>
      <c r="H10707" t="str">
        <f>"B"</f>
        <v>B</v>
      </c>
    </row>
    <row r="10708" spans="1:8" x14ac:dyDescent="0.2">
      <c r="A10708" t="str">
        <f t="shared" si="3871"/>
        <v>0613045931</v>
      </c>
      <c r="B10708" t="str">
        <f t="shared" si="3872"/>
        <v>COURTNEY</v>
      </c>
      <c r="C10708" t="str">
        <f t="shared" si="3873"/>
        <v>MAXIMILIEN</v>
      </c>
      <c r="D10708">
        <f>12</f>
        <v>12</v>
      </c>
      <c r="E10708" t="str">
        <f>"03 - A - 103 - Samantha J Headley"</f>
        <v>03 - A - 103 - Samantha J Headley</v>
      </c>
      <c r="F10708" t="str">
        <f>"MARINE SCI 1 HON"</f>
        <v>MARINE SCI 1 HON</v>
      </c>
      <c r="G10708" t="str">
        <f>"21-2134"</f>
        <v>21-2134</v>
      </c>
      <c r="H10708" t="str">
        <f>"A"</f>
        <v>A</v>
      </c>
    </row>
    <row r="10709" spans="1:8" x14ac:dyDescent="0.2">
      <c r="A10709" t="str">
        <f t="shared" si="3871"/>
        <v>0613045931</v>
      </c>
      <c r="B10709" t="str">
        <f t="shared" si="3872"/>
        <v>COURTNEY</v>
      </c>
      <c r="C10709" t="str">
        <f t="shared" si="3873"/>
        <v>MAXIMILIEN</v>
      </c>
      <c r="D10709">
        <f>12</f>
        <v>12</v>
      </c>
      <c r="E10709" t="str">
        <f>"02 - A - 101 - Robyn L Trainer"</f>
        <v>02 - A - 101 - Robyn L Trainer</v>
      </c>
      <c r="F10709" t="str">
        <f>"ENG 4"</f>
        <v>ENG 4</v>
      </c>
      <c r="G10709" t="str">
        <f>"17-1734"</f>
        <v>17-1734</v>
      </c>
      <c r="H10709" t="str">
        <f>"A"</f>
        <v>A</v>
      </c>
    </row>
    <row r="10710" spans="1:8" x14ac:dyDescent="0.2">
      <c r="A10710" t="str">
        <f t="shared" si="3871"/>
        <v>0613045931</v>
      </c>
      <c r="B10710" t="str">
        <f t="shared" si="3872"/>
        <v>COURTNEY</v>
      </c>
      <c r="C10710" t="str">
        <f t="shared" si="3873"/>
        <v>MAXIMILIEN</v>
      </c>
      <c r="D10710">
        <f>12</f>
        <v>12</v>
      </c>
      <c r="E10710" t="str">
        <f>"07 - S1 - B - 103 - Robert O Burger"</f>
        <v>07 - S1 - B - 103 - Robert O Burger</v>
      </c>
      <c r="F10710" t="str">
        <f>"US GOVT"</f>
        <v>US GOVT</v>
      </c>
      <c r="G10710" t="str">
        <f>"17-1755"</f>
        <v>17-1755</v>
      </c>
      <c r="H10710" t="str">
        <f>"B"</f>
        <v>B</v>
      </c>
    </row>
    <row r="10711" spans="1:8" x14ac:dyDescent="0.2">
      <c r="A10711" t="str">
        <f t="shared" si="3871"/>
        <v>0613045931</v>
      </c>
      <c r="B10711" t="str">
        <f t="shared" si="3872"/>
        <v>COURTNEY</v>
      </c>
      <c r="C10711" t="str">
        <f t="shared" si="3873"/>
        <v>MAXIMILIEN</v>
      </c>
      <c r="D10711">
        <f>12</f>
        <v>12</v>
      </c>
      <c r="E10711" t="str">
        <f>"05 - S1 - B - 103 - Leslie J Barton"</f>
        <v>05 - S1 - B - 103 - Leslie J Barton</v>
      </c>
      <c r="F10711" t="str">
        <f>"FIRST AID SAFETY"</f>
        <v>FIRST AID SAFETY</v>
      </c>
      <c r="G10711" t="str">
        <f>"05-521"</f>
        <v>05-521</v>
      </c>
      <c r="H10711" t="str">
        <f>"B"</f>
        <v>B</v>
      </c>
    </row>
    <row r="10712" spans="1:8" x14ac:dyDescent="0.2">
      <c r="A10712" t="str">
        <f t="shared" si="3871"/>
        <v>0613045931</v>
      </c>
      <c r="B10712" t="str">
        <f t="shared" si="3872"/>
        <v>COURTNEY</v>
      </c>
      <c r="C10712" t="str">
        <f t="shared" si="3873"/>
        <v>MAXIMILIEN</v>
      </c>
      <c r="D10712">
        <f>12</f>
        <v>12</v>
      </c>
      <c r="E10712" t="str">
        <f>"01 - A - 108 - Rosa Elaine  Collado-Duff"</f>
        <v>01 - A - 108 - Rosa Elaine  Collado-Duff</v>
      </c>
      <c r="F10712" t="str">
        <f>"PRE-AICE SPAN 2 IG"</f>
        <v>PRE-AICE SPAN 2 IG</v>
      </c>
      <c r="G10712" t="str">
        <f>"09-913"</f>
        <v>09-913</v>
      </c>
      <c r="H10712" t="str">
        <f>"A"</f>
        <v>A</v>
      </c>
    </row>
    <row r="10713" spans="1:8" x14ac:dyDescent="0.2">
      <c r="A10713" t="str">
        <f t="shared" si="3871"/>
        <v>0613045931</v>
      </c>
      <c r="B10713" t="str">
        <f t="shared" si="3872"/>
        <v>COURTNEY</v>
      </c>
      <c r="C10713" t="str">
        <f t="shared" si="3873"/>
        <v>MAXIMILIEN</v>
      </c>
      <c r="D10713">
        <f>12</f>
        <v>12</v>
      </c>
      <c r="E10713" t="str">
        <f>"08 - S1 - B - 101 - Amy Beth  Broyles"</f>
        <v>08 - S1 - B - 101 - Amy Beth  Broyles</v>
      </c>
      <c r="F10713" t="str">
        <f>"PEER COUN 3"</f>
        <v>PEER COUN 3</v>
      </c>
      <c r="G10713" t="str">
        <f>"17-1713"</f>
        <v>17-1713</v>
      </c>
      <c r="H10713" t="str">
        <f>"B"</f>
        <v>B</v>
      </c>
    </row>
    <row r="10714" spans="1:8" x14ac:dyDescent="0.2">
      <c r="A10714" t="str">
        <f t="shared" ref="A10714:A10721" si="3874">"0614145499"</f>
        <v>0614145499</v>
      </c>
      <c r="B10714" t="str">
        <f t="shared" ref="B10714:B10721" si="3875">"RYLEIGH"</f>
        <v>RYLEIGH</v>
      </c>
      <c r="C10714" t="str">
        <f t="shared" ref="C10714:C10721" si="3876">"MAXWELL"</f>
        <v>MAXWELL</v>
      </c>
      <c r="D10714" t="str">
        <f t="shared" ref="D10714:D10721" si="3877">"09"</f>
        <v>09</v>
      </c>
      <c r="E10714" t="str">
        <f>"04 - A - 104 - Brook E Goren"</f>
        <v>04 - A - 104 - Brook E Goren</v>
      </c>
      <c r="F10714" t="str">
        <f>"ALGEBRA 2 HON"</f>
        <v>ALGEBRA 2 HON</v>
      </c>
      <c r="G10714" t="str">
        <f>"21-2158"</f>
        <v>21-2158</v>
      </c>
      <c r="H10714" t="str">
        <f>"A"</f>
        <v>A</v>
      </c>
    </row>
    <row r="10715" spans="1:8" x14ac:dyDescent="0.2">
      <c r="A10715" t="str">
        <f t="shared" si="3874"/>
        <v>0614145499</v>
      </c>
      <c r="B10715" t="str">
        <f t="shared" si="3875"/>
        <v>RYLEIGH</v>
      </c>
      <c r="C10715" t="str">
        <f t="shared" si="3876"/>
        <v>MAXWELL</v>
      </c>
      <c r="D10715" t="str">
        <f t="shared" si="3877"/>
        <v>09</v>
      </c>
      <c r="E10715" t="str">
        <f>"06 - B - 104 - Byron G Montenegro"</f>
        <v>06 - B - 104 - Byron G Montenegro</v>
      </c>
      <c r="F10715" t="str">
        <f>"AICE MARINE SCI 1 AS"</f>
        <v>AICE MARINE SCI 1 AS</v>
      </c>
      <c r="G10715" t="str">
        <f>"21-2144"</f>
        <v>21-2144</v>
      </c>
      <c r="H10715" t="str">
        <f>"B"</f>
        <v>B</v>
      </c>
    </row>
    <row r="10716" spans="1:8" x14ac:dyDescent="0.2">
      <c r="A10716" t="str">
        <f t="shared" si="3874"/>
        <v>0614145499</v>
      </c>
      <c r="B10716" t="str">
        <f t="shared" si="3875"/>
        <v>RYLEIGH</v>
      </c>
      <c r="C10716" t="str">
        <f t="shared" si="3876"/>
        <v>MAXWELL</v>
      </c>
      <c r="D10716" t="str">
        <f t="shared" si="3877"/>
        <v>09</v>
      </c>
      <c r="E10716" t="str">
        <f>"03 - A - 203 - Elizabeth R Walker"</f>
        <v>03 - A - 203 - Elizabeth R Walker</v>
      </c>
      <c r="F10716" t="str">
        <f>"AICE ENG GEN PAPER 1"</f>
        <v>AICE ENG GEN PAPER 1</v>
      </c>
      <c r="G10716" t="str">
        <f>"17-1703"</f>
        <v>17-1703</v>
      </c>
      <c r="H10716" t="str">
        <f>"A"</f>
        <v>A</v>
      </c>
    </row>
    <row r="10717" spans="1:8" x14ac:dyDescent="0.2">
      <c r="A10717" t="str">
        <f t="shared" si="3874"/>
        <v>0614145499</v>
      </c>
      <c r="B10717" t="str">
        <f t="shared" si="3875"/>
        <v>RYLEIGH</v>
      </c>
      <c r="C10717" t="str">
        <f t="shared" si="3876"/>
        <v>MAXWELL</v>
      </c>
      <c r="D10717" t="str">
        <f t="shared" si="3877"/>
        <v>09</v>
      </c>
      <c r="E10717" t="str">
        <f>"02 - A - 114 - Laselleda D Shaw"</f>
        <v>02 - A - 114 - Laselleda D Shaw</v>
      </c>
      <c r="F10717" t="str">
        <f>"NC STUDY HALL 1"</f>
        <v>NC STUDY HALL 1</v>
      </c>
      <c r="G10717" t="str">
        <f>"17-1723"</f>
        <v>17-1723</v>
      </c>
      <c r="H10717" t="str">
        <f>"A"</f>
        <v>A</v>
      </c>
    </row>
    <row r="10718" spans="1:8" x14ac:dyDescent="0.2">
      <c r="A10718" t="str">
        <f t="shared" si="3874"/>
        <v>0614145499</v>
      </c>
      <c r="B10718" t="str">
        <f t="shared" si="3875"/>
        <v>RYLEIGH</v>
      </c>
      <c r="C10718" t="str">
        <f t="shared" si="3876"/>
        <v>MAXWELL</v>
      </c>
      <c r="D10718" t="str">
        <f t="shared" si="3877"/>
        <v>09</v>
      </c>
      <c r="E10718" t="str">
        <f>"07 - B - 207 - Krystal Marie  Beruty"</f>
        <v>07 - B - 207 - Krystal Marie  Beruty</v>
      </c>
      <c r="F10718" t="str">
        <f>"AICE GLBL PERSP 1 AS"</f>
        <v>AICE GLBL PERSP 1 AS</v>
      </c>
      <c r="G10718" t="str">
        <f>"17-1721"</f>
        <v>17-1721</v>
      </c>
      <c r="H10718" t="str">
        <f>"B"</f>
        <v>B</v>
      </c>
    </row>
    <row r="10719" spans="1:8" x14ac:dyDescent="0.2">
      <c r="A10719" t="str">
        <f t="shared" si="3874"/>
        <v>0614145499</v>
      </c>
      <c r="B10719" t="str">
        <f t="shared" si="3875"/>
        <v>RYLEIGH</v>
      </c>
      <c r="C10719" t="str">
        <f t="shared" si="3876"/>
        <v>MAXWELL</v>
      </c>
      <c r="D10719" t="str">
        <f t="shared" si="3877"/>
        <v>09</v>
      </c>
      <c r="E10719" t="str">
        <f>"05 - B - 103 - Josiah I Lacy"</f>
        <v>05 - B - 103 - Josiah I Lacy</v>
      </c>
      <c r="F10719" t="str">
        <f>"PRE-AICE BIO IG"</f>
        <v>PRE-AICE BIO IG</v>
      </c>
      <c r="G10719" t="str">
        <f>"08-801"</f>
        <v>08-801</v>
      </c>
      <c r="H10719" t="str">
        <f>"B"</f>
        <v>B</v>
      </c>
    </row>
    <row r="10720" spans="1:8" x14ac:dyDescent="0.2">
      <c r="A10720" t="str">
        <f t="shared" si="3874"/>
        <v>0614145499</v>
      </c>
      <c r="B10720" t="str">
        <f t="shared" si="3875"/>
        <v>RYLEIGH</v>
      </c>
      <c r="C10720" t="str">
        <f t="shared" si="3876"/>
        <v>MAXWELL</v>
      </c>
      <c r="D10720" t="str">
        <f t="shared" si="3877"/>
        <v>09</v>
      </c>
      <c r="E10720" t="str">
        <f>"01 - A - 101 - Nikiel  Nesbeth"</f>
        <v>01 - A - 101 - Nikiel  Nesbeth</v>
      </c>
      <c r="F10720" t="str">
        <f>"CONST LAW HON"</f>
        <v>CONST LAW HON</v>
      </c>
      <c r="G10720" t="str">
        <f>"17-1705"</f>
        <v>17-1705</v>
      </c>
      <c r="H10720" t="str">
        <f>"A"</f>
        <v>A</v>
      </c>
    </row>
    <row r="10721" spans="1:8" x14ac:dyDescent="0.2">
      <c r="A10721" t="str">
        <f t="shared" si="3874"/>
        <v>0614145499</v>
      </c>
      <c r="B10721" t="str">
        <f t="shared" si="3875"/>
        <v>RYLEIGH</v>
      </c>
      <c r="C10721" t="str">
        <f t="shared" si="3876"/>
        <v>MAXWELL</v>
      </c>
      <c r="D10721" t="str">
        <f t="shared" si="3877"/>
        <v>09</v>
      </c>
      <c r="E10721" t="str">
        <f>"08 - B - 201 - Tina M Jaramillo"</f>
        <v>08 - B - 201 - Tina M Jaramillo</v>
      </c>
      <c r="F10721" t="str">
        <f>"CREATIVE WRIT 3 HON"</f>
        <v>CREATIVE WRIT 3 HON</v>
      </c>
      <c r="G10721" t="str">
        <f>"17-1706"</f>
        <v>17-1706</v>
      </c>
      <c r="H10721" t="str">
        <f>"B"</f>
        <v>B</v>
      </c>
    </row>
    <row r="10722" spans="1:8" x14ac:dyDescent="0.2">
      <c r="A10722" t="str">
        <f t="shared" ref="A10722:A10729" si="3878">"0622087551"</f>
        <v>0622087551</v>
      </c>
      <c r="B10722" t="str">
        <f t="shared" ref="B10722:B10729" si="3879">"KEYON"</f>
        <v>KEYON</v>
      </c>
      <c r="C10722" t="str">
        <f t="shared" ref="C10722:C10729" si="3880">"MAYO"</f>
        <v>MAYO</v>
      </c>
      <c r="D10722">
        <f>11</f>
        <v>11</v>
      </c>
      <c r="E10722" t="str">
        <f>"04 - A - 104 - Adam Marcus  Drucker"</f>
        <v>04 - A - 104 - Adam Marcus  Drucker</v>
      </c>
      <c r="F10722" t="str">
        <f>"HOPE-PE V"</f>
        <v>HOPE-PE V</v>
      </c>
      <c r="G10722" t="str">
        <f>"04-254"</f>
        <v>04-254</v>
      </c>
      <c r="H10722" t="str">
        <f>"A"</f>
        <v>A</v>
      </c>
    </row>
    <row r="10723" spans="1:8" x14ac:dyDescent="0.2">
      <c r="A10723" t="str">
        <f t="shared" si="3878"/>
        <v>0622087551</v>
      </c>
      <c r="B10723" t="str">
        <f t="shared" si="3879"/>
        <v>KEYON</v>
      </c>
      <c r="C10723" t="str">
        <f t="shared" si="3880"/>
        <v>MAYO</v>
      </c>
      <c r="D10723">
        <f>11</f>
        <v>11</v>
      </c>
      <c r="E10723" t="str">
        <f>"06 - B - 105 - Elizabeth Ellen  Moran"</f>
        <v>06 - B - 105 - Elizabeth Ellen  Moran</v>
      </c>
      <c r="F10723" t="str">
        <f>"US HISTORY"</f>
        <v>US HISTORY</v>
      </c>
      <c r="G10723" t="str">
        <f>"17-1752"</f>
        <v>17-1752</v>
      </c>
      <c r="H10723" t="str">
        <f>"B"</f>
        <v>B</v>
      </c>
    </row>
    <row r="10724" spans="1:8" x14ac:dyDescent="0.2">
      <c r="A10724" t="str">
        <f t="shared" si="3878"/>
        <v>0622087551</v>
      </c>
      <c r="B10724" t="str">
        <f t="shared" si="3879"/>
        <v>KEYON</v>
      </c>
      <c r="C10724" t="str">
        <f t="shared" si="3880"/>
        <v>MAYO</v>
      </c>
      <c r="D10724">
        <f>11</f>
        <v>11</v>
      </c>
      <c r="E10724" t="str">
        <f>"03 - A - 002 - Ferrie J Arostique"</f>
        <v>03 - A - 002 - Ferrie J Arostique</v>
      </c>
      <c r="F10724" t="str">
        <f>"GEOMETRY"</f>
        <v>GEOMETRY</v>
      </c>
      <c r="G10724" t="str">
        <f>"21-2139"</f>
        <v>21-2139</v>
      </c>
      <c r="H10724" t="str">
        <f>"A"</f>
        <v>A</v>
      </c>
    </row>
    <row r="10725" spans="1:8" x14ac:dyDescent="0.2">
      <c r="A10725" t="str">
        <f t="shared" si="3878"/>
        <v>0622087551</v>
      </c>
      <c r="B10725" t="str">
        <f t="shared" si="3879"/>
        <v>KEYON</v>
      </c>
      <c r="C10725" t="str">
        <f t="shared" si="3880"/>
        <v>MAYO</v>
      </c>
      <c r="D10725">
        <f>11</f>
        <v>11</v>
      </c>
      <c r="E10725" t="str">
        <f>"02 - A - 107 - Elizabeth Ellen  Moran"</f>
        <v>02 - A - 107 - Elizabeth Ellen  Moran</v>
      </c>
      <c r="F10725" t="str">
        <f>"NC STUDY HALL 1"</f>
        <v>NC STUDY HALL 1</v>
      </c>
      <c r="G10725" t="str">
        <f>"17-1752"</f>
        <v>17-1752</v>
      </c>
      <c r="H10725" t="str">
        <f>"A"</f>
        <v>A</v>
      </c>
    </row>
    <row r="10726" spans="1:8" x14ac:dyDescent="0.2">
      <c r="A10726" t="str">
        <f t="shared" si="3878"/>
        <v>0622087551</v>
      </c>
      <c r="B10726" t="str">
        <f t="shared" si="3879"/>
        <v>KEYON</v>
      </c>
      <c r="C10726" t="str">
        <f t="shared" si="3880"/>
        <v>MAYO</v>
      </c>
      <c r="D10726">
        <f>11</f>
        <v>11</v>
      </c>
      <c r="E10726" t="str">
        <f>"07 - B - 105 - Cliffon  Saurel"</f>
        <v>07 - B - 105 - Cliffon  Saurel</v>
      </c>
      <c r="F10726" t="str">
        <f>"PHYSICAL SCI"</f>
        <v>PHYSICAL SCI</v>
      </c>
      <c r="G10726" t="str">
        <f>"05-522"</f>
        <v>05-522</v>
      </c>
      <c r="H10726" t="str">
        <f>"B"</f>
        <v>B</v>
      </c>
    </row>
    <row r="10727" spans="1:8" x14ac:dyDescent="0.2">
      <c r="A10727" t="str">
        <f t="shared" si="3878"/>
        <v>0622087551</v>
      </c>
      <c r="B10727" t="str">
        <f t="shared" si="3879"/>
        <v>KEYON</v>
      </c>
      <c r="C10727" t="str">
        <f t="shared" si="3880"/>
        <v>MAYO</v>
      </c>
      <c r="D10727">
        <f>11</f>
        <v>11</v>
      </c>
      <c r="E10727" t="str">
        <f>"05 - B - 103 - Nahum  Saint-Preux"</f>
        <v>05 - B - 103 - Nahum  Saint-Preux</v>
      </c>
      <c r="F10727" t="str">
        <f>"INTENS READ 3"</f>
        <v>INTENS READ 3</v>
      </c>
      <c r="G10727" t="str">
        <f>"17-1712"</f>
        <v>17-1712</v>
      </c>
      <c r="H10727" t="str">
        <f>"B"</f>
        <v>B</v>
      </c>
    </row>
    <row r="10728" spans="1:8" x14ac:dyDescent="0.2">
      <c r="A10728" t="str">
        <f t="shared" si="3878"/>
        <v>0622087551</v>
      </c>
      <c r="B10728" t="str">
        <f t="shared" si="3879"/>
        <v>KEYON</v>
      </c>
      <c r="C10728" t="str">
        <f t="shared" si="3880"/>
        <v>MAYO</v>
      </c>
      <c r="D10728">
        <f>11</f>
        <v>11</v>
      </c>
      <c r="E10728" t="str">
        <f>"01 - A - 101 - Lisa  Quinn"</f>
        <v>01 - A - 101 - Lisa  Quinn</v>
      </c>
      <c r="F10728" t="str">
        <f>"ENG 3"</f>
        <v>ENG 3</v>
      </c>
      <c r="G10728" t="str">
        <f>"17-1725"</f>
        <v>17-1725</v>
      </c>
      <c r="H10728" t="str">
        <f>"A"</f>
        <v>A</v>
      </c>
    </row>
    <row r="10729" spans="1:8" x14ac:dyDescent="0.2">
      <c r="A10729" t="str">
        <f t="shared" si="3878"/>
        <v>0622087551</v>
      </c>
      <c r="B10729" t="str">
        <f t="shared" si="3879"/>
        <v>KEYON</v>
      </c>
      <c r="C10729" t="str">
        <f t="shared" si="3880"/>
        <v>MAYO</v>
      </c>
      <c r="D10729">
        <f>11</f>
        <v>11</v>
      </c>
      <c r="E10729" t="str">
        <f>"08 - S1 - B - 105 - James H Mccann"</f>
        <v>08 - S1 - B - 105 - James H Mccann</v>
      </c>
      <c r="F10729" t="str">
        <f>"PERS FIN &amp; MON MGT H"</f>
        <v>PERS FIN &amp; MON MGT H</v>
      </c>
      <c r="G10729" t="str">
        <f>"17-1716"</f>
        <v>17-1716</v>
      </c>
      <c r="H10729" t="str">
        <f>"B"</f>
        <v>B</v>
      </c>
    </row>
    <row r="10730" spans="1:8" x14ac:dyDescent="0.2">
      <c r="A10730" t="str">
        <f t="shared" ref="A10730:A10737" si="3881">"0614011598"</f>
        <v>0614011598</v>
      </c>
      <c r="B10730" t="str">
        <f t="shared" ref="B10730:B10737" si="3882">"MAYLA"</f>
        <v>MAYLA</v>
      </c>
      <c r="C10730" t="str">
        <f t="shared" ref="C10730:C10737" si="3883">"MAZAS"</f>
        <v>MAZAS</v>
      </c>
      <c r="D10730">
        <f>12</f>
        <v>12</v>
      </c>
      <c r="E10730" t="str">
        <f>"04 - A - 104 - Robert H Rindner"</f>
        <v>04 - A - 104 - Robert H Rindner</v>
      </c>
      <c r="F10730" t="str">
        <f>"MATH DATA&amp;FIN LIT H"</f>
        <v>MATH DATA&amp;FIN LIT H</v>
      </c>
      <c r="G10730" t="str">
        <f>"21-2160"</f>
        <v>21-2160</v>
      </c>
      <c r="H10730" t="str">
        <f>"A"</f>
        <v>A</v>
      </c>
    </row>
    <row r="10731" spans="1:8" x14ac:dyDescent="0.2">
      <c r="A10731" t="str">
        <f t="shared" si="3881"/>
        <v>0614011598</v>
      </c>
      <c r="B10731" t="str">
        <f t="shared" si="3882"/>
        <v>MAYLA</v>
      </c>
      <c r="C10731" t="str">
        <f t="shared" si="3883"/>
        <v>MAZAS</v>
      </c>
      <c r="D10731">
        <f>12</f>
        <v>12</v>
      </c>
      <c r="E10731" t="str">
        <f>"06 - B - 105 - Robyn L Trainer"</f>
        <v>06 - B - 105 - Robyn L Trainer</v>
      </c>
      <c r="F10731" t="str">
        <f>"NC STUDY HALL 1"</f>
        <v>NC STUDY HALL 1</v>
      </c>
      <c r="G10731" t="str">
        <f>"17-1734"</f>
        <v>17-1734</v>
      </c>
      <c r="H10731" t="str">
        <f>"B"</f>
        <v>B</v>
      </c>
    </row>
    <row r="10732" spans="1:8" x14ac:dyDescent="0.2">
      <c r="A10732" t="str">
        <f t="shared" si="3881"/>
        <v>0614011598</v>
      </c>
      <c r="B10732" t="str">
        <f t="shared" si="3882"/>
        <v>MAYLA</v>
      </c>
      <c r="C10732" t="str">
        <f t="shared" si="3883"/>
        <v>MAZAS</v>
      </c>
      <c r="D10732">
        <f>12</f>
        <v>12</v>
      </c>
      <c r="E10732" t="str">
        <f>"03 - S1 - A - 002 - Barbara L Segal"</f>
        <v>03 - S1 - A - 002 - Barbara L Segal</v>
      </c>
      <c r="F10732" t="str">
        <f>"US GOVT"</f>
        <v>US GOVT</v>
      </c>
      <c r="G10732" t="str">
        <f>"17-1742"</f>
        <v>17-1742</v>
      </c>
      <c r="H10732" t="str">
        <f>"A"</f>
        <v>A</v>
      </c>
    </row>
    <row r="10733" spans="1:8" x14ac:dyDescent="0.2">
      <c r="A10733" t="str">
        <f t="shared" si="3881"/>
        <v>0614011598</v>
      </c>
      <c r="B10733" t="str">
        <f t="shared" si="3882"/>
        <v>MAYLA</v>
      </c>
      <c r="C10733" t="str">
        <f t="shared" si="3883"/>
        <v>MAZAS</v>
      </c>
      <c r="D10733">
        <f>12</f>
        <v>12</v>
      </c>
      <c r="E10733" t="str">
        <f>"02 - S1 - A - 102 - Richard E Dunbar Iii"</f>
        <v>02 - S1 - A - 102 - Richard E Dunbar Iii</v>
      </c>
      <c r="F10733" t="str">
        <f>"WEIGHT TRAIN 3"</f>
        <v>WEIGHT TRAIN 3</v>
      </c>
      <c r="G10733" t="str">
        <f>"05-501"</f>
        <v>05-501</v>
      </c>
      <c r="H10733" t="str">
        <f>"A"</f>
        <v>A</v>
      </c>
    </row>
    <row r="10734" spans="1:8" x14ac:dyDescent="0.2">
      <c r="A10734" t="str">
        <f t="shared" si="3881"/>
        <v>0614011598</v>
      </c>
      <c r="B10734" t="str">
        <f t="shared" si="3882"/>
        <v>MAYLA</v>
      </c>
      <c r="C10734" t="str">
        <f t="shared" si="3883"/>
        <v>MAZAS</v>
      </c>
      <c r="D10734">
        <f>12</f>
        <v>12</v>
      </c>
      <c r="E10734" t="str">
        <f>"07 - B - 105 - Cliffon  Saurel"</f>
        <v>07 - B - 105 - Cliffon  Saurel</v>
      </c>
      <c r="F10734" t="str">
        <f>"PHYSICAL SCI"</f>
        <v>PHYSICAL SCI</v>
      </c>
      <c r="G10734" t="str">
        <f>"05-522"</f>
        <v>05-522</v>
      </c>
      <c r="H10734" t="str">
        <f>"B"</f>
        <v>B</v>
      </c>
    </row>
    <row r="10735" spans="1:8" x14ac:dyDescent="0.2">
      <c r="A10735" t="str">
        <f t="shared" si="3881"/>
        <v>0614011598</v>
      </c>
      <c r="B10735" t="str">
        <f t="shared" si="3882"/>
        <v>MAYLA</v>
      </c>
      <c r="C10735" t="str">
        <f t="shared" si="3883"/>
        <v>MAZAS</v>
      </c>
      <c r="D10735">
        <f>12</f>
        <v>12</v>
      </c>
      <c r="E10735" t="str">
        <f>"05 - B - 102 - Robyn L Trainer"</f>
        <v>05 - B - 102 - Robyn L Trainer</v>
      </c>
      <c r="F10735" t="str">
        <f>"ENG 4"</f>
        <v>ENG 4</v>
      </c>
      <c r="G10735" t="str">
        <f>"17-1734"</f>
        <v>17-1734</v>
      </c>
      <c r="H10735" t="str">
        <f>"B"</f>
        <v>B</v>
      </c>
    </row>
    <row r="10736" spans="1:8" x14ac:dyDescent="0.2">
      <c r="A10736" t="str">
        <f t="shared" si="3881"/>
        <v>0614011598</v>
      </c>
      <c r="B10736" t="str">
        <f t="shared" si="3882"/>
        <v>MAYLA</v>
      </c>
      <c r="C10736" t="str">
        <f t="shared" si="3883"/>
        <v>MAZAS</v>
      </c>
      <c r="D10736">
        <f>12</f>
        <v>12</v>
      </c>
      <c r="E10736" t="str">
        <f>"01 - A - 504 - Alejandro  Navarro"</f>
        <v>01 - A - 504 - Alejandro  Navarro</v>
      </c>
      <c r="F10736" t="str">
        <f>"BAND 1"</f>
        <v>BAND 1</v>
      </c>
      <c r="G10736" t="str">
        <f>"05-504"</f>
        <v>05-504</v>
      </c>
      <c r="H10736" t="str">
        <f>"A"</f>
        <v>A</v>
      </c>
    </row>
    <row r="10737" spans="1:8" x14ac:dyDescent="0.2">
      <c r="A10737" t="str">
        <f t="shared" si="3881"/>
        <v>0614011598</v>
      </c>
      <c r="B10737" t="str">
        <f t="shared" si="3882"/>
        <v>MAYLA</v>
      </c>
      <c r="C10737" t="str">
        <f t="shared" si="3883"/>
        <v>MAZAS</v>
      </c>
      <c r="D10737">
        <f>12</f>
        <v>12</v>
      </c>
      <c r="E10737" t="str">
        <f>"08 - B - 101 - Alejandro  Navarro"</f>
        <v>08 - B - 101 - Alejandro  Navarro</v>
      </c>
      <c r="F10737" t="str">
        <f>"GUITAR 1"</f>
        <v>GUITAR 1</v>
      </c>
      <c r="G10737" t="str">
        <f>"05-504"</f>
        <v>05-504</v>
      </c>
      <c r="H10737" t="str">
        <f>"B"</f>
        <v>B</v>
      </c>
    </row>
    <row r="10738" spans="1:8" x14ac:dyDescent="0.2">
      <c r="A10738" t="str">
        <f t="shared" ref="A10738:A10745" si="3884">"0616124229"</f>
        <v>0616124229</v>
      </c>
      <c r="B10738" t="str">
        <f t="shared" ref="B10738:B10745" si="3885">"CADENCE"</f>
        <v>CADENCE</v>
      </c>
      <c r="C10738" t="str">
        <f t="shared" ref="C10738:C10761" si="3886">"MCAULEY"</f>
        <v>MCAULEY</v>
      </c>
      <c r="D10738" t="str">
        <f t="shared" ref="D10738:D10753" si="3887">"09"</f>
        <v>09</v>
      </c>
      <c r="E10738" t="str">
        <f>"04 - A - 102 - Eva T Rimmer"</f>
        <v>04 - A - 102 - Eva T Rimmer</v>
      </c>
      <c r="F10738" t="str">
        <f>"CRIMINAL JUST OPS 1"</f>
        <v>CRIMINAL JUST OPS 1</v>
      </c>
      <c r="G10738" t="str">
        <f>"05-523"</f>
        <v>05-523</v>
      </c>
      <c r="H10738" t="str">
        <f>"A"</f>
        <v>A</v>
      </c>
    </row>
    <row r="10739" spans="1:8" x14ac:dyDescent="0.2">
      <c r="A10739" t="str">
        <f t="shared" si="3884"/>
        <v>0616124229</v>
      </c>
      <c r="B10739" t="str">
        <f t="shared" si="3885"/>
        <v>CADENCE</v>
      </c>
      <c r="C10739" t="str">
        <f t="shared" si="3886"/>
        <v>MCAULEY</v>
      </c>
      <c r="D10739" t="str">
        <f t="shared" si="3887"/>
        <v>09</v>
      </c>
      <c r="E10739" t="str">
        <f>"06 - B - 104 - Byron G Montenegro"</f>
        <v>06 - B - 104 - Byron G Montenegro</v>
      </c>
      <c r="F10739" t="str">
        <f>"AICE MARINE SCI 1 AS"</f>
        <v>AICE MARINE SCI 1 AS</v>
      </c>
      <c r="G10739" t="str">
        <f>"21-2144"</f>
        <v>21-2144</v>
      </c>
      <c r="H10739" t="str">
        <f>"B"</f>
        <v>B</v>
      </c>
    </row>
    <row r="10740" spans="1:8" x14ac:dyDescent="0.2">
      <c r="A10740" t="str">
        <f t="shared" si="3884"/>
        <v>0616124229</v>
      </c>
      <c r="B10740" t="str">
        <f t="shared" si="3885"/>
        <v>CADENCE</v>
      </c>
      <c r="C10740" t="str">
        <f t="shared" si="3886"/>
        <v>MCAULEY</v>
      </c>
      <c r="D10740" t="str">
        <f t="shared" si="3887"/>
        <v>09</v>
      </c>
      <c r="E10740" t="str">
        <f>"03 - A - 005 - Cerine S Stewart"</f>
        <v>03 - A - 005 - Cerine S Stewart</v>
      </c>
      <c r="F10740" t="str">
        <f>"AICE ENG GEN PAPER 1"</f>
        <v>AICE ENG GEN PAPER 1</v>
      </c>
      <c r="G10740" t="str">
        <f>"17-1720"</f>
        <v>17-1720</v>
      </c>
      <c r="H10740" t="str">
        <f>"A"</f>
        <v>A</v>
      </c>
    </row>
    <row r="10741" spans="1:8" x14ac:dyDescent="0.2">
      <c r="A10741" t="str">
        <f t="shared" si="3884"/>
        <v>0616124229</v>
      </c>
      <c r="B10741" t="str">
        <f t="shared" si="3885"/>
        <v>CADENCE</v>
      </c>
      <c r="C10741" t="str">
        <f t="shared" si="3886"/>
        <v>MCAULEY</v>
      </c>
      <c r="D10741" t="str">
        <f t="shared" si="3887"/>
        <v>09</v>
      </c>
      <c r="E10741" t="str">
        <f>"02 - A - 110 - Maried P Ramos"</f>
        <v>02 - A - 110 - Maried P Ramos</v>
      </c>
      <c r="F10741" t="str">
        <f>"NC STUDY HALL 1"</f>
        <v>NC STUDY HALL 1</v>
      </c>
      <c r="G10741" t="str">
        <f>"21-2159"</f>
        <v>21-2159</v>
      </c>
      <c r="H10741" t="str">
        <f>"A"</f>
        <v>A</v>
      </c>
    </row>
    <row r="10742" spans="1:8" x14ac:dyDescent="0.2">
      <c r="A10742" t="str">
        <f t="shared" si="3884"/>
        <v>0616124229</v>
      </c>
      <c r="B10742" t="str">
        <f t="shared" si="3885"/>
        <v>CADENCE</v>
      </c>
      <c r="C10742" t="str">
        <f t="shared" si="3886"/>
        <v>MCAULEY</v>
      </c>
      <c r="D10742" t="str">
        <f t="shared" si="3887"/>
        <v>09</v>
      </c>
      <c r="E10742" t="str">
        <f>"07 - B - 107 - Adam Marcus  Drucker"</f>
        <v>07 - B - 107 - Adam Marcus  Drucker</v>
      </c>
      <c r="F10742" t="str">
        <f>"HOPE-PE V"</f>
        <v>HOPE-PE V</v>
      </c>
      <c r="G10742" t="str">
        <f>"04-254"</f>
        <v>04-254</v>
      </c>
      <c r="H10742" t="str">
        <f>"B"</f>
        <v>B</v>
      </c>
    </row>
    <row r="10743" spans="1:8" x14ac:dyDescent="0.2">
      <c r="A10743" t="str">
        <f t="shared" si="3884"/>
        <v>0616124229</v>
      </c>
      <c r="B10743" t="str">
        <f t="shared" si="3885"/>
        <v>CADENCE</v>
      </c>
      <c r="C10743" t="str">
        <f t="shared" si="3886"/>
        <v>MCAULEY</v>
      </c>
      <c r="D10743" t="str">
        <f t="shared" si="3887"/>
        <v>09</v>
      </c>
      <c r="E10743" t="str">
        <f>"05 - B - 001 - Kelly N Panza"</f>
        <v>05 - B - 001 - Kelly N Panza</v>
      </c>
      <c r="F10743" t="str">
        <f>"AICE GLBL PERSP 1 AS"</f>
        <v>AICE GLBL PERSP 1 AS</v>
      </c>
      <c r="G10743" t="str">
        <f>"17-1753"</f>
        <v>17-1753</v>
      </c>
      <c r="H10743" t="str">
        <f>"B"</f>
        <v>B</v>
      </c>
    </row>
    <row r="10744" spans="1:8" x14ac:dyDescent="0.2">
      <c r="A10744" t="str">
        <f t="shared" si="3884"/>
        <v>0616124229</v>
      </c>
      <c r="B10744" t="str">
        <f t="shared" si="3885"/>
        <v>CADENCE</v>
      </c>
      <c r="C10744" t="str">
        <f t="shared" si="3886"/>
        <v>MCAULEY</v>
      </c>
      <c r="D10744" t="str">
        <f t="shared" si="3887"/>
        <v>09</v>
      </c>
      <c r="E10744" t="str">
        <f>"01 - A - 101 - Joe  Kilpatrick Jr"</f>
        <v>01 - A - 101 - Joe  Kilpatrick Jr</v>
      </c>
      <c r="F10744" t="str">
        <f>"PRE-AICE SPAN 1 IG"</f>
        <v>PRE-AICE SPAN 1 IG</v>
      </c>
      <c r="G10744" t="str">
        <f>"09-912"</f>
        <v>09-912</v>
      </c>
      <c r="H10744" t="str">
        <f>"A"</f>
        <v>A</v>
      </c>
    </row>
    <row r="10745" spans="1:8" x14ac:dyDescent="0.2">
      <c r="A10745" t="str">
        <f t="shared" si="3884"/>
        <v>0616124229</v>
      </c>
      <c r="B10745" t="str">
        <f t="shared" si="3885"/>
        <v>CADENCE</v>
      </c>
      <c r="C10745" t="str">
        <f t="shared" si="3886"/>
        <v>MCAULEY</v>
      </c>
      <c r="D10745" t="str">
        <f t="shared" si="3887"/>
        <v>09</v>
      </c>
      <c r="E10745" t="str">
        <f>"08 - B - 102 - Maried P Ramos"</f>
        <v>08 - B - 102 - Maried P Ramos</v>
      </c>
      <c r="F10745" t="str">
        <f>"ALGEBRA 2 HON"</f>
        <v>ALGEBRA 2 HON</v>
      </c>
      <c r="G10745" t="str">
        <f>"21-2159"</f>
        <v>21-2159</v>
      </c>
      <c r="H10745" t="str">
        <f>"B"</f>
        <v>B</v>
      </c>
    </row>
    <row r="10746" spans="1:8" x14ac:dyDescent="0.2">
      <c r="A10746" t="str">
        <f t="shared" ref="A10746:A10753" si="3888">"0616124232"</f>
        <v>0616124232</v>
      </c>
      <c r="B10746" t="str">
        <f t="shared" ref="B10746:B10753" si="3889">"COLTON"</f>
        <v>COLTON</v>
      </c>
      <c r="C10746" t="str">
        <f t="shared" si="3886"/>
        <v>MCAULEY</v>
      </c>
      <c r="D10746" t="str">
        <f t="shared" si="3887"/>
        <v>09</v>
      </c>
      <c r="E10746" t="str">
        <f>"04 - A - 106 - Ferrie J Arostique"</f>
        <v>04 - A - 106 - Ferrie J Arostique</v>
      </c>
      <c r="F10746" t="str">
        <f>"PRE-AICE MATH 2 IG"</f>
        <v>PRE-AICE MATH 2 IG</v>
      </c>
      <c r="G10746" t="str">
        <f>"21-2139"</f>
        <v>21-2139</v>
      </c>
      <c r="H10746" t="str">
        <f>"A"</f>
        <v>A</v>
      </c>
    </row>
    <row r="10747" spans="1:8" x14ac:dyDescent="0.2">
      <c r="A10747" t="str">
        <f t="shared" si="3888"/>
        <v>0616124232</v>
      </c>
      <c r="B10747" t="str">
        <f t="shared" si="3889"/>
        <v>COLTON</v>
      </c>
      <c r="C10747" t="str">
        <f t="shared" si="3886"/>
        <v>MCAULEY</v>
      </c>
      <c r="D10747" t="str">
        <f t="shared" si="3887"/>
        <v>09</v>
      </c>
      <c r="E10747" t="str">
        <f>"06 - B - 001 - Samantha J Headley"</f>
        <v>06 - B - 001 - Samantha J Headley</v>
      </c>
      <c r="F10747" t="str">
        <f>"MARINE SCI 1 HON"</f>
        <v>MARINE SCI 1 HON</v>
      </c>
      <c r="G10747" t="str">
        <f>"21-2134"</f>
        <v>21-2134</v>
      </c>
      <c r="H10747" t="str">
        <f>"B"</f>
        <v>B</v>
      </c>
    </row>
    <row r="10748" spans="1:8" x14ac:dyDescent="0.2">
      <c r="A10748" t="str">
        <f t="shared" si="3888"/>
        <v>0616124232</v>
      </c>
      <c r="B10748" t="str">
        <f t="shared" si="3889"/>
        <v>COLTON</v>
      </c>
      <c r="C10748" t="str">
        <f t="shared" si="3886"/>
        <v>MCAULEY</v>
      </c>
      <c r="D10748" t="str">
        <f t="shared" si="3887"/>
        <v>09</v>
      </c>
      <c r="E10748" t="str">
        <f>"03 - A - 102 - Rory T Sponsler"</f>
        <v>03 - A - 102 - Rory T Sponsler</v>
      </c>
      <c r="F10748" t="str">
        <f>"PRE-AICE WRLD HST IG"</f>
        <v>PRE-AICE WRLD HST IG</v>
      </c>
      <c r="G10748" t="str">
        <f>"17-1740"</f>
        <v>17-1740</v>
      </c>
      <c r="H10748" t="str">
        <f>"A"</f>
        <v>A</v>
      </c>
    </row>
    <row r="10749" spans="1:8" x14ac:dyDescent="0.2">
      <c r="A10749" t="str">
        <f t="shared" si="3888"/>
        <v>0616124232</v>
      </c>
      <c r="B10749" t="str">
        <f t="shared" si="3889"/>
        <v>COLTON</v>
      </c>
      <c r="C10749" t="str">
        <f t="shared" si="3886"/>
        <v>MCAULEY</v>
      </c>
      <c r="D10749" t="str">
        <f t="shared" si="3887"/>
        <v>09</v>
      </c>
      <c r="E10749" t="str">
        <f>"02 - A - 116 - Tina L Lovett"</f>
        <v>02 - A - 116 - Tina L Lovett</v>
      </c>
      <c r="F10749" t="str">
        <f>"NC STUDY HALL 1"</f>
        <v>NC STUDY HALL 1</v>
      </c>
      <c r="G10749" t="str">
        <f>"21-2153"</f>
        <v>21-2153</v>
      </c>
      <c r="H10749" t="str">
        <f>"A"</f>
        <v>A</v>
      </c>
    </row>
    <row r="10750" spans="1:8" x14ac:dyDescent="0.2">
      <c r="A10750" t="str">
        <f t="shared" si="3888"/>
        <v>0616124232</v>
      </c>
      <c r="B10750" t="str">
        <f t="shared" si="3889"/>
        <v>COLTON</v>
      </c>
      <c r="C10750" t="str">
        <f t="shared" si="3886"/>
        <v>MCAULEY</v>
      </c>
      <c r="D10750" t="str">
        <f t="shared" si="3887"/>
        <v>09</v>
      </c>
      <c r="E10750" t="str">
        <f>"07 - B - 202 - Chrystina M Marchionne"</f>
        <v>07 - B - 202 - Chrystina M Marchionne</v>
      </c>
      <c r="F10750" t="str">
        <f>"JOURN 1 (YB) LH"</f>
        <v>JOURN 1 (YB) LH</v>
      </c>
      <c r="G10750" t="str">
        <f>"05-520"</f>
        <v>05-520</v>
      </c>
      <c r="H10750" t="str">
        <f>"B"</f>
        <v>B</v>
      </c>
    </row>
    <row r="10751" spans="1:8" x14ac:dyDescent="0.2">
      <c r="A10751" t="str">
        <f t="shared" si="3888"/>
        <v>0616124232</v>
      </c>
      <c r="B10751" t="str">
        <f t="shared" si="3889"/>
        <v>COLTON</v>
      </c>
      <c r="C10751" t="str">
        <f t="shared" si="3886"/>
        <v>MCAULEY</v>
      </c>
      <c r="D10751" t="str">
        <f t="shared" si="3887"/>
        <v>09</v>
      </c>
      <c r="E10751" t="str">
        <f>"05 - B - 105 - Marius D Orsolini"</f>
        <v>05 - B - 105 - Marius D Orsolini</v>
      </c>
      <c r="F10751" t="str">
        <f>"CULINARY ARTS 1"</f>
        <v>CULINARY ARTS 1</v>
      </c>
      <c r="G10751" t="str">
        <f>"21-2115"</f>
        <v>21-2115</v>
      </c>
      <c r="H10751" t="str">
        <f>"B"</f>
        <v>B</v>
      </c>
    </row>
    <row r="10752" spans="1:8" x14ac:dyDescent="0.2">
      <c r="A10752" t="str">
        <f t="shared" si="3888"/>
        <v>0616124232</v>
      </c>
      <c r="B10752" t="str">
        <f t="shared" si="3889"/>
        <v>COLTON</v>
      </c>
      <c r="C10752" t="str">
        <f t="shared" si="3886"/>
        <v>MCAULEY</v>
      </c>
      <c r="D10752" t="str">
        <f t="shared" si="3887"/>
        <v>09</v>
      </c>
      <c r="E10752" t="str">
        <f>"01 - A - 101 - Arthur  Kulawik"</f>
        <v>01 - A - 101 - Arthur  Kulawik</v>
      </c>
      <c r="F10752" t="str">
        <f>"DEBATE 1 LH"</f>
        <v>DEBATE 1 LH</v>
      </c>
      <c r="G10752" t="str">
        <f>"05-506"</f>
        <v>05-506</v>
      </c>
      <c r="H10752" t="str">
        <f>"A"</f>
        <v>A</v>
      </c>
    </row>
    <row r="10753" spans="1:8" x14ac:dyDescent="0.2">
      <c r="A10753" t="str">
        <f t="shared" si="3888"/>
        <v>0616124232</v>
      </c>
      <c r="B10753" t="str">
        <f t="shared" si="3889"/>
        <v>COLTON</v>
      </c>
      <c r="C10753" t="str">
        <f t="shared" si="3886"/>
        <v>MCAULEY</v>
      </c>
      <c r="D10753" t="str">
        <f t="shared" si="3887"/>
        <v>09</v>
      </c>
      <c r="E10753" t="str">
        <f>"08 - B - 201 - Elizabeth R Walker"</f>
        <v>08 - B - 201 - Elizabeth R Walker</v>
      </c>
      <c r="F10753" t="str">
        <f>"AICE ENG GEN PAPER 1"</f>
        <v>AICE ENG GEN PAPER 1</v>
      </c>
      <c r="G10753" t="str">
        <f>"17-1703"</f>
        <v>17-1703</v>
      </c>
      <c r="H10753" t="str">
        <f>"B"</f>
        <v>B</v>
      </c>
    </row>
    <row r="10754" spans="1:8" x14ac:dyDescent="0.2">
      <c r="A10754" t="str">
        <f t="shared" ref="A10754:A10761" si="3890">"0613007587"</f>
        <v>0613007587</v>
      </c>
      <c r="B10754" t="str">
        <f t="shared" ref="B10754:B10761" si="3891">"LOGAN"</f>
        <v>LOGAN</v>
      </c>
      <c r="C10754" t="str">
        <f t="shared" si="3886"/>
        <v>MCAULEY</v>
      </c>
      <c r="D10754">
        <f>10</f>
        <v>10</v>
      </c>
      <c r="E10754" t="str">
        <f>"04 - A - 105 - Jacquelyn M Neeson"</f>
        <v>04 - A - 105 - Jacquelyn M Neeson</v>
      </c>
      <c r="F10754" t="str">
        <f>"ENG 2"</f>
        <v>ENG 2</v>
      </c>
      <c r="G10754" t="str">
        <f>"17-1715"</f>
        <v>17-1715</v>
      </c>
      <c r="H10754" t="str">
        <f>"A"</f>
        <v>A</v>
      </c>
    </row>
    <row r="10755" spans="1:8" x14ac:dyDescent="0.2">
      <c r="A10755" t="str">
        <f t="shared" si="3890"/>
        <v>0613007587</v>
      </c>
      <c r="B10755" t="str">
        <f t="shared" si="3891"/>
        <v>LOGAN</v>
      </c>
      <c r="C10755" t="str">
        <f t="shared" si="3886"/>
        <v>MCAULEY</v>
      </c>
      <c r="D10755">
        <f>10</f>
        <v>10</v>
      </c>
      <c r="E10755" t="str">
        <f>"06 - B - 105 - Jeffrey S Gallagher"</f>
        <v>06 - B - 105 - Jeffrey S Gallagher</v>
      </c>
      <c r="F10755" t="str">
        <f>"NC STUDY HALL 1"</f>
        <v>NC STUDY HALL 1</v>
      </c>
      <c r="G10755" t="str">
        <f>"17-1724"</f>
        <v>17-1724</v>
      </c>
      <c r="H10755" t="str">
        <f>"B"</f>
        <v>B</v>
      </c>
    </row>
    <row r="10756" spans="1:8" x14ac:dyDescent="0.2">
      <c r="A10756" t="str">
        <f t="shared" si="3890"/>
        <v>0613007587</v>
      </c>
      <c r="B10756" t="str">
        <f t="shared" si="3891"/>
        <v>LOGAN</v>
      </c>
      <c r="C10756" t="str">
        <f t="shared" si="3886"/>
        <v>MCAULEY</v>
      </c>
      <c r="D10756">
        <f>10</f>
        <v>10</v>
      </c>
      <c r="E10756" t="str">
        <f>"03 - A - 103 - Adam Marcus  Drucker"</f>
        <v>03 - A - 103 - Adam Marcus  Drucker</v>
      </c>
      <c r="F10756" t="str">
        <f>"HOPE-PE V"</f>
        <v>HOPE-PE V</v>
      </c>
      <c r="G10756" t="str">
        <f>"04-254"</f>
        <v>04-254</v>
      </c>
      <c r="H10756" t="str">
        <f>"A"</f>
        <v>A</v>
      </c>
    </row>
    <row r="10757" spans="1:8" x14ac:dyDescent="0.2">
      <c r="A10757" t="str">
        <f t="shared" si="3890"/>
        <v>0613007587</v>
      </c>
      <c r="B10757" t="str">
        <f t="shared" si="3891"/>
        <v>LOGAN</v>
      </c>
      <c r="C10757" t="str">
        <f t="shared" si="3886"/>
        <v>MCAULEY</v>
      </c>
      <c r="D10757">
        <f>10</f>
        <v>10</v>
      </c>
      <c r="E10757" t="str">
        <f>"02 - A - 102 - Taraneh C Abreu"</f>
        <v>02 - A - 102 - Taraneh C Abreu</v>
      </c>
      <c r="F10757" t="str">
        <f>"INTENS READ 2"</f>
        <v>INTENS READ 2</v>
      </c>
      <c r="G10757" t="str">
        <f>"17-1713"</f>
        <v>17-1713</v>
      </c>
      <c r="H10757" t="str">
        <f>"A"</f>
        <v>A</v>
      </c>
    </row>
    <row r="10758" spans="1:8" x14ac:dyDescent="0.2">
      <c r="A10758" t="str">
        <f t="shared" si="3890"/>
        <v>0613007587</v>
      </c>
      <c r="B10758" t="str">
        <f t="shared" si="3891"/>
        <v>LOGAN</v>
      </c>
      <c r="C10758" t="str">
        <f t="shared" si="3886"/>
        <v>MCAULEY</v>
      </c>
      <c r="D10758">
        <f>10</f>
        <v>10</v>
      </c>
      <c r="E10758" t="str">
        <f>"07 - B - 107 - Lytrell T Dixon"</f>
        <v>07 - B - 107 - Lytrell T Dixon</v>
      </c>
      <c r="F10758" t="str">
        <f>"BIOLOGY 1"</f>
        <v>BIOLOGY 1</v>
      </c>
      <c r="G10758" t="str">
        <f>"08-808"</f>
        <v>08-808</v>
      </c>
      <c r="H10758" t="str">
        <f>"B"</f>
        <v>B</v>
      </c>
    </row>
    <row r="10759" spans="1:8" x14ac:dyDescent="0.2">
      <c r="A10759" t="str">
        <f t="shared" si="3890"/>
        <v>0613007587</v>
      </c>
      <c r="B10759" t="str">
        <f t="shared" si="3891"/>
        <v>LOGAN</v>
      </c>
      <c r="C10759" t="str">
        <f t="shared" si="3886"/>
        <v>MCAULEY</v>
      </c>
      <c r="D10759">
        <f>10</f>
        <v>10</v>
      </c>
      <c r="E10759" t="str">
        <f>"05 - S1 - B - 102 - Carol S Moore"</f>
        <v>05 - S1 - B - 102 - Carol S Moore</v>
      </c>
      <c r="F10759" t="str">
        <f>"PERS FIN &amp; MON MGT H"</f>
        <v>PERS FIN &amp; MON MGT H</v>
      </c>
      <c r="G10759" t="str">
        <f>"17-1733"</f>
        <v>17-1733</v>
      </c>
      <c r="H10759" t="str">
        <f>"B"</f>
        <v>B</v>
      </c>
    </row>
    <row r="10760" spans="1:8" x14ac:dyDescent="0.2">
      <c r="A10760" t="str">
        <f t="shared" si="3890"/>
        <v>0613007587</v>
      </c>
      <c r="B10760" t="str">
        <f t="shared" si="3891"/>
        <v>LOGAN</v>
      </c>
      <c r="C10760" t="str">
        <f t="shared" si="3886"/>
        <v>MCAULEY</v>
      </c>
      <c r="D10760">
        <f>10</f>
        <v>10</v>
      </c>
      <c r="E10760" t="str">
        <f>"01 - A - 101 - Brian M Fitzgerald"</f>
        <v>01 - A - 101 - Brian M Fitzgerald</v>
      </c>
      <c r="F10760" t="str">
        <f>"CERAM/POT 1"</f>
        <v>CERAM/POT 1</v>
      </c>
      <c r="G10760" t="str">
        <f>"09-908"</f>
        <v>09-908</v>
      </c>
      <c r="H10760" t="str">
        <f>"A"</f>
        <v>A</v>
      </c>
    </row>
    <row r="10761" spans="1:8" x14ac:dyDescent="0.2">
      <c r="A10761" t="str">
        <f t="shared" si="3890"/>
        <v>0613007587</v>
      </c>
      <c r="B10761" t="str">
        <f t="shared" si="3891"/>
        <v>LOGAN</v>
      </c>
      <c r="C10761" t="str">
        <f t="shared" si="3886"/>
        <v>MCAULEY</v>
      </c>
      <c r="D10761">
        <f>10</f>
        <v>10</v>
      </c>
      <c r="E10761" t="str">
        <f>"08 - B - 105 - Ferrie J Arostique"</f>
        <v>08 - B - 105 - Ferrie J Arostique</v>
      </c>
      <c r="F10761" t="str">
        <f>"PRE-AICE MATH 2 IG"</f>
        <v>PRE-AICE MATH 2 IG</v>
      </c>
      <c r="G10761" t="str">
        <f>"21-2139"</f>
        <v>21-2139</v>
      </c>
      <c r="H10761" t="str">
        <f>"B"</f>
        <v>B</v>
      </c>
    </row>
    <row r="10762" spans="1:8" x14ac:dyDescent="0.2">
      <c r="A10762" t="str">
        <f t="shared" ref="A10762:A10770" si="3892">"0614112452"</f>
        <v>0614112452</v>
      </c>
      <c r="B10762" t="str">
        <f t="shared" ref="B10762:B10770" si="3893">"NATALIA"</f>
        <v>NATALIA</v>
      </c>
      <c r="C10762" t="str">
        <f t="shared" ref="C10762:C10770" si="3894">"MCCALL"</f>
        <v>MCCALL</v>
      </c>
      <c r="D10762" t="str">
        <f t="shared" ref="D10762:D10778" si="3895">"09"</f>
        <v>09</v>
      </c>
      <c r="E10762" t="str">
        <f>"04 - A - 102 - Josiah I Lacy"</f>
        <v>04 - A - 102 - Josiah I Lacy</v>
      </c>
      <c r="F10762" t="str">
        <f>"PRE-AICE BIO IG"</f>
        <v>PRE-AICE BIO IG</v>
      </c>
      <c r="G10762" t="str">
        <f>"08-801"</f>
        <v>08-801</v>
      </c>
      <c r="H10762" t="str">
        <f>"A"</f>
        <v>A</v>
      </c>
    </row>
    <row r="10763" spans="1:8" x14ac:dyDescent="0.2">
      <c r="A10763" t="str">
        <f t="shared" si="3892"/>
        <v>0614112452</v>
      </c>
      <c r="B10763" t="str">
        <f t="shared" si="3893"/>
        <v>NATALIA</v>
      </c>
      <c r="C10763" t="str">
        <f t="shared" si="3894"/>
        <v>MCCALL</v>
      </c>
      <c r="D10763" t="str">
        <f t="shared" si="3895"/>
        <v>09</v>
      </c>
      <c r="E10763" t="str">
        <f>"06 - B - 105 - Tina L Lovett"</f>
        <v>06 - B - 105 - Tina L Lovett</v>
      </c>
      <c r="F10763" t="str">
        <f>"FDN SKLS MATH 9-12"</f>
        <v>FDN SKLS MATH 9-12</v>
      </c>
      <c r="G10763" t="str">
        <f>"21-2153"</f>
        <v>21-2153</v>
      </c>
      <c r="H10763" t="str">
        <f>"B"</f>
        <v>B</v>
      </c>
    </row>
    <row r="10764" spans="1:8" x14ac:dyDescent="0.2">
      <c r="A10764" t="str">
        <f t="shared" si="3892"/>
        <v>0614112452</v>
      </c>
      <c r="B10764" t="str">
        <f t="shared" si="3893"/>
        <v>NATALIA</v>
      </c>
      <c r="C10764" t="str">
        <f t="shared" si="3894"/>
        <v>MCCALL</v>
      </c>
      <c r="D10764" t="str">
        <f t="shared" si="3895"/>
        <v>09</v>
      </c>
      <c r="E10764" t="str">
        <f>"03 - A - 005 - Cerine S Stewart"</f>
        <v>03 - A - 005 - Cerine S Stewart</v>
      </c>
      <c r="F10764" t="str">
        <f>"AICE ENG GEN PAPER 1"</f>
        <v>AICE ENG GEN PAPER 1</v>
      </c>
      <c r="G10764" t="str">
        <f>"17-1720"</f>
        <v>17-1720</v>
      </c>
      <c r="H10764" t="str">
        <f>"A"</f>
        <v>A</v>
      </c>
    </row>
    <row r="10765" spans="1:8" x14ac:dyDescent="0.2">
      <c r="A10765" t="str">
        <f t="shared" si="3892"/>
        <v>0614112452</v>
      </c>
      <c r="B10765" t="str">
        <f t="shared" si="3893"/>
        <v>NATALIA</v>
      </c>
      <c r="C10765" t="str">
        <f t="shared" si="3894"/>
        <v>MCCALL</v>
      </c>
      <c r="D10765" t="str">
        <f t="shared" si="3895"/>
        <v>09</v>
      </c>
      <c r="E10765" t="str">
        <f>"02 - A - 113 - Amy Beth  Broyles"</f>
        <v>02 - A - 113 - Amy Beth  Broyles</v>
      </c>
      <c r="F10765" t="str">
        <f>"NC STUDY HALL 1"</f>
        <v>NC STUDY HALL 1</v>
      </c>
      <c r="G10765" t="str">
        <f>"08-802"</f>
        <v>08-802</v>
      </c>
      <c r="H10765" t="str">
        <f>"A"</f>
        <v>A</v>
      </c>
    </row>
    <row r="10766" spans="1:8" x14ac:dyDescent="0.2">
      <c r="A10766" t="str">
        <f t="shared" si="3892"/>
        <v>0614112452</v>
      </c>
      <c r="B10766" t="str">
        <f t="shared" si="3893"/>
        <v>NATALIA</v>
      </c>
      <c r="C10766" t="str">
        <f t="shared" si="3894"/>
        <v>MCCALL</v>
      </c>
      <c r="D10766" t="str">
        <f t="shared" si="3895"/>
        <v>09</v>
      </c>
      <c r="E10766" t="str">
        <f>"02 - A - 102 - Eric  Lopapa"</f>
        <v>02 - A - 102 - Eric  Lopapa</v>
      </c>
      <c r="F10766" t="str">
        <f>"SPEECH THRPY"</f>
        <v>SPEECH THRPY</v>
      </c>
      <c r="G10766" t="str">
        <f>"21-2110"</f>
        <v>21-2110</v>
      </c>
      <c r="H10766" t="str">
        <f>"A"</f>
        <v>A</v>
      </c>
    </row>
    <row r="10767" spans="1:8" x14ac:dyDescent="0.2">
      <c r="A10767" t="str">
        <f t="shared" si="3892"/>
        <v>0614112452</v>
      </c>
      <c r="B10767" t="str">
        <f t="shared" si="3893"/>
        <v>NATALIA</v>
      </c>
      <c r="C10767" t="str">
        <f t="shared" si="3894"/>
        <v>MCCALL</v>
      </c>
      <c r="D10767" t="str">
        <f t="shared" si="3895"/>
        <v>09</v>
      </c>
      <c r="E10767" t="str">
        <f>"07 - B - 107 - Marius D Orsolini"</f>
        <v>07 - B - 107 - Marius D Orsolini</v>
      </c>
      <c r="F10767" t="str">
        <f>"CULINARY ARTS 1"</f>
        <v>CULINARY ARTS 1</v>
      </c>
      <c r="G10767" t="str">
        <f>"21-2115"</f>
        <v>21-2115</v>
      </c>
      <c r="H10767" t="str">
        <f>"B"</f>
        <v>B</v>
      </c>
    </row>
    <row r="10768" spans="1:8" x14ac:dyDescent="0.2">
      <c r="A10768" t="str">
        <f t="shared" si="3892"/>
        <v>0614112452</v>
      </c>
      <c r="B10768" t="str">
        <f t="shared" si="3893"/>
        <v>NATALIA</v>
      </c>
      <c r="C10768" t="str">
        <f t="shared" si="3894"/>
        <v>MCCALL</v>
      </c>
      <c r="D10768" t="str">
        <f t="shared" si="3895"/>
        <v>09</v>
      </c>
      <c r="E10768" t="str">
        <f>"05 - B - 103 - Rory T Sponsler"</f>
        <v>05 - B - 103 - Rory T Sponsler</v>
      </c>
      <c r="F10768" t="str">
        <f>"PRE-AICE WRLD HST IG"</f>
        <v>PRE-AICE WRLD HST IG</v>
      </c>
      <c r="G10768" t="str">
        <f>"17-1740"</f>
        <v>17-1740</v>
      </c>
      <c r="H10768" t="str">
        <f>"B"</f>
        <v>B</v>
      </c>
    </row>
    <row r="10769" spans="1:8" x14ac:dyDescent="0.2">
      <c r="A10769" t="str">
        <f t="shared" si="3892"/>
        <v>0614112452</v>
      </c>
      <c r="B10769" t="str">
        <f t="shared" si="3893"/>
        <v>NATALIA</v>
      </c>
      <c r="C10769" t="str">
        <f t="shared" si="3894"/>
        <v>MCCALL</v>
      </c>
      <c r="D10769" t="str">
        <f t="shared" si="3895"/>
        <v>09</v>
      </c>
      <c r="E10769" t="str">
        <f>"01 - A - 101 - Tina L Lovett"</f>
        <v>01 - A - 101 - Tina L Lovett</v>
      </c>
      <c r="F10769" t="str">
        <f>"ALGEBRA 1"</f>
        <v>ALGEBRA 1</v>
      </c>
      <c r="G10769" t="str">
        <f>"21-2153"</f>
        <v>21-2153</v>
      </c>
      <c r="H10769" t="str">
        <f>"A"</f>
        <v>A</v>
      </c>
    </row>
    <row r="10770" spans="1:8" x14ac:dyDescent="0.2">
      <c r="A10770" t="str">
        <f t="shared" si="3892"/>
        <v>0614112452</v>
      </c>
      <c r="B10770" t="str">
        <f t="shared" si="3893"/>
        <v>NATALIA</v>
      </c>
      <c r="C10770" t="str">
        <f t="shared" si="3894"/>
        <v>MCCALL</v>
      </c>
      <c r="D10770" t="str">
        <f t="shared" si="3895"/>
        <v>09</v>
      </c>
      <c r="E10770" t="str">
        <f>"08 - B - 202 - Dorothy D Moore"</f>
        <v>08 - B - 202 - Dorothy D Moore</v>
      </c>
      <c r="F10770" t="str">
        <f>"HEALTH SCI 1/A&amp;P HON"</f>
        <v>HEALTH SCI 1/A&amp;P HON</v>
      </c>
      <c r="G10770" t="str">
        <f>"08-803"</f>
        <v>08-803</v>
      </c>
      <c r="H10770" t="str">
        <f>"B"</f>
        <v>B</v>
      </c>
    </row>
    <row r="10771" spans="1:8" x14ac:dyDescent="0.2">
      <c r="A10771" t="str">
        <f t="shared" ref="A10771:A10778" si="3896">"0617033279"</f>
        <v>0617033279</v>
      </c>
      <c r="B10771" t="str">
        <f t="shared" ref="B10771:B10778" si="3897">"AMARA"</f>
        <v>AMARA</v>
      </c>
      <c r="C10771" t="str">
        <f t="shared" ref="C10771:C10778" si="3898">"MCCLAM"</f>
        <v>MCCLAM</v>
      </c>
      <c r="D10771" t="str">
        <f t="shared" si="3895"/>
        <v>09</v>
      </c>
      <c r="E10771" t="str">
        <f>"04 - A - 107 - Amy Beth  Broyles"</f>
        <v>04 - A - 107 - Amy Beth  Broyles</v>
      </c>
      <c r="F10771" t="str">
        <f>"ENV SCI"</f>
        <v>ENV SCI</v>
      </c>
      <c r="G10771" t="str">
        <f>"08-802"</f>
        <v>08-802</v>
      </c>
      <c r="H10771" t="str">
        <f>"A"</f>
        <v>A</v>
      </c>
    </row>
    <row r="10772" spans="1:8" x14ac:dyDescent="0.2">
      <c r="A10772" t="str">
        <f t="shared" si="3896"/>
        <v>0617033279</v>
      </c>
      <c r="B10772" t="str">
        <f t="shared" si="3897"/>
        <v>AMARA</v>
      </c>
      <c r="C10772" t="str">
        <f t="shared" si="3898"/>
        <v>MCCLAM</v>
      </c>
      <c r="D10772" t="str">
        <f t="shared" si="3895"/>
        <v>09</v>
      </c>
      <c r="E10772" t="str">
        <f>"06 - B - 105 - Tina L Lovett"</f>
        <v>06 - B - 105 - Tina L Lovett</v>
      </c>
      <c r="F10772" t="str">
        <f>"FDN SKLS MATH 9-12"</f>
        <v>FDN SKLS MATH 9-12</v>
      </c>
      <c r="G10772" t="str">
        <f>"21-2153"</f>
        <v>21-2153</v>
      </c>
      <c r="H10772" t="str">
        <f>"B"</f>
        <v>B</v>
      </c>
    </row>
    <row r="10773" spans="1:8" x14ac:dyDescent="0.2">
      <c r="A10773" t="str">
        <f t="shared" si="3896"/>
        <v>0617033279</v>
      </c>
      <c r="B10773" t="str">
        <f t="shared" si="3897"/>
        <v>AMARA</v>
      </c>
      <c r="C10773" t="str">
        <f t="shared" si="3898"/>
        <v>MCCLAM</v>
      </c>
      <c r="D10773" t="str">
        <f t="shared" si="3895"/>
        <v>09</v>
      </c>
      <c r="E10773" t="str">
        <f>"03 - A - 109 - Lissa C Frederique"</f>
        <v>03 - A - 109 - Lissa C Frederique</v>
      </c>
      <c r="F10773" t="str">
        <f>"WORLD HISTORY"</f>
        <v>WORLD HISTORY</v>
      </c>
      <c r="G10773" t="str">
        <f>"17-1754"</f>
        <v>17-1754</v>
      </c>
      <c r="H10773" t="str">
        <f>"A"</f>
        <v>A</v>
      </c>
    </row>
    <row r="10774" spans="1:8" x14ac:dyDescent="0.2">
      <c r="A10774" t="str">
        <f t="shared" si="3896"/>
        <v>0617033279</v>
      </c>
      <c r="B10774" t="str">
        <f t="shared" si="3897"/>
        <v>AMARA</v>
      </c>
      <c r="C10774" t="str">
        <f t="shared" si="3898"/>
        <v>MCCLAM</v>
      </c>
      <c r="D10774" t="str">
        <f t="shared" si="3895"/>
        <v>09</v>
      </c>
      <c r="E10774" t="str">
        <f>"02 - A - 101 - Milca  Exantus"</f>
        <v>02 - A - 101 - Milca  Exantus</v>
      </c>
      <c r="F10774" t="str">
        <f>"NC STUDY HALL 1"</f>
        <v>NC STUDY HALL 1</v>
      </c>
      <c r="G10774" t="str">
        <f>"21-2145"</f>
        <v>21-2145</v>
      </c>
      <c r="H10774" t="str">
        <f>"A"</f>
        <v>A</v>
      </c>
    </row>
    <row r="10775" spans="1:8" x14ac:dyDescent="0.2">
      <c r="A10775" t="str">
        <f t="shared" si="3896"/>
        <v>0617033279</v>
      </c>
      <c r="B10775" t="str">
        <f t="shared" si="3897"/>
        <v>AMARA</v>
      </c>
      <c r="C10775" t="str">
        <f t="shared" si="3898"/>
        <v>MCCLAM</v>
      </c>
      <c r="D10775" t="str">
        <f t="shared" si="3895"/>
        <v>09</v>
      </c>
      <c r="E10775" t="str">
        <f>"07 - B - 107 - Cerine S Stewart"</f>
        <v>07 - B - 107 - Cerine S Stewart</v>
      </c>
      <c r="F10775" t="str">
        <f>"ENG 1"</f>
        <v>ENG 1</v>
      </c>
      <c r="G10775" t="str">
        <f>"17-1720"</f>
        <v>17-1720</v>
      </c>
      <c r="H10775" t="str">
        <f>"B"</f>
        <v>B</v>
      </c>
    </row>
    <row r="10776" spans="1:8" x14ac:dyDescent="0.2">
      <c r="A10776" t="str">
        <f t="shared" si="3896"/>
        <v>0617033279</v>
      </c>
      <c r="B10776" t="str">
        <f t="shared" si="3897"/>
        <v>AMARA</v>
      </c>
      <c r="C10776" t="str">
        <f t="shared" si="3898"/>
        <v>MCCLAM</v>
      </c>
      <c r="D10776" t="str">
        <f t="shared" si="3895"/>
        <v>09</v>
      </c>
      <c r="E10776" t="str">
        <f>"05 - S1 - B - 103 - Leslie J Barton"</f>
        <v>05 - S1 - B - 103 - Leslie J Barton</v>
      </c>
      <c r="F10776" t="str">
        <f>"FIRST AID SAFETY"</f>
        <v>FIRST AID SAFETY</v>
      </c>
      <c r="G10776" t="str">
        <f>"05-521"</f>
        <v>05-521</v>
      </c>
      <c r="H10776" t="str">
        <f>"B"</f>
        <v>B</v>
      </c>
    </row>
    <row r="10777" spans="1:8" x14ac:dyDescent="0.2">
      <c r="A10777" t="str">
        <f t="shared" si="3896"/>
        <v>0617033279</v>
      </c>
      <c r="B10777" t="str">
        <f t="shared" si="3897"/>
        <v>AMARA</v>
      </c>
      <c r="C10777" t="str">
        <f t="shared" si="3898"/>
        <v>MCCLAM</v>
      </c>
      <c r="D10777" t="str">
        <f t="shared" si="3895"/>
        <v>09</v>
      </c>
      <c r="E10777" t="str">
        <f>"01 - A - 101 - Tina L Lovett"</f>
        <v>01 - A - 101 - Tina L Lovett</v>
      </c>
      <c r="F10777" t="str">
        <f>"ALGEBRA 1"</f>
        <v>ALGEBRA 1</v>
      </c>
      <c r="G10777" t="str">
        <f>"21-2153"</f>
        <v>21-2153</v>
      </c>
      <c r="H10777" t="str">
        <f>"A"</f>
        <v>A</v>
      </c>
    </row>
    <row r="10778" spans="1:8" x14ac:dyDescent="0.2">
      <c r="A10778" t="str">
        <f t="shared" si="3896"/>
        <v>0617033279</v>
      </c>
      <c r="B10778" t="str">
        <f t="shared" si="3897"/>
        <v>AMARA</v>
      </c>
      <c r="C10778" t="str">
        <f t="shared" si="3898"/>
        <v>MCCLAM</v>
      </c>
      <c r="D10778" t="str">
        <f t="shared" si="3895"/>
        <v>09</v>
      </c>
      <c r="E10778" t="str">
        <f>"08 - S1 - B - 104 - Leslie J Barton"</f>
        <v>08 - S1 - B - 104 - Leslie J Barton</v>
      </c>
      <c r="F10778" t="str">
        <f>"TEAM SPORTS 1"</f>
        <v>TEAM SPORTS 1</v>
      </c>
      <c r="G10778" t="str">
        <f>"04-254"</f>
        <v>04-254</v>
      </c>
      <c r="H10778" t="str">
        <f>"B"</f>
        <v>B</v>
      </c>
    </row>
    <row r="10779" spans="1:8" x14ac:dyDescent="0.2">
      <c r="A10779" t="str">
        <f t="shared" ref="A10779:A10786" si="3899">"0614087281"</f>
        <v>0614087281</v>
      </c>
      <c r="B10779" t="str">
        <f t="shared" ref="B10779:B10786" si="3900">"CASSIDY"</f>
        <v>CASSIDY</v>
      </c>
      <c r="C10779" t="str">
        <f t="shared" ref="C10779:C10786" si="3901">"MCCLANAHAN"</f>
        <v>MCCLANAHAN</v>
      </c>
      <c r="D10779">
        <f>11</f>
        <v>11</v>
      </c>
      <c r="E10779" t="str">
        <f>"04 - A - 102 - Jeffrey S Gallagher"</f>
        <v>04 - A - 102 - Jeffrey S Gallagher</v>
      </c>
      <c r="F10779" t="str">
        <f>"ENG HON 3"</f>
        <v>ENG HON 3</v>
      </c>
      <c r="G10779" t="str">
        <f>"17-1724"</f>
        <v>17-1724</v>
      </c>
      <c r="H10779" t="str">
        <f>"A"</f>
        <v>A</v>
      </c>
    </row>
    <row r="10780" spans="1:8" x14ac:dyDescent="0.2">
      <c r="A10780" t="str">
        <f t="shared" si="3899"/>
        <v>0614087281</v>
      </c>
      <c r="B10780" t="str">
        <f t="shared" si="3900"/>
        <v>CASSIDY</v>
      </c>
      <c r="C10780" t="str">
        <f t="shared" si="3901"/>
        <v>MCCLANAHAN</v>
      </c>
      <c r="D10780">
        <f>11</f>
        <v>11</v>
      </c>
      <c r="E10780" t="str">
        <f>"06 - B - 206 - Jacqueline R Morphet"</f>
        <v>06 - B - 206 - Jacqueline R Morphet</v>
      </c>
      <c r="F10780" t="str">
        <f>"PHYSICS 1 HON"</f>
        <v>PHYSICS 1 HON</v>
      </c>
      <c r="G10780" t="str">
        <f>"21-2138"</f>
        <v>21-2138</v>
      </c>
      <c r="H10780" t="str">
        <f>"B"</f>
        <v>B</v>
      </c>
    </row>
    <row r="10781" spans="1:8" x14ac:dyDescent="0.2">
      <c r="A10781" t="str">
        <f t="shared" si="3899"/>
        <v>0614087281</v>
      </c>
      <c r="B10781" t="str">
        <f t="shared" si="3900"/>
        <v>CASSIDY</v>
      </c>
      <c r="C10781" t="str">
        <f t="shared" si="3901"/>
        <v>MCCLANAHAN</v>
      </c>
      <c r="D10781">
        <f>11</f>
        <v>11</v>
      </c>
      <c r="E10781" t="str">
        <f>"03 - A - 101 - Chrystina M Marchionne"</f>
        <v>03 - A - 101 - Chrystina M Marchionne</v>
      </c>
      <c r="F10781" t="str">
        <f>"JOURN 2 (YB) LH"</f>
        <v>JOURN 2 (YB) LH</v>
      </c>
      <c r="G10781" t="str">
        <f>"05-520"</f>
        <v>05-520</v>
      </c>
      <c r="H10781" t="str">
        <f>"A"</f>
        <v>A</v>
      </c>
    </row>
    <row r="10782" spans="1:8" x14ac:dyDescent="0.2">
      <c r="A10782" t="str">
        <f t="shared" si="3899"/>
        <v>0614087281</v>
      </c>
      <c r="B10782" t="str">
        <f t="shared" si="3900"/>
        <v>CASSIDY</v>
      </c>
      <c r="C10782" t="str">
        <f t="shared" si="3901"/>
        <v>MCCLANAHAN</v>
      </c>
      <c r="D10782">
        <f>11</f>
        <v>11</v>
      </c>
      <c r="E10782" t="str">
        <f>"02 - A - 105 - Leslie J Barton"</f>
        <v>02 - A - 105 - Leslie J Barton</v>
      </c>
      <c r="F10782" t="str">
        <f>"NC STUDY HALL 1"</f>
        <v>NC STUDY HALL 1</v>
      </c>
      <c r="G10782" t="str">
        <f>"05-521"</f>
        <v>05-521</v>
      </c>
      <c r="H10782" t="str">
        <f>"A"</f>
        <v>A</v>
      </c>
    </row>
    <row r="10783" spans="1:8" x14ac:dyDescent="0.2">
      <c r="A10783" t="str">
        <f t="shared" si="3899"/>
        <v>0614087281</v>
      </c>
      <c r="B10783" t="str">
        <f t="shared" si="3900"/>
        <v>CASSIDY</v>
      </c>
      <c r="C10783" t="str">
        <f t="shared" si="3901"/>
        <v>MCCLANAHAN</v>
      </c>
      <c r="D10783">
        <f>11</f>
        <v>11</v>
      </c>
      <c r="E10783" t="str">
        <f>"07 - B - 204 - Stefanie S Scher"</f>
        <v>07 - B - 204 - Stefanie S Scher</v>
      </c>
      <c r="F10783" t="str">
        <f>"AP PSYCH"</f>
        <v>AP PSYCH</v>
      </c>
      <c r="G10783" t="str">
        <f>"17-1735"</f>
        <v>17-1735</v>
      </c>
      <c r="H10783" t="str">
        <f>"B"</f>
        <v>B</v>
      </c>
    </row>
    <row r="10784" spans="1:8" x14ac:dyDescent="0.2">
      <c r="A10784" t="str">
        <f t="shared" si="3899"/>
        <v>0614087281</v>
      </c>
      <c r="B10784" t="str">
        <f t="shared" si="3900"/>
        <v>CASSIDY</v>
      </c>
      <c r="C10784" t="str">
        <f t="shared" si="3901"/>
        <v>MCCLANAHAN</v>
      </c>
      <c r="D10784">
        <f>11</f>
        <v>11</v>
      </c>
      <c r="E10784" t="str">
        <f>"05 - B - 106 - Thomas G Handwerg"</f>
        <v>05 - B - 106 - Thomas G Handwerg</v>
      </c>
      <c r="F10784" t="str">
        <f>"MATH COLL ALGEBRA"</f>
        <v>MATH COLL ALGEBRA</v>
      </c>
      <c r="G10784" t="str">
        <f>"21-2146"</f>
        <v>21-2146</v>
      </c>
      <c r="H10784" t="str">
        <f>"B"</f>
        <v>B</v>
      </c>
    </row>
    <row r="10785" spans="1:8" x14ac:dyDescent="0.2">
      <c r="A10785" t="str">
        <f t="shared" si="3899"/>
        <v>0614087281</v>
      </c>
      <c r="B10785" t="str">
        <f t="shared" si="3900"/>
        <v>CASSIDY</v>
      </c>
      <c r="C10785" t="str">
        <f t="shared" si="3901"/>
        <v>MCCLANAHAN</v>
      </c>
      <c r="D10785">
        <f>11</f>
        <v>11</v>
      </c>
      <c r="E10785" t="str">
        <f>"01 - A - 104 - Jerry S Jiampetti"</f>
        <v>01 - A - 104 - Jerry S Jiampetti</v>
      </c>
      <c r="F10785" t="str">
        <f>"US HISTORY HON"</f>
        <v>US HISTORY HON</v>
      </c>
      <c r="G10785" t="str">
        <f>"17-1751"</f>
        <v>17-1751</v>
      </c>
      <c r="H10785" t="str">
        <f>"A"</f>
        <v>A</v>
      </c>
    </row>
    <row r="10786" spans="1:8" x14ac:dyDescent="0.2">
      <c r="A10786" t="str">
        <f t="shared" si="3899"/>
        <v>0614087281</v>
      </c>
      <c r="B10786" t="str">
        <f t="shared" si="3900"/>
        <v>CASSIDY</v>
      </c>
      <c r="C10786" t="str">
        <f t="shared" si="3901"/>
        <v>MCCLANAHAN</v>
      </c>
      <c r="D10786">
        <f>11</f>
        <v>11</v>
      </c>
      <c r="E10786" t="str">
        <f>"08 - S1 - B - 102 - Nahum  Saint-Preux"</f>
        <v>08 - S1 - B - 102 - Nahum  Saint-Preux</v>
      </c>
      <c r="F10786" t="str">
        <f>"CRIT THINK ST SKLS"</f>
        <v>CRIT THINK ST SKLS</v>
      </c>
      <c r="G10786" t="str">
        <f>"17-1712"</f>
        <v>17-1712</v>
      </c>
      <c r="H10786" t="str">
        <f>"B"</f>
        <v>B</v>
      </c>
    </row>
    <row r="10787" spans="1:8" x14ac:dyDescent="0.2">
      <c r="A10787" t="str">
        <f t="shared" ref="A10787:A10794" si="3902">"0615138246"</f>
        <v>0615138246</v>
      </c>
      <c r="B10787" t="str">
        <f t="shared" ref="B10787:B10794" si="3903">"IMANI"</f>
        <v>IMANI</v>
      </c>
      <c r="C10787" t="str">
        <f t="shared" ref="C10787:C10794" si="3904">"MCCLEOD"</f>
        <v>MCCLEOD</v>
      </c>
      <c r="D10787">
        <f>10</f>
        <v>10</v>
      </c>
      <c r="E10787" t="str">
        <f>"04 - A - 104 - Courtney E Hambright"</f>
        <v>04 - A - 104 - Courtney E Hambright</v>
      </c>
      <c r="F10787" t="str">
        <f>"AICE ENG LANG AS"</f>
        <v>AICE ENG LANG AS</v>
      </c>
      <c r="G10787" t="str">
        <f>"17-1711"</f>
        <v>17-1711</v>
      </c>
      <c r="H10787" t="str">
        <f>"A"</f>
        <v>A</v>
      </c>
    </row>
    <row r="10788" spans="1:8" x14ac:dyDescent="0.2">
      <c r="A10788" t="str">
        <f t="shared" si="3902"/>
        <v>0615138246</v>
      </c>
      <c r="B10788" t="str">
        <f t="shared" si="3903"/>
        <v>IMANI</v>
      </c>
      <c r="C10788" t="str">
        <f t="shared" si="3904"/>
        <v>MCCLEOD</v>
      </c>
      <c r="D10788">
        <f>10</f>
        <v>10</v>
      </c>
      <c r="E10788" t="str">
        <f>"06 - B - 104 - Robert H Rindner"</f>
        <v>06 - B - 104 - Robert H Rindner</v>
      </c>
      <c r="F10788" t="str">
        <f>"NC STUDY HALL 1"</f>
        <v>NC STUDY HALL 1</v>
      </c>
      <c r="G10788" t="str">
        <f>"21-2160"</f>
        <v>21-2160</v>
      </c>
      <c r="H10788" t="str">
        <f>"B"</f>
        <v>B</v>
      </c>
    </row>
    <row r="10789" spans="1:8" x14ac:dyDescent="0.2">
      <c r="A10789" t="str">
        <f t="shared" si="3902"/>
        <v>0615138246</v>
      </c>
      <c r="B10789" t="str">
        <f t="shared" si="3903"/>
        <v>IMANI</v>
      </c>
      <c r="C10789" t="str">
        <f t="shared" si="3904"/>
        <v>MCCLEOD</v>
      </c>
      <c r="D10789">
        <f>10</f>
        <v>10</v>
      </c>
      <c r="E10789" t="str">
        <f>"03 - A - 101 - Jazmin S Fletcher"</f>
        <v>03 - A - 101 - Jazmin S Fletcher</v>
      </c>
      <c r="F10789" t="str">
        <f>"TECH THEA DES&amp;PROD 1"</f>
        <v>TECH THEA DES&amp;PROD 1</v>
      </c>
      <c r="G10789" t="str">
        <f>"09-909"</f>
        <v>09-909</v>
      </c>
      <c r="H10789" t="str">
        <f>"A"</f>
        <v>A</v>
      </c>
    </row>
    <row r="10790" spans="1:8" x14ac:dyDescent="0.2">
      <c r="A10790" t="str">
        <f t="shared" si="3902"/>
        <v>0615138246</v>
      </c>
      <c r="B10790" t="str">
        <f t="shared" si="3903"/>
        <v>IMANI</v>
      </c>
      <c r="C10790" t="str">
        <f t="shared" si="3904"/>
        <v>MCCLEOD</v>
      </c>
      <c r="D10790">
        <f>10</f>
        <v>10</v>
      </c>
      <c r="E10790" t="str">
        <f>"02 - A - 104 - Scott A Dethloff"</f>
        <v>02 - A - 104 - Scott A Dethloff</v>
      </c>
      <c r="F10790" t="str">
        <f>"CHEMISTRY 1 HON"</f>
        <v>CHEMISTRY 1 HON</v>
      </c>
      <c r="G10790" t="str">
        <f>"08-812"</f>
        <v>08-812</v>
      </c>
      <c r="H10790" t="str">
        <f>"A"</f>
        <v>A</v>
      </c>
    </row>
    <row r="10791" spans="1:8" x14ac:dyDescent="0.2">
      <c r="A10791" t="str">
        <f t="shared" si="3902"/>
        <v>0615138246</v>
      </c>
      <c r="B10791" t="str">
        <f t="shared" si="3903"/>
        <v>IMANI</v>
      </c>
      <c r="C10791" t="str">
        <f t="shared" si="3904"/>
        <v>MCCLEOD</v>
      </c>
      <c r="D10791">
        <f>10</f>
        <v>10</v>
      </c>
      <c r="E10791" t="str">
        <f>"07 - B - 102 - Lourivaldo  Da Silva"</f>
        <v>07 - B - 102 - Lourivaldo  Da Silva</v>
      </c>
      <c r="F10791" t="str">
        <f>"ALGEBRA 2 HON"</f>
        <v>ALGEBRA 2 HON</v>
      </c>
      <c r="G10791" t="str">
        <f>"20-2079"</f>
        <v>20-2079</v>
      </c>
      <c r="H10791" t="str">
        <f>"B"</f>
        <v>B</v>
      </c>
    </row>
    <row r="10792" spans="1:8" x14ac:dyDescent="0.2">
      <c r="A10792" t="str">
        <f t="shared" si="3902"/>
        <v>0615138246</v>
      </c>
      <c r="B10792" t="str">
        <f t="shared" si="3903"/>
        <v>IMANI</v>
      </c>
      <c r="C10792" t="str">
        <f t="shared" si="3904"/>
        <v>MCCLEOD</v>
      </c>
      <c r="D10792">
        <f>10</f>
        <v>10</v>
      </c>
      <c r="E10792" t="str">
        <f>"05 - B - 205 - Rosa Elaine  Collado-Duff"</f>
        <v>05 - B - 205 - Rosa Elaine  Collado-Duff</v>
      </c>
      <c r="F10792" t="str">
        <f>"PRE-AICE SPAN 2 IG"</f>
        <v>PRE-AICE SPAN 2 IG</v>
      </c>
      <c r="G10792" t="str">
        <f>"09-913"</f>
        <v>09-913</v>
      </c>
      <c r="H10792" t="str">
        <f>"B"</f>
        <v>B</v>
      </c>
    </row>
    <row r="10793" spans="1:8" x14ac:dyDescent="0.2">
      <c r="A10793" t="str">
        <f t="shared" si="3902"/>
        <v>0615138246</v>
      </c>
      <c r="B10793" t="str">
        <f t="shared" si="3903"/>
        <v>IMANI</v>
      </c>
      <c r="C10793" t="str">
        <f t="shared" si="3904"/>
        <v>MCCLEOD</v>
      </c>
      <c r="D10793">
        <f>10</f>
        <v>10</v>
      </c>
      <c r="E10793" t="str">
        <f>"01 - A - 001 - Lenecy  Nodarse"</f>
        <v>01 - A - 001 - Lenecy  Nodarse</v>
      </c>
      <c r="F10793" t="str">
        <f>"AICE EURO HIST 1 AS"</f>
        <v>AICE EURO HIST 1 AS</v>
      </c>
      <c r="G10793" t="str">
        <f>"17-1741"</f>
        <v>17-1741</v>
      </c>
      <c r="H10793" t="str">
        <f>"A"</f>
        <v>A</v>
      </c>
    </row>
    <row r="10794" spans="1:8" x14ac:dyDescent="0.2">
      <c r="A10794" t="str">
        <f t="shared" si="3902"/>
        <v>0615138246</v>
      </c>
      <c r="B10794" t="str">
        <f t="shared" si="3903"/>
        <v>IMANI</v>
      </c>
      <c r="C10794" t="str">
        <f t="shared" si="3904"/>
        <v>MCCLEOD</v>
      </c>
      <c r="D10794">
        <f>10</f>
        <v>10</v>
      </c>
      <c r="E10794" t="str">
        <f>"08 - B - 202 - Krystal Marie  Beruty"</f>
        <v>08 - B - 202 - Krystal Marie  Beruty</v>
      </c>
      <c r="F10794" t="str">
        <f>"AICE PSYCH 1 AS"</f>
        <v>AICE PSYCH 1 AS</v>
      </c>
      <c r="G10794" t="str">
        <f>"17-1721"</f>
        <v>17-1721</v>
      </c>
      <c r="H10794" t="str">
        <f>"B"</f>
        <v>B</v>
      </c>
    </row>
    <row r="10795" spans="1:8" x14ac:dyDescent="0.2">
      <c r="A10795" t="str">
        <f t="shared" ref="A10795:A10802" si="3905">"0616014754"</f>
        <v>0616014754</v>
      </c>
      <c r="B10795" t="str">
        <f t="shared" ref="B10795:B10802" si="3906">"PHOEBE"</f>
        <v>PHOEBE</v>
      </c>
      <c r="C10795" t="str">
        <f t="shared" ref="C10795:C10802" si="3907">"MCCLUNG"</f>
        <v>MCCLUNG</v>
      </c>
      <c r="D10795">
        <f>10</f>
        <v>10</v>
      </c>
      <c r="E10795" t="str">
        <f>"04 - A - 101 - Arthur  Kulawik"</f>
        <v>04 - A - 101 - Arthur  Kulawik</v>
      </c>
      <c r="F10795" t="str">
        <f>"DEBATE 3 HON"</f>
        <v>DEBATE 3 HON</v>
      </c>
      <c r="G10795" t="str">
        <f>"05-506"</f>
        <v>05-506</v>
      </c>
      <c r="H10795" t="str">
        <f>"A"</f>
        <v>A</v>
      </c>
    </row>
    <row r="10796" spans="1:8" x14ac:dyDescent="0.2">
      <c r="A10796" t="str">
        <f t="shared" si="3905"/>
        <v>0616014754</v>
      </c>
      <c r="B10796" t="str">
        <f t="shared" si="3906"/>
        <v>PHOEBE</v>
      </c>
      <c r="C10796" t="str">
        <f t="shared" si="3907"/>
        <v>MCCLUNG</v>
      </c>
      <c r="D10796">
        <f>10</f>
        <v>10</v>
      </c>
      <c r="E10796" t="str">
        <f>"06 - B - 116 - Jordana K Hass"</f>
        <v>06 - B - 116 - Jordana K Hass</v>
      </c>
      <c r="F10796" t="str">
        <f>"NC STUDY HALL 1"</f>
        <v>NC STUDY HALL 1</v>
      </c>
      <c r="G10796" t="str">
        <f>"08-807"</f>
        <v>08-807</v>
      </c>
      <c r="H10796" t="str">
        <f>"B"</f>
        <v>B</v>
      </c>
    </row>
    <row r="10797" spans="1:8" x14ac:dyDescent="0.2">
      <c r="A10797" t="str">
        <f t="shared" si="3905"/>
        <v>0616014754</v>
      </c>
      <c r="B10797" t="str">
        <f t="shared" si="3906"/>
        <v>PHOEBE</v>
      </c>
      <c r="C10797" t="str">
        <f t="shared" si="3907"/>
        <v>MCCLUNG</v>
      </c>
      <c r="D10797">
        <f>10</f>
        <v>10</v>
      </c>
      <c r="E10797" t="str">
        <f>"03 - A - 002 - Brandy N Zdenek"</f>
        <v>03 - A - 002 - Brandy N Zdenek</v>
      </c>
      <c r="F10797" t="str">
        <f>"AICE ENG LANG AS"</f>
        <v>AICE ENG LANG AS</v>
      </c>
      <c r="G10797" t="str">
        <f>"17-1704"</f>
        <v>17-1704</v>
      </c>
      <c r="H10797" t="str">
        <f>"A"</f>
        <v>A</v>
      </c>
    </row>
    <row r="10798" spans="1:8" x14ac:dyDescent="0.2">
      <c r="A10798" t="str">
        <f t="shared" si="3905"/>
        <v>0616014754</v>
      </c>
      <c r="B10798" t="str">
        <f t="shared" si="3906"/>
        <v>PHOEBE</v>
      </c>
      <c r="C10798" t="str">
        <f t="shared" si="3907"/>
        <v>MCCLUNG</v>
      </c>
      <c r="D10798">
        <f>10</f>
        <v>10</v>
      </c>
      <c r="E10798" t="str">
        <f>"02 - A - 102 - Chrystina M Marchionne"</f>
        <v>02 - A - 102 - Chrystina M Marchionne</v>
      </c>
      <c r="F10798" t="str">
        <f>"AICE MEDIASTUDIES AS"</f>
        <v>AICE MEDIASTUDIES AS</v>
      </c>
      <c r="G10798" t="str">
        <f>"05-520"</f>
        <v>05-520</v>
      </c>
      <c r="H10798" t="str">
        <f>"A"</f>
        <v>A</v>
      </c>
    </row>
    <row r="10799" spans="1:8" x14ac:dyDescent="0.2">
      <c r="A10799" t="str">
        <f t="shared" si="3905"/>
        <v>0616014754</v>
      </c>
      <c r="B10799" t="str">
        <f t="shared" si="3906"/>
        <v>PHOEBE</v>
      </c>
      <c r="C10799" t="str">
        <f t="shared" si="3907"/>
        <v>MCCLUNG</v>
      </c>
      <c r="D10799">
        <f>10</f>
        <v>10</v>
      </c>
      <c r="E10799" t="str">
        <f>"07 - B - 204 - Elizabeth Ellen  Moran"</f>
        <v>07 - B - 204 - Elizabeth Ellen  Moran</v>
      </c>
      <c r="F10799" t="str">
        <f>"AICE EURO HIST 1 AS"</f>
        <v>AICE EURO HIST 1 AS</v>
      </c>
      <c r="G10799" t="str">
        <f>"17-1752"</f>
        <v>17-1752</v>
      </c>
      <c r="H10799" t="str">
        <f>"B"</f>
        <v>B</v>
      </c>
    </row>
    <row r="10800" spans="1:8" x14ac:dyDescent="0.2">
      <c r="A10800" t="str">
        <f t="shared" si="3905"/>
        <v>0616014754</v>
      </c>
      <c r="B10800" t="str">
        <f t="shared" si="3906"/>
        <v>PHOEBE</v>
      </c>
      <c r="C10800" t="str">
        <f t="shared" si="3907"/>
        <v>MCCLUNG</v>
      </c>
      <c r="D10800">
        <f>10</f>
        <v>10</v>
      </c>
      <c r="E10800" t="str">
        <f>"05 - B - 104 - Lourivaldo  Da Silva"</f>
        <v>05 - B - 104 - Lourivaldo  Da Silva</v>
      </c>
      <c r="F10800" t="str">
        <f>"PRE-CALCULUS HON"</f>
        <v>PRE-CALCULUS HON</v>
      </c>
      <c r="G10800" t="str">
        <f>"20-2079"</f>
        <v>20-2079</v>
      </c>
      <c r="H10800" t="str">
        <f>"B"</f>
        <v>B</v>
      </c>
    </row>
    <row r="10801" spans="1:8" x14ac:dyDescent="0.2">
      <c r="A10801" t="str">
        <f t="shared" si="3905"/>
        <v>0616014754</v>
      </c>
      <c r="B10801" t="str">
        <f t="shared" si="3906"/>
        <v>PHOEBE</v>
      </c>
      <c r="C10801" t="str">
        <f t="shared" si="3907"/>
        <v>MCCLUNG</v>
      </c>
      <c r="D10801">
        <f>10</f>
        <v>10</v>
      </c>
      <c r="E10801" t="str">
        <f>"01 - A - 107 - Valerie J Ruwe"</f>
        <v>01 - A - 107 - Valerie J Ruwe</v>
      </c>
      <c r="F10801" t="str">
        <f>"CHEMISTRY 1 HON"</f>
        <v>CHEMISTRY 1 HON</v>
      </c>
      <c r="G10801" t="str">
        <f>"21-2134"</f>
        <v>21-2134</v>
      </c>
      <c r="H10801" t="str">
        <f>"A"</f>
        <v>A</v>
      </c>
    </row>
    <row r="10802" spans="1:8" x14ac:dyDescent="0.2">
      <c r="A10802" t="str">
        <f t="shared" si="3905"/>
        <v>0616014754</v>
      </c>
      <c r="B10802" t="str">
        <f t="shared" si="3906"/>
        <v>PHOEBE</v>
      </c>
      <c r="C10802" t="str">
        <f t="shared" si="3907"/>
        <v>MCCLUNG</v>
      </c>
      <c r="D10802">
        <f>10</f>
        <v>10</v>
      </c>
      <c r="E10802" t="str">
        <f>"08 - S1 - B - 105 - James H Mccann"</f>
        <v>08 - S1 - B - 105 - James H Mccann</v>
      </c>
      <c r="F10802" t="str">
        <f>"PERS FIN &amp; MON MGT H"</f>
        <v>PERS FIN &amp; MON MGT H</v>
      </c>
      <c r="G10802" t="str">
        <f>"17-1716"</f>
        <v>17-1716</v>
      </c>
      <c r="H10802" t="str">
        <f>"B"</f>
        <v>B</v>
      </c>
    </row>
    <row r="10803" spans="1:8" x14ac:dyDescent="0.2">
      <c r="A10803" t="str">
        <f t="shared" ref="A10803:A10811" si="3908">"0612015756"</f>
        <v>0612015756</v>
      </c>
      <c r="B10803" t="str">
        <f t="shared" ref="B10803:B10811" si="3909">"JAMES"</f>
        <v>JAMES</v>
      </c>
      <c r="C10803" t="str">
        <f t="shared" ref="C10803:C10811" si="3910">"MCCONVILLE"</f>
        <v>MCCONVILLE</v>
      </c>
      <c r="D10803">
        <f>12</f>
        <v>12</v>
      </c>
      <c r="E10803" t="str">
        <f>"04 - S1 - A - 101 - Leslie J Barton"</f>
        <v>04 - S1 - A - 101 - Leslie J Barton</v>
      </c>
      <c r="F10803" t="str">
        <f>"TEAM SPORTS 1"</f>
        <v>TEAM SPORTS 1</v>
      </c>
      <c r="G10803" t="str">
        <f>"04-254"</f>
        <v>04-254</v>
      </c>
      <c r="H10803" t="str">
        <f>"A"</f>
        <v>A</v>
      </c>
    </row>
    <row r="10804" spans="1:8" x14ac:dyDescent="0.2">
      <c r="A10804" t="str">
        <f t="shared" si="3908"/>
        <v>0612015756</v>
      </c>
      <c r="B10804" t="str">
        <f t="shared" si="3909"/>
        <v>JAMES</v>
      </c>
      <c r="C10804" t="str">
        <f t="shared" si="3910"/>
        <v>MCCONVILLE</v>
      </c>
      <c r="D10804">
        <f>12</f>
        <v>12</v>
      </c>
      <c r="E10804" t="str">
        <f>"06 - B - 105 - Robyn L Trainer"</f>
        <v>06 - B - 105 - Robyn L Trainer</v>
      </c>
      <c r="F10804" t="str">
        <f>"NC STUDY HALL 1"</f>
        <v>NC STUDY HALL 1</v>
      </c>
      <c r="G10804" t="str">
        <f>"17-1734"</f>
        <v>17-1734</v>
      </c>
      <c r="H10804" t="str">
        <f>"B"</f>
        <v>B</v>
      </c>
    </row>
    <row r="10805" spans="1:8" x14ac:dyDescent="0.2">
      <c r="A10805" t="str">
        <f t="shared" si="3908"/>
        <v>0612015756</v>
      </c>
      <c r="B10805" t="str">
        <f t="shared" si="3909"/>
        <v>JAMES</v>
      </c>
      <c r="C10805" t="str">
        <f t="shared" si="3910"/>
        <v>MCCONVILLE</v>
      </c>
      <c r="D10805">
        <f>12</f>
        <v>12</v>
      </c>
      <c r="E10805" t="str">
        <f>"06 - B - 116 - Karen A Toomer"</f>
        <v>06 - B - 116 - Karen A Toomer</v>
      </c>
      <c r="F10805" t="str">
        <f>"LANG THERAPY"</f>
        <v>LANG THERAPY</v>
      </c>
      <c r="G10805" t="str">
        <f>"21-2110"</f>
        <v>21-2110</v>
      </c>
      <c r="H10805" t="str">
        <f>"B"</f>
        <v>B</v>
      </c>
    </row>
    <row r="10806" spans="1:8" x14ac:dyDescent="0.2">
      <c r="A10806" t="str">
        <f t="shared" si="3908"/>
        <v>0612015756</v>
      </c>
      <c r="B10806" t="str">
        <f t="shared" si="3909"/>
        <v>JAMES</v>
      </c>
      <c r="C10806" t="str">
        <f t="shared" si="3910"/>
        <v>MCCONVILLE</v>
      </c>
      <c r="D10806">
        <f>12</f>
        <v>12</v>
      </c>
      <c r="E10806" t="str">
        <f>"03 - S1 - A - 002 - Barbara L Segal"</f>
        <v>03 - S1 - A - 002 - Barbara L Segal</v>
      </c>
      <c r="F10806" t="str">
        <f>"US GOVT"</f>
        <v>US GOVT</v>
      </c>
      <c r="G10806" t="str">
        <f>"17-1742"</f>
        <v>17-1742</v>
      </c>
      <c r="H10806" t="str">
        <f>"A"</f>
        <v>A</v>
      </c>
    </row>
    <row r="10807" spans="1:8" x14ac:dyDescent="0.2">
      <c r="A10807" t="str">
        <f t="shared" si="3908"/>
        <v>0612015756</v>
      </c>
      <c r="B10807" t="str">
        <f t="shared" si="3909"/>
        <v>JAMES</v>
      </c>
      <c r="C10807" t="str">
        <f t="shared" si="3910"/>
        <v>MCCONVILLE</v>
      </c>
      <c r="D10807">
        <f>12</f>
        <v>12</v>
      </c>
      <c r="E10807" t="str">
        <f>"02 - A - 101 - Robert H Rindner"</f>
        <v>02 - A - 101 - Robert H Rindner</v>
      </c>
      <c r="F10807" t="str">
        <f>"MATH DATA&amp;FIN LIT H"</f>
        <v>MATH DATA&amp;FIN LIT H</v>
      </c>
      <c r="G10807" t="str">
        <f>"21-2160"</f>
        <v>21-2160</v>
      </c>
      <c r="H10807" t="str">
        <f>"A"</f>
        <v>A</v>
      </c>
    </row>
    <row r="10808" spans="1:8" x14ac:dyDescent="0.2">
      <c r="A10808" t="str">
        <f t="shared" si="3908"/>
        <v>0612015756</v>
      </c>
      <c r="B10808" t="str">
        <f t="shared" si="3909"/>
        <v>JAMES</v>
      </c>
      <c r="C10808" t="str">
        <f t="shared" si="3910"/>
        <v>MCCONVILLE</v>
      </c>
      <c r="D10808">
        <f>12</f>
        <v>12</v>
      </c>
      <c r="E10808" t="str">
        <f>"07 - B - 101 - Bruce A Evans"</f>
        <v>07 - B - 101 - Bruce A Evans</v>
      </c>
      <c r="F10808" t="str">
        <f>"FIREFIGHTING 1 LH"</f>
        <v>FIREFIGHTING 1 LH</v>
      </c>
      <c r="G10808" t="str">
        <f>"21-2142"</f>
        <v>21-2142</v>
      </c>
      <c r="H10808" t="str">
        <f>"B"</f>
        <v>B</v>
      </c>
    </row>
    <row r="10809" spans="1:8" x14ac:dyDescent="0.2">
      <c r="A10809" t="str">
        <f t="shared" si="3908"/>
        <v>0612015756</v>
      </c>
      <c r="B10809" t="str">
        <f t="shared" si="3909"/>
        <v>JAMES</v>
      </c>
      <c r="C10809" t="str">
        <f t="shared" si="3910"/>
        <v>MCCONVILLE</v>
      </c>
      <c r="D10809">
        <f>12</f>
        <v>12</v>
      </c>
      <c r="E10809" t="str">
        <f>"05 - B - 204 - Cliffon  Saurel"</f>
        <v>05 - B - 204 - Cliffon  Saurel</v>
      </c>
      <c r="F10809" t="str">
        <f>"PHYSICAL SCI"</f>
        <v>PHYSICAL SCI</v>
      </c>
      <c r="G10809" t="str">
        <f>"05-522"</f>
        <v>05-522</v>
      </c>
      <c r="H10809" t="str">
        <f>"B"</f>
        <v>B</v>
      </c>
    </row>
    <row r="10810" spans="1:8" x14ac:dyDescent="0.2">
      <c r="A10810" t="str">
        <f t="shared" si="3908"/>
        <v>0612015756</v>
      </c>
      <c r="B10810" t="str">
        <f t="shared" si="3909"/>
        <v>JAMES</v>
      </c>
      <c r="C10810" t="str">
        <f t="shared" si="3910"/>
        <v>MCCONVILLE</v>
      </c>
      <c r="D10810">
        <f>12</f>
        <v>12</v>
      </c>
      <c r="E10810" t="str">
        <f>"01 - A - 103 - Robyn L Trainer"</f>
        <v>01 - A - 103 - Robyn L Trainer</v>
      </c>
      <c r="F10810" t="str">
        <f>"ENG 4"</f>
        <v>ENG 4</v>
      </c>
      <c r="G10810" t="str">
        <f>"17-1734"</f>
        <v>17-1734</v>
      </c>
      <c r="H10810" t="str">
        <f>"A"</f>
        <v>A</v>
      </c>
    </row>
    <row r="10811" spans="1:8" x14ac:dyDescent="0.2">
      <c r="A10811" t="str">
        <f t="shared" si="3908"/>
        <v>0612015756</v>
      </c>
      <c r="B10811" t="str">
        <f t="shared" si="3909"/>
        <v>JAMES</v>
      </c>
      <c r="C10811" t="str">
        <f t="shared" si="3910"/>
        <v>MCCONVILLE</v>
      </c>
      <c r="D10811">
        <f>12</f>
        <v>12</v>
      </c>
      <c r="E10811" t="str">
        <f>"08 - S1 - B - 101 - Amy Beth  Broyles"</f>
        <v>08 - S1 - B - 101 - Amy Beth  Broyles</v>
      </c>
      <c r="F10811" t="str">
        <f>"PEER COUN 3"</f>
        <v>PEER COUN 3</v>
      </c>
      <c r="G10811" t="str">
        <f>"17-1713"</f>
        <v>17-1713</v>
      </c>
      <c r="H10811" t="str">
        <f>"B"</f>
        <v>B</v>
      </c>
    </row>
    <row r="10812" spans="1:8" x14ac:dyDescent="0.2">
      <c r="A10812" t="str">
        <f t="shared" ref="A10812:A10819" si="3911">"0621040239"</f>
        <v>0621040239</v>
      </c>
      <c r="B10812" t="str">
        <f t="shared" ref="B10812:B10819" si="3912">"SEAN"</f>
        <v>SEAN</v>
      </c>
      <c r="C10812" t="str">
        <f t="shared" ref="C10812:C10819" si="3913">"MCCORD"</f>
        <v>MCCORD</v>
      </c>
      <c r="D10812">
        <f>10</f>
        <v>10</v>
      </c>
      <c r="E10812" t="str">
        <f>"04 - A - 105 - Jacquelyn M Neeson"</f>
        <v>04 - A - 105 - Jacquelyn M Neeson</v>
      </c>
      <c r="F10812" t="str">
        <f>"ENG 2"</f>
        <v>ENG 2</v>
      </c>
      <c r="G10812" t="str">
        <f>"17-1715"</f>
        <v>17-1715</v>
      </c>
      <c r="H10812" t="str">
        <f>"A"</f>
        <v>A</v>
      </c>
    </row>
    <row r="10813" spans="1:8" x14ac:dyDescent="0.2">
      <c r="A10813" t="str">
        <f t="shared" si="3911"/>
        <v>0621040239</v>
      </c>
      <c r="B10813" t="str">
        <f t="shared" si="3912"/>
        <v>SEAN</v>
      </c>
      <c r="C10813" t="str">
        <f t="shared" si="3913"/>
        <v>MCCORD</v>
      </c>
      <c r="D10813">
        <f>10</f>
        <v>10</v>
      </c>
      <c r="E10813" t="str">
        <f>"06 - B - 104 - Robert H Rindner"</f>
        <v>06 - B - 104 - Robert H Rindner</v>
      </c>
      <c r="F10813" t="str">
        <f>"NC STUDY HALL 1"</f>
        <v>NC STUDY HALL 1</v>
      </c>
      <c r="G10813" t="str">
        <f>"21-2160"</f>
        <v>21-2160</v>
      </c>
      <c r="H10813" t="str">
        <f>"B"</f>
        <v>B</v>
      </c>
    </row>
    <row r="10814" spans="1:8" x14ac:dyDescent="0.2">
      <c r="A10814" t="str">
        <f t="shared" si="3911"/>
        <v>0621040239</v>
      </c>
      <c r="B10814" t="str">
        <f t="shared" si="3912"/>
        <v>SEAN</v>
      </c>
      <c r="C10814" t="str">
        <f t="shared" si="3913"/>
        <v>MCCORD</v>
      </c>
      <c r="D10814">
        <f>10</f>
        <v>10</v>
      </c>
      <c r="E10814" t="str">
        <f>"03 - A - 208 - Marielle A Witting"</f>
        <v>03 - A - 208 - Marielle A Witting</v>
      </c>
      <c r="F10814" t="str">
        <f>"ANAT PHYSIO"</f>
        <v>ANAT PHYSIO</v>
      </c>
      <c r="G10814" t="str">
        <f>"08-805"</f>
        <v>08-805</v>
      </c>
      <c r="H10814" t="str">
        <f>"A"</f>
        <v>A</v>
      </c>
    </row>
    <row r="10815" spans="1:8" x14ac:dyDescent="0.2">
      <c r="A10815" t="str">
        <f t="shared" si="3911"/>
        <v>0621040239</v>
      </c>
      <c r="B10815" t="str">
        <f t="shared" si="3912"/>
        <v>SEAN</v>
      </c>
      <c r="C10815" t="str">
        <f t="shared" si="3913"/>
        <v>MCCORD</v>
      </c>
      <c r="D10815">
        <f>10</f>
        <v>10</v>
      </c>
      <c r="E10815" t="str">
        <f>"02 - S1 - A - 102 - Richard E Dunbar Iii"</f>
        <v>02 - S1 - A - 102 - Richard E Dunbar Iii</v>
      </c>
      <c r="F10815" t="str">
        <f>"WEIGHT TRAIN 1"</f>
        <v>WEIGHT TRAIN 1</v>
      </c>
      <c r="G10815" t="str">
        <f>"05-501"</f>
        <v>05-501</v>
      </c>
      <c r="H10815" t="str">
        <f>"A"</f>
        <v>A</v>
      </c>
    </row>
    <row r="10816" spans="1:8" x14ac:dyDescent="0.2">
      <c r="A10816" t="str">
        <f t="shared" si="3911"/>
        <v>0621040239</v>
      </c>
      <c r="B10816" t="str">
        <f t="shared" si="3912"/>
        <v>SEAN</v>
      </c>
      <c r="C10816" t="str">
        <f t="shared" si="3913"/>
        <v>MCCORD</v>
      </c>
      <c r="D10816">
        <f>10</f>
        <v>10</v>
      </c>
      <c r="E10816" t="str">
        <f>"07 - B - 001 - Maried P Ramos"</f>
        <v>07 - B - 001 - Maried P Ramos</v>
      </c>
      <c r="F10816" t="str">
        <f>"GEOMETRY"</f>
        <v>GEOMETRY</v>
      </c>
      <c r="G10816" t="str">
        <f>"21-2159"</f>
        <v>21-2159</v>
      </c>
      <c r="H10816" t="str">
        <f>"B"</f>
        <v>B</v>
      </c>
    </row>
    <row r="10817" spans="1:8" x14ac:dyDescent="0.2">
      <c r="A10817" t="str">
        <f t="shared" si="3911"/>
        <v>0621040239</v>
      </c>
      <c r="B10817" t="str">
        <f t="shared" si="3912"/>
        <v>SEAN</v>
      </c>
      <c r="C10817" t="str">
        <f t="shared" si="3913"/>
        <v>MCCORD</v>
      </c>
      <c r="D10817">
        <f>10</f>
        <v>10</v>
      </c>
      <c r="E10817" t="str">
        <f>"05 - S1 - B - 103 - Leslie J Barton"</f>
        <v>05 - S1 - B - 103 - Leslie J Barton</v>
      </c>
      <c r="F10817" t="str">
        <f>"FIRST AID SAFETY"</f>
        <v>FIRST AID SAFETY</v>
      </c>
      <c r="G10817" t="str">
        <f>"05-521"</f>
        <v>05-521</v>
      </c>
      <c r="H10817" t="str">
        <f>"B"</f>
        <v>B</v>
      </c>
    </row>
    <row r="10818" spans="1:8" x14ac:dyDescent="0.2">
      <c r="A10818" t="str">
        <f t="shared" si="3911"/>
        <v>0621040239</v>
      </c>
      <c r="B10818" t="str">
        <f t="shared" si="3912"/>
        <v>SEAN</v>
      </c>
      <c r="C10818" t="str">
        <f t="shared" si="3913"/>
        <v>MCCORD</v>
      </c>
      <c r="D10818">
        <f>10</f>
        <v>10</v>
      </c>
      <c r="E10818" t="str">
        <f>"01 - S1 - A - 101 - Carol S Moore"</f>
        <v>01 - S1 - A - 101 - Carol S Moore</v>
      </c>
      <c r="F10818" t="str">
        <f>"PERS FIN &amp; MON MGT H"</f>
        <v>PERS FIN &amp; MON MGT H</v>
      </c>
      <c r="G10818" t="str">
        <f>"17-1733"</f>
        <v>17-1733</v>
      </c>
      <c r="H10818" t="str">
        <f>"A"</f>
        <v>A</v>
      </c>
    </row>
    <row r="10819" spans="1:8" x14ac:dyDescent="0.2">
      <c r="A10819" t="str">
        <f t="shared" si="3911"/>
        <v>0621040239</v>
      </c>
      <c r="B10819" t="str">
        <f t="shared" si="3912"/>
        <v>SEAN</v>
      </c>
      <c r="C10819" t="str">
        <f t="shared" si="3913"/>
        <v>MCCORD</v>
      </c>
      <c r="D10819">
        <f>10</f>
        <v>10</v>
      </c>
      <c r="E10819" t="str">
        <f>"08 - S1 - B - 104 - Angela S Adeshina-Morrison"</f>
        <v>08 - S1 - B - 104 - Angela S Adeshina-Morrison</v>
      </c>
      <c r="F10819" t="str">
        <f>"PEER COUN 1"</f>
        <v>PEER COUN 1</v>
      </c>
      <c r="G10819" t="str">
        <f>"05-518"</f>
        <v>05-518</v>
      </c>
      <c r="H10819" t="str">
        <f>"B"</f>
        <v>B</v>
      </c>
    </row>
    <row r="10820" spans="1:8" x14ac:dyDescent="0.2">
      <c r="A10820" t="str">
        <f t="shared" ref="A10820:A10828" si="3914">"0614018552"</f>
        <v>0614018552</v>
      </c>
      <c r="B10820" t="str">
        <f t="shared" ref="B10820:B10828" si="3915">"DILLON"</f>
        <v>DILLON</v>
      </c>
      <c r="C10820" t="str">
        <f t="shared" ref="C10820:C10828" si="3916">"MCCORMICK"</f>
        <v>MCCORMICK</v>
      </c>
      <c r="D10820">
        <f>12</f>
        <v>12</v>
      </c>
      <c r="E10820" t="str">
        <f>"04 - S1 - A - 101 - Nahum  Saint-Preux"</f>
        <v>04 - S1 - A - 101 - Nahum  Saint-Preux</v>
      </c>
      <c r="F10820" t="str">
        <f>"CRIT THINK ST SKLS"</f>
        <v>CRIT THINK ST SKLS</v>
      </c>
      <c r="G10820" t="str">
        <f>"17-1712"</f>
        <v>17-1712</v>
      </c>
      <c r="H10820" t="str">
        <f>"A"</f>
        <v>A</v>
      </c>
    </row>
    <row r="10821" spans="1:8" x14ac:dyDescent="0.2">
      <c r="A10821" t="str">
        <f t="shared" si="3914"/>
        <v>0614018552</v>
      </c>
      <c r="B10821" t="str">
        <f t="shared" si="3915"/>
        <v>DILLON</v>
      </c>
      <c r="C10821" t="str">
        <f t="shared" si="3916"/>
        <v>MCCORMICK</v>
      </c>
      <c r="D10821">
        <f>12</f>
        <v>12</v>
      </c>
      <c r="E10821" t="str">
        <f>"06 - B - 114 - Lisa J London"</f>
        <v>06 - B - 114 - Lisa J London</v>
      </c>
      <c r="F10821" t="str">
        <f>"NC STUDY HALL 1"</f>
        <v>NC STUDY HALL 1</v>
      </c>
      <c r="G10821" t="str">
        <f>"17-1714"</f>
        <v>17-1714</v>
      </c>
      <c r="H10821" t="str">
        <f>"B"</f>
        <v>B</v>
      </c>
    </row>
    <row r="10822" spans="1:8" x14ac:dyDescent="0.2">
      <c r="A10822" t="str">
        <f t="shared" si="3914"/>
        <v>0614018552</v>
      </c>
      <c r="B10822" t="str">
        <f t="shared" si="3915"/>
        <v>DILLON</v>
      </c>
      <c r="C10822" t="str">
        <f t="shared" si="3916"/>
        <v>MCCORMICK</v>
      </c>
      <c r="D10822">
        <f>12</f>
        <v>12</v>
      </c>
      <c r="E10822" t="str">
        <f>"06 - B - 116 - Karen A Toomer"</f>
        <v>06 - B - 116 - Karen A Toomer</v>
      </c>
      <c r="F10822" t="str">
        <f>"LANG THERAPY"</f>
        <v>LANG THERAPY</v>
      </c>
      <c r="G10822" t="str">
        <f>"21-2110"</f>
        <v>21-2110</v>
      </c>
      <c r="H10822" t="str">
        <f>"B"</f>
        <v>B</v>
      </c>
    </row>
    <row r="10823" spans="1:8" x14ac:dyDescent="0.2">
      <c r="A10823" t="str">
        <f t="shared" si="3914"/>
        <v>0614018552</v>
      </c>
      <c r="B10823" t="str">
        <f t="shared" si="3915"/>
        <v>DILLON</v>
      </c>
      <c r="C10823" t="str">
        <f t="shared" si="3916"/>
        <v>MCCORMICK</v>
      </c>
      <c r="D10823">
        <f>12</f>
        <v>12</v>
      </c>
      <c r="E10823" t="str">
        <f>"03 - A - 101 - Jeffrey S Gallagher"</f>
        <v>03 - A - 101 - Jeffrey S Gallagher</v>
      </c>
      <c r="F10823" t="str">
        <f>"ENG HON 4"</f>
        <v>ENG HON 4</v>
      </c>
      <c r="G10823" t="str">
        <f>"17-1724"</f>
        <v>17-1724</v>
      </c>
      <c r="H10823" t="str">
        <f>"A"</f>
        <v>A</v>
      </c>
    </row>
    <row r="10824" spans="1:8" x14ac:dyDescent="0.2">
      <c r="A10824" t="str">
        <f t="shared" si="3914"/>
        <v>0614018552</v>
      </c>
      <c r="B10824" t="str">
        <f t="shared" si="3915"/>
        <v>DILLON</v>
      </c>
      <c r="C10824" t="str">
        <f t="shared" si="3916"/>
        <v>MCCORMICK</v>
      </c>
      <c r="D10824">
        <f>12</f>
        <v>12</v>
      </c>
      <c r="E10824" t="str">
        <f>"02 - A - 102 - Daniel S Tyson"</f>
        <v>02 - A - 102 - Daniel S Tyson</v>
      </c>
      <c r="F10824" t="str">
        <f>"JROTC NAVAL SCI 4"</f>
        <v>JROTC NAVAL SCI 4</v>
      </c>
      <c r="G10824" t="str">
        <f>"05-510"</f>
        <v>05-510</v>
      </c>
      <c r="H10824" t="str">
        <f>"A"</f>
        <v>A</v>
      </c>
    </row>
    <row r="10825" spans="1:8" x14ac:dyDescent="0.2">
      <c r="A10825" t="str">
        <f t="shared" si="3914"/>
        <v>0614018552</v>
      </c>
      <c r="B10825" t="str">
        <f t="shared" si="3915"/>
        <v>DILLON</v>
      </c>
      <c r="C10825" t="str">
        <f t="shared" si="3916"/>
        <v>MCCORMICK</v>
      </c>
      <c r="D10825">
        <f>12</f>
        <v>12</v>
      </c>
      <c r="E10825" t="str">
        <f>"07 - B - 105 - Robert H Rindner"</f>
        <v>07 - B - 105 - Robert H Rindner</v>
      </c>
      <c r="F10825" t="str">
        <f>"MATH DATA&amp;FIN LIT H"</f>
        <v>MATH DATA&amp;FIN LIT H</v>
      </c>
      <c r="G10825" t="str">
        <f>"21-2160"</f>
        <v>21-2160</v>
      </c>
      <c r="H10825" t="str">
        <f>"B"</f>
        <v>B</v>
      </c>
    </row>
    <row r="10826" spans="1:8" x14ac:dyDescent="0.2">
      <c r="A10826" t="str">
        <f t="shared" si="3914"/>
        <v>0614018552</v>
      </c>
      <c r="B10826" t="str">
        <f t="shared" si="3915"/>
        <v>DILLON</v>
      </c>
      <c r="C10826" t="str">
        <f t="shared" si="3916"/>
        <v>MCCORMICK</v>
      </c>
      <c r="D10826">
        <f>12</f>
        <v>12</v>
      </c>
      <c r="E10826" t="str">
        <f>"05 - B - 201 - Lisa J London"</f>
        <v>05 - B - 201 - Lisa J London</v>
      </c>
      <c r="F10826" t="str">
        <f>"COMPRE LAW HON"</f>
        <v>COMPRE LAW HON</v>
      </c>
      <c r="G10826" t="str">
        <f>"17-1714"</f>
        <v>17-1714</v>
      </c>
      <c r="H10826" t="str">
        <f>"B"</f>
        <v>B</v>
      </c>
    </row>
    <row r="10827" spans="1:8" x14ac:dyDescent="0.2">
      <c r="A10827" t="str">
        <f t="shared" si="3914"/>
        <v>0614018552</v>
      </c>
      <c r="B10827" t="str">
        <f t="shared" si="3915"/>
        <v>DILLON</v>
      </c>
      <c r="C10827" t="str">
        <f t="shared" si="3916"/>
        <v>MCCORMICK</v>
      </c>
      <c r="D10827">
        <f>12</f>
        <v>12</v>
      </c>
      <c r="E10827" t="str">
        <f>"01 - S1 - A - 101 - Barbara L Segal"</f>
        <v>01 - S1 - A - 101 - Barbara L Segal</v>
      </c>
      <c r="F10827" t="str">
        <f>"US GOVT HON"</f>
        <v>US GOVT HON</v>
      </c>
      <c r="G10827" t="str">
        <f>"17-1742"</f>
        <v>17-1742</v>
      </c>
      <c r="H10827" t="str">
        <f>"A"</f>
        <v>A</v>
      </c>
    </row>
    <row r="10828" spans="1:8" x14ac:dyDescent="0.2">
      <c r="A10828" t="str">
        <f t="shared" si="3914"/>
        <v>0614018552</v>
      </c>
      <c r="B10828" t="str">
        <f t="shared" si="3915"/>
        <v>DILLON</v>
      </c>
      <c r="C10828" t="str">
        <f t="shared" si="3916"/>
        <v>MCCORMICK</v>
      </c>
      <c r="D10828">
        <f>12</f>
        <v>12</v>
      </c>
      <c r="E10828" t="str">
        <f>"08 - B - 101 - Marius D Orsolini"</f>
        <v>08 - B - 101 - Marius D Orsolini</v>
      </c>
      <c r="F10828" t="str">
        <f>"CULINARY ARTS 3 HON"</f>
        <v>CULINARY ARTS 3 HON</v>
      </c>
      <c r="G10828" t="str">
        <f>"21-2115"</f>
        <v>21-2115</v>
      </c>
      <c r="H10828" t="str">
        <f>"B"</f>
        <v>B</v>
      </c>
    </row>
    <row r="10829" spans="1:8" x14ac:dyDescent="0.2">
      <c r="A10829" t="str">
        <f t="shared" ref="A10829:A10836" si="3917">"0623100300"</f>
        <v>0623100300</v>
      </c>
      <c r="B10829" t="str">
        <f t="shared" ref="B10829:B10836" si="3918">"CONNEL"</f>
        <v>CONNEL</v>
      </c>
      <c r="C10829" t="str">
        <f t="shared" ref="C10829:C10836" si="3919">"MCCRACKEN-RAHAMAN"</f>
        <v>MCCRACKEN-RAHAMAN</v>
      </c>
      <c r="D10829">
        <f>10</f>
        <v>10</v>
      </c>
      <c r="E10829" t="str">
        <f>"04 - S1 - A - 103 - James H Mccann"</f>
        <v>04 - S1 - A - 103 - James H Mccann</v>
      </c>
      <c r="F10829" t="str">
        <f>"PERS FIN &amp; MON MGT H"</f>
        <v>PERS FIN &amp; MON MGT H</v>
      </c>
      <c r="G10829" t="str">
        <f>"17-1716"</f>
        <v>17-1716</v>
      </c>
      <c r="H10829" t="str">
        <f>"A"</f>
        <v>A</v>
      </c>
    </row>
    <row r="10830" spans="1:8" x14ac:dyDescent="0.2">
      <c r="A10830" t="str">
        <f t="shared" si="3917"/>
        <v>0623100300</v>
      </c>
      <c r="B10830" t="str">
        <f t="shared" si="3918"/>
        <v>CONNEL</v>
      </c>
      <c r="C10830" t="str">
        <f t="shared" si="3919"/>
        <v>MCCRACKEN-RAHAMAN</v>
      </c>
      <c r="D10830">
        <f>10</f>
        <v>10</v>
      </c>
      <c r="E10830" t="str">
        <f>"06 - B - 104 - Robert H Rindner"</f>
        <v>06 - B - 104 - Robert H Rindner</v>
      </c>
      <c r="F10830" t="str">
        <f>"NC STUDY HALL 1"</f>
        <v>NC STUDY HALL 1</v>
      </c>
      <c r="G10830" t="str">
        <f>"21-2160"</f>
        <v>21-2160</v>
      </c>
      <c r="H10830" t="str">
        <f>"B"</f>
        <v>B</v>
      </c>
    </row>
    <row r="10831" spans="1:8" x14ac:dyDescent="0.2">
      <c r="A10831" t="str">
        <f t="shared" si="3917"/>
        <v>0623100300</v>
      </c>
      <c r="B10831" t="str">
        <f t="shared" si="3918"/>
        <v>CONNEL</v>
      </c>
      <c r="C10831" t="str">
        <f t="shared" si="3919"/>
        <v>MCCRACKEN-RAHAMAN</v>
      </c>
      <c r="D10831">
        <f>10</f>
        <v>10</v>
      </c>
      <c r="E10831" t="str">
        <f>"03 - A - 001 - Maried P Ramos"</f>
        <v>03 - A - 001 - Maried P Ramos</v>
      </c>
      <c r="F10831" t="str">
        <f>"PRE-AICE MATH 2 IG"</f>
        <v>PRE-AICE MATH 2 IG</v>
      </c>
      <c r="G10831" t="str">
        <f>"21-2159"</f>
        <v>21-2159</v>
      </c>
      <c r="H10831" t="str">
        <f>"A"</f>
        <v>A</v>
      </c>
    </row>
    <row r="10832" spans="1:8" x14ac:dyDescent="0.2">
      <c r="A10832" t="str">
        <f t="shared" si="3917"/>
        <v>0623100300</v>
      </c>
      <c r="B10832" t="str">
        <f t="shared" si="3918"/>
        <v>CONNEL</v>
      </c>
      <c r="C10832" t="str">
        <f t="shared" si="3919"/>
        <v>MCCRACKEN-RAHAMAN</v>
      </c>
      <c r="D10832">
        <f>10</f>
        <v>10</v>
      </c>
      <c r="E10832" t="str">
        <f>"02 - A - 102 - Vanessa J Liburd"</f>
        <v>02 - A - 102 - Vanessa J Liburd</v>
      </c>
      <c r="F10832" t="str">
        <f>"PRE-AICE FRENCH 2 IG"</f>
        <v>PRE-AICE FRENCH 2 IG</v>
      </c>
      <c r="G10832" t="str">
        <f>"05-519"</f>
        <v>05-519</v>
      </c>
      <c r="H10832" t="str">
        <f>"A"</f>
        <v>A</v>
      </c>
    </row>
    <row r="10833" spans="1:8" x14ac:dyDescent="0.2">
      <c r="A10833" t="str">
        <f t="shared" si="3917"/>
        <v>0623100300</v>
      </c>
      <c r="B10833" t="str">
        <f t="shared" si="3918"/>
        <v>CONNEL</v>
      </c>
      <c r="C10833" t="str">
        <f t="shared" si="3919"/>
        <v>MCCRACKEN-RAHAMAN</v>
      </c>
      <c r="D10833">
        <f>10</f>
        <v>10</v>
      </c>
      <c r="E10833" t="str">
        <f>"07 - B - 101 - Lisa  Quinn"</f>
        <v>07 - B - 101 - Lisa  Quinn</v>
      </c>
      <c r="F10833" t="str">
        <f>"RESEARCH 1"</f>
        <v>RESEARCH 1</v>
      </c>
      <c r="G10833" t="str">
        <f>"17-1725"</f>
        <v>17-1725</v>
      </c>
      <c r="H10833" t="str">
        <f>"B"</f>
        <v>B</v>
      </c>
    </row>
    <row r="10834" spans="1:8" x14ac:dyDescent="0.2">
      <c r="A10834" t="str">
        <f t="shared" si="3917"/>
        <v>0623100300</v>
      </c>
      <c r="B10834" t="str">
        <f t="shared" si="3918"/>
        <v>CONNEL</v>
      </c>
      <c r="C10834" t="str">
        <f t="shared" si="3919"/>
        <v>MCCRACKEN-RAHAMAN</v>
      </c>
      <c r="D10834">
        <f>10</f>
        <v>10</v>
      </c>
      <c r="E10834" t="str">
        <f>"05 - B - 103 - Byron G Montenegro"</f>
        <v>05 - B - 103 - Byron G Montenegro</v>
      </c>
      <c r="F10834" t="str">
        <f>"AICE MARINE SCI 1 AS"</f>
        <v>AICE MARINE SCI 1 AS</v>
      </c>
      <c r="G10834" t="str">
        <f>"21-2144"</f>
        <v>21-2144</v>
      </c>
      <c r="H10834" t="str">
        <f>"B"</f>
        <v>B</v>
      </c>
    </row>
    <row r="10835" spans="1:8" x14ac:dyDescent="0.2">
      <c r="A10835" t="str">
        <f t="shared" si="3917"/>
        <v>0623100300</v>
      </c>
      <c r="B10835" t="str">
        <f t="shared" si="3918"/>
        <v>CONNEL</v>
      </c>
      <c r="C10835" t="str">
        <f t="shared" si="3919"/>
        <v>MCCRACKEN-RAHAMAN</v>
      </c>
      <c r="D10835">
        <f>10</f>
        <v>10</v>
      </c>
      <c r="E10835" t="str">
        <f>"01 - A - 006 - Emmily A Sarmiento"</f>
        <v>01 - A - 006 - Emmily A Sarmiento</v>
      </c>
      <c r="F10835" t="str">
        <f>"AICE GLBL PERSP 1 AS"</f>
        <v>AICE GLBL PERSP 1 AS</v>
      </c>
      <c r="G10835" t="str">
        <f>"17-1743"</f>
        <v>17-1743</v>
      </c>
      <c r="H10835" t="str">
        <f>"A"</f>
        <v>A</v>
      </c>
    </row>
    <row r="10836" spans="1:8" x14ac:dyDescent="0.2">
      <c r="A10836" t="str">
        <f t="shared" si="3917"/>
        <v>0623100300</v>
      </c>
      <c r="B10836" t="str">
        <f t="shared" si="3918"/>
        <v>CONNEL</v>
      </c>
      <c r="C10836" t="str">
        <f t="shared" si="3919"/>
        <v>MCCRACKEN-RAHAMAN</v>
      </c>
      <c r="D10836">
        <f>10</f>
        <v>10</v>
      </c>
      <c r="E10836" t="str">
        <f>"08 - B - 102 - Jacquelyn M Neeson"</f>
        <v>08 - B - 102 - Jacquelyn M Neeson</v>
      </c>
      <c r="F10836" t="str">
        <f>"AICE ENG GEN PAPER 1"</f>
        <v>AICE ENG GEN PAPER 1</v>
      </c>
      <c r="G10836" t="str">
        <f>"17-1715"</f>
        <v>17-1715</v>
      </c>
      <c r="H10836" t="str">
        <f>"B"</f>
        <v>B</v>
      </c>
    </row>
    <row r="10837" spans="1:8" x14ac:dyDescent="0.2">
      <c r="A10837" t="str">
        <f t="shared" ref="A10837:A10845" si="3920">"0614101906"</f>
        <v>0614101906</v>
      </c>
      <c r="B10837" t="str">
        <f t="shared" ref="B10837:B10845" si="3921">"ALYSSA"</f>
        <v>ALYSSA</v>
      </c>
      <c r="C10837" t="str">
        <f t="shared" ref="C10837:C10845" si="3922">"MCCRAY"</f>
        <v>MCCRAY</v>
      </c>
      <c r="D10837">
        <f>10</f>
        <v>10</v>
      </c>
      <c r="E10837" t="str">
        <f>"04 - S1 - A - 103 - James H Mccann"</f>
        <v>04 - S1 - A - 103 - James H Mccann</v>
      </c>
      <c r="F10837" t="str">
        <f>"PERS FIN &amp; MON MGT H"</f>
        <v>PERS FIN &amp; MON MGT H</v>
      </c>
      <c r="G10837" t="str">
        <f>"17-1716"</f>
        <v>17-1716</v>
      </c>
      <c r="H10837" t="str">
        <f>"A"</f>
        <v>A</v>
      </c>
    </row>
    <row r="10838" spans="1:8" x14ac:dyDescent="0.2">
      <c r="A10838" t="str">
        <f t="shared" si="3920"/>
        <v>0614101906</v>
      </c>
      <c r="B10838" t="str">
        <f t="shared" si="3921"/>
        <v>ALYSSA</v>
      </c>
      <c r="C10838" t="str">
        <f t="shared" si="3922"/>
        <v>MCCRAY</v>
      </c>
      <c r="D10838">
        <f>10</f>
        <v>10</v>
      </c>
      <c r="E10838" t="str">
        <f>"06 - B - 001 - Ferrie J Arostique"</f>
        <v>06 - B - 001 - Ferrie J Arostique</v>
      </c>
      <c r="F10838" t="str">
        <f>"NC STUDY HALL 1"</f>
        <v>NC STUDY HALL 1</v>
      </c>
      <c r="G10838" t="str">
        <f>"21-2139"</f>
        <v>21-2139</v>
      </c>
      <c r="H10838" t="str">
        <f>"B"</f>
        <v>B</v>
      </c>
    </row>
    <row r="10839" spans="1:8" x14ac:dyDescent="0.2">
      <c r="A10839" t="str">
        <f t="shared" si="3920"/>
        <v>0614101906</v>
      </c>
      <c r="B10839" t="str">
        <f t="shared" si="3921"/>
        <v>ALYSSA</v>
      </c>
      <c r="C10839" t="str">
        <f t="shared" si="3922"/>
        <v>MCCRAY</v>
      </c>
      <c r="D10839">
        <f>10</f>
        <v>10</v>
      </c>
      <c r="E10839" t="str">
        <f>"06 - B - 106 - Eric  Lopapa"</f>
        <v>06 - B - 106 - Eric  Lopapa</v>
      </c>
      <c r="F10839" t="str">
        <f>"LANG THERAPY"</f>
        <v>LANG THERAPY</v>
      </c>
      <c r="G10839" t="str">
        <f>"21-2110"</f>
        <v>21-2110</v>
      </c>
      <c r="H10839" t="str">
        <f>"B"</f>
        <v>B</v>
      </c>
    </row>
    <row r="10840" spans="1:8" x14ac:dyDescent="0.2">
      <c r="A10840" t="str">
        <f t="shared" si="3920"/>
        <v>0614101906</v>
      </c>
      <c r="B10840" t="str">
        <f t="shared" si="3921"/>
        <v>ALYSSA</v>
      </c>
      <c r="C10840" t="str">
        <f t="shared" si="3922"/>
        <v>MCCRAY</v>
      </c>
      <c r="D10840">
        <f>10</f>
        <v>10</v>
      </c>
      <c r="E10840" t="str">
        <f>"03 - A - 103 - Taraneh C Abreu"</f>
        <v>03 - A - 103 - Taraneh C Abreu</v>
      </c>
      <c r="F10840" t="str">
        <f>"INTENS READ 2"</f>
        <v>INTENS READ 2</v>
      </c>
      <c r="G10840" t="str">
        <f>"17-1713"</f>
        <v>17-1713</v>
      </c>
      <c r="H10840" t="str">
        <f>"A"</f>
        <v>A</v>
      </c>
    </row>
    <row r="10841" spans="1:8" x14ac:dyDescent="0.2">
      <c r="A10841" t="str">
        <f t="shared" si="3920"/>
        <v>0614101906</v>
      </c>
      <c r="B10841" t="str">
        <f t="shared" si="3921"/>
        <v>ALYSSA</v>
      </c>
      <c r="C10841" t="str">
        <f t="shared" si="3922"/>
        <v>MCCRAY</v>
      </c>
      <c r="D10841">
        <f>10</f>
        <v>10</v>
      </c>
      <c r="E10841" t="str">
        <f>"02 - A - 102 - Adam Marcus  Drucker"</f>
        <v>02 - A - 102 - Adam Marcus  Drucker</v>
      </c>
      <c r="F10841" t="str">
        <f>"HOPE-PE V"</f>
        <v>HOPE-PE V</v>
      </c>
      <c r="G10841" t="str">
        <f>"04-254"</f>
        <v>04-254</v>
      </c>
      <c r="H10841" t="str">
        <f>"A"</f>
        <v>A</v>
      </c>
    </row>
    <row r="10842" spans="1:8" x14ac:dyDescent="0.2">
      <c r="A10842" t="str">
        <f t="shared" si="3920"/>
        <v>0614101906</v>
      </c>
      <c r="B10842" t="str">
        <f t="shared" si="3921"/>
        <v>ALYSSA</v>
      </c>
      <c r="C10842" t="str">
        <f t="shared" si="3922"/>
        <v>MCCRAY</v>
      </c>
      <c r="D10842">
        <f>10</f>
        <v>10</v>
      </c>
      <c r="E10842" t="str">
        <f>"07 - B - 107 - Lytrell T Dixon"</f>
        <v>07 - B - 107 - Lytrell T Dixon</v>
      </c>
      <c r="F10842" t="str">
        <f>"BIOLOGY 1"</f>
        <v>BIOLOGY 1</v>
      </c>
      <c r="G10842" t="str">
        <f>"08-808"</f>
        <v>08-808</v>
      </c>
      <c r="H10842" t="str">
        <f>"B"</f>
        <v>B</v>
      </c>
    </row>
    <row r="10843" spans="1:8" x14ac:dyDescent="0.2">
      <c r="A10843" t="str">
        <f t="shared" si="3920"/>
        <v>0614101906</v>
      </c>
      <c r="B10843" t="str">
        <f t="shared" si="3921"/>
        <v>ALYSSA</v>
      </c>
      <c r="C10843" t="str">
        <f t="shared" si="3922"/>
        <v>MCCRAY</v>
      </c>
      <c r="D10843">
        <f>10</f>
        <v>10</v>
      </c>
      <c r="E10843" t="str">
        <f>"05 - B - 106 - Jacquelyn M Neeson"</f>
        <v>05 - B - 106 - Jacquelyn M Neeson</v>
      </c>
      <c r="F10843" t="str">
        <f>"ENG 2"</f>
        <v>ENG 2</v>
      </c>
      <c r="G10843" t="str">
        <f>"17-1715"</f>
        <v>17-1715</v>
      </c>
      <c r="H10843" t="str">
        <f>"B"</f>
        <v>B</v>
      </c>
    </row>
    <row r="10844" spans="1:8" x14ac:dyDescent="0.2">
      <c r="A10844" t="str">
        <f t="shared" si="3920"/>
        <v>0614101906</v>
      </c>
      <c r="B10844" t="str">
        <f t="shared" si="3921"/>
        <v>ALYSSA</v>
      </c>
      <c r="C10844" t="str">
        <f t="shared" si="3922"/>
        <v>MCCRAY</v>
      </c>
      <c r="D10844">
        <f>10</f>
        <v>10</v>
      </c>
      <c r="E10844" t="str">
        <f>"01 - A - 101 - Marius D Orsolini"</f>
        <v>01 - A - 101 - Marius D Orsolini</v>
      </c>
      <c r="F10844" t="str">
        <f>"CULINARY ARTS 1"</f>
        <v>CULINARY ARTS 1</v>
      </c>
      <c r="G10844" t="str">
        <f>"21-2115"</f>
        <v>21-2115</v>
      </c>
      <c r="H10844" t="str">
        <f>"A"</f>
        <v>A</v>
      </c>
    </row>
    <row r="10845" spans="1:8" x14ac:dyDescent="0.2">
      <c r="A10845" t="str">
        <f t="shared" si="3920"/>
        <v>0614101906</v>
      </c>
      <c r="B10845" t="str">
        <f t="shared" si="3921"/>
        <v>ALYSSA</v>
      </c>
      <c r="C10845" t="str">
        <f t="shared" si="3922"/>
        <v>MCCRAY</v>
      </c>
      <c r="D10845">
        <f>10</f>
        <v>10</v>
      </c>
      <c r="E10845" t="str">
        <f>"08 - B - 107 - Brook E Goren"</f>
        <v>08 - B - 107 - Brook E Goren</v>
      </c>
      <c r="F10845" t="str">
        <f>"GEOMETRY"</f>
        <v>GEOMETRY</v>
      </c>
      <c r="G10845" t="str">
        <f>"21-2158"</f>
        <v>21-2158</v>
      </c>
      <c r="H10845" t="str">
        <f>"B"</f>
        <v>B</v>
      </c>
    </row>
    <row r="10846" spans="1:8" x14ac:dyDescent="0.2">
      <c r="A10846" t="str">
        <f t="shared" ref="A10846:A10853" si="3923">"0613085282"</f>
        <v>0613085282</v>
      </c>
      <c r="B10846" t="str">
        <f t="shared" ref="B10846:B10853" si="3924">"Roy"</f>
        <v>Roy</v>
      </c>
      <c r="C10846" t="str">
        <f t="shared" ref="C10846:C10853" si="3925">"McCutcheon"</f>
        <v>McCutcheon</v>
      </c>
      <c r="D10846">
        <f>11</f>
        <v>11</v>
      </c>
      <c r="E10846" t="str">
        <f>"04 - S1 - A - 104 - Richard E Dunbar Iii"</f>
        <v>04 - S1 - A - 104 - Richard E Dunbar Iii</v>
      </c>
      <c r="F10846" t="str">
        <f>"WEIGHT TRAIN 1"</f>
        <v>WEIGHT TRAIN 1</v>
      </c>
      <c r="G10846" t="str">
        <f>"05-501"</f>
        <v>05-501</v>
      </c>
      <c r="H10846" t="str">
        <f>"A"</f>
        <v>A</v>
      </c>
    </row>
    <row r="10847" spans="1:8" x14ac:dyDescent="0.2">
      <c r="A10847" t="str">
        <f t="shared" si="3923"/>
        <v>0613085282</v>
      </c>
      <c r="B10847" t="str">
        <f t="shared" si="3924"/>
        <v>Roy</v>
      </c>
      <c r="C10847" t="str">
        <f t="shared" si="3925"/>
        <v>McCutcheon</v>
      </c>
      <c r="D10847">
        <f>11</f>
        <v>11</v>
      </c>
      <c r="E10847" t="str">
        <f>"06 - B - 202 - Brian M Fitzgerald"</f>
        <v>06 - B - 202 - Brian M Fitzgerald</v>
      </c>
      <c r="F10847" t="str">
        <f>"DRAW 1"</f>
        <v>DRAW 1</v>
      </c>
      <c r="G10847" t="str">
        <f>"09-908"</f>
        <v>09-908</v>
      </c>
      <c r="H10847" t="str">
        <f>"B"</f>
        <v>B</v>
      </c>
    </row>
    <row r="10848" spans="1:8" x14ac:dyDescent="0.2">
      <c r="A10848" t="str">
        <f t="shared" si="3923"/>
        <v>0613085282</v>
      </c>
      <c r="B10848" t="str">
        <f t="shared" si="3924"/>
        <v>Roy</v>
      </c>
      <c r="C10848" t="str">
        <f t="shared" si="3925"/>
        <v>McCutcheon</v>
      </c>
      <c r="D10848">
        <f>11</f>
        <v>11</v>
      </c>
      <c r="E10848" t="str">
        <f>"03 - S1 - A - 101 - Daniel S Katz"</f>
        <v>03 - S1 - A - 101 - Daniel S Katz</v>
      </c>
      <c r="F10848" t="str">
        <f>"COURT PROCED"</f>
        <v>COURT PROCED</v>
      </c>
      <c r="G10848" t="str">
        <f>"21-2156"</f>
        <v>21-2156</v>
      </c>
      <c r="H10848" t="str">
        <f>"A"</f>
        <v>A</v>
      </c>
    </row>
    <row r="10849" spans="1:8" x14ac:dyDescent="0.2">
      <c r="A10849" t="str">
        <f t="shared" si="3923"/>
        <v>0613085282</v>
      </c>
      <c r="B10849" t="str">
        <f t="shared" si="3924"/>
        <v>Roy</v>
      </c>
      <c r="C10849" t="str">
        <f t="shared" si="3925"/>
        <v>McCutcheon</v>
      </c>
      <c r="D10849">
        <f>11</f>
        <v>11</v>
      </c>
      <c r="E10849" t="str">
        <f>"02 - A - 106 - Heidi M Knopp"</f>
        <v>02 - A - 106 - Heidi M Knopp</v>
      </c>
      <c r="F10849" t="str">
        <f>"NC STUDY HALL 1"</f>
        <v>NC STUDY HALL 1</v>
      </c>
      <c r="G10849" t="str">
        <f>"17-1735"</f>
        <v>17-1735</v>
      </c>
      <c r="H10849" t="str">
        <f>"A"</f>
        <v>A</v>
      </c>
    </row>
    <row r="10850" spans="1:8" x14ac:dyDescent="0.2">
      <c r="A10850" t="str">
        <f t="shared" si="3923"/>
        <v>0613085282</v>
      </c>
      <c r="B10850" t="str">
        <f t="shared" si="3924"/>
        <v>Roy</v>
      </c>
      <c r="C10850" t="str">
        <f t="shared" si="3925"/>
        <v>McCutcheon</v>
      </c>
      <c r="D10850">
        <f>11</f>
        <v>11</v>
      </c>
      <c r="E10850" t="str">
        <f>"07 - B - 108 - Lauren N Logan"</f>
        <v>07 - B - 108 - Lauren N Logan</v>
      </c>
      <c r="F10850" t="str">
        <f>"US HISTORY"</f>
        <v>US HISTORY</v>
      </c>
      <c r="G10850" t="str">
        <f>"17-1745"</f>
        <v>17-1745</v>
      </c>
      <c r="H10850" t="str">
        <f>"B"</f>
        <v>B</v>
      </c>
    </row>
    <row r="10851" spans="1:8" x14ac:dyDescent="0.2">
      <c r="A10851" t="str">
        <f t="shared" si="3923"/>
        <v>0613085282</v>
      </c>
      <c r="B10851" t="str">
        <f t="shared" si="3924"/>
        <v>Roy</v>
      </c>
      <c r="C10851" t="str">
        <f t="shared" si="3925"/>
        <v>McCutcheon</v>
      </c>
      <c r="D10851">
        <f>11</f>
        <v>11</v>
      </c>
      <c r="E10851" t="str">
        <f>"05 - B - 103 - Heidi M Knopp"</f>
        <v>05 - B - 103 - Heidi M Knopp</v>
      </c>
      <c r="F10851" t="str">
        <f>"ENG HON 3"</f>
        <v>ENG HON 3</v>
      </c>
      <c r="G10851" t="str">
        <f>"17-1723"</f>
        <v>17-1723</v>
      </c>
      <c r="H10851" t="str">
        <f>"B"</f>
        <v>B</v>
      </c>
    </row>
    <row r="10852" spans="1:8" x14ac:dyDescent="0.2">
      <c r="A10852" t="str">
        <f t="shared" si="3923"/>
        <v>0613085282</v>
      </c>
      <c r="B10852" t="str">
        <f t="shared" si="3924"/>
        <v>Roy</v>
      </c>
      <c r="C10852" t="str">
        <f t="shared" si="3925"/>
        <v>McCutcheon</v>
      </c>
      <c r="D10852">
        <f>11</f>
        <v>11</v>
      </c>
      <c r="E10852" t="str">
        <f>"01 - A - 101 - Thomas G Handwerg"</f>
        <v>01 - A - 101 - Thomas G Handwerg</v>
      </c>
      <c r="F10852" t="str">
        <f>"PROB STAT W/APPS HON"</f>
        <v>PROB STAT W/APPS HON</v>
      </c>
      <c r="G10852" t="str">
        <f>"21-2146"</f>
        <v>21-2146</v>
      </c>
      <c r="H10852" t="str">
        <f>"A"</f>
        <v>A</v>
      </c>
    </row>
    <row r="10853" spans="1:8" x14ac:dyDescent="0.2">
      <c r="A10853" t="str">
        <f t="shared" si="3923"/>
        <v>0613085282</v>
      </c>
      <c r="B10853" t="str">
        <f t="shared" si="3924"/>
        <v>Roy</v>
      </c>
      <c r="C10853" t="str">
        <f t="shared" si="3925"/>
        <v>McCutcheon</v>
      </c>
      <c r="D10853">
        <f>11</f>
        <v>11</v>
      </c>
      <c r="E10853" t="str">
        <f>"08 - B - 001 - Scott A Dethloff"</f>
        <v>08 - B - 001 - Scott A Dethloff</v>
      </c>
      <c r="F10853" t="str">
        <f>"CHEMISTRY 1 HON"</f>
        <v>CHEMISTRY 1 HON</v>
      </c>
      <c r="G10853" t="str">
        <f>"08-812"</f>
        <v>08-812</v>
      </c>
      <c r="H10853" t="str">
        <f>"B"</f>
        <v>B</v>
      </c>
    </row>
    <row r="10854" spans="1:8" x14ac:dyDescent="0.2">
      <c r="A10854" t="str">
        <f t="shared" ref="A10854:A10861" si="3926">"0615095299"</f>
        <v>0615095299</v>
      </c>
      <c r="B10854" t="str">
        <f t="shared" ref="B10854:B10861" si="3927">"AMAYA"</f>
        <v>AMAYA</v>
      </c>
      <c r="C10854" t="str">
        <f t="shared" ref="C10854:C10861" si="3928">"MCDERMOTT"</f>
        <v>MCDERMOTT</v>
      </c>
      <c r="D10854">
        <f>10</f>
        <v>10</v>
      </c>
      <c r="E10854" t="str">
        <f>"04 - A - 102 - Daniel S Katz"</f>
        <v>04 - A - 102 - Daniel S Katz</v>
      </c>
      <c r="F10854" t="str">
        <f>"AICE DRAMA 1 AS LEV"</f>
        <v>AICE DRAMA 1 AS LEV</v>
      </c>
      <c r="G10854" t="str">
        <f>"05-521"</f>
        <v>05-521</v>
      </c>
      <c r="H10854" t="str">
        <f>"A"</f>
        <v>A</v>
      </c>
    </row>
    <row r="10855" spans="1:8" x14ac:dyDescent="0.2">
      <c r="A10855" t="str">
        <f t="shared" si="3926"/>
        <v>0615095299</v>
      </c>
      <c r="B10855" t="str">
        <f t="shared" si="3927"/>
        <v>AMAYA</v>
      </c>
      <c r="C10855" t="str">
        <f t="shared" si="3928"/>
        <v>MCDERMOTT</v>
      </c>
      <c r="D10855">
        <f>10</f>
        <v>10</v>
      </c>
      <c r="E10855" t="str">
        <f>"06 - B - 110 - Jerry S Jiampetti"</f>
        <v>06 - B - 110 - Jerry S Jiampetti</v>
      </c>
      <c r="F10855" t="str">
        <f>"NC STUDY HALL 1"</f>
        <v>NC STUDY HALL 1</v>
      </c>
      <c r="G10855" t="str">
        <f>"17-1751"</f>
        <v>17-1751</v>
      </c>
      <c r="H10855" t="str">
        <f>"B"</f>
        <v>B</v>
      </c>
    </row>
    <row r="10856" spans="1:8" x14ac:dyDescent="0.2">
      <c r="A10856" t="str">
        <f t="shared" si="3926"/>
        <v>0615095299</v>
      </c>
      <c r="B10856" t="str">
        <f t="shared" si="3927"/>
        <v>AMAYA</v>
      </c>
      <c r="C10856" t="str">
        <f t="shared" si="3928"/>
        <v>MCDERMOTT</v>
      </c>
      <c r="D10856">
        <f>10</f>
        <v>10</v>
      </c>
      <c r="E10856" t="str">
        <f>"03 - A - 103 - Courtney E Hambright"</f>
        <v>03 - A - 103 - Courtney E Hambright</v>
      </c>
      <c r="F10856" t="str">
        <f>"AICE ENG LANG AS"</f>
        <v>AICE ENG LANG AS</v>
      </c>
      <c r="G10856" t="str">
        <f>"17-1711"</f>
        <v>17-1711</v>
      </c>
      <c r="H10856" t="str">
        <f>"A"</f>
        <v>A</v>
      </c>
    </row>
    <row r="10857" spans="1:8" x14ac:dyDescent="0.2">
      <c r="A10857" t="str">
        <f t="shared" si="3926"/>
        <v>0615095299</v>
      </c>
      <c r="B10857" t="str">
        <f t="shared" si="3927"/>
        <v>AMAYA</v>
      </c>
      <c r="C10857" t="str">
        <f t="shared" si="3928"/>
        <v>MCDERMOTT</v>
      </c>
      <c r="D10857">
        <f>10</f>
        <v>10</v>
      </c>
      <c r="E10857" t="str">
        <f>"02 - A - 201 - Jordana K Hass"</f>
        <v>02 - A - 201 - Jordana K Hass</v>
      </c>
      <c r="F10857" t="str">
        <f>"CHEMISTRY 1"</f>
        <v>CHEMISTRY 1</v>
      </c>
      <c r="G10857" t="str">
        <f>"08-807"</f>
        <v>08-807</v>
      </c>
      <c r="H10857" t="str">
        <f>"A"</f>
        <v>A</v>
      </c>
    </row>
    <row r="10858" spans="1:8" x14ac:dyDescent="0.2">
      <c r="A10858" t="str">
        <f t="shared" si="3926"/>
        <v>0615095299</v>
      </c>
      <c r="B10858" t="str">
        <f t="shared" si="3927"/>
        <v>AMAYA</v>
      </c>
      <c r="C10858" t="str">
        <f t="shared" si="3928"/>
        <v>MCDERMOTT</v>
      </c>
      <c r="D10858">
        <f>10</f>
        <v>10</v>
      </c>
      <c r="E10858" t="str">
        <f>"07 - S1 - B - 102 - Arthur  Kulawik"</f>
        <v>07 - S1 - B - 102 - Arthur  Kulawik</v>
      </c>
      <c r="F10858" t="str">
        <f>"PERS FIN &amp; MON MGT H"</f>
        <v>PERS FIN &amp; MON MGT H</v>
      </c>
      <c r="G10858" t="str">
        <f>"05-506"</f>
        <v>05-506</v>
      </c>
      <c r="H10858" t="str">
        <f>"B"</f>
        <v>B</v>
      </c>
    </row>
    <row r="10859" spans="1:8" x14ac:dyDescent="0.2">
      <c r="A10859" t="str">
        <f t="shared" si="3926"/>
        <v>0615095299</v>
      </c>
      <c r="B10859" t="str">
        <f t="shared" si="3927"/>
        <v>AMAYA</v>
      </c>
      <c r="C10859" t="str">
        <f t="shared" si="3928"/>
        <v>MCDERMOTT</v>
      </c>
      <c r="D10859">
        <f>10</f>
        <v>10</v>
      </c>
      <c r="E10859" t="str">
        <f>"05 - B - 103 - Byron G Montenegro"</f>
        <v>05 - B - 103 - Byron G Montenegro</v>
      </c>
      <c r="F10859" t="str">
        <f>"AICE MARINE SCI 1 AS"</f>
        <v>AICE MARINE SCI 1 AS</v>
      </c>
      <c r="G10859" t="str">
        <f>"21-2144"</f>
        <v>21-2144</v>
      </c>
      <c r="H10859" t="str">
        <f>"B"</f>
        <v>B</v>
      </c>
    </row>
    <row r="10860" spans="1:8" x14ac:dyDescent="0.2">
      <c r="A10860" t="str">
        <f t="shared" si="3926"/>
        <v>0615095299</v>
      </c>
      <c r="B10860" t="str">
        <f t="shared" si="3927"/>
        <v>AMAYA</v>
      </c>
      <c r="C10860" t="str">
        <f t="shared" si="3928"/>
        <v>MCDERMOTT</v>
      </c>
      <c r="D10860">
        <f>10</f>
        <v>10</v>
      </c>
      <c r="E10860" t="str">
        <f>"01 - A - 102 - Brook E Goren"</f>
        <v>01 - A - 102 - Brook E Goren</v>
      </c>
      <c r="F10860" t="str">
        <f>"PRE-AICE MATH 2 IG"</f>
        <v>PRE-AICE MATH 2 IG</v>
      </c>
      <c r="G10860" t="str">
        <f>"21-2158"</f>
        <v>21-2158</v>
      </c>
      <c r="H10860" t="str">
        <f>"A"</f>
        <v>A</v>
      </c>
    </row>
    <row r="10861" spans="1:8" x14ac:dyDescent="0.2">
      <c r="A10861" t="str">
        <f t="shared" si="3926"/>
        <v>0615095299</v>
      </c>
      <c r="B10861" t="str">
        <f t="shared" si="3927"/>
        <v>AMAYA</v>
      </c>
      <c r="C10861" t="str">
        <f t="shared" si="3928"/>
        <v>MCDERMOTT</v>
      </c>
      <c r="D10861">
        <f>10</f>
        <v>10</v>
      </c>
      <c r="E10861" t="str">
        <f>"08 - B - 109 - Emmily A Sarmiento"</f>
        <v>08 - B - 109 - Emmily A Sarmiento</v>
      </c>
      <c r="F10861" t="str">
        <f>"AICE GLBL PERSP 1 AS"</f>
        <v>AICE GLBL PERSP 1 AS</v>
      </c>
      <c r="G10861" t="str">
        <f>"17-1743"</f>
        <v>17-1743</v>
      </c>
      <c r="H10861" t="str">
        <f>"B"</f>
        <v>B</v>
      </c>
    </row>
    <row r="10862" spans="1:8" x14ac:dyDescent="0.2">
      <c r="A10862" t="str">
        <f t="shared" ref="A10862:A10869" si="3929">"0626006273"</f>
        <v>0626006273</v>
      </c>
      <c r="B10862" t="str">
        <f t="shared" ref="B10862:B10869" si="3930">"Skylar"</f>
        <v>Skylar</v>
      </c>
      <c r="C10862" t="str">
        <f t="shared" ref="C10862:C10869" si="3931">"Mcdonald"</f>
        <v>Mcdonald</v>
      </c>
      <c r="D10862">
        <f>10</f>
        <v>10</v>
      </c>
      <c r="E10862" t="str">
        <f>"04 - S1 - A - 103 - Rory T Sponsler"</f>
        <v>04 - S1 - A - 103 - Rory T Sponsler</v>
      </c>
      <c r="F10862" t="str">
        <f>"WOMENS STUDIES LH"</f>
        <v>WOMENS STUDIES LH</v>
      </c>
      <c r="G10862" t="str">
        <f>"17-1740"</f>
        <v>17-1740</v>
      </c>
      <c r="H10862" t="str">
        <f>"A"</f>
        <v>A</v>
      </c>
    </row>
    <row r="10863" spans="1:8" x14ac:dyDescent="0.2">
      <c r="A10863" t="str">
        <f t="shared" si="3929"/>
        <v>0626006273</v>
      </c>
      <c r="B10863" t="str">
        <f t="shared" si="3930"/>
        <v>Skylar</v>
      </c>
      <c r="C10863" t="str">
        <f t="shared" si="3931"/>
        <v>Mcdonald</v>
      </c>
      <c r="D10863">
        <f>10</f>
        <v>10</v>
      </c>
      <c r="E10863" t="str">
        <f>"06 - B - 115 - Scott A Dethloff"</f>
        <v>06 - B - 115 - Scott A Dethloff</v>
      </c>
      <c r="F10863" t="str">
        <f>"NC STUDY HALL 1"</f>
        <v>NC STUDY HALL 1</v>
      </c>
      <c r="G10863" t="str">
        <f>"08-812"</f>
        <v>08-812</v>
      </c>
      <c r="H10863" t="str">
        <f>"B"</f>
        <v>B</v>
      </c>
    </row>
    <row r="10864" spans="1:8" x14ac:dyDescent="0.2">
      <c r="A10864" t="str">
        <f t="shared" si="3929"/>
        <v>0626006273</v>
      </c>
      <c r="B10864" t="str">
        <f t="shared" si="3930"/>
        <v>Skylar</v>
      </c>
      <c r="C10864" t="str">
        <f t="shared" si="3931"/>
        <v>Mcdonald</v>
      </c>
      <c r="D10864">
        <f>10</f>
        <v>10</v>
      </c>
      <c r="E10864" t="str">
        <f>"03 - A - 103 - Jacquelyn M Neeson"</f>
        <v>03 - A - 103 - Jacquelyn M Neeson</v>
      </c>
      <c r="F10864" t="str">
        <f>"ENG 2"</f>
        <v>ENG 2</v>
      </c>
      <c r="G10864" t="str">
        <f>"17-1715"</f>
        <v>17-1715</v>
      </c>
      <c r="H10864" t="str">
        <f>"A"</f>
        <v>A</v>
      </c>
    </row>
    <row r="10865" spans="1:8" x14ac:dyDescent="0.2">
      <c r="A10865" t="str">
        <f t="shared" si="3929"/>
        <v>0626006273</v>
      </c>
      <c r="B10865" t="str">
        <f t="shared" si="3930"/>
        <v>Skylar</v>
      </c>
      <c r="C10865" t="str">
        <f t="shared" si="3931"/>
        <v>Mcdonald</v>
      </c>
      <c r="D10865">
        <f>10</f>
        <v>10</v>
      </c>
      <c r="E10865" t="str">
        <f>"02 - A - 103 - Dorothy D Moore"</f>
        <v>02 - A - 103 - Dorothy D Moore</v>
      </c>
      <c r="F10865" t="str">
        <f>"ANAT PHYSIO HON"</f>
        <v>ANAT PHYSIO HON</v>
      </c>
      <c r="G10865" t="str">
        <f>"08-803"</f>
        <v>08-803</v>
      </c>
      <c r="H10865" t="str">
        <f>"A"</f>
        <v>A</v>
      </c>
    </row>
    <row r="10866" spans="1:8" x14ac:dyDescent="0.2">
      <c r="A10866" t="str">
        <f t="shared" si="3929"/>
        <v>0626006273</v>
      </c>
      <c r="B10866" t="str">
        <f t="shared" si="3930"/>
        <v>Skylar</v>
      </c>
      <c r="C10866" t="str">
        <f t="shared" si="3931"/>
        <v>Mcdonald</v>
      </c>
      <c r="D10866">
        <f>10</f>
        <v>10</v>
      </c>
      <c r="E10866" t="str">
        <f>"07 - B - 101 - Samantha L Martinez"</f>
        <v>07 - B - 101 - Samantha L Martinez</v>
      </c>
      <c r="F10866" t="str">
        <f>"KEYBD 1"</f>
        <v>KEYBD 1</v>
      </c>
      <c r="G10866" t="str">
        <f>"05-505"</f>
        <v>05-505</v>
      </c>
      <c r="H10866" t="str">
        <f>"B"</f>
        <v>B</v>
      </c>
    </row>
    <row r="10867" spans="1:8" x14ac:dyDescent="0.2">
      <c r="A10867" t="str">
        <f t="shared" si="3929"/>
        <v>0626006273</v>
      </c>
      <c r="B10867" t="str">
        <f t="shared" si="3930"/>
        <v>Skylar</v>
      </c>
      <c r="C10867" t="str">
        <f t="shared" si="3931"/>
        <v>Mcdonald</v>
      </c>
      <c r="D10867">
        <f>10</f>
        <v>10</v>
      </c>
      <c r="E10867" t="str">
        <f>"05 - B - 205 - Lenecy  Nodarse"</f>
        <v>05 - B - 205 - Lenecy  Nodarse</v>
      </c>
      <c r="F10867" t="str">
        <f>"WORLD HISTORY"</f>
        <v>WORLD HISTORY</v>
      </c>
      <c r="G10867" t="str">
        <f>"17-1741"</f>
        <v>17-1741</v>
      </c>
      <c r="H10867" t="str">
        <f>"B"</f>
        <v>B</v>
      </c>
    </row>
    <row r="10868" spans="1:8" x14ac:dyDescent="0.2">
      <c r="A10868" t="str">
        <f t="shared" si="3929"/>
        <v>0626006273</v>
      </c>
      <c r="B10868" t="str">
        <f t="shared" si="3930"/>
        <v>Skylar</v>
      </c>
      <c r="C10868" t="str">
        <f t="shared" si="3931"/>
        <v>Mcdonald</v>
      </c>
      <c r="D10868">
        <f>10</f>
        <v>10</v>
      </c>
      <c r="E10868" t="str">
        <f>"01 - A - 104 - Milca  Exantus"</f>
        <v>01 - A - 104 - Milca  Exantus</v>
      </c>
      <c r="F10868" t="str">
        <f>"MATH COLLEGE LIB ART"</f>
        <v>MATH COLLEGE LIB ART</v>
      </c>
      <c r="G10868" t="str">
        <f>"21-2145"</f>
        <v>21-2145</v>
      </c>
      <c r="H10868" t="str">
        <f>"A"</f>
        <v>A</v>
      </c>
    </row>
    <row r="10869" spans="1:8" x14ac:dyDescent="0.2">
      <c r="A10869" t="str">
        <f t="shared" si="3929"/>
        <v>0626006273</v>
      </c>
      <c r="B10869" t="str">
        <f t="shared" si="3930"/>
        <v>Skylar</v>
      </c>
      <c r="C10869" t="str">
        <f t="shared" si="3931"/>
        <v>Mcdonald</v>
      </c>
      <c r="D10869">
        <f>10</f>
        <v>10</v>
      </c>
      <c r="E10869" t="str">
        <f>"08 - B - 101 - Jazmin S Fletcher"</f>
        <v>08 - B - 101 - Jazmin S Fletcher</v>
      </c>
      <c r="F10869" t="str">
        <f>"PRE-AICE DRAMA 1G"</f>
        <v>PRE-AICE DRAMA 1G</v>
      </c>
      <c r="G10869" t="str">
        <f>"09-909"</f>
        <v>09-909</v>
      </c>
      <c r="H10869" t="str">
        <f>"B"</f>
        <v>B</v>
      </c>
    </row>
    <row r="10870" spans="1:8" x14ac:dyDescent="0.2">
      <c r="A10870" t="str">
        <f t="shared" ref="A10870:A10877" si="3932">"0617009334"</f>
        <v>0617009334</v>
      </c>
      <c r="B10870" t="str">
        <f t="shared" ref="B10870:B10877" si="3933">"RAIN"</f>
        <v>RAIN</v>
      </c>
      <c r="C10870" t="str">
        <f t="shared" ref="C10870:C10877" si="3934">"MCDONALD"</f>
        <v>MCDONALD</v>
      </c>
      <c r="D10870" t="str">
        <f t="shared" ref="D10870:D10885" si="3935">"09"</f>
        <v>09</v>
      </c>
      <c r="E10870" t="str">
        <f>"04 - A - 106 - Ferrie J Arostique"</f>
        <v>04 - A - 106 - Ferrie J Arostique</v>
      </c>
      <c r="F10870" t="str">
        <f>"PRE-AICE MATH 2 IG"</f>
        <v>PRE-AICE MATH 2 IG</v>
      </c>
      <c r="G10870" t="str">
        <f>"21-2139"</f>
        <v>21-2139</v>
      </c>
      <c r="H10870" t="str">
        <f>"A"</f>
        <v>A</v>
      </c>
    </row>
    <row r="10871" spans="1:8" x14ac:dyDescent="0.2">
      <c r="A10871" t="str">
        <f t="shared" si="3932"/>
        <v>0617009334</v>
      </c>
      <c r="B10871" t="str">
        <f t="shared" si="3933"/>
        <v>RAIN</v>
      </c>
      <c r="C10871" t="str">
        <f t="shared" si="3934"/>
        <v>MCDONALD</v>
      </c>
      <c r="D10871" t="str">
        <f t="shared" si="3935"/>
        <v>09</v>
      </c>
      <c r="E10871" t="str">
        <f>"06 - B - 106 - Marius D Orsolini"</f>
        <v>06 - B - 106 - Marius D Orsolini</v>
      </c>
      <c r="F10871" t="str">
        <f>"CULINARY ARTS 1"</f>
        <v>CULINARY ARTS 1</v>
      </c>
      <c r="G10871" t="str">
        <f>"21-2115"</f>
        <v>21-2115</v>
      </c>
      <c r="H10871" t="str">
        <f>"B"</f>
        <v>B</v>
      </c>
    </row>
    <row r="10872" spans="1:8" x14ac:dyDescent="0.2">
      <c r="A10872" t="str">
        <f t="shared" si="3932"/>
        <v>0617009334</v>
      </c>
      <c r="B10872" t="str">
        <f t="shared" si="3933"/>
        <v>RAIN</v>
      </c>
      <c r="C10872" t="str">
        <f t="shared" si="3934"/>
        <v>MCDONALD</v>
      </c>
      <c r="D10872" t="str">
        <f t="shared" si="3935"/>
        <v>09</v>
      </c>
      <c r="E10872" t="str">
        <f>"03 - A - 101 - Eva T Rimmer"</f>
        <v>03 - A - 101 - Eva T Rimmer</v>
      </c>
      <c r="F10872" t="str">
        <f>"CRIMINAL JUST OPS 1"</f>
        <v>CRIMINAL JUST OPS 1</v>
      </c>
      <c r="G10872" t="str">
        <f>"05-523"</f>
        <v>05-523</v>
      </c>
      <c r="H10872" t="str">
        <f>"A"</f>
        <v>A</v>
      </c>
    </row>
    <row r="10873" spans="1:8" x14ac:dyDescent="0.2">
      <c r="A10873" t="str">
        <f t="shared" si="3932"/>
        <v>0617009334</v>
      </c>
      <c r="B10873" t="str">
        <f t="shared" si="3933"/>
        <v>RAIN</v>
      </c>
      <c r="C10873" t="str">
        <f t="shared" si="3934"/>
        <v>MCDONALD</v>
      </c>
      <c r="D10873" t="str">
        <f t="shared" si="3935"/>
        <v>09</v>
      </c>
      <c r="E10873" t="str">
        <f>"02 - A - 108 - Rory T Sponsler"</f>
        <v>02 - A - 108 - Rory T Sponsler</v>
      </c>
      <c r="F10873" t="str">
        <f>"NC STUDY HALL 1"</f>
        <v>NC STUDY HALL 1</v>
      </c>
      <c r="G10873" t="str">
        <f>"17-1740"</f>
        <v>17-1740</v>
      </c>
      <c r="H10873" t="str">
        <f>"A"</f>
        <v>A</v>
      </c>
    </row>
    <row r="10874" spans="1:8" x14ac:dyDescent="0.2">
      <c r="A10874" t="str">
        <f t="shared" si="3932"/>
        <v>0617009334</v>
      </c>
      <c r="B10874" t="str">
        <f t="shared" si="3933"/>
        <v>RAIN</v>
      </c>
      <c r="C10874" t="str">
        <f t="shared" si="3934"/>
        <v>MCDONALD</v>
      </c>
      <c r="D10874" t="str">
        <f t="shared" si="3935"/>
        <v>09</v>
      </c>
      <c r="E10874" t="str">
        <f>"07 - S1 - B - 102 - Arthur  Kulawik"</f>
        <v>07 - S1 - B - 102 - Arthur  Kulawik</v>
      </c>
      <c r="F10874" t="str">
        <f>"PERS FIN &amp; MON MGT H"</f>
        <v>PERS FIN &amp; MON MGT H</v>
      </c>
      <c r="G10874" t="str">
        <f>"05-506"</f>
        <v>05-506</v>
      </c>
      <c r="H10874" t="str">
        <f>"B"</f>
        <v>B</v>
      </c>
    </row>
    <row r="10875" spans="1:8" x14ac:dyDescent="0.2">
      <c r="A10875" t="str">
        <f t="shared" si="3932"/>
        <v>0617009334</v>
      </c>
      <c r="B10875" t="str">
        <f t="shared" si="3933"/>
        <v>RAIN</v>
      </c>
      <c r="C10875" t="str">
        <f t="shared" si="3934"/>
        <v>MCDONALD</v>
      </c>
      <c r="D10875" t="str">
        <f t="shared" si="3935"/>
        <v>09</v>
      </c>
      <c r="E10875" t="str">
        <f>"05 - B - 002 - Cheryl Anne  Berman-Schechter"</f>
        <v>05 - B - 002 - Cheryl Anne  Berman-Schechter</v>
      </c>
      <c r="F10875" t="str">
        <f>"AICE ENG GEN PAPER 1"</f>
        <v>AICE ENG GEN PAPER 1</v>
      </c>
      <c r="G10875" t="str">
        <f>"17-1722"</f>
        <v>17-1722</v>
      </c>
      <c r="H10875" t="str">
        <f>"B"</f>
        <v>B</v>
      </c>
    </row>
    <row r="10876" spans="1:8" x14ac:dyDescent="0.2">
      <c r="A10876" t="str">
        <f t="shared" si="3932"/>
        <v>0617009334</v>
      </c>
      <c r="B10876" t="str">
        <f t="shared" si="3933"/>
        <v>RAIN</v>
      </c>
      <c r="C10876" t="str">
        <f t="shared" si="3934"/>
        <v>MCDONALD</v>
      </c>
      <c r="D10876" t="str">
        <f t="shared" si="3935"/>
        <v>09</v>
      </c>
      <c r="E10876" t="str">
        <f>"01 - A - 101 - Rory T Sponsler"</f>
        <v>01 - A - 101 - Rory T Sponsler</v>
      </c>
      <c r="F10876" t="str">
        <f>"PRE-AICE WRLD HST IG"</f>
        <v>PRE-AICE WRLD HST IG</v>
      </c>
      <c r="G10876" t="str">
        <f>"17-1740"</f>
        <v>17-1740</v>
      </c>
      <c r="H10876" t="str">
        <f>"A"</f>
        <v>A</v>
      </c>
    </row>
    <row r="10877" spans="1:8" x14ac:dyDescent="0.2">
      <c r="A10877" t="str">
        <f t="shared" si="3932"/>
        <v>0617009334</v>
      </c>
      <c r="B10877" t="str">
        <f t="shared" si="3933"/>
        <v>RAIN</v>
      </c>
      <c r="C10877" t="str">
        <f t="shared" si="3934"/>
        <v>MCDONALD</v>
      </c>
      <c r="D10877" t="str">
        <f t="shared" si="3935"/>
        <v>09</v>
      </c>
      <c r="E10877" t="str">
        <f>"08 - B - 201 - Tina M Jaramillo"</f>
        <v>08 - B - 201 - Tina M Jaramillo</v>
      </c>
      <c r="F10877" t="str">
        <f>"CREATIVE WRIT 3 HON"</f>
        <v>CREATIVE WRIT 3 HON</v>
      </c>
      <c r="G10877" t="str">
        <f>"17-1706"</f>
        <v>17-1706</v>
      </c>
      <c r="H10877" t="str">
        <f>"B"</f>
        <v>B</v>
      </c>
    </row>
    <row r="10878" spans="1:8" x14ac:dyDescent="0.2">
      <c r="A10878" t="str">
        <f t="shared" ref="A10878:A10885" si="3936">"0617059764"</f>
        <v>0617059764</v>
      </c>
      <c r="B10878" t="str">
        <f t="shared" ref="B10878:B10885" si="3937">"KAREEM"</f>
        <v>KAREEM</v>
      </c>
      <c r="C10878" t="str">
        <f t="shared" ref="C10878:C10885" si="3938">"MCFARLANE"</f>
        <v>MCFARLANE</v>
      </c>
      <c r="D10878" t="str">
        <f t="shared" si="3935"/>
        <v>09</v>
      </c>
      <c r="E10878" t="str">
        <f>"04 - A - 104 - Brook E Goren"</f>
        <v>04 - A - 104 - Brook E Goren</v>
      </c>
      <c r="F10878" t="str">
        <f>"ALGEBRA 2 HON"</f>
        <v>ALGEBRA 2 HON</v>
      </c>
      <c r="G10878" t="str">
        <f>"21-2158"</f>
        <v>21-2158</v>
      </c>
      <c r="H10878" t="str">
        <f>"A"</f>
        <v>A</v>
      </c>
    </row>
    <row r="10879" spans="1:8" x14ac:dyDescent="0.2">
      <c r="A10879" t="str">
        <f t="shared" si="3936"/>
        <v>0617059764</v>
      </c>
      <c r="B10879" t="str">
        <f t="shared" si="3937"/>
        <v>KAREEM</v>
      </c>
      <c r="C10879" t="str">
        <f t="shared" si="3938"/>
        <v>MCFARLANE</v>
      </c>
      <c r="D10879" t="str">
        <f t="shared" si="3935"/>
        <v>09</v>
      </c>
      <c r="E10879" t="str">
        <f>"06 - B - 202 - Brian M Fitzgerald"</f>
        <v>06 - B - 202 - Brian M Fitzgerald</v>
      </c>
      <c r="F10879" t="str">
        <f>"DRAW 1"</f>
        <v>DRAW 1</v>
      </c>
      <c r="G10879" t="str">
        <f>"09-908"</f>
        <v>09-908</v>
      </c>
      <c r="H10879" t="str">
        <f>"B"</f>
        <v>B</v>
      </c>
    </row>
    <row r="10880" spans="1:8" x14ac:dyDescent="0.2">
      <c r="A10880" t="str">
        <f t="shared" si="3936"/>
        <v>0617059764</v>
      </c>
      <c r="B10880" t="str">
        <f t="shared" si="3937"/>
        <v>KAREEM</v>
      </c>
      <c r="C10880" t="str">
        <f t="shared" si="3938"/>
        <v>MCFARLANE</v>
      </c>
      <c r="D10880" t="str">
        <f t="shared" si="3935"/>
        <v>09</v>
      </c>
      <c r="E10880" t="str">
        <f>"03 - A - 202 - Cheryl L Beach"</f>
        <v>03 - A - 202 - Cheryl L Beach</v>
      </c>
      <c r="F10880" t="str">
        <f>"AICE ENV MGMNT AS"</f>
        <v>AICE ENV MGMNT AS</v>
      </c>
      <c r="G10880" t="str">
        <f>"08-811"</f>
        <v>08-811</v>
      </c>
      <c r="H10880" t="str">
        <f>"A"</f>
        <v>A</v>
      </c>
    </row>
    <row r="10881" spans="1:8" x14ac:dyDescent="0.2">
      <c r="A10881" t="str">
        <f t="shared" si="3936"/>
        <v>0617059764</v>
      </c>
      <c r="B10881" t="str">
        <f t="shared" si="3937"/>
        <v>KAREEM</v>
      </c>
      <c r="C10881" t="str">
        <f t="shared" si="3938"/>
        <v>MCFARLANE</v>
      </c>
      <c r="D10881" t="str">
        <f t="shared" si="3935"/>
        <v>09</v>
      </c>
      <c r="E10881" t="str">
        <f>"02 - A - 114 - Laselleda D Shaw"</f>
        <v>02 - A - 114 - Laselleda D Shaw</v>
      </c>
      <c r="F10881" t="str">
        <f>"NC STUDY HALL 1"</f>
        <v>NC STUDY HALL 1</v>
      </c>
      <c r="G10881" t="str">
        <f>"17-1723"</f>
        <v>17-1723</v>
      </c>
      <c r="H10881" t="str">
        <f>"A"</f>
        <v>A</v>
      </c>
    </row>
    <row r="10882" spans="1:8" x14ac:dyDescent="0.2">
      <c r="A10882" t="str">
        <f t="shared" si="3936"/>
        <v>0617059764</v>
      </c>
      <c r="B10882" t="str">
        <f t="shared" si="3937"/>
        <v>KAREEM</v>
      </c>
      <c r="C10882" t="str">
        <f t="shared" si="3938"/>
        <v>MCFARLANE</v>
      </c>
      <c r="D10882" t="str">
        <f t="shared" si="3935"/>
        <v>09</v>
      </c>
      <c r="E10882" t="str">
        <f>"07 - B - 107 - Rosa Elaine  Collado-Duff"</f>
        <v>07 - B - 107 - Rosa Elaine  Collado-Duff</v>
      </c>
      <c r="F10882" t="str">
        <f>"PRE-AICE SPAN 2 IG"</f>
        <v>PRE-AICE SPAN 2 IG</v>
      </c>
      <c r="G10882" t="str">
        <f>"09-913"</f>
        <v>09-913</v>
      </c>
      <c r="H10882" t="str">
        <f>"B"</f>
        <v>B</v>
      </c>
    </row>
    <row r="10883" spans="1:8" x14ac:dyDescent="0.2">
      <c r="A10883" t="str">
        <f t="shared" si="3936"/>
        <v>0617059764</v>
      </c>
      <c r="B10883" t="str">
        <f t="shared" si="3937"/>
        <v>KAREEM</v>
      </c>
      <c r="C10883" t="str">
        <f t="shared" si="3938"/>
        <v>MCFARLANE</v>
      </c>
      <c r="D10883" t="str">
        <f t="shared" si="3935"/>
        <v>09</v>
      </c>
      <c r="E10883" t="str">
        <f>"05 - B - 001 - Kelly N Panza"</f>
        <v>05 - B - 001 - Kelly N Panza</v>
      </c>
      <c r="F10883" t="str">
        <f>"AICE GLBL PERSP 1 AS"</f>
        <v>AICE GLBL PERSP 1 AS</v>
      </c>
      <c r="G10883" t="str">
        <f>"17-1753"</f>
        <v>17-1753</v>
      </c>
      <c r="H10883" t="str">
        <f>"B"</f>
        <v>B</v>
      </c>
    </row>
    <row r="10884" spans="1:8" x14ac:dyDescent="0.2">
      <c r="A10884" t="str">
        <f t="shared" si="3936"/>
        <v>0617059764</v>
      </c>
      <c r="B10884" t="str">
        <f t="shared" si="3937"/>
        <v>KAREEM</v>
      </c>
      <c r="C10884" t="str">
        <f t="shared" si="3938"/>
        <v>MCFARLANE</v>
      </c>
      <c r="D10884" t="str">
        <f t="shared" si="3935"/>
        <v>09</v>
      </c>
      <c r="E10884" t="str">
        <f>"01 - A - 101 - Angela S Adeshina-Morrison"</f>
        <v>01 - A - 101 - Angela S Adeshina-Morrison</v>
      </c>
      <c r="F10884" t="str">
        <f>"MARKETING ESSENTIALS"</f>
        <v>MARKETING ESSENTIALS</v>
      </c>
      <c r="G10884" t="str">
        <f>"05-518"</f>
        <v>05-518</v>
      </c>
      <c r="H10884" t="str">
        <f>"A"</f>
        <v>A</v>
      </c>
    </row>
    <row r="10885" spans="1:8" x14ac:dyDescent="0.2">
      <c r="A10885" t="str">
        <f t="shared" si="3936"/>
        <v>0617059764</v>
      </c>
      <c r="B10885" t="str">
        <f t="shared" si="3937"/>
        <v>KAREEM</v>
      </c>
      <c r="C10885" t="str">
        <f t="shared" si="3938"/>
        <v>MCFARLANE</v>
      </c>
      <c r="D10885" t="str">
        <f t="shared" si="3935"/>
        <v>09</v>
      </c>
      <c r="E10885" t="str">
        <f>"08 - B - 201 - Elizabeth R Walker"</f>
        <v>08 - B - 201 - Elizabeth R Walker</v>
      </c>
      <c r="F10885" t="str">
        <f>"AICE ENG GEN PAPER 1"</f>
        <v>AICE ENG GEN PAPER 1</v>
      </c>
      <c r="G10885" t="str">
        <f>"17-1703"</f>
        <v>17-1703</v>
      </c>
      <c r="H10885" t="str">
        <f>"B"</f>
        <v>B</v>
      </c>
    </row>
    <row r="10886" spans="1:8" x14ac:dyDescent="0.2">
      <c r="A10886" t="str">
        <f t="shared" ref="A10886:A10893" si="3939">"0614122689"</f>
        <v>0614122689</v>
      </c>
      <c r="B10886" t="str">
        <f t="shared" ref="B10886:B10893" si="3940">"ASHANTI"</f>
        <v>ASHANTI</v>
      </c>
      <c r="C10886" t="str">
        <f t="shared" ref="C10886:C10893" si="3941">"MCGEE"</f>
        <v>MCGEE</v>
      </c>
      <c r="D10886">
        <f>11</f>
        <v>11</v>
      </c>
      <c r="E10886" t="str">
        <f>"04 - A - 205 - Jacqueline R Morphet"</f>
        <v>04 - A - 205 - Jacqueline R Morphet</v>
      </c>
      <c r="F10886" t="str">
        <f>"PHYSICS 1 HON"</f>
        <v>PHYSICS 1 HON</v>
      </c>
      <c r="G10886" t="str">
        <f>"21-2138"</f>
        <v>21-2138</v>
      </c>
      <c r="H10886" t="str">
        <f>"A"</f>
        <v>A</v>
      </c>
    </row>
    <row r="10887" spans="1:8" x14ac:dyDescent="0.2">
      <c r="A10887" t="str">
        <f t="shared" si="3939"/>
        <v>0614122689</v>
      </c>
      <c r="B10887" t="str">
        <f t="shared" si="3940"/>
        <v>ASHANTI</v>
      </c>
      <c r="C10887" t="str">
        <f t="shared" si="3941"/>
        <v>MCGEE</v>
      </c>
      <c r="D10887">
        <f>11</f>
        <v>11</v>
      </c>
      <c r="E10887" t="str">
        <f>"06 - B - 204 - Chrystina M Marchionne"</f>
        <v>06 - B - 204 - Chrystina M Marchionne</v>
      </c>
      <c r="F10887" t="str">
        <f>"AICE MEDIASTUDIES AS"</f>
        <v>AICE MEDIASTUDIES AS</v>
      </c>
      <c r="G10887" t="str">
        <f>"05-520"</f>
        <v>05-520</v>
      </c>
      <c r="H10887" t="str">
        <f>"B"</f>
        <v>B</v>
      </c>
    </row>
    <row r="10888" spans="1:8" x14ac:dyDescent="0.2">
      <c r="A10888" t="str">
        <f t="shared" si="3939"/>
        <v>0614122689</v>
      </c>
      <c r="B10888" t="str">
        <f t="shared" si="3940"/>
        <v>ASHANTI</v>
      </c>
      <c r="C10888" t="str">
        <f t="shared" si="3941"/>
        <v>MCGEE</v>
      </c>
      <c r="D10888">
        <f>11</f>
        <v>11</v>
      </c>
      <c r="E10888" t="str">
        <f>"03 - A - 101 - Timothy J Lawrence"</f>
        <v>03 - A - 101 - Timothy J Lawrence</v>
      </c>
      <c r="F10888" t="str">
        <f>"AICE PHYS ED 1 AS"</f>
        <v>AICE PHYS ED 1 AS</v>
      </c>
      <c r="G10888" t="str">
        <f>"05-519"</f>
        <v>05-519</v>
      </c>
      <c r="H10888" t="str">
        <f>"A"</f>
        <v>A</v>
      </c>
    </row>
    <row r="10889" spans="1:8" x14ac:dyDescent="0.2">
      <c r="A10889" t="str">
        <f t="shared" si="3939"/>
        <v>0614122689</v>
      </c>
      <c r="B10889" t="str">
        <f t="shared" si="3940"/>
        <v>ASHANTI</v>
      </c>
      <c r="C10889" t="str">
        <f t="shared" si="3941"/>
        <v>MCGEE</v>
      </c>
      <c r="D10889">
        <f>11</f>
        <v>11</v>
      </c>
      <c r="E10889" t="str">
        <f>"02 - A - 114 - Eva T Rimmer"</f>
        <v>02 - A - 114 - Eva T Rimmer</v>
      </c>
      <c r="F10889" t="str">
        <f>"NC STUDY HALL 1"</f>
        <v>NC STUDY HALL 1</v>
      </c>
      <c r="G10889" t="str">
        <f>"05-523"</f>
        <v>05-523</v>
      </c>
      <c r="H10889" t="str">
        <f>"A"</f>
        <v>A</v>
      </c>
    </row>
    <row r="10890" spans="1:8" x14ac:dyDescent="0.2">
      <c r="A10890" t="str">
        <f t="shared" si="3939"/>
        <v>0614122689</v>
      </c>
      <c r="B10890" t="str">
        <f t="shared" si="3940"/>
        <v>ASHANTI</v>
      </c>
      <c r="C10890" t="str">
        <f t="shared" si="3941"/>
        <v>MCGEE</v>
      </c>
      <c r="D10890">
        <f>11</f>
        <v>11</v>
      </c>
      <c r="E10890" t="str">
        <f>"07 - B - 106 - James H Mccann"</f>
        <v>07 - B - 106 - James H Mccann</v>
      </c>
      <c r="F10890" t="str">
        <f>"ALGEBRA 2"</f>
        <v>ALGEBRA 2</v>
      </c>
      <c r="G10890" t="str">
        <f>"17-1716"</f>
        <v>17-1716</v>
      </c>
      <c r="H10890" t="str">
        <f>"B"</f>
        <v>B</v>
      </c>
    </row>
    <row r="10891" spans="1:8" x14ac:dyDescent="0.2">
      <c r="A10891" t="str">
        <f t="shared" si="3939"/>
        <v>0614122689</v>
      </c>
      <c r="B10891" t="str">
        <f t="shared" si="3940"/>
        <v>ASHANTI</v>
      </c>
      <c r="C10891" t="str">
        <f t="shared" si="3941"/>
        <v>MCGEE</v>
      </c>
      <c r="D10891">
        <f>11</f>
        <v>11</v>
      </c>
      <c r="E10891" t="str">
        <f>"05 - B - 001 - Kyle  Robbins"</f>
        <v>05 - B - 001 - Kyle  Robbins</v>
      </c>
      <c r="F10891" t="str">
        <f>"US HISTORY HON"</f>
        <v>US HISTORY HON</v>
      </c>
      <c r="G10891" t="str">
        <f>"17-1745"</f>
        <v>17-1745</v>
      </c>
      <c r="H10891" t="str">
        <f>"B"</f>
        <v>B</v>
      </c>
    </row>
    <row r="10892" spans="1:8" x14ac:dyDescent="0.2">
      <c r="A10892" t="str">
        <f t="shared" si="3939"/>
        <v>0614122689</v>
      </c>
      <c r="B10892" t="str">
        <f t="shared" si="3940"/>
        <v>ASHANTI</v>
      </c>
      <c r="C10892" t="str">
        <f t="shared" si="3941"/>
        <v>MCGEE</v>
      </c>
      <c r="D10892">
        <f>11</f>
        <v>11</v>
      </c>
      <c r="E10892" t="str">
        <f>"01 - A - 101 - Heidi M Knopp"</f>
        <v>01 - A - 101 - Heidi M Knopp</v>
      </c>
      <c r="F10892" t="str">
        <f>"ENG HON 3"</f>
        <v>ENG HON 3</v>
      </c>
      <c r="G10892" t="str">
        <f>"17-1752"</f>
        <v>17-1752</v>
      </c>
      <c r="H10892" t="str">
        <f>"A"</f>
        <v>A</v>
      </c>
    </row>
    <row r="10893" spans="1:8" x14ac:dyDescent="0.2">
      <c r="A10893" t="str">
        <f t="shared" si="3939"/>
        <v>0614122689</v>
      </c>
      <c r="B10893" t="str">
        <f t="shared" si="3940"/>
        <v>ASHANTI</v>
      </c>
      <c r="C10893" t="str">
        <f t="shared" si="3941"/>
        <v>MCGEE</v>
      </c>
      <c r="D10893">
        <f>11</f>
        <v>11</v>
      </c>
      <c r="E10893" t="str">
        <f>"08 - B - 101 - Eva T Rimmer"</f>
        <v>08 - B - 101 - Eva T Rimmer</v>
      </c>
      <c r="F10893" t="str">
        <f>"CRIM JUST OPS 3 HON"</f>
        <v>CRIM JUST OPS 3 HON</v>
      </c>
      <c r="G10893" t="str">
        <f>"05-523"</f>
        <v>05-523</v>
      </c>
      <c r="H10893" t="str">
        <f>"B"</f>
        <v>B</v>
      </c>
    </row>
    <row r="10894" spans="1:8" x14ac:dyDescent="0.2">
      <c r="A10894" t="str">
        <f t="shared" ref="A10894:A10902" si="3942">"0620092343"</f>
        <v>0620092343</v>
      </c>
      <c r="B10894" t="str">
        <f t="shared" ref="B10894:B10902" si="3943">"JAMEEL"</f>
        <v>JAMEEL</v>
      </c>
      <c r="C10894" t="str">
        <f t="shared" ref="C10894:C10902" si="3944">"MCGLASHAN"</f>
        <v>MCGLASHAN</v>
      </c>
      <c r="D10894">
        <f>12</f>
        <v>12</v>
      </c>
      <c r="E10894" t="str">
        <f>"04 - A - 102 - Tiffany L Colon"</f>
        <v>04 - A - 102 - Tiffany L Colon</v>
      </c>
      <c r="F10894" t="str">
        <f>"U SKLS: SOC&amp;EMO 9-12"</f>
        <v>U SKLS: SOC&amp;EMO 9-12</v>
      </c>
      <c r="G10894">
        <f>2044</f>
        <v>2044</v>
      </c>
      <c r="H10894" t="str">
        <f>"A"</f>
        <v>A</v>
      </c>
    </row>
    <row r="10895" spans="1:8" x14ac:dyDescent="0.2">
      <c r="A10895" t="str">
        <f t="shared" si="3942"/>
        <v>0620092343</v>
      </c>
      <c r="B10895" t="str">
        <f t="shared" si="3943"/>
        <v>JAMEEL</v>
      </c>
      <c r="C10895" t="str">
        <f t="shared" si="3944"/>
        <v>MCGLASHAN</v>
      </c>
      <c r="D10895">
        <f>12</f>
        <v>12</v>
      </c>
      <c r="E10895" t="str">
        <f>"04 - A - 114 - Karen A Toomer"</f>
        <v>04 - A - 114 - Karen A Toomer</v>
      </c>
      <c r="F10895" t="str">
        <f>"LANG THERAPY"</f>
        <v>LANG THERAPY</v>
      </c>
      <c r="G10895" t="str">
        <f>"21-2110"</f>
        <v>21-2110</v>
      </c>
      <c r="H10895" t="str">
        <f>"A"</f>
        <v>A</v>
      </c>
    </row>
    <row r="10896" spans="1:8" x14ac:dyDescent="0.2">
      <c r="A10896" t="str">
        <f t="shared" si="3942"/>
        <v>0620092343</v>
      </c>
      <c r="B10896" t="str">
        <f t="shared" si="3943"/>
        <v>JAMEEL</v>
      </c>
      <c r="C10896" t="str">
        <f t="shared" si="3944"/>
        <v>MCGLASHAN</v>
      </c>
      <c r="D10896">
        <f>12</f>
        <v>12</v>
      </c>
      <c r="E10896" t="str">
        <f>"06 - B - 101 - Tiffany L Colon"</f>
        <v>06 - B - 101 - Tiffany L Colon</v>
      </c>
      <c r="F10896" t="str">
        <f>"CAR EXERIENCES: 9-12"</f>
        <v>CAR EXERIENCES: 9-12</v>
      </c>
      <c r="G10896">
        <f>2044</f>
        <v>2044</v>
      </c>
      <c r="H10896" t="str">
        <f>"B"</f>
        <v>B</v>
      </c>
    </row>
    <row r="10897" spans="1:8" x14ac:dyDescent="0.2">
      <c r="A10897" t="str">
        <f t="shared" si="3942"/>
        <v>0620092343</v>
      </c>
      <c r="B10897" t="str">
        <f t="shared" si="3943"/>
        <v>JAMEEL</v>
      </c>
      <c r="C10897" t="str">
        <f t="shared" si="3944"/>
        <v>MCGLASHAN</v>
      </c>
      <c r="D10897">
        <f>12</f>
        <v>12</v>
      </c>
      <c r="E10897" t="str">
        <f>"03 - A - 101 - Tiffany L Colon"</f>
        <v>03 - A - 101 - Tiffany L Colon</v>
      </c>
      <c r="F10897" t="str">
        <f>"SELF-DETERMINATION"</f>
        <v>SELF-DETERMINATION</v>
      </c>
      <c r="G10897">
        <f>2044</f>
        <v>2044</v>
      </c>
      <c r="H10897" t="str">
        <f>"A"</f>
        <v>A</v>
      </c>
    </row>
    <row r="10898" spans="1:8" x14ac:dyDescent="0.2">
      <c r="A10898" t="str">
        <f t="shared" si="3942"/>
        <v>0620092343</v>
      </c>
      <c r="B10898" t="str">
        <f t="shared" si="3943"/>
        <v>JAMEEL</v>
      </c>
      <c r="C10898" t="str">
        <f t="shared" si="3944"/>
        <v>MCGLASHAN</v>
      </c>
      <c r="D10898">
        <f>12</f>
        <v>12</v>
      </c>
      <c r="E10898" t="str">
        <f>"02 - A - 102 - Tiffany L Colon"</f>
        <v>02 - A - 102 - Tiffany L Colon</v>
      </c>
      <c r="F10898" t="str">
        <f>"CAREER ED: 9-12"</f>
        <v>CAREER ED: 9-12</v>
      </c>
      <c r="G10898">
        <f>2044</f>
        <v>2044</v>
      </c>
      <c r="H10898" t="str">
        <f>"A"</f>
        <v>A</v>
      </c>
    </row>
    <row r="10899" spans="1:8" x14ac:dyDescent="0.2">
      <c r="A10899" t="str">
        <f t="shared" si="3942"/>
        <v>0620092343</v>
      </c>
      <c r="B10899" t="str">
        <f t="shared" si="3943"/>
        <v>JAMEEL</v>
      </c>
      <c r="C10899" t="str">
        <f t="shared" si="3944"/>
        <v>MCGLASHAN</v>
      </c>
      <c r="D10899">
        <f>12</f>
        <v>12</v>
      </c>
      <c r="E10899" t="str">
        <f>"07 - B - 101 - Tiffany L Colon"</f>
        <v>07 - B - 101 - Tiffany L Colon</v>
      </c>
      <c r="F10899" t="str">
        <f>"CAR PLACEMENT: 9-12"</f>
        <v>CAR PLACEMENT: 9-12</v>
      </c>
      <c r="G10899">
        <f>2044</f>
        <v>2044</v>
      </c>
      <c r="H10899" t="str">
        <f>"B"</f>
        <v>B</v>
      </c>
    </row>
    <row r="10900" spans="1:8" x14ac:dyDescent="0.2">
      <c r="A10900" t="str">
        <f t="shared" si="3942"/>
        <v>0620092343</v>
      </c>
      <c r="B10900" t="str">
        <f t="shared" si="3943"/>
        <v>JAMEEL</v>
      </c>
      <c r="C10900" t="str">
        <f t="shared" si="3944"/>
        <v>MCGLASHAN</v>
      </c>
      <c r="D10900">
        <f>12</f>
        <v>12</v>
      </c>
      <c r="E10900" t="str">
        <f>"05 - B - 102 - Tiffany L Colon"</f>
        <v>05 - B - 102 - Tiffany L Colon</v>
      </c>
      <c r="F10900" t="str">
        <f>"U SKLS: 9-12"</f>
        <v>U SKLS: 9-12</v>
      </c>
      <c r="G10900">
        <f>2044</f>
        <v>2044</v>
      </c>
      <c r="H10900" t="str">
        <f>"B"</f>
        <v>B</v>
      </c>
    </row>
    <row r="10901" spans="1:8" x14ac:dyDescent="0.2">
      <c r="A10901" t="str">
        <f t="shared" si="3942"/>
        <v>0620092343</v>
      </c>
      <c r="B10901" t="str">
        <f t="shared" si="3943"/>
        <v>JAMEEL</v>
      </c>
      <c r="C10901" t="str">
        <f t="shared" si="3944"/>
        <v>MCGLASHAN</v>
      </c>
      <c r="D10901">
        <f>12</f>
        <v>12</v>
      </c>
      <c r="E10901" t="str">
        <f>"01 - A - 101 - Tiffany L Colon"</f>
        <v>01 - A - 101 - Tiffany L Colon</v>
      </c>
      <c r="F10901" t="str">
        <f>"PREP AD LIV"</f>
        <v>PREP AD LIV</v>
      </c>
      <c r="G10901">
        <f>2044</f>
        <v>2044</v>
      </c>
      <c r="H10901" t="str">
        <f>"A"</f>
        <v>A</v>
      </c>
    </row>
    <row r="10902" spans="1:8" x14ac:dyDescent="0.2">
      <c r="A10902" t="str">
        <f t="shared" si="3942"/>
        <v>0620092343</v>
      </c>
      <c r="B10902" t="str">
        <f t="shared" si="3943"/>
        <v>JAMEEL</v>
      </c>
      <c r="C10902" t="str">
        <f t="shared" si="3944"/>
        <v>MCGLASHAN</v>
      </c>
      <c r="D10902">
        <f>12</f>
        <v>12</v>
      </c>
      <c r="E10902" t="str">
        <f>"08 - B - 101 - Gail S Markowitz"</f>
        <v>08 - B - 101 - Gail S Markowitz</v>
      </c>
      <c r="F10902" t="str">
        <f>"U SKLS: SOC&amp;EMO 9-12"</f>
        <v>U SKLS: SOC&amp;EMO 9-12</v>
      </c>
      <c r="G10902">
        <f>1730</f>
        <v>1730</v>
      </c>
      <c r="H10902" t="str">
        <f>"B"</f>
        <v>B</v>
      </c>
    </row>
    <row r="10903" spans="1:8" x14ac:dyDescent="0.2">
      <c r="A10903" t="str">
        <f t="shared" ref="A10903:A10910" si="3945">"0617129397"</f>
        <v>0617129397</v>
      </c>
      <c r="B10903" t="str">
        <f t="shared" ref="B10903:B10910" si="3946">"ANTUAN"</f>
        <v>ANTUAN</v>
      </c>
      <c r="C10903" t="str">
        <f t="shared" ref="C10903:C10910" si="3947">"MCGRIFF"</f>
        <v>MCGRIFF</v>
      </c>
      <c r="D10903">
        <f>10</f>
        <v>10</v>
      </c>
      <c r="E10903" t="str">
        <f>"04 - A - 105 - Jacquelyn M Neeson"</f>
        <v>04 - A - 105 - Jacquelyn M Neeson</v>
      </c>
      <c r="F10903" t="str">
        <f>"ENG 2"</f>
        <v>ENG 2</v>
      </c>
      <c r="G10903" t="str">
        <f>"17-1715"</f>
        <v>17-1715</v>
      </c>
      <c r="H10903" t="str">
        <f>"A"</f>
        <v>A</v>
      </c>
    </row>
    <row r="10904" spans="1:8" x14ac:dyDescent="0.2">
      <c r="A10904" t="str">
        <f t="shared" si="3945"/>
        <v>0617129397</v>
      </c>
      <c r="B10904" t="str">
        <f t="shared" si="3946"/>
        <v>ANTUAN</v>
      </c>
      <c r="C10904" t="str">
        <f t="shared" si="3947"/>
        <v>MCGRIFF</v>
      </c>
      <c r="D10904">
        <f>10</f>
        <v>10</v>
      </c>
      <c r="E10904" t="str">
        <f>"06 - B - 001 - Ferrie J Arostique"</f>
        <v>06 - B - 001 - Ferrie J Arostique</v>
      </c>
      <c r="F10904" t="str">
        <f>"NC STUDY HALL 1"</f>
        <v>NC STUDY HALL 1</v>
      </c>
      <c r="G10904" t="str">
        <f>"21-2139"</f>
        <v>21-2139</v>
      </c>
      <c r="H10904" t="str">
        <f>"B"</f>
        <v>B</v>
      </c>
    </row>
    <row r="10905" spans="1:8" x14ac:dyDescent="0.2">
      <c r="A10905" t="str">
        <f t="shared" si="3945"/>
        <v>0617129397</v>
      </c>
      <c r="B10905" t="str">
        <f t="shared" si="3946"/>
        <v>ANTUAN</v>
      </c>
      <c r="C10905" t="str">
        <f t="shared" si="3947"/>
        <v>MCGRIFF</v>
      </c>
      <c r="D10905">
        <f>10</f>
        <v>10</v>
      </c>
      <c r="E10905" t="str">
        <f>"03 - A - 101 - Jazmin S Fletcher"</f>
        <v>03 - A - 101 - Jazmin S Fletcher</v>
      </c>
      <c r="F10905" t="str">
        <f>"THEATRE 3 HON"</f>
        <v>THEATRE 3 HON</v>
      </c>
      <c r="G10905" t="str">
        <f>"09-909"</f>
        <v>09-909</v>
      </c>
      <c r="H10905" t="str">
        <f>"A"</f>
        <v>A</v>
      </c>
    </row>
    <row r="10906" spans="1:8" x14ac:dyDescent="0.2">
      <c r="A10906" t="str">
        <f t="shared" si="3945"/>
        <v>0617129397</v>
      </c>
      <c r="B10906" t="str">
        <f t="shared" si="3946"/>
        <v>ANTUAN</v>
      </c>
      <c r="C10906" t="str">
        <f t="shared" si="3947"/>
        <v>MCGRIFF</v>
      </c>
      <c r="D10906">
        <f>10</f>
        <v>10</v>
      </c>
      <c r="E10906" t="str">
        <f>"02 - S1 - A - 101 - James H Mccann"</f>
        <v>02 - S1 - A - 101 - James H Mccann</v>
      </c>
      <c r="F10906" t="str">
        <f>"PERS FIN &amp; MON MGT H"</f>
        <v>PERS FIN &amp; MON MGT H</v>
      </c>
      <c r="G10906" t="str">
        <f>"17-1716"</f>
        <v>17-1716</v>
      </c>
      <c r="H10906" t="str">
        <f>"A"</f>
        <v>A</v>
      </c>
    </row>
    <row r="10907" spans="1:8" x14ac:dyDescent="0.2">
      <c r="A10907" t="str">
        <f t="shared" si="3945"/>
        <v>0617129397</v>
      </c>
      <c r="B10907" t="str">
        <f t="shared" si="3946"/>
        <v>ANTUAN</v>
      </c>
      <c r="C10907" t="str">
        <f t="shared" si="3947"/>
        <v>MCGRIFF</v>
      </c>
      <c r="D10907">
        <f>10</f>
        <v>10</v>
      </c>
      <c r="E10907" t="str">
        <f>"07 - B - 105 - Paige Lauren  Brochu"</f>
        <v>07 - B - 105 - Paige Lauren  Brochu</v>
      </c>
      <c r="F10907" t="str">
        <f>"PRE-AICE BIO IG"</f>
        <v>PRE-AICE BIO IG</v>
      </c>
      <c r="G10907" t="str">
        <f>"21-2134"</f>
        <v>21-2134</v>
      </c>
      <c r="H10907" t="str">
        <f>"B"</f>
        <v>B</v>
      </c>
    </row>
    <row r="10908" spans="1:8" x14ac:dyDescent="0.2">
      <c r="A10908" t="str">
        <f t="shared" si="3945"/>
        <v>0617129397</v>
      </c>
      <c r="B10908" t="str">
        <f t="shared" si="3946"/>
        <v>ANTUAN</v>
      </c>
      <c r="C10908" t="str">
        <f t="shared" si="3947"/>
        <v>MCGRIFF</v>
      </c>
      <c r="D10908">
        <f>10</f>
        <v>10</v>
      </c>
      <c r="E10908" t="str">
        <f>"05 - B - 109 - Ferrie J Arostique"</f>
        <v>05 - B - 109 - Ferrie J Arostique</v>
      </c>
      <c r="F10908" t="str">
        <f>"GEOMETRY"</f>
        <v>GEOMETRY</v>
      </c>
      <c r="G10908" t="str">
        <f>"21-2139"</f>
        <v>21-2139</v>
      </c>
      <c r="H10908" t="str">
        <f>"B"</f>
        <v>B</v>
      </c>
    </row>
    <row r="10909" spans="1:8" x14ac:dyDescent="0.2">
      <c r="A10909" t="str">
        <f t="shared" si="3945"/>
        <v>0617129397</v>
      </c>
      <c r="B10909" t="str">
        <f t="shared" si="3946"/>
        <v>ANTUAN</v>
      </c>
      <c r="C10909" t="str">
        <f t="shared" si="3947"/>
        <v>MCGRIFF</v>
      </c>
      <c r="D10909">
        <f>10</f>
        <v>10</v>
      </c>
      <c r="E10909" t="str">
        <f>"01 - A - 101 - Adam Marcus  Drucker"</f>
        <v>01 - A - 101 - Adam Marcus  Drucker</v>
      </c>
      <c r="F10909" t="str">
        <f>"HOPE-PE V"</f>
        <v>HOPE-PE V</v>
      </c>
      <c r="G10909" t="str">
        <f>"04-254"</f>
        <v>04-254</v>
      </c>
      <c r="H10909" t="str">
        <f>"A"</f>
        <v>A</v>
      </c>
    </row>
    <row r="10910" spans="1:8" x14ac:dyDescent="0.2">
      <c r="A10910" t="str">
        <f t="shared" si="3945"/>
        <v>0617129397</v>
      </c>
      <c r="B10910" t="str">
        <f t="shared" si="3946"/>
        <v>ANTUAN</v>
      </c>
      <c r="C10910" t="str">
        <f t="shared" si="3947"/>
        <v>MCGRIFF</v>
      </c>
      <c r="D10910">
        <f>10</f>
        <v>10</v>
      </c>
      <c r="E10910" t="str">
        <f>"08 - B - 103 - Jeanne M Bermudez"</f>
        <v>08 - B - 103 - Jeanne M Bermudez</v>
      </c>
      <c r="F10910" t="str">
        <f>"ADVANCED IT HON"</f>
        <v>ADVANCED IT HON</v>
      </c>
      <c r="G10910" t="str">
        <f>"21-2141"</f>
        <v>21-2141</v>
      </c>
      <c r="H10910" t="str">
        <f>"B"</f>
        <v>B</v>
      </c>
    </row>
    <row r="10911" spans="1:8" x14ac:dyDescent="0.2">
      <c r="A10911" t="str">
        <f t="shared" ref="A10911:A10918" si="3948">"0615066793"</f>
        <v>0615066793</v>
      </c>
      <c r="B10911" t="str">
        <f t="shared" ref="B10911:B10918" si="3949">"JEREMIAH"</f>
        <v>JEREMIAH</v>
      </c>
      <c r="C10911" t="str">
        <f t="shared" ref="C10911:C10918" si="3950">"MCINTYRE"</f>
        <v>MCINTYRE</v>
      </c>
      <c r="D10911">
        <f>11</f>
        <v>11</v>
      </c>
      <c r="E10911" t="str">
        <f>"04 - A - 102 - Jordana K Hass"</f>
        <v>04 - A - 102 - Jordana K Hass</v>
      </c>
      <c r="F10911" t="str">
        <f>"CHEMISTRY 1"</f>
        <v>CHEMISTRY 1</v>
      </c>
      <c r="G10911" t="str">
        <f>"08-807"</f>
        <v>08-807</v>
      </c>
      <c r="H10911" t="str">
        <f>"A"</f>
        <v>A</v>
      </c>
    </row>
    <row r="10912" spans="1:8" x14ac:dyDescent="0.2">
      <c r="A10912" t="str">
        <f t="shared" si="3948"/>
        <v>0615066793</v>
      </c>
      <c r="B10912" t="str">
        <f t="shared" si="3949"/>
        <v>JEREMIAH</v>
      </c>
      <c r="C10912" t="str">
        <f t="shared" si="3950"/>
        <v>MCINTYRE</v>
      </c>
      <c r="D10912">
        <f>11</f>
        <v>11</v>
      </c>
      <c r="E10912" t="str">
        <f>"06 - B - 105 - Arthur  Kulawik"</f>
        <v>06 - B - 105 - Arthur  Kulawik</v>
      </c>
      <c r="F10912" t="str">
        <f>"ENG 3"</f>
        <v>ENG 3</v>
      </c>
      <c r="G10912" t="str">
        <f>"05-506"</f>
        <v>05-506</v>
      </c>
      <c r="H10912" t="str">
        <f>"B"</f>
        <v>B</v>
      </c>
    </row>
    <row r="10913" spans="1:8" x14ac:dyDescent="0.2">
      <c r="A10913" t="str">
        <f t="shared" si="3948"/>
        <v>0615066793</v>
      </c>
      <c r="B10913" t="str">
        <f t="shared" si="3949"/>
        <v>JEREMIAH</v>
      </c>
      <c r="C10913" t="str">
        <f t="shared" si="3950"/>
        <v>MCINTYRE</v>
      </c>
      <c r="D10913">
        <f>11</f>
        <v>11</v>
      </c>
      <c r="E10913" t="str">
        <f>"03 - A - 101 - Jazmin S Fletcher"</f>
        <v>03 - A - 101 - Jazmin S Fletcher</v>
      </c>
      <c r="F10913" t="str">
        <f>"THEATRE 3 HON"</f>
        <v>THEATRE 3 HON</v>
      </c>
      <c r="G10913" t="str">
        <f>"09-909"</f>
        <v>09-909</v>
      </c>
      <c r="H10913" t="str">
        <f>"A"</f>
        <v>A</v>
      </c>
    </row>
    <row r="10914" spans="1:8" x14ac:dyDescent="0.2">
      <c r="A10914" t="str">
        <f t="shared" si="3948"/>
        <v>0615066793</v>
      </c>
      <c r="B10914" t="str">
        <f t="shared" si="3949"/>
        <v>JEREMIAH</v>
      </c>
      <c r="C10914" t="str">
        <f t="shared" si="3950"/>
        <v>MCINTYRE</v>
      </c>
      <c r="D10914">
        <f>11</f>
        <v>11</v>
      </c>
      <c r="E10914" t="str">
        <f>"02 - A - 103 - Kelly N Panza"</f>
        <v>02 - A - 103 - Kelly N Panza</v>
      </c>
      <c r="F10914" t="str">
        <f>"NC STUDY HALL 1"</f>
        <v>NC STUDY HALL 1</v>
      </c>
      <c r="G10914" t="str">
        <f>"17-1753"</f>
        <v>17-1753</v>
      </c>
      <c r="H10914" t="str">
        <f>"A"</f>
        <v>A</v>
      </c>
    </row>
    <row r="10915" spans="1:8" x14ac:dyDescent="0.2">
      <c r="A10915" t="str">
        <f t="shared" si="3948"/>
        <v>0615066793</v>
      </c>
      <c r="B10915" t="str">
        <f t="shared" si="3949"/>
        <v>JEREMIAH</v>
      </c>
      <c r="C10915" t="str">
        <f t="shared" si="3950"/>
        <v>MCINTYRE</v>
      </c>
      <c r="D10915">
        <f>11</f>
        <v>11</v>
      </c>
      <c r="E10915" t="str">
        <f>"07 - B - 101 - Samantha L Martinez"</f>
        <v>07 - B - 101 - Samantha L Martinez</v>
      </c>
      <c r="F10915" t="str">
        <f>"KEYBD 1"</f>
        <v>KEYBD 1</v>
      </c>
      <c r="G10915" t="str">
        <f>"05-505"</f>
        <v>05-505</v>
      </c>
      <c r="H10915" t="str">
        <f>"B"</f>
        <v>B</v>
      </c>
    </row>
    <row r="10916" spans="1:8" x14ac:dyDescent="0.2">
      <c r="A10916" t="str">
        <f t="shared" si="3948"/>
        <v>0615066793</v>
      </c>
      <c r="B10916" t="str">
        <f t="shared" si="3949"/>
        <v>JEREMIAH</v>
      </c>
      <c r="C10916" t="str">
        <f t="shared" si="3950"/>
        <v>MCINTYRE</v>
      </c>
      <c r="D10916">
        <f>11</f>
        <v>11</v>
      </c>
      <c r="E10916" t="str">
        <f>"05 - B - 104 - Semra  Bahadir"</f>
        <v>05 - B - 104 - Semra  Bahadir</v>
      </c>
      <c r="F10916" t="str">
        <f>"MATH COLL ALGEBRA"</f>
        <v>MATH COLL ALGEBRA</v>
      </c>
      <c r="G10916" t="str">
        <f>"21-2107"</f>
        <v>21-2107</v>
      </c>
      <c r="H10916" t="str">
        <f>"B"</f>
        <v>B</v>
      </c>
    </row>
    <row r="10917" spans="1:8" x14ac:dyDescent="0.2">
      <c r="A10917" t="str">
        <f t="shared" si="3948"/>
        <v>0615066793</v>
      </c>
      <c r="B10917" t="str">
        <f t="shared" si="3949"/>
        <v>JEREMIAH</v>
      </c>
      <c r="C10917" t="str">
        <f t="shared" si="3950"/>
        <v>MCINTYRE</v>
      </c>
      <c r="D10917">
        <f>11</f>
        <v>11</v>
      </c>
      <c r="E10917" t="str">
        <f>"01 - A - 101 - Kyle  Robbins"</f>
        <v>01 - A - 101 - Kyle  Robbins</v>
      </c>
      <c r="F10917" t="str">
        <f>"US HISTORY"</f>
        <v>US HISTORY</v>
      </c>
      <c r="G10917" t="str">
        <f>"17-1745"</f>
        <v>17-1745</v>
      </c>
      <c r="H10917" t="str">
        <f>"A"</f>
        <v>A</v>
      </c>
    </row>
    <row r="10918" spans="1:8" x14ac:dyDescent="0.2">
      <c r="A10918" t="str">
        <f t="shared" si="3948"/>
        <v>0615066793</v>
      </c>
      <c r="B10918" t="str">
        <f t="shared" si="3949"/>
        <v>JEREMIAH</v>
      </c>
      <c r="C10918" t="str">
        <f t="shared" si="3950"/>
        <v>MCINTYRE</v>
      </c>
      <c r="D10918">
        <f>11</f>
        <v>11</v>
      </c>
      <c r="E10918" t="str">
        <f>"08 - S1 - B - 102 - Nahum  Saint-Preux"</f>
        <v>08 - S1 - B - 102 - Nahum  Saint-Preux</v>
      </c>
      <c r="F10918" t="str">
        <f>"CRIT THINK ST SKLS"</f>
        <v>CRIT THINK ST SKLS</v>
      </c>
      <c r="G10918" t="str">
        <f>"17-1712"</f>
        <v>17-1712</v>
      </c>
      <c r="H10918" t="str">
        <f>"B"</f>
        <v>B</v>
      </c>
    </row>
    <row r="10919" spans="1:8" x14ac:dyDescent="0.2">
      <c r="A10919" t="str">
        <f t="shared" ref="A10919:A10926" si="3951">"0626006339"</f>
        <v>0626006339</v>
      </c>
      <c r="B10919" t="str">
        <f t="shared" ref="B10919:B10926" si="3952">"Makala"</f>
        <v>Makala</v>
      </c>
      <c r="C10919" t="str">
        <f t="shared" ref="C10919:C10926" si="3953">"McKenley"</f>
        <v>McKenley</v>
      </c>
      <c r="D10919">
        <f>10</f>
        <v>10</v>
      </c>
      <c r="E10919" t="str">
        <f>"04 - A - 205 - Lytrell T Dixon"</f>
        <v>04 - A - 205 - Lytrell T Dixon</v>
      </c>
      <c r="F10919" t="str">
        <f>"BIOLOGY 1"</f>
        <v>BIOLOGY 1</v>
      </c>
      <c r="G10919" t="str">
        <f>"08-808"</f>
        <v>08-808</v>
      </c>
      <c r="H10919" t="str">
        <f>"A"</f>
        <v>A</v>
      </c>
    </row>
    <row r="10920" spans="1:8" x14ac:dyDescent="0.2">
      <c r="A10920" t="str">
        <f t="shared" si="3951"/>
        <v>0626006339</v>
      </c>
      <c r="B10920" t="str">
        <f t="shared" si="3952"/>
        <v>Makala</v>
      </c>
      <c r="C10920" t="str">
        <f t="shared" si="3953"/>
        <v>McKenley</v>
      </c>
      <c r="D10920">
        <f>10</f>
        <v>10</v>
      </c>
      <c r="E10920" t="str">
        <f>"06 - B - 109 - Semra  Bahadir"</f>
        <v>06 - B - 109 - Semra  Bahadir</v>
      </c>
      <c r="F10920" t="str">
        <f>"NC STUDY HALL 1"</f>
        <v>NC STUDY HALL 1</v>
      </c>
      <c r="G10920" t="str">
        <f>"21-2107"</f>
        <v>21-2107</v>
      </c>
      <c r="H10920" t="str">
        <f>"B"</f>
        <v>B</v>
      </c>
    </row>
    <row r="10921" spans="1:8" x14ac:dyDescent="0.2">
      <c r="A10921" t="str">
        <f t="shared" si="3951"/>
        <v>0626006339</v>
      </c>
      <c r="B10921" t="str">
        <f t="shared" si="3952"/>
        <v>Makala</v>
      </c>
      <c r="C10921" t="str">
        <f t="shared" si="3953"/>
        <v>McKenley</v>
      </c>
      <c r="D10921">
        <f>10</f>
        <v>10</v>
      </c>
      <c r="E10921" t="str">
        <f>"03 - A - 103 - Jacquelyn M Neeson"</f>
        <v>03 - A - 103 - Jacquelyn M Neeson</v>
      </c>
      <c r="F10921" t="str">
        <f>"ENG 2"</f>
        <v>ENG 2</v>
      </c>
      <c r="G10921" t="str">
        <f>"17-1715"</f>
        <v>17-1715</v>
      </c>
      <c r="H10921" t="str">
        <f>"A"</f>
        <v>A</v>
      </c>
    </row>
    <row r="10922" spans="1:8" x14ac:dyDescent="0.2">
      <c r="A10922" t="str">
        <f t="shared" si="3951"/>
        <v>0626006339</v>
      </c>
      <c r="B10922" t="str">
        <f t="shared" si="3952"/>
        <v>Makala</v>
      </c>
      <c r="C10922" t="str">
        <f t="shared" si="3953"/>
        <v>McKenley</v>
      </c>
      <c r="D10922">
        <f>10</f>
        <v>10</v>
      </c>
      <c r="E10922" t="str">
        <f>"02 - A - 001 - Alejandro  Navarro"</f>
        <v>02 - A - 001 - Alejandro  Navarro</v>
      </c>
      <c r="F10922" t="str">
        <f>"BAND 1"</f>
        <v>BAND 1</v>
      </c>
      <c r="G10922" t="str">
        <f>"05-504"</f>
        <v>05-504</v>
      </c>
      <c r="H10922" t="str">
        <f>"A"</f>
        <v>A</v>
      </c>
    </row>
    <row r="10923" spans="1:8" x14ac:dyDescent="0.2">
      <c r="A10923" t="str">
        <f t="shared" si="3951"/>
        <v>0626006339</v>
      </c>
      <c r="B10923" t="str">
        <f t="shared" si="3952"/>
        <v>Makala</v>
      </c>
      <c r="C10923" t="str">
        <f t="shared" si="3953"/>
        <v>McKenley</v>
      </c>
      <c r="D10923">
        <f>10</f>
        <v>10</v>
      </c>
      <c r="E10923" t="str">
        <f>"07 - S1 - B - 102 - Arthur  Kulawik"</f>
        <v>07 - S1 - B - 102 - Arthur  Kulawik</v>
      </c>
      <c r="F10923" t="str">
        <f>"PERS FIN &amp; MON MGT H"</f>
        <v>PERS FIN &amp; MON MGT H</v>
      </c>
      <c r="G10923" t="str">
        <f>"05-506"</f>
        <v>05-506</v>
      </c>
      <c r="H10923" t="str">
        <f>"B"</f>
        <v>B</v>
      </c>
    </row>
    <row r="10924" spans="1:8" x14ac:dyDescent="0.2">
      <c r="A10924" t="str">
        <f t="shared" si="3951"/>
        <v>0626006339</v>
      </c>
      <c r="B10924" t="str">
        <f t="shared" si="3952"/>
        <v>Makala</v>
      </c>
      <c r="C10924" t="str">
        <f t="shared" si="3953"/>
        <v>McKenley</v>
      </c>
      <c r="D10924">
        <f>10</f>
        <v>10</v>
      </c>
      <c r="E10924" t="str">
        <f>"05 - S1 - B - 103 - Leslie J Barton"</f>
        <v>05 - S1 - B - 103 - Leslie J Barton</v>
      </c>
      <c r="F10924" t="str">
        <f>"FIRST AID SAFETY"</f>
        <v>FIRST AID SAFETY</v>
      </c>
      <c r="G10924" t="str">
        <f>"05-521"</f>
        <v>05-521</v>
      </c>
      <c r="H10924" t="str">
        <f>"B"</f>
        <v>B</v>
      </c>
    </row>
    <row r="10925" spans="1:8" x14ac:dyDescent="0.2">
      <c r="A10925" t="str">
        <f t="shared" si="3951"/>
        <v>0626006339</v>
      </c>
      <c r="B10925" t="str">
        <f t="shared" si="3952"/>
        <v>Makala</v>
      </c>
      <c r="C10925" t="str">
        <f t="shared" si="3953"/>
        <v>McKenley</v>
      </c>
      <c r="D10925">
        <f>10</f>
        <v>10</v>
      </c>
      <c r="E10925" t="str">
        <f>"01 - A - 104 - Milca  Exantus"</f>
        <v>01 - A - 104 - Milca  Exantus</v>
      </c>
      <c r="F10925" t="str">
        <f>"MATH COLLEGE LIB ART"</f>
        <v>MATH COLLEGE LIB ART</v>
      </c>
      <c r="G10925" t="str">
        <f>"21-2145"</f>
        <v>21-2145</v>
      </c>
      <c r="H10925" t="str">
        <f>"A"</f>
        <v>A</v>
      </c>
    </row>
    <row r="10926" spans="1:8" x14ac:dyDescent="0.2">
      <c r="A10926" t="str">
        <f t="shared" si="3951"/>
        <v>0626006339</v>
      </c>
      <c r="B10926" t="str">
        <f t="shared" si="3952"/>
        <v>Makala</v>
      </c>
      <c r="C10926" t="str">
        <f t="shared" si="3953"/>
        <v>McKenley</v>
      </c>
      <c r="D10926">
        <f>10</f>
        <v>10</v>
      </c>
      <c r="E10926" t="str">
        <f>"08 - B - 108 - Adam Marcus  Drucker"</f>
        <v>08 - B - 108 - Adam Marcus  Drucker</v>
      </c>
      <c r="F10926" t="str">
        <f>"HOPE-PE V"</f>
        <v>HOPE-PE V</v>
      </c>
      <c r="G10926" t="str">
        <f>"04-254"</f>
        <v>04-254</v>
      </c>
      <c r="H10926" t="str">
        <f>"B"</f>
        <v>B</v>
      </c>
    </row>
    <row r="10927" spans="1:8" x14ac:dyDescent="0.2">
      <c r="A10927" t="str">
        <f t="shared" ref="A10927:A10934" si="3954">"0621078524"</f>
        <v>0621078524</v>
      </c>
      <c r="B10927" t="str">
        <f t="shared" ref="B10927:B10934" si="3955">"LATONYA"</f>
        <v>LATONYA</v>
      </c>
      <c r="C10927" t="str">
        <f t="shared" ref="C10927:C10942" si="3956">"MCKENZIE"</f>
        <v>MCKENZIE</v>
      </c>
      <c r="D10927" t="str">
        <f t="shared" ref="D10927:D10942" si="3957">"09"</f>
        <v>09</v>
      </c>
      <c r="E10927" t="str">
        <f>"04 - A - 103 - Joe  Kilpatrick Jr"</f>
        <v>04 - A - 103 - Joe  Kilpatrick Jr</v>
      </c>
      <c r="F10927" t="str">
        <f>"PRE-AICE SPAN 1 IG"</f>
        <v>PRE-AICE SPAN 1 IG</v>
      </c>
      <c r="G10927" t="str">
        <f>"09-912"</f>
        <v>09-912</v>
      </c>
      <c r="H10927" t="str">
        <f>"A"</f>
        <v>A</v>
      </c>
    </row>
    <row r="10928" spans="1:8" x14ac:dyDescent="0.2">
      <c r="A10928" t="str">
        <f t="shared" si="3954"/>
        <v>0621078524</v>
      </c>
      <c r="B10928" t="str">
        <f t="shared" si="3955"/>
        <v>LATONYA</v>
      </c>
      <c r="C10928" t="str">
        <f t="shared" si="3956"/>
        <v>MCKENZIE</v>
      </c>
      <c r="D10928" t="str">
        <f t="shared" si="3957"/>
        <v>09</v>
      </c>
      <c r="E10928" t="str">
        <f>"06 - B - 202 - Samantha L Martinez"</f>
        <v>06 - B - 202 - Samantha L Martinez</v>
      </c>
      <c r="F10928" t="str">
        <f>"GUITAR 1"</f>
        <v>GUITAR 1</v>
      </c>
      <c r="G10928" t="str">
        <f>"05-505"</f>
        <v>05-505</v>
      </c>
      <c r="H10928" t="str">
        <f>"B"</f>
        <v>B</v>
      </c>
    </row>
    <row r="10929" spans="1:8" x14ac:dyDescent="0.2">
      <c r="A10929" t="str">
        <f t="shared" si="3954"/>
        <v>0621078524</v>
      </c>
      <c r="B10929" t="str">
        <f t="shared" si="3955"/>
        <v>LATONYA</v>
      </c>
      <c r="C10929" t="str">
        <f t="shared" si="3956"/>
        <v>MCKENZIE</v>
      </c>
      <c r="D10929" t="str">
        <f t="shared" si="3957"/>
        <v>09</v>
      </c>
      <c r="E10929" t="str">
        <f>"03 - A - 101 - Brian M Fitzgerald"</f>
        <v>03 - A - 101 - Brian M Fitzgerald</v>
      </c>
      <c r="F10929" t="str">
        <f>"SCULPT 1"</f>
        <v>SCULPT 1</v>
      </c>
      <c r="G10929" t="str">
        <f>"09-908"</f>
        <v>09-908</v>
      </c>
      <c r="H10929" t="str">
        <f>"A"</f>
        <v>A</v>
      </c>
    </row>
    <row r="10930" spans="1:8" x14ac:dyDescent="0.2">
      <c r="A10930" t="str">
        <f t="shared" si="3954"/>
        <v>0621078524</v>
      </c>
      <c r="B10930" t="str">
        <f t="shared" si="3955"/>
        <v>LATONYA</v>
      </c>
      <c r="C10930" t="str">
        <f t="shared" si="3956"/>
        <v>MCKENZIE</v>
      </c>
      <c r="D10930" t="str">
        <f t="shared" si="3957"/>
        <v>09</v>
      </c>
      <c r="E10930" t="str">
        <f>"02 - A - 115 - Lourivaldo  Da Silva"</f>
        <v>02 - A - 115 - Lourivaldo  Da Silva</v>
      </c>
      <c r="F10930" t="str">
        <f>"NC STUDY HALL 1"</f>
        <v>NC STUDY HALL 1</v>
      </c>
      <c r="G10930" t="str">
        <f>"20-2079"</f>
        <v>20-2079</v>
      </c>
      <c r="H10930" t="str">
        <f>"A"</f>
        <v>A</v>
      </c>
    </row>
    <row r="10931" spans="1:8" x14ac:dyDescent="0.2">
      <c r="A10931" t="str">
        <f t="shared" si="3954"/>
        <v>0621078524</v>
      </c>
      <c r="B10931" t="str">
        <f t="shared" si="3955"/>
        <v>LATONYA</v>
      </c>
      <c r="C10931" t="str">
        <f t="shared" si="3956"/>
        <v>MCKENZIE</v>
      </c>
      <c r="D10931" t="str">
        <f t="shared" si="3957"/>
        <v>09</v>
      </c>
      <c r="E10931" t="str">
        <f>"07 - B - 003 - Brandy N Zdenek"</f>
        <v>07 - B - 003 - Brandy N Zdenek</v>
      </c>
      <c r="F10931" t="str">
        <f>"AICE ENG GEN PAPER 1"</f>
        <v>AICE ENG GEN PAPER 1</v>
      </c>
      <c r="G10931" t="str">
        <f>"17-1704"</f>
        <v>17-1704</v>
      </c>
      <c r="H10931" t="str">
        <f>"B"</f>
        <v>B</v>
      </c>
    </row>
    <row r="10932" spans="1:8" x14ac:dyDescent="0.2">
      <c r="A10932" t="str">
        <f t="shared" si="3954"/>
        <v>0621078524</v>
      </c>
      <c r="B10932" t="str">
        <f t="shared" si="3955"/>
        <v>LATONYA</v>
      </c>
      <c r="C10932" t="str">
        <f t="shared" si="3956"/>
        <v>MCKENZIE</v>
      </c>
      <c r="D10932" t="str">
        <f t="shared" si="3957"/>
        <v>09</v>
      </c>
      <c r="E10932" t="str">
        <f>"05 - B - 103 - Rory T Sponsler"</f>
        <v>05 - B - 103 - Rory T Sponsler</v>
      </c>
      <c r="F10932" t="str">
        <f>"PRE-AICE WRLD HST IG"</f>
        <v>PRE-AICE WRLD HST IG</v>
      </c>
      <c r="G10932" t="str">
        <f>"17-1740"</f>
        <v>17-1740</v>
      </c>
      <c r="H10932" t="str">
        <f>"B"</f>
        <v>B</v>
      </c>
    </row>
    <row r="10933" spans="1:8" x14ac:dyDescent="0.2">
      <c r="A10933" t="str">
        <f t="shared" si="3954"/>
        <v>0621078524</v>
      </c>
      <c r="B10933" t="str">
        <f t="shared" si="3955"/>
        <v>LATONYA</v>
      </c>
      <c r="C10933" t="str">
        <f t="shared" si="3956"/>
        <v>MCKENZIE</v>
      </c>
      <c r="D10933" t="str">
        <f t="shared" si="3957"/>
        <v>09</v>
      </c>
      <c r="E10933" t="str">
        <f>"01 - A - 001 - Dorothy D Moore"</f>
        <v>01 - A - 001 - Dorothy D Moore</v>
      </c>
      <c r="F10933" t="str">
        <f>"ANAT PHYSIO HON"</f>
        <v>ANAT PHYSIO HON</v>
      </c>
      <c r="G10933" t="str">
        <f>"08-803"</f>
        <v>08-803</v>
      </c>
      <c r="H10933" t="str">
        <f>"A"</f>
        <v>A</v>
      </c>
    </row>
    <row r="10934" spans="1:8" x14ac:dyDescent="0.2">
      <c r="A10934" t="str">
        <f t="shared" si="3954"/>
        <v>0621078524</v>
      </c>
      <c r="B10934" t="str">
        <f t="shared" si="3955"/>
        <v>LATONYA</v>
      </c>
      <c r="C10934" t="str">
        <f t="shared" si="3956"/>
        <v>MCKENZIE</v>
      </c>
      <c r="D10934" t="str">
        <f t="shared" si="3957"/>
        <v>09</v>
      </c>
      <c r="E10934" t="str">
        <f>"08 - B - 105 - Ferrie J Arostique"</f>
        <v>08 - B - 105 - Ferrie J Arostique</v>
      </c>
      <c r="F10934" t="str">
        <f>"PRE-AICE MATH 2 IG"</f>
        <v>PRE-AICE MATH 2 IG</v>
      </c>
      <c r="G10934" t="str">
        <f>"21-2139"</f>
        <v>21-2139</v>
      </c>
      <c r="H10934" t="str">
        <f>"B"</f>
        <v>B</v>
      </c>
    </row>
    <row r="10935" spans="1:8" x14ac:dyDescent="0.2">
      <c r="A10935" t="str">
        <f t="shared" ref="A10935:A10942" si="3958">"0617006199"</f>
        <v>0617006199</v>
      </c>
      <c r="B10935" t="str">
        <f t="shared" ref="B10935:B10942" si="3959">"LEILANI"</f>
        <v>LEILANI</v>
      </c>
      <c r="C10935" t="str">
        <f t="shared" si="3956"/>
        <v>MCKENZIE</v>
      </c>
      <c r="D10935" t="str">
        <f t="shared" si="3957"/>
        <v>09</v>
      </c>
      <c r="E10935" t="str">
        <f>"04 - A - 106 - Lissa C Frederique"</f>
        <v>04 - A - 106 - Lissa C Frederique</v>
      </c>
      <c r="F10935" t="str">
        <f>"WORLD HISTORY"</f>
        <v>WORLD HISTORY</v>
      </c>
      <c r="G10935" t="str">
        <f>"17-1754"</f>
        <v>17-1754</v>
      </c>
      <c r="H10935" t="str">
        <f>"A"</f>
        <v>A</v>
      </c>
    </row>
    <row r="10936" spans="1:8" x14ac:dyDescent="0.2">
      <c r="A10936" t="str">
        <f t="shared" si="3958"/>
        <v>0617006199</v>
      </c>
      <c r="B10936" t="str">
        <f t="shared" si="3959"/>
        <v>LEILANI</v>
      </c>
      <c r="C10936" t="str">
        <f t="shared" si="3956"/>
        <v>MCKENZIE</v>
      </c>
      <c r="D10936" t="str">
        <f t="shared" si="3957"/>
        <v>09</v>
      </c>
      <c r="E10936" t="str">
        <f>"06 - B - 104 - Lytrell T Dixon"</f>
        <v>06 - B - 104 - Lytrell T Dixon</v>
      </c>
      <c r="F10936" t="str">
        <f>"PRE-AICE BIO IG"</f>
        <v>PRE-AICE BIO IG</v>
      </c>
      <c r="G10936" t="str">
        <f>"08-808"</f>
        <v>08-808</v>
      </c>
      <c r="H10936" t="str">
        <f>"B"</f>
        <v>B</v>
      </c>
    </row>
    <row r="10937" spans="1:8" x14ac:dyDescent="0.2">
      <c r="A10937" t="str">
        <f t="shared" si="3958"/>
        <v>0617006199</v>
      </c>
      <c r="B10937" t="str">
        <f t="shared" si="3959"/>
        <v>LEILANI</v>
      </c>
      <c r="C10937" t="str">
        <f t="shared" si="3956"/>
        <v>MCKENZIE</v>
      </c>
      <c r="D10937" t="str">
        <f t="shared" si="3957"/>
        <v>09</v>
      </c>
      <c r="E10937" t="str">
        <f>"03 - A - 105 - Cheryl Anne  Berman-Schechter"</f>
        <v>03 - A - 105 - Cheryl Anne  Berman-Schechter</v>
      </c>
      <c r="F10937" t="str">
        <f>"ENG 1"</f>
        <v>ENG 1</v>
      </c>
      <c r="G10937" t="str">
        <f>"17-1722"</f>
        <v>17-1722</v>
      </c>
      <c r="H10937" t="str">
        <f>"A"</f>
        <v>A</v>
      </c>
    </row>
    <row r="10938" spans="1:8" x14ac:dyDescent="0.2">
      <c r="A10938" t="str">
        <f t="shared" si="3958"/>
        <v>0617006199</v>
      </c>
      <c r="B10938" t="str">
        <f t="shared" si="3959"/>
        <v>LEILANI</v>
      </c>
      <c r="C10938" t="str">
        <f t="shared" si="3956"/>
        <v>MCKENZIE</v>
      </c>
      <c r="D10938" t="str">
        <f t="shared" si="3957"/>
        <v>09</v>
      </c>
      <c r="E10938" t="str">
        <f>"02 - A - 116 - Tina L Lovett"</f>
        <v>02 - A - 116 - Tina L Lovett</v>
      </c>
      <c r="F10938" t="str">
        <f>"NC STUDY HALL 1"</f>
        <v>NC STUDY HALL 1</v>
      </c>
      <c r="G10938" t="str">
        <f>"21-2153"</f>
        <v>21-2153</v>
      </c>
      <c r="H10938" t="str">
        <f>"A"</f>
        <v>A</v>
      </c>
    </row>
    <row r="10939" spans="1:8" x14ac:dyDescent="0.2">
      <c r="A10939" t="str">
        <f t="shared" si="3958"/>
        <v>0617006199</v>
      </c>
      <c r="B10939" t="str">
        <f t="shared" si="3959"/>
        <v>LEILANI</v>
      </c>
      <c r="C10939" t="str">
        <f t="shared" si="3956"/>
        <v>MCKENZIE</v>
      </c>
      <c r="D10939" t="str">
        <f t="shared" si="3957"/>
        <v>09</v>
      </c>
      <c r="E10939" t="str">
        <f>"07 - B - 105 - Laselleda D Shaw"</f>
        <v>07 - B - 105 - Laselleda D Shaw</v>
      </c>
      <c r="F10939" t="str">
        <f>"INTENS READ 1"</f>
        <v>INTENS READ 1</v>
      </c>
      <c r="G10939" t="str">
        <f>"17-1723"</f>
        <v>17-1723</v>
      </c>
      <c r="H10939" t="str">
        <f>"B"</f>
        <v>B</v>
      </c>
    </row>
    <row r="10940" spans="1:8" x14ac:dyDescent="0.2">
      <c r="A10940" t="str">
        <f t="shared" si="3958"/>
        <v>0617006199</v>
      </c>
      <c r="B10940" t="str">
        <f t="shared" si="3959"/>
        <v>LEILANI</v>
      </c>
      <c r="C10940" t="str">
        <f t="shared" si="3956"/>
        <v>MCKENZIE</v>
      </c>
      <c r="D10940" t="str">
        <f t="shared" si="3957"/>
        <v>09</v>
      </c>
      <c r="E10940" t="str">
        <f>"05 - S1 - B - 103 - Leslie J Barton"</f>
        <v>05 - S1 - B - 103 - Leslie J Barton</v>
      </c>
      <c r="F10940" t="str">
        <f>"FIRST AID SAFETY"</f>
        <v>FIRST AID SAFETY</v>
      </c>
      <c r="G10940" t="str">
        <f>"05-521"</f>
        <v>05-521</v>
      </c>
      <c r="H10940" t="str">
        <f>"B"</f>
        <v>B</v>
      </c>
    </row>
    <row r="10941" spans="1:8" x14ac:dyDescent="0.2">
      <c r="A10941" t="str">
        <f t="shared" si="3958"/>
        <v>0617006199</v>
      </c>
      <c r="B10941" t="str">
        <f t="shared" si="3959"/>
        <v>LEILANI</v>
      </c>
      <c r="C10941" t="str">
        <f t="shared" si="3956"/>
        <v>MCKENZIE</v>
      </c>
      <c r="D10941" t="str">
        <f t="shared" si="3957"/>
        <v>09</v>
      </c>
      <c r="E10941" t="str">
        <f>"01 - A - 101 - Arthur  Kulawik"</f>
        <v>01 - A - 101 - Arthur  Kulawik</v>
      </c>
      <c r="F10941" t="str">
        <f>"DEBATE 1 LH"</f>
        <v>DEBATE 1 LH</v>
      </c>
      <c r="G10941" t="str">
        <f>"05-506"</f>
        <v>05-506</v>
      </c>
      <c r="H10941" t="str">
        <f>"A"</f>
        <v>A</v>
      </c>
    </row>
    <row r="10942" spans="1:8" x14ac:dyDescent="0.2">
      <c r="A10942" t="str">
        <f t="shared" si="3958"/>
        <v>0617006199</v>
      </c>
      <c r="B10942" t="str">
        <f t="shared" si="3959"/>
        <v>LEILANI</v>
      </c>
      <c r="C10942" t="str">
        <f t="shared" si="3956"/>
        <v>MCKENZIE</v>
      </c>
      <c r="D10942" t="str">
        <f t="shared" si="3957"/>
        <v>09</v>
      </c>
      <c r="E10942" t="str">
        <f>"08 - B - 105 - Ferrie J Arostique"</f>
        <v>08 - B - 105 - Ferrie J Arostique</v>
      </c>
      <c r="F10942" t="str">
        <f>"PRE-AICE MATH 2 IG"</f>
        <v>PRE-AICE MATH 2 IG</v>
      </c>
      <c r="G10942" t="str">
        <f>"21-2139"</f>
        <v>21-2139</v>
      </c>
      <c r="H10942" t="str">
        <f>"B"</f>
        <v>B</v>
      </c>
    </row>
    <row r="10943" spans="1:8" x14ac:dyDescent="0.2">
      <c r="A10943" t="str">
        <f t="shared" ref="A10943:A10950" si="3960">"0623101959"</f>
        <v>0623101959</v>
      </c>
      <c r="B10943" t="str">
        <f t="shared" ref="B10943:B10950" si="3961">"ZARIAH"</f>
        <v>ZARIAH</v>
      </c>
      <c r="C10943" t="str">
        <f t="shared" ref="C10943:C10950" si="3962">"MCKINNIE"</f>
        <v>MCKINNIE</v>
      </c>
      <c r="D10943">
        <f>12</f>
        <v>12</v>
      </c>
      <c r="E10943" t="str">
        <f>"04 - A - 101 - Stefanie S Scher"</f>
        <v>04 - A - 101 - Stefanie S Scher</v>
      </c>
      <c r="F10943" t="str">
        <f>"AP PSYCH"</f>
        <v>AP PSYCH</v>
      </c>
      <c r="G10943" t="str">
        <f>"17-1735"</f>
        <v>17-1735</v>
      </c>
      <c r="H10943" t="str">
        <f>"A"</f>
        <v>A</v>
      </c>
    </row>
    <row r="10944" spans="1:8" x14ac:dyDescent="0.2">
      <c r="A10944" t="str">
        <f t="shared" si="3960"/>
        <v>0623101959</v>
      </c>
      <c r="B10944" t="str">
        <f t="shared" si="3961"/>
        <v>ZARIAH</v>
      </c>
      <c r="C10944" t="str">
        <f t="shared" si="3962"/>
        <v>MCKINNIE</v>
      </c>
      <c r="D10944">
        <f>12</f>
        <v>12</v>
      </c>
      <c r="E10944" t="str">
        <f>"06 - B - 003 - Emmily A Sarmiento"</f>
        <v>06 - B - 003 - Emmily A Sarmiento</v>
      </c>
      <c r="F10944" t="str">
        <f>"NC STUDY HALL 1"</f>
        <v>NC STUDY HALL 1</v>
      </c>
      <c r="G10944" t="str">
        <f>"17-1743"</f>
        <v>17-1743</v>
      </c>
      <c r="H10944" t="str">
        <f>"B"</f>
        <v>B</v>
      </c>
    </row>
    <row r="10945" spans="1:8" x14ac:dyDescent="0.2">
      <c r="A10945" t="str">
        <f t="shared" si="3960"/>
        <v>0623101959</v>
      </c>
      <c r="B10945" t="str">
        <f t="shared" si="3961"/>
        <v>ZARIAH</v>
      </c>
      <c r="C10945" t="str">
        <f t="shared" si="3962"/>
        <v>MCKINNIE</v>
      </c>
      <c r="D10945">
        <f>12</f>
        <v>12</v>
      </c>
      <c r="E10945" t="str">
        <f>"03 - A - 201 - Christa T Parisi"</f>
        <v>03 - A - 201 - Christa T Parisi</v>
      </c>
      <c r="F10945" t="str">
        <f>"DANCE TECHNQS 1"</f>
        <v>DANCE TECHNQS 1</v>
      </c>
      <c r="G10945" t="str">
        <f>"05-503"</f>
        <v>05-503</v>
      </c>
      <c r="H10945" t="str">
        <f>"A"</f>
        <v>A</v>
      </c>
    </row>
    <row r="10946" spans="1:8" x14ac:dyDescent="0.2">
      <c r="A10946" t="str">
        <f t="shared" si="3960"/>
        <v>0623101959</v>
      </c>
      <c r="B10946" t="str">
        <f t="shared" si="3961"/>
        <v>ZARIAH</v>
      </c>
      <c r="C10946" t="str">
        <f t="shared" si="3962"/>
        <v>MCKINNIE</v>
      </c>
      <c r="D10946">
        <f>12</f>
        <v>12</v>
      </c>
      <c r="E10946" t="str">
        <f>"02 - A - 102 - Daniel S Tyson"</f>
        <v>02 - A - 102 - Daniel S Tyson</v>
      </c>
      <c r="F10946" t="str">
        <f>"JROTC NAVAL SCI 3"</f>
        <v>JROTC NAVAL SCI 3</v>
      </c>
      <c r="G10946" t="str">
        <f>"05-510"</f>
        <v>05-510</v>
      </c>
      <c r="H10946" t="str">
        <f>"A"</f>
        <v>A</v>
      </c>
    </row>
    <row r="10947" spans="1:8" x14ac:dyDescent="0.2">
      <c r="A10947" t="str">
        <f t="shared" si="3960"/>
        <v>0623101959</v>
      </c>
      <c r="B10947" t="str">
        <f t="shared" si="3961"/>
        <v>ZARIAH</v>
      </c>
      <c r="C10947" t="str">
        <f t="shared" si="3962"/>
        <v>MCKINNIE</v>
      </c>
      <c r="D10947">
        <f>12</f>
        <v>12</v>
      </c>
      <c r="E10947" t="str">
        <f>"07 - B - 102 - Courtney E Hambright"</f>
        <v>07 - B - 102 - Courtney E Hambright</v>
      </c>
      <c r="F10947" t="str">
        <f>"AP ENG LIT COMPO"</f>
        <v>AP ENG LIT COMPO</v>
      </c>
      <c r="G10947" t="str">
        <f>"17-1711"</f>
        <v>17-1711</v>
      </c>
      <c r="H10947" t="str">
        <f>"B"</f>
        <v>B</v>
      </c>
    </row>
    <row r="10948" spans="1:8" x14ac:dyDescent="0.2">
      <c r="A10948" t="str">
        <f t="shared" si="3960"/>
        <v>0623101959</v>
      </c>
      <c r="B10948" t="str">
        <f t="shared" si="3961"/>
        <v>ZARIAH</v>
      </c>
      <c r="C10948" t="str">
        <f t="shared" si="3962"/>
        <v>MCKINNIE</v>
      </c>
      <c r="D10948">
        <f>12</f>
        <v>12</v>
      </c>
      <c r="E10948" t="str">
        <f>"05 - B - 106 - Thomas G Handwerg"</f>
        <v>05 - B - 106 - Thomas G Handwerg</v>
      </c>
      <c r="F10948" t="str">
        <f>"MATH COLL ALGEBRA"</f>
        <v>MATH COLL ALGEBRA</v>
      </c>
      <c r="G10948" t="str">
        <f>"21-2146"</f>
        <v>21-2146</v>
      </c>
      <c r="H10948" t="str">
        <f>"B"</f>
        <v>B</v>
      </c>
    </row>
    <row r="10949" spans="1:8" x14ac:dyDescent="0.2">
      <c r="A10949" t="str">
        <f t="shared" si="3960"/>
        <v>0623101959</v>
      </c>
      <c r="B10949" t="str">
        <f t="shared" si="3961"/>
        <v>ZARIAH</v>
      </c>
      <c r="C10949" t="str">
        <f t="shared" si="3962"/>
        <v>MCKINNIE</v>
      </c>
      <c r="D10949">
        <f>12</f>
        <v>12</v>
      </c>
      <c r="E10949" t="str">
        <f>"01 - S1 - A - 101 - Barbara L Segal"</f>
        <v>01 - S1 - A - 101 - Barbara L Segal</v>
      </c>
      <c r="F10949" t="str">
        <f>"US GOVT HON"</f>
        <v>US GOVT HON</v>
      </c>
      <c r="G10949" t="str">
        <f>"17-1742"</f>
        <v>17-1742</v>
      </c>
      <c r="H10949" t="str">
        <f>"A"</f>
        <v>A</v>
      </c>
    </row>
    <row r="10950" spans="1:8" x14ac:dyDescent="0.2">
      <c r="A10950" t="str">
        <f t="shared" si="3960"/>
        <v>0623101959</v>
      </c>
      <c r="B10950" t="str">
        <f t="shared" si="3961"/>
        <v>ZARIAH</v>
      </c>
      <c r="C10950" t="str">
        <f t="shared" si="3962"/>
        <v>MCKINNIE</v>
      </c>
      <c r="D10950">
        <f>12</f>
        <v>12</v>
      </c>
      <c r="E10950" t="str">
        <f>"08 - B - 107 - Taraneh C Abreu"</f>
        <v>08 - B - 107 - Taraneh C Abreu</v>
      </c>
      <c r="F10950" t="str">
        <f>"RESEARCH 1 LH"</f>
        <v>RESEARCH 1 LH</v>
      </c>
      <c r="G10950">
        <f>2041</f>
        <v>2041</v>
      </c>
      <c r="H10950" t="str">
        <f>"B"</f>
        <v>B</v>
      </c>
    </row>
    <row r="10951" spans="1:8" x14ac:dyDescent="0.2">
      <c r="A10951" t="str">
        <f t="shared" ref="A10951:A10958" si="3963">"0615136335"</f>
        <v>0615136335</v>
      </c>
      <c r="B10951" t="str">
        <f t="shared" ref="B10951:B10958" si="3964">"QUA'TORIA"</f>
        <v>QUA'TORIA</v>
      </c>
      <c r="C10951" t="str">
        <f t="shared" ref="C10951:C10958" si="3965">"MCKNIGHT"</f>
        <v>MCKNIGHT</v>
      </c>
      <c r="D10951">
        <f>10</f>
        <v>10</v>
      </c>
      <c r="E10951" t="str">
        <f>"04 - A - 104 - Nikiel  Nesbeth"</f>
        <v>04 - A - 104 - Nikiel  Nesbeth</v>
      </c>
      <c r="F10951" t="str">
        <f>"ENG 2"</f>
        <v>ENG 2</v>
      </c>
      <c r="G10951" t="str">
        <f>"17-1705"</f>
        <v>17-1705</v>
      </c>
      <c r="H10951" t="str">
        <f>"A"</f>
        <v>A</v>
      </c>
    </row>
    <row r="10952" spans="1:8" x14ac:dyDescent="0.2">
      <c r="A10952" t="str">
        <f t="shared" si="3963"/>
        <v>0615136335</v>
      </c>
      <c r="B10952" t="str">
        <f t="shared" si="3964"/>
        <v>QUA'TORIA</v>
      </c>
      <c r="C10952" t="str">
        <f t="shared" si="3965"/>
        <v>MCKNIGHT</v>
      </c>
      <c r="D10952">
        <f>10</f>
        <v>10</v>
      </c>
      <c r="E10952" t="str">
        <f>"06 - B - 115 - Scott A Dethloff"</f>
        <v>06 - B - 115 - Scott A Dethloff</v>
      </c>
      <c r="F10952" t="str">
        <f>"NC STUDY HALL 1"</f>
        <v>NC STUDY HALL 1</v>
      </c>
      <c r="G10952" t="str">
        <f>"08-812"</f>
        <v>08-812</v>
      </c>
      <c r="H10952" t="str">
        <f>"B"</f>
        <v>B</v>
      </c>
    </row>
    <row r="10953" spans="1:8" x14ac:dyDescent="0.2">
      <c r="A10953" t="str">
        <f t="shared" si="3963"/>
        <v>0615136335</v>
      </c>
      <c r="B10953" t="str">
        <f t="shared" si="3964"/>
        <v>QUA'TORIA</v>
      </c>
      <c r="C10953" t="str">
        <f t="shared" si="3965"/>
        <v>MCKNIGHT</v>
      </c>
      <c r="D10953">
        <f>10</f>
        <v>10</v>
      </c>
      <c r="E10953" t="str">
        <f>"03 - A - 103 - Taraneh C Abreu"</f>
        <v>03 - A - 103 - Taraneh C Abreu</v>
      </c>
      <c r="F10953" t="str">
        <f>"INTENS READ 2"</f>
        <v>INTENS READ 2</v>
      </c>
      <c r="G10953" t="str">
        <f>"17-1713"</f>
        <v>17-1713</v>
      </c>
      <c r="H10953" t="str">
        <f>"A"</f>
        <v>A</v>
      </c>
    </row>
    <row r="10954" spans="1:8" x14ac:dyDescent="0.2">
      <c r="A10954" t="str">
        <f t="shared" si="3963"/>
        <v>0615136335</v>
      </c>
      <c r="B10954" t="str">
        <f t="shared" si="3964"/>
        <v>QUA'TORIA</v>
      </c>
      <c r="C10954" t="str">
        <f t="shared" si="3965"/>
        <v>MCKNIGHT</v>
      </c>
      <c r="D10954">
        <f>10</f>
        <v>10</v>
      </c>
      <c r="E10954" t="str">
        <f>"02 - A - 102 - Adam Marcus  Drucker"</f>
        <v>02 - A - 102 - Adam Marcus  Drucker</v>
      </c>
      <c r="F10954" t="str">
        <f>"HOPE-PE V"</f>
        <v>HOPE-PE V</v>
      </c>
      <c r="G10954" t="str">
        <f>"04-254"</f>
        <v>04-254</v>
      </c>
      <c r="H10954" t="str">
        <f>"A"</f>
        <v>A</v>
      </c>
    </row>
    <row r="10955" spans="1:8" x14ac:dyDescent="0.2">
      <c r="A10955" t="str">
        <f t="shared" si="3963"/>
        <v>0615136335</v>
      </c>
      <c r="B10955" t="str">
        <f t="shared" si="3964"/>
        <v>QUA'TORIA</v>
      </c>
      <c r="C10955" t="str">
        <f t="shared" si="3965"/>
        <v>MCKNIGHT</v>
      </c>
      <c r="D10955">
        <f>10</f>
        <v>10</v>
      </c>
      <c r="E10955" t="str">
        <f>"07 - B - 107 - Lytrell T Dixon"</f>
        <v>07 - B - 107 - Lytrell T Dixon</v>
      </c>
      <c r="F10955" t="str">
        <f>"BIOLOGY 1"</f>
        <v>BIOLOGY 1</v>
      </c>
      <c r="G10955" t="str">
        <f>"08-808"</f>
        <v>08-808</v>
      </c>
      <c r="H10955" t="str">
        <f>"B"</f>
        <v>B</v>
      </c>
    </row>
    <row r="10956" spans="1:8" x14ac:dyDescent="0.2">
      <c r="A10956" t="str">
        <f t="shared" si="3963"/>
        <v>0615136335</v>
      </c>
      <c r="B10956" t="str">
        <f t="shared" si="3964"/>
        <v>QUA'TORIA</v>
      </c>
      <c r="C10956" t="str">
        <f t="shared" si="3965"/>
        <v>MCKNIGHT</v>
      </c>
      <c r="D10956">
        <f>10</f>
        <v>10</v>
      </c>
      <c r="E10956" t="str">
        <f>"05 - S1 - B - 103 - Leslie J Barton"</f>
        <v>05 - S1 - B - 103 - Leslie J Barton</v>
      </c>
      <c r="F10956" t="str">
        <f>"FIRST AID SAFETY"</f>
        <v>FIRST AID SAFETY</v>
      </c>
      <c r="G10956" t="str">
        <f>"05-521"</f>
        <v>05-521</v>
      </c>
      <c r="H10956" t="str">
        <f>"B"</f>
        <v>B</v>
      </c>
    </row>
    <row r="10957" spans="1:8" x14ac:dyDescent="0.2">
      <c r="A10957" t="str">
        <f t="shared" si="3963"/>
        <v>0615136335</v>
      </c>
      <c r="B10957" t="str">
        <f t="shared" si="3964"/>
        <v>QUA'TORIA</v>
      </c>
      <c r="C10957" t="str">
        <f t="shared" si="3965"/>
        <v>MCKNIGHT</v>
      </c>
      <c r="D10957">
        <f>10</f>
        <v>10</v>
      </c>
      <c r="E10957" t="str">
        <f>"01 - A - 101 - Ferrie J Arostique"</f>
        <v>01 - A - 101 - Ferrie J Arostique</v>
      </c>
      <c r="F10957" t="str">
        <f>"GEOMETRY"</f>
        <v>GEOMETRY</v>
      </c>
      <c r="G10957" t="str">
        <f>"21-2139"</f>
        <v>21-2139</v>
      </c>
      <c r="H10957" t="str">
        <f>"A"</f>
        <v>A</v>
      </c>
    </row>
    <row r="10958" spans="1:8" x14ac:dyDescent="0.2">
      <c r="A10958" t="str">
        <f t="shared" si="3963"/>
        <v>0615136335</v>
      </c>
      <c r="B10958" t="str">
        <f t="shared" si="3964"/>
        <v>QUA'TORIA</v>
      </c>
      <c r="C10958" t="str">
        <f t="shared" si="3965"/>
        <v>MCKNIGHT</v>
      </c>
      <c r="D10958">
        <f>10</f>
        <v>10</v>
      </c>
      <c r="E10958" t="str">
        <f>"08 - S1 - B - 001 - Carol S Moore"</f>
        <v>08 - S1 - B - 001 - Carol S Moore</v>
      </c>
      <c r="F10958" t="str">
        <f>"PER CAR SCH DEV 1 LH"</f>
        <v>PER CAR SCH DEV 1 LH</v>
      </c>
      <c r="G10958" t="str">
        <f>"17-1733"</f>
        <v>17-1733</v>
      </c>
      <c r="H10958" t="str">
        <f>"B"</f>
        <v>B</v>
      </c>
    </row>
    <row r="10959" spans="1:8" x14ac:dyDescent="0.2">
      <c r="A10959" t="str">
        <f t="shared" ref="A10959:A10964" si="3966">"0617018112"</f>
        <v>0617018112</v>
      </c>
      <c r="B10959" t="str">
        <f t="shared" ref="B10959:B10964" si="3967">"BRENNA"</f>
        <v>BRENNA</v>
      </c>
      <c r="C10959" t="str">
        <f t="shared" ref="C10959:C10964" si="3968">"MCLANEY"</f>
        <v>MCLANEY</v>
      </c>
      <c r="D10959">
        <f>12</f>
        <v>12</v>
      </c>
      <c r="E10959" t="str">
        <f>"19 - S1 - MTWHF - BCC - Instructor BC"</f>
        <v>19 - S1 - MTWHF - BCC - Instructor BC</v>
      </c>
      <c r="F10959" t="str">
        <f>"INTRO TO BUSINESS"</f>
        <v>INTRO TO BUSINESS</v>
      </c>
      <c r="G10959" t="str">
        <f>"60-DE"</f>
        <v>60-DE</v>
      </c>
      <c r="H10959" t="str">
        <f>"-"</f>
        <v>-</v>
      </c>
    </row>
    <row r="10960" spans="1:8" x14ac:dyDescent="0.2">
      <c r="A10960" t="str">
        <f t="shared" si="3966"/>
        <v>0617018112</v>
      </c>
      <c r="B10960" t="str">
        <f t="shared" si="3967"/>
        <v>BRENNA</v>
      </c>
      <c r="C10960" t="str">
        <f t="shared" si="3968"/>
        <v>MCLANEY</v>
      </c>
      <c r="D10960">
        <f>12</f>
        <v>12</v>
      </c>
      <c r="E10960" t="str">
        <f>"19 - S1 - MTWHF - BCC - Instructor BC"</f>
        <v>19 - S1 - MTWHF - BCC - Instructor BC</v>
      </c>
      <c r="F10960" t="str">
        <f>"INTRO TO LITERATURE"</f>
        <v>INTRO TO LITERATURE</v>
      </c>
      <c r="G10960" t="str">
        <f>"60-DE"</f>
        <v>60-DE</v>
      </c>
      <c r="H10960" t="str">
        <f>"-"</f>
        <v>-</v>
      </c>
    </row>
    <row r="10961" spans="1:8" x14ac:dyDescent="0.2">
      <c r="A10961" t="str">
        <f t="shared" si="3966"/>
        <v>0617018112</v>
      </c>
      <c r="B10961" t="str">
        <f t="shared" si="3967"/>
        <v>BRENNA</v>
      </c>
      <c r="C10961" t="str">
        <f t="shared" si="3968"/>
        <v>MCLANEY</v>
      </c>
      <c r="D10961">
        <f>12</f>
        <v>12</v>
      </c>
      <c r="E10961" t="str">
        <f>"04 - A - 205 - Jacqueline R Morphet"</f>
        <v>04 - A - 205 - Jacqueline R Morphet</v>
      </c>
      <c r="F10961" t="str">
        <f>"PHYSICS 1 HON"</f>
        <v>PHYSICS 1 HON</v>
      </c>
      <c r="G10961" t="str">
        <f>"21-2138"</f>
        <v>21-2138</v>
      </c>
      <c r="H10961" t="str">
        <f>"A"</f>
        <v>A</v>
      </c>
    </row>
    <row r="10962" spans="1:8" x14ac:dyDescent="0.2">
      <c r="A10962" t="str">
        <f t="shared" si="3966"/>
        <v>0617018112</v>
      </c>
      <c r="B10962" t="str">
        <f t="shared" si="3967"/>
        <v>BRENNA</v>
      </c>
      <c r="C10962" t="str">
        <f t="shared" si="3968"/>
        <v>MCLANEY</v>
      </c>
      <c r="D10962">
        <f>12</f>
        <v>12</v>
      </c>
      <c r="E10962" t="str">
        <f>"03 - A - 201 - Chrystina M Marchionne"</f>
        <v>03 - A - 201 - Chrystina M Marchionne</v>
      </c>
      <c r="F10962" t="str">
        <f>"JOURN 1 (YB) LH"</f>
        <v>JOURN 1 (YB) LH</v>
      </c>
      <c r="G10962" t="str">
        <f>"05-520"</f>
        <v>05-520</v>
      </c>
      <c r="H10962" t="str">
        <f>"A"</f>
        <v>A</v>
      </c>
    </row>
    <row r="10963" spans="1:8" x14ac:dyDescent="0.2">
      <c r="A10963" t="str">
        <f t="shared" si="3966"/>
        <v>0617018112</v>
      </c>
      <c r="B10963" t="str">
        <f t="shared" si="3967"/>
        <v>BRENNA</v>
      </c>
      <c r="C10963" t="str">
        <f t="shared" si="3968"/>
        <v>MCLANEY</v>
      </c>
      <c r="D10963">
        <f>12</f>
        <v>12</v>
      </c>
      <c r="E10963" t="str">
        <f>"07 - S1 - B - 102 - Barbara L Segal"</f>
        <v>07 - S1 - B - 102 - Barbara L Segal</v>
      </c>
      <c r="F10963" t="str">
        <f>"AP US GOVT/POL"</f>
        <v>AP US GOVT/POL</v>
      </c>
      <c r="G10963" t="str">
        <f>"17-1742"</f>
        <v>17-1742</v>
      </c>
      <c r="H10963" t="str">
        <f>"B"</f>
        <v>B</v>
      </c>
    </row>
    <row r="10964" spans="1:8" x14ac:dyDescent="0.2">
      <c r="A10964" t="str">
        <f t="shared" si="3966"/>
        <v>0617018112</v>
      </c>
      <c r="B10964" t="str">
        <f t="shared" si="3967"/>
        <v>BRENNA</v>
      </c>
      <c r="C10964" t="str">
        <f t="shared" si="3968"/>
        <v>MCLANEY</v>
      </c>
      <c r="D10964">
        <f>12</f>
        <v>12</v>
      </c>
      <c r="E10964" t="str">
        <f>"08 - B - 201 - Tina M Jaramillo"</f>
        <v>08 - B - 201 - Tina M Jaramillo</v>
      </c>
      <c r="F10964" t="str">
        <f>"CREATIVE WRIT 3 HON"</f>
        <v>CREATIVE WRIT 3 HON</v>
      </c>
      <c r="G10964" t="str">
        <f>"17-1706"</f>
        <v>17-1706</v>
      </c>
      <c r="H10964" t="str">
        <f>"B"</f>
        <v>B</v>
      </c>
    </row>
    <row r="10965" spans="1:8" x14ac:dyDescent="0.2">
      <c r="A10965" t="str">
        <f t="shared" ref="A10965:A10972" si="3969">"0614089550"</f>
        <v>0614089550</v>
      </c>
      <c r="B10965" t="str">
        <f t="shared" ref="B10965:B10972" si="3970">"GAVIN"</f>
        <v>GAVIN</v>
      </c>
      <c r="C10965" t="str">
        <f t="shared" ref="C10965:C10989" si="3971">"MCLEAN"</f>
        <v>MCLEAN</v>
      </c>
      <c r="D10965">
        <f>11</f>
        <v>11</v>
      </c>
      <c r="E10965" t="str">
        <f>"04 - A - 103 - Daniel S Tyson"</f>
        <v>04 - A - 103 - Daniel S Tyson</v>
      </c>
      <c r="F10965" t="str">
        <f>"JROTC NAVAL SCI 1"</f>
        <v>JROTC NAVAL SCI 1</v>
      </c>
      <c r="G10965" t="str">
        <f>"05-510"</f>
        <v>05-510</v>
      </c>
      <c r="H10965" t="str">
        <f>"A"</f>
        <v>A</v>
      </c>
    </row>
    <row r="10966" spans="1:8" x14ac:dyDescent="0.2">
      <c r="A10966" t="str">
        <f t="shared" si="3969"/>
        <v>0614089550</v>
      </c>
      <c r="B10966" t="str">
        <f t="shared" si="3970"/>
        <v>GAVIN</v>
      </c>
      <c r="C10966" t="str">
        <f t="shared" si="3971"/>
        <v>MCLEAN</v>
      </c>
      <c r="D10966">
        <f>11</f>
        <v>11</v>
      </c>
      <c r="E10966" t="str">
        <f>"06 - B - 105 - Cheryl L Beach"</f>
        <v>06 - B - 105 - Cheryl L Beach</v>
      </c>
      <c r="F10966" t="str">
        <f>"AICE ENV MGMNT AS"</f>
        <v>AICE ENV MGMNT AS</v>
      </c>
      <c r="G10966" t="str">
        <f>"08-811"</f>
        <v>08-811</v>
      </c>
      <c r="H10966" t="str">
        <f>"B"</f>
        <v>B</v>
      </c>
    </row>
    <row r="10967" spans="1:8" x14ac:dyDescent="0.2">
      <c r="A10967" t="str">
        <f t="shared" si="3969"/>
        <v>0614089550</v>
      </c>
      <c r="B10967" t="str">
        <f t="shared" si="3970"/>
        <v>GAVIN</v>
      </c>
      <c r="C10967" t="str">
        <f t="shared" si="3971"/>
        <v>MCLEAN</v>
      </c>
      <c r="D10967">
        <f>11</f>
        <v>11</v>
      </c>
      <c r="E10967" t="str">
        <f>"03 - A - 201 - Joe  Kilpatrick Jr"</f>
        <v>03 - A - 201 - Joe  Kilpatrick Jr</v>
      </c>
      <c r="F10967" t="str">
        <f>"PRE-AICE SPAN 2 IG"</f>
        <v>PRE-AICE SPAN 2 IG</v>
      </c>
      <c r="G10967" t="str">
        <f>"09-912"</f>
        <v>09-912</v>
      </c>
      <c r="H10967" t="str">
        <f>"A"</f>
        <v>A</v>
      </c>
    </row>
    <row r="10968" spans="1:8" x14ac:dyDescent="0.2">
      <c r="A10968" t="str">
        <f t="shared" si="3969"/>
        <v>0614089550</v>
      </c>
      <c r="B10968" t="str">
        <f t="shared" si="3970"/>
        <v>GAVIN</v>
      </c>
      <c r="C10968" t="str">
        <f t="shared" si="3971"/>
        <v>MCLEAN</v>
      </c>
      <c r="D10968">
        <f>11</f>
        <v>11</v>
      </c>
      <c r="E10968" t="str">
        <f>"02 - A - 112 - Brandy N Zdenek"</f>
        <v>02 - A - 112 - Brandy N Zdenek</v>
      </c>
      <c r="F10968" t="str">
        <f>"NC STUDY HALL 1"</f>
        <v>NC STUDY HALL 1</v>
      </c>
      <c r="G10968" t="str">
        <f>"17-1704"</f>
        <v>17-1704</v>
      </c>
      <c r="H10968" t="str">
        <f>"A"</f>
        <v>A</v>
      </c>
    </row>
    <row r="10969" spans="1:8" x14ac:dyDescent="0.2">
      <c r="A10969" t="str">
        <f t="shared" si="3969"/>
        <v>0614089550</v>
      </c>
      <c r="B10969" t="str">
        <f t="shared" si="3970"/>
        <v>GAVIN</v>
      </c>
      <c r="C10969" t="str">
        <f t="shared" si="3971"/>
        <v>MCLEAN</v>
      </c>
      <c r="D10969">
        <f>11</f>
        <v>11</v>
      </c>
      <c r="E10969" t="str">
        <f>"07 - B - 207 - Krystal Marie  Beruty"</f>
        <v>07 - B - 207 - Krystal Marie  Beruty</v>
      </c>
      <c r="F10969" t="str">
        <f>"AICE GLBL PERSP 1 AS"</f>
        <v>AICE GLBL PERSP 1 AS</v>
      </c>
      <c r="G10969" t="str">
        <f>"17-1721"</f>
        <v>17-1721</v>
      </c>
      <c r="H10969" t="str">
        <f>"B"</f>
        <v>B</v>
      </c>
    </row>
    <row r="10970" spans="1:8" x14ac:dyDescent="0.2">
      <c r="A10970" t="str">
        <f t="shared" si="3969"/>
        <v>0614089550</v>
      </c>
      <c r="B10970" t="str">
        <f t="shared" si="3970"/>
        <v>GAVIN</v>
      </c>
      <c r="C10970" t="str">
        <f t="shared" si="3971"/>
        <v>MCLEAN</v>
      </c>
      <c r="D10970">
        <f>11</f>
        <v>11</v>
      </c>
      <c r="E10970" t="str">
        <f>"05 - B - 102 - Jacklyn M James"</f>
        <v>05 - B - 102 - Jacklyn M James</v>
      </c>
      <c r="F10970" t="str">
        <f>"AICE ENG LANG AS"</f>
        <v>AICE ENG LANG AS</v>
      </c>
      <c r="G10970" t="str">
        <f>"17-1731"</f>
        <v>17-1731</v>
      </c>
      <c r="H10970" t="str">
        <f>"B"</f>
        <v>B</v>
      </c>
    </row>
    <row r="10971" spans="1:8" x14ac:dyDescent="0.2">
      <c r="A10971" t="str">
        <f t="shared" si="3969"/>
        <v>0614089550</v>
      </c>
      <c r="B10971" t="str">
        <f t="shared" si="3970"/>
        <v>GAVIN</v>
      </c>
      <c r="C10971" t="str">
        <f t="shared" si="3971"/>
        <v>MCLEAN</v>
      </c>
      <c r="D10971">
        <f>11</f>
        <v>11</v>
      </c>
      <c r="E10971" t="str">
        <f>"01 - A - 102 - Robert H Rindner"</f>
        <v>01 - A - 102 - Robert H Rindner</v>
      </c>
      <c r="F10971" t="str">
        <f>"MATH DATA&amp;FIN LIT H"</f>
        <v>MATH DATA&amp;FIN LIT H</v>
      </c>
      <c r="G10971" t="str">
        <f>"21-2160"</f>
        <v>21-2160</v>
      </c>
      <c r="H10971" t="str">
        <f>"A"</f>
        <v>A</v>
      </c>
    </row>
    <row r="10972" spans="1:8" x14ac:dyDescent="0.2">
      <c r="A10972" t="str">
        <f t="shared" si="3969"/>
        <v>0614089550</v>
      </c>
      <c r="B10972" t="str">
        <f t="shared" si="3970"/>
        <v>GAVIN</v>
      </c>
      <c r="C10972" t="str">
        <f t="shared" si="3971"/>
        <v>MCLEAN</v>
      </c>
      <c r="D10972">
        <f>11</f>
        <v>11</v>
      </c>
      <c r="E10972" t="str">
        <f>"08 - B - 001 - Jerry S Jiampetti"</f>
        <v>08 - B - 001 - Jerry S Jiampetti</v>
      </c>
      <c r="F10972" t="str">
        <f>"AICE U.S. HIST 1 AS"</f>
        <v>AICE U.S. HIST 1 AS</v>
      </c>
      <c r="G10972" t="str">
        <f>"17-1751"</f>
        <v>17-1751</v>
      </c>
      <c r="H10972" t="str">
        <f>"B"</f>
        <v>B</v>
      </c>
    </row>
    <row r="10973" spans="1:8" x14ac:dyDescent="0.2">
      <c r="A10973" t="str">
        <f t="shared" ref="A10973:A10981" si="3972">"0615045328"</f>
        <v>0615045328</v>
      </c>
      <c r="B10973" t="str">
        <f t="shared" ref="B10973:B10981" si="3973">"JAHKARI"</f>
        <v>JAHKARI</v>
      </c>
      <c r="C10973" t="str">
        <f t="shared" si="3971"/>
        <v>MCLEAN</v>
      </c>
      <c r="D10973" t="str">
        <f t="shared" ref="D10973:D10981" si="3974">"09"</f>
        <v>09</v>
      </c>
      <c r="E10973" t="str">
        <f>"04 - A - 106 - Lissa C Frederique"</f>
        <v>04 - A - 106 - Lissa C Frederique</v>
      </c>
      <c r="F10973" t="str">
        <f>"WORLD HISTORY"</f>
        <v>WORLD HISTORY</v>
      </c>
      <c r="G10973" t="str">
        <f>"17-1754"</f>
        <v>17-1754</v>
      </c>
      <c r="H10973" t="str">
        <f>"A"</f>
        <v>A</v>
      </c>
    </row>
    <row r="10974" spans="1:8" x14ac:dyDescent="0.2">
      <c r="A10974" t="str">
        <f t="shared" si="3972"/>
        <v>0615045328</v>
      </c>
      <c r="B10974" t="str">
        <f t="shared" si="3973"/>
        <v>JAHKARI</v>
      </c>
      <c r="C10974" t="str">
        <f t="shared" si="3971"/>
        <v>MCLEAN</v>
      </c>
      <c r="D10974" t="str">
        <f t="shared" si="3974"/>
        <v>09</v>
      </c>
      <c r="E10974" t="str">
        <f>"06 - B - 105 - Dayna M Foster"</f>
        <v>06 - B - 105 - Dayna M Foster</v>
      </c>
      <c r="F10974" t="str">
        <f>"ALGEBRA 1"</f>
        <v>ALGEBRA 1</v>
      </c>
      <c r="G10974" t="str">
        <f>"21-2109"</f>
        <v>21-2109</v>
      </c>
      <c r="H10974" t="str">
        <f>"B"</f>
        <v>B</v>
      </c>
    </row>
    <row r="10975" spans="1:8" x14ac:dyDescent="0.2">
      <c r="A10975" t="str">
        <f t="shared" si="3972"/>
        <v>0615045328</v>
      </c>
      <c r="B10975" t="str">
        <f t="shared" si="3973"/>
        <v>JAHKARI</v>
      </c>
      <c r="C10975" t="str">
        <f t="shared" si="3971"/>
        <v>MCLEAN</v>
      </c>
      <c r="D10975" t="str">
        <f t="shared" si="3974"/>
        <v>09</v>
      </c>
      <c r="E10975" t="str">
        <f>"03 - A - 101 - Dayna M Foster"</f>
        <v>03 - A - 101 - Dayna M Foster</v>
      </c>
      <c r="F10975" t="str">
        <f>"FDN SKLS MATH 9-12"</f>
        <v>FDN SKLS MATH 9-12</v>
      </c>
      <c r="G10975" t="str">
        <f>"21-2109"</f>
        <v>21-2109</v>
      </c>
      <c r="H10975" t="str">
        <f>"A"</f>
        <v>A</v>
      </c>
    </row>
    <row r="10976" spans="1:8" x14ac:dyDescent="0.2">
      <c r="A10976" t="str">
        <f t="shared" si="3972"/>
        <v>0615045328</v>
      </c>
      <c r="B10976" t="str">
        <f t="shared" si="3973"/>
        <v>JAHKARI</v>
      </c>
      <c r="C10976" t="str">
        <f t="shared" si="3971"/>
        <v>MCLEAN</v>
      </c>
      <c r="D10976" t="str">
        <f t="shared" si="3974"/>
        <v>09</v>
      </c>
      <c r="E10976" t="str">
        <f>"02 - A - 103 - Angela S Adeshina-Morrison"</f>
        <v>02 - A - 103 - Angela S Adeshina-Morrison</v>
      </c>
      <c r="F10976" t="str">
        <f>"NC STUDY HALL 1"</f>
        <v>NC STUDY HALL 1</v>
      </c>
      <c r="G10976" t="str">
        <f>"05-518"</f>
        <v>05-518</v>
      </c>
      <c r="H10976" t="str">
        <f>"A"</f>
        <v>A</v>
      </c>
    </row>
    <row r="10977" spans="1:8" x14ac:dyDescent="0.2">
      <c r="A10977" t="str">
        <f t="shared" si="3972"/>
        <v>0615045328</v>
      </c>
      <c r="B10977" t="str">
        <f t="shared" si="3973"/>
        <v>JAHKARI</v>
      </c>
      <c r="C10977" t="str">
        <f t="shared" si="3971"/>
        <v>MCLEAN</v>
      </c>
      <c r="D10977" t="str">
        <f t="shared" si="3974"/>
        <v>09</v>
      </c>
      <c r="E10977" t="str">
        <f>"02 - A - 102 - Eric  Lopapa"</f>
        <v>02 - A - 102 - Eric  Lopapa</v>
      </c>
      <c r="F10977" t="str">
        <f>"LANG THERAPY"</f>
        <v>LANG THERAPY</v>
      </c>
      <c r="G10977" t="str">
        <f>"21-2110"</f>
        <v>21-2110</v>
      </c>
      <c r="H10977" t="str">
        <f>"A"</f>
        <v>A</v>
      </c>
    </row>
    <row r="10978" spans="1:8" x14ac:dyDescent="0.2">
      <c r="A10978" t="str">
        <f t="shared" si="3972"/>
        <v>0615045328</v>
      </c>
      <c r="B10978" t="str">
        <f t="shared" si="3973"/>
        <v>JAHKARI</v>
      </c>
      <c r="C10978" t="str">
        <f t="shared" si="3971"/>
        <v>MCLEAN</v>
      </c>
      <c r="D10978" t="str">
        <f t="shared" si="3974"/>
        <v>09</v>
      </c>
      <c r="E10978" t="str">
        <f>"07 - B - 003 - Samantha J Headley"</f>
        <v>07 - B - 003 - Samantha J Headley</v>
      </c>
      <c r="F10978" t="str">
        <f>"ENV SCI"</f>
        <v>ENV SCI</v>
      </c>
      <c r="G10978" t="str">
        <f>"08-802"</f>
        <v>08-802</v>
      </c>
      <c r="H10978" t="str">
        <f>"B"</f>
        <v>B</v>
      </c>
    </row>
    <row r="10979" spans="1:8" x14ac:dyDescent="0.2">
      <c r="A10979" t="str">
        <f t="shared" si="3972"/>
        <v>0615045328</v>
      </c>
      <c r="B10979" t="str">
        <f t="shared" si="3973"/>
        <v>JAHKARI</v>
      </c>
      <c r="C10979" t="str">
        <f t="shared" si="3971"/>
        <v>MCLEAN</v>
      </c>
      <c r="D10979" t="str">
        <f t="shared" si="3974"/>
        <v>09</v>
      </c>
      <c r="E10979" t="str">
        <f>"05 - B - 001 - Laselleda D Shaw"</f>
        <v>05 - B - 001 - Laselleda D Shaw</v>
      </c>
      <c r="F10979" t="str">
        <f>"INTENS READ 1"</f>
        <v>INTENS READ 1</v>
      </c>
      <c r="G10979" t="str">
        <f>"17-1723"</f>
        <v>17-1723</v>
      </c>
      <c r="H10979" t="str">
        <f>"B"</f>
        <v>B</v>
      </c>
    </row>
    <row r="10980" spans="1:8" x14ac:dyDescent="0.2">
      <c r="A10980" t="str">
        <f t="shared" si="3972"/>
        <v>0615045328</v>
      </c>
      <c r="B10980" t="str">
        <f t="shared" si="3973"/>
        <v>JAHKARI</v>
      </c>
      <c r="C10980" t="str">
        <f t="shared" si="3971"/>
        <v>MCLEAN</v>
      </c>
      <c r="D10980" t="str">
        <f t="shared" si="3974"/>
        <v>09</v>
      </c>
      <c r="E10980" t="str">
        <f>"01 - A - 101 - Cerine S Stewart"</f>
        <v>01 - A - 101 - Cerine S Stewart</v>
      </c>
      <c r="F10980" t="str">
        <f>"ENG 1"</f>
        <v>ENG 1</v>
      </c>
      <c r="G10980" t="str">
        <f>"17-1720"</f>
        <v>17-1720</v>
      </c>
      <c r="H10980" t="str">
        <f>"A"</f>
        <v>A</v>
      </c>
    </row>
    <row r="10981" spans="1:8" x14ac:dyDescent="0.2">
      <c r="A10981" t="str">
        <f t="shared" si="3972"/>
        <v>0615045328</v>
      </c>
      <c r="B10981" t="str">
        <f t="shared" si="3973"/>
        <v>JAHKARI</v>
      </c>
      <c r="C10981" t="str">
        <f t="shared" si="3971"/>
        <v>MCLEAN</v>
      </c>
      <c r="D10981" t="str">
        <f t="shared" si="3974"/>
        <v>09</v>
      </c>
      <c r="E10981" t="str">
        <f>"08 - S1 - B - 105 - Richard E Dunbar Iii"</f>
        <v>08 - S1 - B - 105 - Richard E Dunbar Iii</v>
      </c>
      <c r="F10981" t="str">
        <f>"WEIGHT TRAIN 1"</f>
        <v>WEIGHT TRAIN 1</v>
      </c>
      <c r="G10981" t="str">
        <f>"05-501"</f>
        <v>05-501</v>
      </c>
      <c r="H10981" t="str">
        <f>"B"</f>
        <v>B</v>
      </c>
    </row>
    <row r="10982" spans="1:8" x14ac:dyDescent="0.2">
      <c r="A10982" t="str">
        <f t="shared" ref="A10982:A10989" si="3975">"0614089544"</f>
        <v>0614089544</v>
      </c>
      <c r="B10982" t="str">
        <f t="shared" ref="B10982:B10989" si="3976">"KAYDEN"</f>
        <v>KAYDEN</v>
      </c>
      <c r="C10982" t="str">
        <f t="shared" si="3971"/>
        <v>MCLEAN</v>
      </c>
      <c r="D10982">
        <f>11</f>
        <v>11</v>
      </c>
      <c r="E10982" t="str">
        <f>"04 - A - 102 - Brandy N Zdenek"</f>
        <v>04 - A - 102 - Brandy N Zdenek</v>
      </c>
      <c r="F10982" t="str">
        <f>"AICE ENG LANG 2 AL"</f>
        <v>AICE ENG LANG 2 AL</v>
      </c>
      <c r="G10982" t="str">
        <f>"17-1704"</f>
        <v>17-1704</v>
      </c>
      <c r="H10982" t="str">
        <f>"A"</f>
        <v>A</v>
      </c>
    </row>
    <row r="10983" spans="1:8" x14ac:dyDescent="0.2">
      <c r="A10983" t="str">
        <f t="shared" si="3975"/>
        <v>0614089544</v>
      </c>
      <c r="B10983" t="str">
        <f t="shared" si="3976"/>
        <v>KAYDEN</v>
      </c>
      <c r="C10983" t="str">
        <f t="shared" si="3971"/>
        <v>MCLEAN</v>
      </c>
      <c r="D10983">
        <f>11</f>
        <v>11</v>
      </c>
      <c r="E10983" t="str">
        <f>"06 - B - 102 - Stephen T Ripp"</f>
        <v>06 - B - 102 - Stephen T Ripp</v>
      </c>
      <c r="F10983" t="str">
        <f>"AP U.S. HIST"</f>
        <v>AP U.S. HIST</v>
      </c>
      <c r="G10983" t="str">
        <f>"17-1744"</f>
        <v>17-1744</v>
      </c>
      <c r="H10983" t="str">
        <f>"B"</f>
        <v>B</v>
      </c>
    </row>
    <row r="10984" spans="1:8" x14ac:dyDescent="0.2">
      <c r="A10984" t="str">
        <f t="shared" si="3975"/>
        <v>0614089544</v>
      </c>
      <c r="B10984" t="str">
        <f t="shared" si="3976"/>
        <v>KAYDEN</v>
      </c>
      <c r="C10984" t="str">
        <f t="shared" si="3971"/>
        <v>MCLEAN</v>
      </c>
      <c r="D10984">
        <f>11</f>
        <v>11</v>
      </c>
      <c r="E10984" t="str">
        <f>"03 - A - 101 - Jacqueline R Morphet"</f>
        <v>03 - A - 101 - Jacqueline R Morphet</v>
      </c>
      <c r="F10984" t="str">
        <f>"AP PHYSICS 1"</f>
        <v>AP PHYSICS 1</v>
      </c>
      <c r="G10984" t="str">
        <f>"21-2138"</f>
        <v>21-2138</v>
      </c>
      <c r="H10984" t="str">
        <f>"A"</f>
        <v>A</v>
      </c>
    </row>
    <row r="10985" spans="1:8" x14ac:dyDescent="0.2">
      <c r="A10985" t="str">
        <f t="shared" si="3975"/>
        <v>0614089544</v>
      </c>
      <c r="B10985" t="str">
        <f t="shared" si="3976"/>
        <v>KAYDEN</v>
      </c>
      <c r="C10985" t="str">
        <f t="shared" si="3971"/>
        <v>MCLEAN</v>
      </c>
      <c r="D10985">
        <f>11</f>
        <v>11</v>
      </c>
      <c r="E10985" t="str">
        <f>"02 - A - 113 - Byron G Montenegro"</f>
        <v>02 - A - 113 - Byron G Montenegro</v>
      </c>
      <c r="F10985" t="str">
        <f>"NC STUDY HALL 1"</f>
        <v>NC STUDY HALL 1</v>
      </c>
      <c r="G10985" t="str">
        <f>"21-2144"</f>
        <v>21-2144</v>
      </c>
      <c r="H10985" t="str">
        <f>"A"</f>
        <v>A</v>
      </c>
    </row>
    <row r="10986" spans="1:8" x14ac:dyDescent="0.2">
      <c r="A10986" t="str">
        <f t="shared" si="3975"/>
        <v>0614089544</v>
      </c>
      <c r="B10986" t="str">
        <f t="shared" si="3976"/>
        <v>KAYDEN</v>
      </c>
      <c r="C10986" t="str">
        <f t="shared" si="3971"/>
        <v>MCLEAN</v>
      </c>
      <c r="D10986">
        <f>11</f>
        <v>11</v>
      </c>
      <c r="E10986" t="str">
        <f>"07 - B - 102 - Timothy J Lawrence"</f>
        <v>07 - B - 102 - Timothy J Lawrence</v>
      </c>
      <c r="F10986" t="str">
        <f>"AICE PHYS ED 1 AS"</f>
        <v>AICE PHYS ED 1 AS</v>
      </c>
      <c r="G10986" t="str">
        <f>"05-523"</f>
        <v>05-523</v>
      </c>
      <c r="H10986" t="str">
        <f>"B"</f>
        <v>B</v>
      </c>
    </row>
    <row r="10987" spans="1:8" x14ac:dyDescent="0.2">
      <c r="A10987" t="str">
        <f t="shared" si="3975"/>
        <v>0614089544</v>
      </c>
      <c r="B10987" t="str">
        <f t="shared" si="3976"/>
        <v>KAYDEN</v>
      </c>
      <c r="C10987" t="str">
        <f t="shared" si="3971"/>
        <v>MCLEAN</v>
      </c>
      <c r="D10987">
        <f>11</f>
        <v>11</v>
      </c>
      <c r="E10987" t="str">
        <f>"05 - B - 101 - Pamela M Corzo"</f>
        <v>05 - B - 101 - Pamela M Corzo</v>
      </c>
      <c r="F10987" t="str">
        <f>"AP CALCULUS AB"</f>
        <v>AP CALCULUS AB</v>
      </c>
      <c r="G10987" t="str">
        <f>"21-2133"</f>
        <v>21-2133</v>
      </c>
      <c r="H10987" t="str">
        <f>"B"</f>
        <v>B</v>
      </c>
    </row>
    <row r="10988" spans="1:8" x14ac:dyDescent="0.2">
      <c r="A10988" t="str">
        <f t="shared" si="3975"/>
        <v>0614089544</v>
      </c>
      <c r="B10988" t="str">
        <f t="shared" si="3976"/>
        <v>KAYDEN</v>
      </c>
      <c r="C10988" t="str">
        <f t="shared" si="3971"/>
        <v>MCLEAN</v>
      </c>
      <c r="D10988">
        <f>11</f>
        <v>11</v>
      </c>
      <c r="E10988" t="str">
        <f>"01 - A - 101 - Lisa J London"</f>
        <v>01 - A - 101 - Lisa J London</v>
      </c>
      <c r="F10988" t="str">
        <f>"AP CAPSTONE SEMINAR"</f>
        <v>AP CAPSTONE SEMINAR</v>
      </c>
      <c r="G10988" t="str">
        <f>"17-1714"</f>
        <v>17-1714</v>
      </c>
      <c r="H10988" t="str">
        <f>"A"</f>
        <v>A</v>
      </c>
    </row>
    <row r="10989" spans="1:8" x14ac:dyDescent="0.2">
      <c r="A10989" t="str">
        <f t="shared" si="3975"/>
        <v>0614089544</v>
      </c>
      <c r="B10989" t="str">
        <f t="shared" si="3976"/>
        <v>KAYDEN</v>
      </c>
      <c r="C10989" t="str">
        <f t="shared" si="3971"/>
        <v>MCLEAN</v>
      </c>
      <c r="D10989">
        <f>11</f>
        <v>11</v>
      </c>
      <c r="E10989" t="str">
        <f>"08 - B - 101 - Jazmin S Fletcher"</f>
        <v>08 - B - 101 - Jazmin S Fletcher</v>
      </c>
      <c r="F10989" t="str">
        <f>"PRE-AICE DRAMA 1G"</f>
        <v>PRE-AICE DRAMA 1G</v>
      </c>
      <c r="G10989" t="str">
        <f>"09-909"</f>
        <v>09-909</v>
      </c>
      <c r="H10989" t="str">
        <f>"B"</f>
        <v>B</v>
      </c>
    </row>
    <row r="10990" spans="1:8" x14ac:dyDescent="0.2">
      <c r="A10990" t="str">
        <f t="shared" ref="A10990:A10997" si="3977">"0622002133"</f>
        <v>0622002133</v>
      </c>
      <c r="B10990" t="str">
        <f t="shared" ref="B10990:B10997" si="3978">"I'YONNA"</f>
        <v>I'YONNA</v>
      </c>
      <c r="C10990" t="str">
        <f t="shared" ref="C10990:C11005" si="3979">"MCLEOD"</f>
        <v>MCLEOD</v>
      </c>
      <c r="D10990">
        <f>10</f>
        <v>10</v>
      </c>
      <c r="E10990" t="str">
        <f>"04 - A - 101 - Arthur  Kulawik"</f>
        <v>04 - A - 101 - Arthur  Kulawik</v>
      </c>
      <c r="F10990" t="str">
        <f>"DEBATE 3 HON"</f>
        <v>DEBATE 3 HON</v>
      </c>
      <c r="G10990" t="str">
        <f>"05-506"</f>
        <v>05-506</v>
      </c>
      <c r="H10990" t="str">
        <f>"A"</f>
        <v>A</v>
      </c>
    </row>
    <row r="10991" spans="1:8" x14ac:dyDescent="0.2">
      <c r="A10991" t="str">
        <f t="shared" si="3977"/>
        <v>0622002133</v>
      </c>
      <c r="B10991" t="str">
        <f t="shared" si="3978"/>
        <v>I'YONNA</v>
      </c>
      <c r="C10991" t="str">
        <f t="shared" si="3979"/>
        <v>MCLEOD</v>
      </c>
      <c r="D10991">
        <f>10</f>
        <v>10</v>
      </c>
      <c r="E10991" t="str">
        <f>"06 - B - 103 - Thomas G Handwerg"</f>
        <v>06 - B - 103 - Thomas G Handwerg</v>
      </c>
      <c r="F10991" t="str">
        <f>"NC STUDY HALL 1"</f>
        <v>NC STUDY HALL 1</v>
      </c>
      <c r="G10991" t="str">
        <f>"21-2146"</f>
        <v>21-2146</v>
      </c>
      <c r="H10991" t="str">
        <f>"B"</f>
        <v>B</v>
      </c>
    </row>
    <row r="10992" spans="1:8" x14ac:dyDescent="0.2">
      <c r="A10992" t="str">
        <f t="shared" si="3977"/>
        <v>0622002133</v>
      </c>
      <c r="B10992" t="str">
        <f t="shared" si="3978"/>
        <v>I'YONNA</v>
      </c>
      <c r="C10992" t="str">
        <f t="shared" si="3979"/>
        <v>MCLEOD</v>
      </c>
      <c r="D10992">
        <f>10</f>
        <v>10</v>
      </c>
      <c r="E10992" t="str">
        <f>"03 - A - 102 - Semra  Bahadir"</f>
        <v>03 - A - 102 - Semra  Bahadir</v>
      </c>
      <c r="F10992" t="str">
        <f>"ALGEBRA 2"</f>
        <v>ALGEBRA 2</v>
      </c>
      <c r="G10992" t="str">
        <f>"21-2107"</f>
        <v>21-2107</v>
      </c>
      <c r="H10992" t="str">
        <f>"A"</f>
        <v>A</v>
      </c>
    </row>
    <row r="10993" spans="1:8" x14ac:dyDescent="0.2">
      <c r="A10993" t="str">
        <f t="shared" si="3977"/>
        <v>0622002133</v>
      </c>
      <c r="B10993" t="str">
        <f t="shared" si="3978"/>
        <v>I'YONNA</v>
      </c>
      <c r="C10993" t="str">
        <f t="shared" si="3979"/>
        <v>MCLEOD</v>
      </c>
      <c r="D10993">
        <f>10</f>
        <v>10</v>
      </c>
      <c r="E10993" t="str">
        <f>"02 - A - 103 - Dorothy D Moore"</f>
        <v>02 - A - 103 - Dorothy D Moore</v>
      </c>
      <c r="F10993" t="str">
        <f>"ANAT PHYSIO HON"</f>
        <v>ANAT PHYSIO HON</v>
      </c>
      <c r="G10993" t="str">
        <f>"08-803"</f>
        <v>08-803</v>
      </c>
      <c r="H10993" t="str">
        <f>"A"</f>
        <v>A</v>
      </c>
    </row>
    <row r="10994" spans="1:8" x14ac:dyDescent="0.2">
      <c r="A10994" t="str">
        <f t="shared" si="3977"/>
        <v>0622002133</v>
      </c>
      <c r="B10994" t="str">
        <f t="shared" si="3978"/>
        <v>I'YONNA</v>
      </c>
      <c r="C10994" t="str">
        <f t="shared" si="3979"/>
        <v>MCLEOD</v>
      </c>
      <c r="D10994">
        <f>10</f>
        <v>10</v>
      </c>
      <c r="E10994" t="str">
        <f>"07 - B - 107 - Adam Marcus  Drucker"</f>
        <v>07 - B - 107 - Adam Marcus  Drucker</v>
      </c>
      <c r="F10994" t="str">
        <f>"HOPE-PE V"</f>
        <v>HOPE-PE V</v>
      </c>
      <c r="G10994" t="str">
        <f>"04-254"</f>
        <v>04-254</v>
      </c>
      <c r="H10994" t="str">
        <f>"B"</f>
        <v>B</v>
      </c>
    </row>
    <row r="10995" spans="1:8" x14ac:dyDescent="0.2">
      <c r="A10995" t="str">
        <f t="shared" si="3977"/>
        <v>0622002133</v>
      </c>
      <c r="B10995" t="str">
        <f t="shared" si="3978"/>
        <v>I'YONNA</v>
      </c>
      <c r="C10995" t="str">
        <f t="shared" si="3979"/>
        <v>MCLEOD</v>
      </c>
      <c r="D10995">
        <f>10</f>
        <v>10</v>
      </c>
      <c r="E10995" t="str">
        <f>"05 - B - 106 - Courtney E Hambright"</f>
        <v>05 - B - 106 - Courtney E Hambright</v>
      </c>
      <c r="F10995" t="str">
        <f>"AICE ENG LANG AS"</f>
        <v>AICE ENG LANG AS</v>
      </c>
      <c r="G10995" t="str">
        <f>"17-1711"</f>
        <v>17-1711</v>
      </c>
      <c r="H10995" t="str">
        <f>"B"</f>
        <v>B</v>
      </c>
    </row>
    <row r="10996" spans="1:8" x14ac:dyDescent="0.2">
      <c r="A10996" t="str">
        <f t="shared" si="3977"/>
        <v>0622002133</v>
      </c>
      <c r="B10996" t="str">
        <f t="shared" si="3978"/>
        <v>I'YONNA</v>
      </c>
      <c r="C10996" t="str">
        <f t="shared" si="3979"/>
        <v>MCLEOD</v>
      </c>
      <c r="D10996">
        <f>10</f>
        <v>10</v>
      </c>
      <c r="E10996" t="str">
        <f>"01 - A - 201 - Chrystina M Marchionne"</f>
        <v>01 - A - 201 - Chrystina M Marchionne</v>
      </c>
      <c r="F10996" t="str">
        <f>"AICE MEDIASTUDIES AS"</f>
        <v>AICE MEDIASTUDIES AS</v>
      </c>
      <c r="G10996" t="str">
        <f>"05-520"</f>
        <v>05-520</v>
      </c>
      <c r="H10996" t="str">
        <f>"A"</f>
        <v>A</v>
      </c>
    </row>
    <row r="10997" spans="1:8" x14ac:dyDescent="0.2">
      <c r="A10997" t="str">
        <f t="shared" si="3977"/>
        <v>0622002133</v>
      </c>
      <c r="B10997" t="str">
        <f t="shared" si="3978"/>
        <v>I'YONNA</v>
      </c>
      <c r="C10997" t="str">
        <f t="shared" si="3979"/>
        <v>MCLEOD</v>
      </c>
      <c r="D10997">
        <f>10</f>
        <v>10</v>
      </c>
      <c r="E10997" t="str">
        <f>"08 - B - 201 - Lenecy  Nodarse"</f>
        <v>08 - B - 201 - Lenecy  Nodarse</v>
      </c>
      <c r="F10997" t="str">
        <f>"AICE EURO HIST 1 AS"</f>
        <v>AICE EURO HIST 1 AS</v>
      </c>
      <c r="G10997" t="str">
        <f>"17-1741"</f>
        <v>17-1741</v>
      </c>
      <c r="H10997" t="str">
        <f>"B"</f>
        <v>B</v>
      </c>
    </row>
    <row r="10998" spans="1:8" x14ac:dyDescent="0.2">
      <c r="A10998" t="str">
        <f t="shared" ref="A10998:A11005" si="3980">"0618115048"</f>
        <v>0618115048</v>
      </c>
      <c r="B10998" t="str">
        <f t="shared" ref="B10998:B11005" si="3981">"KAITLYN"</f>
        <v>KAITLYN</v>
      </c>
      <c r="C10998" t="str">
        <f t="shared" si="3979"/>
        <v>MCLEOD</v>
      </c>
      <c r="D10998" t="str">
        <f t="shared" ref="D10998:D11005" si="3982">"09"</f>
        <v>09</v>
      </c>
      <c r="E10998" t="str">
        <f>"04 - A - 203 - Cheryl L Beach"</f>
        <v>04 - A - 203 - Cheryl L Beach</v>
      </c>
      <c r="F10998" t="str">
        <f>"AICE ENV MGMNT AS"</f>
        <v>AICE ENV MGMNT AS</v>
      </c>
      <c r="G10998" t="str">
        <f>"08-811"</f>
        <v>08-811</v>
      </c>
      <c r="H10998" t="str">
        <f>"A"</f>
        <v>A</v>
      </c>
    </row>
    <row r="10999" spans="1:8" x14ac:dyDescent="0.2">
      <c r="A10999" t="str">
        <f t="shared" si="3980"/>
        <v>0618115048</v>
      </c>
      <c r="B10999" t="str">
        <f t="shared" si="3981"/>
        <v>KAITLYN</v>
      </c>
      <c r="C10999" t="str">
        <f t="shared" si="3979"/>
        <v>MCLEOD</v>
      </c>
      <c r="D10999" t="str">
        <f t="shared" si="3982"/>
        <v>09</v>
      </c>
      <c r="E10999" t="str">
        <f>"06 - B - 110 - Krystal Marie  Beruty"</f>
        <v>06 - B - 110 - Krystal Marie  Beruty</v>
      </c>
      <c r="F10999" t="str">
        <f>"AICE GLBL PERSP 1 AS"</f>
        <v>AICE GLBL PERSP 1 AS</v>
      </c>
      <c r="G10999" t="str">
        <f>"17-1721"</f>
        <v>17-1721</v>
      </c>
      <c r="H10999" t="str">
        <f>"B"</f>
        <v>B</v>
      </c>
    </row>
    <row r="11000" spans="1:8" x14ac:dyDescent="0.2">
      <c r="A11000" t="str">
        <f t="shared" si="3980"/>
        <v>0618115048</v>
      </c>
      <c r="B11000" t="str">
        <f t="shared" si="3981"/>
        <v>KAITLYN</v>
      </c>
      <c r="C11000" t="str">
        <f t="shared" si="3979"/>
        <v>MCLEOD</v>
      </c>
      <c r="D11000" t="str">
        <f t="shared" si="3982"/>
        <v>09</v>
      </c>
      <c r="E11000" t="str">
        <f>"03 - A - 005 - Cerine S Stewart"</f>
        <v>03 - A - 005 - Cerine S Stewart</v>
      </c>
      <c r="F11000" t="str">
        <f>"AICE ENG GEN PAPER 1"</f>
        <v>AICE ENG GEN PAPER 1</v>
      </c>
      <c r="G11000" t="str">
        <f>"17-1720"</f>
        <v>17-1720</v>
      </c>
      <c r="H11000" t="str">
        <f>"A"</f>
        <v>A</v>
      </c>
    </row>
    <row r="11001" spans="1:8" x14ac:dyDescent="0.2">
      <c r="A11001" t="str">
        <f t="shared" si="3980"/>
        <v>0618115048</v>
      </c>
      <c r="B11001" t="str">
        <f t="shared" si="3981"/>
        <v>KAITLYN</v>
      </c>
      <c r="C11001" t="str">
        <f t="shared" si="3979"/>
        <v>MCLEOD</v>
      </c>
      <c r="D11001" t="str">
        <f t="shared" si="3982"/>
        <v>09</v>
      </c>
      <c r="E11001" t="str">
        <f>"02 - A - 114 - Laselleda D Shaw"</f>
        <v>02 - A - 114 - Laselleda D Shaw</v>
      </c>
      <c r="F11001" t="str">
        <f>"NC STUDY HALL 1"</f>
        <v>NC STUDY HALL 1</v>
      </c>
      <c r="G11001" t="str">
        <f>"17-1723"</f>
        <v>17-1723</v>
      </c>
      <c r="H11001" t="str">
        <f>"A"</f>
        <v>A</v>
      </c>
    </row>
    <row r="11002" spans="1:8" x14ac:dyDescent="0.2">
      <c r="A11002" t="str">
        <f t="shared" si="3980"/>
        <v>0618115048</v>
      </c>
      <c r="B11002" t="str">
        <f t="shared" si="3981"/>
        <v>KAITLYN</v>
      </c>
      <c r="C11002" t="str">
        <f t="shared" si="3979"/>
        <v>MCLEOD</v>
      </c>
      <c r="D11002" t="str">
        <f t="shared" si="3982"/>
        <v>09</v>
      </c>
      <c r="E11002" t="str">
        <f>"07 - B - 107 - Adam Marcus  Drucker"</f>
        <v>07 - B - 107 - Adam Marcus  Drucker</v>
      </c>
      <c r="F11002" t="str">
        <f>"HOPE-PE V"</f>
        <v>HOPE-PE V</v>
      </c>
      <c r="G11002" t="str">
        <f>"04-254"</f>
        <v>04-254</v>
      </c>
      <c r="H11002" t="str">
        <f>"B"</f>
        <v>B</v>
      </c>
    </row>
    <row r="11003" spans="1:8" x14ac:dyDescent="0.2">
      <c r="A11003" t="str">
        <f t="shared" si="3980"/>
        <v>0618115048</v>
      </c>
      <c r="B11003" t="str">
        <f t="shared" si="3981"/>
        <v>KAITLYN</v>
      </c>
      <c r="C11003" t="str">
        <f t="shared" si="3979"/>
        <v>MCLEOD</v>
      </c>
      <c r="D11003" t="str">
        <f t="shared" si="3982"/>
        <v>09</v>
      </c>
      <c r="E11003" t="str">
        <f>"05 - B - 105 - Marius D Orsolini"</f>
        <v>05 - B - 105 - Marius D Orsolini</v>
      </c>
      <c r="F11003" t="str">
        <f>"CULINARY ARTS 1"</f>
        <v>CULINARY ARTS 1</v>
      </c>
      <c r="G11003" t="str">
        <f>"21-2115"</f>
        <v>21-2115</v>
      </c>
      <c r="H11003" t="str">
        <f>"B"</f>
        <v>B</v>
      </c>
    </row>
    <row r="11004" spans="1:8" x14ac:dyDescent="0.2">
      <c r="A11004" t="str">
        <f t="shared" si="3980"/>
        <v>0618115048</v>
      </c>
      <c r="B11004" t="str">
        <f t="shared" si="3981"/>
        <v>KAITLYN</v>
      </c>
      <c r="C11004" t="str">
        <f t="shared" si="3979"/>
        <v>MCLEOD</v>
      </c>
      <c r="D11004" t="str">
        <f t="shared" si="3982"/>
        <v>09</v>
      </c>
      <c r="E11004" t="str">
        <f>"01 - A - 101 - Brian M Fitzgerald"</f>
        <v>01 - A - 101 - Brian M Fitzgerald</v>
      </c>
      <c r="F11004" t="str">
        <f>"CERAM/POT 1"</f>
        <v>CERAM/POT 1</v>
      </c>
      <c r="G11004" t="str">
        <f>"09-908"</f>
        <v>09-908</v>
      </c>
      <c r="H11004" t="str">
        <f>"A"</f>
        <v>A</v>
      </c>
    </row>
    <row r="11005" spans="1:8" x14ac:dyDescent="0.2">
      <c r="A11005" t="str">
        <f t="shared" si="3980"/>
        <v>0618115048</v>
      </c>
      <c r="B11005" t="str">
        <f t="shared" si="3981"/>
        <v>KAITLYN</v>
      </c>
      <c r="C11005" t="str">
        <f t="shared" si="3979"/>
        <v>MCLEOD</v>
      </c>
      <c r="D11005" t="str">
        <f t="shared" si="3982"/>
        <v>09</v>
      </c>
      <c r="E11005" t="str">
        <f>"08 - B - 105 - Ferrie J Arostique"</f>
        <v>08 - B - 105 - Ferrie J Arostique</v>
      </c>
      <c r="F11005" t="str">
        <f>"PRE-AICE MATH 2 IG"</f>
        <v>PRE-AICE MATH 2 IG</v>
      </c>
      <c r="G11005" t="str">
        <f>"21-2139"</f>
        <v>21-2139</v>
      </c>
      <c r="H11005" t="str">
        <f>"B"</f>
        <v>B</v>
      </c>
    </row>
    <row r="11006" spans="1:8" x14ac:dyDescent="0.2">
      <c r="A11006" t="str">
        <f t="shared" ref="A11006:A11013" si="3983">"0614025566"</f>
        <v>0614025566</v>
      </c>
      <c r="B11006" t="str">
        <f t="shared" ref="B11006:B11013" si="3984">"TRENT"</f>
        <v>TRENT</v>
      </c>
      <c r="C11006" t="str">
        <f t="shared" ref="C11006:C11013" si="3985">"MCLYMONT"</f>
        <v>MCLYMONT</v>
      </c>
      <c r="D11006">
        <f>12</f>
        <v>12</v>
      </c>
      <c r="E11006" t="str">
        <f>"04 - S1 - A - 106 - Kelly N Panza"</f>
        <v>04 - S1 - A - 106 - Kelly N Panza</v>
      </c>
      <c r="F11006" t="str">
        <f>"US GOVT HON"</f>
        <v>US GOVT HON</v>
      </c>
      <c r="G11006" t="str">
        <f>"17-1753"</f>
        <v>17-1753</v>
      </c>
      <c r="H11006" t="str">
        <f>"A"</f>
        <v>A</v>
      </c>
    </row>
    <row r="11007" spans="1:8" x14ac:dyDescent="0.2">
      <c r="A11007" t="str">
        <f t="shared" si="3983"/>
        <v>0614025566</v>
      </c>
      <c r="B11007" t="str">
        <f t="shared" si="3984"/>
        <v>TRENT</v>
      </c>
      <c r="C11007" t="str">
        <f t="shared" si="3985"/>
        <v>MCLYMONT</v>
      </c>
      <c r="D11007">
        <f>12</f>
        <v>12</v>
      </c>
      <c r="E11007" t="str">
        <f>"06 - B - 107 - Pamela M Corzo"</f>
        <v>06 - B - 107 - Pamela M Corzo</v>
      </c>
      <c r="F11007" t="str">
        <f>"NC STUDY HALL 1"</f>
        <v>NC STUDY HALL 1</v>
      </c>
      <c r="G11007" t="str">
        <f>"21-2133"</f>
        <v>21-2133</v>
      </c>
      <c r="H11007" t="str">
        <f>"B"</f>
        <v>B</v>
      </c>
    </row>
    <row r="11008" spans="1:8" x14ac:dyDescent="0.2">
      <c r="A11008" t="str">
        <f t="shared" si="3983"/>
        <v>0614025566</v>
      </c>
      <c r="B11008" t="str">
        <f t="shared" si="3984"/>
        <v>TRENT</v>
      </c>
      <c r="C11008" t="str">
        <f t="shared" si="3985"/>
        <v>MCLYMONT</v>
      </c>
      <c r="D11008">
        <f>12</f>
        <v>12</v>
      </c>
      <c r="E11008" t="str">
        <f>"03 - A - 101 - Jeffrey S Gallagher"</f>
        <v>03 - A - 101 - Jeffrey S Gallagher</v>
      </c>
      <c r="F11008" t="str">
        <f>"ENG HON 4"</f>
        <v>ENG HON 4</v>
      </c>
      <c r="G11008" t="str">
        <f>"17-1724"</f>
        <v>17-1724</v>
      </c>
      <c r="H11008" t="str">
        <f>"A"</f>
        <v>A</v>
      </c>
    </row>
    <row r="11009" spans="1:8" x14ac:dyDescent="0.2">
      <c r="A11009" t="str">
        <f t="shared" si="3983"/>
        <v>0614025566</v>
      </c>
      <c r="B11009" t="str">
        <f t="shared" si="3984"/>
        <v>TRENT</v>
      </c>
      <c r="C11009" t="str">
        <f t="shared" si="3985"/>
        <v>MCLYMONT</v>
      </c>
      <c r="D11009">
        <f>12</f>
        <v>12</v>
      </c>
      <c r="E11009" t="str">
        <f>"02 - A - 114 - Eva T Rimmer"</f>
        <v>02 - A - 114 - Eva T Rimmer</v>
      </c>
      <c r="F11009" t="str">
        <f>"NC STUDY HALL 1"</f>
        <v>NC STUDY HALL 1</v>
      </c>
      <c r="G11009" t="str">
        <f>"05-523"</f>
        <v>05-523</v>
      </c>
      <c r="H11009" t="str">
        <f>"A"</f>
        <v>A</v>
      </c>
    </row>
    <row r="11010" spans="1:8" x14ac:dyDescent="0.2">
      <c r="A11010" t="str">
        <f t="shared" si="3983"/>
        <v>0614025566</v>
      </c>
      <c r="B11010" t="str">
        <f t="shared" si="3984"/>
        <v>TRENT</v>
      </c>
      <c r="C11010" t="str">
        <f t="shared" si="3985"/>
        <v>MCLYMONT</v>
      </c>
      <c r="D11010">
        <f>12</f>
        <v>12</v>
      </c>
      <c r="E11010" t="str">
        <f>"07 - B - 101 - Lisa  Quinn"</f>
        <v>07 - B - 101 - Lisa  Quinn</v>
      </c>
      <c r="F11010" t="str">
        <f>"RESEARCH 1"</f>
        <v>RESEARCH 1</v>
      </c>
      <c r="G11010" t="str">
        <f>"17-1725"</f>
        <v>17-1725</v>
      </c>
      <c r="H11010" t="str">
        <f>"B"</f>
        <v>B</v>
      </c>
    </row>
    <row r="11011" spans="1:8" x14ac:dyDescent="0.2">
      <c r="A11011" t="str">
        <f t="shared" si="3983"/>
        <v>0614025566</v>
      </c>
      <c r="B11011" t="str">
        <f t="shared" si="3984"/>
        <v>TRENT</v>
      </c>
      <c r="C11011" t="str">
        <f t="shared" si="3985"/>
        <v>MCLYMONT</v>
      </c>
      <c r="D11011">
        <f>12</f>
        <v>12</v>
      </c>
      <c r="E11011" t="str">
        <f>"05 - B - 102 - Dorothy D Moore"</f>
        <v>05 - B - 102 - Dorothy D Moore</v>
      </c>
      <c r="F11011" t="str">
        <f>"FORC SCI 1 LH"</f>
        <v>FORC SCI 1 LH</v>
      </c>
      <c r="G11011" t="str">
        <f>"08-803"</f>
        <v>08-803</v>
      </c>
      <c r="H11011" t="str">
        <f>"B"</f>
        <v>B</v>
      </c>
    </row>
    <row r="11012" spans="1:8" x14ac:dyDescent="0.2">
      <c r="A11012" t="str">
        <f t="shared" si="3983"/>
        <v>0614025566</v>
      </c>
      <c r="B11012" t="str">
        <f t="shared" si="3984"/>
        <v>TRENT</v>
      </c>
      <c r="C11012" t="str">
        <f t="shared" si="3985"/>
        <v>MCLYMONT</v>
      </c>
      <c r="D11012">
        <f>12</f>
        <v>12</v>
      </c>
      <c r="E11012" t="str">
        <f>"01 - A - 101 - Eva T Rimmer"</f>
        <v>01 - A - 101 - Eva T Rimmer</v>
      </c>
      <c r="F11012" t="str">
        <f>"CRIMINAL JUST OPS 2"</f>
        <v>CRIMINAL JUST OPS 2</v>
      </c>
      <c r="G11012" t="str">
        <f>"05-523"</f>
        <v>05-523</v>
      </c>
      <c r="H11012" t="str">
        <f>"A"</f>
        <v>A</v>
      </c>
    </row>
    <row r="11013" spans="1:8" x14ac:dyDescent="0.2">
      <c r="A11013" t="str">
        <f t="shared" si="3983"/>
        <v>0614025566</v>
      </c>
      <c r="B11013" t="str">
        <f t="shared" si="3984"/>
        <v>TRENT</v>
      </c>
      <c r="C11013" t="str">
        <f t="shared" si="3985"/>
        <v>MCLYMONT</v>
      </c>
      <c r="D11013">
        <f>12</f>
        <v>12</v>
      </c>
      <c r="E11013" t="str">
        <f>"08 - S1 - B - 104 - Leslie J Barton"</f>
        <v>08 - S1 - B - 104 - Leslie J Barton</v>
      </c>
      <c r="F11013" t="str">
        <f>"TEAM SPORTS 1"</f>
        <v>TEAM SPORTS 1</v>
      </c>
      <c r="G11013" t="str">
        <f>"04-254"</f>
        <v>04-254</v>
      </c>
      <c r="H11013" t="str">
        <f>"B"</f>
        <v>B</v>
      </c>
    </row>
    <row r="11014" spans="1:8" x14ac:dyDescent="0.2">
      <c r="A11014" t="str">
        <f t="shared" ref="A11014:A11021" si="3986">"0615061529"</f>
        <v>0615061529</v>
      </c>
      <c r="B11014" t="str">
        <f t="shared" ref="B11014:B11021" si="3987">"TALIQ"</f>
        <v>TALIQ</v>
      </c>
      <c r="C11014" t="str">
        <f t="shared" ref="C11014:C11029" si="3988">"MCNAIR"</f>
        <v>MCNAIR</v>
      </c>
      <c r="D11014">
        <f>10</f>
        <v>10</v>
      </c>
      <c r="E11014" t="str">
        <f>"04 - A - 105 - Milca  Exantus"</f>
        <v>04 - A - 105 - Milca  Exantus</v>
      </c>
      <c r="F11014" t="str">
        <f>"MATH COLLEGE LIB ART"</f>
        <v>MATH COLLEGE LIB ART</v>
      </c>
      <c r="G11014" t="str">
        <f>"21-2145"</f>
        <v>21-2145</v>
      </c>
      <c r="H11014" t="str">
        <f>"A"</f>
        <v>A</v>
      </c>
    </row>
    <row r="11015" spans="1:8" x14ac:dyDescent="0.2">
      <c r="A11015" t="str">
        <f t="shared" si="3986"/>
        <v>0615061529</v>
      </c>
      <c r="B11015" t="str">
        <f t="shared" si="3987"/>
        <v>TALIQ</v>
      </c>
      <c r="C11015" t="str">
        <f t="shared" si="3988"/>
        <v>MCNAIR</v>
      </c>
      <c r="D11015">
        <f>10</f>
        <v>10</v>
      </c>
      <c r="E11015" t="str">
        <f>"06 - B - 004 - Robert O Burger"</f>
        <v>06 - B - 004 - Robert O Burger</v>
      </c>
      <c r="F11015" t="str">
        <f>"NC STUDY HALL 1"</f>
        <v>NC STUDY HALL 1</v>
      </c>
      <c r="G11015" t="str">
        <f>"17-1755"</f>
        <v>17-1755</v>
      </c>
      <c r="H11015" t="str">
        <f>"B"</f>
        <v>B</v>
      </c>
    </row>
    <row r="11016" spans="1:8" x14ac:dyDescent="0.2">
      <c r="A11016" t="str">
        <f t="shared" si="3986"/>
        <v>0615061529</v>
      </c>
      <c r="B11016" t="str">
        <f t="shared" si="3987"/>
        <v>TALIQ</v>
      </c>
      <c r="C11016" t="str">
        <f t="shared" si="3988"/>
        <v>MCNAIR</v>
      </c>
      <c r="D11016">
        <f>10</f>
        <v>10</v>
      </c>
      <c r="E11016" t="str">
        <f>"03 - A - 206 - Josiah I Lacy"</f>
        <v>03 - A - 206 - Josiah I Lacy</v>
      </c>
      <c r="F11016" t="str">
        <f>"BIOLOGY 1"</f>
        <v>BIOLOGY 1</v>
      </c>
      <c r="G11016" t="str">
        <f>"08-801"</f>
        <v>08-801</v>
      </c>
      <c r="H11016" t="str">
        <f>"A"</f>
        <v>A</v>
      </c>
    </row>
    <row r="11017" spans="1:8" x14ac:dyDescent="0.2">
      <c r="A11017" t="str">
        <f t="shared" si="3986"/>
        <v>0615061529</v>
      </c>
      <c r="B11017" t="str">
        <f t="shared" si="3987"/>
        <v>TALIQ</v>
      </c>
      <c r="C11017" t="str">
        <f t="shared" si="3988"/>
        <v>MCNAIR</v>
      </c>
      <c r="D11017">
        <f>10</f>
        <v>10</v>
      </c>
      <c r="E11017" t="str">
        <f>"02 - A - 102 - Nikiel  Nesbeth"</f>
        <v>02 - A - 102 - Nikiel  Nesbeth</v>
      </c>
      <c r="F11017" t="str">
        <f>"ENG 2"</f>
        <v>ENG 2</v>
      </c>
      <c r="G11017" t="str">
        <f>"17-1705"</f>
        <v>17-1705</v>
      </c>
      <c r="H11017" t="str">
        <f>"A"</f>
        <v>A</v>
      </c>
    </row>
    <row r="11018" spans="1:8" x14ac:dyDescent="0.2">
      <c r="A11018" t="str">
        <f t="shared" si="3986"/>
        <v>0615061529</v>
      </c>
      <c r="B11018" t="str">
        <f t="shared" si="3987"/>
        <v>TALIQ</v>
      </c>
      <c r="C11018" t="str">
        <f t="shared" si="3988"/>
        <v>MCNAIR</v>
      </c>
      <c r="D11018">
        <f>10</f>
        <v>10</v>
      </c>
      <c r="E11018" t="str">
        <f>"07 - B - 106 - Taraneh C Abreu"</f>
        <v>07 - B - 106 - Taraneh C Abreu</v>
      </c>
      <c r="F11018" t="str">
        <f>"INTENS READ 2"</f>
        <v>INTENS READ 2</v>
      </c>
      <c r="G11018" t="str">
        <f>"17-1713"</f>
        <v>17-1713</v>
      </c>
      <c r="H11018" t="str">
        <f>"B"</f>
        <v>B</v>
      </c>
    </row>
    <row r="11019" spans="1:8" x14ac:dyDescent="0.2">
      <c r="A11019" t="str">
        <f t="shared" si="3986"/>
        <v>0615061529</v>
      </c>
      <c r="B11019" t="str">
        <f t="shared" si="3987"/>
        <v>TALIQ</v>
      </c>
      <c r="C11019" t="str">
        <f t="shared" si="3988"/>
        <v>MCNAIR</v>
      </c>
      <c r="D11019">
        <f>10</f>
        <v>10</v>
      </c>
      <c r="E11019" t="str">
        <f>"05 - S1 - B - 102 - Carol S Moore"</f>
        <v>05 - S1 - B - 102 - Carol S Moore</v>
      </c>
      <c r="F11019" t="str">
        <f>"PERS FIN &amp; MON MGT H"</f>
        <v>PERS FIN &amp; MON MGT H</v>
      </c>
      <c r="G11019" t="str">
        <f>"17-1733"</f>
        <v>17-1733</v>
      </c>
      <c r="H11019" t="str">
        <f>"B"</f>
        <v>B</v>
      </c>
    </row>
    <row r="11020" spans="1:8" x14ac:dyDescent="0.2">
      <c r="A11020" t="str">
        <f t="shared" si="3986"/>
        <v>0615061529</v>
      </c>
      <c r="B11020" t="str">
        <f t="shared" si="3987"/>
        <v>TALIQ</v>
      </c>
      <c r="C11020" t="str">
        <f t="shared" si="3988"/>
        <v>MCNAIR</v>
      </c>
      <c r="D11020">
        <f>10</f>
        <v>10</v>
      </c>
      <c r="E11020" t="str">
        <f>"01 - A - 101 - Brian M Fitzgerald"</f>
        <v>01 - A - 101 - Brian M Fitzgerald</v>
      </c>
      <c r="F11020" t="str">
        <f>"CERAM/POT 1"</f>
        <v>CERAM/POT 1</v>
      </c>
      <c r="G11020" t="str">
        <f>"09-908"</f>
        <v>09-908</v>
      </c>
      <c r="H11020" t="str">
        <f>"A"</f>
        <v>A</v>
      </c>
    </row>
    <row r="11021" spans="1:8" x14ac:dyDescent="0.2">
      <c r="A11021" t="str">
        <f t="shared" si="3986"/>
        <v>0615061529</v>
      </c>
      <c r="B11021" t="str">
        <f t="shared" si="3987"/>
        <v>TALIQ</v>
      </c>
      <c r="C11021" t="str">
        <f t="shared" si="3988"/>
        <v>MCNAIR</v>
      </c>
      <c r="D11021">
        <f>10</f>
        <v>10</v>
      </c>
      <c r="E11021" t="str">
        <f>"08 - S1 - B - 104 - Leslie J Barton"</f>
        <v>08 - S1 - B - 104 - Leslie J Barton</v>
      </c>
      <c r="F11021" t="str">
        <f>"TEAM SPORTS 1"</f>
        <v>TEAM SPORTS 1</v>
      </c>
      <c r="G11021" t="str">
        <f>"04-254"</f>
        <v>04-254</v>
      </c>
      <c r="H11021" t="str">
        <f>"B"</f>
        <v>B</v>
      </c>
    </row>
    <row r="11022" spans="1:8" x14ac:dyDescent="0.2">
      <c r="A11022" t="str">
        <f t="shared" ref="A11022:A11029" si="3989">"0613114751"</f>
        <v>0613114751</v>
      </c>
      <c r="B11022" t="str">
        <f t="shared" ref="B11022:B11029" si="3990">"TRACY"</f>
        <v>TRACY</v>
      </c>
      <c r="C11022" t="str">
        <f t="shared" si="3988"/>
        <v>MCNAIR</v>
      </c>
      <c r="D11022">
        <f>12</f>
        <v>12</v>
      </c>
      <c r="E11022" t="str">
        <f>"04 - A - 106 - Marielle A Witting"</f>
        <v>04 - A - 106 - Marielle A Witting</v>
      </c>
      <c r="F11022" t="str">
        <f>"ANAT PHYSIO"</f>
        <v>ANAT PHYSIO</v>
      </c>
      <c r="G11022" t="str">
        <f>"08-805"</f>
        <v>08-805</v>
      </c>
      <c r="H11022" t="str">
        <f>"A"</f>
        <v>A</v>
      </c>
    </row>
    <row r="11023" spans="1:8" x14ac:dyDescent="0.2">
      <c r="A11023" t="str">
        <f t="shared" si="3989"/>
        <v>0613114751</v>
      </c>
      <c r="B11023" t="str">
        <f t="shared" si="3990"/>
        <v>TRACY</v>
      </c>
      <c r="C11023" t="str">
        <f t="shared" si="3988"/>
        <v>MCNAIR</v>
      </c>
      <c r="D11023">
        <f>12</f>
        <v>12</v>
      </c>
      <c r="E11023" t="str">
        <f>"06 - B - 111 - James H Mccann"</f>
        <v>06 - B - 111 - James H Mccann</v>
      </c>
      <c r="F11023" t="str">
        <f>"NC STUDY HALL 1"</f>
        <v>NC STUDY HALL 1</v>
      </c>
      <c r="G11023" t="str">
        <f>"17-1716"</f>
        <v>17-1716</v>
      </c>
      <c r="H11023" t="str">
        <f>"B"</f>
        <v>B</v>
      </c>
    </row>
    <row r="11024" spans="1:8" x14ac:dyDescent="0.2">
      <c r="A11024" t="str">
        <f t="shared" si="3989"/>
        <v>0613114751</v>
      </c>
      <c r="B11024" t="str">
        <f t="shared" si="3990"/>
        <v>TRACY</v>
      </c>
      <c r="C11024" t="str">
        <f t="shared" si="3988"/>
        <v>MCNAIR</v>
      </c>
      <c r="D11024">
        <f>12</f>
        <v>12</v>
      </c>
      <c r="E11024" t="str">
        <f>"03 - S1 - A - 103 - Richard E Dunbar Iii"</f>
        <v>03 - S1 - A - 103 - Richard E Dunbar Iii</v>
      </c>
      <c r="F11024" t="str">
        <f>"WEIGHT TRAIN 3"</f>
        <v>WEIGHT TRAIN 3</v>
      </c>
      <c r="G11024" t="str">
        <f>"05-501"</f>
        <v>05-501</v>
      </c>
      <c r="H11024" t="str">
        <f>"A"</f>
        <v>A</v>
      </c>
    </row>
    <row r="11025" spans="1:8" x14ac:dyDescent="0.2">
      <c r="A11025" t="str">
        <f t="shared" si="3989"/>
        <v>0613114751</v>
      </c>
      <c r="B11025" t="str">
        <f t="shared" si="3990"/>
        <v>TRACY</v>
      </c>
      <c r="C11025" t="str">
        <f t="shared" si="3988"/>
        <v>MCNAIR</v>
      </c>
      <c r="D11025">
        <f>12</f>
        <v>12</v>
      </c>
      <c r="E11025" t="str">
        <f>"02 - S1 - A - 104 - Robert O Burger"</f>
        <v>02 - S1 - A - 104 - Robert O Burger</v>
      </c>
      <c r="F11025" t="str">
        <f>"US GOVT"</f>
        <v>US GOVT</v>
      </c>
      <c r="G11025" t="str">
        <f>"17-1755"</f>
        <v>17-1755</v>
      </c>
      <c r="H11025" t="str">
        <f>"A"</f>
        <v>A</v>
      </c>
    </row>
    <row r="11026" spans="1:8" x14ac:dyDescent="0.2">
      <c r="A11026" t="str">
        <f t="shared" si="3989"/>
        <v>0613114751</v>
      </c>
      <c r="B11026" t="str">
        <f t="shared" si="3990"/>
        <v>TRACY</v>
      </c>
      <c r="C11026" t="str">
        <f t="shared" si="3988"/>
        <v>MCNAIR</v>
      </c>
      <c r="D11026">
        <f>12</f>
        <v>12</v>
      </c>
      <c r="E11026" t="str">
        <f>"07 - B - 104 - Robyn L Trainer"</f>
        <v>07 - B - 104 - Robyn L Trainer</v>
      </c>
      <c r="F11026" t="str">
        <f>"ENG 4"</f>
        <v>ENG 4</v>
      </c>
      <c r="G11026" t="str">
        <f>"17-1734"</f>
        <v>17-1734</v>
      </c>
      <c r="H11026" t="str">
        <f>"B"</f>
        <v>B</v>
      </c>
    </row>
    <row r="11027" spans="1:8" x14ac:dyDescent="0.2">
      <c r="A11027" t="str">
        <f t="shared" si="3989"/>
        <v>0613114751</v>
      </c>
      <c r="B11027" t="str">
        <f t="shared" si="3990"/>
        <v>TRACY</v>
      </c>
      <c r="C11027" t="str">
        <f t="shared" si="3988"/>
        <v>MCNAIR</v>
      </c>
      <c r="D11027">
        <f>12</f>
        <v>12</v>
      </c>
      <c r="E11027" t="str">
        <f>"05 - B - 108 - James H Mccann"</f>
        <v>05 - B - 108 - James H Mccann</v>
      </c>
      <c r="F11027" t="str">
        <f>"ALGEBRA 2"</f>
        <v>ALGEBRA 2</v>
      </c>
      <c r="G11027" t="str">
        <f>"17-1716"</f>
        <v>17-1716</v>
      </c>
      <c r="H11027" t="str">
        <f>"B"</f>
        <v>B</v>
      </c>
    </row>
    <row r="11028" spans="1:8" x14ac:dyDescent="0.2">
      <c r="A11028" t="str">
        <f t="shared" si="3989"/>
        <v>0613114751</v>
      </c>
      <c r="B11028" t="str">
        <f t="shared" si="3990"/>
        <v>TRACY</v>
      </c>
      <c r="C11028" t="str">
        <f t="shared" si="3988"/>
        <v>MCNAIR</v>
      </c>
      <c r="D11028">
        <f>12</f>
        <v>12</v>
      </c>
      <c r="E11028" t="str">
        <f>"01 - A - 101 - Samantha L Martinez"</f>
        <v>01 - A - 101 - Samantha L Martinez</v>
      </c>
      <c r="F11028" t="str">
        <f>"MUSIC WORLD"</f>
        <v>MUSIC WORLD</v>
      </c>
      <c r="G11028" t="str">
        <f>"05-505"</f>
        <v>05-505</v>
      </c>
      <c r="H11028" t="str">
        <f>"A"</f>
        <v>A</v>
      </c>
    </row>
    <row r="11029" spans="1:8" x14ac:dyDescent="0.2">
      <c r="A11029" t="str">
        <f t="shared" si="3989"/>
        <v>0613114751</v>
      </c>
      <c r="B11029" t="str">
        <f t="shared" si="3990"/>
        <v>TRACY</v>
      </c>
      <c r="C11029" t="str">
        <f t="shared" si="3988"/>
        <v>MCNAIR</v>
      </c>
      <c r="D11029">
        <f>12</f>
        <v>12</v>
      </c>
      <c r="E11029" t="str">
        <f>"08 - B - 102 - Carleigh R Carmichael"</f>
        <v>08 - B - 102 - Carleigh R Carmichael</v>
      </c>
      <c r="F11029" t="str">
        <f>"LRNG STRATEGIES 9-12"</f>
        <v>LRNG STRATEGIES 9-12</v>
      </c>
      <c r="G11029" t="str">
        <f>"20-2072"</f>
        <v>20-2072</v>
      </c>
      <c r="H11029" t="str">
        <f>"B"</f>
        <v>B</v>
      </c>
    </row>
    <row r="11030" spans="1:8" x14ac:dyDescent="0.2">
      <c r="A11030" t="str">
        <f t="shared" ref="A11030:A11037" si="3991">"0616100922"</f>
        <v>0616100922</v>
      </c>
      <c r="B11030" t="str">
        <f t="shared" ref="B11030:B11037" si="3992">"ALANI"</f>
        <v>ALANI</v>
      </c>
      <c r="C11030" t="str">
        <f t="shared" ref="C11030:C11037" si="3993">"MCRAE"</f>
        <v>MCRAE</v>
      </c>
      <c r="D11030" t="str">
        <f t="shared" ref="D11030:D11037" si="3994">"09"</f>
        <v>09</v>
      </c>
      <c r="E11030" t="str">
        <f>"04 - A - 005 - Emmily A Sarmiento"</f>
        <v>04 - A - 005 - Emmily A Sarmiento</v>
      </c>
      <c r="F11030" t="str">
        <f>"AICE GLBL PERSP 1 AS"</f>
        <v>AICE GLBL PERSP 1 AS</v>
      </c>
      <c r="G11030" t="str">
        <f>"17-1743"</f>
        <v>17-1743</v>
      </c>
      <c r="H11030" t="str">
        <f>"A"</f>
        <v>A</v>
      </c>
    </row>
    <row r="11031" spans="1:8" x14ac:dyDescent="0.2">
      <c r="A11031" t="str">
        <f t="shared" si="3991"/>
        <v>0616100922</v>
      </c>
      <c r="B11031" t="str">
        <f t="shared" si="3992"/>
        <v>ALANI</v>
      </c>
      <c r="C11031" t="str">
        <f t="shared" si="3993"/>
        <v>MCRAE</v>
      </c>
      <c r="D11031" t="str">
        <f t="shared" si="3994"/>
        <v>09</v>
      </c>
      <c r="E11031" t="str">
        <f>"06 - B - 105 - Cheryl L Beach"</f>
        <v>06 - B - 105 - Cheryl L Beach</v>
      </c>
      <c r="F11031" t="str">
        <f>"AICE ENV MGMNT AS"</f>
        <v>AICE ENV MGMNT AS</v>
      </c>
      <c r="G11031" t="str">
        <f>"08-811"</f>
        <v>08-811</v>
      </c>
      <c r="H11031" t="str">
        <f>"B"</f>
        <v>B</v>
      </c>
    </row>
    <row r="11032" spans="1:8" x14ac:dyDescent="0.2">
      <c r="A11032" t="str">
        <f t="shared" si="3991"/>
        <v>0616100922</v>
      </c>
      <c r="B11032" t="str">
        <f t="shared" si="3992"/>
        <v>ALANI</v>
      </c>
      <c r="C11032" t="str">
        <f t="shared" si="3993"/>
        <v>MCRAE</v>
      </c>
      <c r="D11032" t="str">
        <f t="shared" si="3994"/>
        <v>09</v>
      </c>
      <c r="E11032" t="str">
        <f>"03 - A - 203 - Elizabeth R Walker"</f>
        <v>03 - A - 203 - Elizabeth R Walker</v>
      </c>
      <c r="F11032" t="str">
        <f>"AICE ENG GEN PAPER 1"</f>
        <v>AICE ENG GEN PAPER 1</v>
      </c>
      <c r="G11032" t="str">
        <f>"17-1703"</f>
        <v>17-1703</v>
      </c>
      <c r="H11032" t="str">
        <f>"A"</f>
        <v>A</v>
      </c>
    </row>
    <row r="11033" spans="1:8" x14ac:dyDescent="0.2">
      <c r="A11033" t="str">
        <f t="shared" si="3991"/>
        <v>0616100922</v>
      </c>
      <c r="B11033" t="str">
        <f t="shared" si="3992"/>
        <v>ALANI</v>
      </c>
      <c r="C11033" t="str">
        <f t="shared" si="3993"/>
        <v>MCRAE</v>
      </c>
      <c r="D11033" t="str">
        <f t="shared" si="3994"/>
        <v>09</v>
      </c>
      <c r="E11033" t="str">
        <f>"02 - A - 112 - Cheryl Anne  Berman-Schechter"</f>
        <v>02 - A - 112 - Cheryl Anne  Berman-Schechter</v>
      </c>
      <c r="F11033" t="str">
        <f>"NC STUDY HALL 1"</f>
        <v>NC STUDY HALL 1</v>
      </c>
      <c r="G11033" t="str">
        <f>"17-1722"</f>
        <v>17-1722</v>
      </c>
      <c r="H11033" t="str">
        <f>"A"</f>
        <v>A</v>
      </c>
    </row>
    <row r="11034" spans="1:8" x14ac:dyDescent="0.2">
      <c r="A11034" t="str">
        <f t="shared" si="3991"/>
        <v>0616100922</v>
      </c>
      <c r="B11034" t="str">
        <f t="shared" si="3992"/>
        <v>ALANI</v>
      </c>
      <c r="C11034" t="str">
        <f t="shared" si="3993"/>
        <v>MCRAE</v>
      </c>
      <c r="D11034" t="str">
        <f t="shared" si="3994"/>
        <v>09</v>
      </c>
      <c r="E11034" t="str">
        <f>"07 - B - 202 - Chrystina M Marchionne"</f>
        <v>07 - B - 202 - Chrystina M Marchionne</v>
      </c>
      <c r="F11034" t="str">
        <f>"JOURN 1 (YB) LH"</f>
        <v>JOURN 1 (YB) LH</v>
      </c>
      <c r="G11034" t="str">
        <f>"05-520"</f>
        <v>05-520</v>
      </c>
      <c r="H11034" t="str">
        <f>"B"</f>
        <v>B</v>
      </c>
    </row>
    <row r="11035" spans="1:8" x14ac:dyDescent="0.2">
      <c r="A11035" t="str">
        <f t="shared" si="3991"/>
        <v>0616100922</v>
      </c>
      <c r="B11035" t="str">
        <f t="shared" si="3992"/>
        <v>ALANI</v>
      </c>
      <c r="C11035" t="str">
        <f t="shared" si="3993"/>
        <v>MCRAE</v>
      </c>
      <c r="D11035" t="str">
        <f t="shared" si="3994"/>
        <v>09</v>
      </c>
      <c r="E11035" t="str">
        <f>"05 - B - 105 - Marius D Orsolini"</f>
        <v>05 - B - 105 - Marius D Orsolini</v>
      </c>
      <c r="F11035" t="str">
        <f>"CULINARY ARTS 1"</f>
        <v>CULINARY ARTS 1</v>
      </c>
      <c r="G11035" t="str">
        <f>"21-2115"</f>
        <v>21-2115</v>
      </c>
      <c r="H11035" t="str">
        <f>"B"</f>
        <v>B</v>
      </c>
    </row>
    <row r="11036" spans="1:8" x14ac:dyDescent="0.2">
      <c r="A11036" t="str">
        <f t="shared" si="3991"/>
        <v>0616100922</v>
      </c>
      <c r="B11036" t="str">
        <f t="shared" si="3992"/>
        <v>ALANI</v>
      </c>
      <c r="C11036" t="str">
        <f t="shared" si="3993"/>
        <v>MCRAE</v>
      </c>
      <c r="D11036" t="str">
        <f t="shared" si="3994"/>
        <v>09</v>
      </c>
      <c r="E11036" t="str">
        <f>"01 - A - 101 - Maried P Ramos"</f>
        <v>01 - A - 101 - Maried P Ramos</v>
      </c>
      <c r="F11036" t="str">
        <f>"ALGEBRA 2 HON"</f>
        <v>ALGEBRA 2 HON</v>
      </c>
      <c r="G11036" t="str">
        <f>"21-2159"</f>
        <v>21-2159</v>
      </c>
      <c r="H11036" t="str">
        <f>"A"</f>
        <v>A</v>
      </c>
    </row>
    <row r="11037" spans="1:8" x14ac:dyDescent="0.2">
      <c r="A11037" t="str">
        <f t="shared" si="3991"/>
        <v>0616100922</v>
      </c>
      <c r="B11037" t="str">
        <f t="shared" si="3992"/>
        <v>ALANI</v>
      </c>
      <c r="C11037" t="str">
        <f t="shared" si="3993"/>
        <v>MCRAE</v>
      </c>
      <c r="D11037" t="str">
        <f t="shared" si="3994"/>
        <v>09</v>
      </c>
      <c r="E11037" t="str">
        <f>"08 - B - 108 - Adam Marcus  Drucker"</f>
        <v>08 - B - 108 - Adam Marcus  Drucker</v>
      </c>
      <c r="F11037" t="str">
        <f>"HOPE-PE V"</f>
        <v>HOPE-PE V</v>
      </c>
      <c r="G11037" t="str">
        <f>"04-254"</f>
        <v>04-254</v>
      </c>
      <c r="H11037" t="str">
        <f>"B"</f>
        <v>B</v>
      </c>
    </row>
    <row r="11038" spans="1:8" x14ac:dyDescent="0.2">
      <c r="A11038" t="str">
        <f t="shared" ref="A11038:A11046" si="3995">"0614107338"</f>
        <v>0614107338</v>
      </c>
      <c r="B11038" t="str">
        <f t="shared" ref="B11038:B11046" si="3996">"NICO"</f>
        <v>NICO</v>
      </c>
      <c r="C11038" t="str">
        <f t="shared" ref="C11038:C11046" si="3997">"MECCARIELLI"</f>
        <v>MECCARIELLI</v>
      </c>
      <c r="D11038">
        <f>11</f>
        <v>11</v>
      </c>
      <c r="E11038" t="str">
        <f>"04 - A - 101 - Stephen T Ripp"</f>
        <v>04 - A - 101 - Stephen T Ripp</v>
      </c>
      <c r="F11038" t="str">
        <f>"AP U.S. HIST"</f>
        <v>AP U.S. HIST</v>
      </c>
      <c r="G11038" t="str">
        <f>"17-1744"</f>
        <v>17-1744</v>
      </c>
      <c r="H11038" t="str">
        <f>"A"</f>
        <v>A</v>
      </c>
    </row>
    <row r="11039" spans="1:8" x14ac:dyDescent="0.2">
      <c r="A11039" t="str">
        <f t="shared" si="3995"/>
        <v>0614107338</v>
      </c>
      <c r="B11039" t="str">
        <f t="shared" si="3996"/>
        <v>NICO</v>
      </c>
      <c r="C11039" t="str">
        <f t="shared" si="3997"/>
        <v>MECCARIELLI</v>
      </c>
      <c r="D11039">
        <f>11</f>
        <v>11</v>
      </c>
      <c r="E11039" t="str">
        <f>"06 - B - 001 - Lourivaldo  Da Silva"</f>
        <v>06 - B - 001 - Lourivaldo  Da Silva</v>
      </c>
      <c r="F11039" t="str">
        <f>"PRE-CALCULUS HON"</f>
        <v>PRE-CALCULUS HON</v>
      </c>
      <c r="G11039" t="str">
        <f>"20-2079"</f>
        <v>20-2079</v>
      </c>
      <c r="H11039" t="str">
        <f>"B"</f>
        <v>B</v>
      </c>
    </row>
    <row r="11040" spans="1:8" x14ac:dyDescent="0.2">
      <c r="A11040" t="str">
        <f t="shared" si="3995"/>
        <v>0614107338</v>
      </c>
      <c r="B11040" t="str">
        <f t="shared" si="3996"/>
        <v>NICO</v>
      </c>
      <c r="C11040" t="str">
        <f t="shared" si="3997"/>
        <v>MECCARIELLI</v>
      </c>
      <c r="D11040">
        <f>11</f>
        <v>11</v>
      </c>
      <c r="E11040" t="str">
        <f>"03 - A - 101 - Jacqueline R Morphet"</f>
        <v>03 - A - 101 - Jacqueline R Morphet</v>
      </c>
      <c r="F11040" t="str">
        <f>"AP PHYSICS 1"</f>
        <v>AP PHYSICS 1</v>
      </c>
      <c r="G11040" t="str">
        <f>"21-2138"</f>
        <v>21-2138</v>
      </c>
      <c r="H11040" t="str">
        <f>"A"</f>
        <v>A</v>
      </c>
    </row>
    <row r="11041" spans="1:8" x14ac:dyDescent="0.2">
      <c r="A11041" t="str">
        <f t="shared" si="3995"/>
        <v>0614107338</v>
      </c>
      <c r="B11041" t="str">
        <f t="shared" si="3996"/>
        <v>NICO</v>
      </c>
      <c r="C11041" t="str">
        <f t="shared" si="3997"/>
        <v>MECCARIELLI</v>
      </c>
      <c r="D11041">
        <f>11</f>
        <v>11</v>
      </c>
      <c r="E11041" t="str">
        <f>"02 - A - 104 - Dayna M Foster"</f>
        <v>02 - A - 104 - Dayna M Foster</v>
      </c>
      <c r="F11041" t="str">
        <f>"NC STUDY HALL 1"</f>
        <v>NC STUDY HALL 1</v>
      </c>
      <c r="G11041" t="str">
        <f>"21-2109"</f>
        <v>21-2109</v>
      </c>
      <c r="H11041" t="str">
        <f>"A"</f>
        <v>A</v>
      </c>
    </row>
    <row r="11042" spans="1:8" x14ac:dyDescent="0.2">
      <c r="A11042" t="str">
        <f t="shared" si="3995"/>
        <v>0614107338</v>
      </c>
      <c r="B11042" t="str">
        <f t="shared" si="3996"/>
        <v>NICO</v>
      </c>
      <c r="C11042" t="str">
        <f t="shared" si="3997"/>
        <v>MECCARIELLI</v>
      </c>
      <c r="D11042">
        <f>11</f>
        <v>11</v>
      </c>
      <c r="E11042" t="str">
        <f>"02 - A - 112 - Karen A Toomer"</f>
        <v>02 - A - 112 - Karen A Toomer</v>
      </c>
      <c r="F11042" t="str">
        <f>"SPEECH THRPY"</f>
        <v>SPEECH THRPY</v>
      </c>
      <c r="G11042" t="str">
        <f>"21-2110"</f>
        <v>21-2110</v>
      </c>
      <c r="H11042" t="str">
        <f>"A"</f>
        <v>A</v>
      </c>
    </row>
    <row r="11043" spans="1:8" x14ac:dyDescent="0.2">
      <c r="A11043" t="str">
        <f t="shared" si="3995"/>
        <v>0614107338</v>
      </c>
      <c r="B11043" t="str">
        <f t="shared" si="3996"/>
        <v>NICO</v>
      </c>
      <c r="C11043" t="str">
        <f t="shared" si="3997"/>
        <v>MECCARIELLI</v>
      </c>
      <c r="D11043">
        <f>11</f>
        <v>11</v>
      </c>
      <c r="E11043" t="str">
        <f>"07 - B - 103 - Lisa J London"</f>
        <v>07 - B - 103 - Lisa J London</v>
      </c>
      <c r="F11043" t="str">
        <f>"AP CAPSTONE SEMINAR"</f>
        <v>AP CAPSTONE SEMINAR</v>
      </c>
      <c r="G11043" t="str">
        <f>"17-1714"</f>
        <v>17-1714</v>
      </c>
      <c r="H11043" t="str">
        <f>"B"</f>
        <v>B</v>
      </c>
    </row>
    <row r="11044" spans="1:8" x14ac:dyDescent="0.2">
      <c r="A11044" t="str">
        <f t="shared" si="3995"/>
        <v>0614107338</v>
      </c>
      <c r="B11044" t="str">
        <f t="shared" si="3996"/>
        <v>NICO</v>
      </c>
      <c r="C11044" t="str">
        <f t="shared" si="3997"/>
        <v>MECCARIELLI</v>
      </c>
      <c r="D11044">
        <f>11</f>
        <v>11</v>
      </c>
      <c r="E11044" t="str">
        <f>"05 - B - 103 - Tina M Jaramillo"</f>
        <v>05 - B - 103 - Tina M Jaramillo</v>
      </c>
      <c r="F11044" t="str">
        <f>"AP ENG COMPO"</f>
        <v>AP ENG COMPO</v>
      </c>
      <c r="G11044" t="str">
        <f>"17-1706"</f>
        <v>17-1706</v>
      </c>
      <c r="H11044" t="str">
        <f>"B"</f>
        <v>B</v>
      </c>
    </row>
    <row r="11045" spans="1:8" x14ac:dyDescent="0.2">
      <c r="A11045" t="str">
        <f t="shared" si="3995"/>
        <v>0614107338</v>
      </c>
      <c r="B11045" t="str">
        <f t="shared" si="3996"/>
        <v>NICO</v>
      </c>
      <c r="C11045" t="str">
        <f t="shared" si="3997"/>
        <v>MECCARIELLI</v>
      </c>
      <c r="D11045">
        <f>11</f>
        <v>11</v>
      </c>
      <c r="E11045" t="str">
        <f>"01 - S1 - A - 101 - Jordana K Hass"</f>
        <v>01 - S1 - A - 101 - Jordana K Hass</v>
      </c>
      <c r="F11045" t="str">
        <f>"PRIN OF AERO SCI"</f>
        <v>PRIN OF AERO SCI</v>
      </c>
      <c r="G11045" t="str">
        <f>"08-807"</f>
        <v>08-807</v>
      </c>
      <c r="H11045" t="str">
        <f>"A"</f>
        <v>A</v>
      </c>
    </row>
    <row r="11046" spans="1:8" x14ac:dyDescent="0.2">
      <c r="A11046" t="str">
        <f t="shared" si="3995"/>
        <v>0614107338</v>
      </c>
      <c r="B11046" t="str">
        <f t="shared" si="3996"/>
        <v>NICO</v>
      </c>
      <c r="C11046" t="str">
        <f t="shared" si="3997"/>
        <v>MECCARIELLI</v>
      </c>
      <c r="D11046">
        <f>11</f>
        <v>11</v>
      </c>
      <c r="E11046" t="str">
        <f>"08 - B - 105 - Daniel S Katz"</f>
        <v>08 - B - 105 - Daniel S Katz</v>
      </c>
      <c r="F11046" t="str">
        <f>"AICE MEDIA STUDIES A"</f>
        <v>AICE MEDIA STUDIES A</v>
      </c>
      <c r="G11046" t="str">
        <f>"05-521"</f>
        <v>05-521</v>
      </c>
      <c r="H11046" t="str">
        <f>"B"</f>
        <v>B</v>
      </c>
    </row>
    <row r="11047" spans="1:8" x14ac:dyDescent="0.2">
      <c r="A11047" t="str">
        <f t="shared" ref="A11047:A11054" si="3998">"0619015733"</f>
        <v>0619015733</v>
      </c>
      <c r="B11047" t="str">
        <f t="shared" ref="B11047:B11054" si="3999">"BRIANA"</f>
        <v>BRIANA</v>
      </c>
      <c r="C11047" t="str">
        <f t="shared" ref="C11047:C11054" si="4000">"MEDARD"</f>
        <v>MEDARD</v>
      </c>
      <c r="D11047">
        <f>11</f>
        <v>11</v>
      </c>
      <c r="E11047" t="str">
        <f>"04 - A - 201 - Alejandro  Navarro"</f>
        <v>04 - A - 201 - Alejandro  Navarro</v>
      </c>
      <c r="F11047" t="str">
        <f>"BAND 4"</f>
        <v>BAND 4</v>
      </c>
      <c r="G11047" t="str">
        <f>"05-504"</f>
        <v>05-504</v>
      </c>
      <c r="H11047" t="str">
        <f>"A"</f>
        <v>A</v>
      </c>
    </row>
    <row r="11048" spans="1:8" x14ac:dyDescent="0.2">
      <c r="A11048" t="str">
        <f t="shared" si="3998"/>
        <v>0619015733</v>
      </c>
      <c r="B11048" t="str">
        <f t="shared" si="3999"/>
        <v>BRIANA</v>
      </c>
      <c r="C11048" t="str">
        <f t="shared" si="4000"/>
        <v>MEDARD</v>
      </c>
      <c r="D11048">
        <f>11</f>
        <v>11</v>
      </c>
      <c r="E11048" t="str">
        <f>"06 - B - 103 - Helen A Flores"</f>
        <v>06 - B - 103 - Helen A Flores</v>
      </c>
      <c r="F11048" t="str">
        <f>"ALGEBRA 2"</f>
        <v>ALGEBRA 2</v>
      </c>
      <c r="G11048" t="str">
        <f>"21-2101"</f>
        <v>21-2101</v>
      </c>
      <c r="H11048" t="str">
        <f>"B"</f>
        <v>B</v>
      </c>
    </row>
    <row r="11049" spans="1:8" x14ac:dyDescent="0.2">
      <c r="A11049" t="str">
        <f t="shared" si="3998"/>
        <v>0619015733</v>
      </c>
      <c r="B11049" t="str">
        <f t="shared" si="3999"/>
        <v>BRIANA</v>
      </c>
      <c r="C11049" t="str">
        <f t="shared" si="4000"/>
        <v>MEDARD</v>
      </c>
      <c r="D11049">
        <f>11</f>
        <v>11</v>
      </c>
      <c r="E11049" t="str">
        <f>"03 - A - 208 - Marielle A Witting"</f>
        <v>03 - A - 208 - Marielle A Witting</v>
      </c>
      <c r="F11049" t="str">
        <f>"ANAT PHYSIO"</f>
        <v>ANAT PHYSIO</v>
      </c>
      <c r="G11049" t="str">
        <f>"08-805"</f>
        <v>08-805</v>
      </c>
      <c r="H11049" t="str">
        <f>"A"</f>
        <v>A</v>
      </c>
    </row>
    <row r="11050" spans="1:8" x14ac:dyDescent="0.2">
      <c r="A11050" t="str">
        <f t="shared" si="3998"/>
        <v>0619015733</v>
      </c>
      <c r="B11050" t="str">
        <f t="shared" si="3999"/>
        <v>BRIANA</v>
      </c>
      <c r="C11050" t="str">
        <f t="shared" si="4000"/>
        <v>MEDARD</v>
      </c>
      <c r="D11050">
        <f>11</f>
        <v>11</v>
      </c>
      <c r="E11050" t="str">
        <f>"02 - A - 001 - Courtney E Hambright"</f>
        <v>02 - A - 001 - Courtney E Hambright</v>
      </c>
      <c r="F11050" t="str">
        <f>"NC STUDY HALL 1"</f>
        <v>NC STUDY HALL 1</v>
      </c>
      <c r="G11050" t="str">
        <f>"17-1711"</f>
        <v>17-1711</v>
      </c>
      <c r="H11050" t="str">
        <f>"A"</f>
        <v>A</v>
      </c>
    </row>
    <row r="11051" spans="1:8" x14ac:dyDescent="0.2">
      <c r="A11051" t="str">
        <f t="shared" si="3998"/>
        <v>0619015733</v>
      </c>
      <c r="B11051" t="str">
        <f t="shared" si="3999"/>
        <v>BRIANA</v>
      </c>
      <c r="C11051" t="str">
        <f t="shared" si="4000"/>
        <v>MEDARD</v>
      </c>
      <c r="D11051">
        <f>11</f>
        <v>11</v>
      </c>
      <c r="E11051" t="str">
        <f>"07 - B - 103 - Vanessa J Liburd"</f>
        <v>07 - B - 103 - Vanessa J Liburd</v>
      </c>
      <c r="F11051" t="str">
        <f>"PRE-AICE FRENCH 1 IG"</f>
        <v>PRE-AICE FRENCH 1 IG</v>
      </c>
      <c r="G11051" t="str">
        <f>"05-519"</f>
        <v>05-519</v>
      </c>
      <c r="H11051" t="str">
        <f>"B"</f>
        <v>B</v>
      </c>
    </row>
    <row r="11052" spans="1:8" x14ac:dyDescent="0.2">
      <c r="A11052" t="str">
        <f t="shared" si="3998"/>
        <v>0619015733</v>
      </c>
      <c r="B11052" t="str">
        <f t="shared" si="3999"/>
        <v>BRIANA</v>
      </c>
      <c r="C11052" t="str">
        <f t="shared" si="4000"/>
        <v>MEDARD</v>
      </c>
      <c r="D11052">
        <f>11</f>
        <v>11</v>
      </c>
      <c r="E11052" t="str">
        <f>"05 - B - 001 - Kyle  Robbins"</f>
        <v>05 - B - 001 - Kyle  Robbins</v>
      </c>
      <c r="F11052" t="str">
        <f>"US HISTORY HON"</f>
        <v>US HISTORY HON</v>
      </c>
      <c r="G11052" t="str">
        <f>"17-1745"</f>
        <v>17-1745</v>
      </c>
      <c r="H11052" t="str">
        <f>"B"</f>
        <v>B</v>
      </c>
    </row>
    <row r="11053" spans="1:8" x14ac:dyDescent="0.2">
      <c r="A11053" t="str">
        <f t="shared" si="3998"/>
        <v>0619015733</v>
      </c>
      <c r="B11053" t="str">
        <f t="shared" si="3999"/>
        <v>BRIANA</v>
      </c>
      <c r="C11053" t="str">
        <f t="shared" si="4000"/>
        <v>MEDARD</v>
      </c>
      <c r="D11053">
        <f>11</f>
        <v>11</v>
      </c>
      <c r="E11053" t="str">
        <f>"01 - A - 101 - Heidi M Knopp"</f>
        <v>01 - A - 101 - Heidi M Knopp</v>
      </c>
      <c r="F11053" t="str">
        <f>"ENG HON 3"</f>
        <v>ENG HON 3</v>
      </c>
      <c r="G11053" t="str">
        <f>"17-1752"</f>
        <v>17-1752</v>
      </c>
      <c r="H11053" t="str">
        <f>"A"</f>
        <v>A</v>
      </c>
    </row>
    <row r="11054" spans="1:8" x14ac:dyDescent="0.2">
      <c r="A11054" t="str">
        <f t="shared" si="3998"/>
        <v>0619015733</v>
      </c>
      <c r="B11054" t="str">
        <f t="shared" si="3999"/>
        <v>BRIANA</v>
      </c>
      <c r="C11054" t="str">
        <f t="shared" si="4000"/>
        <v>MEDARD</v>
      </c>
      <c r="D11054">
        <f>11</f>
        <v>11</v>
      </c>
      <c r="E11054" t="str">
        <f>"08 - S1 - B - 105 - James H Mccann"</f>
        <v>08 - S1 - B - 105 - James H Mccann</v>
      </c>
      <c r="F11054" t="str">
        <f>"PERS FIN &amp; MON MGT H"</f>
        <v>PERS FIN &amp; MON MGT H</v>
      </c>
      <c r="G11054" t="str">
        <f>"17-1716"</f>
        <v>17-1716</v>
      </c>
      <c r="H11054" t="str">
        <f>"B"</f>
        <v>B</v>
      </c>
    </row>
    <row r="11055" spans="1:8" x14ac:dyDescent="0.2">
      <c r="A11055" t="str">
        <f t="shared" ref="A11055:A11062" si="4001">"0615126276"</f>
        <v>0615126276</v>
      </c>
      <c r="B11055" t="str">
        <f t="shared" ref="B11055:B11062" si="4002">"GAEL"</f>
        <v>GAEL</v>
      </c>
      <c r="C11055" t="str">
        <f t="shared" ref="C11055:C11078" si="4003">"MEDINA"</f>
        <v>MEDINA</v>
      </c>
      <c r="D11055">
        <f>10</f>
        <v>10</v>
      </c>
      <c r="E11055" t="str">
        <f>"04 - A - 201 - Brian M Fitzgerald"</f>
        <v>04 - A - 201 - Brian M Fitzgerald</v>
      </c>
      <c r="F11055" t="str">
        <f>"PAINT 2"</f>
        <v>PAINT 2</v>
      </c>
      <c r="G11055" t="str">
        <f>"09-908"</f>
        <v>09-908</v>
      </c>
      <c r="H11055" t="str">
        <f>"A"</f>
        <v>A</v>
      </c>
    </row>
    <row r="11056" spans="1:8" x14ac:dyDescent="0.2">
      <c r="A11056" t="str">
        <f t="shared" si="4001"/>
        <v>0615126276</v>
      </c>
      <c r="B11056" t="str">
        <f t="shared" si="4002"/>
        <v>GAEL</v>
      </c>
      <c r="C11056" t="str">
        <f t="shared" si="4003"/>
        <v>MEDINA</v>
      </c>
      <c r="D11056">
        <f>10</f>
        <v>10</v>
      </c>
      <c r="E11056" t="str">
        <f>"06 - B - 113 - Joe  Kilpatrick Jr"</f>
        <v>06 - B - 113 - Joe  Kilpatrick Jr</v>
      </c>
      <c r="F11056" t="str">
        <f>"NC STUDY HALL 1"</f>
        <v>NC STUDY HALL 1</v>
      </c>
      <c r="G11056" t="str">
        <f>"09-912"</f>
        <v>09-912</v>
      </c>
      <c r="H11056" t="str">
        <f>"B"</f>
        <v>B</v>
      </c>
    </row>
    <row r="11057" spans="1:8" x14ac:dyDescent="0.2">
      <c r="A11057" t="str">
        <f t="shared" si="4001"/>
        <v>0615126276</v>
      </c>
      <c r="B11057" t="str">
        <f t="shared" si="4002"/>
        <v>GAEL</v>
      </c>
      <c r="C11057" t="str">
        <f t="shared" si="4003"/>
        <v>MEDINA</v>
      </c>
      <c r="D11057">
        <f>10</f>
        <v>10</v>
      </c>
      <c r="E11057" t="str">
        <f>"03 - A - 002 - Brandy N Zdenek"</f>
        <v>03 - A - 002 - Brandy N Zdenek</v>
      </c>
      <c r="F11057" t="str">
        <f>"AICE ENG LANG AS"</f>
        <v>AICE ENG LANG AS</v>
      </c>
      <c r="G11057" t="str">
        <f>"17-1704"</f>
        <v>17-1704</v>
      </c>
      <c r="H11057" t="str">
        <f>"A"</f>
        <v>A</v>
      </c>
    </row>
    <row r="11058" spans="1:8" x14ac:dyDescent="0.2">
      <c r="A11058" t="str">
        <f t="shared" si="4001"/>
        <v>0615126276</v>
      </c>
      <c r="B11058" t="str">
        <f t="shared" si="4002"/>
        <v>GAEL</v>
      </c>
      <c r="C11058" t="str">
        <f t="shared" si="4003"/>
        <v>MEDINA</v>
      </c>
      <c r="D11058">
        <f>10</f>
        <v>10</v>
      </c>
      <c r="E11058" t="str">
        <f>"02 - A - 102 - Marius D Orsolini"</f>
        <v>02 - A - 102 - Marius D Orsolini</v>
      </c>
      <c r="F11058" t="str">
        <f>"CULINARY ARTS 1"</f>
        <v>CULINARY ARTS 1</v>
      </c>
      <c r="G11058" t="str">
        <f>"21-2115"</f>
        <v>21-2115</v>
      </c>
      <c r="H11058" t="str">
        <f>"A"</f>
        <v>A</v>
      </c>
    </row>
    <row r="11059" spans="1:8" x14ac:dyDescent="0.2">
      <c r="A11059" t="str">
        <f t="shared" si="4001"/>
        <v>0615126276</v>
      </c>
      <c r="B11059" t="str">
        <f t="shared" si="4002"/>
        <v>GAEL</v>
      </c>
      <c r="C11059" t="str">
        <f t="shared" si="4003"/>
        <v>MEDINA</v>
      </c>
      <c r="D11059">
        <f>10</f>
        <v>10</v>
      </c>
      <c r="E11059" t="str">
        <f>"07 - B - 204 - Elizabeth Ellen  Moran"</f>
        <v>07 - B - 204 - Elizabeth Ellen  Moran</v>
      </c>
      <c r="F11059" t="str">
        <f>"AICE EURO HIST 1 AS"</f>
        <v>AICE EURO HIST 1 AS</v>
      </c>
      <c r="G11059" t="str">
        <f>"17-1752"</f>
        <v>17-1752</v>
      </c>
      <c r="H11059" t="str">
        <f>"B"</f>
        <v>B</v>
      </c>
    </row>
    <row r="11060" spans="1:8" x14ac:dyDescent="0.2">
      <c r="A11060" t="str">
        <f t="shared" si="4001"/>
        <v>0615126276</v>
      </c>
      <c r="B11060" t="str">
        <f t="shared" si="4002"/>
        <v>GAEL</v>
      </c>
      <c r="C11060" t="str">
        <f t="shared" si="4003"/>
        <v>MEDINA</v>
      </c>
      <c r="D11060">
        <f>10</f>
        <v>10</v>
      </c>
      <c r="E11060" t="str">
        <f>"05 - B - 101 - Arthur  Kulawik"</f>
        <v>05 - B - 101 - Arthur  Kulawik</v>
      </c>
      <c r="F11060" t="str">
        <f>"DEBATE 2 LH"</f>
        <v>DEBATE 2 LH</v>
      </c>
      <c r="G11060" t="str">
        <f>"05-506"</f>
        <v>05-506</v>
      </c>
      <c r="H11060" t="str">
        <f>"B"</f>
        <v>B</v>
      </c>
    </row>
    <row r="11061" spans="1:8" x14ac:dyDescent="0.2">
      <c r="A11061" t="str">
        <f t="shared" si="4001"/>
        <v>0615126276</v>
      </c>
      <c r="B11061" t="str">
        <f t="shared" si="4002"/>
        <v>GAEL</v>
      </c>
      <c r="C11061" t="str">
        <f t="shared" si="4003"/>
        <v>MEDINA</v>
      </c>
      <c r="D11061">
        <f>10</f>
        <v>10</v>
      </c>
      <c r="E11061" t="str">
        <f>"01 - A - 103 - Scott A Dethloff"</f>
        <v>01 - A - 103 - Scott A Dethloff</v>
      </c>
      <c r="F11061" t="str">
        <f>"AICE THINK SKLS 1 AS"</f>
        <v>AICE THINK SKLS 1 AS</v>
      </c>
      <c r="G11061" t="str">
        <f>"08-812"</f>
        <v>08-812</v>
      </c>
      <c r="H11061" t="str">
        <f>"A"</f>
        <v>A</v>
      </c>
    </row>
    <row r="11062" spans="1:8" x14ac:dyDescent="0.2">
      <c r="A11062" t="str">
        <f t="shared" si="4001"/>
        <v>0615126276</v>
      </c>
      <c r="B11062" t="str">
        <f t="shared" si="4002"/>
        <v>GAEL</v>
      </c>
      <c r="C11062" t="str">
        <f t="shared" si="4003"/>
        <v>MEDINA</v>
      </c>
      <c r="D11062">
        <f>10</f>
        <v>10</v>
      </c>
      <c r="E11062" t="str">
        <f>"08 - B - 001 - Scott A Dethloff"</f>
        <v>08 - B - 001 - Scott A Dethloff</v>
      </c>
      <c r="F11062" t="str">
        <f>"CHEMISTRY 1 HON"</f>
        <v>CHEMISTRY 1 HON</v>
      </c>
      <c r="G11062" t="str">
        <f>"08-812"</f>
        <v>08-812</v>
      </c>
      <c r="H11062" t="str">
        <f>"B"</f>
        <v>B</v>
      </c>
    </row>
    <row r="11063" spans="1:8" x14ac:dyDescent="0.2">
      <c r="A11063" t="str">
        <f t="shared" ref="A11063:A11070" si="4004">"0616065738"</f>
        <v>0616065738</v>
      </c>
      <c r="B11063" t="str">
        <f t="shared" ref="B11063:B11070" si="4005">"ISABELLA"</f>
        <v>ISABELLA</v>
      </c>
      <c r="C11063" t="str">
        <f t="shared" si="4003"/>
        <v>MEDINA</v>
      </c>
      <c r="D11063">
        <f>10</f>
        <v>10</v>
      </c>
      <c r="E11063" t="str">
        <f>"04 - A - 101 - Christa T Parisi"</f>
        <v>04 - A - 101 - Christa T Parisi</v>
      </c>
      <c r="F11063" t="str">
        <f>"DANCE TECHNQS 2"</f>
        <v>DANCE TECHNQS 2</v>
      </c>
      <c r="G11063" t="str">
        <f>"05-503"</f>
        <v>05-503</v>
      </c>
      <c r="H11063" t="str">
        <f>"A"</f>
        <v>A</v>
      </c>
    </row>
    <row r="11064" spans="1:8" x14ac:dyDescent="0.2">
      <c r="A11064" t="str">
        <f t="shared" si="4004"/>
        <v>0616065738</v>
      </c>
      <c r="B11064" t="str">
        <f t="shared" si="4005"/>
        <v>ISABELLA</v>
      </c>
      <c r="C11064" t="str">
        <f t="shared" si="4003"/>
        <v>MEDINA</v>
      </c>
      <c r="D11064">
        <f>10</f>
        <v>10</v>
      </c>
      <c r="E11064" t="str">
        <f>"06 - B - 118 - Jeanne M Bermudez"</f>
        <v>06 - B - 118 - Jeanne M Bermudez</v>
      </c>
      <c r="F11064" t="str">
        <f>"NC STUDY HALL 1"</f>
        <v>NC STUDY HALL 1</v>
      </c>
      <c r="G11064" t="str">
        <f>"21-2141"</f>
        <v>21-2141</v>
      </c>
      <c r="H11064" t="str">
        <f>"B"</f>
        <v>B</v>
      </c>
    </row>
    <row r="11065" spans="1:8" x14ac:dyDescent="0.2">
      <c r="A11065" t="str">
        <f t="shared" si="4004"/>
        <v>0616065738</v>
      </c>
      <c r="B11065" t="str">
        <f t="shared" si="4005"/>
        <v>ISABELLA</v>
      </c>
      <c r="C11065" t="str">
        <f t="shared" si="4003"/>
        <v>MEDINA</v>
      </c>
      <c r="D11065">
        <f>10</f>
        <v>10</v>
      </c>
      <c r="E11065" t="str">
        <f>"03 - A - 002 - Nikiel  Nesbeth"</f>
        <v>03 - A - 002 - Nikiel  Nesbeth</v>
      </c>
      <c r="F11065" t="str">
        <f>"PRE-AICE ENG LIT IG"</f>
        <v>PRE-AICE ENG LIT IG</v>
      </c>
      <c r="G11065" t="str">
        <f>"17-1705"</f>
        <v>17-1705</v>
      </c>
      <c r="H11065" t="str">
        <f>"A"</f>
        <v>A</v>
      </c>
    </row>
    <row r="11066" spans="1:8" x14ac:dyDescent="0.2">
      <c r="A11066" t="str">
        <f t="shared" si="4004"/>
        <v>0616065738</v>
      </c>
      <c r="B11066" t="str">
        <f t="shared" si="4005"/>
        <v>ISABELLA</v>
      </c>
      <c r="C11066" t="str">
        <f t="shared" si="4003"/>
        <v>MEDINA</v>
      </c>
      <c r="D11066">
        <f>10</f>
        <v>10</v>
      </c>
      <c r="E11066" t="str">
        <f>"02 - A - 105 - Semra  Bahadir"</f>
        <v>02 - A - 105 - Semra  Bahadir</v>
      </c>
      <c r="F11066" t="str">
        <f>"ALGEBRA 2"</f>
        <v>ALGEBRA 2</v>
      </c>
      <c r="G11066" t="str">
        <f>"21-2107"</f>
        <v>21-2107</v>
      </c>
      <c r="H11066" t="str">
        <f>"A"</f>
        <v>A</v>
      </c>
    </row>
    <row r="11067" spans="1:8" x14ac:dyDescent="0.2">
      <c r="A11067" t="str">
        <f t="shared" si="4004"/>
        <v>0616065738</v>
      </c>
      <c r="B11067" t="str">
        <f t="shared" si="4005"/>
        <v>ISABELLA</v>
      </c>
      <c r="C11067" t="str">
        <f t="shared" si="4003"/>
        <v>MEDINA</v>
      </c>
      <c r="D11067">
        <f>10</f>
        <v>10</v>
      </c>
      <c r="E11067" t="str">
        <f>"07 - B - 002 - Jordana K Hass"</f>
        <v>07 - B - 002 - Jordana K Hass</v>
      </c>
      <c r="F11067" t="str">
        <f>"CHEMISTRY 1 HON"</f>
        <v>CHEMISTRY 1 HON</v>
      </c>
      <c r="G11067" t="str">
        <f>"08-807"</f>
        <v>08-807</v>
      </c>
      <c r="H11067" t="str">
        <f>"B"</f>
        <v>B</v>
      </c>
    </row>
    <row r="11068" spans="1:8" x14ac:dyDescent="0.2">
      <c r="A11068" t="str">
        <f t="shared" si="4004"/>
        <v>0616065738</v>
      </c>
      <c r="B11068" t="str">
        <f t="shared" si="4005"/>
        <v>ISABELLA</v>
      </c>
      <c r="C11068" t="str">
        <f t="shared" si="4003"/>
        <v>MEDINA</v>
      </c>
      <c r="D11068">
        <f>10</f>
        <v>10</v>
      </c>
      <c r="E11068" t="str">
        <f>"05 - B - 103 - Rory T Sponsler"</f>
        <v>05 - B - 103 - Rory T Sponsler</v>
      </c>
      <c r="F11068" t="str">
        <f>"PRE-AICE WRLD HST IG"</f>
        <v>PRE-AICE WRLD HST IG</v>
      </c>
      <c r="G11068" t="str">
        <f>"17-1740"</f>
        <v>17-1740</v>
      </c>
      <c r="H11068" t="str">
        <f>"B"</f>
        <v>B</v>
      </c>
    </row>
    <row r="11069" spans="1:8" x14ac:dyDescent="0.2">
      <c r="A11069" t="str">
        <f t="shared" si="4004"/>
        <v>0616065738</v>
      </c>
      <c r="B11069" t="str">
        <f t="shared" si="4005"/>
        <v>ISABELLA</v>
      </c>
      <c r="C11069" t="str">
        <f t="shared" si="4003"/>
        <v>MEDINA</v>
      </c>
      <c r="D11069">
        <f>10</f>
        <v>10</v>
      </c>
      <c r="E11069" t="str">
        <f>"01 - S1 - A - 101 - Lissa C Frederique"</f>
        <v>01 - S1 - A - 101 - Lissa C Frederique</v>
      </c>
      <c r="F11069" t="str">
        <f>"PERS FIN &amp; MON MGT H"</f>
        <v>PERS FIN &amp; MON MGT H</v>
      </c>
      <c r="G11069" t="str">
        <f>"17-1754"</f>
        <v>17-1754</v>
      </c>
      <c r="H11069" t="str">
        <f>"A"</f>
        <v>A</v>
      </c>
    </row>
    <row r="11070" spans="1:8" x14ac:dyDescent="0.2">
      <c r="A11070" t="str">
        <f t="shared" si="4004"/>
        <v>0616065738</v>
      </c>
      <c r="B11070" t="str">
        <f t="shared" si="4005"/>
        <v>ISABELLA</v>
      </c>
      <c r="C11070" t="str">
        <f t="shared" si="4003"/>
        <v>MEDINA</v>
      </c>
      <c r="D11070">
        <f>10</f>
        <v>10</v>
      </c>
      <c r="E11070" t="str">
        <f>"08 - B - 202 - Dorothy D Moore"</f>
        <v>08 - B - 202 - Dorothy D Moore</v>
      </c>
      <c r="F11070" t="str">
        <f>"HEALTH SCI 1/A&amp;P HON"</f>
        <v>HEALTH SCI 1/A&amp;P HON</v>
      </c>
      <c r="G11070" t="str">
        <f>"08-803"</f>
        <v>08-803</v>
      </c>
      <c r="H11070" t="str">
        <f>"B"</f>
        <v>B</v>
      </c>
    </row>
    <row r="11071" spans="1:8" x14ac:dyDescent="0.2">
      <c r="A11071" t="str">
        <f t="shared" ref="A11071:A11078" si="4006">"0615035318"</f>
        <v>0615035318</v>
      </c>
      <c r="B11071" t="str">
        <f t="shared" ref="B11071:B11078" si="4007">"NOAH"</f>
        <v>NOAH</v>
      </c>
      <c r="C11071" t="str">
        <f t="shared" si="4003"/>
        <v>MEDINA</v>
      </c>
      <c r="D11071">
        <f>11</f>
        <v>11</v>
      </c>
      <c r="E11071" t="str">
        <f>"04 - A - 103 - Lourivaldo  Da Silva"</f>
        <v>04 - A - 103 - Lourivaldo  Da Silva</v>
      </c>
      <c r="F11071" t="str">
        <f>"PRE-CALCULUS HON"</f>
        <v>PRE-CALCULUS HON</v>
      </c>
      <c r="G11071" t="str">
        <f>"20-2079"</f>
        <v>20-2079</v>
      </c>
      <c r="H11071" t="str">
        <f>"A"</f>
        <v>A</v>
      </c>
    </row>
    <row r="11072" spans="1:8" x14ac:dyDescent="0.2">
      <c r="A11072" t="str">
        <f t="shared" si="4006"/>
        <v>0615035318</v>
      </c>
      <c r="B11072" t="str">
        <f t="shared" si="4007"/>
        <v>NOAH</v>
      </c>
      <c r="C11072" t="str">
        <f t="shared" si="4003"/>
        <v>MEDINA</v>
      </c>
      <c r="D11072">
        <f>11</f>
        <v>11</v>
      </c>
      <c r="E11072" t="str">
        <f>"06 - B - 204 - Chrystina M Marchionne"</f>
        <v>06 - B - 204 - Chrystina M Marchionne</v>
      </c>
      <c r="F11072" t="str">
        <f>"AICE MEDIASTUDIES AS"</f>
        <v>AICE MEDIASTUDIES AS</v>
      </c>
      <c r="G11072" t="str">
        <f>"05-520"</f>
        <v>05-520</v>
      </c>
      <c r="H11072" t="str">
        <f>"B"</f>
        <v>B</v>
      </c>
    </row>
    <row r="11073" spans="1:8" x14ac:dyDescent="0.2">
      <c r="A11073" t="str">
        <f t="shared" si="4006"/>
        <v>0615035318</v>
      </c>
      <c r="B11073" t="str">
        <f t="shared" si="4007"/>
        <v>NOAH</v>
      </c>
      <c r="C11073" t="str">
        <f t="shared" si="4003"/>
        <v>MEDINA</v>
      </c>
      <c r="D11073">
        <f>11</f>
        <v>11</v>
      </c>
      <c r="E11073" t="str">
        <f>"03 - A - 106 - Jerry S Jiampetti"</f>
        <v>03 - A - 106 - Jerry S Jiampetti</v>
      </c>
      <c r="F11073" t="str">
        <f>"US HISTORY HON"</f>
        <v>US HISTORY HON</v>
      </c>
      <c r="G11073" t="str">
        <f>"17-1751"</f>
        <v>17-1751</v>
      </c>
      <c r="H11073" t="str">
        <f>"A"</f>
        <v>A</v>
      </c>
    </row>
    <row r="11074" spans="1:8" x14ac:dyDescent="0.2">
      <c r="A11074" t="str">
        <f t="shared" si="4006"/>
        <v>0615035318</v>
      </c>
      <c r="B11074" t="str">
        <f t="shared" si="4007"/>
        <v>NOAH</v>
      </c>
      <c r="C11074" t="str">
        <f t="shared" si="4003"/>
        <v>MEDINA</v>
      </c>
      <c r="D11074">
        <f>11</f>
        <v>11</v>
      </c>
      <c r="E11074" t="str">
        <f>"02 - A - 108 - Stephen T Ripp"</f>
        <v>02 - A - 108 - Stephen T Ripp</v>
      </c>
      <c r="F11074" t="str">
        <f>"NC STUDY HALL 1"</f>
        <v>NC STUDY HALL 1</v>
      </c>
      <c r="G11074" t="str">
        <f>"17-1744"</f>
        <v>17-1744</v>
      </c>
      <c r="H11074" t="str">
        <f>"A"</f>
        <v>A</v>
      </c>
    </row>
    <row r="11075" spans="1:8" x14ac:dyDescent="0.2">
      <c r="A11075" t="str">
        <f t="shared" si="4006"/>
        <v>0615035318</v>
      </c>
      <c r="B11075" t="str">
        <f t="shared" si="4007"/>
        <v>NOAH</v>
      </c>
      <c r="C11075" t="str">
        <f t="shared" si="4003"/>
        <v>MEDINA</v>
      </c>
      <c r="D11075">
        <f>11</f>
        <v>11</v>
      </c>
      <c r="E11075" t="str">
        <f>"07 - B - 002 - Jordana K Hass"</f>
        <v>07 - B - 002 - Jordana K Hass</v>
      </c>
      <c r="F11075" t="str">
        <f>"CHEMISTRY 1 HON"</f>
        <v>CHEMISTRY 1 HON</v>
      </c>
      <c r="G11075" t="str">
        <f>"08-807"</f>
        <v>08-807</v>
      </c>
      <c r="H11075" t="str">
        <f>"B"</f>
        <v>B</v>
      </c>
    </row>
    <row r="11076" spans="1:8" x14ac:dyDescent="0.2">
      <c r="A11076" t="str">
        <f t="shared" si="4006"/>
        <v>0615035318</v>
      </c>
      <c r="B11076" t="str">
        <f t="shared" si="4007"/>
        <v>NOAH</v>
      </c>
      <c r="C11076" t="str">
        <f t="shared" si="4003"/>
        <v>MEDINA</v>
      </c>
      <c r="D11076">
        <f>11</f>
        <v>11</v>
      </c>
      <c r="E11076" t="str">
        <f>"05 - B - 103 - Tina M Jaramillo"</f>
        <v>05 - B - 103 - Tina M Jaramillo</v>
      </c>
      <c r="F11076" t="str">
        <f>"AP ENG COMPO"</f>
        <v>AP ENG COMPO</v>
      </c>
      <c r="G11076" t="str">
        <f>"17-1706"</f>
        <v>17-1706</v>
      </c>
      <c r="H11076" t="str">
        <f>"B"</f>
        <v>B</v>
      </c>
    </row>
    <row r="11077" spans="1:8" x14ac:dyDescent="0.2">
      <c r="A11077" t="str">
        <f t="shared" si="4006"/>
        <v>0615035318</v>
      </c>
      <c r="B11077" t="str">
        <f t="shared" si="4007"/>
        <v>NOAH</v>
      </c>
      <c r="C11077" t="str">
        <f t="shared" si="4003"/>
        <v>MEDINA</v>
      </c>
      <c r="D11077">
        <f>11</f>
        <v>11</v>
      </c>
      <c r="E11077" t="str">
        <f>"01 - A - 103 - Scott A Dethloff"</f>
        <v>01 - A - 103 - Scott A Dethloff</v>
      </c>
      <c r="F11077" t="str">
        <f>"AICE THINK SKLS 1 AS"</f>
        <v>AICE THINK SKLS 1 AS</v>
      </c>
      <c r="G11077" t="str">
        <f>"08-812"</f>
        <v>08-812</v>
      </c>
      <c r="H11077" t="str">
        <f>"A"</f>
        <v>A</v>
      </c>
    </row>
    <row r="11078" spans="1:8" x14ac:dyDescent="0.2">
      <c r="A11078" t="str">
        <f t="shared" si="4006"/>
        <v>0615035318</v>
      </c>
      <c r="B11078" t="str">
        <f t="shared" si="4007"/>
        <v>NOAH</v>
      </c>
      <c r="C11078" t="str">
        <f t="shared" si="4003"/>
        <v>MEDINA</v>
      </c>
      <c r="D11078">
        <f>11</f>
        <v>11</v>
      </c>
      <c r="E11078" t="str">
        <f>"08 - B - 201 - Tina M Jaramillo"</f>
        <v>08 - B - 201 - Tina M Jaramillo</v>
      </c>
      <c r="F11078" t="str">
        <f>"CREATIVE WRIT 3 HON"</f>
        <v>CREATIVE WRIT 3 HON</v>
      </c>
      <c r="G11078" t="str">
        <f>"17-1706"</f>
        <v>17-1706</v>
      </c>
      <c r="H11078" t="str">
        <f>"B"</f>
        <v>B</v>
      </c>
    </row>
    <row r="11079" spans="1:8" x14ac:dyDescent="0.2">
      <c r="A11079" t="str">
        <f t="shared" ref="A11079:A11086" si="4008">"0617060769"</f>
        <v>0617060769</v>
      </c>
      <c r="B11079" t="str">
        <f t="shared" ref="B11079:B11086" si="4009">"CAMILA"</f>
        <v>CAMILA</v>
      </c>
      <c r="C11079" t="str">
        <f t="shared" ref="C11079:C11094" si="4010">"MEDINA RIOS"</f>
        <v>MEDINA RIOS</v>
      </c>
      <c r="D11079">
        <f>12</f>
        <v>12</v>
      </c>
      <c r="E11079" t="str">
        <f>"04 - A - 106 - Tina M Jaramillo"</f>
        <v>04 - A - 106 - Tina M Jaramillo</v>
      </c>
      <c r="F11079" t="str">
        <f>"AP ENG LIT COMPO"</f>
        <v>AP ENG LIT COMPO</v>
      </c>
      <c r="G11079" t="str">
        <f>"17-1706"</f>
        <v>17-1706</v>
      </c>
      <c r="H11079" t="str">
        <f>"A"</f>
        <v>A</v>
      </c>
    </row>
    <row r="11080" spans="1:8" x14ac:dyDescent="0.2">
      <c r="A11080" t="str">
        <f t="shared" si="4008"/>
        <v>0617060769</v>
      </c>
      <c r="B11080" t="str">
        <f t="shared" si="4009"/>
        <v>CAMILA</v>
      </c>
      <c r="C11080" t="str">
        <f t="shared" si="4010"/>
        <v>MEDINA RIOS</v>
      </c>
      <c r="D11080">
        <f>12</f>
        <v>12</v>
      </c>
      <c r="E11080" t="str">
        <f>"06 - B - 109 - Carol S Moore"</f>
        <v>06 - B - 109 - Carol S Moore</v>
      </c>
      <c r="F11080" t="str">
        <f>"NC STUDY HALL 1"</f>
        <v>NC STUDY HALL 1</v>
      </c>
      <c r="G11080" t="str">
        <f>"17-1733"</f>
        <v>17-1733</v>
      </c>
      <c r="H11080" t="str">
        <f>"B"</f>
        <v>B</v>
      </c>
    </row>
    <row r="11081" spans="1:8" x14ac:dyDescent="0.2">
      <c r="A11081" t="str">
        <f t="shared" si="4008"/>
        <v>0617060769</v>
      </c>
      <c r="B11081" t="str">
        <f t="shared" si="4009"/>
        <v>CAMILA</v>
      </c>
      <c r="C11081" t="str">
        <f t="shared" si="4010"/>
        <v>MEDINA RIOS</v>
      </c>
      <c r="D11081">
        <f>12</f>
        <v>12</v>
      </c>
      <c r="E11081" t="str">
        <f>"03 - A - 101 - Jacqueline R Morphet"</f>
        <v>03 - A - 101 - Jacqueline R Morphet</v>
      </c>
      <c r="F11081" t="str">
        <f>"AP PHYSICS 1"</f>
        <v>AP PHYSICS 1</v>
      </c>
      <c r="G11081" t="str">
        <f>"21-2138"</f>
        <v>21-2138</v>
      </c>
      <c r="H11081" t="str">
        <f>"A"</f>
        <v>A</v>
      </c>
    </row>
    <row r="11082" spans="1:8" x14ac:dyDescent="0.2">
      <c r="A11082" t="str">
        <f t="shared" si="4008"/>
        <v>0617060769</v>
      </c>
      <c r="B11082" t="str">
        <f t="shared" si="4009"/>
        <v>CAMILA</v>
      </c>
      <c r="C11082" t="str">
        <f t="shared" si="4010"/>
        <v>MEDINA RIOS</v>
      </c>
      <c r="D11082">
        <f>12</f>
        <v>12</v>
      </c>
      <c r="E11082" t="str">
        <f>"02 - A - 102 - Norayda D Suarez"</f>
        <v>02 - A - 102 - Norayda D Suarez</v>
      </c>
      <c r="F11082" t="str">
        <f>"RESEARCH 1 LH"</f>
        <v>RESEARCH 1 LH</v>
      </c>
      <c r="G11082">
        <f>2041</f>
        <v>2041</v>
      </c>
      <c r="H11082" t="str">
        <f>"A"</f>
        <v>A</v>
      </c>
    </row>
    <row r="11083" spans="1:8" x14ac:dyDescent="0.2">
      <c r="A11083" t="str">
        <f t="shared" si="4008"/>
        <v>0617060769</v>
      </c>
      <c r="B11083" t="str">
        <f t="shared" si="4009"/>
        <v>CAMILA</v>
      </c>
      <c r="C11083" t="str">
        <f t="shared" si="4010"/>
        <v>MEDINA RIOS</v>
      </c>
      <c r="D11083">
        <f>12</f>
        <v>12</v>
      </c>
      <c r="E11083" t="str">
        <f>"07 - B - 204 - Stefanie S Scher"</f>
        <v>07 - B - 204 - Stefanie S Scher</v>
      </c>
      <c r="F11083" t="str">
        <f>"AP PSYCH"</f>
        <v>AP PSYCH</v>
      </c>
      <c r="G11083" t="str">
        <f>"17-1735"</f>
        <v>17-1735</v>
      </c>
      <c r="H11083" t="str">
        <f>"B"</f>
        <v>B</v>
      </c>
    </row>
    <row r="11084" spans="1:8" x14ac:dyDescent="0.2">
      <c r="A11084" t="str">
        <f t="shared" si="4008"/>
        <v>0617060769</v>
      </c>
      <c r="B11084" t="str">
        <f t="shared" si="4009"/>
        <v>CAMILA</v>
      </c>
      <c r="C11084" t="str">
        <f t="shared" si="4010"/>
        <v>MEDINA RIOS</v>
      </c>
      <c r="D11084">
        <f>12</f>
        <v>12</v>
      </c>
      <c r="E11084" t="str">
        <f>"05 - S1 - B - 103 - Stephen T Ripp"</f>
        <v>05 - S1 - B - 103 - Stephen T Ripp</v>
      </c>
      <c r="F11084" t="str">
        <f>"AP US GOVT/POL"</f>
        <v>AP US GOVT/POL</v>
      </c>
      <c r="G11084" t="str">
        <f>"17-1744"</f>
        <v>17-1744</v>
      </c>
      <c r="H11084" t="str">
        <f>"B"</f>
        <v>B</v>
      </c>
    </row>
    <row r="11085" spans="1:8" x14ac:dyDescent="0.2">
      <c r="A11085" t="str">
        <f t="shared" si="4008"/>
        <v>0617060769</v>
      </c>
      <c r="B11085" t="str">
        <f t="shared" si="4009"/>
        <v>CAMILA</v>
      </c>
      <c r="C11085" t="str">
        <f t="shared" si="4010"/>
        <v>MEDINA RIOS</v>
      </c>
      <c r="D11085">
        <f>12</f>
        <v>12</v>
      </c>
      <c r="E11085" t="str">
        <f>"01 - A - 201 - Pamela M Corzo"</f>
        <v>01 - A - 201 - Pamela M Corzo</v>
      </c>
      <c r="F11085" t="str">
        <f>"AP CALCULUS BC"</f>
        <v>AP CALCULUS BC</v>
      </c>
      <c r="G11085" t="str">
        <f>"21-2133"</f>
        <v>21-2133</v>
      </c>
      <c r="H11085" t="str">
        <f>"A"</f>
        <v>A</v>
      </c>
    </row>
    <row r="11086" spans="1:8" x14ac:dyDescent="0.2">
      <c r="A11086" t="str">
        <f t="shared" si="4008"/>
        <v>0617060769</v>
      </c>
      <c r="B11086" t="str">
        <f t="shared" si="4009"/>
        <v>CAMILA</v>
      </c>
      <c r="C11086" t="str">
        <f t="shared" si="4010"/>
        <v>MEDINA RIOS</v>
      </c>
      <c r="D11086">
        <f>12</f>
        <v>12</v>
      </c>
      <c r="E11086" t="str">
        <f>"08 - B - 102 - Lisa J London"</f>
        <v>08 - B - 102 - Lisa J London</v>
      </c>
      <c r="F11086" t="str">
        <f>"AP CAPSTONE RESEARCH"</f>
        <v>AP CAPSTONE RESEARCH</v>
      </c>
      <c r="G11086" t="str">
        <f>"17-1714"</f>
        <v>17-1714</v>
      </c>
      <c r="H11086" t="str">
        <f>"B"</f>
        <v>B</v>
      </c>
    </row>
    <row r="11087" spans="1:8" x14ac:dyDescent="0.2">
      <c r="A11087" t="str">
        <f t="shared" ref="A11087:A11094" si="4011">"0617060490"</f>
        <v>0617060490</v>
      </c>
      <c r="B11087" t="str">
        <f t="shared" ref="B11087:B11094" si="4012">"HELENA"</f>
        <v>HELENA</v>
      </c>
      <c r="C11087" t="str">
        <f t="shared" si="4010"/>
        <v>MEDINA RIOS</v>
      </c>
      <c r="D11087">
        <f>11</f>
        <v>11</v>
      </c>
      <c r="E11087" t="str">
        <f>"04 - A - 101 - Rosa Elaine  Collado-Duff"</f>
        <v>04 - A - 101 - Rosa Elaine  Collado-Duff</v>
      </c>
      <c r="F11087" t="str">
        <f>"AICE SPAN LANG AS"</f>
        <v>AICE SPAN LANG AS</v>
      </c>
      <c r="G11087" t="str">
        <f>"09-913"</f>
        <v>09-913</v>
      </c>
      <c r="H11087" t="str">
        <f>"A"</f>
        <v>A</v>
      </c>
    </row>
    <row r="11088" spans="1:8" x14ac:dyDescent="0.2">
      <c r="A11088" t="str">
        <f t="shared" si="4011"/>
        <v>0617060490</v>
      </c>
      <c r="B11088" t="str">
        <f t="shared" si="4012"/>
        <v>HELENA</v>
      </c>
      <c r="C11088" t="str">
        <f t="shared" si="4010"/>
        <v>MEDINA RIOS</v>
      </c>
      <c r="D11088">
        <f>11</f>
        <v>11</v>
      </c>
      <c r="E11088" t="str">
        <f>"06 - B - 102 - Stephen T Ripp"</f>
        <v>06 - B - 102 - Stephen T Ripp</v>
      </c>
      <c r="F11088" t="str">
        <f>"AP U.S. HIST"</f>
        <v>AP U.S. HIST</v>
      </c>
      <c r="G11088" t="str">
        <f>"17-1744"</f>
        <v>17-1744</v>
      </c>
      <c r="H11088" t="str">
        <f>"B"</f>
        <v>B</v>
      </c>
    </row>
    <row r="11089" spans="1:8" x14ac:dyDescent="0.2">
      <c r="A11089" t="str">
        <f t="shared" si="4011"/>
        <v>0617060490</v>
      </c>
      <c r="B11089" t="str">
        <f t="shared" si="4012"/>
        <v>HELENA</v>
      </c>
      <c r="C11089" t="str">
        <f t="shared" si="4010"/>
        <v>MEDINA RIOS</v>
      </c>
      <c r="D11089">
        <f>11</f>
        <v>11</v>
      </c>
      <c r="E11089" t="str">
        <f>"03 - A - 102 - Tina M Jaramillo"</f>
        <v>03 - A - 102 - Tina M Jaramillo</v>
      </c>
      <c r="F11089" t="str">
        <f>"AP ENG COMPO"</f>
        <v>AP ENG COMPO</v>
      </c>
      <c r="G11089" t="str">
        <f>"17-1706"</f>
        <v>17-1706</v>
      </c>
      <c r="H11089" t="str">
        <f>"A"</f>
        <v>A</v>
      </c>
    </row>
    <row r="11090" spans="1:8" x14ac:dyDescent="0.2">
      <c r="A11090" t="str">
        <f t="shared" si="4011"/>
        <v>0617060490</v>
      </c>
      <c r="B11090" t="str">
        <f t="shared" si="4012"/>
        <v>HELENA</v>
      </c>
      <c r="C11090" t="str">
        <f t="shared" si="4010"/>
        <v>MEDINA RIOS</v>
      </c>
      <c r="D11090">
        <f>11</f>
        <v>11</v>
      </c>
      <c r="E11090" t="str">
        <f>"02 - A - 113 - Byron G Montenegro"</f>
        <v>02 - A - 113 - Byron G Montenegro</v>
      </c>
      <c r="F11090" t="str">
        <f>"NC STUDY HALL 1"</f>
        <v>NC STUDY HALL 1</v>
      </c>
      <c r="G11090" t="str">
        <f>"21-2144"</f>
        <v>21-2144</v>
      </c>
      <c r="H11090" t="str">
        <f>"A"</f>
        <v>A</v>
      </c>
    </row>
    <row r="11091" spans="1:8" x14ac:dyDescent="0.2">
      <c r="A11091" t="str">
        <f t="shared" si="4011"/>
        <v>0617060490</v>
      </c>
      <c r="B11091" t="str">
        <f t="shared" si="4012"/>
        <v>HELENA</v>
      </c>
      <c r="C11091" t="str">
        <f t="shared" si="4010"/>
        <v>MEDINA RIOS</v>
      </c>
      <c r="D11091">
        <f>11</f>
        <v>11</v>
      </c>
      <c r="E11091" t="str">
        <f>"07 - B - 002 - Jazmin S Fletcher"</f>
        <v>07 - B - 002 - Jazmin S Fletcher</v>
      </c>
      <c r="F11091" t="str">
        <f>"THEATRE 1"</f>
        <v>THEATRE 1</v>
      </c>
      <c r="G11091" t="str">
        <f>"09-909"</f>
        <v>09-909</v>
      </c>
      <c r="H11091" t="str">
        <f>"B"</f>
        <v>B</v>
      </c>
    </row>
    <row r="11092" spans="1:8" x14ac:dyDescent="0.2">
      <c r="A11092" t="str">
        <f t="shared" si="4011"/>
        <v>0617060490</v>
      </c>
      <c r="B11092" t="str">
        <f t="shared" si="4012"/>
        <v>HELENA</v>
      </c>
      <c r="C11092" t="str">
        <f t="shared" si="4010"/>
        <v>MEDINA RIOS</v>
      </c>
      <c r="D11092">
        <f>11</f>
        <v>11</v>
      </c>
      <c r="E11092" t="str">
        <f>"05 - B - 104 - Semra  Bahadir"</f>
        <v>05 - B - 104 - Semra  Bahadir</v>
      </c>
      <c r="F11092" t="str">
        <f>"MATH COLL ALGEBRA"</f>
        <v>MATH COLL ALGEBRA</v>
      </c>
      <c r="G11092" t="str">
        <f>"21-2107"</f>
        <v>21-2107</v>
      </c>
      <c r="H11092" t="str">
        <f>"B"</f>
        <v>B</v>
      </c>
    </row>
    <row r="11093" spans="1:8" x14ac:dyDescent="0.2">
      <c r="A11093" t="str">
        <f t="shared" si="4011"/>
        <v>0617060490</v>
      </c>
      <c r="B11093" t="str">
        <f t="shared" si="4012"/>
        <v>HELENA</v>
      </c>
      <c r="C11093" t="str">
        <f t="shared" si="4010"/>
        <v>MEDINA RIOS</v>
      </c>
      <c r="D11093">
        <f>11</f>
        <v>11</v>
      </c>
      <c r="E11093" t="str">
        <f>"01 - A - 103 - Scott A Dethloff"</f>
        <v>01 - A - 103 - Scott A Dethloff</v>
      </c>
      <c r="F11093" t="str">
        <f>"AICE THINK SKLS 1 AS"</f>
        <v>AICE THINK SKLS 1 AS</v>
      </c>
      <c r="G11093" t="str">
        <f>"08-812"</f>
        <v>08-812</v>
      </c>
      <c r="H11093" t="str">
        <f>"A"</f>
        <v>A</v>
      </c>
    </row>
    <row r="11094" spans="1:8" x14ac:dyDescent="0.2">
      <c r="A11094" t="str">
        <f t="shared" si="4011"/>
        <v>0617060490</v>
      </c>
      <c r="B11094" t="str">
        <f t="shared" si="4012"/>
        <v>HELENA</v>
      </c>
      <c r="C11094" t="str">
        <f t="shared" si="4010"/>
        <v>MEDINA RIOS</v>
      </c>
      <c r="D11094">
        <f>11</f>
        <v>11</v>
      </c>
      <c r="E11094" t="str">
        <f>"08 - B - 001 - Scott A Dethloff"</f>
        <v>08 - B - 001 - Scott A Dethloff</v>
      </c>
      <c r="F11094" t="str">
        <f>"CHEMISTRY 1 HON"</f>
        <v>CHEMISTRY 1 HON</v>
      </c>
      <c r="G11094" t="str">
        <f>"08-812"</f>
        <v>08-812</v>
      </c>
      <c r="H11094" t="str">
        <f>"B"</f>
        <v>B</v>
      </c>
    </row>
    <row r="11095" spans="1:8" x14ac:dyDescent="0.2">
      <c r="A11095" t="str">
        <f t="shared" ref="A11095:A11102" si="4013">"0616028268"</f>
        <v>0616028268</v>
      </c>
      <c r="B11095" t="str">
        <f t="shared" ref="B11095:B11102" si="4014">"DILCIA"</f>
        <v>DILCIA</v>
      </c>
      <c r="C11095" t="str">
        <f t="shared" ref="C11095:C11102" si="4015">"MEDRANO-ALVAREZ"</f>
        <v>MEDRANO-ALVAREZ</v>
      </c>
      <c r="D11095">
        <f>10</f>
        <v>10</v>
      </c>
      <c r="E11095" t="str">
        <f>"04 - A - 105 - Milca  Exantus"</f>
        <v>04 - A - 105 - Milca  Exantus</v>
      </c>
      <c r="F11095" t="str">
        <f>"MATH COLLEGE LIB ART"</f>
        <v>MATH COLLEGE LIB ART</v>
      </c>
      <c r="G11095" t="str">
        <f>"21-2145"</f>
        <v>21-2145</v>
      </c>
      <c r="H11095" t="str">
        <f>"A"</f>
        <v>A</v>
      </c>
    </row>
    <row r="11096" spans="1:8" x14ac:dyDescent="0.2">
      <c r="A11096" t="str">
        <f t="shared" si="4013"/>
        <v>0616028268</v>
      </c>
      <c r="B11096" t="str">
        <f t="shared" si="4014"/>
        <v>DILCIA</v>
      </c>
      <c r="C11096" t="str">
        <f t="shared" si="4015"/>
        <v>MEDRANO-ALVAREZ</v>
      </c>
      <c r="D11096">
        <f>10</f>
        <v>10</v>
      </c>
      <c r="E11096" t="str">
        <f>"06 - B - 112 - Tina M Jaramillo"</f>
        <v>06 - B - 112 - Tina M Jaramillo</v>
      </c>
      <c r="F11096" t="str">
        <f>"NC STUDY HALL 1"</f>
        <v>NC STUDY HALL 1</v>
      </c>
      <c r="G11096" t="str">
        <f>"17-1706"</f>
        <v>17-1706</v>
      </c>
      <c r="H11096" t="str">
        <f>"B"</f>
        <v>B</v>
      </c>
    </row>
    <row r="11097" spans="1:8" x14ac:dyDescent="0.2">
      <c r="A11097" t="str">
        <f t="shared" si="4013"/>
        <v>0616028268</v>
      </c>
      <c r="B11097" t="str">
        <f t="shared" si="4014"/>
        <v>DILCIA</v>
      </c>
      <c r="C11097" t="str">
        <f t="shared" si="4015"/>
        <v>MEDRANO-ALVAREZ</v>
      </c>
      <c r="D11097">
        <f>10</f>
        <v>10</v>
      </c>
      <c r="E11097" t="str">
        <f>"03 - A - 103 - Kelly N Panza"</f>
        <v>03 - A - 103 - Kelly N Panza</v>
      </c>
      <c r="F11097" t="str">
        <f>"AICE GLBL PERSP 1 AS"</f>
        <v>AICE GLBL PERSP 1 AS</v>
      </c>
      <c r="G11097" t="str">
        <f>"17-1753"</f>
        <v>17-1753</v>
      </c>
      <c r="H11097" t="str">
        <f>"A"</f>
        <v>A</v>
      </c>
    </row>
    <row r="11098" spans="1:8" x14ac:dyDescent="0.2">
      <c r="A11098" t="str">
        <f t="shared" si="4013"/>
        <v>0616028268</v>
      </c>
      <c r="B11098" t="str">
        <f t="shared" si="4014"/>
        <v>DILCIA</v>
      </c>
      <c r="C11098" t="str">
        <f t="shared" si="4015"/>
        <v>MEDRANO-ALVAREZ</v>
      </c>
      <c r="D11098">
        <f>10</f>
        <v>10</v>
      </c>
      <c r="E11098" t="str">
        <f>"02 - S1 - A - 101 - Carol S Moore"</f>
        <v>02 - S1 - A - 101 - Carol S Moore</v>
      </c>
      <c r="F11098" t="str">
        <f>"PER CAR SCH DEV 1 LH"</f>
        <v>PER CAR SCH DEV 1 LH</v>
      </c>
      <c r="G11098" t="str">
        <f>"17-1733"</f>
        <v>17-1733</v>
      </c>
      <c r="H11098" t="str">
        <f>"A"</f>
        <v>A</v>
      </c>
    </row>
    <row r="11099" spans="1:8" x14ac:dyDescent="0.2">
      <c r="A11099" t="str">
        <f t="shared" si="4013"/>
        <v>0616028268</v>
      </c>
      <c r="B11099" t="str">
        <f t="shared" si="4014"/>
        <v>DILCIA</v>
      </c>
      <c r="C11099" t="str">
        <f t="shared" si="4015"/>
        <v>MEDRANO-ALVAREZ</v>
      </c>
      <c r="D11099">
        <f>10</f>
        <v>10</v>
      </c>
      <c r="E11099" t="str">
        <f>"07 - B - 107 - Jacklyn M James"</f>
        <v>07 - B - 107 - Jacklyn M James</v>
      </c>
      <c r="F11099" t="str">
        <f>"AICE ENG LANG AS"</f>
        <v>AICE ENG LANG AS</v>
      </c>
      <c r="G11099" t="str">
        <f>"17-1731"</f>
        <v>17-1731</v>
      </c>
      <c r="H11099" t="str">
        <f>"B"</f>
        <v>B</v>
      </c>
    </row>
    <row r="11100" spans="1:8" x14ac:dyDescent="0.2">
      <c r="A11100" t="str">
        <f t="shared" si="4013"/>
        <v>0616028268</v>
      </c>
      <c r="B11100" t="str">
        <f t="shared" si="4014"/>
        <v>DILCIA</v>
      </c>
      <c r="C11100" t="str">
        <f t="shared" si="4015"/>
        <v>MEDRANO-ALVAREZ</v>
      </c>
      <c r="D11100">
        <f>10</f>
        <v>10</v>
      </c>
      <c r="E11100" t="str">
        <f>"05 - B - 204 - Cheryl L Beach"</f>
        <v>05 - B - 204 - Cheryl L Beach</v>
      </c>
      <c r="F11100" t="str">
        <f>"AICE ENV MGMNT AS"</f>
        <v>AICE ENV MGMNT AS</v>
      </c>
      <c r="G11100" t="str">
        <f>"08-811"</f>
        <v>08-811</v>
      </c>
      <c r="H11100" t="str">
        <f>"B"</f>
        <v>B</v>
      </c>
    </row>
    <row r="11101" spans="1:8" x14ac:dyDescent="0.2">
      <c r="A11101" t="str">
        <f t="shared" si="4013"/>
        <v>0616028268</v>
      </c>
      <c r="B11101" t="str">
        <f t="shared" si="4014"/>
        <v>DILCIA</v>
      </c>
      <c r="C11101" t="str">
        <f t="shared" si="4015"/>
        <v>MEDRANO-ALVAREZ</v>
      </c>
      <c r="D11101">
        <f>10</f>
        <v>10</v>
      </c>
      <c r="E11101" t="str">
        <f>"01 - A - 101 - Marius D Orsolini"</f>
        <v>01 - A - 101 - Marius D Orsolini</v>
      </c>
      <c r="F11101" t="str">
        <f>"CULINARY ARTS 1"</f>
        <v>CULINARY ARTS 1</v>
      </c>
      <c r="G11101" t="str">
        <f>"21-2115"</f>
        <v>21-2115</v>
      </c>
      <c r="H11101" t="str">
        <f>"A"</f>
        <v>A</v>
      </c>
    </row>
    <row r="11102" spans="1:8" x14ac:dyDescent="0.2">
      <c r="A11102" t="str">
        <f t="shared" si="4013"/>
        <v>0616028268</v>
      </c>
      <c r="B11102" t="str">
        <f t="shared" si="4014"/>
        <v>DILCIA</v>
      </c>
      <c r="C11102" t="str">
        <f t="shared" si="4015"/>
        <v>MEDRANO-ALVAREZ</v>
      </c>
      <c r="D11102">
        <f>10</f>
        <v>10</v>
      </c>
      <c r="E11102" t="str">
        <f>"08 - S1 - B - 101 - Amy Beth  Broyles"</f>
        <v>08 - S1 - B - 101 - Amy Beth  Broyles</v>
      </c>
      <c r="F11102" t="str">
        <f>"PEER COUN 3"</f>
        <v>PEER COUN 3</v>
      </c>
      <c r="G11102" t="str">
        <f>"17-1713"</f>
        <v>17-1713</v>
      </c>
      <c r="H11102" t="str">
        <f>"B"</f>
        <v>B</v>
      </c>
    </row>
    <row r="11103" spans="1:8" x14ac:dyDescent="0.2">
      <c r="A11103" t="str">
        <f t="shared" ref="A11103:A11110" si="4016">"0625025305"</f>
        <v>0625025305</v>
      </c>
      <c r="B11103" t="str">
        <f t="shared" ref="B11103:B11110" si="4017">"ILLIA"</f>
        <v>ILLIA</v>
      </c>
      <c r="C11103" t="str">
        <f t="shared" ref="C11103:C11110" si="4018">"MEDVEDIEV"</f>
        <v>MEDVEDIEV</v>
      </c>
      <c r="D11103" t="str">
        <f t="shared" ref="D11103:D11110" si="4019">"09"</f>
        <v>09</v>
      </c>
      <c r="E11103" t="str">
        <f>"04 - A - 103 - Daniel S Tyson"</f>
        <v>04 - A - 103 - Daniel S Tyson</v>
      </c>
      <c r="F11103" t="str">
        <f>"JROTC NAVAL SCI 1"</f>
        <v>JROTC NAVAL SCI 1</v>
      </c>
      <c r="G11103" t="str">
        <f>"05-510"</f>
        <v>05-510</v>
      </c>
      <c r="H11103" t="str">
        <f>"A"</f>
        <v>A</v>
      </c>
    </row>
    <row r="11104" spans="1:8" x14ac:dyDescent="0.2">
      <c r="A11104" t="str">
        <f t="shared" si="4016"/>
        <v>0625025305</v>
      </c>
      <c r="B11104" t="str">
        <f t="shared" si="4017"/>
        <v>ILLIA</v>
      </c>
      <c r="C11104" t="str">
        <f t="shared" si="4018"/>
        <v>MEDVEDIEV</v>
      </c>
      <c r="D11104" t="str">
        <f t="shared" si="4019"/>
        <v>09</v>
      </c>
      <c r="E11104" t="str">
        <f>"06 - B - 202 - Samantha L Martinez"</f>
        <v>06 - B - 202 - Samantha L Martinez</v>
      </c>
      <c r="F11104" t="str">
        <f>"GUITAR 1"</f>
        <v>GUITAR 1</v>
      </c>
      <c r="G11104" t="str">
        <f>"05-505"</f>
        <v>05-505</v>
      </c>
      <c r="H11104" t="str">
        <f>"B"</f>
        <v>B</v>
      </c>
    </row>
    <row r="11105" spans="1:8" x14ac:dyDescent="0.2">
      <c r="A11105" t="str">
        <f t="shared" si="4016"/>
        <v>0625025305</v>
      </c>
      <c r="B11105" t="str">
        <f t="shared" si="4017"/>
        <v>ILLIA</v>
      </c>
      <c r="C11105" t="str">
        <f t="shared" si="4018"/>
        <v>MEDVEDIEV</v>
      </c>
      <c r="D11105" t="str">
        <f t="shared" si="4019"/>
        <v>09</v>
      </c>
      <c r="E11105" t="str">
        <f>"03 - A - 101 - Helen A Flores"</f>
        <v>03 - A - 101 - Helen A Flores</v>
      </c>
      <c r="F11105" t="str">
        <f>"PRE-AICE MATH 1 IG"</f>
        <v>PRE-AICE MATH 1 IG</v>
      </c>
      <c r="G11105" t="str">
        <f>"21-2101"</f>
        <v>21-2101</v>
      </c>
      <c r="H11105" t="str">
        <f>"A"</f>
        <v>A</v>
      </c>
    </row>
    <row r="11106" spans="1:8" x14ac:dyDescent="0.2">
      <c r="A11106" t="str">
        <f t="shared" si="4016"/>
        <v>0625025305</v>
      </c>
      <c r="B11106" t="str">
        <f t="shared" si="4017"/>
        <v>ILLIA</v>
      </c>
      <c r="C11106" t="str">
        <f t="shared" si="4018"/>
        <v>MEDVEDIEV</v>
      </c>
      <c r="D11106" t="str">
        <f t="shared" si="4019"/>
        <v>09</v>
      </c>
      <c r="E11106" t="str">
        <f>"02 - A - 109 - Krystal Marie  Beruty"</f>
        <v>02 - A - 109 - Krystal Marie  Beruty</v>
      </c>
      <c r="F11106" t="str">
        <f>"NC STUDY HALL 1"</f>
        <v>NC STUDY HALL 1</v>
      </c>
      <c r="G11106" t="str">
        <f>"17-1721"</f>
        <v>17-1721</v>
      </c>
      <c r="H11106" t="str">
        <f>"A"</f>
        <v>A</v>
      </c>
    </row>
    <row r="11107" spans="1:8" x14ac:dyDescent="0.2">
      <c r="A11107" t="str">
        <f t="shared" si="4016"/>
        <v>0625025305</v>
      </c>
      <c r="B11107" t="str">
        <f t="shared" si="4017"/>
        <v>ILLIA</v>
      </c>
      <c r="C11107" t="str">
        <f t="shared" si="4018"/>
        <v>MEDVEDIEV</v>
      </c>
      <c r="D11107" t="str">
        <f t="shared" si="4019"/>
        <v>09</v>
      </c>
      <c r="E11107" t="str">
        <f>"07 - B - 107 - Cerine S Stewart"</f>
        <v>07 - B - 107 - Cerine S Stewart</v>
      </c>
      <c r="F11107" t="str">
        <f>"ENG 1"</f>
        <v>ENG 1</v>
      </c>
      <c r="G11107" t="str">
        <f>"17-1720"</f>
        <v>17-1720</v>
      </c>
      <c r="H11107" t="str">
        <f>"B"</f>
        <v>B</v>
      </c>
    </row>
    <row r="11108" spans="1:8" x14ac:dyDescent="0.2">
      <c r="A11108" t="str">
        <f t="shared" si="4016"/>
        <v>0625025305</v>
      </c>
      <c r="B11108" t="str">
        <f t="shared" si="4017"/>
        <v>ILLIA</v>
      </c>
      <c r="C11108" t="str">
        <f t="shared" si="4018"/>
        <v>MEDVEDIEV</v>
      </c>
      <c r="D11108" t="str">
        <f t="shared" si="4019"/>
        <v>09</v>
      </c>
      <c r="E11108" t="str">
        <f>"05 - B - 105 - Adam Marcus  Drucker"</f>
        <v>05 - B - 105 - Adam Marcus  Drucker</v>
      </c>
      <c r="F11108" t="str">
        <f>"HOPE-PE V"</f>
        <v>HOPE-PE V</v>
      </c>
      <c r="G11108" t="str">
        <f>"04-254"</f>
        <v>04-254</v>
      </c>
      <c r="H11108" t="str">
        <f>"B"</f>
        <v>B</v>
      </c>
    </row>
    <row r="11109" spans="1:8" x14ac:dyDescent="0.2">
      <c r="A11109" t="str">
        <f t="shared" si="4016"/>
        <v>0625025305</v>
      </c>
      <c r="B11109" t="str">
        <f t="shared" si="4017"/>
        <v>ILLIA</v>
      </c>
      <c r="C11109" t="str">
        <f t="shared" si="4018"/>
        <v>MEDVEDIEV</v>
      </c>
      <c r="D11109" t="str">
        <f t="shared" si="4019"/>
        <v>09</v>
      </c>
      <c r="E11109" t="str">
        <f>"01 - A - 103 - Amy Beth  Broyles"</f>
        <v>01 - A - 103 - Amy Beth  Broyles</v>
      </c>
      <c r="F11109" t="str">
        <f>"ENV SCI"</f>
        <v>ENV SCI</v>
      </c>
      <c r="G11109" t="str">
        <f>"08-802"</f>
        <v>08-802</v>
      </c>
      <c r="H11109" t="str">
        <f>"A"</f>
        <v>A</v>
      </c>
    </row>
    <row r="11110" spans="1:8" x14ac:dyDescent="0.2">
      <c r="A11110" t="str">
        <f t="shared" si="4016"/>
        <v>0625025305</v>
      </c>
      <c r="B11110" t="str">
        <f t="shared" si="4017"/>
        <v>ILLIA</v>
      </c>
      <c r="C11110" t="str">
        <f t="shared" si="4018"/>
        <v>MEDVEDIEV</v>
      </c>
      <c r="D11110" t="str">
        <f t="shared" si="4019"/>
        <v>09</v>
      </c>
      <c r="E11110" t="str">
        <f>"08 - B - 101 - Elizabeth Ellen  Moran"</f>
        <v>08 - B - 101 - Elizabeth Ellen  Moran</v>
      </c>
      <c r="F11110" t="str">
        <f>"WORLD HISTORY"</f>
        <v>WORLD HISTORY</v>
      </c>
      <c r="G11110" t="str">
        <f>"17-1752"</f>
        <v>17-1752</v>
      </c>
      <c r="H11110" t="str">
        <f>"B"</f>
        <v>B</v>
      </c>
    </row>
    <row r="11111" spans="1:8" x14ac:dyDescent="0.2">
      <c r="A11111" t="str">
        <f t="shared" ref="A11111:A11118" si="4020">"0617042240"</f>
        <v>0617042240</v>
      </c>
      <c r="B11111" t="str">
        <f t="shared" ref="B11111:B11118" si="4021">"LORNA"</f>
        <v>LORNA</v>
      </c>
      <c r="C11111" t="str">
        <f t="shared" ref="C11111:C11126" si="4022">"MEGRET SIMONO"</f>
        <v>MEGRET SIMONO</v>
      </c>
      <c r="D11111">
        <f>11</f>
        <v>11</v>
      </c>
      <c r="E11111" t="str">
        <f>"04 - A - 102 - Jeffrey S Gallagher"</f>
        <v>04 - A - 102 - Jeffrey S Gallagher</v>
      </c>
      <c r="F11111" t="str">
        <f>"ENG HON 3"</f>
        <v>ENG HON 3</v>
      </c>
      <c r="G11111" t="str">
        <f>"17-1724"</f>
        <v>17-1724</v>
      </c>
      <c r="H11111" t="str">
        <f>"A"</f>
        <v>A</v>
      </c>
    </row>
    <row r="11112" spans="1:8" x14ac:dyDescent="0.2">
      <c r="A11112" t="str">
        <f t="shared" si="4020"/>
        <v>0617042240</v>
      </c>
      <c r="B11112" t="str">
        <f t="shared" si="4021"/>
        <v>LORNA</v>
      </c>
      <c r="C11112" t="str">
        <f t="shared" si="4022"/>
        <v>MEGRET SIMONO</v>
      </c>
      <c r="D11112">
        <f>11</f>
        <v>11</v>
      </c>
      <c r="E11112" t="str">
        <f>"06 - B - 101 - Bruce A Evans"</f>
        <v>06 - B - 101 - Bruce A Evans</v>
      </c>
      <c r="F11112" t="str">
        <f>"EMERG MED RESP 3 HON"</f>
        <v>EMERG MED RESP 3 HON</v>
      </c>
      <c r="G11112" t="str">
        <f>"21-2142"</f>
        <v>21-2142</v>
      </c>
      <c r="H11112" t="str">
        <f>"B"</f>
        <v>B</v>
      </c>
    </row>
    <row r="11113" spans="1:8" x14ac:dyDescent="0.2">
      <c r="A11113" t="str">
        <f t="shared" si="4020"/>
        <v>0617042240</v>
      </c>
      <c r="B11113" t="str">
        <f t="shared" si="4021"/>
        <v>LORNA</v>
      </c>
      <c r="C11113" t="str">
        <f t="shared" si="4022"/>
        <v>MEGRET SIMONO</v>
      </c>
      <c r="D11113">
        <f>11</f>
        <v>11</v>
      </c>
      <c r="E11113" t="str">
        <f>"03 - A - 202 - Bruce A Evans"</f>
        <v>03 - A - 202 - Bruce A Evans</v>
      </c>
      <c r="F11113" t="str">
        <f>"HEALTH SCI FOUND HON"</f>
        <v>HEALTH SCI FOUND HON</v>
      </c>
      <c r="G11113" t="str">
        <f>"21-2142"</f>
        <v>21-2142</v>
      </c>
      <c r="H11113" t="str">
        <f>"A"</f>
        <v>A</v>
      </c>
    </row>
    <row r="11114" spans="1:8" x14ac:dyDescent="0.2">
      <c r="A11114" t="str">
        <f t="shared" si="4020"/>
        <v>0617042240</v>
      </c>
      <c r="B11114" t="str">
        <f t="shared" si="4021"/>
        <v>LORNA</v>
      </c>
      <c r="C11114" t="str">
        <f t="shared" si="4022"/>
        <v>MEGRET SIMONO</v>
      </c>
      <c r="D11114">
        <f>11</f>
        <v>11</v>
      </c>
      <c r="E11114" t="str">
        <f>"02 - A - 108 - Stephen T Ripp"</f>
        <v>02 - A - 108 - Stephen T Ripp</v>
      </c>
      <c r="F11114" t="str">
        <f>"NC STUDY HALL 1"</f>
        <v>NC STUDY HALL 1</v>
      </c>
      <c r="G11114" t="str">
        <f>"17-1744"</f>
        <v>17-1744</v>
      </c>
      <c r="H11114" t="str">
        <f>"A"</f>
        <v>A</v>
      </c>
    </row>
    <row r="11115" spans="1:8" x14ac:dyDescent="0.2">
      <c r="A11115" t="str">
        <f t="shared" si="4020"/>
        <v>0617042240</v>
      </c>
      <c r="B11115" t="str">
        <f t="shared" si="4021"/>
        <v>LORNA</v>
      </c>
      <c r="C11115" t="str">
        <f t="shared" si="4022"/>
        <v>MEGRET SIMONO</v>
      </c>
      <c r="D11115">
        <f>11</f>
        <v>11</v>
      </c>
      <c r="E11115" t="str">
        <f>"07 - B - 107 - Semra  Bahadir"</f>
        <v>07 - B - 107 - Semra  Bahadir</v>
      </c>
      <c r="F11115" t="str">
        <f>"MATH COLL ALGEBRA"</f>
        <v>MATH COLL ALGEBRA</v>
      </c>
      <c r="G11115" t="str">
        <f>"21-2107"</f>
        <v>21-2107</v>
      </c>
      <c r="H11115" t="str">
        <f>"B"</f>
        <v>B</v>
      </c>
    </row>
    <row r="11116" spans="1:8" x14ac:dyDescent="0.2">
      <c r="A11116" t="str">
        <f t="shared" si="4020"/>
        <v>0617042240</v>
      </c>
      <c r="B11116" t="str">
        <f t="shared" si="4021"/>
        <v>LORNA</v>
      </c>
      <c r="C11116" t="str">
        <f t="shared" si="4022"/>
        <v>MEGRET SIMONO</v>
      </c>
      <c r="D11116">
        <f>11</f>
        <v>11</v>
      </c>
      <c r="E11116" t="str">
        <f>"05 - B - 001 - Kyle  Robbins"</f>
        <v>05 - B - 001 - Kyle  Robbins</v>
      </c>
      <c r="F11116" t="str">
        <f>"US HISTORY HON"</f>
        <v>US HISTORY HON</v>
      </c>
      <c r="G11116" t="str">
        <f>"17-1745"</f>
        <v>17-1745</v>
      </c>
      <c r="H11116" t="str">
        <f>"B"</f>
        <v>B</v>
      </c>
    </row>
    <row r="11117" spans="1:8" x14ac:dyDescent="0.2">
      <c r="A11117" t="str">
        <f t="shared" si="4020"/>
        <v>0617042240</v>
      </c>
      <c r="B11117" t="str">
        <f t="shared" si="4021"/>
        <v>LORNA</v>
      </c>
      <c r="C11117" t="str">
        <f t="shared" si="4022"/>
        <v>MEGRET SIMONO</v>
      </c>
      <c r="D11117">
        <f>11</f>
        <v>11</v>
      </c>
      <c r="E11117" t="str">
        <f>"01 - A - 107 - Valerie J Ruwe"</f>
        <v>01 - A - 107 - Valerie J Ruwe</v>
      </c>
      <c r="F11117" t="str">
        <f>"CHEMISTRY 1 HON"</f>
        <v>CHEMISTRY 1 HON</v>
      </c>
      <c r="G11117" t="str">
        <f>"21-2134"</f>
        <v>21-2134</v>
      </c>
      <c r="H11117" t="str">
        <f>"A"</f>
        <v>A</v>
      </c>
    </row>
    <row r="11118" spans="1:8" x14ac:dyDescent="0.2">
      <c r="A11118" t="str">
        <f t="shared" si="4020"/>
        <v>0617042240</v>
      </c>
      <c r="B11118" t="str">
        <f t="shared" si="4021"/>
        <v>LORNA</v>
      </c>
      <c r="C11118" t="str">
        <f t="shared" si="4022"/>
        <v>MEGRET SIMONO</v>
      </c>
      <c r="D11118">
        <f>11</f>
        <v>11</v>
      </c>
      <c r="E11118" t="str">
        <f>"08 - B - 101 - Rosa Elaine  Collado-Duff"</f>
        <v>08 - B - 101 - Rosa Elaine  Collado-Duff</v>
      </c>
      <c r="F11118" t="str">
        <f>"AP SPANISH LANG &amp; CU"</f>
        <v>AP SPANISH LANG &amp; CU</v>
      </c>
      <c r="G11118" t="str">
        <f>"09-913"</f>
        <v>09-913</v>
      </c>
      <c r="H11118" t="str">
        <f>"B"</f>
        <v>B</v>
      </c>
    </row>
    <row r="11119" spans="1:8" x14ac:dyDescent="0.2">
      <c r="A11119" t="str">
        <f t="shared" ref="A11119:A11126" si="4023">"0617042096"</f>
        <v>0617042096</v>
      </c>
      <c r="B11119" t="str">
        <f t="shared" ref="B11119:B11126" si="4024">"THIAGO"</f>
        <v>THIAGO</v>
      </c>
      <c r="C11119" t="str">
        <f t="shared" si="4022"/>
        <v>MEGRET SIMONO</v>
      </c>
      <c r="D11119" t="str">
        <f t="shared" ref="D11119:D11126" si="4025">"09"</f>
        <v>09</v>
      </c>
      <c r="E11119" t="str">
        <f>"04 - A - 201 - Norayda D Suarez"</f>
        <v>04 - A - 201 - Norayda D Suarez</v>
      </c>
      <c r="F11119" t="str">
        <f>"ANAT PHYSIO HON"</f>
        <v>ANAT PHYSIO HON</v>
      </c>
      <c r="G11119" t="str">
        <f>"21-2142"</f>
        <v>21-2142</v>
      </c>
      <c r="H11119" t="str">
        <f>"A"</f>
        <v>A</v>
      </c>
    </row>
    <row r="11120" spans="1:8" x14ac:dyDescent="0.2">
      <c r="A11120" t="str">
        <f t="shared" si="4023"/>
        <v>0617042096</v>
      </c>
      <c r="B11120" t="str">
        <f t="shared" si="4024"/>
        <v>THIAGO</v>
      </c>
      <c r="C11120" t="str">
        <f t="shared" si="4022"/>
        <v>MEGRET SIMONO</v>
      </c>
      <c r="D11120" t="str">
        <f t="shared" si="4025"/>
        <v>09</v>
      </c>
      <c r="E11120" t="str">
        <f>"06 - B - 105 - Cerine S Stewart"</f>
        <v>06 - B - 105 - Cerine S Stewart</v>
      </c>
      <c r="F11120" t="str">
        <f>"AICE ENG GEN PAPER 1"</f>
        <v>AICE ENG GEN PAPER 1</v>
      </c>
      <c r="G11120" t="str">
        <f>"17-1720"</f>
        <v>17-1720</v>
      </c>
      <c r="H11120" t="str">
        <f>"B"</f>
        <v>B</v>
      </c>
    </row>
    <row r="11121" spans="1:8" x14ac:dyDescent="0.2">
      <c r="A11121" t="str">
        <f t="shared" si="4023"/>
        <v>0617042096</v>
      </c>
      <c r="B11121" t="str">
        <f t="shared" si="4024"/>
        <v>THIAGO</v>
      </c>
      <c r="C11121" t="str">
        <f t="shared" si="4022"/>
        <v>MEGRET SIMONO</v>
      </c>
      <c r="D11121" t="str">
        <f t="shared" si="4025"/>
        <v>09</v>
      </c>
      <c r="E11121" t="str">
        <f>"03 - A - 201 - Joe  Kilpatrick Jr"</f>
        <v>03 - A - 201 - Joe  Kilpatrick Jr</v>
      </c>
      <c r="F11121" t="str">
        <f>"PRE-AICE SPAN 2 IG"</f>
        <v>PRE-AICE SPAN 2 IG</v>
      </c>
      <c r="G11121" t="str">
        <f>"09-912"</f>
        <v>09-912</v>
      </c>
      <c r="H11121" t="str">
        <f>"A"</f>
        <v>A</v>
      </c>
    </row>
    <row r="11122" spans="1:8" x14ac:dyDescent="0.2">
      <c r="A11122" t="str">
        <f t="shared" si="4023"/>
        <v>0617042096</v>
      </c>
      <c r="B11122" t="str">
        <f t="shared" si="4024"/>
        <v>THIAGO</v>
      </c>
      <c r="C11122" t="str">
        <f t="shared" si="4022"/>
        <v>MEGRET SIMONO</v>
      </c>
      <c r="D11122" t="str">
        <f t="shared" si="4025"/>
        <v>09</v>
      </c>
      <c r="E11122" t="str">
        <f>"02 - A - 111 - Cheryl L Beach"</f>
        <v>02 - A - 111 - Cheryl L Beach</v>
      </c>
      <c r="F11122" t="str">
        <f>"NC STUDY HALL 1"</f>
        <v>NC STUDY HALL 1</v>
      </c>
      <c r="G11122" t="str">
        <f>"08-811"</f>
        <v>08-811</v>
      </c>
      <c r="H11122" t="str">
        <f>"A"</f>
        <v>A</v>
      </c>
    </row>
    <row r="11123" spans="1:8" x14ac:dyDescent="0.2">
      <c r="A11123" t="str">
        <f t="shared" si="4023"/>
        <v>0617042096</v>
      </c>
      <c r="B11123" t="str">
        <f t="shared" si="4024"/>
        <v>THIAGO</v>
      </c>
      <c r="C11123" t="str">
        <f t="shared" si="4022"/>
        <v>MEGRET SIMONO</v>
      </c>
      <c r="D11123" t="str">
        <f t="shared" si="4025"/>
        <v>09</v>
      </c>
      <c r="E11123" t="str">
        <f>"07 - B - 001 - Maried P Ramos"</f>
        <v>07 - B - 001 - Maried P Ramos</v>
      </c>
      <c r="F11123" t="str">
        <f>"GEOMETRY"</f>
        <v>GEOMETRY</v>
      </c>
      <c r="G11123" t="str">
        <f>"21-2159"</f>
        <v>21-2159</v>
      </c>
      <c r="H11123" t="str">
        <f>"B"</f>
        <v>B</v>
      </c>
    </row>
    <row r="11124" spans="1:8" x14ac:dyDescent="0.2">
      <c r="A11124" t="str">
        <f t="shared" si="4023"/>
        <v>0617042096</v>
      </c>
      <c r="B11124" t="str">
        <f t="shared" si="4024"/>
        <v>THIAGO</v>
      </c>
      <c r="C11124" t="str">
        <f t="shared" si="4022"/>
        <v>MEGRET SIMONO</v>
      </c>
      <c r="D11124" t="str">
        <f t="shared" si="4025"/>
        <v>09</v>
      </c>
      <c r="E11124" t="str">
        <f>"05 - B - 103 - Rory T Sponsler"</f>
        <v>05 - B - 103 - Rory T Sponsler</v>
      </c>
      <c r="F11124" t="str">
        <f>"PRE-AICE WRLD HST IG"</f>
        <v>PRE-AICE WRLD HST IG</v>
      </c>
      <c r="G11124" t="str">
        <f>"17-1740"</f>
        <v>17-1740</v>
      </c>
      <c r="H11124" t="str">
        <f>"B"</f>
        <v>B</v>
      </c>
    </row>
    <row r="11125" spans="1:8" x14ac:dyDescent="0.2">
      <c r="A11125" t="str">
        <f t="shared" si="4023"/>
        <v>0617042096</v>
      </c>
      <c r="B11125" t="str">
        <f t="shared" si="4024"/>
        <v>THIAGO</v>
      </c>
      <c r="C11125" t="str">
        <f t="shared" si="4022"/>
        <v>MEGRET SIMONO</v>
      </c>
      <c r="D11125" t="str">
        <f t="shared" si="4025"/>
        <v>09</v>
      </c>
      <c r="E11125" t="str">
        <f>"01 - A - 101 - Arthur  Kulawik"</f>
        <v>01 - A - 101 - Arthur  Kulawik</v>
      </c>
      <c r="F11125" t="str">
        <f>"DEBATE 1 LH"</f>
        <v>DEBATE 1 LH</v>
      </c>
      <c r="G11125" t="str">
        <f>"05-506"</f>
        <v>05-506</v>
      </c>
      <c r="H11125" t="str">
        <f>"A"</f>
        <v>A</v>
      </c>
    </row>
    <row r="11126" spans="1:8" x14ac:dyDescent="0.2">
      <c r="A11126" t="str">
        <f t="shared" si="4023"/>
        <v>0617042096</v>
      </c>
      <c r="B11126" t="str">
        <f t="shared" si="4024"/>
        <v>THIAGO</v>
      </c>
      <c r="C11126" t="str">
        <f t="shared" si="4022"/>
        <v>MEGRET SIMONO</v>
      </c>
      <c r="D11126" t="str">
        <f t="shared" si="4025"/>
        <v>09</v>
      </c>
      <c r="E11126" t="str">
        <f>"08 - B - 103 - Jeanne M Bermudez"</f>
        <v>08 - B - 103 - Jeanne M Bermudez</v>
      </c>
      <c r="F11126" t="str">
        <f>"ADVANCED IT HON"</f>
        <v>ADVANCED IT HON</v>
      </c>
      <c r="G11126" t="str">
        <f>"21-2141"</f>
        <v>21-2141</v>
      </c>
      <c r="H11126" t="str">
        <f>"B"</f>
        <v>B</v>
      </c>
    </row>
    <row r="11127" spans="1:8" x14ac:dyDescent="0.2">
      <c r="A11127" t="str">
        <f t="shared" ref="A11127:A11134" si="4026">"0623087148"</f>
        <v>0623087148</v>
      </c>
      <c r="B11127" t="str">
        <f t="shared" ref="B11127:B11134" si="4027">"FRANTZIA"</f>
        <v>FRANTZIA</v>
      </c>
      <c r="C11127" t="str">
        <f t="shared" ref="C11127:C11134" si="4028">"MEHU"</f>
        <v>MEHU</v>
      </c>
      <c r="D11127">
        <f>10</f>
        <v>10</v>
      </c>
      <c r="E11127" t="str">
        <f>"04 - A - 101 - Christa T Parisi"</f>
        <v>04 - A - 101 - Christa T Parisi</v>
      </c>
      <c r="F11127" t="str">
        <f>"DANCE TECHNQS 2"</f>
        <v>DANCE TECHNQS 2</v>
      </c>
      <c r="G11127" t="str">
        <f>"05-503"</f>
        <v>05-503</v>
      </c>
      <c r="H11127" t="str">
        <f>"A"</f>
        <v>A</v>
      </c>
    </row>
    <row r="11128" spans="1:8" x14ac:dyDescent="0.2">
      <c r="A11128" t="str">
        <f t="shared" si="4026"/>
        <v>0623087148</v>
      </c>
      <c r="B11128" t="str">
        <f t="shared" si="4027"/>
        <v>FRANTZIA</v>
      </c>
      <c r="C11128" t="str">
        <f t="shared" si="4028"/>
        <v>MEHU</v>
      </c>
      <c r="D11128">
        <f>10</f>
        <v>10</v>
      </c>
      <c r="E11128" t="str">
        <f>"06 - B - 103 - Vanessa J Liburd"</f>
        <v>06 - B - 103 - Vanessa J Liburd</v>
      </c>
      <c r="F11128" t="str">
        <f>"NC STUDY HALL 1"</f>
        <v>NC STUDY HALL 1</v>
      </c>
      <c r="G11128" t="str">
        <f>"05-519"</f>
        <v>05-519</v>
      </c>
      <c r="H11128" t="str">
        <f>"B"</f>
        <v>B</v>
      </c>
    </row>
    <row r="11129" spans="1:8" x14ac:dyDescent="0.2">
      <c r="A11129" t="str">
        <f t="shared" si="4026"/>
        <v>0623087148</v>
      </c>
      <c r="B11129" t="str">
        <f t="shared" si="4027"/>
        <v>FRANTZIA</v>
      </c>
      <c r="C11129" t="str">
        <f t="shared" si="4028"/>
        <v>MEHU</v>
      </c>
      <c r="D11129">
        <f>10</f>
        <v>10</v>
      </c>
      <c r="E11129" t="str">
        <f>"03 - A - 101 - Samantha L Martinez"</f>
        <v>03 - A - 101 - Samantha L Martinez</v>
      </c>
      <c r="F11129" t="str">
        <f>"VOCAL ENS 1"</f>
        <v>VOCAL ENS 1</v>
      </c>
      <c r="G11129" t="str">
        <f>"05-505"</f>
        <v>05-505</v>
      </c>
      <c r="H11129" t="str">
        <f>"A"</f>
        <v>A</v>
      </c>
    </row>
    <row r="11130" spans="1:8" x14ac:dyDescent="0.2">
      <c r="A11130" t="str">
        <f t="shared" si="4026"/>
        <v>0623087148</v>
      </c>
      <c r="B11130" t="str">
        <f t="shared" si="4027"/>
        <v>FRANTZIA</v>
      </c>
      <c r="C11130" t="str">
        <f t="shared" si="4028"/>
        <v>MEHU</v>
      </c>
      <c r="D11130">
        <f>10</f>
        <v>10</v>
      </c>
      <c r="E11130" t="str">
        <f>"02 - A - 102 - Adam Marcus  Drucker"</f>
        <v>02 - A - 102 - Adam Marcus  Drucker</v>
      </c>
      <c r="F11130" t="str">
        <f>"HOPE-PE V"</f>
        <v>HOPE-PE V</v>
      </c>
      <c r="G11130" t="str">
        <f>"04-254"</f>
        <v>04-254</v>
      </c>
      <c r="H11130" t="str">
        <f>"A"</f>
        <v>A</v>
      </c>
    </row>
    <row r="11131" spans="1:8" x14ac:dyDescent="0.2">
      <c r="A11131" t="str">
        <f t="shared" si="4026"/>
        <v>0623087148</v>
      </c>
      <c r="B11131" t="str">
        <f t="shared" si="4027"/>
        <v>FRANTZIA</v>
      </c>
      <c r="C11131" t="str">
        <f t="shared" si="4028"/>
        <v>MEHU</v>
      </c>
      <c r="D11131">
        <f>10</f>
        <v>10</v>
      </c>
      <c r="E11131" t="str">
        <f>"07 - B - 108 - Jacquelyn M Neeson"</f>
        <v>07 - B - 108 - Jacquelyn M Neeson</v>
      </c>
      <c r="F11131" t="str">
        <f>"ENG 2"</f>
        <v>ENG 2</v>
      </c>
      <c r="G11131" t="str">
        <f>"17-1715"</f>
        <v>17-1715</v>
      </c>
      <c r="H11131" t="str">
        <f>"B"</f>
        <v>B</v>
      </c>
    </row>
    <row r="11132" spans="1:8" x14ac:dyDescent="0.2">
      <c r="A11132" t="str">
        <f t="shared" si="4026"/>
        <v>0623087148</v>
      </c>
      <c r="B11132" t="str">
        <f t="shared" si="4027"/>
        <v>FRANTZIA</v>
      </c>
      <c r="C11132" t="str">
        <f t="shared" si="4028"/>
        <v>MEHU</v>
      </c>
      <c r="D11132">
        <f>10</f>
        <v>10</v>
      </c>
      <c r="E11132" t="str">
        <f>"05 - B - 109 - Ferrie J Arostique"</f>
        <v>05 - B - 109 - Ferrie J Arostique</v>
      </c>
      <c r="F11132" t="str">
        <f>"GEOMETRY"</f>
        <v>GEOMETRY</v>
      </c>
      <c r="G11132" t="str">
        <f>"21-2139"</f>
        <v>21-2139</v>
      </c>
      <c r="H11132" t="str">
        <f>"B"</f>
        <v>B</v>
      </c>
    </row>
    <row r="11133" spans="1:8" x14ac:dyDescent="0.2">
      <c r="A11133" t="str">
        <f t="shared" si="4026"/>
        <v>0623087148</v>
      </c>
      <c r="B11133" t="str">
        <f t="shared" si="4027"/>
        <v>FRANTZIA</v>
      </c>
      <c r="C11133" t="str">
        <f t="shared" si="4028"/>
        <v>MEHU</v>
      </c>
      <c r="D11133">
        <f>10</f>
        <v>10</v>
      </c>
      <c r="E11133" t="str">
        <f>"01 - A - 102 - Lytrell T Dixon"</f>
        <v>01 - A - 102 - Lytrell T Dixon</v>
      </c>
      <c r="F11133" t="str">
        <f>"BIOLOGY 1"</f>
        <v>BIOLOGY 1</v>
      </c>
      <c r="G11133" t="str">
        <f>"08-808"</f>
        <v>08-808</v>
      </c>
      <c r="H11133" t="str">
        <f>"A"</f>
        <v>A</v>
      </c>
    </row>
    <row r="11134" spans="1:8" x14ac:dyDescent="0.2">
      <c r="A11134" t="str">
        <f t="shared" si="4026"/>
        <v>0623087148</v>
      </c>
      <c r="B11134" t="str">
        <f t="shared" si="4027"/>
        <v>FRANTZIA</v>
      </c>
      <c r="C11134" t="str">
        <f t="shared" si="4028"/>
        <v>MEHU</v>
      </c>
      <c r="D11134">
        <f>10</f>
        <v>10</v>
      </c>
      <c r="E11134" t="str">
        <f>"08 - S1 - B - 001 - Carol S Moore"</f>
        <v>08 - S1 - B - 001 - Carol S Moore</v>
      </c>
      <c r="F11134" t="str">
        <f>"PER CAR SCH DEV 1 LH"</f>
        <v>PER CAR SCH DEV 1 LH</v>
      </c>
      <c r="G11134" t="str">
        <f>"17-1733"</f>
        <v>17-1733</v>
      </c>
      <c r="H11134" t="str">
        <f>"B"</f>
        <v>B</v>
      </c>
    </row>
    <row r="11135" spans="1:8" x14ac:dyDescent="0.2">
      <c r="A11135" t="str">
        <f t="shared" ref="A11135:A11142" si="4029">"0623049069"</f>
        <v>0623049069</v>
      </c>
      <c r="B11135" t="str">
        <f t="shared" ref="B11135:B11142" si="4030">"ARIELLIE"</f>
        <v>ARIELLIE</v>
      </c>
      <c r="C11135" t="str">
        <f t="shared" ref="C11135:C11150" si="4031">"MEJIA"</f>
        <v>MEJIA</v>
      </c>
      <c r="D11135">
        <f>10</f>
        <v>10</v>
      </c>
      <c r="E11135" t="str">
        <f>"04 - A - 104 - Helen A Flores"</f>
        <v>04 - A - 104 - Helen A Flores</v>
      </c>
      <c r="F11135" t="str">
        <f>"FDN SKLS MATH 9-12"</f>
        <v>FDN SKLS MATH 9-12</v>
      </c>
      <c r="G11135" t="str">
        <f>"21-2101"</f>
        <v>21-2101</v>
      </c>
      <c r="H11135" t="str">
        <f>"A"</f>
        <v>A</v>
      </c>
    </row>
    <row r="11136" spans="1:8" x14ac:dyDescent="0.2">
      <c r="A11136" t="str">
        <f t="shared" si="4029"/>
        <v>0623049069</v>
      </c>
      <c r="B11136" t="str">
        <f t="shared" si="4030"/>
        <v>ARIELLIE</v>
      </c>
      <c r="C11136" t="str">
        <f t="shared" si="4031"/>
        <v>MEJIA</v>
      </c>
      <c r="D11136">
        <f>10</f>
        <v>10</v>
      </c>
      <c r="E11136" t="str">
        <f>"06 - B - 003 - Emmily A Sarmiento"</f>
        <v>06 - B - 003 - Emmily A Sarmiento</v>
      </c>
      <c r="F11136" t="str">
        <f>"NC STUDY HALL 1"</f>
        <v>NC STUDY HALL 1</v>
      </c>
      <c r="G11136" t="str">
        <f>"17-1743"</f>
        <v>17-1743</v>
      </c>
      <c r="H11136" t="str">
        <f>"B"</f>
        <v>B</v>
      </c>
    </row>
    <row r="11137" spans="1:8" x14ac:dyDescent="0.2">
      <c r="A11137" t="str">
        <f t="shared" si="4029"/>
        <v>0623049069</v>
      </c>
      <c r="B11137" t="str">
        <f t="shared" si="4030"/>
        <v>ARIELLIE</v>
      </c>
      <c r="C11137" t="str">
        <f t="shared" si="4031"/>
        <v>MEJIA</v>
      </c>
      <c r="D11137">
        <f>10</f>
        <v>10</v>
      </c>
      <c r="E11137" t="str">
        <f>"03 - A - 103 - Jacquelyn M Neeson"</f>
        <v>03 - A - 103 - Jacquelyn M Neeson</v>
      </c>
      <c r="F11137" t="str">
        <f>"ENG 2"</f>
        <v>ENG 2</v>
      </c>
      <c r="G11137" t="str">
        <f>"17-1715"</f>
        <v>17-1715</v>
      </c>
      <c r="H11137" t="str">
        <f>"A"</f>
        <v>A</v>
      </c>
    </row>
    <row r="11138" spans="1:8" x14ac:dyDescent="0.2">
      <c r="A11138" t="str">
        <f t="shared" si="4029"/>
        <v>0623049069</v>
      </c>
      <c r="B11138" t="str">
        <f t="shared" si="4030"/>
        <v>ARIELLIE</v>
      </c>
      <c r="C11138" t="str">
        <f t="shared" si="4031"/>
        <v>MEJIA</v>
      </c>
      <c r="D11138">
        <f>10</f>
        <v>10</v>
      </c>
      <c r="E11138" t="str">
        <f>"02 - A - 102 - Marius D Orsolini"</f>
        <v>02 - A - 102 - Marius D Orsolini</v>
      </c>
      <c r="F11138" t="str">
        <f>"CULINARY ARTS 1"</f>
        <v>CULINARY ARTS 1</v>
      </c>
      <c r="G11138" t="str">
        <f>"21-2115"</f>
        <v>21-2115</v>
      </c>
      <c r="H11138" t="str">
        <f>"A"</f>
        <v>A</v>
      </c>
    </row>
    <row r="11139" spans="1:8" x14ac:dyDescent="0.2">
      <c r="A11139" t="str">
        <f t="shared" si="4029"/>
        <v>0623049069</v>
      </c>
      <c r="B11139" t="str">
        <f t="shared" si="4030"/>
        <v>ARIELLIE</v>
      </c>
      <c r="C11139" t="str">
        <f t="shared" si="4031"/>
        <v>MEJIA</v>
      </c>
      <c r="D11139">
        <f>10</f>
        <v>10</v>
      </c>
      <c r="E11139" t="str">
        <f>"07 - B - 107 - Lytrell T Dixon"</f>
        <v>07 - B - 107 - Lytrell T Dixon</v>
      </c>
      <c r="F11139" t="str">
        <f>"BIOLOGY 1"</f>
        <v>BIOLOGY 1</v>
      </c>
      <c r="G11139" t="str">
        <f>"08-808"</f>
        <v>08-808</v>
      </c>
      <c r="H11139" t="str">
        <f>"B"</f>
        <v>B</v>
      </c>
    </row>
    <row r="11140" spans="1:8" x14ac:dyDescent="0.2">
      <c r="A11140" t="str">
        <f t="shared" si="4029"/>
        <v>0623049069</v>
      </c>
      <c r="B11140" t="str">
        <f t="shared" si="4030"/>
        <v>ARIELLIE</v>
      </c>
      <c r="C11140" t="str">
        <f t="shared" si="4031"/>
        <v>MEJIA</v>
      </c>
      <c r="D11140">
        <f>10</f>
        <v>10</v>
      </c>
      <c r="E11140" t="str">
        <f>"05 - B - 105 - Taraneh C Abreu"</f>
        <v>05 - B - 105 - Taraneh C Abreu</v>
      </c>
      <c r="F11140" t="str">
        <f>"INTENS READ 2"</f>
        <v>INTENS READ 2</v>
      </c>
      <c r="G11140" t="str">
        <f>"17-1713"</f>
        <v>17-1713</v>
      </c>
      <c r="H11140" t="str">
        <f>"B"</f>
        <v>B</v>
      </c>
    </row>
    <row r="11141" spans="1:8" x14ac:dyDescent="0.2">
      <c r="A11141" t="str">
        <f t="shared" si="4029"/>
        <v>0623049069</v>
      </c>
      <c r="B11141" t="str">
        <f t="shared" si="4030"/>
        <v>ARIELLIE</v>
      </c>
      <c r="C11141" t="str">
        <f t="shared" si="4031"/>
        <v>MEJIA</v>
      </c>
      <c r="D11141">
        <f>10</f>
        <v>10</v>
      </c>
      <c r="E11141" t="str">
        <f>"01 - A - 107 - Jazmin S Fletcher"</f>
        <v>01 - A - 107 - Jazmin S Fletcher</v>
      </c>
      <c r="F11141" t="str">
        <f>"WORLD HISTORY"</f>
        <v>WORLD HISTORY</v>
      </c>
      <c r="G11141" t="str">
        <f>"09-909"</f>
        <v>09-909</v>
      </c>
      <c r="H11141" t="str">
        <f>"A"</f>
        <v>A</v>
      </c>
    </row>
    <row r="11142" spans="1:8" x14ac:dyDescent="0.2">
      <c r="A11142" t="str">
        <f t="shared" si="4029"/>
        <v>0623049069</v>
      </c>
      <c r="B11142" t="str">
        <f t="shared" si="4030"/>
        <v>ARIELLIE</v>
      </c>
      <c r="C11142" t="str">
        <f t="shared" si="4031"/>
        <v>MEJIA</v>
      </c>
      <c r="D11142">
        <f>10</f>
        <v>10</v>
      </c>
      <c r="E11142" t="str">
        <f>"08 - B - 106 - Helen A Flores"</f>
        <v>08 - B - 106 - Helen A Flores</v>
      </c>
      <c r="F11142" t="str">
        <f>"ALGEBRA 1"</f>
        <v>ALGEBRA 1</v>
      </c>
      <c r="G11142" t="str">
        <f>"21-2101"</f>
        <v>21-2101</v>
      </c>
      <c r="H11142" t="str">
        <f>"B"</f>
        <v>B</v>
      </c>
    </row>
    <row r="11143" spans="1:8" x14ac:dyDescent="0.2">
      <c r="A11143" t="str">
        <f t="shared" ref="A11143:A11150" si="4032">"0623033475"</f>
        <v>0623033475</v>
      </c>
      <c r="B11143" t="str">
        <f t="shared" ref="B11143:B11150" si="4033">"GENESIS"</f>
        <v>GENESIS</v>
      </c>
      <c r="C11143" t="str">
        <f t="shared" si="4031"/>
        <v>MEJIA</v>
      </c>
      <c r="D11143" t="str">
        <f t="shared" ref="D11143:D11150" si="4034">"09"</f>
        <v>09</v>
      </c>
      <c r="E11143" t="str">
        <f>"04 - A - 107 - Amy Beth  Broyles"</f>
        <v>04 - A - 107 - Amy Beth  Broyles</v>
      </c>
      <c r="F11143" t="str">
        <f>"ENV SCI"</f>
        <v>ENV SCI</v>
      </c>
      <c r="G11143" t="str">
        <f>"08-802"</f>
        <v>08-802</v>
      </c>
      <c r="H11143" t="str">
        <f>"A"</f>
        <v>A</v>
      </c>
    </row>
    <row r="11144" spans="1:8" x14ac:dyDescent="0.2">
      <c r="A11144" t="str">
        <f t="shared" si="4032"/>
        <v>0623033475</v>
      </c>
      <c r="B11144" t="str">
        <f t="shared" si="4033"/>
        <v>GENESIS</v>
      </c>
      <c r="C11144" t="str">
        <f t="shared" si="4031"/>
        <v>MEJIA</v>
      </c>
      <c r="D11144" t="str">
        <f t="shared" si="4034"/>
        <v>09</v>
      </c>
      <c r="E11144" t="str">
        <f>"06 - B - 105 - Dayna M Foster"</f>
        <v>06 - B - 105 - Dayna M Foster</v>
      </c>
      <c r="F11144" t="str">
        <f>"ALGEBRA 1"</f>
        <v>ALGEBRA 1</v>
      </c>
      <c r="G11144" t="str">
        <f>"21-2109"</f>
        <v>21-2109</v>
      </c>
      <c r="H11144" t="str">
        <f>"B"</f>
        <v>B</v>
      </c>
    </row>
    <row r="11145" spans="1:8" x14ac:dyDescent="0.2">
      <c r="A11145" t="str">
        <f t="shared" si="4032"/>
        <v>0623033475</v>
      </c>
      <c r="B11145" t="str">
        <f t="shared" si="4033"/>
        <v>GENESIS</v>
      </c>
      <c r="C11145" t="str">
        <f t="shared" si="4031"/>
        <v>MEJIA</v>
      </c>
      <c r="D11145" t="str">
        <f t="shared" si="4034"/>
        <v>09</v>
      </c>
      <c r="E11145" t="str">
        <f>"03 - A - 101 - Dayna M Foster"</f>
        <v>03 - A - 101 - Dayna M Foster</v>
      </c>
      <c r="F11145" t="str">
        <f>"FDN SKLS MATH 9-12"</f>
        <v>FDN SKLS MATH 9-12</v>
      </c>
      <c r="G11145" t="str">
        <f>"21-2109"</f>
        <v>21-2109</v>
      </c>
      <c r="H11145" t="str">
        <f>"A"</f>
        <v>A</v>
      </c>
    </row>
    <row r="11146" spans="1:8" x14ac:dyDescent="0.2">
      <c r="A11146" t="str">
        <f t="shared" si="4032"/>
        <v>0623033475</v>
      </c>
      <c r="B11146" t="str">
        <f t="shared" si="4033"/>
        <v>GENESIS</v>
      </c>
      <c r="C11146" t="str">
        <f t="shared" si="4031"/>
        <v>MEJIA</v>
      </c>
      <c r="D11146" t="str">
        <f t="shared" si="4034"/>
        <v>09</v>
      </c>
      <c r="E11146" t="str">
        <f>"02 - A - 103 - Angela S Adeshina-Morrison"</f>
        <v>02 - A - 103 - Angela S Adeshina-Morrison</v>
      </c>
      <c r="F11146" t="str">
        <f>"NC STUDY HALL 1"</f>
        <v>NC STUDY HALL 1</v>
      </c>
      <c r="G11146" t="str">
        <f>"05-518"</f>
        <v>05-518</v>
      </c>
      <c r="H11146" t="str">
        <f>"A"</f>
        <v>A</v>
      </c>
    </row>
    <row r="11147" spans="1:8" x14ac:dyDescent="0.2">
      <c r="A11147" t="str">
        <f t="shared" si="4032"/>
        <v>0623033475</v>
      </c>
      <c r="B11147" t="str">
        <f t="shared" si="4033"/>
        <v>GENESIS</v>
      </c>
      <c r="C11147" t="str">
        <f t="shared" si="4031"/>
        <v>MEJIA</v>
      </c>
      <c r="D11147" t="str">
        <f t="shared" si="4034"/>
        <v>09</v>
      </c>
      <c r="E11147" t="str">
        <f>"07 - B - 101 - Samantha L Martinez"</f>
        <v>07 - B - 101 - Samantha L Martinez</v>
      </c>
      <c r="F11147" t="str">
        <f>"KEYBD 1"</f>
        <v>KEYBD 1</v>
      </c>
      <c r="G11147" t="str">
        <f>"05-505"</f>
        <v>05-505</v>
      </c>
      <c r="H11147" t="str">
        <f>"B"</f>
        <v>B</v>
      </c>
    </row>
    <row r="11148" spans="1:8" x14ac:dyDescent="0.2">
      <c r="A11148" t="str">
        <f t="shared" si="4032"/>
        <v>0623033475</v>
      </c>
      <c r="B11148" t="str">
        <f t="shared" si="4033"/>
        <v>GENESIS</v>
      </c>
      <c r="C11148" t="str">
        <f t="shared" si="4031"/>
        <v>MEJIA</v>
      </c>
      <c r="D11148" t="str">
        <f t="shared" si="4034"/>
        <v>09</v>
      </c>
      <c r="E11148" t="str">
        <f>"05 - B - 205 - Lenecy  Nodarse"</f>
        <v>05 - B - 205 - Lenecy  Nodarse</v>
      </c>
      <c r="F11148" t="str">
        <f>"WORLD HISTORY"</f>
        <v>WORLD HISTORY</v>
      </c>
      <c r="G11148" t="str">
        <f>"17-1741"</f>
        <v>17-1741</v>
      </c>
      <c r="H11148" t="str">
        <f>"B"</f>
        <v>B</v>
      </c>
    </row>
    <row r="11149" spans="1:8" x14ac:dyDescent="0.2">
      <c r="A11149" t="str">
        <f t="shared" si="4032"/>
        <v>0623033475</v>
      </c>
      <c r="B11149" t="str">
        <f t="shared" si="4033"/>
        <v>GENESIS</v>
      </c>
      <c r="C11149" t="str">
        <f t="shared" si="4031"/>
        <v>MEJIA</v>
      </c>
      <c r="D11149" t="str">
        <f t="shared" si="4034"/>
        <v>09</v>
      </c>
      <c r="E11149" t="str">
        <f>"01 - A - 101 - Cerine S Stewart"</f>
        <v>01 - A - 101 - Cerine S Stewart</v>
      </c>
      <c r="F11149" t="str">
        <f>"ENG 1"</f>
        <v>ENG 1</v>
      </c>
      <c r="G11149" t="str">
        <f>"17-1720"</f>
        <v>17-1720</v>
      </c>
      <c r="H11149" t="str">
        <f>"A"</f>
        <v>A</v>
      </c>
    </row>
    <row r="11150" spans="1:8" x14ac:dyDescent="0.2">
      <c r="A11150" t="str">
        <f t="shared" si="4032"/>
        <v>0623033475</v>
      </c>
      <c r="B11150" t="str">
        <f t="shared" si="4033"/>
        <v>GENESIS</v>
      </c>
      <c r="C11150" t="str">
        <f t="shared" si="4031"/>
        <v>MEJIA</v>
      </c>
      <c r="D11150" t="str">
        <f t="shared" si="4034"/>
        <v>09</v>
      </c>
      <c r="E11150" t="str">
        <f>"08 - B - 108 - Adam Marcus  Drucker"</f>
        <v>08 - B - 108 - Adam Marcus  Drucker</v>
      </c>
      <c r="F11150" t="str">
        <f>"HOPE-PE V"</f>
        <v>HOPE-PE V</v>
      </c>
      <c r="G11150" t="str">
        <f>"04-254"</f>
        <v>04-254</v>
      </c>
      <c r="H11150" t="str">
        <f>"B"</f>
        <v>B</v>
      </c>
    </row>
    <row r="11151" spans="1:8" x14ac:dyDescent="0.2">
      <c r="A11151" t="str">
        <f t="shared" ref="A11151:A11159" si="4035">"0613122382"</f>
        <v>0613122382</v>
      </c>
      <c r="B11151" t="str">
        <f t="shared" ref="B11151:B11159" si="4036">"ALEXANDER"</f>
        <v>ALEXANDER</v>
      </c>
      <c r="C11151" t="str">
        <f t="shared" ref="C11151:C11168" si="4037">"MELACHRINO"</f>
        <v>MELACHRINO</v>
      </c>
      <c r="D11151">
        <f>12</f>
        <v>12</v>
      </c>
      <c r="E11151" t="str">
        <f>"19 - S1 - MTWHF - UF - Instructor UF"</f>
        <v>19 - S1 - MTWHF - UF - Instructor UF</v>
      </c>
      <c r="F11151" t="str">
        <f>"INTRO SPORTS MGMT"</f>
        <v>INTRO SPORTS MGMT</v>
      </c>
      <c r="G11151" t="str">
        <f>"60-DE"</f>
        <v>60-DE</v>
      </c>
      <c r="H11151" t="str">
        <f>"-"</f>
        <v>-</v>
      </c>
    </row>
    <row r="11152" spans="1:8" x14ac:dyDescent="0.2">
      <c r="A11152" t="str">
        <f t="shared" si="4035"/>
        <v>0613122382</v>
      </c>
      <c r="B11152" t="str">
        <f t="shared" si="4036"/>
        <v>ALEXANDER</v>
      </c>
      <c r="C11152" t="str">
        <f t="shared" si="4037"/>
        <v>MELACHRINO</v>
      </c>
      <c r="D11152">
        <f>12</f>
        <v>12</v>
      </c>
      <c r="E11152" t="str">
        <f>"04 - A - 102 - Daniel S Katz"</f>
        <v>04 - A - 102 - Daniel S Katz</v>
      </c>
      <c r="F11152" t="str">
        <f>"AICE DRAMA 1 AS LEV"</f>
        <v>AICE DRAMA 1 AS LEV</v>
      </c>
      <c r="G11152" t="str">
        <f>"05-521"</f>
        <v>05-521</v>
      </c>
      <c r="H11152" t="str">
        <f>"A"</f>
        <v>A</v>
      </c>
    </row>
    <row r="11153" spans="1:8" x14ac:dyDescent="0.2">
      <c r="A11153" t="str">
        <f t="shared" si="4035"/>
        <v>0613122382</v>
      </c>
      <c r="B11153" t="str">
        <f t="shared" si="4036"/>
        <v>ALEXANDER</v>
      </c>
      <c r="C11153" t="str">
        <f t="shared" si="4037"/>
        <v>MELACHRINO</v>
      </c>
      <c r="D11153">
        <f>12</f>
        <v>12</v>
      </c>
      <c r="E11153" t="str">
        <f>"06 - B - 104 - Lissa C Frederique"</f>
        <v>06 - B - 104 - Lissa C Frederique</v>
      </c>
      <c r="F11153" t="str">
        <f>"NC STUDY HALL 1"</f>
        <v>NC STUDY HALL 1</v>
      </c>
      <c r="G11153" t="str">
        <f>"17-1754"</f>
        <v>17-1754</v>
      </c>
      <c r="H11153" t="str">
        <f>"B"</f>
        <v>B</v>
      </c>
    </row>
    <row r="11154" spans="1:8" x14ac:dyDescent="0.2">
      <c r="A11154" t="str">
        <f t="shared" si="4035"/>
        <v>0613122382</v>
      </c>
      <c r="B11154" t="str">
        <f t="shared" si="4036"/>
        <v>ALEXANDER</v>
      </c>
      <c r="C11154" t="str">
        <f t="shared" si="4037"/>
        <v>MELACHRINO</v>
      </c>
      <c r="D11154">
        <f>12</f>
        <v>12</v>
      </c>
      <c r="E11154" t="str">
        <f>"03 - A - 101 - Lisa J London"</f>
        <v>03 - A - 101 - Lisa J London</v>
      </c>
      <c r="F11154" t="str">
        <f>"AP CAPSTONE RESEARCH"</f>
        <v>AP CAPSTONE RESEARCH</v>
      </c>
      <c r="G11154" t="str">
        <f>"17-1714"</f>
        <v>17-1714</v>
      </c>
      <c r="H11154" t="str">
        <f>"A"</f>
        <v>A</v>
      </c>
    </row>
    <row r="11155" spans="1:8" x14ac:dyDescent="0.2">
      <c r="A11155" t="str">
        <f t="shared" si="4035"/>
        <v>0613122382</v>
      </c>
      <c r="B11155" t="str">
        <f t="shared" si="4036"/>
        <v>ALEXANDER</v>
      </c>
      <c r="C11155" t="str">
        <f t="shared" si="4037"/>
        <v>MELACHRINO</v>
      </c>
      <c r="D11155">
        <f>12</f>
        <v>12</v>
      </c>
      <c r="E11155" t="str">
        <f>"02 - A - 201 - Jeanne M Bermudez"</f>
        <v>02 - A - 201 - Jeanne M Bermudez</v>
      </c>
      <c r="F11155" t="str">
        <f>"AP ENV SCI"</f>
        <v>AP ENV SCI</v>
      </c>
      <c r="G11155" t="str">
        <f>"21-2141"</f>
        <v>21-2141</v>
      </c>
      <c r="H11155" t="str">
        <f>"A"</f>
        <v>A</v>
      </c>
    </row>
    <row r="11156" spans="1:8" x14ac:dyDescent="0.2">
      <c r="A11156" t="str">
        <f t="shared" si="4035"/>
        <v>0613122382</v>
      </c>
      <c r="B11156" t="str">
        <f t="shared" si="4036"/>
        <v>ALEXANDER</v>
      </c>
      <c r="C11156" t="str">
        <f t="shared" si="4037"/>
        <v>MELACHRINO</v>
      </c>
      <c r="D11156">
        <f>12</f>
        <v>12</v>
      </c>
      <c r="E11156" t="str">
        <f>"07 - B - 102 - Courtney E Hambright"</f>
        <v>07 - B - 102 - Courtney E Hambright</v>
      </c>
      <c r="F11156" t="str">
        <f>"AP ENG LIT COMPO"</f>
        <v>AP ENG LIT COMPO</v>
      </c>
      <c r="G11156" t="str">
        <f>"17-1711"</f>
        <v>17-1711</v>
      </c>
      <c r="H11156" t="str">
        <f>"B"</f>
        <v>B</v>
      </c>
    </row>
    <row r="11157" spans="1:8" x14ac:dyDescent="0.2">
      <c r="A11157" t="str">
        <f t="shared" si="4035"/>
        <v>0613122382</v>
      </c>
      <c r="B11157" t="str">
        <f t="shared" si="4036"/>
        <v>ALEXANDER</v>
      </c>
      <c r="C11157" t="str">
        <f t="shared" si="4037"/>
        <v>MELACHRINO</v>
      </c>
      <c r="D11157">
        <f>12</f>
        <v>12</v>
      </c>
      <c r="E11157" t="str">
        <f>"05 - S1 - B - 103 - Stephen T Ripp"</f>
        <v>05 - S1 - B - 103 - Stephen T Ripp</v>
      </c>
      <c r="F11157" t="str">
        <f>"AP US GOVT/POL"</f>
        <v>AP US GOVT/POL</v>
      </c>
      <c r="G11157" t="str">
        <f>"17-1744"</f>
        <v>17-1744</v>
      </c>
      <c r="H11157" t="str">
        <f>"B"</f>
        <v>B</v>
      </c>
    </row>
    <row r="11158" spans="1:8" x14ac:dyDescent="0.2">
      <c r="A11158" t="str">
        <f t="shared" si="4035"/>
        <v>0613122382</v>
      </c>
      <c r="B11158" t="str">
        <f t="shared" si="4036"/>
        <v>ALEXANDER</v>
      </c>
      <c r="C11158" t="str">
        <f t="shared" si="4037"/>
        <v>MELACHRINO</v>
      </c>
      <c r="D11158">
        <f>12</f>
        <v>12</v>
      </c>
      <c r="E11158" t="str">
        <f>"01 - A - 101 - Marielle A Witting"</f>
        <v>01 - A - 101 - Marielle A Witting</v>
      </c>
      <c r="F11158" t="str">
        <f>"AP BIO"</f>
        <v>AP BIO</v>
      </c>
      <c r="G11158" t="str">
        <f>"08-805"</f>
        <v>08-805</v>
      </c>
      <c r="H11158" t="str">
        <f>"A"</f>
        <v>A</v>
      </c>
    </row>
    <row r="11159" spans="1:8" x14ac:dyDescent="0.2">
      <c r="A11159" t="str">
        <f t="shared" si="4035"/>
        <v>0613122382</v>
      </c>
      <c r="B11159" t="str">
        <f t="shared" si="4036"/>
        <v>ALEXANDER</v>
      </c>
      <c r="C11159" t="str">
        <f t="shared" si="4037"/>
        <v>MELACHRINO</v>
      </c>
      <c r="D11159">
        <f>12</f>
        <v>12</v>
      </c>
      <c r="E11159" t="str">
        <f>"08 - B - 102 - Pamela M Corzo"</f>
        <v>08 - B - 102 - Pamela M Corzo</v>
      </c>
      <c r="F11159" t="str">
        <f>"AP STAT"</f>
        <v>AP STAT</v>
      </c>
      <c r="G11159" t="str">
        <f>"21-2133"</f>
        <v>21-2133</v>
      </c>
      <c r="H11159" t="str">
        <f>"B"</f>
        <v>B</v>
      </c>
    </row>
    <row r="11160" spans="1:8" x14ac:dyDescent="0.2">
      <c r="A11160" t="str">
        <f t="shared" ref="A11160:A11168" si="4038">"0613122370"</f>
        <v>0613122370</v>
      </c>
      <c r="B11160" t="str">
        <f t="shared" ref="B11160:B11168" si="4039">"CONNOR"</f>
        <v>CONNOR</v>
      </c>
      <c r="C11160" t="str">
        <f t="shared" si="4037"/>
        <v>MELACHRINO</v>
      </c>
      <c r="D11160">
        <f>12</f>
        <v>12</v>
      </c>
      <c r="E11160" t="str">
        <f>"19 - S1 - MTWHF - UF - Instructor UF"</f>
        <v>19 - S1 - MTWHF - UF - Instructor UF</v>
      </c>
      <c r="F11160" t="str">
        <f>"PRIN ECONOMICS I"</f>
        <v>PRIN ECONOMICS I</v>
      </c>
      <c r="G11160" t="str">
        <f>"60-DE"</f>
        <v>60-DE</v>
      </c>
      <c r="H11160" t="str">
        <f>"-"</f>
        <v>-</v>
      </c>
    </row>
    <row r="11161" spans="1:8" x14ac:dyDescent="0.2">
      <c r="A11161" t="str">
        <f t="shared" si="4038"/>
        <v>0613122370</v>
      </c>
      <c r="B11161" t="str">
        <f t="shared" si="4039"/>
        <v>CONNOR</v>
      </c>
      <c r="C11161" t="str">
        <f t="shared" si="4037"/>
        <v>MELACHRINO</v>
      </c>
      <c r="D11161">
        <f>12</f>
        <v>12</v>
      </c>
      <c r="E11161" t="str">
        <f>"04 - A - 101 - Stefanie S Scher"</f>
        <v>04 - A - 101 - Stefanie S Scher</v>
      </c>
      <c r="F11161" t="str">
        <f>"AP PSYCH"</f>
        <v>AP PSYCH</v>
      </c>
      <c r="G11161" t="str">
        <f>"17-1735"</f>
        <v>17-1735</v>
      </c>
      <c r="H11161" t="str">
        <f>"A"</f>
        <v>A</v>
      </c>
    </row>
    <row r="11162" spans="1:8" x14ac:dyDescent="0.2">
      <c r="A11162" t="str">
        <f t="shared" si="4038"/>
        <v>0613122370</v>
      </c>
      <c r="B11162" t="str">
        <f t="shared" si="4039"/>
        <v>CONNOR</v>
      </c>
      <c r="C11162" t="str">
        <f t="shared" si="4037"/>
        <v>MELACHRINO</v>
      </c>
      <c r="D11162">
        <f>12</f>
        <v>12</v>
      </c>
      <c r="E11162" t="str">
        <f>"06 - B - 108 - Jacquelyn M Neeson"</f>
        <v>06 - B - 108 - Jacquelyn M Neeson</v>
      </c>
      <c r="F11162" t="str">
        <f>"NC STUDY HALL 1"</f>
        <v>NC STUDY HALL 1</v>
      </c>
      <c r="G11162" t="str">
        <f>"17-1715"</f>
        <v>17-1715</v>
      </c>
      <c r="H11162" t="str">
        <f>"B"</f>
        <v>B</v>
      </c>
    </row>
    <row r="11163" spans="1:8" x14ac:dyDescent="0.2">
      <c r="A11163" t="str">
        <f t="shared" si="4038"/>
        <v>0613122370</v>
      </c>
      <c r="B11163" t="str">
        <f t="shared" si="4039"/>
        <v>CONNOR</v>
      </c>
      <c r="C11163" t="str">
        <f t="shared" si="4037"/>
        <v>MELACHRINO</v>
      </c>
      <c r="D11163">
        <f>12</f>
        <v>12</v>
      </c>
      <c r="E11163" t="str">
        <f>"03 - A - 101 - Lourivaldo  Da Silva"</f>
        <v>03 - A - 101 - Lourivaldo  Da Silva</v>
      </c>
      <c r="F11163" t="str">
        <f>"AP STAT"</f>
        <v>AP STAT</v>
      </c>
      <c r="G11163" t="str">
        <f>"20-2079"</f>
        <v>20-2079</v>
      </c>
      <c r="H11163" t="str">
        <f>"A"</f>
        <v>A</v>
      </c>
    </row>
    <row r="11164" spans="1:8" x14ac:dyDescent="0.2">
      <c r="A11164" t="str">
        <f t="shared" si="4038"/>
        <v>0613122370</v>
      </c>
      <c r="B11164" t="str">
        <f t="shared" si="4039"/>
        <v>CONNOR</v>
      </c>
      <c r="C11164" t="str">
        <f t="shared" si="4037"/>
        <v>MELACHRINO</v>
      </c>
      <c r="D11164">
        <f>12</f>
        <v>12</v>
      </c>
      <c r="E11164" t="str">
        <f>"02 - A - 102 - Marielle A Witting"</f>
        <v>02 - A - 102 - Marielle A Witting</v>
      </c>
      <c r="F11164" t="str">
        <f>"AP BIO"</f>
        <v>AP BIO</v>
      </c>
      <c r="G11164" t="str">
        <f>"08-805"</f>
        <v>08-805</v>
      </c>
      <c r="H11164" t="str">
        <f>"A"</f>
        <v>A</v>
      </c>
    </row>
    <row r="11165" spans="1:8" x14ac:dyDescent="0.2">
      <c r="A11165" t="str">
        <f t="shared" si="4038"/>
        <v>0613122370</v>
      </c>
      <c r="B11165" t="str">
        <f t="shared" si="4039"/>
        <v>CONNOR</v>
      </c>
      <c r="C11165" t="str">
        <f t="shared" si="4037"/>
        <v>MELACHRINO</v>
      </c>
      <c r="D11165">
        <f>12</f>
        <v>12</v>
      </c>
      <c r="E11165" t="str">
        <f>"07 - S1 - B - 102 - Barbara L Segal"</f>
        <v>07 - S1 - B - 102 - Barbara L Segal</v>
      </c>
      <c r="F11165" t="str">
        <f>"AP US GOVT/POL"</f>
        <v>AP US GOVT/POL</v>
      </c>
      <c r="G11165" t="str">
        <f>"17-1742"</f>
        <v>17-1742</v>
      </c>
      <c r="H11165" t="str">
        <f>"B"</f>
        <v>B</v>
      </c>
    </row>
    <row r="11166" spans="1:8" x14ac:dyDescent="0.2">
      <c r="A11166" t="str">
        <f t="shared" si="4038"/>
        <v>0613122370</v>
      </c>
      <c r="B11166" t="str">
        <f t="shared" si="4039"/>
        <v>CONNOR</v>
      </c>
      <c r="C11166" t="str">
        <f t="shared" si="4037"/>
        <v>MELACHRINO</v>
      </c>
      <c r="D11166">
        <f>12</f>
        <v>12</v>
      </c>
      <c r="E11166" t="str">
        <f>"05 - B - 103 - Chrystina M Marchionne"</f>
        <v>05 - B - 103 - Chrystina M Marchionne</v>
      </c>
      <c r="F11166" t="str">
        <f>"AICE MEDIA STUDIES A"</f>
        <v>AICE MEDIA STUDIES A</v>
      </c>
      <c r="G11166" t="str">
        <f>"05-520"</f>
        <v>05-520</v>
      </c>
      <c r="H11166" t="str">
        <f>"B"</f>
        <v>B</v>
      </c>
    </row>
    <row r="11167" spans="1:8" x14ac:dyDescent="0.2">
      <c r="A11167" t="str">
        <f t="shared" si="4038"/>
        <v>0613122370</v>
      </c>
      <c r="B11167" t="str">
        <f t="shared" si="4039"/>
        <v>CONNOR</v>
      </c>
      <c r="C11167" t="str">
        <f t="shared" si="4037"/>
        <v>MELACHRINO</v>
      </c>
      <c r="D11167">
        <f>12</f>
        <v>12</v>
      </c>
      <c r="E11167" t="str">
        <f>"01 - A - 204 - Tina M Jaramillo"</f>
        <v>01 - A - 204 - Tina M Jaramillo</v>
      </c>
      <c r="F11167" t="str">
        <f>"AP ENG LIT COMPO"</f>
        <v>AP ENG LIT COMPO</v>
      </c>
      <c r="G11167" t="str">
        <f>"17-1706"</f>
        <v>17-1706</v>
      </c>
      <c r="H11167" t="str">
        <f>"A"</f>
        <v>A</v>
      </c>
    </row>
    <row r="11168" spans="1:8" x14ac:dyDescent="0.2">
      <c r="A11168" t="str">
        <f t="shared" si="4038"/>
        <v>0613122370</v>
      </c>
      <c r="B11168" t="str">
        <f t="shared" si="4039"/>
        <v>CONNOR</v>
      </c>
      <c r="C11168" t="str">
        <f t="shared" si="4037"/>
        <v>MELACHRINO</v>
      </c>
      <c r="D11168">
        <f>12</f>
        <v>12</v>
      </c>
      <c r="E11168" t="str">
        <f>"08 - B - 102 - Lisa J London"</f>
        <v>08 - B - 102 - Lisa J London</v>
      </c>
      <c r="F11168" t="str">
        <f>"AP CAPSTONE RESEARCH"</f>
        <v>AP CAPSTONE RESEARCH</v>
      </c>
      <c r="G11168" t="str">
        <f>"17-1714"</f>
        <v>17-1714</v>
      </c>
      <c r="H11168" t="str">
        <f>"B"</f>
        <v>B</v>
      </c>
    </row>
    <row r="11169" spans="1:8" x14ac:dyDescent="0.2">
      <c r="A11169" t="str">
        <f t="shared" ref="A11169:A11176" si="4040">"0613117644"</f>
        <v>0613117644</v>
      </c>
      <c r="B11169" t="str">
        <f t="shared" ref="B11169:B11176" si="4041">"ARLY"</f>
        <v>ARLY</v>
      </c>
      <c r="C11169" t="str">
        <f t="shared" ref="C11169:C11192" si="4042">"MELENDEZ"</f>
        <v>MELENDEZ</v>
      </c>
      <c r="D11169">
        <f>11</f>
        <v>11</v>
      </c>
      <c r="E11169" t="str">
        <f>"04 - A - 101 - Rosa Elaine  Collado-Duff"</f>
        <v>04 - A - 101 - Rosa Elaine  Collado-Duff</v>
      </c>
      <c r="F11169" t="str">
        <f>"AICE SPAN LANG AS"</f>
        <v>AICE SPAN LANG AS</v>
      </c>
      <c r="G11169" t="str">
        <f>"09-913"</f>
        <v>09-913</v>
      </c>
      <c r="H11169" t="str">
        <f>"A"</f>
        <v>A</v>
      </c>
    </row>
    <row r="11170" spans="1:8" x14ac:dyDescent="0.2">
      <c r="A11170" t="str">
        <f t="shared" si="4040"/>
        <v>0613117644</v>
      </c>
      <c r="B11170" t="str">
        <f t="shared" si="4041"/>
        <v>ARLY</v>
      </c>
      <c r="C11170" t="str">
        <f t="shared" si="4042"/>
        <v>MELENDEZ</v>
      </c>
      <c r="D11170">
        <f>11</f>
        <v>11</v>
      </c>
      <c r="E11170" t="str">
        <f>"06 - B - 104 - Eva T Rimmer"</f>
        <v>06 - B - 104 - Eva T Rimmer</v>
      </c>
      <c r="F11170" t="str">
        <f>"CRIMINAL JUST OPS 1"</f>
        <v>CRIMINAL JUST OPS 1</v>
      </c>
      <c r="G11170" t="str">
        <f>"05-523"</f>
        <v>05-523</v>
      </c>
      <c r="H11170" t="str">
        <f>"B"</f>
        <v>B</v>
      </c>
    </row>
    <row r="11171" spans="1:8" x14ac:dyDescent="0.2">
      <c r="A11171" t="str">
        <f t="shared" si="4040"/>
        <v>0613117644</v>
      </c>
      <c r="B11171" t="str">
        <f t="shared" si="4041"/>
        <v>ARLY</v>
      </c>
      <c r="C11171" t="str">
        <f t="shared" si="4042"/>
        <v>MELENDEZ</v>
      </c>
      <c r="D11171">
        <f>11</f>
        <v>11</v>
      </c>
      <c r="E11171" t="str">
        <f>"03 - A - 103 - Jordana K Hass"</f>
        <v>03 - A - 103 - Jordana K Hass</v>
      </c>
      <c r="F11171" t="str">
        <f>"CHEMISTRY 1"</f>
        <v>CHEMISTRY 1</v>
      </c>
      <c r="G11171" t="str">
        <f>"08-807"</f>
        <v>08-807</v>
      </c>
      <c r="H11171" t="str">
        <f>"A"</f>
        <v>A</v>
      </c>
    </row>
    <row r="11172" spans="1:8" x14ac:dyDescent="0.2">
      <c r="A11172" t="str">
        <f t="shared" si="4040"/>
        <v>0613117644</v>
      </c>
      <c r="B11172" t="str">
        <f t="shared" si="4041"/>
        <v>ARLY</v>
      </c>
      <c r="C11172" t="str">
        <f t="shared" si="4042"/>
        <v>MELENDEZ</v>
      </c>
      <c r="D11172">
        <f>11</f>
        <v>11</v>
      </c>
      <c r="E11172" t="str">
        <f>"02 - A - 103 - Kelly N Panza"</f>
        <v>02 - A - 103 - Kelly N Panza</v>
      </c>
      <c r="F11172" t="str">
        <f>"NC STUDY HALL 1"</f>
        <v>NC STUDY HALL 1</v>
      </c>
      <c r="G11172" t="str">
        <f>"17-1753"</f>
        <v>17-1753</v>
      </c>
      <c r="H11172" t="str">
        <f>"A"</f>
        <v>A</v>
      </c>
    </row>
    <row r="11173" spans="1:8" x14ac:dyDescent="0.2">
      <c r="A11173" t="str">
        <f t="shared" si="4040"/>
        <v>0613117644</v>
      </c>
      <c r="B11173" t="str">
        <f t="shared" si="4041"/>
        <v>ARLY</v>
      </c>
      <c r="C11173" t="str">
        <f t="shared" si="4042"/>
        <v>MELENDEZ</v>
      </c>
      <c r="D11173">
        <f>11</f>
        <v>11</v>
      </c>
      <c r="E11173" t="str">
        <f>"07 - B - 110 - Ferrie J Arostique"</f>
        <v>07 - B - 110 - Ferrie J Arostique</v>
      </c>
      <c r="F11173" t="str">
        <f>"GEOMETRY"</f>
        <v>GEOMETRY</v>
      </c>
      <c r="G11173" t="str">
        <f>"21-2139"</f>
        <v>21-2139</v>
      </c>
      <c r="H11173" t="str">
        <f>"B"</f>
        <v>B</v>
      </c>
    </row>
    <row r="11174" spans="1:8" x14ac:dyDescent="0.2">
      <c r="A11174" t="str">
        <f t="shared" si="4040"/>
        <v>0613117644</v>
      </c>
      <c r="B11174" t="str">
        <f t="shared" si="4041"/>
        <v>ARLY</v>
      </c>
      <c r="C11174" t="str">
        <f t="shared" si="4042"/>
        <v>MELENDEZ</v>
      </c>
      <c r="D11174">
        <f>11</f>
        <v>11</v>
      </c>
      <c r="E11174" t="str">
        <f>"05 - B - 203 - Chrystina M Marchionne"</f>
        <v>05 - B - 203 - Chrystina M Marchionne</v>
      </c>
      <c r="F11174" t="str">
        <f>"AICE MEDIASTUDIES AS"</f>
        <v>AICE MEDIASTUDIES AS</v>
      </c>
      <c r="G11174" t="str">
        <f>"05-520"</f>
        <v>05-520</v>
      </c>
      <c r="H11174" t="str">
        <f>"B"</f>
        <v>B</v>
      </c>
    </row>
    <row r="11175" spans="1:8" x14ac:dyDescent="0.2">
      <c r="A11175" t="str">
        <f t="shared" si="4040"/>
        <v>0613117644</v>
      </c>
      <c r="B11175" t="str">
        <f t="shared" si="4041"/>
        <v>ARLY</v>
      </c>
      <c r="C11175" t="str">
        <f t="shared" si="4042"/>
        <v>MELENDEZ</v>
      </c>
      <c r="D11175">
        <f>11</f>
        <v>11</v>
      </c>
      <c r="E11175" t="str">
        <f>"01 - A - 101 - Heidi M Knopp"</f>
        <v>01 - A - 101 - Heidi M Knopp</v>
      </c>
      <c r="F11175" t="str">
        <f>"ENG HON 3"</f>
        <v>ENG HON 3</v>
      </c>
      <c r="G11175" t="str">
        <f>"17-1752"</f>
        <v>17-1752</v>
      </c>
      <c r="H11175" t="str">
        <f>"A"</f>
        <v>A</v>
      </c>
    </row>
    <row r="11176" spans="1:8" x14ac:dyDescent="0.2">
      <c r="A11176" t="str">
        <f t="shared" si="4040"/>
        <v>0613117644</v>
      </c>
      <c r="B11176" t="str">
        <f t="shared" si="4041"/>
        <v>ARLY</v>
      </c>
      <c r="C11176" t="str">
        <f t="shared" si="4042"/>
        <v>MELENDEZ</v>
      </c>
      <c r="D11176">
        <f>11</f>
        <v>11</v>
      </c>
      <c r="E11176" t="str">
        <f>"08 - B - 109 - Lauren N Logan"</f>
        <v>08 - B - 109 - Lauren N Logan</v>
      </c>
      <c r="F11176" t="str">
        <f>"US HISTORY"</f>
        <v>US HISTORY</v>
      </c>
      <c r="G11176" t="str">
        <f>"17-1754"</f>
        <v>17-1754</v>
      </c>
      <c r="H11176" t="str">
        <f>"B"</f>
        <v>B</v>
      </c>
    </row>
    <row r="11177" spans="1:8" x14ac:dyDescent="0.2">
      <c r="A11177" t="str">
        <f t="shared" ref="A11177:A11184" si="4043">"0615064407"</f>
        <v>0615064407</v>
      </c>
      <c r="B11177" t="str">
        <f t="shared" ref="B11177:B11184" si="4044">"ISAHIAH"</f>
        <v>ISAHIAH</v>
      </c>
      <c r="C11177" t="str">
        <f t="shared" si="4042"/>
        <v>MELENDEZ</v>
      </c>
      <c r="D11177">
        <f>12</f>
        <v>12</v>
      </c>
      <c r="E11177" t="str">
        <f>"04 - A - 205 - Jacqueline R Morphet"</f>
        <v>04 - A - 205 - Jacqueline R Morphet</v>
      </c>
      <c r="F11177" t="str">
        <f>"PHYSICS 1 HON"</f>
        <v>PHYSICS 1 HON</v>
      </c>
      <c r="G11177" t="str">
        <f>"21-2138"</f>
        <v>21-2138</v>
      </c>
      <c r="H11177" t="str">
        <f>"A"</f>
        <v>A</v>
      </c>
    </row>
    <row r="11178" spans="1:8" x14ac:dyDescent="0.2">
      <c r="A11178" t="str">
        <f t="shared" si="4043"/>
        <v>0615064407</v>
      </c>
      <c r="B11178" t="str">
        <f t="shared" si="4044"/>
        <v>ISAHIAH</v>
      </c>
      <c r="C11178" t="str">
        <f t="shared" si="4042"/>
        <v>MELENDEZ</v>
      </c>
      <c r="D11178">
        <f>12</f>
        <v>12</v>
      </c>
      <c r="E11178" t="str">
        <f>"06 - B - 103 - Stefanie S Scher"</f>
        <v>06 - B - 103 - Stefanie S Scher</v>
      </c>
      <c r="F11178" t="str">
        <f>"NC STUDY HALL 1"</f>
        <v>NC STUDY HALL 1</v>
      </c>
      <c r="G11178" t="str">
        <f>"17-1735"</f>
        <v>17-1735</v>
      </c>
      <c r="H11178" t="str">
        <f>"B"</f>
        <v>B</v>
      </c>
    </row>
    <row r="11179" spans="1:8" x14ac:dyDescent="0.2">
      <c r="A11179" t="str">
        <f t="shared" si="4043"/>
        <v>0615064407</v>
      </c>
      <c r="B11179" t="str">
        <f t="shared" si="4044"/>
        <v>ISAHIAH</v>
      </c>
      <c r="C11179" t="str">
        <f t="shared" si="4042"/>
        <v>MELENDEZ</v>
      </c>
      <c r="D11179">
        <f>12</f>
        <v>12</v>
      </c>
      <c r="E11179" t="str">
        <f>"03 - A - 101 - Lourivaldo  Da Silva"</f>
        <v>03 - A - 101 - Lourivaldo  Da Silva</v>
      </c>
      <c r="F11179" t="str">
        <f>"AP STAT"</f>
        <v>AP STAT</v>
      </c>
      <c r="G11179" t="str">
        <f>"20-2079"</f>
        <v>20-2079</v>
      </c>
      <c r="H11179" t="str">
        <f>"A"</f>
        <v>A</v>
      </c>
    </row>
    <row r="11180" spans="1:8" x14ac:dyDescent="0.2">
      <c r="A11180" t="str">
        <f t="shared" si="4043"/>
        <v>0615064407</v>
      </c>
      <c r="B11180" t="str">
        <f t="shared" si="4044"/>
        <v>ISAHIAH</v>
      </c>
      <c r="C11180" t="str">
        <f t="shared" si="4042"/>
        <v>MELENDEZ</v>
      </c>
      <c r="D11180">
        <f>12</f>
        <v>12</v>
      </c>
      <c r="E11180" t="str">
        <f>"02 - S1 - A - 101 - James H Mccann"</f>
        <v>02 - S1 - A - 101 - James H Mccann</v>
      </c>
      <c r="F11180" t="str">
        <f>"PERS FIN &amp; MON MGT H"</f>
        <v>PERS FIN &amp; MON MGT H</v>
      </c>
      <c r="G11180" t="str">
        <f>"17-1716"</f>
        <v>17-1716</v>
      </c>
      <c r="H11180" t="str">
        <f>"A"</f>
        <v>A</v>
      </c>
    </row>
    <row r="11181" spans="1:8" x14ac:dyDescent="0.2">
      <c r="A11181" t="str">
        <f t="shared" si="4043"/>
        <v>0615064407</v>
      </c>
      <c r="B11181" t="str">
        <f t="shared" si="4044"/>
        <v>ISAHIAH</v>
      </c>
      <c r="C11181" t="str">
        <f t="shared" si="4042"/>
        <v>MELENDEZ</v>
      </c>
      <c r="D11181">
        <f>12</f>
        <v>12</v>
      </c>
      <c r="E11181" t="str">
        <f>"07 - B - 201 - Angela S Adeshina-Morrison"</f>
        <v>07 - B - 201 - Angela S Adeshina-Morrison</v>
      </c>
      <c r="F11181" t="str">
        <f>"BUSINESS OWNER HON"</f>
        <v>BUSINESS OWNER HON</v>
      </c>
      <c r="G11181" t="str">
        <f>"05-518"</f>
        <v>05-518</v>
      </c>
      <c r="H11181" t="str">
        <f>"B"</f>
        <v>B</v>
      </c>
    </row>
    <row r="11182" spans="1:8" x14ac:dyDescent="0.2">
      <c r="A11182" t="str">
        <f t="shared" si="4043"/>
        <v>0615064407</v>
      </c>
      <c r="B11182" t="str">
        <f t="shared" si="4044"/>
        <v>ISAHIAH</v>
      </c>
      <c r="C11182" t="str">
        <f t="shared" si="4042"/>
        <v>MELENDEZ</v>
      </c>
      <c r="D11182">
        <f>12</f>
        <v>12</v>
      </c>
      <c r="E11182" t="str">
        <f>"05 - S1 - B - 102 - Barbara L Segal"</f>
        <v>05 - S1 - B - 102 - Barbara L Segal</v>
      </c>
      <c r="F11182" t="str">
        <f>"US GOVT HON"</f>
        <v>US GOVT HON</v>
      </c>
      <c r="G11182" t="str">
        <f>"17-1742"</f>
        <v>17-1742</v>
      </c>
      <c r="H11182" t="str">
        <f>"B"</f>
        <v>B</v>
      </c>
    </row>
    <row r="11183" spans="1:8" x14ac:dyDescent="0.2">
      <c r="A11183" t="str">
        <f t="shared" si="4043"/>
        <v>0615064407</v>
      </c>
      <c r="B11183" t="str">
        <f t="shared" si="4044"/>
        <v>ISAHIAH</v>
      </c>
      <c r="C11183" t="str">
        <f t="shared" si="4042"/>
        <v>MELENDEZ</v>
      </c>
      <c r="D11183">
        <f>12</f>
        <v>12</v>
      </c>
      <c r="E11183" t="str">
        <f>"01 - A - 101 - Angela S Adeshina-Morrison"</f>
        <v>01 - A - 101 - Angela S Adeshina-Morrison</v>
      </c>
      <c r="F11183" t="str">
        <f>"MARKETING ESSENTIALS"</f>
        <v>MARKETING ESSENTIALS</v>
      </c>
      <c r="G11183" t="str">
        <f>"05-518"</f>
        <v>05-518</v>
      </c>
      <c r="H11183" t="str">
        <f>"A"</f>
        <v>A</v>
      </c>
    </row>
    <row r="11184" spans="1:8" x14ac:dyDescent="0.2">
      <c r="A11184" t="str">
        <f t="shared" si="4043"/>
        <v>0615064407</v>
      </c>
      <c r="B11184" t="str">
        <f t="shared" si="4044"/>
        <v>ISAHIAH</v>
      </c>
      <c r="C11184" t="str">
        <f t="shared" si="4042"/>
        <v>MELENDEZ</v>
      </c>
      <c r="D11184">
        <f>12</f>
        <v>12</v>
      </c>
      <c r="E11184" t="str">
        <f>"08 - B - 203 - Courtney E Hambright"</f>
        <v>08 - B - 203 - Courtney E Hambright</v>
      </c>
      <c r="F11184" t="str">
        <f>"AP ENG LIT COMPO"</f>
        <v>AP ENG LIT COMPO</v>
      </c>
      <c r="G11184" t="str">
        <f>"17-1711"</f>
        <v>17-1711</v>
      </c>
      <c r="H11184" t="str">
        <f>"B"</f>
        <v>B</v>
      </c>
    </row>
    <row r="11185" spans="1:8" x14ac:dyDescent="0.2">
      <c r="A11185" t="str">
        <f t="shared" ref="A11185:A11192" si="4045">"0616077598"</f>
        <v>0616077598</v>
      </c>
      <c r="B11185" t="str">
        <f t="shared" ref="B11185:B11192" si="4046">"XAIA"</f>
        <v>XAIA</v>
      </c>
      <c r="C11185" t="str">
        <f t="shared" si="4042"/>
        <v>MELENDEZ</v>
      </c>
      <c r="D11185">
        <f>10</f>
        <v>10</v>
      </c>
      <c r="E11185" t="str">
        <f>"04 - A - 104 - Courtney E Hambright"</f>
        <v>04 - A - 104 - Courtney E Hambright</v>
      </c>
      <c r="F11185" t="str">
        <f>"AICE ENG LANG AS"</f>
        <v>AICE ENG LANG AS</v>
      </c>
      <c r="G11185" t="str">
        <f>"17-1711"</f>
        <v>17-1711</v>
      </c>
      <c r="H11185" t="str">
        <f>"A"</f>
        <v>A</v>
      </c>
    </row>
    <row r="11186" spans="1:8" x14ac:dyDescent="0.2">
      <c r="A11186" t="str">
        <f t="shared" si="4045"/>
        <v>0616077598</v>
      </c>
      <c r="B11186" t="str">
        <f t="shared" si="4046"/>
        <v>XAIA</v>
      </c>
      <c r="C11186" t="str">
        <f t="shared" si="4042"/>
        <v>MELENDEZ</v>
      </c>
      <c r="D11186">
        <f>10</f>
        <v>10</v>
      </c>
      <c r="E11186" t="str">
        <f>"06 - B - 113 - Joe  Kilpatrick Jr"</f>
        <v>06 - B - 113 - Joe  Kilpatrick Jr</v>
      </c>
      <c r="F11186" t="str">
        <f>"NC STUDY HALL 1"</f>
        <v>NC STUDY HALL 1</v>
      </c>
      <c r="G11186" t="str">
        <f>"09-912"</f>
        <v>09-912</v>
      </c>
      <c r="H11186" t="str">
        <f>"B"</f>
        <v>B</v>
      </c>
    </row>
    <row r="11187" spans="1:8" x14ac:dyDescent="0.2">
      <c r="A11187" t="str">
        <f t="shared" si="4045"/>
        <v>0616077598</v>
      </c>
      <c r="B11187" t="str">
        <f t="shared" si="4046"/>
        <v>XAIA</v>
      </c>
      <c r="C11187" t="str">
        <f t="shared" si="4042"/>
        <v>MELENDEZ</v>
      </c>
      <c r="D11187">
        <f>10</f>
        <v>10</v>
      </c>
      <c r="E11187" t="str">
        <f>"03 - A - 101 - Rosa Elaine  Collado-Duff"</f>
        <v>03 - A - 101 - Rosa Elaine  Collado-Duff</v>
      </c>
      <c r="F11187" t="str">
        <f>"SPANISH 3 HON"</f>
        <v>SPANISH 3 HON</v>
      </c>
      <c r="G11187" t="str">
        <f>"09-913"</f>
        <v>09-913</v>
      </c>
      <c r="H11187" t="str">
        <f>"A"</f>
        <v>A</v>
      </c>
    </row>
    <row r="11188" spans="1:8" x14ac:dyDescent="0.2">
      <c r="A11188" t="str">
        <f t="shared" si="4045"/>
        <v>0616077598</v>
      </c>
      <c r="B11188" t="str">
        <f t="shared" si="4046"/>
        <v>XAIA</v>
      </c>
      <c r="C11188" t="str">
        <f t="shared" si="4042"/>
        <v>MELENDEZ</v>
      </c>
      <c r="D11188">
        <f>10</f>
        <v>10</v>
      </c>
      <c r="E11188" t="str">
        <f>"02 - A - 202 - Daniel S Tyson"</f>
        <v>02 - A - 202 - Daniel S Tyson</v>
      </c>
      <c r="F11188" t="str">
        <f>"JROTC NAVAL SCI 2"</f>
        <v>JROTC NAVAL SCI 2</v>
      </c>
      <c r="G11188" t="str">
        <f>"05-510"</f>
        <v>05-510</v>
      </c>
      <c r="H11188" t="str">
        <f>"A"</f>
        <v>A</v>
      </c>
    </row>
    <row r="11189" spans="1:8" x14ac:dyDescent="0.2">
      <c r="A11189" t="str">
        <f t="shared" si="4045"/>
        <v>0616077598</v>
      </c>
      <c r="B11189" t="str">
        <f t="shared" si="4046"/>
        <v>XAIA</v>
      </c>
      <c r="C11189" t="str">
        <f t="shared" si="4042"/>
        <v>MELENDEZ</v>
      </c>
      <c r="D11189">
        <f>10</f>
        <v>10</v>
      </c>
      <c r="E11189" t="str">
        <f>"07 - B - 107 - Brook E Goren"</f>
        <v>07 - B - 107 - Brook E Goren</v>
      </c>
      <c r="F11189" t="str">
        <f>"PRE-AICE MATH 2 IG"</f>
        <v>PRE-AICE MATH 2 IG</v>
      </c>
      <c r="G11189" t="str">
        <f>"21-2158"</f>
        <v>21-2158</v>
      </c>
      <c r="H11189" t="str">
        <f>"B"</f>
        <v>B</v>
      </c>
    </row>
    <row r="11190" spans="1:8" x14ac:dyDescent="0.2">
      <c r="A11190" t="str">
        <f t="shared" si="4045"/>
        <v>0616077598</v>
      </c>
      <c r="B11190" t="str">
        <f t="shared" si="4046"/>
        <v>XAIA</v>
      </c>
      <c r="C11190" t="str">
        <f t="shared" si="4042"/>
        <v>MELENDEZ</v>
      </c>
      <c r="D11190">
        <f>10</f>
        <v>10</v>
      </c>
      <c r="E11190" t="str">
        <f>"05 - S1 - B - 102 - Lissa C Frederique"</f>
        <v>05 - S1 - B - 102 - Lissa C Frederique</v>
      </c>
      <c r="F11190" t="str">
        <f>"PERS FIN &amp; MON MGT H"</f>
        <v>PERS FIN &amp; MON MGT H</v>
      </c>
      <c r="G11190" t="str">
        <f>"17-1754"</f>
        <v>17-1754</v>
      </c>
      <c r="H11190" t="str">
        <f>"B"</f>
        <v>B</v>
      </c>
    </row>
    <row r="11191" spans="1:8" x14ac:dyDescent="0.2">
      <c r="A11191" t="str">
        <f t="shared" si="4045"/>
        <v>0616077598</v>
      </c>
      <c r="B11191" t="str">
        <f t="shared" si="4046"/>
        <v>XAIA</v>
      </c>
      <c r="C11191" t="str">
        <f t="shared" si="4042"/>
        <v>MELENDEZ</v>
      </c>
      <c r="D11191">
        <f>10</f>
        <v>10</v>
      </c>
      <c r="E11191" t="str">
        <f>"01 - A - 001 - Lenecy  Nodarse"</f>
        <v>01 - A - 001 - Lenecy  Nodarse</v>
      </c>
      <c r="F11191" t="str">
        <f>"AICE EURO HIST 1 AS"</f>
        <v>AICE EURO HIST 1 AS</v>
      </c>
      <c r="G11191" t="str">
        <f>"17-1741"</f>
        <v>17-1741</v>
      </c>
      <c r="H11191" t="str">
        <f>"A"</f>
        <v>A</v>
      </c>
    </row>
    <row r="11192" spans="1:8" x14ac:dyDescent="0.2">
      <c r="A11192" t="str">
        <f t="shared" si="4045"/>
        <v>0616077598</v>
      </c>
      <c r="B11192" t="str">
        <f t="shared" si="4046"/>
        <v>XAIA</v>
      </c>
      <c r="C11192" t="str">
        <f t="shared" si="4042"/>
        <v>MELENDEZ</v>
      </c>
      <c r="D11192">
        <f>10</f>
        <v>10</v>
      </c>
      <c r="E11192" t="str">
        <f>"08 - B - 102 - Josiah I Lacy"</f>
        <v>08 - B - 102 - Josiah I Lacy</v>
      </c>
      <c r="F11192" t="str">
        <f>"ANAT PHYSIO HON"</f>
        <v>ANAT PHYSIO HON</v>
      </c>
      <c r="G11192" t="str">
        <f>"08-801"</f>
        <v>08-801</v>
      </c>
      <c r="H11192" t="str">
        <f>"B"</f>
        <v>B</v>
      </c>
    </row>
    <row r="11193" spans="1:8" x14ac:dyDescent="0.2">
      <c r="A11193" t="str">
        <f t="shared" ref="A11193:A11200" si="4047">"0613099356"</f>
        <v>0613099356</v>
      </c>
      <c r="B11193" t="str">
        <f t="shared" ref="B11193:B11200" si="4048">"STEPHEN"</f>
        <v>STEPHEN</v>
      </c>
      <c r="C11193" t="str">
        <f t="shared" ref="C11193:C11200" si="4049">"MELLETT"</f>
        <v>MELLETT</v>
      </c>
      <c r="D11193">
        <f>12</f>
        <v>12</v>
      </c>
      <c r="E11193" t="str">
        <f>"04 - S1 - A - 101 - Barbara L Segal"</f>
        <v>04 - S1 - A - 101 - Barbara L Segal</v>
      </c>
      <c r="F11193" t="str">
        <f>"AP US GOVT/POL"</f>
        <v>AP US GOVT/POL</v>
      </c>
      <c r="G11193" t="str">
        <f>"17-1742"</f>
        <v>17-1742</v>
      </c>
      <c r="H11193" t="str">
        <f>"A"</f>
        <v>A</v>
      </c>
    </row>
    <row r="11194" spans="1:8" x14ac:dyDescent="0.2">
      <c r="A11194" t="str">
        <f t="shared" si="4047"/>
        <v>0613099356</v>
      </c>
      <c r="B11194" t="str">
        <f t="shared" si="4048"/>
        <v>STEPHEN</v>
      </c>
      <c r="C11194" t="str">
        <f t="shared" si="4049"/>
        <v>MELLETT</v>
      </c>
      <c r="D11194">
        <f>12</f>
        <v>12</v>
      </c>
      <c r="E11194" t="str">
        <f>"06 - B - 105 - Robyn L Trainer"</f>
        <v>06 - B - 105 - Robyn L Trainer</v>
      </c>
      <c r="F11194" t="str">
        <f>"NC STUDY HALL 1"</f>
        <v>NC STUDY HALL 1</v>
      </c>
      <c r="G11194" t="str">
        <f>"17-1734"</f>
        <v>17-1734</v>
      </c>
      <c r="H11194" t="str">
        <f>"B"</f>
        <v>B</v>
      </c>
    </row>
    <row r="11195" spans="1:8" x14ac:dyDescent="0.2">
      <c r="A11195" t="str">
        <f t="shared" si="4047"/>
        <v>0613099356</v>
      </c>
      <c r="B11195" t="str">
        <f t="shared" si="4048"/>
        <v>STEPHEN</v>
      </c>
      <c r="C11195" t="str">
        <f t="shared" si="4049"/>
        <v>MELLETT</v>
      </c>
      <c r="D11195">
        <f>12</f>
        <v>12</v>
      </c>
      <c r="E11195" t="str">
        <f>"03 - A - 101 - Lourivaldo  Da Silva"</f>
        <v>03 - A - 101 - Lourivaldo  Da Silva</v>
      </c>
      <c r="F11195" t="str">
        <f>"AP STAT"</f>
        <v>AP STAT</v>
      </c>
      <c r="G11195" t="str">
        <f>"20-2079"</f>
        <v>20-2079</v>
      </c>
      <c r="H11195" t="str">
        <f>"A"</f>
        <v>A</v>
      </c>
    </row>
    <row r="11196" spans="1:8" x14ac:dyDescent="0.2">
      <c r="A11196" t="str">
        <f t="shared" si="4047"/>
        <v>0613099356</v>
      </c>
      <c r="B11196" t="str">
        <f t="shared" si="4048"/>
        <v>STEPHEN</v>
      </c>
      <c r="C11196" t="str">
        <f t="shared" si="4049"/>
        <v>MELLETT</v>
      </c>
      <c r="D11196">
        <f>12</f>
        <v>12</v>
      </c>
      <c r="E11196" t="str">
        <f>"02 - A - 201 - Jeanne M Bermudez"</f>
        <v>02 - A - 201 - Jeanne M Bermudez</v>
      </c>
      <c r="F11196" t="str">
        <f>"AP ENV SCI"</f>
        <v>AP ENV SCI</v>
      </c>
      <c r="G11196" t="str">
        <f>"21-2141"</f>
        <v>21-2141</v>
      </c>
      <c r="H11196" t="str">
        <f>"A"</f>
        <v>A</v>
      </c>
    </row>
    <row r="11197" spans="1:8" x14ac:dyDescent="0.2">
      <c r="A11197" t="str">
        <f t="shared" si="4047"/>
        <v>0613099356</v>
      </c>
      <c r="B11197" t="str">
        <f t="shared" si="4048"/>
        <v>STEPHEN</v>
      </c>
      <c r="C11197" t="str">
        <f t="shared" si="4049"/>
        <v>MELLETT</v>
      </c>
      <c r="D11197">
        <f>12</f>
        <v>12</v>
      </c>
      <c r="E11197" t="str">
        <f>"07 - B - 204 - Stefanie S Scher"</f>
        <v>07 - B - 204 - Stefanie S Scher</v>
      </c>
      <c r="F11197" t="str">
        <f>"AP PSYCH"</f>
        <v>AP PSYCH</v>
      </c>
      <c r="G11197" t="str">
        <f>"17-1735"</f>
        <v>17-1735</v>
      </c>
      <c r="H11197" t="str">
        <f>"B"</f>
        <v>B</v>
      </c>
    </row>
    <row r="11198" spans="1:8" x14ac:dyDescent="0.2">
      <c r="A11198" t="str">
        <f t="shared" si="4047"/>
        <v>0613099356</v>
      </c>
      <c r="B11198" t="str">
        <f t="shared" si="4048"/>
        <v>STEPHEN</v>
      </c>
      <c r="C11198" t="str">
        <f t="shared" si="4049"/>
        <v>MELLETT</v>
      </c>
      <c r="D11198">
        <f>12</f>
        <v>12</v>
      </c>
      <c r="E11198" t="str">
        <f>"05 - S1 - B - 102 - Richard E Dunbar Iii"</f>
        <v>05 - S1 - B - 102 - Richard E Dunbar Iii</v>
      </c>
      <c r="F11198" t="str">
        <f>"TEAM SPORTS 1"</f>
        <v>TEAM SPORTS 1</v>
      </c>
      <c r="G11198" t="str">
        <f>"04-254"</f>
        <v>04-254</v>
      </c>
      <c r="H11198" t="str">
        <f>"B"</f>
        <v>B</v>
      </c>
    </row>
    <row r="11199" spans="1:8" x14ac:dyDescent="0.2">
      <c r="A11199" t="str">
        <f t="shared" si="4047"/>
        <v>0613099356</v>
      </c>
      <c r="B11199" t="str">
        <f t="shared" si="4048"/>
        <v>STEPHEN</v>
      </c>
      <c r="C11199" t="str">
        <f t="shared" si="4049"/>
        <v>MELLETT</v>
      </c>
      <c r="D11199">
        <f>12</f>
        <v>12</v>
      </c>
      <c r="E11199" t="str">
        <f>"01 - A - 204 - Tina M Jaramillo"</f>
        <v>01 - A - 204 - Tina M Jaramillo</v>
      </c>
      <c r="F11199" t="str">
        <f>"AP ENG LIT COMPO"</f>
        <v>AP ENG LIT COMPO</v>
      </c>
      <c r="G11199" t="str">
        <f>"17-1706"</f>
        <v>17-1706</v>
      </c>
      <c r="H11199" t="str">
        <f>"A"</f>
        <v>A</v>
      </c>
    </row>
    <row r="11200" spans="1:8" x14ac:dyDescent="0.2">
      <c r="A11200" t="str">
        <f t="shared" si="4047"/>
        <v>0613099356</v>
      </c>
      <c r="B11200" t="str">
        <f t="shared" si="4048"/>
        <v>STEPHEN</v>
      </c>
      <c r="C11200" t="str">
        <f t="shared" si="4049"/>
        <v>MELLETT</v>
      </c>
      <c r="D11200">
        <f>12</f>
        <v>12</v>
      </c>
      <c r="E11200" t="str">
        <f>"08 - B - 102 - Lisa J London"</f>
        <v>08 - B - 102 - Lisa J London</v>
      </c>
      <c r="F11200" t="str">
        <f>"AP CAPSTONE RESEARCH"</f>
        <v>AP CAPSTONE RESEARCH</v>
      </c>
      <c r="G11200" t="str">
        <f>"17-1714"</f>
        <v>17-1714</v>
      </c>
      <c r="H11200" t="str">
        <f>"B"</f>
        <v>B</v>
      </c>
    </row>
    <row r="11201" spans="1:8" x14ac:dyDescent="0.2">
      <c r="A11201" t="str">
        <f t="shared" ref="A11201:A11208" si="4050">"0615141558"</f>
        <v>0615141558</v>
      </c>
      <c r="B11201" t="str">
        <f t="shared" ref="B11201:B11208" si="4051">"SEAN"</f>
        <v>SEAN</v>
      </c>
      <c r="C11201" t="str">
        <f t="shared" ref="C11201:C11208" si="4052">"MELLINGER"</f>
        <v>MELLINGER</v>
      </c>
      <c r="D11201">
        <f>10</f>
        <v>10</v>
      </c>
      <c r="E11201" t="str">
        <f>"04 - A - 103 - Daniel S Tyson"</f>
        <v>04 - A - 103 - Daniel S Tyson</v>
      </c>
      <c r="F11201" t="str">
        <f>"JROTC NAVAL SCI 1"</f>
        <v>JROTC NAVAL SCI 1</v>
      </c>
      <c r="G11201" t="str">
        <f>"05-510"</f>
        <v>05-510</v>
      </c>
      <c r="H11201" t="str">
        <f>"A"</f>
        <v>A</v>
      </c>
    </row>
    <row r="11202" spans="1:8" x14ac:dyDescent="0.2">
      <c r="A11202" t="str">
        <f t="shared" si="4050"/>
        <v>0615141558</v>
      </c>
      <c r="B11202" t="str">
        <f t="shared" si="4051"/>
        <v>SEAN</v>
      </c>
      <c r="C11202" t="str">
        <f t="shared" si="4052"/>
        <v>MELLINGER</v>
      </c>
      <c r="D11202">
        <f>10</f>
        <v>10</v>
      </c>
      <c r="E11202" t="str">
        <f>"06 - B - 119 - Nikiel  Nesbeth"</f>
        <v>06 - B - 119 - Nikiel  Nesbeth</v>
      </c>
      <c r="F11202" t="str">
        <f>"NC STUDY HALL 1"</f>
        <v>NC STUDY HALL 1</v>
      </c>
      <c r="G11202" t="str">
        <f>"17-1705"</f>
        <v>17-1705</v>
      </c>
      <c r="H11202" t="str">
        <f>"B"</f>
        <v>B</v>
      </c>
    </row>
    <row r="11203" spans="1:8" x14ac:dyDescent="0.2">
      <c r="A11203" t="str">
        <f t="shared" si="4050"/>
        <v>0615141558</v>
      </c>
      <c r="B11203" t="str">
        <f t="shared" si="4051"/>
        <v>SEAN</v>
      </c>
      <c r="C11203" t="str">
        <f t="shared" si="4052"/>
        <v>MELLINGER</v>
      </c>
      <c r="D11203">
        <f>10</f>
        <v>10</v>
      </c>
      <c r="E11203" t="str">
        <f>"03 - A - 103 - Jordana K Hass"</f>
        <v>03 - A - 103 - Jordana K Hass</v>
      </c>
      <c r="F11203" t="str">
        <f>"CHEMISTRY 1"</f>
        <v>CHEMISTRY 1</v>
      </c>
      <c r="G11203" t="str">
        <f>"08-807"</f>
        <v>08-807</v>
      </c>
      <c r="H11203" t="str">
        <f>"A"</f>
        <v>A</v>
      </c>
    </row>
    <row r="11204" spans="1:8" x14ac:dyDescent="0.2">
      <c r="A11204" t="str">
        <f t="shared" si="4050"/>
        <v>0615141558</v>
      </c>
      <c r="B11204" t="str">
        <f t="shared" si="4051"/>
        <v>SEAN</v>
      </c>
      <c r="C11204" t="str">
        <f t="shared" si="4052"/>
        <v>MELLINGER</v>
      </c>
      <c r="D11204">
        <f>10</f>
        <v>10</v>
      </c>
      <c r="E11204" t="str">
        <f>"02 - S1 - A - 101 - James H Mccann"</f>
        <v>02 - S1 - A - 101 - James H Mccann</v>
      </c>
      <c r="F11204" t="str">
        <f>"PERS FIN &amp; MON MGT H"</f>
        <v>PERS FIN &amp; MON MGT H</v>
      </c>
      <c r="G11204" t="str">
        <f>"17-1716"</f>
        <v>17-1716</v>
      </c>
      <c r="H11204" t="str">
        <f>"A"</f>
        <v>A</v>
      </c>
    </row>
    <row r="11205" spans="1:8" x14ac:dyDescent="0.2">
      <c r="A11205" t="str">
        <f t="shared" si="4050"/>
        <v>0615141558</v>
      </c>
      <c r="B11205" t="str">
        <f t="shared" si="4051"/>
        <v>SEAN</v>
      </c>
      <c r="C11205" t="str">
        <f t="shared" si="4052"/>
        <v>MELLINGER</v>
      </c>
      <c r="D11205">
        <f>10</f>
        <v>10</v>
      </c>
      <c r="E11205" t="str">
        <f>"07 - B - 102 - Nikiel  Nesbeth"</f>
        <v>07 - B - 102 - Nikiel  Nesbeth</v>
      </c>
      <c r="F11205" t="str">
        <f>"PRE-AICE ENG LIT IG"</f>
        <v>PRE-AICE ENG LIT IG</v>
      </c>
      <c r="G11205" t="str">
        <f>"17-1705"</f>
        <v>17-1705</v>
      </c>
      <c r="H11205" t="str">
        <f>"B"</f>
        <v>B</v>
      </c>
    </row>
    <row r="11206" spans="1:8" x14ac:dyDescent="0.2">
      <c r="A11206" t="str">
        <f t="shared" si="4050"/>
        <v>0615141558</v>
      </c>
      <c r="B11206" t="str">
        <f t="shared" si="4051"/>
        <v>SEAN</v>
      </c>
      <c r="C11206" t="str">
        <f t="shared" si="4052"/>
        <v>MELLINGER</v>
      </c>
      <c r="D11206">
        <f>10</f>
        <v>10</v>
      </c>
      <c r="E11206" t="str">
        <f>"05 - B - 103 - Brook E Goren"</f>
        <v>05 - B - 103 - Brook E Goren</v>
      </c>
      <c r="F11206" t="str">
        <f>"PRE-AICE MATH 2 IG"</f>
        <v>PRE-AICE MATH 2 IG</v>
      </c>
      <c r="G11206" t="str">
        <f>"21-2158"</f>
        <v>21-2158</v>
      </c>
      <c r="H11206" t="str">
        <f>"B"</f>
        <v>B</v>
      </c>
    </row>
    <row r="11207" spans="1:8" x14ac:dyDescent="0.2">
      <c r="A11207" t="str">
        <f t="shared" si="4050"/>
        <v>0615141558</v>
      </c>
      <c r="B11207" t="str">
        <f t="shared" si="4051"/>
        <v>SEAN</v>
      </c>
      <c r="C11207" t="str">
        <f t="shared" si="4052"/>
        <v>MELLINGER</v>
      </c>
      <c r="D11207">
        <f>10</f>
        <v>10</v>
      </c>
      <c r="E11207" t="str">
        <f>"01 - A - 504 - Alejandro  Navarro"</f>
        <v>01 - A - 504 - Alejandro  Navarro</v>
      </c>
      <c r="F11207" t="str">
        <f>"BAND 1"</f>
        <v>BAND 1</v>
      </c>
      <c r="G11207" t="str">
        <f>"05-504"</f>
        <v>05-504</v>
      </c>
      <c r="H11207" t="str">
        <f>"A"</f>
        <v>A</v>
      </c>
    </row>
    <row r="11208" spans="1:8" x14ac:dyDescent="0.2">
      <c r="A11208" t="str">
        <f t="shared" si="4050"/>
        <v>0615141558</v>
      </c>
      <c r="B11208" t="str">
        <f t="shared" si="4051"/>
        <v>SEAN</v>
      </c>
      <c r="C11208" t="str">
        <f t="shared" si="4052"/>
        <v>MELLINGER</v>
      </c>
      <c r="D11208">
        <f>10</f>
        <v>10</v>
      </c>
      <c r="E11208" t="str">
        <f>"08 - B - 103 - Joe  Kilpatrick Jr"</f>
        <v>08 - B - 103 - Joe  Kilpatrick Jr</v>
      </c>
      <c r="F11208" t="str">
        <f>"PRE-AICE SPAN 2 IG"</f>
        <v>PRE-AICE SPAN 2 IG</v>
      </c>
      <c r="G11208" t="str">
        <f>"09-912"</f>
        <v>09-912</v>
      </c>
      <c r="H11208" t="str">
        <f>"B"</f>
        <v>B</v>
      </c>
    </row>
    <row r="11209" spans="1:8" x14ac:dyDescent="0.2">
      <c r="A11209" t="str">
        <f t="shared" ref="A11209:A11216" si="4053">"0615075316"</f>
        <v>0615075316</v>
      </c>
      <c r="B11209" t="str">
        <f t="shared" ref="B11209:B11216" si="4054">"JAVON"</f>
        <v>JAVON</v>
      </c>
      <c r="C11209" t="str">
        <f t="shared" ref="C11209:C11216" si="4055">"MEME"</f>
        <v>MEME</v>
      </c>
      <c r="D11209">
        <f>11</f>
        <v>11</v>
      </c>
      <c r="E11209" t="str">
        <f>"04 - A - 102 - Jordana K Hass"</f>
        <v>04 - A - 102 - Jordana K Hass</v>
      </c>
      <c r="F11209" t="str">
        <f>"CHEMISTRY 1"</f>
        <v>CHEMISTRY 1</v>
      </c>
      <c r="G11209" t="str">
        <f>"08-807"</f>
        <v>08-807</v>
      </c>
      <c r="H11209" t="str">
        <f>"A"</f>
        <v>A</v>
      </c>
    </row>
    <row r="11210" spans="1:8" x14ac:dyDescent="0.2">
      <c r="A11210" t="str">
        <f t="shared" si="4053"/>
        <v>0615075316</v>
      </c>
      <c r="B11210" t="str">
        <f t="shared" si="4054"/>
        <v>JAVON</v>
      </c>
      <c r="C11210" t="str">
        <f t="shared" si="4055"/>
        <v>MEME</v>
      </c>
      <c r="D11210">
        <f>11</f>
        <v>11</v>
      </c>
      <c r="E11210" t="str">
        <f>"06 - B - 104 - Brandy N Zdenek"</f>
        <v>06 - B - 104 - Brandy N Zdenek</v>
      </c>
      <c r="F11210" t="str">
        <f>"AICE ENG LANG 2 AL"</f>
        <v>AICE ENG LANG 2 AL</v>
      </c>
      <c r="G11210" t="str">
        <f>"17-1704"</f>
        <v>17-1704</v>
      </c>
      <c r="H11210" t="str">
        <f>"B"</f>
        <v>B</v>
      </c>
    </row>
    <row r="11211" spans="1:8" x14ac:dyDescent="0.2">
      <c r="A11211" t="str">
        <f t="shared" si="4053"/>
        <v>0615075316</v>
      </c>
      <c r="B11211" t="str">
        <f t="shared" si="4054"/>
        <v>JAVON</v>
      </c>
      <c r="C11211" t="str">
        <f t="shared" si="4055"/>
        <v>MEME</v>
      </c>
      <c r="D11211">
        <f>11</f>
        <v>11</v>
      </c>
      <c r="E11211" t="str">
        <f>"03 - A - 106 - Jerry S Jiampetti"</f>
        <v>03 - A - 106 - Jerry S Jiampetti</v>
      </c>
      <c r="F11211" t="str">
        <f>"US HISTORY HON"</f>
        <v>US HISTORY HON</v>
      </c>
      <c r="G11211" t="str">
        <f>"17-1751"</f>
        <v>17-1751</v>
      </c>
      <c r="H11211" t="str">
        <f>"A"</f>
        <v>A</v>
      </c>
    </row>
    <row r="11212" spans="1:8" x14ac:dyDescent="0.2">
      <c r="A11212" t="str">
        <f t="shared" si="4053"/>
        <v>0615075316</v>
      </c>
      <c r="B11212" t="str">
        <f t="shared" si="4054"/>
        <v>JAVON</v>
      </c>
      <c r="C11212" t="str">
        <f t="shared" si="4055"/>
        <v>MEME</v>
      </c>
      <c r="D11212">
        <f>11</f>
        <v>11</v>
      </c>
      <c r="E11212" t="str">
        <f>"02 - A - 001 - Courtney E Hambright"</f>
        <v>02 - A - 001 - Courtney E Hambright</v>
      </c>
      <c r="F11212" t="str">
        <f>"NC STUDY HALL 1"</f>
        <v>NC STUDY HALL 1</v>
      </c>
      <c r="G11212" t="str">
        <f>"17-1711"</f>
        <v>17-1711</v>
      </c>
      <c r="H11212" t="str">
        <f>"A"</f>
        <v>A</v>
      </c>
    </row>
    <row r="11213" spans="1:8" x14ac:dyDescent="0.2">
      <c r="A11213" t="str">
        <f t="shared" si="4053"/>
        <v>0615075316</v>
      </c>
      <c r="B11213" t="str">
        <f t="shared" si="4054"/>
        <v>JAVON</v>
      </c>
      <c r="C11213" t="str">
        <f t="shared" si="4055"/>
        <v>MEME</v>
      </c>
      <c r="D11213">
        <f>11</f>
        <v>11</v>
      </c>
      <c r="E11213" t="str">
        <f>"07 - B - 102 - Timothy J Lawrence"</f>
        <v>07 - B - 102 - Timothy J Lawrence</v>
      </c>
      <c r="F11213" t="str">
        <f>"AICE PHYS ED 1 AS"</f>
        <v>AICE PHYS ED 1 AS</v>
      </c>
      <c r="G11213" t="str">
        <f>"05-523"</f>
        <v>05-523</v>
      </c>
      <c r="H11213" t="str">
        <f>"B"</f>
        <v>B</v>
      </c>
    </row>
    <row r="11214" spans="1:8" x14ac:dyDescent="0.2">
      <c r="A11214" t="str">
        <f t="shared" si="4053"/>
        <v>0615075316</v>
      </c>
      <c r="B11214" t="str">
        <f t="shared" si="4054"/>
        <v>JAVON</v>
      </c>
      <c r="C11214" t="str">
        <f t="shared" si="4055"/>
        <v>MEME</v>
      </c>
      <c r="D11214">
        <f>11</f>
        <v>11</v>
      </c>
      <c r="E11214" t="str">
        <f>"05 - B - 106 - Thomas G Handwerg"</f>
        <v>05 - B - 106 - Thomas G Handwerg</v>
      </c>
      <c r="F11214" t="str">
        <f>"MATH COLL ALGEBRA"</f>
        <v>MATH COLL ALGEBRA</v>
      </c>
      <c r="G11214" t="str">
        <f>"21-2146"</f>
        <v>21-2146</v>
      </c>
      <c r="H11214" t="str">
        <f>"B"</f>
        <v>B</v>
      </c>
    </row>
    <row r="11215" spans="1:8" x14ac:dyDescent="0.2">
      <c r="A11215" t="str">
        <f t="shared" si="4053"/>
        <v>0615075316</v>
      </c>
      <c r="B11215" t="str">
        <f t="shared" si="4054"/>
        <v>JAVON</v>
      </c>
      <c r="C11215" t="str">
        <f t="shared" si="4055"/>
        <v>MEME</v>
      </c>
      <c r="D11215">
        <f>11</f>
        <v>11</v>
      </c>
      <c r="E11215" t="str">
        <f>"01 - S1 - A - 101 - Richard E Dunbar Iii"</f>
        <v>01 - S1 - A - 101 - Richard E Dunbar Iii</v>
      </c>
      <c r="F11215" t="str">
        <f>"WEIGHT TRAIN 3"</f>
        <v>WEIGHT TRAIN 3</v>
      </c>
      <c r="G11215" t="str">
        <f>"05-501"</f>
        <v>05-501</v>
      </c>
      <c r="H11215" t="str">
        <f>"A"</f>
        <v>A</v>
      </c>
    </row>
    <row r="11216" spans="1:8" x14ac:dyDescent="0.2">
      <c r="A11216" t="str">
        <f t="shared" si="4053"/>
        <v>0615075316</v>
      </c>
      <c r="B11216" t="str">
        <f t="shared" si="4054"/>
        <v>JAVON</v>
      </c>
      <c r="C11216" t="str">
        <f t="shared" si="4055"/>
        <v>MEME</v>
      </c>
      <c r="D11216">
        <f>11</f>
        <v>11</v>
      </c>
      <c r="E11216" t="str">
        <f>"08 - B - 201 - Stacey A Blecker"</f>
        <v>08 - B - 201 - Stacey A Blecker</v>
      </c>
      <c r="F11216" t="str">
        <f>"AICE SOCIOLOGY 1 AS"</f>
        <v>AICE SOCIOLOGY 1 AS</v>
      </c>
      <c r="G11216" t="str">
        <f>"09-926"</f>
        <v>09-926</v>
      </c>
      <c r="H11216" t="str">
        <f>"B"</f>
        <v>B</v>
      </c>
    </row>
    <row r="11217" spans="1:8" x14ac:dyDescent="0.2">
      <c r="A11217" t="str">
        <f t="shared" ref="A11217:A11224" si="4056">"0619041632"</f>
        <v>0619041632</v>
      </c>
      <c r="B11217" t="str">
        <f t="shared" ref="B11217:B11224" si="4057">"VALENTINA"</f>
        <v>VALENTINA</v>
      </c>
      <c r="C11217" t="str">
        <f t="shared" ref="C11217:C11224" si="4058">"MENDEZ"</f>
        <v>MENDEZ</v>
      </c>
      <c r="D11217">
        <f>10</f>
        <v>10</v>
      </c>
      <c r="E11217" t="str">
        <f>"04 - A - 106 - Ferrie J Arostique"</f>
        <v>04 - A - 106 - Ferrie J Arostique</v>
      </c>
      <c r="F11217" t="str">
        <f>"PRE-AICE MATH 2 IG"</f>
        <v>PRE-AICE MATH 2 IG</v>
      </c>
      <c r="G11217" t="str">
        <f>"21-2139"</f>
        <v>21-2139</v>
      </c>
      <c r="H11217" t="str">
        <f>"A"</f>
        <v>A</v>
      </c>
    </row>
    <row r="11218" spans="1:8" x14ac:dyDescent="0.2">
      <c r="A11218" t="str">
        <f t="shared" si="4056"/>
        <v>0619041632</v>
      </c>
      <c r="B11218" t="str">
        <f t="shared" si="4057"/>
        <v>VALENTINA</v>
      </c>
      <c r="C11218" t="str">
        <f t="shared" si="4058"/>
        <v>MENDEZ</v>
      </c>
      <c r="D11218">
        <f>10</f>
        <v>10</v>
      </c>
      <c r="E11218" t="str">
        <f>"06 - B - 107 - Dorothy D Moore"</f>
        <v>06 - B - 107 - Dorothy D Moore</v>
      </c>
      <c r="F11218" t="str">
        <f>"NC STUDY HALL 1"</f>
        <v>NC STUDY HALL 1</v>
      </c>
      <c r="G11218" t="str">
        <f>"08-803"</f>
        <v>08-803</v>
      </c>
      <c r="H11218" t="str">
        <f>"B"</f>
        <v>B</v>
      </c>
    </row>
    <row r="11219" spans="1:8" x14ac:dyDescent="0.2">
      <c r="A11219" t="str">
        <f t="shared" si="4056"/>
        <v>0619041632</v>
      </c>
      <c r="B11219" t="str">
        <f t="shared" si="4057"/>
        <v>VALENTINA</v>
      </c>
      <c r="C11219" t="str">
        <f t="shared" si="4058"/>
        <v>MENDEZ</v>
      </c>
      <c r="D11219">
        <f>10</f>
        <v>10</v>
      </c>
      <c r="E11219" t="str">
        <f>"03 - A - 103 - Courtney E Hambright"</f>
        <v>03 - A - 103 - Courtney E Hambright</v>
      </c>
      <c r="F11219" t="str">
        <f>"AICE ENG LANG AS"</f>
        <v>AICE ENG LANG AS</v>
      </c>
      <c r="G11219" t="str">
        <f>"17-1711"</f>
        <v>17-1711</v>
      </c>
      <c r="H11219" t="str">
        <f>"A"</f>
        <v>A</v>
      </c>
    </row>
    <row r="11220" spans="1:8" x14ac:dyDescent="0.2">
      <c r="A11220" t="str">
        <f t="shared" si="4056"/>
        <v>0619041632</v>
      </c>
      <c r="B11220" t="str">
        <f t="shared" si="4057"/>
        <v>VALENTINA</v>
      </c>
      <c r="C11220" t="str">
        <f t="shared" si="4058"/>
        <v>MENDEZ</v>
      </c>
      <c r="D11220">
        <f>10</f>
        <v>10</v>
      </c>
      <c r="E11220" t="str">
        <f>"02 - S1 - A - 101 - Carol S Moore"</f>
        <v>02 - S1 - A - 101 - Carol S Moore</v>
      </c>
      <c r="F11220" t="str">
        <f>"PER CAR SCH DEV 1 LH"</f>
        <v>PER CAR SCH DEV 1 LH</v>
      </c>
      <c r="G11220" t="str">
        <f>"17-1733"</f>
        <v>17-1733</v>
      </c>
      <c r="H11220" t="str">
        <f>"A"</f>
        <v>A</v>
      </c>
    </row>
    <row r="11221" spans="1:8" x14ac:dyDescent="0.2">
      <c r="A11221" t="str">
        <f t="shared" si="4056"/>
        <v>0619041632</v>
      </c>
      <c r="B11221" t="str">
        <f t="shared" si="4057"/>
        <v>VALENTINA</v>
      </c>
      <c r="C11221" t="str">
        <f t="shared" si="4058"/>
        <v>MENDEZ</v>
      </c>
      <c r="D11221">
        <f>10</f>
        <v>10</v>
      </c>
      <c r="E11221" t="str">
        <f>"07 - B - 102 - Carleigh R Carmichael"</f>
        <v>07 - B - 102 - Carleigh R Carmichael</v>
      </c>
      <c r="F11221" t="str">
        <f>"LEAD SKLS DEV LH"</f>
        <v>LEAD SKLS DEV LH</v>
      </c>
      <c r="G11221" t="str">
        <f>"20-2072"</f>
        <v>20-2072</v>
      </c>
      <c r="H11221" t="str">
        <f>"B"</f>
        <v>B</v>
      </c>
    </row>
    <row r="11222" spans="1:8" x14ac:dyDescent="0.2">
      <c r="A11222" t="str">
        <f t="shared" si="4056"/>
        <v>0619041632</v>
      </c>
      <c r="B11222" t="str">
        <f t="shared" si="4057"/>
        <v>VALENTINA</v>
      </c>
      <c r="C11222" t="str">
        <f t="shared" si="4058"/>
        <v>MENDEZ</v>
      </c>
      <c r="D11222">
        <f>10</f>
        <v>10</v>
      </c>
      <c r="E11222" t="str">
        <f>"05 - B - 108 - Valerie J Ruwe"</f>
        <v>05 - B - 108 - Valerie J Ruwe</v>
      </c>
      <c r="F11222" t="str">
        <f>"CHEMISTRY 1 HON"</f>
        <v>CHEMISTRY 1 HON</v>
      </c>
      <c r="G11222" t="str">
        <f>"21-2138"</f>
        <v>21-2138</v>
      </c>
      <c r="H11222" t="str">
        <f>"B"</f>
        <v>B</v>
      </c>
    </row>
    <row r="11223" spans="1:8" x14ac:dyDescent="0.2">
      <c r="A11223" t="str">
        <f t="shared" si="4056"/>
        <v>0619041632</v>
      </c>
      <c r="B11223" t="str">
        <f t="shared" si="4057"/>
        <v>VALENTINA</v>
      </c>
      <c r="C11223" t="str">
        <f t="shared" si="4058"/>
        <v>MENDEZ</v>
      </c>
      <c r="D11223">
        <f>10</f>
        <v>10</v>
      </c>
      <c r="E11223" t="str">
        <f>"01 - A - 001 - Lenecy  Nodarse"</f>
        <v>01 - A - 001 - Lenecy  Nodarse</v>
      </c>
      <c r="F11223" t="str">
        <f>"AICE EURO HIST 1 AS"</f>
        <v>AICE EURO HIST 1 AS</v>
      </c>
      <c r="G11223" t="str">
        <f>"17-1741"</f>
        <v>17-1741</v>
      </c>
      <c r="H11223" t="str">
        <f>"A"</f>
        <v>A</v>
      </c>
    </row>
    <row r="11224" spans="1:8" x14ac:dyDescent="0.2">
      <c r="A11224" t="str">
        <f t="shared" si="4056"/>
        <v>0619041632</v>
      </c>
      <c r="B11224" t="str">
        <f t="shared" si="4057"/>
        <v>VALENTINA</v>
      </c>
      <c r="C11224" t="str">
        <f t="shared" si="4058"/>
        <v>MENDEZ</v>
      </c>
      <c r="D11224">
        <f>10</f>
        <v>10</v>
      </c>
      <c r="E11224" t="str">
        <f>"08 - B - 206 - Daniel S Katz"</f>
        <v>08 - B - 206 - Daniel S Katz</v>
      </c>
      <c r="F11224" t="str">
        <f>"AICE MEDIASTUDIES AS"</f>
        <v>AICE MEDIASTUDIES AS</v>
      </c>
      <c r="G11224" t="str">
        <f>"05-521"</f>
        <v>05-521</v>
      </c>
      <c r="H11224" t="str">
        <f>"B"</f>
        <v>B</v>
      </c>
    </row>
    <row r="11225" spans="1:8" x14ac:dyDescent="0.2">
      <c r="A11225" t="str">
        <f t="shared" ref="A11225:A11232" si="4059">"0614000511"</f>
        <v>0614000511</v>
      </c>
      <c r="B11225" t="str">
        <f t="shared" ref="B11225:B11232" si="4060">"JULIO"</f>
        <v>JULIO</v>
      </c>
      <c r="C11225" t="str">
        <f t="shared" ref="C11225:C11232" si="4061">"MENDEZ JR."</f>
        <v>MENDEZ JR.</v>
      </c>
      <c r="D11225">
        <f>12</f>
        <v>12</v>
      </c>
      <c r="E11225" t="str">
        <f>"04 - S1 - A - 106 - Kelly N Panza"</f>
        <v>04 - S1 - A - 106 - Kelly N Panza</v>
      </c>
      <c r="F11225" t="str">
        <f>"US GOVT HON"</f>
        <v>US GOVT HON</v>
      </c>
      <c r="G11225" t="str">
        <f>"17-1753"</f>
        <v>17-1753</v>
      </c>
      <c r="H11225" t="str">
        <f>"A"</f>
        <v>A</v>
      </c>
    </row>
    <row r="11226" spans="1:8" x14ac:dyDescent="0.2">
      <c r="A11226" t="str">
        <f t="shared" si="4059"/>
        <v>0614000511</v>
      </c>
      <c r="B11226" t="str">
        <f t="shared" si="4060"/>
        <v>JULIO</v>
      </c>
      <c r="C11226" t="str">
        <f t="shared" si="4061"/>
        <v>MENDEZ JR.</v>
      </c>
      <c r="D11226">
        <f>12</f>
        <v>12</v>
      </c>
      <c r="E11226" t="str">
        <f>"06 - B - 113 - Marielle A Witting"</f>
        <v>06 - B - 113 - Marielle A Witting</v>
      </c>
      <c r="F11226" t="str">
        <f>"NC STUDY HALL 1"</f>
        <v>NC STUDY HALL 1</v>
      </c>
      <c r="G11226" t="str">
        <f>"08-805"</f>
        <v>08-805</v>
      </c>
      <c r="H11226" t="str">
        <f>"B"</f>
        <v>B</v>
      </c>
    </row>
    <row r="11227" spans="1:8" x14ac:dyDescent="0.2">
      <c r="A11227" t="str">
        <f t="shared" si="4059"/>
        <v>0614000511</v>
      </c>
      <c r="B11227" t="str">
        <f t="shared" si="4060"/>
        <v>JULIO</v>
      </c>
      <c r="C11227" t="str">
        <f t="shared" si="4061"/>
        <v>MENDEZ JR.</v>
      </c>
      <c r="D11227">
        <f>12</f>
        <v>12</v>
      </c>
      <c r="E11227" t="str">
        <f>"03 - S1 - A - 102 - Angela S Adeshina-Morrison"</f>
        <v>03 - S1 - A - 102 - Angela S Adeshina-Morrison</v>
      </c>
      <c r="F11227" t="str">
        <f>"PEER COUN 1"</f>
        <v>PEER COUN 1</v>
      </c>
      <c r="G11227" t="str">
        <f>"05-518"</f>
        <v>05-518</v>
      </c>
      <c r="H11227" t="str">
        <f>"A"</f>
        <v>A</v>
      </c>
    </row>
    <row r="11228" spans="1:8" x14ac:dyDescent="0.2">
      <c r="A11228" t="str">
        <f t="shared" si="4059"/>
        <v>0614000511</v>
      </c>
      <c r="B11228" t="str">
        <f t="shared" si="4060"/>
        <v>JULIO</v>
      </c>
      <c r="C11228" t="str">
        <f t="shared" si="4061"/>
        <v>MENDEZ JR.</v>
      </c>
      <c r="D11228">
        <f>12</f>
        <v>12</v>
      </c>
      <c r="E11228" t="str">
        <f>"02 - A - 102 - Jeffrey S Gallagher"</f>
        <v>02 - A - 102 - Jeffrey S Gallagher</v>
      </c>
      <c r="F11228" t="str">
        <f>"ENG HON 4"</f>
        <v>ENG HON 4</v>
      </c>
      <c r="G11228" t="str">
        <f>"17-1724"</f>
        <v>17-1724</v>
      </c>
      <c r="H11228" t="str">
        <f>"A"</f>
        <v>A</v>
      </c>
    </row>
    <row r="11229" spans="1:8" x14ac:dyDescent="0.2">
      <c r="A11229" t="str">
        <f t="shared" si="4059"/>
        <v>0614000511</v>
      </c>
      <c r="B11229" t="str">
        <f t="shared" si="4060"/>
        <v>JULIO</v>
      </c>
      <c r="C11229" t="str">
        <f t="shared" si="4061"/>
        <v>MENDEZ JR.</v>
      </c>
      <c r="D11229">
        <f>12</f>
        <v>12</v>
      </c>
      <c r="E11229" t="str">
        <f>"07 - S1 - B - 105 - Richard E Dunbar Iii"</f>
        <v>07 - S1 - B - 105 - Richard E Dunbar Iii</v>
      </c>
      <c r="F11229" t="str">
        <f>"WEIGHT TRAIN 3"</f>
        <v>WEIGHT TRAIN 3</v>
      </c>
      <c r="G11229" t="str">
        <f>"05-501"</f>
        <v>05-501</v>
      </c>
      <c r="H11229" t="str">
        <f>"B"</f>
        <v>B</v>
      </c>
    </row>
    <row r="11230" spans="1:8" x14ac:dyDescent="0.2">
      <c r="A11230" t="str">
        <f t="shared" si="4059"/>
        <v>0614000511</v>
      </c>
      <c r="B11230" t="str">
        <f t="shared" si="4060"/>
        <v>JULIO</v>
      </c>
      <c r="C11230" t="str">
        <f t="shared" si="4061"/>
        <v>MENDEZ JR.</v>
      </c>
      <c r="D11230">
        <f>12</f>
        <v>12</v>
      </c>
      <c r="E11230" t="str">
        <f>"05 - B - 102 - Dorothy D Moore"</f>
        <v>05 - B - 102 - Dorothy D Moore</v>
      </c>
      <c r="F11230" t="str">
        <f>"FORC SCI 1 LH"</f>
        <v>FORC SCI 1 LH</v>
      </c>
      <c r="G11230" t="str">
        <f>"08-803"</f>
        <v>08-803</v>
      </c>
      <c r="H11230" t="str">
        <f>"B"</f>
        <v>B</v>
      </c>
    </row>
    <row r="11231" spans="1:8" x14ac:dyDescent="0.2">
      <c r="A11231" t="str">
        <f t="shared" si="4059"/>
        <v>0614000511</v>
      </c>
      <c r="B11231" t="str">
        <f t="shared" si="4060"/>
        <v>JULIO</v>
      </c>
      <c r="C11231" t="str">
        <f t="shared" si="4061"/>
        <v>MENDEZ JR.</v>
      </c>
      <c r="D11231">
        <f>12</f>
        <v>12</v>
      </c>
      <c r="E11231" t="str">
        <f>"01 - A - 102 - Robert H Rindner"</f>
        <v>01 - A - 102 - Robert H Rindner</v>
      </c>
      <c r="F11231" t="str">
        <f>"MATH DATA&amp;FIN LIT H"</f>
        <v>MATH DATA&amp;FIN LIT H</v>
      </c>
      <c r="G11231" t="str">
        <f>"21-2160"</f>
        <v>21-2160</v>
      </c>
      <c r="H11231" t="str">
        <f>"A"</f>
        <v>A</v>
      </c>
    </row>
    <row r="11232" spans="1:8" x14ac:dyDescent="0.2">
      <c r="A11232" t="str">
        <f t="shared" si="4059"/>
        <v>0614000511</v>
      </c>
      <c r="B11232" t="str">
        <f t="shared" si="4060"/>
        <v>JULIO</v>
      </c>
      <c r="C11232" t="str">
        <f t="shared" si="4061"/>
        <v>MENDEZ JR.</v>
      </c>
      <c r="D11232">
        <f>12</f>
        <v>12</v>
      </c>
      <c r="E11232" t="str">
        <f>"08 - B - 101 - Marius D Orsolini"</f>
        <v>08 - B - 101 - Marius D Orsolini</v>
      </c>
      <c r="F11232" t="str">
        <f>"CULINARY ARTS 2"</f>
        <v>CULINARY ARTS 2</v>
      </c>
      <c r="G11232" t="str">
        <f>"21-2115"</f>
        <v>21-2115</v>
      </c>
      <c r="H11232" t="str">
        <f>"B"</f>
        <v>B</v>
      </c>
    </row>
    <row r="11233" spans="1:8" x14ac:dyDescent="0.2">
      <c r="A11233" t="str">
        <f t="shared" ref="A11233:A11240" si="4062">"0616024331"</f>
        <v>0616024331</v>
      </c>
      <c r="B11233" t="str">
        <f t="shared" ref="B11233:B11240" si="4063">"EMELY"</f>
        <v>EMELY</v>
      </c>
      <c r="C11233" t="str">
        <f t="shared" ref="C11233:C11240" si="4064">"MENDEZ LISCANO"</f>
        <v>MENDEZ LISCANO</v>
      </c>
      <c r="D11233">
        <f>10</f>
        <v>10</v>
      </c>
      <c r="E11233" t="str">
        <f>"04 - A - 104 - Laselleda D Shaw"</f>
        <v>04 - A - 104 - Laselleda D Shaw</v>
      </c>
      <c r="F11233" t="str">
        <f>"INTENS READ 2"</f>
        <v>INTENS READ 2</v>
      </c>
      <c r="G11233" t="str">
        <f>"17-1723"</f>
        <v>17-1723</v>
      </c>
      <c r="H11233" t="str">
        <f>"A"</f>
        <v>A</v>
      </c>
    </row>
    <row r="11234" spans="1:8" x14ac:dyDescent="0.2">
      <c r="A11234" t="str">
        <f t="shared" si="4062"/>
        <v>0616024331</v>
      </c>
      <c r="B11234" t="str">
        <f t="shared" si="4063"/>
        <v>EMELY</v>
      </c>
      <c r="C11234" t="str">
        <f t="shared" si="4064"/>
        <v>MENDEZ LISCANO</v>
      </c>
      <c r="D11234">
        <f>10</f>
        <v>10</v>
      </c>
      <c r="E11234" t="str">
        <f>"06 - B - 114 - Richard E Dunbar Iii"</f>
        <v>06 - B - 114 - Richard E Dunbar Iii</v>
      </c>
      <c r="F11234" t="str">
        <f>"NC STUDY HALL 1"</f>
        <v>NC STUDY HALL 1</v>
      </c>
      <c r="G11234" t="str">
        <f>"17-1703"</f>
        <v>17-1703</v>
      </c>
      <c r="H11234" t="str">
        <f>"B"</f>
        <v>B</v>
      </c>
    </row>
    <row r="11235" spans="1:8" x14ac:dyDescent="0.2">
      <c r="A11235" t="str">
        <f t="shared" si="4062"/>
        <v>0616024331</v>
      </c>
      <c r="B11235" t="str">
        <f t="shared" si="4063"/>
        <v>EMELY</v>
      </c>
      <c r="C11235" t="str">
        <f t="shared" si="4064"/>
        <v>MENDEZ LISCANO</v>
      </c>
      <c r="D11235">
        <f>10</f>
        <v>10</v>
      </c>
      <c r="E11235" t="str">
        <f>"03 - A - 103 - Kelly N Panza"</f>
        <v>03 - A - 103 - Kelly N Panza</v>
      </c>
      <c r="F11235" t="str">
        <f>"AICE GLBL PERSP 1 AS"</f>
        <v>AICE GLBL PERSP 1 AS</v>
      </c>
      <c r="G11235" t="str">
        <f>"17-1753"</f>
        <v>17-1753</v>
      </c>
      <c r="H11235" t="str">
        <f>"A"</f>
        <v>A</v>
      </c>
    </row>
    <row r="11236" spans="1:8" x14ac:dyDescent="0.2">
      <c r="A11236" t="str">
        <f t="shared" si="4062"/>
        <v>0616024331</v>
      </c>
      <c r="B11236" t="str">
        <f t="shared" si="4063"/>
        <v>EMELY</v>
      </c>
      <c r="C11236" t="str">
        <f t="shared" si="4064"/>
        <v>MENDEZ LISCANO</v>
      </c>
      <c r="D11236">
        <f>10</f>
        <v>10</v>
      </c>
      <c r="E11236" t="str">
        <f>"02 - A - 102 - Jacklyn M James"</f>
        <v>02 - A - 102 - Jacklyn M James</v>
      </c>
      <c r="F11236" t="str">
        <f>"AICE ENG LANG AS"</f>
        <v>AICE ENG LANG AS</v>
      </c>
      <c r="G11236" t="str">
        <f>"17-1731"</f>
        <v>17-1731</v>
      </c>
      <c r="H11236" t="str">
        <f>"A"</f>
        <v>A</v>
      </c>
    </row>
    <row r="11237" spans="1:8" x14ac:dyDescent="0.2">
      <c r="A11237" t="str">
        <f t="shared" si="4062"/>
        <v>0616024331</v>
      </c>
      <c r="B11237" t="str">
        <f t="shared" si="4063"/>
        <v>EMELY</v>
      </c>
      <c r="C11237" t="str">
        <f t="shared" si="4064"/>
        <v>MENDEZ LISCANO</v>
      </c>
      <c r="D11237">
        <f>10</f>
        <v>10</v>
      </c>
      <c r="E11237" t="str">
        <f>"07 - B - 206 - Cheryl L Beach"</f>
        <v>07 - B - 206 - Cheryl L Beach</v>
      </c>
      <c r="F11237" t="str">
        <f>"AICE ENV MGMNT AS"</f>
        <v>AICE ENV MGMNT AS</v>
      </c>
      <c r="G11237" t="str">
        <f>"08-811"</f>
        <v>08-811</v>
      </c>
      <c r="H11237" t="str">
        <f>"B"</f>
        <v>B</v>
      </c>
    </row>
    <row r="11238" spans="1:8" x14ac:dyDescent="0.2">
      <c r="A11238" t="str">
        <f t="shared" si="4062"/>
        <v>0616024331</v>
      </c>
      <c r="B11238" t="str">
        <f t="shared" si="4063"/>
        <v>EMELY</v>
      </c>
      <c r="C11238" t="str">
        <f t="shared" si="4064"/>
        <v>MENDEZ LISCANO</v>
      </c>
      <c r="D11238">
        <f>10</f>
        <v>10</v>
      </c>
      <c r="E11238" t="str">
        <f>"05 - S1 - B - 102 - Carol S Moore"</f>
        <v>05 - S1 - B - 102 - Carol S Moore</v>
      </c>
      <c r="F11238" t="str">
        <f>"PERS FIN &amp; MON MGT H"</f>
        <v>PERS FIN &amp; MON MGT H</v>
      </c>
      <c r="G11238" t="str">
        <f>"17-1733"</f>
        <v>17-1733</v>
      </c>
      <c r="H11238" t="str">
        <f>"B"</f>
        <v>B</v>
      </c>
    </row>
    <row r="11239" spans="1:8" x14ac:dyDescent="0.2">
      <c r="A11239" t="str">
        <f t="shared" si="4062"/>
        <v>0616024331</v>
      </c>
      <c r="B11239" t="str">
        <f t="shared" si="4063"/>
        <v>EMELY</v>
      </c>
      <c r="C11239" t="str">
        <f t="shared" si="4064"/>
        <v>MENDEZ LISCANO</v>
      </c>
      <c r="D11239">
        <f>10</f>
        <v>10</v>
      </c>
      <c r="E11239" t="str">
        <f>"01 - A - 104 - Milca  Exantus"</f>
        <v>01 - A - 104 - Milca  Exantus</v>
      </c>
      <c r="F11239" t="str">
        <f>"MATH COLLEGE LIB ART"</f>
        <v>MATH COLLEGE LIB ART</v>
      </c>
      <c r="G11239" t="str">
        <f>"21-2145"</f>
        <v>21-2145</v>
      </c>
      <c r="H11239" t="str">
        <f>"A"</f>
        <v>A</v>
      </c>
    </row>
    <row r="11240" spans="1:8" x14ac:dyDescent="0.2">
      <c r="A11240" t="str">
        <f t="shared" si="4062"/>
        <v>0616024331</v>
      </c>
      <c r="B11240" t="str">
        <f t="shared" si="4063"/>
        <v>EMELY</v>
      </c>
      <c r="C11240" t="str">
        <f t="shared" si="4064"/>
        <v>MENDEZ LISCANO</v>
      </c>
      <c r="D11240">
        <f>10</f>
        <v>10</v>
      </c>
      <c r="E11240" t="str">
        <f>"08 - B - 202 - Dorothy D Moore"</f>
        <v>08 - B - 202 - Dorothy D Moore</v>
      </c>
      <c r="F11240" t="str">
        <f>"HEALTH SCI 1/A&amp;P HON"</f>
        <v>HEALTH SCI 1/A&amp;P HON</v>
      </c>
      <c r="G11240" t="str">
        <f>"08-803"</f>
        <v>08-803</v>
      </c>
      <c r="H11240" t="str">
        <f>"B"</f>
        <v>B</v>
      </c>
    </row>
    <row r="11241" spans="1:8" x14ac:dyDescent="0.2">
      <c r="A11241" t="str">
        <f t="shared" ref="A11241:A11248" si="4065">"0622124635"</f>
        <v>0622124635</v>
      </c>
      <c r="B11241" t="str">
        <f t="shared" ref="B11241:B11248" si="4066">"JUAN PAUL"</f>
        <v>JUAN PAUL</v>
      </c>
      <c r="C11241" t="str">
        <f t="shared" ref="C11241:C11265" si="4067">"MENDOZA"</f>
        <v>MENDOZA</v>
      </c>
      <c r="D11241">
        <f>10</f>
        <v>10</v>
      </c>
      <c r="E11241" t="str">
        <f>"04 - A - 104 - Nikiel  Nesbeth"</f>
        <v>04 - A - 104 - Nikiel  Nesbeth</v>
      </c>
      <c r="F11241" t="str">
        <f>"ENG 2"</f>
        <v>ENG 2</v>
      </c>
      <c r="G11241" t="str">
        <f>"17-1705"</f>
        <v>17-1705</v>
      </c>
      <c r="H11241" t="str">
        <f>"A"</f>
        <v>A</v>
      </c>
    </row>
    <row r="11242" spans="1:8" x14ac:dyDescent="0.2">
      <c r="A11242" t="str">
        <f t="shared" si="4065"/>
        <v>0622124635</v>
      </c>
      <c r="B11242" t="str">
        <f t="shared" si="4066"/>
        <v>JUAN PAUL</v>
      </c>
      <c r="C11242" t="str">
        <f t="shared" si="4067"/>
        <v>MENDOZA</v>
      </c>
      <c r="D11242">
        <f>10</f>
        <v>10</v>
      </c>
      <c r="E11242" t="str">
        <f>"06 - B - 103 - Vanessa J Liburd"</f>
        <v>06 - B - 103 - Vanessa J Liburd</v>
      </c>
      <c r="F11242" t="str">
        <f>"NC STUDY HALL 1"</f>
        <v>NC STUDY HALL 1</v>
      </c>
      <c r="G11242" t="str">
        <f>"05-519"</f>
        <v>05-519</v>
      </c>
      <c r="H11242" t="str">
        <f>"B"</f>
        <v>B</v>
      </c>
    </row>
    <row r="11243" spans="1:8" x14ac:dyDescent="0.2">
      <c r="A11243" t="str">
        <f t="shared" si="4065"/>
        <v>0622124635</v>
      </c>
      <c r="B11243" t="str">
        <f t="shared" si="4066"/>
        <v>JUAN PAUL</v>
      </c>
      <c r="C11243" t="str">
        <f t="shared" si="4067"/>
        <v>MENDOZA</v>
      </c>
      <c r="D11243">
        <f>10</f>
        <v>10</v>
      </c>
      <c r="E11243" t="str">
        <f>"03 - A - 206 - Josiah I Lacy"</f>
        <v>03 - A - 206 - Josiah I Lacy</v>
      </c>
      <c r="F11243" t="str">
        <f>"BIOLOGY 1"</f>
        <v>BIOLOGY 1</v>
      </c>
      <c r="G11243" t="str">
        <f>"08-801"</f>
        <v>08-801</v>
      </c>
      <c r="H11243" t="str">
        <f>"A"</f>
        <v>A</v>
      </c>
    </row>
    <row r="11244" spans="1:8" x14ac:dyDescent="0.2">
      <c r="A11244" t="str">
        <f t="shared" si="4065"/>
        <v>0622124635</v>
      </c>
      <c r="B11244" t="str">
        <f t="shared" si="4066"/>
        <v>JUAN PAUL</v>
      </c>
      <c r="C11244" t="str">
        <f t="shared" si="4067"/>
        <v>MENDOZA</v>
      </c>
      <c r="D11244">
        <f>10</f>
        <v>10</v>
      </c>
      <c r="E11244" t="str">
        <f>"02 - A - 102 - Adam Marcus  Drucker"</f>
        <v>02 - A - 102 - Adam Marcus  Drucker</v>
      </c>
      <c r="F11244" t="str">
        <f>"HOPE-PE V"</f>
        <v>HOPE-PE V</v>
      </c>
      <c r="G11244" t="str">
        <f>"04-254"</f>
        <v>04-254</v>
      </c>
      <c r="H11244" t="str">
        <f>"A"</f>
        <v>A</v>
      </c>
    </row>
    <row r="11245" spans="1:8" x14ac:dyDescent="0.2">
      <c r="A11245" t="str">
        <f t="shared" si="4065"/>
        <v>0622124635</v>
      </c>
      <c r="B11245" t="str">
        <f t="shared" si="4066"/>
        <v>JUAN PAUL</v>
      </c>
      <c r="C11245" t="str">
        <f t="shared" si="4067"/>
        <v>MENDOZA</v>
      </c>
      <c r="D11245">
        <f>10</f>
        <v>10</v>
      </c>
      <c r="E11245" t="str">
        <f>"07 - B - 107 - Helen A Flores"</f>
        <v>07 - B - 107 - Helen A Flores</v>
      </c>
      <c r="F11245" t="str">
        <f>"ALGEBRA 1"</f>
        <v>ALGEBRA 1</v>
      </c>
      <c r="G11245" t="str">
        <f>"21-2101"</f>
        <v>21-2101</v>
      </c>
      <c r="H11245" t="str">
        <f>"B"</f>
        <v>B</v>
      </c>
    </row>
    <row r="11246" spans="1:8" x14ac:dyDescent="0.2">
      <c r="A11246" t="str">
        <f t="shared" si="4065"/>
        <v>0622124635</v>
      </c>
      <c r="B11246" t="str">
        <f t="shared" si="4066"/>
        <v>JUAN PAUL</v>
      </c>
      <c r="C11246" t="str">
        <f t="shared" si="4067"/>
        <v>MENDOZA</v>
      </c>
      <c r="D11246">
        <f>10</f>
        <v>10</v>
      </c>
      <c r="E11246" t="str">
        <f>"05 - S1 - B - 102 - Carol S Moore"</f>
        <v>05 - S1 - B - 102 - Carol S Moore</v>
      </c>
      <c r="F11246" t="str">
        <f>"PERS FIN &amp; MON MGT H"</f>
        <v>PERS FIN &amp; MON MGT H</v>
      </c>
      <c r="G11246" t="str">
        <f>"17-1733"</f>
        <v>17-1733</v>
      </c>
      <c r="H11246" t="str">
        <f>"B"</f>
        <v>B</v>
      </c>
    </row>
    <row r="11247" spans="1:8" x14ac:dyDescent="0.2">
      <c r="A11247" t="str">
        <f t="shared" si="4065"/>
        <v>0622124635</v>
      </c>
      <c r="B11247" t="str">
        <f t="shared" si="4066"/>
        <v>JUAN PAUL</v>
      </c>
      <c r="C11247" t="str">
        <f t="shared" si="4067"/>
        <v>MENDOZA</v>
      </c>
      <c r="D11247">
        <f>10</f>
        <v>10</v>
      </c>
      <c r="E11247" t="str">
        <f>"01 - A - 102 - Helen A Flores"</f>
        <v>01 - A - 102 - Helen A Flores</v>
      </c>
      <c r="F11247" t="str">
        <f>"FDN SKLS MATH 9-12"</f>
        <v>FDN SKLS MATH 9-12</v>
      </c>
      <c r="G11247" t="str">
        <f>"21-2101"</f>
        <v>21-2101</v>
      </c>
      <c r="H11247" t="str">
        <f>"A"</f>
        <v>A</v>
      </c>
    </row>
    <row r="11248" spans="1:8" x14ac:dyDescent="0.2">
      <c r="A11248" t="str">
        <f t="shared" si="4065"/>
        <v>0622124635</v>
      </c>
      <c r="B11248" t="str">
        <f t="shared" si="4066"/>
        <v>JUAN PAUL</v>
      </c>
      <c r="C11248" t="str">
        <f t="shared" si="4067"/>
        <v>MENDOZA</v>
      </c>
      <c r="D11248">
        <f>10</f>
        <v>10</v>
      </c>
      <c r="E11248" t="str">
        <f>"08 - B - 103 - Jeanne M Bermudez"</f>
        <v>08 - B - 103 - Jeanne M Bermudez</v>
      </c>
      <c r="F11248" t="str">
        <f>"ADVANCED IT HON"</f>
        <v>ADVANCED IT HON</v>
      </c>
      <c r="G11248" t="str">
        <f>"21-2141"</f>
        <v>21-2141</v>
      </c>
      <c r="H11248" t="str">
        <f>"B"</f>
        <v>B</v>
      </c>
    </row>
    <row r="11249" spans="1:8" x14ac:dyDescent="0.2">
      <c r="A11249" t="str">
        <f t="shared" ref="A11249:A11257" si="4068">"0614102581"</f>
        <v>0614102581</v>
      </c>
      <c r="B11249" t="str">
        <f t="shared" ref="B11249:B11257" si="4069">"MARIANA"</f>
        <v>MARIANA</v>
      </c>
      <c r="C11249" t="str">
        <f t="shared" si="4067"/>
        <v>MENDOZA</v>
      </c>
      <c r="D11249">
        <f>12</f>
        <v>12</v>
      </c>
      <c r="E11249" t="str">
        <f>"04 - S1 - A - 101 - Nahum  Saint-Preux"</f>
        <v>04 - S1 - A - 101 - Nahum  Saint-Preux</v>
      </c>
      <c r="F11249" t="str">
        <f>"CRIT THINK ST SKLS"</f>
        <v>CRIT THINK ST SKLS</v>
      </c>
      <c r="G11249" t="str">
        <f>"17-1712"</f>
        <v>17-1712</v>
      </c>
      <c r="H11249" t="str">
        <f>"A"</f>
        <v>A</v>
      </c>
    </row>
    <row r="11250" spans="1:8" x14ac:dyDescent="0.2">
      <c r="A11250" t="str">
        <f t="shared" si="4068"/>
        <v>0614102581</v>
      </c>
      <c r="B11250" t="str">
        <f t="shared" si="4069"/>
        <v>MARIANA</v>
      </c>
      <c r="C11250" t="str">
        <f t="shared" si="4067"/>
        <v>MENDOZA</v>
      </c>
      <c r="D11250">
        <f>12</f>
        <v>12</v>
      </c>
      <c r="E11250" t="str">
        <f>"06 - B - 109 - Carol S Moore"</f>
        <v>06 - B - 109 - Carol S Moore</v>
      </c>
      <c r="F11250" t="str">
        <f>"NC STUDY HALL 1"</f>
        <v>NC STUDY HALL 1</v>
      </c>
      <c r="G11250" t="str">
        <f>"17-1733"</f>
        <v>17-1733</v>
      </c>
      <c r="H11250" t="str">
        <f>"B"</f>
        <v>B</v>
      </c>
    </row>
    <row r="11251" spans="1:8" x14ac:dyDescent="0.2">
      <c r="A11251" t="str">
        <f t="shared" si="4068"/>
        <v>0614102581</v>
      </c>
      <c r="B11251" t="str">
        <f t="shared" si="4069"/>
        <v>MARIANA</v>
      </c>
      <c r="C11251" t="str">
        <f t="shared" si="4067"/>
        <v>MENDOZA</v>
      </c>
      <c r="D11251">
        <f>12</f>
        <v>12</v>
      </c>
      <c r="E11251" t="str">
        <f>"06 - B - 116 - Karen A Toomer"</f>
        <v>06 - B - 116 - Karen A Toomer</v>
      </c>
      <c r="F11251" t="str">
        <f>"LANG THERAPY"</f>
        <v>LANG THERAPY</v>
      </c>
      <c r="G11251" t="str">
        <f>"21-2110"</f>
        <v>21-2110</v>
      </c>
      <c r="H11251" t="str">
        <f>"B"</f>
        <v>B</v>
      </c>
    </row>
    <row r="11252" spans="1:8" x14ac:dyDescent="0.2">
      <c r="A11252" t="str">
        <f t="shared" si="4068"/>
        <v>0614102581</v>
      </c>
      <c r="B11252" t="str">
        <f t="shared" si="4069"/>
        <v>MARIANA</v>
      </c>
      <c r="C11252" t="str">
        <f t="shared" si="4067"/>
        <v>MENDOZA</v>
      </c>
      <c r="D11252">
        <f>12</f>
        <v>12</v>
      </c>
      <c r="E11252" t="str">
        <f>"03 - A - 103 - Jordana K Hass"</f>
        <v>03 - A - 103 - Jordana K Hass</v>
      </c>
      <c r="F11252" t="str">
        <f>"CHEMISTRY 1"</f>
        <v>CHEMISTRY 1</v>
      </c>
      <c r="G11252" t="str">
        <f>"08-807"</f>
        <v>08-807</v>
      </c>
      <c r="H11252" t="str">
        <f>"A"</f>
        <v>A</v>
      </c>
    </row>
    <row r="11253" spans="1:8" x14ac:dyDescent="0.2">
      <c r="A11253" t="str">
        <f t="shared" si="4068"/>
        <v>0614102581</v>
      </c>
      <c r="B11253" t="str">
        <f t="shared" si="4069"/>
        <v>MARIANA</v>
      </c>
      <c r="C11253" t="str">
        <f t="shared" si="4067"/>
        <v>MENDOZA</v>
      </c>
      <c r="D11253">
        <f>12</f>
        <v>12</v>
      </c>
      <c r="E11253" t="str">
        <f>"02 - A - 103 - Dorothy D Moore"</f>
        <v>02 - A - 103 - Dorothy D Moore</v>
      </c>
      <c r="F11253" t="str">
        <f>"ANAT PHYSIO HON"</f>
        <v>ANAT PHYSIO HON</v>
      </c>
      <c r="G11253" t="str">
        <f>"08-803"</f>
        <v>08-803</v>
      </c>
      <c r="H11253" t="str">
        <f>"A"</f>
        <v>A</v>
      </c>
    </row>
    <row r="11254" spans="1:8" x14ac:dyDescent="0.2">
      <c r="A11254" t="str">
        <f t="shared" si="4068"/>
        <v>0614102581</v>
      </c>
      <c r="B11254" t="str">
        <f t="shared" si="4069"/>
        <v>MARIANA</v>
      </c>
      <c r="C11254" t="str">
        <f t="shared" si="4067"/>
        <v>MENDOZA</v>
      </c>
      <c r="D11254">
        <f>12</f>
        <v>12</v>
      </c>
      <c r="E11254" t="str">
        <f>"07 - B - 104 - Robyn L Trainer"</f>
        <v>07 - B - 104 - Robyn L Trainer</v>
      </c>
      <c r="F11254" t="str">
        <f>"ENG 4"</f>
        <v>ENG 4</v>
      </c>
      <c r="G11254" t="str">
        <f>"17-1734"</f>
        <v>17-1734</v>
      </c>
      <c r="H11254" t="str">
        <f>"B"</f>
        <v>B</v>
      </c>
    </row>
    <row r="11255" spans="1:8" x14ac:dyDescent="0.2">
      <c r="A11255" t="str">
        <f t="shared" si="4068"/>
        <v>0614102581</v>
      </c>
      <c r="B11255" t="str">
        <f t="shared" si="4069"/>
        <v>MARIANA</v>
      </c>
      <c r="C11255" t="str">
        <f t="shared" si="4067"/>
        <v>MENDOZA</v>
      </c>
      <c r="D11255">
        <f>12</f>
        <v>12</v>
      </c>
      <c r="E11255" t="str">
        <f>"05 - B - 108 - James H Mccann"</f>
        <v>05 - B - 108 - James H Mccann</v>
      </c>
      <c r="F11255" t="str">
        <f>"ALGEBRA 2"</f>
        <v>ALGEBRA 2</v>
      </c>
      <c r="G11255" t="str">
        <f>"17-1716"</f>
        <v>17-1716</v>
      </c>
      <c r="H11255" t="str">
        <f>"B"</f>
        <v>B</v>
      </c>
    </row>
    <row r="11256" spans="1:8" x14ac:dyDescent="0.2">
      <c r="A11256" t="str">
        <f t="shared" si="4068"/>
        <v>0614102581</v>
      </c>
      <c r="B11256" t="str">
        <f t="shared" si="4069"/>
        <v>MARIANA</v>
      </c>
      <c r="C11256" t="str">
        <f t="shared" si="4067"/>
        <v>MENDOZA</v>
      </c>
      <c r="D11256">
        <f>12</f>
        <v>12</v>
      </c>
      <c r="E11256" t="str">
        <f>"01 - S1 - A - 101 - Leslie J Barton"</f>
        <v>01 - S1 - A - 101 - Leslie J Barton</v>
      </c>
      <c r="F11256" t="str">
        <f>"FIRST AID SAFETY"</f>
        <v>FIRST AID SAFETY</v>
      </c>
      <c r="G11256" t="str">
        <f>"05-521"</f>
        <v>05-521</v>
      </c>
      <c r="H11256" t="str">
        <f>"A"</f>
        <v>A</v>
      </c>
    </row>
    <row r="11257" spans="1:8" x14ac:dyDescent="0.2">
      <c r="A11257" t="str">
        <f t="shared" si="4068"/>
        <v>0614102581</v>
      </c>
      <c r="B11257" t="str">
        <f t="shared" si="4069"/>
        <v>MARIANA</v>
      </c>
      <c r="C11257" t="str">
        <f t="shared" si="4067"/>
        <v>MENDOZA</v>
      </c>
      <c r="D11257">
        <f>12</f>
        <v>12</v>
      </c>
      <c r="E11257" t="str">
        <f>"08 - S1 - B - 102 - Stephen T Ripp"</f>
        <v>08 - S1 - B - 102 - Stephen T Ripp</v>
      </c>
      <c r="F11257" t="str">
        <f>"AP US GOVT/POL"</f>
        <v>AP US GOVT/POL</v>
      </c>
      <c r="G11257" t="str">
        <f>"17-1744"</f>
        <v>17-1744</v>
      </c>
      <c r="H11257" t="str">
        <f>"B"</f>
        <v>B</v>
      </c>
    </row>
    <row r="11258" spans="1:8" x14ac:dyDescent="0.2">
      <c r="A11258" t="str">
        <f t="shared" ref="A11258:A11265" si="4070">"0614137045"</f>
        <v>0614137045</v>
      </c>
      <c r="B11258" t="str">
        <f t="shared" ref="B11258:B11265" si="4071">"RICARDO"</f>
        <v>RICARDO</v>
      </c>
      <c r="C11258" t="str">
        <f t="shared" si="4067"/>
        <v>MENDOZA</v>
      </c>
      <c r="D11258">
        <f>11</f>
        <v>11</v>
      </c>
      <c r="E11258" t="str">
        <f>"04 - A - 004 - Krystal Marie  Beruty"</f>
        <v>04 - A - 004 - Krystal Marie  Beruty</v>
      </c>
      <c r="F11258" t="str">
        <f>"AICE GLBL PERSP 1 AS"</f>
        <v>AICE GLBL PERSP 1 AS</v>
      </c>
      <c r="G11258" t="str">
        <f>"17-1721"</f>
        <v>17-1721</v>
      </c>
      <c r="H11258" t="str">
        <f>"A"</f>
        <v>A</v>
      </c>
    </row>
    <row r="11259" spans="1:8" x14ac:dyDescent="0.2">
      <c r="A11259" t="str">
        <f t="shared" si="4070"/>
        <v>0614137045</v>
      </c>
      <c r="B11259" t="str">
        <f t="shared" si="4071"/>
        <v>RICARDO</v>
      </c>
      <c r="C11259" t="str">
        <f t="shared" si="4067"/>
        <v>MENDOZA</v>
      </c>
      <c r="D11259">
        <f>11</f>
        <v>11</v>
      </c>
      <c r="E11259" t="str">
        <f>"06 - B - 105 - Cheryl L Beach"</f>
        <v>06 - B - 105 - Cheryl L Beach</v>
      </c>
      <c r="F11259" t="str">
        <f>"AICE ENV MGMNT AS"</f>
        <v>AICE ENV MGMNT AS</v>
      </c>
      <c r="G11259" t="str">
        <f>"08-811"</f>
        <v>08-811</v>
      </c>
      <c r="H11259" t="str">
        <f>"B"</f>
        <v>B</v>
      </c>
    </row>
    <row r="11260" spans="1:8" x14ac:dyDescent="0.2">
      <c r="A11260" t="str">
        <f t="shared" si="4070"/>
        <v>0614137045</v>
      </c>
      <c r="B11260" t="str">
        <f t="shared" si="4071"/>
        <v>RICARDO</v>
      </c>
      <c r="C11260" t="str">
        <f t="shared" si="4067"/>
        <v>MENDOZA</v>
      </c>
      <c r="D11260">
        <f>11</f>
        <v>11</v>
      </c>
      <c r="E11260" t="str">
        <f>"03 - A - 101 - Eva T Rimmer"</f>
        <v>03 - A - 101 - Eva T Rimmer</v>
      </c>
      <c r="F11260" t="str">
        <f>"CRIMINAL JUST OPS 1"</f>
        <v>CRIMINAL JUST OPS 1</v>
      </c>
      <c r="G11260" t="str">
        <f>"05-523"</f>
        <v>05-523</v>
      </c>
      <c r="H11260" t="str">
        <f>"A"</f>
        <v>A</v>
      </c>
    </row>
    <row r="11261" spans="1:8" x14ac:dyDescent="0.2">
      <c r="A11261" t="str">
        <f t="shared" si="4070"/>
        <v>0614137045</v>
      </c>
      <c r="B11261" t="str">
        <f t="shared" si="4071"/>
        <v>RICARDO</v>
      </c>
      <c r="C11261" t="str">
        <f t="shared" si="4067"/>
        <v>MENDOZA</v>
      </c>
      <c r="D11261">
        <f>11</f>
        <v>11</v>
      </c>
      <c r="E11261" t="str">
        <f>"02 - A - 101 - Timothy J Lawrence"</f>
        <v>02 - A - 101 - Timothy J Lawrence</v>
      </c>
      <c r="F11261" t="str">
        <f>"NC STUDY HALL 1"</f>
        <v>NC STUDY HALL 1</v>
      </c>
      <c r="G11261" t="str">
        <f>"05-522"</f>
        <v>05-522</v>
      </c>
      <c r="H11261" t="str">
        <f>"A"</f>
        <v>A</v>
      </c>
    </row>
    <row r="11262" spans="1:8" x14ac:dyDescent="0.2">
      <c r="A11262" t="str">
        <f t="shared" si="4070"/>
        <v>0614137045</v>
      </c>
      <c r="B11262" t="str">
        <f t="shared" si="4071"/>
        <v>RICARDO</v>
      </c>
      <c r="C11262" t="str">
        <f t="shared" si="4067"/>
        <v>MENDOZA</v>
      </c>
      <c r="D11262">
        <f>11</f>
        <v>11</v>
      </c>
      <c r="E11262" t="str">
        <f>"07 - B - 002 - Jazmin S Fletcher"</f>
        <v>07 - B - 002 - Jazmin S Fletcher</v>
      </c>
      <c r="F11262" t="str">
        <f>"THEATRE 1"</f>
        <v>THEATRE 1</v>
      </c>
      <c r="G11262" t="str">
        <f>"09-909"</f>
        <v>09-909</v>
      </c>
      <c r="H11262" t="str">
        <f>"B"</f>
        <v>B</v>
      </c>
    </row>
    <row r="11263" spans="1:8" x14ac:dyDescent="0.2">
      <c r="A11263" t="str">
        <f t="shared" si="4070"/>
        <v>0614137045</v>
      </c>
      <c r="B11263" t="str">
        <f t="shared" si="4071"/>
        <v>RICARDO</v>
      </c>
      <c r="C11263" t="str">
        <f t="shared" si="4067"/>
        <v>MENDOZA</v>
      </c>
      <c r="D11263">
        <f>11</f>
        <v>11</v>
      </c>
      <c r="E11263" t="str">
        <f>"05 - B - 101 - Angela S Adeshina-Morrison"</f>
        <v>05 - B - 101 - Angela S Adeshina-Morrison</v>
      </c>
      <c r="F11263" t="str">
        <f>"MKT MANAGEMENT LH"</f>
        <v>MKT MANAGEMENT LH</v>
      </c>
      <c r="G11263" t="str">
        <f>"05-518"</f>
        <v>05-518</v>
      </c>
      <c r="H11263" t="str">
        <f>"B"</f>
        <v>B</v>
      </c>
    </row>
    <row r="11264" spans="1:8" x14ac:dyDescent="0.2">
      <c r="A11264" t="str">
        <f t="shared" si="4070"/>
        <v>0614137045</v>
      </c>
      <c r="B11264" t="str">
        <f t="shared" si="4071"/>
        <v>RICARDO</v>
      </c>
      <c r="C11264" t="str">
        <f t="shared" si="4067"/>
        <v>MENDOZA</v>
      </c>
      <c r="D11264">
        <f>11</f>
        <v>11</v>
      </c>
      <c r="E11264" t="str">
        <f>"01 - A - 101 - Jacklyn M James"</f>
        <v>01 - A - 101 - Jacklyn M James</v>
      </c>
      <c r="F11264" t="str">
        <f>"AICE ENG LANG AS"</f>
        <v>AICE ENG LANG AS</v>
      </c>
      <c r="G11264" t="str">
        <f>"17-1731"</f>
        <v>17-1731</v>
      </c>
      <c r="H11264" t="str">
        <f>"A"</f>
        <v>A</v>
      </c>
    </row>
    <row r="11265" spans="1:8" x14ac:dyDescent="0.2">
      <c r="A11265" t="str">
        <f t="shared" si="4070"/>
        <v>0614137045</v>
      </c>
      <c r="B11265" t="str">
        <f t="shared" si="4071"/>
        <v>RICARDO</v>
      </c>
      <c r="C11265" t="str">
        <f t="shared" si="4067"/>
        <v>MENDOZA</v>
      </c>
      <c r="D11265">
        <f>11</f>
        <v>11</v>
      </c>
      <c r="E11265" t="str">
        <f>"08 - B - 001 - Jerry S Jiampetti"</f>
        <v>08 - B - 001 - Jerry S Jiampetti</v>
      </c>
      <c r="F11265" t="str">
        <f>"AICE U.S. HIST 1 AS"</f>
        <v>AICE U.S. HIST 1 AS</v>
      </c>
      <c r="G11265" t="str">
        <f>"17-1751"</f>
        <v>17-1751</v>
      </c>
      <c r="H11265" t="str">
        <f>"B"</f>
        <v>B</v>
      </c>
    </row>
    <row r="11266" spans="1:8" x14ac:dyDescent="0.2">
      <c r="A11266" t="str">
        <f t="shared" ref="A11266:A11271" si="4072">"0617144686"</f>
        <v>0617144686</v>
      </c>
      <c r="B11266" t="str">
        <f t="shared" ref="B11266:B11271" si="4073">"LEYLA"</f>
        <v>LEYLA</v>
      </c>
      <c r="C11266" t="str">
        <f t="shared" ref="C11266:C11271" si="4074">"MENEMENCI"</f>
        <v>MENEMENCI</v>
      </c>
      <c r="D11266">
        <f>12</f>
        <v>12</v>
      </c>
      <c r="E11266" t="str">
        <f>"19 - S1 - MTWHF - BCC - Instructor BC"</f>
        <v>19 - S1 - MTWHF - BCC - Instructor BC</v>
      </c>
      <c r="F11266" t="str">
        <f>"GENERAL PSYCHOLOGY"</f>
        <v>GENERAL PSYCHOLOGY</v>
      </c>
      <c r="G11266" t="str">
        <f>"60-DE"</f>
        <v>60-DE</v>
      </c>
      <c r="H11266" t="str">
        <f>"-"</f>
        <v>-</v>
      </c>
    </row>
    <row r="11267" spans="1:8" x14ac:dyDescent="0.2">
      <c r="A11267" t="str">
        <f t="shared" si="4072"/>
        <v>0617144686</v>
      </c>
      <c r="B11267" t="str">
        <f t="shared" si="4073"/>
        <v>LEYLA</v>
      </c>
      <c r="C11267" t="str">
        <f t="shared" si="4074"/>
        <v>MENEMENCI</v>
      </c>
      <c r="D11267">
        <f>12</f>
        <v>12</v>
      </c>
      <c r="E11267" t="str">
        <f>"19 - S1 - MTWHF - B18 - Instructor BC"</f>
        <v>19 - S1 - MTWHF - B18 - Instructor BC</v>
      </c>
      <c r="F11267" t="str">
        <f>"GEN CHM SCI ALLIED"</f>
        <v>GEN CHM SCI ALLIED</v>
      </c>
      <c r="G11267" t="str">
        <f>"60-DE"</f>
        <v>60-DE</v>
      </c>
      <c r="H11267" t="str">
        <f>"-"</f>
        <v>-</v>
      </c>
    </row>
    <row r="11268" spans="1:8" x14ac:dyDescent="0.2">
      <c r="A11268" t="str">
        <f t="shared" si="4072"/>
        <v>0617144686</v>
      </c>
      <c r="B11268" t="str">
        <f t="shared" si="4073"/>
        <v>LEYLA</v>
      </c>
      <c r="C11268" t="str">
        <f t="shared" si="4074"/>
        <v>MENEMENCI</v>
      </c>
      <c r="D11268">
        <f>12</f>
        <v>12</v>
      </c>
      <c r="E11268" t="str">
        <f>"04 - A - 101 - Brian M Fitzgerald"</f>
        <v>04 - A - 101 - Brian M Fitzgerald</v>
      </c>
      <c r="F11268" t="str">
        <f>"AP 2-D ART &amp; DESIGN"</f>
        <v>AP 2-D ART &amp; DESIGN</v>
      </c>
      <c r="G11268" t="str">
        <f>"09-908"</f>
        <v>09-908</v>
      </c>
      <c r="H11268" t="str">
        <f>"A"</f>
        <v>A</v>
      </c>
    </row>
    <row r="11269" spans="1:8" x14ac:dyDescent="0.2">
      <c r="A11269" t="str">
        <f t="shared" si="4072"/>
        <v>0617144686</v>
      </c>
      <c r="B11269" t="str">
        <f t="shared" si="4073"/>
        <v>LEYLA</v>
      </c>
      <c r="C11269" t="str">
        <f t="shared" si="4074"/>
        <v>MENEMENCI</v>
      </c>
      <c r="D11269">
        <f>12</f>
        <v>12</v>
      </c>
      <c r="E11269" t="str">
        <f>"03 - A - 101 - Carleigh R Carmichael"</f>
        <v>03 - A - 101 - Carleigh R Carmichael</v>
      </c>
      <c r="F11269" t="str">
        <f>"LEAD SKLS DEV LH"</f>
        <v>LEAD SKLS DEV LH</v>
      </c>
      <c r="G11269" t="str">
        <f>"20-2072"</f>
        <v>20-2072</v>
      </c>
      <c r="H11269" t="str">
        <f>"A"</f>
        <v>A</v>
      </c>
    </row>
    <row r="11270" spans="1:8" x14ac:dyDescent="0.2">
      <c r="A11270" t="str">
        <f t="shared" si="4072"/>
        <v>0617144686</v>
      </c>
      <c r="B11270" t="str">
        <f t="shared" si="4073"/>
        <v>LEYLA</v>
      </c>
      <c r="C11270" t="str">
        <f t="shared" si="4074"/>
        <v>MENEMENCI</v>
      </c>
      <c r="D11270">
        <f>12</f>
        <v>12</v>
      </c>
      <c r="E11270" t="str">
        <f>"07 - B - 001 - Rachel M Montrose"</f>
        <v>07 - B - 001 - Rachel M Montrose</v>
      </c>
      <c r="F11270" t="str">
        <f>"JOURN 3 (NP)"</f>
        <v>JOURN 3 (NP)</v>
      </c>
      <c r="G11270" t="str">
        <f>"05-521"</f>
        <v>05-521</v>
      </c>
      <c r="H11270" t="str">
        <f>"B"</f>
        <v>B</v>
      </c>
    </row>
    <row r="11271" spans="1:8" x14ac:dyDescent="0.2">
      <c r="A11271" t="str">
        <f t="shared" si="4072"/>
        <v>0617144686</v>
      </c>
      <c r="B11271" t="str">
        <f t="shared" si="4073"/>
        <v>LEYLA</v>
      </c>
      <c r="C11271" t="str">
        <f t="shared" si="4074"/>
        <v>MENEMENCI</v>
      </c>
      <c r="D11271">
        <f>12</f>
        <v>12</v>
      </c>
      <c r="E11271" t="str">
        <f>"08 - B - 203 - Courtney E Hambright"</f>
        <v>08 - B - 203 - Courtney E Hambright</v>
      </c>
      <c r="F11271" t="str">
        <f>"AP ENG LIT COMPO"</f>
        <v>AP ENG LIT COMPO</v>
      </c>
      <c r="G11271" t="str">
        <f>"17-1711"</f>
        <v>17-1711</v>
      </c>
      <c r="H11271" t="str">
        <f>"B"</f>
        <v>B</v>
      </c>
    </row>
    <row r="11272" spans="1:8" x14ac:dyDescent="0.2">
      <c r="A11272" t="str">
        <f t="shared" ref="A11272:A11279" si="4075">"0617018919"</f>
        <v>0617018919</v>
      </c>
      <c r="B11272" t="str">
        <f t="shared" ref="B11272:B11279" si="4076">"HAILEY"</f>
        <v>HAILEY</v>
      </c>
      <c r="C11272" t="str">
        <f t="shared" ref="C11272:C11279" si="4077">"MENENDEZ"</f>
        <v>MENENDEZ</v>
      </c>
      <c r="D11272" t="str">
        <f t="shared" ref="D11272:D11279" si="4078">"09"</f>
        <v>09</v>
      </c>
      <c r="E11272" t="str">
        <f>"04 - A - 106 - Ferrie J Arostique"</f>
        <v>04 - A - 106 - Ferrie J Arostique</v>
      </c>
      <c r="F11272" t="str">
        <f>"PRE-AICE MATH 2 IG"</f>
        <v>PRE-AICE MATH 2 IG</v>
      </c>
      <c r="G11272" t="str">
        <f>"21-2139"</f>
        <v>21-2139</v>
      </c>
      <c r="H11272" t="str">
        <f>"A"</f>
        <v>A</v>
      </c>
    </row>
    <row r="11273" spans="1:8" x14ac:dyDescent="0.2">
      <c r="A11273" t="str">
        <f t="shared" si="4075"/>
        <v>0617018919</v>
      </c>
      <c r="B11273" t="str">
        <f t="shared" si="4076"/>
        <v>HAILEY</v>
      </c>
      <c r="C11273" t="str">
        <f t="shared" si="4077"/>
        <v>MENENDEZ</v>
      </c>
      <c r="D11273" t="str">
        <f t="shared" si="4078"/>
        <v>09</v>
      </c>
      <c r="E11273" t="str">
        <f>"06 - B - 104 - Lytrell T Dixon"</f>
        <v>06 - B - 104 - Lytrell T Dixon</v>
      </c>
      <c r="F11273" t="str">
        <f>"PRE-AICE BIO IG"</f>
        <v>PRE-AICE BIO IG</v>
      </c>
      <c r="G11273" t="str">
        <f>"08-808"</f>
        <v>08-808</v>
      </c>
      <c r="H11273" t="str">
        <f>"B"</f>
        <v>B</v>
      </c>
    </row>
    <row r="11274" spans="1:8" x14ac:dyDescent="0.2">
      <c r="A11274" t="str">
        <f t="shared" si="4075"/>
        <v>0617018919</v>
      </c>
      <c r="B11274" t="str">
        <f t="shared" si="4076"/>
        <v>HAILEY</v>
      </c>
      <c r="C11274" t="str">
        <f t="shared" si="4077"/>
        <v>MENENDEZ</v>
      </c>
      <c r="D11274" t="str">
        <f t="shared" si="4078"/>
        <v>09</v>
      </c>
      <c r="E11274" t="str">
        <f>"03 - A - 201 - Christa T Parisi"</f>
        <v>03 - A - 201 - Christa T Parisi</v>
      </c>
      <c r="F11274" t="str">
        <f>"DANCE TECHNQS 1"</f>
        <v>DANCE TECHNQS 1</v>
      </c>
      <c r="G11274" t="str">
        <f>"05-503"</f>
        <v>05-503</v>
      </c>
      <c r="H11274" t="str">
        <f>"A"</f>
        <v>A</v>
      </c>
    </row>
    <row r="11275" spans="1:8" x14ac:dyDescent="0.2">
      <c r="A11275" t="str">
        <f t="shared" si="4075"/>
        <v>0617018919</v>
      </c>
      <c r="B11275" t="str">
        <f t="shared" si="4076"/>
        <v>HAILEY</v>
      </c>
      <c r="C11275" t="str">
        <f t="shared" si="4077"/>
        <v>MENENDEZ</v>
      </c>
      <c r="D11275" t="str">
        <f t="shared" si="4078"/>
        <v>09</v>
      </c>
      <c r="E11275" t="str">
        <f>"02 - A - 108 - Rory T Sponsler"</f>
        <v>02 - A - 108 - Rory T Sponsler</v>
      </c>
      <c r="F11275" t="str">
        <f>"NC STUDY HALL 1"</f>
        <v>NC STUDY HALL 1</v>
      </c>
      <c r="G11275" t="str">
        <f>"17-1740"</f>
        <v>17-1740</v>
      </c>
      <c r="H11275" t="str">
        <f>"A"</f>
        <v>A</v>
      </c>
    </row>
    <row r="11276" spans="1:8" x14ac:dyDescent="0.2">
      <c r="A11276" t="str">
        <f t="shared" si="4075"/>
        <v>0617018919</v>
      </c>
      <c r="B11276" t="str">
        <f t="shared" si="4076"/>
        <v>HAILEY</v>
      </c>
      <c r="C11276" t="str">
        <f t="shared" si="4077"/>
        <v>MENENDEZ</v>
      </c>
      <c r="D11276" t="str">
        <f t="shared" si="4078"/>
        <v>09</v>
      </c>
      <c r="E11276" t="str">
        <f>"07 - B - 003 - Brandy N Zdenek"</f>
        <v>07 - B - 003 - Brandy N Zdenek</v>
      </c>
      <c r="F11276" t="str">
        <f>"AICE ENG GEN PAPER 1"</f>
        <v>AICE ENG GEN PAPER 1</v>
      </c>
      <c r="G11276" t="str">
        <f>"17-1704"</f>
        <v>17-1704</v>
      </c>
      <c r="H11276" t="str">
        <f>"B"</f>
        <v>B</v>
      </c>
    </row>
    <row r="11277" spans="1:8" x14ac:dyDescent="0.2">
      <c r="A11277" t="str">
        <f t="shared" si="4075"/>
        <v>0617018919</v>
      </c>
      <c r="B11277" t="str">
        <f t="shared" si="4076"/>
        <v>HAILEY</v>
      </c>
      <c r="C11277" t="str">
        <f t="shared" si="4077"/>
        <v>MENENDEZ</v>
      </c>
      <c r="D11277" t="str">
        <f t="shared" si="4078"/>
        <v>09</v>
      </c>
      <c r="E11277" t="str">
        <f>"05 - B - 201 - Lisa J London"</f>
        <v>05 - B - 201 - Lisa J London</v>
      </c>
      <c r="F11277" t="str">
        <f>"COMPRE LAW HON"</f>
        <v>COMPRE LAW HON</v>
      </c>
      <c r="G11277" t="str">
        <f>"17-1714"</f>
        <v>17-1714</v>
      </c>
      <c r="H11277" t="str">
        <f>"B"</f>
        <v>B</v>
      </c>
    </row>
    <row r="11278" spans="1:8" x14ac:dyDescent="0.2">
      <c r="A11278" t="str">
        <f t="shared" si="4075"/>
        <v>0617018919</v>
      </c>
      <c r="B11278" t="str">
        <f t="shared" si="4076"/>
        <v>HAILEY</v>
      </c>
      <c r="C11278" t="str">
        <f t="shared" si="4077"/>
        <v>MENENDEZ</v>
      </c>
      <c r="D11278" t="str">
        <f t="shared" si="4078"/>
        <v>09</v>
      </c>
      <c r="E11278" t="str">
        <f>"01 - A - 101 - Vanessa J Liburd"</f>
        <v>01 - A - 101 - Vanessa J Liburd</v>
      </c>
      <c r="F11278" t="str">
        <f>"PRE-AICE FRENCH 1 IG"</f>
        <v>PRE-AICE FRENCH 1 IG</v>
      </c>
      <c r="G11278" t="str">
        <f>"05-519"</f>
        <v>05-519</v>
      </c>
      <c r="H11278" t="str">
        <f>"A"</f>
        <v>A</v>
      </c>
    </row>
    <row r="11279" spans="1:8" x14ac:dyDescent="0.2">
      <c r="A11279" t="str">
        <f t="shared" si="4075"/>
        <v>0617018919</v>
      </c>
      <c r="B11279" t="str">
        <f t="shared" si="4076"/>
        <v>HAILEY</v>
      </c>
      <c r="C11279" t="str">
        <f t="shared" si="4077"/>
        <v>MENENDEZ</v>
      </c>
      <c r="D11279" t="str">
        <f t="shared" si="4078"/>
        <v>09</v>
      </c>
      <c r="E11279" t="str">
        <f>"08 - B - 001 - Chrystina M Marchionne"</f>
        <v>08 - B - 001 - Chrystina M Marchionne</v>
      </c>
      <c r="F11279" t="str">
        <f>"JOURN 1 (YB) LH"</f>
        <v>JOURN 1 (YB) LH</v>
      </c>
      <c r="G11279" t="str">
        <f>"05-520"</f>
        <v>05-520</v>
      </c>
      <c r="H11279" t="str">
        <f>"B"</f>
        <v>B</v>
      </c>
    </row>
    <row r="11280" spans="1:8" x14ac:dyDescent="0.2">
      <c r="A11280" t="str">
        <f t="shared" ref="A11280:A11287" si="4079">"0614088326"</f>
        <v>0614088326</v>
      </c>
      <c r="B11280" t="str">
        <f t="shared" ref="B11280:B11287" si="4080">"ASRIELLE"</f>
        <v>ASRIELLE</v>
      </c>
      <c r="C11280" t="str">
        <f t="shared" ref="C11280:C11303" si="4081">"MERCIER"</f>
        <v>MERCIER</v>
      </c>
      <c r="D11280">
        <f>11</f>
        <v>11</v>
      </c>
      <c r="E11280" t="str">
        <f>"04 - A - 102 - Brandy N Zdenek"</f>
        <v>04 - A - 102 - Brandy N Zdenek</v>
      </c>
      <c r="F11280" t="str">
        <f>"AICE ENG LANG 2 AL"</f>
        <v>AICE ENG LANG 2 AL</v>
      </c>
      <c r="G11280" t="str">
        <f>"17-1704"</f>
        <v>17-1704</v>
      </c>
      <c r="H11280" t="str">
        <f>"A"</f>
        <v>A</v>
      </c>
    </row>
    <row r="11281" spans="1:8" x14ac:dyDescent="0.2">
      <c r="A11281" t="str">
        <f t="shared" si="4079"/>
        <v>0614088326</v>
      </c>
      <c r="B11281" t="str">
        <f t="shared" si="4080"/>
        <v>ASRIELLE</v>
      </c>
      <c r="C11281" t="str">
        <f t="shared" si="4081"/>
        <v>MERCIER</v>
      </c>
      <c r="D11281">
        <f>11</f>
        <v>11</v>
      </c>
      <c r="E11281" t="str">
        <f>"06 - B - 204 - Chrystina M Marchionne"</f>
        <v>06 - B - 204 - Chrystina M Marchionne</v>
      </c>
      <c r="F11281" t="str">
        <f>"AICE MEDIASTUDIES AS"</f>
        <v>AICE MEDIASTUDIES AS</v>
      </c>
      <c r="G11281" t="str">
        <f>"05-520"</f>
        <v>05-520</v>
      </c>
      <c r="H11281" t="str">
        <f>"B"</f>
        <v>B</v>
      </c>
    </row>
    <row r="11282" spans="1:8" x14ac:dyDescent="0.2">
      <c r="A11282" t="str">
        <f t="shared" si="4079"/>
        <v>0614088326</v>
      </c>
      <c r="B11282" t="str">
        <f t="shared" si="4080"/>
        <v>ASRIELLE</v>
      </c>
      <c r="C11282" t="str">
        <f t="shared" si="4081"/>
        <v>MERCIER</v>
      </c>
      <c r="D11282">
        <f>11</f>
        <v>11</v>
      </c>
      <c r="E11282" t="str">
        <f>"03 - A - 101 - Alejandro  Navarro"</f>
        <v>03 - A - 101 - Alejandro  Navarro</v>
      </c>
      <c r="F11282" t="str">
        <f>"BAND 3"</f>
        <v>BAND 3</v>
      </c>
      <c r="G11282" t="str">
        <f>"05-504"</f>
        <v>05-504</v>
      </c>
      <c r="H11282" t="str">
        <f>"A"</f>
        <v>A</v>
      </c>
    </row>
    <row r="11283" spans="1:8" x14ac:dyDescent="0.2">
      <c r="A11283" t="str">
        <f t="shared" si="4079"/>
        <v>0614088326</v>
      </c>
      <c r="B11283" t="str">
        <f t="shared" si="4080"/>
        <v>ASRIELLE</v>
      </c>
      <c r="C11283" t="str">
        <f t="shared" si="4081"/>
        <v>MERCIER</v>
      </c>
      <c r="D11283">
        <f>11</f>
        <v>11</v>
      </c>
      <c r="E11283" t="str">
        <f>"02 - A - 117 - Kyle  Robbins"</f>
        <v>02 - A - 117 - Kyle  Robbins</v>
      </c>
      <c r="F11283" t="str">
        <f>"NC STUDY HALL 1"</f>
        <v>NC STUDY HALL 1</v>
      </c>
      <c r="G11283" t="str">
        <f>"17-1745"</f>
        <v>17-1745</v>
      </c>
      <c r="H11283" t="str">
        <f>"A"</f>
        <v>A</v>
      </c>
    </row>
    <row r="11284" spans="1:8" x14ac:dyDescent="0.2">
      <c r="A11284" t="str">
        <f t="shared" si="4079"/>
        <v>0614088326</v>
      </c>
      <c r="B11284" t="str">
        <f t="shared" si="4080"/>
        <v>ASRIELLE</v>
      </c>
      <c r="C11284" t="str">
        <f t="shared" si="4081"/>
        <v>MERCIER</v>
      </c>
      <c r="D11284">
        <f>11</f>
        <v>11</v>
      </c>
      <c r="E11284" t="str">
        <f>"07 - B - 102 - Timothy J Lawrence"</f>
        <v>07 - B - 102 - Timothy J Lawrence</v>
      </c>
      <c r="F11284" t="str">
        <f>"AICE PHYS ED 1 AS"</f>
        <v>AICE PHYS ED 1 AS</v>
      </c>
      <c r="G11284" t="str">
        <f>"05-523"</f>
        <v>05-523</v>
      </c>
      <c r="H11284" t="str">
        <f>"B"</f>
        <v>B</v>
      </c>
    </row>
    <row r="11285" spans="1:8" x14ac:dyDescent="0.2">
      <c r="A11285" t="str">
        <f t="shared" si="4079"/>
        <v>0614088326</v>
      </c>
      <c r="B11285" t="str">
        <f t="shared" si="4080"/>
        <v>ASRIELLE</v>
      </c>
      <c r="C11285" t="str">
        <f t="shared" si="4081"/>
        <v>MERCIER</v>
      </c>
      <c r="D11285">
        <f>11</f>
        <v>11</v>
      </c>
      <c r="E11285" t="str">
        <f>"05 - B - 106 - Thomas G Handwerg"</f>
        <v>05 - B - 106 - Thomas G Handwerg</v>
      </c>
      <c r="F11285" t="str">
        <f>"MATH COLL ALGEBRA"</f>
        <v>MATH COLL ALGEBRA</v>
      </c>
      <c r="G11285" t="str">
        <f>"21-2146"</f>
        <v>21-2146</v>
      </c>
      <c r="H11285" t="str">
        <f>"B"</f>
        <v>B</v>
      </c>
    </row>
    <row r="11286" spans="1:8" x14ac:dyDescent="0.2">
      <c r="A11286" t="str">
        <f t="shared" si="4079"/>
        <v>0614088326</v>
      </c>
      <c r="B11286" t="str">
        <f t="shared" si="4080"/>
        <v>ASRIELLE</v>
      </c>
      <c r="C11286" t="str">
        <f t="shared" si="4081"/>
        <v>MERCIER</v>
      </c>
      <c r="D11286">
        <f>11</f>
        <v>11</v>
      </c>
      <c r="E11286" t="str">
        <f>"01 - A - 107 - Valerie J Ruwe"</f>
        <v>01 - A - 107 - Valerie J Ruwe</v>
      </c>
      <c r="F11286" t="str">
        <f>"CHEMISTRY 1 HON"</f>
        <v>CHEMISTRY 1 HON</v>
      </c>
      <c r="G11286" t="str">
        <f>"21-2134"</f>
        <v>21-2134</v>
      </c>
      <c r="H11286" t="str">
        <f>"A"</f>
        <v>A</v>
      </c>
    </row>
    <row r="11287" spans="1:8" x14ac:dyDescent="0.2">
      <c r="A11287" t="str">
        <f t="shared" si="4079"/>
        <v>0614088326</v>
      </c>
      <c r="B11287" t="str">
        <f t="shared" si="4080"/>
        <v>ASRIELLE</v>
      </c>
      <c r="C11287" t="str">
        <f t="shared" si="4081"/>
        <v>MERCIER</v>
      </c>
      <c r="D11287">
        <f>11</f>
        <v>11</v>
      </c>
      <c r="E11287" t="str">
        <f>"08 - B - 001 - Jerry S Jiampetti"</f>
        <v>08 - B - 001 - Jerry S Jiampetti</v>
      </c>
      <c r="F11287" t="str">
        <f>"AICE U.S. HIST 1 AS"</f>
        <v>AICE U.S. HIST 1 AS</v>
      </c>
      <c r="G11287" t="str">
        <f>"17-1751"</f>
        <v>17-1751</v>
      </c>
      <c r="H11287" t="str">
        <f>"B"</f>
        <v>B</v>
      </c>
    </row>
    <row r="11288" spans="1:8" x14ac:dyDescent="0.2">
      <c r="A11288" t="str">
        <f t="shared" ref="A11288:A11295" si="4082">"0616107123"</f>
        <v>0616107123</v>
      </c>
      <c r="B11288" t="str">
        <f t="shared" ref="B11288:B11295" si="4083">"MARK"</f>
        <v>MARK</v>
      </c>
      <c r="C11288" t="str">
        <f t="shared" si="4081"/>
        <v>MERCIER</v>
      </c>
      <c r="D11288" t="str">
        <f t="shared" ref="D11288:D11295" si="4084">"09"</f>
        <v>09</v>
      </c>
      <c r="E11288" t="str">
        <f>"04 - A - 102 - Josiah I Lacy"</f>
        <v>04 - A - 102 - Josiah I Lacy</v>
      </c>
      <c r="F11288" t="str">
        <f>"PRE-AICE BIO IG"</f>
        <v>PRE-AICE BIO IG</v>
      </c>
      <c r="G11288" t="str">
        <f>"08-801"</f>
        <v>08-801</v>
      </c>
      <c r="H11288" t="str">
        <f>"A"</f>
        <v>A</v>
      </c>
    </row>
    <row r="11289" spans="1:8" x14ac:dyDescent="0.2">
      <c r="A11289" t="str">
        <f t="shared" si="4082"/>
        <v>0616107123</v>
      </c>
      <c r="B11289" t="str">
        <f t="shared" si="4083"/>
        <v>MARK</v>
      </c>
      <c r="C11289" t="str">
        <f t="shared" si="4081"/>
        <v>MERCIER</v>
      </c>
      <c r="D11289" t="str">
        <f t="shared" si="4084"/>
        <v>09</v>
      </c>
      <c r="E11289" t="str">
        <f>"06 - B - 105 - Cerine S Stewart"</f>
        <v>06 - B - 105 - Cerine S Stewart</v>
      </c>
      <c r="F11289" t="str">
        <f>"AICE ENG GEN PAPER 1"</f>
        <v>AICE ENG GEN PAPER 1</v>
      </c>
      <c r="G11289" t="str">
        <f>"17-1720"</f>
        <v>17-1720</v>
      </c>
      <c r="H11289" t="str">
        <f>"B"</f>
        <v>B</v>
      </c>
    </row>
    <row r="11290" spans="1:8" x14ac:dyDescent="0.2">
      <c r="A11290" t="str">
        <f t="shared" si="4082"/>
        <v>0616107123</v>
      </c>
      <c r="B11290" t="str">
        <f t="shared" si="4083"/>
        <v>MARK</v>
      </c>
      <c r="C11290" t="str">
        <f t="shared" si="4081"/>
        <v>MERCIER</v>
      </c>
      <c r="D11290" t="str">
        <f t="shared" si="4084"/>
        <v>09</v>
      </c>
      <c r="E11290" t="str">
        <f>"03 - A - 103 - Marius D Orsolini"</f>
        <v>03 - A - 103 - Marius D Orsolini</v>
      </c>
      <c r="F11290" t="str">
        <f>"CULINARY ARTS 1"</f>
        <v>CULINARY ARTS 1</v>
      </c>
      <c r="G11290" t="str">
        <f>"21-2115"</f>
        <v>21-2115</v>
      </c>
      <c r="H11290" t="str">
        <f>"A"</f>
        <v>A</v>
      </c>
    </row>
    <row r="11291" spans="1:8" x14ac:dyDescent="0.2">
      <c r="A11291" t="str">
        <f t="shared" si="4082"/>
        <v>0616107123</v>
      </c>
      <c r="B11291" t="str">
        <f t="shared" si="4083"/>
        <v>MARK</v>
      </c>
      <c r="C11291" t="str">
        <f t="shared" si="4081"/>
        <v>MERCIER</v>
      </c>
      <c r="D11291" t="str">
        <f t="shared" si="4084"/>
        <v>09</v>
      </c>
      <c r="E11291" t="str">
        <f>"02 - A - 115 - Lourivaldo  Da Silva"</f>
        <v>02 - A - 115 - Lourivaldo  Da Silva</v>
      </c>
      <c r="F11291" t="str">
        <f>"NC STUDY HALL 1"</f>
        <v>NC STUDY HALL 1</v>
      </c>
      <c r="G11291" t="str">
        <f>"20-2079"</f>
        <v>20-2079</v>
      </c>
      <c r="H11291" t="str">
        <f>"A"</f>
        <v>A</v>
      </c>
    </row>
    <row r="11292" spans="1:8" x14ac:dyDescent="0.2">
      <c r="A11292" t="str">
        <f t="shared" si="4082"/>
        <v>0616107123</v>
      </c>
      <c r="B11292" t="str">
        <f t="shared" si="4083"/>
        <v>MARK</v>
      </c>
      <c r="C11292" t="str">
        <f t="shared" si="4081"/>
        <v>MERCIER</v>
      </c>
      <c r="D11292" t="str">
        <f t="shared" si="4084"/>
        <v>09</v>
      </c>
      <c r="E11292" t="str">
        <f>"07 - B - 001 - Carol S Moore"</f>
        <v>07 - B - 001 - Carol S Moore</v>
      </c>
      <c r="F11292" t="str">
        <f>"PRE-AICE WRLD HST IG"</f>
        <v>PRE-AICE WRLD HST IG</v>
      </c>
      <c r="G11292" t="str">
        <f>"17-1733"</f>
        <v>17-1733</v>
      </c>
      <c r="H11292" t="str">
        <f>"B"</f>
        <v>B</v>
      </c>
    </row>
    <row r="11293" spans="1:8" x14ac:dyDescent="0.2">
      <c r="A11293" t="str">
        <f t="shared" si="4082"/>
        <v>0616107123</v>
      </c>
      <c r="B11293" t="str">
        <f t="shared" si="4083"/>
        <v>MARK</v>
      </c>
      <c r="C11293" t="str">
        <f t="shared" si="4081"/>
        <v>MERCIER</v>
      </c>
      <c r="D11293" t="str">
        <f t="shared" si="4084"/>
        <v>09</v>
      </c>
      <c r="E11293" t="str">
        <f>"05 - B - 102 - Tina L Lovett"</f>
        <v>05 - B - 102 - Tina L Lovett</v>
      </c>
      <c r="F11293" t="str">
        <f>"PRE-AICE MATH 1 IG"</f>
        <v>PRE-AICE MATH 1 IG</v>
      </c>
      <c r="G11293" t="str">
        <f>"21-2153"</f>
        <v>21-2153</v>
      </c>
      <c r="H11293" t="str">
        <f>"B"</f>
        <v>B</v>
      </c>
    </row>
    <row r="11294" spans="1:8" x14ac:dyDescent="0.2">
      <c r="A11294" t="str">
        <f t="shared" si="4082"/>
        <v>0616107123</v>
      </c>
      <c r="B11294" t="str">
        <f t="shared" si="4083"/>
        <v>MARK</v>
      </c>
      <c r="C11294" t="str">
        <f t="shared" si="4081"/>
        <v>MERCIER</v>
      </c>
      <c r="D11294" t="str">
        <f t="shared" si="4084"/>
        <v>09</v>
      </c>
      <c r="E11294" t="str">
        <f>"01 - A - 101 - Nikiel  Nesbeth"</f>
        <v>01 - A - 101 - Nikiel  Nesbeth</v>
      </c>
      <c r="F11294" t="str">
        <f>"CONST LAW HON"</f>
        <v>CONST LAW HON</v>
      </c>
      <c r="G11294" t="str">
        <f>"17-1705"</f>
        <v>17-1705</v>
      </c>
      <c r="H11294" t="str">
        <f>"A"</f>
        <v>A</v>
      </c>
    </row>
    <row r="11295" spans="1:8" x14ac:dyDescent="0.2">
      <c r="A11295" t="str">
        <f t="shared" si="4082"/>
        <v>0616107123</v>
      </c>
      <c r="B11295" t="str">
        <f t="shared" si="4083"/>
        <v>MARK</v>
      </c>
      <c r="C11295" t="str">
        <f t="shared" si="4081"/>
        <v>MERCIER</v>
      </c>
      <c r="D11295" t="str">
        <f t="shared" si="4084"/>
        <v>09</v>
      </c>
      <c r="E11295" t="str">
        <f>"08 - S1 - B - 104 - Leslie J Barton"</f>
        <v>08 - S1 - B - 104 - Leslie J Barton</v>
      </c>
      <c r="F11295" t="str">
        <f>"TEAM SPORTS 1"</f>
        <v>TEAM SPORTS 1</v>
      </c>
      <c r="G11295" t="str">
        <f>"04-254"</f>
        <v>04-254</v>
      </c>
      <c r="H11295" t="str">
        <f>"B"</f>
        <v>B</v>
      </c>
    </row>
    <row r="11296" spans="1:8" x14ac:dyDescent="0.2">
      <c r="A11296" t="str">
        <f t="shared" ref="A11296:A11303" si="4085">"0616005316"</f>
        <v>0616005316</v>
      </c>
      <c r="B11296" t="str">
        <f t="shared" ref="B11296:B11303" si="4086">"TAMAR"</f>
        <v>TAMAR</v>
      </c>
      <c r="C11296" t="str">
        <f t="shared" si="4081"/>
        <v>MERCIER</v>
      </c>
      <c r="D11296">
        <f>10</f>
        <v>10</v>
      </c>
      <c r="E11296" t="str">
        <f>"04 - A - 104 - Dayna M Foster"</f>
        <v>04 - A - 104 - Dayna M Foster</v>
      </c>
      <c r="F11296" t="str">
        <f>"ALGEBRA 2"</f>
        <v>ALGEBRA 2</v>
      </c>
      <c r="G11296" t="str">
        <f>"21-2109"</f>
        <v>21-2109</v>
      </c>
      <c r="H11296" t="str">
        <f>"A"</f>
        <v>A</v>
      </c>
    </row>
    <row r="11297" spans="1:8" x14ac:dyDescent="0.2">
      <c r="A11297" t="str">
        <f t="shared" si="4085"/>
        <v>0616005316</v>
      </c>
      <c r="B11297" t="str">
        <f t="shared" si="4086"/>
        <v>TAMAR</v>
      </c>
      <c r="C11297" t="str">
        <f t="shared" si="4081"/>
        <v>MERCIER</v>
      </c>
      <c r="D11297">
        <f>10</f>
        <v>10</v>
      </c>
      <c r="E11297" t="str">
        <f>"06 - B - 117 - Daniel S Tyson"</f>
        <v>06 - B - 117 - Daniel S Tyson</v>
      </c>
      <c r="F11297" t="str">
        <f>"NC STUDY HALL 1"</f>
        <v>NC STUDY HALL 1</v>
      </c>
      <c r="G11297" t="str">
        <f>"05-510"</f>
        <v>05-510</v>
      </c>
      <c r="H11297" t="str">
        <f>"B"</f>
        <v>B</v>
      </c>
    </row>
    <row r="11298" spans="1:8" x14ac:dyDescent="0.2">
      <c r="A11298" t="str">
        <f t="shared" si="4085"/>
        <v>0616005316</v>
      </c>
      <c r="B11298" t="str">
        <f t="shared" si="4086"/>
        <v>TAMAR</v>
      </c>
      <c r="C11298" t="str">
        <f t="shared" si="4081"/>
        <v>MERCIER</v>
      </c>
      <c r="D11298">
        <f>10</f>
        <v>10</v>
      </c>
      <c r="E11298" t="str">
        <f>"03 - A - 103 - Kelly N Panza"</f>
        <v>03 - A - 103 - Kelly N Panza</v>
      </c>
      <c r="F11298" t="str">
        <f>"AICE GLBL PERSP 1 AS"</f>
        <v>AICE GLBL PERSP 1 AS</v>
      </c>
      <c r="G11298" t="str">
        <f>"17-1753"</f>
        <v>17-1753</v>
      </c>
      <c r="H11298" t="str">
        <f>"A"</f>
        <v>A</v>
      </c>
    </row>
    <row r="11299" spans="1:8" x14ac:dyDescent="0.2">
      <c r="A11299" t="str">
        <f t="shared" si="4085"/>
        <v>0616005316</v>
      </c>
      <c r="B11299" t="str">
        <f t="shared" si="4086"/>
        <v>TAMAR</v>
      </c>
      <c r="C11299" t="str">
        <f t="shared" si="4081"/>
        <v>MERCIER</v>
      </c>
      <c r="D11299">
        <f>10</f>
        <v>10</v>
      </c>
      <c r="E11299" t="str">
        <f>"02 - A - 102 - Vanessa J Liburd"</f>
        <v>02 - A - 102 - Vanessa J Liburd</v>
      </c>
      <c r="F11299" t="str">
        <f>"PRE-AICE FRENCH 2 IG"</f>
        <v>PRE-AICE FRENCH 2 IG</v>
      </c>
      <c r="G11299" t="str">
        <f>"05-519"</f>
        <v>05-519</v>
      </c>
      <c r="H11299" t="str">
        <f>"A"</f>
        <v>A</v>
      </c>
    </row>
    <row r="11300" spans="1:8" x14ac:dyDescent="0.2">
      <c r="A11300" t="str">
        <f t="shared" si="4085"/>
        <v>0616005316</v>
      </c>
      <c r="B11300" t="str">
        <f t="shared" si="4086"/>
        <v>TAMAR</v>
      </c>
      <c r="C11300" t="str">
        <f t="shared" si="4081"/>
        <v>MERCIER</v>
      </c>
      <c r="D11300">
        <f>10</f>
        <v>10</v>
      </c>
      <c r="E11300" t="str">
        <f>"07 - B - 107 - Marius D Orsolini"</f>
        <v>07 - B - 107 - Marius D Orsolini</v>
      </c>
      <c r="F11300" t="str">
        <f>"CULINARY ARTS 1"</f>
        <v>CULINARY ARTS 1</v>
      </c>
      <c r="G11300" t="str">
        <f>"21-2115"</f>
        <v>21-2115</v>
      </c>
      <c r="H11300" t="str">
        <f>"B"</f>
        <v>B</v>
      </c>
    </row>
    <row r="11301" spans="1:8" x14ac:dyDescent="0.2">
      <c r="A11301" t="str">
        <f t="shared" si="4085"/>
        <v>0616005316</v>
      </c>
      <c r="B11301" t="str">
        <f t="shared" si="4086"/>
        <v>TAMAR</v>
      </c>
      <c r="C11301" t="str">
        <f t="shared" si="4081"/>
        <v>MERCIER</v>
      </c>
      <c r="D11301">
        <f>10</f>
        <v>10</v>
      </c>
      <c r="E11301" t="str">
        <f>"05 - B - 103 - Byron G Montenegro"</f>
        <v>05 - B - 103 - Byron G Montenegro</v>
      </c>
      <c r="F11301" t="str">
        <f>"AICE MARINE SCI 1 AS"</f>
        <v>AICE MARINE SCI 1 AS</v>
      </c>
      <c r="G11301" t="str">
        <f>"21-2144"</f>
        <v>21-2144</v>
      </c>
      <c r="H11301" t="str">
        <f>"B"</f>
        <v>B</v>
      </c>
    </row>
    <row r="11302" spans="1:8" x14ac:dyDescent="0.2">
      <c r="A11302" t="str">
        <f t="shared" si="4085"/>
        <v>0616005316</v>
      </c>
      <c r="B11302" t="str">
        <f t="shared" si="4086"/>
        <v>TAMAR</v>
      </c>
      <c r="C11302" t="str">
        <f t="shared" si="4081"/>
        <v>MERCIER</v>
      </c>
      <c r="D11302">
        <f>10</f>
        <v>10</v>
      </c>
      <c r="E11302" t="str">
        <f>"01 - A - 101 - Courtney E Hambright"</f>
        <v>01 - A - 101 - Courtney E Hambright</v>
      </c>
      <c r="F11302" t="str">
        <f>"AICE ENG LANG AS"</f>
        <v>AICE ENG LANG AS</v>
      </c>
      <c r="G11302" t="str">
        <f>"17-1711"</f>
        <v>17-1711</v>
      </c>
      <c r="H11302" t="str">
        <f>"A"</f>
        <v>A</v>
      </c>
    </row>
    <row r="11303" spans="1:8" x14ac:dyDescent="0.2">
      <c r="A11303" t="str">
        <f t="shared" si="4085"/>
        <v>0616005316</v>
      </c>
      <c r="B11303" t="str">
        <f t="shared" si="4086"/>
        <v>TAMAR</v>
      </c>
      <c r="C11303" t="str">
        <f t="shared" si="4081"/>
        <v>MERCIER</v>
      </c>
      <c r="D11303">
        <f>10</f>
        <v>10</v>
      </c>
      <c r="E11303" t="str">
        <f>"08 - B - 001 - Chrystina M Marchionne"</f>
        <v>08 - B - 001 - Chrystina M Marchionne</v>
      </c>
      <c r="F11303" t="str">
        <f>"JOURN 1 (YB) LH"</f>
        <v>JOURN 1 (YB) LH</v>
      </c>
      <c r="G11303" t="str">
        <f>"05-520"</f>
        <v>05-520</v>
      </c>
      <c r="H11303" t="str">
        <f>"B"</f>
        <v>B</v>
      </c>
    </row>
    <row r="11304" spans="1:8" x14ac:dyDescent="0.2">
      <c r="A11304" t="str">
        <f t="shared" ref="A11304:A11311" si="4087">"0616024694"</f>
        <v>0616024694</v>
      </c>
      <c r="B11304" t="str">
        <f t="shared" ref="B11304:B11311" si="4088">"ROODLY"</f>
        <v>ROODLY</v>
      </c>
      <c r="C11304" t="str">
        <f t="shared" ref="C11304:C11311" si="4089">"MERCIUS JR"</f>
        <v>MERCIUS JR</v>
      </c>
      <c r="D11304" t="str">
        <f t="shared" ref="D11304:D11327" si="4090">"09"</f>
        <v>09</v>
      </c>
      <c r="E11304" t="str">
        <f>"04 - A - 106 - Lissa C Frederique"</f>
        <v>04 - A - 106 - Lissa C Frederique</v>
      </c>
      <c r="F11304" t="str">
        <f>"WORLD HISTORY"</f>
        <v>WORLD HISTORY</v>
      </c>
      <c r="G11304" t="str">
        <f>"17-1754"</f>
        <v>17-1754</v>
      </c>
      <c r="H11304" t="str">
        <f>"A"</f>
        <v>A</v>
      </c>
    </row>
    <row r="11305" spans="1:8" x14ac:dyDescent="0.2">
      <c r="A11305" t="str">
        <f t="shared" si="4087"/>
        <v>0616024694</v>
      </c>
      <c r="B11305" t="str">
        <f t="shared" si="4088"/>
        <v>ROODLY</v>
      </c>
      <c r="C11305" t="str">
        <f t="shared" si="4089"/>
        <v>MERCIUS JR</v>
      </c>
      <c r="D11305" t="str">
        <f t="shared" si="4090"/>
        <v>09</v>
      </c>
      <c r="E11305" t="str">
        <f>"06 - B - 105 - Dayna M Foster"</f>
        <v>06 - B - 105 - Dayna M Foster</v>
      </c>
      <c r="F11305" t="str">
        <f>"ALGEBRA 1"</f>
        <v>ALGEBRA 1</v>
      </c>
      <c r="G11305" t="str">
        <f>"21-2109"</f>
        <v>21-2109</v>
      </c>
      <c r="H11305" t="str">
        <f>"B"</f>
        <v>B</v>
      </c>
    </row>
    <row r="11306" spans="1:8" x14ac:dyDescent="0.2">
      <c r="A11306" t="str">
        <f t="shared" si="4087"/>
        <v>0616024694</v>
      </c>
      <c r="B11306" t="str">
        <f t="shared" si="4088"/>
        <v>ROODLY</v>
      </c>
      <c r="C11306" t="str">
        <f t="shared" si="4089"/>
        <v>MERCIUS JR</v>
      </c>
      <c r="D11306" t="str">
        <f t="shared" si="4090"/>
        <v>09</v>
      </c>
      <c r="E11306" t="str">
        <f>"03 - A - 101 - Dayna M Foster"</f>
        <v>03 - A - 101 - Dayna M Foster</v>
      </c>
      <c r="F11306" t="str">
        <f>"FDN SKLS MATH 9-12"</f>
        <v>FDN SKLS MATH 9-12</v>
      </c>
      <c r="G11306" t="str">
        <f>"21-2109"</f>
        <v>21-2109</v>
      </c>
      <c r="H11306" t="str">
        <f>"A"</f>
        <v>A</v>
      </c>
    </row>
    <row r="11307" spans="1:8" x14ac:dyDescent="0.2">
      <c r="A11307" t="str">
        <f t="shared" si="4087"/>
        <v>0616024694</v>
      </c>
      <c r="B11307" t="str">
        <f t="shared" si="4088"/>
        <v>ROODLY</v>
      </c>
      <c r="C11307" t="str">
        <f t="shared" si="4089"/>
        <v>MERCIUS JR</v>
      </c>
      <c r="D11307" t="str">
        <f t="shared" si="4090"/>
        <v>09</v>
      </c>
      <c r="E11307" t="str">
        <f>"02 - A - 114 - Laselleda D Shaw"</f>
        <v>02 - A - 114 - Laselleda D Shaw</v>
      </c>
      <c r="F11307" t="str">
        <f>"NC STUDY HALL 1"</f>
        <v>NC STUDY HALL 1</v>
      </c>
      <c r="G11307" t="str">
        <f>"17-1723"</f>
        <v>17-1723</v>
      </c>
      <c r="H11307" t="str">
        <f>"A"</f>
        <v>A</v>
      </c>
    </row>
    <row r="11308" spans="1:8" x14ac:dyDescent="0.2">
      <c r="A11308" t="str">
        <f t="shared" si="4087"/>
        <v>0616024694</v>
      </c>
      <c r="B11308" t="str">
        <f t="shared" si="4088"/>
        <v>ROODLY</v>
      </c>
      <c r="C11308" t="str">
        <f t="shared" si="4089"/>
        <v>MERCIUS JR</v>
      </c>
      <c r="D11308" t="str">
        <f t="shared" si="4090"/>
        <v>09</v>
      </c>
      <c r="E11308" t="str">
        <f>"07 - B - 003 - Samantha J Headley"</f>
        <v>07 - B - 003 - Samantha J Headley</v>
      </c>
      <c r="F11308" t="str">
        <f>"ENV SCI"</f>
        <v>ENV SCI</v>
      </c>
      <c r="G11308" t="str">
        <f>"08-802"</f>
        <v>08-802</v>
      </c>
      <c r="H11308" t="str">
        <f>"B"</f>
        <v>B</v>
      </c>
    </row>
    <row r="11309" spans="1:8" x14ac:dyDescent="0.2">
      <c r="A11309" t="str">
        <f t="shared" si="4087"/>
        <v>0616024694</v>
      </c>
      <c r="B11309" t="str">
        <f t="shared" si="4088"/>
        <v>ROODLY</v>
      </c>
      <c r="C11309" t="str">
        <f t="shared" si="4089"/>
        <v>MERCIUS JR</v>
      </c>
      <c r="D11309" t="str">
        <f t="shared" si="4090"/>
        <v>09</v>
      </c>
      <c r="E11309" t="str">
        <f>"05 - B - 104 - Cerine S Stewart"</f>
        <v>05 - B - 104 - Cerine S Stewart</v>
      </c>
      <c r="F11309" t="str">
        <f>"ENG 1"</f>
        <v>ENG 1</v>
      </c>
      <c r="G11309" t="str">
        <f>"17-1720"</f>
        <v>17-1720</v>
      </c>
      <c r="H11309" t="str">
        <f>"B"</f>
        <v>B</v>
      </c>
    </row>
    <row r="11310" spans="1:8" x14ac:dyDescent="0.2">
      <c r="A11310" t="str">
        <f t="shared" si="4087"/>
        <v>0616024694</v>
      </c>
      <c r="B11310" t="str">
        <f t="shared" si="4088"/>
        <v>ROODLY</v>
      </c>
      <c r="C11310" t="str">
        <f t="shared" si="4089"/>
        <v>MERCIUS JR</v>
      </c>
      <c r="D11310" t="str">
        <f t="shared" si="4090"/>
        <v>09</v>
      </c>
      <c r="E11310" t="str">
        <f>"01 - A - 101 - Adam Marcus  Drucker"</f>
        <v>01 - A - 101 - Adam Marcus  Drucker</v>
      </c>
      <c r="F11310" t="str">
        <f>"HOPE-PE V"</f>
        <v>HOPE-PE V</v>
      </c>
      <c r="G11310" t="str">
        <f>"04-254"</f>
        <v>04-254</v>
      </c>
      <c r="H11310" t="str">
        <f>"A"</f>
        <v>A</v>
      </c>
    </row>
    <row r="11311" spans="1:8" x14ac:dyDescent="0.2">
      <c r="A11311" t="str">
        <f t="shared" si="4087"/>
        <v>0616024694</v>
      </c>
      <c r="B11311" t="str">
        <f t="shared" si="4088"/>
        <v>ROODLY</v>
      </c>
      <c r="C11311" t="str">
        <f t="shared" si="4089"/>
        <v>MERCIUS JR</v>
      </c>
      <c r="D11311" t="str">
        <f t="shared" si="4090"/>
        <v>09</v>
      </c>
      <c r="E11311" t="str">
        <f>"08 - B - 106 - Laselleda D Shaw"</f>
        <v>08 - B - 106 - Laselleda D Shaw</v>
      </c>
      <c r="F11311" t="str">
        <f>"INTENS READ 1"</f>
        <v>INTENS READ 1</v>
      </c>
      <c r="G11311" t="str">
        <f>"17-1723"</f>
        <v>17-1723</v>
      </c>
      <c r="H11311" t="str">
        <f>"B"</f>
        <v>B</v>
      </c>
    </row>
    <row r="11312" spans="1:8" x14ac:dyDescent="0.2">
      <c r="A11312" t="str">
        <f t="shared" ref="A11312:A11319" si="4091">"0621089396"</f>
        <v>0621089396</v>
      </c>
      <c r="B11312" t="str">
        <f t="shared" ref="B11312:B11319" si="4092">"ARIEL"</f>
        <v>ARIEL</v>
      </c>
      <c r="C11312" t="str">
        <f t="shared" ref="C11312:C11319" si="4093">"MERDINGER"</f>
        <v>MERDINGER</v>
      </c>
      <c r="D11312" t="str">
        <f t="shared" si="4090"/>
        <v>09</v>
      </c>
      <c r="E11312" t="str">
        <f>"04 - A - 102 - Elizabeth R Walker"</f>
        <v>04 - A - 102 - Elizabeth R Walker</v>
      </c>
      <c r="F11312" t="str">
        <f>"AICE ENG GEN PAPER 1"</f>
        <v>AICE ENG GEN PAPER 1</v>
      </c>
      <c r="G11312" t="str">
        <f>"17-1703"</f>
        <v>17-1703</v>
      </c>
      <c r="H11312" t="str">
        <f>"A"</f>
        <v>A</v>
      </c>
    </row>
    <row r="11313" spans="1:8" x14ac:dyDescent="0.2">
      <c r="A11313" t="str">
        <f t="shared" si="4091"/>
        <v>0621089396</v>
      </c>
      <c r="B11313" t="str">
        <f t="shared" si="4092"/>
        <v>ARIEL</v>
      </c>
      <c r="C11313" t="str">
        <f t="shared" si="4093"/>
        <v>MERDINGER</v>
      </c>
      <c r="D11313" t="str">
        <f t="shared" si="4090"/>
        <v>09</v>
      </c>
      <c r="E11313" t="str">
        <f>"06 - B - 106 - Marius D Orsolini"</f>
        <v>06 - B - 106 - Marius D Orsolini</v>
      </c>
      <c r="F11313" t="str">
        <f>"CULINARY ARTS 1"</f>
        <v>CULINARY ARTS 1</v>
      </c>
      <c r="G11313" t="str">
        <f>"21-2115"</f>
        <v>21-2115</v>
      </c>
      <c r="H11313" t="str">
        <f>"B"</f>
        <v>B</v>
      </c>
    </row>
    <row r="11314" spans="1:8" x14ac:dyDescent="0.2">
      <c r="A11314" t="str">
        <f t="shared" si="4091"/>
        <v>0621089396</v>
      </c>
      <c r="B11314" t="str">
        <f t="shared" si="4092"/>
        <v>ARIEL</v>
      </c>
      <c r="C11314" t="str">
        <f t="shared" si="4093"/>
        <v>MERDINGER</v>
      </c>
      <c r="D11314" t="str">
        <f t="shared" si="4090"/>
        <v>09</v>
      </c>
      <c r="E11314" t="str">
        <f>"03 - A - 204 - Norayda D Suarez"</f>
        <v>03 - A - 204 - Norayda D Suarez</v>
      </c>
      <c r="F11314" t="str">
        <f>"ANAT PHYSIO HON"</f>
        <v>ANAT PHYSIO HON</v>
      </c>
      <c r="G11314" t="str">
        <f>"21-2144"</f>
        <v>21-2144</v>
      </c>
      <c r="H11314" t="str">
        <f>"A"</f>
        <v>A</v>
      </c>
    </row>
    <row r="11315" spans="1:8" x14ac:dyDescent="0.2">
      <c r="A11315" t="str">
        <f t="shared" si="4091"/>
        <v>0621089396</v>
      </c>
      <c r="B11315" t="str">
        <f t="shared" si="4092"/>
        <v>ARIEL</v>
      </c>
      <c r="C11315" t="str">
        <f t="shared" si="4093"/>
        <v>MERDINGER</v>
      </c>
      <c r="D11315" t="str">
        <f t="shared" si="4090"/>
        <v>09</v>
      </c>
      <c r="E11315" t="str">
        <f>"02 - A - 104 - Lytrell T Dixon"</f>
        <v>02 - A - 104 - Lytrell T Dixon</v>
      </c>
      <c r="F11315" t="str">
        <f>"NC STUDY HALL 1"</f>
        <v>NC STUDY HALL 1</v>
      </c>
      <c r="G11315" t="str">
        <f>"08-808"</f>
        <v>08-808</v>
      </c>
      <c r="H11315" t="str">
        <f>"A"</f>
        <v>A</v>
      </c>
    </row>
    <row r="11316" spans="1:8" x14ac:dyDescent="0.2">
      <c r="A11316" t="str">
        <f t="shared" si="4091"/>
        <v>0621089396</v>
      </c>
      <c r="B11316" t="str">
        <f t="shared" si="4092"/>
        <v>ARIEL</v>
      </c>
      <c r="C11316" t="str">
        <f t="shared" si="4093"/>
        <v>MERDINGER</v>
      </c>
      <c r="D11316" t="str">
        <f t="shared" si="4090"/>
        <v>09</v>
      </c>
      <c r="E11316" t="str">
        <f>"07 - B - 001 - Carol S Moore"</f>
        <v>07 - B - 001 - Carol S Moore</v>
      </c>
      <c r="F11316" t="str">
        <f>"PRE-AICE WRLD HST IG"</f>
        <v>PRE-AICE WRLD HST IG</v>
      </c>
      <c r="G11316" t="str">
        <f>"17-1733"</f>
        <v>17-1733</v>
      </c>
      <c r="H11316" t="str">
        <f>"B"</f>
        <v>B</v>
      </c>
    </row>
    <row r="11317" spans="1:8" x14ac:dyDescent="0.2">
      <c r="A11317" t="str">
        <f t="shared" si="4091"/>
        <v>0621089396</v>
      </c>
      <c r="B11317" t="str">
        <f t="shared" si="4092"/>
        <v>ARIEL</v>
      </c>
      <c r="C11317" t="str">
        <f t="shared" si="4093"/>
        <v>MERDINGER</v>
      </c>
      <c r="D11317" t="str">
        <f t="shared" si="4090"/>
        <v>09</v>
      </c>
      <c r="E11317" t="str">
        <f>"05 - B - 104 - Maried P Ramos"</f>
        <v>05 - B - 104 - Maried P Ramos</v>
      </c>
      <c r="F11317" t="str">
        <f>"PRE-AICE MATH 2 IG"</f>
        <v>PRE-AICE MATH 2 IG</v>
      </c>
      <c r="G11317" t="str">
        <f>"21-2159"</f>
        <v>21-2159</v>
      </c>
      <c r="H11317" t="str">
        <f>"B"</f>
        <v>B</v>
      </c>
    </row>
    <row r="11318" spans="1:8" x14ac:dyDescent="0.2">
      <c r="A11318" t="str">
        <f t="shared" si="4091"/>
        <v>0621089396</v>
      </c>
      <c r="B11318" t="str">
        <f t="shared" si="4092"/>
        <v>ARIEL</v>
      </c>
      <c r="C11318" t="str">
        <f t="shared" si="4093"/>
        <v>MERDINGER</v>
      </c>
      <c r="D11318" t="str">
        <f t="shared" si="4090"/>
        <v>09</v>
      </c>
      <c r="E11318" t="str">
        <f>"01 - A - 108 - Rosa Elaine  Collado-Duff"</f>
        <v>01 - A - 108 - Rosa Elaine  Collado-Duff</v>
      </c>
      <c r="F11318" t="str">
        <f>"PRE-AICE SPAN 2 IG"</f>
        <v>PRE-AICE SPAN 2 IG</v>
      </c>
      <c r="G11318" t="str">
        <f>"09-913"</f>
        <v>09-913</v>
      </c>
      <c r="H11318" t="str">
        <f>"A"</f>
        <v>A</v>
      </c>
    </row>
    <row r="11319" spans="1:8" x14ac:dyDescent="0.2">
      <c r="A11319" t="str">
        <f t="shared" si="4091"/>
        <v>0621089396</v>
      </c>
      <c r="B11319" t="str">
        <f t="shared" si="4092"/>
        <v>ARIEL</v>
      </c>
      <c r="C11319" t="str">
        <f t="shared" si="4093"/>
        <v>MERDINGER</v>
      </c>
      <c r="D11319" t="str">
        <f t="shared" si="4090"/>
        <v>09</v>
      </c>
      <c r="E11319" t="str">
        <f>"08 - S1 - B - 104 - Angela S Adeshina-Morrison"</f>
        <v>08 - S1 - B - 104 - Angela S Adeshina-Morrison</v>
      </c>
      <c r="F11319" t="str">
        <f>"PEER COUN 1"</f>
        <v>PEER COUN 1</v>
      </c>
      <c r="G11319" t="str">
        <f>"05-518"</f>
        <v>05-518</v>
      </c>
      <c r="H11319" t="str">
        <f>"B"</f>
        <v>B</v>
      </c>
    </row>
    <row r="11320" spans="1:8" x14ac:dyDescent="0.2">
      <c r="A11320" t="str">
        <f t="shared" ref="A11320:A11327" si="4094">"0615010206"</f>
        <v>0615010206</v>
      </c>
      <c r="B11320" t="str">
        <f t="shared" ref="B11320:B11327" si="4095">"REBECCA"</f>
        <v>REBECCA</v>
      </c>
      <c r="C11320" t="str">
        <f t="shared" ref="C11320:C11327" si="4096">"MERIZIER"</f>
        <v>MERIZIER</v>
      </c>
      <c r="D11320" t="str">
        <f t="shared" si="4090"/>
        <v>09</v>
      </c>
      <c r="E11320" t="str">
        <f>"04 - A - 104 - Helen A Flores"</f>
        <v>04 - A - 104 - Helen A Flores</v>
      </c>
      <c r="F11320" t="str">
        <f>"FDN SKLS MATH 9-12"</f>
        <v>FDN SKLS MATH 9-12</v>
      </c>
      <c r="G11320" t="str">
        <f>"21-2101"</f>
        <v>21-2101</v>
      </c>
      <c r="H11320" t="str">
        <f>"A"</f>
        <v>A</v>
      </c>
    </row>
    <row r="11321" spans="1:8" x14ac:dyDescent="0.2">
      <c r="A11321" t="str">
        <f t="shared" si="4094"/>
        <v>0615010206</v>
      </c>
      <c r="B11321" t="str">
        <f t="shared" si="4095"/>
        <v>REBECCA</v>
      </c>
      <c r="C11321" t="str">
        <f t="shared" si="4096"/>
        <v>MERIZIER</v>
      </c>
      <c r="D11321" t="str">
        <f t="shared" si="4090"/>
        <v>09</v>
      </c>
      <c r="E11321" t="str">
        <f>"06 - B - 104 - Lytrell T Dixon"</f>
        <v>06 - B - 104 - Lytrell T Dixon</v>
      </c>
      <c r="F11321" t="str">
        <f>"PRE-AICE BIO IG"</f>
        <v>PRE-AICE BIO IG</v>
      </c>
      <c r="G11321" t="str">
        <f>"08-808"</f>
        <v>08-808</v>
      </c>
      <c r="H11321" t="str">
        <f>"B"</f>
        <v>B</v>
      </c>
    </row>
    <row r="11322" spans="1:8" x14ac:dyDescent="0.2">
      <c r="A11322" t="str">
        <f t="shared" si="4094"/>
        <v>0615010206</v>
      </c>
      <c r="B11322" t="str">
        <f t="shared" si="4095"/>
        <v>REBECCA</v>
      </c>
      <c r="C11322" t="str">
        <f t="shared" si="4096"/>
        <v>MERIZIER</v>
      </c>
      <c r="D11322" t="str">
        <f t="shared" si="4090"/>
        <v>09</v>
      </c>
      <c r="E11322" t="str">
        <f>"03 - A - 201 - Christa T Parisi"</f>
        <v>03 - A - 201 - Christa T Parisi</v>
      </c>
      <c r="F11322" t="str">
        <f>"DANCE TECHNQS 1"</f>
        <v>DANCE TECHNQS 1</v>
      </c>
      <c r="G11322" t="str">
        <f>"05-503"</f>
        <v>05-503</v>
      </c>
      <c r="H11322" t="str">
        <f>"A"</f>
        <v>A</v>
      </c>
    </row>
    <row r="11323" spans="1:8" x14ac:dyDescent="0.2">
      <c r="A11323" t="str">
        <f t="shared" si="4094"/>
        <v>0615010206</v>
      </c>
      <c r="B11323" t="str">
        <f t="shared" si="4095"/>
        <v>REBECCA</v>
      </c>
      <c r="C11323" t="str">
        <f t="shared" si="4096"/>
        <v>MERIZIER</v>
      </c>
      <c r="D11323" t="str">
        <f t="shared" si="4090"/>
        <v>09</v>
      </c>
      <c r="E11323" t="str">
        <f>"02 - A - 103 - Arthur  Kulawik"</f>
        <v>02 - A - 103 - Arthur  Kulawik</v>
      </c>
      <c r="F11323" t="str">
        <f>"NC STUDY HALL 1"</f>
        <v>NC STUDY HALL 1</v>
      </c>
      <c r="G11323" t="str">
        <f>"05-506"</f>
        <v>05-506</v>
      </c>
      <c r="H11323" t="str">
        <f>"A"</f>
        <v>A</v>
      </c>
    </row>
    <row r="11324" spans="1:8" x14ac:dyDescent="0.2">
      <c r="A11324" t="str">
        <f t="shared" si="4094"/>
        <v>0615010206</v>
      </c>
      <c r="B11324" t="str">
        <f t="shared" si="4095"/>
        <v>REBECCA</v>
      </c>
      <c r="C11324" t="str">
        <f t="shared" si="4096"/>
        <v>MERIZIER</v>
      </c>
      <c r="D11324" t="str">
        <f t="shared" si="4090"/>
        <v>09</v>
      </c>
      <c r="E11324" t="str">
        <f>"07 - B - 001 - Carol S Moore"</f>
        <v>07 - B - 001 - Carol S Moore</v>
      </c>
      <c r="F11324" t="str">
        <f>"PRE-AICE WRLD HST IG"</f>
        <v>PRE-AICE WRLD HST IG</v>
      </c>
      <c r="G11324" t="str">
        <f>"17-1733"</f>
        <v>17-1733</v>
      </c>
      <c r="H11324" t="str">
        <f>"B"</f>
        <v>B</v>
      </c>
    </row>
    <row r="11325" spans="1:8" x14ac:dyDescent="0.2">
      <c r="A11325" t="str">
        <f t="shared" si="4094"/>
        <v>0615010206</v>
      </c>
      <c r="B11325" t="str">
        <f t="shared" si="4095"/>
        <v>REBECCA</v>
      </c>
      <c r="C11325" t="str">
        <f t="shared" si="4096"/>
        <v>MERIZIER</v>
      </c>
      <c r="D11325" t="str">
        <f t="shared" si="4090"/>
        <v>09</v>
      </c>
      <c r="E11325" t="str">
        <f>"05 - S1 - B - 102 - Richard E Dunbar Iii"</f>
        <v>05 - S1 - B - 102 - Richard E Dunbar Iii</v>
      </c>
      <c r="F11325" t="str">
        <f>"TEAM SPORTS 1"</f>
        <v>TEAM SPORTS 1</v>
      </c>
      <c r="G11325" t="str">
        <f>"04-254"</f>
        <v>04-254</v>
      </c>
      <c r="H11325" t="str">
        <f>"B"</f>
        <v>B</v>
      </c>
    </row>
    <row r="11326" spans="1:8" x14ac:dyDescent="0.2">
      <c r="A11326" t="str">
        <f t="shared" si="4094"/>
        <v>0615010206</v>
      </c>
      <c r="B11326" t="str">
        <f t="shared" si="4095"/>
        <v>REBECCA</v>
      </c>
      <c r="C11326" t="str">
        <f t="shared" si="4096"/>
        <v>MERIZIER</v>
      </c>
      <c r="D11326" t="str">
        <f t="shared" si="4090"/>
        <v>09</v>
      </c>
      <c r="E11326" t="str">
        <f>"01 - A - 101 - Cheryl Anne  Berman-Schechter"</f>
        <v>01 - A - 101 - Cheryl Anne  Berman-Schechter</v>
      </c>
      <c r="F11326" t="str">
        <f>"PRE-AICE ENG LANG IG"</f>
        <v>PRE-AICE ENG LANG IG</v>
      </c>
      <c r="G11326" t="str">
        <f>"17-1722"</f>
        <v>17-1722</v>
      </c>
      <c r="H11326" t="str">
        <f>"A"</f>
        <v>A</v>
      </c>
    </row>
    <row r="11327" spans="1:8" x14ac:dyDescent="0.2">
      <c r="A11327" t="str">
        <f t="shared" si="4094"/>
        <v>0615010206</v>
      </c>
      <c r="B11327" t="str">
        <f t="shared" si="4095"/>
        <v>REBECCA</v>
      </c>
      <c r="C11327" t="str">
        <f t="shared" si="4096"/>
        <v>MERIZIER</v>
      </c>
      <c r="D11327" t="str">
        <f t="shared" si="4090"/>
        <v>09</v>
      </c>
      <c r="E11327" t="str">
        <f>"08 - B - 106 - Helen A Flores"</f>
        <v>08 - B - 106 - Helen A Flores</v>
      </c>
      <c r="F11327" t="str">
        <f>"ALGEBRA 1"</f>
        <v>ALGEBRA 1</v>
      </c>
      <c r="G11327" t="str">
        <f>"21-2101"</f>
        <v>21-2101</v>
      </c>
      <c r="H11327" t="str">
        <f>"B"</f>
        <v>B</v>
      </c>
    </row>
    <row r="11328" spans="1:8" x14ac:dyDescent="0.2">
      <c r="A11328" t="str">
        <f t="shared" ref="A11328:A11335" si="4097">"0613116546"</f>
        <v>0613116546</v>
      </c>
      <c r="B11328" t="str">
        <f t="shared" ref="B11328:B11335" si="4098">"MADELEINE"</f>
        <v>MADELEINE</v>
      </c>
      <c r="C11328" t="str">
        <f t="shared" ref="C11328:C11335" si="4099">"MERRICK"</f>
        <v>MERRICK</v>
      </c>
      <c r="D11328">
        <f>12</f>
        <v>12</v>
      </c>
      <c r="E11328" t="str">
        <f>"04 - A - 205 - Jacqueline R Morphet"</f>
        <v>04 - A - 205 - Jacqueline R Morphet</v>
      </c>
      <c r="F11328" t="str">
        <f>"PHYSICS 1 HON"</f>
        <v>PHYSICS 1 HON</v>
      </c>
      <c r="G11328" t="str">
        <f>"21-2138"</f>
        <v>21-2138</v>
      </c>
      <c r="H11328" t="str">
        <f>"A"</f>
        <v>A</v>
      </c>
    </row>
    <row r="11329" spans="1:8" x14ac:dyDescent="0.2">
      <c r="A11329" t="str">
        <f t="shared" si="4097"/>
        <v>0613116546</v>
      </c>
      <c r="B11329" t="str">
        <f t="shared" si="4098"/>
        <v>MADELEINE</v>
      </c>
      <c r="C11329" t="str">
        <f t="shared" si="4099"/>
        <v>MERRICK</v>
      </c>
      <c r="D11329">
        <f>12</f>
        <v>12</v>
      </c>
      <c r="E11329" t="str">
        <f>"06 - B - 104 - Lissa C Frederique"</f>
        <v>06 - B - 104 - Lissa C Frederique</v>
      </c>
      <c r="F11329" t="str">
        <f>"NC STUDY HALL 1"</f>
        <v>NC STUDY HALL 1</v>
      </c>
      <c r="G11329" t="str">
        <f>"17-1754"</f>
        <v>17-1754</v>
      </c>
      <c r="H11329" t="str">
        <f>"B"</f>
        <v>B</v>
      </c>
    </row>
    <row r="11330" spans="1:8" x14ac:dyDescent="0.2">
      <c r="A11330" t="str">
        <f t="shared" si="4097"/>
        <v>0613116546</v>
      </c>
      <c r="B11330" t="str">
        <f t="shared" si="4098"/>
        <v>MADELEINE</v>
      </c>
      <c r="C11330" t="str">
        <f t="shared" si="4099"/>
        <v>MERRICK</v>
      </c>
      <c r="D11330">
        <f>12</f>
        <v>12</v>
      </c>
      <c r="E11330" t="str">
        <f>"03 - A - 101 - Lisa J London"</f>
        <v>03 - A - 101 - Lisa J London</v>
      </c>
      <c r="F11330" t="str">
        <f>"AP CAPSTONE RESEARCH"</f>
        <v>AP CAPSTONE RESEARCH</v>
      </c>
      <c r="G11330" t="str">
        <f>"17-1714"</f>
        <v>17-1714</v>
      </c>
      <c r="H11330" t="str">
        <f>"A"</f>
        <v>A</v>
      </c>
    </row>
    <row r="11331" spans="1:8" x14ac:dyDescent="0.2">
      <c r="A11331" t="str">
        <f t="shared" si="4097"/>
        <v>0613116546</v>
      </c>
      <c r="B11331" t="str">
        <f t="shared" si="4098"/>
        <v>MADELEINE</v>
      </c>
      <c r="C11331" t="str">
        <f t="shared" si="4099"/>
        <v>MERRICK</v>
      </c>
      <c r="D11331">
        <f>12</f>
        <v>12</v>
      </c>
      <c r="E11331" t="str">
        <f>"02 - A - 101 - Brian M Fitzgerald"</f>
        <v>02 - A - 101 - Brian M Fitzgerald</v>
      </c>
      <c r="F11331" t="str">
        <f>"DRAW 1"</f>
        <v>DRAW 1</v>
      </c>
      <c r="G11331" t="str">
        <f>"09-908"</f>
        <v>09-908</v>
      </c>
      <c r="H11331" t="str">
        <f>"A"</f>
        <v>A</v>
      </c>
    </row>
    <row r="11332" spans="1:8" x14ac:dyDescent="0.2">
      <c r="A11332" t="str">
        <f t="shared" si="4097"/>
        <v>0613116546</v>
      </c>
      <c r="B11332" t="str">
        <f t="shared" si="4098"/>
        <v>MADELEINE</v>
      </c>
      <c r="C11332" t="str">
        <f t="shared" si="4099"/>
        <v>MERRICK</v>
      </c>
      <c r="D11332">
        <f>12</f>
        <v>12</v>
      </c>
      <c r="E11332" t="str">
        <f>"07 - B - 102 - Courtney E Hambright"</f>
        <v>07 - B - 102 - Courtney E Hambright</v>
      </c>
      <c r="F11332" t="str">
        <f>"AP ENG LIT COMPO"</f>
        <v>AP ENG LIT COMPO</v>
      </c>
      <c r="G11332" t="str">
        <f>"17-1711"</f>
        <v>17-1711</v>
      </c>
      <c r="H11332" t="str">
        <f>"B"</f>
        <v>B</v>
      </c>
    </row>
    <row r="11333" spans="1:8" x14ac:dyDescent="0.2">
      <c r="A11333" t="str">
        <f t="shared" si="4097"/>
        <v>0613116546</v>
      </c>
      <c r="B11333" t="str">
        <f t="shared" si="4098"/>
        <v>MADELEINE</v>
      </c>
      <c r="C11333" t="str">
        <f t="shared" si="4099"/>
        <v>MERRICK</v>
      </c>
      <c r="D11333">
        <f>12</f>
        <v>12</v>
      </c>
      <c r="E11333" t="str">
        <f>"05 - S1 - B - 103 - Stephen T Ripp"</f>
        <v>05 - S1 - B - 103 - Stephen T Ripp</v>
      </c>
      <c r="F11333" t="str">
        <f>"AP US GOVT/POL"</f>
        <v>AP US GOVT/POL</v>
      </c>
      <c r="G11333" t="str">
        <f>"17-1744"</f>
        <v>17-1744</v>
      </c>
      <c r="H11333" t="str">
        <f>"B"</f>
        <v>B</v>
      </c>
    </row>
    <row r="11334" spans="1:8" x14ac:dyDescent="0.2">
      <c r="A11334" t="str">
        <f t="shared" si="4097"/>
        <v>0613116546</v>
      </c>
      <c r="B11334" t="str">
        <f t="shared" si="4098"/>
        <v>MADELEINE</v>
      </c>
      <c r="C11334" t="str">
        <f t="shared" si="4099"/>
        <v>MERRICK</v>
      </c>
      <c r="D11334">
        <f>12</f>
        <v>12</v>
      </c>
      <c r="E11334" t="str">
        <f>"01 - A - 201 - Pamela M Corzo"</f>
        <v>01 - A - 201 - Pamela M Corzo</v>
      </c>
      <c r="F11334" t="str">
        <f>"AP CALCULUS BC"</f>
        <v>AP CALCULUS BC</v>
      </c>
      <c r="G11334" t="str">
        <f>"21-2133"</f>
        <v>21-2133</v>
      </c>
      <c r="H11334" t="str">
        <f>"A"</f>
        <v>A</v>
      </c>
    </row>
    <row r="11335" spans="1:8" x14ac:dyDescent="0.2">
      <c r="A11335" t="str">
        <f t="shared" si="4097"/>
        <v>0613116546</v>
      </c>
      <c r="B11335" t="str">
        <f t="shared" si="4098"/>
        <v>MADELEINE</v>
      </c>
      <c r="C11335" t="str">
        <f t="shared" si="4099"/>
        <v>MERRICK</v>
      </c>
      <c r="D11335">
        <f>12</f>
        <v>12</v>
      </c>
      <c r="E11335" t="str">
        <f>"08 - B - 103 - Marielle A Witting"</f>
        <v>08 - B - 103 - Marielle A Witting</v>
      </c>
      <c r="F11335" t="str">
        <f>"AP BIO"</f>
        <v>AP BIO</v>
      </c>
      <c r="G11335" t="str">
        <f>"08-805"</f>
        <v>08-805</v>
      </c>
      <c r="H11335" t="str">
        <f>"B"</f>
        <v>B</v>
      </c>
    </row>
    <row r="11336" spans="1:8" x14ac:dyDescent="0.2">
      <c r="A11336" t="str">
        <f t="shared" ref="A11336:A11343" si="4100">"0618058182"</f>
        <v>0618058182</v>
      </c>
      <c r="B11336" t="str">
        <f t="shared" ref="B11336:B11343" si="4101">"KEIRAH"</f>
        <v>KEIRAH</v>
      </c>
      <c r="C11336" t="str">
        <f t="shared" ref="C11336:C11351" si="4102">"MERTUNE"</f>
        <v>MERTUNE</v>
      </c>
      <c r="D11336">
        <f>10</f>
        <v>10</v>
      </c>
      <c r="E11336" t="str">
        <f>"04 - A - 105 - Jacklyn M James"</f>
        <v>04 - A - 105 - Jacklyn M James</v>
      </c>
      <c r="F11336" t="str">
        <f>"AICE ENG LANG AS"</f>
        <v>AICE ENG LANG AS</v>
      </c>
      <c r="G11336" t="str">
        <f>"17-1731"</f>
        <v>17-1731</v>
      </c>
      <c r="H11336" t="str">
        <f>"A"</f>
        <v>A</v>
      </c>
    </row>
    <row r="11337" spans="1:8" x14ac:dyDescent="0.2">
      <c r="A11337" t="str">
        <f t="shared" si="4100"/>
        <v>0618058182</v>
      </c>
      <c r="B11337" t="str">
        <f t="shared" si="4101"/>
        <v>KEIRAH</v>
      </c>
      <c r="C11337" t="str">
        <f t="shared" si="4102"/>
        <v>MERTUNE</v>
      </c>
      <c r="D11337">
        <f>10</f>
        <v>10</v>
      </c>
      <c r="E11337" t="str">
        <f>"06 - B - 113 - Joe  Kilpatrick Jr"</f>
        <v>06 - B - 113 - Joe  Kilpatrick Jr</v>
      </c>
      <c r="F11337" t="str">
        <f>"NC STUDY HALL 1"</f>
        <v>NC STUDY HALL 1</v>
      </c>
      <c r="G11337" t="str">
        <f>"09-912"</f>
        <v>09-912</v>
      </c>
      <c r="H11337" t="str">
        <f>"B"</f>
        <v>B</v>
      </c>
    </row>
    <row r="11338" spans="1:8" x14ac:dyDescent="0.2">
      <c r="A11338" t="str">
        <f t="shared" si="4100"/>
        <v>0618058182</v>
      </c>
      <c r="B11338" t="str">
        <f t="shared" si="4101"/>
        <v>KEIRAH</v>
      </c>
      <c r="C11338" t="str">
        <f t="shared" si="4102"/>
        <v>MERTUNE</v>
      </c>
      <c r="D11338">
        <f>10</f>
        <v>10</v>
      </c>
      <c r="E11338" t="str">
        <f>"03 - A - 102 - Rory T Sponsler"</f>
        <v>03 - A - 102 - Rory T Sponsler</v>
      </c>
      <c r="F11338" t="str">
        <f>"PRE-AICE WRLD HST IG"</f>
        <v>PRE-AICE WRLD HST IG</v>
      </c>
      <c r="G11338" t="str">
        <f>"17-1740"</f>
        <v>17-1740</v>
      </c>
      <c r="H11338" t="str">
        <f>"A"</f>
        <v>A</v>
      </c>
    </row>
    <row r="11339" spans="1:8" x14ac:dyDescent="0.2">
      <c r="A11339" t="str">
        <f t="shared" si="4100"/>
        <v>0618058182</v>
      </c>
      <c r="B11339" t="str">
        <f t="shared" si="4101"/>
        <v>KEIRAH</v>
      </c>
      <c r="C11339" t="str">
        <f t="shared" si="4102"/>
        <v>MERTUNE</v>
      </c>
      <c r="D11339">
        <f>10</f>
        <v>10</v>
      </c>
      <c r="E11339" t="str">
        <f>"02 - A - 102 - Vanessa J Liburd"</f>
        <v>02 - A - 102 - Vanessa J Liburd</v>
      </c>
      <c r="F11339" t="str">
        <f>"PRE-AICE FRENCH 2 IG"</f>
        <v>PRE-AICE FRENCH 2 IG</v>
      </c>
      <c r="G11339" t="str">
        <f>"05-519"</f>
        <v>05-519</v>
      </c>
      <c r="H11339" t="str">
        <f>"A"</f>
        <v>A</v>
      </c>
    </row>
    <row r="11340" spans="1:8" x14ac:dyDescent="0.2">
      <c r="A11340" t="str">
        <f t="shared" si="4100"/>
        <v>0618058182</v>
      </c>
      <c r="B11340" t="str">
        <f t="shared" si="4101"/>
        <v>KEIRAH</v>
      </c>
      <c r="C11340" t="str">
        <f t="shared" si="4102"/>
        <v>MERTUNE</v>
      </c>
      <c r="D11340">
        <f>10</f>
        <v>10</v>
      </c>
      <c r="E11340" t="str">
        <f>"07 - B - 106 - James H Mccann"</f>
        <v>07 - B - 106 - James H Mccann</v>
      </c>
      <c r="F11340" t="str">
        <f>"ALGEBRA 2"</f>
        <v>ALGEBRA 2</v>
      </c>
      <c r="G11340" t="str">
        <f>"17-1716"</f>
        <v>17-1716</v>
      </c>
      <c r="H11340" t="str">
        <f>"B"</f>
        <v>B</v>
      </c>
    </row>
    <row r="11341" spans="1:8" x14ac:dyDescent="0.2">
      <c r="A11341" t="str">
        <f t="shared" si="4100"/>
        <v>0618058182</v>
      </c>
      <c r="B11341" t="str">
        <f t="shared" si="4101"/>
        <v>KEIRAH</v>
      </c>
      <c r="C11341" t="str">
        <f t="shared" si="4102"/>
        <v>MERTUNE</v>
      </c>
      <c r="D11341">
        <f>10</f>
        <v>10</v>
      </c>
      <c r="E11341" t="str">
        <f>"05 - B - 103 - Byron G Montenegro"</f>
        <v>05 - B - 103 - Byron G Montenegro</v>
      </c>
      <c r="F11341" t="str">
        <f>"AICE MARINE SCI 1 AS"</f>
        <v>AICE MARINE SCI 1 AS</v>
      </c>
      <c r="G11341" t="str">
        <f>"21-2144"</f>
        <v>21-2144</v>
      </c>
      <c r="H11341" t="str">
        <f>"B"</f>
        <v>B</v>
      </c>
    </row>
    <row r="11342" spans="1:8" x14ac:dyDescent="0.2">
      <c r="A11342" t="str">
        <f t="shared" si="4100"/>
        <v>0618058182</v>
      </c>
      <c r="B11342" t="str">
        <f t="shared" si="4101"/>
        <v>KEIRAH</v>
      </c>
      <c r="C11342" t="str">
        <f t="shared" si="4102"/>
        <v>MERTUNE</v>
      </c>
      <c r="D11342">
        <f>10</f>
        <v>10</v>
      </c>
      <c r="E11342" t="str">
        <f>"01 - A - 201 - Chrystina M Marchionne"</f>
        <v>01 - A - 201 - Chrystina M Marchionne</v>
      </c>
      <c r="F11342" t="str">
        <f>"AICE MEDIASTUDIES AS"</f>
        <v>AICE MEDIASTUDIES AS</v>
      </c>
      <c r="G11342" t="str">
        <f>"05-520"</f>
        <v>05-520</v>
      </c>
      <c r="H11342" t="str">
        <f>"A"</f>
        <v>A</v>
      </c>
    </row>
    <row r="11343" spans="1:8" x14ac:dyDescent="0.2">
      <c r="A11343" t="str">
        <f t="shared" si="4100"/>
        <v>0618058182</v>
      </c>
      <c r="B11343" t="str">
        <f t="shared" si="4101"/>
        <v>KEIRAH</v>
      </c>
      <c r="C11343" t="str">
        <f t="shared" si="4102"/>
        <v>MERTUNE</v>
      </c>
      <c r="D11343">
        <f>10</f>
        <v>10</v>
      </c>
      <c r="E11343" t="str">
        <f>"08 - B - 202 - Dorothy D Moore"</f>
        <v>08 - B - 202 - Dorothy D Moore</v>
      </c>
      <c r="F11343" t="str">
        <f>"HEALTH SCI 1/A&amp;P HON"</f>
        <v>HEALTH SCI 1/A&amp;P HON</v>
      </c>
      <c r="G11343" t="str">
        <f>"08-803"</f>
        <v>08-803</v>
      </c>
      <c r="H11343" t="str">
        <f>"B"</f>
        <v>B</v>
      </c>
    </row>
    <row r="11344" spans="1:8" x14ac:dyDescent="0.2">
      <c r="A11344" t="str">
        <f t="shared" ref="A11344:A11351" si="4103">"0618058215"</f>
        <v>0618058215</v>
      </c>
      <c r="B11344" t="str">
        <f t="shared" ref="B11344:B11351" si="4104">"LUIGI"</f>
        <v>LUIGI</v>
      </c>
      <c r="C11344" t="str">
        <f t="shared" si="4102"/>
        <v>MERTUNE</v>
      </c>
      <c r="D11344">
        <f>12</f>
        <v>12</v>
      </c>
      <c r="E11344" t="str">
        <f>"04 - A - 102 - Fernando  Vega-Cid"</f>
        <v>04 - A - 102 - Fernando  Vega-Cid</v>
      </c>
      <c r="F11344" t="str">
        <f>"PRE-CALCULUS HON"</f>
        <v>PRE-CALCULUS HON</v>
      </c>
      <c r="G11344" t="str">
        <f>"21-2163"</f>
        <v>21-2163</v>
      </c>
      <c r="H11344" t="str">
        <f>"A"</f>
        <v>A</v>
      </c>
    </row>
    <row r="11345" spans="1:8" x14ac:dyDescent="0.2">
      <c r="A11345" t="str">
        <f t="shared" si="4103"/>
        <v>0618058215</v>
      </c>
      <c r="B11345" t="str">
        <f t="shared" si="4104"/>
        <v>LUIGI</v>
      </c>
      <c r="C11345" t="str">
        <f t="shared" si="4102"/>
        <v>MERTUNE</v>
      </c>
      <c r="D11345">
        <f>12</f>
        <v>12</v>
      </c>
      <c r="E11345" t="str">
        <f>"06 - B - 103 - Stefanie S Scher"</f>
        <v>06 - B - 103 - Stefanie S Scher</v>
      </c>
      <c r="F11345" t="str">
        <f>"NC STUDY HALL 1"</f>
        <v>NC STUDY HALL 1</v>
      </c>
      <c r="G11345" t="str">
        <f>"17-1735"</f>
        <v>17-1735</v>
      </c>
      <c r="H11345" t="str">
        <f>"B"</f>
        <v>B</v>
      </c>
    </row>
    <row r="11346" spans="1:8" x14ac:dyDescent="0.2">
      <c r="A11346" t="str">
        <f t="shared" si="4103"/>
        <v>0618058215</v>
      </c>
      <c r="B11346" t="str">
        <f t="shared" si="4104"/>
        <v>LUIGI</v>
      </c>
      <c r="C11346" t="str">
        <f t="shared" si="4102"/>
        <v>MERTUNE</v>
      </c>
      <c r="D11346">
        <f>12</f>
        <v>12</v>
      </c>
      <c r="E11346" t="str">
        <f>"03 - A - 101 - Dorothy D Moore"</f>
        <v>03 - A - 101 - Dorothy D Moore</v>
      </c>
      <c r="F11346" t="str">
        <f>"FORC SCI 1 LH"</f>
        <v>FORC SCI 1 LH</v>
      </c>
      <c r="G11346" t="str">
        <f>"08-803"</f>
        <v>08-803</v>
      </c>
      <c r="H11346" t="str">
        <f>"A"</f>
        <v>A</v>
      </c>
    </row>
    <row r="11347" spans="1:8" x14ac:dyDescent="0.2">
      <c r="A11347" t="str">
        <f t="shared" si="4103"/>
        <v>0618058215</v>
      </c>
      <c r="B11347" t="str">
        <f t="shared" si="4104"/>
        <v>LUIGI</v>
      </c>
      <c r="C11347" t="str">
        <f t="shared" si="4102"/>
        <v>MERTUNE</v>
      </c>
      <c r="D11347">
        <f>12</f>
        <v>12</v>
      </c>
      <c r="E11347" t="str">
        <f>"02 - A - 103 - Dorothy D Moore"</f>
        <v>02 - A - 103 - Dorothy D Moore</v>
      </c>
      <c r="F11347" t="str">
        <f>"ANAT PHYSIO HON"</f>
        <v>ANAT PHYSIO HON</v>
      </c>
      <c r="G11347" t="str">
        <f>"08-803"</f>
        <v>08-803</v>
      </c>
      <c r="H11347" t="str">
        <f>"A"</f>
        <v>A</v>
      </c>
    </row>
    <row r="11348" spans="1:8" x14ac:dyDescent="0.2">
      <c r="A11348" t="str">
        <f t="shared" si="4103"/>
        <v>0618058215</v>
      </c>
      <c r="B11348" t="str">
        <f t="shared" si="4104"/>
        <v>LUIGI</v>
      </c>
      <c r="C11348" t="str">
        <f t="shared" si="4102"/>
        <v>MERTUNE</v>
      </c>
      <c r="D11348">
        <f>12</f>
        <v>12</v>
      </c>
      <c r="E11348" t="str">
        <f>"07 - S1 - B - 107 - Kelly N Panza"</f>
        <v>07 - S1 - B - 107 - Kelly N Panza</v>
      </c>
      <c r="F11348" t="str">
        <f>"US GOVT HON"</f>
        <v>US GOVT HON</v>
      </c>
      <c r="G11348" t="str">
        <f>"17-1753"</f>
        <v>17-1753</v>
      </c>
      <c r="H11348" t="str">
        <f>"B"</f>
        <v>B</v>
      </c>
    </row>
    <row r="11349" spans="1:8" x14ac:dyDescent="0.2">
      <c r="A11349" t="str">
        <f t="shared" si="4103"/>
        <v>0618058215</v>
      </c>
      <c r="B11349" t="str">
        <f t="shared" si="4104"/>
        <v>LUIGI</v>
      </c>
      <c r="C11349" t="str">
        <f t="shared" si="4102"/>
        <v>MERTUNE</v>
      </c>
      <c r="D11349">
        <f>12</f>
        <v>12</v>
      </c>
      <c r="E11349" t="str">
        <f>"05 - B - 102 - Jeanne M Bermudez"</f>
        <v>05 - B - 102 - Jeanne M Bermudez</v>
      </c>
      <c r="F11349" t="str">
        <f>"ADVANCED IT HON"</f>
        <v>ADVANCED IT HON</v>
      </c>
      <c r="G11349" t="str">
        <f>"21-2141"</f>
        <v>21-2141</v>
      </c>
      <c r="H11349" t="str">
        <f>"B"</f>
        <v>B</v>
      </c>
    </row>
    <row r="11350" spans="1:8" x14ac:dyDescent="0.2">
      <c r="A11350" t="str">
        <f t="shared" si="4103"/>
        <v>0618058215</v>
      </c>
      <c r="B11350" t="str">
        <f t="shared" si="4104"/>
        <v>LUIGI</v>
      </c>
      <c r="C11350" t="str">
        <f t="shared" si="4102"/>
        <v>MERTUNE</v>
      </c>
      <c r="D11350">
        <f>12</f>
        <v>12</v>
      </c>
      <c r="E11350" t="str">
        <f>"01 - A - 103 - Jeffrey S Gallagher"</f>
        <v>01 - A - 103 - Jeffrey S Gallagher</v>
      </c>
      <c r="F11350" t="str">
        <f>"ENG HON 4"</f>
        <v>ENG HON 4</v>
      </c>
      <c r="G11350" t="str">
        <f>"17-1724"</f>
        <v>17-1724</v>
      </c>
      <c r="H11350" t="str">
        <f>"A"</f>
        <v>A</v>
      </c>
    </row>
    <row r="11351" spans="1:8" x14ac:dyDescent="0.2">
      <c r="A11351" t="str">
        <f t="shared" si="4103"/>
        <v>0618058215</v>
      </c>
      <c r="B11351" t="str">
        <f t="shared" si="4104"/>
        <v>LUIGI</v>
      </c>
      <c r="C11351" t="str">
        <f t="shared" si="4102"/>
        <v>MERTUNE</v>
      </c>
      <c r="D11351">
        <f>12</f>
        <v>12</v>
      </c>
      <c r="E11351" t="str">
        <f>"08 - B - 201 - Vanessa J Liburd"</f>
        <v>08 - B - 201 - Vanessa J Liburd</v>
      </c>
      <c r="F11351" t="str">
        <f>"FRENCH 3 HON"</f>
        <v>FRENCH 3 HON</v>
      </c>
      <c r="G11351" t="str">
        <f>"05-519"</f>
        <v>05-519</v>
      </c>
      <c r="H11351" t="str">
        <f>"B"</f>
        <v>B</v>
      </c>
    </row>
    <row r="11352" spans="1:8" x14ac:dyDescent="0.2">
      <c r="A11352" t="str">
        <f t="shared" ref="A11352:A11359" si="4105">"0623052753"</f>
        <v>0623052753</v>
      </c>
      <c r="B11352" t="str">
        <f t="shared" ref="B11352:B11359" si="4106">"JONATHAN"</f>
        <v>JONATHAN</v>
      </c>
      <c r="C11352" t="str">
        <f t="shared" ref="C11352:C11359" si="4107">"MESA"</f>
        <v>MESA</v>
      </c>
      <c r="D11352" t="str">
        <f t="shared" ref="D11352:D11375" si="4108">"09"</f>
        <v>09</v>
      </c>
      <c r="E11352" t="str">
        <f>"04 - A - 103 - Lenecy  Nodarse"</f>
        <v>04 - A - 103 - Lenecy  Nodarse</v>
      </c>
      <c r="F11352" t="str">
        <f>"WORLD HISTORY"</f>
        <v>WORLD HISTORY</v>
      </c>
      <c r="G11352" t="str">
        <f>"17-1741"</f>
        <v>17-1741</v>
      </c>
      <c r="H11352" t="str">
        <f>"A"</f>
        <v>A</v>
      </c>
    </row>
    <row r="11353" spans="1:8" x14ac:dyDescent="0.2">
      <c r="A11353" t="str">
        <f t="shared" si="4105"/>
        <v>0623052753</v>
      </c>
      <c r="B11353" t="str">
        <f t="shared" si="4106"/>
        <v>JONATHAN</v>
      </c>
      <c r="C11353" t="str">
        <f t="shared" si="4107"/>
        <v>MESA</v>
      </c>
      <c r="D11353" t="str">
        <f t="shared" si="4108"/>
        <v>09</v>
      </c>
      <c r="E11353" t="str">
        <f>"06 - B - 106 - Adam Marcus  Drucker"</f>
        <v>06 - B - 106 - Adam Marcus  Drucker</v>
      </c>
      <c r="F11353" t="str">
        <f>"HOPE-PE V"</f>
        <v>HOPE-PE V</v>
      </c>
      <c r="G11353" t="str">
        <f>"04-254"</f>
        <v>04-254</v>
      </c>
      <c r="H11353" t="str">
        <f>"B"</f>
        <v>B</v>
      </c>
    </row>
    <row r="11354" spans="1:8" x14ac:dyDescent="0.2">
      <c r="A11354" t="str">
        <f t="shared" si="4105"/>
        <v>0623052753</v>
      </c>
      <c r="B11354" t="str">
        <f t="shared" si="4106"/>
        <v>JONATHAN</v>
      </c>
      <c r="C11354" t="str">
        <f t="shared" si="4107"/>
        <v>MESA</v>
      </c>
      <c r="D11354" t="str">
        <f t="shared" si="4108"/>
        <v>09</v>
      </c>
      <c r="E11354" t="str">
        <f>"03 - A - 105 - Cheryl Anne  Berman-Schechter"</f>
        <v>03 - A - 105 - Cheryl Anne  Berman-Schechter</v>
      </c>
      <c r="F11354" t="str">
        <f>"ENG 1"</f>
        <v>ENG 1</v>
      </c>
      <c r="G11354" t="str">
        <f>"17-1722"</f>
        <v>17-1722</v>
      </c>
      <c r="H11354" t="str">
        <f>"A"</f>
        <v>A</v>
      </c>
    </row>
    <row r="11355" spans="1:8" x14ac:dyDescent="0.2">
      <c r="A11355" t="str">
        <f t="shared" si="4105"/>
        <v>0623052753</v>
      </c>
      <c r="B11355" t="str">
        <f t="shared" si="4106"/>
        <v>JONATHAN</v>
      </c>
      <c r="C11355" t="str">
        <f t="shared" si="4107"/>
        <v>MESA</v>
      </c>
      <c r="D11355" t="str">
        <f t="shared" si="4108"/>
        <v>09</v>
      </c>
      <c r="E11355" t="str">
        <f>"02 - A - 110 - Maried P Ramos"</f>
        <v>02 - A - 110 - Maried P Ramos</v>
      </c>
      <c r="F11355" t="str">
        <f>"NC STUDY HALL 1"</f>
        <v>NC STUDY HALL 1</v>
      </c>
      <c r="G11355" t="str">
        <f>"21-2159"</f>
        <v>21-2159</v>
      </c>
      <c r="H11355" t="str">
        <f>"A"</f>
        <v>A</v>
      </c>
    </row>
    <row r="11356" spans="1:8" x14ac:dyDescent="0.2">
      <c r="A11356" t="str">
        <f t="shared" si="4105"/>
        <v>0623052753</v>
      </c>
      <c r="B11356" t="str">
        <f t="shared" si="4106"/>
        <v>JONATHAN</v>
      </c>
      <c r="C11356" t="str">
        <f t="shared" si="4107"/>
        <v>MESA</v>
      </c>
      <c r="D11356" t="str">
        <f t="shared" si="4108"/>
        <v>09</v>
      </c>
      <c r="E11356" t="str">
        <f>"07 - B - 105 - Laselleda D Shaw"</f>
        <v>07 - B - 105 - Laselleda D Shaw</v>
      </c>
      <c r="F11356" t="str">
        <f>"INTENS READ 1"</f>
        <v>INTENS READ 1</v>
      </c>
      <c r="G11356" t="str">
        <f>"17-1723"</f>
        <v>17-1723</v>
      </c>
      <c r="H11356" t="str">
        <f>"B"</f>
        <v>B</v>
      </c>
    </row>
    <row r="11357" spans="1:8" x14ac:dyDescent="0.2">
      <c r="A11357" t="str">
        <f t="shared" si="4105"/>
        <v>0623052753</v>
      </c>
      <c r="B11357" t="str">
        <f t="shared" si="4106"/>
        <v>JONATHAN</v>
      </c>
      <c r="C11357" t="str">
        <f t="shared" si="4107"/>
        <v>MESA</v>
      </c>
      <c r="D11357" t="str">
        <f t="shared" si="4108"/>
        <v>09</v>
      </c>
      <c r="E11357" t="str">
        <f>"05 - B - 207 - Marielle A Witting"</f>
        <v>05 - B - 207 - Marielle A Witting</v>
      </c>
      <c r="F11357" t="str">
        <f>"ANAT PHYSIO"</f>
        <v>ANAT PHYSIO</v>
      </c>
      <c r="G11357" t="str">
        <f>"08-805"</f>
        <v>08-805</v>
      </c>
      <c r="H11357" t="str">
        <f>"B"</f>
        <v>B</v>
      </c>
    </row>
    <row r="11358" spans="1:8" x14ac:dyDescent="0.2">
      <c r="A11358" t="str">
        <f t="shared" si="4105"/>
        <v>0623052753</v>
      </c>
      <c r="B11358" t="str">
        <f t="shared" si="4106"/>
        <v>JONATHAN</v>
      </c>
      <c r="C11358" t="str">
        <f t="shared" si="4107"/>
        <v>MESA</v>
      </c>
      <c r="D11358" t="str">
        <f t="shared" si="4108"/>
        <v>09</v>
      </c>
      <c r="E11358" t="str">
        <f>"01 - A - 102 - Brook E Goren"</f>
        <v>01 - A - 102 - Brook E Goren</v>
      </c>
      <c r="F11358" t="str">
        <f>"PRE-AICE MATH 2 IG"</f>
        <v>PRE-AICE MATH 2 IG</v>
      </c>
      <c r="G11358" t="str">
        <f>"21-2158"</f>
        <v>21-2158</v>
      </c>
      <c r="H11358" t="str">
        <f>"A"</f>
        <v>A</v>
      </c>
    </row>
    <row r="11359" spans="1:8" x14ac:dyDescent="0.2">
      <c r="A11359" t="str">
        <f t="shared" si="4105"/>
        <v>0623052753</v>
      </c>
      <c r="B11359" t="str">
        <f t="shared" si="4106"/>
        <v>JONATHAN</v>
      </c>
      <c r="C11359" t="str">
        <f t="shared" si="4107"/>
        <v>MESA</v>
      </c>
      <c r="D11359" t="str">
        <f t="shared" si="4108"/>
        <v>09</v>
      </c>
      <c r="E11359" t="str">
        <f>"08 - B - 103 - Jeanne M Bermudez"</f>
        <v>08 - B - 103 - Jeanne M Bermudez</v>
      </c>
      <c r="F11359" t="str">
        <f>"ADVANCED IT HON"</f>
        <v>ADVANCED IT HON</v>
      </c>
      <c r="G11359" t="str">
        <f>"21-2141"</f>
        <v>21-2141</v>
      </c>
      <c r="H11359" t="str">
        <f>"B"</f>
        <v>B</v>
      </c>
    </row>
    <row r="11360" spans="1:8" x14ac:dyDescent="0.2">
      <c r="A11360" t="str">
        <f t="shared" ref="A11360:A11367" si="4109">"0614010149"</f>
        <v>0614010149</v>
      </c>
      <c r="B11360" t="str">
        <f t="shared" ref="B11360:B11367" si="4110">"DYLAN"</f>
        <v>DYLAN</v>
      </c>
      <c r="C11360" t="str">
        <f t="shared" ref="C11360:C11367" si="4111">"MESIDOR"</f>
        <v>MESIDOR</v>
      </c>
      <c r="D11360" t="str">
        <f t="shared" si="4108"/>
        <v>09</v>
      </c>
      <c r="E11360" t="str">
        <f>"04 - A - 104 - Adam Marcus  Drucker"</f>
        <v>04 - A - 104 - Adam Marcus  Drucker</v>
      </c>
      <c r="F11360" t="str">
        <f>"HOPE-PE V"</f>
        <v>HOPE-PE V</v>
      </c>
      <c r="G11360" t="str">
        <f>"04-254"</f>
        <v>04-254</v>
      </c>
      <c r="H11360" t="str">
        <f>"A"</f>
        <v>A</v>
      </c>
    </row>
    <row r="11361" spans="1:8" x14ac:dyDescent="0.2">
      <c r="A11361" t="str">
        <f t="shared" si="4109"/>
        <v>0614010149</v>
      </c>
      <c r="B11361" t="str">
        <f t="shared" si="4110"/>
        <v>DYLAN</v>
      </c>
      <c r="C11361" t="str">
        <f t="shared" si="4111"/>
        <v>MESIDOR</v>
      </c>
      <c r="D11361" t="str">
        <f t="shared" si="4108"/>
        <v>09</v>
      </c>
      <c r="E11361" t="str">
        <f>"06 - B - 102 - Angela S Adeshina-Morrison"</f>
        <v>06 - B - 102 - Angela S Adeshina-Morrison</v>
      </c>
      <c r="F11361" t="str">
        <f>"MARKETING ESSENTIALS"</f>
        <v>MARKETING ESSENTIALS</v>
      </c>
      <c r="G11361" t="str">
        <f>"05-518"</f>
        <v>05-518</v>
      </c>
      <c r="H11361" t="str">
        <f>"B"</f>
        <v>B</v>
      </c>
    </row>
    <row r="11362" spans="1:8" x14ac:dyDescent="0.2">
      <c r="A11362" t="str">
        <f t="shared" si="4109"/>
        <v>0614010149</v>
      </c>
      <c r="B11362" t="str">
        <f t="shared" si="4110"/>
        <v>DYLAN</v>
      </c>
      <c r="C11362" t="str">
        <f t="shared" si="4111"/>
        <v>MESIDOR</v>
      </c>
      <c r="D11362" t="str">
        <f t="shared" si="4108"/>
        <v>09</v>
      </c>
      <c r="E11362" t="str">
        <f>"03 - A - 104 - Fernando  Vega-Cid"</f>
        <v>03 - A - 104 - Fernando  Vega-Cid</v>
      </c>
      <c r="F11362" t="str">
        <f>"GEOMETRY"</f>
        <v>GEOMETRY</v>
      </c>
      <c r="G11362" t="str">
        <f>"21-2163"</f>
        <v>21-2163</v>
      </c>
      <c r="H11362" t="str">
        <f>"A"</f>
        <v>A</v>
      </c>
    </row>
    <row r="11363" spans="1:8" x14ac:dyDescent="0.2">
      <c r="A11363" t="str">
        <f t="shared" si="4109"/>
        <v>0614010149</v>
      </c>
      <c r="B11363" t="str">
        <f t="shared" si="4110"/>
        <v>DYLAN</v>
      </c>
      <c r="C11363" t="str">
        <f t="shared" si="4111"/>
        <v>MESIDOR</v>
      </c>
      <c r="D11363" t="str">
        <f t="shared" si="4108"/>
        <v>09</v>
      </c>
      <c r="E11363" t="str">
        <f>"02 - A - 102 - Samantha J Headley"</f>
        <v>02 - A - 102 - Samantha J Headley</v>
      </c>
      <c r="F11363" t="str">
        <f>"NC STUDY HALL 1"</f>
        <v>NC STUDY HALL 1</v>
      </c>
      <c r="G11363" t="str">
        <f>"21-2134"</f>
        <v>21-2134</v>
      </c>
      <c r="H11363" t="str">
        <f>"A"</f>
        <v>A</v>
      </c>
    </row>
    <row r="11364" spans="1:8" x14ac:dyDescent="0.2">
      <c r="A11364" t="str">
        <f t="shared" si="4109"/>
        <v>0614010149</v>
      </c>
      <c r="B11364" t="str">
        <f t="shared" si="4110"/>
        <v>DYLAN</v>
      </c>
      <c r="C11364" t="str">
        <f t="shared" si="4111"/>
        <v>MESIDOR</v>
      </c>
      <c r="D11364" t="str">
        <f t="shared" si="4108"/>
        <v>09</v>
      </c>
      <c r="E11364" t="str">
        <f>"07 - B - 105 - Josiah I Lacy"</f>
        <v>07 - B - 105 - Josiah I Lacy</v>
      </c>
      <c r="F11364" t="str">
        <f>"ANAT PHYSIO HON"</f>
        <v>ANAT PHYSIO HON</v>
      </c>
      <c r="G11364" t="str">
        <f>"08-801"</f>
        <v>08-801</v>
      </c>
      <c r="H11364" t="str">
        <f>"B"</f>
        <v>B</v>
      </c>
    </row>
    <row r="11365" spans="1:8" x14ac:dyDescent="0.2">
      <c r="A11365" t="str">
        <f t="shared" si="4109"/>
        <v>0614010149</v>
      </c>
      <c r="B11365" t="str">
        <f t="shared" si="4110"/>
        <v>DYLAN</v>
      </c>
      <c r="C11365" t="str">
        <f t="shared" si="4111"/>
        <v>MESIDOR</v>
      </c>
      <c r="D11365" t="str">
        <f t="shared" si="4108"/>
        <v>09</v>
      </c>
      <c r="E11365" t="str">
        <f>"05 - B - 002 - Cheryl Anne  Berman-Schechter"</f>
        <v>05 - B - 002 - Cheryl Anne  Berman-Schechter</v>
      </c>
      <c r="F11365" t="str">
        <f>"AICE ENG GEN PAPER 1"</f>
        <v>AICE ENG GEN PAPER 1</v>
      </c>
      <c r="G11365" t="str">
        <f>"17-1722"</f>
        <v>17-1722</v>
      </c>
      <c r="H11365" t="str">
        <f>"B"</f>
        <v>B</v>
      </c>
    </row>
    <row r="11366" spans="1:8" x14ac:dyDescent="0.2">
      <c r="A11366" t="str">
        <f t="shared" si="4109"/>
        <v>0614010149</v>
      </c>
      <c r="B11366" t="str">
        <f t="shared" si="4110"/>
        <v>DYLAN</v>
      </c>
      <c r="C11366" t="str">
        <f t="shared" si="4111"/>
        <v>MESIDOR</v>
      </c>
      <c r="D11366" t="str">
        <f t="shared" si="4108"/>
        <v>09</v>
      </c>
      <c r="E11366" t="str">
        <f>"01 - A - 101 - Vanessa J Liburd"</f>
        <v>01 - A - 101 - Vanessa J Liburd</v>
      </c>
      <c r="F11366" t="str">
        <f>"PRE-AICE FRENCH 1 IG"</f>
        <v>PRE-AICE FRENCH 1 IG</v>
      </c>
      <c r="G11366" t="str">
        <f>"05-519"</f>
        <v>05-519</v>
      </c>
      <c r="H11366" t="str">
        <f>"A"</f>
        <v>A</v>
      </c>
    </row>
    <row r="11367" spans="1:8" x14ac:dyDescent="0.2">
      <c r="A11367" t="str">
        <f t="shared" si="4109"/>
        <v>0614010149</v>
      </c>
      <c r="B11367" t="str">
        <f t="shared" si="4110"/>
        <v>DYLAN</v>
      </c>
      <c r="C11367" t="str">
        <f t="shared" si="4111"/>
        <v>MESIDOR</v>
      </c>
      <c r="D11367" t="str">
        <f t="shared" si="4108"/>
        <v>09</v>
      </c>
      <c r="E11367" t="str">
        <f>"08 - B - 109 - Rory T Sponsler"</f>
        <v>08 - B - 109 - Rory T Sponsler</v>
      </c>
      <c r="F11367" t="str">
        <f>"PRE-AICE WRLD HST IG"</f>
        <v>PRE-AICE WRLD HST IG</v>
      </c>
      <c r="G11367" t="str">
        <f>"17-1740"</f>
        <v>17-1740</v>
      </c>
      <c r="H11367" t="str">
        <f>"B"</f>
        <v>B</v>
      </c>
    </row>
    <row r="11368" spans="1:8" x14ac:dyDescent="0.2">
      <c r="A11368" t="str">
        <f t="shared" ref="A11368:A11375" si="4112">"0616104119"</f>
        <v>0616104119</v>
      </c>
      <c r="B11368" t="str">
        <f t="shared" ref="B11368:B11375" si="4113">"LUCAS"</f>
        <v>LUCAS</v>
      </c>
      <c r="C11368" t="str">
        <f t="shared" ref="C11368:C11375" si="4114">"MESTEY-DURRUTHY"</f>
        <v>MESTEY-DURRUTHY</v>
      </c>
      <c r="D11368" t="str">
        <f t="shared" si="4108"/>
        <v>09</v>
      </c>
      <c r="E11368" t="str">
        <f>"04 - A - 104 - Helen A Flores"</f>
        <v>04 - A - 104 - Helen A Flores</v>
      </c>
      <c r="F11368" t="str">
        <f>"FDN SKLS MATH 9-12"</f>
        <v>FDN SKLS MATH 9-12</v>
      </c>
      <c r="G11368" t="str">
        <f>"21-2101"</f>
        <v>21-2101</v>
      </c>
      <c r="H11368" t="str">
        <f>"A"</f>
        <v>A</v>
      </c>
    </row>
    <row r="11369" spans="1:8" x14ac:dyDescent="0.2">
      <c r="A11369" t="str">
        <f t="shared" si="4112"/>
        <v>0616104119</v>
      </c>
      <c r="B11369" t="str">
        <f t="shared" si="4113"/>
        <v>LUCAS</v>
      </c>
      <c r="C11369" t="str">
        <f t="shared" si="4114"/>
        <v>MESTEY-DURRUTHY</v>
      </c>
      <c r="D11369" t="str">
        <f t="shared" si="4108"/>
        <v>09</v>
      </c>
      <c r="E11369" t="str">
        <f>"06 - B - 002 - Amy Beth  Broyles"</f>
        <v>06 - B - 002 - Amy Beth  Broyles</v>
      </c>
      <c r="F11369" t="str">
        <f>"ENV SCI"</f>
        <v>ENV SCI</v>
      </c>
      <c r="G11369" t="str">
        <f>"08-802"</f>
        <v>08-802</v>
      </c>
      <c r="H11369" t="str">
        <f>"B"</f>
        <v>B</v>
      </c>
    </row>
    <row r="11370" spans="1:8" x14ac:dyDescent="0.2">
      <c r="A11370" t="str">
        <f t="shared" si="4112"/>
        <v>0616104119</v>
      </c>
      <c r="B11370" t="str">
        <f t="shared" si="4113"/>
        <v>LUCAS</v>
      </c>
      <c r="C11370" t="str">
        <f t="shared" si="4114"/>
        <v>MESTEY-DURRUTHY</v>
      </c>
      <c r="D11370" t="str">
        <f t="shared" si="4108"/>
        <v>09</v>
      </c>
      <c r="E11370" t="str">
        <f>"03 - A - 102 - Laselleda D Shaw"</f>
        <v>03 - A - 102 - Laselleda D Shaw</v>
      </c>
      <c r="F11370" t="str">
        <f>"INTENS READ 1"</f>
        <v>INTENS READ 1</v>
      </c>
      <c r="G11370" t="str">
        <f>"17-1723"</f>
        <v>17-1723</v>
      </c>
      <c r="H11370" t="str">
        <f>"A"</f>
        <v>A</v>
      </c>
    </row>
    <row r="11371" spans="1:8" x14ac:dyDescent="0.2">
      <c r="A11371" t="str">
        <f t="shared" si="4112"/>
        <v>0616104119</v>
      </c>
      <c r="B11371" t="str">
        <f t="shared" si="4113"/>
        <v>LUCAS</v>
      </c>
      <c r="C11371" t="str">
        <f t="shared" si="4114"/>
        <v>MESTEY-DURRUTHY</v>
      </c>
      <c r="D11371" t="str">
        <f t="shared" si="4108"/>
        <v>09</v>
      </c>
      <c r="E11371" t="str">
        <f>"02 - A - 101 - Josiah I Lacy"</f>
        <v>02 - A - 101 - Josiah I Lacy</v>
      </c>
      <c r="F11371" t="str">
        <f>"NC STUDY HALL 1"</f>
        <v>NC STUDY HALL 1</v>
      </c>
      <c r="G11371" t="str">
        <f>"08-801"</f>
        <v>08-801</v>
      </c>
      <c r="H11371" t="str">
        <f>"A"</f>
        <v>A</v>
      </c>
    </row>
    <row r="11372" spans="1:8" x14ac:dyDescent="0.2">
      <c r="A11372" t="str">
        <f t="shared" si="4112"/>
        <v>0616104119</v>
      </c>
      <c r="B11372" t="str">
        <f t="shared" si="4113"/>
        <v>LUCAS</v>
      </c>
      <c r="C11372" t="str">
        <f t="shared" si="4114"/>
        <v>MESTEY-DURRUTHY</v>
      </c>
      <c r="D11372" t="str">
        <f t="shared" si="4108"/>
        <v>09</v>
      </c>
      <c r="E11372" t="str">
        <f>"07 - B - 104 - Lissa C Frederique"</f>
        <v>07 - B - 104 - Lissa C Frederique</v>
      </c>
      <c r="F11372" t="str">
        <f>"WORLD HISTORY"</f>
        <v>WORLD HISTORY</v>
      </c>
      <c r="G11372" t="str">
        <f>"17-1754"</f>
        <v>17-1754</v>
      </c>
      <c r="H11372" t="str">
        <f>"B"</f>
        <v>B</v>
      </c>
    </row>
    <row r="11373" spans="1:8" x14ac:dyDescent="0.2">
      <c r="A11373" t="str">
        <f t="shared" si="4112"/>
        <v>0616104119</v>
      </c>
      <c r="B11373" t="str">
        <f t="shared" si="4113"/>
        <v>LUCAS</v>
      </c>
      <c r="C11373" t="str">
        <f t="shared" si="4114"/>
        <v>MESTEY-DURRUTHY</v>
      </c>
      <c r="D11373" t="str">
        <f t="shared" si="4108"/>
        <v>09</v>
      </c>
      <c r="E11373" t="str">
        <f>"05 - B - 201 - Jazmin S Fletcher"</f>
        <v>05 - B - 201 - Jazmin S Fletcher</v>
      </c>
      <c r="F11373" t="str">
        <f>"THEATRE 1"</f>
        <v>THEATRE 1</v>
      </c>
      <c r="G11373" t="str">
        <f>"09-909"</f>
        <v>09-909</v>
      </c>
      <c r="H11373" t="str">
        <f>"B"</f>
        <v>B</v>
      </c>
    </row>
    <row r="11374" spans="1:8" x14ac:dyDescent="0.2">
      <c r="A11374" t="str">
        <f t="shared" si="4112"/>
        <v>0616104119</v>
      </c>
      <c r="B11374" t="str">
        <f t="shared" si="4113"/>
        <v>LUCAS</v>
      </c>
      <c r="C11374" t="str">
        <f t="shared" si="4114"/>
        <v>MESTEY-DURRUTHY</v>
      </c>
      <c r="D11374" t="str">
        <f t="shared" si="4108"/>
        <v>09</v>
      </c>
      <c r="E11374" t="str">
        <f>"01 - A - 101 - Cerine S Stewart"</f>
        <v>01 - A - 101 - Cerine S Stewart</v>
      </c>
      <c r="F11374" t="str">
        <f>"ENG 1"</f>
        <v>ENG 1</v>
      </c>
      <c r="G11374" t="str">
        <f>"17-1720"</f>
        <v>17-1720</v>
      </c>
      <c r="H11374" t="str">
        <f>"A"</f>
        <v>A</v>
      </c>
    </row>
    <row r="11375" spans="1:8" x14ac:dyDescent="0.2">
      <c r="A11375" t="str">
        <f t="shared" si="4112"/>
        <v>0616104119</v>
      </c>
      <c r="B11375" t="str">
        <f t="shared" si="4113"/>
        <v>LUCAS</v>
      </c>
      <c r="C11375" t="str">
        <f t="shared" si="4114"/>
        <v>MESTEY-DURRUTHY</v>
      </c>
      <c r="D11375" t="str">
        <f t="shared" si="4108"/>
        <v>09</v>
      </c>
      <c r="E11375" t="str">
        <f>"08 - B - 106 - Helen A Flores"</f>
        <v>08 - B - 106 - Helen A Flores</v>
      </c>
      <c r="F11375" t="str">
        <f>"ALGEBRA 1"</f>
        <v>ALGEBRA 1</v>
      </c>
      <c r="G11375" t="str">
        <f>"21-2101"</f>
        <v>21-2101</v>
      </c>
      <c r="H11375" t="str">
        <f>"B"</f>
        <v>B</v>
      </c>
    </row>
    <row r="11376" spans="1:8" x14ac:dyDescent="0.2">
      <c r="A11376" t="str">
        <f t="shared" ref="A11376:A11383" si="4115">"0615001488"</f>
        <v>0615001488</v>
      </c>
      <c r="B11376" t="str">
        <f t="shared" ref="B11376:B11383" si="4116">"JOSHUA"</f>
        <v>JOSHUA</v>
      </c>
      <c r="C11376" t="str">
        <f t="shared" ref="C11376:C11392" si="4117">"METAYER"</f>
        <v>METAYER</v>
      </c>
      <c r="D11376">
        <f>11</f>
        <v>11</v>
      </c>
      <c r="E11376" t="str">
        <f>"04 - A - 201 - Norayda D Suarez"</f>
        <v>04 - A - 201 - Norayda D Suarez</v>
      </c>
      <c r="F11376" t="str">
        <f>"ANAT PHYSIO HON"</f>
        <v>ANAT PHYSIO HON</v>
      </c>
      <c r="G11376" t="str">
        <f>"21-2142"</f>
        <v>21-2142</v>
      </c>
      <c r="H11376" t="str">
        <f>"A"</f>
        <v>A</v>
      </c>
    </row>
    <row r="11377" spans="1:8" x14ac:dyDescent="0.2">
      <c r="A11377" t="str">
        <f t="shared" si="4115"/>
        <v>0615001488</v>
      </c>
      <c r="B11377" t="str">
        <f t="shared" si="4116"/>
        <v>JOSHUA</v>
      </c>
      <c r="C11377" t="str">
        <f t="shared" si="4117"/>
        <v>METAYER</v>
      </c>
      <c r="D11377">
        <f>11</f>
        <v>11</v>
      </c>
      <c r="E11377" t="str">
        <f>"06 - B - 002 - Kyle  Robbins"</f>
        <v>06 - B - 002 - Kyle  Robbins</v>
      </c>
      <c r="F11377" t="str">
        <f>"US HISTORY HON"</f>
        <v>US HISTORY HON</v>
      </c>
      <c r="G11377" t="str">
        <f>"17-1745"</f>
        <v>17-1745</v>
      </c>
      <c r="H11377" t="str">
        <f>"B"</f>
        <v>B</v>
      </c>
    </row>
    <row r="11378" spans="1:8" x14ac:dyDescent="0.2">
      <c r="A11378" t="str">
        <f t="shared" si="4115"/>
        <v>0615001488</v>
      </c>
      <c r="B11378" t="str">
        <f t="shared" si="4116"/>
        <v>JOSHUA</v>
      </c>
      <c r="C11378" t="str">
        <f t="shared" si="4117"/>
        <v>METAYER</v>
      </c>
      <c r="D11378">
        <f>11</f>
        <v>11</v>
      </c>
      <c r="E11378" t="str">
        <f>"03 - A - 102 - Nahum  Saint-Preux"</f>
        <v>03 - A - 102 - Nahum  Saint-Preux</v>
      </c>
      <c r="F11378" t="str">
        <f>"INTENS READ 3"</f>
        <v>INTENS READ 3</v>
      </c>
      <c r="G11378" t="str">
        <f>"17-1712"</f>
        <v>17-1712</v>
      </c>
      <c r="H11378" t="str">
        <f>"A"</f>
        <v>A</v>
      </c>
    </row>
    <row r="11379" spans="1:8" x14ac:dyDescent="0.2">
      <c r="A11379" t="str">
        <f t="shared" si="4115"/>
        <v>0615001488</v>
      </c>
      <c r="B11379" t="str">
        <f t="shared" si="4116"/>
        <v>JOSHUA</v>
      </c>
      <c r="C11379" t="str">
        <f t="shared" si="4117"/>
        <v>METAYER</v>
      </c>
      <c r="D11379">
        <f>11</f>
        <v>11</v>
      </c>
      <c r="E11379" t="str">
        <f>"02 - A - 001 - Courtney E Hambright"</f>
        <v>02 - A - 001 - Courtney E Hambright</v>
      </c>
      <c r="F11379" t="str">
        <f>"NC STUDY HALL 1"</f>
        <v>NC STUDY HALL 1</v>
      </c>
      <c r="G11379" t="str">
        <f>"17-1711"</f>
        <v>17-1711</v>
      </c>
      <c r="H11379" t="str">
        <f>"A"</f>
        <v>A</v>
      </c>
    </row>
    <row r="11380" spans="1:8" x14ac:dyDescent="0.2">
      <c r="A11380" t="str">
        <f t="shared" si="4115"/>
        <v>0615001488</v>
      </c>
      <c r="B11380" t="str">
        <f t="shared" si="4116"/>
        <v>JOSHUA</v>
      </c>
      <c r="C11380" t="str">
        <f t="shared" si="4117"/>
        <v>METAYER</v>
      </c>
      <c r="D11380">
        <f>11</f>
        <v>11</v>
      </c>
      <c r="E11380" t="str">
        <f>"07 - B - 110 - Ferrie J Arostique"</f>
        <v>07 - B - 110 - Ferrie J Arostique</v>
      </c>
      <c r="F11380" t="str">
        <f>"GEOMETRY"</f>
        <v>GEOMETRY</v>
      </c>
      <c r="G11380" t="str">
        <f>"21-2139"</f>
        <v>21-2139</v>
      </c>
      <c r="H11380" t="str">
        <f>"B"</f>
        <v>B</v>
      </c>
    </row>
    <row r="11381" spans="1:8" x14ac:dyDescent="0.2">
      <c r="A11381" t="str">
        <f t="shared" si="4115"/>
        <v>0615001488</v>
      </c>
      <c r="B11381" t="str">
        <f t="shared" si="4116"/>
        <v>JOSHUA</v>
      </c>
      <c r="C11381" t="str">
        <f t="shared" si="4117"/>
        <v>METAYER</v>
      </c>
      <c r="D11381">
        <f>11</f>
        <v>11</v>
      </c>
      <c r="E11381" t="str">
        <f>"05 - B - 103 - Heidi M Knopp"</f>
        <v>05 - B - 103 - Heidi M Knopp</v>
      </c>
      <c r="F11381" t="str">
        <f>"ENG HON 3"</f>
        <v>ENG HON 3</v>
      </c>
      <c r="G11381" t="str">
        <f>"17-1723"</f>
        <v>17-1723</v>
      </c>
      <c r="H11381" t="str">
        <f>"B"</f>
        <v>B</v>
      </c>
    </row>
    <row r="11382" spans="1:8" x14ac:dyDescent="0.2">
      <c r="A11382" t="str">
        <f t="shared" si="4115"/>
        <v>0615001488</v>
      </c>
      <c r="B11382" t="str">
        <f t="shared" si="4116"/>
        <v>JOSHUA</v>
      </c>
      <c r="C11382" t="str">
        <f t="shared" si="4117"/>
        <v>METAYER</v>
      </c>
      <c r="D11382">
        <f>11</f>
        <v>11</v>
      </c>
      <c r="E11382" t="str">
        <f>"01 - A - 101 - Eva T Rimmer"</f>
        <v>01 - A - 101 - Eva T Rimmer</v>
      </c>
      <c r="F11382" t="str">
        <f>"CRIMINAL JUST OPS 2"</f>
        <v>CRIMINAL JUST OPS 2</v>
      </c>
      <c r="G11382" t="str">
        <f>"05-523"</f>
        <v>05-523</v>
      </c>
      <c r="H11382" t="str">
        <f>"A"</f>
        <v>A</v>
      </c>
    </row>
    <row r="11383" spans="1:8" x14ac:dyDescent="0.2">
      <c r="A11383" t="str">
        <f t="shared" si="4115"/>
        <v>0615001488</v>
      </c>
      <c r="B11383" t="str">
        <f t="shared" si="4116"/>
        <v>JOSHUA</v>
      </c>
      <c r="C11383" t="str">
        <f t="shared" si="4117"/>
        <v>METAYER</v>
      </c>
      <c r="D11383">
        <f>11</f>
        <v>11</v>
      </c>
      <c r="E11383" t="str">
        <f>"08 - S1 - B - 101 - Amy Beth  Broyles"</f>
        <v>08 - S1 - B - 101 - Amy Beth  Broyles</v>
      </c>
      <c r="F11383" t="str">
        <f>"PEER COUN 3"</f>
        <v>PEER COUN 3</v>
      </c>
      <c r="G11383" t="str">
        <f>"17-1713"</f>
        <v>17-1713</v>
      </c>
      <c r="H11383" t="str">
        <f>"B"</f>
        <v>B</v>
      </c>
    </row>
    <row r="11384" spans="1:8" x14ac:dyDescent="0.2">
      <c r="A11384" t="str">
        <f t="shared" ref="A11384:A11392" si="4118">"0614060909"</f>
        <v>0614060909</v>
      </c>
      <c r="B11384" t="str">
        <f t="shared" ref="B11384:B11392" si="4119">"ORREL"</f>
        <v>ORREL</v>
      </c>
      <c r="C11384" t="str">
        <f t="shared" si="4117"/>
        <v>METAYER</v>
      </c>
      <c r="D11384">
        <f>11</f>
        <v>11</v>
      </c>
      <c r="E11384" t="str">
        <f>"04 - A - 103 - Cliffon  Saurel"</f>
        <v>04 - A - 103 - Cliffon  Saurel</v>
      </c>
      <c r="F11384" t="str">
        <f>"PHYSICAL SCI"</f>
        <v>PHYSICAL SCI</v>
      </c>
      <c r="G11384" t="str">
        <f>"05-522"</f>
        <v>05-522</v>
      </c>
      <c r="H11384" t="str">
        <f>"A"</f>
        <v>A</v>
      </c>
    </row>
    <row r="11385" spans="1:8" x14ac:dyDescent="0.2">
      <c r="A11385" t="str">
        <f t="shared" si="4118"/>
        <v>0614060909</v>
      </c>
      <c r="B11385" t="str">
        <f t="shared" si="4119"/>
        <v>ORREL</v>
      </c>
      <c r="C11385" t="str">
        <f t="shared" si="4117"/>
        <v>METAYER</v>
      </c>
      <c r="D11385">
        <f>11</f>
        <v>11</v>
      </c>
      <c r="E11385" t="str">
        <f>"06 - B - 105 - Arthur  Kulawik"</f>
        <v>06 - B - 105 - Arthur  Kulawik</v>
      </c>
      <c r="F11385" t="str">
        <f>"ENG 3"</f>
        <v>ENG 3</v>
      </c>
      <c r="G11385" t="str">
        <f>"05-506"</f>
        <v>05-506</v>
      </c>
      <c r="H11385" t="str">
        <f>"B"</f>
        <v>B</v>
      </c>
    </row>
    <row r="11386" spans="1:8" x14ac:dyDescent="0.2">
      <c r="A11386" t="str">
        <f t="shared" si="4118"/>
        <v>0614060909</v>
      </c>
      <c r="B11386" t="str">
        <f t="shared" si="4119"/>
        <v>ORREL</v>
      </c>
      <c r="C11386" t="str">
        <f t="shared" si="4117"/>
        <v>METAYER</v>
      </c>
      <c r="D11386">
        <f>11</f>
        <v>11</v>
      </c>
      <c r="E11386" t="str">
        <f>"03 - A - 104 - Kyle  Robbins"</f>
        <v>03 - A - 104 - Kyle  Robbins</v>
      </c>
      <c r="F11386" t="str">
        <f>"US HISTORY"</f>
        <v>US HISTORY</v>
      </c>
      <c r="G11386" t="str">
        <f>"17-1745"</f>
        <v>17-1745</v>
      </c>
      <c r="H11386" t="str">
        <f>"A"</f>
        <v>A</v>
      </c>
    </row>
    <row r="11387" spans="1:8" x14ac:dyDescent="0.2">
      <c r="A11387" t="str">
        <f t="shared" si="4118"/>
        <v>0614060909</v>
      </c>
      <c r="B11387" t="str">
        <f t="shared" si="4119"/>
        <v>ORREL</v>
      </c>
      <c r="C11387" t="str">
        <f t="shared" si="4117"/>
        <v>METAYER</v>
      </c>
      <c r="D11387">
        <f>11</f>
        <v>11</v>
      </c>
      <c r="E11387" t="str">
        <f>"02 - A - 105 - Leslie J Barton"</f>
        <v>02 - A - 105 - Leslie J Barton</v>
      </c>
      <c r="F11387" t="str">
        <f>"NC STUDY HALL 1"</f>
        <v>NC STUDY HALL 1</v>
      </c>
      <c r="G11387" t="str">
        <f>"05-521"</f>
        <v>05-521</v>
      </c>
      <c r="H11387" t="str">
        <f>"A"</f>
        <v>A</v>
      </c>
    </row>
    <row r="11388" spans="1:8" x14ac:dyDescent="0.2">
      <c r="A11388" t="str">
        <f t="shared" si="4118"/>
        <v>0614060909</v>
      </c>
      <c r="B11388" t="str">
        <f t="shared" si="4119"/>
        <v>ORREL</v>
      </c>
      <c r="C11388" t="str">
        <f t="shared" si="4117"/>
        <v>METAYER</v>
      </c>
      <c r="D11388">
        <f>11</f>
        <v>11</v>
      </c>
      <c r="E11388" t="str">
        <f>"02 - A - 112 - Karen A Toomer"</f>
        <v>02 - A - 112 - Karen A Toomer</v>
      </c>
      <c r="F11388" t="str">
        <f>"LANG THERAPY"</f>
        <v>LANG THERAPY</v>
      </c>
      <c r="G11388" t="str">
        <f>"21-2110"</f>
        <v>21-2110</v>
      </c>
      <c r="H11388" t="str">
        <f>"A"</f>
        <v>A</v>
      </c>
    </row>
    <row r="11389" spans="1:8" x14ac:dyDescent="0.2">
      <c r="A11389" t="str">
        <f t="shared" si="4118"/>
        <v>0614060909</v>
      </c>
      <c r="B11389" t="str">
        <f t="shared" si="4119"/>
        <v>ORREL</v>
      </c>
      <c r="C11389" t="str">
        <f t="shared" si="4117"/>
        <v>METAYER</v>
      </c>
      <c r="D11389">
        <f>11</f>
        <v>11</v>
      </c>
      <c r="E11389" t="str">
        <f>"07 - B - 103 - Vanessa J Liburd"</f>
        <v>07 - B - 103 - Vanessa J Liburd</v>
      </c>
      <c r="F11389" t="str">
        <f>"PRE-AICE FRENCH 1 IG"</f>
        <v>PRE-AICE FRENCH 1 IG</v>
      </c>
      <c r="G11389" t="str">
        <f>"05-519"</f>
        <v>05-519</v>
      </c>
      <c r="H11389" t="str">
        <f>"B"</f>
        <v>B</v>
      </c>
    </row>
    <row r="11390" spans="1:8" x14ac:dyDescent="0.2">
      <c r="A11390" t="str">
        <f t="shared" si="4118"/>
        <v>0614060909</v>
      </c>
      <c r="B11390" t="str">
        <f t="shared" si="4119"/>
        <v>ORREL</v>
      </c>
      <c r="C11390" t="str">
        <f t="shared" si="4117"/>
        <v>METAYER</v>
      </c>
      <c r="D11390">
        <f>11</f>
        <v>11</v>
      </c>
      <c r="E11390" t="str">
        <f>"05 - B - 109 - Ferrie J Arostique"</f>
        <v>05 - B - 109 - Ferrie J Arostique</v>
      </c>
      <c r="F11390" t="str">
        <f>"GEOMETRY"</f>
        <v>GEOMETRY</v>
      </c>
      <c r="G11390" t="str">
        <f>"21-2139"</f>
        <v>21-2139</v>
      </c>
      <c r="H11390" t="str">
        <f>"B"</f>
        <v>B</v>
      </c>
    </row>
    <row r="11391" spans="1:8" x14ac:dyDescent="0.2">
      <c r="A11391" t="str">
        <f t="shared" si="4118"/>
        <v>0614060909</v>
      </c>
      <c r="B11391" t="str">
        <f t="shared" si="4119"/>
        <v>ORREL</v>
      </c>
      <c r="C11391" t="str">
        <f t="shared" si="4117"/>
        <v>METAYER</v>
      </c>
      <c r="D11391">
        <f>11</f>
        <v>11</v>
      </c>
      <c r="E11391" t="str">
        <f>"01 - A - 101 - Samantha L Martinez"</f>
        <v>01 - A - 101 - Samantha L Martinez</v>
      </c>
      <c r="F11391" t="str">
        <f>"MUSIC WORLD"</f>
        <v>MUSIC WORLD</v>
      </c>
      <c r="G11391" t="str">
        <f>"05-505"</f>
        <v>05-505</v>
      </c>
      <c r="H11391" t="str">
        <f>"A"</f>
        <v>A</v>
      </c>
    </row>
    <row r="11392" spans="1:8" x14ac:dyDescent="0.2">
      <c r="A11392" t="str">
        <f t="shared" si="4118"/>
        <v>0614060909</v>
      </c>
      <c r="B11392" t="str">
        <f t="shared" si="4119"/>
        <v>ORREL</v>
      </c>
      <c r="C11392" t="str">
        <f t="shared" si="4117"/>
        <v>METAYER</v>
      </c>
      <c r="D11392">
        <f>11</f>
        <v>11</v>
      </c>
      <c r="E11392" t="str">
        <f>"08 - S1 - B - 102 - Nahum  Saint-Preux"</f>
        <v>08 - S1 - B - 102 - Nahum  Saint-Preux</v>
      </c>
      <c r="F11392" t="str">
        <f>"CRIT THINK ST SKLS"</f>
        <v>CRIT THINK ST SKLS</v>
      </c>
      <c r="G11392" t="str">
        <f>"17-1712"</f>
        <v>17-1712</v>
      </c>
      <c r="H11392" t="str">
        <f>"B"</f>
        <v>B</v>
      </c>
    </row>
    <row r="11393" spans="1:8" x14ac:dyDescent="0.2">
      <c r="A11393" t="str">
        <f t="shared" ref="A11393:A11400" si="4120">"0613113770"</f>
        <v>0613113770</v>
      </c>
      <c r="B11393" t="str">
        <f t="shared" ref="B11393:B11400" si="4121">"GABRIELLE"</f>
        <v>GABRIELLE</v>
      </c>
      <c r="C11393" t="str">
        <f t="shared" ref="C11393:C11408" si="4122">"METELLUS"</f>
        <v>METELLUS</v>
      </c>
      <c r="D11393">
        <f>12</f>
        <v>12</v>
      </c>
      <c r="E11393" t="str">
        <f>"04 - A - 101 - Alejandro  Navarro"</f>
        <v>04 - A - 101 - Alejandro  Navarro</v>
      </c>
      <c r="F11393" t="str">
        <f>"BAND 6 HON"</f>
        <v>BAND 6 HON</v>
      </c>
      <c r="G11393" t="str">
        <f>"05-504"</f>
        <v>05-504</v>
      </c>
      <c r="H11393" t="str">
        <f>"A"</f>
        <v>A</v>
      </c>
    </row>
    <row r="11394" spans="1:8" x14ac:dyDescent="0.2">
      <c r="A11394" t="str">
        <f t="shared" si="4120"/>
        <v>0613113770</v>
      </c>
      <c r="B11394" t="str">
        <f t="shared" si="4121"/>
        <v>GABRIELLE</v>
      </c>
      <c r="C11394" t="str">
        <f t="shared" si="4122"/>
        <v>METELLUS</v>
      </c>
      <c r="D11394">
        <f>12</f>
        <v>12</v>
      </c>
      <c r="E11394" t="str">
        <f>"06 - B - 105 - Robyn L Trainer"</f>
        <v>06 - B - 105 - Robyn L Trainer</v>
      </c>
      <c r="F11394" t="str">
        <f>"NC STUDY HALL 1"</f>
        <v>NC STUDY HALL 1</v>
      </c>
      <c r="G11394" t="str">
        <f>"17-1734"</f>
        <v>17-1734</v>
      </c>
      <c r="H11394" t="str">
        <f>"B"</f>
        <v>B</v>
      </c>
    </row>
    <row r="11395" spans="1:8" x14ac:dyDescent="0.2">
      <c r="A11395" t="str">
        <f t="shared" si="4120"/>
        <v>0613113770</v>
      </c>
      <c r="B11395" t="str">
        <f t="shared" si="4121"/>
        <v>GABRIELLE</v>
      </c>
      <c r="C11395" t="str">
        <f t="shared" si="4122"/>
        <v>METELLUS</v>
      </c>
      <c r="D11395">
        <f>12</f>
        <v>12</v>
      </c>
      <c r="E11395" t="str">
        <f>"03 - A - 202 - Jeanne M Bermudez"</f>
        <v>03 - A - 202 - Jeanne M Bermudez</v>
      </c>
      <c r="F11395" t="str">
        <f>"PHYSICS 1 HON"</f>
        <v>PHYSICS 1 HON</v>
      </c>
      <c r="G11395" t="str">
        <f>"21-2141"</f>
        <v>21-2141</v>
      </c>
      <c r="H11395" t="str">
        <f>"A"</f>
        <v>A</v>
      </c>
    </row>
    <row r="11396" spans="1:8" x14ac:dyDescent="0.2">
      <c r="A11396" t="str">
        <f t="shared" si="4120"/>
        <v>0613113770</v>
      </c>
      <c r="B11396" t="str">
        <f t="shared" si="4121"/>
        <v>GABRIELLE</v>
      </c>
      <c r="C11396" t="str">
        <f t="shared" si="4122"/>
        <v>METELLUS</v>
      </c>
      <c r="D11396">
        <f>12</f>
        <v>12</v>
      </c>
      <c r="E11396" t="str">
        <f>"02 - A - 102 - Vanessa J Liburd"</f>
        <v>02 - A - 102 - Vanessa J Liburd</v>
      </c>
      <c r="F11396" t="str">
        <f>"PRE-AICE FRENCH 2 IG"</f>
        <v>PRE-AICE FRENCH 2 IG</v>
      </c>
      <c r="G11396" t="str">
        <f>"05-519"</f>
        <v>05-519</v>
      </c>
      <c r="H11396" t="str">
        <f>"A"</f>
        <v>A</v>
      </c>
    </row>
    <row r="11397" spans="1:8" x14ac:dyDescent="0.2">
      <c r="A11397" t="str">
        <f t="shared" si="4120"/>
        <v>0613113770</v>
      </c>
      <c r="B11397" t="str">
        <f t="shared" si="4121"/>
        <v>GABRIELLE</v>
      </c>
      <c r="C11397" t="str">
        <f t="shared" si="4122"/>
        <v>METELLUS</v>
      </c>
      <c r="D11397">
        <f>12</f>
        <v>12</v>
      </c>
      <c r="E11397" t="str">
        <f>"07 - S1 - B - 102 - Barbara L Segal"</f>
        <v>07 - S1 - B - 102 - Barbara L Segal</v>
      </c>
      <c r="F11397" t="str">
        <f>"AP US GOVT/POL"</f>
        <v>AP US GOVT/POL</v>
      </c>
      <c r="G11397" t="str">
        <f>"17-1742"</f>
        <v>17-1742</v>
      </c>
      <c r="H11397" t="str">
        <f>"B"</f>
        <v>B</v>
      </c>
    </row>
    <row r="11398" spans="1:8" x14ac:dyDescent="0.2">
      <c r="A11398" t="str">
        <f t="shared" si="4120"/>
        <v>0613113770</v>
      </c>
      <c r="B11398" t="str">
        <f t="shared" si="4121"/>
        <v>GABRIELLE</v>
      </c>
      <c r="C11398" t="str">
        <f t="shared" si="4122"/>
        <v>METELLUS</v>
      </c>
      <c r="D11398">
        <f>12</f>
        <v>12</v>
      </c>
      <c r="E11398" t="str">
        <f>"05 - B - 101 - Alejandro  Navarro"</f>
        <v>05 - B - 101 - Alejandro  Navarro</v>
      </c>
      <c r="F11398" t="str">
        <f>"JAZZ ENS 2"</f>
        <v>JAZZ ENS 2</v>
      </c>
      <c r="G11398" t="str">
        <f>"05-504"</f>
        <v>05-504</v>
      </c>
      <c r="H11398" t="str">
        <f>"B"</f>
        <v>B</v>
      </c>
    </row>
    <row r="11399" spans="1:8" x14ac:dyDescent="0.2">
      <c r="A11399" t="str">
        <f t="shared" si="4120"/>
        <v>0613113770</v>
      </c>
      <c r="B11399" t="str">
        <f t="shared" si="4121"/>
        <v>GABRIELLE</v>
      </c>
      <c r="C11399" t="str">
        <f t="shared" si="4122"/>
        <v>METELLUS</v>
      </c>
      <c r="D11399">
        <f>12</f>
        <v>12</v>
      </c>
      <c r="E11399" t="str">
        <f>"01 - A - 101 - Thomas G Handwerg"</f>
        <v>01 - A - 101 - Thomas G Handwerg</v>
      </c>
      <c r="F11399" t="str">
        <f>"PROB STAT W/APPS HON"</f>
        <v>PROB STAT W/APPS HON</v>
      </c>
      <c r="G11399" t="str">
        <f>"21-2146"</f>
        <v>21-2146</v>
      </c>
      <c r="H11399" t="str">
        <f>"A"</f>
        <v>A</v>
      </c>
    </row>
    <row r="11400" spans="1:8" x14ac:dyDescent="0.2">
      <c r="A11400" t="str">
        <f t="shared" si="4120"/>
        <v>0613113770</v>
      </c>
      <c r="B11400" t="str">
        <f t="shared" si="4121"/>
        <v>GABRIELLE</v>
      </c>
      <c r="C11400" t="str">
        <f t="shared" si="4122"/>
        <v>METELLUS</v>
      </c>
      <c r="D11400">
        <f>12</f>
        <v>12</v>
      </c>
      <c r="E11400" t="str">
        <f>"08 - B - 203 - Courtney E Hambright"</f>
        <v>08 - B - 203 - Courtney E Hambright</v>
      </c>
      <c r="F11400" t="str">
        <f>"AP ENG LIT COMPO"</f>
        <v>AP ENG LIT COMPO</v>
      </c>
      <c r="G11400" t="str">
        <f>"17-1711"</f>
        <v>17-1711</v>
      </c>
      <c r="H11400" t="str">
        <f>"B"</f>
        <v>B</v>
      </c>
    </row>
    <row r="11401" spans="1:8" x14ac:dyDescent="0.2">
      <c r="A11401" t="str">
        <f t="shared" ref="A11401:A11408" si="4123">"0613087876"</f>
        <v>0613087876</v>
      </c>
      <c r="B11401" t="str">
        <f t="shared" ref="B11401:B11408" si="4124">"NAKEISHA"</f>
        <v>NAKEISHA</v>
      </c>
      <c r="C11401" t="str">
        <f t="shared" si="4122"/>
        <v>METELLUS</v>
      </c>
      <c r="D11401">
        <f>12</f>
        <v>12</v>
      </c>
      <c r="E11401" t="str">
        <f>"04 - A - 101 - Stefanie S Scher"</f>
        <v>04 - A - 101 - Stefanie S Scher</v>
      </c>
      <c r="F11401" t="str">
        <f>"AP PSYCH"</f>
        <v>AP PSYCH</v>
      </c>
      <c r="G11401" t="str">
        <f>"17-1735"</f>
        <v>17-1735</v>
      </c>
      <c r="H11401" t="str">
        <f>"A"</f>
        <v>A</v>
      </c>
    </row>
    <row r="11402" spans="1:8" x14ac:dyDescent="0.2">
      <c r="A11402" t="str">
        <f t="shared" si="4123"/>
        <v>0613087876</v>
      </c>
      <c r="B11402" t="str">
        <f t="shared" si="4124"/>
        <v>NAKEISHA</v>
      </c>
      <c r="C11402" t="str">
        <f t="shared" si="4122"/>
        <v>METELLUS</v>
      </c>
      <c r="D11402">
        <f>12</f>
        <v>12</v>
      </c>
      <c r="E11402" t="str">
        <f>"06 - B - 114 - Lisa J London"</f>
        <v>06 - B - 114 - Lisa J London</v>
      </c>
      <c r="F11402" t="str">
        <f>"NC STUDY HALL 1"</f>
        <v>NC STUDY HALL 1</v>
      </c>
      <c r="G11402" t="str">
        <f>"17-1714"</f>
        <v>17-1714</v>
      </c>
      <c r="H11402" t="str">
        <f>"B"</f>
        <v>B</v>
      </c>
    </row>
    <row r="11403" spans="1:8" x14ac:dyDescent="0.2">
      <c r="A11403" t="str">
        <f t="shared" si="4123"/>
        <v>0613087876</v>
      </c>
      <c r="B11403" t="str">
        <f t="shared" si="4124"/>
        <v>NAKEISHA</v>
      </c>
      <c r="C11403" t="str">
        <f t="shared" si="4122"/>
        <v>METELLUS</v>
      </c>
      <c r="D11403">
        <f>12</f>
        <v>12</v>
      </c>
      <c r="E11403" t="str">
        <f>"03 - A - 202 - Bruce A Evans"</f>
        <v>03 - A - 202 - Bruce A Evans</v>
      </c>
      <c r="F11403" t="str">
        <f>"HEALTH SCI FOUND HON"</f>
        <v>HEALTH SCI FOUND HON</v>
      </c>
      <c r="G11403" t="str">
        <f>"21-2142"</f>
        <v>21-2142</v>
      </c>
      <c r="H11403" t="str">
        <f>"A"</f>
        <v>A</v>
      </c>
    </row>
    <row r="11404" spans="1:8" x14ac:dyDescent="0.2">
      <c r="A11404" t="str">
        <f t="shared" si="4123"/>
        <v>0613087876</v>
      </c>
      <c r="B11404" t="str">
        <f t="shared" si="4124"/>
        <v>NAKEISHA</v>
      </c>
      <c r="C11404" t="str">
        <f t="shared" si="4122"/>
        <v>METELLUS</v>
      </c>
      <c r="D11404">
        <f>12</f>
        <v>12</v>
      </c>
      <c r="E11404" t="str">
        <f>"02 - A - 102 - Bruce A Evans"</f>
        <v>02 - A - 102 - Bruce A Evans</v>
      </c>
      <c r="F11404" t="str">
        <f>"EMERG MED RESP 3 HON"</f>
        <v>EMERG MED RESP 3 HON</v>
      </c>
      <c r="G11404" t="str">
        <f>"21-2142"</f>
        <v>21-2142</v>
      </c>
      <c r="H11404" t="str">
        <f>"A"</f>
        <v>A</v>
      </c>
    </row>
    <row r="11405" spans="1:8" x14ac:dyDescent="0.2">
      <c r="A11405" t="str">
        <f t="shared" si="4123"/>
        <v>0613087876</v>
      </c>
      <c r="B11405" t="str">
        <f t="shared" si="4124"/>
        <v>NAKEISHA</v>
      </c>
      <c r="C11405" t="str">
        <f t="shared" si="4122"/>
        <v>METELLUS</v>
      </c>
      <c r="D11405">
        <f>12</f>
        <v>12</v>
      </c>
      <c r="E11405" t="str">
        <f>"07 - B - 102 - Courtney E Hambright"</f>
        <v>07 - B - 102 - Courtney E Hambright</v>
      </c>
      <c r="F11405" t="str">
        <f>"AP ENG LIT COMPO"</f>
        <v>AP ENG LIT COMPO</v>
      </c>
      <c r="G11405" t="str">
        <f>"17-1711"</f>
        <v>17-1711</v>
      </c>
      <c r="H11405" t="str">
        <f>"B"</f>
        <v>B</v>
      </c>
    </row>
    <row r="11406" spans="1:8" x14ac:dyDescent="0.2">
      <c r="A11406" t="str">
        <f t="shared" si="4123"/>
        <v>0613087876</v>
      </c>
      <c r="B11406" t="str">
        <f t="shared" si="4124"/>
        <v>NAKEISHA</v>
      </c>
      <c r="C11406" t="str">
        <f t="shared" si="4122"/>
        <v>METELLUS</v>
      </c>
      <c r="D11406">
        <f>12</f>
        <v>12</v>
      </c>
      <c r="E11406" t="str">
        <f>"05 - B - 101 - Angela S Adeshina-Morrison"</f>
        <v>05 - B - 101 - Angela S Adeshina-Morrison</v>
      </c>
      <c r="F11406" t="str">
        <f>"MKT APPLCTNS LH"</f>
        <v>MKT APPLCTNS LH</v>
      </c>
      <c r="G11406" t="str">
        <f>"05-518"</f>
        <v>05-518</v>
      </c>
      <c r="H11406" t="str">
        <f>"B"</f>
        <v>B</v>
      </c>
    </row>
    <row r="11407" spans="1:8" x14ac:dyDescent="0.2">
      <c r="A11407" t="str">
        <f t="shared" si="4123"/>
        <v>0613087876</v>
      </c>
      <c r="B11407" t="str">
        <f t="shared" si="4124"/>
        <v>NAKEISHA</v>
      </c>
      <c r="C11407" t="str">
        <f t="shared" si="4122"/>
        <v>METELLUS</v>
      </c>
      <c r="D11407">
        <f>12</f>
        <v>12</v>
      </c>
      <c r="E11407" t="str">
        <f>"01 - A - 107 - Valerie J Ruwe"</f>
        <v>01 - A - 107 - Valerie J Ruwe</v>
      </c>
      <c r="F11407" t="str">
        <f>"CHEMISTRY 1 HON"</f>
        <v>CHEMISTRY 1 HON</v>
      </c>
      <c r="G11407" t="str">
        <f>"21-2134"</f>
        <v>21-2134</v>
      </c>
      <c r="H11407" t="str">
        <f>"A"</f>
        <v>A</v>
      </c>
    </row>
    <row r="11408" spans="1:8" x14ac:dyDescent="0.2">
      <c r="A11408" t="str">
        <f t="shared" si="4123"/>
        <v>0613087876</v>
      </c>
      <c r="B11408" t="str">
        <f t="shared" si="4124"/>
        <v>NAKEISHA</v>
      </c>
      <c r="C11408" t="str">
        <f t="shared" si="4122"/>
        <v>METELLUS</v>
      </c>
      <c r="D11408">
        <f>12</f>
        <v>12</v>
      </c>
      <c r="E11408" t="str">
        <f>"08 - S1 - B - 105 - Kelly N Panza"</f>
        <v>08 - S1 - B - 105 - Kelly N Panza</v>
      </c>
      <c r="F11408" t="str">
        <f>"US GOVT HON"</f>
        <v>US GOVT HON</v>
      </c>
      <c r="G11408" t="str">
        <f>"17-1753"</f>
        <v>17-1753</v>
      </c>
      <c r="H11408" t="str">
        <f>"B"</f>
        <v>B</v>
      </c>
    </row>
    <row r="11409" spans="1:8" x14ac:dyDescent="0.2">
      <c r="A11409" t="str">
        <f t="shared" ref="A11409:A11418" si="4125">"0614042590"</f>
        <v>0614042590</v>
      </c>
      <c r="B11409" t="str">
        <f t="shared" ref="B11409:B11418" si="4126">"TERNESSE"</f>
        <v>TERNESSE</v>
      </c>
      <c r="C11409" t="str">
        <f t="shared" ref="C11409:C11418" si="4127">"METELUS"</f>
        <v>METELUS</v>
      </c>
      <c r="D11409">
        <f>12</f>
        <v>12</v>
      </c>
      <c r="E11409" t="str">
        <f>"19 - S1 - MTWHF - BCC - Instructor BC"</f>
        <v>19 - S1 - MTWHF - BCC - Instructor BC</v>
      </c>
      <c r="F11409" t="str">
        <f>"COMPOSITION I"</f>
        <v>COMPOSITION I</v>
      </c>
      <c r="G11409" t="str">
        <f>"60-DE"</f>
        <v>60-DE</v>
      </c>
      <c r="H11409" t="str">
        <f>"-"</f>
        <v>-</v>
      </c>
    </row>
    <row r="11410" spans="1:8" x14ac:dyDescent="0.2">
      <c r="A11410" t="str">
        <f t="shared" si="4125"/>
        <v>0614042590</v>
      </c>
      <c r="B11410" t="str">
        <f t="shared" si="4126"/>
        <v>TERNESSE</v>
      </c>
      <c r="C11410" t="str">
        <f t="shared" si="4127"/>
        <v>METELUS</v>
      </c>
      <c r="D11410">
        <f>12</f>
        <v>12</v>
      </c>
      <c r="E11410" t="str">
        <f>"19 - S1 - MTWHF - B18 - Instructor BC"</f>
        <v>19 - S1 - MTWHF - B18 - Instructor BC</v>
      </c>
      <c r="F11410" t="str">
        <f>"HIST US-CIV WAR-PRES"</f>
        <v>HIST US-CIV WAR-PRES</v>
      </c>
      <c r="G11410" t="str">
        <f>"60-DE"</f>
        <v>60-DE</v>
      </c>
      <c r="H11410" t="str">
        <f>"-"</f>
        <v>-</v>
      </c>
    </row>
    <row r="11411" spans="1:8" x14ac:dyDescent="0.2">
      <c r="A11411" t="str">
        <f t="shared" si="4125"/>
        <v>0614042590</v>
      </c>
      <c r="B11411" t="str">
        <f t="shared" si="4126"/>
        <v>TERNESSE</v>
      </c>
      <c r="C11411" t="str">
        <f t="shared" si="4127"/>
        <v>METELUS</v>
      </c>
      <c r="D11411">
        <f>12</f>
        <v>12</v>
      </c>
      <c r="E11411" t="str">
        <f>"04 - A - 201 - Alejandro  Navarro"</f>
        <v>04 - A - 201 - Alejandro  Navarro</v>
      </c>
      <c r="F11411" t="str">
        <f>"BAND 4"</f>
        <v>BAND 4</v>
      </c>
      <c r="G11411" t="str">
        <f>"05-504"</f>
        <v>05-504</v>
      </c>
      <c r="H11411" t="str">
        <f>"A"</f>
        <v>A</v>
      </c>
    </row>
    <row r="11412" spans="1:8" x14ac:dyDescent="0.2">
      <c r="A11412" t="str">
        <f t="shared" si="4125"/>
        <v>0614042590</v>
      </c>
      <c r="B11412" t="str">
        <f t="shared" si="4126"/>
        <v>TERNESSE</v>
      </c>
      <c r="C11412" t="str">
        <f t="shared" si="4127"/>
        <v>METELUS</v>
      </c>
      <c r="D11412">
        <f>12</f>
        <v>12</v>
      </c>
      <c r="E11412" t="str">
        <f>"06 - B - 106 - Taraneh C Abreu"</f>
        <v>06 - B - 106 - Taraneh C Abreu</v>
      </c>
      <c r="F11412" t="str">
        <f>"NC STUDY HALL 1"</f>
        <v>NC STUDY HALL 1</v>
      </c>
      <c r="G11412" t="str">
        <f>"17-1713"</f>
        <v>17-1713</v>
      </c>
      <c r="H11412" t="str">
        <f>"B"</f>
        <v>B</v>
      </c>
    </row>
    <row r="11413" spans="1:8" x14ac:dyDescent="0.2">
      <c r="A11413" t="str">
        <f t="shared" si="4125"/>
        <v>0614042590</v>
      </c>
      <c r="B11413" t="str">
        <f t="shared" si="4126"/>
        <v>TERNESSE</v>
      </c>
      <c r="C11413" t="str">
        <f t="shared" si="4127"/>
        <v>METELUS</v>
      </c>
      <c r="D11413">
        <f>12</f>
        <v>12</v>
      </c>
      <c r="E11413" t="str">
        <f>"03 - A - 102 - Thomas G Handwerg"</f>
        <v>03 - A - 102 - Thomas G Handwerg</v>
      </c>
      <c r="F11413" t="str">
        <f>"MATH COLL ALGEBRA"</f>
        <v>MATH COLL ALGEBRA</v>
      </c>
      <c r="G11413" t="str">
        <f>"21-2146"</f>
        <v>21-2146</v>
      </c>
      <c r="H11413" t="str">
        <f>"A"</f>
        <v>A</v>
      </c>
    </row>
    <row r="11414" spans="1:8" x14ac:dyDescent="0.2">
      <c r="A11414" t="str">
        <f t="shared" si="4125"/>
        <v>0614042590</v>
      </c>
      <c r="B11414" t="str">
        <f t="shared" si="4126"/>
        <v>TERNESSE</v>
      </c>
      <c r="C11414" t="str">
        <f t="shared" si="4127"/>
        <v>METELUS</v>
      </c>
      <c r="D11414">
        <f>12</f>
        <v>12</v>
      </c>
      <c r="E11414" t="str">
        <f>"02 - A - 104 - Joe  Kilpatrick Jr"</f>
        <v>02 - A - 104 - Joe  Kilpatrick Jr</v>
      </c>
      <c r="F11414" t="str">
        <f>"PRE-AICE SPAN 2 IG"</f>
        <v>PRE-AICE SPAN 2 IG</v>
      </c>
      <c r="G11414" t="str">
        <f>"09-912"</f>
        <v>09-912</v>
      </c>
      <c r="H11414" t="str">
        <f>"A"</f>
        <v>A</v>
      </c>
    </row>
    <row r="11415" spans="1:8" x14ac:dyDescent="0.2">
      <c r="A11415" t="str">
        <f t="shared" si="4125"/>
        <v>0614042590</v>
      </c>
      <c r="B11415" t="str">
        <f t="shared" si="4126"/>
        <v>TERNESSE</v>
      </c>
      <c r="C11415" t="str">
        <f t="shared" si="4127"/>
        <v>METELUS</v>
      </c>
      <c r="D11415">
        <f>12</f>
        <v>12</v>
      </c>
      <c r="E11415" t="str">
        <f>"07 - S1 - B - 107 - Kelly N Panza"</f>
        <v>07 - S1 - B - 107 - Kelly N Panza</v>
      </c>
      <c r="F11415" t="str">
        <f>"US GOVT HON"</f>
        <v>US GOVT HON</v>
      </c>
      <c r="G11415" t="str">
        <f>"17-1753"</f>
        <v>17-1753</v>
      </c>
      <c r="H11415" t="str">
        <f>"B"</f>
        <v>B</v>
      </c>
    </row>
    <row r="11416" spans="1:8" x14ac:dyDescent="0.2">
      <c r="A11416" t="str">
        <f t="shared" si="4125"/>
        <v>0614042590</v>
      </c>
      <c r="B11416" t="str">
        <f t="shared" si="4126"/>
        <v>TERNESSE</v>
      </c>
      <c r="C11416" t="str">
        <f t="shared" si="4127"/>
        <v>METELUS</v>
      </c>
      <c r="D11416">
        <f>12</f>
        <v>12</v>
      </c>
      <c r="E11416" t="str">
        <f>"05 - B - 101 - Jordana K Hass"</f>
        <v>05 - B - 101 - Jordana K Hass</v>
      </c>
      <c r="F11416" t="str">
        <f>"AP COMP SCI PRIN"</f>
        <v>AP COMP SCI PRIN</v>
      </c>
      <c r="G11416" t="str">
        <f>"08-807"</f>
        <v>08-807</v>
      </c>
      <c r="H11416" t="str">
        <f>"B"</f>
        <v>B</v>
      </c>
    </row>
    <row r="11417" spans="1:8" x14ac:dyDescent="0.2">
      <c r="A11417" t="str">
        <f t="shared" si="4125"/>
        <v>0614042590</v>
      </c>
      <c r="B11417" t="str">
        <f t="shared" si="4126"/>
        <v>TERNESSE</v>
      </c>
      <c r="C11417" t="str">
        <f t="shared" si="4127"/>
        <v>METELUS</v>
      </c>
      <c r="D11417">
        <f>12</f>
        <v>12</v>
      </c>
      <c r="E11417" t="str">
        <f>"01 - A - 201 - Jeanne M Bermudez"</f>
        <v>01 - A - 201 - Jeanne M Bermudez</v>
      </c>
      <c r="F11417" t="str">
        <f>"PHYSICS 1 HON"</f>
        <v>PHYSICS 1 HON</v>
      </c>
      <c r="G11417" t="str">
        <f>"21-2141"</f>
        <v>21-2141</v>
      </c>
      <c r="H11417" t="str">
        <f>"A"</f>
        <v>A</v>
      </c>
    </row>
    <row r="11418" spans="1:8" x14ac:dyDescent="0.2">
      <c r="A11418" t="str">
        <f t="shared" si="4125"/>
        <v>0614042590</v>
      </c>
      <c r="B11418" t="str">
        <f t="shared" si="4126"/>
        <v>TERNESSE</v>
      </c>
      <c r="C11418" t="str">
        <f t="shared" si="4127"/>
        <v>METELUS</v>
      </c>
      <c r="D11418">
        <f>12</f>
        <v>12</v>
      </c>
      <c r="E11418" t="str">
        <f>"08 - B - 105 - Jeffrey S Gallagher"</f>
        <v>08 - B - 105 - Jeffrey S Gallagher</v>
      </c>
      <c r="F11418" t="str">
        <f>"ENG HON 4"</f>
        <v>ENG HON 4</v>
      </c>
      <c r="G11418" t="str">
        <f>"17-1724"</f>
        <v>17-1724</v>
      </c>
      <c r="H11418" t="str">
        <f>"B"</f>
        <v>B</v>
      </c>
    </row>
    <row r="11419" spans="1:8" x14ac:dyDescent="0.2">
      <c r="A11419" t="str">
        <f t="shared" ref="A11419:A11426" si="4128">"0616025483"</f>
        <v>0616025483</v>
      </c>
      <c r="B11419" t="str">
        <f t="shared" ref="B11419:B11426" si="4129">"LOUIS"</f>
        <v>LOUIS</v>
      </c>
      <c r="C11419" t="str">
        <f t="shared" ref="C11419:C11426" si="4130">"MEUZE"</f>
        <v>MEUZE</v>
      </c>
      <c r="D11419">
        <f>10</f>
        <v>10</v>
      </c>
      <c r="E11419" t="str">
        <f>"04 - A - 105 - Milca  Exantus"</f>
        <v>04 - A - 105 - Milca  Exantus</v>
      </c>
      <c r="F11419" t="str">
        <f>"MATH COLLEGE LIB ART"</f>
        <v>MATH COLLEGE LIB ART</v>
      </c>
      <c r="G11419" t="str">
        <f>"21-2145"</f>
        <v>21-2145</v>
      </c>
      <c r="H11419" t="str">
        <f>"A"</f>
        <v>A</v>
      </c>
    </row>
    <row r="11420" spans="1:8" x14ac:dyDescent="0.2">
      <c r="A11420" t="str">
        <f t="shared" si="4128"/>
        <v>0616025483</v>
      </c>
      <c r="B11420" t="str">
        <f t="shared" si="4129"/>
        <v>LOUIS</v>
      </c>
      <c r="C11420" t="str">
        <f t="shared" si="4130"/>
        <v>MEUZE</v>
      </c>
      <c r="D11420">
        <f>10</f>
        <v>10</v>
      </c>
      <c r="E11420" t="str">
        <f>"06 - B - 116 - Jordana K Hass"</f>
        <v>06 - B - 116 - Jordana K Hass</v>
      </c>
      <c r="F11420" t="str">
        <f>"NC STUDY HALL 1"</f>
        <v>NC STUDY HALL 1</v>
      </c>
      <c r="G11420" t="str">
        <f>"08-807"</f>
        <v>08-807</v>
      </c>
      <c r="H11420" t="str">
        <f>"B"</f>
        <v>B</v>
      </c>
    </row>
    <row r="11421" spans="1:8" x14ac:dyDescent="0.2">
      <c r="A11421" t="str">
        <f t="shared" si="4128"/>
        <v>0616025483</v>
      </c>
      <c r="B11421" t="str">
        <f t="shared" si="4129"/>
        <v>LOUIS</v>
      </c>
      <c r="C11421" t="str">
        <f t="shared" si="4130"/>
        <v>MEUZE</v>
      </c>
      <c r="D11421">
        <f>10</f>
        <v>10</v>
      </c>
      <c r="E11421" t="str">
        <f>"03 - S1 - A - 102 - Leslie J Barton"</f>
        <v>03 - S1 - A - 102 - Leslie J Barton</v>
      </c>
      <c r="F11421" t="str">
        <f>"FIRST AID SAFETY"</f>
        <v>FIRST AID SAFETY</v>
      </c>
      <c r="G11421" t="str">
        <f>"05-521"</f>
        <v>05-521</v>
      </c>
      <c r="H11421" t="str">
        <f>"A"</f>
        <v>A</v>
      </c>
    </row>
    <row r="11422" spans="1:8" x14ac:dyDescent="0.2">
      <c r="A11422" t="str">
        <f t="shared" si="4128"/>
        <v>0616025483</v>
      </c>
      <c r="B11422" t="str">
        <f t="shared" si="4129"/>
        <v>LOUIS</v>
      </c>
      <c r="C11422" t="str">
        <f t="shared" si="4130"/>
        <v>MEUZE</v>
      </c>
      <c r="D11422">
        <f>10</f>
        <v>10</v>
      </c>
      <c r="E11422" t="str">
        <f>"02 - S1 - A - 102 - Richard E Dunbar Iii"</f>
        <v>02 - S1 - A - 102 - Richard E Dunbar Iii</v>
      </c>
      <c r="F11422" t="str">
        <f>"WEIGHT TRAIN 1"</f>
        <v>WEIGHT TRAIN 1</v>
      </c>
      <c r="G11422" t="str">
        <f>"05-501"</f>
        <v>05-501</v>
      </c>
      <c r="H11422" t="str">
        <f>"A"</f>
        <v>A</v>
      </c>
    </row>
    <row r="11423" spans="1:8" x14ac:dyDescent="0.2">
      <c r="A11423" t="str">
        <f t="shared" si="4128"/>
        <v>0616025483</v>
      </c>
      <c r="B11423" t="str">
        <f t="shared" si="4129"/>
        <v>LOUIS</v>
      </c>
      <c r="C11423" t="str">
        <f t="shared" si="4130"/>
        <v>MEUZE</v>
      </c>
      <c r="D11423">
        <f>10</f>
        <v>10</v>
      </c>
      <c r="E11423" t="str">
        <f>"07 - B - 002 - Jazmin S Fletcher"</f>
        <v>07 - B - 002 - Jazmin S Fletcher</v>
      </c>
      <c r="F11423" t="str">
        <f>"THEATRE 1"</f>
        <v>THEATRE 1</v>
      </c>
      <c r="G11423" t="str">
        <f>"09-909"</f>
        <v>09-909</v>
      </c>
      <c r="H11423" t="str">
        <f>"B"</f>
        <v>B</v>
      </c>
    </row>
    <row r="11424" spans="1:8" x14ac:dyDescent="0.2">
      <c r="A11424" t="str">
        <f t="shared" si="4128"/>
        <v>0616025483</v>
      </c>
      <c r="B11424" t="str">
        <f t="shared" si="4129"/>
        <v>LOUIS</v>
      </c>
      <c r="C11424" t="str">
        <f t="shared" si="4130"/>
        <v>MEUZE</v>
      </c>
      <c r="D11424">
        <f>10</f>
        <v>10</v>
      </c>
      <c r="E11424" t="str">
        <f>"05 - B - 106 - Jacquelyn M Neeson"</f>
        <v>05 - B - 106 - Jacquelyn M Neeson</v>
      </c>
      <c r="F11424" t="str">
        <f>"ENG 2"</f>
        <v>ENG 2</v>
      </c>
      <c r="G11424" t="str">
        <f>"17-1715"</f>
        <v>17-1715</v>
      </c>
      <c r="H11424" t="str">
        <f>"B"</f>
        <v>B</v>
      </c>
    </row>
    <row r="11425" spans="1:8" x14ac:dyDescent="0.2">
      <c r="A11425" t="str">
        <f t="shared" si="4128"/>
        <v>0616025483</v>
      </c>
      <c r="B11425" t="str">
        <f t="shared" si="4129"/>
        <v>LOUIS</v>
      </c>
      <c r="C11425" t="str">
        <f t="shared" si="4130"/>
        <v>MEUZE</v>
      </c>
      <c r="D11425">
        <f>10</f>
        <v>10</v>
      </c>
      <c r="E11425" t="str">
        <f>"01 - A - 102 - Lytrell T Dixon"</f>
        <v>01 - A - 102 - Lytrell T Dixon</v>
      </c>
      <c r="F11425" t="str">
        <f>"BIOLOGY 1"</f>
        <v>BIOLOGY 1</v>
      </c>
      <c r="G11425" t="str">
        <f>"08-808"</f>
        <v>08-808</v>
      </c>
      <c r="H11425" t="str">
        <f>"A"</f>
        <v>A</v>
      </c>
    </row>
    <row r="11426" spans="1:8" x14ac:dyDescent="0.2">
      <c r="A11426" t="str">
        <f t="shared" si="4128"/>
        <v>0616025483</v>
      </c>
      <c r="B11426" t="str">
        <f t="shared" si="4129"/>
        <v>LOUIS</v>
      </c>
      <c r="C11426" t="str">
        <f t="shared" si="4130"/>
        <v>MEUZE</v>
      </c>
      <c r="D11426">
        <f>10</f>
        <v>10</v>
      </c>
      <c r="E11426" t="str">
        <f>"08 - S1 - B - 102 - Kyle  Robbins"</f>
        <v>08 - S1 - B - 102 - Kyle  Robbins</v>
      </c>
      <c r="F11426" t="str">
        <f>"PERS FIN &amp; MON MGT H"</f>
        <v>PERS FIN &amp; MON MGT H</v>
      </c>
      <c r="G11426" t="str">
        <f>"17-1745"</f>
        <v>17-1745</v>
      </c>
      <c r="H11426" t="str">
        <f>"B"</f>
        <v>B</v>
      </c>
    </row>
    <row r="11427" spans="1:8" x14ac:dyDescent="0.2">
      <c r="A11427" t="str">
        <f t="shared" ref="A11427:A11434" si="4131">"0614131805"</f>
        <v>0614131805</v>
      </c>
      <c r="B11427" t="str">
        <f t="shared" ref="B11427:B11434" si="4132">"JAMAR"</f>
        <v>JAMAR</v>
      </c>
      <c r="C11427" t="str">
        <f t="shared" ref="C11427:C11434" si="4133">"MICHAUD"</f>
        <v>MICHAUD</v>
      </c>
      <c r="D11427">
        <f>11</f>
        <v>11</v>
      </c>
      <c r="E11427" t="str">
        <f>"04 - A - 201 - Alejandro  Navarro"</f>
        <v>04 - A - 201 - Alejandro  Navarro</v>
      </c>
      <c r="F11427" t="str">
        <f>"BAND 4"</f>
        <v>BAND 4</v>
      </c>
      <c r="G11427" t="str">
        <f>"05-504"</f>
        <v>05-504</v>
      </c>
      <c r="H11427" t="str">
        <f>"A"</f>
        <v>A</v>
      </c>
    </row>
    <row r="11428" spans="1:8" x14ac:dyDescent="0.2">
      <c r="A11428" t="str">
        <f t="shared" si="4131"/>
        <v>0614131805</v>
      </c>
      <c r="B11428" t="str">
        <f t="shared" si="4132"/>
        <v>JAMAR</v>
      </c>
      <c r="C11428" t="str">
        <f t="shared" si="4133"/>
        <v>MICHAUD</v>
      </c>
      <c r="D11428">
        <f>11</f>
        <v>11</v>
      </c>
      <c r="E11428" t="str">
        <f>"06 - B - 103 - Helen A Flores"</f>
        <v>06 - B - 103 - Helen A Flores</v>
      </c>
      <c r="F11428" t="str">
        <f>"ALGEBRA 2"</f>
        <v>ALGEBRA 2</v>
      </c>
      <c r="G11428" t="str">
        <f>"21-2101"</f>
        <v>21-2101</v>
      </c>
      <c r="H11428" t="str">
        <f>"B"</f>
        <v>B</v>
      </c>
    </row>
    <row r="11429" spans="1:8" x14ac:dyDescent="0.2">
      <c r="A11429" t="str">
        <f t="shared" si="4131"/>
        <v>0614131805</v>
      </c>
      <c r="B11429" t="str">
        <f t="shared" si="4132"/>
        <v>JAMAR</v>
      </c>
      <c r="C11429" t="str">
        <f t="shared" si="4133"/>
        <v>MICHAUD</v>
      </c>
      <c r="D11429">
        <f>11</f>
        <v>11</v>
      </c>
      <c r="E11429" t="str">
        <f>"03 - A - 102 - Nahum  Saint-Preux"</f>
        <v>03 - A - 102 - Nahum  Saint-Preux</v>
      </c>
      <c r="F11429" t="str">
        <f>"INTENS READ 3"</f>
        <v>INTENS READ 3</v>
      </c>
      <c r="G11429" t="str">
        <f>"17-1712"</f>
        <v>17-1712</v>
      </c>
      <c r="H11429" t="str">
        <f>"A"</f>
        <v>A</v>
      </c>
    </row>
    <row r="11430" spans="1:8" x14ac:dyDescent="0.2">
      <c r="A11430" t="str">
        <f t="shared" si="4131"/>
        <v>0614131805</v>
      </c>
      <c r="B11430" t="str">
        <f t="shared" si="4132"/>
        <v>JAMAR</v>
      </c>
      <c r="C11430" t="str">
        <f t="shared" si="4133"/>
        <v>MICHAUD</v>
      </c>
      <c r="D11430">
        <f>11</f>
        <v>11</v>
      </c>
      <c r="E11430" t="str">
        <f>"02 - A - 106 - Heidi M Knopp"</f>
        <v>02 - A - 106 - Heidi M Knopp</v>
      </c>
      <c r="F11430" t="str">
        <f>"NC STUDY HALL 1"</f>
        <v>NC STUDY HALL 1</v>
      </c>
      <c r="G11430" t="str">
        <f>"17-1735"</f>
        <v>17-1735</v>
      </c>
      <c r="H11430" t="str">
        <f>"A"</f>
        <v>A</v>
      </c>
    </row>
    <row r="11431" spans="1:8" x14ac:dyDescent="0.2">
      <c r="A11431" t="str">
        <f t="shared" si="4131"/>
        <v>0614131805</v>
      </c>
      <c r="B11431" t="str">
        <f t="shared" si="4132"/>
        <v>JAMAR</v>
      </c>
      <c r="C11431" t="str">
        <f t="shared" si="4133"/>
        <v>MICHAUD</v>
      </c>
      <c r="D11431">
        <f>11</f>
        <v>11</v>
      </c>
      <c r="E11431" t="str">
        <f>"07 - B - 204 - Scott A Dethloff"</f>
        <v>07 - B - 204 - Scott A Dethloff</v>
      </c>
      <c r="F11431" t="str">
        <f>"CHEMISTRY 1"</f>
        <v>CHEMISTRY 1</v>
      </c>
      <c r="G11431" t="str">
        <f>"08-812"</f>
        <v>08-812</v>
      </c>
      <c r="H11431" t="str">
        <f>"B"</f>
        <v>B</v>
      </c>
    </row>
    <row r="11432" spans="1:8" x14ac:dyDescent="0.2">
      <c r="A11432" t="str">
        <f t="shared" si="4131"/>
        <v>0614131805</v>
      </c>
      <c r="B11432" t="str">
        <f t="shared" si="4132"/>
        <v>JAMAR</v>
      </c>
      <c r="C11432" t="str">
        <f t="shared" si="4133"/>
        <v>MICHAUD</v>
      </c>
      <c r="D11432">
        <f>11</f>
        <v>11</v>
      </c>
      <c r="E11432" t="str">
        <f>"05 - B - 103 - Heidi M Knopp"</f>
        <v>05 - B - 103 - Heidi M Knopp</v>
      </c>
      <c r="F11432" t="str">
        <f>"ENG HON 3"</f>
        <v>ENG HON 3</v>
      </c>
      <c r="G11432" t="str">
        <f>"17-1723"</f>
        <v>17-1723</v>
      </c>
      <c r="H11432" t="str">
        <f>"B"</f>
        <v>B</v>
      </c>
    </row>
    <row r="11433" spans="1:8" x14ac:dyDescent="0.2">
      <c r="A11433" t="str">
        <f t="shared" si="4131"/>
        <v>0614131805</v>
      </c>
      <c r="B11433" t="str">
        <f t="shared" si="4132"/>
        <v>JAMAR</v>
      </c>
      <c r="C11433" t="str">
        <f t="shared" si="4133"/>
        <v>MICHAUD</v>
      </c>
      <c r="D11433">
        <f>11</f>
        <v>11</v>
      </c>
      <c r="E11433" t="str">
        <f>"01 - A - 101 - Joe  Kilpatrick Jr"</f>
        <v>01 - A - 101 - Joe  Kilpatrick Jr</v>
      </c>
      <c r="F11433" t="str">
        <f>"PRE-AICE SPAN 1 IG"</f>
        <v>PRE-AICE SPAN 1 IG</v>
      </c>
      <c r="G11433" t="str">
        <f>"09-912"</f>
        <v>09-912</v>
      </c>
      <c r="H11433" t="str">
        <f>"A"</f>
        <v>A</v>
      </c>
    </row>
    <row r="11434" spans="1:8" x14ac:dyDescent="0.2">
      <c r="A11434" t="str">
        <f t="shared" si="4131"/>
        <v>0614131805</v>
      </c>
      <c r="B11434" t="str">
        <f t="shared" si="4132"/>
        <v>JAMAR</v>
      </c>
      <c r="C11434" t="str">
        <f t="shared" si="4133"/>
        <v>MICHAUD</v>
      </c>
      <c r="D11434">
        <f>11</f>
        <v>11</v>
      </c>
      <c r="E11434" t="str">
        <f>"08 - B - 109 - Lauren N Logan"</f>
        <v>08 - B - 109 - Lauren N Logan</v>
      </c>
      <c r="F11434" t="str">
        <f>"US HISTORY"</f>
        <v>US HISTORY</v>
      </c>
      <c r="G11434" t="str">
        <f>"17-1754"</f>
        <v>17-1754</v>
      </c>
      <c r="H11434" t="str">
        <f>"B"</f>
        <v>B</v>
      </c>
    </row>
    <row r="11435" spans="1:8" x14ac:dyDescent="0.2">
      <c r="A11435" t="str">
        <f t="shared" ref="A11435:A11442" si="4134">"0612116157"</f>
        <v>0612116157</v>
      </c>
      <c r="B11435" t="str">
        <f t="shared" ref="B11435:B11442" si="4135">"FRANCELINE"</f>
        <v>FRANCELINE</v>
      </c>
      <c r="C11435" t="str">
        <f t="shared" ref="C11435:C11477" si="4136">"MICHEL"</f>
        <v>MICHEL</v>
      </c>
      <c r="D11435">
        <f>12</f>
        <v>12</v>
      </c>
      <c r="E11435" t="str">
        <f>"04 - A - 101 - Alejandro  Navarro"</f>
        <v>04 - A - 101 - Alejandro  Navarro</v>
      </c>
      <c r="F11435" t="str">
        <f>"BAND 6 HON"</f>
        <v>BAND 6 HON</v>
      </c>
      <c r="G11435" t="str">
        <f>"05-504"</f>
        <v>05-504</v>
      </c>
      <c r="H11435" t="str">
        <f>"A"</f>
        <v>A</v>
      </c>
    </row>
    <row r="11436" spans="1:8" x14ac:dyDescent="0.2">
      <c r="A11436" t="str">
        <f t="shared" si="4134"/>
        <v>0612116157</v>
      </c>
      <c r="B11436" t="str">
        <f t="shared" si="4135"/>
        <v>FRANCELINE</v>
      </c>
      <c r="C11436" t="str">
        <f t="shared" si="4136"/>
        <v>MICHEL</v>
      </c>
      <c r="D11436">
        <f>12</f>
        <v>12</v>
      </c>
      <c r="E11436" t="str">
        <f>"06 - B - 107 - Pamela M Corzo"</f>
        <v>06 - B - 107 - Pamela M Corzo</v>
      </c>
      <c r="F11436" t="str">
        <f>"NC STUDY HALL 1"</f>
        <v>NC STUDY HALL 1</v>
      </c>
      <c r="G11436" t="str">
        <f>"21-2133"</f>
        <v>21-2133</v>
      </c>
      <c r="H11436" t="str">
        <f>"B"</f>
        <v>B</v>
      </c>
    </row>
    <row r="11437" spans="1:8" x14ac:dyDescent="0.2">
      <c r="A11437" t="str">
        <f t="shared" si="4134"/>
        <v>0612116157</v>
      </c>
      <c r="B11437" t="str">
        <f t="shared" si="4135"/>
        <v>FRANCELINE</v>
      </c>
      <c r="C11437" t="str">
        <f t="shared" si="4136"/>
        <v>MICHEL</v>
      </c>
      <c r="D11437">
        <f>12</f>
        <v>12</v>
      </c>
      <c r="E11437" t="str">
        <f>"03 - A - 101 - Dorothy D Moore"</f>
        <v>03 - A - 101 - Dorothy D Moore</v>
      </c>
      <c r="F11437" t="str">
        <f>"FORC SCI 1 LH"</f>
        <v>FORC SCI 1 LH</v>
      </c>
      <c r="G11437" t="str">
        <f>"08-803"</f>
        <v>08-803</v>
      </c>
      <c r="H11437" t="str">
        <f>"A"</f>
        <v>A</v>
      </c>
    </row>
    <row r="11438" spans="1:8" x14ac:dyDescent="0.2">
      <c r="A11438" t="str">
        <f t="shared" si="4134"/>
        <v>0612116157</v>
      </c>
      <c r="B11438" t="str">
        <f t="shared" si="4135"/>
        <v>FRANCELINE</v>
      </c>
      <c r="C11438" t="str">
        <f t="shared" si="4136"/>
        <v>MICHEL</v>
      </c>
      <c r="D11438">
        <f>12</f>
        <v>12</v>
      </c>
      <c r="E11438" t="str">
        <f>"02 - A - 201 - Jordana K Hass"</f>
        <v>02 - A - 201 - Jordana K Hass</v>
      </c>
      <c r="F11438" t="str">
        <f>"CHEMISTRY 1"</f>
        <v>CHEMISTRY 1</v>
      </c>
      <c r="G11438" t="str">
        <f>"08-807"</f>
        <v>08-807</v>
      </c>
      <c r="H11438" t="str">
        <f>"A"</f>
        <v>A</v>
      </c>
    </row>
    <row r="11439" spans="1:8" x14ac:dyDescent="0.2">
      <c r="A11439" t="str">
        <f t="shared" si="4134"/>
        <v>0612116157</v>
      </c>
      <c r="B11439" t="str">
        <f t="shared" si="4135"/>
        <v>FRANCELINE</v>
      </c>
      <c r="C11439" t="str">
        <f t="shared" si="4136"/>
        <v>MICHEL</v>
      </c>
      <c r="D11439">
        <f>12</f>
        <v>12</v>
      </c>
      <c r="E11439" t="str">
        <f>"07 - S1 - B - 107 - Kelly N Panza"</f>
        <v>07 - S1 - B - 107 - Kelly N Panza</v>
      </c>
      <c r="F11439" t="str">
        <f>"US GOVT HON"</f>
        <v>US GOVT HON</v>
      </c>
      <c r="G11439" t="str">
        <f>"17-1753"</f>
        <v>17-1753</v>
      </c>
      <c r="H11439" t="str">
        <f>"B"</f>
        <v>B</v>
      </c>
    </row>
    <row r="11440" spans="1:8" x14ac:dyDescent="0.2">
      <c r="A11440" t="str">
        <f t="shared" si="4134"/>
        <v>0612116157</v>
      </c>
      <c r="B11440" t="str">
        <f t="shared" si="4135"/>
        <v>FRANCELINE</v>
      </c>
      <c r="C11440" t="str">
        <f t="shared" si="4136"/>
        <v>MICHEL</v>
      </c>
      <c r="D11440">
        <f>12</f>
        <v>12</v>
      </c>
      <c r="E11440" t="str">
        <f>"05 - S1 - B - 103 - Leslie J Barton"</f>
        <v>05 - S1 - B - 103 - Leslie J Barton</v>
      </c>
      <c r="F11440" t="str">
        <f>"FIRST AID SAFETY"</f>
        <v>FIRST AID SAFETY</v>
      </c>
      <c r="G11440" t="str">
        <f>"05-521"</f>
        <v>05-521</v>
      </c>
      <c r="H11440" t="str">
        <f>"B"</f>
        <v>B</v>
      </c>
    </row>
    <row r="11441" spans="1:8" x14ac:dyDescent="0.2">
      <c r="A11441" t="str">
        <f t="shared" si="4134"/>
        <v>0612116157</v>
      </c>
      <c r="B11441" t="str">
        <f t="shared" si="4135"/>
        <v>FRANCELINE</v>
      </c>
      <c r="C11441" t="str">
        <f t="shared" si="4136"/>
        <v>MICHEL</v>
      </c>
      <c r="D11441">
        <f>12</f>
        <v>12</v>
      </c>
      <c r="E11441" t="str">
        <f>"01 - A - 101 - James H Mccann"</f>
        <v>01 - A - 101 - James H Mccann</v>
      </c>
      <c r="F11441" t="str">
        <f>"ALGEBRA 2"</f>
        <v>ALGEBRA 2</v>
      </c>
      <c r="G11441" t="str">
        <f>"17-1716"</f>
        <v>17-1716</v>
      </c>
      <c r="H11441" t="str">
        <f>"A"</f>
        <v>A</v>
      </c>
    </row>
    <row r="11442" spans="1:8" x14ac:dyDescent="0.2">
      <c r="A11442" t="str">
        <f t="shared" si="4134"/>
        <v>0612116157</v>
      </c>
      <c r="B11442" t="str">
        <f t="shared" si="4135"/>
        <v>FRANCELINE</v>
      </c>
      <c r="C11442" t="str">
        <f t="shared" si="4136"/>
        <v>MICHEL</v>
      </c>
      <c r="D11442">
        <f>12</f>
        <v>12</v>
      </c>
      <c r="E11442" t="str">
        <f>"08 - B - 105 - Jeffrey S Gallagher"</f>
        <v>08 - B - 105 - Jeffrey S Gallagher</v>
      </c>
      <c r="F11442" t="str">
        <f>"ENG HON 4"</f>
        <v>ENG HON 4</v>
      </c>
      <c r="G11442" t="str">
        <f>"17-1724"</f>
        <v>17-1724</v>
      </c>
      <c r="H11442" t="str">
        <f>"B"</f>
        <v>B</v>
      </c>
    </row>
    <row r="11443" spans="1:8" x14ac:dyDescent="0.2">
      <c r="A11443" t="str">
        <f t="shared" ref="A11443:A11452" si="4137">"0613122523"</f>
        <v>0613122523</v>
      </c>
      <c r="B11443" t="str">
        <f t="shared" ref="B11443:B11452" si="4138">"JASON"</f>
        <v>JASON</v>
      </c>
      <c r="C11443" t="str">
        <f t="shared" si="4136"/>
        <v>MICHEL</v>
      </c>
      <c r="D11443">
        <f>11</f>
        <v>11</v>
      </c>
      <c r="E11443" t="str">
        <f>"04 - A - 103 - Daniel S Tyson"</f>
        <v>04 - A - 103 - Daniel S Tyson</v>
      </c>
      <c r="F11443" t="str">
        <f>"JROTC NAVAL SCI 3"</f>
        <v>JROTC NAVAL SCI 3</v>
      </c>
      <c r="G11443" t="str">
        <f>"05-510"</f>
        <v>05-510</v>
      </c>
      <c r="H11443" t="str">
        <f>"A"</f>
        <v>A</v>
      </c>
    </row>
    <row r="11444" spans="1:8" x14ac:dyDescent="0.2">
      <c r="A11444" t="str">
        <f t="shared" si="4137"/>
        <v>0613122523</v>
      </c>
      <c r="B11444" t="str">
        <f t="shared" si="4138"/>
        <v>JASON</v>
      </c>
      <c r="C11444" t="str">
        <f t="shared" si="4136"/>
        <v>MICHEL</v>
      </c>
      <c r="D11444">
        <f>11</f>
        <v>11</v>
      </c>
      <c r="E11444" t="str">
        <f>"06 - B - 105 - Arthur  Kulawik"</f>
        <v>06 - B - 105 - Arthur  Kulawik</v>
      </c>
      <c r="F11444" t="str">
        <f>"ENG 3"</f>
        <v>ENG 3</v>
      </c>
      <c r="G11444" t="str">
        <f>"05-506"</f>
        <v>05-506</v>
      </c>
      <c r="H11444" t="str">
        <f>"B"</f>
        <v>B</v>
      </c>
    </row>
    <row r="11445" spans="1:8" x14ac:dyDescent="0.2">
      <c r="A11445" t="str">
        <f t="shared" si="4137"/>
        <v>0613122523</v>
      </c>
      <c r="B11445" t="str">
        <f t="shared" si="4138"/>
        <v>JASON</v>
      </c>
      <c r="C11445" t="str">
        <f t="shared" si="4136"/>
        <v>MICHEL</v>
      </c>
      <c r="D11445">
        <f>11</f>
        <v>11</v>
      </c>
      <c r="E11445" t="str">
        <f>"03 - A - 104 - Fernando  Vega-Cid"</f>
        <v>03 - A - 104 - Fernando  Vega-Cid</v>
      </c>
      <c r="F11445" t="str">
        <f>"GEOMETRY"</f>
        <v>GEOMETRY</v>
      </c>
      <c r="G11445" t="str">
        <f>"21-2163"</f>
        <v>21-2163</v>
      </c>
      <c r="H11445" t="str">
        <f>"A"</f>
        <v>A</v>
      </c>
    </row>
    <row r="11446" spans="1:8" x14ac:dyDescent="0.2">
      <c r="A11446" t="str">
        <f t="shared" si="4137"/>
        <v>0613122523</v>
      </c>
      <c r="B11446" t="str">
        <f t="shared" si="4138"/>
        <v>JASON</v>
      </c>
      <c r="C11446" t="str">
        <f t="shared" si="4136"/>
        <v>MICHEL</v>
      </c>
      <c r="D11446">
        <f>11</f>
        <v>11</v>
      </c>
      <c r="E11446" t="str">
        <f>"02 - A - 117 - Kyle  Robbins"</f>
        <v>02 - A - 117 - Kyle  Robbins</v>
      </c>
      <c r="F11446" t="str">
        <f>"NC STUDY HALL 1"</f>
        <v>NC STUDY HALL 1</v>
      </c>
      <c r="G11446" t="str">
        <f>"17-1745"</f>
        <v>17-1745</v>
      </c>
      <c r="H11446" t="str">
        <f>"A"</f>
        <v>A</v>
      </c>
    </row>
    <row r="11447" spans="1:8" x14ac:dyDescent="0.2">
      <c r="A11447" t="str">
        <f t="shared" si="4137"/>
        <v>0613122523</v>
      </c>
      <c r="B11447" t="str">
        <f t="shared" si="4138"/>
        <v>JASON</v>
      </c>
      <c r="C11447" t="str">
        <f t="shared" si="4136"/>
        <v>MICHEL</v>
      </c>
      <c r="D11447">
        <f>11</f>
        <v>11</v>
      </c>
      <c r="E11447" t="str">
        <f>"02 - A - 112 - Karen A Toomer"</f>
        <v>02 - A - 112 - Karen A Toomer</v>
      </c>
      <c r="F11447" t="str">
        <f>"LANG THERAPY"</f>
        <v>LANG THERAPY</v>
      </c>
      <c r="G11447" t="str">
        <f>"21-2110"</f>
        <v>21-2110</v>
      </c>
      <c r="H11447" t="str">
        <f>"A"</f>
        <v>A</v>
      </c>
    </row>
    <row r="11448" spans="1:8" x14ac:dyDescent="0.2">
      <c r="A11448" t="str">
        <f t="shared" si="4137"/>
        <v>0613122523</v>
      </c>
      <c r="B11448" t="str">
        <f t="shared" si="4138"/>
        <v>JASON</v>
      </c>
      <c r="C11448" t="str">
        <f t="shared" si="4136"/>
        <v>MICHEL</v>
      </c>
      <c r="D11448">
        <f>11</f>
        <v>11</v>
      </c>
      <c r="E11448" t="str">
        <f>"02 - A - 112 - Karen A Toomer"</f>
        <v>02 - A - 112 - Karen A Toomer</v>
      </c>
      <c r="F11448" t="str">
        <f>"SPEECH THRPY"</f>
        <v>SPEECH THRPY</v>
      </c>
      <c r="G11448" t="str">
        <f>"21-2110"</f>
        <v>21-2110</v>
      </c>
      <c r="H11448" t="str">
        <f>"A"</f>
        <v>A</v>
      </c>
    </row>
    <row r="11449" spans="1:8" x14ac:dyDescent="0.2">
      <c r="A11449" t="str">
        <f t="shared" si="4137"/>
        <v>0613122523</v>
      </c>
      <c r="B11449" t="str">
        <f t="shared" si="4138"/>
        <v>JASON</v>
      </c>
      <c r="C11449" t="str">
        <f t="shared" si="4136"/>
        <v>MICHEL</v>
      </c>
      <c r="D11449">
        <f>11</f>
        <v>11</v>
      </c>
      <c r="E11449" t="str">
        <f>"07 - B - 101 - Bruce A Evans"</f>
        <v>07 - B - 101 - Bruce A Evans</v>
      </c>
      <c r="F11449" t="str">
        <f>"FIREFIGHTING 1 LH"</f>
        <v>FIREFIGHTING 1 LH</v>
      </c>
      <c r="G11449" t="str">
        <f>"21-2142"</f>
        <v>21-2142</v>
      </c>
      <c r="H11449" t="str">
        <f>"B"</f>
        <v>B</v>
      </c>
    </row>
    <row r="11450" spans="1:8" x14ac:dyDescent="0.2">
      <c r="A11450" t="str">
        <f t="shared" si="4137"/>
        <v>0613122523</v>
      </c>
      <c r="B11450" t="str">
        <f t="shared" si="4138"/>
        <v>JASON</v>
      </c>
      <c r="C11450" t="str">
        <f t="shared" si="4136"/>
        <v>MICHEL</v>
      </c>
      <c r="D11450">
        <f>11</f>
        <v>11</v>
      </c>
      <c r="E11450" t="str">
        <f>"05 - B - 207 - Marielle A Witting"</f>
        <v>05 - B - 207 - Marielle A Witting</v>
      </c>
      <c r="F11450" t="str">
        <f>"ANAT PHYSIO"</f>
        <v>ANAT PHYSIO</v>
      </c>
      <c r="G11450" t="str">
        <f>"08-805"</f>
        <v>08-805</v>
      </c>
      <c r="H11450" t="str">
        <f>"B"</f>
        <v>B</v>
      </c>
    </row>
    <row r="11451" spans="1:8" x14ac:dyDescent="0.2">
      <c r="A11451" t="str">
        <f t="shared" si="4137"/>
        <v>0613122523</v>
      </c>
      <c r="B11451" t="str">
        <f t="shared" si="4138"/>
        <v>JASON</v>
      </c>
      <c r="C11451" t="str">
        <f t="shared" si="4136"/>
        <v>MICHEL</v>
      </c>
      <c r="D11451">
        <f>11</f>
        <v>11</v>
      </c>
      <c r="E11451" t="str">
        <f>"01 - S1 - A - 101 - Carol S Moore"</f>
        <v>01 - S1 - A - 101 - Carol S Moore</v>
      </c>
      <c r="F11451" t="str">
        <f>"PERS FIN &amp; MON MGT H"</f>
        <v>PERS FIN &amp; MON MGT H</v>
      </c>
      <c r="G11451" t="str">
        <f>"17-1733"</f>
        <v>17-1733</v>
      </c>
      <c r="H11451" t="str">
        <f>"A"</f>
        <v>A</v>
      </c>
    </row>
    <row r="11452" spans="1:8" x14ac:dyDescent="0.2">
      <c r="A11452" t="str">
        <f t="shared" si="4137"/>
        <v>0613122523</v>
      </c>
      <c r="B11452" t="str">
        <f t="shared" si="4138"/>
        <v>JASON</v>
      </c>
      <c r="C11452" t="str">
        <f t="shared" si="4136"/>
        <v>MICHEL</v>
      </c>
      <c r="D11452">
        <f>11</f>
        <v>11</v>
      </c>
      <c r="E11452" t="str">
        <f>"08 - B - 109 - Lauren N Logan"</f>
        <v>08 - B - 109 - Lauren N Logan</v>
      </c>
      <c r="F11452" t="str">
        <f>"US HISTORY"</f>
        <v>US HISTORY</v>
      </c>
      <c r="G11452" t="str">
        <f>"17-1754"</f>
        <v>17-1754</v>
      </c>
      <c r="H11452" t="str">
        <f>"B"</f>
        <v>B</v>
      </c>
    </row>
    <row r="11453" spans="1:8" x14ac:dyDescent="0.2">
      <c r="A11453" t="str">
        <f t="shared" ref="A11453:A11461" si="4139">"0614101909"</f>
        <v>0614101909</v>
      </c>
      <c r="B11453" t="str">
        <f t="shared" ref="B11453:B11461" si="4140">"JEREMIAH"</f>
        <v>JEREMIAH</v>
      </c>
      <c r="C11453" t="str">
        <f t="shared" si="4136"/>
        <v>MICHEL</v>
      </c>
      <c r="D11453">
        <f>12</f>
        <v>12</v>
      </c>
      <c r="E11453" t="str">
        <f>"19 - S1 - MTWHF - BCC - Instructor BC"</f>
        <v>19 - S1 - MTWHF - BCC - Instructor BC</v>
      </c>
      <c r="F11453" t="str">
        <f>"INTRO TO BUSINESS"</f>
        <v>INTRO TO BUSINESS</v>
      </c>
      <c r="G11453" t="str">
        <f>"60-DE"</f>
        <v>60-DE</v>
      </c>
      <c r="H11453" t="str">
        <f>"-"</f>
        <v>-</v>
      </c>
    </row>
    <row r="11454" spans="1:8" x14ac:dyDescent="0.2">
      <c r="A11454" t="str">
        <f t="shared" si="4139"/>
        <v>0614101909</v>
      </c>
      <c r="B11454" t="str">
        <f t="shared" si="4140"/>
        <v>JEREMIAH</v>
      </c>
      <c r="C11454" t="str">
        <f t="shared" si="4136"/>
        <v>MICHEL</v>
      </c>
      <c r="D11454">
        <f>12</f>
        <v>12</v>
      </c>
      <c r="E11454" t="str">
        <f>"04 - A - 106 - Tina M Jaramillo"</f>
        <v>04 - A - 106 - Tina M Jaramillo</v>
      </c>
      <c r="F11454" t="str">
        <f>"AP ENG LIT COMPO"</f>
        <v>AP ENG LIT COMPO</v>
      </c>
      <c r="G11454" t="str">
        <f>"17-1706"</f>
        <v>17-1706</v>
      </c>
      <c r="H11454" t="str">
        <f>"A"</f>
        <v>A</v>
      </c>
    </row>
    <row r="11455" spans="1:8" x14ac:dyDescent="0.2">
      <c r="A11455" t="str">
        <f t="shared" si="4139"/>
        <v>0614101909</v>
      </c>
      <c r="B11455" t="str">
        <f t="shared" si="4140"/>
        <v>JEREMIAH</v>
      </c>
      <c r="C11455" t="str">
        <f t="shared" si="4136"/>
        <v>MICHEL</v>
      </c>
      <c r="D11455">
        <f>12</f>
        <v>12</v>
      </c>
      <c r="E11455" t="str">
        <f>"06 - B - 103 - Stefanie S Scher"</f>
        <v>06 - B - 103 - Stefanie S Scher</v>
      </c>
      <c r="F11455" t="str">
        <f>"NC STUDY HALL 1"</f>
        <v>NC STUDY HALL 1</v>
      </c>
      <c r="G11455" t="str">
        <f>"17-1735"</f>
        <v>17-1735</v>
      </c>
      <c r="H11455" t="str">
        <f>"B"</f>
        <v>B</v>
      </c>
    </row>
    <row r="11456" spans="1:8" x14ac:dyDescent="0.2">
      <c r="A11456" t="str">
        <f t="shared" si="4139"/>
        <v>0614101909</v>
      </c>
      <c r="B11456" t="str">
        <f t="shared" si="4140"/>
        <v>JEREMIAH</v>
      </c>
      <c r="C11456" t="str">
        <f t="shared" si="4136"/>
        <v>MICHEL</v>
      </c>
      <c r="D11456">
        <f>12</f>
        <v>12</v>
      </c>
      <c r="E11456" t="str">
        <f>"03 - A - 101 - Lourivaldo  Da Silva"</f>
        <v>03 - A - 101 - Lourivaldo  Da Silva</v>
      </c>
      <c r="F11456" t="str">
        <f>"AP STAT"</f>
        <v>AP STAT</v>
      </c>
      <c r="G11456" t="str">
        <f>"20-2079"</f>
        <v>20-2079</v>
      </c>
      <c r="H11456" t="str">
        <f>"A"</f>
        <v>A</v>
      </c>
    </row>
    <row r="11457" spans="1:8" x14ac:dyDescent="0.2">
      <c r="A11457" t="str">
        <f t="shared" si="4139"/>
        <v>0614101909</v>
      </c>
      <c r="B11457" t="str">
        <f t="shared" si="4140"/>
        <v>JEREMIAH</v>
      </c>
      <c r="C11457" t="str">
        <f t="shared" si="4136"/>
        <v>MICHEL</v>
      </c>
      <c r="D11457">
        <f>12</f>
        <v>12</v>
      </c>
      <c r="E11457" t="str">
        <f>"02 - A - 201 - Jeanne M Bermudez"</f>
        <v>02 - A - 201 - Jeanne M Bermudez</v>
      </c>
      <c r="F11457" t="str">
        <f>"AP ENV SCI"</f>
        <v>AP ENV SCI</v>
      </c>
      <c r="G11457" t="str">
        <f>"21-2141"</f>
        <v>21-2141</v>
      </c>
      <c r="H11457" t="str">
        <f>"A"</f>
        <v>A</v>
      </c>
    </row>
    <row r="11458" spans="1:8" x14ac:dyDescent="0.2">
      <c r="A11458" t="str">
        <f t="shared" si="4139"/>
        <v>0614101909</v>
      </c>
      <c r="B11458" t="str">
        <f t="shared" si="4140"/>
        <v>JEREMIAH</v>
      </c>
      <c r="C11458" t="str">
        <f t="shared" si="4136"/>
        <v>MICHEL</v>
      </c>
      <c r="D11458">
        <f>12</f>
        <v>12</v>
      </c>
      <c r="E11458" t="str">
        <f>"07 - B - 201 - Jacqueline R Morphet"</f>
        <v>07 - B - 201 - Jacqueline R Morphet</v>
      </c>
      <c r="F11458" t="str">
        <f>"AP PHYSICS C: ME"</f>
        <v>AP PHYSICS C: ME</v>
      </c>
      <c r="G11458" t="str">
        <f>"21-2138"</f>
        <v>21-2138</v>
      </c>
      <c r="H11458" t="str">
        <f>"B"</f>
        <v>B</v>
      </c>
    </row>
    <row r="11459" spans="1:8" x14ac:dyDescent="0.2">
      <c r="A11459" t="str">
        <f t="shared" si="4139"/>
        <v>0614101909</v>
      </c>
      <c r="B11459" t="str">
        <f t="shared" si="4140"/>
        <v>JEREMIAH</v>
      </c>
      <c r="C11459" t="str">
        <f t="shared" si="4136"/>
        <v>MICHEL</v>
      </c>
      <c r="D11459">
        <f>12</f>
        <v>12</v>
      </c>
      <c r="E11459" t="str">
        <f>"05 - B - 101 - Angela S Adeshina-Morrison"</f>
        <v>05 - B - 101 - Angela S Adeshina-Morrison</v>
      </c>
      <c r="F11459" t="str">
        <f>"MKT APPLCTNS LH"</f>
        <v>MKT APPLCTNS LH</v>
      </c>
      <c r="G11459" t="str">
        <f>"05-518"</f>
        <v>05-518</v>
      </c>
      <c r="H11459" t="str">
        <f>"B"</f>
        <v>B</v>
      </c>
    </row>
    <row r="11460" spans="1:8" x14ac:dyDescent="0.2">
      <c r="A11460" t="str">
        <f t="shared" si="4139"/>
        <v>0614101909</v>
      </c>
      <c r="B11460" t="str">
        <f t="shared" si="4140"/>
        <v>JEREMIAH</v>
      </c>
      <c r="C11460" t="str">
        <f t="shared" si="4136"/>
        <v>MICHEL</v>
      </c>
      <c r="D11460">
        <f>12</f>
        <v>12</v>
      </c>
      <c r="E11460" t="str">
        <f>"01 - A - 101 - Nikiel  Nesbeth"</f>
        <v>01 - A - 101 - Nikiel  Nesbeth</v>
      </c>
      <c r="F11460" t="str">
        <f>"CONST LAW HON"</f>
        <v>CONST LAW HON</v>
      </c>
      <c r="G11460" t="str">
        <f>"17-1705"</f>
        <v>17-1705</v>
      </c>
      <c r="H11460" t="str">
        <f>"A"</f>
        <v>A</v>
      </c>
    </row>
    <row r="11461" spans="1:8" x14ac:dyDescent="0.2">
      <c r="A11461" t="str">
        <f t="shared" si="4139"/>
        <v>0614101909</v>
      </c>
      <c r="B11461" t="str">
        <f t="shared" si="4140"/>
        <v>JEREMIAH</v>
      </c>
      <c r="C11461" t="str">
        <f t="shared" si="4136"/>
        <v>MICHEL</v>
      </c>
      <c r="D11461">
        <f>12</f>
        <v>12</v>
      </c>
      <c r="E11461" t="str">
        <f>"08 - S1 - B - 102 - Stephen T Ripp"</f>
        <v>08 - S1 - B - 102 - Stephen T Ripp</v>
      </c>
      <c r="F11461" t="str">
        <f>"AP US GOVT/POL"</f>
        <v>AP US GOVT/POL</v>
      </c>
      <c r="G11461" t="str">
        <f>"17-1744"</f>
        <v>17-1744</v>
      </c>
      <c r="H11461" t="str">
        <f>"B"</f>
        <v>B</v>
      </c>
    </row>
    <row r="11462" spans="1:8" x14ac:dyDescent="0.2">
      <c r="A11462" t="str">
        <f t="shared" ref="A11462:A11469" si="4141">"0614048951"</f>
        <v>0614048951</v>
      </c>
      <c r="B11462" t="str">
        <f t="shared" ref="B11462:B11469" si="4142">"LYNE"</f>
        <v>LYNE</v>
      </c>
      <c r="C11462" t="str">
        <f t="shared" si="4136"/>
        <v>MICHEL</v>
      </c>
      <c r="D11462">
        <f>11</f>
        <v>11</v>
      </c>
      <c r="E11462" t="str">
        <f>"04 - A - 101 - Jerry S Jiampetti"</f>
        <v>04 - A - 101 - Jerry S Jiampetti</v>
      </c>
      <c r="F11462" t="str">
        <f>"AICE U.S. HIST 1 AS"</f>
        <v>AICE U.S. HIST 1 AS</v>
      </c>
      <c r="G11462" t="str">
        <f>"17-1751"</f>
        <v>17-1751</v>
      </c>
      <c r="H11462" t="str">
        <f>"A"</f>
        <v>A</v>
      </c>
    </row>
    <row r="11463" spans="1:8" x14ac:dyDescent="0.2">
      <c r="A11463" t="str">
        <f t="shared" si="4141"/>
        <v>0614048951</v>
      </c>
      <c r="B11463" t="str">
        <f t="shared" si="4142"/>
        <v>LYNE</v>
      </c>
      <c r="C11463" t="str">
        <f t="shared" si="4136"/>
        <v>MICHEL</v>
      </c>
      <c r="D11463">
        <f>11</f>
        <v>11</v>
      </c>
      <c r="E11463" t="str">
        <f>"06 - B - 206 - Jacqueline R Morphet"</f>
        <v>06 - B - 206 - Jacqueline R Morphet</v>
      </c>
      <c r="F11463" t="str">
        <f>"PHYSICS 1 HON"</f>
        <v>PHYSICS 1 HON</v>
      </c>
      <c r="G11463" t="str">
        <f>"21-2138"</f>
        <v>21-2138</v>
      </c>
      <c r="H11463" t="str">
        <f>"B"</f>
        <v>B</v>
      </c>
    </row>
    <row r="11464" spans="1:8" x14ac:dyDescent="0.2">
      <c r="A11464" t="str">
        <f t="shared" si="4141"/>
        <v>0614048951</v>
      </c>
      <c r="B11464" t="str">
        <f t="shared" si="4142"/>
        <v>LYNE</v>
      </c>
      <c r="C11464" t="str">
        <f t="shared" si="4136"/>
        <v>MICHEL</v>
      </c>
      <c r="D11464">
        <f>11</f>
        <v>11</v>
      </c>
      <c r="E11464" t="str">
        <f>"03 - A - 106 - Krystal Marie  Beruty"</f>
        <v>03 - A - 106 - Krystal Marie  Beruty</v>
      </c>
      <c r="F11464" t="str">
        <f>"AICE PSYCH 1 AS"</f>
        <v>AICE PSYCH 1 AS</v>
      </c>
      <c r="G11464" t="str">
        <f>"17-1721"</f>
        <v>17-1721</v>
      </c>
      <c r="H11464" t="str">
        <f>"A"</f>
        <v>A</v>
      </c>
    </row>
    <row r="11465" spans="1:8" x14ac:dyDescent="0.2">
      <c r="A11465" t="str">
        <f t="shared" si="4141"/>
        <v>0614048951</v>
      </c>
      <c r="B11465" t="str">
        <f t="shared" si="4142"/>
        <v>LYNE</v>
      </c>
      <c r="C11465" t="str">
        <f t="shared" si="4136"/>
        <v>MICHEL</v>
      </c>
      <c r="D11465">
        <f>11</f>
        <v>11</v>
      </c>
      <c r="E11465" t="str">
        <f>"02 - A - 112 - Brandy N Zdenek"</f>
        <v>02 - A - 112 - Brandy N Zdenek</v>
      </c>
      <c r="F11465" t="str">
        <f>"NC STUDY HALL 1"</f>
        <v>NC STUDY HALL 1</v>
      </c>
      <c r="G11465" t="str">
        <f>"17-1704"</f>
        <v>17-1704</v>
      </c>
      <c r="H11465" t="str">
        <f>"A"</f>
        <v>A</v>
      </c>
    </row>
    <row r="11466" spans="1:8" x14ac:dyDescent="0.2">
      <c r="A11466" t="str">
        <f t="shared" si="4141"/>
        <v>0614048951</v>
      </c>
      <c r="B11466" t="str">
        <f t="shared" si="4142"/>
        <v>LYNE</v>
      </c>
      <c r="C11466" t="str">
        <f t="shared" si="4136"/>
        <v>MICHEL</v>
      </c>
      <c r="D11466">
        <f>11</f>
        <v>11</v>
      </c>
      <c r="E11466" t="str">
        <f>"07 - B - 002 - Rachel M Montrose"</f>
        <v>07 - B - 002 - Rachel M Montrose</v>
      </c>
      <c r="F11466" t="str">
        <f>"JOURN 1 (NP) LH"</f>
        <v>JOURN 1 (NP) LH</v>
      </c>
      <c r="G11466" t="str">
        <f>"05-521"</f>
        <v>05-521</v>
      </c>
      <c r="H11466" t="str">
        <f>"B"</f>
        <v>B</v>
      </c>
    </row>
    <row r="11467" spans="1:8" x14ac:dyDescent="0.2">
      <c r="A11467" t="str">
        <f t="shared" si="4141"/>
        <v>0614048951</v>
      </c>
      <c r="B11467" t="str">
        <f t="shared" si="4142"/>
        <v>LYNE</v>
      </c>
      <c r="C11467" t="str">
        <f t="shared" si="4136"/>
        <v>MICHEL</v>
      </c>
      <c r="D11467">
        <f>11</f>
        <v>11</v>
      </c>
      <c r="E11467" t="str">
        <f>"05 - B - 104 - Semra  Bahadir"</f>
        <v>05 - B - 104 - Semra  Bahadir</v>
      </c>
      <c r="F11467" t="str">
        <f>"MATH COLL ALGEBRA"</f>
        <v>MATH COLL ALGEBRA</v>
      </c>
      <c r="G11467" t="str">
        <f>"21-2107"</f>
        <v>21-2107</v>
      </c>
      <c r="H11467" t="str">
        <f>"B"</f>
        <v>B</v>
      </c>
    </row>
    <row r="11468" spans="1:8" x14ac:dyDescent="0.2">
      <c r="A11468" t="str">
        <f t="shared" si="4141"/>
        <v>0614048951</v>
      </c>
      <c r="B11468" t="str">
        <f t="shared" si="4142"/>
        <v>LYNE</v>
      </c>
      <c r="C11468" t="str">
        <f t="shared" si="4136"/>
        <v>MICHEL</v>
      </c>
      <c r="D11468">
        <f>11</f>
        <v>11</v>
      </c>
      <c r="E11468" t="str">
        <f>"01 - A - 101 - Jacklyn M James"</f>
        <v>01 - A - 101 - Jacklyn M James</v>
      </c>
      <c r="F11468" t="str">
        <f>"AICE ENG LANG AS"</f>
        <v>AICE ENG LANG AS</v>
      </c>
      <c r="G11468" t="str">
        <f>"17-1731"</f>
        <v>17-1731</v>
      </c>
      <c r="H11468" t="str">
        <f>"A"</f>
        <v>A</v>
      </c>
    </row>
    <row r="11469" spans="1:8" x14ac:dyDescent="0.2">
      <c r="A11469" t="str">
        <f t="shared" si="4141"/>
        <v>0614048951</v>
      </c>
      <c r="B11469" t="str">
        <f t="shared" si="4142"/>
        <v>LYNE</v>
      </c>
      <c r="C11469" t="str">
        <f t="shared" si="4136"/>
        <v>MICHEL</v>
      </c>
      <c r="D11469">
        <f>11</f>
        <v>11</v>
      </c>
      <c r="E11469" t="str">
        <f>"08 - B - 101 - Eva T Rimmer"</f>
        <v>08 - B - 101 - Eva T Rimmer</v>
      </c>
      <c r="F11469" t="str">
        <f>"CRIM JUST OPS 3 HON"</f>
        <v>CRIM JUST OPS 3 HON</v>
      </c>
      <c r="G11469" t="str">
        <f>"05-523"</f>
        <v>05-523</v>
      </c>
      <c r="H11469" t="str">
        <f>"B"</f>
        <v>B</v>
      </c>
    </row>
    <row r="11470" spans="1:8" x14ac:dyDescent="0.2">
      <c r="A11470" t="str">
        <f t="shared" ref="A11470:A11477" si="4143">"0613025077"</f>
        <v>0613025077</v>
      </c>
      <c r="B11470" t="str">
        <f t="shared" ref="B11470:B11477" si="4144">"STANLEY"</f>
        <v>STANLEY</v>
      </c>
      <c r="C11470" t="str">
        <f t="shared" si="4136"/>
        <v>MICHEL</v>
      </c>
      <c r="D11470">
        <f>12</f>
        <v>12</v>
      </c>
      <c r="E11470" t="str">
        <f>"04 - A - 104 - Dayna M Foster"</f>
        <v>04 - A - 104 - Dayna M Foster</v>
      </c>
      <c r="F11470" t="str">
        <f>"ALGEBRA 2"</f>
        <v>ALGEBRA 2</v>
      </c>
      <c r="G11470" t="str">
        <f>"21-2109"</f>
        <v>21-2109</v>
      </c>
      <c r="H11470" t="str">
        <f>"A"</f>
        <v>A</v>
      </c>
    </row>
    <row r="11471" spans="1:8" x14ac:dyDescent="0.2">
      <c r="A11471" t="str">
        <f t="shared" si="4143"/>
        <v>0613025077</v>
      </c>
      <c r="B11471" t="str">
        <f t="shared" si="4144"/>
        <v>STANLEY</v>
      </c>
      <c r="C11471" t="str">
        <f t="shared" si="4136"/>
        <v>MICHEL</v>
      </c>
      <c r="D11471">
        <f>12</f>
        <v>12</v>
      </c>
      <c r="E11471" t="str">
        <f>"06 - B - 114 - Lisa J London"</f>
        <v>06 - B - 114 - Lisa J London</v>
      </c>
      <c r="F11471" t="str">
        <f>"NC STUDY HALL 1"</f>
        <v>NC STUDY HALL 1</v>
      </c>
      <c r="G11471" t="str">
        <f>"17-1714"</f>
        <v>17-1714</v>
      </c>
      <c r="H11471" t="str">
        <f>"B"</f>
        <v>B</v>
      </c>
    </row>
    <row r="11472" spans="1:8" x14ac:dyDescent="0.2">
      <c r="A11472" t="str">
        <f t="shared" si="4143"/>
        <v>0613025077</v>
      </c>
      <c r="B11472" t="str">
        <f t="shared" si="4144"/>
        <v>STANLEY</v>
      </c>
      <c r="C11472" t="str">
        <f t="shared" si="4136"/>
        <v>MICHEL</v>
      </c>
      <c r="D11472">
        <f>12</f>
        <v>12</v>
      </c>
      <c r="E11472" t="str">
        <f>"03 - S1 - A - 103 - Richard E Dunbar Iii"</f>
        <v>03 - S1 - A - 103 - Richard E Dunbar Iii</v>
      </c>
      <c r="F11472" t="str">
        <f>"WEIGHT TRAIN 1"</f>
        <v>WEIGHT TRAIN 1</v>
      </c>
      <c r="G11472" t="str">
        <f>"05-501"</f>
        <v>05-501</v>
      </c>
      <c r="H11472" t="str">
        <f>"A"</f>
        <v>A</v>
      </c>
    </row>
    <row r="11473" spans="1:8" x14ac:dyDescent="0.2">
      <c r="A11473" t="str">
        <f t="shared" si="4143"/>
        <v>0613025077</v>
      </c>
      <c r="B11473" t="str">
        <f t="shared" si="4144"/>
        <v>STANLEY</v>
      </c>
      <c r="C11473" t="str">
        <f t="shared" si="4136"/>
        <v>MICHEL</v>
      </c>
      <c r="D11473">
        <f>12</f>
        <v>12</v>
      </c>
      <c r="E11473" t="str">
        <f>"02 - A - 204 - Jacqueline R Morphet"</f>
        <v>02 - A - 204 - Jacqueline R Morphet</v>
      </c>
      <c r="F11473" t="str">
        <f>"PHYSICS 1 HON"</f>
        <v>PHYSICS 1 HON</v>
      </c>
      <c r="G11473" t="str">
        <f>"21-2138"</f>
        <v>21-2138</v>
      </c>
      <c r="H11473" t="str">
        <f>"A"</f>
        <v>A</v>
      </c>
    </row>
    <row r="11474" spans="1:8" x14ac:dyDescent="0.2">
      <c r="A11474" t="str">
        <f t="shared" si="4143"/>
        <v>0613025077</v>
      </c>
      <c r="B11474" t="str">
        <f t="shared" si="4144"/>
        <v>STANLEY</v>
      </c>
      <c r="C11474" t="str">
        <f t="shared" si="4136"/>
        <v>MICHEL</v>
      </c>
      <c r="D11474">
        <f>12</f>
        <v>12</v>
      </c>
      <c r="E11474" t="str">
        <f>"07 - B - 001 - Rachel M Montrose"</f>
        <v>07 - B - 001 - Rachel M Montrose</v>
      </c>
      <c r="F11474" t="str">
        <f>"JOURN 2 (NP) LH"</f>
        <v>JOURN 2 (NP) LH</v>
      </c>
      <c r="G11474" t="str">
        <f>"05-521"</f>
        <v>05-521</v>
      </c>
      <c r="H11474" t="str">
        <f>"B"</f>
        <v>B</v>
      </c>
    </row>
    <row r="11475" spans="1:8" x14ac:dyDescent="0.2">
      <c r="A11475" t="str">
        <f t="shared" si="4143"/>
        <v>0613025077</v>
      </c>
      <c r="B11475" t="str">
        <f t="shared" si="4144"/>
        <v>STANLEY</v>
      </c>
      <c r="C11475" t="str">
        <f t="shared" si="4136"/>
        <v>MICHEL</v>
      </c>
      <c r="D11475">
        <f>12</f>
        <v>12</v>
      </c>
      <c r="E11475" t="str">
        <f>"05 - B - 201 - Jazmin S Fletcher"</f>
        <v>05 - B - 201 - Jazmin S Fletcher</v>
      </c>
      <c r="F11475" t="str">
        <f>"THEATRE 1"</f>
        <v>THEATRE 1</v>
      </c>
      <c r="G11475" t="str">
        <f>"09-909"</f>
        <v>09-909</v>
      </c>
      <c r="H11475" t="str">
        <f>"B"</f>
        <v>B</v>
      </c>
    </row>
    <row r="11476" spans="1:8" x14ac:dyDescent="0.2">
      <c r="A11476" t="str">
        <f t="shared" si="4143"/>
        <v>0613025077</v>
      </c>
      <c r="B11476" t="str">
        <f t="shared" si="4144"/>
        <v>STANLEY</v>
      </c>
      <c r="C11476" t="str">
        <f t="shared" si="4136"/>
        <v>MICHEL</v>
      </c>
      <c r="D11476">
        <f>12</f>
        <v>12</v>
      </c>
      <c r="E11476" t="str">
        <f>"01 - S1 - A - 101 - Robert O Burger"</f>
        <v>01 - S1 - A - 101 - Robert O Burger</v>
      </c>
      <c r="F11476" t="str">
        <f>"US GOVT"</f>
        <v>US GOVT</v>
      </c>
      <c r="G11476" t="str">
        <f>"17-1755"</f>
        <v>17-1755</v>
      </c>
      <c r="H11476" t="str">
        <f>"A"</f>
        <v>A</v>
      </c>
    </row>
    <row r="11477" spans="1:8" x14ac:dyDescent="0.2">
      <c r="A11477" t="str">
        <f t="shared" si="4143"/>
        <v>0613025077</v>
      </c>
      <c r="B11477" t="str">
        <f t="shared" si="4144"/>
        <v>STANLEY</v>
      </c>
      <c r="C11477" t="str">
        <f t="shared" si="4136"/>
        <v>MICHEL</v>
      </c>
      <c r="D11477">
        <f>12</f>
        <v>12</v>
      </c>
      <c r="E11477" t="str">
        <f>"08 - B - 105 - Jeffrey S Gallagher"</f>
        <v>08 - B - 105 - Jeffrey S Gallagher</v>
      </c>
      <c r="F11477" t="str">
        <f>"ENG HON 4"</f>
        <v>ENG HON 4</v>
      </c>
      <c r="G11477" t="str">
        <f>"17-1724"</f>
        <v>17-1724</v>
      </c>
      <c r="H11477" t="str">
        <f>"B"</f>
        <v>B</v>
      </c>
    </row>
    <row r="11478" spans="1:8" x14ac:dyDescent="0.2">
      <c r="A11478" t="str">
        <f t="shared" ref="A11478:A11485" si="4145">"0617135963"</f>
        <v>0617135963</v>
      </c>
      <c r="B11478" t="str">
        <f t="shared" ref="B11478:B11485" si="4146">"STEFAN"</f>
        <v>STEFAN</v>
      </c>
      <c r="C11478" t="str">
        <f t="shared" ref="C11478:C11485" si="4147">"MIHASCA"</f>
        <v>MIHASCA</v>
      </c>
      <c r="D11478">
        <f>12</f>
        <v>12</v>
      </c>
      <c r="E11478" t="str">
        <f>"04 - A - 101 - Chrystina M Marchionne"</f>
        <v>04 - A - 101 - Chrystina M Marchionne</v>
      </c>
      <c r="F11478" t="str">
        <f>"THEA CIN &amp; FILM LH"</f>
        <v>THEA CIN &amp; FILM LH</v>
      </c>
      <c r="G11478" t="str">
        <f>"05-520"</f>
        <v>05-520</v>
      </c>
      <c r="H11478" t="str">
        <f>"A"</f>
        <v>A</v>
      </c>
    </row>
    <row r="11479" spans="1:8" x14ac:dyDescent="0.2">
      <c r="A11479" t="str">
        <f t="shared" si="4145"/>
        <v>0617135963</v>
      </c>
      <c r="B11479" t="str">
        <f t="shared" si="4146"/>
        <v>STEFAN</v>
      </c>
      <c r="C11479" t="str">
        <f t="shared" si="4147"/>
        <v>MIHASCA</v>
      </c>
      <c r="D11479">
        <f>12</f>
        <v>12</v>
      </c>
      <c r="E11479" t="str">
        <f>"06 - B - 110 - Barbara L Segal"</f>
        <v>06 - B - 110 - Barbara L Segal</v>
      </c>
      <c r="F11479" t="str">
        <f>"NC STUDY HALL 1"</f>
        <v>NC STUDY HALL 1</v>
      </c>
      <c r="G11479" t="str">
        <f>"17-1742"</f>
        <v>17-1742</v>
      </c>
      <c r="H11479" t="str">
        <f>"B"</f>
        <v>B</v>
      </c>
    </row>
    <row r="11480" spans="1:8" x14ac:dyDescent="0.2">
      <c r="A11480" t="str">
        <f t="shared" si="4145"/>
        <v>0617135963</v>
      </c>
      <c r="B11480" t="str">
        <f t="shared" si="4146"/>
        <v>STEFAN</v>
      </c>
      <c r="C11480" t="str">
        <f t="shared" si="4147"/>
        <v>MIHASCA</v>
      </c>
      <c r="D11480">
        <f>12</f>
        <v>12</v>
      </c>
      <c r="E11480" t="str">
        <f>"03 - A - 101 - Lourivaldo  Da Silva"</f>
        <v>03 - A - 101 - Lourivaldo  Da Silva</v>
      </c>
      <c r="F11480" t="str">
        <f>"AP STAT"</f>
        <v>AP STAT</v>
      </c>
      <c r="G11480" t="str">
        <f>"20-2079"</f>
        <v>20-2079</v>
      </c>
      <c r="H11480" t="str">
        <f>"A"</f>
        <v>A</v>
      </c>
    </row>
    <row r="11481" spans="1:8" x14ac:dyDescent="0.2">
      <c r="A11481" t="str">
        <f t="shared" si="4145"/>
        <v>0617135963</v>
      </c>
      <c r="B11481" t="str">
        <f t="shared" si="4146"/>
        <v>STEFAN</v>
      </c>
      <c r="C11481" t="str">
        <f t="shared" si="4147"/>
        <v>MIHASCA</v>
      </c>
      <c r="D11481">
        <f>12</f>
        <v>12</v>
      </c>
      <c r="E11481" t="str">
        <f>"02 - A - 102 - Chrystina M Marchionne"</f>
        <v>02 - A - 102 - Chrystina M Marchionne</v>
      </c>
      <c r="F11481" t="str">
        <f>"AICE MEDIA STUDIES A"</f>
        <v>AICE MEDIA STUDIES A</v>
      </c>
      <c r="G11481" t="str">
        <f>"05-520"</f>
        <v>05-520</v>
      </c>
      <c r="H11481" t="str">
        <f>"A"</f>
        <v>A</v>
      </c>
    </row>
    <row r="11482" spans="1:8" x14ac:dyDescent="0.2">
      <c r="A11482" t="str">
        <f t="shared" si="4145"/>
        <v>0617135963</v>
      </c>
      <c r="B11482" t="str">
        <f t="shared" si="4146"/>
        <v>STEFAN</v>
      </c>
      <c r="C11482" t="str">
        <f t="shared" si="4147"/>
        <v>MIHASCA</v>
      </c>
      <c r="D11482">
        <f>12</f>
        <v>12</v>
      </c>
      <c r="E11482" t="str">
        <f>"07 - B - 204 - Stefanie S Scher"</f>
        <v>07 - B - 204 - Stefanie S Scher</v>
      </c>
      <c r="F11482" t="str">
        <f>"AP PSYCH"</f>
        <v>AP PSYCH</v>
      </c>
      <c r="G11482" t="str">
        <f>"17-1735"</f>
        <v>17-1735</v>
      </c>
      <c r="H11482" t="str">
        <f>"B"</f>
        <v>B</v>
      </c>
    </row>
    <row r="11483" spans="1:8" x14ac:dyDescent="0.2">
      <c r="A11483" t="str">
        <f t="shared" si="4145"/>
        <v>0617135963</v>
      </c>
      <c r="B11483" t="str">
        <f t="shared" si="4146"/>
        <v>STEFAN</v>
      </c>
      <c r="C11483" t="str">
        <f t="shared" si="4147"/>
        <v>MIHASCA</v>
      </c>
      <c r="D11483">
        <f>12</f>
        <v>12</v>
      </c>
      <c r="E11483" t="str">
        <f>"05 - S1 - B - 103 - Stephen T Ripp"</f>
        <v>05 - S1 - B - 103 - Stephen T Ripp</v>
      </c>
      <c r="F11483" t="str">
        <f>"AP US GOVT/POL"</f>
        <v>AP US GOVT/POL</v>
      </c>
      <c r="G11483" t="str">
        <f>"17-1744"</f>
        <v>17-1744</v>
      </c>
      <c r="H11483" t="str">
        <f>"B"</f>
        <v>B</v>
      </c>
    </row>
    <row r="11484" spans="1:8" x14ac:dyDescent="0.2">
      <c r="A11484" t="str">
        <f t="shared" si="4145"/>
        <v>0617135963</v>
      </c>
      <c r="B11484" t="str">
        <f t="shared" si="4146"/>
        <v>STEFAN</v>
      </c>
      <c r="C11484" t="str">
        <f t="shared" si="4147"/>
        <v>MIHASCA</v>
      </c>
      <c r="D11484">
        <f>12</f>
        <v>12</v>
      </c>
      <c r="E11484" t="str">
        <f>"01 - A - 101 - Brandy N Zdenek"</f>
        <v>01 - A - 101 - Brandy N Zdenek</v>
      </c>
      <c r="F11484" t="str">
        <f>"AICE ENG LANG 2 AL"</f>
        <v>AICE ENG LANG 2 AL</v>
      </c>
      <c r="G11484" t="str">
        <f>"17-1704"</f>
        <v>17-1704</v>
      </c>
      <c r="H11484" t="str">
        <f>"A"</f>
        <v>A</v>
      </c>
    </row>
    <row r="11485" spans="1:8" x14ac:dyDescent="0.2">
      <c r="A11485" t="str">
        <f t="shared" si="4145"/>
        <v>0617135963</v>
      </c>
      <c r="B11485" t="str">
        <f t="shared" si="4146"/>
        <v>STEFAN</v>
      </c>
      <c r="C11485" t="str">
        <f t="shared" si="4147"/>
        <v>MIHASCA</v>
      </c>
      <c r="D11485">
        <f>12</f>
        <v>12</v>
      </c>
      <c r="E11485" t="str">
        <f>"08 - B - 101 - Jordana K Hass"</f>
        <v>08 - B - 101 - Jordana K Hass</v>
      </c>
      <c r="F11485" t="str">
        <f>"AICE INFO TECH 1 AS"</f>
        <v>AICE INFO TECH 1 AS</v>
      </c>
      <c r="G11485" t="str">
        <f>"08-807"</f>
        <v>08-807</v>
      </c>
      <c r="H11485" t="str">
        <f>"B"</f>
        <v>B</v>
      </c>
    </row>
    <row r="11486" spans="1:8" x14ac:dyDescent="0.2">
      <c r="A11486" t="str">
        <f t="shared" ref="A11486:A11493" si="4148">"0616146526"</f>
        <v>0616146526</v>
      </c>
      <c r="B11486" t="str">
        <f t="shared" ref="B11486:B11493" si="4149">"MICHELLE"</f>
        <v>MICHELLE</v>
      </c>
      <c r="C11486" t="str">
        <f t="shared" ref="C11486:C11493" si="4150">"MILEVA"</f>
        <v>MILEVA</v>
      </c>
      <c r="D11486" t="str">
        <f t="shared" ref="D11486:D11493" si="4151">"09"</f>
        <v>09</v>
      </c>
      <c r="E11486" t="str">
        <f>"04 - A - 203 - Cheryl L Beach"</f>
        <v>04 - A - 203 - Cheryl L Beach</v>
      </c>
      <c r="F11486" t="str">
        <f>"AICE ENV MGMNT AS"</f>
        <v>AICE ENV MGMNT AS</v>
      </c>
      <c r="G11486" t="str">
        <f>"08-811"</f>
        <v>08-811</v>
      </c>
      <c r="H11486" t="str">
        <f>"A"</f>
        <v>A</v>
      </c>
    </row>
    <row r="11487" spans="1:8" x14ac:dyDescent="0.2">
      <c r="A11487" t="str">
        <f t="shared" si="4148"/>
        <v>0616146526</v>
      </c>
      <c r="B11487" t="str">
        <f t="shared" si="4149"/>
        <v>MICHELLE</v>
      </c>
      <c r="C11487" t="str">
        <f t="shared" si="4150"/>
        <v>MILEVA</v>
      </c>
      <c r="D11487" t="str">
        <f t="shared" si="4151"/>
        <v>09</v>
      </c>
      <c r="E11487" t="str">
        <f>"06 - B - 105 - Cerine S Stewart"</f>
        <v>06 - B - 105 - Cerine S Stewart</v>
      </c>
      <c r="F11487" t="str">
        <f>"AICE ENG GEN PAPER 1"</f>
        <v>AICE ENG GEN PAPER 1</v>
      </c>
      <c r="G11487" t="str">
        <f>"17-1720"</f>
        <v>17-1720</v>
      </c>
      <c r="H11487" t="str">
        <f>"B"</f>
        <v>B</v>
      </c>
    </row>
    <row r="11488" spans="1:8" x14ac:dyDescent="0.2">
      <c r="A11488" t="str">
        <f t="shared" si="4148"/>
        <v>0616146526</v>
      </c>
      <c r="B11488" t="str">
        <f t="shared" si="4149"/>
        <v>MICHELLE</v>
      </c>
      <c r="C11488" t="str">
        <f t="shared" si="4150"/>
        <v>MILEVA</v>
      </c>
      <c r="D11488" t="str">
        <f t="shared" si="4151"/>
        <v>09</v>
      </c>
      <c r="E11488" t="str">
        <f>"03 - A - 101 - Brian M Fitzgerald"</f>
        <v>03 - A - 101 - Brian M Fitzgerald</v>
      </c>
      <c r="F11488" t="str">
        <f>"SCULPT 1"</f>
        <v>SCULPT 1</v>
      </c>
      <c r="G11488" t="str">
        <f>"09-908"</f>
        <v>09-908</v>
      </c>
      <c r="H11488" t="str">
        <f>"A"</f>
        <v>A</v>
      </c>
    </row>
    <row r="11489" spans="1:8" x14ac:dyDescent="0.2">
      <c r="A11489" t="str">
        <f t="shared" si="4148"/>
        <v>0616146526</v>
      </c>
      <c r="B11489" t="str">
        <f t="shared" si="4149"/>
        <v>MICHELLE</v>
      </c>
      <c r="C11489" t="str">
        <f t="shared" si="4150"/>
        <v>MILEVA</v>
      </c>
      <c r="D11489" t="str">
        <f t="shared" si="4151"/>
        <v>09</v>
      </c>
      <c r="E11489" t="str">
        <f>"02 - A - 105 - Elizabeth R Walker"</f>
        <v>02 - A - 105 - Elizabeth R Walker</v>
      </c>
      <c r="F11489" t="str">
        <f>"NC STUDY HALL 1"</f>
        <v>NC STUDY HALL 1</v>
      </c>
      <c r="G11489" t="str">
        <f>"17-1703"</f>
        <v>17-1703</v>
      </c>
      <c r="H11489" t="str">
        <f>"A"</f>
        <v>A</v>
      </c>
    </row>
    <row r="11490" spans="1:8" x14ac:dyDescent="0.2">
      <c r="A11490" t="str">
        <f t="shared" si="4148"/>
        <v>0616146526</v>
      </c>
      <c r="B11490" t="str">
        <f t="shared" si="4149"/>
        <v>MICHELLE</v>
      </c>
      <c r="C11490" t="str">
        <f t="shared" si="4150"/>
        <v>MILEVA</v>
      </c>
      <c r="D11490" t="str">
        <f t="shared" si="4151"/>
        <v>09</v>
      </c>
      <c r="E11490" t="str">
        <f>"07 - B - 101 - Samantha L Martinez"</f>
        <v>07 - B - 101 - Samantha L Martinez</v>
      </c>
      <c r="F11490" t="str">
        <f>"KEYBD 1"</f>
        <v>KEYBD 1</v>
      </c>
      <c r="G11490" t="str">
        <f>"05-505"</f>
        <v>05-505</v>
      </c>
      <c r="H11490" t="str">
        <f>"B"</f>
        <v>B</v>
      </c>
    </row>
    <row r="11491" spans="1:8" x14ac:dyDescent="0.2">
      <c r="A11491" t="str">
        <f t="shared" si="4148"/>
        <v>0616146526</v>
      </c>
      <c r="B11491" t="str">
        <f t="shared" si="4149"/>
        <v>MICHELLE</v>
      </c>
      <c r="C11491" t="str">
        <f t="shared" si="4150"/>
        <v>MILEVA</v>
      </c>
      <c r="D11491" t="str">
        <f t="shared" si="4151"/>
        <v>09</v>
      </c>
      <c r="E11491" t="str">
        <f>"05 - B - 001 - Kelly N Panza"</f>
        <v>05 - B - 001 - Kelly N Panza</v>
      </c>
      <c r="F11491" t="str">
        <f>"AICE GLBL PERSP 1 AS"</f>
        <v>AICE GLBL PERSP 1 AS</v>
      </c>
      <c r="G11491" t="str">
        <f>"17-1753"</f>
        <v>17-1753</v>
      </c>
      <c r="H11491" t="str">
        <f>"B"</f>
        <v>B</v>
      </c>
    </row>
    <row r="11492" spans="1:8" x14ac:dyDescent="0.2">
      <c r="A11492" t="str">
        <f t="shared" si="4148"/>
        <v>0616146526</v>
      </c>
      <c r="B11492" t="str">
        <f t="shared" si="4149"/>
        <v>MICHELLE</v>
      </c>
      <c r="C11492" t="str">
        <f t="shared" si="4150"/>
        <v>MILEVA</v>
      </c>
      <c r="D11492" t="str">
        <f t="shared" si="4151"/>
        <v>09</v>
      </c>
      <c r="E11492" t="str">
        <f>"01 - S1 - A - 101 - Leslie J Barton"</f>
        <v>01 - S1 - A - 101 - Leslie J Barton</v>
      </c>
      <c r="F11492" t="str">
        <f>"FIRST AID SAFETY"</f>
        <v>FIRST AID SAFETY</v>
      </c>
      <c r="G11492" t="str">
        <f>"05-521"</f>
        <v>05-521</v>
      </c>
      <c r="H11492" t="str">
        <f>"A"</f>
        <v>A</v>
      </c>
    </row>
    <row r="11493" spans="1:8" x14ac:dyDescent="0.2">
      <c r="A11493" t="str">
        <f t="shared" si="4148"/>
        <v>0616146526</v>
      </c>
      <c r="B11493" t="str">
        <f t="shared" si="4149"/>
        <v>MICHELLE</v>
      </c>
      <c r="C11493" t="str">
        <f t="shared" si="4150"/>
        <v>MILEVA</v>
      </c>
      <c r="D11493" t="str">
        <f t="shared" si="4151"/>
        <v>09</v>
      </c>
      <c r="E11493" t="str">
        <f>"08 - B - 102 - Maried P Ramos"</f>
        <v>08 - B - 102 - Maried P Ramos</v>
      </c>
      <c r="F11493" t="str">
        <f>"ALGEBRA 2 HON"</f>
        <v>ALGEBRA 2 HON</v>
      </c>
      <c r="G11493" t="str">
        <f>"21-2159"</f>
        <v>21-2159</v>
      </c>
      <c r="H11493" t="str">
        <f>"B"</f>
        <v>B</v>
      </c>
    </row>
    <row r="11494" spans="1:8" x14ac:dyDescent="0.2">
      <c r="A11494" t="str">
        <f t="shared" ref="A11494:A11501" si="4152">"0612126828"</f>
        <v>0612126828</v>
      </c>
      <c r="B11494" t="str">
        <f t="shared" ref="B11494:B11501" si="4153">"HALEY"</f>
        <v>HALEY</v>
      </c>
      <c r="C11494" t="str">
        <f t="shared" ref="C11494:C11501" si="4154">"MILITZOK"</f>
        <v>MILITZOK</v>
      </c>
      <c r="D11494">
        <f>11</f>
        <v>11</v>
      </c>
      <c r="E11494" t="str">
        <f>"04 - A - 102 - Lisa J London"</f>
        <v>04 - A - 102 - Lisa J London</v>
      </c>
      <c r="F11494" t="str">
        <f>"AP CAPSTONE SEMINAR"</f>
        <v>AP CAPSTONE SEMINAR</v>
      </c>
      <c r="G11494" t="str">
        <f>"17-1714"</f>
        <v>17-1714</v>
      </c>
      <c r="H11494" t="str">
        <f>"A"</f>
        <v>A</v>
      </c>
    </row>
    <row r="11495" spans="1:8" x14ac:dyDescent="0.2">
      <c r="A11495" t="str">
        <f t="shared" si="4152"/>
        <v>0612126828</v>
      </c>
      <c r="B11495" t="str">
        <f t="shared" si="4153"/>
        <v>HALEY</v>
      </c>
      <c r="C11495" t="str">
        <f t="shared" si="4154"/>
        <v>MILITZOK</v>
      </c>
      <c r="D11495">
        <f>11</f>
        <v>11</v>
      </c>
      <c r="E11495" t="str">
        <f>"06 - B - 102 - Stephen T Ripp"</f>
        <v>06 - B - 102 - Stephen T Ripp</v>
      </c>
      <c r="F11495" t="str">
        <f>"AP U.S. HIST"</f>
        <v>AP U.S. HIST</v>
      </c>
      <c r="G11495" t="str">
        <f>"17-1744"</f>
        <v>17-1744</v>
      </c>
      <c r="H11495" t="str">
        <f>"B"</f>
        <v>B</v>
      </c>
    </row>
    <row r="11496" spans="1:8" x14ac:dyDescent="0.2">
      <c r="A11496" t="str">
        <f t="shared" si="4152"/>
        <v>0612126828</v>
      </c>
      <c r="B11496" t="str">
        <f t="shared" si="4153"/>
        <v>HALEY</v>
      </c>
      <c r="C11496" t="str">
        <f t="shared" si="4154"/>
        <v>MILITZOK</v>
      </c>
      <c r="D11496">
        <f>11</f>
        <v>11</v>
      </c>
      <c r="E11496" t="str">
        <f>"03 - A - 203 - Stefanie S Scher"</f>
        <v>03 - A - 203 - Stefanie S Scher</v>
      </c>
      <c r="F11496" t="str">
        <f>"AP PSYCH"</f>
        <v>AP PSYCH</v>
      </c>
      <c r="G11496" t="str">
        <f>"17-1735"</f>
        <v>17-1735</v>
      </c>
      <c r="H11496" t="str">
        <f>"A"</f>
        <v>A</v>
      </c>
    </row>
    <row r="11497" spans="1:8" x14ac:dyDescent="0.2">
      <c r="A11497" t="str">
        <f t="shared" si="4152"/>
        <v>0612126828</v>
      </c>
      <c r="B11497" t="str">
        <f t="shared" si="4153"/>
        <v>HALEY</v>
      </c>
      <c r="C11497" t="str">
        <f t="shared" si="4154"/>
        <v>MILITZOK</v>
      </c>
      <c r="D11497">
        <f>11</f>
        <v>11</v>
      </c>
      <c r="E11497" t="str">
        <f>"02 - A - 109 - Daniel S Katz"</f>
        <v>02 - A - 109 - Daniel S Katz</v>
      </c>
      <c r="F11497" t="str">
        <f>"NC STUDY HALL 1"</f>
        <v>NC STUDY HALL 1</v>
      </c>
      <c r="G11497" t="str">
        <f>"21-2156"</f>
        <v>21-2156</v>
      </c>
      <c r="H11497" t="str">
        <f>"A"</f>
        <v>A</v>
      </c>
    </row>
    <row r="11498" spans="1:8" x14ac:dyDescent="0.2">
      <c r="A11498" t="str">
        <f t="shared" si="4152"/>
        <v>0612126828</v>
      </c>
      <c r="B11498" t="str">
        <f t="shared" si="4153"/>
        <v>HALEY</v>
      </c>
      <c r="C11498" t="str">
        <f t="shared" si="4154"/>
        <v>MILITZOK</v>
      </c>
      <c r="D11498">
        <f>11</f>
        <v>11</v>
      </c>
      <c r="E11498" t="str">
        <f>"07 - B - 102 - Pamela M Corzo"</f>
        <v>07 - B - 102 - Pamela M Corzo</v>
      </c>
      <c r="F11498" t="str">
        <f>"AP CALCULUS AB"</f>
        <v>AP CALCULUS AB</v>
      </c>
      <c r="G11498" t="str">
        <f>"21-2133"</f>
        <v>21-2133</v>
      </c>
      <c r="H11498" t="str">
        <f>"B"</f>
        <v>B</v>
      </c>
    </row>
    <row r="11499" spans="1:8" x14ac:dyDescent="0.2">
      <c r="A11499" t="str">
        <f t="shared" si="4152"/>
        <v>0612126828</v>
      </c>
      <c r="B11499" t="str">
        <f t="shared" si="4153"/>
        <v>HALEY</v>
      </c>
      <c r="C11499" t="str">
        <f t="shared" si="4154"/>
        <v>MILITZOK</v>
      </c>
      <c r="D11499">
        <f>11</f>
        <v>11</v>
      </c>
      <c r="E11499" t="str">
        <f>"05 - B - 102 - Daniel S Katz"</f>
        <v>05 - B - 102 - Daniel S Katz</v>
      </c>
      <c r="F11499" t="str">
        <f>"EXEC INTERN 4 LH"</f>
        <v>EXEC INTERN 4 LH</v>
      </c>
      <c r="G11499" t="str">
        <f>"21-2156"</f>
        <v>21-2156</v>
      </c>
      <c r="H11499" t="str">
        <f>"B"</f>
        <v>B</v>
      </c>
    </row>
    <row r="11500" spans="1:8" x14ac:dyDescent="0.2">
      <c r="A11500" t="str">
        <f t="shared" si="4152"/>
        <v>0612126828</v>
      </c>
      <c r="B11500" t="str">
        <f t="shared" si="4153"/>
        <v>HALEY</v>
      </c>
      <c r="C11500" t="str">
        <f t="shared" si="4154"/>
        <v>MILITZOK</v>
      </c>
      <c r="D11500">
        <f>11</f>
        <v>11</v>
      </c>
      <c r="E11500" t="str">
        <f>"01 - A - 101 - Marielle A Witting"</f>
        <v>01 - A - 101 - Marielle A Witting</v>
      </c>
      <c r="F11500" t="str">
        <f>"AP BIO"</f>
        <v>AP BIO</v>
      </c>
      <c r="G11500" t="str">
        <f>"08-805"</f>
        <v>08-805</v>
      </c>
      <c r="H11500" t="str">
        <f>"A"</f>
        <v>A</v>
      </c>
    </row>
    <row r="11501" spans="1:8" x14ac:dyDescent="0.2">
      <c r="A11501" t="str">
        <f t="shared" si="4152"/>
        <v>0612126828</v>
      </c>
      <c r="B11501" t="str">
        <f t="shared" si="4153"/>
        <v>HALEY</v>
      </c>
      <c r="C11501" t="str">
        <f t="shared" si="4154"/>
        <v>MILITZOK</v>
      </c>
      <c r="D11501">
        <f>11</f>
        <v>11</v>
      </c>
      <c r="E11501" t="str">
        <f>"08 - B - 105 - Brandy N Zdenek"</f>
        <v>08 - B - 105 - Brandy N Zdenek</v>
      </c>
      <c r="F11501" t="str">
        <f>"AICE ENG LANG 2 AL"</f>
        <v>AICE ENG LANG 2 AL</v>
      </c>
      <c r="G11501" t="str">
        <f>"17-1704"</f>
        <v>17-1704</v>
      </c>
      <c r="H11501" t="str">
        <f>"B"</f>
        <v>B</v>
      </c>
    </row>
    <row r="11502" spans="1:8" x14ac:dyDescent="0.2">
      <c r="A11502" t="str">
        <f t="shared" ref="A11502:A11509" si="4155">"0617036354"</f>
        <v>0617036354</v>
      </c>
      <c r="B11502" t="str">
        <f t="shared" ref="B11502:B11509" si="4156">"DE'ASIAH"</f>
        <v>DE'ASIAH</v>
      </c>
      <c r="C11502" t="str">
        <f t="shared" ref="C11502:C11517" si="4157">"MILLER"</f>
        <v>MILLER</v>
      </c>
      <c r="D11502" t="str">
        <f t="shared" ref="D11502:D11509" si="4158">"09"</f>
        <v>09</v>
      </c>
      <c r="E11502" t="str">
        <f>"04 - A - 104 - Adam Marcus  Drucker"</f>
        <v>04 - A - 104 - Adam Marcus  Drucker</v>
      </c>
      <c r="F11502" t="str">
        <f>"HOPE-PE V"</f>
        <v>HOPE-PE V</v>
      </c>
      <c r="G11502" t="str">
        <f>"04-254"</f>
        <v>04-254</v>
      </c>
      <c r="H11502" t="str">
        <f>"A"</f>
        <v>A</v>
      </c>
    </row>
    <row r="11503" spans="1:8" x14ac:dyDescent="0.2">
      <c r="A11503" t="str">
        <f t="shared" si="4155"/>
        <v>0617036354</v>
      </c>
      <c r="B11503" t="str">
        <f t="shared" si="4156"/>
        <v>DE'ASIAH</v>
      </c>
      <c r="C11503" t="str">
        <f t="shared" si="4157"/>
        <v>MILLER</v>
      </c>
      <c r="D11503" t="str">
        <f t="shared" si="4158"/>
        <v>09</v>
      </c>
      <c r="E11503" t="str">
        <f>"06 - B - 105 - Tina L Lovett"</f>
        <v>06 - B - 105 - Tina L Lovett</v>
      </c>
      <c r="F11503" t="str">
        <f>"FDN SKLS MATH 9-12"</f>
        <v>FDN SKLS MATH 9-12</v>
      </c>
      <c r="G11503" t="str">
        <f>"21-2153"</f>
        <v>21-2153</v>
      </c>
      <c r="H11503" t="str">
        <f>"B"</f>
        <v>B</v>
      </c>
    </row>
    <row r="11504" spans="1:8" x14ac:dyDescent="0.2">
      <c r="A11504" t="str">
        <f t="shared" si="4155"/>
        <v>0617036354</v>
      </c>
      <c r="B11504" t="str">
        <f t="shared" si="4156"/>
        <v>DE'ASIAH</v>
      </c>
      <c r="C11504" t="str">
        <f t="shared" si="4157"/>
        <v>MILLER</v>
      </c>
      <c r="D11504" t="str">
        <f t="shared" si="4158"/>
        <v>09</v>
      </c>
      <c r="E11504" t="str">
        <f>"03 - A - 109 - Lissa C Frederique"</f>
        <v>03 - A - 109 - Lissa C Frederique</v>
      </c>
      <c r="F11504" t="str">
        <f>"WORLD HISTORY"</f>
        <v>WORLD HISTORY</v>
      </c>
      <c r="G11504" t="str">
        <f>"17-1754"</f>
        <v>17-1754</v>
      </c>
      <c r="H11504" t="str">
        <f>"A"</f>
        <v>A</v>
      </c>
    </row>
    <row r="11505" spans="1:8" x14ac:dyDescent="0.2">
      <c r="A11505" t="str">
        <f t="shared" si="4155"/>
        <v>0617036354</v>
      </c>
      <c r="B11505" t="str">
        <f t="shared" si="4156"/>
        <v>DE'ASIAH</v>
      </c>
      <c r="C11505" t="str">
        <f t="shared" si="4157"/>
        <v>MILLER</v>
      </c>
      <c r="D11505" t="str">
        <f t="shared" si="4158"/>
        <v>09</v>
      </c>
      <c r="E11505" t="str">
        <f>"02 - A - 113 - Amy Beth  Broyles"</f>
        <v>02 - A - 113 - Amy Beth  Broyles</v>
      </c>
      <c r="F11505" t="str">
        <f>"NC STUDY HALL 1"</f>
        <v>NC STUDY HALL 1</v>
      </c>
      <c r="G11505" t="str">
        <f>"08-802"</f>
        <v>08-802</v>
      </c>
      <c r="H11505" t="str">
        <f>"A"</f>
        <v>A</v>
      </c>
    </row>
    <row r="11506" spans="1:8" x14ac:dyDescent="0.2">
      <c r="A11506" t="str">
        <f t="shared" si="4155"/>
        <v>0617036354</v>
      </c>
      <c r="B11506" t="str">
        <f t="shared" si="4156"/>
        <v>DE'ASIAH</v>
      </c>
      <c r="C11506" t="str">
        <f t="shared" si="4157"/>
        <v>MILLER</v>
      </c>
      <c r="D11506" t="str">
        <f t="shared" si="4158"/>
        <v>09</v>
      </c>
      <c r="E11506" t="str">
        <f>"07 - B - 105 - Joe  Kilpatrick Jr"</f>
        <v>07 - B - 105 - Joe  Kilpatrick Jr</v>
      </c>
      <c r="F11506" t="str">
        <f>"PRE-AICE SPAN 1 IG"</f>
        <v>PRE-AICE SPAN 1 IG</v>
      </c>
      <c r="G11506" t="str">
        <f>"09-912"</f>
        <v>09-912</v>
      </c>
      <c r="H11506" t="str">
        <f>"B"</f>
        <v>B</v>
      </c>
    </row>
    <row r="11507" spans="1:8" x14ac:dyDescent="0.2">
      <c r="A11507" t="str">
        <f t="shared" si="4155"/>
        <v>0617036354</v>
      </c>
      <c r="B11507" t="str">
        <f t="shared" si="4156"/>
        <v>DE'ASIAH</v>
      </c>
      <c r="C11507" t="str">
        <f t="shared" si="4157"/>
        <v>MILLER</v>
      </c>
      <c r="D11507" t="str">
        <f t="shared" si="4158"/>
        <v>09</v>
      </c>
      <c r="E11507" t="str">
        <f>"05 - B - 104 - Cerine S Stewart"</f>
        <v>05 - B - 104 - Cerine S Stewart</v>
      </c>
      <c r="F11507" t="str">
        <f>"ENG 1"</f>
        <v>ENG 1</v>
      </c>
      <c r="G11507" t="str">
        <f>"17-1720"</f>
        <v>17-1720</v>
      </c>
      <c r="H11507" t="str">
        <f>"B"</f>
        <v>B</v>
      </c>
    </row>
    <row r="11508" spans="1:8" x14ac:dyDescent="0.2">
      <c r="A11508" t="str">
        <f t="shared" si="4155"/>
        <v>0617036354</v>
      </c>
      <c r="B11508" t="str">
        <f t="shared" si="4156"/>
        <v>DE'ASIAH</v>
      </c>
      <c r="C11508" t="str">
        <f t="shared" si="4157"/>
        <v>MILLER</v>
      </c>
      <c r="D11508" t="str">
        <f t="shared" si="4158"/>
        <v>09</v>
      </c>
      <c r="E11508" t="str">
        <f>"01 - A - 101 - Tina L Lovett"</f>
        <v>01 - A - 101 - Tina L Lovett</v>
      </c>
      <c r="F11508" t="str">
        <f>"ALGEBRA 1"</f>
        <v>ALGEBRA 1</v>
      </c>
      <c r="G11508" t="str">
        <f>"21-2153"</f>
        <v>21-2153</v>
      </c>
      <c r="H11508" t="str">
        <f>"A"</f>
        <v>A</v>
      </c>
    </row>
    <row r="11509" spans="1:8" x14ac:dyDescent="0.2">
      <c r="A11509" t="str">
        <f t="shared" si="4155"/>
        <v>0617036354</v>
      </c>
      <c r="B11509" t="str">
        <f t="shared" si="4156"/>
        <v>DE'ASIAH</v>
      </c>
      <c r="C11509" t="str">
        <f t="shared" si="4157"/>
        <v>MILLER</v>
      </c>
      <c r="D11509" t="str">
        <f t="shared" si="4158"/>
        <v>09</v>
      </c>
      <c r="E11509" t="str">
        <f>"08 - B - 105 - Samantha J Headley"</f>
        <v>08 - B - 105 - Samantha J Headley</v>
      </c>
      <c r="F11509" t="str">
        <f>"ENV SCI"</f>
        <v>ENV SCI</v>
      </c>
      <c r="G11509" t="str">
        <f>"08-802"</f>
        <v>08-802</v>
      </c>
      <c r="H11509" t="str">
        <f>"B"</f>
        <v>B</v>
      </c>
    </row>
    <row r="11510" spans="1:8" x14ac:dyDescent="0.2">
      <c r="A11510" t="str">
        <f t="shared" ref="A11510:A11517" si="4159">"0615026125"</f>
        <v>0615026125</v>
      </c>
      <c r="B11510" t="str">
        <f t="shared" ref="B11510:B11517" si="4160">"FREEDOM"</f>
        <v>FREEDOM</v>
      </c>
      <c r="C11510" t="str">
        <f t="shared" si="4157"/>
        <v>MILLER</v>
      </c>
      <c r="D11510">
        <f>11</f>
        <v>11</v>
      </c>
      <c r="E11510" t="str">
        <f>"04 - A - 104 - Courtney E Hambright"</f>
        <v>04 - A - 104 - Courtney E Hambright</v>
      </c>
      <c r="F11510" t="str">
        <f>"AICE ENG LANG AS"</f>
        <v>AICE ENG LANG AS</v>
      </c>
      <c r="G11510" t="str">
        <f>"17-1711"</f>
        <v>17-1711</v>
      </c>
      <c r="H11510" t="str">
        <f>"A"</f>
        <v>A</v>
      </c>
    </row>
    <row r="11511" spans="1:8" x14ac:dyDescent="0.2">
      <c r="A11511" t="str">
        <f t="shared" si="4159"/>
        <v>0615026125</v>
      </c>
      <c r="B11511" t="str">
        <f t="shared" si="4160"/>
        <v>FREEDOM</v>
      </c>
      <c r="C11511" t="str">
        <f t="shared" si="4157"/>
        <v>MILLER</v>
      </c>
      <c r="D11511">
        <f>11</f>
        <v>11</v>
      </c>
      <c r="E11511" t="str">
        <f>"06 - B - 103 - Helen A Flores"</f>
        <v>06 - B - 103 - Helen A Flores</v>
      </c>
      <c r="F11511" t="str">
        <f>"ALGEBRA 2"</f>
        <v>ALGEBRA 2</v>
      </c>
      <c r="G11511" t="str">
        <f>"21-2101"</f>
        <v>21-2101</v>
      </c>
      <c r="H11511" t="str">
        <f>"B"</f>
        <v>B</v>
      </c>
    </row>
    <row r="11512" spans="1:8" x14ac:dyDescent="0.2">
      <c r="A11512" t="str">
        <f t="shared" si="4159"/>
        <v>0615026125</v>
      </c>
      <c r="B11512" t="str">
        <f t="shared" si="4160"/>
        <v>FREEDOM</v>
      </c>
      <c r="C11512" t="str">
        <f t="shared" si="4157"/>
        <v>MILLER</v>
      </c>
      <c r="D11512">
        <f>11</f>
        <v>11</v>
      </c>
      <c r="E11512" t="str">
        <f>"03 - A - 106 - Jerry S Jiampetti"</f>
        <v>03 - A - 106 - Jerry S Jiampetti</v>
      </c>
      <c r="F11512" t="str">
        <f>"US HISTORY HON"</f>
        <v>US HISTORY HON</v>
      </c>
      <c r="G11512" t="str">
        <f>"17-1751"</f>
        <v>17-1751</v>
      </c>
      <c r="H11512" t="str">
        <f>"A"</f>
        <v>A</v>
      </c>
    </row>
    <row r="11513" spans="1:8" x14ac:dyDescent="0.2">
      <c r="A11513" t="str">
        <f t="shared" si="4159"/>
        <v>0615026125</v>
      </c>
      <c r="B11513" t="str">
        <f t="shared" si="4160"/>
        <v>FREEDOM</v>
      </c>
      <c r="C11513" t="str">
        <f t="shared" si="4157"/>
        <v>MILLER</v>
      </c>
      <c r="D11513">
        <f>11</f>
        <v>11</v>
      </c>
      <c r="E11513" t="str">
        <f>"02 - A - 104 - Dayna M Foster"</f>
        <v>02 - A - 104 - Dayna M Foster</v>
      </c>
      <c r="F11513" t="str">
        <f>"NC STUDY HALL 1"</f>
        <v>NC STUDY HALL 1</v>
      </c>
      <c r="G11513" t="str">
        <f>"21-2109"</f>
        <v>21-2109</v>
      </c>
      <c r="H11513" t="str">
        <f>"A"</f>
        <v>A</v>
      </c>
    </row>
    <row r="11514" spans="1:8" x14ac:dyDescent="0.2">
      <c r="A11514" t="str">
        <f t="shared" si="4159"/>
        <v>0615026125</v>
      </c>
      <c r="B11514" t="str">
        <f t="shared" si="4160"/>
        <v>FREEDOM</v>
      </c>
      <c r="C11514" t="str">
        <f t="shared" si="4157"/>
        <v>MILLER</v>
      </c>
      <c r="D11514">
        <f>11</f>
        <v>11</v>
      </c>
      <c r="E11514" t="str">
        <f>"07 - B - 204 - Stefanie S Scher"</f>
        <v>07 - B - 204 - Stefanie S Scher</v>
      </c>
      <c r="F11514" t="str">
        <f>"AP PSYCH"</f>
        <v>AP PSYCH</v>
      </c>
      <c r="G11514" t="str">
        <f>"17-1735"</f>
        <v>17-1735</v>
      </c>
      <c r="H11514" t="str">
        <f>"B"</f>
        <v>B</v>
      </c>
    </row>
    <row r="11515" spans="1:8" x14ac:dyDescent="0.2">
      <c r="A11515" t="str">
        <f t="shared" si="4159"/>
        <v>0615026125</v>
      </c>
      <c r="B11515" t="str">
        <f t="shared" si="4160"/>
        <v>FREEDOM</v>
      </c>
      <c r="C11515" t="str">
        <f t="shared" si="4157"/>
        <v>MILLER</v>
      </c>
      <c r="D11515">
        <f>11</f>
        <v>11</v>
      </c>
      <c r="E11515" t="str">
        <f>"05 - B - 103 - Byron G Montenegro"</f>
        <v>05 - B - 103 - Byron G Montenegro</v>
      </c>
      <c r="F11515" t="str">
        <f>"AICE MARINE SCI 1 AS"</f>
        <v>AICE MARINE SCI 1 AS</v>
      </c>
      <c r="G11515" t="str">
        <f>"21-2144"</f>
        <v>21-2144</v>
      </c>
      <c r="H11515" t="str">
        <f>"B"</f>
        <v>B</v>
      </c>
    </row>
    <row r="11516" spans="1:8" x14ac:dyDescent="0.2">
      <c r="A11516" t="str">
        <f t="shared" si="4159"/>
        <v>0615026125</v>
      </c>
      <c r="B11516" t="str">
        <f t="shared" si="4160"/>
        <v>FREEDOM</v>
      </c>
      <c r="C11516" t="str">
        <f t="shared" si="4157"/>
        <v>MILLER</v>
      </c>
      <c r="D11516">
        <f>11</f>
        <v>11</v>
      </c>
      <c r="E11516" t="str">
        <f>"01 - A - 006 - Emmily A Sarmiento"</f>
        <v>01 - A - 006 - Emmily A Sarmiento</v>
      </c>
      <c r="F11516" t="str">
        <f>"AICE GLBL PERSP 1 AS"</f>
        <v>AICE GLBL PERSP 1 AS</v>
      </c>
      <c r="G11516" t="str">
        <f>"17-1743"</f>
        <v>17-1743</v>
      </c>
      <c r="H11516" t="str">
        <f>"A"</f>
        <v>A</v>
      </c>
    </row>
    <row r="11517" spans="1:8" x14ac:dyDescent="0.2">
      <c r="A11517" t="str">
        <f t="shared" si="4159"/>
        <v>0615026125</v>
      </c>
      <c r="B11517" t="str">
        <f t="shared" si="4160"/>
        <v>FREEDOM</v>
      </c>
      <c r="C11517" t="str">
        <f t="shared" si="4157"/>
        <v>MILLER</v>
      </c>
      <c r="D11517">
        <f>11</f>
        <v>11</v>
      </c>
      <c r="E11517" t="str">
        <f>"08 - B - 101 - Eva T Rimmer"</f>
        <v>08 - B - 101 - Eva T Rimmer</v>
      </c>
      <c r="F11517" t="str">
        <f>"CRIM JUST OPS 3 HON"</f>
        <v>CRIM JUST OPS 3 HON</v>
      </c>
      <c r="G11517" t="str">
        <f>"05-523"</f>
        <v>05-523</v>
      </c>
      <c r="H11517" t="str">
        <f>"B"</f>
        <v>B</v>
      </c>
    </row>
    <row r="11518" spans="1:8" x14ac:dyDescent="0.2">
      <c r="A11518" t="str">
        <f t="shared" ref="A11518:A11525" si="4161">"0614118761"</f>
        <v>0614118761</v>
      </c>
      <c r="B11518" t="str">
        <f t="shared" ref="B11518:B11525" si="4162">"DRAKE"</f>
        <v>DRAKE</v>
      </c>
      <c r="C11518" t="str">
        <f t="shared" ref="C11518:C11525" si="4163">"MILLERS"</f>
        <v>MILLERS</v>
      </c>
      <c r="D11518">
        <f>10</f>
        <v>10</v>
      </c>
      <c r="E11518" t="str">
        <f>"04 - A - 104 - Courtney E Hambright"</f>
        <v>04 - A - 104 - Courtney E Hambright</v>
      </c>
      <c r="F11518" t="str">
        <f>"AICE ENG LANG AS"</f>
        <v>AICE ENG LANG AS</v>
      </c>
      <c r="G11518" t="str">
        <f>"17-1711"</f>
        <v>17-1711</v>
      </c>
      <c r="H11518" t="str">
        <f>"A"</f>
        <v>A</v>
      </c>
    </row>
    <row r="11519" spans="1:8" x14ac:dyDescent="0.2">
      <c r="A11519" t="str">
        <f t="shared" si="4161"/>
        <v>0614118761</v>
      </c>
      <c r="B11519" t="str">
        <f t="shared" si="4162"/>
        <v>DRAKE</v>
      </c>
      <c r="C11519" t="str">
        <f t="shared" si="4163"/>
        <v>MILLERS</v>
      </c>
      <c r="D11519">
        <f>10</f>
        <v>10</v>
      </c>
      <c r="E11519" t="str">
        <f>"06 - B - 103 - Thomas G Handwerg"</f>
        <v>06 - B - 103 - Thomas G Handwerg</v>
      </c>
      <c r="F11519" t="str">
        <f>"NC STUDY HALL 1"</f>
        <v>NC STUDY HALL 1</v>
      </c>
      <c r="G11519" t="str">
        <f>"21-2146"</f>
        <v>21-2146</v>
      </c>
      <c r="H11519" t="str">
        <f>"B"</f>
        <v>B</v>
      </c>
    </row>
    <row r="11520" spans="1:8" x14ac:dyDescent="0.2">
      <c r="A11520" t="str">
        <f t="shared" si="4161"/>
        <v>0614118761</v>
      </c>
      <c r="B11520" t="str">
        <f t="shared" si="4162"/>
        <v>DRAKE</v>
      </c>
      <c r="C11520" t="str">
        <f t="shared" si="4163"/>
        <v>MILLERS</v>
      </c>
      <c r="D11520">
        <f>10</f>
        <v>10</v>
      </c>
      <c r="E11520" t="str">
        <f>"03 - A - 101 - Scott A Dethloff"</f>
        <v>03 - A - 101 - Scott A Dethloff</v>
      </c>
      <c r="F11520" t="str">
        <f>"CHEMISTRY 1 HON"</f>
        <v>CHEMISTRY 1 HON</v>
      </c>
      <c r="G11520" t="str">
        <f>"08-812"</f>
        <v>08-812</v>
      </c>
      <c r="H11520" t="str">
        <f>"A"</f>
        <v>A</v>
      </c>
    </row>
    <row r="11521" spans="1:8" x14ac:dyDescent="0.2">
      <c r="A11521" t="str">
        <f t="shared" si="4161"/>
        <v>0614118761</v>
      </c>
      <c r="B11521" t="str">
        <f t="shared" si="4162"/>
        <v>DRAKE</v>
      </c>
      <c r="C11521" t="str">
        <f t="shared" si="4163"/>
        <v>MILLERS</v>
      </c>
      <c r="D11521">
        <f>10</f>
        <v>10</v>
      </c>
      <c r="E11521" t="str">
        <f>"02 - A - 102 - Chrystina M Marchionne"</f>
        <v>02 - A - 102 - Chrystina M Marchionne</v>
      </c>
      <c r="F11521" t="str">
        <f>"AICE MEDIASTUDIES AS"</f>
        <v>AICE MEDIASTUDIES AS</v>
      </c>
      <c r="G11521" t="str">
        <f>"05-520"</f>
        <v>05-520</v>
      </c>
      <c r="H11521" t="str">
        <f>"A"</f>
        <v>A</v>
      </c>
    </row>
    <row r="11522" spans="1:8" x14ac:dyDescent="0.2">
      <c r="A11522" t="str">
        <f t="shared" si="4161"/>
        <v>0614118761</v>
      </c>
      <c r="B11522" t="str">
        <f t="shared" si="4162"/>
        <v>DRAKE</v>
      </c>
      <c r="C11522" t="str">
        <f t="shared" si="4163"/>
        <v>MILLERS</v>
      </c>
      <c r="D11522">
        <f>10</f>
        <v>10</v>
      </c>
      <c r="E11522" t="str">
        <f>"07 - B - 101 - Fernando  Vega-Cid"</f>
        <v>07 - B - 101 - Fernando  Vega-Cid</v>
      </c>
      <c r="F11522" t="str">
        <f>"AP PRECALCULUS"</f>
        <v>AP PRECALCULUS</v>
      </c>
      <c r="G11522" t="str">
        <f>"21-2163"</f>
        <v>21-2163</v>
      </c>
      <c r="H11522" t="str">
        <f>"B"</f>
        <v>B</v>
      </c>
    </row>
    <row r="11523" spans="1:8" x14ac:dyDescent="0.2">
      <c r="A11523" t="str">
        <f t="shared" si="4161"/>
        <v>0614118761</v>
      </c>
      <c r="B11523" t="str">
        <f t="shared" si="4162"/>
        <v>DRAKE</v>
      </c>
      <c r="C11523" t="str">
        <f t="shared" si="4163"/>
        <v>MILLERS</v>
      </c>
      <c r="D11523">
        <f>10</f>
        <v>10</v>
      </c>
      <c r="E11523" t="str">
        <f>"05 - B - 205 - Rosa Elaine  Collado-Duff"</f>
        <v>05 - B - 205 - Rosa Elaine  Collado-Duff</v>
      </c>
      <c r="F11523" t="str">
        <f>"PRE-AICE SPAN 2 IG"</f>
        <v>PRE-AICE SPAN 2 IG</v>
      </c>
      <c r="G11523" t="str">
        <f>"09-913"</f>
        <v>09-913</v>
      </c>
      <c r="H11523" t="str">
        <f>"B"</f>
        <v>B</v>
      </c>
    </row>
    <row r="11524" spans="1:8" x14ac:dyDescent="0.2">
      <c r="A11524" t="str">
        <f t="shared" si="4161"/>
        <v>0614118761</v>
      </c>
      <c r="B11524" t="str">
        <f t="shared" si="4162"/>
        <v>DRAKE</v>
      </c>
      <c r="C11524" t="str">
        <f t="shared" si="4163"/>
        <v>MILLERS</v>
      </c>
      <c r="D11524">
        <f>10</f>
        <v>10</v>
      </c>
      <c r="E11524" t="str">
        <f>"01 - A - 001 - Lenecy  Nodarse"</f>
        <v>01 - A - 001 - Lenecy  Nodarse</v>
      </c>
      <c r="F11524" t="str">
        <f>"AICE EURO HIST 1 AS"</f>
        <v>AICE EURO HIST 1 AS</v>
      </c>
      <c r="G11524" t="str">
        <f>"17-1741"</f>
        <v>17-1741</v>
      </c>
      <c r="H11524" t="str">
        <f>"A"</f>
        <v>A</v>
      </c>
    </row>
    <row r="11525" spans="1:8" x14ac:dyDescent="0.2">
      <c r="A11525" t="str">
        <f t="shared" si="4161"/>
        <v>0614118761</v>
      </c>
      <c r="B11525" t="str">
        <f t="shared" si="4162"/>
        <v>DRAKE</v>
      </c>
      <c r="C11525" t="str">
        <f t="shared" si="4163"/>
        <v>MILLERS</v>
      </c>
      <c r="D11525">
        <f>10</f>
        <v>10</v>
      </c>
      <c r="E11525" t="str">
        <f>"08 - B - 201 - Stacey A Blecker"</f>
        <v>08 - B - 201 - Stacey A Blecker</v>
      </c>
      <c r="F11525" t="str">
        <f>"AICE SOCIOLOGY 1 AS"</f>
        <v>AICE SOCIOLOGY 1 AS</v>
      </c>
      <c r="G11525" t="str">
        <f>"09-926"</f>
        <v>09-926</v>
      </c>
      <c r="H11525" t="str">
        <f>"B"</f>
        <v>B</v>
      </c>
    </row>
    <row r="11526" spans="1:8" x14ac:dyDescent="0.2">
      <c r="A11526" t="str">
        <f t="shared" ref="A11526:A11533" si="4164">"0620043575"</f>
        <v>0620043575</v>
      </c>
      <c r="B11526" t="str">
        <f t="shared" ref="B11526:B11533" si="4165">"GEORGE"</f>
        <v>GEORGE</v>
      </c>
      <c r="C11526" t="str">
        <f t="shared" ref="C11526:C11541" si="4166">"MILLS"</f>
        <v>MILLS</v>
      </c>
      <c r="D11526">
        <f>12</f>
        <v>12</v>
      </c>
      <c r="E11526" t="str">
        <f>"04 - A - 101 - Jeanne M Bermudez"</f>
        <v>04 - A - 101 - Jeanne M Bermudez</v>
      </c>
      <c r="F11526" t="str">
        <f>"ADVANCED IT HON"</f>
        <v>ADVANCED IT HON</v>
      </c>
      <c r="G11526" t="str">
        <f>"21-2141"</f>
        <v>21-2141</v>
      </c>
      <c r="H11526" t="str">
        <f>"A"</f>
        <v>A</v>
      </c>
    </row>
    <row r="11527" spans="1:8" x14ac:dyDescent="0.2">
      <c r="A11527" t="str">
        <f t="shared" si="4164"/>
        <v>0620043575</v>
      </c>
      <c r="B11527" t="str">
        <f t="shared" si="4165"/>
        <v>GEORGE</v>
      </c>
      <c r="C11527" t="str">
        <f t="shared" si="4166"/>
        <v>MILLS</v>
      </c>
      <c r="D11527">
        <f>12</f>
        <v>12</v>
      </c>
      <c r="E11527" t="str">
        <f>"06 - B - 104 - Lissa C Frederique"</f>
        <v>06 - B - 104 - Lissa C Frederique</v>
      </c>
      <c r="F11527" t="str">
        <f>"NC STUDY HALL 1"</f>
        <v>NC STUDY HALL 1</v>
      </c>
      <c r="G11527" t="str">
        <f>"17-1754"</f>
        <v>17-1754</v>
      </c>
      <c r="H11527" t="str">
        <f>"B"</f>
        <v>B</v>
      </c>
    </row>
    <row r="11528" spans="1:8" x14ac:dyDescent="0.2">
      <c r="A11528" t="str">
        <f t="shared" si="4164"/>
        <v>0620043575</v>
      </c>
      <c r="B11528" t="str">
        <f t="shared" si="4165"/>
        <v>GEORGE</v>
      </c>
      <c r="C11528" t="str">
        <f t="shared" si="4166"/>
        <v>MILLS</v>
      </c>
      <c r="D11528">
        <f>12</f>
        <v>12</v>
      </c>
      <c r="E11528" t="str">
        <f>"03 - A - 103 - Samantha J Headley"</f>
        <v>03 - A - 103 - Samantha J Headley</v>
      </c>
      <c r="F11528" t="str">
        <f>"MARINE SCI 1 HON"</f>
        <v>MARINE SCI 1 HON</v>
      </c>
      <c r="G11528" t="str">
        <f>"21-2134"</f>
        <v>21-2134</v>
      </c>
      <c r="H11528" t="str">
        <f>"A"</f>
        <v>A</v>
      </c>
    </row>
    <row r="11529" spans="1:8" x14ac:dyDescent="0.2">
      <c r="A11529" t="str">
        <f t="shared" si="4164"/>
        <v>0620043575</v>
      </c>
      <c r="B11529" t="str">
        <f t="shared" si="4165"/>
        <v>GEORGE</v>
      </c>
      <c r="C11529" t="str">
        <f t="shared" si="4166"/>
        <v>MILLS</v>
      </c>
      <c r="D11529">
        <f>12</f>
        <v>12</v>
      </c>
      <c r="E11529" t="str">
        <f>"02 - A - 101 - Robert H Rindner"</f>
        <v>02 - A - 101 - Robert H Rindner</v>
      </c>
      <c r="F11529" t="str">
        <f>"MATH DATA&amp;FIN LIT H"</f>
        <v>MATH DATA&amp;FIN LIT H</v>
      </c>
      <c r="G11529" t="str">
        <f>"21-2160"</f>
        <v>21-2160</v>
      </c>
      <c r="H11529" t="str">
        <f>"A"</f>
        <v>A</v>
      </c>
    </row>
    <row r="11530" spans="1:8" x14ac:dyDescent="0.2">
      <c r="A11530" t="str">
        <f t="shared" si="4164"/>
        <v>0620043575</v>
      </c>
      <c r="B11530" t="str">
        <f t="shared" si="4165"/>
        <v>GEORGE</v>
      </c>
      <c r="C11530" t="str">
        <f t="shared" si="4166"/>
        <v>MILLS</v>
      </c>
      <c r="D11530">
        <f>12</f>
        <v>12</v>
      </c>
      <c r="E11530" t="str">
        <f>"07 - S1 - B - 107 - Kelly N Panza"</f>
        <v>07 - S1 - B - 107 - Kelly N Panza</v>
      </c>
      <c r="F11530" t="str">
        <f>"US GOVT HON"</f>
        <v>US GOVT HON</v>
      </c>
      <c r="G11530" t="str">
        <f>"17-1753"</f>
        <v>17-1753</v>
      </c>
      <c r="H11530" t="str">
        <f>"B"</f>
        <v>B</v>
      </c>
    </row>
    <row r="11531" spans="1:8" x14ac:dyDescent="0.2">
      <c r="A11531" t="str">
        <f t="shared" si="4164"/>
        <v>0620043575</v>
      </c>
      <c r="B11531" t="str">
        <f t="shared" si="4165"/>
        <v>GEORGE</v>
      </c>
      <c r="C11531" t="str">
        <f t="shared" si="4166"/>
        <v>MILLS</v>
      </c>
      <c r="D11531">
        <f>12</f>
        <v>12</v>
      </c>
      <c r="E11531" t="str">
        <f>"05 - B - 205 - Rosa Elaine  Collado-Duff"</f>
        <v>05 - B - 205 - Rosa Elaine  Collado-Duff</v>
      </c>
      <c r="F11531" t="str">
        <f>"PRE-AICE SPAN 2 IG"</f>
        <v>PRE-AICE SPAN 2 IG</v>
      </c>
      <c r="G11531" t="str">
        <f>"09-913"</f>
        <v>09-913</v>
      </c>
      <c r="H11531" t="str">
        <f>"B"</f>
        <v>B</v>
      </c>
    </row>
    <row r="11532" spans="1:8" x14ac:dyDescent="0.2">
      <c r="A11532" t="str">
        <f t="shared" si="4164"/>
        <v>0620043575</v>
      </c>
      <c r="B11532" t="str">
        <f t="shared" si="4165"/>
        <v>GEORGE</v>
      </c>
      <c r="C11532" t="str">
        <f t="shared" si="4166"/>
        <v>MILLS</v>
      </c>
      <c r="D11532">
        <f>12</f>
        <v>12</v>
      </c>
      <c r="E11532" t="str">
        <f>"01 - S1 - A - 101 - Jordana K Hass"</f>
        <v>01 - S1 - A - 101 - Jordana K Hass</v>
      </c>
      <c r="F11532" t="str">
        <f>"PRIN OF AERO SCI"</f>
        <v>PRIN OF AERO SCI</v>
      </c>
      <c r="G11532" t="str">
        <f>"08-807"</f>
        <v>08-807</v>
      </c>
      <c r="H11532" t="str">
        <f>"A"</f>
        <v>A</v>
      </c>
    </row>
    <row r="11533" spans="1:8" x14ac:dyDescent="0.2">
      <c r="A11533" t="str">
        <f t="shared" si="4164"/>
        <v>0620043575</v>
      </c>
      <c r="B11533" t="str">
        <f t="shared" si="4165"/>
        <v>GEORGE</v>
      </c>
      <c r="C11533" t="str">
        <f t="shared" si="4166"/>
        <v>MILLS</v>
      </c>
      <c r="D11533">
        <f>12</f>
        <v>12</v>
      </c>
      <c r="E11533" t="str">
        <f>"08 - B - 105 - Jeffrey S Gallagher"</f>
        <v>08 - B - 105 - Jeffrey S Gallagher</v>
      </c>
      <c r="F11533" t="str">
        <f>"ENG HON 4"</f>
        <v>ENG HON 4</v>
      </c>
      <c r="G11533" t="str">
        <f>"17-1724"</f>
        <v>17-1724</v>
      </c>
      <c r="H11533" t="str">
        <f>"B"</f>
        <v>B</v>
      </c>
    </row>
    <row r="11534" spans="1:8" x14ac:dyDescent="0.2">
      <c r="A11534" t="str">
        <f t="shared" ref="A11534:A11541" si="4167">"0616047627"</f>
        <v>0616047627</v>
      </c>
      <c r="B11534" t="str">
        <f t="shared" ref="B11534:B11541" si="4168">"HUNTER"</f>
        <v>HUNTER</v>
      </c>
      <c r="C11534" t="str">
        <f t="shared" si="4166"/>
        <v>MILLS</v>
      </c>
      <c r="D11534">
        <f>10</f>
        <v>10</v>
      </c>
      <c r="E11534" t="str">
        <f>"04 - A - 102 - Fernando  Vega-Cid"</f>
        <v>04 - A - 102 - Fernando  Vega-Cid</v>
      </c>
      <c r="F11534" t="str">
        <f>"PRE-CALCULUS HON"</f>
        <v>PRE-CALCULUS HON</v>
      </c>
      <c r="G11534" t="str">
        <f>"21-2163"</f>
        <v>21-2163</v>
      </c>
      <c r="H11534" t="str">
        <f>"A"</f>
        <v>A</v>
      </c>
    </row>
    <row r="11535" spans="1:8" x14ac:dyDescent="0.2">
      <c r="A11535" t="str">
        <f t="shared" si="4167"/>
        <v>0616047627</v>
      </c>
      <c r="B11535" t="str">
        <f t="shared" si="4168"/>
        <v>HUNTER</v>
      </c>
      <c r="C11535" t="str">
        <f t="shared" si="4166"/>
        <v>MILLS</v>
      </c>
      <c r="D11535">
        <f>10</f>
        <v>10</v>
      </c>
      <c r="E11535" t="str">
        <f>"06 - B - 109 - Semra  Bahadir"</f>
        <v>06 - B - 109 - Semra  Bahadir</v>
      </c>
      <c r="F11535" t="str">
        <f>"NC STUDY HALL 1"</f>
        <v>NC STUDY HALL 1</v>
      </c>
      <c r="G11535" t="str">
        <f>"21-2107"</f>
        <v>21-2107</v>
      </c>
      <c r="H11535" t="str">
        <f>"B"</f>
        <v>B</v>
      </c>
    </row>
    <row r="11536" spans="1:8" x14ac:dyDescent="0.2">
      <c r="A11536" t="str">
        <f t="shared" si="4167"/>
        <v>0616047627</v>
      </c>
      <c r="B11536" t="str">
        <f t="shared" si="4168"/>
        <v>HUNTER</v>
      </c>
      <c r="C11536" t="str">
        <f t="shared" si="4166"/>
        <v>MILLS</v>
      </c>
      <c r="D11536">
        <f>10</f>
        <v>10</v>
      </c>
      <c r="E11536" t="str">
        <f>"03 - A - 101 - Rosa Elaine  Collado-Duff"</f>
        <v>03 - A - 101 - Rosa Elaine  Collado-Duff</v>
      </c>
      <c r="F11536" t="str">
        <f>"SPANISH 3 HON"</f>
        <v>SPANISH 3 HON</v>
      </c>
      <c r="G11536" t="str">
        <f>"09-913"</f>
        <v>09-913</v>
      </c>
      <c r="H11536" t="str">
        <f>"A"</f>
        <v>A</v>
      </c>
    </row>
    <row r="11537" spans="1:8" x14ac:dyDescent="0.2">
      <c r="A11537" t="str">
        <f t="shared" si="4167"/>
        <v>0616047627</v>
      </c>
      <c r="B11537" t="str">
        <f t="shared" si="4168"/>
        <v>HUNTER</v>
      </c>
      <c r="C11537" t="str">
        <f t="shared" si="4166"/>
        <v>MILLS</v>
      </c>
      <c r="D11537">
        <f>10</f>
        <v>10</v>
      </c>
      <c r="E11537" t="str">
        <f>"02 - A - 102 - Jacklyn M James"</f>
        <v>02 - A - 102 - Jacklyn M James</v>
      </c>
      <c r="F11537" t="str">
        <f>"AICE ENG LANG AS"</f>
        <v>AICE ENG LANG AS</v>
      </c>
      <c r="G11537" t="str">
        <f>"17-1731"</f>
        <v>17-1731</v>
      </c>
      <c r="H11537" t="str">
        <f>"A"</f>
        <v>A</v>
      </c>
    </row>
    <row r="11538" spans="1:8" x14ac:dyDescent="0.2">
      <c r="A11538" t="str">
        <f t="shared" si="4167"/>
        <v>0616047627</v>
      </c>
      <c r="B11538" t="str">
        <f t="shared" si="4168"/>
        <v>HUNTER</v>
      </c>
      <c r="C11538" t="str">
        <f t="shared" si="4166"/>
        <v>MILLS</v>
      </c>
      <c r="D11538">
        <f>10</f>
        <v>10</v>
      </c>
      <c r="E11538" t="str">
        <f>"07 - B - 102 - Timothy J Lawrence"</f>
        <v>07 - B - 102 - Timothy J Lawrence</v>
      </c>
      <c r="F11538" t="str">
        <f>"AICE PHYS ED 1 AS"</f>
        <v>AICE PHYS ED 1 AS</v>
      </c>
      <c r="G11538" t="str">
        <f>"05-523"</f>
        <v>05-523</v>
      </c>
      <c r="H11538" t="str">
        <f>"B"</f>
        <v>B</v>
      </c>
    </row>
    <row r="11539" spans="1:8" x14ac:dyDescent="0.2">
      <c r="A11539" t="str">
        <f t="shared" si="4167"/>
        <v>0616047627</v>
      </c>
      <c r="B11539" t="str">
        <f t="shared" si="4168"/>
        <v>HUNTER</v>
      </c>
      <c r="C11539" t="str">
        <f t="shared" si="4166"/>
        <v>MILLS</v>
      </c>
      <c r="D11539">
        <f>10</f>
        <v>10</v>
      </c>
      <c r="E11539" t="str">
        <f>"05 - B - 001 - Kelly N Panza"</f>
        <v>05 - B - 001 - Kelly N Panza</v>
      </c>
      <c r="F11539" t="str">
        <f>"AICE GLBL PERSP 1 AS"</f>
        <v>AICE GLBL PERSP 1 AS</v>
      </c>
      <c r="G11539" t="str">
        <f>"17-1753"</f>
        <v>17-1753</v>
      </c>
      <c r="H11539" t="str">
        <f>"B"</f>
        <v>B</v>
      </c>
    </row>
    <row r="11540" spans="1:8" x14ac:dyDescent="0.2">
      <c r="A11540" t="str">
        <f t="shared" si="4167"/>
        <v>0616047627</v>
      </c>
      <c r="B11540" t="str">
        <f t="shared" si="4168"/>
        <v>HUNTER</v>
      </c>
      <c r="C11540" t="str">
        <f t="shared" si="4166"/>
        <v>MILLS</v>
      </c>
      <c r="D11540">
        <f>10</f>
        <v>10</v>
      </c>
      <c r="E11540" t="str">
        <f>"01 - A - 107 - Valerie J Ruwe"</f>
        <v>01 - A - 107 - Valerie J Ruwe</v>
      </c>
      <c r="F11540" t="str">
        <f>"CHEMISTRY 1 HON"</f>
        <v>CHEMISTRY 1 HON</v>
      </c>
      <c r="G11540" t="str">
        <f>"21-2134"</f>
        <v>21-2134</v>
      </c>
      <c r="H11540" t="str">
        <f>"A"</f>
        <v>A</v>
      </c>
    </row>
    <row r="11541" spans="1:8" x14ac:dyDescent="0.2">
      <c r="A11541" t="str">
        <f t="shared" si="4167"/>
        <v>0616047627</v>
      </c>
      <c r="B11541" t="str">
        <f t="shared" si="4168"/>
        <v>HUNTER</v>
      </c>
      <c r="C11541" t="str">
        <f t="shared" si="4166"/>
        <v>MILLS</v>
      </c>
      <c r="D11541">
        <f>10</f>
        <v>10</v>
      </c>
      <c r="E11541" t="str">
        <f>"08 - B - 101 - Jordana K Hass"</f>
        <v>08 - B - 101 - Jordana K Hass</v>
      </c>
      <c r="F11541" t="str">
        <f>"AICE INFO TECH 1 AS"</f>
        <v>AICE INFO TECH 1 AS</v>
      </c>
      <c r="G11541" t="str">
        <f>"08-807"</f>
        <v>08-807</v>
      </c>
      <c r="H11541" t="str">
        <f>"B"</f>
        <v>B</v>
      </c>
    </row>
    <row r="11542" spans="1:8" x14ac:dyDescent="0.2">
      <c r="A11542" t="str">
        <f t="shared" ref="A11542:A11549" si="4169">"0615050354"</f>
        <v>0615050354</v>
      </c>
      <c r="B11542" t="str">
        <f t="shared" ref="B11542:B11549" si="4170">"SY'MARI"</f>
        <v>SY'MARI</v>
      </c>
      <c r="C11542" t="str">
        <f t="shared" ref="C11542:C11549" si="4171">"MILNER"</f>
        <v>MILNER</v>
      </c>
      <c r="D11542">
        <f>11</f>
        <v>11</v>
      </c>
      <c r="E11542" t="str">
        <f>"04 - S1 - A - 101 - Leslie J Barton"</f>
        <v>04 - S1 - A - 101 - Leslie J Barton</v>
      </c>
      <c r="F11542" t="str">
        <f>"TEAM SPORTS 1"</f>
        <v>TEAM SPORTS 1</v>
      </c>
      <c r="G11542" t="str">
        <f>"04-254"</f>
        <v>04-254</v>
      </c>
      <c r="H11542" t="str">
        <f>"A"</f>
        <v>A</v>
      </c>
    </row>
    <row r="11543" spans="1:8" x14ac:dyDescent="0.2">
      <c r="A11543" t="str">
        <f t="shared" si="4169"/>
        <v>0615050354</v>
      </c>
      <c r="B11543" t="str">
        <f t="shared" si="4170"/>
        <v>SY'MARI</v>
      </c>
      <c r="C11543" t="str">
        <f t="shared" si="4171"/>
        <v>MILNER</v>
      </c>
      <c r="D11543">
        <f>11</f>
        <v>11</v>
      </c>
      <c r="E11543" t="str">
        <f>"06 - B - 104 - Nahum  Saint-Preux"</f>
        <v>06 - B - 104 - Nahum  Saint-Preux</v>
      </c>
      <c r="F11543" t="str">
        <f>"INTENS READ 3"</f>
        <v>INTENS READ 3</v>
      </c>
      <c r="G11543" t="str">
        <f>"17-1712"</f>
        <v>17-1712</v>
      </c>
      <c r="H11543" t="str">
        <f>"B"</f>
        <v>B</v>
      </c>
    </row>
    <row r="11544" spans="1:8" x14ac:dyDescent="0.2">
      <c r="A11544" t="str">
        <f t="shared" si="4169"/>
        <v>0615050354</v>
      </c>
      <c r="B11544" t="str">
        <f t="shared" si="4170"/>
        <v>SY'MARI</v>
      </c>
      <c r="C11544" t="str">
        <f t="shared" si="4171"/>
        <v>MILNER</v>
      </c>
      <c r="D11544">
        <f>11</f>
        <v>11</v>
      </c>
      <c r="E11544" t="str">
        <f>"03 - A - 104 - Fernando  Vega-Cid"</f>
        <v>03 - A - 104 - Fernando  Vega-Cid</v>
      </c>
      <c r="F11544" t="str">
        <f>"GEOMETRY"</f>
        <v>GEOMETRY</v>
      </c>
      <c r="G11544" t="str">
        <f>"21-2163"</f>
        <v>21-2163</v>
      </c>
      <c r="H11544" t="str">
        <f>"A"</f>
        <v>A</v>
      </c>
    </row>
    <row r="11545" spans="1:8" x14ac:dyDescent="0.2">
      <c r="A11545" t="str">
        <f t="shared" si="4169"/>
        <v>0615050354</v>
      </c>
      <c r="B11545" t="str">
        <f t="shared" si="4170"/>
        <v>SY'MARI</v>
      </c>
      <c r="C11545" t="str">
        <f t="shared" si="4171"/>
        <v>MILNER</v>
      </c>
      <c r="D11545">
        <f>11</f>
        <v>11</v>
      </c>
      <c r="E11545" t="str">
        <f>"02 - A - 112 - Brandy N Zdenek"</f>
        <v>02 - A - 112 - Brandy N Zdenek</v>
      </c>
      <c r="F11545" t="str">
        <f>"NC STUDY HALL 1"</f>
        <v>NC STUDY HALL 1</v>
      </c>
      <c r="G11545" t="str">
        <f>"17-1704"</f>
        <v>17-1704</v>
      </c>
      <c r="H11545" t="str">
        <f>"A"</f>
        <v>A</v>
      </c>
    </row>
    <row r="11546" spans="1:8" x14ac:dyDescent="0.2">
      <c r="A11546" t="str">
        <f t="shared" si="4169"/>
        <v>0615050354</v>
      </c>
      <c r="B11546" t="str">
        <f t="shared" si="4170"/>
        <v>SY'MARI</v>
      </c>
      <c r="C11546" t="str">
        <f t="shared" si="4171"/>
        <v>MILNER</v>
      </c>
      <c r="D11546">
        <f>11</f>
        <v>11</v>
      </c>
      <c r="E11546" t="str">
        <f>"07 - B - 201 - Angela S Adeshina-Morrison"</f>
        <v>07 - B - 201 - Angela S Adeshina-Morrison</v>
      </c>
      <c r="F11546" t="str">
        <f>"BUSINESS OWNER HON"</f>
        <v>BUSINESS OWNER HON</v>
      </c>
      <c r="G11546" t="str">
        <f>"05-518"</f>
        <v>05-518</v>
      </c>
      <c r="H11546" t="str">
        <f>"B"</f>
        <v>B</v>
      </c>
    </row>
    <row r="11547" spans="1:8" x14ac:dyDescent="0.2">
      <c r="A11547" t="str">
        <f t="shared" si="4169"/>
        <v>0615050354</v>
      </c>
      <c r="B11547" t="str">
        <f t="shared" si="4170"/>
        <v>SY'MARI</v>
      </c>
      <c r="C11547" t="str">
        <f t="shared" si="4171"/>
        <v>MILNER</v>
      </c>
      <c r="D11547">
        <f>11</f>
        <v>11</v>
      </c>
      <c r="E11547" t="str">
        <f>"05 - B - 207 - Marielle A Witting"</f>
        <v>05 - B - 207 - Marielle A Witting</v>
      </c>
      <c r="F11547" t="str">
        <f>"ANAT PHYSIO"</f>
        <v>ANAT PHYSIO</v>
      </c>
      <c r="G11547" t="str">
        <f>"08-805"</f>
        <v>08-805</v>
      </c>
      <c r="H11547" t="str">
        <f>"B"</f>
        <v>B</v>
      </c>
    </row>
    <row r="11548" spans="1:8" x14ac:dyDescent="0.2">
      <c r="A11548" t="str">
        <f t="shared" si="4169"/>
        <v>0615050354</v>
      </c>
      <c r="B11548" t="str">
        <f t="shared" si="4170"/>
        <v>SY'MARI</v>
      </c>
      <c r="C11548" t="str">
        <f t="shared" si="4171"/>
        <v>MILNER</v>
      </c>
      <c r="D11548">
        <f>11</f>
        <v>11</v>
      </c>
      <c r="E11548" t="str">
        <f>"01 - A - 101 - Kyle  Robbins"</f>
        <v>01 - A - 101 - Kyle  Robbins</v>
      </c>
      <c r="F11548" t="str">
        <f>"US HISTORY"</f>
        <v>US HISTORY</v>
      </c>
      <c r="G11548" t="str">
        <f>"17-1745"</f>
        <v>17-1745</v>
      </c>
      <c r="H11548" t="str">
        <f>"A"</f>
        <v>A</v>
      </c>
    </row>
    <row r="11549" spans="1:8" x14ac:dyDescent="0.2">
      <c r="A11549" t="str">
        <f t="shared" si="4169"/>
        <v>0615050354</v>
      </c>
      <c r="B11549" t="str">
        <f t="shared" si="4170"/>
        <v>SY'MARI</v>
      </c>
      <c r="C11549" t="str">
        <f t="shared" si="4171"/>
        <v>MILNER</v>
      </c>
      <c r="D11549">
        <f>11</f>
        <v>11</v>
      </c>
      <c r="E11549" t="str">
        <f>"08 - B - 106 - Lisa  Quinn"</f>
        <v>08 - B - 106 - Lisa  Quinn</v>
      </c>
      <c r="F11549" t="str">
        <f>"ENG 3"</f>
        <v>ENG 3</v>
      </c>
      <c r="G11549" t="str">
        <f>"17-1725"</f>
        <v>17-1725</v>
      </c>
      <c r="H11549" t="str">
        <f>"B"</f>
        <v>B</v>
      </c>
    </row>
    <row r="11550" spans="1:8" x14ac:dyDescent="0.2">
      <c r="A11550" t="str">
        <f t="shared" ref="A11550:A11557" si="4172">"0616069569"</f>
        <v>0616069569</v>
      </c>
      <c r="B11550" t="str">
        <f t="shared" ref="B11550:B11557" si="4173">"JAREED"</f>
        <v>JAREED</v>
      </c>
      <c r="C11550" t="str">
        <f t="shared" ref="C11550:C11557" si="4174">"MILORD"</f>
        <v>MILORD</v>
      </c>
      <c r="D11550" t="str">
        <f t="shared" ref="D11550:D11557" si="4175">"09"</f>
        <v>09</v>
      </c>
      <c r="E11550" t="str">
        <f>"04 - A - 104 - Adam Marcus  Drucker"</f>
        <v>04 - A - 104 - Adam Marcus  Drucker</v>
      </c>
      <c r="F11550" t="str">
        <f>"HOPE-PE V"</f>
        <v>HOPE-PE V</v>
      </c>
      <c r="G11550" t="str">
        <f>"04-254"</f>
        <v>04-254</v>
      </c>
      <c r="H11550" t="str">
        <f>"A"</f>
        <v>A</v>
      </c>
    </row>
    <row r="11551" spans="1:8" x14ac:dyDescent="0.2">
      <c r="A11551" t="str">
        <f t="shared" si="4172"/>
        <v>0616069569</v>
      </c>
      <c r="B11551" t="str">
        <f t="shared" si="4173"/>
        <v>JAREED</v>
      </c>
      <c r="C11551" t="str">
        <f t="shared" si="4174"/>
        <v>MILORD</v>
      </c>
      <c r="D11551" t="str">
        <f t="shared" si="4175"/>
        <v>09</v>
      </c>
      <c r="E11551" t="str">
        <f>"06 - B - 002 - Amy Beth  Broyles"</f>
        <v>06 - B - 002 - Amy Beth  Broyles</v>
      </c>
      <c r="F11551" t="str">
        <f>"ENV SCI"</f>
        <v>ENV SCI</v>
      </c>
      <c r="G11551" t="str">
        <f>"08-802"</f>
        <v>08-802</v>
      </c>
      <c r="H11551" t="str">
        <f>"B"</f>
        <v>B</v>
      </c>
    </row>
    <row r="11552" spans="1:8" x14ac:dyDescent="0.2">
      <c r="A11552" t="str">
        <f t="shared" si="4172"/>
        <v>0616069569</v>
      </c>
      <c r="B11552" t="str">
        <f t="shared" si="4173"/>
        <v>JAREED</v>
      </c>
      <c r="C11552" t="str">
        <f t="shared" si="4174"/>
        <v>MILORD</v>
      </c>
      <c r="D11552" t="str">
        <f t="shared" si="4175"/>
        <v>09</v>
      </c>
      <c r="E11552" t="str">
        <f>"03 - A - 101 - Milca  Exantus"</f>
        <v>03 - A - 101 - Milca  Exantus</v>
      </c>
      <c r="F11552" t="str">
        <f>"ALGEBRA 1-A"</f>
        <v>ALGEBRA 1-A</v>
      </c>
      <c r="G11552" t="str">
        <f>"21-2145"</f>
        <v>21-2145</v>
      </c>
      <c r="H11552" t="str">
        <f>"A"</f>
        <v>A</v>
      </c>
    </row>
    <row r="11553" spans="1:8" x14ac:dyDescent="0.2">
      <c r="A11553" t="str">
        <f t="shared" si="4172"/>
        <v>0616069569</v>
      </c>
      <c r="B11553" t="str">
        <f t="shared" si="4173"/>
        <v>JAREED</v>
      </c>
      <c r="C11553" t="str">
        <f t="shared" si="4174"/>
        <v>MILORD</v>
      </c>
      <c r="D11553" t="str">
        <f t="shared" si="4175"/>
        <v>09</v>
      </c>
      <c r="E11553" t="str">
        <f>"02 - A - 106 - Helen A Flores"</f>
        <v>02 - A - 106 - Helen A Flores</v>
      </c>
      <c r="F11553" t="str">
        <f>"NC STUDY HALL 1"</f>
        <v>NC STUDY HALL 1</v>
      </c>
      <c r="G11553" t="str">
        <f>"21-2101"</f>
        <v>21-2101</v>
      </c>
      <c r="H11553" t="str">
        <f>"A"</f>
        <v>A</v>
      </c>
    </row>
    <row r="11554" spans="1:8" x14ac:dyDescent="0.2">
      <c r="A11554" t="str">
        <f t="shared" si="4172"/>
        <v>0616069569</v>
      </c>
      <c r="B11554" t="str">
        <f t="shared" si="4173"/>
        <v>JAREED</v>
      </c>
      <c r="C11554" t="str">
        <f t="shared" si="4174"/>
        <v>MILORD</v>
      </c>
      <c r="D11554" t="str">
        <f t="shared" si="4175"/>
        <v>09</v>
      </c>
      <c r="E11554" t="str">
        <f>"07 - B - 101 - Samantha L Martinez"</f>
        <v>07 - B - 101 - Samantha L Martinez</v>
      </c>
      <c r="F11554" t="str">
        <f>"KEYBD 1"</f>
        <v>KEYBD 1</v>
      </c>
      <c r="G11554" t="str">
        <f>"05-505"</f>
        <v>05-505</v>
      </c>
      <c r="H11554" t="str">
        <f>"B"</f>
        <v>B</v>
      </c>
    </row>
    <row r="11555" spans="1:8" x14ac:dyDescent="0.2">
      <c r="A11555" t="str">
        <f t="shared" si="4172"/>
        <v>0616069569</v>
      </c>
      <c r="B11555" t="str">
        <f t="shared" si="4173"/>
        <v>JAREED</v>
      </c>
      <c r="C11555" t="str">
        <f t="shared" si="4174"/>
        <v>MILORD</v>
      </c>
      <c r="D11555" t="str">
        <f t="shared" si="4175"/>
        <v>09</v>
      </c>
      <c r="E11555" t="str">
        <f>"05 - B - 001 - Laselleda D Shaw"</f>
        <v>05 - B - 001 - Laselleda D Shaw</v>
      </c>
      <c r="F11555" t="str">
        <f>"INTENS READ 1"</f>
        <v>INTENS READ 1</v>
      </c>
      <c r="G11555" t="str">
        <f>"17-1723"</f>
        <v>17-1723</v>
      </c>
      <c r="H11555" t="str">
        <f>"B"</f>
        <v>B</v>
      </c>
    </row>
    <row r="11556" spans="1:8" x14ac:dyDescent="0.2">
      <c r="A11556" t="str">
        <f t="shared" si="4172"/>
        <v>0616069569</v>
      </c>
      <c r="B11556" t="str">
        <f t="shared" si="4173"/>
        <v>JAREED</v>
      </c>
      <c r="C11556" t="str">
        <f t="shared" si="4174"/>
        <v>MILORD</v>
      </c>
      <c r="D11556" t="str">
        <f t="shared" si="4175"/>
        <v>09</v>
      </c>
      <c r="E11556" t="str">
        <f>"01 - A - 101 - Cerine S Stewart"</f>
        <v>01 - A - 101 - Cerine S Stewart</v>
      </c>
      <c r="F11556" t="str">
        <f>"ENG 1"</f>
        <v>ENG 1</v>
      </c>
      <c r="G11556" t="str">
        <f>"17-1720"</f>
        <v>17-1720</v>
      </c>
      <c r="H11556" t="str">
        <f>"A"</f>
        <v>A</v>
      </c>
    </row>
    <row r="11557" spans="1:8" x14ac:dyDescent="0.2">
      <c r="A11557" t="str">
        <f t="shared" si="4172"/>
        <v>0616069569</v>
      </c>
      <c r="B11557" t="str">
        <f t="shared" si="4173"/>
        <v>JAREED</v>
      </c>
      <c r="C11557" t="str">
        <f t="shared" si="4174"/>
        <v>MILORD</v>
      </c>
      <c r="D11557" t="str">
        <f t="shared" si="4175"/>
        <v>09</v>
      </c>
      <c r="E11557" t="str">
        <f>"08 - B - 101 - Elizabeth Ellen  Moran"</f>
        <v>08 - B - 101 - Elizabeth Ellen  Moran</v>
      </c>
      <c r="F11557" t="str">
        <f>"WORLD HISTORY"</f>
        <v>WORLD HISTORY</v>
      </c>
      <c r="G11557" t="str">
        <f>"17-1752"</f>
        <v>17-1752</v>
      </c>
      <c r="H11557" t="str">
        <f>"B"</f>
        <v>B</v>
      </c>
    </row>
    <row r="11558" spans="1:8" x14ac:dyDescent="0.2">
      <c r="A11558" t="str">
        <f t="shared" ref="A11558:A11565" si="4176">"0620011659"</f>
        <v>0620011659</v>
      </c>
      <c r="B11558" t="str">
        <f t="shared" ref="B11558:B11565" si="4177">"CHARLI"</f>
        <v>CHARLI</v>
      </c>
      <c r="C11558" t="str">
        <f t="shared" ref="C11558:C11565" si="4178">"MILTON"</f>
        <v>MILTON</v>
      </c>
      <c r="D11558">
        <f>12</f>
        <v>12</v>
      </c>
      <c r="E11558" t="str">
        <f>"04 - A - 106 - Marielle A Witting"</f>
        <v>04 - A - 106 - Marielle A Witting</v>
      </c>
      <c r="F11558" t="str">
        <f>"ANAT PHYSIO"</f>
        <v>ANAT PHYSIO</v>
      </c>
      <c r="G11558" t="str">
        <f>"08-805"</f>
        <v>08-805</v>
      </c>
      <c r="H11558" t="str">
        <f>"A"</f>
        <v>A</v>
      </c>
    </row>
    <row r="11559" spans="1:8" x14ac:dyDescent="0.2">
      <c r="A11559" t="str">
        <f t="shared" si="4176"/>
        <v>0620011659</v>
      </c>
      <c r="B11559" t="str">
        <f t="shared" si="4177"/>
        <v>CHARLI</v>
      </c>
      <c r="C11559" t="str">
        <f t="shared" si="4178"/>
        <v>MILTON</v>
      </c>
      <c r="D11559">
        <f>12</f>
        <v>12</v>
      </c>
      <c r="E11559" t="str">
        <f>"06 - B - 108 - Jacquelyn M Neeson"</f>
        <v>06 - B - 108 - Jacquelyn M Neeson</v>
      </c>
      <c r="F11559" t="str">
        <f>"NC STUDY HALL 1"</f>
        <v>NC STUDY HALL 1</v>
      </c>
      <c r="G11559" t="str">
        <f>"17-1715"</f>
        <v>17-1715</v>
      </c>
      <c r="H11559" t="str">
        <f>"B"</f>
        <v>B</v>
      </c>
    </row>
    <row r="11560" spans="1:8" x14ac:dyDescent="0.2">
      <c r="A11560" t="str">
        <f t="shared" si="4176"/>
        <v>0620011659</v>
      </c>
      <c r="B11560" t="str">
        <f t="shared" si="4177"/>
        <v>CHARLI</v>
      </c>
      <c r="C11560" t="str">
        <f t="shared" si="4178"/>
        <v>MILTON</v>
      </c>
      <c r="D11560">
        <f>12</f>
        <v>12</v>
      </c>
      <c r="E11560" t="str">
        <f>"03 - A - 101 - Chrystina M Marchionne"</f>
        <v>03 - A - 101 - Chrystina M Marchionne</v>
      </c>
      <c r="F11560" t="str">
        <f>"JOURN 2 (YB) LH"</f>
        <v>JOURN 2 (YB) LH</v>
      </c>
      <c r="G11560" t="str">
        <f>"05-520"</f>
        <v>05-520</v>
      </c>
      <c r="H11560" t="str">
        <f>"A"</f>
        <v>A</v>
      </c>
    </row>
    <row r="11561" spans="1:8" x14ac:dyDescent="0.2">
      <c r="A11561" t="str">
        <f t="shared" si="4176"/>
        <v>0620011659</v>
      </c>
      <c r="B11561" t="str">
        <f t="shared" si="4177"/>
        <v>CHARLI</v>
      </c>
      <c r="C11561" t="str">
        <f t="shared" si="4178"/>
        <v>MILTON</v>
      </c>
      <c r="D11561">
        <f>12</f>
        <v>12</v>
      </c>
      <c r="E11561" t="str">
        <f>"02 - A - 102 - Jeffrey S Gallagher"</f>
        <v>02 - A - 102 - Jeffrey S Gallagher</v>
      </c>
      <c r="F11561" t="str">
        <f>"ENG HON 4"</f>
        <v>ENG HON 4</v>
      </c>
      <c r="G11561" t="str">
        <f>"17-1724"</f>
        <v>17-1724</v>
      </c>
      <c r="H11561" t="str">
        <f>"A"</f>
        <v>A</v>
      </c>
    </row>
    <row r="11562" spans="1:8" x14ac:dyDescent="0.2">
      <c r="A11562" t="str">
        <f t="shared" si="4176"/>
        <v>0620011659</v>
      </c>
      <c r="B11562" t="str">
        <f t="shared" si="4177"/>
        <v>CHARLI</v>
      </c>
      <c r="C11562" t="str">
        <f t="shared" si="4178"/>
        <v>MILTON</v>
      </c>
      <c r="D11562">
        <f>12</f>
        <v>12</v>
      </c>
      <c r="E11562" t="str">
        <f>"07 - B - 201 - Angela S Adeshina-Morrison"</f>
        <v>07 - B - 201 - Angela S Adeshina-Morrison</v>
      </c>
      <c r="F11562" t="str">
        <f>"BUSINESS OWNER HON"</f>
        <v>BUSINESS OWNER HON</v>
      </c>
      <c r="G11562" t="str">
        <f>"05-518"</f>
        <v>05-518</v>
      </c>
      <c r="H11562" t="str">
        <f>"B"</f>
        <v>B</v>
      </c>
    </row>
    <row r="11563" spans="1:8" x14ac:dyDescent="0.2">
      <c r="A11563" t="str">
        <f t="shared" si="4176"/>
        <v>0620011659</v>
      </c>
      <c r="B11563" t="str">
        <f t="shared" si="4177"/>
        <v>CHARLI</v>
      </c>
      <c r="C11563" t="str">
        <f t="shared" si="4178"/>
        <v>MILTON</v>
      </c>
      <c r="D11563">
        <f>12</f>
        <v>12</v>
      </c>
      <c r="E11563" t="str">
        <f>"05 - B - 104 - Semra  Bahadir"</f>
        <v>05 - B - 104 - Semra  Bahadir</v>
      </c>
      <c r="F11563" t="str">
        <f>"MATH COLL ALGEBRA"</f>
        <v>MATH COLL ALGEBRA</v>
      </c>
      <c r="G11563" t="str">
        <f>"21-2107"</f>
        <v>21-2107</v>
      </c>
      <c r="H11563" t="str">
        <f>"B"</f>
        <v>B</v>
      </c>
    </row>
    <row r="11564" spans="1:8" x14ac:dyDescent="0.2">
      <c r="A11564" t="str">
        <f t="shared" si="4176"/>
        <v>0620011659</v>
      </c>
      <c r="B11564" t="str">
        <f t="shared" si="4177"/>
        <v>CHARLI</v>
      </c>
      <c r="C11564" t="str">
        <f t="shared" si="4178"/>
        <v>MILTON</v>
      </c>
      <c r="D11564">
        <f>12</f>
        <v>12</v>
      </c>
      <c r="E11564" t="str">
        <f>"01 - S1 - A - 101 - Robert O Burger"</f>
        <v>01 - S1 - A - 101 - Robert O Burger</v>
      </c>
      <c r="F11564" t="str">
        <f>"US GOVT"</f>
        <v>US GOVT</v>
      </c>
      <c r="G11564" t="str">
        <f>"17-1755"</f>
        <v>17-1755</v>
      </c>
      <c r="H11564" t="str">
        <f>"A"</f>
        <v>A</v>
      </c>
    </row>
    <row r="11565" spans="1:8" x14ac:dyDescent="0.2">
      <c r="A11565" t="str">
        <f t="shared" si="4176"/>
        <v>0620011659</v>
      </c>
      <c r="B11565" t="str">
        <f t="shared" si="4177"/>
        <v>CHARLI</v>
      </c>
      <c r="C11565" t="str">
        <f t="shared" si="4178"/>
        <v>MILTON</v>
      </c>
      <c r="D11565">
        <f>12</f>
        <v>12</v>
      </c>
      <c r="E11565" t="str">
        <f>"08 - S1 - B - 101 - Amy Beth  Broyles"</f>
        <v>08 - S1 - B - 101 - Amy Beth  Broyles</v>
      </c>
      <c r="F11565" t="str">
        <f>"PEER COUN 3"</f>
        <v>PEER COUN 3</v>
      </c>
      <c r="G11565" t="str">
        <f>"17-1713"</f>
        <v>17-1713</v>
      </c>
      <c r="H11565" t="str">
        <f>"B"</f>
        <v>B</v>
      </c>
    </row>
    <row r="11566" spans="1:8" x14ac:dyDescent="0.2">
      <c r="A11566" t="str">
        <f t="shared" ref="A11566:A11573" si="4179">"0616096062"</f>
        <v>0616096062</v>
      </c>
      <c r="B11566" t="str">
        <f t="shared" ref="B11566:B11573" si="4180">"ADRIANO"</f>
        <v>ADRIANO</v>
      </c>
      <c r="C11566" t="str">
        <f t="shared" ref="C11566:C11573" si="4181">"MIMURA"</f>
        <v>MIMURA</v>
      </c>
      <c r="D11566" t="str">
        <f t="shared" ref="D11566:D11581" si="4182">"09"</f>
        <v>09</v>
      </c>
      <c r="E11566" t="str">
        <f>"04 - A - 102 - Byron G Montenegro"</f>
        <v>04 - A - 102 - Byron G Montenegro</v>
      </c>
      <c r="F11566" t="str">
        <f>"AICE MARINE SCI 1 AS"</f>
        <v>AICE MARINE SCI 1 AS</v>
      </c>
      <c r="G11566" t="str">
        <f>"21-2144"</f>
        <v>21-2144</v>
      </c>
      <c r="H11566" t="str">
        <f>"A"</f>
        <v>A</v>
      </c>
    </row>
    <row r="11567" spans="1:8" x14ac:dyDescent="0.2">
      <c r="A11567" t="str">
        <f t="shared" si="4179"/>
        <v>0616096062</v>
      </c>
      <c r="B11567" t="str">
        <f t="shared" si="4180"/>
        <v>ADRIANO</v>
      </c>
      <c r="C11567" t="str">
        <f t="shared" si="4181"/>
        <v>MIMURA</v>
      </c>
      <c r="D11567" t="str">
        <f t="shared" si="4182"/>
        <v>09</v>
      </c>
      <c r="E11567" t="str">
        <f>"06 - B - 202 - Samantha L Martinez"</f>
        <v>06 - B - 202 - Samantha L Martinez</v>
      </c>
      <c r="F11567" t="str">
        <f>"GUITAR 1"</f>
        <v>GUITAR 1</v>
      </c>
      <c r="G11567" t="str">
        <f>"05-505"</f>
        <v>05-505</v>
      </c>
      <c r="H11567" t="str">
        <f>"B"</f>
        <v>B</v>
      </c>
    </row>
    <row r="11568" spans="1:8" x14ac:dyDescent="0.2">
      <c r="A11568" t="str">
        <f t="shared" si="4179"/>
        <v>0616096062</v>
      </c>
      <c r="B11568" t="str">
        <f t="shared" si="4180"/>
        <v>ADRIANO</v>
      </c>
      <c r="C11568" t="str">
        <f t="shared" si="4181"/>
        <v>MIMURA</v>
      </c>
      <c r="D11568" t="str">
        <f t="shared" si="4182"/>
        <v>09</v>
      </c>
      <c r="E11568" t="str">
        <f>"03 - A - 103 - Kelly N Panza"</f>
        <v>03 - A - 103 - Kelly N Panza</v>
      </c>
      <c r="F11568" t="str">
        <f>"AICE GLBL PERSP 1 AS"</f>
        <v>AICE GLBL PERSP 1 AS</v>
      </c>
      <c r="G11568" t="str">
        <f>"17-1753"</f>
        <v>17-1753</v>
      </c>
      <c r="H11568" t="str">
        <f>"A"</f>
        <v>A</v>
      </c>
    </row>
    <row r="11569" spans="1:8" x14ac:dyDescent="0.2">
      <c r="A11569" t="str">
        <f t="shared" si="4179"/>
        <v>0616096062</v>
      </c>
      <c r="B11569" t="str">
        <f t="shared" si="4180"/>
        <v>ADRIANO</v>
      </c>
      <c r="C11569" t="str">
        <f t="shared" si="4181"/>
        <v>MIMURA</v>
      </c>
      <c r="D11569" t="str">
        <f t="shared" si="4182"/>
        <v>09</v>
      </c>
      <c r="E11569" t="str">
        <f>"02 - A - 109 - Krystal Marie  Beruty"</f>
        <v>02 - A - 109 - Krystal Marie  Beruty</v>
      </c>
      <c r="F11569" t="str">
        <f>"NC STUDY HALL 1"</f>
        <v>NC STUDY HALL 1</v>
      </c>
      <c r="G11569" t="str">
        <f>"17-1721"</f>
        <v>17-1721</v>
      </c>
      <c r="H11569" t="str">
        <f>"A"</f>
        <v>A</v>
      </c>
    </row>
    <row r="11570" spans="1:8" x14ac:dyDescent="0.2">
      <c r="A11570" t="str">
        <f t="shared" si="4179"/>
        <v>0616096062</v>
      </c>
      <c r="B11570" t="str">
        <f t="shared" si="4180"/>
        <v>ADRIANO</v>
      </c>
      <c r="C11570" t="str">
        <f t="shared" si="4181"/>
        <v>MIMURA</v>
      </c>
      <c r="D11570" t="str">
        <f t="shared" si="4182"/>
        <v>09</v>
      </c>
      <c r="E11570" t="str">
        <f>"07 - B - 001 - Cheryl Anne  Berman-Schechter"</f>
        <v>07 - B - 001 - Cheryl Anne  Berman-Schechter</v>
      </c>
      <c r="F11570" t="str">
        <f>"AICE ENG GEN PAPER 1"</f>
        <v>AICE ENG GEN PAPER 1</v>
      </c>
      <c r="G11570" t="str">
        <f>"17-1722"</f>
        <v>17-1722</v>
      </c>
      <c r="H11570" t="str">
        <f>"B"</f>
        <v>B</v>
      </c>
    </row>
    <row r="11571" spans="1:8" x14ac:dyDescent="0.2">
      <c r="A11571" t="str">
        <f t="shared" si="4179"/>
        <v>0616096062</v>
      </c>
      <c r="B11571" t="str">
        <f t="shared" si="4180"/>
        <v>ADRIANO</v>
      </c>
      <c r="C11571" t="str">
        <f t="shared" si="4181"/>
        <v>MIMURA</v>
      </c>
      <c r="D11571" t="str">
        <f t="shared" si="4182"/>
        <v>09</v>
      </c>
      <c r="E11571" t="str">
        <f>"05 - B - 102 - Jeanne M Bermudez"</f>
        <v>05 - B - 102 - Jeanne M Bermudez</v>
      </c>
      <c r="F11571" t="str">
        <f>"ADVANCED IT HON"</f>
        <v>ADVANCED IT HON</v>
      </c>
      <c r="G11571" t="str">
        <f>"21-2141"</f>
        <v>21-2141</v>
      </c>
      <c r="H11571" t="str">
        <f>"B"</f>
        <v>B</v>
      </c>
    </row>
    <row r="11572" spans="1:8" x14ac:dyDescent="0.2">
      <c r="A11572" t="str">
        <f t="shared" si="4179"/>
        <v>0616096062</v>
      </c>
      <c r="B11572" t="str">
        <f t="shared" si="4180"/>
        <v>ADRIANO</v>
      </c>
      <c r="C11572" t="str">
        <f t="shared" si="4181"/>
        <v>MIMURA</v>
      </c>
      <c r="D11572" t="str">
        <f t="shared" si="4182"/>
        <v>09</v>
      </c>
      <c r="E11572" t="str">
        <f>"01 - A - 101 - Joe  Kilpatrick Jr"</f>
        <v>01 - A - 101 - Joe  Kilpatrick Jr</v>
      </c>
      <c r="F11572" t="str">
        <f>"PRE-AICE SPAN 1 IG"</f>
        <v>PRE-AICE SPAN 1 IG</v>
      </c>
      <c r="G11572" t="str">
        <f>"09-912"</f>
        <v>09-912</v>
      </c>
      <c r="H11572" t="str">
        <f>"A"</f>
        <v>A</v>
      </c>
    </row>
    <row r="11573" spans="1:8" x14ac:dyDescent="0.2">
      <c r="A11573" t="str">
        <f t="shared" si="4179"/>
        <v>0616096062</v>
      </c>
      <c r="B11573" t="str">
        <f t="shared" si="4180"/>
        <v>ADRIANO</v>
      </c>
      <c r="C11573" t="str">
        <f t="shared" si="4181"/>
        <v>MIMURA</v>
      </c>
      <c r="D11573" t="str">
        <f t="shared" si="4182"/>
        <v>09</v>
      </c>
      <c r="E11573" t="str">
        <f>"08 - B - 102 - Maried P Ramos"</f>
        <v>08 - B - 102 - Maried P Ramos</v>
      </c>
      <c r="F11573" t="str">
        <f>"ALGEBRA 2 HON"</f>
        <v>ALGEBRA 2 HON</v>
      </c>
      <c r="G11573" t="str">
        <f>"21-2159"</f>
        <v>21-2159</v>
      </c>
      <c r="H11573" t="str">
        <f>"B"</f>
        <v>B</v>
      </c>
    </row>
    <row r="11574" spans="1:8" x14ac:dyDescent="0.2">
      <c r="A11574" t="str">
        <f t="shared" ref="A11574:A11581" si="4183">"0626001041"</f>
        <v>0626001041</v>
      </c>
      <c r="B11574" t="str">
        <f t="shared" ref="B11574:B11581" si="4184">"LAVARIS"</f>
        <v>LAVARIS</v>
      </c>
      <c r="C11574" t="str">
        <f t="shared" ref="C11574:C11581" si="4185">"MINGO"</f>
        <v>MINGO</v>
      </c>
      <c r="D11574" t="str">
        <f t="shared" si="4182"/>
        <v>09</v>
      </c>
      <c r="E11574" t="str">
        <f>"04 - A - 103 - Lenecy  Nodarse"</f>
        <v>04 - A - 103 - Lenecy  Nodarse</v>
      </c>
      <c r="F11574" t="str">
        <f>"WORLD HISTORY"</f>
        <v>WORLD HISTORY</v>
      </c>
      <c r="G11574" t="str">
        <f>"17-1741"</f>
        <v>17-1741</v>
      </c>
      <c r="H11574" t="str">
        <f>"A"</f>
        <v>A</v>
      </c>
    </row>
    <row r="11575" spans="1:8" x14ac:dyDescent="0.2">
      <c r="A11575" t="str">
        <f t="shared" si="4183"/>
        <v>0626001041</v>
      </c>
      <c r="B11575" t="str">
        <f t="shared" si="4184"/>
        <v>LAVARIS</v>
      </c>
      <c r="C11575" t="str">
        <f t="shared" si="4185"/>
        <v>MINGO</v>
      </c>
      <c r="D11575" t="str">
        <f t="shared" si="4182"/>
        <v>09</v>
      </c>
      <c r="E11575" t="str">
        <f>"06 - B - 002 - Amy Beth  Broyles"</f>
        <v>06 - B - 002 - Amy Beth  Broyles</v>
      </c>
      <c r="F11575" t="str">
        <f>"ENV SCI"</f>
        <v>ENV SCI</v>
      </c>
      <c r="G11575" t="str">
        <f>"08-802"</f>
        <v>08-802</v>
      </c>
      <c r="H11575" t="str">
        <f>"B"</f>
        <v>B</v>
      </c>
    </row>
    <row r="11576" spans="1:8" x14ac:dyDescent="0.2">
      <c r="A11576" t="str">
        <f t="shared" si="4183"/>
        <v>0626001041</v>
      </c>
      <c r="B11576" t="str">
        <f t="shared" si="4184"/>
        <v>LAVARIS</v>
      </c>
      <c r="C11576" t="str">
        <f t="shared" si="4185"/>
        <v>MINGO</v>
      </c>
      <c r="D11576" t="str">
        <f t="shared" si="4182"/>
        <v>09</v>
      </c>
      <c r="E11576" t="str">
        <f>"03 - A - 102 - Laselleda D Shaw"</f>
        <v>03 - A - 102 - Laselleda D Shaw</v>
      </c>
      <c r="F11576" t="str">
        <f>"INTENS READ 1"</f>
        <v>INTENS READ 1</v>
      </c>
      <c r="G11576" t="str">
        <f>"17-1723"</f>
        <v>17-1723</v>
      </c>
      <c r="H11576" t="str">
        <f>"A"</f>
        <v>A</v>
      </c>
    </row>
    <row r="11577" spans="1:8" x14ac:dyDescent="0.2">
      <c r="A11577" t="str">
        <f t="shared" si="4183"/>
        <v>0626001041</v>
      </c>
      <c r="B11577" t="str">
        <f t="shared" si="4184"/>
        <v>LAVARIS</v>
      </c>
      <c r="C11577" t="str">
        <f t="shared" si="4185"/>
        <v>MINGO</v>
      </c>
      <c r="D11577" t="str">
        <f t="shared" si="4182"/>
        <v>09</v>
      </c>
      <c r="E11577" t="str">
        <f>"02 - A - 105 - Elizabeth R Walker"</f>
        <v>02 - A - 105 - Elizabeth R Walker</v>
      </c>
      <c r="F11577" t="str">
        <f>"NC STUDY HALL 1"</f>
        <v>NC STUDY HALL 1</v>
      </c>
      <c r="G11577" t="str">
        <f>"17-1703"</f>
        <v>17-1703</v>
      </c>
      <c r="H11577" t="str">
        <f>"A"</f>
        <v>A</v>
      </c>
    </row>
    <row r="11578" spans="1:8" x14ac:dyDescent="0.2">
      <c r="A11578" t="str">
        <f t="shared" si="4183"/>
        <v>0626001041</v>
      </c>
      <c r="B11578" t="str">
        <f t="shared" si="4184"/>
        <v>LAVARIS</v>
      </c>
      <c r="C11578" t="str">
        <f t="shared" si="4185"/>
        <v>MINGO</v>
      </c>
      <c r="D11578" t="str">
        <f t="shared" si="4182"/>
        <v>09</v>
      </c>
      <c r="E11578" t="str">
        <f>"07 - B - 107 - Helen A Flores"</f>
        <v>07 - B - 107 - Helen A Flores</v>
      </c>
      <c r="F11578" t="str">
        <f>"ALGEBRA 1"</f>
        <v>ALGEBRA 1</v>
      </c>
      <c r="G11578" t="str">
        <f>"21-2101"</f>
        <v>21-2101</v>
      </c>
      <c r="H11578" t="str">
        <f>"B"</f>
        <v>B</v>
      </c>
    </row>
    <row r="11579" spans="1:8" x14ac:dyDescent="0.2">
      <c r="A11579" t="str">
        <f t="shared" si="4183"/>
        <v>0626001041</v>
      </c>
      <c r="B11579" t="str">
        <f t="shared" si="4184"/>
        <v>LAVARIS</v>
      </c>
      <c r="C11579" t="str">
        <f t="shared" si="4185"/>
        <v>MINGO</v>
      </c>
      <c r="D11579" t="str">
        <f t="shared" si="4182"/>
        <v>09</v>
      </c>
      <c r="E11579" t="str">
        <f>"05 - B - 104 - Cerine S Stewart"</f>
        <v>05 - B - 104 - Cerine S Stewart</v>
      </c>
      <c r="F11579" t="str">
        <f>"ENG 1"</f>
        <v>ENG 1</v>
      </c>
      <c r="G11579" t="str">
        <f>"17-1720"</f>
        <v>17-1720</v>
      </c>
      <c r="H11579" t="str">
        <f>"B"</f>
        <v>B</v>
      </c>
    </row>
    <row r="11580" spans="1:8" x14ac:dyDescent="0.2">
      <c r="A11580" t="str">
        <f t="shared" si="4183"/>
        <v>0626001041</v>
      </c>
      <c r="B11580" t="str">
        <f t="shared" si="4184"/>
        <v>LAVARIS</v>
      </c>
      <c r="C11580" t="str">
        <f t="shared" si="4185"/>
        <v>MINGO</v>
      </c>
      <c r="D11580" t="str">
        <f t="shared" si="4182"/>
        <v>09</v>
      </c>
      <c r="E11580" t="str">
        <f>"01 - A - 102 - Helen A Flores"</f>
        <v>01 - A - 102 - Helen A Flores</v>
      </c>
      <c r="F11580" t="str">
        <f>"FDN SKLS MATH 9-12"</f>
        <v>FDN SKLS MATH 9-12</v>
      </c>
      <c r="G11580" t="str">
        <f>"21-2101"</f>
        <v>21-2101</v>
      </c>
      <c r="H11580" t="str">
        <f>"A"</f>
        <v>A</v>
      </c>
    </row>
    <row r="11581" spans="1:8" x14ac:dyDescent="0.2">
      <c r="A11581" t="str">
        <f t="shared" si="4183"/>
        <v>0626001041</v>
      </c>
      <c r="B11581" t="str">
        <f t="shared" si="4184"/>
        <v>LAVARIS</v>
      </c>
      <c r="C11581" t="str">
        <f t="shared" si="4185"/>
        <v>MINGO</v>
      </c>
      <c r="D11581" t="str">
        <f t="shared" si="4182"/>
        <v>09</v>
      </c>
      <c r="E11581" t="str">
        <f>"08 - B - 108 - Adam Marcus  Drucker"</f>
        <v>08 - B - 108 - Adam Marcus  Drucker</v>
      </c>
      <c r="F11581" t="str">
        <f>"HOPE-PE V"</f>
        <v>HOPE-PE V</v>
      </c>
      <c r="G11581" t="str">
        <f>"04-254"</f>
        <v>04-254</v>
      </c>
      <c r="H11581" t="str">
        <f>"B"</f>
        <v>B</v>
      </c>
    </row>
    <row r="11582" spans="1:8" x14ac:dyDescent="0.2">
      <c r="A11582" t="str">
        <f t="shared" ref="A11582:A11589" si="4186">"0613128621"</f>
        <v>0613128621</v>
      </c>
      <c r="B11582" t="str">
        <f t="shared" ref="B11582:B11589" si="4187">"MONICA"</f>
        <v>MONICA</v>
      </c>
      <c r="C11582" t="str">
        <f t="shared" ref="C11582:C11589" si="4188">"MINOCHE"</f>
        <v>MINOCHE</v>
      </c>
      <c r="D11582">
        <f>11</f>
        <v>11</v>
      </c>
      <c r="E11582" t="str">
        <f>"04 - A - 101 - Jerry S Jiampetti"</f>
        <v>04 - A - 101 - Jerry S Jiampetti</v>
      </c>
      <c r="F11582" t="str">
        <f>"AICE U.S. HIST 1 AS"</f>
        <v>AICE U.S. HIST 1 AS</v>
      </c>
      <c r="G11582" t="str">
        <f>"17-1751"</f>
        <v>17-1751</v>
      </c>
      <c r="H11582" t="str">
        <f>"A"</f>
        <v>A</v>
      </c>
    </row>
    <row r="11583" spans="1:8" x14ac:dyDescent="0.2">
      <c r="A11583" t="str">
        <f t="shared" si="4186"/>
        <v>0613128621</v>
      </c>
      <c r="B11583" t="str">
        <f t="shared" si="4187"/>
        <v>MONICA</v>
      </c>
      <c r="C11583" t="str">
        <f t="shared" si="4188"/>
        <v>MINOCHE</v>
      </c>
      <c r="D11583">
        <f>11</f>
        <v>11</v>
      </c>
      <c r="E11583" t="str">
        <f>"06 - B - 106 - Adam Marcus  Drucker"</f>
        <v>06 - B - 106 - Adam Marcus  Drucker</v>
      </c>
      <c r="F11583" t="str">
        <f>"HOPE-PE V"</f>
        <v>HOPE-PE V</v>
      </c>
      <c r="G11583" t="str">
        <f>"04-254"</f>
        <v>04-254</v>
      </c>
      <c r="H11583" t="str">
        <f>"B"</f>
        <v>B</v>
      </c>
    </row>
    <row r="11584" spans="1:8" x14ac:dyDescent="0.2">
      <c r="A11584" t="str">
        <f t="shared" si="4186"/>
        <v>0613128621</v>
      </c>
      <c r="B11584" t="str">
        <f t="shared" si="4187"/>
        <v>MONICA</v>
      </c>
      <c r="C11584" t="str">
        <f t="shared" si="4188"/>
        <v>MINOCHE</v>
      </c>
      <c r="D11584">
        <f>11</f>
        <v>11</v>
      </c>
      <c r="E11584" t="str">
        <f>"03 - A - 202 - Jeanne M Bermudez"</f>
        <v>03 - A - 202 - Jeanne M Bermudez</v>
      </c>
      <c r="F11584" t="str">
        <f>"PHYSICS 1 HON"</f>
        <v>PHYSICS 1 HON</v>
      </c>
      <c r="G11584" t="str">
        <f>"21-2141"</f>
        <v>21-2141</v>
      </c>
      <c r="H11584" t="str">
        <f>"A"</f>
        <v>A</v>
      </c>
    </row>
    <row r="11585" spans="1:8" x14ac:dyDescent="0.2">
      <c r="A11585" t="str">
        <f t="shared" si="4186"/>
        <v>0613128621</v>
      </c>
      <c r="B11585" t="str">
        <f t="shared" si="4187"/>
        <v>MONICA</v>
      </c>
      <c r="C11585" t="str">
        <f t="shared" si="4188"/>
        <v>MINOCHE</v>
      </c>
      <c r="D11585">
        <f>11</f>
        <v>11</v>
      </c>
      <c r="E11585" t="str">
        <f>"02 - A - 104 - Dayna M Foster"</f>
        <v>02 - A - 104 - Dayna M Foster</v>
      </c>
      <c r="F11585" t="str">
        <f>"NC STUDY HALL 1"</f>
        <v>NC STUDY HALL 1</v>
      </c>
      <c r="G11585" t="str">
        <f>"21-2109"</f>
        <v>21-2109</v>
      </c>
      <c r="H11585" t="str">
        <f>"A"</f>
        <v>A</v>
      </c>
    </row>
    <row r="11586" spans="1:8" x14ac:dyDescent="0.2">
      <c r="A11586" t="str">
        <f t="shared" si="4186"/>
        <v>0613128621</v>
      </c>
      <c r="B11586" t="str">
        <f t="shared" si="4187"/>
        <v>MONICA</v>
      </c>
      <c r="C11586" t="str">
        <f t="shared" si="4188"/>
        <v>MINOCHE</v>
      </c>
      <c r="D11586">
        <f>11</f>
        <v>11</v>
      </c>
      <c r="E11586" t="str">
        <f>"07 - B - 107 - Semra  Bahadir"</f>
        <v>07 - B - 107 - Semra  Bahadir</v>
      </c>
      <c r="F11586" t="str">
        <f>"MATH COLL ALGEBRA"</f>
        <v>MATH COLL ALGEBRA</v>
      </c>
      <c r="G11586" t="str">
        <f>"21-2107"</f>
        <v>21-2107</v>
      </c>
      <c r="H11586" t="str">
        <f>"B"</f>
        <v>B</v>
      </c>
    </row>
    <row r="11587" spans="1:8" x14ac:dyDescent="0.2">
      <c r="A11587" t="str">
        <f t="shared" si="4186"/>
        <v>0613128621</v>
      </c>
      <c r="B11587" t="str">
        <f t="shared" si="4187"/>
        <v>MONICA</v>
      </c>
      <c r="C11587" t="str">
        <f t="shared" si="4188"/>
        <v>MINOCHE</v>
      </c>
      <c r="D11587">
        <f>11</f>
        <v>11</v>
      </c>
      <c r="E11587" t="str">
        <f>"05 - B - 103 - Brandy N Zdenek"</f>
        <v>05 - B - 103 - Brandy N Zdenek</v>
      </c>
      <c r="F11587" t="str">
        <f>"AICE ENG LANG 2 AL"</f>
        <v>AICE ENG LANG 2 AL</v>
      </c>
      <c r="G11587" t="str">
        <f>"17-1704"</f>
        <v>17-1704</v>
      </c>
      <c r="H11587" t="str">
        <f>"B"</f>
        <v>B</v>
      </c>
    </row>
    <row r="11588" spans="1:8" x14ac:dyDescent="0.2">
      <c r="A11588" t="str">
        <f t="shared" si="4186"/>
        <v>0613128621</v>
      </c>
      <c r="B11588" t="str">
        <f t="shared" si="4187"/>
        <v>MONICA</v>
      </c>
      <c r="C11588" t="str">
        <f t="shared" si="4188"/>
        <v>MINOCHE</v>
      </c>
      <c r="D11588">
        <f>11</f>
        <v>11</v>
      </c>
      <c r="E11588" t="str">
        <f>"01 - A - 201 - Chrystina M Marchionne"</f>
        <v>01 - A - 201 - Chrystina M Marchionne</v>
      </c>
      <c r="F11588" t="str">
        <f>"AICE MEDIASTUDIES AS"</f>
        <v>AICE MEDIASTUDIES AS</v>
      </c>
      <c r="G11588" t="str">
        <f>"05-520"</f>
        <v>05-520</v>
      </c>
      <c r="H11588" t="str">
        <f>"A"</f>
        <v>A</v>
      </c>
    </row>
    <row r="11589" spans="1:8" x14ac:dyDescent="0.2">
      <c r="A11589" t="str">
        <f t="shared" si="4186"/>
        <v>0613128621</v>
      </c>
      <c r="B11589" t="str">
        <f t="shared" si="4187"/>
        <v>MONICA</v>
      </c>
      <c r="C11589" t="str">
        <f t="shared" si="4188"/>
        <v>MINOCHE</v>
      </c>
      <c r="D11589">
        <f>11</f>
        <v>11</v>
      </c>
      <c r="E11589" t="str">
        <f>"08 - B - 201 - Stacey A Blecker"</f>
        <v>08 - B - 201 - Stacey A Blecker</v>
      </c>
      <c r="F11589" t="str">
        <f>"AICE SOCIOLOGY 1 AS"</f>
        <v>AICE SOCIOLOGY 1 AS</v>
      </c>
      <c r="G11589" t="str">
        <f>"09-926"</f>
        <v>09-926</v>
      </c>
      <c r="H11589" t="str">
        <f>"B"</f>
        <v>B</v>
      </c>
    </row>
    <row r="11590" spans="1:8" x14ac:dyDescent="0.2">
      <c r="A11590" t="str">
        <f t="shared" ref="A11590:A11597" si="4189">"0622031018"</f>
        <v>0622031018</v>
      </c>
      <c r="B11590" t="str">
        <f t="shared" ref="B11590:B11597" si="4190">"DANIELA"</f>
        <v>DANIELA</v>
      </c>
      <c r="C11590" t="str">
        <f t="shared" ref="C11590:C11597" si="4191">"MIRANDA"</f>
        <v>MIRANDA</v>
      </c>
      <c r="D11590" t="str">
        <f t="shared" ref="D11590:D11597" si="4192">"09"</f>
        <v>09</v>
      </c>
      <c r="E11590" t="str">
        <f>"04 - A - 105 - Carol S Moore"</f>
        <v>04 - A - 105 - Carol S Moore</v>
      </c>
      <c r="F11590" t="str">
        <f>"PRE-AICE WRLD HST IG"</f>
        <v>PRE-AICE WRLD HST IG</v>
      </c>
      <c r="G11590" t="str">
        <f>"17-1733"</f>
        <v>17-1733</v>
      </c>
      <c r="H11590" t="str">
        <f>"A"</f>
        <v>A</v>
      </c>
    </row>
    <row r="11591" spans="1:8" x14ac:dyDescent="0.2">
      <c r="A11591" t="str">
        <f t="shared" si="4189"/>
        <v>0622031018</v>
      </c>
      <c r="B11591" t="str">
        <f t="shared" si="4190"/>
        <v>DANIELA</v>
      </c>
      <c r="C11591" t="str">
        <f t="shared" si="4191"/>
        <v>MIRANDA</v>
      </c>
      <c r="D11591" t="str">
        <f t="shared" si="4192"/>
        <v>09</v>
      </c>
      <c r="E11591" t="str">
        <f>"06 - B - 202 - Brian M Fitzgerald"</f>
        <v>06 - B - 202 - Brian M Fitzgerald</v>
      </c>
      <c r="F11591" t="str">
        <f>"DRAW 1"</f>
        <v>DRAW 1</v>
      </c>
      <c r="G11591" t="str">
        <f>"09-908"</f>
        <v>09-908</v>
      </c>
      <c r="H11591" t="str">
        <f>"B"</f>
        <v>B</v>
      </c>
    </row>
    <row r="11592" spans="1:8" x14ac:dyDescent="0.2">
      <c r="A11592" t="str">
        <f t="shared" si="4189"/>
        <v>0622031018</v>
      </c>
      <c r="B11592" t="str">
        <f t="shared" si="4190"/>
        <v>DANIELA</v>
      </c>
      <c r="C11592" t="str">
        <f t="shared" si="4191"/>
        <v>MIRANDA</v>
      </c>
      <c r="D11592" t="str">
        <f t="shared" si="4192"/>
        <v>09</v>
      </c>
      <c r="E11592" t="str">
        <f>"03 - S1 - A - 101 - Arthur  Kulawik"</f>
        <v>03 - S1 - A - 101 - Arthur  Kulawik</v>
      </c>
      <c r="F11592" t="str">
        <f>"PERS FIN &amp; MON MGT H"</f>
        <v>PERS FIN &amp; MON MGT H</v>
      </c>
      <c r="G11592" t="str">
        <f>"05-506"</f>
        <v>05-506</v>
      </c>
      <c r="H11592" t="str">
        <f>"A"</f>
        <v>A</v>
      </c>
    </row>
    <row r="11593" spans="1:8" x14ac:dyDescent="0.2">
      <c r="A11593" t="str">
        <f t="shared" si="4189"/>
        <v>0622031018</v>
      </c>
      <c r="B11593" t="str">
        <f t="shared" si="4190"/>
        <v>DANIELA</v>
      </c>
      <c r="C11593" t="str">
        <f t="shared" si="4191"/>
        <v>MIRANDA</v>
      </c>
      <c r="D11593" t="str">
        <f t="shared" si="4192"/>
        <v>09</v>
      </c>
      <c r="E11593" t="str">
        <f>"02 - A - 107 - Cerine S Stewart"</f>
        <v>02 - A - 107 - Cerine S Stewart</v>
      </c>
      <c r="F11593" t="str">
        <f>"NC STUDY HALL 1"</f>
        <v>NC STUDY HALL 1</v>
      </c>
      <c r="G11593" t="str">
        <f>"17-1720"</f>
        <v>17-1720</v>
      </c>
      <c r="H11593" t="str">
        <f>"A"</f>
        <v>A</v>
      </c>
    </row>
    <row r="11594" spans="1:8" x14ac:dyDescent="0.2">
      <c r="A11594" t="str">
        <f t="shared" si="4189"/>
        <v>0622031018</v>
      </c>
      <c r="B11594" t="str">
        <f t="shared" si="4190"/>
        <v>DANIELA</v>
      </c>
      <c r="C11594" t="str">
        <f t="shared" si="4191"/>
        <v>MIRANDA</v>
      </c>
      <c r="D11594" t="str">
        <f t="shared" si="4192"/>
        <v>09</v>
      </c>
      <c r="E11594" t="str">
        <f>"07 - B - 001 - Maried P Ramos"</f>
        <v>07 - B - 001 - Maried P Ramos</v>
      </c>
      <c r="F11594" t="str">
        <f>"GEOMETRY"</f>
        <v>GEOMETRY</v>
      </c>
      <c r="G11594" t="str">
        <f>"21-2159"</f>
        <v>21-2159</v>
      </c>
      <c r="H11594" t="str">
        <f>"B"</f>
        <v>B</v>
      </c>
    </row>
    <row r="11595" spans="1:8" x14ac:dyDescent="0.2">
      <c r="A11595" t="str">
        <f t="shared" si="4189"/>
        <v>0622031018</v>
      </c>
      <c r="B11595" t="str">
        <f t="shared" si="4190"/>
        <v>DANIELA</v>
      </c>
      <c r="C11595" t="str">
        <f t="shared" si="4191"/>
        <v>MIRANDA</v>
      </c>
      <c r="D11595" t="str">
        <f t="shared" si="4192"/>
        <v>09</v>
      </c>
      <c r="E11595" t="str">
        <f>"05 - B - 101 - Brian M Fitzgerald"</f>
        <v>05 - B - 101 - Brian M Fitzgerald</v>
      </c>
      <c r="F11595" t="str">
        <f>"PAINT 1"</f>
        <v>PAINT 1</v>
      </c>
      <c r="G11595" t="str">
        <f>"09-908"</f>
        <v>09-908</v>
      </c>
      <c r="H11595" t="str">
        <f>"B"</f>
        <v>B</v>
      </c>
    </row>
    <row r="11596" spans="1:8" x14ac:dyDescent="0.2">
      <c r="A11596" t="str">
        <f t="shared" si="4189"/>
        <v>0622031018</v>
      </c>
      <c r="B11596" t="str">
        <f t="shared" si="4190"/>
        <v>DANIELA</v>
      </c>
      <c r="C11596" t="str">
        <f t="shared" si="4191"/>
        <v>MIRANDA</v>
      </c>
      <c r="D11596" t="str">
        <f t="shared" si="4192"/>
        <v>09</v>
      </c>
      <c r="E11596" t="str">
        <f>"01 - A - 101 - Josiah I Lacy"</f>
        <v>01 - A - 101 - Josiah I Lacy</v>
      </c>
      <c r="F11596" t="str">
        <f>"PRE-AICE BIO IG"</f>
        <v>PRE-AICE BIO IG</v>
      </c>
      <c r="G11596" t="str">
        <f>"08-801"</f>
        <v>08-801</v>
      </c>
      <c r="H11596" t="str">
        <f>"A"</f>
        <v>A</v>
      </c>
    </row>
    <row r="11597" spans="1:8" x14ac:dyDescent="0.2">
      <c r="A11597" t="str">
        <f t="shared" si="4189"/>
        <v>0622031018</v>
      </c>
      <c r="B11597" t="str">
        <f t="shared" si="4190"/>
        <v>DANIELA</v>
      </c>
      <c r="C11597" t="str">
        <f t="shared" si="4191"/>
        <v>MIRANDA</v>
      </c>
      <c r="D11597" t="str">
        <f t="shared" si="4192"/>
        <v>09</v>
      </c>
      <c r="E11597" t="str">
        <f>"08 - B - 201 - Elizabeth R Walker"</f>
        <v>08 - B - 201 - Elizabeth R Walker</v>
      </c>
      <c r="F11597" t="str">
        <f>"AICE ENG GEN PAPER 1"</f>
        <v>AICE ENG GEN PAPER 1</v>
      </c>
      <c r="G11597" t="str">
        <f>"17-1703"</f>
        <v>17-1703</v>
      </c>
      <c r="H11597" t="str">
        <f>"B"</f>
        <v>B</v>
      </c>
    </row>
    <row r="11598" spans="1:8" x14ac:dyDescent="0.2">
      <c r="A11598" t="str">
        <f t="shared" ref="A11598:A11605" si="4193">"0624079332"</f>
        <v>0624079332</v>
      </c>
      <c r="B11598" t="str">
        <f t="shared" ref="B11598:B11605" si="4194">"ADRIENNE"</f>
        <v>ADRIENNE</v>
      </c>
      <c r="C11598" t="str">
        <f t="shared" ref="C11598:C11629" si="4195">"MITCHELL"</f>
        <v>MITCHELL</v>
      </c>
      <c r="D11598">
        <f>11</f>
        <v>11</v>
      </c>
      <c r="E11598" t="str">
        <f>"04 - A - 101 - Jerry S Jiampetti"</f>
        <v>04 - A - 101 - Jerry S Jiampetti</v>
      </c>
      <c r="F11598" t="str">
        <f>"AICE U.S. HIST 1 AS"</f>
        <v>AICE U.S. HIST 1 AS</v>
      </c>
      <c r="G11598" t="str">
        <f>"17-1751"</f>
        <v>17-1751</v>
      </c>
      <c r="H11598" t="str">
        <f>"A"</f>
        <v>A</v>
      </c>
    </row>
    <row r="11599" spans="1:8" x14ac:dyDescent="0.2">
      <c r="A11599" t="str">
        <f t="shared" si="4193"/>
        <v>0624079332</v>
      </c>
      <c r="B11599" t="str">
        <f t="shared" si="4194"/>
        <v>ADRIENNE</v>
      </c>
      <c r="C11599" t="str">
        <f t="shared" si="4195"/>
        <v>MITCHELL</v>
      </c>
      <c r="D11599">
        <f>11</f>
        <v>11</v>
      </c>
      <c r="E11599" t="str">
        <f>"06 - S1 - B - 102 - Daniel S Katz"</f>
        <v>06 - S1 - B - 102 - Daniel S Katz</v>
      </c>
      <c r="F11599" t="str">
        <f>"COURT PROCED"</f>
        <v>COURT PROCED</v>
      </c>
      <c r="G11599" t="str">
        <f>"21-2156"</f>
        <v>21-2156</v>
      </c>
      <c r="H11599" t="str">
        <f>"B"</f>
        <v>B</v>
      </c>
    </row>
    <row r="11600" spans="1:8" x14ac:dyDescent="0.2">
      <c r="A11600" t="str">
        <f t="shared" si="4193"/>
        <v>0624079332</v>
      </c>
      <c r="B11600" t="str">
        <f t="shared" si="4194"/>
        <v>ADRIENNE</v>
      </c>
      <c r="C11600" t="str">
        <f t="shared" si="4195"/>
        <v>MITCHELL</v>
      </c>
      <c r="D11600">
        <f>11</f>
        <v>11</v>
      </c>
      <c r="E11600" t="str">
        <f>"03 - A - 002 - Brandy N Zdenek"</f>
        <v>03 - A - 002 - Brandy N Zdenek</v>
      </c>
      <c r="F11600" t="str">
        <f>"AICE ENG LANG AS"</f>
        <v>AICE ENG LANG AS</v>
      </c>
      <c r="G11600" t="str">
        <f>"17-1704"</f>
        <v>17-1704</v>
      </c>
      <c r="H11600" t="str">
        <f>"A"</f>
        <v>A</v>
      </c>
    </row>
    <row r="11601" spans="1:8" x14ac:dyDescent="0.2">
      <c r="A11601" t="str">
        <f t="shared" si="4193"/>
        <v>0624079332</v>
      </c>
      <c r="B11601" t="str">
        <f t="shared" si="4194"/>
        <v>ADRIENNE</v>
      </c>
      <c r="C11601" t="str">
        <f t="shared" si="4195"/>
        <v>MITCHELL</v>
      </c>
      <c r="D11601">
        <f>11</f>
        <v>11</v>
      </c>
      <c r="E11601" t="str">
        <f>"02 - A - 112 - Brandy N Zdenek"</f>
        <v>02 - A - 112 - Brandy N Zdenek</v>
      </c>
      <c r="F11601" t="str">
        <f>"NC STUDY HALL 1"</f>
        <v>NC STUDY HALL 1</v>
      </c>
      <c r="G11601" t="str">
        <f>"17-1704"</f>
        <v>17-1704</v>
      </c>
      <c r="H11601" t="str">
        <f>"A"</f>
        <v>A</v>
      </c>
    </row>
    <row r="11602" spans="1:8" x14ac:dyDescent="0.2">
      <c r="A11602" t="str">
        <f t="shared" si="4193"/>
        <v>0624079332</v>
      </c>
      <c r="B11602" t="str">
        <f t="shared" si="4194"/>
        <v>ADRIENNE</v>
      </c>
      <c r="C11602" t="str">
        <f t="shared" si="4195"/>
        <v>MITCHELL</v>
      </c>
      <c r="D11602">
        <f>11</f>
        <v>11</v>
      </c>
      <c r="E11602" t="str">
        <f>"07 - B - 103 - Lisa J London"</f>
        <v>07 - B - 103 - Lisa J London</v>
      </c>
      <c r="F11602" t="str">
        <f>"AP CAPSTONE SEMINAR"</f>
        <v>AP CAPSTONE SEMINAR</v>
      </c>
      <c r="G11602" t="str">
        <f>"17-1714"</f>
        <v>17-1714</v>
      </c>
      <c r="H11602" t="str">
        <f>"B"</f>
        <v>B</v>
      </c>
    </row>
    <row r="11603" spans="1:8" x14ac:dyDescent="0.2">
      <c r="A11603" t="str">
        <f t="shared" si="4193"/>
        <v>0624079332</v>
      </c>
      <c r="B11603" t="str">
        <f t="shared" si="4194"/>
        <v>ADRIENNE</v>
      </c>
      <c r="C11603" t="str">
        <f t="shared" si="4195"/>
        <v>MITCHELL</v>
      </c>
      <c r="D11603">
        <f>11</f>
        <v>11</v>
      </c>
      <c r="E11603" t="str">
        <f>"05 - B - 201 - Lisa J London"</f>
        <v>05 - B - 201 - Lisa J London</v>
      </c>
      <c r="F11603" t="str">
        <f>"COMPRE LAW HON"</f>
        <v>COMPRE LAW HON</v>
      </c>
      <c r="G11603" t="str">
        <f>"17-1714"</f>
        <v>17-1714</v>
      </c>
      <c r="H11603" t="str">
        <f>"B"</f>
        <v>B</v>
      </c>
    </row>
    <row r="11604" spans="1:8" x14ac:dyDescent="0.2">
      <c r="A11604" t="str">
        <f t="shared" si="4193"/>
        <v>0624079332</v>
      </c>
      <c r="B11604" t="str">
        <f t="shared" si="4194"/>
        <v>ADRIENNE</v>
      </c>
      <c r="C11604" t="str">
        <f t="shared" si="4195"/>
        <v>MITCHELL</v>
      </c>
      <c r="D11604">
        <f>11</f>
        <v>11</v>
      </c>
      <c r="E11604" t="str">
        <f>"01 - A - 101 - Marielle A Witting"</f>
        <v>01 - A - 101 - Marielle A Witting</v>
      </c>
      <c r="F11604" t="str">
        <f>"AP BIO"</f>
        <v>AP BIO</v>
      </c>
      <c r="G11604" t="str">
        <f>"08-805"</f>
        <v>08-805</v>
      </c>
      <c r="H11604" t="str">
        <f>"A"</f>
        <v>A</v>
      </c>
    </row>
    <row r="11605" spans="1:8" x14ac:dyDescent="0.2">
      <c r="A11605" t="str">
        <f t="shared" si="4193"/>
        <v>0624079332</v>
      </c>
      <c r="B11605" t="str">
        <f t="shared" si="4194"/>
        <v>ADRIENNE</v>
      </c>
      <c r="C11605" t="str">
        <f t="shared" si="4195"/>
        <v>MITCHELL</v>
      </c>
      <c r="D11605">
        <f>11</f>
        <v>11</v>
      </c>
      <c r="E11605" t="str">
        <f>"08 - B - 105 - Semra  Bahadir"</f>
        <v>08 - B - 105 - Semra  Bahadir</v>
      </c>
      <c r="F11605" t="str">
        <f>"MATH COLL ALGEBRA"</f>
        <v>MATH COLL ALGEBRA</v>
      </c>
      <c r="G11605" t="str">
        <f>"21-2107"</f>
        <v>21-2107</v>
      </c>
      <c r="H11605" t="str">
        <f>"B"</f>
        <v>B</v>
      </c>
    </row>
    <row r="11606" spans="1:8" x14ac:dyDescent="0.2">
      <c r="A11606" t="str">
        <f t="shared" ref="A11606:A11613" si="4196">"0622027487"</f>
        <v>0622027487</v>
      </c>
      <c r="B11606" t="str">
        <f t="shared" ref="B11606:B11613" si="4197">"ASIAH"</f>
        <v>ASIAH</v>
      </c>
      <c r="C11606" t="str">
        <f t="shared" si="4195"/>
        <v>MITCHELL</v>
      </c>
      <c r="D11606" t="str">
        <f t="shared" ref="D11606:D11613" si="4198">"09"</f>
        <v>09</v>
      </c>
      <c r="E11606" t="str">
        <f>"04 - A - 101 - Chrystina M Marchionne"</f>
        <v>04 - A - 101 - Chrystina M Marchionne</v>
      </c>
      <c r="F11606" t="str">
        <f>"THEA CIN &amp; FILM LH"</f>
        <v>THEA CIN &amp; FILM LH</v>
      </c>
      <c r="G11606" t="str">
        <f>"05-520"</f>
        <v>05-520</v>
      </c>
      <c r="H11606" t="str">
        <f>"A"</f>
        <v>A</v>
      </c>
    </row>
    <row r="11607" spans="1:8" x14ac:dyDescent="0.2">
      <c r="A11607" t="str">
        <f t="shared" si="4196"/>
        <v>0622027487</v>
      </c>
      <c r="B11607" t="str">
        <f t="shared" si="4197"/>
        <v>ASIAH</v>
      </c>
      <c r="C11607" t="str">
        <f t="shared" si="4195"/>
        <v>MITCHELL</v>
      </c>
      <c r="D11607" t="str">
        <f t="shared" si="4198"/>
        <v>09</v>
      </c>
      <c r="E11607" t="str">
        <f>"06 - B - 104 - Byron G Montenegro"</f>
        <v>06 - B - 104 - Byron G Montenegro</v>
      </c>
      <c r="F11607" t="str">
        <f>"AICE MARINE SCI 1 AS"</f>
        <v>AICE MARINE SCI 1 AS</v>
      </c>
      <c r="G11607" t="str">
        <f>"21-2144"</f>
        <v>21-2144</v>
      </c>
      <c r="H11607" t="str">
        <f>"B"</f>
        <v>B</v>
      </c>
    </row>
    <row r="11608" spans="1:8" x14ac:dyDescent="0.2">
      <c r="A11608" t="str">
        <f t="shared" si="4196"/>
        <v>0622027487</v>
      </c>
      <c r="B11608" t="str">
        <f t="shared" si="4197"/>
        <v>ASIAH</v>
      </c>
      <c r="C11608" t="str">
        <f t="shared" si="4195"/>
        <v>MITCHELL</v>
      </c>
      <c r="D11608" t="str">
        <f t="shared" si="4198"/>
        <v>09</v>
      </c>
      <c r="E11608" t="str">
        <f>"03 - S1 - A - 101 - Daniel S Katz"</f>
        <v>03 - S1 - A - 101 - Daniel S Katz</v>
      </c>
      <c r="F11608" t="str">
        <f>"COURT PROCED"</f>
        <v>COURT PROCED</v>
      </c>
      <c r="G11608" t="str">
        <f>"21-2156"</f>
        <v>21-2156</v>
      </c>
      <c r="H11608" t="str">
        <f>"A"</f>
        <v>A</v>
      </c>
    </row>
    <row r="11609" spans="1:8" x14ac:dyDescent="0.2">
      <c r="A11609" t="str">
        <f t="shared" si="4196"/>
        <v>0622027487</v>
      </c>
      <c r="B11609" t="str">
        <f t="shared" si="4197"/>
        <v>ASIAH</v>
      </c>
      <c r="C11609" t="str">
        <f t="shared" si="4195"/>
        <v>MITCHELL</v>
      </c>
      <c r="D11609" t="str">
        <f t="shared" si="4198"/>
        <v>09</v>
      </c>
      <c r="E11609" t="str">
        <f>"02 - A - 105 - Elizabeth R Walker"</f>
        <v>02 - A - 105 - Elizabeth R Walker</v>
      </c>
      <c r="F11609" t="str">
        <f>"NC STUDY HALL 1"</f>
        <v>NC STUDY HALL 1</v>
      </c>
      <c r="G11609" t="str">
        <f>"17-1703"</f>
        <v>17-1703</v>
      </c>
      <c r="H11609" t="str">
        <f>"A"</f>
        <v>A</v>
      </c>
    </row>
    <row r="11610" spans="1:8" x14ac:dyDescent="0.2">
      <c r="A11610" t="str">
        <f t="shared" si="4196"/>
        <v>0622027487</v>
      </c>
      <c r="B11610" t="str">
        <f t="shared" si="4197"/>
        <v>ASIAH</v>
      </c>
      <c r="C11610" t="str">
        <f t="shared" si="4195"/>
        <v>MITCHELL</v>
      </c>
      <c r="D11610" t="str">
        <f t="shared" si="4198"/>
        <v>09</v>
      </c>
      <c r="E11610" t="str">
        <f>"07 - B - 002 - Rachel M Montrose"</f>
        <v>07 - B - 002 - Rachel M Montrose</v>
      </c>
      <c r="F11610" t="str">
        <f>"JOURN 1 (NP) LH"</f>
        <v>JOURN 1 (NP) LH</v>
      </c>
      <c r="G11610" t="str">
        <f>"05-521"</f>
        <v>05-521</v>
      </c>
      <c r="H11610" t="str">
        <f>"B"</f>
        <v>B</v>
      </c>
    </row>
    <row r="11611" spans="1:8" x14ac:dyDescent="0.2">
      <c r="A11611" t="str">
        <f t="shared" si="4196"/>
        <v>0622027487</v>
      </c>
      <c r="B11611" t="str">
        <f t="shared" si="4197"/>
        <v>ASIAH</v>
      </c>
      <c r="C11611" t="str">
        <f t="shared" si="4195"/>
        <v>MITCHELL</v>
      </c>
      <c r="D11611" t="str">
        <f t="shared" si="4198"/>
        <v>09</v>
      </c>
      <c r="E11611" t="str">
        <f>"05 - B - 002 - Cheryl Anne  Berman-Schechter"</f>
        <v>05 - B - 002 - Cheryl Anne  Berman-Schechter</v>
      </c>
      <c r="F11611" t="str">
        <f>"AICE ENG GEN PAPER 1"</f>
        <v>AICE ENG GEN PAPER 1</v>
      </c>
      <c r="G11611" t="str">
        <f>"17-1722"</f>
        <v>17-1722</v>
      </c>
      <c r="H11611" t="str">
        <f>"B"</f>
        <v>B</v>
      </c>
    </row>
    <row r="11612" spans="1:8" x14ac:dyDescent="0.2">
      <c r="A11612" t="str">
        <f t="shared" si="4196"/>
        <v>0622027487</v>
      </c>
      <c r="B11612" t="str">
        <f t="shared" si="4197"/>
        <v>ASIAH</v>
      </c>
      <c r="C11612" t="str">
        <f t="shared" si="4195"/>
        <v>MITCHELL</v>
      </c>
      <c r="D11612" t="str">
        <f t="shared" si="4198"/>
        <v>09</v>
      </c>
      <c r="E11612" t="str">
        <f>"01 - A - 006 - Emmily A Sarmiento"</f>
        <v>01 - A - 006 - Emmily A Sarmiento</v>
      </c>
      <c r="F11612" t="str">
        <f>"AICE GLBL PERSP 1 AS"</f>
        <v>AICE GLBL PERSP 1 AS</v>
      </c>
      <c r="G11612" t="str">
        <f>"17-1743"</f>
        <v>17-1743</v>
      </c>
      <c r="H11612" t="str">
        <f>"A"</f>
        <v>A</v>
      </c>
    </row>
    <row r="11613" spans="1:8" x14ac:dyDescent="0.2">
      <c r="A11613" t="str">
        <f t="shared" si="4196"/>
        <v>0622027487</v>
      </c>
      <c r="B11613" t="str">
        <f t="shared" si="4197"/>
        <v>ASIAH</v>
      </c>
      <c r="C11613" t="str">
        <f t="shared" si="4195"/>
        <v>MITCHELL</v>
      </c>
      <c r="D11613" t="str">
        <f t="shared" si="4198"/>
        <v>09</v>
      </c>
      <c r="E11613" t="str">
        <f>"08 - B - 105 - Ferrie J Arostique"</f>
        <v>08 - B - 105 - Ferrie J Arostique</v>
      </c>
      <c r="F11613" t="str">
        <f>"PRE-AICE MATH 2 IG"</f>
        <v>PRE-AICE MATH 2 IG</v>
      </c>
      <c r="G11613" t="str">
        <f>"21-2139"</f>
        <v>21-2139</v>
      </c>
      <c r="H11613" t="str">
        <f>"B"</f>
        <v>B</v>
      </c>
    </row>
    <row r="11614" spans="1:8" x14ac:dyDescent="0.2">
      <c r="A11614" t="str">
        <f t="shared" ref="A11614:A11622" si="4199">"0613059517"</f>
        <v>0613059517</v>
      </c>
      <c r="B11614" t="str">
        <f t="shared" ref="B11614:B11622" si="4200">"DERRICK"</f>
        <v>DERRICK</v>
      </c>
      <c r="C11614" t="str">
        <f t="shared" si="4195"/>
        <v>MITCHELL</v>
      </c>
      <c r="D11614">
        <f>12</f>
        <v>12</v>
      </c>
      <c r="E11614" t="str">
        <f>"04 - A - 102 - Samantha L Martinez"</f>
        <v>04 - A - 102 - Samantha L Martinez</v>
      </c>
      <c r="F11614" t="str">
        <f>"KEYBD 1"</f>
        <v>KEYBD 1</v>
      </c>
      <c r="G11614" t="str">
        <f>"05-505"</f>
        <v>05-505</v>
      </c>
      <c r="H11614" t="str">
        <f>"A"</f>
        <v>A</v>
      </c>
    </row>
    <row r="11615" spans="1:8" x14ac:dyDescent="0.2">
      <c r="A11615" t="str">
        <f t="shared" si="4199"/>
        <v>0613059517</v>
      </c>
      <c r="B11615" t="str">
        <f t="shared" si="4200"/>
        <v>DERRICK</v>
      </c>
      <c r="C11615" t="str">
        <f t="shared" si="4195"/>
        <v>MITCHELL</v>
      </c>
      <c r="D11615">
        <f>12</f>
        <v>12</v>
      </c>
      <c r="E11615" t="str">
        <f>"06 - B - 113 - Marielle A Witting"</f>
        <v>06 - B - 113 - Marielle A Witting</v>
      </c>
      <c r="F11615" t="str">
        <f>"NC STUDY HALL 1"</f>
        <v>NC STUDY HALL 1</v>
      </c>
      <c r="G11615" t="str">
        <f>"08-805"</f>
        <v>08-805</v>
      </c>
      <c r="H11615" t="str">
        <f>"B"</f>
        <v>B</v>
      </c>
    </row>
    <row r="11616" spans="1:8" x14ac:dyDescent="0.2">
      <c r="A11616" t="str">
        <f t="shared" si="4199"/>
        <v>0613059517</v>
      </c>
      <c r="B11616" t="str">
        <f t="shared" si="4200"/>
        <v>DERRICK</v>
      </c>
      <c r="C11616" t="str">
        <f t="shared" si="4195"/>
        <v>MITCHELL</v>
      </c>
      <c r="D11616">
        <f>12</f>
        <v>12</v>
      </c>
      <c r="E11616" t="str">
        <f>"06 - B - 116 - Karen A Toomer"</f>
        <v>06 - B - 116 - Karen A Toomer</v>
      </c>
      <c r="F11616" t="str">
        <f>"LANG THERAPY"</f>
        <v>LANG THERAPY</v>
      </c>
      <c r="G11616" t="str">
        <f>"21-2110"</f>
        <v>21-2110</v>
      </c>
      <c r="H11616" t="str">
        <f>"B"</f>
        <v>B</v>
      </c>
    </row>
    <row r="11617" spans="1:8" x14ac:dyDescent="0.2">
      <c r="A11617" t="str">
        <f t="shared" si="4199"/>
        <v>0613059517</v>
      </c>
      <c r="B11617" t="str">
        <f t="shared" si="4200"/>
        <v>DERRICK</v>
      </c>
      <c r="C11617" t="str">
        <f t="shared" si="4195"/>
        <v>MITCHELL</v>
      </c>
      <c r="D11617">
        <f>12</f>
        <v>12</v>
      </c>
      <c r="E11617" t="str">
        <f>"03 - A - 102 - Cliffon  Saurel"</f>
        <v>03 - A - 102 - Cliffon  Saurel</v>
      </c>
      <c r="F11617" t="str">
        <f>"PHYSICAL SCI"</f>
        <v>PHYSICAL SCI</v>
      </c>
      <c r="G11617" t="str">
        <f>"05-522"</f>
        <v>05-522</v>
      </c>
      <c r="H11617" t="str">
        <f>"A"</f>
        <v>A</v>
      </c>
    </row>
    <row r="11618" spans="1:8" x14ac:dyDescent="0.2">
      <c r="A11618" t="str">
        <f t="shared" si="4199"/>
        <v>0613059517</v>
      </c>
      <c r="B11618" t="str">
        <f t="shared" si="4200"/>
        <v>DERRICK</v>
      </c>
      <c r="C11618" t="str">
        <f t="shared" si="4195"/>
        <v>MITCHELL</v>
      </c>
      <c r="D11618">
        <f>12</f>
        <v>12</v>
      </c>
      <c r="E11618" t="str">
        <f>"02 - A - 104 - Joe  Kilpatrick Jr"</f>
        <v>02 - A - 104 - Joe  Kilpatrick Jr</v>
      </c>
      <c r="F11618" t="str">
        <f>"PRE-AICE SPAN 2 IG"</f>
        <v>PRE-AICE SPAN 2 IG</v>
      </c>
      <c r="G11618" t="str">
        <f>"09-912"</f>
        <v>09-912</v>
      </c>
      <c r="H11618" t="str">
        <f>"A"</f>
        <v>A</v>
      </c>
    </row>
    <row r="11619" spans="1:8" x14ac:dyDescent="0.2">
      <c r="A11619" t="str">
        <f t="shared" si="4199"/>
        <v>0613059517</v>
      </c>
      <c r="B11619" t="str">
        <f t="shared" si="4200"/>
        <v>DERRICK</v>
      </c>
      <c r="C11619" t="str">
        <f t="shared" si="4195"/>
        <v>MITCHELL</v>
      </c>
      <c r="D11619">
        <f>12</f>
        <v>12</v>
      </c>
      <c r="E11619" t="str">
        <f>"07 - B - 104 - Robyn L Trainer"</f>
        <v>07 - B - 104 - Robyn L Trainer</v>
      </c>
      <c r="F11619" t="str">
        <f>"ENG 4"</f>
        <v>ENG 4</v>
      </c>
      <c r="G11619" t="str">
        <f>"17-1734"</f>
        <v>17-1734</v>
      </c>
      <c r="H11619" t="str">
        <f>"B"</f>
        <v>B</v>
      </c>
    </row>
    <row r="11620" spans="1:8" x14ac:dyDescent="0.2">
      <c r="A11620" t="str">
        <f t="shared" si="4199"/>
        <v>0613059517</v>
      </c>
      <c r="B11620" t="str">
        <f t="shared" si="4200"/>
        <v>DERRICK</v>
      </c>
      <c r="C11620" t="str">
        <f t="shared" si="4195"/>
        <v>MITCHELL</v>
      </c>
      <c r="D11620">
        <f>12</f>
        <v>12</v>
      </c>
      <c r="E11620" t="str">
        <f>"05 - S1 - B - 102 - Robert O Burger"</f>
        <v>05 - S1 - B - 102 - Robert O Burger</v>
      </c>
      <c r="F11620" t="str">
        <f>"US GOVT"</f>
        <v>US GOVT</v>
      </c>
      <c r="G11620" t="str">
        <f>"17-1755"</f>
        <v>17-1755</v>
      </c>
      <c r="H11620" t="str">
        <f>"B"</f>
        <v>B</v>
      </c>
    </row>
    <row r="11621" spans="1:8" x14ac:dyDescent="0.2">
      <c r="A11621" t="str">
        <f t="shared" si="4199"/>
        <v>0613059517</v>
      </c>
      <c r="B11621" t="str">
        <f t="shared" si="4200"/>
        <v>DERRICK</v>
      </c>
      <c r="C11621" t="str">
        <f t="shared" si="4195"/>
        <v>MITCHELL</v>
      </c>
      <c r="D11621">
        <f>12</f>
        <v>12</v>
      </c>
      <c r="E11621" t="str">
        <f>"01 - A - 101 - James H Mccann"</f>
        <v>01 - A - 101 - James H Mccann</v>
      </c>
      <c r="F11621" t="str">
        <f>"ALGEBRA 2"</f>
        <v>ALGEBRA 2</v>
      </c>
      <c r="G11621" t="str">
        <f>"17-1716"</f>
        <v>17-1716</v>
      </c>
      <c r="H11621" t="str">
        <f>"A"</f>
        <v>A</v>
      </c>
    </row>
    <row r="11622" spans="1:8" x14ac:dyDescent="0.2">
      <c r="A11622" t="str">
        <f t="shared" si="4199"/>
        <v>0613059517</v>
      </c>
      <c r="B11622" t="str">
        <f t="shared" si="4200"/>
        <v>DERRICK</v>
      </c>
      <c r="C11622" t="str">
        <f t="shared" si="4195"/>
        <v>MITCHELL</v>
      </c>
      <c r="D11622">
        <f>12</f>
        <v>12</v>
      </c>
      <c r="E11622" t="str">
        <f>"08 - B - 101 - Alejandro  Navarro"</f>
        <v>08 - B - 101 - Alejandro  Navarro</v>
      </c>
      <c r="F11622" t="str">
        <f>"GUITAR 1"</f>
        <v>GUITAR 1</v>
      </c>
      <c r="G11622" t="str">
        <f>"05-504"</f>
        <v>05-504</v>
      </c>
      <c r="H11622" t="str">
        <f>"B"</f>
        <v>B</v>
      </c>
    </row>
    <row r="11623" spans="1:8" x14ac:dyDescent="0.2">
      <c r="A11623" t="str">
        <f t="shared" ref="A11623:A11630" si="4201">"0613100079"</f>
        <v>0613100079</v>
      </c>
      <c r="B11623" t="str">
        <f t="shared" ref="B11623:B11630" si="4202">"KAYLA"</f>
        <v>KAYLA</v>
      </c>
      <c r="C11623" t="str">
        <f t="shared" si="4195"/>
        <v>MITCHELL</v>
      </c>
      <c r="D11623">
        <f>12</f>
        <v>12</v>
      </c>
      <c r="E11623" t="str">
        <f>"04 - A - 101 - Thomas G Handwerg"</f>
        <v>04 - A - 101 - Thomas G Handwerg</v>
      </c>
      <c r="F11623" t="str">
        <f>"MATH COLL ALGEBRA"</f>
        <v>MATH COLL ALGEBRA</v>
      </c>
      <c r="G11623" t="str">
        <f>"21-2146"</f>
        <v>21-2146</v>
      </c>
      <c r="H11623" t="str">
        <f>"A"</f>
        <v>A</v>
      </c>
    </row>
    <row r="11624" spans="1:8" x14ac:dyDescent="0.2">
      <c r="A11624" t="str">
        <f t="shared" si="4201"/>
        <v>0613100079</v>
      </c>
      <c r="B11624" t="str">
        <f t="shared" si="4202"/>
        <v>KAYLA</v>
      </c>
      <c r="C11624" t="str">
        <f t="shared" si="4195"/>
        <v>MITCHELL</v>
      </c>
      <c r="D11624">
        <f>12</f>
        <v>12</v>
      </c>
      <c r="E11624" t="str">
        <f>"06 - B - 104 - Lissa C Frederique"</f>
        <v>06 - B - 104 - Lissa C Frederique</v>
      </c>
      <c r="F11624" t="str">
        <f>"NC STUDY HALL 1"</f>
        <v>NC STUDY HALL 1</v>
      </c>
      <c r="G11624" t="str">
        <f>"17-1754"</f>
        <v>17-1754</v>
      </c>
      <c r="H11624" t="str">
        <f>"B"</f>
        <v>B</v>
      </c>
    </row>
    <row r="11625" spans="1:8" x14ac:dyDescent="0.2">
      <c r="A11625" t="str">
        <f t="shared" si="4201"/>
        <v>0613100079</v>
      </c>
      <c r="B11625" t="str">
        <f t="shared" si="4202"/>
        <v>KAYLA</v>
      </c>
      <c r="C11625" t="str">
        <f t="shared" si="4195"/>
        <v>MITCHELL</v>
      </c>
      <c r="D11625">
        <f>12</f>
        <v>12</v>
      </c>
      <c r="E11625" t="str">
        <f>"03 - A - 202 - Jeanne M Bermudez"</f>
        <v>03 - A - 202 - Jeanne M Bermudez</v>
      </c>
      <c r="F11625" t="str">
        <f>"PHYSICS 1 HON"</f>
        <v>PHYSICS 1 HON</v>
      </c>
      <c r="G11625" t="str">
        <f>"21-2141"</f>
        <v>21-2141</v>
      </c>
      <c r="H11625" t="str">
        <f>"A"</f>
        <v>A</v>
      </c>
    </row>
    <row r="11626" spans="1:8" x14ac:dyDescent="0.2">
      <c r="A11626" t="str">
        <f t="shared" si="4201"/>
        <v>0613100079</v>
      </c>
      <c r="B11626" t="str">
        <f t="shared" si="4202"/>
        <v>KAYLA</v>
      </c>
      <c r="C11626" t="str">
        <f t="shared" si="4195"/>
        <v>MITCHELL</v>
      </c>
      <c r="D11626">
        <f>12</f>
        <v>12</v>
      </c>
      <c r="E11626" t="str">
        <f>"02 - S1 - A - 103 - Barbara L Segal"</f>
        <v>02 - S1 - A - 103 - Barbara L Segal</v>
      </c>
      <c r="F11626" t="str">
        <f>"US GOVT HON"</f>
        <v>US GOVT HON</v>
      </c>
      <c r="G11626" t="str">
        <f>"17-1742"</f>
        <v>17-1742</v>
      </c>
      <c r="H11626" t="str">
        <f>"A"</f>
        <v>A</v>
      </c>
    </row>
    <row r="11627" spans="1:8" x14ac:dyDescent="0.2">
      <c r="A11627" t="str">
        <f t="shared" si="4201"/>
        <v>0613100079</v>
      </c>
      <c r="B11627" t="str">
        <f t="shared" si="4202"/>
        <v>KAYLA</v>
      </c>
      <c r="C11627" t="str">
        <f t="shared" si="4195"/>
        <v>MITCHELL</v>
      </c>
      <c r="D11627">
        <f>12</f>
        <v>12</v>
      </c>
      <c r="E11627" t="str">
        <f>"07 - B - 101 - Bruce A Evans"</f>
        <v>07 - B - 101 - Bruce A Evans</v>
      </c>
      <c r="F11627" t="str">
        <f>"FIREFIGHTING 1 LH"</f>
        <v>FIREFIGHTING 1 LH</v>
      </c>
      <c r="G11627" t="str">
        <f>"21-2142"</f>
        <v>21-2142</v>
      </c>
      <c r="H11627" t="str">
        <f>"B"</f>
        <v>B</v>
      </c>
    </row>
    <row r="11628" spans="1:8" x14ac:dyDescent="0.2">
      <c r="A11628" t="str">
        <f t="shared" si="4201"/>
        <v>0613100079</v>
      </c>
      <c r="B11628" t="str">
        <f t="shared" si="4202"/>
        <v>KAYLA</v>
      </c>
      <c r="C11628" t="str">
        <f t="shared" si="4195"/>
        <v>MITCHELL</v>
      </c>
      <c r="D11628">
        <f>12</f>
        <v>12</v>
      </c>
      <c r="E11628" t="str">
        <f>"05 - B - 104 - Jeffrey S Gallagher"</f>
        <v>05 - B - 104 - Jeffrey S Gallagher</v>
      </c>
      <c r="F11628" t="str">
        <f>"ENG HON 4"</f>
        <v>ENG HON 4</v>
      </c>
      <c r="G11628" t="str">
        <f>"17-1724"</f>
        <v>17-1724</v>
      </c>
      <c r="H11628" t="str">
        <f>"B"</f>
        <v>B</v>
      </c>
    </row>
    <row r="11629" spans="1:8" x14ac:dyDescent="0.2">
      <c r="A11629" t="str">
        <f t="shared" si="4201"/>
        <v>0613100079</v>
      </c>
      <c r="B11629" t="str">
        <f t="shared" si="4202"/>
        <v>KAYLA</v>
      </c>
      <c r="C11629" t="str">
        <f t="shared" si="4195"/>
        <v>MITCHELL</v>
      </c>
      <c r="D11629">
        <f>12</f>
        <v>12</v>
      </c>
      <c r="E11629" t="str">
        <f>"01 - A - 101 - Norayda D Suarez"</f>
        <v>01 - A - 101 - Norayda D Suarez</v>
      </c>
      <c r="F11629" t="str">
        <f>"RESEARCH 1 LH"</f>
        <v>RESEARCH 1 LH</v>
      </c>
      <c r="G11629">
        <f>2041</f>
        <v>2041</v>
      </c>
      <c r="H11629" t="str">
        <f>"A"</f>
        <v>A</v>
      </c>
    </row>
    <row r="11630" spans="1:8" x14ac:dyDescent="0.2">
      <c r="A11630" t="str">
        <f t="shared" si="4201"/>
        <v>0613100079</v>
      </c>
      <c r="B11630" t="str">
        <f t="shared" si="4202"/>
        <v>KAYLA</v>
      </c>
      <c r="C11630" t="str">
        <f t="shared" ref="C11630:C11646" si="4203">"MITCHELL"</f>
        <v>MITCHELL</v>
      </c>
      <c r="D11630">
        <f>12</f>
        <v>12</v>
      </c>
      <c r="E11630" t="str">
        <f>"08 - B - 101 - Alejandro  Navarro"</f>
        <v>08 - B - 101 - Alejandro  Navarro</v>
      </c>
      <c r="F11630" t="str">
        <f>"GUITAR 1"</f>
        <v>GUITAR 1</v>
      </c>
      <c r="G11630" t="str">
        <f>"05-504"</f>
        <v>05-504</v>
      </c>
      <c r="H11630" t="str">
        <f>"B"</f>
        <v>B</v>
      </c>
    </row>
    <row r="11631" spans="1:8" x14ac:dyDescent="0.2">
      <c r="A11631" t="str">
        <f t="shared" ref="A11631:A11638" si="4204">"0613125437"</f>
        <v>0613125437</v>
      </c>
      <c r="B11631" t="str">
        <f t="shared" ref="B11631:B11638" si="4205">"LANDEN"</f>
        <v>LANDEN</v>
      </c>
      <c r="C11631" t="str">
        <f t="shared" si="4203"/>
        <v>MITCHELL</v>
      </c>
      <c r="D11631">
        <f>12</f>
        <v>12</v>
      </c>
      <c r="E11631" t="str">
        <f>"04 - A - 101 - Thomas G Handwerg"</f>
        <v>04 - A - 101 - Thomas G Handwerg</v>
      </c>
      <c r="F11631" t="str">
        <f>"MATH COLL ALGEBRA"</f>
        <v>MATH COLL ALGEBRA</v>
      </c>
      <c r="G11631" t="str">
        <f>"21-2146"</f>
        <v>21-2146</v>
      </c>
      <c r="H11631" t="str">
        <f>"A"</f>
        <v>A</v>
      </c>
    </row>
    <row r="11632" spans="1:8" x14ac:dyDescent="0.2">
      <c r="A11632" t="str">
        <f t="shared" si="4204"/>
        <v>0613125437</v>
      </c>
      <c r="B11632" t="str">
        <f t="shared" si="4205"/>
        <v>LANDEN</v>
      </c>
      <c r="C11632" t="str">
        <f t="shared" si="4203"/>
        <v>MITCHELL</v>
      </c>
      <c r="D11632">
        <f>12</f>
        <v>12</v>
      </c>
      <c r="E11632" t="str">
        <f>"06 - B - 109 - Carol S Moore"</f>
        <v>06 - B - 109 - Carol S Moore</v>
      </c>
      <c r="F11632" t="str">
        <f>"NC STUDY HALL 1"</f>
        <v>NC STUDY HALL 1</v>
      </c>
      <c r="G11632" t="str">
        <f>"17-1733"</f>
        <v>17-1733</v>
      </c>
      <c r="H11632" t="str">
        <f>"B"</f>
        <v>B</v>
      </c>
    </row>
    <row r="11633" spans="1:8" x14ac:dyDescent="0.2">
      <c r="A11633" t="str">
        <f t="shared" si="4204"/>
        <v>0613125437</v>
      </c>
      <c r="B11633" t="str">
        <f t="shared" si="4205"/>
        <v>LANDEN</v>
      </c>
      <c r="C11633" t="str">
        <f t="shared" si="4203"/>
        <v>MITCHELL</v>
      </c>
      <c r="D11633">
        <f>12</f>
        <v>12</v>
      </c>
      <c r="E11633" t="str">
        <f>"03 - S1 - A - 103 - Richard E Dunbar Iii"</f>
        <v>03 - S1 - A - 103 - Richard E Dunbar Iii</v>
      </c>
      <c r="F11633" t="str">
        <f>"WEIGHT TRAIN 1"</f>
        <v>WEIGHT TRAIN 1</v>
      </c>
      <c r="G11633" t="str">
        <f>"05-501"</f>
        <v>05-501</v>
      </c>
      <c r="H11633" t="str">
        <f>"A"</f>
        <v>A</v>
      </c>
    </row>
    <row r="11634" spans="1:8" x14ac:dyDescent="0.2">
      <c r="A11634" t="str">
        <f t="shared" si="4204"/>
        <v>0613125437</v>
      </c>
      <c r="B11634" t="str">
        <f t="shared" si="4205"/>
        <v>LANDEN</v>
      </c>
      <c r="C11634" t="str">
        <f t="shared" si="4203"/>
        <v>MITCHELL</v>
      </c>
      <c r="D11634">
        <f>12</f>
        <v>12</v>
      </c>
      <c r="E11634" t="str">
        <f>"02 - S1 - A - 104 - Robert O Burger"</f>
        <v>02 - S1 - A - 104 - Robert O Burger</v>
      </c>
      <c r="F11634" t="str">
        <f>"US GOVT"</f>
        <v>US GOVT</v>
      </c>
      <c r="G11634" t="str">
        <f>"17-1755"</f>
        <v>17-1755</v>
      </c>
      <c r="H11634" t="str">
        <f>"A"</f>
        <v>A</v>
      </c>
    </row>
    <row r="11635" spans="1:8" x14ac:dyDescent="0.2">
      <c r="A11635" t="str">
        <f t="shared" si="4204"/>
        <v>0613125437</v>
      </c>
      <c r="B11635" t="str">
        <f t="shared" si="4205"/>
        <v>LANDEN</v>
      </c>
      <c r="C11635" t="str">
        <f t="shared" si="4203"/>
        <v>MITCHELL</v>
      </c>
      <c r="D11635">
        <f>12</f>
        <v>12</v>
      </c>
      <c r="E11635" t="str">
        <f>"07 - B - 107 - Rosa Elaine  Collado-Duff"</f>
        <v>07 - B - 107 - Rosa Elaine  Collado-Duff</v>
      </c>
      <c r="F11635" t="str">
        <f>"PRE-AICE SPAN 2 IG"</f>
        <v>PRE-AICE SPAN 2 IG</v>
      </c>
      <c r="G11635" t="str">
        <f>"09-913"</f>
        <v>09-913</v>
      </c>
      <c r="H11635" t="str">
        <f>"B"</f>
        <v>B</v>
      </c>
    </row>
    <row r="11636" spans="1:8" x14ac:dyDescent="0.2">
      <c r="A11636" t="str">
        <f t="shared" si="4204"/>
        <v>0613125437</v>
      </c>
      <c r="B11636" t="str">
        <f t="shared" si="4205"/>
        <v>LANDEN</v>
      </c>
      <c r="C11636" t="str">
        <f t="shared" si="4203"/>
        <v>MITCHELL</v>
      </c>
      <c r="D11636">
        <f>12</f>
        <v>12</v>
      </c>
      <c r="E11636" t="str">
        <f>"05 - B - 102 - Robyn L Trainer"</f>
        <v>05 - B - 102 - Robyn L Trainer</v>
      </c>
      <c r="F11636" t="str">
        <f>"ENG 4"</f>
        <v>ENG 4</v>
      </c>
      <c r="G11636" t="str">
        <f>"17-1734"</f>
        <v>17-1734</v>
      </c>
      <c r="H11636" t="str">
        <f>"B"</f>
        <v>B</v>
      </c>
    </row>
    <row r="11637" spans="1:8" x14ac:dyDescent="0.2">
      <c r="A11637" t="str">
        <f t="shared" si="4204"/>
        <v>0613125437</v>
      </c>
      <c r="B11637" t="str">
        <f t="shared" si="4205"/>
        <v>LANDEN</v>
      </c>
      <c r="C11637" t="str">
        <f t="shared" si="4203"/>
        <v>MITCHELL</v>
      </c>
      <c r="D11637">
        <f>12</f>
        <v>12</v>
      </c>
      <c r="E11637" t="str">
        <f>"01 - S1 - A - 101 - Leslie J Barton"</f>
        <v>01 - S1 - A - 101 - Leslie J Barton</v>
      </c>
      <c r="F11637" t="str">
        <f>"FIRST AID SAFETY"</f>
        <v>FIRST AID SAFETY</v>
      </c>
      <c r="G11637" t="str">
        <f>"05-521"</f>
        <v>05-521</v>
      </c>
      <c r="H11637" t="str">
        <f>"A"</f>
        <v>A</v>
      </c>
    </row>
    <row r="11638" spans="1:8" x14ac:dyDescent="0.2">
      <c r="A11638" t="str">
        <f t="shared" si="4204"/>
        <v>0613125437</v>
      </c>
      <c r="B11638" t="str">
        <f t="shared" si="4205"/>
        <v>LANDEN</v>
      </c>
      <c r="C11638" t="str">
        <f t="shared" si="4203"/>
        <v>MITCHELL</v>
      </c>
      <c r="D11638">
        <f>12</f>
        <v>12</v>
      </c>
      <c r="E11638" t="str">
        <f>"08 - B - 103 - Chrystina M Marchionne"</f>
        <v>08 - B - 103 - Chrystina M Marchionne</v>
      </c>
      <c r="F11638" t="str">
        <f>"JOURN 2 (YB) LH"</f>
        <v>JOURN 2 (YB) LH</v>
      </c>
      <c r="G11638" t="str">
        <f>"05-520"</f>
        <v>05-520</v>
      </c>
      <c r="H11638" t="str">
        <f>"B"</f>
        <v>B</v>
      </c>
    </row>
    <row r="11639" spans="1:8" x14ac:dyDescent="0.2">
      <c r="A11639" t="str">
        <f t="shared" ref="A11639:A11646" si="4206">"0616066398"</f>
        <v>0616066398</v>
      </c>
      <c r="B11639" t="str">
        <f t="shared" ref="B11639:B11646" si="4207">"TREMAINE"</f>
        <v>TREMAINE</v>
      </c>
      <c r="C11639" t="str">
        <f t="shared" si="4203"/>
        <v>MITCHELL</v>
      </c>
      <c r="D11639" t="str">
        <f t="shared" ref="D11639:D11646" si="4208">"09"</f>
        <v>09</v>
      </c>
      <c r="E11639" t="str">
        <f>"04 - A - 103 - Joe  Kilpatrick Jr"</f>
        <v>04 - A - 103 - Joe  Kilpatrick Jr</v>
      </c>
      <c r="F11639" t="str">
        <f>"PRE-AICE SPAN 1 IG"</f>
        <v>PRE-AICE SPAN 1 IG</v>
      </c>
      <c r="G11639" t="str">
        <f>"09-912"</f>
        <v>09-912</v>
      </c>
      <c r="H11639" t="str">
        <f>"A"</f>
        <v>A</v>
      </c>
    </row>
    <row r="11640" spans="1:8" x14ac:dyDescent="0.2">
      <c r="A11640" t="str">
        <f t="shared" si="4206"/>
        <v>0616066398</v>
      </c>
      <c r="B11640" t="str">
        <f t="shared" si="4207"/>
        <v>TREMAINE</v>
      </c>
      <c r="C11640" t="str">
        <f t="shared" si="4203"/>
        <v>MITCHELL</v>
      </c>
      <c r="D11640" t="str">
        <f t="shared" si="4208"/>
        <v>09</v>
      </c>
      <c r="E11640" t="str">
        <f>"06 - B - 105 - Dayna M Foster"</f>
        <v>06 - B - 105 - Dayna M Foster</v>
      </c>
      <c r="F11640" t="str">
        <f>"ALGEBRA 1"</f>
        <v>ALGEBRA 1</v>
      </c>
      <c r="G11640" t="str">
        <f>"21-2109"</f>
        <v>21-2109</v>
      </c>
      <c r="H11640" t="str">
        <f>"B"</f>
        <v>B</v>
      </c>
    </row>
    <row r="11641" spans="1:8" x14ac:dyDescent="0.2">
      <c r="A11641" t="str">
        <f t="shared" si="4206"/>
        <v>0616066398</v>
      </c>
      <c r="B11641" t="str">
        <f t="shared" si="4207"/>
        <v>TREMAINE</v>
      </c>
      <c r="C11641" t="str">
        <f t="shared" si="4203"/>
        <v>MITCHELL</v>
      </c>
      <c r="D11641" t="str">
        <f t="shared" si="4208"/>
        <v>09</v>
      </c>
      <c r="E11641" t="str">
        <f>"03 - A - 101 - Dayna M Foster"</f>
        <v>03 - A - 101 - Dayna M Foster</v>
      </c>
      <c r="F11641" t="str">
        <f>"FDN SKLS MATH 9-12"</f>
        <v>FDN SKLS MATH 9-12</v>
      </c>
      <c r="G11641" t="str">
        <f>"21-2109"</f>
        <v>21-2109</v>
      </c>
      <c r="H11641" t="str">
        <f>"A"</f>
        <v>A</v>
      </c>
    </row>
    <row r="11642" spans="1:8" x14ac:dyDescent="0.2">
      <c r="A11642" t="str">
        <f t="shared" si="4206"/>
        <v>0616066398</v>
      </c>
      <c r="B11642" t="str">
        <f t="shared" si="4207"/>
        <v>TREMAINE</v>
      </c>
      <c r="C11642" t="str">
        <f t="shared" si="4203"/>
        <v>MITCHELL</v>
      </c>
      <c r="D11642" t="str">
        <f t="shared" si="4208"/>
        <v>09</v>
      </c>
      <c r="E11642" t="str">
        <f>"02 - A - 109 - Krystal Marie  Beruty"</f>
        <v>02 - A - 109 - Krystal Marie  Beruty</v>
      </c>
      <c r="F11642" t="str">
        <f>"NC STUDY HALL 1"</f>
        <v>NC STUDY HALL 1</v>
      </c>
      <c r="G11642" t="str">
        <f>"17-1721"</f>
        <v>17-1721</v>
      </c>
      <c r="H11642" t="str">
        <f>"A"</f>
        <v>A</v>
      </c>
    </row>
    <row r="11643" spans="1:8" x14ac:dyDescent="0.2">
      <c r="A11643" t="str">
        <f t="shared" si="4206"/>
        <v>0616066398</v>
      </c>
      <c r="B11643" t="str">
        <f t="shared" si="4207"/>
        <v>TREMAINE</v>
      </c>
      <c r="C11643" t="str">
        <f t="shared" si="4203"/>
        <v>MITCHELL</v>
      </c>
      <c r="D11643" t="str">
        <f t="shared" si="4208"/>
        <v>09</v>
      </c>
      <c r="E11643" t="str">
        <f>"07 - B - 001 - Carol S Moore"</f>
        <v>07 - B - 001 - Carol S Moore</v>
      </c>
      <c r="F11643" t="str">
        <f>"PRE-AICE WRLD HST IG"</f>
        <v>PRE-AICE WRLD HST IG</v>
      </c>
      <c r="G11643" t="str">
        <f>"17-1733"</f>
        <v>17-1733</v>
      </c>
      <c r="H11643" t="str">
        <f>"B"</f>
        <v>B</v>
      </c>
    </row>
    <row r="11644" spans="1:8" x14ac:dyDescent="0.2">
      <c r="A11644" t="str">
        <f t="shared" si="4206"/>
        <v>0616066398</v>
      </c>
      <c r="B11644" t="str">
        <f t="shared" si="4207"/>
        <v>TREMAINE</v>
      </c>
      <c r="C11644" t="str">
        <f t="shared" si="4203"/>
        <v>MITCHELL</v>
      </c>
      <c r="D11644" t="str">
        <f t="shared" si="4208"/>
        <v>09</v>
      </c>
      <c r="E11644" t="str">
        <f>"05 - B - 103 - Josiah I Lacy"</f>
        <v>05 - B - 103 - Josiah I Lacy</v>
      </c>
      <c r="F11644" t="str">
        <f>"PRE-AICE BIO IG"</f>
        <v>PRE-AICE BIO IG</v>
      </c>
      <c r="G11644" t="str">
        <f>"08-801"</f>
        <v>08-801</v>
      </c>
      <c r="H11644" t="str">
        <f>"B"</f>
        <v>B</v>
      </c>
    </row>
    <row r="11645" spans="1:8" x14ac:dyDescent="0.2">
      <c r="A11645" t="str">
        <f t="shared" si="4206"/>
        <v>0616066398</v>
      </c>
      <c r="B11645" t="str">
        <f t="shared" si="4207"/>
        <v>TREMAINE</v>
      </c>
      <c r="C11645" t="str">
        <f t="shared" si="4203"/>
        <v>MITCHELL</v>
      </c>
      <c r="D11645" t="str">
        <f t="shared" si="4208"/>
        <v>09</v>
      </c>
      <c r="E11645" t="str">
        <f>"01 - A - 101 - Cheryl Anne  Berman-Schechter"</f>
        <v>01 - A - 101 - Cheryl Anne  Berman-Schechter</v>
      </c>
      <c r="F11645" t="str">
        <f>"PRE-AICE ENG LANG IG"</f>
        <v>PRE-AICE ENG LANG IG</v>
      </c>
      <c r="G11645" t="str">
        <f>"17-1722"</f>
        <v>17-1722</v>
      </c>
      <c r="H11645" t="str">
        <f>"A"</f>
        <v>A</v>
      </c>
    </row>
    <row r="11646" spans="1:8" x14ac:dyDescent="0.2">
      <c r="A11646" t="str">
        <f t="shared" si="4206"/>
        <v>0616066398</v>
      </c>
      <c r="B11646" t="str">
        <f t="shared" si="4207"/>
        <v>TREMAINE</v>
      </c>
      <c r="C11646" t="str">
        <f t="shared" si="4203"/>
        <v>MITCHELL</v>
      </c>
      <c r="D11646" t="str">
        <f t="shared" si="4208"/>
        <v>09</v>
      </c>
      <c r="E11646" t="str">
        <f>"08 - B - 108 - Adam Marcus  Drucker"</f>
        <v>08 - B - 108 - Adam Marcus  Drucker</v>
      </c>
      <c r="F11646" t="str">
        <f>"HOPE-PE V"</f>
        <v>HOPE-PE V</v>
      </c>
      <c r="G11646" t="str">
        <f>"04-254"</f>
        <v>04-254</v>
      </c>
      <c r="H11646" t="str">
        <f>"B"</f>
        <v>B</v>
      </c>
    </row>
    <row r="11647" spans="1:8" x14ac:dyDescent="0.2">
      <c r="A11647" t="str">
        <f t="shared" ref="A11647:A11654" si="4209">"0614019907"</f>
        <v>0614019907</v>
      </c>
      <c r="B11647" t="str">
        <f t="shared" ref="B11647:B11654" si="4210">"JOHN"</f>
        <v>JOHN</v>
      </c>
      <c r="C11647" t="str">
        <f t="shared" ref="C11647:C11654" si="4211">"MOBLEY"</f>
        <v>MOBLEY</v>
      </c>
      <c r="D11647">
        <f>10</f>
        <v>10</v>
      </c>
      <c r="E11647" t="str">
        <f>"04 - A - 203 - Cheryl L Beach"</f>
        <v>04 - A - 203 - Cheryl L Beach</v>
      </c>
      <c r="F11647" t="str">
        <f>"AICE ENV MGMNT AS"</f>
        <v>AICE ENV MGMNT AS</v>
      </c>
      <c r="G11647" t="str">
        <f>"08-811"</f>
        <v>08-811</v>
      </c>
      <c r="H11647" t="str">
        <f>"A"</f>
        <v>A</v>
      </c>
    </row>
    <row r="11648" spans="1:8" x14ac:dyDescent="0.2">
      <c r="A11648" t="str">
        <f t="shared" si="4209"/>
        <v>0614019907</v>
      </c>
      <c r="B11648" t="str">
        <f t="shared" si="4210"/>
        <v>JOHN</v>
      </c>
      <c r="C11648" t="str">
        <f t="shared" si="4211"/>
        <v>MOBLEY</v>
      </c>
      <c r="D11648">
        <f>10</f>
        <v>10</v>
      </c>
      <c r="E11648" t="str">
        <f>"06 - B - 103 - Thomas G Handwerg"</f>
        <v>06 - B - 103 - Thomas G Handwerg</v>
      </c>
      <c r="F11648" t="str">
        <f>"NC STUDY HALL 1"</f>
        <v>NC STUDY HALL 1</v>
      </c>
      <c r="G11648" t="str">
        <f>"21-2146"</f>
        <v>21-2146</v>
      </c>
      <c r="H11648" t="str">
        <f>"B"</f>
        <v>B</v>
      </c>
    </row>
    <row r="11649" spans="1:8" x14ac:dyDescent="0.2">
      <c r="A11649" t="str">
        <f t="shared" si="4209"/>
        <v>0614019907</v>
      </c>
      <c r="B11649" t="str">
        <f t="shared" si="4210"/>
        <v>JOHN</v>
      </c>
      <c r="C11649" t="str">
        <f t="shared" si="4211"/>
        <v>MOBLEY</v>
      </c>
      <c r="D11649">
        <f>10</f>
        <v>10</v>
      </c>
      <c r="E11649" t="str">
        <f>"03 - A - 104 - Brook E Goren"</f>
        <v>03 - A - 104 - Brook E Goren</v>
      </c>
      <c r="F11649" t="str">
        <f>"ALGEBRA 2 HON"</f>
        <v>ALGEBRA 2 HON</v>
      </c>
      <c r="G11649" t="str">
        <f>"21-2158"</f>
        <v>21-2158</v>
      </c>
      <c r="H11649" t="str">
        <f>"A"</f>
        <v>A</v>
      </c>
    </row>
    <row r="11650" spans="1:8" x14ac:dyDescent="0.2">
      <c r="A11650" t="str">
        <f t="shared" si="4209"/>
        <v>0614019907</v>
      </c>
      <c r="B11650" t="str">
        <f t="shared" si="4210"/>
        <v>JOHN</v>
      </c>
      <c r="C11650" t="str">
        <f t="shared" si="4211"/>
        <v>MOBLEY</v>
      </c>
      <c r="D11650">
        <f>10</f>
        <v>10</v>
      </c>
      <c r="E11650" t="str">
        <f>"02 - A - 102 - Vanessa J Liburd"</f>
        <v>02 - A - 102 - Vanessa J Liburd</v>
      </c>
      <c r="F11650" t="str">
        <f>"PRE-AICE FRENCH 2 IG"</f>
        <v>PRE-AICE FRENCH 2 IG</v>
      </c>
      <c r="G11650" t="str">
        <f>"05-519"</f>
        <v>05-519</v>
      </c>
      <c r="H11650" t="str">
        <f>"A"</f>
        <v>A</v>
      </c>
    </row>
    <row r="11651" spans="1:8" x14ac:dyDescent="0.2">
      <c r="A11651" t="str">
        <f t="shared" si="4209"/>
        <v>0614019907</v>
      </c>
      <c r="B11651" t="str">
        <f t="shared" si="4210"/>
        <v>JOHN</v>
      </c>
      <c r="C11651" t="str">
        <f t="shared" si="4211"/>
        <v>MOBLEY</v>
      </c>
      <c r="D11651">
        <f>10</f>
        <v>10</v>
      </c>
      <c r="E11651" t="str">
        <f>"07 - B - 107 - Jacklyn M James"</f>
        <v>07 - B - 107 - Jacklyn M James</v>
      </c>
      <c r="F11651" t="str">
        <f>"AICE ENG LANG AS"</f>
        <v>AICE ENG LANG AS</v>
      </c>
      <c r="G11651" t="str">
        <f>"17-1731"</f>
        <v>17-1731</v>
      </c>
      <c r="H11651" t="str">
        <f>"B"</f>
        <v>B</v>
      </c>
    </row>
    <row r="11652" spans="1:8" x14ac:dyDescent="0.2">
      <c r="A11652" t="str">
        <f t="shared" si="4209"/>
        <v>0614019907</v>
      </c>
      <c r="B11652" t="str">
        <f t="shared" si="4210"/>
        <v>JOHN</v>
      </c>
      <c r="C11652" t="str">
        <f t="shared" si="4211"/>
        <v>MOBLEY</v>
      </c>
      <c r="D11652">
        <f>10</f>
        <v>10</v>
      </c>
      <c r="E11652" t="str">
        <f>"05 - B - 003 - Krystal Marie  Beruty"</f>
        <v>05 - B - 003 - Krystal Marie  Beruty</v>
      </c>
      <c r="F11652" t="str">
        <f>"AICE GLBL PERSP 1 AS"</f>
        <v>AICE GLBL PERSP 1 AS</v>
      </c>
      <c r="G11652" t="str">
        <f>"17-1721"</f>
        <v>17-1721</v>
      </c>
      <c r="H11652" t="str">
        <f>"B"</f>
        <v>B</v>
      </c>
    </row>
    <row r="11653" spans="1:8" x14ac:dyDescent="0.2">
      <c r="A11653" t="str">
        <f t="shared" si="4209"/>
        <v>0614019907</v>
      </c>
      <c r="B11653" t="str">
        <f t="shared" si="4210"/>
        <v>JOHN</v>
      </c>
      <c r="C11653" t="str">
        <f t="shared" si="4211"/>
        <v>MOBLEY</v>
      </c>
      <c r="D11653">
        <f>10</f>
        <v>10</v>
      </c>
      <c r="E11653" t="str">
        <f>"01 - A - 101 - Eva T Rimmer"</f>
        <v>01 - A - 101 - Eva T Rimmer</v>
      </c>
      <c r="F11653" t="str">
        <f>"CRIMINAL JUST OPS 2"</f>
        <v>CRIMINAL JUST OPS 2</v>
      </c>
      <c r="G11653" t="str">
        <f>"05-523"</f>
        <v>05-523</v>
      </c>
      <c r="H11653" t="str">
        <f>"A"</f>
        <v>A</v>
      </c>
    </row>
    <row r="11654" spans="1:8" x14ac:dyDescent="0.2">
      <c r="A11654" t="str">
        <f t="shared" si="4209"/>
        <v>0614019907</v>
      </c>
      <c r="B11654" t="str">
        <f t="shared" si="4210"/>
        <v>JOHN</v>
      </c>
      <c r="C11654" t="str">
        <f t="shared" si="4211"/>
        <v>MOBLEY</v>
      </c>
      <c r="D11654">
        <f>10</f>
        <v>10</v>
      </c>
      <c r="E11654" t="str">
        <f>"08 - S1 - B - 104 - Richard E Dunbar Iii"</f>
        <v>08 - S1 - B - 104 - Richard E Dunbar Iii</v>
      </c>
      <c r="F11654" t="str">
        <f>"WEIGHT TRAIN 3"</f>
        <v>WEIGHT TRAIN 3</v>
      </c>
      <c r="G11654" t="str">
        <f>"05-501"</f>
        <v>05-501</v>
      </c>
      <c r="H11654" t="str">
        <f>"B"</f>
        <v>B</v>
      </c>
    </row>
    <row r="11655" spans="1:8" x14ac:dyDescent="0.2">
      <c r="A11655" t="str">
        <f t="shared" ref="A11655:A11662" si="4212">"0626001732"</f>
        <v>0626001732</v>
      </c>
      <c r="B11655" t="str">
        <f t="shared" ref="B11655:B11662" si="4213">"Teodora Florenta"</f>
        <v>Teodora Florenta</v>
      </c>
      <c r="C11655" t="str">
        <f t="shared" ref="C11655:C11662" si="4214">"Mocanu"</f>
        <v>Mocanu</v>
      </c>
      <c r="D11655">
        <f>10</f>
        <v>10</v>
      </c>
      <c r="E11655" t="str">
        <f>"04 - A - 101 - Jeanne M Bermudez"</f>
        <v>04 - A - 101 - Jeanne M Bermudez</v>
      </c>
      <c r="F11655" t="str">
        <f>"ADVANCED IT HON"</f>
        <v>ADVANCED IT HON</v>
      </c>
      <c r="G11655" t="str">
        <f>"21-2141"</f>
        <v>21-2141</v>
      </c>
      <c r="H11655" t="str">
        <f>"A"</f>
        <v>A</v>
      </c>
    </row>
    <row r="11656" spans="1:8" x14ac:dyDescent="0.2">
      <c r="A11656" t="str">
        <f t="shared" si="4212"/>
        <v>0626001732</v>
      </c>
      <c r="B11656" t="str">
        <f t="shared" si="4213"/>
        <v>Teodora Florenta</v>
      </c>
      <c r="C11656" t="str">
        <f t="shared" si="4214"/>
        <v>Mocanu</v>
      </c>
      <c r="D11656">
        <f>10</f>
        <v>10</v>
      </c>
      <c r="E11656" t="str">
        <f>"06 - B - 113 - Joe  Kilpatrick Jr"</f>
        <v>06 - B - 113 - Joe  Kilpatrick Jr</v>
      </c>
      <c r="F11656" t="str">
        <f>"NC STUDY HALL 1"</f>
        <v>NC STUDY HALL 1</v>
      </c>
      <c r="G11656" t="str">
        <f>"09-912"</f>
        <v>09-912</v>
      </c>
      <c r="H11656" t="str">
        <f>"B"</f>
        <v>B</v>
      </c>
    </row>
    <row r="11657" spans="1:8" x14ac:dyDescent="0.2">
      <c r="A11657" t="str">
        <f t="shared" si="4212"/>
        <v>0626001732</v>
      </c>
      <c r="B11657" t="str">
        <f t="shared" si="4213"/>
        <v>Teodora Florenta</v>
      </c>
      <c r="C11657" t="str">
        <f t="shared" si="4214"/>
        <v>Mocanu</v>
      </c>
      <c r="D11657">
        <f>10</f>
        <v>10</v>
      </c>
      <c r="E11657" t="str">
        <f>"03 - A - 002 - Nikiel  Nesbeth"</f>
        <v>03 - A - 002 - Nikiel  Nesbeth</v>
      </c>
      <c r="F11657" t="str">
        <f>"PRE-AICE ENG LIT IG"</f>
        <v>PRE-AICE ENG LIT IG</v>
      </c>
      <c r="G11657" t="str">
        <f>"17-1705"</f>
        <v>17-1705</v>
      </c>
      <c r="H11657" t="str">
        <f>"A"</f>
        <v>A</v>
      </c>
    </row>
    <row r="11658" spans="1:8" x14ac:dyDescent="0.2">
      <c r="A11658" t="str">
        <f t="shared" si="4212"/>
        <v>0626001732</v>
      </c>
      <c r="B11658" t="str">
        <f t="shared" si="4213"/>
        <v>Teodora Florenta</v>
      </c>
      <c r="C11658" t="str">
        <f t="shared" si="4214"/>
        <v>Mocanu</v>
      </c>
      <c r="D11658">
        <f>10</f>
        <v>10</v>
      </c>
      <c r="E11658" t="str">
        <f>"02 - S1 - A - 101 - Carol S Moore"</f>
        <v>02 - S1 - A - 101 - Carol S Moore</v>
      </c>
      <c r="F11658" t="str">
        <f>"PER CAR SCH DEV 1 LH"</f>
        <v>PER CAR SCH DEV 1 LH</v>
      </c>
      <c r="G11658" t="str">
        <f>"17-1733"</f>
        <v>17-1733</v>
      </c>
      <c r="H11658" t="str">
        <f>"A"</f>
        <v>A</v>
      </c>
    </row>
    <row r="11659" spans="1:8" x14ac:dyDescent="0.2">
      <c r="A11659" t="str">
        <f t="shared" si="4212"/>
        <v>0626001732</v>
      </c>
      <c r="B11659" t="str">
        <f t="shared" si="4213"/>
        <v>Teodora Florenta</v>
      </c>
      <c r="C11659" t="str">
        <f t="shared" si="4214"/>
        <v>Mocanu</v>
      </c>
      <c r="D11659">
        <f>10</f>
        <v>10</v>
      </c>
      <c r="E11659" t="str">
        <f>"07 - B - 101 - Samantha L Martinez"</f>
        <v>07 - B - 101 - Samantha L Martinez</v>
      </c>
      <c r="F11659" t="str">
        <f>"KEYBD 1"</f>
        <v>KEYBD 1</v>
      </c>
      <c r="G11659" t="str">
        <f>"05-505"</f>
        <v>05-505</v>
      </c>
      <c r="H11659" t="str">
        <f>"B"</f>
        <v>B</v>
      </c>
    </row>
    <row r="11660" spans="1:8" x14ac:dyDescent="0.2">
      <c r="A11660" t="str">
        <f t="shared" si="4212"/>
        <v>0626001732</v>
      </c>
      <c r="B11660" t="str">
        <f t="shared" si="4213"/>
        <v>Teodora Florenta</v>
      </c>
      <c r="C11660" t="str">
        <f t="shared" si="4214"/>
        <v>Mocanu</v>
      </c>
      <c r="D11660">
        <f>10</f>
        <v>10</v>
      </c>
      <c r="E11660" t="str">
        <f>"05 - B - 106 - Fernando  Vega-Cid"</f>
        <v>05 - B - 106 - Fernando  Vega-Cid</v>
      </c>
      <c r="F11660" t="str">
        <f>"GEOMETRY"</f>
        <v>GEOMETRY</v>
      </c>
      <c r="G11660" t="str">
        <f>"21-2163"</f>
        <v>21-2163</v>
      </c>
      <c r="H11660" t="str">
        <f>"B"</f>
        <v>B</v>
      </c>
    </row>
    <row r="11661" spans="1:8" x14ac:dyDescent="0.2">
      <c r="A11661" t="str">
        <f t="shared" si="4212"/>
        <v>0626001732</v>
      </c>
      <c r="B11661" t="str">
        <f t="shared" si="4213"/>
        <v>Teodora Florenta</v>
      </c>
      <c r="C11661" t="str">
        <f t="shared" si="4214"/>
        <v>Mocanu</v>
      </c>
      <c r="D11661">
        <f>10</f>
        <v>10</v>
      </c>
      <c r="E11661" t="str">
        <f>"01 - A - 102 - Lytrell T Dixon"</f>
        <v>01 - A - 102 - Lytrell T Dixon</v>
      </c>
      <c r="F11661" t="str">
        <f>"BIOLOGY 1"</f>
        <v>BIOLOGY 1</v>
      </c>
      <c r="G11661" t="str">
        <f>"08-808"</f>
        <v>08-808</v>
      </c>
      <c r="H11661" t="str">
        <f>"A"</f>
        <v>A</v>
      </c>
    </row>
    <row r="11662" spans="1:8" x14ac:dyDescent="0.2">
      <c r="A11662" t="str">
        <f t="shared" si="4212"/>
        <v>0626001732</v>
      </c>
      <c r="B11662" t="str">
        <f t="shared" si="4213"/>
        <v>Teodora Florenta</v>
      </c>
      <c r="C11662" t="str">
        <f t="shared" si="4214"/>
        <v>Mocanu</v>
      </c>
      <c r="D11662">
        <f>10</f>
        <v>10</v>
      </c>
      <c r="E11662" t="str">
        <f>"08 - B - 201 - Tina M Jaramillo"</f>
        <v>08 - B - 201 - Tina M Jaramillo</v>
      </c>
      <c r="F11662" t="str">
        <f>"CREATIVE WRIT 3 HON"</f>
        <v>CREATIVE WRIT 3 HON</v>
      </c>
      <c r="G11662" t="str">
        <f>"17-1706"</f>
        <v>17-1706</v>
      </c>
      <c r="H11662" t="str">
        <f>"B"</f>
        <v>B</v>
      </c>
    </row>
    <row r="11663" spans="1:8" x14ac:dyDescent="0.2">
      <c r="A11663" t="str">
        <f t="shared" ref="A11663:A11670" si="4215">"0616063683"</f>
        <v>0616063683</v>
      </c>
      <c r="B11663" t="str">
        <f t="shared" ref="B11663:B11670" si="4216">"BOSTON"</f>
        <v>BOSTON</v>
      </c>
      <c r="C11663" t="str">
        <f t="shared" ref="C11663:C11670" si="4217">"MOGILEWSKI"</f>
        <v>MOGILEWSKI</v>
      </c>
      <c r="D11663" t="str">
        <f t="shared" ref="D11663:D11670" si="4218">"09"</f>
        <v>09</v>
      </c>
      <c r="E11663" t="str">
        <f>"04 - A - 106 - Lissa C Frederique"</f>
        <v>04 - A - 106 - Lissa C Frederique</v>
      </c>
      <c r="F11663" t="str">
        <f>"WORLD HISTORY"</f>
        <v>WORLD HISTORY</v>
      </c>
      <c r="G11663" t="str">
        <f>"17-1754"</f>
        <v>17-1754</v>
      </c>
      <c r="H11663" t="str">
        <f>"A"</f>
        <v>A</v>
      </c>
    </row>
    <row r="11664" spans="1:8" x14ac:dyDescent="0.2">
      <c r="A11664" t="str">
        <f t="shared" si="4215"/>
        <v>0616063683</v>
      </c>
      <c r="B11664" t="str">
        <f t="shared" si="4216"/>
        <v>BOSTON</v>
      </c>
      <c r="C11664" t="str">
        <f t="shared" si="4217"/>
        <v>MOGILEWSKI</v>
      </c>
      <c r="D11664" t="str">
        <f t="shared" si="4218"/>
        <v>09</v>
      </c>
      <c r="E11664" t="str">
        <f>"06 - B - 105 - Tina L Lovett"</f>
        <v>06 - B - 105 - Tina L Lovett</v>
      </c>
      <c r="F11664" t="str">
        <f>"FDN SKLS MATH 9-12"</f>
        <v>FDN SKLS MATH 9-12</v>
      </c>
      <c r="G11664" t="str">
        <f>"21-2153"</f>
        <v>21-2153</v>
      </c>
      <c r="H11664" t="str">
        <f>"B"</f>
        <v>B</v>
      </c>
    </row>
    <row r="11665" spans="1:8" x14ac:dyDescent="0.2">
      <c r="A11665" t="str">
        <f t="shared" si="4215"/>
        <v>0616063683</v>
      </c>
      <c r="B11665" t="str">
        <f t="shared" si="4216"/>
        <v>BOSTON</v>
      </c>
      <c r="C11665" t="str">
        <f t="shared" si="4217"/>
        <v>MOGILEWSKI</v>
      </c>
      <c r="D11665" t="str">
        <f t="shared" si="4218"/>
        <v>09</v>
      </c>
      <c r="E11665" t="str">
        <f>"03 - A - 103 - Adam Marcus  Drucker"</f>
        <v>03 - A - 103 - Adam Marcus  Drucker</v>
      </c>
      <c r="F11665" t="str">
        <f>"HOPE-PE V"</f>
        <v>HOPE-PE V</v>
      </c>
      <c r="G11665" t="str">
        <f>"04-254"</f>
        <v>04-254</v>
      </c>
      <c r="H11665" t="str">
        <f>"A"</f>
        <v>A</v>
      </c>
    </row>
    <row r="11666" spans="1:8" x14ac:dyDescent="0.2">
      <c r="A11666" t="str">
        <f t="shared" si="4215"/>
        <v>0616063683</v>
      </c>
      <c r="B11666" t="str">
        <f t="shared" si="4216"/>
        <v>BOSTON</v>
      </c>
      <c r="C11666" t="str">
        <f t="shared" si="4217"/>
        <v>MOGILEWSKI</v>
      </c>
      <c r="D11666" t="str">
        <f t="shared" si="4218"/>
        <v>09</v>
      </c>
      <c r="E11666" t="str">
        <f>"02 - A - 103 - Angela S Adeshina-Morrison"</f>
        <v>02 - A - 103 - Angela S Adeshina-Morrison</v>
      </c>
      <c r="F11666" t="str">
        <f>"NC STUDY HALL 1"</f>
        <v>NC STUDY HALL 1</v>
      </c>
      <c r="G11666" t="str">
        <f>"05-518"</f>
        <v>05-518</v>
      </c>
      <c r="H11666" t="str">
        <f>"A"</f>
        <v>A</v>
      </c>
    </row>
    <row r="11667" spans="1:8" x14ac:dyDescent="0.2">
      <c r="A11667" t="str">
        <f t="shared" si="4215"/>
        <v>0616063683</v>
      </c>
      <c r="B11667" t="str">
        <f t="shared" si="4216"/>
        <v>BOSTON</v>
      </c>
      <c r="C11667" t="str">
        <f t="shared" si="4217"/>
        <v>MOGILEWSKI</v>
      </c>
      <c r="D11667" t="str">
        <f t="shared" si="4218"/>
        <v>09</v>
      </c>
      <c r="E11667" t="str">
        <f>"07 - B - 003 - Samantha J Headley"</f>
        <v>07 - B - 003 - Samantha J Headley</v>
      </c>
      <c r="F11667" t="str">
        <f>"ENV SCI"</f>
        <v>ENV SCI</v>
      </c>
      <c r="G11667" t="str">
        <f>"08-802"</f>
        <v>08-802</v>
      </c>
      <c r="H11667" t="str">
        <f>"B"</f>
        <v>B</v>
      </c>
    </row>
    <row r="11668" spans="1:8" x14ac:dyDescent="0.2">
      <c r="A11668" t="str">
        <f t="shared" si="4215"/>
        <v>0616063683</v>
      </c>
      <c r="B11668" t="str">
        <f t="shared" si="4216"/>
        <v>BOSTON</v>
      </c>
      <c r="C11668" t="str">
        <f t="shared" si="4217"/>
        <v>MOGILEWSKI</v>
      </c>
      <c r="D11668" t="str">
        <f t="shared" si="4218"/>
        <v>09</v>
      </c>
      <c r="E11668" t="str">
        <f>"05 - B - 101 - Linda  Celestin"</f>
        <v>05 - B - 101 - Linda  Celestin</v>
      </c>
      <c r="F11668" t="str">
        <f>"LRNG STRATEGIES 9-12"</f>
        <v>LRNG STRATEGIES 9-12</v>
      </c>
      <c r="G11668" t="str">
        <f>"21-2160"</f>
        <v>21-2160</v>
      </c>
      <c r="H11668" t="str">
        <f>"B"</f>
        <v>B</v>
      </c>
    </row>
    <row r="11669" spans="1:8" x14ac:dyDescent="0.2">
      <c r="A11669" t="str">
        <f t="shared" si="4215"/>
        <v>0616063683</v>
      </c>
      <c r="B11669" t="str">
        <f t="shared" si="4216"/>
        <v>BOSTON</v>
      </c>
      <c r="C11669" t="str">
        <f t="shared" si="4217"/>
        <v>MOGILEWSKI</v>
      </c>
      <c r="D11669" t="str">
        <f t="shared" si="4218"/>
        <v>09</v>
      </c>
      <c r="E11669" t="str">
        <f>"01 - A - 101 - Tina L Lovett"</f>
        <v>01 - A - 101 - Tina L Lovett</v>
      </c>
      <c r="F11669" t="str">
        <f>"ALGEBRA 1"</f>
        <v>ALGEBRA 1</v>
      </c>
      <c r="G11669" t="str">
        <f>"21-2153"</f>
        <v>21-2153</v>
      </c>
      <c r="H11669" t="str">
        <f>"A"</f>
        <v>A</v>
      </c>
    </row>
    <row r="11670" spans="1:8" x14ac:dyDescent="0.2">
      <c r="A11670" t="str">
        <f t="shared" si="4215"/>
        <v>0616063683</v>
      </c>
      <c r="B11670" t="str">
        <f t="shared" si="4216"/>
        <v>BOSTON</v>
      </c>
      <c r="C11670" t="str">
        <f t="shared" si="4217"/>
        <v>MOGILEWSKI</v>
      </c>
      <c r="D11670" t="str">
        <f t="shared" si="4218"/>
        <v>09</v>
      </c>
      <c r="E11670" t="str">
        <f>"08 - B - 108 - Cerine S Stewart"</f>
        <v>08 - B - 108 - Cerine S Stewart</v>
      </c>
      <c r="F11670" t="str">
        <f>"ENG 1"</f>
        <v>ENG 1</v>
      </c>
      <c r="G11670" t="str">
        <f>"17-1720"</f>
        <v>17-1720</v>
      </c>
      <c r="H11670" t="str">
        <f>"B"</f>
        <v>B</v>
      </c>
    </row>
    <row r="11671" spans="1:8" x14ac:dyDescent="0.2">
      <c r="A11671" t="str">
        <f t="shared" ref="A11671:A11678" si="4219">"0613136077"</f>
        <v>0613136077</v>
      </c>
      <c r="B11671" t="str">
        <f t="shared" ref="B11671:B11678" si="4220">"TA'ZIYAH"</f>
        <v>TA'ZIYAH</v>
      </c>
      <c r="C11671" t="str">
        <f t="shared" ref="C11671:C11678" si="4221">"MOHORN"</f>
        <v>MOHORN</v>
      </c>
      <c r="D11671">
        <f>10</f>
        <v>10</v>
      </c>
      <c r="E11671" t="str">
        <f>"04 - A - 104 - Dayna M Foster"</f>
        <v>04 - A - 104 - Dayna M Foster</v>
      </c>
      <c r="F11671" t="str">
        <f>"ALGEBRA 2"</f>
        <v>ALGEBRA 2</v>
      </c>
      <c r="G11671" t="str">
        <f>"21-2109"</f>
        <v>21-2109</v>
      </c>
      <c r="H11671" t="str">
        <f>"A"</f>
        <v>A</v>
      </c>
    </row>
    <row r="11672" spans="1:8" x14ac:dyDescent="0.2">
      <c r="A11672" t="str">
        <f t="shared" si="4219"/>
        <v>0613136077</v>
      </c>
      <c r="B11672" t="str">
        <f t="shared" si="4220"/>
        <v>TA'ZIYAH</v>
      </c>
      <c r="C11672" t="str">
        <f t="shared" si="4221"/>
        <v>MOHORN</v>
      </c>
      <c r="D11672">
        <f>10</f>
        <v>10</v>
      </c>
      <c r="E11672" t="str">
        <f>"06 - B - 109 - Semra  Bahadir"</f>
        <v>06 - B - 109 - Semra  Bahadir</v>
      </c>
      <c r="F11672" t="str">
        <f>"NC STUDY HALL 1"</f>
        <v>NC STUDY HALL 1</v>
      </c>
      <c r="G11672" t="str">
        <f>"21-2107"</f>
        <v>21-2107</v>
      </c>
      <c r="H11672" t="str">
        <f>"B"</f>
        <v>B</v>
      </c>
    </row>
    <row r="11673" spans="1:8" x14ac:dyDescent="0.2">
      <c r="A11673" t="str">
        <f t="shared" si="4219"/>
        <v>0613136077</v>
      </c>
      <c r="B11673" t="str">
        <f t="shared" si="4220"/>
        <v>TA'ZIYAH</v>
      </c>
      <c r="C11673" t="str">
        <f t="shared" si="4221"/>
        <v>MOHORN</v>
      </c>
      <c r="D11673">
        <f>10</f>
        <v>10</v>
      </c>
      <c r="E11673" t="str">
        <f>"03 - A - 201 - Joe  Kilpatrick Jr"</f>
        <v>03 - A - 201 - Joe  Kilpatrick Jr</v>
      </c>
      <c r="F11673" t="str">
        <f>"PRE-AICE SPAN 2 IG"</f>
        <v>PRE-AICE SPAN 2 IG</v>
      </c>
      <c r="G11673" t="str">
        <f>"09-912"</f>
        <v>09-912</v>
      </c>
      <c r="H11673" t="str">
        <f>"A"</f>
        <v>A</v>
      </c>
    </row>
    <row r="11674" spans="1:8" x14ac:dyDescent="0.2">
      <c r="A11674" t="str">
        <f t="shared" si="4219"/>
        <v>0613136077</v>
      </c>
      <c r="B11674" t="str">
        <f t="shared" si="4220"/>
        <v>TA'ZIYAH</v>
      </c>
      <c r="C11674" t="str">
        <f t="shared" si="4221"/>
        <v>MOHORN</v>
      </c>
      <c r="D11674">
        <f>10</f>
        <v>10</v>
      </c>
      <c r="E11674" t="str">
        <f>"02 - A - 205 - Emmily A Sarmiento"</f>
        <v>02 - A - 205 - Emmily A Sarmiento</v>
      </c>
      <c r="F11674" t="str">
        <f>"AICE GLBL PERSP 1 AS"</f>
        <v>AICE GLBL PERSP 1 AS</v>
      </c>
      <c r="G11674" t="str">
        <f>"17-1743"</f>
        <v>17-1743</v>
      </c>
      <c r="H11674" t="str">
        <f>"A"</f>
        <v>A</v>
      </c>
    </row>
    <row r="11675" spans="1:8" x14ac:dyDescent="0.2">
      <c r="A11675" t="str">
        <f t="shared" si="4219"/>
        <v>0613136077</v>
      </c>
      <c r="B11675" t="str">
        <f t="shared" si="4220"/>
        <v>TA'ZIYAH</v>
      </c>
      <c r="C11675" t="str">
        <f t="shared" si="4221"/>
        <v>MOHORN</v>
      </c>
      <c r="D11675">
        <f>10</f>
        <v>10</v>
      </c>
      <c r="E11675" t="str">
        <f>"07 - B - 206 - Cheryl L Beach"</f>
        <v>07 - B - 206 - Cheryl L Beach</v>
      </c>
      <c r="F11675" t="str">
        <f>"AICE ENV MGMNT AS"</f>
        <v>AICE ENV MGMNT AS</v>
      </c>
      <c r="G11675" t="str">
        <f>"08-811"</f>
        <v>08-811</v>
      </c>
      <c r="H11675" t="str">
        <f>"B"</f>
        <v>B</v>
      </c>
    </row>
    <row r="11676" spans="1:8" x14ac:dyDescent="0.2">
      <c r="A11676" t="str">
        <f t="shared" si="4219"/>
        <v>0613136077</v>
      </c>
      <c r="B11676" t="str">
        <f t="shared" si="4220"/>
        <v>TA'ZIYAH</v>
      </c>
      <c r="C11676" t="str">
        <f t="shared" si="4221"/>
        <v>MOHORN</v>
      </c>
      <c r="D11676">
        <f>10</f>
        <v>10</v>
      </c>
      <c r="E11676" t="str">
        <f>"05 - B - 201 - Jazmin S Fletcher"</f>
        <v>05 - B - 201 - Jazmin S Fletcher</v>
      </c>
      <c r="F11676" t="str">
        <f>"THEATRE 1"</f>
        <v>THEATRE 1</v>
      </c>
      <c r="G11676" t="str">
        <f>"09-909"</f>
        <v>09-909</v>
      </c>
      <c r="H11676" t="str">
        <f>"B"</f>
        <v>B</v>
      </c>
    </row>
    <row r="11677" spans="1:8" x14ac:dyDescent="0.2">
      <c r="A11677" t="str">
        <f t="shared" si="4219"/>
        <v>0613136077</v>
      </c>
      <c r="B11677" t="str">
        <f t="shared" si="4220"/>
        <v>TA'ZIYAH</v>
      </c>
      <c r="C11677" t="str">
        <f t="shared" si="4221"/>
        <v>MOHORN</v>
      </c>
      <c r="D11677">
        <f>10</f>
        <v>10</v>
      </c>
      <c r="E11677" t="str">
        <f>"01 - S1 - A - 101 - Lissa C Frederique"</f>
        <v>01 - S1 - A - 101 - Lissa C Frederique</v>
      </c>
      <c r="F11677" t="str">
        <f>"PERS FIN &amp; MON MGT H"</f>
        <v>PERS FIN &amp; MON MGT H</v>
      </c>
      <c r="G11677" t="str">
        <f>"17-1754"</f>
        <v>17-1754</v>
      </c>
      <c r="H11677" t="str">
        <f>"A"</f>
        <v>A</v>
      </c>
    </row>
    <row r="11678" spans="1:8" x14ac:dyDescent="0.2">
      <c r="A11678" t="str">
        <f t="shared" si="4219"/>
        <v>0613136077</v>
      </c>
      <c r="B11678" t="str">
        <f t="shared" si="4220"/>
        <v>TA'ZIYAH</v>
      </c>
      <c r="C11678" t="str">
        <f t="shared" si="4221"/>
        <v>MOHORN</v>
      </c>
      <c r="D11678">
        <f>10</f>
        <v>10</v>
      </c>
      <c r="E11678" t="str">
        <f>"08 - B - 001 - Jacklyn M James"</f>
        <v>08 - B - 001 - Jacklyn M James</v>
      </c>
      <c r="F11678" t="str">
        <f>"AICE ENG LANG AS"</f>
        <v>AICE ENG LANG AS</v>
      </c>
      <c r="G11678" t="str">
        <f>"17-1731"</f>
        <v>17-1731</v>
      </c>
      <c r="H11678" t="str">
        <f>"B"</f>
        <v>B</v>
      </c>
    </row>
    <row r="11679" spans="1:8" x14ac:dyDescent="0.2">
      <c r="A11679" t="str">
        <f t="shared" ref="A11679:A11686" si="4222">"0616153602"</f>
        <v>0616153602</v>
      </c>
      <c r="B11679" t="str">
        <f t="shared" ref="B11679:B11686" si="4223">"HARVEY"</f>
        <v>HARVEY</v>
      </c>
      <c r="C11679" t="str">
        <f t="shared" ref="C11679:C11686" si="4224">"MOLINARES COLLINS"</f>
        <v>MOLINARES COLLINS</v>
      </c>
      <c r="D11679" t="str">
        <f t="shared" ref="D11679:D11694" si="4225">"09"</f>
        <v>09</v>
      </c>
      <c r="E11679" t="str">
        <f>"04 - A - 005 - Emmily A Sarmiento"</f>
        <v>04 - A - 005 - Emmily A Sarmiento</v>
      </c>
      <c r="F11679" t="str">
        <f>"AICE GLBL PERSP 1 AS"</f>
        <v>AICE GLBL PERSP 1 AS</v>
      </c>
      <c r="G11679" t="str">
        <f>"17-1743"</f>
        <v>17-1743</v>
      </c>
      <c r="H11679" t="str">
        <f>"A"</f>
        <v>A</v>
      </c>
    </row>
    <row r="11680" spans="1:8" x14ac:dyDescent="0.2">
      <c r="A11680" t="str">
        <f t="shared" si="4222"/>
        <v>0616153602</v>
      </c>
      <c r="B11680" t="str">
        <f t="shared" si="4223"/>
        <v>HARVEY</v>
      </c>
      <c r="C11680" t="str">
        <f t="shared" si="4224"/>
        <v>MOLINARES COLLINS</v>
      </c>
      <c r="D11680" t="str">
        <f t="shared" si="4225"/>
        <v>09</v>
      </c>
      <c r="E11680" t="str">
        <f>"06 - B - 102 - Rosa Elaine  Collado-Duff"</f>
        <v>06 - B - 102 - Rosa Elaine  Collado-Duff</v>
      </c>
      <c r="F11680" t="str">
        <f>"SPANISH 3 HON"</f>
        <v>SPANISH 3 HON</v>
      </c>
      <c r="G11680" t="str">
        <f>"09-913"</f>
        <v>09-913</v>
      </c>
      <c r="H11680" t="str">
        <f>"B"</f>
        <v>B</v>
      </c>
    </row>
    <row r="11681" spans="1:8" x14ac:dyDescent="0.2">
      <c r="A11681" t="str">
        <f t="shared" si="4222"/>
        <v>0616153602</v>
      </c>
      <c r="B11681" t="str">
        <f t="shared" si="4223"/>
        <v>HARVEY</v>
      </c>
      <c r="C11681" t="str">
        <f t="shared" si="4224"/>
        <v>MOLINARES COLLINS</v>
      </c>
      <c r="D11681" t="str">
        <f t="shared" si="4225"/>
        <v>09</v>
      </c>
      <c r="E11681" t="str">
        <f>"03 - S1 - A - 101 - Daniel S Katz"</f>
        <v>03 - S1 - A - 101 - Daniel S Katz</v>
      </c>
      <c r="F11681" t="str">
        <f>"COURT PROCED"</f>
        <v>COURT PROCED</v>
      </c>
      <c r="G11681" t="str">
        <f>"21-2156"</f>
        <v>21-2156</v>
      </c>
      <c r="H11681" t="str">
        <f>"A"</f>
        <v>A</v>
      </c>
    </row>
    <row r="11682" spans="1:8" x14ac:dyDescent="0.2">
      <c r="A11682" t="str">
        <f t="shared" si="4222"/>
        <v>0616153602</v>
      </c>
      <c r="B11682" t="str">
        <f t="shared" si="4223"/>
        <v>HARVEY</v>
      </c>
      <c r="C11682" t="str">
        <f t="shared" si="4224"/>
        <v>MOLINARES COLLINS</v>
      </c>
      <c r="D11682" t="str">
        <f t="shared" si="4225"/>
        <v>09</v>
      </c>
      <c r="E11682" t="str">
        <f>"02 - A - 111 - Cheryl L Beach"</f>
        <v>02 - A - 111 - Cheryl L Beach</v>
      </c>
      <c r="F11682" t="str">
        <f>"NC STUDY HALL 1"</f>
        <v>NC STUDY HALL 1</v>
      </c>
      <c r="G11682" t="str">
        <f>"08-811"</f>
        <v>08-811</v>
      </c>
      <c r="H11682" t="str">
        <f>"A"</f>
        <v>A</v>
      </c>
    </row>
    <row r="11683" spans="1:8" x14ac:dyDescent="0.2">
      <c r="A11683" t="str">
        <f t="shared" si="4222"/>
        <v>0616153602</v>
      </c>
      <c r="B11683" t="str">
        <f t="shared" si="4223"/>
        <v>HARVEY</v>
      </c>
      <c r="C11683" t="str">
        <f t="shared" si="4224"/>
        <v>MOLINARES COLLINS</v>
      </c>
      <c r="D11683" t="str">
        <f t="shared" si="4225"/>
        <v>09</v>
      </c>
      <c r="E11683" t="str">
        <f>"07 - B - 105 - Byron G Montenegro"</f>
        <v>07 - B - 105 - Byron G Montenegro</v>
      </c>
      <c r="F11683" t="str">
        <f>"AICE MARINE SCI 1 AS"</f>
        <v>AICE MARINE SCI 1 AS</v>
      </c>
      <c r="G11683" t="str">
        <f>"21-2144"</f>
        <v>21-2144</v>
      </c>
      <c r="H11683" t="str">
        <f>"B"</f>
        <v>B</v>
      </c>
    </row>
    <row r="11684" spans="1:8" x14ac:dyDescent="0.2">
      <c r="A11684" t="str">
        <f t="shared" si="4222"/>
        <v>0616153602</v>
      </c>
      <c r="B11684" t="str">
        <f t="shared" si="4223"/>
        <v>HARVEY</v>
      </c>
      <c r="C11684" t="str">
        <f t="shared" si="4224"/>
        <v>MOLINARES COLLINS</v>
      </c>
      <c r="D11684" t="str">
        <f t="shared" si="4225"/>
        <v>09</v>
      </c>
      <c r="E11684" t="str">
        <f>"05 - B - 103 - Josiah I Lacy"</f>
        <v>05 - B - 103 - Josiah I Lacy</v>
      </c>
      <c r="F11684" t="str">
        <f>"PRE-AICE BIO IG"</f>
        <v>PRE-AICE BIO IG</v>
      </c>
      <c r="G11684" t="str">
        <f>"08-801"</f>
        <v>08-801</v>
      </c>
      <c r="H11684" t="str">
        <f>"B"</f>
        <v>B</v>
      </c>
    </row>
    <row r="11685" spans="1:8" x14ac:dyDescent="0.2">
      <c r="A11685" t="str">
        <f t="shared" si="4222"/>
        <v>0616153602</v>
      </c>
      <c r="B11685" t="str">
        <f t="shared" si="4223"/>
        <v>HARVEY</v>
      </c>
      <c r="C11685" t="str">
        <f t="shared" si="4224"/>
        <v>MOLINARES COLLINS</v>
      </c>
      <c r="D11685" t="str">
        <f t="shared" si="4225"/>
        <v>09</v>
      </c>
      <c r="E11685" t="str">
        <f>"01 - A - 101 - Elizabeth R Walker"</f>
        <v>01 - A - 101 - Elizabeth R Walker</v>
      </c>
      <c r="F11685" t="str">
        <f>"AICE ENG GEN PAPER 1"</f>
        <v>AICE ENG GEN PAPER 1</v>
      </c>
      <c r="G11685" t="str">
        <f>"17-1703"</f>
        <v>17-1703</v>
      </c>
      <c r="H11685" t="str">
        <f>"A"</f>
        <v>A</v>
      </c>
    </row>
    <row r="11686" spans="1:8" x14ac:dyDescent="0.2">
      <c r="A11686" t="str">
        <f t="shared" si="4222"/>
        <v>0616153602</v>
      </c>
      <c r="B11686" t="str">
        <f t="shared" si="4223"/>
        <v>HARVEY</v>
      </c>
      <c r="C11686" t="str">
        <f t="shared" si="4224"/>
        <v>MOLINARES COLLINS</v>
      </c>
      <c r="D11686" t="str">
        <f t="shared" si="4225"/>
        <v>09</v>
      </c>
      <c r="E11686" t="str">
        <f>"08 - B - 105 - Ferrie J Arostique"</f>
        <v>08 - B - 105 - Ferrie J Arostique</v>
      </c>
      <c r="F11686" t="str">
        <f>"PRE-AICE MATH 2 IG"</f>
        <v>PRE-AICE MATH 2 IG</v>
      </c>
      <c r="G11686" t="str">
        <f>"21-2139"</f>
        <v>21-2139</v>
      </c>
      <c r="H11686" t="str">
        <f>"B"</f>
        <v>B</v>
      </c>
    </row>
    <row r="11687" spans="1:8" x14ac:dyDescent="0.2">
      <c r="A11687" t="str">
        <f t="shared" ref="A11687:A11694" si="4226">"0623016597"</f>
        <v>0623016597</v>
      </c>
      <c r="B11687" t="str">
        <f t="shared" ref="B11687:B11694" si="4227">"JERONIMO"</f>
        <v>JERONIMO</v>
      </c>
      <c r="C11687" t="str">
        <f t="shared" ref="C11687:C11694" si="4228">"MOLINA ROMERO"</f>
        <v>MOLINA ROMERO</v>
      </c>
      <c r="D11687" t="str">
        <f t="shared" si="4225"/>
        <v>09</v>
      </c>
      <c r="E11687" t="str">
        <f>"04 - A - 005 - Emmily A Sarmiento"</f>
        <v>04 - A - 005 - Emmily A Sarmiento</v>
      </c>
      <c r="F11687" t="str">
        <f>"AICE GLBL PERSP 1 AS"</f>
        <v>AICE GLBL PERSP 1 AS</v>
      </c>
      <c r="G11687" t="str">
        <f>"17-1743"</f>
        <v>17-1743</v>
      </c>
      <c r="H11687" t="str">
        <f>"A"</f>
        <v>A</v>
      </c>
    </row>
    <row r="11688" spans="1:8" x14ac:dyDescent="0.2">
      <c r="A11688" t="str">
        <f t="shared" si="4226"/>
        <v>0623016597</v>
      </c>
      <c r="B11688" t="str">
        <f t="shared" si="4227"/>
        <v>JERONIMO</v>
      </c>
      <c r="C11688" t="str">
        <f t="shared" si="4228"/>
        <v>MOLINA ROMERO</v>
      </c>
      <c r="D11688" t="str">
        <f t="shared" si="4225"/>
        <v>09</v>
      </c>
      <c r="E11688" t="str">
        <f>"06 - B - 105 - Cheryl L Beach"</f>
        <v>06 - B - 105 - Cheryl L Beach</v>
      </c>
      <c r="F11688" t="str">
        <f>"AICE ENV MGMNT AS"</f>
        <v>AICE ENV MGMNT AS</v>
      </c>
      <c r="G11688" t="str">
        <f>"08-811"</f>
        <v>08-811</v>
      </c>
      <c r="H11688" t="str">
        <f>"B"</f>
        <v>B</v>
      </c>
    </row>
    <row r="11689" spans="1:8" x14ac:dyDescent="0.2">
      <c r="A11689" t="str">
        <f t="shared" si="4226"/>
        <v>0623016597</v>
      </c>
      <c r="B11689" t="str">
        <f t="shared" si="4227"/>
        <v>JERONIMO</v>
      </c>
      <c r="C11689" t="str">
        <f t="shared" si="4228"/>
        <v>MOLINA ROMERO</v>
      </c>
      <c r="D11689" t="str">
        <f t="shared" si="4225"/>
        <v>09</v>
      </c>
      <c r="E11689" t="str">
        <f>"03 - A - 001 - Maried P Ramos"</f>
        <v>03 - A - 001 - Maried P Ramos</v>
      </c>
      <c r="F11689" t="str">
        <f>"PRE-AICE MATH 2 IG"</f>
        <v>PRE-AICE MATH 2 IG</v>
      </c>
      <c r="G11689" t="str">
        <f>"21-2159"</f>
        <v>21-2159</v>
      </c>
      <c r="H11689" t="str">
        <f>"A"</f>
        <v>A</v>
      </c>
    </row>
    <row r="11690" spans="1:8" x14ac:dyDescent="0.2">
      <c r="A11690" t="str">
        <f t="shared" si="4226"/>
        <v>0623016597</v>
      </c>
      <c r="B11690" t="str">
        <f t="shared" si="4227"/>
        <v>JERONIMO</v>
      </c>
      <c r="C11690" t="str">
        <f t="shared" si="4228"/>
        <v>MOLINA ROMERO</v>
      </c>
      <c r="D11690" t="str">
        <f t="shared" si="4225"/>
        <v>09</v>
      </c>
      <c r="E11690" t="str">
        <f>"02 - A - 113 - Amy Beth  Broyles"</f>
        <v>02 - A - 113 - Amy Beth  Broyles</v>
      </c>
      <c r="F11690" t="str">
        <f>"NC STUDY HALL 1"</f>
        <v>NC STUDY HALL 1</v>
      </c>
      <c r="G11690" t="str">
        <f>"08-802"</f>
        <v>08-802</v>
      </c>
      <c r="H11690" t="str">
        <f>"A"</f>
        <v>A</v>
      </c>
    </row>
    <row r="11691" spans="1:8" x14ac:dyDescent="0.2">
      <c r="A11691" t="str">
        <f t="shared" si="4226"/>
        <v>0623016597</v>
      </c>
      <c r="B11691" t="str">
        <f t="shared" si="4227"/>
        <v>JERONIMO</v>
      </c>
      <c r="C11691" t="str">
        <f t="shared" si="4228"/>
        <v>MOLINA ROMERO</v>
      </c>
      <c r="D11691" t="str">
        <f t="shared" si="4225"/>
        <v>09</v>
      </c>
      <c r="E11691" t="str">
        <f>"07 - B - 003 - Brandy N Zdenek"</f>
        <v>07 - B - 003 - Brandy N Zdenek</v>
      </c>
      <c r="F11691" t="str">
        <f>"AICE ENG GEN PAPER 1"</f>
        <v>AICE ENG GEN PAPER 1</v>
      </c>
      <c r="G11691" t="str">
        <f>"17-1704"</f>
        <v>17-1704</v>
      </c>
      <c r="H11691" t="str">
        <f>"B"</f>
        <v>B</v>
      </c>
    </row>
    <row r="11692" spans="1:8" x14ac:dyDescent="0.2">
      <c r="A11692" t="str">
        <f t="shared" si="4226"/>
        <v>0623016597</v>
      </c>
      <c r="B11692" t="str">
        <f t="shared" si="4227"/>
        <v>JERONIMO</v>
      </c>
      <c r="C11692" t="str">
        <f t="shared" si="4228"/>
        <v>MOLINA ROMERO</v>
      </c>
      <c r="D11692" t="str">
        <f t="shared" si="4225"/>
        <v>09</v>
      </c>
      <c r="E11692" t="str">
        <f>"05 - B - 201 - Lisa J London"</f>
        <v>05 - B - 201 - Lisa J London</v>
      </c>
      <c r="F11692" t="str">
        <f>"COMPRE LAW HON"</f>
        <v>COMPRE LAW HON</v>
      </c>
      <c r="G11692" t="str">
        <f>"17-1714"</f>
        <v>17-1714</v>
      </c>
      <c r="H11692" t="str">
        <f>"B"</f>
        <v>B</v>
      </c>
    </row>
    <row r="11693" spans="1:8" x14ac:dyDescent="0.2">
      <c r="A11693" t="str">
        <f t="shared" si="4226"/>
        <v>0623016597</v>
      </c>
      <c r="B11693" t="str">
        <f t="shared" si="4227"/>
        <v>JERONIMO</v>
      </c>
      <c r="C11693" t="str">
        <f t="shared" si="4228"/>
        <v>MOLINA ROMERO</v>
      </c>
      <c r="D11693" t="str">
        <f t="shared" si="4225"/>
        <v>09</v>
      </c>
      <c r="E11693" t="str">
        <f>"01 - A - 101 - Arthur  Kulawik"</f>
        <v>01 - A - 101 - Arthur  Kulawik</v>
      </c>
      <c r="F11693" t="str">
        <f>"DEBATE 1 LH"</f>
        <v>DEBATE 1 LH</v>
      </c>
      <c r="G11693" t="str">
        <f>"05-506"</f>
        <v>05-506</v>
      </c>
      <c r="H11693" t="str">
        <f>"A"</f>
        <v>A</v>
      </c>
    </row>
    <row r="11694" spans="1:8" x14ac:dyDescent="0.2">
      <c r="A11694" t="str">
        <f t="shared" si="4226"/>
        <v>0623016597</v>
      </c>
      <c r="B11694" t="str">
        <f t="shared" si="4227"/>
        <v>JERONIMO</v>
      </c>
      <c r="C11694" t="str">
        <f t="shared" si="4228"/>
        <v>MOLINA ROMERO</v>
      </c>
      <c r="D11694" t="str">
        <f t="shared" si="4225"/>
        <v>09</v>
      </c>
      <c r="E11694" t="str">
        <f>"08 - B - 105 - Daniel S Tyson"</f>
        <v>08 - B - 105 - Daniel S Tyson</v>
      </c>
      <c r="F11694" t="str">
        <f>"JROTC NAVAL SCI 1"</f>
        <v>JROTC NAVAL SCI 1</v>
      </c>
      <c r="G11694" t="str">
        <f>"05-510"</f>
        <v>05-510</v>
      </c>
      <c r="H11694" t="str">
        <f>"B"</f>
        <v>B</v>
      </c>
    </row>
    <row r="11695" spans="1:8" x14ac:dyDescent="0.2">
      <c r="A11695" t="str">
        <f t="shared" ref="A11695:A11702" si="4229">"0614122824"</f>
        <v>0614122824</v>
      </c>
      <c r="B11695" t="str">
        <f t="shared" ref="B11695:B11702" si="4230">"KATHERINE"</f>
        <v>KATHERINE</v>
      </c>
      <c r="C11695" t="str">
        <f t="shared" ref="C11695:C11702" si="4231">"MOLINA SORTO"</f>
        <v>MOLINA SORTO</v>
      </c>
      <c r="D11695">
        <f>11</f>
        <v>11</v>
      </c>
      <c r="E11695" t="str">
        <f>"04 - A - 101 - Rosa Elaine  Collado-Duff"</f>
        <v>04 - A - 101 - Rosa Elaine  Collado-Duff</v>
      </c>
      <c r="F11695" t="str">
        <f>"AICE SPAN LANG AS"</f>
        <v>AICE SPAN LANG AS</v>
      </c>
      <c r="G11695" t="str">
        <f>"09-913"</f>
        <v>09-913</v>
      </c>
      <c r="H11695" t="str">
        <f>"A"</f>
        <v>A</v>
      </c>
    </row>
    <row r="11696" spans="1:8" x14ac:dyDescent="0.2">
      <c r="A11696" t="str">
        <f t="shared" si="4229"/>
        <v>0614122824</v>
      </c>
      <c r="B11696" t="str">
        <f t="shared" si="4230"/>
        <v>KATHERINE</v>
      </c>
      <c r="C11696" t="str">
        <f t="shared" si="4231"/>
        <v>MOLINA SORTO</v>
      </c>
      <c r="D11696">
        <f>11</f>
        <v>11</v>
      </c>
      <c r="E11696" t="str">
        <f>"06 - B - 104 - Brandy N Zdenek"</f>
        <v>06 - B - 104 - Brandy N Zdenek</v>
      </c>
      <c r="F11696" t="str">
        <f>"AICE ENG LANG 2 AL"</f>
        <v>AICE ENG LANG 2 AL</v>
      </c>
      <c r="G11696" t="str">
        <f>"17-1704"</f>
        <v>17-1704</v>
      </c>
      <c r="H11696" t="str">
        <f>"B"</f>
        <v>B</v>
      </c>
    </row>
    <row r="11697" spans="1:8" x14ac:dyDescent="0.2">
      <c r="A11697" t="str">
        <f t="shared" si="4229"/>
        <v>0614122824</v>
      </c>
      <c r="B11697" t="str">
        <f t="shared" si="4230"/>
        <v>KATHERINE</v>
      </c>
      <c r="C11697" t="str">
        <f t="shared" si="4231"/>
        <v>MOLINA SORTO</v>
      </c>
      <c r="D11697">
        <f>11</f>
        <v>11</v>
      </c>
      <c r="E11697" t="str">
        <f>"03 - A - 101 - Scott A Dethloff"</f>
        <v>03 - A - 101 - Scott A Dethloff</v>
      </c>
      <c r="F11697" t="str">
        <f>"CHEMISTRY 1 HON"</f>
        <v>CHEMISTRY 1 HON</v>
      </c>
      <c r="G11697" t="str">
        <f>"08-812"</f>
        <v>08-812</v>
      </c>
      <c r="H11697" t="str">
        <f>"A"</f>
        <v>A</v>
      </c>
    </row>
    <row r="11698" spans="1:8" x14ac:dyDescent="0.2">
      <c r="A11698" t="str">
        <f t="shared" si="4229"/>
        <v>0614122824</v>
      </c>
      <c r="B11698" t="str">
        <f t="shared" si="4230"/>
        <v>KATHERINE</v>
      </c>
      <c r="C11698" t="str">
        <f t="shared" si="4231"/>
        <v>MOLINA SORTO</v>
      </c>
      <c r="D11698">
        <f>11</f>
        <v>11</v>
      </c>
      <c r="E11698" t="str">
        <f>"02 - A - 102 - Fernando  Vega-Cid"</f>
        <v>02 - A - 102 - Fernando  Vega-Cid</v>
      </c>
      <c r="F11698" t="str">
        <f>"NC STUDY HALL 1"</f>
        <v>NC STUDY HALL 1</v>
      </c>
      <c r="G11698" t="str">
        <f>"21-2163"</f>
        <v>21-2163</v>
      </c>
      <c r="H11698" t="str">
        <f>"A"</f>
        <v>A</v>
      </c>
    </row>
    <row r="11699" spans="1:8" x14ac:dyDescent="0.2">
      <c r="A11699" t="str">
        <f t="shared" si="4229"/>
        <v>0614122824</v>
      </c>
      <c r="B11699" t="str">
        <f t="shared" si="4230"/>
        <v>KATHERINE</v>
      </c>
      <c r="C11699" t="str">
        <f t="shared" si="4231"/>
        <v>MOLINA SORTO</v>
      </c>
      <c r="D11699">
        <f>11</f>
        <v>11</v>
      </c>
      <c r="E11699" t="str">
        <f>"07 - B - 103 - Lisa J London"</f>
        <v>07 - B - 103 - Lisa J London</v>
      </c>
      <c r="F11699" t="str">
        <f>"AP CAPSTONE SEMINAR"</f>
        <v>AP CAPSTONE SEMINAR</v>
      </c>
      <c r="G11699" t="str">
        <f>"17-1714"</f>
        <v>17-1714</v>
      </c>
      <c r="H11699" t="str">
        <f>"B"</f>
        <v>B</v>
      </c>
    </row>
    <row r="11700" spans="1:8" x14ac:dyDescent="0.2">
      <c r="A11700" t="str">
        <f t="shared" si="4229"/>
        <v>0614122824</v>
      </c>
      <c r="B11700" t="str">
        <f t="shared" si="4230"/>
        <v>KATHERINE</v>
      </c>
      <c r="C11700" t="str">
        <f t="shared" si="4231"/>
        <v>MOLINA SORTO</v>
      </c>
      <c r="D11700">
        <f>11</f>
        <v>11</v>
      </c>
      <c r="E11700" t="str">
        <f>"05 - B - 101 - Angela S Adeshina-Morrison"</f>
        <v>05 - B - 101 - Angela S Adeshina-Morrison</v>
      </c>
      <c r="F11700" t="str">
        <f>"MKT APPLCTNS LH"</f>
        <v>MKT APPLCTNS LH</v>
      </c>
      <c r="G11700" t="str">
        <f>"05-518"</f>
        <v>05-518</v>
      </c>
      <c r="H11700" t="str">
        <f>"B"</f>
        <v>B</v>
      </c>
    </row>
    <row r="11701" spans="1:8" x14ac:dyDescent="0.2">
      <c r="A11701" t="str">
        <f t="shared" si="4229"/>
        <v>0614122824</v>
      </c>
      <c r="B11701" t="str">
        <f t="shared" si="4230"/>
        <v>KATHERINE</v>
      </c>
      <c r="C11701" t="str">
        <f t="shared" si="4231"/>
        <v>MOLINA SORTO</v>
      </c>
      <c r="D11701">
        <f>11</f>
        <v>11</v>
      </c>
      <c r="E11701" t="str">
        <f>"01 - A - 001 - Stephen T Ripp"</f>
        <v>01 - A - 001 - Stephen T Ripp</v>
      </c>
      <c r="F11701" t="str">
        <f>"AP U.S. HIST"</f>
        <v>AP U.S. HIST</v>
      </c>
      <c r="G11701" t="str">
        <f>"17-1744"</f>
        <v>17-1744</v>
      </c>
      <c r="H11701" t="str">
        <f>"A"</f>
        <v>A</v>
      </c>
    </row>
    <row r="11702" spans="1:8" x14ac:dyDescent="0.2">
      <c r="A11702" t="str">
        <f t="shared" si="4229"/>
        <v>0614122824</v>
      </c>
      <c r="B11702" t="str">
        <f t="shared" si="4230"/>
        <v>KATHERINE</v>
      </c>
      <c r="C11702" t="str">
        <f t="shared" si="4231"/>
        <v>MOLINA SORTO</v>
      </c>
      <c r="D11702">
        <f>11</f>
        <v>11</v>
      </c>
      <c r="E11702" t="str">
        <f>"08 - B - 105 - Semra  Bahadir"</f>
        <v>08 - B - 105 - Semra  Bahadir</v>
      </c>
      <c r="F11702" t="str">
        <f>"MATH COLL ALGEBRA"</f>
        <v>MATH COLL ALGEBRA</v>
      </c>
      <c r="G11702" t="str">
        <f>"21-2107"</f>
        <v>21-2107</v>
      </c>
      <c r="H11702" t="str">
        <f>"B"</f>
        <v>B</v>
      </c>
    </row>
    <row r="11703" spans="1:8" x14ac:dyDescent="0.2">
      <c r="A11703" t="str">
        <f t="shared" ref="A11703:A11710" si="4232">"0617074771"</f>
        <v>0617074771</v>
      </c>
      <c r="B11703" t="str">
        <f t="shared" ref="B11703:B11710" si="4233">"PRESTON"</f>
        <v>PRESTON</v>
      </c>
      <c r="C11703" t="str">
        <f t="shared" ref="C11703:C11710" si="4234">"MONDESIR"</f>
        <v>MONDESIR</v>
      </c>
      <c r="D11703" t="str">
        <f t="shared" ref="D11703:D11710" si="4235">"09"</f>
        <v>09</v>
      </c>
      <c r="E11703" t="str">
        <f>"04 - S1 - A - 104 - Richard E Dunbar Iii"</f>
        <v>04 - S1 - A - 104 - Richard E Dunbar Iii</v>
      </c>
      <c r="F11703" t="str">
        <f>"WEIGHT TRAIN 1"</f>
        <v>WEIGHT TRAIN 1</v>
      </c>
      <c r="G11703" t="str">
        <f>"05-501"</f>
        <v>05-501</v>
      </c>
      <c r="H11703" t="str">
        <f>"A"</f>
        <v>A</v>
      </c>
    </row>
    <row r="11704" spans="1:8" x14ac:dyDescent="0.2">
      <c r="A11704" t="str">
        <f t="shared" si="4232"/>
        <v>0617074771</v>
      </c>
      <c r="B11704" t="str">
        <f t="shared" si="4233"/>
        <v>PRESTON</v>
      </c>
      <c r="C11704" t="str">
        <f t="shared" si="4234"/>
        <v>MONDESIR</v>
      </c>
      <c r="D11704" t="str">
        <f t="shared" si="4235"/>
        <v>09</v>
      </c>
      <c r="E11704" t="str">
        <f>"06 - B - 202 - Brian M Fitzgerald"</f>
        <v>06 - B - 202 - Brian M Fitzgerald</v>
      </c>
      <c r="F11704" t="str">
        <f>"DRAW 1"</f>
        <v>DRAW 1</v>
      </c>
      <c r="G11704" t="str">
        <f>"09-908"</f>
        <v>09-908</v>
      </c>
      <c r="H11704" t="str">
        <f>"B"</f>
        <v>B</v>
      </c>
    </row>
    <row r="11705" spans="1:8" x14ac:dyDescent="0.2">
      <c r="A11705" t="str">
        <f t="shared" si="4232"/>
        <v>0617074771</v>
      </c>
      <c r="B11705" t="str">
        <f t="shared" si="4233"/>
        <v>PRESTON</v>
      </c>
      <c r="C11705" t="str">
        <f t="shared" si="4234"/>
        <v>MONDESIR</v>
      </c>
      <c r="D11705" t="str">
        <f t="shared" si="4235"/>
        <v>09</v>
      </c>
      <c r="E11705" t="str">
        <f>"03 - A - 203 - Elizabeth R Walker"</f>
        <v>03 - A - 203 - Elizabeth R Walker</v>
      </c>
      <c r="F11705" t="str">
        <f>"AICE ENG GEN PAPER 1"</f>
        <v>AICE ENG GEN PAPER 1</v>
      </c>
      <c r="G11705" t="str">
        <f>"17-1703"</f>
        <v>17-1703</v>
      </c>
      <c r="H11705" t="str">
        <f>"A"</f>
        <v>A</v>
      </c>
    </row>
    <row r="11706" spans="1:8" x14ac:dyDescent="0.2">
      <c r="A11706" t="str">
        <f t="shared" si="4232"/>
        <v>0617074771</v>
      </c>
      <c r="B11706" t="str">
        <f t="shared" si="4233"/>
        <v>PRESTON</v>
      </c>
      <c r="C11706" t="str">
        <f t="shared" si="4234"/>
        <v>MONDESIR</v>
      </c>
      <c r="D11706" t="str">
        <f t="shared" si="4235"/>
        <v>09</v>
      </c>
      <c r="E11706" t="str">
        <f>"02 - A - 114 - Laselleda D Shaw"</f>
        <v>02 - A - 114 - Laselleda D Shaw</v>
      </c>
      <c r="F11706" t="str">
        <f>"NC STUDY HALL 1"</f>
        <v>NC STUDY HALL 1</v>
      </c>
      <c r="G11706" t="str">
        <f>"17-1723"</f>
        <v>17-1723</v>
      </c>
      <c r="H11706" t="str">
        <f>"A"</f>
        <v>A</v>
      </c>
    </row>
    <row r="11707" spans="1:8" x14ac:dyDescent="0.2">
      <c r="A11707" t="str">
        <f t="shared" si="4232"/>
        <v>0617074771</v>
      </c>
      <c r="B11707" t="str">
        <f t="shared" si="4233"/>
        <v>PRESTON</v>
      </c>
      <c r="C11707" t="str">
        <f t="shared" si="4234"/>
        <v>MONDESIR</v>
      </c>
      <c r="D11707" t="str">
        <f t="shared" si="4235"/>
        <v>09</v>
      </c>
      <c r="E11707" t="str">
        <f>"07 - B - 001 - Maried P Ramos"</f>
        <v>07 - B - 001 - Maried P Ramos</v>
      </c>
      <c r="F11707" t="str">
        <f>"GEOMETRY"</f>
        <v>GEOMETRY</v>
      </c>
      <c r="G11707" t="str">
        <f>"21-2159"</f>
        <v>21-2159</v>
      </c>
      <c r="H11707" t="str">
        <f>"B"</f>
        <v>B</v>
      </c>
    </row>
    <row r="11708" spans="1:8" x14ac:dyDescent="0.2">
      <c r="A11708" t="str">
        <f t="shared" si="4232"/>
        <v>0617074771</v>
      </c>
      <c r="B11708" t="str">
        <f t="shared" si="4233"/>
        <v>PRESTON</v>
      </c>
      <c r="C11708" t="str">
        <f t="shared" si="4234"/>
        <v>MONDESIR</v>
      </c>
      <c r="D11708" t="str">
        <f t="shared" si="4235"/>
        <v>09</v>
      </c>
      <c r="E11708" t="str">
        <f>"05 - B - 102 - Jeanne M Bermudez"</f>
        <v>05 - B - 102 - Jeanne M Bermudez</v>
      </c>
      <c r="F11708" t="str">
        <f>"ADVANCED IT HON"</f>
        <v>ADVANCED IT HON</v>
      </c>
      <c r="G11708" t="str">
        <f>"21-2141"</f>
        <v>21-2141</v>
      </c>
      <c r="H11708" t="str">
        <f>"B"</f>
        <v>B</v>
      </c>
    </row>
    <row r="11709" spans="1:8" x14ac:dyDescent="0.2">
      <c r="A11709" t="str">
        <f t="shared" si="4232"/>
        <v>0617074771</v>
      </c>
      <c r="B11709" t="str">
        <f t="shared" si="4233"/>
        <v>PRESTON</v>
      </c>
      <c r="C11709" t="str">
        <f t="shared" si="4234"/>
        <v>MONDESIR</v>
      </c>
      <c r="D11709" t="str">
        <f t="shared" si="4235"/>
        <v>09</v>
      </c>
      <c r="E11709" t="str">
        <f>"01 - A - 101 - Rory T Sponsler"</f>
        <v>01 - A - 101 - Rory T Sponsler</v>
      </c>
      <c r="F11709" t="str">
        <f>"PRE-AICE WRLD HST IG"</f>
        <v>PRE-AICE WRLD HST IG</v>
      </c>
      <c r="G11709" t="str">
        <f>"17-1740"</f>
        <v>17-1740</v>
      </c>
      <c r="H11709" t="str">
        <f>"A"</f>
        <v>A</v>
      </c>
    </row>
    <row r="11710" spans="1:8" x14ac:dyDescent="0.2">
      <c r="A11710" t="str">
        <f t="shared" si="4232"/>
        <v>0617074771</v>
      </c>
      <c r="B11710" t="str">
        <f t="shared" si="4233"/>
        <v>PRESTON</v>
      </c>
      <c r="C11710" t="str">
        <f t="shared" si="4234"/>
        <v>MONDESIR</v>
      </c>
      <c r="D11710" t="str">
        <f t="shared" si="4235"/>
        <v>09</v>
      </c>
      <c r="E11710" t="str">
        <f>"08 - B - 102 - Josiah I Lacy"</f>
        <v>08 - B - 102 - Josiah I Lacy</v>
      </c>
      <c r="F11710" t="str">
        <f>"ANAT PHYSIO HON"</f>
        <v>ANAT PHYSIO HON</v>
      </c>
      <c r="G11710" t="str">
        <f>"08-801"</f>
        <v>08-801</v>
      </c>
      <c r="H11710" t="str">
        <f>"B"</f>
        <v>B</v>
      </c>
    </row>
    <row r="11711" spans="1:8" x14ac:dyDescent="0.2">
      <c r="A11711" t="str">
        <f t="shared" ref="A11711:A11718" si="4236">"0614111743"</f>
        <v>0614111743</v>
      </c>
      <c r="B11711" t="str">
        <f t="shared" ref="B11711:B11718" si="4237">"DONOVAN"</f>
        <v>DONOVAN</v>
      </c>
      <c r="C11711" t="str">
        <f t="shared" ref="C11711:C11718" si="4238">"MONROE"</f>
        <v>MONROE</v>
      </c>
      <c r="D11711">
        <f>11</f>
        <v>11</v>
      </c>
      <c r="E11711" t="str">
        <f>"04 - A - 102 - Lisa J London"</f>
        <v>04 - A - 102 - Lisa J London</v>
      </c>
      <c r="F11711" t="str">
        <f>"AP CAPSTONE SEMINAR"</f>
        <v>AP CAPSTONE SEMINAR</v>
      </c>
      <c r="G11711" t="str">
        <f>"17-1714"</f>
        <v>17-1714</v>
      </c>
      <c r="H11711" t="str">
        <f>"A"</f>
        <v>A</v>
      </c>
    </row>
    <row r="11712" spans="1:8" x14ac:dyDescent="0.2">
      <c r="A11712" t="str">
        <f t="shared" si="4236"/>
        <v>0614111743</v>
      </c>
      <c r="B11712" t="str">
        <f t="shared" si="4237"/>
        <v>DONOVAN</v>
      </c>
      <c r="C11712" t="str">
        <f t="shared" si="4238"/>
        <v>MONROE</v>
      </c>
      <c r="D11712">
        <f>11</f>
        <v>11</v>
      </c>
      <c r="E11712" t="str">
        <f>"06 - B - 206 - Jacqueline R Morphet"</f>
        <v>06 - B - 206 - Jacqueline R Morphet</v>
      </c>
      <c r="F11712" t="str">
        <f>"PHYSICS 1 HON"</f>
        <v>PHYSICS 1 HON</v>
      </c>
      <c r="G11712" t="str">
        <f>"21-2138"</f>
        <v>21-2138</v>
      </c>
      <c r="H11712" t="str">
        <f>"B"</f>
        <v>B</v>
      </c>
    </row>
    <row r="11713" spans="1:8" x14ac:dyDescent="0.2">
      <c r="A11713" t="str">
        <f t="shared" si="4236"/>
        <v>0614111743</v>
      </c>
      <c r="B11713" t="str">
        <f t="shared" si="4237"/>
        <v>DONOVAN</v>
      </c>
      <c r="C11713" t="str">
        <f t="shared" si="4238"/>
        <v>MONROE</v>
      </c>
      <c r="D11713">
        <f>11</f>
        <v>11</v>
      </c>
      <c r="E11713" t="str">
        <f>"03 - S1 - A - 101 - Daniel S Katz"</f>
        <v>03 - S1 - A - 101 - Daniel S Katz</v>
      </c>
      <c r="F11713" t="str">
        <f>"COURT PROCED"</f>
        <v>COURT PROCED</v>
      </c>
      <c r="G11713" t="str">
        <f>"21-2156"</f>
        <v>21-2156</v>
      </c>
      <c r="H11713" t="str">
        <f>"A"</f>
        <v>A</v>
      </c>
    </row>
    <row r="11714" spans="1:8" x14ac:dyDescent="0.2">
      <c r="A11714" t="str">
        <f t="shared" si="4236"/>
        <v>0614111743</v>
      </c>
      <c r="B11714" t="str">
        <f t="shared" si="4237"/>
        <v>DONOVAN</v>
      </c>
      <c r="C11714" t="str">
        <f t="shared" si="4238"/>
        <v>MONROE</v>
      </c>
      <c r="D11714">
        <f>11</f>
        <v>11</v>
      </c>
      <c r="E11714" t="str">
        <f>"02 - A - 103 - Kelly N Panza"</f>
        <v>02 - A - 103 - Kelly N Panza</v>
      </c>
      <c r="F11714" t="str">
        <f>"NC STUDY HALL 1"</f>
        <v>NC STUDY HALL 1</v>
      </c>
      <c r="G11714" t="str">
        <f>"17-1753"</f>
        <v>17-1753</v>
      </c>
      <c r="H11714" t="str">
        <f>"A"</f>
        <v>A</v>
      </c>
    </row>
    <row r="11715" spans="1:8" x14ac:dyDescent="0.2">
      <c r="A11715" t="str">
        <f t="shared" si="4236"/>
        <v>0614111743</v>
      </c>
      <c r="B11715" t="str">
        <f t="shared" si="4237"/>
        <v>DONOVAN</v>
      </c>
      <c r="C11715" t="str">
        <f t="shared" si="4238"/>
        <v>MONROE</v>
      </c>
      <c r="D11715">
        <f>11</f>
        <v>11</v>
      </c>
      <c r="E11715" t="str">
        <f>"07 - B - 107 - Semra  Bahadir"</f>
        <v>07 - B - 107 - Semra  Bahadir</v>
      </c>
      <c r="F11715" t="str">
        <f>"MATH COLL ALGEBRA"</f>
        <v>MATH COLL ALGEBRA</v>
      </c>
      <c r="G11715" t="str">
        <f>"21-2107"</f>
        <v>21-2107</v>
      </c>
      <c r="H11715" t="str">
        <f>"B"</f>
        <v>B</v>
      </c>
    </row>
    <row r="11716" spans="1:8" x14ac:dyDescent="0.2">
      <c r="A11716" t="str">
        <f t="shared" si="4236"/>
        <v>0614111743</v>
      </c>
      <c r="B11716" t="str">
        <f t="shared" si="4237"/>
        <v>DONOVAN</v>
      </c>
      <c r="C11716" t="str">
        <f t="shared" si="4238"/>
        <v>MONROE</v>
      </c>
      <c r="D11716">
        <f>11</f>
        <v>11</v>
      </c>
      <c r="E11716" t="str">
        <f>"05 - B - 103 - Brandy N Zdenek"</f>
        <v>05 - B - 103 - Brandy N Zdenek</v>
      </c>
      <c r="F11716" t="str">
        <f>"AICE ENG LANG 2 AL"</f>
        <v>AICE ENG LANG 2 AL</v>
      </c>
      <c r="G11716" t="str">
        <f>"17-1704"</f>
        <v>17-1704</v>
      </c>
      <c r="H11716" t="str">
        <f>"B"</f>
        <v>B</v>
      </c>
    </row>
    <row r="11717" spans="1:8" x14ac:dyDescent="0.2">
      <c r="A11717" t="str">
        <f t="shared" si="4236"/>
        <v>0614111743</v>
      </c>
      <c r="B11717" t="str">
        <f t="shared" si="4237"/>
        <v>DONOVAN</v>
      </c>
      <c r="C11717" t="str">
        <f t="shared" si="4238"/>
        <v>MONROE</v>
      </c>
      <c r="D11717">
        <f>11</f>
        <v>11</v>
      </c>
      <c r="E11717" t="str">
        <f>"01 - A - 201 - Chrystina M Marchionne"</f>
        <v>01 - A - 201 - Chrystina M Marchionne</v>
      </c>
      <c r="F11717" t="str">
        <f>"AICE MEDIASTUDIES AS"</f>
        <v>AICE MEDIASTUDIES AS</v>
      </c>
      <c r="G11717" t="str">
        <f>"05-520"</f>
        <v>05-520</v>
      </c>
      <c r="H11717" t="str">
        <f>"A"</f>
        <v>A</v>
      </c>
    </row>
    <row r="11718" spans="1:8" x14ac:dyDescent="0.2">
      <c r="A11718" t="str">
        <f t="shared" si="4236"/>
        <v>0614111743</v>
      </c>
      <c r="B11718" t="str">
        <f t="shared" si="4237"/>
        <v>DONOVAN</v>
      </c>
      <c r="C11718" t="str">
        <f t="shared" si="4238"/>
        <v>MONROE</v>
      </c>
      <c r="D11718">
        <f>11</f>
        <v>11</v>
      </c>
      <c r="E11718" t="str">
        <f>"08 - B - 001 - Jerry S Jiampetti"</f>
        <v>08 - B - 001 - Jerry S Jiampetti</v>
      </c>
      <c r="F11718" t="str">
        <f>"AICE U.S. HIST 1 AS"</f>
        <v>AICE U.S. HIST 1 AS</v>
      </c>
      <c r="G11718" t="str">
        <f>"17-1751"</f>
        <v>17-1751</v>
      </c>
      <c r="H11718" t="str">
        <f>"B"</f>
        <v>B</v>
      </c>
    </row>
    <row r="11719" spans="1:8" x14ac:dyDescent="0.2">
      <c r="A11719" t="str">
        <f t="shared" ref="A11719:A11726" si="4239">"0617011215"</f>
        <v>0617011215</v>
      </c>
      <c r="B11719" t="str">
        <f t="shared" ref="B11719:B11726" si="4240">"JUSTIN"</f>
        <v>JUSTIN</v>
      </c>
      <c r="C11719" t="str">
        <f t="shared" ref="C11719:C11726" si="4241">"MONROY"</f>
        <v>MONROY</v>
      </c>
      <c r="D11719" t="str">
        <f t="shared" ref="D11719:D11726" si="4242">"09"</f>
        <v>09</v>
      </c>
      <c r="E11719" t="str">
        <f>"04 - A - 201 - Dorothy D Moore"</f>
        <v>04 - A - 201 - Dorothy D Moore</v>
      </c>
      <c r="F11719" t="str">
        <f>"HEALTH SCI 1/A&amp;P HON"</f>
        <v>HEALTH SCI 1/A&amp;P HON</v>
      </c>
      <c r="G11719" t="str">
        <f>"08-803"</f>
        <v>08-803</v>
      </c>
      <c r="H11719" t="str">
        <f>"A"</f>
        <v>A</v>
      </c>
    </row>
    <row r="11720" spans="1:8" x14ac:dyDescent="0.2">
      <c r="A11720" t="str">
        <f t="shared" si="4239"/>
        <v>0617011215</v>
      </c>
      <c r="B11720" t="str">
        <f t="shared" si="4240"/>
        <v>JUSTIN</v>
      </c>
      <c r="C11720" t="str">
        <f t="shared" si="4241"/>
        <v>MONROY</v>
      </c>
      <c r="D11720" t="str">
        <f t="shared" si="4242"/>
        <v>09</v>
      </c>
      <c r="E11720" t="str">
        <f>"06 - B - 101 - Fernando  Vega-Cid"</f>
        <v>06 - B - 101 - Fernando  Vega-Cid</v>
      </c>
      <c r="F11720" t="str">
        <f>"PRE-AICE MATH 2 IG"</f>
        <v>PRE-AICE MATH 2 IG</v>
      </c>
      <c r="G11720" t="str">
        <f>"21-2163"</f>
        <v>21-2163</v>
      </c>
      <c r="H11720" t="str">
        <f>"B"</f>
        <v>B</v>
      </c>
    </row>
    <row r="11721" spans="1:8" x14ac:dyDescent="0.2">
      <c r="A11721" t="str">
        <f t="shared" si="4239"/>
        <v>0617011215</v>
      </c>
      <c r="B11721" t="str">
        <f t="shared" si="4240"/>
        <v>JUSTIN</v>
      </c>
      <c r="C11721" t="str">
        <f t="shared" si="4241"/>
        <v>MONROY</v>
      </c>
      <c r="D11721" t="str">
        <f t="shared" si="4242"/>
        <v>09</v>
      </c>
      <c r="E11721" t="str">
        <f>"03 - A - 202 - Cheryl L Beach"</f>
        <v>03 - A - 202 - Cheryl L Beach</v>
      </c>
      <c r="F11721" t="str">
        <f>"AICE ENV MGMNT AS"</f>
        <v>AICE ENV MGMNT AS</v>
      </c>
      <c r="G11721" t="str">
        <f>"08-811"</f>
        <v>08-811</v>
      </c>
      <c r="H11721" t="str">
        <f>"A"</f>
        <v>A</v>
      </c>
    </row>
    <row r="11722" spans="1:8" x14ac:dyDescent="0.2">
      <c r="A11722" t="str">
        <f t="shared" si="4239"/>
        <v>0617011215</v>
      </c>
      <c r="B11722" t="str">
        <f t="shared" si="4240"/>
        <v>JUSTIN</v>
      </c>
      <c r="C11722" t="str">
        <f t="shared" si="4241"/>
        <v>MONROY</v>
      </c>
      <c r="D11722" t="str">
        <f t="shared" si="4242"/>
        <v>09</v>
      </c>
      <c r="E11722" t="str">
        <f>"02 - A - 116 - Tina L Lovett"</f>
        <v>02 - A - 116 - Tina L Lovett</v>
      </c>
      <c r="F11722" t="str">
        <f>"NC STUDY HALL 1"</f>
        <v>NC STUDY HALL 1</v>
      </c>
      <c r="G11722" t="str">
        <f>"21-2153"</f>
        <v>21-2153</v>
      </c>
      <c r="H11722" t="str">
        <f>"A"</f>
        <v>A</v>
      </c>
    </row>
    <row r="11723" spans="1:8" x14ac:dyDescent="0.2">
      <c r="A11723" t="str">
        <f t="shared" si="4239"/>
        <v>0617011215</v>
      </c>
      <c r="B11723" t="str">
        <f t="shared" si="4240"/>
        <v>JUSTIN</v>
      </c>
      <c r="C11723" t="str">
        <f t="shared" si="4241"/>
        <v>MONROY</v>
      </c>
      <c r="D11723" t="str">
        <f t="shared" si="4242"/>
        <v>09</v>
      </c>
      <c r="E11723" t="str">
        <f>"07 - B - 103 - Vanessa J Liburd"</f>
        <v>07 - B - 103 - Vanessa J Liburd</v>
      </c>
      <c r="F11723" t="str">
        <f>"PRE-AICE FRENCH 1 IG"</f>
        <v>PRE-AICE FRENCH 1 IG</v>
      </c>
      <c r="G11723" t="str">
        <f>"05-519"</f>
        <v>05-519</v>
      </c>
      <c r="H11723" t="str">
        <f>"B"</f>
        <v>B</v>
      </c>
    </row>
    <row r="11724" spans="1:8" x14ac:dyDescent="0.2">
      <c r="A11724" t="str">
        <f t="shared" si="4239"/>
        <v>0617011215</v>
      </c>
      <c r="B11724" t="str">
        <f t="shared" si="4240"/>
        <v>JUSTIN</v>
      </c>
      <c r="C11724" t="str">
        <f t="shared" si="4241"/>
        <v>MONROY</v>
      </c>
      <c r="D11724" t="str">
        <f t="shared" si="4242"/>
        <v>09</v>
      </c>
      <c r="E11724" t="str">
        <f>"05 - B - 204 - Elizabeth R Walker"</f>
        <v>05 - B - 204 - Elizabeth R Walker</v>
      </c>
      <c r="F11724" t="str">
        <f>"AICE ENG GEN PAPER 1"</f>
        <v>AICE ENG GEN PAPER 1</v>
      </c>
      <c r="G11724" t="str">
        <f>"17-1703"</f>
        <v>17-1703</v>
      </c>
      <c r="H11724" t="str">
        <f>"B"</f>
        <v>B</v>
      </c>
    </row>
    <row r="11725" spans="1:8" x14ac:dyDescent="0.2">
      <c r="A11725" t="str">
        <f t="shared" si="4239"/>
        <v>0617011215</v>
      </c>
      <c r="B11725" t="str">
        <f t="shared" si="4240"/>
        <v>JUSTIN</v>
      </c>
      <c r="C11725" t="str">
        <f t="shared" si="4241"/>
        <v>MONROY</v>
      </c>
      <c r="D11725" t="str">
        <f t="shared" si="4242"/>
        <v>09</v>
      </c>
      <c r="E11725" t="str">
        <f>"01 - A - 101 - Angela S Adeshina-Morrison"</f>
        <v>01 - A - 101 - Angela S Adeshina-Morrison</v>
      </c>
      <c r="F11725" t="str">
        <f>"MARKETING ESSENTIALS"</f>
        <v>MARKETING ESSENTIALS</v>
      </c>
      <c r="G11725" t="str">
        <f>"05-518"</f>
        <v>05-518</v>
      </c>
      <c r="H11725" t="str">
        <f>"A"</f>
        <v>A</v>
      </c>
    </row>
    <row r="11726" spans="1:8" x14ac:dyDescent="0.2">
      <c r="A11726" t="str">
        <f t="shared" si="4239"/>
        <v>0617011215</v>
      </c>
      <c r="B11726" t="str">
        <f t="shared" si="4240"/>
        <v>JUSTIN</v>
      </c>
      <c r="C11726" t="str">
        <f t="shared" si="4241"/>
        <v>MONROY</v>
      </c>
      <c r="D11726" t="str">
        <f t="shared" si="4242"/>
        <v>09</v>
      </c>
      <c r="E11726" t="str">
        <f>"08 - B - 109 - Emmily A Sarmiento"</f>
        <v>08 - B - 109 - Emmily A Sarmiento</v>
      </c>
      <c r="F11726" t="str">
        <f>"AICE GLBL PERSP 1 AS"</f>
        <v>AICE GLBL PERSP 1 AS</v>
      </c>
      <c r="G11726" t="str">
        <f>"17-1743"</f>
        <v>17-1743</v>
      </c>
      <c r="H11726" t="str">
        <f>"B"</f>
        <v>B</v>
      </c>
    </row>
    <row r="11727" spans="1:8" x14ac:dyDescent="0.2">
      <c r="A11727" t="str">
        <f t="shared" ref="A11727:A11734" si="4243">"0616036143"</f>
        <v>0616036143</v>
      </c>
      <c r="B11727" t="str">
        <f t="shared" ref="B11727:B11734" si="4244">"DOMINIC"</f>
        <v>DOMINIC</v>
      </c>
      <c r="C11727" t="str">
        <f t="shared" ref="C11727:C11734" si="4245">"MONTES"</f>
        <v>MONTES</v>
      </c>
      <c r="D11727">
        <f>10</f>
        <v>10</v>
      </c>
      <c r="E11727" t="str">
        <f>"04 - A - 101 - Arthur  Kulawik"</f>
        <v>04 - A - 101 - Arthur  Kulawik</v>
      </c>
      <c r="F11727" t="str">
        <f>"DEBATE 3 HON"</f>
        <v>DEBATE 3 HON</v>
      </c>
      <c r="G11727" t="str">
        <f>"05-506"</f>
        <v>05-506</v>
      </c>
      <c r="H11727" t="str">
        <f>"A"</f>
        <v>A</v>
      </c>
    </row>
    <row r="11728" spans="1:8" x14ac:dyDescent="0.2">
      <c r="A11728" t="str">
        <f t="shared" si="4243"/>
        <v>0616036143</v>
      </c>
      <c r="B11728" t="str">
        <f t="shared" si="4244"/>
        <v>DOMINIC</v>
      </c>
      <c r="C11728" t="str">
        <f t="shared" si="4245"/>
        <v>MONTES</v>
      </c>
      <c r="D11728">
        <f>10</f>
        <v>10</v>
      </c>
      <c r="E11728" t="str">
        <f>"06 - B - 105 - Jeffrey S Gallagher"</f>
        <v>06 - B - 105 - Jeffrey S Gallagher</v>
      </c>
      <c r="F11728" t="str">
        <f>"NC STUDY HALL 1"</f>
        <v>NC STUDY HALL 1</v>
      </c>
      <c r="G11728" t="str">
        <f>"17-1724"</f>
        <v>17-1724</v>
      </c>
      <c r="H11728" t="str">
        <f>"B"</f>
        <v>B</v>
      </c>
    </row>
    <row r="11729" spans="1:8" x14ac:dyDescent="0.2">
      <c r="A11729" t="str">
        <f t="shared" si="4243"/>
        <v>0616036143</v>
      </c>
      <c r="B11729" t="str">
        <f t="shared" si="4244"/>
        <v>DOMINIC</v>
      </c>
      <c r="C11729" t="str">
        <f t="shared" si="4245"/>
        <v>MONTES</v>
      </c>
      <c r="D11729">
        <f>10</f>
        <v>10</v>
      </c>
      <c r="E11729" t="str">
        <f>"03 - A - 101 - Scott A Dethloff"</f>
        <v>03 - A - 101 - Scott A Dethloff</v>
      </c>
      <c r="F11729" t="str">
        <f>"CHEMISTRY 1 HON"</f>
        <v>CHEMISTRY 1 HON</v>
      </c>
      <c r="G11729" t="str">
        <f>"08-812"</f>
        <v>08-812</v>
      </c>
      <c r="H11729" t="str">
        <f>"A"</f>
        <v>A</v>
      </c>
    </row>
    <row r="11730" spans="1:8" x14ac:dyDescent="0.2">
      <c r="A11730" t="str">
        <f t="shared" si="4243"/>
        <v>0616036143</v>
      </c>
      <c r="B11730" t="str">
        <f t="shared" si="4244"/>
        <v>DOMINIC</v>
      </c>
      <c r="C11730" t="str">
        <f t="shared" si="4245"/>
        <v>MONTES</v>
      </c>
      <c r="D11730">
        <f>10</f>
        <v>10</v>
      </c>
      <c r="E11730" t="str">
        <f>"02 - A - 103 - Lenecy  Nodarse"</f>
        <v>02 - A - 103 - Lenecy  Nodarse</v>
      </c>
      <c r="F11730" t="str">
        <f>"AICE EURO HIST 1 AS"</f>
        <v>AICE EURO HIST 1 AS</v>
      </c>
      <c r="G11730" t="str">
        <f>"17-1741"</f>
        <v>17-1741</v>
      </c>
      <c r="H11730" t="str">
        <f>"A"</f>
        <v>A</v>
      </c>
    </row>
    <row r="11731" spans="1:8" x14ac:dyDescent="0.2">
      <c r="A11731" t="str">
        <f t="shared" si="4243"/>
        <v>0616036143</v>
      </c>
      <c r="B11731" t="str">
        <f t="shared" si="4244"/>
        <v>DOMINIC</v>
      </c>
      <c r="C11731" t="str">
        <f t="shared" si="4245"/>
        <v>MONTES</v>
      </c>
      <c r="D11731">
        <f>10</f>
        <v>10</v>
      </c>
      <c r="E11731" t="str">
        <f>"07 - B - 107 - Jacklyn M James"</f>
        <v>07 - B - 107 - Jacklyn M James</v>
      </c>
      <c r="F11731" t="str">
        <f>"AICE ENG LANG AS"</f>
        <v>AICE ENG LANG AS</v>
      </c>
      <c r="G11731" t="str">
        <f>"17-1731"</f>
        <v>17-1731</v>
      </c>
      <c r="H11731" t="str">
        <f>"B"</f>
        <v>B</v>
      </c>
    </row>
    <row r="11732" spans="1:8" x14ac:dyDescent="0.2">
      <c r="A11732" t="str">
        <f t="shared" si="4243"/>
        <v>0616036143</v>
      </c>
      <c r="B11732" t="str">
        <f t="shared" si="4244"/>
        <v>DOMINIC</v>
      </c>
      <c r="C11732" t="str">
        <f t="shared" si="4245"/>
        <v>MONTES</v>
      </c>
      <c r="D11732">
        <f>10</f>
        <v>10</v>
      </c>
      <c r="E11732" t="str">
        <f>"05 - B - 104 - Lourivaldo  Da Silva"</f>
        <v>05 - B - 104 - Lourivaldo  Da Silva</v>
      </c>
      <c r="F11732" t="str">
        <f>"PRE-CALCULUS HON"</f>
        <v>PRE-CALCULUS HON</v>
      </c>
      <c r="G11732" t="str">
        <f>"20-2079"</f>
        <v>20-2079</v>
      </c>
      <c r="H11732" t="str">
        <f>"B"</f>
        <v>B</v>
      </c>
    </row>
    <row r="11733" spans="1:8" x14ac:dyDescent="0.2">
      <c r="A11733" t="str">
        <f t="shared" si="4243"/>
        <v>0616036143</v>
      </c>
      <c r="B11733" t="str">
        <f t="shared" si="4244"/>
        <v>DOMINIC</v>
      </c>
      <c r="C11733" t="str">
        <f t="shared" si="4245"/>
        <v>MONTES</v>
      </c>
      <c r="D11733">
        <f>10</f>
        <v>10</v>
      </c>
      <c r="E11733" t="str">
        <f>"01 - A - 103 - Scott A Dethloff"</f>
        <v>01 - A - 103 - Scott A Dethloff</v>
      </c>
      <c r="F11733" t="str">
        <f>"AICE THINK SKLS 1 AS"</f>
        <v>AICE THINK SKLS 1 AS</v>
      </c>
      <c r="G11733" t="str">
        <f>"08-812"</f>
        <v>08-812</v>
      </c>
      <c r="H11733" t="str">
        <f>"A"</f>
        <v>A</v>
      </c>
    </row>
    <row r="11734" spans="1:8" x14ac:dyDescent="0.2">
      <c r="A11734" t="str">
        <f t="shared" si="4243"/>
        <v>0616036143</v>
      </c>
      <c r="B11734" t="str">
        <f t="shared" si="4244"/>
        <v>DOMINIC</v>
      </c>
      <c r="C11734" t="str">
        <f t="shared" si="4245"/>
        <v>MONTES</v>
      </c>
      <c r="D11734">
        <f>10</f>
        <v>10</v>
      </c>
      <c r="E11734" t="str">
        <f>"08 - B - 103 - Jeanne M Bermudez"</f>
        <v>08 - B - 103 - Jeanne M Bermudez</v>
      </c>
      <c r="F11734" t="str">
        <f>"ADVANCED IT HON"</f>
        <v>ADVANCED IT HON</v>
      </c>
      <c r="G11734" t="str">
        <f>"21-2141"</f>
        <v>21-2141</v>
      </c>
      <c r="H11734" t="str">
        <f>"B"</f>
        <v>B</v>
      </c>
    </row>
    <row r="11735" spans="1:8" x14ac:dyDescent="0.2">
      <c r="A11735" t="str">
        <f t="shared" ref="A11735:A11742" si="4246">"0616159712"</f>
        <v>0616159712</v>
      </c>
      <c r="B11735" t="str">
        <f t="shared" ref="B11735:B11742" si="4247">"EDDIE"</f>
        <v>EDDIE</v>
      </c>
      <c r="C11735" t="str">
        <f t="shared" ref="C11735:C11759" si="4248">"MOORE"</f>
        <v>MOORE</v>
      </c>
      <c r="D11735">
        <f>10</f>
        <v>10</v>
      </c>
      <c r="E11735" t="str">
        <f>"04 - A - 102 - Samantha L Martinez"</f>
        <v>04 - A - 102 - Samantha L Martinez</v>
      </c>
      <c r="F11735" t="str">
        <f>"KEYBD 1"</f>
        <v>KEYBD 1</v>
      </c>
      <c r="G11735" t="str">
        <f>"05-505"</f>
        <v>05-505</v>
      </c>
      <c r="H11735" t="str">
        <f>"A"</f>
        <v>A</v>
      </c>
    </row>
    <row r="11736" spans="1:8" x14ac:dyDescent="0.2">
      <c r="A11736" t="str">
        <f t="shared" si="4246"/>
        <v>0616159712</v>
      </c>
      <c r="B11736" t="str">
        <f t="shared" si="4247"/>
        <v>EDDIE</v>
      </c>
      <c r="C11736" t="str">
        <f t="shared" si="4248"/>
        <v>MOORE</v>
      </c>
      <c r="D11736">
        <f>10</f>
        <v>10</v>
      </c>
      <c r="E11736" t="str">
        <f>"06 - B - 004 - Robert O Burger"</f>
        <v>06 - B - 004 - Robert O Burger</v>
      </c>
      <c r="F11736" t="str">
        <f>"NC STUDY HALL 1"</f>
        <v>NC STUDY HALL 1</v>
      </c>
      <c r="G11736" t="str">
        <f>"17-1755"</f>
        <v>17-1755</v>
      </c>
      <c r="H11736" t="str">
        <f>"B"</f>
        <v>B</v>
      </c>
    </row>
    <row r="11737" spans="1:8" x14ac:dyDescent="0.2">
      <c r="A11737" t="str">
        <f t="shared" si="4246"/>
        <v>0616159712</v>
      </c>
      <c r="B11737" t="str">
        <f t="shared" si="4247"/>
        <v>EDDIE</v>
      </c>
      <c r="C11737" t="str">
        <f t="shared" si="4248"/>
        <v>MOORE</v>
      </c>
      <c r="D11737">
        <f>10</f>
        <v>10</v>
      </c>
      <c r="E11737" t="str">
        <f>"03 - A - 206 - Josiah I Lacy"</f>
        <v>03 - A - 206 - Josiah I Lacy</v>
      </c>
      <c r="F11737" t="str">
        <f>"BIOLOGY 1"</f>
        <v>BIOLOGY 1</v>
      </c>
      <c r="G11737" t="str">
        <f>"08-801"</f>
        <v>08-801</v>
      </c>
      <c r="H11737" t="str">
        <f>"A"</f>
        <v>A</v>
      </c>
    </row>
    <row r="11738" spans="1:8" x14ac:dyDescent="0.2">
      <c r="A11738" t="str">
        <f t="shared" si="4246"/>
        <v>0616159712</v>
      </c>
      <c r="B11738" t="str">
        <f t="shared" si="4247"/>
        <v>EDDIE</v>
      </c>
      <c r="C11738" t="str">
        <f t="shared" si="4248"/>
        <v>MOORE</v>
      </c>
      <c r="D11738">
        <f>10</f>
        <v>10</v>
      </c>
      <c r="E11738" t="str">
        <f>"02 - A - 001 - Alejandro  Navarro"</f>
        <v>02 - A - 001 - Alejandro  Navarro</v>
      </c>
      <c r="F11738" t="str">
        <f>"BAND 1"</f>
        <v>BAND 1</v>
      </c>
      <c r="G11738" t="str">
        <f>"05-504"</f>
        <v>05-504</v>
      </c>
      <c r="H11738" t="str">
        <f>"A"</f>
        <v>A</v>
      </c>
    </row>
    <row r="11739" spans="1:8" x14ac:dyDescent="0.2">
      <c r="A11739" t="str">
        <f t="shared" si="4246"/>
        <v>0616159712</v>
      </c>
      <c r="B11739" t="str">
        <f t="shared" si="4247"/>
        <v>EDDIE</v>
      </c>
      <c r="C11739" t="str">
        <f t="shared" si="4248"/>
        <v>MOORE</v>
      </c>
      <c r="D11739">
        <f>10</f>
        <v>10</v>
      </c>
      <c r="E11739" t="str">
        <f>"07 - B - 107 - Milca  Exantus"</f>
        <v>07 - B - 107 - Milca  Exantus</v>
      </c>
      <c r="F11739" t="str">
        <f>"MATH COLLEGE LIB ART"</f>
        <v>MATH COLLEGE LIB ART</v>
      </c>
      <c r="G11739" t="str">
        <f>"21-2145"</f>
        <v>21-2145</v>
      </c>
      <c r="H11739" t="str">
        <f>"B"</f>
        <v>B</v>
      </c>
    </row>
    <row r="11740" spans="1:8" x14ac:dyDescent="0.2">
      <c r="A11740" t="str">
        <f t="shared" si="4246"/>
        <v>0616159712</v>
      </c>
      <c r="B11740" t="str">
        <f t="shared" si="4247"/>
        <v>EDDIE</v>
      </c>
      <c r="C11740" t="str">
        <f t="shared" si="4248"/>
        <v>MOORE</v>
      </c>
      <c r="D11740">
        <f>10</f>
        <v>10</v>
      </c>
      <c r="E11740" t="str">
        <f>"05 - S1 - B - 102 - Carol S Moore"</f>
        <v>05 - S1 - B - 102 - Carol S Moore</v>
      </c>
      <c r="F11740" t="str">
        <f>"PERS FIN &amp; MON MGT H"</f>
        <v>PERS FIN &amp; MON MGT H</v>
      </c>
      <c r="G11740" t="str">
        <f>"17-1733"</f>
        <v>17-1733</v>
      </c>
      <c r="H11740" t="str">
        <f>"B"</f>
        <v>B</v>
      </c>
    </row>
    <row r="11741" spans="1:8" x14ac:dyDescent="0.2">
      <c r="A11741" t="str">
        <f t="shared" si="4246"/>
        <v>0616159712</v>
      </c>
      <c r="B11741" t="str">
        <f t="shared" si="4247"/>
        <v>EDDIE</v>
      </c>
      <c r="C11741" t="str">
        <f t="shared" si="4248"/>
        <v>MOORE</v>
      </c>
      <c r="D11741">
        <f>10</f>
        <v>10</v>
      </c>
      <c r="E11741" t="str">
        <f>"01 - A - 101 - Taraneh C Abreu"</f>
        <v>01 - A - 101 - Taraneh C Abreu</v>
      </c>
      <c r="F11741" t="str">
        <f>"INTENS READ 2"</f>
        <v>INTENS READ 2</v>
      </c>
      <c r="G11741" t="str">
        <f>"17-1713"</f>
        <v>17-1713</v>
      </c>
      <c r="H11741" t="str">
        <f>"A"</f>
        <v>A</v>
      </c>
    </row>
    <row r="11742" spans="1:8" x14ac:dyDescent="0.2">
      <c r="A11742" t="str">
        <f t="shared" si="4246"/>
        <v>0616159712</v>
      </c>
      <c r="B11742" t="str">
        <f t="shared" si="4247"/>
        <v>EDDIE</v>
      </c>
      <c r="C11742" t="str">
        <f t="shared" si="4248"/>
        <v>MOORE</v>
      </c>
      <c r="D11742">
        <f>10</f>
        <v>10</v>
      </c>
      <c r="E11742" t="str">
        <f>"08 - B - 109 - Nikiel  Nesbeth"</f>
        <v>08 - B - 109 - Nikiel  Nesbeth</v>
      </c>
      <c r="F11742" t="str">
        <f>"ENG 2"</f>
        <v>ENG 2</v>
      </c>
      <c r="G11742" t="str">
        <f>"17-1705"</f>
        <v>17-1705</v>
      </c>
      <c r="H11742" t="str">
        <f>"B"</f>
        <v>B</v>
      </c>
    </row>
    <row r="11743" spans="1:8" x14ac:dyDescent="0.2">
      <c r="A11743" t="str">
        <f t="shared" ref="A11743:A11750" si="4249">"0615149218"</f>
        <v>0615149218</v>
      </c>
      <c r="B11743" t="str">
        <f t="shared" ref="B11743:B11750" si="4250">"KIEFER"</f>
        <v>KIEFER</v>
      </c>
      <c r="C11743" t="str">
        <f t="shared" si="4248"/>
        <v>MOORE</v>
      </c>
      <c r="D11743">
        <f>10</f>
        <v>10</v>
      </c>
      <c r="E11743" t="str">
        <f>"04 - A - 201 - Scott A Dethloff"</f>
        <v>04 - A - 201 - Scott A Dethloff</v>
      </c>
      <c r="F11743" t="str">
        <f>"AICE THINK SKLS 1 AS"</f>
        <v>AICE THINK SKLS 1 AS</v>
      </c>
      <c r="G11743" t="str">
        <f>"08-812"</f>
        <v>08-812</v>
      </c>
      <c r="H11743" t="str">
        <f>"A"</f>
        <v>A</v>
      </c>
    </row>
    <row r="11744" spans="1:8" x14ac:dyDescent="0.2">
      <c r="A11744" t="str">
        <f t="shared" si="4249"/>
        <v>0615149218</v>
      </c>
      <c r="B11744" t="str">
        <f t="shared" si="4250"/>
        <v>KIEFER</v>
      </c>
      <c r="C11744" t="str">
        <f t="shared" si="4248"/>
        <v>MOORE</v>
      </c>
      <c r="D11744">
        <f>10</f>
        <v>10</v>
      </c>
      <c r="E11744" t="str">
        <f>"06 - B - 113 - Joe  Kilpatrick Jr"</f>
        <v>06 - B - 113 - Joe  Kilpatrick Jr</v>
      </c>
      <c r="F11744" t="str">
        <f>"NC STUDY HALL 1"</f>
        <v>NC STUDY HALL 1</v>
      </c>
      <c r="G11744" t="str">
        <f>"09-912"</f>
        <v>09-912</v>
      </c>
      <c r="H11744" t="str">
        <f>"B"</f>
        <v>B</v>
      </c>
    </row>
    <row r="11745" spans="1:8" x14ac:dyDescent="0.2">
      <c r="A11745" t="str">
        <f t="shared" si="4249"/>
        <v>0615149218</v>
      </c>
      <c r="B11745" t="str">
        <f t="shared" si="4250"/>
        <v>KIEFER</v>
      </c>
      <c r="C11745" t="str">
        <f t="shared" si="4248"/>
        <v>MOORE</v>
      </c>
      <c r="D11745">
        <f>10</f>
        <v>10</v>
      </c>
      <c r="E11745" t="str">
        <f>"03 - A - 101 - Jacqueline R Morphet"</f>
        <v>03 - A - 101 - Jacqueline R Morphet</v>
      </c>
      <c r="F11745" t="str">
        <f>"AP PHYSICS 1"</f>
        <v>AP PHYSICS 1</v>
      </c>
      <c r="G11745" t="str">
        <f>"21-2138"</f>
        <v>21-2138</v>
      </c>
      <c r="H11745" t="str">
        <f>"A"</f>
        <v>A</v>
      </c>
    </row>
    <row r="11746" spans="1:8" x14ac:dyDescent="0.2">
      <c r="A11746" t="str">
        <f t="shared" si="4249"/>
        <v>0615149218</v>
      </c>
      <c r="B11746" t="str">
        <f t="shared" si="4250"/>
        <v>KIEFER</v>
      </c>
      <c r="C11746" t="str">
        <f t="shared" si="4248"/>
        <v>MOORE</v>
      </c>
      <c r="D11746">
        <f>10</f>
        <v>10</v>
      </c>
      <c r="E11746" t="str">
        <f>"02 - A - 103 - Lenecy  Nodarse"</f>
        <v>02 - A - 103 - Lenecy  Nodarse</v>
      </c>
      <c r="F11746" t="str">
        <f>"AICE EURO HIST 1 AS"</f>
        <v>AICE EURO HIST 1 AS</v>
      </c>
      <c r="G11746" t="str">
        <f>"17-1741"</f>
        <v>17-1741</v>
      </c>
      <c r="H11746" t="str">
        <f>"A"</f>
        <v>A</v>
      </c>
    </row>
    <row r="11747" spans="1:8" x14ac:dyDescent="0.2">
      <c r="A11747" t="str">
        <f t="shared" si="4249"/>
        <v>0615149218</v>
      </c>
      <c r="B11747" t="str">
        <f t="shared" si="4250"/>
        <v>KIEFER</v>
      </c>
      <c r="C11747" t="str">
        <f t="shared" si="4248"/>
        <v>MOORE</v>
      </c>
      <c r="D11747">
        <f>10</f>
        <v>10</v>
      </c>
      <c r="E11747" t="str">
        <f>"07 - B - 102 - Pamela M Corzo"</f>
        <v>07 - B - 102 - Pamela M Corzo</v>
      </c>
      <c r="F11747" t="str">
        <f>"AP CALCULUS AB"</f>
        <v>AP CALCULUS AB</v>
      </c>
      <c r="G11747" t="str">
        <f>"21-2133"</f>
        <v>21-2133</v>
      </c>
      <c r="H11747" t="str">
        <f>"B"</f>
        <v>B</v>
      </c>
    </row>
    <row r="11748" spans="1:8" x14ac:dyDescent="0.2">
      <c r="A11748" t="str">
        <f t="shared" si="4249"/>
        <v>0615149218</v>
      </c>
      <c r="B11748" t="str">
        <f t="shared" si="4250"/>
        <v>KIEFER</v>
      </c>
      <c r="C11748" t="str">
        <f t="shared" si="4248"/>
        <v>MOORE</v>
      </c>
      <c r="D11748">
        <f>10</f>
        <v>10</v>
      </c>
      <c r="E11748" t="str">
        <f>"05 - B - 106 - Courtney E Hambright"</f>
        <v>05 - B - 106 - Courtney E Hambright</v>
      </c>
      <c r="F11748" t="str">
        <f>"AICE ENG LANG AS"</f>
        <v>AICE ENG LANG AS</v>
      </c>
      <c r="G11748" t="str">
        <f>"17-1711"</f>
        <v>17-1711</v>
      </c>
      <c r="H11748" t="str">
        <f>"B"</f>
        <v>B</v>
      </c>
    </row>
    <row r="11749" spans="1:8" x14ac:dyDescent="0.2">
      <c r="A11749" t="str">
        <f t="shared" si="4249"/>
        <v>0615149218</v>
      </c>
      <c r="B11749" t="str">
        <f t="shared" si="4250"/>
        <v>KIEFER</v>
      </c>
      <c r="C11749" t="str">
        <f t="shared" si="4248"/>
        <v>MOORE</v>
      </c>
      <c r="D11749">
        <f>10</f>
        <v>10</v>
      </c>
      <c r="E11749" t="str">
        <f>"01 - A - 107 - Valerie J Ruwe"</f>
        <v>01 - A - 107 - Valerie J Ruwe</v>
      </c>
      <c r="F11749" t="str">
        <f>"CHEMISTRY 1 HON"</f>
        <v>CHEMISTRY 1 HON</v>
      </c>
      <c r="G11749" t="str">
        <f>"21-2134"</f>
        <v>21-2134</v>
      </c>
      <c r="H11749" t="str">
        <f>"A"</f>
        <v>A</v>
      </c>
    </row>
    <row r="11750" spans="1:8" x14ac:dyDescent="0.2">
      <c r="A11750" t="str">
        <f t="shared" si="4249"/>
        <v>0615149218</v>
      </c>
      <c r="B11750" t="str">
        <f t="shared" si="4250"/>
        <v>KIEFER</v>
      </c>
      <c r="C11750" t="str">
        <f t="shared" si="4248"/>
        <v>MOORE</v>
      </c>
      <c r="D11750">
        <f>10</f>
        <v>10</v>
      </c>
      <c r="E11750" t="str">
        <f>"08 - B - 201 - Stacey A Blecker"</f>
        <v>08 - B - 201 - Stacey A Blecker</v>
      </c>
      <c r="F11750" t="str">
        <f>"AICE SOCIOLOGY 1 AS"</f>
        <v>AICE SOCIOLOGY 1 AS</v>
      </c>
      <c r="G11750" t="str">
        <f>"09-926"</f>
        <v>09-926</v>
      </c>
      <c r="H11750" t="str">
        <f>"B"</f>
        <v>B</v>
      </c>
    </row>
    <row r="11751" spans="1:8" x14ac:dyDescent="0.2">
      <c r="A11751" t="str">
        <f t="shared" ref="A11751:A11759" si="4251">"0612075312"</f>
        <v>0612075312</v>
      </c>
      <c r="B11751" t="str">
        <f t="shared" ref="B11751:B11759" si="4252">"KYLE"</f>
        <v>KYLE</v>
      </c>
      <c r="C11751" t="str">
        <f t="shared" si="4248"/>
        <v>MOORE</v>
      </c>
      <c r="D11751">
        <f>11</f>
        <v>11</v>
      </c>
      <c r="E11751" t="str">
        <f>"04 - A - 201 - Samantha L Martinez"</f>
        <v>04 - A - 201 - Samantha L Martinez</v>
      </c>
      <c r="F11751" t="str">
        <f>"KEYBD 2"</f>
        <v>KEYBD 2</v>
      </c>
      <c r="G11751" t="str">
        <f>"05-505"</f>
        <v>05-505</v>
      </c>
      <c r="H11751" t="str">
        <f>"A"</f>
        <v>A</v>
      </c>
    </row>
    <row r="11752" spans="1:8" x14ac:dyDescent="0.2">
      <c r="A11752" t="str">
        <f t="shared" si="4251"/>
        <v>0612075312</v>
      </c>
      <c r="B11752" t="str">
        <f t="shared" si="4252"/>
        <v>KYLE</v>
      </c>
      <c r="C11752" t="str">
        <f t="shared" si="4248"/>
        <v>MOORE</v>
      </c>
      <c r="D11752">
        <f>11</f>
        <v>11</v>
      </c>
      <c r="E11752" t="str">
        <f>"06 - B - 105 - Elizabeth Ellen  Moran"</f>
        <v>06 - B - 105 - Elizabeth Ellen  Moran</v>
      </c>
      <c r="F11752" t="str">
        <f>"US HISTORY"</f>
        <v>US HISTORY</v>
      </c>
      <c r="G11752" t="str">
        <f>"17-1752"</f>
        <v>17-1752</v>
      </c>
      <c r="H11752" t="str">
        <f>"B"</f>
        <v>B</v>
      </c>
    </row>
    <row r="11753" spans="1:8" x14ac:dyDescent="0.2">
      <c r="A11753" t="str">
        <f t="shared" si="4251"/>
        <v>0612075312</v>
      </c>
      <c r="B11753" t="str">
        <f t="shared" si="4252"/>
        <v>KYLE</v>
      </c>
      <c r="C11753" t="str">
        <f t="shared" si="4248"/>
        <v>MOORE</v>
      </c>
      <c r="D11753">
        <f>11</f>
        <v>11</v>
      </c>
      <c r="E11753" t="str">
        <f>"03 - A - 208 - Marielle A Witting"</f>
        <v>03 - A - 208 - Marielle A Witting</v>
      </c>
      <c r="F11753" t="str">
        <f>"ANAT PHYSIO"</f>
        <v>ANAT PHYSIO</v>
      </c>
      <c r="G11753" t="str">
        <f>"08-805"</f>
        <v>08-805</v>
      </c>
      <c r="H11753" t="str">
        <f>"A"</f>
        <v>A</v>
      </c>
    </row>
    <row r="11754" spans="1:8" x14ac:dyDescent="0.2">
      <c r="A11754" t="str">
        <f t="shared" si="4251"/>
        <v>0612075312</v>
      </c>
      <c r="B11754" t="str">
        <f t="shared" si="4252"/>
        <v>KYLE</v>
      </c>
      <c r="C11754" t="str">
        <f t="shared" si="4248"/>
        <v>MOORE</v>
      </c>
      <c r="D11754">
        <f>11</f>
        <v>11</v>
      </c>
      <c r="E11754" t="str">
        <f>"02 - A - 101 - Timothy J Lawrence"</f>
        <v>02 - A - 101 - Timothy J Lawrence</v>
      </c>
      <c r="F11754" t="str">
        <f>"NC STUDY HALL 1"</f>
        <v>NC STUDY HALL 1</v>
      </c>
      <c r="G11754" t="str">
        <f>"05-522"</f>
        <v>05-522</v>
      </c>
      <c r="H11754" t="str">
        <f>"A"</f>
        <v>A</v>
      </c>
    </row>
    <row r="11755" spans="1:8" x14ac:dyDescent="0.2">
      <c r="A11755" t="str">
        <f t="shared" si="4251"/>
        <v>0612075312</v>
      </c>
      <c r="B11755" t="str">
        <f t="shared" si="4252"/>
        <v>KYLE</v>
      </c>
      <c r="C11755" t="str">
        <f t="shared" si="4248"/>
        <v>MOORE</v>
      </c>
      <c r="D11755">
        <f>11</f>
        <v>11</v>
      </c>
      <c r="E11755" t="str">
        <f>"02 - A - 112 - Karen A Toomer"</f>
        <v>02 - A - 112 - Karen A Toomer</v>
      </c>
      <c r="F11755" t="str">
        <f>"LANG THERAPY"</f>
        <v>LANG THERAPY</v>
      </c>
      <c r="G11755" t="str">
        <f>"21-2110"</f>
        <v>21-2110</v>
      </c>
      <c r="H11755" t="str">
        <f>"A"</f>
        <v>A</v>
      </c>
    </row>
    <row r="11756" spans="1:8" x14ac:dyDescent="0.2">
      <c r="A11756" t="str">
        <f t="shared" si="4251"/>
        <v>0612075312</v>
      </c>
      <c r="B11756" t="str">
        <f t="shared" si="4252"/>
        <v>KYLE</v>
      </c>
      <c r="C11756" t="str">
        <f t="shared" si="4248"/>
        <v>MOORE</v>
      </c>
      <c r="D11756">
        <f>11</f>
        <v>11</v>
      </c>
      <c r="E11756" t="str">
        <f>"07 - B - 101 - Jeanne M Bermudez"</f>
        <v>07 - B - 101 - Jeanne M Bermudez</v>
      </c>
      <c r="F11756" t="str">
        <f>"FOUND OF PROGRAM HON"</f>
        <v>FOUND OF PROGRAM HON</v>
      </c>
      <c r="G11756" t="str">
        <f>"21-2141"</f>
        <v>21-2141</v>
      </c>
      <c r="H11756" t="str">
        <f>"B"</f>
        <v>B</v>
      </c>
    </row>
    <row r="11757" spans="1:8" x14ac:dyDescent="0.2">
      <c r="A11757" t="str">
        <f t="shared" si="4251"/>
        <v>0612075312</v>
      </c>
      <c r="B11757" t="str">
        <f t="shared" si="4252"/>
        <v>KYLE</v>
      </c>
      <c r="C11757" t="str">
        <f t="shared" si="4248"/>
        <v>MOORE</v>
      </c>
      <c r="D11757">
        <f>11</f>
        <v>11</v>
      </c>
      <c r="E11757" t="str">
        <f>"05 - B - 104 - Lisa  Quinn"</f>
        <v>05 - B - 104 - Lisa  Quinn</v>
      </c>
      <c r="F11757" t="str">
        <f>"ENG 3"</f>
        <v>ENG 3</v>
      </c>
      <c r="G11757" t="str">
        <f>"17-1725"</f>
        <v>17-1725</v>
      </c>
      <c r="H11757" t="str">
        <f>"B"</f>
        <v>B</v>
      </c>
    </row>
    <row r="11758" spans="1:8" x14ac:dyDescent="0.2">
      <c r="A11758" t="str">
        <f t="shared" si="4251"/>
        <v>0612075312</v>
      </c>
      <c r="B11758" t="str">
        <f t="shared" si="4252"/>
        <v>KYLE</v>
      </c>
      <c r="C11758" t="str">
        <f t="shared" si="4248"/>
        <v>MOORE</v>
      </c>
      <c r="D11758">
        <f>11</f>
        <v>11</v>
      </c>
      <c r="E11758" t="str">
        <f>"01 - A - 101 - James H Mccann"</f>
        <v>01 - A - 101 - James H Mccann</v>
      </c>
      <c r="F11758" t="str">
        <f>"ALGEBRA 2"</f>
        <v>ALGEBRA 2</v>
      </c>
      <c r="G11758" t="str">
        <f>"17-1716"</f>
        <v>17-1716</v>
      </c>
      <c r="H11758" t="str">
        <f>"A"</f>
        <v>A</v>
      </c>
    </row>
    <row r="11759" spans="1:8" x14ac:dyDescent="0.2">
      <c r="A11759" t="str">
        <f t="shared" si="4251"/>
        <v>0612075312</v>
      </c>
      <c r="B11759" t="str">
        <f t="shared" si="4252"/>
        <v>KYLE</v>
      </c>
      <c r="C11759" t="str">
        <f t="shared" si="4248"/>
        <v>MOORE</v>
      </c>
      <c r="D11759">
        <f>11</f>
        <v>11</v>
      </c>
      <c r="E11759" t="str">
        <f>"08 - B - 001 - Chrystina M Marchionne"</f>
        <v>08 - B - 001 - Chrystina M Marchionne</v>
      </c>
      <c r="F11759" t="str">
        <f>"JOURN 1 (YB) LH"</f>
        <v>JOURN 1 (YB) LH</v>
      </c>
      <c r="G11759" t="str">
        <f>"05-520"</f>
        <v>05-520</v>
      </c>
      <c r="H11759" t="str">
        <f>"B"</f>
        <v>B</v>
      </c>
    </row>
    <row r="11760" spans="1:8" x14ac:dyDescent="0.2">
      <c r="A11760" t="str">
        <f t="shared" ref="A11760:A11767" si="4253">"0614004260"</f>
        <v>0614004260</v>
      </c>
      <c r="B11760" t="str">
        <f t="shared" ref="B11760:B11767" si="4254">"MARIA"</f>
        <v>MARIA</v>
      </c>
      <c r="C11760" t="str">
        <f t="shared" ref="C11760:C11767" si="4255">"MORA"</f>
        <v>MORA</v>
      </c>
      <c r="D11760">
        <f>12</f>
        <v>12</v>
      </c>
      <c r="E11760" t="str">
        <f>"04 - A - 101 - Brian M Fitzgerald"</f>
        <v>04 - A - 101 - Brian M Fitzgerald</v>
      </c>
      <c r="F11760" t="str">
        <f>"DRAW 2"</f>
        <v>DRAW 2</v>
      </c>
      <c r="G11760" t="str">
        <f>"09-908"</f>
        <v>09-908</v>
      </c>
      <c r="H11760" t="str">
        <f>"A"</f>
        <v>A</v>
      </c>
    </row>
    <row r="11761" spans="1:8" x14ac:dyDescent="0.2">
      <c r="A11761" t="str">
        <f t="shared" si="4253"/>
        <v>0614004260</v>
      </c>
      <c r="B11761" t="str">
        <f t="shared" si="4254"/>
        <v>MARIA</v>
      </c>
      <c r="C11761" t="str">
        <f t="shared" si="4255"/>
        <v>MORA</v>
      </c>
      <c r="D11761">
        <f>12</f>
        <v>12</v>
      </c>
      <c r="E11761" t="str">
        <f>"06 - B - 113 - Marielle A Witting"</f>
        <v>06 - B - 113 - Marielle A Witting</v>
      </c>
      <c r="F11761" t="str">
        <f>"NC STUDY HALL 1"</f>
        <v>NC STUDY HALL 1</v>
      </c>
      <c r="G11761" t="str">
        <f>"08-805"</f>
        <v>08-805</v>
      </c>
      <c r="H11761" t="str">
        <f>"B"</f>
        <v>B</v>
      </c>
    </row>
    <row r="11762" spans="1:8" x14ac:dyDescent="0.2">
      <c r="A11762" t="str">
        <f t="shared" si="4253"/>
        <v>0614004260</v>
      </c>
      <c r="B11762" t="str">
        <f t="shared" si="4254"/>
        <v>MARIA</v>
      </c>
      <c r="C11762" t="str">
        <f t="shared" si="4255"/>
        <v>MORA</v>
      </c>
      <c r="D11762">
        <f>12</f>
        <v>12</v>
      </c>
      <c r="E11762" t="str">
        <f>"03 - S1 - A - 002 - Barbara L Segal"</f>
        <v>03 - S1 - A - 002 - Barbara L Segal</v>
      </c>
      <c r="F11762" t="str">
        <f>"US GOVT"</f>
        <v>US GOVT</v>
      </c>
      <c r="G11762" t="str">
        <f>"17-1742"</f>
        <v>17-1742</v>
      </c>
      <c r="H11762" t="str">
        <f>"A"</f>
        <v>A</v>
      </c>
    </row>
    <row r="11763" spans="1:8" x14ac:dyDescent="0.2">
      <c r="A11763" t="str">
        <f t="shared" si="4253"/>
        <v>0614004260</v>
      </c>
      <c r="B11763" t="str">
        <f t="shared" si="4254"/>
        <v>MARIA</v>
      </c>
      <c r="C11763" t="str">
        <f t="shared" si="4255"/>
        <v>MORA</v>
      </c>
      <c r="D11763">
        <f>12</f>
        <v>12</v>
      </c>
      <c r="E11763" t="str">
        <f>"02 - A - 101 - Nahum  Saint-Preux"</f>
        <v>02 - A - 101 - Nahum  Saint-Preux</v>
      </c>
      <c r="F11763" t="str">
        <f>"INTENS READ 4"</f>
        <v>INTENS READ 4</v>
      </c>
      <c r="G11763" t="str">
        <f>"17-1712"</f>
        <v>17-1712</v>
      </c>
      <c r="H11763" t="str">
        <f>"A"</f>
        <v>A</v>
      </c>
    </row>
    <row r="11764" spans="1:8" x14ac:dyDescent="0.2">
      <c r="A11764" t="str">
        <f t="shared" si="4253"/>
        <v>0614004260</v>
      </c>
      <c r="B11764" t="str">
        <f t="shared" si="4254"/>
        <v>MARIA</v>
      </c>
      <c r="C11764" t="str">
        <f t="shared" si="4255"/>
        <v>MORA</v>
      </c>
      <c r="D11764">
        <f>12</f>
        <v>12</v>
      </c>
      <c r="E11764" t="str">
        <f>"07 - B - 104 - Marielle A Witting"</f>
        <v>07 - B - 104 - Marielle A Witting</v>
      </c>
      <c r="F11764" t="str">
        <f>"ANAT PHYSIO"</f>
        <v>ANAT PHYSIO</v>
      </c>
      <c r="G11764" t="str">
        <f>"08-805"</f>
        <v>08-805</v>
      </c>
      <c r="H11764" t="str">
        <f>"B"</f>
        <v>B</v>
      </c>
    </row>
    <row r="11765" spans="1:8" x14ac:dyDescent="0.2">
      <c r="A11765" t="str">
        <f t="shared" si="4253"/>
        <v>0614004260</v>
      </c>
      <c r="B11765" t="str">
        <f t="shared" si="4254"/>
        <v>MARIA</v>
      </c>
      <c r="C11765" t="str">
        <f t="shared" si="4255"/>
        <v>MORA</v>
      </c>
      <c r="D11765">
        <f>12</f>
        <v>12</v>
      </c>
      <c r="E11765" t="str">
        <f>"05 - B - 103 - Vanessa J Liburd"</f>
        <v>05 - B - 103 - Vanessa J Liburd</v>
      </c>
      <c r="F11765" t="str">
        <f>"PRE-AICE FRENCH 2 IG"</f>
        <v>PRE-AICE FRENCH 2 IG</v>
      </c>
      <c r="G11765" t="str">
        <f>"05-519"</f>
        <v>05-519</v>
      </c>
      <c r="H11765" t="str">
        <f>"B"</f>
        <v>B</v>
      </c>
    </row>
    <row r="11766" spans="1:8" x14ac:dyDescent="0.2">
      <c r="A11766" t="str">
        <f t="shared" si="4253"/>
        <v>0614004260</v>
      </c>
      <c r="B11766" t="str">
        <f t="shared" si="4254"/>
        <v>MARIA</v>
      </c>
      <c r="C11766" t="str">
        <f t="shared" si="4255"/>
        <v>MORA</v>
      </c>
      <c r="D11766">
        <f>12</f>
        <v>12</v>
      </c>
      <c r="E11766" t="str">
        <f>"01 - A - 103 - Semra  Bahadir"</f>
        <v>01 - A - 103 - Semra  Bahadir</v>
      </c>
      <c r="F11766" t="str">
        <f>"MATH COLL ALGEBRA"</f>
        <v>MATH COLL ALGEBRA</v>
      </c>
      <c r="G11766" t="str">
        <f>"21-2107"</f>
        <v>21-2107</v>
      </c>
      <c r="H11766" t="str">
        <f>"A"</f>
        <v>A</v>
      </c>
    </row>
    <row r="11767" spans="1:8" x14ac:dyDescent="0.2">
      <c r="A11767" t="str">
        <f t="shared" si="4253"/>
        <v>0614004260</v>
      </c>
      <c r="B11767" t="str">
        <f t="shared" si="4254"/>
        <v>MARIA</v>
      </c>
      <c r="C11767" t="str">
        <f t="shared" si="4255"/>
        <v>MORA</v>
      </c>
      <c r="D11767">
        <f>12</f>
        <v>12</v>
      </c>
      <c r="E11767" t="str">
        <f>"08 - B - 206 - Robyn L Trainer"</f>
        <v>08 - B - 206 - Robyn L Trainer</v>
      </c>
      <c r="F11767" t="str">
        <f>"ENG 4: FL COLL PREP"</f>
        <v>ENG 4: FL COLL PREP</v>
      </c>
      <c r="G11767" t="str">
        <f>"17-1734"</f>
        <v>17-1734</v>
      </c>
      <c r="H11767" t="str">
        <f>"B"</f>
        <v>B</v>
      </c>
    </row>
    <row r="11768" spans="1:8" x14ac:dyDescent="0.2">
      <c r="A11768" t="str">
        <f t="shared" ref="A11768:A11775" si="4256">"0615151457"</f>
        <v>0615151457</v>
      </c>
      <c r="B11768" t="str">
        <f t="shared" ref="B11768:B11775" si="4257">"JASON"</f>
        <v>JASON</v>
      </c>
      <c r="C11768" t="str">
        <f t="shared" ref="C11768:C11775" si="4258">"MORAGENE"</f>
        <v>MORAGENE</v>
      </c>
      <c r="D11768">
        <f>10</f>
        <v>10</v>
      </c>
      <c r="E11768" t="str">
        <f>"04 - S1 - A - 101 - Kyle  Robbins"</f>
        <v>04 - S1 - A - 101 - Kyle  Robbins</v>
      </c>
      <c r="F11768" t="str">
        <f>"PERS FIN &amp; MON MGT H"</f>
        <v>PERS FIN &amp; MON MGT H</v>
      </c>
      <c r="G11768" t="str">
        <f>"17-1745"</f>
        <v>17-1745</v>
      </c>
      <c r="H11768" t="str">
        <f>"A"</f>
        <v>A</v>
      </c>
    </row>
    <row r="11769" spans="1:8" x14ac:dyDescent="0.2">
      <c r="A11769" t="str">
        <f t="shared" si="4256"/>
        <v>0615151457</v>
      </c>
      <c r="B11769" t="str">
        <f t="shared" si="4257"/>
        <v>JASON</v>
      </c>
      <c r="C11769" t="str">
        <f t="shared" si="4258"/>
        <v>MORAGENE</v>
      </c>
      <c r="D11769">
        <f>10</f>
        <v>10</v>
      </c>
      <c r="E11769" t="str">
        <f>"06 - B - 118 - Jeanne M Bermudez"</f>
        <v>06 - B - 118 - Jeanne M Bermudez</v>
      </c>
      <c r="F11769" t="str">
        <f>"NC STUDY HALL 1"</f>
        <v>NC STUDY HALL 1</v>
      </c>
      <c r="G11769" t="str">
        <f>"21-2141"</f>
        <v>21-2141</v>
      </c>
      <c r="H11769" t="str">
        <f>"B"</f>
        <v>B</v>
      </c>
    </row>
    <row r="11770" spans="1:8" x14ac:dyDescent="0.2">
      <c r="A11770" t="str">
        <f t="shared" si="4256"/>
        <v>0615151457</v>
      </c>
      <c r="B11770" t="str">
        <f t="shared" si="4257"/>
        <v>JASON</v>
      </c>
      <c r="C11770" t="str">
        <f t="shared" si="4258"/>
        <v>MORAGENE</v>
      </c>
      <c r="D11770">
        <f>10</f>
        <v>10</v>
      </c>
      <c r="E11770" t="str">
        <f>"03 - A - 103 - Samantha J Headley"</f>
        <v>03 - A - 103 - Samantha J Headley</v>
      </c>
      <c r="F11770" t="str">
        <f>"MARINE SCI 1 HON"</f>
        <v>MARINE SCI 1 HON</v>
      </c>
      <c r="G11770" t="str">
        <f>"21-2134"</f>
        <v>21-2134</v>
      </c>
      <c r="H11770" t="str">
        <f>"A"</f>
        <v>A</v>
      </c>
    </row>
    <row r="11771" spans="1:8" x14ac:dyDescent="0.2">
      <c r="A11771" t="str">
        <f t="shared" si="4256"/>
        <v>0615151457</v>
      </c>
      <c r="B11771" t="str">
        <f t="shared" si="4257"/>
        <v>JASON</v>
      </c>
      <c r="C11771" t="str">
        <f t="shared" si="4258"/>
        <v>MORAGENE</v>
      </c>
      <c r="D11771">
        <f>10</f>
        <v>10</v>
      </c>
      <c r="E11771" t="str">
        <f>"02 - S1 - A - 102 - Richard E Dunbar Iii"</f>
        <v>02 - S1 - A - 102 - Richard E Dunbar Iii</v>
      </c>
      <c r="F11771" t="str">
        <f>"WEIGHT TRAIN 1"</f>
        <v>WEIGHT TRAIN 1</v>
      </c>
      <c r="G11771" t="str">
        <f>"05-501"</f>
        <v>05-501</v>
      </c>
      <c r="H11771" t="str">
        <f>"A"</f>
        <v>A</v>
      </c>
    </row>
    <row r="11772" spans="1:8" x14ac:dyDescent="0.2">
      <c r="A11772" t="str">
        <f t="shared" si="4256"/>
        <v>0615151457</v>
      </c>
      <c r="B11772" t="str">
        <f t="shared" si="4257"/>
        <v>JASON</v>
      </c>
      <c r="C11772" t="str">
        <f t="shared" si="4258"/>
        <v>MORAGENE</v>
      </c>
      <c r="D11772">
        <f>10</f>
        <v>10</v>
      </c>
      <c r="E11772" t="str">
        <f>"07 - B - 102 - Nikiel  Nesbeth"</f>
        <v>07 - B - 102 - Nikiel  Nesbeth</v>
      </c>
      <c r="F11772" t="str">
        <f>"PRE-AICE ENG LIT IG"</f>
        <v>PRE-AICE ENG LIT IG</v>
      </c>
      <c r="G11772" t="str">
        <f>"17-1705"</f>
        <v>17-1705</v>
      </c>
      <c r="H11772" t="str">
        <f>"B"</f>
        <v>B</v>
      </c>
    </row>
    <row r="11773" spans="1:8" x14ac:dyDescent="0.2">
      <c r="A11773" t="str">
        <f t="shared" si="4256"/>
        <v>0615151457</v>
      </c>
      <c r="B11773" t="str">
        <f t="shared" si="4257"/>
        <v>JASON</v>
      </c>
      <c r="C11773" t="str">
        <f t="shared" si="4258"/>
        <v>MORAGENE</v>
      </c>
      <c r="D11773">
        <f>10</f>
        <v>10</v>
      </c>
      <c r="E11773" t="str">
        <f>"05 - B - 101 - Angela S Adeshina-Morrison"</f>
        <v>05 - B - 101 - Angela S Adeshina-Morrison</v>
      </c>
      <c r="F11773" t="str">
        <f>"MKT APPLCTNS LH"</f>
        <v>MKT APPLCTNS LH</v>
      </c>
      <c r="G11773" t="str">
        <f>"05-518"</f>
        <v>05-518</v>
      </c>
      <c r="H11773" t="str">
        <f>"B"</f>
        <v>B</v>
      </c>
    </row>
    <row r="11774" spans="1:8" x14ac:dyDescent="0.2">
      <c r="A11774" t="str">
        <f t="shared" si="4256"/>
        <v>0615151457</v>
      </c>
      <c r="B11774" t="str">
        <f t="shared" si="4257"/>
        <v>JASON</v>
      </c>
      <c r="C11774" t="str">
        <f t="shared" si="4258"/>
        <v>MORAGENE</v>
      </c>
      <c r="D11774">
        <f>10</f>
        <v>10</v>
      </c>
      <c r="E11774" t="str">
        <f>"01 - A - 101 - James H Mccann"</f>
        <v>01 - A - 101 - James H Mccann</v>
      </c>
      <c r="F11774" t="str">
        <f>"ALGEBRA 2"</f>
        <v>ALGEBRA 2</v>
      </c>
      <c r="G11774" t="str">
        <f>"17-1716"</f>
        <v>17-1716</v>
      </c>
      <c r="H11774" t="str">
        <f>"A"</f>
        <v>A</v>
      </c>
    </row>
    <row r="11775" spans="1:8" x14ac:dyDescent="0.2">
      <c r="A11775" t="str">
        <f t="shared" si="4256"/>
        <v>0615151457</v>
      </c>
      <c r="B11775" t="str">
        <f t="shared" si="4257"/>
        <v>JASON</v>
      </c>
      <c r="C11775" t="str">
        <f t="shared" si="4258"/>
        <v>MORAGENE</v>
      </c>
      <c r="D11775">
        <f>10</f>
        <v>10</v>
      </c>
      <c r="E11775" t="str">
        <f>"08 - S1 - B - 101 - Amy Beth  Broyles"</f>
        <v>08 - S1 - B - 101 - Amy Beth  Broyles</v>
      </c>
      <c r="F11775" t="str">
        <f>"PEER COUN 3"</f>
        <v>PEER COUN 3</v>
      </c>
      <c r="G11775" t="str">
        <f>"17-1713"</f>
        <v>17-1713</v>
      </c>
      <c r="H11775" t="str">
        <f>"B"</f>
        <v>B</v>
      </c>
    </row>
    <row r="11776" spans="1:8" x14ac:dyDescent="0.2">
      <c r="A11776" t="str">
        <f t="shared" ref="A11776:A11783" si="4259">"0616105115"</f>
        <v>0616105115</v>
      </c>
      <c r="B11776" t="str">
        <f t="shared" ref="B11776:B11783" si="4260">"CADHLA"</f>
        <v>CADHLA</v>
      </c>
      <c r="C11776" t="str">
        <f t="shared" ref="C11776:C11823" si="4261">"MORALES"</f>
        <v>MORALES</v>
      </c>
      <c r="D11776" t="str">
        <f t="shared" ref="D11776:D11783" si="4262">"09"</f>
        <v>09</v>
      </c>
      <c r="E11776" t="str">
        <f>"04 - A - 102 - Byron G Montenegro"</f>
        <v>04 - A - 102 - Byron G Montenegro</v>
      </c>
      <c r="F11776" t="str">
        <f>"AICE MARINE SCI 1 AS"</f>
        <v>AICE MARINE SCI 1 AS</v>
      </c>
      <c r="G11776" t="str">
        <f>"21-2144"</f>
        <v>21-2144</v>
      </c>
      <c r="H11776" t="str">
        <f>"A"</f>
        <v>A</v>
      </c>
    </row>
    <row r="11777" spans="1:8" x14ac:dyDescent="0.2">
      <c r="A11777" t="str">
        <f t="shared" si="4259"/>
        <v>0616105115</v>
      </c>
      <c r="B11777" t="str">
        <f t="shared" si="4260"/>
        <v>CADHLA</v>
      </c>
      <c r="C11777" t="str">
        <f t="shared" si="4261"/>
        <v>MORALES</v>
      </c>
      <c r="D11777" t="str">
        <f t="shared" si="4262"/>
        <v>09</v>
      </c>
      <c r="E11777" t="str">
        <f>"06 - B - 104 - Eva T Rimmer"</f>
        <v>06 - B - 104 - Eva T Rimmer</v>
      </c>
      <c r="F11777" t="str">
        <f>"CRIMINAL JUST OPS 1"</f>
        <v>CRIMINAL JUST OPS 1</v>
      </c>
      <c r="G11777" t="str">
        <f>"05-523"</f>
        <v>05-523</v>
      </c>
      <c r="H11777" t="str">
        <f>"B"</f>
        <v>B</v>
      </c>
    </row>
    <row r="11778" spans="1:8" x14ac:dyDescent="0.2">
      <c r="A11778" t="str">
        <f t="shared" si="4259"/>
        <v>0616105115</v>
      </c>
      <c r="B11778" t="str">
        <f t="shared" si="4260"/>
        <v>CADHLA</v>
      </c>
      <c r="C11778" t="str">
        <f t="shared" si="4261"/>
        <v>MORALES</v>
      </c>
      <c r="D11778" t="str">
        <f t="shared" si="4262"/>
        <v>09</v>
      </c>
      <c r="E11778" t="str">
        <f>"03 - S1 - A - 102 - Leslie J Barton"</f>
        <v>03 - S1 - A - 102 - Leslie J Barton</v>
      </c>
      <c r="F11778" t="str">
        <f>"FIRST AID SAFETY"</f>
        <v>FIRST AID SAFETY</v>
      </c>
      <c r="G11778" t="str">
        <f>"05-521"</f>
        <v>05-521</v>
      </c>
      <c r="H11778" t="str">
        <f>"A"</f>
        <v>A</v>
      </c>
    </row>
    <row r="11779" spans="1:8" x14ac:dyDescent="0.2">
      <c r="A11779" t="str">
        <f t="shared" si="4259"/>
        <v>0616105115</v>
      </c>
      <c r="B11779" t="str">
        <f t="shared" si="4260"/>
        <v>CADHLA</v>
      </c>
      <c r="C11779" t="str">
        <f t="shared" si="4261"/>
        <v>MORALES</v>
      </c>
      <c r="D11779" t="str">
        <f t="shared" si="4262"/>
        <v>09</v>
      </c>
      <c r="E11779" t="str">
        <f>"02 - A - 112 - Cheryl Anne  Berman-Schechter"</f>
        <v>02 - A - 112 - Cheryl Anne  Berman-Schechter</v>
      </c>
      <c r="F11779" t="str">
        <f>"NC STUDY HALL 1"</f>
        <v>NC STUDY HALL 1</v>
      </c>
      <c r="G11779" t="str">
        <f>"17-1722"</f>
        <v>17-1722</v>
      </c>
      <c r="H11779" t="str">
        <f>"A"</f>
        <v>A</v>
      </c>
    </row>
    <row r="11780" spans="1:8" x14ac:dyDescent="0.2">
      <c r="A11780" t="str">
        <f t="shared" si="4259"/>
        <v>0616105115</v>
      </c>
      <c r="B11780" t="str">
        <f t="shared" si="4260"/>
        <v>CADHLA</v>
      </c>
      <c r="C11780" t="str">
        <f t="shared" si="4261"/>
        <v>MORALES</v>
      </c>
      <c r="D11780" t="str">
        <f t="shared" si="4262"/>
        <v>09</v>
      </c>
      <c r="E11780" t="str">
        <f>"07 - B - 003 - Brandy N Zdenek"</f>
        <v>07 - B - 003 - Brandy N Zdenek</v>
      </c>
      <c r="F11780" t="str">
        <f>"AICE ENG GEN PAPER 1"</f>
        <v>AICE ENG GEN PAPER 1</v>
      </c>
      <c r="G11780" t="str">
        <f>"17-1704"</f>
        <v>17-1704</v>
      </c>
      <c r="H11780" t="str">
        <f>"B"</f>
        <v>B</v>
      </c>
    </row>
    <row r="11781" spans="1:8" x14ac:dyDescent="0.2">
      <c r="A11781" t="str">
        <f t="shared" si="4259"/>
        <v>0616105115</v>
      </c>
      <c r="B11781" t="str">
        <f t="shared" si="4260"/>
        <v>CADHLA</v>
      </c>
      <c r="C11781" t="str">
        <f t="shared" si="4261"/>
        <v>MORALES</v>
      </c>
      <c r="D11781" t="str">
        <f t="shared" si="4262"/>
        <v>09</v>
      </c>
      <c r="E11781" t="str">
        <f>"05 - B - 003 - Krystal Marie  Beruty"</f>
        <v>05 - B - 003 - Krystal Marie  Beruty</v>
      </c>
      <c r="F11781" t="str">
        <f>"AICE GLBL PERSP 1 AS"</f>
        <v>AICE GLBL PERSP 1 AS</v>
      </c>
      <c r="G11781" t="str">
        <f>"17-1721"</f>
        <v>17-1721</v>
      </c>
      <c r="H11781" t="str">
        <f>"B"</f>
        <v>B</v>
      </c>
    </row>
    <row r="11782" spans="1:8" x14ac:dyDescent="0.2">
      <c r="A11782" t="str">
        <f t="shared" si="4259"/>
        <v>0616105115</v>
      </c>
      <c r="B11782" t="str">
        <f t="shared" si="4260"/>
        <v>CADHLA</v>
      </c>
      <c r="C11782" t="str">
        <f t="shared" si="4261"/>
        <v>MORALES</v>
      </c>
      <c r="D11782" t="str">
        <f t="shared" si="4262"/>
        <v>09</v>
      </c>
      <c r="E11782" t="str">
        <f>"01 - A - 101 - Joe  Kilpatrick Jr"</f>
        <v>01 - A - 101 - Joe  Kilpatrick Jr</v>
      </c>
      <c r="F11782" t="str">
        <f>"PRE-AICE SPAN 1 IG"</f>
        <v>PRE-AICE SPAN 1 IG</v>
      </c>
      <c r="G11782" t="str">
        <f>"09-912"</f>
        <v>09-912</v>
      </c>
      <c r="H11782" t="str">
        <f>"A"</f>
        <v>A</v>
      </c>
    </row>
    <row r="11783" spans="1:8" x14ac:dyDescent="0.2">
      <c r="A11783" t="str">
        <f t="shared" si="4259"/>
        <v>0616105115</v>
      </c>
      <c r="B11783" t="str">
        <f t="shared" si="4260"/>
        <v>CADHLA</v>
      </c>
      <c r="C11783" t="str">
        <f t="shared" si="4261"/>
        <v>MORALES</v>
      </c>
      <c r="D11783" t="str">
        <f t="shared" si="4262"/>
        <v>09</v>
      </c>
      <c r="E11783" t="str">
        <f>"08 - B - 105 - Ferrie J Arostique"</f>
        <v>08 - B - 105 - Ferrie J Arostique</v>
      </c>
      <c r="F11783" t="str">
        <f>"PRE-AICE MATH 2 IG"</f>
        <v>PRE-AICE MATH 2 IG</v>
      </c>
      <c r="G11783" t="str">
        <f>"21-2139"</f>
        <v>21-2139</v>
      </c>
      <c r="H11783" t="str">
        <f>"B"</f>
        <v>B</v>
      </c>
    </row>
    <row r="11784" spans="1:8" x14ac:dyDescent="0.2">
      <c r="A11784" t="str">
        <f t="shared" ref="A11784:A11791" si="4263">"0615064539"</f>
        <v>0615064539</v>
      </c>
      <c r="B11784" t="str">
        <f t="shared" ref="B11784:B11791" si="4264">"NANCY"</f>
        <v>NANCY</v>
      </c>
      <c r="C11784" t="str">
        <f t="shared" si="4261"/>
        <v>MORALES</v>
      </c>
      <c r="D11784">
        <f>11</f>
        <v>11</v>
      </c>
      <c r="E11784" t="str">
        <f>"04 - A - 108 - Maried P Ramos"</f>
        <v>04 - A - 108 - Maried P Ramos</v>
      </c>
      <c r="F11784" t="str">
        <f>"GEOMETRY"</f>
        <v>GEOMETRY</v>
      </c>
      <c r="G11784" t="str">
        <f>"21-2159"</f>
        <v>21-2159</v>
      </c>
      <c r="H11784" t="str">
        <f>"A"</f>
        <v>A</v>
      </c>
    </row>
    <row r="11785" spans="1:8" x14ac:dyDescent="0.2">
      <c r="A11785" t="str">
        <f t="shared" si="4263"/>
        <v>0615064539</v>
      </c>
      <c r="B11785" t="str">
        <f t="shared" si="4264"/>
        <v>NANCY</v>
      </c>
      <c r="C11785" t="str">
        <f t="shared" si="4261"/>
        <v>MORALES</v>
      </c>
      <c r="D11785">
        <f>11</f>
        <v>11</v>
      </c>
      <c r="E11785" t="str">
        <f>"06 - S1 - B - 104 - Leslie J Barton"</f>
        <v>06 - S1 - B - 104 - Leslie J Barton</v>
      </c>
      <c r="F11785" t="str">
        <f>"FIRST AID SAFETY"</f>
        <v>FIRST AID SAFETY</v>
      </c>
      <c r="G11785" t="str">
        <f>"05-521"</f>
        <v>05-521</v>
      </c>
      <c r="H11785" t="str">
        <f>"B"</f>
        <v>B</v>
      </c>
    </row>
    <row r="11786" spans="1:8" x14ac:dyDescent="0.2">
      <c r="A11786" t="str">
        <f t="shared" si="4263"/>
        <v>0615064539</v>
      </c>
      <c r="B11786" t="str">
        <f t="shared" si="4264"/>
        <v>NANCY</v>
      </c>
      <c r="C11786" t="str">
        <f t="shared" si="4261"/>
        <v>MORALES</v>
      </c>
      <c r="D11786">
        <f>11</f>
        <v>11</v>
      </c>
      <c r="E11786" t="str">
        <f>"03 - A - 201 - Chrystina M Marchionne"</f>
        <v>03 - A - 201 - Chrystina M Marchionne</v>
      </c>
      <c r="F11786" t="str">
        <f>"JOURN 1 (YB) LH"</f>
        <v>JOURN 1 (YB) LH</v>
      </c>
      <c r="G11786" t="str">
        <f>"05-520"</f>
        <v>05-520</v>
      </c>
      <c r="H11786" t="str">
        <f>"A"</f>
        <v>A</v>
      </c>
    </row>
    <row r="11787" spans="1:8" x14ac:dyDescent="0.2">
      <c r="A11787" t="str">
        <f t="shared" si="4263"/>
        <v>0615064539</v>
      </c>
      <c r="B11787" t="str">
        <f t="shared" si="4264"/>
        <v>NANCY</v>
      </c>
      <c r="C11787" t="str">
        <f t="shared" si="4261"/>
        <v>MORALES</v>
      </c>
      <c r="D11787">
        <f>11</f>
        <v>11</v>
      </c>
      <c r="E11787" t="str">
        <f>"02 - A - 117 - Kyle  Robbins"</f>
        <v>02 - A - 117 - Kyle  Robbins</v>
      </c>
      <c r="F11787" t="str">
        <f>"NC STUDY HALL 1"</f>
        <v>NC STUDY HALL 1</v>
      </c>
      <c r="G11787" t="str">
        <f>"17-1745"</f>
        <v>17-1745</v>
      </c>
      <c r="H11787" t="str">
        <f>"A"</f>
        <v>A</v>
      </c>
    </row>
    <row r="11788" spans="1:8" x14ac:dyDescent="0.2">
      <c r="A11788" t="str">
        <f t="shared" si="4263"/>
        <v>0615064539</v>
      </c>
      <c r="B11788" t="str">
        <f t="shared" si="4264"/>
        <v>NANCY</v>
      </c>
      <c r="C11788" t="str">
        <f t="shared" si="4261"/>
        <v>MORALES</v>
      </c>
      <c r="D11788">
        <f>11</f>
        <v>11</v>
      </c>
      <c r="E11788" t="str">
        <f>"07 - B - 105 - Cliffon  Saurel"</f>
        <v>07 - B - 105 - Cliffon  Saurel</v>
      </c>
      <c r="F11788" t="str">
        <f>"PHYSICAL SCI"</f>
        <v>PHYSICAL SCI</v>
      </c>
      <c r="G11788" t="str">
        <f>"05-522"</f>
        <v>05-522</v>
      </c>
      <c r="H11788" t="str">
        <f>"B"</f>
        <v>B</v>
      </c>
    </row>
    <row r="11789" spans="1:8" x14ac:dyDescent="0.2">
      <c r="A11789" t="str">
        <f t="shared" si="4263"/>
        <v>0615064539</v>
      </c>
      <c r="B11789" t="str">
        <f t="shared" si="4264"/>
        <v>NANCY</v>
      </c>
      <c r="C11789" t="str">
        <f t="shared" si="4261"/>
        <v>MORALES</v>
      </c>
      <c r="D11789">
        <f>11</f>
        <v>11</v>
      </c>
      <c r="E11789" t="str">
        <f>"05 - B - 107 - Elizabeth Ellen  Moran"</f>
        <v>05 - B - 107 - Elizabeth Ellen  Moran</v>
      </c>
      <c r="F11789" t="str">
        <f>"US HISTORY"</f>
        <v>US HISTORY</v>
      </c>
      <c r="G11789" t="str">
        <f>"17-1752"</f>
        <v>17-1752</v>
      </c>
      <c r="H11789" t="str">
        <f>"B"</f>
        <v>B</v>
      </c>
    </row>
    <row r="11790" spans="1:8" x14ac:dyDescent="0.2">
      <c r="A11790" t="str">
        <f t="shared" si="4263"/>
        <v>0615064539</v>
      </c>
      <c r="B11790" t="str">
        <f t="shared" si="4264"/>
        <v>NANCY</v>
      </c>
      <c r="C11790" t="str">
        <f t="shared" si="4261"/>
        <v>MORALES</v>
      </c>
      <c r="D11790">
        <f>11</f>
        <v>11</v>
      </c>
      <c r="E11790" t="str">
        <f>"01 - S1 - A - 101 - Richard E Dunbar Iii"</f>
        <v>01 - S1 - A - 101 - Richard E Dunbar Iii</v>
      </c>
      <c r="F11790" t="str">
        <f>"WEIGHT TRAIN 1"</f>
        <v>WEIGHT TRAIN 1</v>
      </c>
      <c r="G11790" t="str">
        <f>"05-501"</f>
        <v>05-501</v>
      </c>
      <c r="H11790" t="str">
        <f>"A"</f>
        <v>A</v>
      </c>
    </row>
    <row r="11791" spans="1:8" x14ac:dyDescent="0.2">
      <c r="A11791" t="str">
        <f t="shared" si="4263"/>
        <v>0615064539</v>
      </c>
      <c r="B11791" t="str">
        <f t="shared" si="4264"/>
        <v>NANCY</v>
      </c>
      <c r="C11791" t="str">
        <f t="shared" si="4261"/>
        <v>MORALES</v>
      </c>
      <c r="D11791">
        <f>11</f>
        <v>11</v>
      </c>
      <c r="E11791" t="str">
        <f>"08 - B - 106 - Lisa  Quinn"</f>
        <v>08 - B - 106 - Lisa  Quinn</v>
      </c>
      <c r="F11791" t="str">
        <f>"ENG 3"</f>
        <v>ENG 3</v>
      </c>
      <c r="G11791" t="str">
        <f>"17-1725"</f>
        <v>17-1725</v>
      </c>
      <c r="H11791" t="str">
        <f>"B"</f>
        <v>B</v>
      </c>
    </row>
    <row r="11792" spans="1:8" x14ac:dyDescent="0.2">
      <c r="A11792" t="str">
        <f t="shared" ref="A11792:A11799" si="4265">"0616094520"</f>
        <v>0616094520</v>
      </c>
      <c r="B11792" t="str">
        <f t="shared" ref="B11792:B11799" si="4266">"NICOLE"</f>
        <v>NICOLE</v>
      </c>
      <c r="C11792" t="str">
        <f t="shared" si="4261"/>
        <v>MORALES</v>
      </c>
      <c r="D11792">
        <f>10</f>
        <v>10</v>
      </c>
      <c r="E11792" t="str">
        <f>"04 - A - 104 - Laselleda D Shaw"</f>
        <v>04 - A - 104 - Laselleda D Shaw</v>
      </c>
      <c r="F11792" t="str">
        <f>"INTENS READ 2"</f>
        <v>INTENS READ 2</v>
      </c>
      <c r="G11792" t="str">
        <f>"17-1723"</f>
        <v>17-1723</v>
      </c>
      <c r="H11792" t="str">
        <f>"A"</f>
        <v>A</v>
      </c>
    </row>
    <row r="11793" spans="1:8" x14ac:dyDescent="0.2">
      <c r="A11793" t="str">
        <f t="shared" si="4265"/>
        <v>0616094520</v>
      </c>
      <c r="B11793" t="str">
        <f t="shared" si="4266"/>
        <v>NICOLE</v>
      </c>
      <c r="C11793" t="str">
        <f t="shared" si="4261"/>
        <v>MORALES</v>
      </c>
      <c r="D11793">
        <f>10</f>
        <v>10</v>
      </c>
      <c r="E11793" t="str">
        <f>"06 - B - 115 - Scott A Dethloff"</f>
        <v>06 - B - 115 - Scott A Dethloff</v>
      </c>
      <c r="F11793" t="str">
        <f>"NC STUDY HALL 1"</f>
        <v>NC STUDY HALL 1</v>
      </c>
      <c r="G11793" t="str">
        <f>"08-812"</f>
        <v>08-812</v>
      </c>
      <c r="H11793" t="str">
        <f>"B"</f>
        <v>B</v>
      </c>
    </row>
    <row r="11794" spans="1:8" x14ac:dyDescent="0.2">
      <c r="A11794" t="str">
        <f t="shared" si="4265"/>
        <v>0616094520</v>
      </c>
      <c r="B11794" t="str">
        <f t="shared" si="4266"/>
        <v>NICOLE</v>
      </c>
      <c r="C11794" t="str">
        <f t="shared" si="4261"/>
        <v>MORALES</v>
      </c>
      <c r="D11794">
        <f>10</f>
        <v>10</v>
      </c>
      <c r="E11794" t="str">
        <f>"03 - A - 109 - Lissa C Frederique"</f>
        <v>03 - A - 109 - Lissa C Frederique</v>
      </c>
      <c r="F11794" t="str">
        <f>"WORLD HISTORY"</f>
        <v>WORLD HISTORY</v>
      </c>
      <c r="G11794" t="str">
        <f>"17-1754"</f>
        <v>17-1754</v>
      </c>
      <c r="H11794" t="str">
        <f>"A"</f>
        <v>A</v>
      </c>
    </row>
    <row r="11795" spans="1:8" x14ac:dyDescent="0.2">
      <c r="A11795" t="str">
        <f t="shared" si="4265"/>
        <v>0616094520</v>
      </c>
      <c r="B11795" t="str">
        <f t="shared" si="4266"/>
        <v>NICOLE</v>
      </c>
      <c r="C11795" t="str">
        <f t="shared" si="4261"/>
        <v>MORALES</v>
      </c>
      <c r="D11795">
        <f>10</f>
        <v>10</v>
      </c>
      <c r="E11795" t="str">
        <f>"02 - A - 202 - Daniel S Tyson"</f>
        <v>02 - A - 202 - Daniel S Tyson</v>
      </c>
      <c r="F11795" t="str">
        <f>"JROTC NAVAL SCI 2"</f>
        <v>JROTC NAVAL SCI 2</v>
      </c>
      <c r="G11795" t="str">
        <f>"05-510"</f>
        <v>05-510</v>
      </c>
      <c r="H11795" t="str">
        <f>"A"</f>
        <v>A</v>
      </c>
    </row>
    <row r="11796" spans="1:8" x14ac:dyDescent="0.2">
      <c r="A11796" t="str">
        <f t="shared" si="4265"/>
        <v>0616094520</v>
      </c>
      <c r="B11796" t="str">
        <f t="shared" si="4266"/>
        <v>NICOLE</v>
      </c>
      <c r="C11796" t="str">
        <f t="shared" si="4261"/>
        <v>MORALES</v>
      </c>
      <c r="D11796">
        <f>10</f>
        <v>10</v>
      </c>
      <c r="E11796" t="str">
        <f>"07 - B - 108 - Jacquelyn M Neeson"</f>
        <v>07 - B - 108 - Jacquelyn M Neeson</v>
      </c>
      <c r="F11796" t="str">
        <f>"ENG 2"</f>
        <v>ENG 2</v>
      </c>
      <c r="G11796" t="str">
        <f>"17-1715"</f>
        <v>17-1715</v>
      </c>
      <c r="H11796" t="str">
        <f>"B"</f>
        <v>B</v>
      </c>
    </row>
    <row r="11797" spans="1:8" x14ac:dyDescent="0.2">
      <c r="A11797" t="str">
        <f t="shared" si="4265"/>
        <v>0616094520</v>
      </c>
      <c r="B11797" t="str">
        <f t="shared" si="4266"/>
        <v>NICOLE</v>
      </c>
      <c r="C11797" t="str">
        <f t="shared" si="4261"/>
        <v>MORALES</v>
      </c>
      <c r="D11797">
        <f>10</f>
        <v>10</v>
      </c>
      <c r="E11797" t="str">
        <f>"05 - S1 - B - 102 - Lissa C Frederique"</f>
        <v>05 - S1 - B - 102 - Lissa C Frederique</v>
      </c>
      <c r="F11797" t="str">
        <f>"PERS FIN &amp; MON MGT H"</f>
        <v>PERS FIN &amp; MON MGT H</v>
      </c>
      <c r="G11797" t="str">
        <f>"17-1754"</f>
        <v>17-1754</v>
      </c>
      <c r="H11797" t="str">
        <f>"B"</f>
        <v>B</v>
      </c>
    </row>
    <row r="11798" spans="1:8" x14ac:dyDescent="0.2">
      <c r="A11798" t="str">
        <f t="shared" si="4265"/>
        <v>0616094520</v>
      </c>
      <c r="B11798" t="str">
        <f t="shared" si="4266"/>
        <v>NICOLE</v>
      </c>
      <c r="C11798" t="str">
        <f t="shared" si="4261"/>
        <v>MORALES</v>
      </c>
      <c r="D11798">
        <f>10</f>
        <v>10</v>
      </c>
      <c r="E11798" t="str">
        <f>"01 - A - 101 - Ferrie J Arostique"</f>
        <v>01 - A - 101 - Ferrie J Arostique</v>
      </c>
      <c r="F11798" t="str">
        <f>"GEOMETRY"</f>
        <v>GEOMETRY</v>
      </c>
      <c r="G11798" t="str">
        <f>"21-2139"</f>
        <v>21-2139</v>
      </c>
      <c r="H11798" t="str">
        <f>"A"</f>
        <v>A</v>
      </c>
    </row>
    <row r="11799" spans="1:8" x14ac:dyDescent="0.2">
      <c r="A11799" t="str">
        <f t="shared" si="4265"/>
        <v>0616094520</v>
      </c>
      <c r="B11799" t="str">
        <f t="shared" si="4266"/>
        <v>NICOLE</v>
      </c>
      <c r="C11799" t="str">
        <f t="shared" si="4261"/>
        <v>MORALES</v>
      </c>
      <c r="D11799">
        <f>10</f>
        <v>10</v>
      </c>
      <c r="E11799" t="str">
        <f>"08 - B - 001 - Lytrell T Dixon"</f>
        <v>08 - B - 001 - Lytrell T Dixon</v>
      </c>
      <c r="F11799" t="str">
        <f>"BIOLOGY 1"</f>
        <v>BIOLOGY 1</v>
      </c>
      <c r="G11799" t="str">
        <f>"08-808"</f>
        <v>08-808</v>
      </c>
      <c r="H11799" t="str">
        <f>"B"</f>
        <v>B</v>
      </c>
    </row>
    <row r="11800" spans="1:8" x14ac:dyDescent="0.2">
      <c r="A11800" t="str">
        <f t="shared" ref="A11800:A11807" si="4267">"0615039425"</f>
        <v>0615039425</v>
      </c>
      <c r="B11800" t="str">
        <f t="shared" ref="B11800:B11807" si="4268">"OSIAS"</f>
        <v>OSIAS</v>
      </c>
      <c r="C11800" t="str">
        <f t="shared" si="4261"/>
        <v>MORALES</v>
      </c>
      <c r="D11800">
        <f>11</f>
        <v>11</v>
      </c>
      <c r="E11800" t="str">
        <f>"04 - A - 104 - Adam Marcus  Drucker"</f>
        <v>04 - A - 104 - Adam Marcus  Drucker</v>
      </c>
      <c r="F11800" t="str">
        <f>"HOPE-PE V"</f>
        <v>HOPE-PE V</v>
      </c>
      <c r="G11800" t="str">
        <f>"04-254"</f>
        <v>04-254</v>
      </c>
      <c r="H11800" t="str">
        <f>"A"</f>
        <v>A</v>
      </c>
    </row>
    <row r="11801" spans="1:8" x14ac:dyDescent="0.2">
      <c r="A11801" t="str">
        <f t="shared" si="4267"/>
        <v>0615039425</v>
      </c>
      <c r="B11801" t="str">
        <f t="shared" si="4268"/>
        <v>OSIAS</v>
      </c>
      <c r="C11801" t="str">
        <f t="shared" si="4261"/>
        <v>MORALES</v>
      </c>
      <c r="D11801">
        <f>11</f>
        <v>11</v>
      </c>
      <c r="E11801" t="str">
        <f>"06 - B - 202 - Brian M Fitzgerald"</f>
        <v>06 - B - 202 - Brian M Fitzgerald</v>
      </c>
      <c r="F11801" t="str">
        <f>"DRAW 1"</f>
        <v>DRAW 1</v>
      </c>
      <c r="G11801" t="str">
        <f>"09-908"</f>
        <v>09-908</v>
      </c>
      <c r="H11801" t="str">
        <f>"B"</f>
        <v>B</v>
      </c>
    </row>
    <row r="11802" spans="1:8" x14ac:dyDescent="0.2">
      <c r="A11802" t="str">
        <f t="shared" si="4267"/>
        <v>0615039425</v>
      </c>
      <c r="B11802" t="str">
        <f t="shared" si="4268"/>
        <v>OSIAS</v>
      </c>
      <c r="C11802" t="str">
        <f t="shared" si="4261"/>
        <v>MORALES</v>
      </c>
      <c r="D11802">
        <f>11</f>
        <v>11</v>
      </c>
      <c r="E11802" t="str">
        <f>"03 - A - 104 - Kyle  Robbins"</f>
        <v>03 - A - 104 - Kyle  Robbins</v>
      </c>
      <c r="F11802" t="str">
        <f>"US HISTORY"</f>
        <v>US HISTORY</v>
      </c>
      <c r="G11802" t="str">
        <f>"17-1745"</f>
        <v>17-1745</v>
      </c>
      <c r="H11802" t="str">
        <f>"A"</f>
        <v>A</v>
      </c>
    </row>
    <row r="11803" spans="1:8" x14ac:dyDescent="0.2">
      <c r="A11803" t="str">
        <f t="shared" si="4267"/>
        <v>0615039425</v>
      </c>
      <c r="B11803" t="str">
        <f t="shared" si="4268"/>
        <v>OSIAS</v>
      </c>
      <c r="C11803" t="str">
        <f t="shared" si="4261"/>
        <v>MORALES</v>
      </c>
      <c r="D11803">
        <f>11</f>
        <v>11</v>
      </c>
      <c r="E11803" t="str">
        <f>"02 - A - 105 - Leslie J Barton"</f>
        <v>02 - A - 105 - Leslie J Barton</v>
      </c>
      <c r="F11803" t="str">
        <f>"NC STUDY HALL 1"</f>
        <v>NC STUDY HALL 1</v>
      </c>
      <c r="G11803" t="str">
        <f>"05-521"</f>
        <v>05-521</v>
      </c>
      <c r="H11803" t="str">
        <f>"A"</f>
        <v>A</v>
      </c>
    </row>
    <row r="11804" spans="1:8" x14ac:dyDescent="0.2">
      <c r="A11804" t="str">
        <f t="shared" si="4267"/>
        <v>0615039425</v>
      </c>
      <c r="B11804" t="str">
        <f t="shared" si="4268"/>
        <v>OSIAS</v>
      </c>
      <c r="C11804" t="str">
        <f t="shared" si="4261"/>
        <v>MORALES</v>
      </c>
      <c r="D11804">
        <f>11</f>
        <v>11</v>
      </c>
      <c r="E11804" t="str">
        <f>"07 - B - 104 - Marielle A Witting"</f>
        <v>07 - B - 104 - Marielle A Witting</v>
      </c>
      <c r="F11804" t="str">
        <f>"ANAT PHYSIO"</f>
        <v>ANAT PHYSIO</v>
      </c>
      <c r="G11804" t="str">
        <f>"08-805"</f>
        <v>08-805</v>
      </c>
      <c r="H11804" t="str">
        <f>"B"</f>
        <v>B</v>
      </c>
    </row>
    <row r="11805" spans="1:8" x14ac:dyDescent="0.2">
      <c r="A11805" t="str">
        <f t="shared" si="4267"/>
        <v>0615039425</v>
      </c>
      <c r="B11805" t="str">
        <f t="shared" si="4268"/>
        <v>OSIAS</v>
      </c>
      <c r="C11805" t="str">
        <f t="shared" si="4261"/>
        <v>MORALES</v>
      </c>
      <c r="D11805">
        <f>11</f>
        <v>11</v>
      </c>
      <c r="E11805" t="str">
        <f>"05 - B - 103 - Heidi M Knopp"</f>
        <v>05 - B - 103 - Heidi M Knopp</v>
      </c>
      <c r="F11805" t="str">
        <f>"ENG HON 3"</f>
        <v>ENG HON 3</v>
      </c>
      <c r="G11805" t="str">
        <f>"17-1723"</f>
        <v>17-1723</v>
      </c>
      <c r="H11805" t="str">
        <f>"B"</f>
        <v>B</v>
      </c>
    </row>
    <row r="11806" spans="1:8" x14ac:dyDescent="0.2">
      <c r="A11806" t="str">
        <f t="shared" si="4267"/>
        <v>0615039425</v>
      </c>
      <c r="B11806" t="str">
        <f t="shared" si="4268"/>
        <v>OSIAS</v>
      </c>
      <c r="C11806" t="str">
        <f t="shared" si="4261"/>
        <v>MORALES</v>
      </c>
      <c r="D11806">
        <f>11</f>
        <v>11</v>
      </c>
      <c r="E11806" t="str">
        <f>"01 - A - 104 - Milca  Exantus"</f>
        <v>01 - A - 104 - Milca  Exantus</v>
      </c>
      <c r="F11806" t="str">
        <f>"MATH COLLEGE LIB ART"</f>
        <v>MATH COLLEGE LIB ART</v>
      </c>
      <c r="G11806" t="str">
        <f>"21-2145"</f>
        <v>21-2145</v>
      </c>
      <c r="H11806" t="str">
        <f>"A"</f>
        <v>A</v>
      </c>
    </row>
    <row r="11807" spans="1:8" x14ac:dyDescent="0.2">
      <c r="A11807" t="str">
        <f t="shared" si="4267"/>
        <v>0615039425</v>
      </c>
      <c r="B11807" t="str">
        <f t="shared" si="4268"/>
        <v>OSIAS</v>
      </c>
      <c r="C11807" t="str">
        <f t="shared" si="4261"/>
        <v>MORALES</v>
      </c>
      <c r="D11807">
        <f>11</f>
        <v>11</v>
      </c>
      <c r="E11807" t="str">
        <f>"08 - B - 201 - Tina M Jaramillo"</f>
        <v>08 - B - 201 - Tina M Jaramillo</v>
      </c>
      <c r="F11807" t="str">
        <f>"CREATIVE WRIT 3 HON"</f>
        <v>CREATIVE WRIT 3 HON</v>
      </c>
      <c r="G11807" t="str">
        <f>"17-1706"</f>
        <v>17-1706</v>
      </c>
      <c r="H11807" t="str">
        <f>"B"</f>
        <v>B</v>
      </c>
    </row>
    <row r="11808" spans="1:8" x14ac:dyDescent="0.2">
      <c r="A11808" t="str">
        <f t="shared" ref="A11808:A11815" si="4269">"0615013724"</f>
        <v>0615013724</v>
      </c>
      <c r="B11808" t="str">
        <f t="shared" ref="B11808:B11815" si="4270">"RILEY"</f>
        <v>RILEY</v>
      </c>
      <c r="C11808" t="str">
        <f t="shared" si="4261"/>
        <v>MORALES</v>
      </c>
      <c r="D11808">
        <f>11</f>
        <v>11</v>
      </c>
      <c r="E11808" t="str">
        <f>"04 - A - 101 - Stephen T Ripp"</f>
        <v>04 - A - 101 - Stephen T Ripp</v>
      </c>
      <c r="F11808" t="str">
        <f>"AP U.S. HIST"</f>
        <v>AP U.S. HIST</v>
      </c>
      <c r="G11808" t="str">
        <f>"17-1744"</f>
        <v>17-1744</v>
      </c>
      <c r="H11808" t="str">
        <f>"A"</f>
        <v>A</v>
      </c>
    </row>
    <row r="11809" spans="1:8" x14ac:dyDescent="0.2">
      <c r="A11809" t="str">
        <f t="shared" si="4269"/>
        <v>0615013724</v>
      </c>
      <c r="B11809" t="str">
        <f t="shared" si="4270"/>
        <v>RILEY</v>
      </c>
      <c r="C11809" t="str">
        <f t="shared" si="4261"/>
        <v>MORALES</v>
      </c>
      <c r="D11809">
        <f>11</f>
        <v>11</v>
      </c>
      <c r="E11809" t="str">
        <f>"06 - B - 104 - Chrystina M Marchionne"</f>
        <v>06 - B - 104 - Chrystina M Marchionne</v>
      </c>
      <c r="F11809" t="str">
        <f>"AICE MEDIA STUDIES A"</f>
        <v>AICE MEDIA STUDIES A</v>
      </c>
      <c r="G11809" t="str">
        <f>"05-520"</f>
        <v>05-520</v>
      </c>
      <c r="H11809" t="str">
        <f>"B"</f>
        <v>B</v>
      </c>
    </row>
    <row r="11810" spans="1:8" x14ac:dyDescent="0.2">
      <c r="A11810" t="str">
        <f t="shared" si="4269"/>
        <v>0615013724</v>
      </c>
      <c r="B11810" t="str">
        <f t="shared" si="4270"/>
        <v>RILEY</v>
      </c>
      <c r="C11810" t="str">
        <f t="shared" si="4261"/>
        <v>MORALES</v>
      </c>
      <c r="D11810">
        <f>11</f>
        <v>11</v>
      </c>
      <c r="E11810" t="str">
        <f>"03 - A - 102 - Tina M Jaramillo"</f>
        <v>03 - A - 102 - Tina M Jaramillo</v>
      </c>
      <c r="F11810" t="str">
        <f>"AP ENG COMPO"</f>
        <v>AP ENG COMPO</v>
      </c>
      <c r="G11810" t="str">
        <f>"17-1706"</f>
        <v>17-1706</v>
      </c>
      <c r="H11810" t="str">
        <f>"A"</f>
        <v>A</v>
      </c>
    </row>
    <row r="11811" spans="1:8" x14ac:dyDescent="0.2">
      <c r="A11811" t="str">
        <f t="shared" si="4269"/>
        <v>0615013724</v>
      </c>
      <c r="B11811" t="str">
        <f t="shared" si="4270"/>
        <v>RILEY</v>
      </c>
      <c r="C11811" t="str">
        <f t="shared" si="4261"/>
        <v>MORALES</v>
      </c>
      <c r="D11811">
        <f>11</f>
        <v>11</v>
      </c>
      <c r="E11811" t="str">
        <f>"02 - A - 105 - Leslie J Barton"</f>
        <v>02 - A - 105 - Leslie J Barton</v>
      </c>
      <c r="F11811" t="str">
        <f>"NC STUDY HALL 1"</f>
        <v>NC STUDY HALL 1</v>
      </c>
      <c r="G11811" t="str">
        <f>"05-521"</f>
        <v>05-521</v>
      </c>
      <c r="H11811" t="str">
        <f>"A"</f>
        <v>A</v>
      </c>
    </row>
    <row r="11812" spans="1:8" x14ac:dyDescent="0.2">
      <c r="A11812" t="str">
        <f t="shared" si="4269"/>
        <v>0615013724</v>
      </c>
      <c r="B11812" t="str">
        <f t="shared" si="4270"/>
        <v>RILEY</v>
      </c>
      <c r="C11812" t="str">
        <f t="shared" si="4261"/>
        <v>MORALES</v>
      </c>
      <c r="D11812">
        <f>11</f>
        <v>11</v>
      </c>
      <c r="E11812" t="str">
        <f>"07 - B - 102 - Pamela M Corzo"</f>
        <v>07 - B - 102 - Pamela M Corzo</v>
      </c>
      <c r="F11812" t="str">
        <f>"AP CALCULUS AB"</f>
        <v>AP CALCULUS AB</v>
      </c>
      <c r="G11812" t="str">
        <f>"21-2133"</f>
        <v>21-2133</v>
      </c>
      <c r="H11812" t="str">
        <f>"B"</f>
        <v>B</v>
      </c>
    </row>
    <row r="11813" spans="1:8" x14ac:dyDescent="0.2">
      <c r="A11813" t="str">
        <f t="shared" si="4269"/>
        <v>0615013724</v>
      </c>
      <c r="B11813" t="str">
        <f t="shared" si="4270"/>
        <v>RILEY</v>
      </c>
      <c r="C11813" t="str">
        <f t="shared" si="4261"/>
        <v>MORALES</v>
      </c>
      <c r="D11813">
        <f>11</f>
        <v>11</v>
      </c>
      <c r="E11813" t="str">
        <f>"05 - B - 101 - Jordana K Hass"</f>
        <v>05 - B - 101 - Jordana K Hass</v>
      </c>
      <c r="F11813" t="str">
        <f>"AP COMP SCI PRIN"</f>
        <v>AP COMP SCI PRIN</v>
      </c>
      <c r="G11813" t="str">
        <f>"08-807"</f>
        <v>08-807</v>
      </c>
      <c r="H11813" t="str">
        <f>"B"</f>
        <v>B</v>
      </c>
    </row>
    <row r="11814" spans="1:8" x14ac:dyDescent="0.2">
      <c r="A11814" t="str">
        <f t="shared" si="4269"/>
        <v>0615013724</v>
      </c>
      <c r="B11814" t="str">
        <f t="shared" si="4270"/>
        <v>RILEY</v>
      </c>
      <c r="C11814" t="str">
        <f t="shared" si="4261"/>
        <v>MORALES</v>
      </c>
      <c r="D11814">
        <f>11</f>
        <v>11</v>
      </c>
      <c r="E11814" t="str">
        <f>"01 - A - 101 - Lisa J London"</f>
        <v>01 - A - 101 - Lisa J London</v>
      </c>
      <c r="F11814" t="str">
        <f>"AP CAPSTONE SEMINAR"</f>
        <v>AP CAPSTONE SEMINAR</v>
      </c>
      <c r="G11814" t="str">
        <f>"17-1714"</f>
        <v>17-1714</v>
      </c>
      <c r="H11814" t="str">
        <f>"A"</f>
        <v>A</v>
      </c>
    </row>
    <row r="11815" spans="1:8" x14ac:dyDescent="0.2">
      <c r="A11815" t="str">
        <f t="shared" si="4269"/>
        <v>0615013724</v>
      </c>
      <c r="B11815" t="str">
        <f t="shared" si="4270"/>
        <v>RILEY</v>
      </c>
      <c r="C11815" t="str">
        <f t="shared" si="4261"/>
        <v>MORALES</v>
      </c>
      <c r="D11815">
        <f>11</f>
        <v>11</v>
      </c>
      <c r="E11815" t="str">
        <f>"08 - B - 102 - Jacqueline R Morphet"</f>
        <v>08 - B - 102 - Jacqueline R Morphet</v>
      </c>
      <c r="F11815" t="str">
        <f>"AP PHYSICS 1"</f>
        <v>AP PHYSICS 1</v>
      </c>
      <c r="G11815" t="str">
        <f>"21-2138"</f>
        <v>21-2138</v>
      </c>
      <c r="H11815" t="str">
        <f>"B"</f>
        <v>B</v>
      </c>
    </row>
    <row r="11816" spans="1:8" x14ac:dyDescent="0.2">
      <c r="A11816" t="str">
        <f t="shared" ref="A11816:A11823" si="4271">"0616152603"</f>
        <v>0616152603</v>
      </c>
      <c r="B11816" t="str">
        <f t="shared" ref="B11816:B11823" si="4272">"SKYE"</f>
        <v>SKYE</v>
      </c>
      <c r="C11816" t="str">
        <f t="shared" si="4261"/>
        <v>MORALES</v>
      </c>
      <c r="D11816" t="str">
        <f t="shared" ref="D11816:D11823" si="4273">"09"</f>
        <v>09</v>
      </c>
      <c r="E11816" t="str">
        <f>"04 - A - 201 - Norayda D Suarez"</f>
        <v>04 - A - 201 - Norayda D Suarez</v>
      </c>
      <c r="F11816" t="str">
        <f>"ANAT PHYSIO HON"</f>
        <v>ANAT PHYSIO HON</v>
      </c>
      <c r="G11816" t="str">
        <f>"21-2142"</f>
        <v>21-2142</v>
      </c>
      <c r="H11816" t="str">
        <f>"A"</f>
        <v>A</v>
      </c>
    </row>
    <row r="11817" spans="1:8" x14ac:dyDescent="0.2">
      <c r="A11817" t="str">
        <f t="shared" si="4271"/>
        <v>0616152603</v>
      </c>
      <c r="B11817" t="str">
        <f t="shared" si="4272"/>
        <v>SKYE</v>
      </c>
      <c r="C11817" t="str">
        <f t="shared" si="4261"/>
        <v>MORALES</v>
      </c>
      <c r="D11817" t="str">
        <f t="shared" si="4273"/>
        <v>09</v>
      </c>
      <c r="E11817" t="str">
        <f>"06 - B - 202 - Samantha L Martinez"</f>
        <v>06 - B - 202 - Samantha L Martinez</v>
      </c>
      <c r="F11817" t="str">
        <f>"GUITAR 1"</f>
        <v>GUITAR 1</v>
      </c>
      <c r="G11817" t="str">
        <f>"05-505"</f>
        <v>05-505</v>
      </c>
      <c r="H11817" t="str">
        <f>"B"</f>
        <v>B</v>
      </c>
    </row>
    <row r="11818" spans="1:8" x14ac:dyDescent="0.2">
      <c r="A11818" t="str">
        <f t="shared" si="4271"/>
        <v>0616152603</v>
      </c>
      <c r="B11818" t="str">
        <f t="shared" si="4272"/>
        <v>SKYE</v>
      </c>
      <c r="C11818" t="str">
        <f t="shared" si="4261"/>
        <v>MORALES</v>
      </c>
      <c r="D11818" t="str">
        <f t="shared" si="4273"/>
        <v>09</v>
      </c>
      <c r="E11818" t="str">
        <f>"03 - A - 102 - Rory T Sponsler"</f>
        <v>03 - A - 102 - Rory T Sponsler</v>
      </c>
      <c r="F11818" t="str">
        <f>"PRE-AICE WRLD HST IG"</f>
        <v>PRE-AICE WRLD HST IG</v>
      </c>
      <c r="G11818" t="str">
        <f>"17-1740"</f>
        <v>17-1740</v>
      </c>
      <c r="H11818" t="str">
        <f>"A"</f>
        <v>A</v>
      </c>
    </row>
    <row r="11819" spans="1:8" x14ac:dyDescent="0.2">
      <c r="A11819" t="str">
        <f t="shared" si="4271"/>
        <v>0616152603</v>
      </c>
      <c r="B11819" t="str">
        <f t="shared" si="4272"/>
        <v>SKYE</v>
      </c>
      <c r="C11819" t="str">
        <f t="shared" si="4261"/>
        <v>MORALES</v>
      </c>
      <c r="D11819" t="str">
        <f t="shared" si="4273"/>
        <v>09</v>
      </c>
      <c r="E11819" t="str">
        <f>"02 - A - 101 - Josiah I Lacy"</f>
        <v>02 - A - 101 - Josiah I Lacy</v>
      </c>
      <c r="F11819" t="str">
        <f>"NC STUDY HALL 1"</f>
        <v>NC STUDY HALL 1</v>
      </c>
      <c r="G11819" t="str">
        <f>"08-801"</f>
        <v>08-801</v>
      </c>
      <c r="H11819" t="str">
        <f>"A"</f>
        <v>A</v>
      </c>
    </row>
    <row r="11820" spans="1:8" x14ac:dyDescent="0.2">
      <c r="A11820" t="str">
        <f t="shared" si="4271"/>
        <v>0616152603</v>
      </c>
      <c r="B11820" t="str">
        <f t="shared" si="4272"/>
        <v>SKYE</v>
      </c>
      <c r="C11820" t="str">
        <f t="shared" si="4261"/>
        <v>MORALES</v>
      </c>
      <c r="D11820" t="str">
        <f t="shared" si="4273"/>
        <v>09</v>
      </c>
      <c r="E11820" t="str">
        <f>"07 - B - 001 - Cheryl Anne  Berman-Schechter"</f>
        <v>07 - B - 001 - Cheryl Anne  Berman-Schechter</v>
      </c>
      <c r="F11820" t="str">
        <f>"AICE ENG GEN PAPER 1"</f>
        <v>AICE ENG GEN PAPER 1</v>
      </c>
      <c r="G11820" t="str">
        <f>"17-1722"</f>
        <v>17-1722</v>
      </c>
      <c r="H11820" t="str">
        <f>"B"</f>
        <v>B</v>
      </c>
    </row>
    <row r="11821" spans="1:8" x14ac:dyDescent="0.2">
      <c r="A11821" t="str">
        <f t="shared" si="4271"/>
        <v>0616152603</v>
      </c>
      <c r="B11821" t="str">
        <f t="shared" si="4272"/>
        <v>SKYE</v>
      </c>
      <c r="C11821" t="str">
        <f t="shared" si="4261"/>
        <v>MORALES</v>
      </c>
      <c r="D11821" t="str">
        <f t="shared" si="4273"/>
        <v>09</v>
      </c>
      <c r="E11821" t="str">
        <f>"05 - B - 105 - Marius D Orsolini"</f>
        <v>05 - B - 105 - Marius D Orsolini</v>
      </c>
      <c r="F11821" t="str">
        <f>"CULINARY ARTS 1"</f>
        <v>CULINARY ARTS 1</v>
      </c>
      <c r="G11821" t="str">
        <f>"21-2115"</f>
        <v>21-2115</v>
      </c>
      <c r="H11821" t="str">
        <f>"B"</f>
        <v>B</v>
      </c>
    </row>
    <row r="11822" spans="1:8" x14ac:dyDescent="0.2">
      <c r="A11822" t="str">
        <f t="shared" si="4271"/>
        <v>0616152603</v>
      </c>
      <c r="B11822" t="str">
        <f t="shared" si="4272"/>
        <v>SKYE</v>
      </c>
      <c r="C11822" t="str">
        <f t="shared" si="4261"/>
        <v>MORALES</v>
      </c>
      <c r="D11822" t="str">
        <f t="shared" si="4273"/>
        <v>09</v>
      </c>
      <c r="E11822" t="str">
        <f>"01 - A - 101 - Joe  Kilpatrick Jr"</f>
        <v>01 - A - 101 - Joe  Kilpatrick Jr</v>
      </c>
      <c r="F11822" t="str">
        <f>"PRE-AICE SPAN 1 IG"</f>
        <v>PRE-AICE SPAN 1 IG</v>
      </c>
      <c r="G11822" t="str">
        <f>"09-912"</f>
        <v>09-912</v>
      </c>
      <c r="H11822" t="str">
        <f>"A"</f>
        <v>A</v>
      </c>
    </row>
    <row r="11823" spans="1:8" x14ac:dyDescent="0.2">
      <c r="A11823" t="str">
        <f t="shared" si="4271"/>
        <v>0616152603</v>
      </c>
      <c r="B11823" t="str">
        <f t="shared" si="4272"/>
        <v>SKYE</v>
      </c>
      <c r="C11823" t="str">
        <f t="shared" si="4261"/>
        <v>MORALES</v>
      </c>
      <c r="D11823" t="str">
        <f t="shared" si="4273"/>
        <v>09</v>
      </c>
      <c r="E11823" t="str">
        <f>"08 - B - 107 - Brook E Goren"</f>
        <v>08 - B - 107 - Brook E Goren</v>
      </c>
      <c r="F11823" t="str">
        <f>"GEOMETRY"</f>
        <v>GEOMETRY</v>
      </c>
      <c r="G11823" t="str">
        <f>"21-2158"</f>
        <v>21-2158</v>
      </c>
      <c r="H11823" t="str">
        <f>"B"</f>
        <v>B</v>
      </c>
    </row>
    <row r="11824" spans="1:8" x14ac:dyDescent="0.2">
      <c r="A11824" t="str">
        <f t="shared" ref="A11824:A11831" si="4274">"0616042335"</f>
        <v>0616042335</v>
      </c>
      <c r="B11824" t="str">
        <f t="shared" ref="B11824:B11831" si="4275">"CHARLIZE"</f>
        <v>CHARLIZE</v>
      </c>
      <c r="C11824" t="str">
        <f t="shared" ref="C11824:C11839" si="4276">"MORAN"</f>
        <v>MORAN</v>
      </c>
      <c r="D11824">
        <f>12</f>
        <v>12</v>
      </c>
      <c r="E11824" t="str">
        <f>"04 - A - 202 - Daniel S Katz"</f>
        <v>04 - A - 202 - Daniel S Katz</v>
      </c>
      <c r="F11824" t="str">
        <f>"AICE DRAMA 2 A LEVEL"</f>
        <v>AICE DRAMA 2 A LEVEL</v>
      </c>
      <c r="G11824" t="str">
        <f>"05-521"</f>
        <v>05-521</v>
      </c>
      <c r="H11824" t="str">
        <f>"A"</f>
        <v>A</v>
      </c>
    </row>
    <row r="11825" spans="1:8" x14ac:dyDescent="0.2">
      <c r="A11825" t="str">
        <f t="shared" si="4274"/>
        <v>0616042335</v>
      </c>
      <c r="B11825" t="str">
        <f t="shared" si="4275"/>
        <v>CHARLIZE</v>
      </c>
      <c r="C11825" t="str">
        <f t="shared" si="4276"/>
        <v>MORAN</v>
      </c>
      <c r="D11825">
        <f>12</f>
        <v>12</v>
      </c>
      <c r="E11825" t="str">
        <f>"06 - B - 111 - James H Mccann"</f>
        <v>06 - B - 111 - James H Mccann</v>
      </c>
      <c r="F11825" t="str">
        <f>"NC STUDY HALL 1"</f>
        <v>NC STUDY HALL 1</v>
      </c>
      <c r="G11825" t="str">
        <f>"17-1716"</f>
        <v>17-1716</v>
      </c>
      <c r="H11825" t="str">
        <f>"B"</f>
        <v>B</v>
      </c>
    </row>
    <row r="11826" spans="1:8" x14ac:dyDescent="0.2">
      <c r="A11826" t="str">
        <f t="shared" si="4274"/>
        <v>0616042335</v>
      </c>
      <c r="B11826" t="str">
        <f t="shared" si="4275"/>
        <v>CHARLIZE</v>
      </c>
      <c r="C11826" t="str">
        <f t="shared" si="4276"/>
        <v>MORAN</v>
      </c>
      <c r="D11826">
        <f>12</f>
        <v>12</v>
      </c>
      <c r="E11826" t="str">
        <f>"03 - A - 203 - Stefanie S Scher"</f>
        <v>03 - A - 203 - Stefanie S Scher</v>
      </c>
      <c r="F11826" t="str">
        <f>"AP PSYCH"</f>
        <v>AP PSYCH</v>
      </c>
      <c r="G11826" t="str">
        <f>"17-1735"</f>
        <v>17-1735</v>
      </c>
      <c r="H11826" t="str">
        <f>"A"</f>
        <v>A</v>
      </c>
    </row>
    <row r="11827" spans="1:8" x14ac:dyDescent="0.2">
      <c r="A11827" t="str">
        <f t="shared" si="4274"/>
        <v>0616042335</v>
      </c>
      <c r="B11827" t="str">
        <f t="shared" si="4275"/>
        <v>CHARLIZE</v>
      </c>
      <c r="C11827" t="str">
        <f t="shared" si="4276"/>
        <v>MORAN</v>
      </c>
      <c r="D11827">
        <f>12</f>
        <v>12</v>
      </c>
      <c r="E11827" t="str">
        <f>"02 - A - 102 - Marielle A Witting"</f>
        <v>02 - A - 102 - Marielle A Witting</v>
      </c>
      <c r="F11827" t="str">
        <f>"AP BIO"</f>
        <v>AP BIO</v>
      </c>
      <c r="G11827" t="str">
        <f>"08-805"</f>
        <v>08-805</v>
      </c>
      <c r="H11827" t="str">
        <f>"A"</f>
        <v>A</v>
      </c>
    </row>
    <row r="11828" spans="1:8" x14ac:dyDescent="0.2">
      <c r="A11828" t="str">
        <f t="shared" si="4274"/>
        <v>0616042335</v>
      </c>
      <c r="B11828" t="str">
        <f t="shared" si="4275"/>
        <v>CHARLIZE</v>
      </c>
      <c r="C11828" t="str">
        <f t="shared" si="4276"/>
        <v>MORAN</v>
      </c>
      <c r="D11828">
        <f>12</f>
        <v>12</v>
      </c>
      <c r="E11828" t="str">
        <f>"07 - S1 - B - 101 - Stephen T Ripp"</f>
        <v>07 - S1 - B - 101 - Stephen T Ripp</v>
      </c>
      <c r="F11828" t="str">
        <f>"AP US GOVT/POL"</f>
        <v>AP US GOVT/POL</v>
      </c>
      <c r="G11828" t="str">
        <f>"17-1744"</f>
        <v>17-1744</v>
      </c>
      <c r="H11828" t="str">
        <f>"B"</f>
        <v>B</v>
      </c>
    </row>
    <row r="11829" spans="1:8" x14ac:dyDescent="0.2">
      <c r="A11829" t="str">
        <f t="shared" si="4274"/>
        <v>0616042335</v>
      </c>
      <c r="B11829" t="str">
        <f t="shared" si="4275"/>
        <v>CHARLIZE</v>
      </c>
      <c r="C11829" t="str">
        <f t="shared" si="4276"/>
        <v>MORAN</v>
      </c>
      <c r="D11829">
        <f>12</f>
        <v>12</v>
      </c>
      <c r="E11829" t="str">
        <f>"05 - B - 101 - Pamela M Corzo"</f>
        <v>05 - B - 101 - Pamela M Corzo</v>
      </c>
      <c r="F11829" t="str">
        <f>"AP CALCULUS AB"</f>
        <v>AP CALCULUS AB</v>
      </c>
      <c r="G11829" t="str">
        <f>"21-2133"</f>
        <v>21-2133</v>
      </c>
      <c r="H11829" t="str">
        <f>"B"</f>
        <v>B</v>
      </c>
    </row>
    <row r="11830" spans="1:8" x14ac:dyDescent="0.2">
      <c r="A11830" t="str">
        <f t="shared" si="4274"/>
        <v>0616042335</v>
      </c>
      <c r="B11830" t="str">
        <f t="shared" si="4275"/>
        <v>CHARLIZE</v>
      </c>
      <c r="C11830" t="str">
        <f t="shared" si="4276"/>
        <v>MORAN</v>
      </c>
      <c r="D11830">
        <f>12</f>
        <v>12</v>
      </c>
      <c r="E11830" t="str">
        <f>"01 - A - 204 - Tina M Jaramillo"</f>
        <v>01 - A - 204 - Tina M Jaramillo</v>
      </c>
      <c r="F11830" t="str">
        <f>"AP ENG LIT COMPO"</f>
        <v>AP ENG LIT COMPO</v>
      </c>
      <c r="G11830" t="str">
        <f>"17-1706"</f>
        <v>17-1706</v>
      </c>
      <c r="H11830" t="str">
        <f>"A"</f>
        <v>A</v>
      </c>
    </row>
    <row r="11831" spans="1:8" x14ac:dyDescent="0.2">
      <c r="A11831" t="str">
        <f t="shared" si="4274"/>
        <v>0616042335</v>
      </c>
      <c r="B11831" t="str">
        <f t="shared" si="4275"/>
        <v>CHARLIZE</v>
      </c>
      <c r="C11831" t="str">
        <f t="shared" si="4276"/>
        <v>MORAN</v>
      </c>
      <c r="D11831">
        <f>12</f>
        <v>12</v>
      </c>
      <c r="E11831" t="str">
        <f>"08 - B - 102 - Lisa J London"</f>
        <v>08 - B - 102 - Lisa J London</v>
      </c>
      <c r="F11831" t="str">
        <f>"AP CAPSTONE RESEARCH"</f>
        <v>AP CAPSTONE RESEARCH</v>
      </c>
      <c r="G11831" t="str">
        <f>"17-1714"</f>
        <v>17-1714</v>
      </c>
      <c r="H11831" t="str">
        <f>"B"</f>
        <v>B</v>
      </c>
    </row>
    <row r="11832" spans="1:8" x14ac:dyDescent="0.2">
      <c r="A11832" t="str">
        <f t="shared" ref="A11832:A11839" si="4277">"0616056168"</f>
        <v>0616056168</v>
      </c>
      <c r="B11832" t="str">
        <f t="shared" ref="B11832:B11839" si="4278">"NICHOLAS"</f>
        <v>NICHOLAS</v>
      </c>
      <c r="C11832" t="str">
        <f t="shared" si="4276"/>
        <v>MORAN</v>
      </c>
      <c r="D11832">
        <f>12</f>
        <v>12</v>
      </c>
      <c r="E11832" t="str">
        <f>"04 - A - 201 - Vanessa J Liburd"</f>
        <v>04 - A - 201 - Vanessa J Liburd</v>
      </c>
      <c r="F11832" t="str">
        <f>"FRENCH 4 HON"</f>
        <v>FRENCH 4 HON</v>
      </c>
      <c r="G11832" t="str">
        <f>"05-519"</f>
        <v>05-519</v>
      </c>
      <c r="H11832" t="str">
        <f>"A"</f>
        <v>A</v>
      </c>
    </row>
    <row r="11833" spans="1:8" x14ac:dyDescent="0.2">
      <c r="A11833" t="str">
        <f t="shared" si="4277"/>
        <v>0616056168</v>
      </c>
      <c r="B11833" t="str">
        <f t="shared" si="4278"/>
        <v>NICHOLAS</v>
      </c>
      <c r="C11833" t="str">
        <f t="shared" si="4276"/>
        <v>MORAN</v>
      </c>
      <c r="D11833">
        <f>12</f>
        <v>12</v>
      </c>
      <c r="E11833" t="str">
        <f>"06 - B - 107 - Pamela M Corzo"</f>
        <v>06 - B - 107 - Pamela M Corzo</v>
      </c>
      <c r="F11833" t="str">
        <f>"NC STUDY HALL 1"</f>
        <v>NC STUDY HALL 1</v>
      </c>
      <c r="G11833" t="str">
        <f>"21-2133"</f>
        <v>21-2133</v>
      </c>
      <c r="H11833" t="str">
        <f>"B"</f>
        <v>B</v>
      </c>
    </row>
    <row r="11834" spans="1:8" x14ac:dyDescent="0.2">
      <c r="A11834" t="str">
        <f t="shared" si="4277"/>
        <v>0616056168</v>
      </c>
      <c r="B11834" t="str">
        <f t="shared" si="4278"/>
        <v>NICHOLAS</v>
      </c>
      <c r="C11834" t="str">
        <f t="shared" si="4276"/>
        <v>MORAN</v>
      </c>
      <c r="D11834">
        <f>12</f>
        <v>12</v>
      </c>
      <c r="E11834" t="str">
        <f>"03 - A - 101 - Lisa J London"</f>
        <v>03 - A - 101 - Lisa J London</v>
      </c>
      <c r="F11834" t="str">
        <f>"AP CAPSTONE RESEARCH"</f>
        <v>AP CAPSTONE RESEARCH</v>
      </c>
      <c r="G11834" t="str">
        <f>"17-1714"</f>
        <v>17-1714</v>
      </c>
      <c r="H11834" t="str">
        <f>"A"</f>
        <v>A</v>
      </c>
    </row>
    <row r="11835" spans="1:8" x14ac:dyDescent="0.2">
      <c r="A11835" t="str">
        <f t="shared" si="4277"/>
        <v>0616056168</v>
      </c>
      <c r="B11835" t="str">
        <f t="shared" si="4278"/>
        <v>NICHOLAS</v>
      </c>
      <c r="C11835" t="str">
        <f t="shared" si="4276"/>
        <v>MORAN</v>
      </c>
      <c r="D11835">
        <f>12</f>
        <v>12</v>
      </c>
      <c r="E11835" t="str">
        <f>"02 - A - 102 - Marielle A Witting"</f>
        <v>02 - A - 102 - Marielle A Witting</v>
      </c>
      <c r="F11835" t="str">
        <f>"AP BIO"</f>
        <v>AP BIO</v>
      </c>
      <c r="G11835" t="str">
        <f>"08-805"</f>
        <v>08-805</v>
      </c>
      <c r="H11835" t="str">
        <f>"A"</f>
        <v>A</v>
      </c>
    </row>
    <row r="11836" spans="1:8" x14ac:dyDescent="0.2">
      <c r="A11836" t="str">
        <f t="shared" si="4277"/>
        <v>0616056168</v>
      </c>
      <c r="B11836" t="str">
        <f t="shared" si="4278"/>
        <v>NICHOLAS</v>
      </c>
      <c r="C11836" t="str">
        <f t="shared" si="4276"/>
        <v>MORAN</v>
      </c>
      <c r="D11836">
        <f>12</f>
        <v>12</v>
      </c>
      <c r="E11836" t="str">
        <f>"07 - B - 102 - Courtney E Hambright"</f>
        <v>07 - B - 102 - Courtney E Hambright</v>
      </c>
      <c r="F11836" t="str">
        <f>"AP ENG LIT COMPO"</f>
        <v>AP ENG LIT COMPO</v>
      </c>
      <c r="G11836" t="str">
        <f>"17-1711"</f>
        <v>17-1711</v>
      </c>
      <c r="H11836" t="str">
        <f>"B"</f>
        <v>B</v>
      </c>
    </row>
    <row r="11837" spans="1:8" x14ac:dyDescent="0.2">
      <c r="A11837" t="str">
        <f t="shared" si="4277"/>
        <v>0616056168</v>
      </c>
      <c r="B11837" t="str">
        <f t="shared" si="4278"/>
        <v>NICHOLAS</v>
      </c>
      <c r="C11837" t="str">
        <f t="shared" si="4276"/>
        <v>MORAN</v>
      </c>
      <c r="D11837">
        <f>12</f>
        <v>12</v>
      </c>
      <c r="E11837" t="str">
        <f>"05 - S1 - B - 103 - Stephen T Ripp"</f>
        <v>05 - S1 - B - 103 - Stephen T Ripp</v>
      </c>
      <c r="F11837" t="str">
        <f>"AP US GOVT/POL"</f>
        <v>AP US GOVT/POL</v>
      </c>
      <c r="G11837" t="str">
        <f>"17-1744"</f>
        <v>17-1744</v>
      </c>
      <c r="H11837" t="str">
        <f>"B"</f>
        <v>B</v>
      </c>
    </row>
    <row r="11838" spans="1:8" x14ac:dyDescent="0.2">
      <c r="A11838" t="str">
        <f t="shared" si="4277"/>
        <v>0616056168</v>
      </c>
      <c r="B11838" t="str">
        <f t="shared" si="4278"/>
        <v>NICHOLAS</v>
      </c>
      <c r="C11838" t="str">
        <f t="shared" si="4276"/>
        <v>MORAN</v>
      </c>
      <c r="D11838">
        <f>12</f>
        <v>12</v>
      </c>
      <c r="E11838" t="str">
        <f>"01 - A - 201 - Pamela M Corzo"</f>
        <v>01 - A - 201 - Pamela M Corzo</v>
      </c>
      <c r="F11838" t="str">
        <f>"AP CALCULUS BC"</f>
        <v>AP CALCULUS BC</v>
      </c>
      <c r="G11838" t="str">
        <f>"21-2133"</f>
        <v>21-2133</v>
      </c>
      <c r="H11838" t="str">
        <f>"A"</f>
        <v>A</v>
      </c>
    </row>
    <row r="11839" spans="1:8" x14ac:dyDescent="0.2">
      <c r="A11839" t="str">
        <f t="shared" si="4277"/>
        <v>0616056168</v>
      </c>
      <c r="B11839" t="str">
        <f t="shared" si="4278"/>
        <v>NICHOLAS</v>
      </c>
      <c r="C11839" t="str">
        <f t="shared" si="4276"/>
        <v>MORAN</v>
      </c>
      <c r="D11839">
        <f>12</f>
        <v>12</v>
      </c>
      <c r="E11839" t="str">
        <f>"08 - B - 101 - Jordana K Hass"</f>
        <v>08 - B - 101 - Jordana K Hass</v>
      </c>
      <c r="F11839" t="str">
        <f>"AICE INFO TECH 1 AS"</f>
        <v>AICE INFO TECH 1 AS</v>
      </c>
      <c r="G11839" t="str">
        <f>"08-807"</f>
        <v>08-807</v>
      </c>
      <c r="H11839" t="str">
        <f>"B"</f>
        <v>B</v>
      </c>
    </row>
    <row r="11840" spans="1:8" x14ac:dyDescent="0.2">
      <c r="A11840" t="str">
        <f t="shared" ref="A11840:A11847" si="4279">"0616115749"</f>
        <v>0616115749</v>
      </c>
      <c r="B11840" t="str">
        <f t="shared" ref="B11840:B11847" si="4280">"DAFEKA"</f>
        <v>DAFEKA</v>
      </c>
      <c r="C11840" t="str">
        <f t="shared" ref="C11840:C11847" si="4281">"MORANCY"</f>
        <v>MORANCY</v>
      </c>
      <c r="D11840">
        <f>12</f>
        <v>12</v>
      </c>
      <c r="E11840" t="str">
        <f>"04 - S1 - A - 106 - Kelly N Panza"</f>
        <v>04 - S1 - A - 106 - Kelly N Panza</v>
      </c>
      <c r="F11840" t="str">
        <f>"US GOVT HON"</f>
        <v>US GOVT HON</v>
      </c>
      <c r="G11840" t="str">
        <f>"17-1753"</f>
        <v>17-1753</v>
      </c>
      <c r="H11840" t="str">
        <f>"A"</f>
        <v>A</v>
      </c>
    </row>
    <row r="11841" spans="1:8" x14ac:dyDescent="0.2">
      <c r="A11841" t="str">
        <f t="shared" si="4279"/>
        <v>0616115749</v>
      </c>
      <c r="B11841" t="str">
        <f t="shared" si="4280"/>
        <v>DAFEKA</v>
      </c>
      <c r="C11841" t="str">
        <f t="shared" si="4281"/>
        <v>MORANCY</v>
      </c>
      <c r="D11841">
        <f>12</f>
        <v>12</v>
      </c>
      <c r="E11841" t="str">
        <f>"06 - B - 104 - Vanessa J Liburd"</f>
        <v>06 - B - 104 - Vanessa J Liburd</v>
      </c>
      <c r="F11841" t="str">
        <f>"NC STUDY HALL 1"</f>
        <v>NC STUDY HALL 1</v>
      </c>
      <c r="G11841" t="str">
        <f>"05-519"</f>
        <v>05-519</v>
      </c>
      <c r="H11841" t="str">
        <f>"B"</f>
        <v>B</v>
      </c>
    </row>
    <row r="11842" spans="1:8" x14ac:dyDescent="0.2">
      <c r="A11842" t="str">
        <f t="shared" si="4279"/>
        <v>0616115749</v>
      </c>
      <c r="B11842" t="str">
        <f t="shared" si="4280"/>
        <v>DAFEKA</v>
      </c>
      <c r="C11842" t="str">
        <f t="shared" si="4281"/>
        <v>MORANCY</v>
      </c>
      <c r="D11842">
        <f>12</f>
        <v>12</v>
      </c>
      <c r="E11842" t="str">
        <f>"03 - A - 201 - Christa T Parisi"</f>
        <v>03 - A - 201 - Christa T Parisi</v>
      </c>
      <c r="F11842" t="str">
        <f>"DANCE TECHNQS 1"</f>
        <v>DANCE TECHNQS 1</v>
      </c>
      <c r="G11842" t="str">
        <f>"05-503"</f>
        <v>05-503</v>
      </c>
      <c r="H11842" t="str">
        <f>"A"</f>
        <v>A</v>
      </c>
    </row>
    <row r="11843" spans="1:8" x14ac:dyDescent="0.2">
      <c r="A11843" t="str">
        <f t="shared" si="4279"/>
        <v>0616115749</v>
      </c>
      <c r="B11843" t="str">
        <f t="shared" si="4280"/>
        <v>DAFEKA</v>
      </c>
      <c r="C11843" t="str">
        <f t="shared" si="4281"/>
        <v>MORANCY</v>
      </c>
      <c r="D11843">
        <f>12</f>
        <v>12</v>
      </c>
      <c r="E11843" t="str">
        <f>"02 - A - 102 - Vanessa J Liburd"</f>
        <v>02 - A - 102 - Vanessa J Liburd</v>
      </c>
      <c r="F11843" t="str">
        <f>"PRE-AICE FRENCH 2 IG"</f>
        <v>PRE-AICE FRENCH 2 IG</v>
      </c>
      <c r="G11843" t="str">
        <f>"05-519"</f>
        <v>05-519</v>
      </c>
      <c r="H11843" t="str">
        <f>"A"</f>
        <v>A</v>
      </c>
    </row>
    <row r="11844" spans="1:8" x14ac:dyDescent="0.2">
      <c r="A11844" t="str">
        <f t="shared" si="4279"/>
        <v>0616115749</v>
      </c>
      <c r="B11844" t="str">
        <f t="shared" si="4280"/>
        <v>DAFEKA</v>
      </c>
      <c r="C11844" t="str">
        <f t="shared" si="4281"/>
        <v>MORANCY</v>
      </c>
      <c r="D11844">
        <f>12</f>
        <v>12</v>
      </c>
      <c r="E11844" t="str">
        <f>"07 - B - 106 - James H Mccann"</f>
        <v>07 - B - 106 - James H Mccann</v>
      </c>
      <c r="F11844" t="str">
        <f>"ALGEBRA 2"</f>
        <v>ALGEBRA 2</v>
      </c>
      <c r="G11844" t="str">
        <f>"17-1716"</f>
        <v>17-1716</v>
      </c>
      <c r="H11844" t="str">
        <f>"B"</f>
        <v>B</v>
      </c>
    </row>
    <row r="11845" spans="1:8" x14ac:dyDescent="0.2">
      <c r="A11845" t="str">
        <f t="shared" si="4279"/>
        <v>0616115749</v>
      </c>
      <c r="B11845" t="str">
        <f t="shared" si="4280"/>
        <v>DAFEKA</v>
      </c>
      <c r="C11845" t="str">
        <f t="shared" si="4281"/>
        <v>MORANCY</v>
      </c>
      <c r="D11845">
        <f>12</f>
        <v>12</v>
      </c>
      <c r="E11845" t="str">
        <f>"05 - B - 101 - Brian M Fitzgerald"</f>
        <v>05 - B - 101 - Brian M Fitzgerald</v>
      </c>
      <c r="F11845" t="str">
        <f>"PAINT 1"</f>
        <v>PAINT 1</v>
      </c>
      <c r="G11845" t="str">
        <f>"09-908"</f>
        <v>09-908</v>
      </c>
      <c r="H11845" t="str">
        <f>"B"</f>
        <v>B</v>
      </c>
    </row>
    <row r="11846" spans="1:8" x14ac:dyDescent="0.2">
      <c r="A11846" t="str">
        <f t="shared" si="4279"/>
        <v>0616115749</v>
      </c>
      <c r="B11846" t="str">
        <f t="shared" si="4280"/>
        <v>DAFEKA</v>
      </c>
      <c r="C11846" t="str">
        <f t="shared" si="4281"/>
        <v>MORANCY</v>
      </c>
      <c r="D11846">
        <f>12</f>
        <v>12</v>
      </c>
      <c r="E11846" t="str">
        <f>"01 - A - 001 - Brian M Fitzgerald"</f>
        <v>01 - A - 001 - Brian M Fitzgerald</v>
      </c>
      <c r="F11846" t="str">
        <f>"CERAM/POT 2"</f>
        <v>CERAM/POT 2</v>
      </c>
      <c r="G11846" t="str">
        <f>"09-908"</f>
        <v>09-908</v>
      </c>
      <c r="H11846" t="str">
        <f>"A"</f>
        <v>A</v>
      </c>
    </row>
    <row r="11847" spans="1:8" x14ac:dyDescent="0.2">
      <c r="A11847" t="str">
        <f t="shared" si="4279"/>
        <v>0616115749</v>
      </c>
      <c r="B11847" t="str">
        <f t="shared" si="4280"/>
        <v>DAFEKA</v>
      </c>
      <c r="C11847" t="str">
        <f t="shared" si="4281"/>
        <v>MORANCY</v>
      </c>
      <c r="D11847">
        <f>12</f>
        <v>12</v>
      </c>
      <c r="E11847" t="str">
        <f>"08 - B - 105 - Jeffrey S Gallagher"</f>
        <v>08 - B - 105 - Jeffrey S Gallagher</v>
      </c>
      <c r="F11847" t="str">
        <f>"ENG HON 4"</f>
        <v>ENG HON 4</v>
      </c>
      <c r="G11847" t="str">
        <f>"17-1724"</f>
        <v>17-1724</v>
      </c>
      <c r="H11847" t="str">
        <f>"B"</f>
        <v>B</v>
      </c>
    </row>
    <row r="11848" spans="1:8" x14ac:dyDescent="0.2">
      <c r="A11848" t="str">
        <f t="shared" ref="A11848:A11856" si="4282">"0623036700"</f>
        <v>0623036700</v>
      </c>
      <c r="B11848" t="str">
        <f t="shared" ref="B11848:B11856" si="4283">"NELSON"</f>
        <v>NELSON</v>
      </c>
      <c r="C11848" t="str">
        <f t="shared" ref="C11848:C11856" si="4284">"MOREJON"</f>
        <v>MOREJON</v>
      </c>
      <c r="D11848">
        <f>12</f>
        <v>12</v>
      </c>
      <c r="E11848" t="str">
        <f>"04 - A - 102 - Staci M Newton"</f>
        <v>04 - A - 102 - Staci M Newton</v>
      </c>
      <c r="F11848" t="str">
        <f>"ACCESS WORLD HISTORY"</f>
        <v>ACCESS WORLD HISTORY</v>
      </c>
      <c r="G11848" t="str">
        <f>"21-2103"</f>
        <v>21-2103</v>
      </c>
      <c r="H11848" t="str">
        <f>"A"</f>
        <v>A</v>
      </c>
    </row>
    <row r="11849" spans="1:8" x14ac:dyDescent="0.2">
      <c r="A11849" t="str">
        <f t="shared" si="4282"/>
        <v>0623036700</v>
      </c>
      <c r="B11849" t="str">
        <f t="shared" si="4283"/>
        <v>NELSON</v>
      </c>
      <c r="C11849" t="str">
        <f t="shared" si="4284"/>
        <v>MOREJON</v>
      </c>
      <c r="D11849">
        <f>12</f>
        <v>12</v>
      </c>
      <c r="E11849" t="str">
        <f>"06 - B - 101 - Justin D Willard"</f>
        <v>06 - B - 101 - Justin D Willard</v>
      </c>
      <c r="F11849" t="str">
        <f>"CAR EXERIENCES: 9-12"</f>
        <v>CAR EXERIENCES: 9-12</v>
      </c>
      <c r="G11849" t="str">
        <f>"21-2111"</f>
        <v>21-2111</v>
      </c>
      <c r="H11849" t="str">
        <f>"B"</f>
        <v>B</v>
      </c>
    </row>
    <row r="11850" spans="1:8" x14ac:dyDescent="0.2">
      <c r="A11850" t="str">
        <f t="shared" si="4282"/>
        <v>0623036700</v>
      </c>
      <c r="B11850" t="str">
        <f t="shared" si="4283"/>
        <v>NELSON</v>
      </c>
      <c r="C11850" t="str">
        <f t="shared" si="4284"/>
        <v>MOREJON</v>
      </c>
      <c r="D11850">
        <f>12</f>
        <v>12</v>
      </c>
      <c r="E11850" t="str">
        <f>"03 - S1 - A - 101 - Staci M Newton"</f>
        <v>03 - S1 - A - 101 - Staci M Newton</v>
      </c>
      <c r="F11850" t="str">
        <f>"ACCESS ECON FIN LIT"</f>
        <v>ACCESS ECON FIN LIT</v>
      </c>
      <c r="G11850" t="str">
        <f>"21-2103"</f>
        <v>21-2103</v>
      </c>
      <c r="H11850" t="str">
        <f>"A"</f>
        <v>A</v>
      </c>
    </row>
    <row r="11851" spans="1:8" x14ac:dyDescent="0.2">
      <c r="A11851" t="str">
        <f t="shared" si="4282"/>
        <v>0623036700</v>
      </c>
      <c r="B11851" t="str">
        <f t="shared" si="4283"/>
        <v>NELSON</v>
      </c>
      <c r="C11851" t="str">
        <f t="shared" si="4284"/>
        <v>MOREJON</v>
      </c>
      <c r="D11851">
        <f>12</f>
        <v>12</v>
      </c>
      <c r="E11851" t="str">
        <f>"02 - A - 101 - Staci M Newton"</f>
        <v>02 - A - 101 - Staci M Newton</v>
      </c>
      <c r="F11851" t="str">
        <f>"ACCESS LIB ARTS MATH"</f>
        <v>ACCESS LIB ARTS MATH</v>
      </c>
      <c r="G11851" t="str">
        <f>"21-2103"</f>
        <v>21-2103</v>
      </c>
      <c r="H11851" t="str">
        <f>"A"</f>
        <v>A</v>
      </c>
    </row>
    <row r="11852" spans="1:8" x14ac:dyDescent="0.2">
      <c r="A11852" t="str">
        <f t="shared" si="4282"/>
        <v>0623036700</v>
      </c>
      <c r="B11852" t="str">
        <f t="shared" si="4283"/>
        <v>NELSON</v>
      </c>
      <c r="C11852" t="str">
        <f t="shared" si="4284"/>
        <v>MOREJON</v>
      </c>
      <c r="D11852">
        <f>12</f>
        <v>12</v>
      </c>
      <c r="E11852" t="str">
        <f>"07 - B - 101 - Justin D Willard"</f>
        <v>07 - B - 101 - Justin D Willard</v>
      </c>
      <c r="F11852" t="str">
        <f>"CAR PLACEMENT: 9-12"</f>
        <v>CAR PLACEMENT: 9-12</v>
      </c>
      <c r="G11852" t="str">
        <f>"21-2111"</f>
        <v>21-2111</v>
      </c>
      <c r="H11852" t="str">
        <f>"B"</f>
        <v>B</v>
      </c>
    </row>
    <row r="11853" spans="1:8" x14ac:dyDescent="0.2">
      <c r="A11853" t="str">
        <f t="shared" si="4282"/>
        <v>0623036700</v>
      </c>
      <c r="B11853" t="str">
        <f t="shared" si="4283"/>
        <v>NELSON</v>
      </c>
      <c r="C11853" t="str">
        <f t="shared" si="4284"/>
        <v>MOREJON</v>
      </c>
      <c r="D11853">
        <f>12</f>
        <v>12</v>
      </c>
      <c r="E11853" t="str">
        <f>"05 - B - 103 - Justin D Willard"</f>
        <v>05 - B - 103 - Justin D Willard</v>
      </c>
      <c r="F11853" t="str">
        <f>"U SKLS: 9-12"</f>
        <v>U SKLS: 9-12</v>
      </c>
      <c r="G11853" t="str">
        <f>"21-2111"</f>
        <v>21-2111</v>
      </c>
      <c r="H11853" t="str">
        <f>"B"</f>
        <v>B</v>
      </c>
    </row>
    <row r="11854" spans="1:8" x14ac:dyDescent="0.2">
      <c r="A11854" t="str">
        <f t="shared" si="4282"/>
        <v>0623036700</v>
      </c>
      <c r="B11854" t="str">
        <f t="shared" si="4283"/>
        <v>NELSON</v>
      </c>
      <c r="C11854" t="str">
        <f t="shared" si="4284"/>
        <v>MOREJON</v>
      </c>
      <c r="D11854">
        <f>12</f>
        <v>12</v>
      </c>
      <c r="E11854" t="str">
        <f>"01 - A - 101 - Staci M Newton"</f>
        <v>01 - A - 101 - Staci M Newton</v>
      </c>
      <c r="F11854" t="str">
        <f>"ACCESS ENGLISH 4"</f>
        <v>ACCESS ENGLISH 4</v>
      </c>
      <c r="G11854" t="str">
        <f>"21-2103"</f>
        <v>21-2103</v>
      </c>
      <c r="H11854" t="str">
        <f>"A"</f>
        <v>A</v>
      </c>
    </row>
    <row r="11855" spans="1:8" x14ac:dyDescent="0.2">
      <c r="A11855" t="str">
        <f t="shared" si="4282"/>
        <v>0623036700</v>
      </c>
      <c r="B11855" t="str">
        <f t="shared" si="4283"/>
        <v>NELSON</v>
      </c>
      <c r="C11855" t="str">
        <f t="shared" si="4284"/>
        <v>MOREJON</v>
      </c>
      <c r="D11855">
        <f>12</f>
        <v>12</v>
      </c>
      <c r="E11855" t="str">
        <f>"01 - A - 101 - Eric  Lopapa"</f>
        <v>01 - A - 101 - Eric  Lopapa</v>
      </c>
      <c r="F11855" t="str">
        <f>"LANG THERAPY"</f>
        <v>LANG THERAPY</v>
      </c>
      <c r="G11855" t="str">
        <f>"21-2110"</f>
        <v>21-2110</v>
      </c>
      <c r="H11855" t="str">
        <f>"A"</f>
        <v>A</v>
      </c>
    </row>
    <row r="11856" spans="1:8" x14ac:dyDescent="0.2">
      <c r="A11856" t="str">
        <f t="shared" si="4282"/>
        <v>0623036700</v>
      </c>
      <c r="B11856" t="str">
        <f t="shared" si="4283"/>
        <v>NELSON</v>
      </c>
      <c r="C11856" t="str">
        <f t="shared" si="4284"/>
        <v>MOREJON</v>
      </c>
      <c r="D11856">
        <f>12</f>
        <v>12</v>
      </c>
      <c r="E11856" t="str">
        <f>"08 - B - 101 - Jazmin S Fletcher"</f>
        <v>08 - B - 101 - Jazmin S Fletcher</v>
      </c>
      <c r="F11856" t="str">
        <f>"PRE-AICE DRAMA 1G"</f>
        <v>PRE-AICE DRAMA 1G</v>
      </c>
      <c r="G11856" t="str">
        <f>"09-909"</f>
        <v>09-909</v>
      </c>
      <c r="H11856" t="str">
        <f>"B"</f>
        <v>B</v>
      </c>
    </row>
    <row r="11857" spans="1:8" x14ac:dyDescent="0.2">
      <c r="A11857" t="str">
        <f t="shared" ref="A11857:A11864" si="4285">"0614046440"</f>
        <v>0614046440</v>
      </c>
      <c r="B11857" t="str">
        <f t="shared" ref="B11857:B11864" si="4286">"JACARRIE"</f>
        <v>JACARRIE</v>
      </c>
      <c r="C11857" t="str">
        <f t="shared" ref="C11857:C11864" si="4287">"MORELAND"</f>
        <v>MORELAND</v>
      </c>
      <c r="D11857" t="str">
        <f t="shared" ref="D11857:D11864" si="4288">"09"</f>
        <v>09</v>
      </c>
      <c r="E11857" t="str">
        <f>"04 - A - 106 - Lissa C Frederique"</f>
        <v>04 - A - 106 - Lissa C Frederique</v>
      </c>
      <c r="F11857" t="str">
        <f>"WORLD HISTORY"</f>
        <v>WORLD HISTORY</v>
      </c>
      <c r="G11857" t="str">
        <f>"17-1754"</f>
        <v>17-1754</v>
      </c>
      <c r="H11857" t="str">
        <f>"A"</f>
        <v>A</v>
      </c>
    </row>
    <row r="11858" spans="1:8" x14ac:dyDescent="0.2">
      <c r="A11858" t="str">
        <f t="shared" si="4285"/>
        <v>0614046440</v>
      </c>
      <c r="B11858" t="str">
        <f t="shared" si="4286"/>
        <v>JACARRIE</v>
      </c>
      <c r="C11858" t="str">
        <f t="shared" si="4287"/>
        <v>MORELAND</v>
      </c>
      <c r="D11858" t="str">
        <f t="shared" si="4288"/>
        <v>09</v>
      </c>
      <c r="E11858" t="str">
        <f>"06 - B - 105 - Tina L Lovett"</f>
        <v>06 - B - 105 - Tina L Lovett</v>
      </c>
      <c r="F11858" t="str">
        <f>"FDN SKLS MATH 9-12"</f>
        <v>FDN SKLS MATH 9-12</v>
      </c>
      <c r="G11858" t="str">
        <f>"21-2153"</f>
        <v>21-2153</v>
      </c>
      <c r="H11858" t="str">
        <f>"B"</f>
        <v>B</v>
      </c>
    </row>
    <row r="11859" spans="1:8" x14ac:dyDescent="0.2">
      <c r="A11859" t="str">
        <f t="shared" si="4285"/>
        <v>0614046440</v>
      </c>
      <c r="B11859" t="str">
        <f t="shared" si="4286"/>
        <v>JACARRIE</v>
      </c>
      <c r="C11859" t="str">
        <f t="shared" si="4287"/>
        <v>MORELAND</v>
      </c>
      <c r="D11859" t="str">
        <f t="shared" si="4288"/>
        <v>09</v>
      </c>
      <c r="E11859" t="str">
        <f>"03 - A - 105 - Cheryl Anne  Berman-Schechter"</f>
        <v>03 - A - 105 - Cheryl Anne  Berman-Schechter</v>
      </c>
      <c r="F11859" t="str">
        <f>"ENG 1"</f>
        <v>ENG 1</v>
      </c>
      <c r="G11859" t="str">
        <f>"17-1722"</f>
        <v>17-1722</v>
      </c>
      <c r="H11859" t="str">
        <f>"A"</f>
        <v>A</v>
      </c>
    </row>
    <row r="11860" spans="1:8" x14ac:dyDescent="0.2">
      <c r="A11860" t="str">
        <f t="shared" si="4285"/>
        <v>0614046440</v>
      </c>
      <c r="B11860" t="str">
        <f t="shared" si="4286"/>
        <v>JACARRIE</v>
      </c>
      <c r="C11860" t="str">
        <f t="shared" si="4287"/>
        <v>MORELAND</v>
      </c>
      <c r="D11860" t="str">
        <f t="shared" si="4288"/>
        <v>09</v>
      </c>
      <c r="E11860" t="str">
        <f>"02 - A - 104 - Jazmin S Fletcher"</f>
        <v>02 - A - 104 - Jazmin S Fletcher</v>
      </c>
      <c r="F11860" t="str">
        <f>"NC STUDY HALL 1"</f>
        <v>NC STUDY HALL 1</v>
      </c>
      <c r="G11860" t="str">
        <f>"09-909"</f>
        <v>09-909</v>
      </c>
      <c r="H11860" t="str">
        <f>"A"</f>
        <v>A</v>
      </c>
    </row>
    <row r="11861" spans="1:8" x14ac:dyDescent="0.2">
      <c r="A11861" t="str">
        <f t="shared" si="4285"/>
        <v>0614046440</v>
      </c>
      <c r="B11861" t="str">
        <f t="shared" si="4286"/>
        <v>JACARRIE</v>
      </c>
      <c r="C11861" t="str">
        <f t="shared" si="4287"/>
        <v>MORELAND</v>
      </c>
      <c r="D11861" t="str">
        <f t="shared" si="4288"/>
        <v>09</v>
      </c>
      <c r="E11861" t="str">
        <f>"07 - B - 003 - Samantha J Headley"</f>
        <v>07 - B - 003 - Samantha J Headley</v>
      </c>
      <c r="F11861" t="str">
        <f>"ENV SCI"</f>
        <v>ENV SCI</v>
      </c>
      <c r="G11861" t="str">
        <f>"08-802"</f>
        <v>08-802</v>
      </c>
      <c r="H11861" t="str">
        <f>"B"</f>
        <v>B</v>
      </c>
    </row>
    <row r="11862" spans="1:8" x14ac:dyDescent="0.2">
      <c r="A11862" t="str">
        <f t="shared" si="4285"/>
        <v>0614046440</v>
      </c>
      <c r="B11862" t="str">
        <f t="shared" si="4286"/>
        <v>JACARRIE</v>
      </c>
      <c r="C11862" t="str">
        <f t="shared" si="4287"/>
        <v>MORELAND</v>
      </c>
      <c r="D11862" t="str">
        <f t="shared" si="4288"/>
        <v>09</v>
      </c>
      <c r="E11862" t="str">
        <f>"05 - B - 101 - Linda  Celestin"</f>
        <v>05 - B - 101 - Linda  Celestin</v>
      </c>
      <c r="F11862" t="str">
        <f>"LRNG STRATEGIES 9-12"</f>
        <v>LRNG STRATEGIES 9-12</v>
      </c>
      <c r="G11862" t="str">
        <f>"21-2160"</f>
        <v>21-2160</v>
      </c>
      <c r="H11862" t="str">
        <f>"B"</f>
        <v>B</v>
      </c>
    </row>
    <row r="11863" spans="1:8" x14ac:dyDescent="0.2">
      <c r="A11863" t="str">
        <f t="shared" si="4285"/>
        <v>0614046440</v>
      </c>
      <c r="B11863" t="str">
        <f t="shared" si="4286"/>
        <v>JACARRIE</v>
      </c>
      <c r="C11863" t="str">
        <f t="shared" si="4287"/>
        <v>MORELAND</v>
      </c>
      <c r="D11863" t="str">
        <f t="shared" si="4288"/>
        <v>09</v>
      </c>
      <c r="E11863" t="str">
        <f>"01 - A - 101 - Tina L Lovett"</f>
        <v>01 - A - 101 - Tina L Lovett</v>
      </c>
      <c r="F11863" t="str">
        <f>"ALGEBRA 1"</f>
        <v>ALGEBRA 1</v>
      </c>
      <c r="G11863" t="str">
        <f>"21-2153"</f>
        <v>21-2153</v>
      </c>
      <c r="H11863" t="str">
        <f>"A"</f>
        <v>A</v>
      </c>
    </row>
    <row r="11864" spans="1:8" x14ac:dyDescent="0.2">
      <c r="A11864" t="str">
        <f t="shared" si="4285"/>
        <v>0614046440</v>
      </c>
      <c r="B11864" t="str">
        <f t="shared" si="4286"/>
        <v>JACARRIE</v>
      </c>
      <c r="C11864" t="str">
        <f t="shared" si="4287"/>
        <v>MORELAND</v>
      </c>
      <c r="D11864" t="str">
        <f t="shared" si="4288"/>
        <v>09</v>
      </c>
      <c r="E11864" t="str">
        <f>"08 - B - 108 - Adam Marcus  Drucker"</f>
        <v>08 - B - 108 - Adam Marcus  Drucker</v>
      </c>
      <c r="F11864" t="str">
        <f>"HOPE-PE V"</f>
        <v>HOPE-PE V</v>
      </c>
      <c r="G11864" t="str">
        <f>"04-254"</f>
        <v>04-254</v>
      </c>
      <c r="H11864" t="str">
        <f>"B"</f>
        <v>B</v>
      </c>
    </row>
    <row r="11865" spans="1:8" x14ac:dyDescent="0.2">
      <c r="A11865" t="str">
        <f t="shared" ref="A11865:A11872" si="4289">"0619110773"</f>
        <v>0619110773</v>
      </c>
      <c r="B11865" t="str">
        <f t="shared" ref="B11865:B11872" si="4290">"YANICKAH"</f>
        <v>YANICKAH</v>
      </c>
      <c r="C11865" t="str">
        <f t="shared" ref="C11865:C11872" si="4291">"MORINVIL"</f>
        <v>MORINVIL</v>
      </c>
      <c r="D11865">
        <f>11</f>
        <v>11</v>
      </c>
      <c r="E11865" t="str">
        <f>"04 - A - 102 - Jordana K Hass"</f>
        <v>04 - A - 102 - Jordana K Hass</v>
      </c>
      <c r="F11865" t="str">
        <f>"CHEMISTRY 1"</f>
        <v>CHEMISTRY 1</v>
      </c>
      <c r="G11865" t="str">
        <f>"08-807"</f>
        <v>08-807</v>
      </c>
      <c r="H11865" t="str">
        <f>"A"</f>
        <v>A</v>
      </c>
    </row>
    <row r="11866" spans="1:8" x14ac:dyDescent="0.2">
      <c r="A11866" t="str">
        <f t="shared" si="4289"/>
        <v>0619110773</v>
      </c>
      <c r="B11866" t="str">
        <f t="shared" si="4290"/>
        <v>YANICKAH</v>
      </c>
      <c r="C11866" t="str">
        <f t="shared" si="4291"/>
        <v>MORINVIL</v>
      </c>
      <c r="D11866">
        <f>11</f>
        <v>11</v>
      </c>
      <c r="E11866" t="str">
        <f>"06 - B - 002 - Kyle  Robbins"</f>
        <v>06 - B - 002 - Kyle  Robbins</v>
      </c>
      <c r="F11866" t="str">
        <f>"US HISTORY HON"</f>
        <v>US HISTORY HON</v>
      </c>
      <c r="G11866" t="str">
        <f>"17-1745"</f>
        <v>17-1745</v>
      </c>
      <c r="H11866" t="str">
        <f>"B"</f>
        <v>B</v>
      </c>
    </row>
    <row r="11867" spans="1:8" x14ac:dyDescent="0.2">
      <c r="A11867" t="str">
        <f t="shared" si="4289"/>
        <v>0619110773</v>
      </c>
      <c r="B11867" t="str">
        <f t="shared" si="4290"/>
        <v>YANICKAH</v>
      </c>
      <c r="C11867" t="str">
        <f t="shared" si="4291"/>
        <v>MORINVIL</v>
      </c>
      <c r="D11867">
        <f>11</f>
        <v>11</v>
      </c>
      <c r="E11867" t="str">
        <f>"03 - A - 102 - Semra  Bahadir"</f>
        <v>03 - A - 102 - Semra  Bahadir</v>
      </c>
      <c r="F11867" t="str">
        <f>"ALGEBRA 2"</f>
        <v>ALGEBRA 2</v>
      </c>
      <c r="G11867" t="str">
        <f>"21-2107"</f>
        <v>21-2107</v>
      </c>
      <c r="H11867" t="str">
        <f>"A"</f>
        <v>A</v>
      </c>
    </row>
    <row r="11868" spans="1:8" x14ac:dyDescent="0.2">
      <c r="A11868" t="str">
        <f t="shared" si="4289"/>
        <v>0619110773</v>
      </c>
      <c r="B11868" t="str">
        <f t="shared" si="4290"/>
        <v>YANICKAH</v>
      </c>
      <c r="C11868" t="str">
        <f t="shared" si="4291"/>
        <v>MORINVIL</v>
      </c>
      <c r="D11868">
        <f>11</f>
        <v>11</v>
      </c>
      <c r="E11868" t="str">
        <f>"02 - A - 106 - Heidi M Knopp"</f>
        <v>02 - A - 106 - Heidi M Knopp</v>
      </c>
      <c r="F11868" t="str">
        <f>"NC STUDY HALL 1"</f>
        <v>NC STUDY HALL 1</v>
      </c>
      <c r="G11868" t="str">
        <f>"17-1735"</f>
        <v>17-1735</v>
      </c>
      <c r="H11868" t="str">
        <f>"A"</f>
        <v>A</v>
      </c>
    </row>
    <row r="11869" spans="1:8" x14ac:dyDescent="0.2">
      <c r="A11869" t="str">
        <f t="shared" si="4289"/>
        <v>0619110773</v>
      </c>
      <c r="B11869" t="str">
        <f t="shared" si="4290"/>
        <v>YANICKAH</v>
      </c>
      <c r="C11869" t="str">
        <f t="shared" si="4291"/>
        <v>MORINVIL</v>
      </c>
      <c r="D11869">
        <f>11</f>
        <v>11</v>
      </c>
      <c r="E11869" t="str">
        <f>"07 - B - 103 - Vanessa J Liburd"</f>
        <v>07 - B - 103 - Vanessa J Liburd</v>
      </c>
      <c r="F11869" t="str">
        <f>"PRE-AICE FRENCH 1 IG"</f>
        <v>PRE-AICE FRENCH 1 IG</v>
      </c>
      <c r="G11869" t="str">
        <f>"05-519"</f>
        <v>05-519</v>
      </c>
      <c r="H11869" t="str">
        <f>"B"</f>
        <v>B</v>
      </c>
    </row>
    <row r="11870" spans="1:8" x14ac:dyDescent="0.2">
      <c r="A11870" t="str">
        <f t="shared" si="4289"/>
        <v>0619110773</v>
      </c>
      <c r="B11870" t="str">
        <f t="shared" si="4290"/>
        <v>YANICKAH</v>
      </c>
      <c r="C11870" t="str">
        <f t="shared" si="4291"/>
        <v>MORINVIL</v>
      </c>
      <c r="D11870">
        <f>11</f>
        <v>11</v>
      </c>
      <c r="E11870" t="str">
        <f>"05 - B - 103 - Heidi M Knopp"</f>
        <v>05 - B - 103 - Heidi M Knopp</v>
      </c>
      <c r="F11870" t="str">
        <f>"ENG HON 3"</f>
        <v>ENG HON 3</v>
      </c>
      <c r="G11870" t="str">
        <f>"17-1723"</f>
        <v>17-1723</v>
      </c>
      <c r="H11870" t="str">
        <f>"B"</f>
        <v>B</v>
      </c>
    </row>
    <row r="11871" spans="1:8" x14ac:dyDescent="0.2">
      <c r="A11871" t="str">
        <f t="shared" si="4289"/>
        <v>0619110773</v>
      </c>
      <c r="B11871" t="str">
        <f t="shared" si="4290"/>
        <v>YANICKAH</v>
      </c>
      <c r="C11871" t="str">
        <f t="shared" si="4291"/>
        <v>MORINVIL</v>
      </c>
      <c r="D11871">
        <f>11</f>
        <v>11</v>
      </c>
      <c r="E11871" t="str">
        <f>"01 - A - 101 - Eva T Rimmer"</f>
        <v>01 - A - 101 - Eva T Rimmer</v>
      </c>
      <c r="F11871" t="str">
        <f>"CRIMINAL JUST OPS 2"</f>
        <v>CRIMINAL JUST OPS 2</v>
      </c>
      <c r="G11871" t="str">
        <f>"05-523"</f>
        <v>05-523</v>
      </c>
      <c r="H11871" t="str">
        <f>"A"</f>
        <v>A</v>
      </c>
    </row>
    <row r="11872" spans="1:8" x14ac:dyDescent="0.2">
      <c r="A11872" t="str">
        <f t="shared" si="4289"/>
        <v>0619110773</v>
      </c>
      <c r="B11872" t="str">
        <f t="shared" si="4290"/>
        <v>YANICKAH</v>
      </c>
      <c r="C11872" t="str">
        <f t="shared" si="4291"/>
        <v>MORINVIL</v>
      </c>
      <c r="D11872">
        <f>11</f>
        <v>11</v>
      </c>
      <c r="E11872" t="str">
        <f>"08 - B - 102 - Robert H Rindner"</f>
        <v>08 - B - 102 - Robert H Rindner</v>
      </c>
      <c r="F11872" t="str">
        <f>"TV PRODUCTION TECH 1"</f>
        <v>TV PRODUCTION TECH 1</v>
      </c>
      <c r="G11872" t="str">
        <f>"21-2160"</f>
        <v>21-2160</v>
      </c>
      <c r="H11872" t="str">
        <f>"B"</f>
        <v>B</v>
      </c>
    </row>
    <row r="11873" spans="1:8" x14ac:dyDescent="0.2">
      <c r="A11873" t="str">
        <f t="shared" ref="A11873:A11880" si="4292">"0624072165"</f>
        <v>0624072165</v>
      </c>
      <c r="B11873" t="str">
        <f t="shared" ref="B11873:B11880" si="4293">"JAMAR"</f>
        <v>JAMAR</v>
      </c>
      <c r="C11873" t="str">
        <f t="shared" ref="C11873:C11880" si="4294">"MORRIS"</f>
        <v>MORRIS</v>
      </c>
      <c r="D11873">
        <f>12</f>
        <v>12</v>
      </c>
      <c r="E11873" t="str">
        <f>"04 - A - 103 - Lourivaldo  Da Silva"</f>
        <v>04 - A - 103 - Lourivaldo  Da Silva</v>
      </c>
      <c r="F11873" t="str">
        <f>"PRE-CALCULUS HON"</f>
        <v>PRE-CALCULUS HON</v>
      </c>
      <c r="G11873" t="str">
        <f>"20-2079"</f>
        <v>20-2079</v>
      </c>
      <c r="H11873" t="str">
        <f>"A"</f>
        <v>A</v>
      </c>
    </row>
    <row r="11874" spans="1:8" x14ac:dyDescent="0.2">
      <c r="A11874" t="str">
        <f t="shared" si="4292"/>
        <v>0624072165</v>
      </c>
      <c r="B11874" t="str">
        <f t="shared" si="4293"/>
        <v>JAMAR</v>
      </c>
      <c r="C11874" t="str">
        <f t="shared" si="4294"/>
        <v>MORRIS</v>
      </c>
      <c r="D11874">
        <f>12</f>
        <v>12</v>
      </c>
      <c r="E11874" t="str">
        <f>"06 - B - 106 - Taraneh C Abreu"</f>
        <v>06 - B - 106 - Taraneh C Abreu</v>
      </c>
      <c r="F11874" t="str">
        <f>"NC STUDY HALL 1"</f>
        <v>NC STUDY HALL 1</v>
      </c>
      <c r="G11874" t="str">
        <f>"17-1713"</f>
        <v>17-1713</v>
      </c>
      <c r="H11874" t="str">
        <f>"B"</f>
        <v>B</v>
      </c>
    </row>
    <row r="11875" spans="1:8" x14ac:dyDescent="0.2">
      <c r="A11875" t="str">
        <f t="shared" si="4292"/>
        <v>0624072165</v>
      </c>
      <c r="B11875" t="str">
        <f t="shared" si="4293"/>
        <v>JAMAR</v>
      </c>
      <c r="C11875" t="str">
        <f t="shared" si="4294"/>
        <v>MORRIS</v>
      </c>
      <c r="D11875">
        <f>12</f>
        <v>12</v>
      </c>
      <c r="E11875" t="str">
        <f>"03 - S1 - A - 103 - Richard E Dunbar Iii"</f>
        <v>03 - S1 - A - 103 - Richard E Dunbar Iii</v>
      </c>
      <c r="F11875" t="str">
        <f>"WEIGHT TRAIN 3"</f>
        <v>WEIGHT TRAIN 3</v>
      </c>
      <c r="G11875" t="str">
        <f>"05-501"</f>
        <v>05-501</v>
      </c>
      <c r="H11875" t="str">
        <f>"A"</f>
        <v>A</v>
      </c>
    </row>
    <row r="11876" spans="1:8" x14ac:dyDescent="0.2">
      <c r="A11876" t="str">
        <f t="shared" si="4292"/>
        <v>0624072165</v>
      </c>
      <c r="B11876" t="str">
        <f t="shared" si="4293"/>
        <v>JAMAR</v>
      </c>
      <c r="C11876" t="str">
        <f t="shared" si="4294"/>
        <v>MORRIS</v>
      </c>
      <c r="D11876">
        <f>12</f>
        <v>12</v>
      </c>
      <c r="E11876" t="str">
        <f>"02 - A - 102 - Vanessa J Liburd"</f>
        <v>02 - A - 102 - Vanessa J Liburd</v>
      </c>
      <c r="F11876" t="str">
        <f>"PRE-AICE FRENCH 2 IG"</f>
        <v>PRE-AICE FRENCH 2 IG</v>
      </c>
      <c r="G11876" t="str">
        <f>"05-519"</f>
        <v>05-519</v>
      </c>
      <c r="H11876" t="str">
        <f>"A"</f>
        <v>A</v>
      </c>
    </row>
    <row r="11877" spans="1:8" x14ac:dyDescent="0.2">
      <c r="A11877" t="str">
        <f t="shared" si="4292"/>
        <v>0624072165</v>
      </c>
      <c r="B11877" t="str">
        <f t="shared" si="4293"/>
        <v>JAMAR</v>
      </c>
      <c r="C11877" t="str">
        <f t="shared" si="4294"/>
        <v>MORRIS</v>
      </c>
      <c r="D11877">
        <f>12</f>
        <v>12</v>
      </c>
      <c r="E11877" t="str">
        <f>"07 - S1 - B - 107 - Kelly N Panza"</f>
        <v>07 - S1 - B - 107 - Kelly N Panza</v>
      </c>
      <c r="F11877" t="str">
        <f>"US GOVT HON"</f>
        <v>US GOVT HON</v>
      </c>
      <c r="G11877" t="str">
        <f>"17-1753"</f>
        <v>17-1753</v>
      </c>
      <c r="H11877" t="str">
        <f>"B"</f>
        <v>B</v>
      </c>
    </row>
    <row r="11878" spans="1:8" x14ac:dyDescent="0.2">
      <c r="A11878" t="str">
        <f t="shared" si="4292"/>
        <v>0624072165</v>
      </c>
      <c r="B11878" t="str">
        <f t="shared" si="4293"/>
        <v>JAMAR</v>
      </c>
      <c r="C11878" t="str">
        <f t="shared" si="4294"/>
        <v>MORRIS</v>
      </c>
      <c r="D11878">
        <f>12</f>
        <v>12</v>
      </c>
      <c r="E11878" t="str">
        <f>"05 - B - 101 - Angela S Adeshina-Morrison"</f>
        <v>05 - B - 101 - Angela S Adeshina-Morrison</v>
      </c>
      <c r="F11878" t="str">
        <f>"MKT APPLCTNS LH"</f>
        <v>MKT APPLCTNS LH</v>
      </c>
      <c r="G11878" t="str">
        <f>"05-518"</f>
        <v>05-518</v>
      </c>
      <c r="H11878" t="str">
        <f>"B"</f>
        <v>B</v>
      </c>
    </row>
    <row r="11879" spans="1:8" x14ac:dyDescent="0.2">
      <c r="A11879" t="str">
        <f t="shared" si="4292"/>
        <v>0624072165</v>
      </c>
      <c r="B11879" t="str">
        <f t="shared" si="4293"/>
        <v>JAMAR</v>
      </c>
      <c r="C11879" t="str">
        <f t="shared" si="4294"/>
        <v>MORRIS</v>
      </c>
      <c r="D11879">
        <f>12</f>
        <v>12</v>
      </c>
      <c r="E11879" t="str">
        <f>"01 - A - 001 - Dorothy D Moore"</f>
        <v>01 - A - 001 - Dorothy D Moore</v>
      </c>
      <c r="F11879" t="str">
        <f>"ANAT PHYSIO HON"</f>
        <v>ANAT PHYSIO HON</v>
      </c>
      <c r="G11879" t="str">
        <f>"08-803"</f>
        <v>08-803</v>
      </c>
      <c r="H11879" t="str">
        <f>"A"</f>
        <v>A</v>
      </c>
    </row>
    <row r="11880" spans="1:8" x14ac:dyDescent="0.2">
      <c r="A11880" t="str">
        <f t="shared" si="4292"/>
        <v>0624072165</v>
      </c>
      <c r="B11880" t="str">
        <f t="shared" si="4293"/>
        <v>JAMAR</v>
      </c>
      <c r="C11880" t="str">
        <f t="shared" si="4294"/>
        <v>MORRIS</v>
      </c>
      <c r="D11880">
        <f>12</f>
        <v>12</v>
      </c>
      <c r="E11880" t="str">
        <f>"08 - B - 105 - Jeffrey S Gallagher"</f>
        <v>08 - B - 105 - Jeffrey S Gallagher</v>
      </c>
      <c r="F11880" t="str">
        <f>"ENG HON 4"</f>
        <v>ENG HON 4</v>
      </c>
      <c r="G11880" t="str">
        <f>"17-1724"</f>
        <v>17-1724</v>
      </c>
      <c r="H11880" t="str">
        <f>"B"</f>
        <v>B</v>
      </c>
    </row>
    <row r="11881" spans="1:8" x14ac:dyDescent="0.2">
      <c r="A11881" t="str">
        <f t="shared" ref="A11881:A11888" si="4295">"0614014044"</f>
        <v>0614014044</v>
      </c>
      <c r="B11881" t="str">
        <f t="shared" ref="B11881:B11888" si="4296">"ZOILA"</f>
        <v>ZOILA</v>
      </c>
      <c r="C11881" t="str">
        <f t="shared" ref="C11881:C11888" si="4297">"MORRISON"</f>
        <v>MORRISON</v>
      </c>
      <c r="D11881">
        <f>12</f>
        <v>12</v>
      </c>
      <c r="E11881" t="str">
        <f>"04 - A - 102 - Samantha J Headley"</f>
        <v>04 - A - 102 - Samantha J Headley</v>
      </c>
      <c r="F11881" t="str">
        <f>"MARINE SCI 1 HON"</f>
        <v>MARINE SCI 1 HON</v>
      </c>
      <c r="G11881" t="str">
        <f>"21-2134"</f>
        <v>21-2134</v>
      </c>
      <c r="H11881" t="str">
        <f>"A"</f>
        <v>A</v>
      </c>
    </row>
    <row r="11882" spans="1:8" x14ac:dyDescent="0.2">
      <c r="A11882" t="str">
        <f t="shared" si="4295"/>
        <v>0614014044</v>
      </c>
      <c r="B11882" t="str">
        <f t="shared" si="4296"/>
        <v>ZOILA</v>
      </c>
      <c r="C11882" t="str">
        <f t="shared" si="4297"/>
        <v>MORRISON</v>
      </c>
      <c r="D11882">
        <f>12</f>
        <v>12</v>
      </c>
      <c r="E11882" t="str">
        <f>"06 - B - 101 - Cliffon  Saurel"</f>
        <v>06 - B - 101 - Cliffon  Saurel</v>
      </c>
      <c r="F11882" t="str">
        <f>"NC STUDY HALL 1"</f>
        <v>NC STUDY HALL 1</v>
      </c>
      <c r="G11882" t="str">
        <f>"05-522"</f>
        <v>05-522</v>
      </c>
      <c r="H11882" t="str">
        <f>"B"</f>
        <v>B</v>
      </c>
    </row>
    <row r="11883" spans="1:8" x14ac:dyDescent="0.2">
      <c r="A11883" t="str">
        <f t="shared" si="4295"/>
        <v>0614014044</v>
      </c>
      <c r="B11883" t="str">
        <f t="shared" si="4296"/>
        <v>ZOILA</v>
      </c>
      <c r="C11883" t="str">
        <f t="shared" si="4297"/>
        <v>MORRISON</v>
      </c>
      <c r="D11883">
        <f>12</f>
        <v>12</v>
      </c>
      <c r="E11883" t="str">
        <f>"03 - A - 201 - Christa T Parisi"</f>
        <v>03 - A - 201 - Christa T Parisi</v>
      </c>
      <c r="F11883" t="str">
        <f>"DANCE TECHNQS 1"</f>
        <v>DANCE TECHNQS 1</v>
      </c>
      <c r="G11883" t="str">
        <f>"05-503"</f>
        <v>05-503</v>
      </c>
      <c r="H11883" t="str">
        <f>"A"</f>
        <v>A</v>
      </c>
    </row>
    <row r="11884" spans="1:8" x14ac:dyDescent="0.2">
      <c r="A11884" t="str">
        <f t="shared" si="4295"/>
        <v>0614014044</v>
      </c>
      <c r="B11884" t="str">
        <f t="shared" si="4296"/>
        <v>ZOILA</v>
      </c>
      <c r="C11884" t="str">
        <f t="shared" si="4297"/>
        <v>MORRISON</v>
      </c>
      <c r="D11884">
        <f>12</f>
        <v>12</v>
      </c>
      <c r="E11884" t="str">
        <f>"02 - A - 102 - Jeffrey S Gallagher"</f>
        <v>02 - A - 102 - Jeffrey S Gallagher</v>
      </c>
      <c r="F11884" t="str">
        <f>"ENG HON 4"</f>
        <v>ENG HON 4</v>
      </c>
      <c r="G11884" t="str">
        <f>"17-1724"</f>
        <v>17-1724</v>
      </c>
      <c r="H11884" t="str">
        <f>"A"</f>
        <v>A</v>
      </c>
    </row>
    <row r="11885" spans="1:8" x14ac:dyDescent="0.2">
      <c r="A11885" t="str">
        <f t="shared" si="4295"/>
        <v>0614014044</v>
      </c>
      <c r="B11885" t="str">
        <f t="shared" si="4296"/>
        <v>ZOILA</v>
      </c>
      <c r="C11885" t="str">
        <f t="shared" si="4297"/>
        <v>MORRISON</v>
      </c>
      <c r="D11885">
        <f>12</f>
        <v>12</v>
      </c>
      <c r="E11885" t="str">
        <f>"07 - B - 202 - Chrystina M Marchionne"</f>
        <v>07 - B - 202 - Chrystina M Marchionne</v>
      </c>
      <c r="F11885" t="str">
        <f>"JOURN 1 (YB) LH"</f>
        <v>JOURN 1 (YB) LH</v>
      </c>
      <c r="G11885" t="str">
        <f>"05-520"</f>
        <v>05-520</v>
      </c>
      <c r="H11885" t="str">
        <f>"B"</f>
        <v>B</v>
      </c>
    </row>
    <row r="11886" spans="1:8" x14ac:dyDescent="0.2">
      <c r="A11886" t="str">
        <f t="shared" si="4295"/>
        <v>0614014044</v>
      </c>
      <c r="B11886" t="str">
        <f t="shared" si="4296"/>
        <v>ZOILA</v>
      </c>
      <c r="C11886" t="str">
        <f t="shared" si="4297"/>
        <v>MORRISON</v>
      </c>
      <c r="D11886">
        <f>12</f>
        <v>12</v>
      </c>
      <c r="E11886" t="str">
        <f>"05 - B - 106 - Thomas G Handwerg"</f>
        <v>05 - B - 106 - Thomas G Handwerg</v>
      </c>
      <c r="F11886" t="str">
        <f>"MATH COLL ALGEBRA"</f>
        <v>MATH COLL ALGEBRA</v>
      </c>
      <c r="G11886" t="str">
        <f>"21-2146"</f>
        <v>21-2146</v>
      </c>
      <c r="H11886" t="str">
        <f>"B"</f>
        <v>B</v>
      </c>
    </row>
    <row r="11887" spans="1:8" x14ac:dyDescent="0.2">
      <c r="A11887" t="str">
        <f t="shared" si="4295"/>
        <v>0614014044</v>
      </c>
      <c r="B11887" t="str">
        <f t="shared" si="4296"/>
        <v>ZOILA</v>
      </c>
      <c r="C11887" t="str">
        <f t="shared" si="4297"/>
        <v>MORRISON</v>
      </c>
      <c r="D11887">
        <f>12</f>
        <v>12</v>
      </c>
      <c r="E11887" t="str">
        <f>"01 - S1 - A - 101 - Barbara L Segal"</f>
        <v>01 - S1 - A - 101 - Barbara L Segal</v>
      </c>
      <c r="F11887" t="str">
        <f>"US GOVT HON"</f>
        <v>US GOVT HON</v>
      </c>
      <c r="G11887" t="str">
        <f>"17-1742"</f>
        <v>17-1742</v>
      </c>
      <c r="H11887" t="str">
        <f>"A"</f>
        <v>A</v>
      </c>
    </row>
    <row r="11888" spans="1:8" x14ac:dyDescent="0.2">
      <c r="A11888" t="str">
        <f t="shared" si="4295"/>
        <v>0614014044</v>
      </c>
      <c r="B11888" t="str">
        <f t="shared" si="4296"/>
        <v>ZOILA</v>
      </c>
      <c r="C11888" t="str">
        <f t="shared" si="4297"/>
        <v>MORRISON</v>
      </c>
      <c r="D11888">
        <f>12</f>
        <v>12</v>
      </c>
      <c r="E11888" t="str">
        <f>"08 - S1 - B - 102 - Nahum  Saint-Preux"</f>
        <v>08 - S1 - B - 102 - Nahum  Saint-Preux</v>
      </c>
      <c r="F11888" t="str">
        <f>"CRIT THINK ST SKLS"</f>
        <v>CRIT THINK ST SKLS</v>
      </c>
      <c r="G11888" t="str">
        <f>"17-1712"</f>
        <v>17-1712</v>
      </c>
      <c r="H11888" t="str">
        <f>"B"</f>
        <v>B</v>
      </c>
    </row>
    <row r="11889" spans="1:8" x14ac:dyDescent="0.2">
      <c r="A11889" t="str">
        <f t="shared" ref="A11889:A11896" si="4298">"0613100718"</f>
        <v>0613100718</v>
      </c>
      <c r="B11889" t="str">
        <f t="shared" ref="B11889:B11896" si="4299">"ARYANNA"</f>
        <v>ARYANNA</v>
      </c>
      <c r="C11889" t="str">
        <f t="shared" ref="C11889:C11896" si="4300">"MORROBEL"</f>
        <v>MORROBEL</v>
      </c>
      <c r="D11889">
        <f>12</f>
        <v>12</v>
      </c>
      <c r="E11889" t="str">
        <f>"04 - S1 - A - 101 - Barbara L Segal"</f>
        <v>04 - S1 - A - 101 - Barbara L Segal</v>
      </c>
      <c r="F11889" t="str">
        <f>"AP US GOVT/POL"</f>
        <v>AP US GOVT/POL</v>
      </c>
      <c r="G11889" t="str">
        <f>"17-1742"</f>
        <v>17-1742</v>
      </c>
      <c r="H11889" t="str">
        <f>"A"</f>
        <v>A</v>
      </c>
    </row>
    <row r="11890" spans="1:8" x14ac:dyDescent="0.2">
      <c r="A11890" t="str">
        <f t="shared" si="4298"/>
        <v>0613100718</v>
      </c>
      <c r="B11890" t="str">
        <f t="shared" si="4299"/>
        <v>ARYANNA</v>
      </c>
      <c r="C11890" t="str">
        <f t="shared" si="4300"/>
        <v>MORROBEL</v>
      </c>
      <c r="D11890">
        <f>12</f>
        <v>12</v>
      </c>
      <c r="E11890" t="str">
        <f>"06 - B - 103 - Stefanie S Scher"</f>
        <v>06 - B - 103 - Stefanie S Scher</v>
      </c>
      <c r="F11890" t="str">
        <f>"NC STUDY HALL 1"</f>
        <v>NC STUDY HALL 1</v>
      </c>
      <c r="G11890" t="str">
        <f>"17-1735"</f>
        <v>17-1735</v>
      </c>
      <c r="H11890" t="str">
        <f>"B"</f>
        <v>B</v>
      </c>
    </row>
    <row r="11891" spans="1:8" x14ac:dyDescent="0.2">
      <c r="A11891" t="str">
        <f t="shared" si="4298"/>
        <v>0613100718</v>
      </c>
      <c r="B11891" t="str">
        <f t="shared" si="4299"/>
        <v>ARYANNA</v>
      </c>
      <c r="C11891" t="str">
        <f t="shared" si="4300"/>
        <v>MORROBEL</v>
      </c>
      <c r="D11891">
        <f>12</f>
        <v>12</v>
      </c>
      <c r="E11891" t="str">
        <f>"03 - A - 204 - Norayda D Suarez"</f>
        <v>03 - A - 204 - Norayda D Suarez</v>
      </c>
      <c r="F11891" t="str">
        <f>"ANAT PHYSIO HON"</f>
        <v>ANAT PHYSIO HON</v>
      </c>
      <c r="G11891" t="str">
        <f>"21-2144"</f>
        <v>21-2144</v>
      </c>
      <c r="H11891" t="str">
        <f>"A"</f>
        <v>A</v>
      </c>
    </row>
    <row r="11892" spans="1:8" x14ac:dyDescent="0.2">
      <c r="A11892" t="str">
        <f t="shared" si="4298"/>
        <v>0613100718</v>
      </c>
      <c r="B11892" t="str">
        <f t="shared" si="4299"/>
        <v>ARYANNA</v>
      </c>
      <c r="C11892" t="str">
        <f t="shared" si="4300"/>
        <v>MORROBEL</v>
      </c>
      <c r="D11892">
        <f>12</f>
        <v>12</v>
      </c>
      <c r="E11892" t="str">
        <f>"02 - A - 107 - Tina M Jaramillo"</f>
        <v>02 - A - 107 - Tina M Jaramillo</v>
      </c>
      <c r="F11892" t="str">
        <f>"AP ENG LIT COMPO"</f>
        <v>AP ENG LIT COMPO</v>
      </c>
      <c r="G11892" t="str">
        <f>"17-1706"</f>
        <v>17-1706</v>
      </c>
      <c r="H11892" t="str">
        <f>"A"</f>
        <v>A</v>
      </c>
    </row>
    <row r="11893" spans="1:8" x14ac:dyDescent="0.2">
      <c r="A11893" t="str">
        <f t="shared" si="4298"/>
        <v>0613100718</v>
      </c>
      <c r="B11893" t="str">
        <f t="shared" si="4299"/>
        <v>ARYANNA</v>
      </c>
      <c r="C11893" t="str">
        <f t="shared" si="4300"/>
        <v>MORROBEL</v>
      </c>
      <c r="D11893">
        <f>12</f>
        <v>12</v>
      </c>
      <c r="E11893" t="str">
        <f>"07 - B - 102 - Thomas G Handwerg"</f>
        <v>07 - B - 102 - Thomas G Handwerg</v>
      </c>
      <c r="F11893" t="str">
        <f>"PROB STAT W/APPS HON"</f>
        <v>PROB STAT W/APPS HON</v>
      </c>
      <c r="G11893" t="str">
        <f>"21-2146"</f>
        <v>21-2146</v>
      </c>
      <c r="H11893" t="str">
        <f>"B"</f>
        <v>B</v>
      </c>
    </row>
    <row r="11894" spans="1:8" x14ac:dyDescent="0.2">
      <c r="A11894" t="str">
        <f t="shared" si="4298"/>
        <v>0613100718</v>
      </c>
      <c r="B11894" t="str">
        <f t="shared" si="4299"/>
        <v>ARYANNA</v>
      </c>
      <c r="C11894" t="str">
        <f t="shared" si="4300"/>
        <v>MORROBEL</v>
      </c>
      <c r="D11894">
        <f>12</f>
        <v>12</v>
      </c>
      <c r="E11894" t="str">
        <f>"05 - S1 - B - 102 - Lissa C Frederique"</f>
        <v>05 - S1 - B - 102 - Lissa C Frederique</v>
      </c>
      <c r="F11894" t="str">
        <f>"PERS FIN &amp; MON MGT H"</f>
        <v>PERS FIN &amp; MON MGT H</v>
      </c>
      <c r="G11894" t="str">
        <f>"17-1754"</f>
        <v>17-1754</v>
      </c>
      <c r="H11894" t="str">
        <f>"B"</f>
        <v>B</v>
      </c>
    </row>
    <row r="11895" spans="1:8" x14ac:dyDescent="0.2">
      <c r="A11895" t="str">
        <f t="shared" si="4298"/>
        <v>0613100718</v>
      </c>
      <c r="B11895" t="str">
        <f t="shared" si="4299"/>
        <v>ARYANNA</v>
      </c>
      <c r="C11895" t="str">
        <f t="shared" si="4300"/>
        <v>MORROBEL</v>
      </c>
      <c r="D11895">
        <f>12</f>
        <v>12</v>
      </c>
      <c r="E11895" t="str">
        <f>"01 - A - 101 - Kelly N Panza"</f>
        <v>01 - A - 101 - Kelly N Panza</v>
      </c>
      <c r="F11895" t="str">
        <f>"AP HUMAN GEOG"</f>
        <v>AP HUMAN GEOG</v>
      </c>
      <c r="G11895" t="str">
        <f>"17-1753"</f>
        <v>17-1753</v>
      </c>
      <c r="H11895" t="str">
        <f>"A"</f>
        <v>A</v>
      </c>
    </row>
    <row r="11896" spans="1:8" x14ac:dyDescent="0.2">
      <c r="A11896" t="str">
        <f t="shared" si="4298"/>
        <v>0613100718</v>
      </c>
      <c r="B11896" t="str">
        <f t="shared" si="4299"/>
        <v>ARYANNA</v>
      </c>
      <c r="C11896" t="str">
        <f t="shared" si="4300"/>
        <v>MORROBEL</v>
      </c>
      <c r="D11896">
        <f>12</f>
        <v>12</v>
      </c>
      <c r="E11896" t="str">
        <f>"08 - B - 102 - Lisa J London"</f>
        <v>08 - B - 102 - Lisa J London</v>
      </c>
      <c r="F11896" t="str">
        <f>"AP CAPSTONE RESEARCH"</f>
        <v>AP CAPSTONE RESEARCH</v>
      </c>
      <c r="G11896" t="str">
        <f>"17-1714"</f>
        <v>17-1714</v>
      </c>
      <c r="H11896" t="str">
        <f>"B"</f>
        <v>B</v>
      </c>
    </row>
    <row r="11897" spans="1:8" x14ac:dyDescent="0.2">
      <c r="A11897" t="str">
        <f t="shared" ref="A11897:A11905" si="4301">"0615137454"</f>
        <v>0615137454</v>
      </c>
      <c r="B11897" t="str">
        <f t="shared" ref="B11897:B11905" si="4302">"JORDYNN"</f>
        <v>JORDYNN</v>
      </c>
      <c r="C11897" t="str">
        <f t="shared" ref="C11897:C11905" si="4303">"MOSES"</f>
        <v>MOSES</v>
      </c>
      <c r="D11897">
        <f>10</f>
        <v>10</v>
      </c>
      <c r="E11897" t="str">
        <f>"04 - A - 104 - Dayna M Foster"</f>
        <v>04 - A - 104 - Dayna M Foster</v>
      </c>
      <c r="F11897" t="str">
        <f>"ALGEBRA 2"</f>
        <v>ALGEBRA 2</v>
      </c>
      <c r="G11897" t="str">
        <f>"21-2109"</f>
        <v>21-2109</v>
      </c>
      <c r="H11897" t="str">
        <f>"A"</f>
        <v>A</v>
      </c>
    </row>
    <row r="11898" spans="1:8" x14ac:dyDescent="0.2">
      <c r="A11898" t="str">
        <f t="shared" si="4301"/>
        <v>0615137454</v>
      </c>
      <c r="B11898" t="str">
        <f t="shared" si="4302"/>
        <v>JORDYNN</v>
      </c>
      <c r="C11898" t="str">
        <f t="shared" si="4303"/>
        <v>MOSES</v>
      </c>
      <c r="D11898">
        <f>10</f>
        <v>10</v>
      </c>
      <c r="E11898" t="str">
        <f>"06 - B - 108 - Jacklyn M James"</f>
        <v>06 - B - 108 - Jacklyn M James</v>
      </c>
      <c r="F11898" t="str">
        <f>"NC STUDY HALL 1"</f>
        <v>NC STUDY HALL 1</v>
      </c>
      <c r="G11898" t="str">
        <f>"17-1731"</f>
        <v>17-1731</v>
      </c>
      <c r="H11898" t="str">
        <f>"B"</f>
        <v>B</v>
      </c>
    </row>
    <row r="11899" spans="1:8" x14ac:dyDescent="0.2">
      <c r="A11899" t="str">
        <f t="shared" si="4301"/>
        <v>0615137454</v>
      </c>
      <c r="B11899" t="str">
        <f t="shared" si="4302"/>
        <v>JORDYNN</v>
      </c>
      <c r="C11899" t="str">
        <f t="shared" si="4303"/>
        <v>MOSES</v>
      </c>
      <c r="D11899">
        <f>10</f>
        <v>10</v>
      </c>
      <c r="E11899" t="str">
        <f>"03 - A - 102 - Semra  Bahadir"</f>
        <v>03 - A - 102 - Semra  Bahadir</v>
      </c>
      <c r="F11899" t="str">
        <f>"ALGEBRA 2"</f>
        <v>ALGEBRA 2</v>
      </c>
      <c r="G11899" t="str">
        <f>"21-2107"</f>
        <v>21-2107</v>
      </c>
      <c r="H11899" t="str">
        <f>"A"</f>
        <v>A</v>
      </c>
    </row>
    <row r="11900" spans="1:8" x14ac:dyDescent="0.2">
      <c r="A11900" t="str">
        <f t="shared" si="4301"/>
        <v>0615137454</v>
      </c>
      <c r="B11900" t="str">
        <f t="shared" si="4302"/>
        <v>JORDYNN</v>
      </c>
      <c r="C11900" t="str">
        <f t="shared" si="4303"/>
        <v>MOSES</v>
      </c>
      <c r="D11900">
        <f>10</f>
        <v>10</v>
      </c>
      <c r="E11900" t="str">
        <f>"03 - A - 101 - Timothy J Lawrence"</f>
        <v>03 - A - 101 - Timothy J Lawrence</v>
      </c>
      <c r="F11900" t="str">
        <f>"AICE PHYS ED 1 AS"</f>
        <v>AICE PHYS ED 1 AS</v>
      </c>
      <c r="G11900" t="str">
        <f>"05-519"</f>
        <v>05-519</v>
      </c>
      <c r="H11900" t="str">
        <f>"A"</f>
        <v>A</v>
      </c>
    </row>
    <row r="11901" spans="1:8" x14ac:dyDescent="0.2">
      <c r="A11901" t="str">
        <f t="shared" si="4301"/>
        <v>0615137454</v>
      </c>
      <c r="B11901" t="str">
        <f t="shared" si="4302"/>
        <v>JORDYNN</v>
      </c>
      <c r="C11901" t="str">
        <f t="shared" si="4303"/>
        <v>MOSES</v>
      </c>
      <c r="D11901">
        <f>10</f>
        <v>10</v>
      </c>
      <c r="E11901" t="str">
        <f>"02 - A - 102 - Bruce A Evans"</f>
        <v>02 - A - 102 - Bruce A Evans</v>
      </c>
      <c r="F11901" t="str">
        <f>"EMERG MED RESP 3 HON"</f>
        <v>EMERG MED RESP 3 HON</v>
      </c>
      <c r="G11901" t="str">
        <f>"21-2142"</f>
        <v>21-2142</v>
      </c>
      <c r="H11901" t="str">
        <f>"A"</f>
        <v>A</v>
      </c>
    </row>
    <row r="11902" spans="1:8" x14ac:dyDescent="0.2">
      <c r="A11902" t="str">
        <f t="shared" si="4301"/>
        <v>0615137454</v>
      </c>
      <c r="B11902" t="str">
        <f t="shared" si="4302"/>
        <v>JORDYNN</v>
      </c>
      <c r="C11902" t="str">
        <f t="shared" si="4303"/>
        <v>MOSES</v>
      </c>
      <c r="D11902">
        <f>10</f>
        <v>10</v>
      </c>
      <c r="E11902" t="str">
        <f>"07 - B - 204 - Elizabeth Ellen  Moran"</f>
        <v>07 - B - 204 - Elizabeth Ellen  Moran</v>
      </c>
      <c r="F11902" t="str">
        <f>"AICE EURO HIST 1 AS"</f>
        <v>AICE EURO HIST 1 AS</v>
      </c>
      <c r="G11902" t="str">
        <f>"17-1752"</f>
        <v>17-1752</v>
      </c>
      <c r="H11902" t="str">
        <f>"B"</f>
        <v>B</v>
      </c>
    </row>
    <row r="11903" spans="1:8" x14ac:dyDescent="0.2">
      <c r="A11903" t="str">
        <f t="shared" si="4301"/>
        <v>0615137454</v>
      </c>
      <c r="B11903" t="str">
        <f t="shared" si="4302"/>
        <v>JORDYNN</v>
      </c>
      <c r="C11903" t="str">
        <f t="shared" si="4303"/>
        <v>MOSES</v>
      </c>
      <c r="D11903">
        <f>10</f>
        <v>10</v>
      </c>
      <c r="E11903" t="str">
        <f>"05 - B - 201 - Bruce A Evans"</f>
        <v>05 - B - 201 - Bruce A Evans</v>
      </c>
      <c r="F11903" t="str">
        <f>"HEALTH SCI FOUND HON"</f>
        <v>HEALTH SCI FOUND HON</v>
      </c>
      <c r="G11903" t="str">
        <f>"21-2142"</f>
        <v>21-2142</v>
      </c>
      <c r="H11903" t="str">
        <f>"B"</f>
        <v>B</v>
      </c>
    </row>
    <row r="11904" spans="1:8" x14ac:dyDescent="0.2">
      <c r="A11904" t="str">
        <f t="shared" si="4301"/>
        <v>0615137454</v>
      </c>
      <c r="B11904" t="str">
        <f t="shared" si="4302"/>
        <v>JORDYNN</v>
      </c>
      <c r="C11904" t="str">
        <f t="shared" si="4303"/>
        <v>MOSES</v>
      </c>
      <c r="D11904">
        <f>10</f>
        <v>10</v>
      </c>
      <c r="E11904" t="str">
        <f>"01 - A - 107 - Valerie J Ruwe"</f>
        <v>01 - A - 107 - Valerie J Ruwe</v>
      </c>
      <c r="F11904" t="str">
        <f>"CHEMISTRY 1 HON"</f>
        <v>CHEMISTRY 1 HON</v>
      </c>
      <c r="G11904" t="str">
        <f>"21-2134"</f>
        <v>21-2134</v>
      </c>
      <c r="H11904" t="str">
        <f>"A"</f>
        <v>A</v>
      </c>
    </row>
    <row r="11905" spans="1:8" x14ac:dyDescent="0.2">
      <c r="A11905" t="str">
        <f t="shared" si="4301"/>
        <v>0615137454</v>
      </c>
      <c r="B11905" t="str">
        <f t="shared" si="4302"/>
        <v>JORDYNN</v>
      </c>
      <c r="C11905" t="str">
        <f t="shared" si="4303"/>
        <v>MOSES</v>
      </c>
      <c r="D11905">
        <f>10</f>
        <v>10</v>
      </c>
      <c r="E11905" t="str">
        <f>"08 - B - 001 - Jacklyn M James"</f>
        <v>08 - B - 001 - Jacklyn M James</v>
      </c>
      <c r="F11905" t="str">
        <f>"AICE ENG LANG AS"</f>
        <v>AICE ENG LANG AS</v>
      </c>
      <c r="G11905" t="str">
        <f>"17-1731"</f>
        <v>17-1731</v>
      </c>
      <c r="H11905" t="str">
        <f>"B"</f>
        <v>B</v>
      </c>
    </row>
    <row r="11906" spans="1:8" x14ac:dyDescent="0.2">
      <c r="A11906" t="str">
        <f t="shared" ref="A11906:A11913" si="4304">"0614053138"</f>
        <v>0614053138</v>
      </c>
      <c r="B11906" t="str">
        <f t="shared" ref="B11906:B11913" si="4305">"TAVARIUS"</f>
        <v>TAVARIUS</v>
      </c>
      <c r="C11906" t="str">
        <f t="shared" ref="C11906:C11913" si="4306">"MOTT"</f>
        <v>MOTT</v>
      </c>
      <c r="D11906">
        <f>11</f>
        <v>11</v>
      </c>
      <c r="E11906" t="str">
        <f>"04 - A - 102 - Jeffrey S Gallagher"</f>
        <v>04 - A - 102 - Jeffrey S Gallagher</v>
      </c>
      <c r="F11906" t="str">
        <f>"ENG HON 3"</f>
        <v>ENG HON 3</v>
      </c>
      <c r="G11906" t="str">
        <f>"17-1724"</f>
        <v>17-1724</v>
      </c>
      <c r="H11906" t="str">
        <f>"A"</f>
        <v>A</v>
      </c>
    </row>
    <row r="11907" spans="1:8" x14ac:dyDescent="0.2">
      <c r="A11907" t="str">
        <f t="shared" si="4304"/>
        <v>0614053138</v>
      </c>
      <c r="B11907" t="str">
        <f t="shared" si="4305"/>
        <v>TAVARIUS</v>
      </c>
      <c r="C11907" t="str">
        <f t="shared" si="4306"/>
        <v>MOTT</v>
      </c>
      <c r="D11907">
        <f>11</f>
        <v>11</v>
      </c>
      <c r="E11907" t="str">
        <f>"06 - B - 202 - Brian M Fitzgerald"</f>
        <v>06 - B - 202 - Brian M Fitzgerald</v>
      </c>
      <c r="F11907" t="str">
        <f>"DRAW 1"</f>
        <v>DRAW 1</v>
      </c>
      <c r="G11907" t="str">
        <f>"09-908"</f>
        <v>09-908</v>
      </c>
      <c r="H11907" t="str">
        <f>"B"</f>
        <v>B</v>
      </c>
    </row>
    <row r="11908" spans="1:8" x14ac:dyDescent="0.2">
      <c r="A11908" t="str">
        <f t="shared" si="4304"/>
        <v>0614053138</v>
      </c>
      <c r="B11908" t="str">
        <f t="shared" si="4305"/>
        <v>TAVARIUS</v>
      </c>
      <c r="C11908" t="str">
        <f t="shared" si="4306"/>
        <v>MOTT</v>
      </c>
      <c r="D11908">
        <f>11</f>
        <v>11</v>
      </c>
      <c r="E11908" t="str">
        <f>"03 - A - 101 - Scott A Dethloff"</f>
        <v>03 - A - 101 - Scott A Dethloff</v>
      </c>
      <c r="F11908" t="str">
        <f>"CHEMISTRY 1 HON"</f>
        <v>CHEMISTRY 1 HON</v>
      </c>
      <c r="G11908" t="str">
        <f>"08-812"</f>
        <v>08-812</v>
      </c>
      <c r="H11908" t="str">
        <f>"A"</f>
        <v>A</v>
      </c>
    </row>
    <row r="11909" spans="1:8" x14ac:dyDescent="0.2">
      <c r="A11909" t="str">
        <f t="shared" si="4304"/>
        <v>0614053138</v>
      </c>
      <c r="B11909" t="str">
        <f t="shared" si="4305"/>
        <v>TAVARIUS</v>
      </c>
      <c r="C11909" t="str">
        <f t="shared" si="4306"/>
        <v>MOTT</v>
      </c>
      <c r="D11909">
        <f>11</f>
        <v>11</v>
      </c>
      <c r="E11909" t="str">
        <f>"02 - A - 114 - Eva T Rimmer"</f>
        <v>02 - A - 114 - Eva T Rimmer</v>
      </c>
      <c r="F11909" t="str">
        <f>"NC STUDY HALL 1"</f>
        <v>NC STUDY HALL 1</v>
      </c>
      <c r="G11909" t="str">
        <f>"05-523"</f>
        <v>05-523</v>
      </c>
      <c r="H11909" t="str">
        <f>"A"</f>
        <v>A</v>
      </c>
    </row>
    <row r="11910" spans="1:8" x14ac:dyDescent="0.2">
      <c r="A11910" t="str">
        <f t="shared" si="4304"/>
        <v>0614053138</v>
      </c>
      <c r="B11910" t="str">
        <f t="shared" si="4305"/>
        <v>TAVARIUS</v>
      </c>
      <c r="C11910" t="str">
        <f t="shared" si="4306"/>
        <v>MOTT</v>
      </c>
      <c r="D11910">
        <f>11</f>
        <v>11</v>
      </c>
      <c r="E11910" t="str">
        <f>"07 - B - 002 - Jazmin S Fletcher"</f>
        <v>07 - B - 002 - Jazmin S Fletcher</v>
      </c>
      <c r="F11910" t="str">
        <f>"THEATRE 1"</f>
        <v>THEATRE 1</v>
      </c>
      <c r="G11910" t="str">
        <f>"09-909"</f>
        <v>09-909</v>
      </c>
      <c r="H11910" t="str">
        <f>"B"</f>
        <v>B</v>
      </c>
    </row>
    <row r="11911" spans="1:8" x14ac:dyDescent="0.2">
      <c r="A11911" t="str">
        <f t="shared" si="4304"/>
        <v>0614053138</v>
      </c>
      <c r="B11911" t="str">
        <f t="shared" si="4305"/>
        <v>TAVARIUS</v>
      </c>
      <c r="C11911" t="str">
        <f t="shared" si="4306"/>
        <v>MOTT</v>
      </c>
      <c r="D11911">
        <f>11</f>
        <v>11</v>
      </c>
      <c r="E11911" t="str">
        <f>"05 - B - 106 - Milca  Exantus"</f>
        <v>05 - B - 106 - Milca  Exantus</v>
      </c>
      <c r="F11911" t="str">
        <f>"MATH COLLEGE LIB ART"</f>
        <v>MATH COLLEGE LIB ART</v>
      </c>
      <c r="G11911" t="str">
        <f>"21-2145"</f>
        <v>21-2145</v>
      </c>
      <c r="H11911" t="str">
        <f>"B"</f>
        <v>B</v>
      </c>
    </row>
    <row r="11912" spans="1:8" x14ac:dyDescent="0.2">
      <c r="A11912" t="str">
        <f t="shared" si="4304"/>
        <v>0614053138</v>
      </c>
      <c r="B11912" t="str">
        <f t="shared" si="4305"/>
        <v>TAVARIUS</v>
      </c>
      <c r="C11912" t="str">
        <f t="shared" si="4306"/>
        <v>MOTT</v>
      </c>
      <c r="D11912">
        <f>11</f>
        <v>11</v>
      </c>
      <c r="E11912" t="str">
        <f>"01 - A - 104 - Jerry S Jiampetti"</f>
        <v>01 - A - 104 - Jerry S Jiampetti</v>
      </c>
      <c r="F11912" t="str">
        <f>"US HISTORY HON"</f>
        <v>US HISTORY HON</v>
      </c>
      <c r="G11912" t="str">
        <f>"17-1751"</f>
        <v>17-1751</v>
      </c>
      <c r="H11912" t="str">
        <f>"A"</f>
        <v>A</v>
      </c>
    </row>
    <row r="11913" spans="1:8" x14ac:dyDescent="0.2">
      <c r="A11913" t="str">
        <f t="shared" si="4304"/>
        <v>0614053138</v>
      </c>
      <c r="B11913" t="str">
        <f t="shared" si="4305"/>
        <v>TAVARIUS</v>
      </c>
      <c r="C11913" t="str">
        <f t="shared" si="4306"/>
        <v>MOTT</v>
      </c>
      <c r="D11913">
        <f>11</f>
        <v>11</v>
      </c>
      <c r="E11913" t="str">
        <f>"08 - S1 - B - 102 - Nahum  Saint-Preux"</f>
        <v>08 - S1 - B - 102 - Nahum  Saint-Preux</v>
      </c>
      <c r="F11913" t="str">
        <f>"CRIT THINK ST SKLS"</f>
        <v>CRIT THINK ST SKLS</v>
      </c>
      <c r="G11913" t="str">
        <f>"17-1712"</f>
        <v>17-1712</v>
      </c>
      <c r="H11913" t="str">
        <f>"B"</f>
        <v>B</v>
      </c>
    </row>
    <row r="11914" spans="1:8" x14ac:dyDescent="0.2">
      <c r="A11914" t="str">
        <f t="shared" ref="A11914:A11921" si="4307">"0616048326"</f>
        <v>0616048326</v>
      </c>
      <c r="B11914" t="str">
        <f t="shared" ref="B11914:B11921" si="4308">"EMMANUEL"</f>
        <v>EMMANUEL</v>
      </c>
      <c r="C11914" t="str">
        <f t="shared" ref="C11914:C11921" si="4309">"MOULTON"</f>
        <v>MOULTON</v>
      </c>
      <c r="D11914">
        <f>10</f>
        <v>10</v>
      </c>
      <c r="E11914" t="str">
        <f>"04 - A - 201 - Alejandro  Navarro"</f>
        <v>04 - A - 201 - Alejandro  Navarro</v>
      </c>
      <c r="F11914" t="str">
        <f>"BAND 4"</f>
        <v>BAND 4</v>
      </c>
      <c r="G11914" t="str">
        <f>"05-504"</f>
        <v>05-504</v>
      </c>
      <c r="H11914" t="str">
        <f>"A"</f>
        <v>A</v>
      </c>
    </row>
    <row r="11915" spans="1:8" x14ac:dyDescent="0.2">
      <c r="A11915" t="str">
        <f t="shared" si="4307"/>
        <v>0616048326</v>
      </c>
      <c r="B11915" t="str">
        <f t="shared" si="4308"/>
        <v>EMMANUEL</v>
      </c>
      <c r="C11915" t="str">
        <f t="shared" si="4309"/>
        <v>MOULTON</v>
      </c>
      <c r="D11915">
        <f>10</f>
        <v>10</v>
      </c>
      <c r="E11915" t="str">
        <f>"06 - B - 108 - Jacklyn M James"</f>
        <v>06 - B - 108 - Jacklyn M James</v>
      </c>
      <c r="F11915" t="str">
        <f>"NC STUDY HALL 1"</f>
        <v>NC STUDY HALL 1</v>
      </c>
      <c r="G11915" t="str">
        <f>"17-1731"</f>
        <v>17-1731</v>
      </c>
      <c r="H11915" t="str">
        <f>"B"</f>
        <v>B</v>
      </c>
    </row>
    <row r="11916" spans="1:8" x14ac:dyDescent="0.2">
      <c r="A11916" t="str">
        <f t="shared" si="4307"/>
        <v>0616048326</v>
      </c>
      <c r="B11916" t="str">
        <f t="shared" si="4308"/>
        <v>EMMANUEL</v>
      </c>
      <c r="C11916" t="str">
        <f t="shared" si="4309"/>
        <v>MOULTON</v>
      </c>
      <c r="D11916">
        <f>10</f>
        <v>10</v>
      </c>
      <c r="E11916" t="str">
        <f>"03 - S1 - A - 101 - Arthur  Kulawik"</f>
        <v>03 - S1 - A - 101 - Arthur  Kulawik</v>
      </c>
      <c r="F11916" t="str">
        <f>"PERS FIN &amp; MON MGT H"</f>
        <v>PERS FIN &amp; MON MGT H</v>
      </c>
      <c r="G11916" t="str">
        <f>"05-506"</f>
        <v>05-506</v>
      </c>
      <c r="H11916" t="str">
        <f>"A"</f>
        <v>A</v>
      </c>
    </row>
    <row r="11917" spans="1:8" x14ac:dyDescent="0.2">
      <c r="A11917" t="str">
        <f t="shared" si="4307"/>
        <v>0616048326</v>
      </c>
      <c r="B11917" t="str">
        <f t="shared" si="4308"/>
        <v>EMMANUEL</v>
      </c>
      <c r="C11917" t="str">
        <f t="shared" si="4309"/>
        <v>MOULTON</v>
      </c>
      <c r="D11917">
        <f>10</f>
        <v>10</v>
      </c>
      <c r="E11917" t="str">
        <f>"02 - A - 201 - Jordana K Hass"</f>
        <v>02 - A - 201 - Jordana K Hass</v>
      </c>
      <c r="F11917" t="str">
        <f>"CHEMISTRY 1"</f>
        <v>CHEMISTRY 1</v>
      </c>
      <c r="G11917" t="str">
        <f>"08-807"</f>
        <v>08-807</v>
      </c>
      <c r="H11917" t="str">
        <f>"A"</f>
        <v>A</v>
      </c>
    </row>
    <row r="11918" spans="1:8" x14ac:dyDescent="0.2">
      <c r="A11918" t="str">
        <f t="shared" si="4307"/>
        <v>0616048326</v>
      </c>
      <c r="B11918" t="str">
        <f t="shared" si="4308"/>
        <v>EMMANUEL</v>
      </c>
      <c r="C11918" t="str">
        <f t="shared" si="4309"/>
        <v>MOULTON</v>
      </c>
      <c r="D11918">
        <f>10</f>
        <v>10</v>
      </c>
      <c r="E11918" t="str">
        <f>"07 - B - 102 - Nikiel  Nesbeth"</f>
        <v>07 - B - 102 - Nikiel  Nesbeth</v>
      </c>
      <c r="F11918" t="str">
        <f>"PRE-AICE ENG LIT IG"</f>
        <v>PRE-AICE ENG LIT IG</v>
      </c>
      <c r="G11918" t="str">
        <f>"17-1705"</f>
        <v>17-1705</v>
      </c>
      <c r="H11918" t="str">
        <f>"B"</f>
        <v>B</v>
      </c>
    </row>
    <row r="11919" spans="1:8" x14ac:dyDescent="0.2">
      <c r="A11919" t="str">
        <f t="shared" si="4307"/>
        <v>0616048326</v>
      </c>
      <c r="B11919" t="str">
        <f t="shared" si="4308"/>
        <v>EMMANUEL</v>
      </c>
      <c r="C11919" t="str">
        <f t="shared" si="4309"/>
        <v>MOULTON</v>
      </c>
      <c r="D11919">
        <f>10</f>
        <v>10</v>
      </c>
      <c r="E11919" t="str">
        <f>"05 - B - 105 - Taraneh C Abreu"</f>
        <v>05 - B - 105 - Taraneh C Abreu</v>
      </c>
      <c r="F11919" t="str">
        <f>"INTENS READ 2"</f>
        <v>INTENS READ 2</v>
      </c>
      <c r="G11919" t="str">
        <f>"17-1713"</f>
        <v>17-1713</v>
      </c>
      <c r="H11919" t="str">
        <f>"B"</f>
        <v>B</v>
      </c>
    </row>
    <row r="11920" spans="1:8" x14ac:dyDescent="0.2">
      <c r="A11920" t="str">
        <f t="shared" si="4307"/>
        <v>0616048326</v>
      </c>
      <c r="B11920" t="str">
        <f t="shared" si="4308"/>
        <v>EMMANUEL</v>
      </c>
      <c r="C11920" t="str">
        <f t="shared" si="4309"/>
        <v>MOULTON</v>
      </c>
      <c r="D11920">
        <f>10</f>
        <v>10</v>
      </c>
      <c r="E11920" t="str">
        <f>"01 - A - 101 - James H Mccann"</f>
        <v>01 - A - 101 - James H Mccann</v>
      </c>
      <c r="F11920" t="str">
        <f>"ALGEBRA 2"</f>
        <v>ALGEBRA 2</v>
      </c>
      <c r="G11920" t="str">
        <f>"17-1716"</f>
        <v>17-1716</v>
      </c>
      <c r="H11920" t="str">
        <f>"A"</f>
        <v>A</v>
      </c>
    </row>
    <row r="11921" spans="1:8" x14ac:dyDescent="0.2">
      <c r="A11921" t="str">
        <f t="shared" si="4307"/>
        <v>0616048326</v>
      </c>
      <c r="B11921" t="str">
        <f t="shared" si="4308"/>
        <v>EMMANUEL</v>
      </c>
      <c r="C11921" t="str">
        <f t="shared" si="4309"/>
        <v>MOULTON</v>
      </c>
      <c r="D11921">
        <f>10</f>
        <v>10</v>
      </c>
      <c r="E11921" t="str">
        <f>"08 - S1 - B - 104 - Leslie J Barton"</f>
        <v>08 - S1 - B - 104 - Leslie J Barton</v>
      </c>
      <c r="F11921" t="str">
        <f>"TEAM SPORTS 1"</f>
        <v>TEAM SPORTS 1</v>
      </c>
      <c r="G11921" t="str">
        <f>"04-254"</f>
        <v>04-254</v>
      </c>
      <c r="H11921" t="str">
        <f>"B"</f>
        <v>B</v>
      </c>
    </row>
    <row r="11922" spans="1:8" x14ac:dyDescent="0.2">
      <c r="A11922" t="str">
        <f t="shared" ref="A11922:A11929" si="4310">"0623059875"</f>
        <v>0623059875</v>
      </c>
      <c r="B11922" t="str">
        <f t="shared" ref="B11922:B11929" si="4311">"DYLAN"</f>
        <v>DYLAN</v>
      </c>
      <c r="C11922" t="str">
        <f t="shared" ref="C11922:C11929" si="4312">"MOYA-SANTILLANA"</f>
        <v>MOYA-SANTILLANA</v>
      </c>
      <c r="D11922" t="str">
        <f t="shared" ref="D11922:D11929" si="4313">"09"</f>
        <v>09</v>
      </c>
      <c r="E11922" t="str">
        <f>"04 - A - 103 - Cerine S Stewart"</f>
        <v>04 - A - 103 - Cerine S Stewart</v>
      </c>
      <c r="F11922" t="str">
        <f>"ENG 1"</f>
        <v>ENG 1</v>
      </c>
      <c r="G11922" t="str">
        <f>"17-1720"</f>
        <v>17-1720</v>
      </c>
      <c r="H11922" t="str">
        <f>"A"</f>
        <v>A</v>
      </c>
    </row>
    <row r="11923" spans="1:8" x14ac:dyDescent="0.2">
      <c r="A11923" t="str">
        <f t="shared" si="4310"/>
        <v>0623059875</v>
      </c>
      <c r="B11923" t="str">
        <f t="shared" si="4311"/>
        <v>DYLAN</v>
      </c>
      <c r="C11923" t="str">
        <f t="shared" si="4312"/>
        <v>MOYA-SANTILLANA</v>
      </c>
      <c r="D11923" t="str">
        <f t="shared" si="4313"/>
        <v>09</v>
      </c>
      <c r="E11923" t="str">
        <f>"06 - B - 202 - Samantha L Martinez"</f>
        <v>06 - B - 202 - Samantha L Martinez</v>
      </c>
      <c r="F11923" t="str">
        <f>"GUITAR 1"</f>
        <v>GUITAR 1</v>
      </c>
      <c r="G11923" t="str">
        <f>"05-505"</f>
        <v>05-505</v>
      </c>
      <c r="H11923" t="str">
        <f>"B"</f>
        <v>B</v>
      </c>
    </row>
    <row r="11924" spans="1:8" x14ac:dyDescent="0.2">
      <c r="A11924" t="str">
        <f t="shared" si="4310"/>
        <v>0623059875</v>
      </c>
      <c r="B11924" t="str">
        <f t="shared" si="4311"/>
        <v>DYLAN</v>
      </c>
      <c r="C11924" t="str">
        <f t="shared" si="4312"/>
        <v>MOYA-SANTILLANA</v>
      </c>
      <c r="D11924" t="str">
        <f t="shared" si="4313"/>
        <v>09</v>
      </c>
      <c r="E11924" t="str">
        <f>"03 - A - 105 - Elizabeth Ellen  Moran"</f>
        <v>03 - A - 105 - Elizabeth Ellen  Moran</v>
      </c>
      <c r="F11924" t="str">
        <f>"WORLD HISTORY"</f>
        <v>WORLD HISTORY</v>
      </c>
      <c r="G11924" t="str">
        <f>"17-1752"</f>
        <v>17-1752</v>
      </c>
      <c r="H11924" t="str">
        <f>"A"</f>
        <v>A</v>
      </c>
    </row>
    <row r="11925" spans="1:8" x14ac:dyDescent="0.2">
      <c r="A11925" t="str">
        <f t="shared" si="4310"/>
        <v>0623059875</v>
      </c>
      <c r="B11925" t="str">
        <f t="shared" si="4311"/>
        <v>DYLAN</v>
      </c>
      <c r="C11925" t="str">
        <f t="shared" si="4312"/>
        <v>MOYA-SANTILLANA</v>
      </c>
      <c r="D11925" t="str">
        <f t="shared" si="4313"/>
        <v>09</v>
      </c>
      <c r="E11925" t="str">
        <f>"02 - A - 103 - Angela S Adeshina-Morrison"</f>
        <v>02 - A - 103 - Angela S Adeshina-Morrison</v>
      </c>
      <c r="F11925" t="str">
        <f>"NC STUDY HALL 1"</f>
        <v>NC STUDY HALL 1</v>
      </c>
      <c r="G11925" t="str">
        <f>"05-518"</f>
        <v>05-518</v>
      </c>
      <c r="H11925" t="str">
        <f>"A"</f>
        <v>A</v>
      </c>
    </row>
    <row r="11926" spans="1:8" x14ac:dyDescent="0.2">
      <c r="A11926" t="str">
        <f t="shared" si="4310"/>
        <v>0623059875</v>
      </c>
      <c r="B11926" t="str">
        <f t="shared" si="4311"/>
        <v>DYLAN</v>
      </c>
      <c r="C11926" t="str">
        <f t="shared" si="4312"/>
        <v>MOYA-SANTILLANA</v>
      </c>
      <c r="D11926" t="str">
        <f t="shared" si="4313"/>
        <v>09</v>
      </c>
      <c r="E11926" t="str">
        <f>"07 - B - 106 - Dayna M Foster"</f>
        <v>07 - B - 106 - Dayna M Foster</v>
      </c>
      <c r="F11926" t="str">
        <f>"FDN SKLS MATH 9-12"</f>
        <v>FDN SKLS MATH 9-12</v>
      </c>
      <c r="G11926" t="str">
        <f>"21-2109"</f>
        <v>21-2109</v>
      </c>
      <c r="H11926" t="str">
        <f>"B"</f>
        <v>B</v>
      </c>
    </row>
    <row r="11927" spans="1:8" x14ac:dyDescent="0.2">
      <c r="A11927" t="str">
        <f t="shared" si="4310"/>
        <v>0623059875</v>
      </c>
      <c r="B11927" t="str">
        <f t="shared" si="4311"/>
        <v>DYLAN</v>
      </c>
      <c r="C11927" t="str">
        <f t="shared" si="4312"/>
        <v>MOYA-SANTILLANA</v>
      </c>
      <c r="D11927" t="str">
        <f t="shared" si="4313"/>
        <v>09</v>
      </c>
      <c r="E11927" t="str">
        <f>"05 - B - 105 - Adam Marcus  Drucker"</f>
        <v>05 - B - 105 - Adam Marcus  Drucker</v>
      </c>
      <c r="F11927" t="str">
        <f>"HOPE-PE V"</f>
        <v>HOPE-PE V</v>
      </c>
      <c r="G11927" t="str">
        <f>"04-254"</f>
        <v>04-254</v>
      </c>
      <c r="H11927" t="str">
        <f>"B"</f>
        <v>B</v>
      </c>
    </row>
    <row r="11928" spans="1:8" x14ac:dyDescent="0.2">
      <c r="A11928" t="str">
        <f t="shared" si="4310"/>
        <v>0623059875</v>
      </c>
      <c r="B11928" t="str">
        <f t="shared" si="4311"/>
        <v>DYLAN</v>
      </c>
      <c r="C11928" t="str">
        <f t="shared" si="4312"/>
        <v>MOYA-SANTILLANA</v>
      </c>
      <c r="D11928" t="str">
        <f t="shared" si="4313"/>
        <v>09</v>
      </c>
      <c r="E11928" t="str">
        <f>"01 - A - 108 - Dayna M Foster"</f>
        <v>01 - A - 108 - Dayna M Foster</v>
      </c>
      <c r="F11928" t="str">
        <f>"ALGEBRA 1"</f>
        <v>ALGEBRA 1</v>
      </c>
      <c r="G11928" t="str">
        <f>"21-2109"</f>
        <v>21-2109</v>
      </c>
      <c r="H11928" t="str">
        <f>"A"</f>
        <v>A</v>
      </c>
    </row>
    <row r="11929" spans="1:8" x14ac:dyDescent="0.2">
      <c r="A11929" t="str">
        <f t="shared" si="4310"/>
        <v>0623059875</v>
      </c>
      <c r="B11929" t="str">
        <f t="shared" si="4311"/>
        <v>DYLAN</v>
      </c>
      <c r="C11929" t="str">
        <f t="shared" si="4312"/>
        <v>MOYA-SANTILLANA</v>
      </c>
      <c r="D11929" t="str">
        <f t="shared" si="4313"/>
        <v>09</v>
      </c>
      <c r="E11929" t="str">
        <f>"08 - B - 105 - Samantha J Headley"</f>
        <v>08 - B - 105 - Samantha J Headley</v>
      </c>
      <c r="F11929" t="str">
        <f>"ENV SCI"</f>
        <v>ENV SCI</v>
      </c>
      <c r="G11929" t="str">
        <f>"08-802"</f>
        <v>08-802</v>
      </c>
      <c r="H11929" t="str">
        <f>"B"</f>
        <v>B</v>
      </c>
    </row>
    <row r="11930" spans="1:8" x14ac:dyDescent="0.2">
      <c r="A11930" t="str">
        <f t="shared" ref="A11930:A11937" si="4314">"0614102128"</f>
        <v>0614102128</v>
      </c>
      <c r="B11930" t="str">
        <f t="shared" ref="B11930:B11937" si="4315">"RICHARD"</f>
        <v>RICHARD</v>
      </c>
      <c r="C11930" t="str">
        <f t="shared" ref="C11930:C11937" si="4316">"MUELLER"</f>
        <v>MUELLER</v>
      </c>
      <c r="D11930">
        <f>11</f>
        <v>11</v>
      </c>
      <c r="E11930" t="str">
        <f>"04 - A - 101 - Chrystina M Marchionne"</f>
        <v>04 - A - 101 - Chrystina M Marchionne</v>
      </c>
      <c r="F11930" t="str">
        <f>"THEA CIN &amp; FILM LH"</f>
        <v>THEA CIN &amp; FILM LH</v>
      </c>
      <c r="G11930" t="str">
        <f>"05-520"</f>
        <v>05-520</v>
      </c>
      <c r="H11930" t="str">
        <f>"A"</f>
        <v>A</v>
      </c>
    </row>
    <row r="11931" spans="1:8" x14ac:dyDescent="0.2">
      <c r="A11931" t="str">
        <f t="shared" si="4314"/>
        <v>0614102128</v>
      </c>
      <c r="B11931" t="str">
        <f t="shared" si="4315"/>
        <v>RICHARD</v>
      </c>
      <c r="C11931" t="str">
        <f t="shared" si="4316"/>
        <v>MUELLER</v>
      </c>
      <c r="D11931">
        <f>11</f>
        <v>11</v>
      </c>
      <c r="E11931" t="str">
        <f>"06 - B - 105 - Arthur  Kulawik"</f>
        <v>06 - B - 105 - Arthur  Kulawik</v>
      </c>
      <c r="F11931" t="str">
        <f>"ENG 3"</f>
        <v>ENG 3</v>
      </c>
      <c r="G11931" t="str">
        <f>"05-506"</f>
        <v>05-506</v>
      </c>
      <c r="H11931" t="str">
        <f>"B"</f>
        <v>B</v>
      </c>
    </row>
    <row r="11932" spans="1:8" x14ac:dyDescent="0.2">
      <c r="A11932" t="str">
        <f t="shared" si="4314"/>
        <v>0614102128</v>
      </c>
      <c r="B11932" t="str">
        <f t="shared" si="4315"/>
        <v>RICHARD</v>
      </c>
      <c r="C11932" t="str">
        <f t="shared" si="4316"/>
        <v>MUELLER</v>
      </c>
      <c r="D11932">
        <f>11</f>
        <v>11</v>
      </c>
      <c r="E11932" t="str">
        <f>"03 - A - 201 - Joe  Kilpatrick Jr"</f>
        <v>03 - A - 201 - Joe  Kilpatrick Jr</v>
      </c>
      <c r="F11932" t="str">
        <f>"PRE-AICE SPAN 2 IG"</f>
        <v>PRE-AICE SPAN 2 IG</v>
      </c>
      <c r="G11932" t="str">
        <f>"09-912"</f>
        <v>09-912</v>
      </c>
      <c r="H11932" t="str">
        <f>"A"</f>
        <v>A</v>
      </c>
    </row>
    <row r="11933" spans="1:8" x14ac:dyDescent="0.2">
      <c r="A11933" t="str">
        <f t="shared" si="4314"/>
        <v>0614102128</v>
      </c>
      <c r="B11933" t="str">
        <f t="shared" si="4315"/>
        <v>RICHARD</v>
      </c>
      <c r="C11933" t="str">
        <f t="shared" si="4316"/>
        <v>MUELLER</v>
      </c>
      <c r="D11933">
        <f>11</f>
        <v>11</v>
      </c>
      <c r="E11933" t="str">
        <f>"02 - A - 113 - Byron G Montenegro"</f>
        <v>02 - A - 113 - Byron G Montenegro</v>
      </c>
      <c r="F11933" t="str">
        <f>"NC STUDY HALL 1"</f>
        <v>NC STUDY HALL 1</v>
      </c>
      <c r="G11933" t="str">
        <f>"21-2144"</f>
        <v>21-2144</v>
      </c>
      <c r="H11933" t="str">
        <f>"A"</f>
        <v>A</v>
      </c>
    </row>
    <row r="11934" spans="1:8" x14ac:dyDescent="0.2">
      <c r="A11934" t="str">
        <f t="shared" si="4314"/>
        <v>0614102128</v>
      </c>
      <c r="B11934" t="str">
        <f t="shared" si="4315"/>
        <v>RICHARD</v>
      </c>
      <c r="C11934" t="str">
        <f t="shared" si="4316"/>
        <v>MUELLER</v>
      </c>
      <c r="D11934">
        <f>11</f>
        <v>11</v>
      </c>
      <c r="E11934" t="str">
        <f>"07 - B - 105 - Josiah I Lacy"</f>
        <v>07 - B - 105 - Josiah I Lacy</v>
      </c>
      <c r="F11934" t="str">
        <f>"ANAT PHYSIO HON"</f>
        <v>ANAT PHYSIO HON</v>
      </c>
      <c r="G11934" t="str">
        <f>"08-801"</f>
        <v>08-801</v>
      </c>
      <c r="H11934" t="str">
        <f>"B"</f>
        <v>B</v>
      </c>
    </row>
    <row r="11935" spans="1:8" x14ac:dyDescent="0.2">
      <c r="A11935" t="str">
        <f t="shared" si="4314"/>
        <v>0614102128</v>
      </c>
      <c r="B11935" t="str">
        <f t="shared" si="4315"/>
        <v>RICHARD</v>
      </c>
      <c r="C11935" t="str">
        <f t="shared" si="4316"/>
        <v>MUELLER</v>
      </c>
      <c r="D11935">
        <f>11</f>
        <v>11</v>
      </c>
      <c r="E11935" t="str">
        <f>"05 - B - 105 - Adam Marcus  Drucker"</f>
        <v>05 - B - 105 - Adam Marcus  Drucker</v>
      </c>
      <c r="F11935" t="str">
        <f>"HOPE-PE V"</f>
        <v>HOPE-PE V</v>
      </c>
      <c r="G11935" t="str">
        <f>"04-254"</f>
        <v>04-254</v>
      </c>
      <c r="H11935" t="str">
        <f>"B"</f>
        <v>B</v>
      </c>
    </row>
    <row r="11936" spans="1:8" x14ac:dyDescent="0.2">
      <c r="A11936" t="str">
        <f t="shared" si="4314"/>
        <v>0614102128</v>
      </c>
      <c r="B11936" t="str">
        <f t="shared" si="4315"/>
        <v>RICHARD</v>
      </c>
      <c r="C11936" t="str">
        <f t="shared" si="4316"/>
        <v>MUELLER</v>
      </c>
      <c r="D11936">
        <f>11</f>
        <v>11</v>
      </c>
      <c r="E11936" t="str">
        <f>"01 - A - 101 - James H Mccann"</f>
        <v>01 - A - 101 - James H Mccann</v>
      </c>
      <c r="F11936" t="str">
        <f>"ALGEBRA 2"</f>
        <v>ALGEBRA 2</v>
      </c>
      <c r="G11936" t="str">
        <f>"17-1716"</f>
        <v>17-1716</v>
      </c>
      <c r="H11936" t="str">
        <f>"A"</f>
        <v>A</v>
      </c>
    </row>
    <row r="11937" spans="1:8" x14ac:dyDescent="0.2">
      <c r="A11937" t="str">
        <f t="shared" si="4314"/>
        <v>0614102128</v>
      </c>
      <c r="B11937" t="str">
        <f t="shared" si="4315"/>
        <v>RICHARD</v>
      </c>
      <c r="C11937" t="str">
        <f t="shared" si="4316"/>
        <v>MUELLER</v>
      </c>
      <c r="D11937">
        <f>11</f>
        <v>11</v>
      </c>
      <c r="E11937" t="str">
        <f>"08 - B - 109 - Lauren N Logan"</f>
        <v>08 - B - 109 - Lauren N Logan</v>
      </c>
      <c r="F11937" t="str">
        <f>"US HISTORY"</f>
        <v>US HISTORY</v>
      </c>
      <c r="G11937" t="str">
        <f>"17-1754"</f>
        <v>17-1754</v>
      </c>
      <c r="H11937" t="str">
        <f>"B"</f>
        <v>B</v>
      </c>
    </row>
    <row r="11938" spans="1:8" x14ac:dyDescent="0.2">
      <c r="A11938" t="str">
        <f t="shared" ref="A11938:A11945" si="4317">"0613130485"</f>
        <v>0613130485</v>
      </c>
      <c r="B11938" t="str">
        <f t="shared" ref="B11938:B11945" si="4318">"LAUDJAH"</f>
        <v>LAUDJAH</v>
      </c>
      <c r="C11938" t="str">
        <f t="shared" ref="C11938:C11945" si="4319">"MUGAYO"</f>
        <v>MUGAYO</v>
      </c>
      <c r="D11938">
        <f>12</f>
        <v>12</v>
      </c>
      <c r="E11938" t="str">
        <f>"04 - S1 - A - 106 - Kelly N Panza"</f>
        <v>04 - S1 - A - 106 - Kelly N Panza</v>
      </c>
      <c r="F11938" t="str">
        <f>"US GOVT HON"</f>
        <v>US GOVT HON</v>
      </c>
      <c r="G11938" t="str">
        <f>"17-1753"</f>
        <v>17-1753</v>
      </c>
      <c r="H11938" t="str">
        <f>"A"</f>
        <v>A</v>
      </c>
    </row>
    <row r="11939" spans="1:8" x14ac:dyDescent="0.2">
      <c r="A11939" t="str">
        <f t="shared" si="4317"/>
        <v>0613130485</v>
      </c>
      <c r="B11939" t="str">
        <f t="shared" si="4318"/>
        <v>LAUDJAH</v>
      </c>
      <c r="C11939" t="str">
        <f t="shared" si="4319"/>
        <v>MUGAYO</v>
      </c>
      <c r="D11939">
        <f>12</f>
        <v>12</v>
      </c>
      <c r="E11939" t="str">
        <f>"06 - B - 107 - Pamela M Corzo"</f>
        <v>06 - B - 107 - Pamela M Corzo</v>
      </c>
      <c r="F11939" t="str">
        <f>"NC STUDY HALL 1"</f>
        <v>NC STUDY HALL 1</v>
      </c>
      <c r="G11939" t="str">
        <f>"21-2133"</f>
        <v>21-2133</v>
      </c>
      <c r="H11939" t="str">
        <f>"B"</f>
        <v>B</v>
      </c>
    </row>
    <row r="11940" spans="1:8" x14ac:dyDescent="0.2">
      <c r="A11940" t="str">
        <f t="shared" si="4317"/>
        <v>0613130485</v>
      </c>
      <c r="B11940" t="str">
        <f t="shared" si="4318"/>
        <v>LAUDJAH</v>
      </c>
      <c r="C11940" t="str">
        <f t="shared" si="4319"/>
        <v>MUGAYO</v>
      </c>
      <c r="D11940">
        <f>12</f>
        <v>12</v>
      </c>
      <c r="E11940" t="str">
        <f>"03 - A - 103 - Adam Marcus  Drucker"</f>
        <v>03 - A - 103 - Adam Marcus  Drucker</v>
      </c>
      <c r="F11940" t="str">
        <f>"HOPE-PE V"</f>
        <v>HOPE-PE V</v>
      </c>
      <c r="G11940" t="str">
        <f>"04-254"</f>
        <v>04-254</v>
      </c>
      <c r="H11940" t="str">
        <f>"A"</f>
        <v>A</v>
      </c>
    </row>
    <row r="11941" spans="1:8" x14ac:dyDescent="0.2">
      <c r="A11941" t="str">
        <f t="shared" si="4317"/>
        <v>0613130485</v>
      </c>
      <c r="B11941" t="str">
        <f t="shared" si="4318"/>
        <v>LAUDJAH</v>
      </c>
      <c r="C11941" t="str">
        <f t="shared" si="4319"/>
        <v>MUGAYO</v>
      </c>
      <c r="D11941">
        <f>12</f>
        <v>12</v>
      </c>
      <c r="E11941" t="str">
        <f>"02 - A - 103 - Dorothy D Moore"</f>
        <v>02 - A - 103 - Dorothy D Moore</v>
      </c>
      <c r="F11941" t="str">
        <f>"ANAT PHYSIO HON"</f>
        <v>ANAT PHYSIO HON</v>
      </c>
      <c r="G11941" t="str">
        <f>"08-803"</f>
        <v>08-803</v>
      </c>
      <c r="H11941" t="str">
        <f>"A"</f>
        <v>A</v>
      </c>
    </row>
    <row r="11942" spans="1:8" x14ac:dyDescent="0.2">
      <c r="A11942" t="str">
        <f t="shared" si="4317"/>
        <v>0613130485</v>
      </c>
      <c r="B11942" t="str">
        <f t="shared" si="4318"/>
        <v>LAUDJAH</v>
      </c>
      <c r="C11942" t="str">
        <f t="shared" si="4319"/>
        <v>MUGAYO</v>
      </c>
      <c r="D11942">
        <f>12</f>
        <v>12</v>
      </c>
      <c r="E11942" t="str">
        <f>"07 - B - 105 - Robert H Rindner"</f>
        <v>07 - B - 105 - Robert H Rindner</v>
      </c>
      <c r="F11942" t="str">
        <f>"MATH DATA&amp;FIN LIT H"</f>
        <v>MATH DATA&amp;FIN LIT H</v>
      </c>
      <c r="G11942" t="str">
        <f>"21-2160"</f>
        <v>21-2160</v>
      </c>
      <c r="H11942" t="str">
        <f>"B"</f>
        <v>B</v>
      </c>
    </row>
    <row r="11943" spans="1:8" x14ac:dyDescent="0.2">
      <c r="A11943" t="str">
        <f t="shared" si="4317"/>
        <v>0613130485</v>
      </c>
      <c r="B11943" t="str">
        <f t="shared" si="4318"/>
        <v>LAUDJAH</v>
      </c>
      <c r="C11943" t="str">
        <f t="shared" si="4319"/>
        <v>MUGAYO</v>
      </c>
      <c r="D11943">
        <f>12</f>
        <v>12</v>
      </c>
      <c r="E11943" t="str">
        <f>"05 - B - 101 - Angela S Adeshina-Morrison"</f>
        <v>05 - B - 101 - Angela S Adeshina-Morrison</v>
      </c>
      <c r="F11943" t="str">
        <f>"MKT MANAGEMENT LH"</f>
        <v>MKT MANAGEMENT LH</v>
      </c>
      <c r="G11943" t="str">
        <f>"05-518"</f>
        <v>05-518</v>
      </c>
      <c r="H11943" t="str">
        <f>"B"</f>
        <v>B</v>
      </c>
    </row>
    <row r="11944" spans="1:8" x14ac:dyDescent="0.2">
      <c r="A11944" t="str">
        <f t="shared" si="4317"/>
        <v>0613130485</v>
      </c>
      <c r="B11944" t="str">
        <f t="shared" si="4318"/>
        <v>LAUDJAH</v>
      </c>
      <c r="C11944" t="str">
        <f t="shared" si="4319"/>
        <v>MUGAYO</v>
      </c>
      <c r="D11944">
        <f>12</f>
        <v>12</v>
      </c>
      <c r="E11944" t="str">
        <f>"01 - A - 101 - Eva T Rimmer"</f>
        <v>01 - A - 101 - Eva T Rimmer</v>
      </c>
      <c r="F11944" t="str">
        <f>"CRIMINAL JUST OPS 2"</f>
        <v>CRIMINAL JUST OPS 2</v>
      </c>
      <c r="G11944" t="str">
        <f>"05-523"</f>
        <v>05-523</v>
      </c>
      <c r="H11944" t="str">
        <f>"A"</f>
        <v>A</v>
      </c>
    </row>
    <row r="11945" spans="1:8" x14ac:dyDescent="0.2">
      <c r="A11945" t="str">
        <f t="shared" si="4317"/>
        <v>0613130485</v>
      </c>
      <c r="B11945" t="str">
        <f t="shared" si="4318"/>
        <v>LAUDJAH</v>
      </c>
      <c r="C11945" t="str">
        <f t="shared" si="4319"/>
        <v>MUGAYO</v>
      </c>
      <c r="D11945">
        <f>12</f>
        <v>12</v>
      </c>
      <c r="E11945" t="str">
        <f>"08 - B - 203 - Courtney E Hambright"</f>
        <v>08 - B - 203 - Courtney E Hambright</v>
      </c>
      <c r="F11945" t="str">
        <f>"AP ENG LIT COMPO"</f>
        <v>AP ENG LIT COMPO</v>
      </c>
      <c r="G11945" t="str">
        <f>"17-1711"</f>
        <v>17-1711</v>
      </c>
      <c r="H11945" t="str">
        <f>"B"</f>
        <v>B</v>
      </c>
    </row>
    <row r="11946" spans="1:8" x14ac:dyDescent="0.2">
      <c r="A11946" t="str">
        <f t="shared" ref="A11946:A11953" si="4320">"0622063751"</f>
        <v>0622063751</v>
      </c>
      <c r="B11946" t="str">
        <f t="shared" ref="B11946:B11953" si="4321">"JAEKOB"</f>
        <v>JAEKOB</v>
      </c>
      <c r="C11946" t="str">
        <f t="shared" ref="C11946:C11953" si="4322">"MUIRRAGUI"</f>
        <v>MUIRRAGUI</v>
      </c>
      <c r="D11946">
        <f>10</f>
        <v>10</v>
      </c>
      <c r="E11946" t="str">
        <f>"04 - S1 - A - 103 - James H Mccann"</f>
        <v>04 - S1 - A - 103 - James H Mccann</v>
      </c>
      <c r="F11946" t="str">
        <f>"PERS FIN &amp; MON MGT H"</f>
        <v>PERS FIN &amp; MON MGT H</v>
      </c>
      <c r="G11946" t="str">
        <f>"17-1716"</f>
        <v>17-1716</v>
      </c>
      <c r="H11946" t="str">
        <f>"A"</f>
        <v>A</v>
      </c>
    </row>
    <row r="11947" spans="1:8" x14ac:dyDescent="0.2">
      <c r="A11947" t="str">
        <f t="shared" si="4320"/>
        <v>0622063751</v>
      </c>
      <c r="B11947" t="str">
        <f t="shared" si="4321"/>
        <v>JAEKOB</v>
      </c>
      <c r="C11947" t="str">
        <f t="shared" si="4322"/>
        <v>MUIRRAGUI</v>
      </c>
      <c r="D11947">
        <f>10</f>
        <v>10</v>
      </c>
      <c r="E11947" t="str">
        <f>"06 - B - 108 - Jacklyn M James"</f>
        <v>06 - B - 108 - Jacklyn M James</v>
      </c>
      <c r="F11947" t="str">
        <f>"NC STUDY HALL 1"</f>
        <v>NC STUDY HALL 1</v>
      </c>
      <c r="G11947" t="str">
        <f>"17-1731"</f>
        <v>17-1731</v>
      </c>
      <c r="H11947" t="str">
        <f>"B"</f>
        <v>B</v>
      </c>
    </row>
    <row r="11948" spans="1:8" x14ac:dyDescent="0.2">
      <c r="A11948" t="str">
        <f t="shared" si="4320"/>
        <v>0622063751</v>
      </c>
      <c r="B11948" t="str">
        <f t="shared" si="4321"/>
        <v>JAEKOB</v>
      </c>
      <c r="C11948" t="str">
        <f t="shared" si="4322"/>
        <v>MUIRRAGUI</v>
      </c>
      <c r="D11948">
        <f>10</f>
        <v>10</v>
      </c>
      <c r="E11948" t="str">
        <f>"03 - A - 103 - Pamela M Corzo"</f>
        <v>03 - A - 103 - Pamela M Corzo</v>
      </c>
      <c r="F11948" t="str">
        <f>"ALGEBRA 2 HON"</f>
        <v>ALGEBRA 2 HON</v>
      </c>
      <c r="G11948" t="str">
        <f>"21-2133"</f>
        <v>21-2133</v>
      </c>
      <c r="H11948" t="str">
        <f>"A"</f>
        <v>A</v>
      </c>
    </row>
    <row r="11949" spans="1:8" x14ac:dyDescent="0.2">
      <c r="A11949" t="str">
        <f t="shared" si="4320"/>
        <v>0622063751</v>
      </c>
      <c r="B11949" t="str">
        <f t="shared" si="4321"/>
        <v>JAEKOB</v>
      </c>
      <c r="C11949" t="str">
        <f t="shared" si="4322"/>
        <v>MUIRRAGUI</v>
      </c>
      <c r="D11949">
        <f>10</f>
        <v>10</v>
      </c>
      <c r="E11949" t="str">
        <f>"02 - A - 103 - Lenecy  Nodarse"</f>
        <v>02 - A - 103 - Lenecy  Nodarse</v>
      </c>
      <c r="F11949" t="str">
        <f>"AICE EURO HIST 1 AS"</f>
        <v>AICE EURO HIST 1 AS</v>
      </c>
      <c r="G11949" t="str">
        <f>"17-1741"</f>
        <v>17-1741</v>
      </c>
      <c r="H11949" t="str">
        <f>"A"</f>
        <v>A</v>
      </c>
    </row>
    <row r="11950" spans="1:8" x14ac:dyDescent="0.2">
      <c r="A11950" t="str">
        <f t="shared" si="4320"/>
        <v>0622063751</v>
      </c>
      <c r="B11950" t="str">
        <f t="shared" si="4321"/>
        <v>JAEKOB</v>
      </c>
      <c r="C11950" t="str">
        <f t="shared" si="4322"/>
        <v>MUIRRAGUI</v>
      </c>
      <c r="D11950">
        <f>10</f>
        <v>10</v>
      </c>
      <c r="E11950" t="str">
        <f>"07 - B - 102 - Timothy J Lawrence"</f>
        <v>07 - B - 102 - Timothy J Lawrence</v>
      </c>
      <c r="F11950" t="str">
        <f>"AICE PHYS ED 1 AS"</f>
        <v>AICE PHYS ED 1 AS</v>
      </c>
      <c r="G11950" t="str">
        <f>"05-523"</f>
        <v>05-523</v>
      </c>
      <c r="H11950" t="str">
        <f>"B"</f>
        <v>B</v>
      </c>
    </row>
    <row r="11951" spans="1:8" x14ac:dyDescent="0.2">
      <c r="A11951" t="str">
        <f t="shared" si="4320"/>
        <v>0622063751</v>
      </c>
      <c r="B11951" t="str">
        <f t="shared" si="4321"/>
        <v>JAEKOB</v>
      </c>
      <c r="C11951" t="str">
        <f t="shared" si="4322"/>
        <v>MUIRRAGUI</v>
      </c>
      <c r="D11951">
        <f>10</f>
        <v>10</v>
      </c>
      <c r="E11951" t="str">
        <f>"05 - B - 106 - Courtney E Hambright"</f>
        <v>05 - B - 106 - Courtney E Hambright</v>
      </c>
      <c r="F11951" t="str">
        <f>"AICE ENG LANG AS"</f>
        <v>AICE ENG LANG AS</v>
      </c>
      <c r="G11951" t="str">
        <f>"17-1711"</f>
        <v>17-1711</v>
      </c>
      <c r="H11951" t="str">
        <f>"B"</f>
        <v>B</v>
      </c>
    </row>
    <row r="11952" spans="1:8" x14ac:dyDescent="0.2">
      <c r="A11952" t="str">
        <f t="shared" si="4320"/>
        <v>0622063751</v>
      </c>
      <c r="B11952" t="str">
        <f t="shared" si="4321"/>
        <v>JAEKOB</v>
      </c>
      <c r="C11952" t="str">
        <f t="shared" si="4322"/>
        <v>MUIRRAGUI</v>
      </c>
      <c r="D11952">
        <f>10</f>
        <v>10</v>
      </c>
      <c r="E11952" t="str">
        <f>"01 - A - 101 - Kelly N Panza"</f>
        <v>01 - A - 101 - Kelly N Panza</v>
      </c>
      <c r="F11952" t="str">
        <f>"AP HUMAN GEOG"</f>
        <v>AP HUMAN GEOG</v>
      </c>
      <c r="G11952" t="str">
        <f>"17-1753"</f>
        <v>17-1753</v>
      </c>
      <c r="H11952" t="str">
        <f>"A"</f>
        <v>A</v>
      </c>
    </row>
    <row r="11953" spans="1:8" x14ac:dyDescent="0.2">
      <c r="A11953" t="str">
        <f t="shared" si="4320"/>
        <v>0622063751</v>
      </c>
      <c r="B11953" t="str">
        <f t="shared" si="4321"/>
        <v>JAEKOB</v>
      </c>
      <c r="C11953" t="str">
        <f t="shared" si="4322"/>
        <v>MUIRRAGUI</v>
      </c>
      <c r="D11953">
        <f>10</f>
        <v>10</v>
      </c>
      <c r="E11953" t="str">
        <f>"08 - B - 001 - Scott A Dethloff"</f>
        <v>08 - B - 001 - Scott A Dethloff</v>
      </c>
      <c r="F11953" t="str">
        <f>"CHEMISTRY 1 HON"</f>
        <v>CHEMISTRY 1 HON</v>
      </c>
      <c r="G11953" t="str">
        <f>"08-812"</f>
        <v>08-812</v>
      </c>
      <c r="H11953" t="str">
        <f>"B"</f>
        <v>B</v>
      </c>
    </row>
    <row r="11954" spans="1:8" x14ac:dyDescent="0.2">
      <c r="A11954" t="str">
        <f t="shared" ref="A11954:A11961" si="4323">"0616019750"</f>
        <v>0616019750</v>
      </c>
      <c r="B11954" t="str">
        <f t="shared" ref="B11954:B11961" si="4324">"AIDEN"</f>
        <v>AIDEN</v>
      </c>
      <c r="C11954" t="str">
        <f t="shared" ref="C11954:C11961" si="4325">"MULLIGAN"</f>
        <v>MULLIGAN</v>
      </c>
      <c r="D11954">
        <f>10</f>
        <v>10</v>
      </c>
      <c r="E11954" t="str">
        <f>"04 - S1 - A - 103 - James H Mccann"</f>
        <v>04 - S1 - A - 103 - James H Mccann</v>
      </c>
      <c r="F11954" t="str">
        <f>"PERS FIN &amp; MON MGT H"</f>
        <v>PERS FIN &amp; MON MGT H</v>
      </c>
      <c r="G11954" t="str">
        <f>"17-1716"</f>
        <v>17-1716</v>
      </c>
      <c r="H11954" t="str">
        <f>"A"</f>
        <v>A</v>
      </c>
    </row>
    <row r="11955" spans="1:8" x14ac:dyDescent="0.2">
      <c r="A11955" t="str">
        <f t="shared" si="4323"/>
        <v>0616019750</v>
      </c>
      <c r="B11955" t="str">
        <f t="shared" si="4324"/>
        <v>AIDEN</v>
      </c>
      <c r="C11955" t="str">
        <f t="shared" si="4325"/>
        <v>MULLIGAN</v>
      </c>
      <c r="D11955">
        <f>10</f>
        <v>10</v>
      </c>
      <c r="E11955" t="str">
        <f>"06 - B - 115 - Scott A Dethloff"</f>
        <v>06 - B - 115 - Scott A Dethloff</v>
      </c>
      <c r="F11955" t="str">
        <f>"NC STUDY HALL 1"</f>
        <v>NC STUDY HALL 1</v>
      </c>
      <c r="G11955" t="str">
        <f>"08-812"</f>
        <v>08-812</v>
      </c>
      <c r="H11955" t="str">
        <f>"B"</f>
        <v>B</v>
      </c>
    </row>
    <row r="11956" spans="1:8" x14ac:dyDescent="0.2">
      <c r="A11956" t="str">
        <f t="shared" si="4323"/>
        <v>0616019750</v>
      </c>
      <c r="B11956" t="str">
        <f t="shared" si="4324"/>
        <v>AIDEN</v>
      </c>
      <c r="C11956" t="str">
        <f t="shared" si="4325"/>
        <v>MULLIGAN</v>
      </c>
      <c r="D11956">
        <f>10</f>
        <v>10</v>
      </c>
      <c r="E11956" t="str">
        <f>"03 - A - 104 - Brook E Goren"</f>
        <v>03 - A - 104 - Brook E Goren</v>
      </c>
      <c r="F11956" t="str">
        <f>"ALGEBRA 2 HON"</f>
        <v>ALGEBRA 2 HON</v>
      </c>
      <c r="G11956" t="str">
        <f>"21-2158"</f>
        <v>21-2158</v>
      </c>
      <c r="H11956" t="str">
        <f>"A"</f>
        <v>A</v>
      </c>
    </row>
    <row r="11957" spans="1:8" x14ac:dyDescent="0.2">
      <c r="A11957" t="str">
        <f t="shared" si="4323"/>
        <v>0616019750</v>
      </c>
      <c r="B11957" t="str">
        <f t="shared" si="4324"/>
        <v>AIDEN</v>
      </c>
      <c r="C11957" t="str">
        <f t="shared" si="4325"/>
        <v>MULLIGAN</v>
      </c>
      <c r="D11957">
        <f>10</f>
        <v>10</v>
      </c>
      <c r="E11957" t="str">
        <f>"02 - A - 102 - Chrystina M Marchionne"</f>
        <v>02 - A - 102 - Chrystina M Marchionne</v>
      </c>
      <c r="F11957" t="str">
        <f>"AICE MEDIASTUDIES AS"</f>
        <v>AICE MEDIASTUDIES AS</v>
      </c>
      <c r="G11957" t="str">
        <f>"05-520"</f>
        <v>05-520</v>
      </c>
      <c r="H11957" t="str">
        <f>"A"</f>
        <v>A</v>
      </c>
    </row>
    <row r="11958" spans="1:8" x14ac:dyDescent="0.2">
      <c r="A11958" t="str">
        <f t="shared" si="4323"/>
        <v>0616019750</v>
      </c>
      <c r="B11958" t="str">
        <f t="shared" si="4324"/>
        <v>AIDEN</v>
      </c>
      <c r="C11958" t="str">
        <f t="shared" si="4325"/>
        <v>MULLIGAN</v>
      </c>
      <c r="D11958">
        <f>10</f>
        <v>10</v>
      </c>
      <c r="E11958" t="str">
        <f>"07 - B - 107 - Adam Marcus  Drucker"</f>
        <v>07 - B - 107 - Adam Marcus  Drucker</v>
      </c>
      <c r="F11958" t="str">
        <f>"HOPE-PE V"</f>
        <v>HOPE-PE V</v>
      </c>
      <c r="G11958" t="str">
        <f>"04-254"</f>
        <v>04-254</v>
      </c>
      <c r="H11958" t="str">
        <f>"B"</f>
        <v>B</v>
      </c>
    </row>
    <row r="11959" spans="1:8" x14ac:dyDescent="0.2">
      <c r="A11959" t="str">
        <f t="shared" si="4323"/>
        <v>0616019750</v>
      </c>
      <c r="B11959" t="str">
        <f t="shared" si="4324"/>
        <v>AIDEN</v>
      </c>
      <c r="C11959" t="str">
        <f t="shared" si="4325"/>
        <v>MULLIGAN</v>
      </c>
      <c r="D11959">
        <f>10</f>
        <v>10</v>
      </c>
      <c r="E11959" t="str">
        <f>"05 - B - 108 - Valerie J Ruwe"</f>
        <v>05 - B - 108 - Valerie J Ruwe</v>
      </c>
      <c r="F11959" t="str">
        <f>"CHEMISTRY 1 HON"</f>
        <v>CHEMISTRY 1 HON</v>
      </c>
      <c r="G11959" t="str">
        <f>"21-2138"</f>
        <v>21-2138</v>
      </c>
      <c r="H11959" t="str">
        <f>"B"</f>
        <v>B</v>
      </c>
    </row>
    <row r="11960" spans="1:8" x14ac:dyDescent="0.2">
      <c r="A11960" t="str">
        <f t="shared" si="4323"/>
        <v>0616019750</v>
      </c>
      <c r="B11960" t="str">
        <f t="shared" si="4324"/>
        <v>AIDEN</v>
      </c>
      <c r="C11960" t="str">
        <f t="shared" si="4325"/>
        <v>MULLIGAN</v>
      </c>
      <c r="D11960">
        <f>10</f>
        <v>10</v>
      </c>
      <c r="E11960" t="str">
        <f>"01 - A - 001 - Lenecy  Nodarse"</f>
        <v>01 - A - 001 - Lenecy  Nodarse</v>
      </c>
      <c r="F11960" t="str">
        <f>"AICE EURO HIST 1 AS"</f>
        <v>AICE EURO HIST 1 AS</v>
      </c>
      <c r="G11960" t="str">
        <f>"17-1741"</f>
        <v>17-1741</v>
      </c>
      <c r="H11960" t="str">
        <f>"A"</f>
        <v>A</v>
      </c>
    </row>
    <row r="11961" spans="1:8" x14ac:dyDescent="0.2">
      <c r="A11961" t="str">
        <f t="shared" si="4323"/>
        <v>0616019750</v>
      </c>
      <c r="B11961" t="str">
        <f t="shared" si="4324"/>
        <v>AIDEN</v>
      </c>
      <c r="C11961" t="str">
        <f t="shared" si="4325"/>
        <v>MULLIGAN</v>
      </c>
      <c r="D11961">
        <f>10</f>
        <v>10</v>
      </c>
      <c r="E11961" t="str">
        <f>"08 - B - 001 - Jacklyn M James"</f>
        <v>08 - B - 001 - Jacklyn M James</v>
      </c>
      <c r="F11961" t="str">
        <f>"AICE ENG LANG AS"</f>
        <v>AICE ENG LANG AS</v>
      </c>
      <c r="G11961" t="str">
        <f>"17-1731"</f>
        <v>17-1731</v>
      </c>
      <c r="H11961" t="str">
        <f>"B"</f>
        <v>B</v>
      </c>
    </row>
    <row r="11962" spans="1:8" x14ac:dyDescent="0.2">
      <c r="A11962" t="str">
        <f t="shared" ref="A11962:A11969" si="4326">"0614132167"</f>
        <v>0614132167</v>
      </c>
      <c r="B11962" t="str">
        <f t="shared" ref="B11962:B11969" si="4327">"DANNA"</f>
        <v>DANNA</v>
      </c>
      <c r="C11962" t="str">
        <f t="shared" ref="C11962:C11978" si="4328">"MUNGUIA"</f>
        <v>MUNGUIA</v>
      </c>
      <c r="D11962">
        <f>10</f>
        <v>10</v>
      </c>
      <c r="E11962" t="str">
        <f>"04 - S1 - A - 101 - Leslie J Barton"</f>
        <v>04 - S1 - A - 101 - Leslie J Barton</v>
      </c>
      <c r="F11962" t="str">
        <f>"TEAM SPORTS 1"</f>
        <v>TEAM SPORTS 1</v>
      </c>
      <c r="G11962" t="str">
        <f>"04-254"</f>
        <v>04-254</v>
      </c>
      <c r="H11962" t="str">
        <f>"A"</f>
        <v>A</v>
      </c>
    </row>
    <row r="11963" spans="1:8" x14ac:dyDescent="0.2">
      <c r="A11963" t="str">
        <f t="shared" si="4326"/>
        <v>0614132167</v>
      </c>
      <c r="B11963" t="str">
        <f t="shared" si="4327"/>
        <v>DANNA</v>
      </c>
      <c r="C11963" t="str">
        <f t="shared" si="4328"/>
        <v>MUNGUIA</v>
      </c>
      <c r="D11963">
        <f>10</f>
        <v>10</v>
      </c>
      <c r="E11963" t="str">
        <f>"06 - B - 116 - Jordana K Hass"</f>
        <v>06 - B - 116 - Jordana K Hass</v>
      </c>
      <c r="F11963" t="str">
        <f>"NC STUDY HALL 1"</f>
        <v>NC STUDY HALL 1</v>
      </c>
      <c r="G11963" t="str">
        <f>"08-807"</f>
        <v>08-807</v>
      </c>
      <c r="H11963" t="str">
        <f>"B"</f>
        <v>B</v>
      </c>
    </row>
    <row r="11964" spans="1:8" x14ac:dyDescent="0.2">
      <c r="A11964" t="str">
        <f t="shared" si="4326"/>
        <v>0614132167</v>
      </c>
      <c r="B11964" t="str">
        <f t="shared" si="4327"/>
        <v>DANNA</v>
      </c>
      <c r="C11964" t="str">
        <f t="shared" si="4328"/>
        <v>MUNGUIA</v>
      </c>
      <c r="D11964">
        <f>10</f>
        <v>10</v>
      </c>
      <c r="E11964" t="str">
        <f>"03 - A - 101 - Rosa Elaine  Collado-Duff"</f>
        <v>03 - A - 101 - Rosa Elaine  Collado-Duff</v>
      </c>
      <c r="F11964" t="str">
        <f>"SPANISH 3 HON"</f>
        <v>SPANISH 3 HON</v>
      </c>
      <c r="G11964" t="str">
        <f>"09-913"</f>
        <v>09-913</v>
      </c>
      <c r="H11964" t="str">
        <f>"A"</f>
        <v>A</v>
      </c>
    </row>
    <row r="11965" spans="1:8" x14ac:dyDescent="0.2">
      <c r="A11965" t="str">
        <f t="shared" si="4326"/>
        <v>0614132167</v>
      </c>
      <c r="B11965" t="str">
        <f t="shared" si="4327"/>
        <v>DANNA</v>
      </c>
      <c r="C11965" t="str">
        <f t="shared" si="4328"/>
        <v>MUNGUIA</v>
      </c>
      <c r="D11965">
        <f>10</f>
        <v>10</v>
      </c>
      <c r="E11965" t="str">
        <f>"02 - A - 102 - Taraneh C Abreu"</f>
        <v>02 - A - 102 - Taraneh C Abreu</v>
      </c>
      <c r="F11965" t="str">
        <f>"INTENS READ 2"</f>
        <v>INTENS READ 2</v>
      </c>
      <c r="G11965" t="str">
        <f>"17-1713"</f>
        <v>17-1713</v>
      </c>
      <c r="H11965" t="str">
        <f>"A"</f>
        <v>A</v>
      </c>
    </row>
    <row r="11966" spans="1:8" x14ac:dyDescent="0.2">
      <c r="A11966" t="str">
        <f t="shared" si="4326"/>
        <v>0614132167</v>
      </c>
      <c r="B11966" t="str">
        <f t="shared" si="4327"/>
        <v>DANNA</v>
      </c>
      <c r="C11966" t="str">
        <f t="shared" si="4328"/>
        <v>MUNGUIA</v>
      </c>
      <c r="D11966">
        <f>10</f>
        <v>10</v>
      </c>
      <c r="E11966" t="str">
        <f>"07 - B - 102 - Nikiel  Nesbeth"</f>
        <v>07 - B - 102 - Nikiel  Nesbeth</v>
      </c>
      <c r="F11966" t="str">
        <f>"PRE-AICE ENG LIT IG"</f>
        <v>PRE-AICE ENG LIT IG</v>
      </c>
      <c r="G11966" t="str">
        <f>"17-1705"</f>
        <v>17-1705</v>
      </c>
      <c r="H11966" t="str">
        <f>"B"</f>
        <v>B</v>
      </c>
    </row>
    <row r="11967" spans="1:8" x14ac:dyDescent="0.2">
      <c r="A11967" t="str">
        <f t="shared" si="4326"/>
        <v>0614132167</v>
      </c>
      <c r="B11967" t="str">
        <f t="shared" si="4327"/>
        <v>DANNA</v>
      </c>
      <c r="C11967" t="str">
        <f t="shared" si="4328"/>
        <v>MUNGUIA</v>
      </c>
      <c r="D11967">
        <f>10</f>
        <v>10</v>
      </c>
      <c r="E11967" t="str">
        <f>"05 - B - 106 - Fernando  Vega-Cid"</f>
        <v>05 - B - 106 - Fernando  Vega-Cid</v>
      </c>
      <c r="F11967" t="str">
        <f>"GEOMETRY"</f>
        <v>GEOMETRY</v>
      </c>
      <c r="G11967" t="str">
        <f>"21-2163"</f>
        <v>21-2163</v>
      </c>
      <c r="H11967" t="str">
        <f>"B"</f>
        <v>B</v>
      </c>
    </row>
    <row r="11968" spans="1:8" x14ac:dyDescent="0.2">
      <c r="A11968" t="str">
        <f t="shared" si="4326"/>
        <v>0614132167</v>
      </c>
      <c r="B11968" t="str">
        <f t="shared" si="4327"/>
        <v>DANNA</v>
      </c>
      <c r="C11968" t="str">
        <f t="shared" si="4328"/>
        <v>MUNGUIA</v>
      </c>
      <c r="D11968">
        <f>10</f>
        <v>10</v>
      </c>
      <c r="E11968" t="str">
        <f>"01 - S1 - A - 101 - Leslie J Barton"</f>
        <v>01 - S1 - A - 101 - Leslie J Barton</v>
      </c>
      <c r="F11968" t="str">
        <f>"FIRST AID SAFETY"</f>
        <v>FIRST AID SAFETY</v>
      </c>
      <c r="G11968" t="str">
        <f>"05-521"</f>
        <v>05-521</v>
      </c>
      <c r="H11968" t="str">
        <f>"A"</f>
        <v>A</v>
      </c>
    </row>
    <row r="11969" spans="1:8" x14ac:dyDescent="0.2">
      <c r="A11969" t="str">
        <f t="shared" si="4326"/>
        <v>0614132167</v>
      </c>
      <c r="B11969" t="str">
        <f t="shared" si="4327"/>
        <v>DANNA</v>
      </c>
      <c r="C11969" t="str">
        <f t="shared" si="4328"/>
        <v>MUNGUIA</v>
      </c>
      <c r="D11969">
        <f>10</f>
        <v>10</v>
      </c>
      <c r="E11969" t="str">
        <f>"08 - B - 102 - Josiah I Lacy"</f>
        <v>08 - B - 102 - Josiah I Lacy</v>
      </c>
      <c r="F11969" t="str">
        <f>"ANAT PHYSIO HON"</f>
        <v>ANAT PHYSIO HON</v>
      </c>
      <c r="G11969" t="str">
        <f>"08-801"</f>
        <v>08-801</v>
      </c>
      <c r="H11969" t="str">
        <f>"B"</f>
        <v>B</v>
      </c>
    </row>
    <row r="11970" spans="1:8" x14ac:dyDescent="0.2">
      <c r="A11970" t="str">
        <f t="shared" ref="A11970:A11978" si="4329">"0620037848"</f>
        <v>0620037848</v>
      </c>
      <c r="B11970" t="str">
        <f t="shared" ref="B11970:B11978" si="4330">"VALENTINA"</f>
        <v>VALENTINA</v>
      </c>
      <c r="C11970" t="str">
        <f t="shared" si="4328"/>
        <v>MUNGUIA</v>
      </c>
      <c r="D11970" t="str">
        <f t="shared" ref="D11970:D11978" si="4331">"09"</f>
        <v>09</v>
      </c>
      <c r="E11970" t="str">
        <f>"04 - A - 103 - Lenecy  Nodarse"</f>
        <v>04 - A - 103 - Lenecy  Nodarse</v>
      </c>
      <c r="F11970" t="str">
        <f>"WORLD HISTORY"</f>
        <v>WORLD HISTORY</v>
      </c>
      <c r="G11970" t="str">
        <f>"17-1741"</f>
        <v>17-1741</v>
      </c>
      <c r="H11970" t="str">
        <f>"A"</f>
        <v>A</v>
      </c>
    </row>
    <row r="11971" spans="1:8" x14ac:dyDescent="0.2">
      <c r="A11971" t="str">
        <f t="shared" si="4329"/>
        <v>0620037848</v>
      </c>
      <c r="B11971" t="str">
        <f t="shared" si="4330"/>
        <v>VALENTINA</v>
      </c>
      <c r="C11971" t="str">
        <f t="shared" si="4328"/>
        <v>MUNGUIA</v>
      </c>
      <c r="D11971" t="str">
        <f t="shared" si="4331"/>
        <v>09</v>
      </c>
      <c r="E11971" t="str">
        <f>"06 - B - 105 - Dayna M Foster"</f>
        <v>06 - B - 105 - Dayna M Foster</v>
      </c>
      <c r="F11971" t="str">
        <f>"ALGEBRA 1"</f>
        <v>ALGEBRA 1</v>
      </c>
      <c r="G11971" t="str">
        <f>"21-2109"</f>
        <v>21-2109</v>
      </c>
      <c r="H11971" t="str">
        <f>"B"</f>
        <v>B</v>
      </c>
    </row>
    <row r="11972" spans="1:8" x14ac:dyDescent="0.2">
      <c r="A11972" t="str">
        <f t="shared" si="4329"/>
        <v>0620037848</v>
      </c>
      <c r="B11972" t="str">
        <f t="shared" si="4330"/>
        <v>VALENTINA</v>
      </c>
      <c r="C11972" t="str">
        <f t="shared" si="4328"/>
        <v>MUNGUIA</v>
      </c>
      <c r="D11972" t="str">
        <f t="shared" si="4331"/>
        <v>09</v>
      </c>
      <c r="E11972" t="str">
        <f>"03 - A - 101 - Dayna M Foster"</f>
        <v>03 - A - 101 - Dayna M Foster</v>
      </c>
      <c r="F11972" t="str">
        <f>"FDN SKLS MATH 9-12"</f>
        <v>FDN SKLS MATH 9-12</v>
      </c>
      <c r="G11972" t="str">
        <f>"21-2109"</f>
        <v>21-2109</v>
      </c>
      <c r="H11972" t="str">
        <f>"A"</f>
        <v>A</v>
      </c>
    </row>
    <row r="11973" spans="1:8" x14ac:dyDescent="0.2">
      <c r="A11973" t="str">
        <f t="shared" si="4329"/>
        <v>0620037848</v>
      </c>
      <c r="B11973" t="str">
        <f t="shared" si="4330"/>
        <v>VALENTINA</v>
      </c>
      <c r="C11973" t="str">
        <f t="shared" si="4328"/>
        <v>MUNGUIA</v>
      </c>
      <c r="D11973" t="str">
        <f t="shared" si="4331"/>
        <v>09</v>
      </c>
      <c r="E11973" t="str">
        <f>"02 - A - 101 - Milca  Exantus"</f>
        <v>02 - A - 101 - Milca  Exantus</v>
      </c>
      <c r="F11973" t="str">
        <f>"NC STUDY HALL 1"</f>
        <v>NC STUDY HALL 1</v>
      </c>
      <c r="G11973" t="str">
        <f>"21-2145"</f>
        <v>21-2145</v>
      </c>
      <c r="H11973" t="str">
        <f>"A"</f>
        <v>A</v>
      </c>
    </row>
    <row r="11974" spans="1:8" x14ac:dyDescent="0.2">
      <c r="A11974" t="str">
        <f t="shared" si="4329"/>
        <v>0620037848</v>
      </c>
      <c r="B11974" t="str">
        <f t="shared" si="4330"/>
        <v>VALENTINA</v>
      </c>
      <c r="C11974" t="str">
        <f t="shared" si="4328"/>
        <v>MUNGUIA</v>
      </c>
      <c r="D11974" t="str">
        <f t="shared" si="4331"/>
        <v>09</v>
      </c>
      <c r="E11974" t="str">
        <f>"02 - A - 102 - Eric  Lopapa"</f>
        <v>02 - A - 102 - Eric  Lopapa</v>
      </c>
      <c r="F11974" t="str">
        <f>"LANG THERAPY"</f>
        <v>LANG THERAPY</v>
      </c>
      <c r="G11974" t="str">
        <f>"21-2110"</f>
        <v>21-2110</v>
      </c>
      <c r="H11974" t="str">
        <f>"A"</f>
        <v>A</v>
      </c>
    </row>
    <row r="11975" spans="1:8" x14ac:dyDescent="0.2">
      <c r="A11975" t="str">
        <f t="shared" si="4329"/>
        <v>0620037848</v>
      </c>
      <c r="B11975" t="str">
        <f t="shared" si="4330"/>
        <v>VALENTINA</v>
      </c>
      <c r="C11975" t="str">
        <f t="shared" si="4328"/>
        <v>MUNGUIA</v>
      </c>
      <c r="D11975" t="str">
        <f t="shared" si="4331"/>
        <v>09</v>
      </c>
      <c r="E11975" t="str">
        <f>"07 - B - 107 - Adam Marcus  Drucker"</f>
        <v>07 - B - 107 - Adam Marcus  Drucker</v>
      </c>
      <c r="F11975" t="str">
        <f>"HOPE-PE V"</f>
        <v>HOPE-PE V</v>
      </c>
      <c r="G11975" t="str">
        <f>"04-254"</f>
        <v>04-254</v>
      </c>
      <c r="H11975" t="str">
        <f>"B"</f>
        <v>B</v>
      </c>
    </row>
    <row r="11976" spans="1:8" x14ac:dyDescent="0.2">
      <c r="A11976" t="str">
        <f t="shared" si="4329"/>
        <v>0620037848</v>
      </c>
      <c r="B11976" t="str">
        <f t="shared" si="4330"/>
        <v>VALENTINA</v>
      </c>
      <c r="C11976" t="str">
        <f t="shared" si="4328"/>
        <v>MUNGUIA</v>
      </c>
      <c r="D11976" t="str">
        <f t="shared" si="4331"/>
        <v>09</v>
      </c>
      <c r="E11976" t="str">
        <f>"05 - B - 202 - Amy Beth  Broyles"</f>
        <v>05 - B - 202 - Amy Beth  Broyles</v>
      </c>
      <c r="F11976" t="str">
        <f>"ENV SCI"</f>
        <v>ENV SCI</v>
      </c>
      <c r="G11976" t="str">
        <f>"08-802"</f>
        <v>08-802</v>
      </c>
      <c r="H11976" t="str">
        <f>"B"</f>
        <v>B</v>
      </c>
    </row>
    <row r="11977" spans="1:8" x14ac:dyDescent="0.2">
      <c r="A11977" t="str">
        <f t="shared" si="4329"/>
        <v>0620037848</v>
      </c>
      <c r="B11977" t="str">
        <f t="shared" si="4330"/>
        <v>VALENTINA</v>
      </c>
      <c r="C11977" t="str">
        <f t="shared" si="4328"/>
        <v>MUNGUIA</v>
      </c>
      <c r="D11977" t="str">
        <f t="shared" si="4331"/>
        <v>09</v>
      </c>
      <c r="E11977" t="str">
        <f>"01 - A - 101 - Cerine S Stewart"</f>
        <v>01 - A - 101 - Cerine S Stewart</v>
      </c>
      <c r="F11977" t="str">
        <f>"ENG 1"</f>
        <v>ENG 1</v>
      </c>
      <c r="G11977" t="str">
        <f>"17-1720"</f>
        <v>17-1720</v>
      </c>
      <c r="H11977" t="str">
        <f>"A"</f>
        <v>A</v>
      </c>
    </row>
    <row r="11978" spans="1:8" x14ac:dyDescent="0.2">
      <c r="A11978" t="str">
        <f t="shared" si="4329"/>
        <v>0620037848</v>
      </c>
      <c r="B11978" t="str">
        <f t="shared" si="4330"/>
        <v>VALENTINA</v>
      </c>
      <c r="C11978" t="str">
        <f t="shared" si="4328"/>
        <v>MUNGUIA</v>
      </c>
      <c r="D11978" t="str">
        <f t="shared" si="4331"/>
        <v>09</v>
      </c>
      <c r="E11978" t="str">
        <f>"08 - B - 106 - Laselleda D Shaw"</f>
        <v>08 - B - 106 - Laselleda D Shaw</v>
      </c>
      <c r="F11978" t="str">
        <f>"INTENS READ 1"</f>
        <v>INTENS READ 1</v>
      </c>
      <c r="G11978" t="str">
        <f>"17-1723"</f>
        <v>17-1723</v>
      </c>
      <c r="H11978" t="str">
        <f>"B"</f>
        <v>B</v>
      </c>
    </row>
    <row r="11979" spans="1:8" x14ac:dyDescent="0.2">
      <c r="A11979" t="str">
        <f t="shared" ref="A11979:A11986" si="4332">"0615085839"</f>
        <v>0615085839</v>
      </c>
      <c r="B11979" t="str">
        <f t="shared" ref="B11979:B11986" si="4333">"JOAO"</f>
        <v>JOAO</v>
      </c>
      <c r="C11979" t="str">
        <f t="shared" ref="C11979:C11986" si="4334">"MUNOZ-DIEZ"</f>
        <v>MUNOZ-DIEZ</v>
      </c>
      <c r="D11979">
        <f>10</f>
        <v>10</v>
      </c>
      <c r="E11979" t="str">
        <f>"04 - A - 102 - Eva T Rimmer"</f>
        <v>04 - A - 102 - Eva T Rimmer</v>
      </c>
      <c r="F11979" t="str">
        <f>"CRIMINAL JUST OPS 1"</f>
        <v>CRIMINAL JUST OPS 1</v>
      </c>
      <c r="G11979" t="str">
        <f>"05-523"</f>
        <v>05-523</v>
      </c>
      <c r="H11979" t="str">
        <f>"A"</f>
        <v>A</v>
      </c>
    </row>
    <row r="11980" spans="1:8" x14ac:dyDescent="0.2">
      <c r="A11980" t="str">
        <f t="shared" si="4332"/>
        <v>0615085839</v>
      </c>
      <c r="B11980" t="str">
        <f t="shared" si="4333"/>
        <v>JOAO</v>
      </c>
      <c r="C11980" t="str">
        <f t="shared" si="4334"/>
        <v>MUNOZ-DIEZ</v>
      </c>
      <c r="D11980">
        <f>10</f>
        <v>10</v>
      </c>
      <c r="E11980" t="str">
        <f>"06 - B - 116 - Jordana K Hass"</f>
        <v>06 - B - 116 - Jordana K Hass</v>
      </c>
      <c r="F11980" t="str">
        <f>"NC STUDY HALL 1"</f>
        <v>NC STUDY HALL 1</v>
      </c>
      <c r="G11980" t="str">
        <f>"08-807"</f>
        <v>08-807</v>
      </c>
      <c r="H11980" t="str">
        <f>"B"</f>
        <v>B</v>
      </c>
    </row>
    <row r="11981" spans="1:8" x14ac:dyDescent="0.2">
      <c r="A11981" t="str">
        <f t="shared" si="4332"/>
        <v>0615085839</v>
      </c>
      <c r="B11981" t="str">
        <f t="shared" si="4333"/>
        <v>JOAO</v>
      </c>
      <c r="C11981" t="str">
        <f t="shared" si="4334"/>
        <v>MUNOZ-DIEZ</v>
      </c>
      <c r="D11981">
        <f>10</f>
        <v>10</v>
      </c>
      <c r="E11981" t="str">
        <f>"03 - A - 102 - Semra  Bahadir"</f>
        <v>03 - A - 102 - Semra  Bahadir</v>
      </c>
      <c r="F11981" t="str">
        <f>"ALGEBRA 2"</f>
        <v>ALGEBRA 2</v>
      </c>
      <c r="G11981" t="str">
        <f>"21-2107"</f>
        <v>21-2107</v>
      </c>
      <c r="H11981" t="str">
        <f>"A"</f>
        <v>A</v>
      </c>
    </row>
    <row r="11982" spans="1:8" x14ac:dyDescent="0.2">
      <c r="A11982" t="str">
        <f t="shared" si="4332"/>
        <v>0615085839</v>
      </c>
      <c r="B11982" t="str">
        <f t="shared" si="4333"/>
        <v>JOAO</v>
      </c>
      <c r="C11982" t="str">
        <f t="shared" si="4334"/>
        <v>MUNOZ-DIEZ</v>
      </c>
      <c r="D11982">
        <f>10</f>
        <v>10</v>
      </c>
      <c r="E11982" t="str">
        <f>"02 - A - 103 - Dorothy D Moore"</f>
        <v>02 - A - 103 - Dorothy D Moore</v>
      </c>
      <c r="F11982" t="str">
        <f>"ANAT PHYSIO HON"</f>
        <v>ANAT PHYSIO HON</v>
      </c>
      <c r="G11982" t="str">
        <f>"08-803"</f>
        <v>08-803</v>
      </c>
      <c r="H11982" t="str">
        <f>"A"</f>
        <v>A</v>
      </c>
    </row>
    <row r="11983" spans="1:8" x14ac:dyDescent="0.2">
      <c r="A11983" t="str">
        <f t="shared" si="4332"/>
        <v>0615085839</v>
      </c>
      <c r="B11983" t="str">
        <f t="shared" si="4333"/>
        <v>JOAO</v>
      </c>
      <c r="C11983" t="str">
        <f t="shared" si="4334"/>
        <v>MUNOZ-DIEZ</v>
      </c>
      <c r="D11983">
        <f>10</f>
        <v>10</v>
      </c>
      <c r="E11983" t="str">
        <f>"07 - B - 102 - Nikiel  Nesbeth"</f>
        <v>07 - B - 102 - Nikiel  Nesbeth</v>
      </c>
      <c r="F11983" t="str">
        <f>"PRE-AICE ENG LIT IG"</f>
        <v>PRE-AICE ENG LIT IG</v>
      </c>
      <c r="G11983" t="str">
        <f>"17-1705"</f>
        <v>17-1705</v>
      </c>
      <c r="H11983" t="str">
        <f>"B"</f>
        <v>B</v>
      </c>
    </row>
    <row r="11984" spans="1:8" x14ac:dyDescent="0.2">
      <c r="A11984" t="str">
        <f t="shared" si="4332"/>
        <v>0615085839</v>
      </c>
      <c r="B11984" t="str">
        <f t="shared" si="4333"/>
        <v>JOAO</v>
      </c>
      <c r="C11984" t="str">
        <f t="shared" si="4334"/>
        <v>MUNOZ-DIEZ</v>
      </c>
      <c r="D11984">
        <f>10</f>
        <v>10</v>
      </c>
      <c r="E11984" t="str">
        <f>"05 - B - 103 - Rory T Sponsler"</f>
        <v>05 - B - 103 - Rory T Sponsler</v>
      </c>
      <c r="F11984" t="str">
        <f>"PRE-AICE WRLD HST IG"</f>
        <v>PRE-AICE WRLD HST IG</v>
      </c>
      <c r="G11984" t="str">
        <f>"17-1740"</f>
        <v>17-1740</v>
      </c>
      <c r="H11984" t="str">
        <f>"B"</f>
        <v>B</v>
      </c>
    </row>
    <row r="11985" spans="1:8" x14ac:dyDescent="0.2">
      <c r="A11985" t="str">
        <f t="shared" si="4332"/>
        <v>0615085839</v>
      </c>
      <c r="B11985" t="str">
        <f t="shared" si="4333"/>
        <v>JOAO</v>
      </c>
      <c r="C11985" t="str">
        <f t="shared" si="4334"/>
        <v>MUNOZ-DIEZ</v>
      </c>
      <c r="D11985">
        <f>10</f>
        <v>10</v>
      </c>
      <c r="E11985" t="str">
        <f>"01 - A - 101 - Angela S Adeshina-Morrison"</f>
        <v>01 - A - 101 - Angela S Adeshina-Morrison</v>
      </c>
      <c r="F11985" t="str">
        <f>"MARKETING ESSENTIALS"</f>
        <v>MARKETING ESSENTIALS</v>
      </c>
      <c r="G11985" t="str">
        <f>"05-518"</f>
        <v>05-518</v>
      </c>
      <c r="H11985" t="str">
        <f>"A"</f>
        <v>A</v>
      </c>
    </row>
    <row r="11986" spans="1:8" x14ac:dyDescent="0.2">
      <c r="A11986" t="str">
        <f t="shared" si="4332"/>
        <v>0615085839</v>
      </c>
      <c r="B11986" t="str">
        <f t="shared" si="4333"/>
        <v>JOAO</v>
      </c>
      <c r="C11986" t="str">
        <f t="shared" si="4334"/>
        <v>MUNOZ-DIEZ</v>
      </c>
      <c r="D11986">
        <f>10</f>
        <v>10</v>
      </c>
      <c r="E11986" t="str">
        <f>"08 - S1 - B - 105 - James H Mccann"</f>
        <v>08 - S1 - B - 105 - James H Mccann</v>
      </c>
      <c r="F11986" t="str">
        <f>"PERS FIN &amp; MON MGT H"</f>
        <v>PERS FIN &amp; MON MGT H</v>
      </c>
      <c r="G11986" t="str">
        <f>"17-1716"</f>
        <v>17-1716</v>
      </c>
      <c r="H11986" t="str">
        <f>"B"</f>
        <v>B</v>
      </c>
    </row>
    <row r="11987" spans="1:8" x14ac:dyDescent="0.2">
      <c r="A11987" t="str">
        <f t="shared" ref="A11987:A11994" si="4335">"0619047221"</f>
        <v>0619047221</v>
      </c>
      <c r="B11987" t="str">
        <f t="shared" ref="B11987:B11994" si="4336">"MELANY"</f>
        <v>MELANY</v>
      </c>
      <c r="C11987" t="str">
        <f t="shared" ref="C11987:C11994" si="4337">"MUNOZ-OSPINA"</f>
        <v>MUNOZ-OSPINA</v>
      </c>
      <c r="D11987">
        <f>10</f>
        <v>10</v>
      </c>
      <c r="E11987" t="str">
        <f>"04 - A - 103 - Joe  Kilpatrick Jr"</f>
        <v>04 - A - 103 - Joe  Kilpatrick Jr</v>
      </c>
      <c r="F11987" t="str">
        <f>"PRE-AICE SPAN 1 IG"</f>
        <v>PRE-AICE SPAN 1 IG</v>
      </c>
      <c r="G11987" t="str">
        <f>"09-912"</f>
        <v>09-912</v>
      </c>
      <c r="H11987" t="str">
        <f>"A"</f>
        <v>A</v>
      </c>
    </row>
    <row r="11988" spans="1:8" x14ac:dyDescent="0.2">
      <c r="A11988" t="str">
        <f t="shared" si="4335"/>
        <v>0619047221</v>
      </c>
      <c r="B11988" t="str">
        <f t="shared" si="4336"/>
        <v>MELANY</v>
      </c>
      <c r="C11988" t="str">
        <f t="shared" si="4337"/>
        <v>MUNOZ-OSPINA</v>
      </c>
      <c r="D11988">
        <f>10</f>
        <v>10</v>
      </c>
      <c r="E11988" t="str">
        <f>"06 - B - 119 - Nikiel  Nesbeth"</f>
        <v>06 - B - 119 - Nikiel  Nesbeth</v>
      </c>
      <c r="F11988" t="str">
        <f>"NC STUDY HALL 1"</f>
        <v>NC STUDY HALL 1</v>
      </c>
      <c r="G11988" t="str">
        <f>"17-1705"</f>
        <v>17-1705</v>
      </c>
      <c r="H11988" t="str">
        <f>"B"</f>
        <v>B</v>
      </c>
    </row>
    <row r="11989" spans="1:8" x14ac:dyDescent="0.2">
      <c r="A11989" t="str">
        <f t="shared" si="4335"/>
        <v>0619047221</v>
      </c>
      <c r="B11989" t="str">
        <f t="shared" si="4336"/>
        <v>MELANY</v>
      </c>
      <c r="C11989" t="str">
        <f t="shared" si="4337"/>
        <v>MUNOZ-OSPINA</v>
      </c>
      <c r="D11989">
        <f>10</f>
        <v>10</v>
      </c>
      <c r="E11989" t="str">
        <f>"03 - A - 002 - Ferrie J Arostique"</f>
        <v>03 - A - 002 - Ferrie J Arostique</v>
      </c>
      <c r="F11989" t="str">
        <f>"GEOMETRY"</f>
        <v>GEOMETRY</v>
      </c>
      <c r="G11989" t="str">
        <f>"21-2139"</f>
        <v>21-2139</v>
      </c>
      <c r="H11989" t="str">
        <f>"A"</f>
        <v>A</v>
      </c>
    </row>
    <row r="11990" spans="1:8" x14ac:dyDescent="0.2">
      <c r="A11990" t="str">
        <f t="shared" si="4335"/>
        <v>0619047221</v>
      </c>
      <c r="B11990" t="str">
        <f t="shared" si="4336"/>
        <v>MELANY</v>
      </c>
      <c r="C11990" t="str">
        <f t="shared" si="4337"/>
        <v>MUNOZ-OSPINA</v>
      </c>
      <c r="D11990">
        <f>10</f>
        <v>10</v>
      </c>
      <c r="E11990" t="str">
        <f>"02 - S1 - A - 101 - James H Mccann"</f>
        <v>02 - S1 - A - 101 - James H Mccann</v>
      </c>
      <c r="F11990" t="str">
        <f>"PERS FIN &amp; MON MGT H"</f>
        <v>PERS FIN &amp; MON MGT H</v>
      </c>
      <c r="G11990" t="str">
        <f>"17-1716"</f>
        <v>17-1716</v>
      </c>
      <c r="H11990" t="str">
        <f>"A"</f>
        <v>A</v>
      </c>
    </row>
    <row r="11991" spans="1:8" x14ac:dyDescent="0.2">
      <c r="A11991" t="str">
        <f t="shared" si="4335"/>
        <v>0619047221</v>
      </c>
      <c r="B11991" t="str">
        <f t="shared" si="4336"/>
        <v>MELANY</v>
      </c>
      <c r="C11991" t="str">
        <f t="shared" si="4337"/>
        <v>MUNOZ-OSPINA</v>
      </c>
      <c r="D11991">
        <f>10</f>
        <v>10</v>
      </c>
      <c r="E11991" t="str">
        <f>"07 - B - 105 - Paige Lauren  Brochu"</f>
        <v>07 - B - 105 - Paige Lauren  Brochu</v>
      </c>
      <c r="F11991" t="str">
        <f>"PRE-AICE BIO IG"</f>
        <v>PRE-AICE BIO IG</v>
      </c>
      <c r="G11991" t="str">
        <f>"21-2134"</f>
        <v>21-2134</v>
      </c>
      <c r="H11991" t="str">
        <f>"B"</f>
        <v>B</v>
      </c>
    </row>
    <row r="11992" spans="1:8" x14ac:dyDescent="0.2">
      <c r="A11992" t="str">
        <f t="shared" si="4335"/>
        <v>0619047221</v>
      </c>
      <c r="B11992" t="str">
        <f t="shared" si="4336"/>
        <v>MELANY</v>
      </c>
      <c r="C11992" t="str">
        <f t="shared" si="4337"/>
        <v>MUNOZ-OSPINA</v>
      </c>
      <c r="D11992">
        <f>10</f>
        <v>10</v>
      </c>
      <c r="E11992" t="str">
        <f>"05 - B - 102 - Emmily A Sarmiento"</f>
        <v>05 - B - 102 - Emmily A Sarmiento</v>
      </c>
      <c r="F11992" t="str">
        <f>"LEAD SKLS DEV LH"</f>
        <v>LEAD SKLS DEV LH</v>
      </c>
      <c r="G11992" t="str">
        <f>"17-1743"</f>
        <v>17-1743</v>
      </c>
      <c r="H11992" t="str">
        <f>"B"</f>
        <v>B</v>
      </c>
    </row>
    <row r="11993" spans="1:8" x14ac:dyDescent="0.2">
      <c r="A11993" t="str">
        <f t="shared" si="4335"/>
        <v>0619047221</v>
      </c>
      <c r="B11993" t="str">
        <f t="shared" si="4336"/>
        <v>MELANY</v>
      </c>
      <c r="C11993" t="str">
        <f t="shared" si="4337"/>
        <v>MUNOZ-OSPINA</v>
      </c>
      <c r="D11993">
        <f>10</f>
        <v>10</v>
      </c>
      <c r="E11993" t="str">
        <f>"01 - A - 101 - Angela S Adeshina-Morrison"</f>
        <v>01 - A - 101 - Angela S Adeshina-Morrison</v>
      </c>
      <c r="F11993" t="str">
        <f>"MARKETING ESSENTIALS"</f>
        <v>MARKETING ESSENTIALS</v>
      </c>
      <c r="G11993" t="str">
        <f>"05-518"</f>
        <v>05-518</v>
      </c>
      <c r="H11993" t="str">
        <f>"A"</f>
        <v>A</v>
      </c>
    </row>
    <row r="11994" spans="1:8" x14ac:dyDescent="0.2">
      <c r="A11994" t="str">
        <f t="shared" si="4335"/>
        <v>0619047221</v>
      </c>
      <c r="B11994" t="str">
        <f t="shared" si="4336"/>
        <v>MELANY</v>
      </c>
      <c r="C11994" t="str">
        <f t="shared" si="4337"/>
        <v>MUNOZ-OSPINA</v>
      </c>
      <c r="D11994">
        <f>10</f>
        <v>10</v>
      </c>
      <c r="E11994" t="str">
        <f>"08 - B - 109 - Nikiel  Nesbeth"</f>
        <v>08 - B - 109 - Nikiel  Nesbeth</v>
      </c>
      <c r="F11994" t="str">
        <f>"ENG 2"</f>
        <v>ENG 2</v>
      </c>
      <c r="G11994" t="str">
        <f>"17-1705"</f>
        <v>17-1705</v>
      </c>
      <c r="H11994" t="str">
        <f>"B"</f>
        <v>B</v>
      </c>
    </row>
    <row r="11995" spans="1:8" x14ac:dyDescent="0.2">
      <c r="A11995" t="str">
        <f t="shared" ref="A11995:A12004" si="4338">"0615072767"</f>
        <v>0615072767</v>
      </c>
      <c r="B11995" t="str">
        <f t="shared" ref="B11995:B12004" si="4339">"ANGELINA"</f>
        <v>ANGELINA</v>
      </c>
      <c r="C11995" t="str">
        <f t="shared" ref="C11995:C12004" si="4340">"MURADI-JUAREZ"</f>
        <v>MURADI-JUAREZ</v>
      </c>
      <c r="D11995">
        <f>11</f>
        <v>11</v>
      </c>
      <c r="E11995" t="str">
        <f>"19 - S1 - MTWHF - BCC - Instructor BC"</f>
        <v>19 - S1 - MTWHF - BCC - Instructor BC</v>
      </c>
      <c r="F11995" t="str">
        <f>"COMPOSITION I"</f>
        <v>COMPOSITION I</v>
      </c>
      <c r="G11995" t="str">
        <f>"60-DE"</f>
        <v>60-DE</v>
      </c>
      <c r="H11995" t="str">
        <f>"-"</f>
        <v>-</v>
      </c>
    </row>
    <row r="11996" spans="1:8" x14ac:dyDescent="0.2">
      <c r="A11996" t="str">
        <f t="shared" si="4338"/>
        <v>0615072767</v>
      </c>
      <c r="B11996" t="str">
        <f t="shared" si="4339"/>
        <v>ANGELINA</v>
      </c>
      <c r="C11996" t="str">
        <f t="shared" si="4340"/>
        <v>MURADI-JUAREZ</v>
      </c>
      <c r="D11996">
        <f>11</f>
        <v>11</v>
      </c>
      <c r="E11996" t="str">
        <f>"19 - S1 - MTWHF - UF - Instructor UF"</f>
        <v>19 - S1 - MTWHF - UF - Instructor UF</v>
      </c>
      <c r="F11996" t="str">
        <f>"MANS FOOD"</f>
        <v>MANS FOOD</v>
      </c>
      <c r="G11996" t="str">
        <f>"60-DE"</f>
        <v>60-DE</v>
      </c>
      <c r="H11996" t="str">
        <f>"-"</f>
        <v>-</v>
      </c>
    </row>
    <row r="11997" spans="1:8" x14ac:dyDescent="0.2">
      <c r="A11997" t="str">
        <f t="shared" si="4338"/>
        <v>0615072767</v>
      </c>
      <c r="B11997" t="str">
        <f t="shared" si="4339"/>
        <v>ANGELINA</v>
      </c>
      <c r="C11997" t="str">
        <f t="shared" si="4340"/>
        <v>MURADI-JUAREZ</v>
      </c>
      <c r="D11997">
        <f>11</f>
        <v>11</v>
      </c>
      <c r="E11997" t="str">
        <f>"04 - A - 101 - Rosa Elaine  Collado-Duff"</f>
        <v>04 - A - 101 - Rosa Elaine  Collado-Duff</v>
      </c>
      <c r="F11997" t="str">
        <f>"AICE SPAN LANG AS"</f>
        <v>AICE SPAN LANG AS</v>
      </c>
      <c r="G11997" t="str">
        <f>"09-913"</f>
        <v>09-913</v>
      </c>
      <c r="H11997" t="str">
        <f>"A"</f>
        <v>A</v>
      </c>
    </row>
    <row r="11998" spans="1:8" x14ac:dyDescent="0.2">
      <c r="A11998" t="str">
        <f t="shared" si="4338"/>
        <v>0615072767</v>
      </c>
      <c r="B11998" t="str">
        <f t="shared" si="4339"/>
        <v>ANGELINA</v>
      </c>
      <c r="C11998" t="str">
        <f t="shared" si="4340"/>
        <v>MURADI-JUAREZ</v>
      </c>
      <c r="D11998">
        <f>11</f>
        <v>11</v>
      </c>
      <c r="E11998" t="str">
        <f>"06 - B - 102 - Stephen T Ripp"</f>
        <v>06 - B - 102 - Stephen T Ripp</v>
      </c>
      <c r="F11998" t="str">
        <f>"AP U.S. HIST"</f>
        <v>AP U.S. HIST</v>
      </c>
      <c r="G11998" t="str">
        <f>"17-1744"</f>
        <v>17-1744</v>
      </c>
      <c r="H11998" t="str">
        <f>"B"</f>
        <v>B</v>
      </c>
    </row>
    <row r="11999" spans="1:8" x14ac:dyDescent="0.2">
      <c r="A11999" t="str">
        <f t="shared" si="4338"/>
        <v>0615072767</v>
      </c>
      <c r="B11999" t="str">
        <f t="shared" si="4339"/>
        <v>ANGELINA</v>
      </c>
      <c r="C11999" t="str">
        <f t="shared" si="4340"/>
        <v>MURADI-JUAREZ</v>
      </c>
      <c r="D11999">
        <f>11</f>
        <v>11</v>
      </c>
      <c r="E11999" t="str">
        <f>"03 - A - 102 - Tina M Jaramillo"</f>
        <v>03 - A - 102 - Tina M Jaramillo</v>
      </c>
      <c r="F11999" t="str">
        <f>"AP ENG COMPO"</f>
        <v>AP ENG COMPO</v>
      </c>
      <c r="G11999" t="str">
        <f>"17-1706"</f>
        <v>17-1706</v>
      </c>
      <c r="H11999" t="str">
        <f>"A"</f>
        <v>A</v>
      </c>
    </row>
    <row r="12000" spans="1:8" x14ac:dyDescent="0.2">
      <c r="A12000" t="str">
        <f t="shared" si="4338"/>
        <v>0615072767</v>
      </c>
      <c r="B12000" t="str">
        <f t="shared" si="4339"/>
        <v>ANGELINA</v>
      </c>
      <c r="C12000" t="str">
        <f t="shared" si="4340"/>
        <v>MURADI-JUAREZ</v>
      </c>
      <c r="D12000">
        <f>11</f>
        <v>11</v>
      </c>
      <c r="E12000" t="str">
        <f>"02 - A - 102 - Fernando  Vega-Cid"</f>
        <v>02 - A - 102 - Fernando  Vega-Cid</v>
      </c>
      <c r="F12000" t="str">
        <f>"NC STUDY HALL 1"</f>
        <v>NC STUDY HALL 1</v>
      </c>
      <c r="G12000" t="str">
        <f>"21-2163"</f>
        <v>21-2163</v>
      </c>
      <c r="H12000" t="str">
        <f>"A"</f>
        <v>A</v>
      </c>
    </row>
    <row r="12001" spans="1:8" x14ac:dyDescent="0.2">
      <c r="A12001" t="str">
        <f t="shared" si="4338"/>
        <v>0615072767</v>
      </c>
      <c r="B12001" t="str">
        <f t="shared" si="4339"/>
        <v>ANGELINA</v>
      </c>
      <c r="C12001" t="str">
        <f t="shared" si="4340"/>
        <v>MURADI-JUAREZ</v>
      </c>
      <c r="D12001">
        <f>11</f>
        <v>11</v>
      </c>
      <c r="E12001" t="str">
        <f>"07 - B - 103 - Lisa J London"</f>
        <v>07 - B - 103 - Lisa J London</v>
      </c>
      <c r="F12001" t="str">
        <f>"AP CAPSTONE SEMINAR"</f>
        <v>AP CAPSTONE SEMINAR</v>
      </c>
      <c r="G12001" t="str">
        <f>"17-1714"</f>
        <v>17-1714</v>
      </c>
      <c r="H12001" t="str">
        <f>"B"</f>
        <v>B</v>
      </c>
    </row>
    <row r="12002" spans="1:8" x14ac:dyDescent="0.2">
      <c r="A12002" t="str">
        <f t="shared" si="4338"/>
        <v>0615072767</v>
      </c>
      <c r="B12002" t="str">
        <f t="shared" si="4339"/>
        <v>ANGELINA</v>
      </c>
      <c r="C12002" t="str">
        <f t="shared" si="4340"/>
        <v>MURADI-JUAREZ</v>
      </c>
      <c r="D12002">
        <f>11</f>
        <v>11</v>
      </c>
      <c r="E12002" t="str">
        <f>"05 - B - 101 - Jordana K Hass"</f>
        <v>05 - B - 101 - Jordana K Hass</v>
      </c>
      <c r="F12002" t="str">
        <f>"AP COMP SCI PRIN"</f>
        <v>AP COMP SCI PRIN</v>
      </c>
      <c r="G12002" t="str">
        <f>"08-807"</f>
        <v>08-807</v>
      </c>
      <c r="H12002" t="str">
        <f>"B"</f>
        <v>B</v>
      </c>
    </row>
    <row r="12003" spans="1:8" x14ac:dyDescent="0.2">
      <c r="A12003" t="str">
        <f t="shared" si="4338"/>
        <v>0615072767</v>
      </c>
      <c r="B12003" t="str">
        <f t="shared" si="4339"/>
        <v>ANGELINA</v>
      </c>
      <c r="C12003" t="str">
        <f t="shared" si="4340"/>
        <v>MURADI-JUAREZ</v>
      </c>
      <c r="D12003">
        <f>11</f>
        <v>11</v>
      </c>
      <c r="E12003" t="str">
        <f>"01 - A - 101 - Byron G Montenegro"</f>
        <v>01 - A - 101 - Byron G Montenegro</v>
      </c>
      <c r="F12003" t="str">
        <f>"AICE MARINE SCI 1 AS"</f>
        <v>AICE MARINE SCI 1 AS</v>
      </c>
      <c r="G12003" t="str">
        <f>"21-2144"</f>
        <v>21-2144</v>
      </c>
      <c r="H12003" t="str">
        <f>"A"</f>
        <v>A</v>
      </c>
    </row>
    <row r="12004" spans="1:8" x14ac:dyDescent="0.2">
      <c r="A12004" t="str">
        <f t="shared" si="4338"/>
        <v>0615072767</v>
      </c>
      <c r="B12004" t="str">
        <f t="shared" si="4339"/>
        <v>ANGELINA</v>
      </c>
      <c r="C12004" t="str">
        <f t="shared" si="4340"/>
        <v>MURADI-JUAREZ</v>
      </c>
      <c r="D12004">
        <f>11</f>
        <v>11</v>
      </c>
      <c r="E12004" t="str">
        <f>"08 - B - 102 - Jacqueline R Morphet"</f>
        <v>08 - B - 102 - Jacqueline R Morphet</v>
      </c>
      <c r="F12004" t="str">
        <f>"AP PHYSICS 1"</f>
        <v>AP PHYSICS 1</v>
      </c>
      <c r="G12004" t="str">
        <f>"21-2138"</f>
        <v>21-2138</v>
      </c>
      <c r="H12004" t="str">
        <f>"B"</f>
        <v>B</v>
      </c>
    </row>
    <row r="12005" spans="1:8" x14ac:dyDescent="0.2">
      <c r="A12005" t="str">
        <f t="shared" ref="A12005:A12012" si="4341">"0616115806"</f>
        <v>0616115806</v>
      </c>
      <c r="B12005" t="str">
        <f t="shared" ref="B12005:B12012" si="4342">"ALEXANDRA"</f>
        <v>ALEXANDRA</v>
      </c>
      <c r="C12005" t="str">
        <f t="shared" ref="C12005:C12012" si="4343">"MURILLO"</f>
        <v>MURILLO</v>
      </c>
      <c r="D12005" t="str">
        <f t="shared" ref="D12005:D12012" si="4344">"09"</f>
        <v>09</v>
      </c>
      <c r="E12005" t="str">
        <f>"04 - A - 102 - Elizabeth R Walker"</f>
        <v>04 - A - 102 - Elizabeth R Walker</v>
      </c>
      <c r="F12005" t="str">
        <f>"AICE ENG GEN PAPER 1"</f>
        <v>AICE ENG GEN PAPER 1</v>
      </c>
      <c r="G12005" t="str">
        <f>"17-1703"</f>
        <v>17-1703</v>
      </c>
      <c r="H12005" t="str">
        <f>"A"</f>
        <v>A</v>
      </c>
    </row>
    <row r="12006" spans="1:8" x14ac:dyDescent="0.2">
      <c r="A12006" t="str">
        <f t="shared" si="4341"/>
        <v>0616115806</v>
      </c>
      <c r="B12006" t="str">
        <f t="shared" si="4342"/>
        <v>ALEXANDRA</v>
      </c>
      <c r="C12006" t="str">
        <f t="shared" si="4343"/>
        <v>MURILLO</v>
      </c>
      <c r="D12006" t="str">
        <f t="shared" si="4344"/>
        <v>09</v>
      </c>
      <c r="E12006" t="str">
        <f>"06 - B - 001 - Samantha J Headley"</f>
        <v>06 - B - 001 - Samantha J Headley</v>
      </c>
      <c r="F12006" t="str">
        <f>"MARINE SCI 1 HON"</f>
        <v>MARINE SCI 1 HON</v>
      </c>
      <c r="G12006" t="str">
        <f>"21-2134"</f>
        <v>21-2134</v>
      </c>
      <c r="H12006" t="str">
        <f>"B"</f>
        <v>B</v>
      </c>
    </row>
    <row r="12007" spans="1:8" x14ac:dyDescent="0.2">
      <c r="A12007" t="str">
        <f t="shared" si="4341"/>
        <v>0616115806</v>
      </c>
      <c r="B12007" t="str">
        <f t="shared" si="4342"/>
        <v>ALEXANDRA</v>
      </c>
      <c r="C12007" t="str">
        <f t="shared" si="4343"/>
        <v>MURILLO</v>
      </c>
      <c r="D12007" t="str">
        <f t="shared" si="4344"/>
        <v>09</v>
      </c>
      <c r="E12007" t="str">
        <f>"03 - S1 - A - 102 - Leslie J Barton"</f>
        <v>03 - S1 - A - 102 - Leslie J Barton</v>
      </c>
      <c r="F12007" t="str">
        <f>"FIRST AID SAFETY"</f>
        <v>FIRST AID SAFETY</v>
      </c>
      <c r="G12007" t="str">
        <f>"05-521"</f>
        <v>05-521</v>
      </c>
      <c r="H12007" t="str">
        <f>"A"</f>
        <v>A</v>
      </c>
    </row>
    <row r="12008" spans="1:8" x14ac:dyDescent="0.2">
      <c r="A12008" t="str">
        <f t="shared" si="4341"/>
        <v>0616115806</v>
      </c>
      <c r="B12008" t="str">
        <f t="shared" si="4342"/>
        <v>ALEXANDRA</v>
      </c>
      <c r="C12008" t="str">
        <f t="shared" si="4343"/>
        <v>MURILLO</v>
      </c>
      <c r="D12008" t="str">
        <f t="shared" si="4344"/>
        <v>09</v>
      </c>
      <c r="E12008" t="str">
        <f>"02 - A - 115 - Lourivaldo  Da Silva"</f>
        <v>02 - A - 115 - Lourivaldo  Da Silva</v>
      </c>
      <c r="F12008" t="str">
        <f>"NC STUDY HALL 1"</f>
        <v>NC STUDY HALL 1</v>
      </c>
      <c r="G12008" t="str">
        <f>"20-2079"</f>
        <v>20-2079</v>
      </c>
      <c r="H12008" t="str">
        <f>"A"</f>
        <v>A</v>
      </c>
    </row>
    <row r="12009" spans="1:8" x14ac:dyDescent="0.2">
      <c r="A12009" t="str">
        <f t="shared" si="4341"/>
        <v>0616115806</v>
      </c>
      <c r="B12009" t="str">
        <f t="shared" si="4342"/>
        <v>ALEXANDRA</v>
      </c>
      <c r="C12009" t="str">
        <f t="shared" si="4343"/>
        <v>MURILLO</v>
      </c>
      <c r="D12009" t="str">
        <f t="shared" si="4344"/>
        <v>09</v>
      </c>
      <c r="E12009" t="str">
        <f>"07 - S1 - B - 102 - Arthur  Kulawik"</f>
        <v>07 - S1 - B - 102 - Arthur  Kulawik</v>
      </c>
      <c r="F12009" t="str">
        <f>"PERS FIN &amp; MON MGT H"</f>
        <v>PERS FIN &amp; MON MGT H</v>
      </c>
      <c r="G12009" t="str">
        <f>"05-506"</f>
        <v>05-506</v>
      </c>
      <c r="H12009" t="str">
        <f>"B"</f>
        <v>B</v>
      </c>
    </row>
    <row r="12010" spans="1:8" x14ac:dyDescent="0.2">
      <c r="A12010" t="str">
        <f t="shared" si="4341"/>
        <v>0616115806</v>
      </c>
      <c r="B12010" t="str">
        <f t="shared" si="4342"/>
        <v>ALEXANDRA</v>
      </c>
      <c r="C12010" t="str">
        <f t="shared" si="4343"/>
        <v>MURILLO</v>
      </c>
      <c r="D12010" t="str">
        <f t="shared" si="4344"/>
        <v>09</v>
      </c>
      <c r="E12010" t="str">
        <f>"05 - B - 103 - Rory T Sponsler"</f>
        <v>05 - B - 103 - Rory T Sponsler</v>
      </c>
      <c r="F12010" t="str">
        <f>"PRE-AICE WRLD HST IG"</f>
        <v>PRE-AICE WRLD HST IG</v>
      </c>
      <c r="G12010" t="str">
        <f>"17-1740"</f>
        <v>17-1740</v>
      </c>
      <c r="H12010" t="str">
        <f>"B"</f>
        <v>B</v>
      </c>
    </row>
    <row r="12011" spans="1:8" x14ac:dyDescent="0.2">
      <c r="A12011" t="str">
        <f t="shared" si="4341"/>
        <v>0616115806</v>
      </c>
      <c r="B12011" t="str">
        <f t="shared" si="4342"/>
        <v>ALEXANDRA</v>
      </c>
      <c r="C12011" t="str">
        <f t="shared" si="4343"/>
        <v>MURILLO</v>
      </c>
      <c r="D12011" t="str">
        <f t="shared" si="4344"/>
        <v>09</v>
      </c>
      <c r="E12011" t="str">
        <f>"01 - A - 101 - Joe  Kilpatrick Jr"</f>
        <v>01 - A - 101 - Joe  Kilpatrick Jr</v>
      </c>
      <c r="F12011" t="str">
        <f>"PRE-AICE SPAN 1 IG"</f>
        <v>PRE-AICE SPAN 1 IG</v>
      </c>
      <c r="G12011" t="str">
        <f>"09-912"</f>
        <v>09-912</v>
      </c>
      <c r="H12011" t="str">
        <f>"A"</f>
        <v>A</v>
      </c>
    </row>
    <row r="12012" spans="1:8" x14ac:dyDescent="0.2">
      <c r="A12012" t="str">
        <f t="shared" si="4341"/>
        <v>0616115806</v>
      </c>
      <c r="B12012" t="str">
        <f t="shared" si="4342"/>
        <v>ALEXANDRA</v>
      </c>
      <c r="C12012" t="str">
        <f t="shared" si="4343"/>
        <v>MURILLO</v>
      </c>
      <c r="D12012" t="str">
        <f t="shared" si="4344"/>
        <v>09</v>
      </c>
      <c r="E12012" t="str">
        <f>"08 - B - 105 - Ferrie J Arostique"</f>
        <v>08 - B - 105 - Ferrie J Arostique</v>
      </c>
      <c r="F12012" t="str">
        <f>"PRE-AICE MATH 2 IG"</f>
        <v>PRE-AICE MATH 2 IG</v>
      </c>
      <c r="G12012" t="str">
        <f>"21-2139"</f>
        <v>21-2139</v>
      </c>
      <c r="H12012" t="str">
        <f>"B"</f>
        <v>B</v>
      </c>
    </row>
    <row r="12013" spans="1:8" x14ac:dyDescent="0.2">
      <c r="A12013" t="str">
        <f>"0613115529"</f>
        <v>0613115529</v>
      </c>
      <c r="B12013" t="str">
        <f>"ADDISON"</f>
        <v>ADDISON</v>
      </c>
      <c r="C12013" t="str">
        <f>"MURPHY"</f>
        <v>MURPHY</v>
      </c>
      <c r="D12013">
        <f>12</f>
        <v>12</v>
      </c>
      <c r="E12013" t="str">
        <f>"19 - S1 - MTWHF - BCC - Instructor BC"</f>
        <v>19 - S1 - MTWHF - BCC - Instructor BC</v>
      </c>
      <c r="F12013" t="str">
        <f>"INTRO TO LITERATURE"</f>
        <v>INTRO TO LITERATURE</v>
      </c>
      <c r="G12013" t="str">
        <f>"60-DE"</f>
        <v>60-DE</v>
      </c>
      <c r="H12013" t="str">
        <f>"-"</f>
        <v>-</v>
      </c>
    </row>
    <row r="12014" spans="1:8" x14ac:dyDescent="0.2">
      <c r="A12014" t="str">
        <f>"0613115529"</f>
        <v>0613115529</v>
      </c>
      <c r="B12014" t="str">
        <f>"ADDISON"</f>
        <v>ADDISON</v>
      </c>
      <c r="C12014" t="str">
        <f>"MURPHY"</f>
        <v>MURPHY</v>
      </c>
      <c r="D12014">
        <f>12</f>
        <v>12</v>
      </c>
      <c r="E12014" t="str">
        <f>"19 - S1 - MTWHF - BCC - Instructor BC"</f>
        <v>19 - S1 - MTWHF - BCC - Instructor BC</v>
      </c>
      <c r="F12014" t="str">
        <f>"NATIONAL GOVERNMENT"</f>
        <v>NATIONAL GOVERNMENT</v>
      </c>
      <c r="G12014" t="str">
        <f>"60-DE"</f>
        <v>60-DE</v>
      </c>
      <c r="H12014" t="str">
        <f>"-"</f>
        <v>-</v>
      </c>
    </row>
    <row r="12015" spans="1:8" x14ac:dyDescent="0.2">
      <c r="A12015" t="str">
        <f>"0613115529"</f>
        <v>0613115529</v>
      </c>
      <c r="B12015" t="str">
        <f>"ADDISON"</f>
        <v>ADDISON</v>
      </c>
      <c r="C12015" t="str">
        <f>"MURPHY"</f>
        <v>MURPHY</v>
      </c>
      <c r="D12015">
        <f>12</f>
        <v>12</v>
      </c>
      <c r="E12015" t="str">
        <f>"19 - S1 - MTWHF - BCC - Instructor BC"</f>
        <v>19 - S1 - MTWHF - BCC - Instructor BC</v>
      </c>
      <c r="F12015" t="str">
        <f>"PRINCIPLES SOCIOLOGY"</f>
        <v>PRINCIPLES SOCIOLOGY</v>
      </c>
      <c r="G12015" t="str">
        <f>"60-DE"</f>
        <v>60-DE</v>
      </c>
      <c r="H12015" t="str">
        <f>"-"</f>
        <v>-</v>
      </c>
    </row>
    <row r="12016" spans="1:8" x14ac:dyDescent="0.2">
      <c r="A12016" t="str">
        <f>"0613115529"</f>
        <v>0613115529</v>
      </c>
      <c r="B12016" t="str">
        <f>"ADDISON"</f>
        <v>ADDISON</v>
      </c>
      <c r="C12016" t="str">
        <f>"MURPHY"</f>
        <v>MURPHY</v>
      </c>
      <c r="D12016">
        <f>12</f>
        <v>12</v>
      </c>
      <c r="E12016" t="str">
        <f>"19 - S1 - MTWHF - BCC - Instructor BC"</f>
        <v>19 - S1 - MTWHF - BCC - Instructor BC</v>
      </c>
      <c r="F12016" t="str">
        <f>"PRIN ECONOMICS I"</f>
        <v>PRIN ECONOMICS I</v>
      </c>
      <c r="G12016" t="str">
        <f>"60-DE"</f>
        <v>60-DE</v>
      </c>
      <c r="H12016" t="str">
        <f>"-"</f>
        <v>-</v>
      </c>
    </row>
    <row r="12017" spans="1:8" x14ac:dyDescent="0.2">
      <c r="A12017" t="str">
        <f t="shared" ref="A12017:A12024" si="4345">"0613080219"</f>
        <v>0613080219</v>
      </c>
      <c r="B12017" t="str">
        <f t="shared" ref="B12017:B12024" si="4346">"SANTIAGO"</f>
        <v>SANTIAGO</v>
      </c>
      <c r="C12017" t="str">
        <f t="shared" ref="C12017:C12024" si="4347">"MURRAR"</f>
        <v>MURRAR</v>
      </c>
      <c r="D12017">
        <f>12</f>
        <v>12</v>
      </c>
      <c r="E12017" t="str">
        <f>"04 - A - 205 - Robyn L Trainer"</f>
        <v>04 - A - 205 - Robyn L Trainer</v>
      </c>
      <c r="F12017" t="str">
        <f>"ENG 4: FL COLL PREP"</f>
        <v>ENG 4: FL COLL PREP</v>
      </c>
      <c r="G12017" t="str">
        <f>"17-1734"</f>
        <v>17-1734</v>
      </c>
      <c r="H12017" t="str">
        <f>"A"</f>
        <v>A</v>
      </c>
    </row>
    <row r="12018" spans="1:8" x14ac:dyDescent="0.2">
      <c r="A12018" t="str">
        <f t="shared" si="4345"/>
        <v>0613080219</v>
      </c>
      <c r="B12018" t="str">
        <f t="shared" si="4346"/>
        <v>SANTIAGO</v>
      </c>
      <c r="C12018" t="str">
        <f t="shared" si="4347"/>
        <v>MURRAR</v>
      </c>
      <c r="D12018">
        <f>12</f>
        <v>12</v>
      </c>
      <c r="E12018" t="str">
        <f>"06 - B - 104 - Lissa C Frederique"</f>
        <v>06 - B - 104 - Lissa C Frederique</v>
      </c>
      <c r="F12018" t="str">
        <f>"NC STUDY HALL 1"</f>
        <v>NC STUDY HALL 1</v>
      </c>
      <c r="G12018" t="str">
        <f>"17-1754"</f>
        <v>17-1754</v>
      </c>
      <c r="H12018" t="str">
        <f>"B"</f>
        <v>B</v>
      </c>
    </row>
    <row r="12019" spans="1:8" x14ac:dyDescent="0.2">
      <c r="A12019" t="str">
        <f t="shared" si="4345"/>
        <v>0613080219</v>
      </c>
      <c r="B12019" t="str">
        <f t="shared" si="4346"/>
        <v>SANTIAGO</v>
      </c>
      <c r="C12019" t="str">
        <f t="shared" si="4347"/>
        <v>MURRAR</v>
      </c>
      <c r="D12019">
        <f>12</f>
        <v>12</v>
      </c>
      <c r="E12019" t="str">
        <f>"03 - S1 - A - 103 - Richard E Dunbar Iii"</f>
        <v>03 - S1 - A - 103 - Richard E Dunbar Iii</v>
      </c>
      <c r="F12019" t="str">
        <f>"WEIGHT TRAIN 3"</f>
        <v>WEIGHT TRAIN 3</v>
      </c>
      <c r="G12019" t="str">
        <f>"05-501"</f>
        <v>05-501</v>
      </c>
      <c r="H12019" t="str">
        <f>"A"</f>
        <v>A</v>
      </c>
    </row>
    <row r="12020" spans="1:8" x14ac:dyDescent="0.2">
      <c r="A12020" t="str">
        <f t="shared" si="4345"/>
        <v>0613080219</v>
      </c>
      <c r="B12020" t="str">
        <f t="shared" si="4346"/>
        <v>SANTIAGO</v>
      </c>
      <c r="C12020" t="str">
        <f t="shared" si="4347"/>
        <v>MURRAR</v>
      </c>
      <c r="D12020">
        <f>12</f>
        <v>12</v>
      </c>
      <c r="E12020" t="str">
        <f>"02 - A - 101 - Nahum  Saint-Preux"</f>
        <v>02 - A - 101 - Nahum  Saint-Preux</v>
      </c>
      <c r="F12020" t="str">
        <f>"INTENS READ 4"</f>
        <v>INTENS READ 4</v>
      </c>
      <c r="G12020" t="str">
        <f>"17-1712"</f>
        <v>17-1712</v>
      </c>
      <c r="H12020" t="str">
        <f>"A"</f>
        <v>A</v>
      </c>
    </row>
    <row r="12021" spans="1:8" x14ac:dyDescent="0.2">
      <c r="A12021" t="str">
        <f t="shared" si="4345"/>
        <v>0613080219</v>
      </c>
      <c r="B12021" t="str">
        <f t="shared" si="4346"/>
        <v>SANTIAGO</v>
      </c>
      <c r="C12021" t="str">
        <f t="shared" si="4347"/>
        <v>MURRAR</v>
      </c>
      <c r="D12021">
        <f>12</f>
        <v>12</v>
      </c>
      <c r="E12021" t="str">
        <f>"07 - S1 - B - 103 - Robert O Burger"</f>
        <v>07 - S1 - B - 103 - Robert O Burger</v>
      </c>
      <c r="F12021" t="str">
        <f>"US GOVT"</f>
        <v>US GOVT</v>
      </c>
      <c r="G12021" t="str">
        <f>"17-1755"</f>
        <v>17-1755</v>
      </c>
      <c r="H12021" t="str">
        <f>"B"</f>
        <v>B</v>
      </c>
    </row>
    <row r="12022" spans="1:8" x14ac:dyDescent="0.2">
      <c r="A12022" t="str">
        <f t="shared" si="4345"/>
        <v>0613080219</v>
      </c>
      <c r="B12022" t="str">
        <f t="shared" si="4346"/>
        <v>SANTIAGO</v>
      </c>
      <c r="C12022" t="str">
        <f t="shared" si="4347"/>
        <v>MURRAR</v>
      </c>
      <c r="D12022">
        <f>12</f>
        <v>12</v>
      </c>
      <c r="E12022" t="str">
        <f>"05 - B - 207 - Marielle A Witting"</f>
        <v>05 - B - 207 - Marielle A Witting</v>
      </c>
      <c r="F12022" t="str">
        <f>"ANAT PHYSIO"</f>
        <v>ANAT PHYSIO</v>
      </c>
      <c r="G12022" t="str">
        <f>"08-805"</f>
        <v>08-805</v>
      </c>
      <c r="H12022" t="str">
        <f>"B"</f>
        <v>B</v>
      </c>
    </row>
    <row r="12023" spans="1:8" x14ac:dyDescent="0.2">
      <c r="A12023" t="str">
        <f t="shared" si="4345"/>
        <v>0613080219</v>
      </c>
      <c r="B12023" t="str">
        <f t="shared" si="4346"/>
        <v>SANTIAGO</v>
      </c>
      <c r="C12023" t="str">
        <f t="shared" si="4347"/>
        <v>MURRAR</v>
      </c>
      <c r="D12023">
        <f>12</f>
        <v>12</v>
      </c>
      <c r="E12023" t="str">
        <f>"01 - A - 102 - Robert H Rindner"</f>
        <v>01 - A - 102 - Robert H Rindner</v>
      </c>
      <c r="F12023" t="str">
        <f>"MATH DATA&amp;FIN LIT H"</f>
        <v>MATH DATA&amp;FIN LIT H</v>
      </c>
      <c r="G12023" t="str">
        <f>"21-2160"</f>
        <v>21-2160</v>
      </c>
      <c r="H12023" t="str">
        <f>"A"</f>
        <v>A</v>
      </c>
    </row>
    <row r="12024" spans="1:8" x14ac:dyDescent="0.2">
      <c r="A12024" t="str">
        <f t="shared" si="4345"/>
        <v>0613080219</v>
      </c>
      <c r="B12024" t="str">
        <f t="shared" si="4346"/>
        <v>SANTIAGO</v>
      </c>
      <c r="C12024" t="str">
        <f t="shared" si="4347"/>
        <v>MURRAR</v>
      </c>
      <c r="D12024">
        <f>12</f>
        <v>12</v>
      </c>
      <c r="E12024" t="str">
        <f>"08 - B - 102 - Robert H Rindner"</f>
        <v>08 - B - 102 - Robert H Rindner</v>
      </c>
      <c r="F12024" t="str">
        <f>"TV PRODUCTION TECH 1"</f>
        <v>TV PRODUCTION TECH 1</v>
      </c>
      <c r="G12024" t="str">
        <f>"21-2160"</f>
        <v>21-2160</v>
      </c>
      <c r="H12024" t="str">
        <f>"B"</f>
        <v>B</v>
      </c>
    </row>
    <row r="12025" spans="1:8" x14ac:dyDescent="0.2">
      <c r="A12025" t="str">
        <f t="shared" ref="A12025:A12032" si="4348">"0617062890"</f>
        <v>0617062890</v>
      </c>
      <c r="B12025" t="str">
        <f t="shared" ref="B12025:B12032" si="4349">"DARRYL"</f>
        <v>DARRYL</v>
      </c>
      <c r="C12025" t="str">
        <f t="shared" ref="C12025:C12056" si="4350">"MURRAY"</f>
        <v>MURRAY</v>
      </c>
      <c r="D12025">
        <f>10</f>
        <v>10</v>
      </c>
      <c r="E12025" t="str">
        <f>"04 - A - 105 - Carol S Moore"</f>
        <v>04 - A - 105 - Carol S Moore</v>
      </c>
      <c r="F12025" t="str">
        <f>"PRE-AICE WRLD HST IG"</f>
        <v>PRE-AICE WRLD HST IG</v>
      </c>
      <c r="G12025" t="str">
        <f>"17-1733"</f>
        <v>17-1733</v>
      </c>
      <c r="H12025" t="str">
        <f>"A"</f>
        <v>A</v>
      </c>
    </row>
    <row r="12026" spans="1:8" x14ac:dyDescent="0.2">
      <c r="A12026" t="str">
        <f t="shared" si="4348"/>
        <v>0617062890</v>
      </c>
      <c r="B12026" t="str">
        <f t="shared" si="4349"/>
        <v>DARRYL</v>
      </c>
      <c r="C12026" t="str">
        <f t="shared" si="4350"/>
        <v>MURRAY</v>
      </c>
      <c r="D12026">
        <f>10</f>
        <v>10</v>
      </c>
      <c r="E12026" t="str">
        <f>"06 - B - 110 - Jerry S Jiampetti"</f>
        <v>06 - B - 110 - Jerry S Jiampetti</v>
      </c>
      <c r="F12026" t="str">
        <f>"NC STUDY HALL 1"</f>
        <v>NC STUDY HALL 1</v>
      </c>
      <c r="G12026" t="str">
        <f>"17-1751"</f>
        <v>17-1751</v>
      </c>
      <c r="H12026" t="str">
        <f>"B"</f>
        <v>B</v>
      </c>
    </row>
    <row r="12027" spans="1:8" x14ac:dyDescent="0.2">
      <c r="A12027" t="str">
        <f t="shared" si="4348"/>
        <v>0617062890</v>
      </c>
      <c r="B12027" t="str">
        <f t="shared" si="4349"/>
        <v>DARRYL</v>
      </c>
      <c r="C12027" t="str">
        <f t="shared" si="4350"/>
        <v>MURRAY</v>
      </c>
      <c r="D12027">
        <f>10</f>
        <v>10</v>
      </c>
      <c r="E12027" t="str">
        <f>"03 - A - 103 - Marius D Orsolini"</f>
        <v>03 - A - 103 - Marius D Orsolini</v>
      </c>
      <c r="F12027" t="str">
        <f>"CULINARY ARTS 1"</f>
        <v>CULINARY ARTS 1</v>
      </c>
      <c r="G12027" t="str">
        <f>"21-2115"</f>
        <v>21-2115</v>
      </c>
      <c r="H12027" t="str">
        <f>"A"</f>
        <v>A</v>
      </c>
    </row>
    <row r="12028" spans="1:8" x14ac:dyDescent="0.2">
      <c r="A12028" t="str">
        <f t="shared" si="4348"/>
        <v>0617062890</v>
      </c>
      <c r="B12028" t="str">
        <f t="shared" si="4349"/>
        <v>DARRYL</v>
      </c>
      <c r="C12028" t="str">
        <f t="shared" si="4350"/>
        <v>MURRAY</v>
      </c>
      <c r="D12028">
        <f>10</f>
        <v>10</v>
      </c>
      <c r="E12028" t="str">
        <f>"02 - A - 102 - Vanessa J Liburd"</f>
        <v>02 - A - 102 - Vanessa J Liburd</v>
      </c>
      <c r="F12028" t="str">
        <f>"PRE-AICE FRENCH 2 IG"</f>
        <v>PRE-AICE FRENCH 2 IG</v>
      </c>
      <c r="G12028" t="str">
        <f>"05-519"</f>
        <v>05-519</v>
      </c>
      <c r="H12028" t="str">
        <f>"A"</f>
        <v>A</v>
      </c>
    </row>
    <row r="12029" spans="1:8" x14ac:dyDescent="0.2">
      <c r="A12029" t="str">
        <f t="shared" si="4348"/>
        <v>0617062890</v>
      </c>
      <c r="B12029" t="str">
        <f t="shared" si="4349"/>
        <v>DARRYL</v>
      </c>
      <c r="C12029" t="str">
        <f t="shared" si="4350"/>
        <v>MURRAY</v>
      </c>
      <c r="D12029">
        <f>10</f>
        <v>10</v>
      </c>
      <c r="E12029" t="str">
        <f>"07 - B - 102 - Nikiel  Nesbeth"</f>
        <v>07 - B - 102 - Nikiel  Nesbeth</v>
      </c>
      <c r="F12029" t="str">
        <f>"PRE-AICE ENG LIT IG"</f>
        <v>PRE-AICE ENG LIT IG</v>
      </c>
      <c r="G12029" t="str">
        <f>"17-1705"</f>
        <v>17-1705</v>
      </c>
      <c r="H12029" t="str">
        <f>"B"</f>
        <v>B</v>
      </c>
    </row>
    <row r="12030" spans="1:8" x14ac:dyDescent="0.2">
      <c r="A12030" t="str">
        <f t="shared" si="4348"/>
        <v>0617062890</v>
      </c>
      <c r="B12030" t="str">
        <f t="shared" si="4349"/>
        <v>DARRYL</v>
      </c>
      <c r="C12030" t="str">
        <f t="shared" si="4350"/>
        <v>MURRAY</v>
      </c>
      <c r="D12030">
        <f>10</f>
        <v>10</v>
      </c>
      <c r="E12030" t="str">
        <f>"05 - B - 103 - Josiah I Lacy"</f>
        <v>05 - B - 103 - Josiah I Lacy</v>
      </c>
      <c r="F12030" t="str">
        <f>"PRE-AICE BIO IG"</f>
        <v>PRE-AICE BIO IG</v>
      </c>
      <c r="G12030" t="str">
        <f>"08-801"</f>
        <v>08-801</v>
      </c>
      <c r="H12030" t="str">
        <f>"B"</f>
        <v>B</v>
      </c>
    </row>
    <row r="12031" spans="1:8" x14ac:dyDescent="0.2">
      <c r="A12031" t="str">
        <f t="shared" si="4348"/>
        <v>0617062890</v>
      </c>
      <c r="B12031" t="str">
        <f t="shared" si="4349"/>
        <v>DARRYL</v>
      </c>
      <c r="C12031" t="str">
        <f t="shared" si="4350"/>
        <v>MURRAY</v>
      </c>
      <c r="D12031">
        <f>10</f>
        <v>10</v>
      </c>
      <c r="E12031" t="str">
        <f>"01 - A - 101 - Adam Marcus  Drucker"</f>
        <v>01 - A - 101 - Adam Marcus  Drucker</v>
      </c>
      <c r="F12031" t="str">
        <f>"HOPE-PE V"</f>
        <v>HOPE-PE V</v>
      </c>
      <c r="G12031" t="str">
        <f>"04-254"</f>
        <v>04-254</v>
      </c>
      <c r="H12031" t="str">
        <f>"A"</f>
        <v>A</v>
      </c>
    </row>
    <row r="12032" spans="1:8" x14ac:dyDescent="0.2">
      <c r="A12032" t="str">
        <f t="shared" si="4348"/>
        <v>0617062890</v>
      </c>
      <c r="B12032" t="str">
        <f t="shared" si="4349"/>
        <v>DARRYL</v>
      </c>
      <c r="C12032" t="str">
        <f t="shared" si="4350"/>
        <v>MURRAY</v>
      </c>
      <c r="D12032">
        <f>10</f>
        <v>10</v>
      </c>
      <c r="E12032" t="str">
        <f>"08 - B - 107 - Brook E Goren"</f>
        <v>08 - B - 107 - Brook E Goren</v>
      </c>
      <c r="F12032" t="str">
        <f>"GEOMETRY"</f>
        <v>GEOMETRY</v>
      </c>
      <c r="G12032" t="str">
        <f>"21-2158"</f>
        <v>21-2158</v>
      </c>
      <c r="H12032" t="str">
        <f>"B"</f>
        <v>B</v>
      </c>
    </row>
    <row r="12033" spans="1:8" x14ac:dyDescent="0.2">
      <c r="A12033" t="str">
        <f t="shared" ref="A12033:A12040" si="4351">"0617062920"</f>
        <v>0617062920</v>
      </c>
      <c r="B12033" t="str">
        <f t="shared" ref="B12033:B12040" si="4352">"JAYDEN"</f>
        <v>JAYDEN</v>
      </c>
      <c r="C12033" t="str">
        <f t="shared" si="4350"/>
        <v>MURRAY</v>
      </c>
      <c r="D12033">
        <f>11</f>
        <v>11</v>
      </c>
      <c r="E12033" t="str">
        <f>"04 - A - 103 - Lisa  Quinn"</f>
        <v>04 - A - 103 - Lisa  Quinn</v>
      </c>
      <c r="F12033" t="str">
        <f>"ENG 3"</f>
        <v>ENG 3</v>
      </c>
      <c r="G12033" t="str">
        <f>"17-1725"</f>
        <v>17-1725</v>
      </c>
      <c r="H12033" t="str">
        <f>"A"</f>
        <v>A</v>
      </c>
    </row>
    <row r="12034" spans="1:8" x14ac:dyDescent="0.2">
      <c r="A12034" t="str">
        <f t="shared" si="4351"/>
        <v>0617062920</v>
      </c>
      <c r="B12034" t="str">
        <f t="shared" si="4352"/>
        <v>JAYDEN</v>
      </c>
      <c r="C12034" t="str">
        <f t="shared" si="4350"/>
        <v>MURRAY</v>
      </c>
      <c r="D12034">
        <f>11</f>
        <v>11</v>
      </c>
      <c r="E12034" t="str">
        <f>"06 - B - 108 - Milca  Exantus"</f>
        <v>06 - B - 108 - Milca  Exantus</v>
      </c>
      <c r="F12034" t="str">
        <f>"MATH COLLEGE LIB ART"</f>
        <v>MATH COLLEGE LIB ART</v>
      </c>
      <c r="G12034" t="str">
        <f>"21-2145"</f>
        <v>21-2145</v>
      </c>
      <c r="H12034" t="str">
        <f>"B"</f>
        <v>B</v>
      </c>
    </row>
    <row r="12035" spans="1:8" x14ac:dyDescent="0.2">
      <c r="A12035" t="str">
        <f t="shared" si="4351"/>
        <v>0617062920</v>
      </c>
      <c r="B12035" t="str">
        <f t="shared" si="4352"/>
        <v>JAYDEN</v>
      </c>
      <c r="C12035" t="str">
        <f t="shared" si="4350"/>
        <v>MURRAY</v>
      </c>
      <c r="D12035">
        <f>11</f>
        <v>11</v>
      </c>
      <c r="E12035" t="str">
        <f>"03 - A - 102 - Cliffon  Saurel"</f>
        <v>03 - A - 102 - Cliffon  Saurel</v>
      </c>
      <c r="F12035" t="str">
        <f>"PHYSICAL SCI"</f>
        <v>PHYSICAL SCI</v>
      </c>
      <c r="G12035" t="str">
        <f>"05-522"</f>
        <v>05-522</v>
      </c>
      <c r="H12035" t="str">
        <f>"A"</f>
        <v>A</v>
      </c>
    </row>
    <row r="12036" spans="1:8" x14ac:dyDescent="0.2">
      <c r="A12036" t="str">
        <f t="shared" si="4351"/>
        <v>0617062920</v>
      </c>
      <c r="B12036" t="str">
        <f t="shared" si="4352"/>
        <v>JAYDEN</v>
      </c>
      <c r="C12036" t="str">
        <f t="shared" si="4350"/>
        <v>MURRAY</v>
      </c>
      <c r="D12036">
        <f>11</f>
        <v>11</v>
      </c>
      <c r="E12036" t="str">
        <f>"02 - A - 114 - Eva T Rimmer"</f>
        <v>02 - A - 114 - Eva T Rimmer</v>
      </c>
      <c r="F12036" t="str">
        <f>"NC STUDY HALL 1"</f>
        <v>NC STUDY HALL 1</v>
      </c>
      <c r="G12036" t="str">
        <f>"05-523"</f>
        <v>05-523</v>
      </c>
      <c r="H12036" t="str">
        <f>"A"</f>
        <v>A</v>
      </c>
    </row>
    <row r="12037" spans="1:8" x14ac:dyDescent="0.2">
      <c r="A12037" t="str">
        <f t="shared" si="4351"/>
        <v>0617062920</v>
      </c>
      <c r="B12037" t="str">
        <f t="shared" si="4352"/>
        <v>JAYDEN</v>
      </c>
      <c r="C12037" t="str">
        <f t="shared" si="4350"/>
        <v>MURRAY</v>
      </c>
      <c r="D12037">
        <f>11</f>
        <v>11</v>
      </c>
      <c r="E12037" t="str">
        <f>"07 - B - 108 - Lauren N Logan"</f>
        <v>07 - B - 108 - Lauren N Logan</v>
      </c>
      <c r="F12037" t="str">
        <f>"US HISTORY"</f>
        <v>US HISTORY</v>
      </c>
      <c r="G12037" t="str">
        <f>"17-1745"</f>
        <v>17-1745</v>
      </c>
      <c r="H12037" t="str">
        <f>"B"</f>
        <v>B</v>
      </c>
    </row>
    <row r="12038" spans="1:8" x14ac:dyDescent="0.2">
      <c r="A12038" t="str">
        <f t="shared" si="4351"/>
        <v>0617062920</v>
      </c>
      <c r="B12038" t="str">
        <f t="shared" si="4352"/>
        <v>JAYDEN</v>
      </c>
      <c r="C12038" t="str">
        <f t="shared" si="4350"/>
        <v>MURRAY</v>
      </c>
      <c r="D12038">
        <f>11</f>
        <v>11</v>
      </c>
      <c r="E12038" t="str">
        <f>"05 - B - 201 - Jazmin S Fletcher"</f>
        <v>05 - B - 201 - Jazmin S Fletcher</v>
      </c>
      <c r="F12038" t="str">
        <f>"THEATRE 1"</f>
        <v>THEATRE 1</v>
      </c>
      <c r="G12038" t="str">
        <f>"09-909"</f>
        <v>09-909</v>
      </c>
      <c r="H12038" t="str">
        <f>"B"</f>
        <v>B</v>
      </c>
    </row>
    <row r="12039" spans="1:8" x14ac:dyDescent="0.2">
      <c r="A12039" t="str">
        <f t="shared" si="4351"/>
        <v>0617062920</v>
      </c>
      <c r="B12039" t="str">
        <f t="shared" si="4352"/>
        <v>JAYDEN</v>
      </c>
      <c r="C12039" t="str">
        <f t="shared" si="4350"/>
        <v>MURRAY</v>
      </c>
      <c r="D12039">
        <f>11</f>
        <v>11</v>
      </c>
      <c r="E12039" t="str">
        <f>"01 - A - 101 - Nahum  Saint-Preux"</f>
        <v>01 - A - 101 - Nahum  Saint-Preux</v>
      </c>
      <c r="F12039" t="str">
        <f>"INTENS READ 3"</f>
        <v>INTENS READ 3</v>
      </c>
      <c r="G12039" t="str">
        <f>"17-1712"</f>
        <v>17-1712</v>
      </c>
      <c r="H12039" t="str">
        <f>"A"</f>
        <v>A</v>
      </c>
    </row>
    <row r="12040" spans="1:8" x14ac:dyDescent="0.2">
      <c r="A12040" t="str">
        <f t="shared" si="4351"/>
        <v>0617062920</v>
      </c>
      <c r="B12040" t="str">
        <f t="shared" si="4352"/>
        <v>JAYDEN</v>
      </c>
      <c r="C12040" t="str">
        <f t="shared" si="4350"/>
        <v>MURRAY</v>
      </c>
      <c r="D12040">
        <f>11</f>
        <v>11</v>
      </c>
      <c r="E12040" t="str">
        <f>"08 - B - 102 - Robert H Rindner"</f>
        <v>08 - B - 102 - Robert H Rindner</v>
      </c>
      <c r="F12040" t="str">
        <f>"TV PRODUCTION TECH 1"</f>
        <v>TV PRODUCTION TECH 1</v>
      </c>
      <c r="G12040" t="str">
        <f>"21-2160"</f>
        <v>21-2160</v>
      </c>
      <c r="H12040" t="str">
        <f>"B"</f>
        <v>B</v>
      </c>
    </row>
    <row r="12041" spans="1:8" x14ac:dyDescent="0.2">
      <c r="A12041" t="str">
        <f t="shared" ref="A12041:A12048" si="4353">"0617029936"</f>
        <v>0617029936</v>
      </c>
      <c r="B12041" t="str">
        <f t="shared" ref="B12041:B12048" si="4354">"KYRA"</f>
        <v>KYRA</v>
      </c>
      <c r="C12041" t="str">
        <f t="shared" si="4350"/>
        <v>MURRAY</v>
      </c>
      <c r="D12041" t="str">
        <f t="shared" ref="D12041:D12048" si="4355">"09"</f>
        <v>09</v>
      </c>
      <c r="E12041" t="str">
        <f>"04 - A - 103 - Lenecy  Nodarse"</f>
        <v>04 - A - 103 - Lenecy  Nodarse</v>
      </c>
      <c r="F12041" t="str">
        <f>"WORLD HISTORY"</f>
        <v>WORLD HISTORY</v>
      </c>
      <c r="G12041" t="str">
        <f>"17-1741"</f>
        <v>17-1741</v>
      </c>
      <c r="H12041" t="str">
        <f>"A"</f>
        <v>A</v>
      </c>
    </row>
    <row r="12042" spans="1:8" x14ac:dyDescent="0.2">
      <c r="A12042" t="str">
        <f t="shared" si="4353"/>
        <v>0617029936</v>
      </c>
      <c r="B12042" t="str">
        <f t="shared" si="4354"/>
        <v>KYRA</v>
      </c>
      <c r="C12042" t="str">
        <f t="shared" si="4350"/>
        <v>MURRAY</v>
      </c>
      <c r="D12042" t="str">
        <f t="shared" si="4355"/>
        <v>09</v>
      </c>
      <c r="E12042" t="str">
        <f>"06 - B - 104 - Eva T Rimmer"</f>
        <v>06 - B - 104 - Eva T Rimmer</v>
      </c>
      <c r="F12042" t="str">
        <f>"CRIMINAL JUST OPS 1"</f>
        <v>CRIMINAL JUST OPS 1</v>
      </c>
      <c r="G12042" t="str">
        <f>"05-523"</f>
        <v>05-523</v>
      </c>
      <c r="H12042" t="str">
        <f>"B"</f>
        <v>B</v>
      </c>
    </row>
    <row r="12043" spans="1:8" x14ac:dyDescent="0.2">
      <c r="A12043" t="str">
        <f t="shared" si="4353"/>
        <v>0617029936</v>
      </c>
      <c r="B12043" t="str">
        <f t="shared" si="4354"/>
        <v>KYRA</v>
      </c>
      <c r="C12043" t="str">
        <f t="shared" si="4350"/>
        <v>MURRAY</v>
      </c>
      <c r="D12043" t="str">
        <f t="shared" si="4355"/>
        <v>09</v>
      </c>
      <c r="E12043" t="str">
        <f>"03 - A - 105 - Cheryl Anne  Berman-Schechter"</f>
        <v>03 - A - 105 - Cheryl Anne  Berman-Schechter</v>
      </c>
      <c r="F12043" t="str">
        <f>"ENG 1"</f>
        <v>ENG 1</v>
      </c>
      <c r="G12043" t="str">
        <f>"17-1722"</f>
        <v>17-1722</v>
      </c>
      <c r="H12043" t="str">
        <f>"A"</f>
        <v>A</v>
      </c>
    </row>
    <row r="12044" spans="1:8" x14ac:dyDescent="0.2">
      <c r="A12044" t="str">
        <f t="shared" si="4353"/>
        <v>0617029936</v>
      </c>
      <c r="B12044" t="str">
        <f t="shared" si="4354"/>
        <v>KYRA</v>
      </c>
      <c r="C12044" t="str">
        <f t="shared" si="4350"/>
        <v>MURRAY</v>
      </c>
      <c r="D12044" t="str">
        <f t="shared" si="4355"/>
        <v>09</v>
      </c>
      <c r="E12044" t="str">
        <f>"02 - A - 101 - Milca  Exantus"</f>
        <v>02 - A - 101 - Milca  Exantus</v>
      </c>
      <c r="F12044" t="str">
        <f>"NC STUDY HALL 1"</f>
        <v>NC STUDY HALL 1</v>
      </c>
      <c r="G12044" t="str">
        <f>"21-2145"</f>
        <v>21-2145</v>
      </c>
      <c r="H12044" t="str">
        <f>"A"</f>
        <v>A</v>
      </c>
    </row>
    <row r="12045" spans="1:8" x14ac:dyDescent="0.2">
      <c r="A12045" t="str">
        <f t="shared" si="4353"/>
        <v>0617029936</v>
      </c>
      <c r="B12045" t="str">
        <f t="shared" si="4354"/>
        <v>KYRA</v>
      </c>
      <c r="C12045" t="str">
        <f t="shared" si="4350"/>
        <v>MURRAY</v>
      </c>
      <c r="D12045" t="str">
        <f t="shared" si="4355"/>
        <v>09</v>
      </c>
      <c r="E12045" t="str">
        <f>"07 - B - 107 - Helen A Flores"</f>
        <v>07 - B - 107 - Helen A Flores</v>
      </c>
      <c r="F12045" t="str">
        <f>"ALGEBRA 1"</f>
        <v>ALGEBRA 1</v>
      </c>
      <c r="G12045" t="str">
        <f>"21-2101"</f>
        <v>21-2101</v>
      </c>
      <c r="H12045" t="str">
        <f>"B"</f>
        <v>B</v>
      </c>
    </row>
    <row r="12046" spans="1:8" x14ac:dyDescent="0.2">
      <c r="A12046" t="str">
        <f t="shared" si="4353"/>
        <v>0617029936</v>
      </c>
      <c r="B12046" t="str">
        <f t="shared" si="4354"/>
        <v>KYRA</v>
      </c>
      <c r="C12046" t="str">
        <f t="shared" si="4350"/>
        <v>MURRAY</v>
      </c>
      <c r="D12046" t="str">
        <f t="shared" si="4355"/>
        <v>09</v>
      </c>
      <c r="E12046" t="str">
        <f>"05 - B - 101 - Linda  Celestin"</f>
        <v>05 - B - 101 - Linda  Celestin</v>
      </c>
      <c r="F12046" t="str">
        <f>"LRNG STRATEGIES 9-12"</f>
        <v>LRNG STRATEGIES 9-12</v>
      </c>
      <c r="G12046" t="str">
        <f>"21-2160"</f>
        <v>21-2160</v>
      </c>
      <c r="H12046" t="str">
        <f>"B"</f>
        <v>B</v>
      </c>
    </row>
    <row r="12047" spans="1:8" x14ac:dyDescent="0.2">
      <c r="A12047" t="str">
        <f t="shared" si="4353"/>
        <v>0617029936</v>
      </c>
      <c r="B12047" t="str">
        <f t="shared" si="4354"/>
        <v>KYRA</v>
      </c>
      <c r="C12047" t="str">
        <f t="shared" si="4350"/>
        <v>MURRAY</v>
      </c>
      <c r="D12047" t="str">
        <f t="shared" si="4355"/>
        <v>09</v>
      </c>
      <c r="E12047" t="str">
        <f>"01 - A - 102 - Helen A Flores"</f>
        <v>01 - A - 102 - Helen A Flores</v>
      </c>
      <c r="F12047" t="str">
        <f>"FDN SKLS MATH 9-12"</f>
        <v>FDN SKLS MATH 9-12</v>
      </c>
      <c r="G12047" t="str">
        <f>"21-2101"</f>
        <v>21-2101</v>
      </c>
      <c r="H12047" t="str">
        <f>"A"</f>
        <v>A</v>
      </c>
    </row>
    <row r="12048" spans="1:8" x14ac:dyDescent="0.2">
      <c r="A12048" t="str">
        <f t="shared" si="4353"/>
        <v>0617029936</v>
      </c>
      <c r="B12048" t="str">
        <f t="shared" si="4354"/>
        <v>KYRA</v>
      </c>
      <c r="C12048" t="str">
        <f t="shared" si="4350"/>
        <v>MURRAY</v>
      </c>
      <c r="D12048" t="str">
        <f t="shared" si="4355"/>
        <v>09</v>
      </c>
      <c r="E12048" t="str">
        <f>"08 - B - 105 - Samantha J Headley"</f>
        <v>08 - B - 105 - Samantha J Headley</v>
      </c>
      <c r="F12048" t="str">
        <f>"ENV SCI"</f>
        <v>ENV SCI</v>
      </c>
      <c r="G12048" t="str">
        <f>"08-802"</f>
        <v>08-802</v>
      </c>
      <c r="H12048" t="str">
        <f>"B"</f>
        <v>B</v>
      </c>
    </row>
    <row r="12049" spans="1:8" x14ac:dyDescent="0.2">
      <c r="A12049" t="str">
        <f t="shared" ref="A12049:A12056" si="4356">"0617020848"</f>
        <v>0617020848</v>
      </c>
      <c r="B12049" t="str">
        <f t="shared" ref="B12049:B12056" si="4357">"MAKAYLA"</f>
        <v>MAKAYLA</v>
      </c>
      <c r="C12049" t="str">
        <f t="shared" si="4350"/>
        <v>MURRAY</v>
      </c>
      <c r="D12049">
        <f>10</f>
        <v>10</v>
      </c>
      <c r="E12049" t="str">
        <f>"04 - S1 - A - 103 - James H Mccann"</f>
        <v>04 - S1 - A - 103 - James H Mccann</v>
      </c>
      <c r="F12049" t="str">
        <f>"PERS FIN &amp; MON MGT H"</f>
        <v>PERS FIN &amp; MON MGT H</v>
      </c>
      <c r="G12049" t="str">
        <f>"17-1716"</f>
        <v>17-1716</v>
      </c>
      <c r="H12049" t="str">
        <f>"A"</f>
        <v>A</v>
      </c>
    </row>
    <row r="12050" spans="1:8" x14ac:dyDescent="0.2">
      <c r="A12050" t="str">
        <f t="shared" si="4356"/>
        <v>0617020848</v>
      </c>
      <c r="B12050" t="str">
        <f t="shared" si="4357"/>
        <v>MAKAYLA</v>
      </c>
      <c r="C12050" t="str">
        <f t="shared" si="4350"/>
        <v>MURRAY</v>
      </c>
      <c r="D12050">
        <f>10</f>
        <v>10</v>
      </c>
      <c r="E12050" t="str">
        <f>"06 - B - 107 - Dorothy D Moore"</f>
        <v>06 - B - 107 - Dorothy D Moore</v>
      </c>
      <c r="F12050" t="str">
        <f>"NC STUDY HALL 1"</f>
        <v>NC STUDY HALL 1</v>
      </c>
      <c r="G12050" t="str">
        <f>"08-803"</f>
        <v>08-803</v>
      </c>
      <c r="H12050" t="str">
        <f>"B"</f>
        <v>B</v>
      </c>
    </row>
    <row r="12051" spans="1:8" x14ac:dyDescent="0.2">
      <c r="A12051" t="str">
        <f t="shared" si="4356"/>
        <v>0617020848</v>
      </c>
      <c r="B12051" t="str">
        <f t="shared" si="4357"/>
        <v>MAKAYLA</v>
      </c>
      <c r="C12051" t="str">
        <f t="shared" si="4350"/>
        <v>MURRAY</v>
      </c>
      <c r="D12051">
        <f>10</f>
        <v>10</v>
      </c>
      <c r="E12051" t="str">
        <f>"03 - A - 101 - Timothy J Lawrence"</f>
        <v>03 - A - 101 - Timothy J Lawrence</v>
      </c>
      <c r="F12051" t="str">
        <f>"AICE PHYS ED 1 AS"</f>
        <v>AICE PHYS ED 1 AS</v>
      </c>
      <c r="G12051" t="str">
        <f>"05-519"</f>
        <v>05-519</v>
      </c>
      <c r="H12051" t="str">
        <f>"A"</f>
        <v>A</v>
      </c>
    </row>
    <row r="12052" spans="1:8" x14ac:dyDescent="0.2">
      <c r="A12052" t="str">
        <f t="shared" si="4356"/>
        <v>0617020848</v>
      </c>
      <c r="B12052" t="str">
        <f t="shared" si="4357"/>
        <v>MAKAYLA</v>
      </c>
      <c r="C12052" t="str">
        <f t="shared" si="4350"/>
        <v>MURRAY</v>
      </c>
      <c r="D12052">
        <f>10</f>
        <v>10</v>
      </c>
      <c r="E12052" t="str">
        <f>"02 - A - 105 - Semra  Bahadir"</f>
        <v>02 - A - 105 - Semra  Bahadir</v>
      </c>
      <c r="F12052" t="str">
        <f>"ALGEBRA 2"</f>
        <v>ALGEBRA 2</v>
      </c>
      <c r="G12052" t="str">
        <f>"21-2107"</f>
        <v>21-2107</v>
      </c>
      <c r="H12052" t="str">
        <f>"A"</f>
        <v>A</v>
      </c>
    </row>
    <row r="12053" spans="1:8" x14ac:dyDescent="0.2">
      <c r="A12053" t="str">
        <f t="shared" si="4356"/>
        <v>0617020848</v>
      </c>
      <c r="B12053" t="str">
        <f t="shared" si="4357"/>
        <v>MAKAYLA</v>
      </c>
      <c r="C12053" t="str">
        <f t="shared" si="4350"/>
        <v>MURRAY</v>
      </c>
      <c r="D12053">
        <f>10</f>
        <v>10</v>
      </c>
      <c r="E12053" t="str">
        <f>"07 - B - 101 - Lisa  Quinn"</f>
        <v>07 - B - 101 - Lisa  Quinn</v>
      </c>
      <c r="F12053" t="str">
        <f>"RESEARCH 1"</f>
        <v>RESEARCH 1</v>
      </c>
      <c r="G12053" t="str">
        <f>"17-1725"</f>
        <v>17-1725</v>
      </c>
      <c r="H12053" t="str">
        <f>"B"</f>
        <v>B</v>
      </c>
    </row>
    <row r="12054" spans="1:8" x14ac:dyDescent="0.2">
      <c r="A12054" t="str">
        <f t="shared" si="4356"/>
        <v>0617020848</v>
      </c>
      <c r="B12054" t="str">
        <f t="shared" si="4357"/>
        <v>MAKAYLA</v>
      </c>
      <c r="C12054" t="str">
        <f t="shared" si="4350"/>
        <v>MURRAY</v>
      </c>
      <c r="D12054">
        <f>10</f>
        <v>10</v>
      </c>
      <c r="E12054" t="str">
        <f>"05 - B - 106 - Courtney E Hambright"</f>
        <v>05 - B - 106 - Courtney E Hambright</v>
      </c>
      <c r="F12054" t="str">
        <f>"AICE ENG LANG AS"</f>
        <v>AICE ENG LANG AS</v>
      </c>
      <c r="G12054" t="str">
        <f>"17-1711"</f>
        <v>17-1711</v>
      </c>
      <c r="H12054" t="str">
        <f>"B"</f>
        <v>B</v>
      </c>
    </row>
    <row r="12055" spans="1:8" x14ac:dyDescent="0.2">
      <c r="A12055" t="str">
        <f t="shared" si="4356"/>
        <v>0617020848</v>
      </c>
      <c r="B12055" t="str">
        <f t="shared" si="4357"/>
        <v>MAKAYLA</v>
      </c>
      <c r="C12055" t="str">
        <f t="shared" si="4350"/>
        <v>MURRAY</v>
      </c>
      <c r="D12055">
        <f>10</f>
        <v>10</v>
      </c>
      <c r="E12055" t="str">
        <f>"01 - A - 001 - Dorothy D Moore"</f>
        <v>01 - A - 001 - Dorothy D Moore</v>
      </c>
      <c r="F12055" t="str">
        <f>"ANAT PHYSIO HON"</f>
        <v>ANAT PHYSIO HON</v>
      </c>
      <c r="G12055" t="str">
        <f>"08-803"</f>
        <v>08-803</v>
      </c>
      <c r="H12055" t="str">
        <f>"A"</f>
        <v>A</v>
      </c>
    </row>
    <row r="12056" spans="1:8" x14ac:dyDescent="0.2">
      <c r="A12056" t="str">
        <f t="shared" si="4356"/>
        <v>0617020848</v>
      </c>
      <c r="B12056" t="str">
        <f t="shared" si="4357"/>
        <v>MAKAYLA</v>
      </c>
      <c r="C12056" t="str">
        <f t="shared" si="4350"/>
        <v>MURRAY</v>
      </c>
      <c r="D12056">
        <f>10</f>
        <v>10</v>
      </c>
      <c r="E12056" t="str">
        <f>"08 - B - 201 - Lenecy  Nodarse"</f>
        <v>08 - B - 201 - Lenecy  Nodarse</v>
      </c>
      <c r="F12056" t="str">
        <f>"AICE EURO HIST 1 AS"</f>
        <v>AICE EURO HIST 1 AS</v>
      </c>
      <c r="G12056" t="str">
        <f>"17-1741"</f>
        <v>17-1741</v>
      </c>
      <c r="H12056" t="str">
        <f>"B"</f>
        <v>B</v>
      </c>
    </row>
    <row r="12057" spans="1:8" x14ac:dyDescent="0.2">
      <c r="A12057" t="str">
        <f t="shared" ref="A12057:A12065" si="4358">"0615020790"</f>
        <v>0615020790</v>
      </c>
      <c r="B12057" t="str">
        <f t="shared" ref="B12057:B12065" si="4359">"ROWSHANE"</f>
        <v>ROWSHANE</v>
      </c>
      <c r="C12057" t="str">
        <f t="shared" ref="C12057:C12073" si="4360">"MURRAY"</f>
        <v>MURRAY</v>
      </c>
      <c r="D12057">
        <f>10</f>
        <v>10</v>
      </c>
      <c r="E12057" t="str">
        <f>"04 - S1 - A - 101 - Kyle  Robbins"</f>
        <v>04 - S1 - A - 101 - Kyle  Robbins</v>
      </c>
      <c r="F12057" t="str">
        <f>"PERS FIN &amp; MON MGT H"</f>
        <v>PERS FIN &amp; MON MGT H</v>
      </c>
      <c r="G12057" t="str">
        <f>"17-1745"</f>
        <v>17-1745</v>
      </c>
      <c r="H12057" t="str">
        <f>"A"</f>
        <v>A</v>
      </c>
    </row>
    <row r="12058" spans="1:8" x14ac:dyDescent="0.2">
      <c r="A12058" t="str">
        <f t="shared" si="4358"/>
        <v>0615020790</v>
      </c>
      <c r="B12058" t="str">
        <f t="shared" si="4359"/>
        <v>ROWSHANE</v>
      </c>
      <c r="C12058" t="str">
        <f t="shared" si="4360"/>
        <v>MURRAY</v>
      </c>
      <c r="D12058">
        <f>10</f>
        <v>10</v>
      </c>
      <c r="E12058" t="str">
        <f>"06 - B - 112 - Tina M Jaramillo"</f>
        <v>06 - B - 112 - Tina M Jaramillo</v>
      </c>
      <c r="F12058" t="str">
        <f>"NC STUDY HALL 1"</f>
        <v>NC STUDY HALL 1</v>
      </c>
      <c r="G12058" t="str">
        <f>"17-1706"</f>
        <v>17-1706</v>
      </c>
      <c r="H12058" t="str">
        <f>"B"</f>
        <v>B</v>
      </c>
    </row>
    <row r="12059" spans="1:8" x14ac:dyDescent="0.2">
      <c r="A12059" t="str">
        <f t="shared" si="4358"/>
        <v>0615020790</v>
      </c>
      <c r="B12059" t="str">
        <f t="shared" si="4359"/>
        <v>ROWSHANE</v>
      </c>
      <c r="C12059" t="str">
        <f t="shared" si="4360"/>
        <v>MURRAY</v>
      </c>
      <c r="D12059">
        <f>10</f>
        <v>10</v>
      </c>
      <c r="E12059" t="str">
        <f>"06 - B - 106 - Eric  Lopapa"</f>
        <v>06 - B - 106 - Eric  Lopapa</v>
      </c>
      <c r="F12059" t="str">
        <f>"LANG THERAPY"</f>
        <v>LANG THERAPY</v>
      </c>
      <c r="G12059" t="str">
        <f>"21-2110"</f>
        <v>21-2110</v>
      </c>
      <c r="H12059" t="str">
        <f>"B"</f>
        <v>B</v>
      </c>
    </row>
    <row r="12060" spans="1:8" x14ac:dyDescent="0.2">
      <c r="A12060" t="str">
        <f t="shared" si="4358"/>
        <v>0615020790</v>
      </c>
      <c r="B12060" t="str">
        <f t="shared" si="4359"/>
        <v>ROWSHANE</v>
      </c>
      <c r="C12060" t="str">
        <f t="shared" si="4360"/>
        <v>MURRAY</v>
      </c>
      <c r="D12060">
        <f>10</f>
        <v>10</v>
      </c>
      <c r="E12060" t="str">
        <f>"03 - A - 103 - Samantha J Headley"</f>
        <v>03 - A - 103 - Samantha J Headley</v>
      </c>
      <c r="F12060" t="str">
        <f>"MARINE SCI 1 HON"</f>
        <v>MARINE SCI 1 HON</v>
      </c>
      <c r="G12060" t="str">
        <f>"21-2134"</f>
        <v>21-2134</v>
      </c>
      <c r="H12060" t="str">
        <f>"A"</f>
        <v>A</v>
      </c>
    </row>
    <row r="12061" spans="1:8" x14ac:dyDescent="0.2">
      <c r="A12061" t="str">
        <f t="shared" si="4358"/>
        <v>0615020790</v>
      </c>
      <c r="B12061" t="str">
        <f t="shared" si="4359"/>
        <v>ROWSHANE</v>
      </c>
      <c r="C12061" t="str">
        <f t="shared" si="4360"/>
        <v>MURRAY</v>
      </c>
      <c r="D12061">
        <f>10</f>
        <v>10</v>
      </c>
      <c r="E12061" t="str">
        <f>"02 - A - 104 - Joe  Kilpatrick Jr"</f>
        <v>02 - A - 104 - Joe  Kilpatrick Jr</v>
      </c>
      <c r="F12061" t="str">
        <f>"PRE-AICE SPAN 2 IG"</f>
        <v>PRE-AICE SPAN 2 IG</v>
      </c>
      <c r="G12061" t="str">
        <f>"09-912"</f>
        <v>09-912</v>
      </c>
      <c r="H12061" t="str">
        <f>"A"</f>
        <v>A</v>
      </c>
    </row>
    <row r="12062" spans="1:8" x14ac:dyDescent="0.2">
      <c r="A12062" t="str">
        <f t="shared" si="4358"/>
        <v>0615020790</v>
      </c>
      <c r="B12062" t="str">
        <f t="shared" si="4359"/>
        <v>ROWSHANE</v>
      </c>
      <c r="C12062" t="str">
        <f t="shared" si="4360"/>
        <v>MURRAY</v>
      </c>
      <c r="D12062">
        <f>10</f>
        <v>10</v>
      </c>
      <c r="E12062" t="str">
        <f>"07 - S1 - B - 107 - Richard E Dunbar Iii"</f>
        <v>07 - S1 - B - 107 - Richard E Dunbar Iii</v>
      </c>
      <c r="F12062" t="str">
        <f>"WEIGHT TRAIN 1"</f>
        <v>WEIGHT TRAIN 1</v>
      </c>
      <c r="G12062" t="str">
        <f>"05-501"</f>
        <v>05-501</v>
      </c>
      <c r="H12062" t="str">
        <f>"B"</f>
        <v>B</v>
      </c>
    </row>
    <row r="12063" spans="1:8" x14ac:dyDescent="0.2">
      <c r="A12063" t="str">
        <f t="shared" si="4358"/>
        <v>0615020790</v>
      </c>
      <c r="B12063" t="str">
        <f t="shared" si="4359"/>
        <v>ROWSHANE</v>
      </c>
      <c r="C12063" t="str">
        <f t="shared" si="4360"/>
        <v>MURRAY</v>
      </c>
      <c r="D12063">
        <f>10</f>
        <v>10</v>
      </c>
      <c r="E12063" t="str">
        <f>"05 - B - 106 - Jacquelyn M Neeson"</f>
        <v>05 - B - 106 - Jacquelyn M Neeson</v>
      </c>
      <c r="F12063" t="str">
        <f>"ENG 2"</f>
        <v>ENG 2</v>
      </c>
      <c r="G12063" t="str">
        <f>"17-1715"</f>
        <v>17-1715</v>
      </c>
      <c r="H12063" t="str">
        <f>"B"</f>
        <v>B</v>
      </c>
    </row>
    <row r="12064" spans="1:8" x14ac:dyDescent="0.2">
      <c r="A12064" t="str">
        <f t="shared" si="4358"/>
        <v>0615020790</v>
      </c>
      <c r="B12064" t="str">
        <f t="shared" si="4359"/>
        <v>ROWSHANE</v>
      </c>
      <c r="C12064" t="str">
        <f t="shared" si="4360"/>
        <v>MURRAY</v>
      </c>
      <c r="D12064">
        <f>10</f>
        <v>10</v>
      </c>
      <c r="E12064" t="str">
        <f>"01 - A - 102 - Brook E Goren"</f>
        <v>01 - A - 102 - Brook E Goren</v>
      </c>
      <c r="F12064" t="str">
        <f>"PRE-AICE MATH 2 IG"</f>
        <v>PRE-AICE MATH 2 IG</v>
      </c>
      <c r="G12064" t="str">
        <f>"21-2158"</f>
        <v>21-2158</v>
      </c>
      <c r="H12064" t="str">
        <f>"A"</f>
        <v>A</v>
      </c>
    </row>
    <row r="12065" spans="1:8" x14ac:dyDescent="0.2">
      <c r="A12065" t="str">
        <f t="shared" si="4358"/>
        <v>0615020790</v>
      </c>
      <c r="B12065" t="str">
        <f t="shared" si="4359"/>
        <v>ROWSHANE</v>
      </c>
      <c r="C12065" t="str">
        <f t="shared" si="4360"/>
        <v>MURRAY</v>
      </c>
      <c r="D12065">
        <f>10</f>
        <v>10</v>
      </c>
      <c r="E12065" t="str">
        <f>"08 - B - 102 - Robert H Rindner"</f>
        <v>08 - B - 102 - Robert H Rindner</v>
      </c>
      <c r="F12065" t="str">
        <f>"TV PRODUCTION TECH 1"</f>
        <v>TV PRODUCTION TECH 1</v>
      </c>
      <c r="G12065" t="str">
        <f>"21-2160"</f>
        <v>21-2160</v>
      </c>
      <c r="H12065" t="str">
        <f>"B"</f>
        <v>B</v>
      </c>
    </row>
    <row r="12066" spans="1:8" x14ac:dyDescent="0.2">
      <c r="A12066" t="str">
        <f t="shared" ref="A12066:A12073" si="4361">"0621089897"</f>
        <v>0621089897</v>
      </c>
      <c r="B12066" t="str">
        <f t="shared" ref="B12066:B12073" si="4362">"SASHA"</f>
        <v>SASHA</v>
      </c>
      <c r="C12066" t="str">
        <f t="shared" si="4360"/>
        <v>MURRAY</v>
      </c>
      <c r="D12066" t="str">
        <f t="shared" ref="D12066:D12081" si="4363">"09"</f>
        <v>09</v>
      </c>
      <c r="E12066" t="str">
        <f>"04 - A - 102 - Josiah I Lacy"</f>
        <v>04 - A - 102 - Josiah I Lacy</v>
      </c>
      <c r="F12066" t="str">
        <f>"PRE-AICE BIO IG"</f>
        <v>PRE-AICE BIO IG</v>
      </c>
      <c r="G12066" t="str">
        <f>"08-801"</f>
        <v>08-801</v>
      </c>
      <c r="H12066" t="str">
        <f>"A"</f>
        <v>A</v>
      </c>
    </row>
    <row r="12067" spans="1:8" x14ac:dyDescent="0.2">
      <c r="A12067" t="str">
        <f t="shared" si="4361"/>
        <v>0621089897</v>
      </c>
      <c r="B12067" t="str">
        <f t="shared" si="4362"/>
        <v>SASHA</v>
      </c>
      <c r="C12067" t="str">
        <f t="shared" si="4360"/>
        <v>MURRAY</v>
      </c>
      <c r="D12067" t="str">
        <f t="shared" si="4363"/>
        <v>09</v>
      </c>
      <c r="E12067" t="str">
        <f>"06 - B - 105 - Cheryl L Beach"</f>
        <v>06 - B - 105 - Cheryl L Beach</v>
      </c>
      <c r="F12067" t="str">
        <f>"AICE ENV MGMNT AS"</f>
        <v>AICE ENV MGMNT AS</v>
      </c>
      <c r="G12067" t="str">
        <f>"08-811"</f>
        <v>08-811</v>
      </c>
      <c r="H12067" t="str">
        <f>"B"</f>
        <v>B</v>
      </c>
    </row>
    <row r="12068" spans="1:8" x14ac:dyDescent="0.2">
      <c r="A12068" t="str">
        <f t="shared" si="4361"/>
        <v>0621089897</v>
      </c>
      <c r="B12068" t="str">
        <f t="shared" si="4362"/>
        <v>SASHA</v>
      </c>
      <c r="C12068" t="str">
        <f t="shared" si="4360"/>
        <v>MURRAY</v>
      </c>
      <c r="D12068" t="str">
        <f t="shared" si="4363"/>
        <v>09</v>
      </c>
      <c r="E12068" t="str">
        <f>"03 - A - 101 - Eva T Rimmer"</f>
        <v>03 - A - 101 - Eva T Rimmer</v>
      </c>
      <c r="F12068" t="str">
        <f>"CRIMINAL JUST OPS 1"</f>
        <v>CRIMINAL JUST OPS 1</v>
      </c>
      <c r="G12068" t="str">
        <f>"05-523"</f>
        <v>05-523</v>
      </c>
      <c r="H12068" t="str">
        <f>"A"</f>
        <v>A</v>
      </c>
    </row>
    <row r="12069" spans="1:8" x14ac:dyDescent="0.2">
      <c r="A12069" t="str">
        <f t="shared" si="4361"/>
        <v>0621089897</v>
      </c>
      <c r="B12069" t="str">
        <f t="shared" si="4362"/>
        <v>SASHA</v>
      </c>
      <c r="C12069" t="str">
        <f t="shared" si="4360"/>
        <v>MURRAY</v>
      </c>
      <c r="D12069" t="str">
        <f t="shared" si="4363"/>
        <v>09</v>
      </c>
      <c r="E12069" t="str">
        <f>"02 - A - 113 - Amy Beth  Broyles"</f>
        <v>02 - A - 113 - Amy Beth  Broyles</v>
      </c>
      <c r="F12069" t="str">
        <f>"NC STUDY HALL 1"</f>
        <v>NC STUDY HALL 1</v>
      </c>
      <c r="G12069" t="str">
        <f>"08-802"</f>
        <v>08-802</v>
      </c>
      <c r="H12069" t="str">
        <f>"A"</f>
        <v>A</v>
      </c>
    </row>
    <row r="12070" spans="1:8" x14ac:dyDescent="0.2">
      <c r="A12070" t="str">
        <f t="shared" si="4361"/>
        <v>0621089897</v>
      </c>
      <c r="B12070" t="str">
        <f t="shared" si="4362"/>
        <v>SASHA</v>
      </c>
      <c r="C12070" t="str">
        <f t="shared" si="4360"/>
        <v>MURRAY</v>
      </c>
      <c r="D12070" t="str">
        <f t="shared" si="4363"/>
        <v>09</v>
      </c>
      <c r="E12070" t="str">
        <f>"07 - B - 207 - Krystal Marie  Beruty"</f>
        <v>07 - B - 207 - Krystal Marie  Beruty</v>
      </c>
      <c r="F12070" t="str">
        <f>"AICE GLBL PERSP 1 AS"</f>
        <v>AICE GLBL PERSP 1 AS</v>
      </c>
      <c r="G12070" t="str">
        <f>"17-1721"</f>
        <v>17-1721</v>
      </c>
      <c r="H12070" t="str">
        <f>"B"</f>
        <v>B</v>
      </c>
    </row>
    <row r="12071" spans="1:8" x14ac:dyDescent="0.2">
      <c r="A12071" t="str">
        <f t="shared" si="4361"/>
        <v>0621089897</v>
      </c>
      <c r="B12071" t="str">
        <f t="shared" si="4362"/>
        <v>SASHA</v>
      </c>
      <c r="C12071" t="str">
        <f t="shared" si="4360"/>
        <v>MURRAY</v>
      </c>
      <c r="D12071" t="str">
        <f t="shared" si="4363"/>
        <v>09</v>
      </c>
      <c r="E12071" t="str">
        <f>"05 - B - 104 - Maried P Ramos"</f>
        <v>05 - B - 104 - Maried P Ramos</v>
      </c>
      <c r="F12071" t="str">
        <f>"PRE-AICE MATH 2 IG"</f>
        <v>PRE-AICE MATH 2 IG</v>
      </c>
      <c r="G12071" t="str">
        <f>"21-2159"</f>
        <v>21-2159</v>
      </c>
      <c r="H12071" t="str">
        <f>"B"</f>
        <v>B</v>
      </c>
    </row>
    <row r="12072" spans="1:8" x14ac:dyDescent="0.2">
      <c r="A12072" t="str">
        <f t="shared" si="4361"/>
        <v>0621089897</v>
      </c>
      <c r="B12072" t="str">
        <f t="shared" si="4362"/>
        <v>SASHA</v>
      </c>
      <c r="C12072" t="str">
        <f t="shared" si="4360"/>
        <v>MURRAY</v>
      </c>
      <c r="D12072" t="str">
        <f t="shared" si="4363"/>
        <v>09</v>
      </c>
      <c r="E12072" t="str">
        <f>"01 - A - 101 - Joe  Kilpatrick Jr"</f>
        <v>01 - A - 101 - Joe  Kilpatrick Jr</v>
      </c>
      <c r="F12072" t="str">
        <f>"PRE-AICE SPAN 1 IG"</f>
        <v>PRE-AICE SPAN 1 IG</v>
      </c>
      <c r="G12072" t="str">
        <f>"09-912"</f>
        <v>09-912</v>
      </c>
      <c r="H12072" t="str">
        <f>"A"</f>
        <v>A</v>
      </c>
    </row>
    <row r="12073" spans="1:8" x14ac:dyDescent="0.2">
      <c r="A12073" t="str">
        <f t="shared" si="4361"/>
        <v>0621089897</v>
      </c>
      <c r="B12073" t="str">
        <f t="shared" si="4362"/>
        <v>SASHA</v>
      </c>
      <c r="C12073" t="str">
        <f t="shared" si="4360"/>
        <v>MURRAY</v>
      </c>
      <c r="D12073" t="str">
        <f t="shared" si="4363"/>
        <v>09</v>
      </c>
      <c r="E12073" t="str">
        <f>"08 - B - 004 - Cheryl Anne  Berman-Schechter"</f>
        <v>08 - B - 004 - Cheryl Anne  Berman-Schechter</v>
      </c>
      <c r="F12073" t="str">
        <f>"AICE ENG GEN PAPER 1"</f>
        <v>AICE ENG GEN PAPER 1</v>
      </c>
      <c r="G12073" t="str">
        <f>"17-1722"</f>
        <v>17-1722</v>
      </c>
      <c r="H12073" t="str">
        <f>"B"</f>
        <v>B</v>
      </c>
    </row>
    <row r="12074" spans="1:8" x14ac:dyDescent="0.2">
      <c r="A12074" t="str">
        <f t="shared" ref="A12074:A12081" si="4364">"0622100726"</f>
        <v>0622100726</v>
      </c>
      <c r="B12074" t="str">
        <f t="shared" ref="B12074:B12081" si="4365">"SORA"</f>
        <v>SORA</v>
      </c>
      <c r="C12074" t="str">
        <f t="shared" ref="C12074:C12081" si="4366">"MURRELL"</f>
        <v>MURRELL</v>
      </c>
      <c r="D12074" t="str">
        <f t="shared" si="4363"/>
        <v>09</v>
      </c>
      <c r="E12074" t="str">
        <f>"04 - A - 004 - Krystal Marie  Beruty"</f>
        <v>04 - A - 004 - Krystal Marie  Beruty</v>
      </c>
      <c r="F12074" t="str">
        <f>"AICE GLBL PERSP 1 AS"</f>
        <v>AICE GLBL PERSP 1 AS</v>
      </c>
      <c r="G12074" t="str">
        <f>"17-1721"</f>
        <v>17-1721</v>
      </c>
      <c r="H12074" t="str">
        <f>"A"</f>
        <v>A</v>
      </c>
    </row>
    <row r="12075" spans="1:8" x14ac:dyDescent="0.2">
      <c r="A12075" t="str">
        <f t="shared" si="4364"/>
        <v>0622100726</v>
      </c>
      <c r="B12075" t="str">
        <f t="shared" si="4365"/>
        <v>SORA</v>
      </c>
      <c r="C12075" t="str">
        <f t="shared" si="4366"/>
        <v>MURRELL</v>
      </c>
      <c r="D12075" t="str">
        <f t="shared" si="4363"/>
        <v>09</v>
      </c>
      <c r="E12075" t="str">
        <f>"06 - B - 202 - Alejandro  Navarro"</f>
        <v>06 - B - 202 - Alejandro  Navarro</v>
      </c>
      <c r="F12075" t="str">
        <f>"BAND 1"</f>
        <v>BAND 1</v>
      </c>
      <c r="G12075" t="str">
        <f>"05-504"</f>
        <v>05-504</v>
      </c>
      <c r="H12075" t="str">
        <f>"B"</f>
        <v>B</v>
      </c>
    </row>
    <row r="12076" spans="1:8" x14ac:dyDescent="0.2">
      <c r="A12076" t="str">
        <f t="shared" si="4364"/>
        <v>0622100726</v>
      </c>
      <c r="B12076" t="str">
        <f t="shared" si="4365"/>
        <v>SORA</v>
      </c>
      <c r="C12076" t="str">
        <f t="shared" si="4366"/>
        <v>MURRELL</v>
      </c>
      <c r="D12076" t="str">
        <f t="shared" si="4363"/>
        <v>09</v>
      </c>
      <c r="E12076" t="str">
        <f>"03 - A - 203 - Elizabeth R Walker"</f>
        <v>03 - A - 203 - Elizabeth R Walker</v>
      </c>
      <c r="F12076" t="str">
        <f>"AICE ENG GEN PAPER 1"</f>
        <v>AICE ENG GEN PAPER 1</v>
      </c>
      <c r="G12076" t="str">
        <f>"17-1703"</f>
        <v>17-1703</v>
      </c>
      <c r="H12076" t="str">
        <f>"A"</f>
        <v>A</v>
      </c>
    </row>
    <row r="12077" spans="1:8" x14ac:dyDescent="0.2">
      <c r="A12077" t="str">
        <f t="shared" si="4364"/>
        <v>0622100726</v>
      </c>
      <c r="B12077" t="str">
        <f t="shared" si="4365"/>
        <v>SORA</v>
      </c>
      <c r="C12077" t="str">
        <f t="shared" si="4366"/>
        <v>MURRELL</v>
      </c>
      <c r="D12077" t="str">
        <f t="shared" si="4363"/>
        <v>09</v>
      </c>
      <c r="E12077" t="str">
        <f>"02 - A - 106 - Helen A Flores"</f>
        <v>02 - A - 106 - Helen A Flores</v>
      </c>
      <c r="F12077" t="str">
        <f>"NC STUDY HALL 1"</f>
        <v>NC STUDY HALL 1</v>
      </c>
      <c r="G12077" t="str">
        <f>"21-2101"</f>
        <v>21-2101</v>
      </c>
      <c r="H12077" t="str">
        <f>"A"</f>
        <v>A</v>
      </c>
    </row>
    <row r="12078" spans="1:8" x14ac:dyDescent="0.2">
      <c r="A12078" t="str">
        <f t="shared" si="4364"/>
        <v>0622100726</v>
      </c>
      <c r="B12078" t="str">
        <f t="shared" si="4365"/>
        <v>SORA</v>
      </c>
      <c r="C12078" t="str">
        <f t="shared" si="4366"/>
        <v>MURRELL</v>
      </c>
      <c r="D12078" t="str">
        <f t="shared" si="4363"/>
        <v>09</v>
      </c>
      <c r="E12078" t="str">
        <f>"07 - B - 107 - Brook E Goren"</f>
        <v>07 - B - 107 - Brook E Goren</v>
      </c>
      <c r="F12078" t="str">
        <f>"PRE-AICE MATH 2 IG"</f>
        <v>PRE-AICE MATH 2 IG</v>
      </c>
      <c r="G12078" t="str">
        <f>"21-2158"</f>
        <v>21-2158</v>
      </c>
      <c r="H12078" t="str">
        <f>"B"</f>
        <v>B</v>
      </c>
    </row>
    <row r="12079" spans="1:8" x14ac:dyDescent="0.2">
      <c r="A12079" t="str">
        <f t="shared" si="4364"/>
        <v>0622100726</v>
      </c>
      <c r="B12079" t="str">
        <f t="shared" si="4365"/>
        <v>SORA</v>
      </c>
      <c r="C12079" t="str">
        <f t="shared" si="4366"/>
        <v>MURRELL</v>
      </c>
      <c r="D12079" t="str">
        <f t="shared" si="4363"/>
        <v>09</v>
      </c>
      <c r="E12079" t="str">
        <f>"05 - B - 101 - Brian M Fitzgerald"</f>
        <v>05 - B - 101 - Brian M Fitzgerald</v>
      </c>
      <c r="F12079" t="str">
        <f>"PAINT 1"</f>
        <v>PAINT 1</v>
      </c>
      <c r="G12079" t="str">
        <f>"09-908"</f>
        <v>09-908</v>
      </c>
      <c r="H12079" t="str">
        <f>"B"</f>
        <v>B</v>
      </c>
    </row>
    <row r="12080" spans="1:8" x14ac:dyDescent="0.2">
      <c r="A12080" t="str">
        <f t="shared" si="4364"/>
        <v>0622100726</v>
      </c>
      <c r="B12080" t="str">
        <f t="shared" si="4365"/>
        <v>SORA</v>
      </c>
      <c r="C12080" t="str">
        <f t="shared" si="4366"/>
        <v>MURRELL</v>
      </c>
      <c r="D12080" t="str">
        <f t="shared" si="4363"/>
        <v>09</v>
      </c>
      <c r="E12080" t="str">
        <f>"01 - A - 101 - Byron G Montenegro"</f>
        <v>01 - A - 101 - Byron G Montenegro</v>
      </c>
      <c r="F12080" t="str">
        <f>"AICE MARINE SCI 1 AS"</f>
        <v>AICE MARINE SCI 1 AS</v>
      </c>
      <c r="G12080" t="str">
        <f>"21-2144"</f>
        <v>21-2144</v>
      </c>
      <c r="H12080" t="str">
        <f>"A"</f>
        <v>A</v>
      </c>
    </row>
    <row r="12081" spans="1:8" x14ac:dyDescent="0.2">
      <c r="A12081" t="str">
        <f t="shared" si="4364"/>
        <v>0622100726</v>
      </c>
      <c r="B12081" t="str">
        <f t="shared" si="4365"/>
        <v>SORA</v>
      </c>
      <c r="C12081" t="str">
        <f t="shared" si="4366"/>
        <v>MURRELL</v>
      </c>
      <c r="D12081" t="str">
        <f t="shared" si="4363"/>
        <v>09</v>
      </c>
      <c r="E12081" t="str">
        <f>"08 - B - 001 - Chrystina M Marchionne"</f>
        <v>08 - B - 001 - Chrystina M Marchionne</v>
      </c>
      <c r="F12081" t="str">
        <f>"JOURN 1 (YB) LH"</f>
        <v>JOURN 1 (YB) LH</v>
      </c>
      <c r="G12081" t="str">
        <f>"05-520"</f>
        <v>05-520</v>
      </c>
      <c r="H12081" t="str">
        <f>"B"</f>
        <v>B</v>
      </c>
    </row>
    <row r="12082" spans="1:8" x14ac:dyDescent="0.2">
      <c r="A12082" t="str">
        <f t="shared" ref="A12082:A12089" si="4367">"0622088940"</f>
        <v>0622088940</v>
      </c>
      <c r="B12082" t="str">
        <f t="shared" ref="B12082:B12089" si="4368">"AMAYAH"</f>
        <v>AMAYAH</v>
      </c>
      <c r="C12082" t="str">
        <f t="shared" ref="C12082:C12089" si="4369">"MUZEAU"</f>
        <v>MUZEAU</v>
      </c>
      <c r="D12082">
        <f>10</f>
        <v>10</v>
      </c>
      <c r="E12082" t="str">
        <f>"04 - A - 101 - Christa T Parisi"</f>
        <v>04 - A - 101 - Christa T Parisi</v>
      </c>
      <c r="F12082" t="str">
        <f>"DANCE TECHNQS 2"</f>
        <v>DANCE TECHNQS 2</v>
      </c>
      <c r="G12082" t="str">
        <f>"05-503"</f>
        <v>05-503</v>
      </c>
      <c r="H12082" t="str">
        <f>"A"</f>
        <v>A</v>
      </c>
    </row>
    <row r="12083" spans="1:8" x14ac:dyDescent="0.2">
      <c r="A12083" t="str">
        <f t="shared" si="4367"/>
        <v>0622088940</v>
      </c>
      <c r="B12083" t="str">
        <f t="shared" si="4368"/>
        <v>AMAYAH</v>
      </c>
      <c r="C12083" t="str">
        <f t="shared" si="4369"/>
        <v>MUZEAU</v>
      </c>
      <c r="D12083">
        <f>10</f>
        <v>10</v>
      </c>
      <c r="E12083" t="str">
        <f>"06 - B - 104 - Robert H Rindner"</f>
        <v>06 - B - 104 - Robert H Rindner</v>
      </c>
      <c r="F12083" t="str">
        <f>"NC STUDY HALL 1"</f>
        <v>NC STUDY HALL 1</v>
      </c>
      <c r="G12083" t="str">
        <f>"21-2160"</f>
        <v>21-2160</v>
      </c>
      <c r="H12083" t="str">
        <f>"B"</f>
        <v>B</v>
      </c>
    </row>
    <row r="12084" spans="1:8" x14ac:dyDescent="0.2">
      <c r="A12084" t="str">
        <f t="shared" si="4367"/>
        <v>0622088940</v>
      </c>
      <c r="B12084" t="str">
        <f t="shared" si="4368"/>
        <v>AMAYAH</v>
      </c>
      <c r="C12084" t="str">
        <f t="shared" si="4369"/>
        <v>MUZEAU</v>
      </c>
      <c r="D12084">
        <f>10</f>
        <v>10</v>
      </c>
      <c r="E12084" t="str">
        <f>"03 - S1 - A - 103 - Richard E Dunbar Iii"</f>
        <v>03 - S1 - A - 103 - Richard E Dunbar Iii</v>
      </c>
      <c r="F12084" t="str">
        <f>"WEIGHT TRAIN 1"</f>
        <v>WEIGHT TRAIN 1</v>
      </c>
      <c r="G12084" t="str">
        <f>"05-501"</f>
        <v>05-501</v>
      </c>
      <c r="H12084" t="str">
        <f>"A"</f>
        <v>A</v>
      </c>
    </row>
    <row r="12085" spans="1:8" x14ac:dyDescent="0.2">
      <c r="A12085" t="str">
        <f t="shared" si="4367"/>
        <v>0622088940</v>
      </c>
      <c r="B12085" t="str">
        <f t="shared" si="4368"/>
        <v>AMAYAH</v>
      </c>
      <c r="C12085" t="str">
        <f t="shared" si="4369"/>
        <v>MUZEAU</v>
      </c>
      <c r="D12085">
        <f>10</f>
        <v>10</v>
      </c>
      <c r="E12085" t="str">
        <f>"02 - A - 205 - Emmily A Sarmiento"</f>
        <v>02 - A - 205 - Emmily A Sarmiento</v>
      </c>
      <c r="F12085" t="str">
        <f>"AICE GLBL PERSP 1 AS"</f>
        <v>AICE GLBL PERSP 1 AS</v>
      </c>
      <c r="G12085" t="str">
        <f>"17-1743"</f>
        <v>17-1743</v>
      </c>
      <c r="H12085" t="str">
        <f>"A"</f>
        <v>A</v>
      </c>
    </row>
    <row r="12086" spans="1:8" x14ac:dyDescent="0.2">
      <c r="A12086" t="str">
        <f t="shared" si="4367"/>
        <v>0622088940</v>
      </c>
      <c r="B12086" t="str">
        <f t="shared" si="4368"/>
        <v>AMAYAH</v>
      </c>
      <c r="C12086" t="str">
        <f t="shared" si="4369"/>
        <v>MUZEAU</v>
      </c>
      <c r="D12086">
        <f>10</f>
        <v>10</v>
      </c>
      <c r="E12086" t="str">
        <f>"07 - B - 002 - Jazmin S Fletcher"</f>
        <v>07 - B - 002 - Jazmin S Fletcher</v>
      </c>
      <c r="F12086" t="str">
        <f>"THEATRE 1"</f>
        <v>THEATRE 1</v>
      </c>
      <c r="G12086" t="str">
        <f>"09-909"</f>
        <v>09-909</v>
      </c>
      <c r="H12086" t="str">
        <f>"B"</f>
        <v>B</v>
      </c>
    </row>
    <row r="12087" spans="1:8" x14ac:dyDescent="0.2">
      <c r="A12087" t="str">
        <f t="shared" si="4367"/>
        <v>0622088940</v>
      </c>
      <c r="B12087" t="str">
        <f t="shared" si="4368"/>
        <v>AMAYAH</v>
      </c>
      <c r="C12087" t="str">
        <f t="shared" si="4369"/>
        <v>MUZEAU</v>
      </c>
      <c r="D12087">
        <f>10</f>
        <v>10</v>
      </c>
      <c r="E12087" t="str">
        <f>"05 - B - 103 - Josiah I Lacy"</f>
        <v>05 - B - 103 - Josiah I Lacy</v>
      </c>
      <c r="F12087" t="str">
        <f>"PRE-AICE BIO IG"</f>
        <v>PRE-AICE BIO IG</v>
      </c>
      <c r="G12087" t="str">
        <f>"08-801"</f>
        <v>08-801</v>
      </c>
      <c r="H12087" t="str">
        <f>"B"</f>
        <v>B</v>
      </c>
    </row>
    <row r="12088" spans="1:8" x14ac:dyDescent="0.2">
      <c r="A12088" t="str">
        <f t="shared" si="4367"/>
        <v>0622088940</v>
      </c>
      <c r="B12088" t="str">
        <f t="shared" si="4368"/>
        <v>AMAYAH</v>
      </c>
      <c r="C12088" t="str">
        <f t="shared" si="4369"/>
        <v>MUZEAU</v>
      </c>
      <c r="D12088">
        <f>10</f>
        <v>10</v>
      </c>
      <c r="E12088" t="str">
        <f>"01 - A - 101 - Jacquelyn M Neeson"</f>
        <v>01 - A - 101 - Jacquelyn M Neeson</v>
      </c>
      <c r="F12088" t="str">
        <f>"AICE ENG GEN PAPER 1"</f>
        <v>AICE ENG GEN PAPER 1</v>
      </c>
      <c r="G12088" t="str">
        <f>"17-1715"</f>
        <v>17-1715</v>
      </c>
      <c r="H12088" t="str">
        <f>"A"</f>
        <v>A</v>
      </c>
    </row>
    <row r="12089" spans="1:8" x14ac:dyDescent="0.2">
      <c r="A12089" t="str">
        <f t="shared" si="4367"/>
        <v>0622088940</v>
      </c>
      <c r="B12089" t="str">
        <f t="shared" si="4368"/>
        <v>AMAYAH</v>
      </c>
      <c r="C12089" t="str">
        <f t="shared" si="4369"/>
        <v>MUZEAU</v>
      </c>
      <c r="D12089">
        <f>10</f>
        <v>10</v>
      </c>
      <c r="E12089" t="str">
        <f>"08 - B - 107 - Brook E Goren"</f>
        <v>08 - B - 107 - Brook E Goren</v>
      </c>
      <c r="F12089" t="str">
        <f>"GEOMETRY"</f>
        <v>GEOMETRY</v>
      </c>
      <c r="G12089" t="str">
        <f>"21-2158"</f>
        <v>21-2158</v>
      </c>
      <c r="H12089" t="str">
        <f>"B"</f>
        <v>B</v>
      </c>
    </row>
    <row r="12090" spans="1:8" x14ac:dyDescent="0.2">
      <c r="A12090" t="str">
        <f t="shared" ref="A12090:A12097" si="4370">"0623033487"</f>
        <v>0623033487</v>
      </c>
      <c r="B12090" t="str">
        <f t="shared" ref="B12090:B12097" si="4371">"JAMES"</f>
        <v>JAMES</v>
      </c>
      <c r="C12090" t="str">
        <f t="shared" ref="C12090:C12097" si="4372">"MWELA"</f>
        <v>MWELA</v>
      </c>
      <c r="D12090">
        <f>10</f>
        <v>10</v>
      </c>
      <c r="E12090" t="str">
        <f>"04 - S1 - A - 101 - Leslie J Barton"</f>
        <v>04 - S1 - A - 101 - Leslie J Barton</v>
      </c>
      <c r="F12090" t="str">
        <f>"TEAM SPORTS 1"</f>
        <v>TEAM SPORTS 1</v>
      </c>
      <c r="G12090" t="str">
        <f>"04-254"</f>
        <v>04-254</v>
      </c>
      <c r="H12090" t="str">
        <f>"A"</f>
        <v>A</v>
      </c>
    </row>
    <row r="12091" spans="1:8" x14ac:dyDescent="0.2">
      <c r="A12091" t="str">
        <f t="shared" si="4370"/>
        <v>0623033487</v>
      </c>
      <c r="B12091" t="str">
        <f t="shared" si="4371"/>
        <v>JAMES</v>
      </c>
      <c r="C12091" t="str">
        <f t="shared" si="4372"/>
        <v>MWELA</v>
      </c>
      <c r="D12091">
        <f>10</f>
        <v>10</v>
      </c>
      <c r="E12091" t="str">
        <f>"06 - B - 117 - Daniel S Tyson"</f>
        <v>06 - B - 117 - Daniel S Tyson</v>
      </c>
      <c r="F12091" t="str">
        <f>"NC STUDY HALL 1"</f>
        <v>NC STUDY HALL 1</v>
      </c>
      <c r="G12091" t="str">
        <f>"05-510"</f>
        <v>05-510</v>
      </c>
      <c r="H12091" t="str">
        <f>"B"</f>
        <v>B</v>
      </c>
    </row>
    <row r="12092" spans="1:8" x14ac:dyDescent="0.2">
      <c r="A12092" t="str">
        <f t="shared" si="4370"/>
        <v>0623033487</v>
      </c>
      <c r="B12092" t="str">
        <f t="shared" si="4371"/>
        <v>JAMES</v>
      </c>
      <c r="C12092" t="str">
        <f t="shared" si="4372"/>
        <v>MWELA</v>
      </c>
      <c r="D12092">
        <f>10</f>
        <v>10</v>
      </c>
      <c r="E12092" t="str">
        <f>"03 - A - 204 - Lytrell T Dixon"</f>
        <v>03 - A - 204 - Lytrell T Dixon</v>
      </c>
      <c r="F12092" t="str">
        <f>"BIOLOGY 1"</f>
        <v>BIOLOGY 1</v>
      </c>
      <c r="G12092" t="str">
        <f>"08-808"</f>
        <v>08-808</v>
      </c>
      <c r="H12092" t="str">
        <f>"A"</f>
        <v>A</v>
      </c>
    </row>
    <row r="12093" spans="1:8" x14ac:dyDescent="0.2">
      <c r="A12093" t="str">
        <f t="shared" si="4370"/>
        <v>0623033487</v>
      </c>
      <c r="B12093" t="str">
        <f t="shared" si="4371"/>
        <v>JAMES</v>
      </c>
      <c r="C12093" t="str">
        <f t="shared" si="4372"/>
        <v>MWELA</v>
      </c>
      <c r="D12093">
        <f>10</f>
        <v>10</v>
      </c>
      <c r="E12093" t="str">
        <f>"02 - A - 101 - Brian M Fitzgerald"</f>
        <v>02 - A - 101 - Brian M Fitzgerald</v>
      </c>
      <c r="F12093" t="str">
        <f>"DRAW 1"</f>
        <v>DRAW 1</v>
      </c>
      <c r="G12093" t="str">
        <f>"09-908"</f>
        <v>09-908</v>
      </c>
      <c r="H12093" t="str">
        <f>"A"</f>
        <v>A</v>
      </c>
    </row>
    <row r="12094" spans="1:8" x14ac:dyDescent="0.2">
      <c r="A12094" t="str">
        <f t="shared" si="4370"/>
        <v>0623033487</v>
      </c>
      <c r="B12094" t="str">
        <f t="shared" si="4371"/>
        <v>JAMES</v>
      </c>
      <c r="C12094" t="str">
        <f t="shared" si="4372"/>
        <v>MWELA</v>
      </c>
      <c r="D12094">
        <f>10</f>
        <v>10</v>
      </c>
      <c r="E12094" t="str">
        <f>"07 - B - 110 - Ferrie J Arostique"</f>
        <v>07 - B - 110 - Ferrie J Arostique</v>
      </c>
      <c r="F12094" t="str">
        <f>"GEOMETRY"</f>
        <v>GEOMETRY</v>
      </c>
      <c r="G12094" t="str">
        <f>"21-2139"</f>
        <v>21-2139</v>
      </c>
      <c r="H12094" t="str">
        <f>"B"</f>
        <v>B</v>
      </c>
    </row>
    <row r="12095" spans="1:8" x14ac:dyDescent="0.2">
      <c r="A12095" t="str">
        <f t="shared" si="4370"/>
        <v>0623033487</v>
      </c>
      <c r="B12095" t="str">
        <f t="shared" si="4371"/>
        <v>JAMES</v>
      </c>
      <c r="C12095" t="str">
        <f t="shared" si="4372"/>
        <v>MWELA</v>
      </c>
      <c r="D12095">
        <f>10</f>
        <v>10</v>
      </c>
      <c r="E12095" t="str">
        <f>"05 - B - 107 - Nikiel  Nesbeth"</f>
        <v>05 - B - 107 - Nikiel  Nesbeth</v>
      </c>
      <c r="F12095" t="str">
        <f>"ENG 2"</f>
        <v>ENG 2</v>
      </c>
      <c r="G12095" t="str">
        <f>"17-1705"</f>
        <v>17-1705</v>
      </c>
      <c r="H12095" t="str">
        <f>"B"</f>
        <v>B</v>
      </c>
    </row>
    <row r="12096" spans="1:8" x14ac:dyDescent="0.2">
      <c r="A12096" t="str">
        <f t="shared" si="4370"/>
        <v>0623033487</v>
      </c>
      <c r="B12096" t="str">
        <f t="shared" si="4371"/>
        <v>JAMES</v>
      </c>
      <c r="C12096" t="str">
        <f t="shared" si="4372"/>
        <v>MWELA</v>
      </c>
      <c r="D12096">
        <f>10</f>
        <v>10</v>
      </c>
      <c r="E12096" t="str">
        <f>"01 - A - 101 - Daniel S Tyson"</f>
        <v>01 - A - 101 - Daniel S Tyson</v>
      </c>
      <c r="F12096" t="str">
        <f>"JROTC NAVAL SCI 2"</f>
        <v>JROTC NAVAL SCI 2</v>
      </c>
      <c r="G12096" t="str">
        <f>"05-510"</f>
        <v>05-510</v>
      </c>
      <c r="H12096" t="str">
        <f>"A"</f>
        <v>A</v>
      </c>
    </row>
    <row r="12097" spans="1:8" x14ac:dyDescent="0.2">
      <c r="A12097" t="str">
        <f t="shared" si="4370"/>
        <v>0623033487</v>
      </c>
      <c r="B12097" t="str">
        <f t="shared" si="4371"/>
        <v>JAMES</v>
      </c>
      <c r="C12097" t="str">
        <f t="shared" si="4372"/>
        <v>MWELA</v>
      </c>
      <c r="D12097">
        <f>10</f>
        <v>10</v>
      </c>
      <c r="E12097" t="str">
        <f>"08 - S1 - B - 102 - Kyle  Robbins"</f>
        <v>08 - S1 - B - 102 - Kyle  Robbins</v>
      </c>
      <c r="F12097" t="str">
        <f>"PERS FIN &amp; MON MGT H"</f>
        <v>PERS FIN &amp; MON MGT H</v>
      </c>
      <c r="G12097" t="str">
        <f>"17-1745"</f>
        <v>17-1745</v>
      </c>
      <c r="H12097" t="str">
        <f>"B"</f>
        <v>B</v>
      </c>
    </row>
    <row r="12098" spans="1:8" x14ac:dyDescent="0.2">
      <c r="A12098" t="str">
        <f t="shared" ref="A12098:A12105" si="4373">"0615126759"</f>
        <v>0615126759</v>
      </c>
      <c r="B12098" t="str">
        <f t="shared" ref="B12098:B12105" si="4374">"CARTER"</f>
        <v>CARTER</v>
      </c>
      <c r="C12098" t="str">
        <f t="shared" ref="C12098:C12105" si="4375">"NANZ"</f>
        <v>NANZ</v>
      </c>
      <c r="D12098">
        <f>10</f>
        <v>10</v>
      </c>
      <c r="E12098" t="str">
        <f>"04 - A - 102 - Fernando  Vega-Cid"</f>
        <v>04 - A - 102 - Fernando  Vega-Cid</v>
      </c>
      <c r="F12098" t="str">
        <f>"PRE-CALCULUS HON"</f>
        <v>PRE-CALCULUS HON</v>
      </c>
      <c r="G12098" t="str">
        <f>"21-2163"</f>
        <v>21-2163</v>
      </c>
      <c r="H12098" t="str">
        <f>"A"</f>
        <v>A</v>
      </c>
    </row>
    <row r="12099" spans="1:8" x14ac:dyDescent="0.2">
      <c r="A12099" t="str">
        <f t="shared" si="4373"/>
        <v>0615126759</v>
      </c>
      <c r="B12099" t="str">
        <f t="shared" si="4374"/>
        <v>CARTER</v>
      </c>
      <c r="C12099" t="str">
        <f t="shared" si="4375"/>
        <v>NANZ</v>
      </c>
      <c r="D12099">
        <f>10</f>
        <v>10</v>
      </c>
      <c r="E12099" t="str">
        <f>"06 - B - 104 - Robert H Rindner"</f>
        <v>06 - B - 104 - Robert H Rindner</v>
      </c>
      <c r="F12099" t="str">
        <f>"NC STUDY HALL 1"</f>
        <v>NC STUDY HALL 1</v>
      </c>
      <c r="G12099" t="str">
        <f>"21-2160"</f>
        <v>21-2160</v>
      </c>
      <c r="H12099" t="str">
        <f>"B"</f>
        <v>B</v>
      </c>
    </row>
    <row r="12100" spans="1:8" x14ac:dyDescent="0.2">
      <c r="A12100" t="str">
        <f t="shared" si="4373"/>
        <v>0615126759</v>
      </c>
      <c r="B12100" t="str">
        <f t="shared" si="4374"/>
        <v>CARTER</v>
      </c>
      <c r="C12100" t="str">
        <f t="shared" si="4375"/>
        <v>NANZ</v>
      </c>
      <c r="D12100">
        <f>10</f>
        <v>10</v>
      </c>
      <c r="E12100" t="str">
        <f>"03 - A - 101 - Timothy J Lawrence"</f>
        <v>03 - A - 101 - Timothy J Lawrence</v>
      </c>
      <c r="F12100" t="str">
        <f>"AICE PHYS ED 1 AS"</f>
        <v>AICE PHYS ED 1 AS</v>
      </c>
      <c r="G12100" t="str">
        <f>"05-519"</f>
        <v>05-519</v>
      </c>
      <c r="H12100" t="str">
        <f>"A"</f>
        <v>A</v>
      </c>
    </row>
    <row r="12101" spans="1:8" x14ac:dyDescent="0.2">
      <c r="A12101" t="str">
        <f t="shared" si="4373"/>
        <v>0615126759</v>
      </c>
      <c r="B12101" t="str">
        <f t="shared" si="4374"/>
        <v>CARTER</v>
      </c>
      <c r="C12101" t="str">
        <f t="shared" si="4375"/>
        <v>NANZ</v>
      </c>
      <c r="D12101">
        <f>10</f>
        <v>10</v>
      </c>
      <c r="E12101" t="str">
        <f>"02 - A - 102 - Jacklyn M James"</f>
        <v>02 - A - 102 - Jacklyn M James</v>
      </c>
      <c r="F12101" t="str">
        <f>"AICE ENG LANG AS"</f>
        <v>AICE ENG LANG AS</v>
      </c>
      <c r="G12101" t="str">
        <f>"17-1731"</f>
        <v>17-1731</v>
      </c>
      <c r="H12101" t="str">
        <f>"A"</f>
        <v>A</v>
      </c>
    </row>
    <row r="12102" spans="1:8" x14ac:dyDescent="0.2">
      <c r="A12102" t="str">
        <f t="shared" si="4373"/>
        <v>0615126759</v>
      </c>
      <c r="B12102" t="str">
        <f t="shared" si="4374"/>
        <v>CARTER</v>
      </c>
      <c r="C12102" t="str">
        <f t="shared" si="4375"/>
        <v>NANZ</v>
      </c>
      <c r="D12102">
        <f>10</f>
        <v>10</v>
      </c>
      <c r="E12102" t="str">
        <f>"07 - B - 105 - Byron G Montenegro"</f>
        <v>07 - B - 105 - Byron G Montenegro</v>
      </c>
      <c r="F12102" t="str">
        <f>"AICE MARINE SCI 1 AS"</f>
        <v>AICE MARINE SCI 1 AS</v>
      </c>
      <c r="G12102" t="str">
        <f>"21-2144"</f>
        <v>21-2144</v>
      </c>
      <c r="H12102" t="str">
        <f>"B"</f>
        <v>B</v>
      </c>
    </row>
    <row r="12103" spans="1:8" x14ac:dyDescent="0.2">
      <c r="A12103" t="str">
        <f t="shared" si="4373"/>
        <v>0615126759</v>
      </c>
      <c r="B12103" t="str">
        <f t="shared" si="4374"/>
        <v>CARTER</v>
      </c>
      <c r="C12103" t="str">
        <f t="shared" si="4375"/>
        <v>NANZ</v>
      </c>
      <c r="D12103">
        <f>10</f>
        <v>10</v>
      </c>
      <c r="E12103" t="str">
        <f>"05 - B - 001 - Kelly N Panza"</f>
        <v>05 - B - 001 - Kelly N Panza</v>
      </c>
      <c r="F12103" t="str">
        <f>"AICE GLBL PERSP 1 AS"</f>
        <v>AICE GLBL PERSP 1 AS</v>
      </c>
      <c r="G12103" t="str">
        <f>"17-1753"</f>
        <v>17-1753</v>
      </c>
      <c r="H12103" t="str">
        <f>"B"</f>
        <v>B</v>
      </c>
    </row>
    <row r="12104" spans="1:8" x14ac:dyDescent="0.2">
      <c r="A12104" t="str">
        <f t="shared" si="4373"/>
        <v>0615126759</v>
      </c>
      <c r="B12104" t="str">
        <f t="shared" si="4374"/>
        <v>CARTER</v>
      </c>
      <c r="C12104" t="str">
        <f t="shared" si="4375"/>
        <v>NANZ</v>
      </c>
      <c r="D12104">
        <f>10</f>
        <v>10</v>
      </c>
      <c r="E12104" t="str">
        <f>"01 - A - 107 - Valerie J Ruwe"</f>
        <v>01 - A - 107 - Valerie J Ruwe</v>
      </c>
      <c r="F12104" t="str">
        <f>"CHEMISTRY 1 HON"</f>
        <v>CHEMISTRY 1 HON</v>
      </c>
      <c r="G12104" t="str">
        <f>"21-2134"</f>
        <v>21-2134</v>
      </c>
      <c r="H12104" t="str">
        <f>"A"</f>
        <v>A</v>
      </c>
    </row>
    <row r="12105" spans="1:8" x14ac:dyDescent="0.2">
      <c r="A12105" t="str">
        <f t="shared" si="4373"/>
        <v>0615126759</v>
      </c>
      <c r="B12105" t="str">
        <f t="shared" si="4374"/>
        <v>CARTER</v>
      </c>
      <c r="C12105" t="str">
        <f t="shared" si="4375"/>
        <v>NANZ</v>
      </c>
      <c r="D12105">
        <f>10</f>
        <v>10</v>
      </c>
      <c r="E12105" t="str">
        <f>"08 - B - 202 - Krystal Marie  Beruty"</f>
        <v>08 - B - 202 - Krystal Marie  Beruty</v>
      </c>
      <c r="F12105" t="str">
        <f>"AICE PSYCH 1 AS"</f>
        <v>AICE PSYCH 1 AS</v>
      </c>
      <c r="G12105" t="str">
        <f>"17-1721"</f>
        <v>17-1721</v>
      </c>
      <c r="H12105" t="str">
        <f>"B"</f>
        <v>B</v>
      </c>
    </row>
    <row r="12106" spans="1:8" x14ac:dyDescent="0.2">
      <c r="A12106" t="str">
        <f t="shared" ref="A12106:A12113" si="4376">"0613089268"</f>
        <v>0613089268</v>
      </c>
      <c r="B12106" t="str">
        <f t="shared" ref="B12106:B12113" si="4377">"SABRINA"</f>
        <v>SABRINA</v>
      </c>
      <c r="C12106" t="str">
        <f t="shared" ref="C12106:C12121" si="4378">"NAVARRA"</f>
        <v>NAVARRA</v>
      </c>
      <c r="D12106">
        <f>12</f>
        <v>12</v>
      </c>
      <c r="E12106" t="str">
        <f>"04 - A - 101 - Stefanie S Scher"</f>
        <v>04 - A - 101 - Stefanie S Scher</v>
      </c>
      <c r="F12106" t="str">
        <f>"AP PSYCH"</f>
        <v>AP PSYCH</v>
      </c>
      <c r="G12106" t="str">
        <f>"17-1735"</f>
        <v>17-1735</v>
      </c>
      <c r="H12106" t="str">
        <f>"A"</f>
        <v>A</v>
      </c>
    </row>
    <row r="12107" spans="1:8" x14ac:dyDescent="0.2">
      <c r="A12107" t="str">
        <f t="shared" si="4376"/>
        <v>0613089268</v>
      </c>
      <c r="B12107" t="str">
        <f t="shared" si="4377"/>
        <v>SABRINA</v>
      </c>
      <c r="C12107" t="str">
        <f t="shared" si="4378"/>
        <v>NAVARRA</v>
      </c>
      <c r="D12107">
        <f>12</f>
        <v>12</v>
      </c>
      <c r="E12107" t="str">
        <f>"06 - B - 112 - Lisa  Quinn"</f>
        <v>06 - B - 112 - Lisa  Quinn</v>
      </c>
      <c r="F12107" t="str">
        <f>"NC STUDY HALL 1"</f>
        <v>NC STUDY HALL 1</v>
      </c>
      <c r="G12107" t="str">
        <f>"17-1725"</f>
        <v>17-1725</v>
      </c>
      <c r="H12107" t="str">
        <f>"B"</f>
        <v>B</v>
      </c>
    </row>
    <row r="12108" spans="1:8" x14ac:dyDescent="0.2">
      <c r="A12108" t="str">
        <f t="shared" si="4376"/>
        <v>0613089268</v>
      </c>
      <c r="B12108" t="str">
        <f t="shared" si="4377"/>
        <v>SABRINA</v>
      </c>
      <c r="C12108" t="str">
        <f t="shared" si="4378"/>
        <v>NAVARRA</v>
      </c>
      <c r="D12108">
        <f>12</f>
        <v>12</v>
      </c>
      <c r="E12108" t="str">
        <f>"03 - A - 101 - Lisa J London"</f>
        <v>03 - A - 101 - Lisa J London</v>
      </c>
      <c r="F12108" t="str">
        <f>"AP CAPSTONE RESEARCH"</f>
        <v>AP CAPSTONE RESEARCH</v>
      </c>
      <c r="G12108" t="str">
        <f>"17-1714"</f>
        <v>17-1714</v>
      </c>
      <c r="H12108" t="str">
        <f>"A"</f>
        <v>A</v>
      </c>
    </row>
    <row r="12109" spans="1:8" x14ac:dyDescent="0.2">
      <c r="A12109" t="str">
        <f t="shared" si="4376"/>
        <v>0613089268</v>
      </c>
      <c r="B12109" t="str">
        <f t="shared" si="4377"/>
        <v>SABRINA</v>
      </c>
      <c r="C12109" t="str">
        <f t="shared" si="4378"/>
        <v>NAVARRA</v>
      </c>
      <c r="D12109">
        <f>12</f>
        <v>12</v>
      </c>
      <c r="E12109" t="str">
        <f>"02 - A - 102 - Norayda D Suarez"</f>
        <v>02 - A - 102 - Norayda D Suarez</v>
      </c>
      <c r="F12109" t="str">
        <f>"RESEARCH 1 LH"</f>
        <v>RESEARCH 1 LH</v>
      </c>
      <c r="G12109">
        <f>2041</f>
        <v>2041</v>
      </c>
      <c r="H12109" t="str">
        <f>"A"</f>
        <v>A</v>
      </c>
    </row>
    <row r="12110" spans="1:8" x14ac:dyDescent="0.2">
      <c r="A12110" t="str">
        <f t="shared" si="4376"/>
        <v>0613089268</v>
      </c>
      <c r="B12110" t="str">
        <f t="shared" si="4377"/>
        <v>SABRINA</v>
      </c>
      <c r="C12110" t="str">
        <f t="shared" si="4378"/>
        <v>NAVARRA</v>
      </c>
      <c r="D12110">
        <f>12</f>
        <v>12</v>
      </c>
      <c r="E12110" t="str">
        <f>"07 - S1 - B - 101 - Stephen T Ripp"</f>
        <v>07 - S1 - B - 101 - Stephen T Ripp</v>
      </c>
      <c r="F12110" t="str">
        <f>"AP US GOVT/POL"</f>
        <v>AP US GOVT/POL</v>
      </c>
      <c r="G12110" t="str">
        <f>"17-1744"</f>
        <v>17-1744</v>
      </c>
      <c r="H12110" t="str">
        <f>"B"</f>
        <v>B</v>
      </c>
    </row>
    <row r="12111" spans="1:8" x14ac:dyDescent="0.2">
      <c r="A12111" t="str">
        <f t="shared" si="4376"/>
        <v>0613089268</v>
      </c>
      <c r="B12111" t="str">
        <f t="shared" si="4377"/>
        <v>SABRINA</v>
      </c>
      <c r="C12111" t="str">
        <f t="shared" si="4378"/>
        <v>NAVARRA</v>
      </c>
      <c r="D12111">
        <f>12</f>
        <v>12</v>
      </c>
      <c r="E12111" t="str">
        <f>"05 - B - 101 - Pamela M Corzo"</f>
        <v>05 - B - 101 - Pamela M Corzo</v>
      </c>
      <c r="F12111" t="str">
        <f>"AP CALCULUS AB"</f>
        <v>AP CALCULUS AB</v>
      </c>
      <c r="G12111" t="str">
        <f>"21-2133"</f>
        <v>21-2133</v>
      </c>
      <c r="H12111" t="str">
        <f>"B"</f>
        <v>B</v>
      </c>
    </row>
    <row r="12112" spans="1:8" x14ac:dyDescent="0.2">
      <c r="A12112" t="str">
        <f t="shared" si="4376"/>
        <v>0613089268</v>
      </c>
      <c r="B12112" t="str">
        <f t="shared" si="4377"/>
        <v>SABRINA</v>
      </c>
      <c r="C12112" t="str">
        <f t="shared" si="4378"/>
        <v>NAVARRA</v>
      </c>
      <c r="D12112">
        <f>12</f>
        <v>12</v>
      </c>
      <c r="E12112" t="str">
        <f>"01 - A - 101 - Marielle A Witting"</f>
        <v>01 - A - 101 - Marielle A Witting</v>
      </c>
      <c r="F12112" t="str">
        <f>"AP BIO"</f>
        <v>AP BIO</v>
      </c>
      <c r="G12112" t="str">
        <f>"08-805"</f>
        <v>08-805</v>
      </c>
      <c r="H12112" t="str">
        <f>"A"</f>
        <v>A</v>
      </c>
    </row>
    <row r="12113" spans="1:8" x14ac:dyDescent="0.2">
      <c r="A12113" t="str">
        <f t="shared" si="4376"/>
        <v>0613089268</v>
      </c>
      <c r="B12113" t="str">
        <f t="shared" si="4377"/>
        <v>SABRINA</v>
      </c>
      <c r="C12113" t="str">
        <f t="shared" si="4378"/>
        <v>NAVARRA</v>
      </c>
      <c r="D12113">
        <f>12</f>
        <v>12</v>
      </c>
      <c r="E12113" t="str">
        <f>"08 - B - 203 - Courtney E Hambright"</f>
        <v>08 - B - 203 - Courtney E Hambright</v>
      </c>
      <c r="F12113" t="str">
        <f>"AP ENG LIT COMPO"</f>
        <v>AP ENG LIT COMPO</v>
      </c>
      <c r="G12113" t="str">
        <f>"17-1711"</f>
        <v>17-1711</v>
      </c>
      <c r="H12113" t="str">
        <f>"B"</f>
        <v>B</v>
      </c>
    </row>
    <row r="12114" spans="1:8" x14ac:dyDescent="0.2">
      <c r="A12114" t="str">
        <f t="shared" ref="A12114:A12121" si="4379">"0614092694"</f>
        <v>0614092694</v>
      </c>
      <c r="B12114" t="str">
        <f t="shared" ref="B12114:B12121" si="4380">"VALENTINA"</f>
        <v>VALENTINA</v>
      </c>
      <c r="C12114" t="str">
        <f t="shared" si="4378"/>
        <v>NAVARRA</v>
      </c>
      <c r="D12114">
        <f>11</f>
        <v>11</v>
      </c>
      <c r="E12114" t="str">
        <f>"04 - A - 101 - Stephen T Ripp"</f>
        <v>04 - A - 101 - Stephen T Ripp</v>
      </c>
      <c r="F12114" t="str">
        <f>"AP U.S. HIST"</f>
        <v>AP U.S. HIST</v>
      </c>
      <c r="G12114" t="str">
        <f>"17-1744"</f>
        <v>17-1744</v>
      </c>
      <c r="H12114" t="str">
        <f>"A"</f>
        <v>A</v>
      </c>
    </row>
    <row r="12115" spans="1:8" x14ac:dyDescent="0.2">
      <c r="A12115" t="str">
        <f t="shared" si="4379"/>
        <v>0614092694</v>
      </c>
      <c r="B12115" t="str">
        <f t="shared" si="4380"/>
        <v>VALENTINA</v>
      </c>
      <c r="C12115" t="str">
        <f t="shared" si="4378"/>
        <v>NAVARRA</v>
      </c>
      <c r="D12115">
        <f>11</f>
        <v>11</v>
      </c>
      <c r="E12115" t="str">
        <f>"06 - B - 102 - Rosa Elaine  Collado-Duff"</f>
        <v>06 - B - 102 - Rosa Elaine  Collado-Duff</v>
      </c>
      <c r="F12115" t="str">
        <f>"SPANISH 3 HON"</f>
        <v>SPANISH 3 HON</v>
      </c>
      <c r="G12115" t="str">
        <f>"09-913"</f>
        <v>09-913</v>
      </c>
      <c r="H12115" t="str">
        <f>"B"</f>
        <v>B</v>
      </c>
    </row>
    <row r="12116" spans="1:8" x14ac:dyDescent="0.2">
      <c r="A12116" t="str">
        <f t="shared" si="4379"/>
        <v>0614092694</v>
      </c>
      <c r="B12116" t="str">
        <f t="shared" si="4380"/>
        <v>VALENTINA</v>
      </c>
      <c r="C12116" t="str">
        <f t="shared" si="4378"/>
        <v>NAVARRA</v>
      </c>
      <c r="D12116">
        <f>11</f>
        <v>11</v>
      </c>
      <c r="E12116" t="str">
        <f>"03 - A - 101 - Carleigh R Carmichael"</f>
        <v>03 - A - 101 - Carleigh R Carmichael</v>
      </c>
      <c r="F12116" t="str">
        <f>"LEAD SKLS DEV LH"</f>
        <v>LEAD SKLS DEV LH</v>
      </c>
      <c r="G12116" t="str">
        <f>"20-2072"</f>
        <v>20-2072</v>
      </c>
      <c r="H12116" t="str">
        <f>"A"</f>
        <v>A</v>
      </c>
    </row>
    <row r="12117" spans="1:8" x14ac:dyDescent="0.2">
      <c r="A12117" t="str">
        <f t="shared" si="4379"/>
        <v>0614092694</v>
      </c>
      <c r="B12117" t="str">
        <f t="shared" si="4380"/>
        <v>VALENTINA</v>
      </c>
      <c r="C12117" t="str">
        <f t="shared" si="4378"/>
        <v>NAVARRA</v>
      </c>
      <c r="D12117">
        <f>11</f>
        <v>11</v>
      </c>
      <c r="E12117" t="str">
        <f>"02 - A - 104 - Dayna M Foster"</f>
        <v>02 - A - 104 - Dayna M Foster</v>
      </c>
      <c r="F12117" t="str">
        <f>"NC STUDY HALL 1"</f>
        <v>NC STUDY HALL 1</v>
      </c>
      <c r="G12117" t="str">
        <f>"21-2109"</f>
        <v>21-2109</v>
      </c>
      <c r="H12117" t="str">
        <f>"A"</f>
        <v>A</v>
      </c>
    </row>
    <row r="12118" spans="1:8" x14ac:dyDescent="0.2">
      <c r="A12118" t="str">
        <f t="shared" si="4379"/>
        <v>0614092694</v>
      </c>
      <c r="B12118" t="str">
        <f t="shared" si="4380"/>
        <v>VALENTINA</v>
      </c>
      <c r="C12118" t="str">
        <f t="shared" si="4378"/>
        <v>NAVARRA</v>
      </c>
      <c r="D12118">
        <f>11</f>
        <v>11</v>
      </c>
      <c r="E12118" t="str">
        <f>"07 - B - 102 - Pamela M Corzo"</f>
        <v>07 - B - 102 - Pamela M Corzo</v>
      </c>
      <c r="F12118" t="str">
        <f>"AP CALCULUS AB"</f>
        <v>AP CALCULUS AB</v>
      </c>
      <c r="G12118" t="str">
        <f>"21-2133"</f>
        <v>21-2133</v>
      </c>
      <c r="H12118" t="str">
        <f>"B"</f>
        <v>B</v>
      </c>
    </row>
    <row r="12119" spans="1:8" x14ac:dyDescent="0.2">
      <c r="A12119" t="str">
        <f t="shared" si="4379"/>
        <v>0614092694</v>
      </c>
      <c r="B12119" t="str">
        <f t="shared" si="4380"/>
        <v>VALENTINA</v>
      </c>
      <c r="C12119" t="str">
        <f t="shared" si="4378"/>
        <v>NAVARRA</v>
      </c>
      <c r="D12119">
        <f>11</f>
        <v>11</v>
      </c>
      <c r="E12119" t="str">
        <f>"05 - B - 103 - Tina M Jaramillo"</f>
        <v>05 - B - 103 - Tina M Jaramillo</v>
      </c>
      <c r="F12119" t="str">
        <f>"AP ENG COMPO"</f>
        <v>AP ENG COMPO</v>
      </c>
      <c r="G12119" t="str">
        <f>"17-1706"</f>
        <v>17-1706</v>
      </c>
      <c r="H12119" t="str">
        <f>"B"</f>
        <v>B</v>
      </c>
    </row>
    <row r="12120" spans="1:8" x14ac:dyDescent="0.2">
      <c r="A12120" t="str">
        <f t="shared" si="4379"/>
        <v>0614092694</v>
      </c>
      <c r="B12120" t="str">
        <f t="shared" si="4380"/>
        <v>VALENTINA</v>
      </c>
      <c r="C12120" t="str">
        <f t="shared" si="4378"/>
        <v>NAVARRA</v>
      </c>
      <c r="D12120">
        <f>11</f>
        <v>11</v>
      </c>
      <c r="E12120" t="str">
        <f>"01 - A - 101 - Lisa J London"</f>
        <v>01 - A - 101 - Lisa J London</v>
      </c>
      <c r="F12120" t="str">
        <f>"AP CAPSTONE SEMINAR"</f>
        <v>AP CAPSTONE SEMINAR</v>
      </c>
      <c r="G12120" t="str">
        <f>"17-1714"</f>
        <v>17-1714</v>
      </c>
      <c r="H12120" t="str">
        <f>"A"</f>
        <v>A</v>
      </c>
    </row>
    <row r="12121" spans="1:8" x14ac:dyDescent="0.2">
      <c r="A12121" t="str">
        <f t="shared" si="4379"/>
        <v>0614092694</v>
      </c>
      <c r="B12121" t="str">
        <f t="shared" si="4380"/>
        <v>VALENTINA</v>
      </c>
      <c r="C12121" t="str">
        <f t="shared" si="4378"/>
        <v>NAVARRA</v>
      </c>
      <c r="D12121">
        <f>11</f>
        <v>11</v>
      </c>
      <c r="E12121" t="str">
        <f>"08 - B - 102 - Jacqueline R Morphet"</f>
        <v>08 - B - 102 - Jacqueline R Morphet</v>
      </c>
      <c r="F12121" t="str">
        <f>"AP PHYSICS 1"</f>
        <v>AP PHYSICS 1</v>
      </c>
      <c r="G12121" t="str">
        <f>"21-2138"</f>
        <v>21-2138</v>
      </c>
      <c r="H12121" t="str">
        <f>"B"</f>
        <v>B</v>
      </c>
    </row>
    <row r="12122" spans="1:8" x14ac:dyDescent="0.2">
      <c r="A12122" t="str">
        <f t="shared" ref="A12122:A12130" si="4381">"0613010355"</f>
        <v>0613010355</v>
      </c>
      <c r="B12122" t="str">
        <f t="shared" ref="B12122:B12130" si="4382">"LEONARDO"</f>
        <v>LEONARDO</v>
      </c>
      <c r="C12122" t="str">
        <f t="shared" ref="C12122:C12130" si="4383">"NAVARRO"</f>
        <v>NAVARRO</v>
      </c>
      <c r="D12122">
        <f>12</f>
        <v>12</v>
      </c>
      <c r="E12122" t="str">
        <f>"19 - S1 - MTWHF - A18 - Instructor FAU"</f>
        <v>19 - S1 - MTWHF - A18 - Instructor FAU</v>
      </c>
      <c r="F12122" t="str">
        <f>"PRIN ECONOMICS II"</f>
        <v>PRIN ECONOMICS II</v>
      </c>
      <c r="G12122" t="str">
        <f>"60-DE"</f>
        <v>60-DE</v>
      </c>
      <c r="H12122" t="str">
        <f>"-"</f>
        <v>-</v>
      </c>
    </row>
    <row r="12123" spans="1:8" x14ac:dyDescent="0.2">
      <c r="A12123" t="str">
        <f t="shared" si="4381"/>
        <v>0613010355</v>
      </c>
      <c r="B12123" t="str">
        <f t="shared" si="4382"/>
        <v>LEONARDO</v>
      </c>
      <c r="C12123" t="str">
        <f t="shared" si="4383"/>
        <v>NAVARRO</v>
      </c>
      <c r="D12123">
        <f>12</f>
        <v>12</v>
      </c>
      <c r="E12123" t="str">
        <f>"04 - A - 106 - Tina M Jaramillo"</f>
        <v>04 - A - 106 - Tina M Jaramillo</v>
      </c>
      <c r="F12123" t="str">
        <f>"AP ENG LIT COMPO"</f>
        <v>AP ENG LIT COMPO</v>
      </c>
      <c r="G12123" t="str">
        <f>"17-1706"</f>
        <v>17-1706</v>
      </c>
      <c r="H12123" t="str">
        <f>"A"</f>
        <v>A</v>
      </c>
    </row>
    <row r="12124" spans="1:8" x14ac:dyDescent="0.2">
      <c r="A12124" t="str">
        <f t="shared" si="4381"/>
        <v>0613010355</v>
      </c>
      <c r="B12124" t="str">
        <f t="shared" si="4382"/>
        <v>LEONARDO</v>
      </c>
      <c r="C12124" t="str">
        <f t="shared" si="4383"/>
        <v>NAVARRO</v>
      </c>
      <c r="D12124">
        <f>12</f>
        <v>12</v>
      </c>
      <c r="E12124" t="str">
        <f>"06 - B - 001 - Robert O Burger"</f>
        <v>06 - B - 001 - Robert O Burger</v>
      </c>
      <c r="F12124" t="str">
        <f>"NC STUDY HALL 1"</f>
        <v>NC STUDY HALL 1</v>
      </c>
      <c r="G12124" t="str">
        <f>"17-1755"</f>
        <v>17-1755</v>
      </c>
      <c r="H12124" t="str">
        <f>"B"</f>
        <v>B</v>
      </c>
    </row>
    <row r="12125" spans="1:8" x14ac:dyDescent="0.2">
      <c r="A12125" t="str">
        <f t="shared" si="4381"/>
        <v>0613010355</v>
      </c>
      <c r="B12125" t="str">
        <f t="shared" si="4382"/>
        <v>LEONARDO</v>
      </c>
      <c r="C12125" t="str">
        <f t="shared" si="4383"/>
        <v>NAVARRO</v>
      </c>
      <c r="D12125">
        <f>12</f>
        <v>12</v>
      </c>
      <c r="E12125" t="str">
        <f>"03 - A - 101 - Jacqueline R Morphet"</f>
        <v>03 - A - 101 - Jacqueline R Morphet</v>
      </c>
      <c r="F12125" t="str">
        <f>"AP PHYSICS 1"</f>
        <v>AP PHYSICS 1</v>
      </c>
      <c r="G12125" t="str">
        <f>"21-2138"</f>
        <v>21-2138</v>
      </c>
      <c r="H12125" t="str">
        <f>"A"</f>
        <v>A</v>
      </c>
    </row>
    <row r="12126" spans="1:8" x14ac:dyDescent="0.2">
      <c r="A12126" t="str">
        <f t="shared" si="4381"/>
        <v>0613010355</v>
      </c>
      <c r="B12126" t="str">
        <f t="shared" si="4382"/>
        <v>LEONARDO</v>
      </c>
      <c r="C12126" t="str">
        <f t="shared" si="4383"/>
        <v>NAVARRO</v>
      </c>
      <c r="D12126">
        <f>12</f>
        <v>12</v>
      </c>
      <c r="E12126" t="str">
        <f>"02 - S1 - A - 101 - James H Mccann"</f>
        <v>02 - S1 - A - 101 - James H Mccann</v>
      </c>
      <c r="F12126" t="str">
        <f>"PERS FIN &amp; MON MGT H"</f>
        <v>PERS FIN &amp; MON MGT H</v>
      </c>
      <c r="G12126" t="str">
        <f>"17-1716"</f>
        <v>17-1716</v>
      </c>
      <c r="H12126" t="str">
        <f>"A"</f>
        <v>A</v>
      </c>
    </row>
    <row r="12127" spans="1:8" x14ac:dyDescent="0.2">
      <c r="A12127" t="str">
        <f t="shared" si="4381"/>
        <v>0613010355</v>
      </c>
      <c r="B12127" t="str">
        <f t="shared" si="4382"/>
        <v>LEONARDO</v>
      </c>
      <c r="C12127" t="str">
        <f t="shared" si="4383"/>
        <v>NAVARRO</v>
      </c>
      <c r="D12127">
        <f>12</f>
        <v>12</v>
      </c>
      <c r="E12127" t="str">
        <f>"07 - S1 - B - 101 - Stephen T Ripp"</f>
        <v>07 - S1 - B - 101 - Stephen T Ripp</v>
      </c>
      <c r="F12127" t="str">
        <f>"AP US GOVT/POL"</f>
        <v>AP US GOVT/POL</v>
      </c>
      <c r="G12127" t="str">
        <f>"17-1744"</f>
        <v>17-1744</v>
      </c>
      <c r="H12127" t="str">
        <f>"B"</f>
        <v>B</v>
      </c>
    </row>
    <row r="12128" spans="1:8" x14ac:dyDescent="0.2">
      <c r="A12128" t="str">
        <f t="shared" si="4381"/>
        <v>0613010355</v>
      </c>
      <c r="B12128" t="str">
        <f t="shared" si="4382"/>
        <v>LEONARDO</v>
      </c>
      <c r="C12128" t="str">
        <f t="shared" si="4383"/>
        <v>NAVARRO</v>
      </c>
      <c r="D12128">
        <f>12</f>
        <v>12</v>
      </c>
      <c r="E12128" t="str">
        <f>"05 - B - 101 - Jordana K Hass"</f>
        <v>05 - B - 101 - Jordana K Hass</v>
      </c>
      <c r="F12128" t="str">
        <f>"AP COMP SCI PRIN"</f>
        <v>AP COMP SCI PRIN</v>
      </c>
      <c r="G12128" t="str">
        <f>"08-807"</f>
        <v>08-807</v>
      </c>
      <c r="H12128" t="str">
        <f>"B"</f>
        <v>B</v>
      </c>
    </row>
    <row r="12129" spans="1:8" x14ac:dyDescent="0.2">
      <c r="A12129" t="str">
        <f t="shared" si="4381"/>
        <v>0613010355</v>
      </c>
      <c r="B12129" t="str">
        <f t="shared" si="4382"/>
        <v>LEONARDO</v>
      </c>
      <c r="C12129" t="str">
        <f t="shared" si="4383"/>
        <v>NAVARRO</v>
      </c>
      <c r="D12129">
        <f>12</f>
        <v>12</v>
      </c>
      <c r="E12129" t="str">
        <f>"01 - A - 103 - Semra  Bahadir"</f>
        <v>01 - A - 103 - Semra  Bahadir</v>
      </c>
      <c r="F12129" t="str">
        <f>"MATH COLL ALGEBRA"</f>
        <v>MATH COLL ALGEBRA</v>
      </c>
      <c r="G12129" t="str">
        <f>"21-2107"</f>
        <v>21-2107</v>
      </c>
      <c r="H12129" t="str">
        <f>"A"</f>
        <v>A</v>
      </c>
    </row>
    <row r="12130" spans="1:8" x14ac:dyDescent="0.2">
      <c r="A12130" t="str">
        <f t="shared" si="4381"/>
        <v>0613010355</v>
      </c>
      <c r="B12130" t="str">
        <f t="shared" si="4382"/>
        <v>LEONARDO</v>
      </c>
      <c r="C12130" t="str">
        <f t="shared" si="4383"/>
        <v>NAVARRO</v>
      </c>
      <c r="D12130">
        <f>12</f>
        <v>12</v>
      </c>
      <c r="E12130" t="str">
        <f>"08 - B - 101 - Rosa Elaine  Collado-Duff"</f>
        <v>08 - B - 101 - Rosa Elaine  Collado-Duff</v>
      </c>
      <c r="F12130" t="str">
        <f>"AP SPANISH LANG &amp; CU"</f>
        <v>AP SPANISH LANG &amp; CU</v>
      </c>
      <c r="G12130" t="str">
        <f>"09-913"</f>
        <v>09-913</v>
      </c>
      <c r="H12130" t="str">
        <f>"B"</f>
        <v>B</v>
      </c>
    </row>
    <row r="12131" spans="1:8" x14ac:dyDescent="0.2">
      <c r="A12131" t="str">
        <f t="shared" ref="A12131:A12138" si="4384">"0617142298"</f>
        <v>0617142298</v>
      </c>
      <c r="B12131" t="str">
        <f t="shared" ref="B12131:B12138" si="4385">"MANUEL"</f>
        <v>MANUEL</v>
      </c>
      <c r="C12131" t="str">
        <f t="shared" ref="C12131:C12138" si="4386">"NAVEDA PEREZ"</f>
        <v>NAVEDA PEREZ</v>
      </c>
      <c r="D12131">
        <f>11</f>
        <v>11</v>
      </c>
      <c r="E12131" t="str">
        <f>"04 - A - 103 - Daniel S Tyson"</f>
        <v>04 - A - 103 - Daniel S Tyson</v>
      </c>
      <c r="F12131" t="str">
        <f>"JROTC NAVAL SCI 3"</f>
        <v>JROTC NAVAL SCI 3</v>
      </c>
      <c r="G12131" t="str">
        <f>"05-510"</f>
        <v>05-510</v>
      </c>
      <c r="H12131" t="str">
        <f>"A"</f>
        <v>A</v>
      </c>
    </row>
    <row r="12132" spans="1:8" x14ac:dyDescent="0.2">
      <c r="A12132" t="str">
        <f t="shared" si="4384"/>
        <v>0617142298</v>
      </c>
      <c r="B12132" t="str">
        <f t="shared" si="4385"/>
        <v>MANUEL</v>
      </c>
      <c r="C12132" t="str">
        <f t="shared" si="4386"/>
        <v>NAVEDA PEREZ</v>
      </c>
      <c r="D12132">
        <f>11</f>
        <v>11</v>
      </c>
      <c r="E12132" t="str">
        <f>"06 - B - 204 - Chrystina M Marchionne"</f>
        <v>06 - B - 204 - Chrystina M Marchionne</v>
      </c>
      <c r="F12132" t="str">
        <f>"AICE MEDIASTUDIES AS"</f>
        <v>AICE MEDIASTUDIES AS</v>
      </c>
      <c r="G12132" t="str">
        <f>"05-520"</f>
        <v>05-520</v>
      </c>
      <c r="H12132" t="str">
        <f>"B"</f>
        <v>B</v>
      </c>
    </row>
    <row r="12133" spans="1:8" x14ac:dyDescent="0.2">
      <c r="A12133" t="str">
        <f t="shared" si="4384"/>
        <v>0617142298</v>
      </c>
      <c r="B12133" t="str">
        <f t="shared" si="4385"/>
        <v>MANUEL</v>
      </c>
      <c r="C12133" t="str">
        <f t="shared" si="4386"/>
        <v>NAVEDA PEREZ</v>
      </c>
      <c r="D12133">
        <f>11</f>
        <v>11</v>
      </c>
      <c r="E12133" t="str">
        <f>"03 - A - 102 - Cliffon  Saurel"</f>
        <v>03 - A - 102 - Cliffon  Saurel</v>
      </c>
      <c r="F12133" t="str">
        <f>"PHYSICAL SCI"</f>
        <v>PHYSICAL SCI</v>
      </c>
      <c r="G12133" t="str">
        <f>"05-522"</f>
        <v>05-522</v>
      </c>
      <c r="H12133" t="str">
        <f>"A"</f>
        <v>A</v>
      </c>
    </row>
    <row r="12134" spans="1:8" x14ac:dyDescent="0.2">
      <c r="A12134" t="str">
        <f t="shared" si="4384"/>
        <v>0617142298</v>
      </c>
      <c r="B12134" t="str">
        <f t="shared" si="4385"/>
        <v>MANUEL</v>
      </c>
      <c r="C12134" t="str">
        <f t="shared" si="4386"/>
        <v>NAVEDA PEREZ</v>
      </c>
      <c r="D12134">
        <f>11</f>
        <v>11</v>
      </c>
      <c r="E12134" t="str">
        <f>"02 - A - 001 - Courtney E Hambright"</f>
        <v>02 - A - 001 - Courtney E Hambright</v>
      </c>
      <c r="F12134" t="str">
        <f>"NC STUDY HALL 1"</f>
        <v>NC STUDY HALL 1</v>
      </c>
      <c r="G12134" t="str">
        <f>"17-1711"</f>
        <v>17-1711</v>
      </c>
      <c r="H12134" t="str">
        <f>"A"</f>
        <v>A</v>
      </c>
    </row>
    <row r="12135" spans="1:8" x14ac:dyDescent="0.2">
      <c r="A12135" t="str">
        <f t="shared" si="4384"/>
        <v>0617142298</v>
      </c>
      <c r="B12135" t="str">
        <f t="shared" si="4385"/>
        <v>MANUEL</v>
      </c>
      <c r="C12135" t="str">
        <f t="shared" si="4386"/>
        <v>NAVEDA PEREZ</v>
      </c>
      <c r="D12135">
        <f>11</f>
        <v>11</v>
      </c>
      <c r="E12135" t="str">
        <f>"07 - B - 106 - James H Mccann"</f>
        <v>07 - B - 106 - James H Mccann</v>
      </c>
      <c r="F12135" t="str">
        <f>"ALGEBRA 2"</f>
        <v>ALGEBRA 2</v>
      </c>
      <c r="G12135" t="str">
        <f>"17-1716"</f>
        <v>17-1716</v>
      </c>
      <c r="H12135" t="str">
        <f>"B"</f>
        <v>B</v>
      </c>
    </row>
    <row r="12136" spans="1:8" x14ac:dyDescent="0.2">
      <c r="A12136" t="str">
        <f t="shared" si="4384"/>
        <v>0617142298</v>
      </c>
      <c r="B12136" t="str">
        <f t="shared" si="4385"/>
        <v>MANUEL</v>
      </c>
      <c r="C12136" t="str">
        <f t="shared" si="4386"/>
        <v>NAVEDA PEREZ</v>
      </c>
      <c r="D12136">
        <f>11</f>
        <v>11</v>
      </c>
      <c r="E12136" t="str">
        <f>"05 - B - 001 - Kyle  Robbins"</f>
        <v>05 - B - 001 - Kyle  Robbins</v>
      </c>
      <c r="F12136" t="str">
        <f>"US HISTORY HON"</f>
        <v>US HISTORY HON</v>
      </c>
      <c r="G12136" t="str">
        <f>"17-1745"</f>
        <v>17-1745</v>
      </c>
      <c r="H12136" t="str">
        <f>"B"</f>
        <v>B</v>
      </c>
    </row>
    <row r="12137" spans="1:8" x14ac:dyDescent="0.2">
      <c r="A12137" t="str">
        <f t="shared" si="4384"/>
        <v>0617142298</v>
      </c>
      <c r="B12137" t="str">
        <f t="shared" si="4385"/>
        <v>MANUEL</v>
      </c>
      <c r="C12137" t="str">
        <f t="shared" si="4386"/>
        <v>NAVEDA PEREZ</v>
      </c>
      <c r="D12137">
        <f>11</f>
        <v>11</v>
      </c>
      <c r="E12137" t="str">
        <f>"01 - A - 101 - Jacklyn M James"</f>
        <v>01 - A - 101 - Jacklyn M James</v>
      </c>
      <c r="F12137" t="str">
        <f>"AICE ENG LANG AS"</f>
        <v>AICE ENG LANG AS</v>
      </c>
      <c r="G12137" t="str">
        <f>"17-1731"</f>
        <v>17-1731</v>
      </c>
      <c r="H12137" t="str">
        <f>"A"</f>
        <v>A</v>
      </c>
    </row>
    <row r="12138" spans="1:8" x14ac:dyDescent="0.2">
      <c r="A12138" t="str">
        <f t="shared" si="4384"/>
        <v>0617142298</v>
      </c>
      <c r="B12138" t="str">
        <f t="shared" si="4385"/>
        <v>MANUEL</v>
      </c>
      <c r="C12138" t="str">
        <f t="shared" si="4386"/>
        <v>NAVEDA PEREZ</v>
      </c>
      <c r="D12138">
        <f>11</f>
        <v>11</v>
      </c>
      <c r="E12138" t="str">
        <f>"08 - B - 201 - Stacey A Blecker"</f>
        <v>08 - B - 201 - Stacey A Blecker</v>
      </c>
      <c r="F12138" t="str">
        <f>"AICE SOCIOLOGY 1 AS"</f>
        <v>AICE SOCIOLOGY 1 AS</v>
      </c>
      <c r="G12138" t="str">
        <f>"09-926"</f>
        <v>09-926</v>
      </c>
      <c r="H12138" t="str">
        <f>"B"</f>
        <v>B</v>
      </c>
    </row>
    <row r="12139" spans="1:8" x14ac:dyDescent="0.2">
      <c r="A12139" t="str">
        <f t="shared" ref="A12139:A12146" si="4387">"0615132429"</f>
        <v>0615132429</v>
      </c>
      <c r="B12139" t="str">
        <f t="shared" ref="B12139:B12146" si="4388">"TRACY"</f>
        <v>TRACY</v>
      </c>
      <c r="C12139" t="str">
        <f t="shared" ref="C12139:C12146" si="4389">"NAZAIRE"</f>
        <v>NAZAIRE</v>
      </c>
      <c r="D12139">
        <f>12</f>
        <v>12</v>
      </c>
      <c r="E12139" t="str">
        <f>"04 - A - 102 - Jordana K Hass"</f>
        <v>04 - A - 102 - Jordana K Hass</v>
      </c>
      <c r="F12139" t="str">
        <f>"CHEMISTRY 1"</f>
        <v>CHEMISTRY 1</v>
      </c>
      <c r="G12139" t="str">
        <f>"08-807"</f>
        <v>08-807</v>
      </c>
      <c r="H12139" t="str">
        <f>"A"</f>
        <v>A</v>
      </c>
    </row>
    <row r="12140" spans="1:8" x14ac:dyDescent="0.2">
      <c r="A12140" t="str">
        <f t="shared" si="4387"/>
        <v>0615132429</v>
      </c>
      <c r="B12140" t="str">
        <f t="shared" si="4388"/>
        <v>TRACY</v>
      </c>
      <c r="C12140" t="str">
        <f t="shared" si="4389"/>
        <v>NAZAIRE</v>
      </c>
      <c r="D12140">
        <f>12</f>
        <v>12</v>
      </c>
      <c r="E12140" t="str">
        <f>"06 - B - 104 - Vanessa J Liburd"</f>
        <v>06 - B - 104 - Vanessa J Liburd</v>
      </c>
      <c r="F12140" t="str">
        <f>"NC STUDY HALL 1"</f>
        <v>NC STUDY HALL 1</v>
      </c>
      <c r="G12140" t="str">
        <f>"05-519"</f>
        <v>05-519</v>
      </c>
      <c r="H12140" t="str">
        <f>"B"</f>
        <v>B</v>
      </c>
    </row>
    <row r="12141" spans="1:8" x14ac:dyDescent="0.2">
      <c r="A12141" t="str">
        <f t="shared" si="4387"/>
        <v>0615132429</v>
      </c>
      <c r="B12141" t="str">
        <f t="shared" si="4388"/>
        <v>TRACY</v>
      </c>
      <c r="C12141" t="str">
        <f t="shared" si="4389"/>
        <v>NAZAIRE</v>
      </c>
      <c r="D12141">
        <f>12</f>
        <v>12</v>
      </c>
      <c r="E12141" t="str">
        <f>"03 - A - 101 - Jeffrey S Gallagher"</f>
        <v>03 - A - 101 - Jeffrey S Gallagher</v>
      </c>
      <c r="F12141" t="str">
        <f>"ENG HON 4"</f>
        <v>ENG HON 4</v>
      </c>
      <c r="G12141" t="str">
        <f>"17-1724"</f>
        <v>17-1724</v>
      </c>
      <c r="H12141" t="str">
        <f>"A"</f>
        <v>A</v>
      </c>
    </row>
    <row r="12142" spans="1:8" x14ac:dyDescent="0.2">
      <c r="A12142" t="str">
        <f t="shared" si="4387"/>
        <v>0615132429</v>
      </c>
      <c r="B12142" t="str">
        <f t="shared" si="4388"/>
        <v>TRACY</v>
      </c>
      <c r="C12142" t="str">
        <f t="shared" si="4389"/>
        <v>NAZAIRE</v>
      </c>
      <c r="D12142">
        <f>12</f>
        <v>12</v>
      </c>
      <c r="E12142" t="str">
        <f>"02 - A - 105 - Semra  Bahadir"</f>
        <v>02 - A - 105 - Semra  Bahadir</v>
      </c>
      <c r="F12142" t="str">
        <f>"ALGEBRA 2"</f>
        <v>ALGEBRA 2</v>
      </c>
      <c r="G12142" t="str">
        <f>"21-2107"</f>
        <v>21-2107</v>
      </c>
      <c r="H12142" t="str">
        <f>"A"</f>
        <v>A</v>
      </c>
    </row>
    <row r="12143" spans="1:8" x14ac:dyDescent="0.2">
      <c r="A12143" t="str">
        <f t="shared" si="4387"/>
        <v>0615132429</v>
      </c>
      <c r="B12143" t="str">
        <f t="shared" si="4388"/>
        <v>TRACY</v>
      </c>
      <c r="C12143" t="str">
        <f t="shared" si="4389"/>
        <v>NAZAIRE</v>
      </c>
      <c r="D12143">
        <f>12</f>
        <v>12</v>
      </c>
      <c r="E12143" t="str">
        <f>"07 - B - 101 - Jeanne M Bermudez"</f>
        <v>07 - B - 101 - Jeanne M Bermudez</v>
      </c>
      <c r="F12143" t="str">
        <f>"FOUND OF PROGRAM HON"</f>
        <v>FOUND OF PROGRAM HON</v>
      </c>
      <c r="G12143" t="str">
        <f>"21-2141"</f>
        <v>21-2141</v>
      </c>
      <c r="H12143" t="str">
        <f>"B"</f>
        <v>B</v>
      </c>
    </row>
    <row r="12144" spans="1:8" x14ac:dyDescent="0.2">
      <c r="A12144" t="str">
        <f t="shared" si="4387"/>
        <v>0615132429</v>
      </c>
      <c r="B12144" t="str">
        <f t="shared" si="4388"/>
        <v>TRACY</v>
      </c>
      <c r="C12144" t="str">
        <f t="shared" si="4389"/>
        <v>NAZAIRE</v>
      </c>
      <c r="D12144">
        <f>12</f>
        <v>12</v>
      </c>
      <c r="E12144" t="str">
        <f>"05 - B - 201 - Jazmin S Fletcher"</f>
        <v>05 - B - 201 - Jazmin S Fletcher</v>
      </c>
      <c r="F12144" t="str">
        <f>"THEATRE 1"</f>
        <v>THEATRE 1</v>
      </c>
      <c r="G12144" t="str">
        <f>"09-909"</f>
        <v>09-909</v>
      </c>
      <c r="H12144" t="str">
        <f>"B"</f>
        <v>B</v>
      </c>
    </row>
    <row r="12145" spans="1:8" x14ac:dyDescent="0.2">
      <c r="A12145" t="str">
        <f t="shared" si="4387"/>
        <v>0615132429</v>
      </c>
      <c r="B12145" t="str">
        <f t="shared" si="4388"/>
        <v>TRACY</v>
      </c>
      <c r="C12145" t="str">
        <f t="shared" si="4389"/>
        <v>NAZAIRE</v>
      </c>
      <c r="D12145">
        <f>12</f>
        <v>12</v>
      </c>
      <c r="E12145" t="str">
        <f>"01 - S1 - A - 101 - Barbara L Segal"</f>
        <v>01 - S1 - A - 101 - Barbara L Segal</v>
      </c>
      <c r="F12145" t="str">
        <f>"US GOVT HON"</f>
        <v>US GOVT HON</v>
      </c>
      <c r="G12145" t="str">
        <f>"17-1742"</f>
        <v>17-1742</v>
      </c>
      <c r="H12145" t="str">
        <f>"A"</f>
        <v>A</v>
      </c>
    </row>
    <row r="12146" spans="1:8" x14ac:dyDescent="0.2">
      <c r="A12146" t="str">
        <f t="shared" si="4387"/>
        <v>0615132429</v>
      </c>
      <c r="B12146" t="str">
        <f t="shared" si="4388"/>
        <v>TRACY</v>
      </c>
      <c r="C12146" t="str">
        <f t="shared" si="4389"/>
        <v>NAZAIRE</v>
      </c>
      <c r="D12146">
        <f>12</f>
        <v>12</v>
      </c>
      <c r="E12146" t="str">
        <f>"08 - B - 201 - Vanessa J Liburd"</f>
        <v>08 - B - 201 - Vanessa J Liburd</v>
      </c>
      <c r="F12146" t="str">
        <f>"FRENCH 3 HON"</f>
        <v>FRENCH 3 HON</v>
      </c>
      <c r="G12146" t="str">
        <f>"05-519"</f>
        <v>05-519</v>
      </c>
      <c r="H12146" t="str">
        <f>"B"</f>
        <v>B</v>
      </c>
    </row>
    <row r="12147" spans="1:8" x14ac:dyDescent="0.2">
      <c r="A12147" t="str">
        <f t="shared" ref="A12147:A12154" si="4390">"0615112500"</f>
        <v>0615112500</v>
      </c>
      <c r="B12147" t="str">
        <f t="shared" ref="B12147:B12154" si="4391">"TEVEN"</f>
        <v>TEVEN</v>
      </c>
      <c r="C12147" t="str">
        <f t="shared" ref="C12147:C12154" si="4392">"NEALY"</f>
        <v>NEALY</v>
      </c>
      <c r="D12147" t="str">
        <f t="shared" ref="D12147:D12154" si="4393">"09"</f>
        <v>09</v>
      </c>
      <c r="E12147" t="str">
        <f>"04 - A - 102 - Josiah I Lacy"</f>
        <v>04 - A - 102 - Josiah I Lacy</v>
      </c>
      <c r="F12147" t="str">
        <f>"PRE-AICE BIO IG"</f>
        <v>PRE-AICE BIO IG</v>
      </c>
      <c r="G12147" t="str">
        <f>"08-801"</f>
        <v>08-801</v>
      </c>
      <c r="H12147" t="str">
        <f>"A"</f>
        <v>A</v>
      </c>
    </row>
    <row r="12148" spans="1:8" x14ac:dyDescent="0.2">
      <c r="A12148" t="str">
        <f t="shared" si="4390"/>
        <v>0615112500</v>
      </c>
      <c r="B12148" t="str">
        <f t="shared" si="4391"/>
        <v>TEVEN</v>
      </c>
      <c r="C12148" t="str">
        <f t="shared" si="4392"/>
        <v>NEALY</v>
      </c>
      <c r="D12148" t="str">
        <f t="shared" si="4393"/>
        <v>09</v>
      </c>
      <c r="E12148" t="str">
        <f>"06 - B - 202 - Samantha L Martinez"</f>
        <v>06 - B - 202 - Samantha L Martinez</v>
      </c>
      <c r="F12148" t="str">
        <f>"GUITAR 1"</f>
        <v>GUITAR 1</v>
      </c>
      <c r="G12148" t="str">
        <f>"05-505"</f>
        <v>05-505</v>
      </c>
      <c r="H12148" t="str">
        <f>"B"</f>
        <v>B</v>
      </c>
    </row>
    <row r="12149" spans="1:8" x14ac:dyDescent="0.2">
      <c r="A12149" t="str">
        <f t="shared" si="4390"/>
        <v>0615112500</v>
      </c>
      <c r="B12149" t="str">
        <f t="shared" si="4391"/>
        <v>TEVEN</v>
      </c>
      <c r="C12149" t="str">
        <f t="shared" si="4392"/>
        <v>NEALY</v>
      </c>
      <c r="D12149" t="str">
        <f t="shared" si="4393"/>
        <v>09</v>
      </c>
      <c r="E12149" t="str">
        <f>"03 - A - 101 - Helen A Flores"</f>
        <v>03 - A - 101 - Helen A Flores</v>
      </c>
      <c r="F12149" t="str">
        <f>"PRE-AICE MATH 1 IG"</f>
        <v>PRE-AICE MATH 1 IG</v>
      </c>
      <c r="G12149" t="str">
        <f>"21-2101"</f>
        <v>21-2101</v>
      </c>
      <c r="H12149" t="str">
        <f>"A"</f>
        <v>A</v>
      </c>
    </row>
    <row r="12150" spans="1:8" x14ac:dyDescent="0.2">
      <c r="A12150" t="str">
        <f t="shared" si="4390"/>
        <v>0615112500</v>
      </c>
      <c r="B12150" t="str">
        <f t="shared" si="4391"/>
        <v>TEVEN</v>
      </c>
      <c r="C12150" t="str">
        <f t="shared" si="4392"/>
        <v>NEALY</v>
      </c>
      <c r="D12150" t="str">
        <f t="shared" si="4393"/>
        <v>09</v>
      </c>
      <c r="E12150" t="str">
        <f>"02 - A - 105 - Elizabeth R Walker"</f>
        <v>02 - A - 105 - Elizabeth R Walker</v>
      </c>
      <c r="F12150" t="str">
        <f>"NC STUDY HALL 1"</f>
        <v>NC STUDY HALL 1</v>
      </c>
      <c r="G12150" t="str">
        <f>"17-1703"</f>
        <v>17-1703</v>
      </c>
      <c r="H12150" t="str">
        <f>"A"</f>
        <v>A</v>
      </c>
    </row>
    <row r="12151" spans="1:8" x14ac:dyDescent="0.2">
      <c r="A12151" t="str">
        <f t="shared" si="4390"/>
        <v>0615112500</v>
      </c>
      <c r="B12151" t="str">
        <f t="shared" si="4391"/>
        <v>TEVEN</v>
      </c>
      <c r="C12151" t="str">
        <f t="shared" si="4392"/>
        <v>NEALY</v>
      </c>
      <c r="D12151" t="str">
        <f t="shared" si="4393"/>
        <v>09</v>
      </c>
      <c r="E12151" t="str">
        <f>"07 - B - 101 - Jeanne M Bermudez"</f>
        <v>07 - B - 101 - Jeanne M Bermudez</v>
      </c>
      <c r="F12151" t="str">
        <f>"FOUND OF PROGRAM HON"</f>
        <v>FOUND OF PROGRAM HON</v>
      </c>
      <c r="G12151" t="str">
        <f>"21-2141"</f>
        <v>21-2141</v>
      </c>
      <c r="H12151" t="str">
        <f>"B"</f>
        <v>B</v>
      </c>
    </row>
    <row r="12152" spans="1:8" x14ac:dyDescent="0.2">
      <c r="A12152" t="str">
        <f t="shared" si="4390"/>
        <v>0615112500</v>
      </c>
      <c r="B12152" t="str">
        <f t="shared" si="4391"/>
        <v>TEVEN</v>
      </c>
      <c r="C12152" t="str">
        <f t="shared" si="4392"/>
        <v>NEALY</v>
      </c>
      <c r="D12152" t="str">
        <f t="shared" si="4393"/>
        <v>09</v>
      </c>
      <c r="E12152" t="str">
        <f>"05 - B - 101 - Linda  Celestin"</f>
        <v>05 - B - 101 - Linda  Celestin</v>
      </c>
      <c r="F12152" t="str">
        <f>"LRNG STRATEGIES 9-12"</f>
        <v>LRNG STRATEGIES 9-12</v>
      </c>
      <c r="G12152" t="str">
        <f>"21-2160"</f>
        <v>21-2160</v>
      </c>
      <c r="H12152" t="str">
        <f>"B"</f>
        <v>B</v>
      </c>
    </row>
    <row r="12153" spans="1:8" x14ac:dyDescent="0.2">
      <c r="A12153" t="str">
        <f t="shared" si="4390"/>
        <v>0615112500</v>
      </c>
      <c r="B12153" t="str">
        <f t="shared" si="4391"/>
        <v>TEVEN</v>
      </c>
      <c r="C12153" t="str">
        <f t="shared" si="4392"/>
        <v>NEALY</v>
      </c>
      <c r="D12153" t="str">
        <f t="shared" si="4393"/>
        <v>09</v>
      </c>
      <c r="E12153" t="str">
        <f>"01 - A - 101 - Cheryl Anne  Berman-Schechter"</f>
        <v>01 - A - 101 - Cheryl Anne  Berman-Schechter</v>
      </c>
      <c r="F12153" t="str">
        <f>"PRE-AICE ENG LANG IG"</f>
        <v>PRE-AICE ENG LANG IG</v>
      </c>
      <c r="G12153" t="str">
        <f>"17-1722"</f>
        <v>17-1722</v>
      </c>
      <c r="H12153" t="str">
        <f>"A"</f>
        <v>A</v>
      </c>
    </row>
    <row r="12154" spans="1:8" x14ac:dyDescent="0.2">
      <c r="A12154" t="str">
        <f t="shared" si="4390"/>
        <v>0615112500</v>
      </c>
      <c r="B12154" t="str">
        <f t="shared" si="4391"/>
        <v>TEVEN</v>
      </c>
      <c r="C12154" t="str">
        <f t="shared" si="4392"/>
        <v>NEALY</v>
      </c>
      <c r="D12154" t="str">
        <f t="shared" si="4393"/>
        <v>09</v>
      </c>
      <c r="E12154" t="str">
        <f>"08 - B - 109 - Rory T Sponsler"</f>
        <v>08 - B - 109 - Rory T Sponsler</v>
      </c>
      <c r="F12154" t="str">
        <f>"PRE-AICE WRLD HST IG"</f>
        <v>PRE-AICE WRLD HST IG</v>
      </c>
      <c r="G12154" t="str">
        <f>"17-1740"</f>
        <v>17-1740</v>
      </c>
      <c r="H12154" t="str">
        <f>"B"</f>
        <v>B</v>
      </c>
    </row>
    <row r="12155" spans="1:8" x14ac:dyDescent="0.2">
      <c r="A12155" t="str">
        <f t="shared" ref="A12155:A12162" si="4394">"0625019660"</f>
        <v>0625019660</v>
      </c>
      <c r="B12155" t="str">
        <f t="shared" ref="B12155:B12162" si="4395">"Rayshando"</f>
        <v>Rayshando</v>
      </c>
      <c r="C12155" t="str">
        <f t="shared" ref="C12155:C12162" si="4396">"Neely"</f>
        <v>Neely</v>
      </c>
      <c r="D12155">
        <f>10</f>
        <v>10</v>
      </c>
      <c r="E12155" t="str">
        <f>"04 - A - 205 - Lytrell T Dixon"</f>
        <v>04 - A - 205 - Lytrell T Dixon</v>
      </c>
      <c r="F12155" t="str">
        <f>"BIOLOGY 1"</f>
        <v>BIOLOGY 1</v>
      </c>
      <c r="G12155" t="str">
        <f>"08-808"</f>
        <v>08-808</v>
      </c>
      <c r="H12155" t="str">
        <f>"A"</f>
        <v>A</v>
      </c>
    </row>
    <row r="12156" spans="1:8" x14ac:dyDescent="0.2">
      <c r="A12156" t="str">
        <f t="shared" si="4394"/>
        <v>0625019660</v>
      </c>
      <c r="B12156" t="str">
        <f t="shared" si="4395"/>
        <v>Rayshando</v>
      </c>
      <c r="C12156" t="str">
        <f t="shared" si="4396"/>
        <v>Neely</v>
      </c>
      <c r="D12156">
        <f>10</f>
        <v>10</v>
      </c>
      <c r="E12156" t="str">
        <f>"06 - B - 116 - Jordana K Hass"</f>
        <v>06 - B - 116 - Jordana K Hass</v>
      </c>
      <c r="F12156" t="str">
        <f>"NC STUDY HALL 1"</f>
        <v>NC STUDY HALL 1</v>
      </c>
      <c r="G12156" t="str">
        <f>"08-807"</f>
        <v>08-807</v>
      </c>
      <c r="H12156" t="str">
        <f>"B"</f>
        <v>B</v>
      </c>
    </row>
    <row r="12157" spans="1:8" x14ac:dyDescent="0.2">
      <c r="A12157" t="str">
        <f t="shared" si="4394"/>
        <v>0625019660</v>
      </c>
      <c r="B12157" t="str">
        <f t="shared" si="4395"/>
        <v>Rayshando</v>
      </c>
      <c r="C12157" t="str">
        <f t="shared" si="4396"/>
        <v>Neely</v>
      </c>
      <c r="D12157">
        <f>10</f>
        <v>10</v>
      </c>
      <c r="E12157" t="str">
        <f>"03 - A - 101 - Samantha L Martinez"</f>
        <v>03 - A - 101 - Samantha L Martinez</v>
      </c>
      <c r="F12157" t="str">
        <f>"VOCAL ENS 1"</f>
        <v>VOCAL ENS 1</v>
      </c>
      <c r="G12157" t="str">
        <f>"05-505"</f>
        <v>05-505</v>
      </c>
      <c r="H12157" t="str">
        <f>"A"</f>
        <v>A</v>
      </c>
    </row>
    <row r="12158" spans="1:8" x14ac:dyDescent="0.2">
      <c r="A12158" t="str">
        <f t="shared" si="4394"/>
        <v>0625019660</v>
      </c>
      <c r="B12158" t="str">
        <f t="shared" si="4395"/>
        <v>Rayshando</v>
      </c>
      <c r="C12158" t="str">
        <f t="shared" si="4396"/>
        <v>Neely</v>
      </c>
      <c r="D12158">
        <f>10</f>
        <v>10</v>
      </c>
      <c r="E12158" t="str">
        <f>"02 - A - 102 - Nikiel  Nesbeth"</f>
        <v>02 - A - 102 - Nikiel  Nesbeth</v>
      </c>
      <c r="F12158" t="str">
        <f>"ENG 2"</f>
        <v>ENG 2</v>
      </c>
      <c r="G12158" t="str">
        <f>"17-1705"</f>
        <v>17-1705</v>
      </c>
      <c r="H12158" t="str">
        <f>"A"</f>
        <v>A</v>
      </c>
    </row>
    <row r="12159" spans="1:8" x14ac:dyDescent="0.2">
      <c r="A12159" t="str">
        <f t="shared" si="4394"/>
        <v>0625019660</v>
      </c>
      <c r="B12159" t="str">
        <f t="shared" si="4395"/>
        <v>Rayshando</v>
      </c>
      <c r="C12159" t="str">
        <f t="shared" si="4396"/>
        <v>Neely</v>
      </c>
      <c r="D12159">
        <f>10</f>
        <v>10</v>
      </c>
      <c r="E12159" t="str">
        <f>"07 - B - 106 - Taraneh C Abreu"</f>
        <v>07 - B - 106 - Taraneh C Abreu</v>
      </c>
      <c r="F12159" t="str">
        <f>"INTENS READ 2"</f>
        <v>INTENS READ 2</v>
      </c>
      <c r="G12159" t="str">
        <f>"17-1713"</f>
        <v>17-1713</v>
      </c>
      <c r="H12159" t="str">
        <f>"B"</f>
        <v>B</v>
      </c>
    </row>
    <row r="12160" spans="1:8" x14ac:dyDescent="0.2">
      <c r="A12160" t="str">
        <f t="shared" si="4394"/>
        <v>0625019660</v>
      </c>
      <c r="B12160" t="str">
        <f t="shared" si="4395"/>
        <v>Rayshando</v>
      </c>
      <c r="C12160" t="str">
        <f t="shared" si="4396"/>
        <v>Neely</v>
      </c>
      <c r="D12160">
        <f>10</f>
        <v>10</v>
      </c>
      <c r="E12160" t="str">
        <f>"05 - B - 106 - Milca  Exantus"</f>
        <v>05 - B - 106 - Milca  Exantus</v>
      </c>
      <c r="F12160" t="str">
        <f>"MATH COLLEGE LIB ART"</f>
        <v>MATH COLLEGE LIB ART</v>
      </c>
      <c r="G12160" t="str">
        <f>"21-2145"</f>
        <v>21-2145</v>
      </c>
      <c r="H12160" t="str">
        <f>"B"</f>
        <v>B</v>
      </c>
    </row>
    <row r="12161" spans="1:8" x14ac:dyDescent="0.2">
      <c r="A12161" t="str">
        <f t="shared" si="4394"/>
        <v>0625019660</v>
      </c>
      <c r="B12161" t="str">
        <f t="shared" si="4395"/>
        <v>Rayshando</v>
      </c>
      <c r="C12161" t="str">
        <f t="shared" si="4396"/>
        <v>Neely</v>
      </c>
      <c r="D12161">
        <f>10</f>
        <v>10</v>
      </c>
      <c r="E12161" t="str">
        <f>"01 - A - 107 - Jazmin S Fletcher"</f>
        <v>01 - A - 107 - Jazmin S Fletcher</v>
      </c>
      <c r="F12161" t="str">
        <f>"WORLD HISTORY"</f>
        <v>WORLD HISTORY</v>
      </c>
      <c r="G12161" t="str">
        <f>"09-909"</f>
        <v>09-909</v>
      </c>
      <c r="H12161" t="str">
        <f>"A"</f>
        <v>A</v>
      </c>
    </row>
    <row r="12162" spans="1:8" x14ac:dyDescent="0.2">
      <c r="A12162" t="str">
        <f t="shared" si="4394"/>
        <v>0625019660</v>
      </c>
      <c r="B12162" t="str">
        <f t="shared" si="4395"/>
        <v>Rayshando</v>
      </c>
      <c r="C12162" t="str">
        <f t="shared" si="4396"/>
        <v>Neely</v>
      </c>
      <c r="D12162">
        <f>10</f>
        <v>10</v>
      </c>
      <c r="E12162" t="str">
        <f>"08 - S1 - B - 105 - Richard E Dunbar Iii"</f>
        <v>08 - S1 - B - 105 - Richard E Dunbar Iii</v>
      </c>
      <c r="F12162" t="str">
        <f>"WEIGHT TRAIN 1"</f>
        <v>WEIGHT TRAIN 1</v>
      </c>
      <c r="G12162" t="str">
        <f>"05-501"</f>
        <v>05-501</v>
      </c>
      <c r="H12162" t="str">
        <f>"B"</f>
        <v>B</v>
      </c>
    </row>
    <row r="12163" spans="1:8" x14ac:dyDescent="0.2">
      <c r="A12163" t="str">
        <f t="shared" ref="A12163:A12170" si="4397">"0625029517"</f>
        <v>0625029517</v>
      </c>
      <c r="B12163" t="str">
        <f t="shared" ref="B12163:B12170" si="4398">"Marie"</f>
        <v>Marie</v>
      </c>
      <c r="C12163" t="str">
        <f t="shared" ref="C12163:C12170" si="4399">"Nelson"</f>
        <v>Nelson</v>
      </c>
      <c r="D12163" t="str">
        <f t="shared" ref="D12163:D12170" si="4400">"09"</f>
        <v>09</v>
      </c>
      <c r="E12163" t="str">
        <f>"04 - A - 106 - Lissa C Frederique"</f>
        <v>04 - A - 106 - Lissa C Frederique</v>
      </c>
      <c r="F12163" t="str">
        <f>"WORLD HISTORY"</f>
        <v>WORLD HISTORY</v>
      </c>
      <c r="G12163" t="str">
        <f>"17-1754"</f>
        <v>17-1754</v>
      </c>
      <c r="H12163" t="str">
        <f>"A"</f>
        <v>A</v>
      </c>
    </row>
    <row r="12164" spans="1:8" x14ac:dyDescent="0.2">
      <c r="A12164" t="str">
        <f t="shared" si="4397"/>
        <v>0625029517</v>
      </c>
      <c r="B12164" t="str">
        <f t="shared" si="4398"/>
        <v>Marie</v>
      </c>
      <c r="C12164" t="str">
        <f t="shared" si="4399"/>
        <v>Nelson</v>
      </c>
      <c r="D12164" t="str">
        <f t="shared" si="4400"/>
        <v>09</v>
      </c>
      <c r="E12164" t="str">
        <f>"06 - B - 105 - Tina L Lovett"</f>
        <v>06 - B - 105 - Tina L Lovett</v>
      </c>
      <c r="F12164" t="str">
        <f>"FDN SKLS MATH 9-12"</f>
        <v>FDN SKLS MATH 9-12</v>
      </c>
      <c r="G12164" t="str">
        <f>"21-2153"</f>
        <v>21-2153</v>
      </c>
      <c r="H12164" t="str">
        <f>"B"</f>
        <v>B</v>
      </c>
    </row>
    <row r="12165" spans="1:8" x14ac:dyDescent="0.2">
      <c r="A12165" t="str">
        <f t="shared" si="4397"/>
        <v>0625029517</v>
      </c>
      <c r="B12165" t="str">
        <f t="shared" si="4398"/>
        <v>Marie</v>
      </c>
      <c r="C12165" t="str">
        <f t="shared" si="4399"/>
        <v>Nelson</v>
      </c>
      <c r="D12165" t="str">
        <f t="shared" si="4400"/>
        <v>09</v>
      </c>
      <c r="E12165" t="str">
        <f>"03 - S1 - A - 102 - Angela S Adeshina-Morrison"</f>
        <v>03 - S1 - A - 102 - Angela S Adeshina-Morrison</v>
      </c>
      <c r="F12165" t="str">
        <f>"PEER COUN 1"</f>
        <v>PEER COUN 1</v>
      </c>
      <c r="G12165" t="str">
        <f>"05-518"</f>
        <v>05-518</v>
      </c>
      <c r="H12165" t="str">
        <f>"A"</f>
        <v>A</v>
      </c>
    </row>
    <row r="12166" spans="1:8" x14ac:dyDescent="0.2">
      <c r="A12166" t="str">
        <f t="shared" si="4397"/>
        <v>0625029517</v>
      </c>
      <c r="B12166" t="str">
        <f t="shared" si="4398"/>
        <v>Marie</v>
      </c>
      <c r="C12166" t="str">
        <f t="shared" si="4399"/>
        <v>Nelson</v>
      </c>
      <c r="D12166" t="str">
        <f t="shared" si="4400"/>
        <v>09</v>
      </c>
      <c r="E12166" t="str">
        <f>"02 - A - 101 - Milca  Exantus"</f>
        <v>02 - A - 101 - Milca  Exantus</v>
      </c>
      <c r="F12166" t="str">
        <f>"NC STUDY HALL 1"</f>
        <v>NC STUDY HALL 1</v>
      </c>
      <c r="G12166" t="str">
        <f>"21-2145"</f>
        <v>21-2145</v>
      </c>
      <c r="H12166" t="str">
        <f>"A"</f>
        <v>A</v>
      </c>
    </row>
    <row r="12167" spans="1:8" x14ac:dyDescent="0.2">
      <c r="A12167" t="str">
        <f t="shared" si="4397"/>
        <v>0625029517</v>
      </c>
      <c r="B12167" t="str">
        <f t="shared" si="4398"/>
        <v>Marie</v>
      </c>
      <c r="C12167" t="str">
        <f t="shared" si="4399"/>
        <v>Nelson</v>
      </c>
      <c r="D12167" t="str">
        <f t="shared" si="4400"/>
        <v>09</v>
      </c>
      <c r="E12167" t="str">
        <f>"07 - B - 105 - Laselleda D Shaw"</f>
        <v>07 - B - 105 - Laselleda D Shaw</v>
      </c>
      <c r="F12167" t="str">
        <f>"INTENS READ 1"</f>
        <v>INTENS READ 1</v>
      </c>
      <c r="G12167" t="str">
        <f>"17-1723"</f>
        <v>17-1723</v>
      </c>
      <c r="H12167" t="str">
        <f>"B"</f>
        <v>B</v>
      </c>
    </row>
    <row r="12168" spans="1:8" x14ac:dyDescent="0.2">
      <c r="A12168" t="str">
        <f t="shared" si="4397"/>
        <v>0625029517</v>
      </c>
      <c r="B12168" t="str">
        <f t="shared" si="4398"/>
        <v>Marie</v>
      </c>
      <c r="C12168" t="str">
        <f t="shared" si="4399"/>
        <v>Nelson</v>
      </c>
      <c r="D12168" t="str">
        <f t="shared" si="4400"/>
        <v>09</v>
      </c>
      <c r="E12168" t="str">
        <f>"05 - B - 202 - Amy Beth  Broyles"</f>
        <v>05 - B - 202 - Amy Beth  Broyles</v>
      </c>
      <c r="F12168" t="str">
        <f>"ENV SCI"</f>
        <v>ENV SCI</v>
      </c>
      <c r="G12168" t="str">
        <f>"08-802"</f>
        <v>08-802</v>
      </c>
      <c r="H12168" t="str">
        <f>"B"</f>
        <v>B</v>
      </c>
    </row>
    <row r="12169" spans="1:8" x14ac:dyDescent="0.2">
      <c r="A12169" t="str">
        <f t="shared" si="4397"/>
        <v>0625029517</v>
      </c>
      <c r="B12169" t="str">
        <f t="shared" si="4398"/>
        <v>Marie</v>
      </c>
      <c r="C12169" t="str">
        <f t="shared" si="4399"/>
        <v>Nelson</v>
      </c>
      <c r="D12169" t="str">
        <f t="shared" si="4400"/>
        <v>09</v>
      </c>
      <c r="E12169" t="str">
        <f>"01 - A - 101 - Tina L Lovett"</f>
        <v>01 - A - 101 - Tina L Lovett</v>
      </c>
      <c r="F12169" t="str">
        <f>"ALGEBRA 1"</f>
        <v>ALGEBRA 1</v>
      </c>
      <c r="G12169" t="str">
        <f>"21-2153"</f>
        <v>21-2153</v>
      </c>
      <c r="H12169" t="str">
        <f>"A"</f>
        <v>A</v>
      </c>
    </row>
    <row r="12170" spans="1:8" x14ac:dyDescent="0.2">
      <c r="A12170" t="str">
        <f t="shared" si="4397"/>
        <v>0625029517</v>
      </c>
      <c r="B12170" t="str">
        <f t="shared" si="4398"/>
        <v>Marie</v>
      </c>
      <c r="C12170" t="str">
        <f t="shared" si="4399"/>
        <v>Nelson</v>
      </c>
      <c r="D12170" t="str">
        <f t="shared" si="4400"/>
        <v>09</v>
      </c>
      <c r="E12170" t="str">
        <f>"08 - B - 108 - Cerine S Stewart"</f>
        <v>08 - B - 108 - Cerine S Stewart</v>
      </c>
      <c r="F12170" t="str">
        <f>"ENG 1"</f>
        <v>ENG 1</v>
      </c>
      <c r="G12170" t="str">
        <f>"17-1720"</f>
        <v>17-1720</v>
      </c>
      <c r="H12170" t="str">
        <f>"B"</f>
        <v>B</v>
      </c>
    </row>
    <row r="12171" spans="1:8" x14ac:dyDescent="0.2">
      <c r="A12171" t="str">
        <f t="shared" ref="A12171:A12178" si="4401">"0614115240"</f>
        <v>0614115240</v>
      </c>
      <c r="B12171" t="str">
        <f t="shared" ref="B12171:B12178" si="4402">"ASHLEY"</f>
        <v>ASHLEY</v>
      </c>
      <c r="C12171" t="str">
        <f t="shared" ref="C12171:C12195" si="4403">"NELSON"</f>
        <v>NELSON</v>
      </c>
      <c r="D12171">
        <f>12</f>
        <v>12</v>
      </c>
      <c r="E12171" t="str">
        <f>"04 - A - 101 - Stefanie S Scher"</f>
        <v>04 - A - 101 - Stefanie S Scher</v>
      </c>
      <c r="F12171" t="str">
        <f>"AP PSYCH"</f>
        <v>AP PSYCH</v>
      </c>
      <c r="G12171" t="str">
        <f>"17-1735"</f>
        <v>17-1735</v>
      </c>
      <c r="H12171" t="str">
        <f>"A"</f>
        <v>A</v>
      </c>
    </row>
    <row r="12172" spans="1:8" x14ac:dyDescent="0.2">
      <c r="A12172" t="str">
        <f t="shared" si="4401"/>
        <v>0614115240</v>
      </c>
      <c r="B12172" t="str">
        <f t="shared" si="4402"/>
        <v>ASHLEY</v>
      </c>
      <c r="C12172" t="str">
        <f t="shared" si="4403"/>
        <v>NELSON</v>
      </c>
      <c r="D12172">
        <f>12</f>
        <v>12</v>
      </c>
      <c r="E12172" t="str">
        <f>"06 - B - 109 - Carol S Moore"</f>
        <v>06 - B - 109 - Carol S Moore</v>
      </c>
      <c r="F12172" t="str">
        <f>"NC STUDY HALL 1"</f>
        <v>NC STUDY HALL 1</v>
      </c>
      <c r="G12172" t="str">
        <f>"17-1733"</f>
        <v>17-1733</v>
      </c>
      <c r="H12172" t="str">
        <f>"B"</f>
        <v>B</v>
      </c>
    </row>
    <row r="12173" spans="1:8" x14ac:dyDescent="0.2">
      <c r="A12173" t="str">
        <f t="shared" si="4401"/>
        <v>0614115240</v>
      </c>
      <c r="B12173" t="str">
        <f t="shared" si="4402"/>
        <v>ASHLEY</v>
      </c>
      <c r="C12173" t="str">
        <f t="shared" si="4403"/>
        <v>NELSON</v>
      </c>
      <c r="D12173">
        <f>12</f>
        <v>12</v>
      </c>
      <c r="E12173" t="str">
        <f>"03 - A - 101 - Lisa J London"</f>
        <v>03 - A - 101 - Lisa J London</v>
      </c>
      <c r="F12173" t="str">
        <f>"AP CAPSTONE RESEARCH"</f>
        <v>AP CAPSTONE RESEARCH</v>
      </c>
      <c r="G12173" t="str">
        <f>"17-1714"</f>
        <v>17-1714</v>
      </c>
      <c r="H12173" t="str">
        <f>"A"</f>
        <v>A</v>
      </c>
    </row>
    <row r="12174" spans="1:8" x14ac:dyDescent="0.2">
      <c r="A12174" t="str">
        <f t="shared" si="4401"/>
        <v>0614115240</v>
      </c>
      <c r="B12174" t="str">
        <f t="shared" si="4402"/>
        <v>ASHLEY</v>
      </c>
      <c r="C12174" t="str">
        <f t="shared" si="4403"/>
        <v>NELSON</v>
      </c>
      <c r="D12174">
        <f>12</f>
        <v>12</v>
      </c>
      <c r="E12174" t="str">
        <f>"02 - A - 201 - Jeanne M Bermudez"</f>
        <v>02 - A - 201 - Jeanne M Bermudez</v>
      </c>
      <c r="F12174" t="str">
        <f>"AP ENV SCI"</f>
        <v>AP ENV SCI</v>
      </c>
      <c r="G12174" t="str">
        <f>"21-2141"</f>
        <v>21-2141</v>
      </c>
      <c r="H12174" t="str">
        <f>"A"</f>
        <v>A</v>
      </c>
    </row>
    <row r="12175" spans="1:8" x14ac:dyDescent="0.2">
      <c r="A12175" t="str">
        <f t="shared" si="4401"/>
        <v>0614115240</v>
      </c>
      <c r="B12175" t="str">
        <f t="shared" si="4402"/>
        <v>ASHLEY</v>
      </c>
      <c r="C12175" t="str">
        <f t="shared" si="4403"/>
        <v>NELSON</v>
      </c>
      <c r="D12175">
        <f>12</f>
        <v>12</v>
      </c>
      <c r="E12175" t="str">
        <f>"07 - B - 102 - Thomas G Handwerg"</f>
        <v>07 - B - 102 - Thomas G Handwerg</v>
      </c>
      <c r="F12175" t="str">
        <f>"PROB STAT W/APPS HON"</f>
        <v>PROB STAT W/APPS HON</v>
      </c>
      <c r="G12175" t="str">
        <f>"21-2146"</f>
        <v>21-2146</v>
      </c>
      <c r="H12175" t="str">
        <f>"B"</f>
        <v>B</v>
      </c>
    </row>
    <row r="12176" spans="1:8" x14ac:dyDescent="0.2">
      <c r="A12176" t="str">
        <f t="shared" si="4401"/>
        <v>0614115240</v>
      </c>
      <c r="B12176" t="str">
        <f t="shared" si="4402"/>
        <v>ASHLEY</v>
      </c>
      <c r="C12176" t="str">
        <f t="shared" si="4403"/>
        <v>NELSON</v>
      </c>
      <c r="D12176">
        <f>12</f>
        <v>12</v>
      </c>
      <c r="E12176" t="str">
        <f>"05 - B - 105 - Adam Marcus  Drucker"</f>
        <v>05 - B - 105 - Adam Marcus  Drucker</v>
      </c>
      <c r="F12176" t="str">
        <f>"HOPE-PE V"</f>
        <v>HOPE-PE V</v>
      </c>
      <c r="G12176" t="str">
        <f>"04-254"</f>
        <v>04-254</v>
      </c>
      <c r="H12176" t="str">
        <f>"B"</f>
        <v>B</v>
      </c>
    </row>
    <row r="12177" spans="1:8" x14ac:dyDescent="0.2">
      <c r="A12177" t="str">
        <f t="shared" si="4401"/>
        <v>0614115240</v>
      </c>
      <c r="B12177" t="str">
        <f t="shared" si="4402"/>
        <v>ASHLEY</v>
      </c>
      <c r="C12177" t="str">
        <f t="shared" si="4403"/>
        <v>NELSON</v>
      </c>
      <c r="D12177">
        <f>12</f>
        <v>12</v>
      </c>
      <c r="E12177" t="str">
        <f>"01 - A - 204 - Tina M Jaramillo"</f>
        <v>01 - A - 204 - Tina M Jaramillo</v>
      </c>
      <c r="F12177" t="str">
        <f>"AP ENG LIT COMPO"</f>
        <v>AP ENG LIT COMPO</v>
      </c>
      <c r="G12177" t="str">
        <f>"17-1706"</f>
        <v>17-1706</v>
      </c>
      <c r="H12177" t="str">
        <f>"A"</f>
        <v>A</v>
      </c>
    </row>
    <row r="12178" spans="1:8" x14ac:dyDescent="0.2">
      <c r="A12178" t="str">
        <f t="shared" si="4401"/>
        <v>0614115240</v>
      </c>
      <c r="B12178" t="str">
        <f t="shared" si="4402"/>
        <v>ASHLEY</v>
      </c>
      <c r="C12178" t="str">
        <f t="shared" si="4403"/>
        <v>NELSON</v>
      </c>
      <c r="D12178">
        <f>12</f>
        <v>12</v>
      </c>
      <c r="E12178" t="str">
        <f>"08 - S1 - B - 102 - Stephen T Ripp"</f>
        <v>08 - S1 - B - 102 - Stephen T Ripp</v>
      </c>
      <c r="F12178" t="str">
        <f>"AP US GOVT/POL"</f>
        <v>AP US GOVT/POL</v>
      </c>
      <c r="G12178" t="str">
        <f>"17-1744"</f>
        <v>17-1744</v>
      </c>
      <c r="H12178" t="str">
        <f>"B"</f>
        <v>B</v>
      </c>
    </row>
    <row r="12179" spans="1:8" x14ac:dyDescent="0.2">
      <c r="A12179" t="str">
        <f t="shared" ref="A12179:A12187" si="4404">"0616112812"</f>
        <v>0616112812</v>
      </c>
      <c r="B12179" t="str">
        <f t="shared" ref="B12179:B12187" si="4405">"COLLIN"</f>
        <v>COLLIN</v>
      </c>
      <c r="C12179" t="str">
        <f t="shared" si="4403"/>
        <v>NELSON</v>
      </c>
      <c r="D12179" t="str">
        <f t="shared" ref="D12179:D12203" si="4406">"09"</f>
        <v>09</v>
      </c>
      <c r="E12179" t="str">
        <f>"04 - A - 104 - Helen A Flores"</f>
        <v>04 - A - 104 - Helen A Flores</v>
      </c>
      <c r="F12179" t="str">
        <f>"FDN SKLS MATH 9-12"</f>
        <v>FDN SKLS MATH 9-12</v>
      </c>
      <c r="G12179" t="str">
        <f>"21-2101"</f>
        <v>21-2101</v>
      </c>
      <c r="H12179" t="str">
        <f>"A"</f>
        <v>A</v>
      </c>
    </row>
    <row r="12180" spans="1:8" x14ac:dyDescent="0.2">
      <c r="A12180" t="str">
        <f t="shared" si="4404"/>
        <v>0616112812</v>
      </c>
      <c r="B12180" t="str">
        <f t="shared" si="4405"/>
        <v>COLLIN</v>
      </c>
      <c r="C12180" t="str">
        <f t="shared" si="4403"/>
        <v>NELSON</v>
      </c>
      <c r="D12180" t="str">
        <f t="shared" si="4406"/>
        <v>09</v>
      </c>
      <c r="E12180" t="str">
        <f>"06 - B - 002 - Amy Beth  Broyles"</f>
        <v>06 - B - 002 - Amy Beth  Broyles</v>
      </c>
      <c r="F12180" t="str">
        <f>"ENV SCI"</f>
        <v>ENV SCI</v>
      </c>
      <c r="G12180" t="str">
        <f>"08-802"</f>
        <v>08-802</v>
      </c>
      <c r="H12180" t="str">
        <f>"B"</f>
        <v>B</v>
      </c>
    </row>
    <row r="12181" spans="1:8" x14ac:dyDescent="0.2">
      <c r="A12181" t="str">
        <f t="shared" si="4404"/>
        <v>0616112812</v>
      </c>
      <c r="B12181" t="str">
        <f t="shared" si="4405"/>
        <v>COLLIN</v>
      </c>
      <c r="C12181" t="str">
        <f t="shared" si="4403"/>
        <v>NELSON</v>
      </c>
      <c r="D12181" t="str">
        <f t="shared" si="4406"/>
        <v>09</v>
      </c>
      <c r="E12181" t="str">
        <f>"03 - A - 105 - Cheryl Anne  Berman-Schechter"</f>
        <v>03 - A - 105 - Cheryl Anne  Berman-Schechter</v>
      </c>
      <c r="F12181" t="str">
        <f>"ENG 1"</f>
        <v>ENG 1</v>
      </c>
      <c r="G12181" t="str">
        <f>"17-1722"</f>
        <v>17-1722</v>
      </c>
      <c r="H12181" t="str">
        <f>"A"</f>
        <v>A</v>
      </c>
    </row>
    <row r="12182" spans="1:8" x14ac:dyDescent="0.2">
      <c r="A12182" t="str">
        <f t="shared" si="4404"/>
        <v>0616112812</v>
      </c>
      <c r="B12182" t="str">
        <f t="shared" si="4405"/>
        <v>COLLIN</v>
      </c>
      <c r="C12182" t="str">
        <f t="shared" si="4403"/>
        <v>NELSON</v>
      </c>
      <c r="D12182" t="str">
        <f t="shared" si="4406"/>
        <v>09</v>
      </c>
      <c r="E12182" t="str">
        <f>"02 - A - 103 - Angela S Adeshina-Morrison"</f>
        <v>02 - A - 103 - Angela S Adeshina-Morrison</v>
      </c>
      <c r="F12182" t="str">
        <f>"NC STUDY HALL 1"</f>
        <v>NC STUDY HALL 1</v>
      </c>
      <c r="G12182" t="str">
        <f>"05-518"</f>
        <v>05-518</v>
      </c>
      <c r="H12182" t="str">
        <f>"A"</f>
        <v>A</v>
      </c>
    </row>
    <row r="12183" spans="1:8" x14ac:dyDescent="0.2">
      <c r="A12183" t="str">
        <f t="shared" si="4404"/>
        <v>0616112812</v>
      </c>
      <c r="B12183" t="str">
        <f t="shared" si="4405"/>
        <v>COLLIN</v>
      </c>
      <c r="C12183" t="str">
        <f t="shared" si="4403"/>
        <v>NELSON</v>
      </c>
      <c r="D12183" t="str">
        <f t="shared" si="4406"/>
        <v>09</v>
      </c>
      <c r="E12183" t="str">
        <f>"02 - A - 102 - Eric  Lopapa"</f>
        <v>02 - A - 102 - Eric  Lopapa</v>
      </c>
      <c r="F12183" t="str">
        <f>"LANG THERAPY"</f>
        <v>LANG THERAPY</v>
      </c>
      <c r="G12183" t="str">
        <f>"21-2110"</f>
        <v>21-2110</v>
      </c>
      <c r="H12183" t="str">
        <f>"A"</f>
        <v>A</v>
      </c>
    </row>
    <row r="12184" spans="1:8" x14ac:dyDescent="0.2">
      <c r="A12184" t="str">
        <f t="shared" si="4404"/>
        <v>0616112812</v>
      </c>
      <c r="B12184" t="str">
        <f t="shared" si="4405"/>
        <v>COLLIN</v>
      </c>
      <c r="C12184" t="str">
        <f t="shared" si="4403"/>
        <v>NELSON</v>
      </c>
      <c r="D12184" t="str">
        <f t="shared" si="4406"/>
        <v>09</v>
      </c>
      <c r="E12184" t="str">
        <f>"07 - B - 104 - Lissa C Frederique"</f>
        <v>07 - B - 104 - Lissa C Frederique</v>
      </c>
      <c r="F12184" t="str">
        <f>"WORLD HISTORY"</f>
        <v>WORLD HISTORY</v>
      </c>
      <c r="G12184" t="str">
        <f>"17-1754"</f>
        <v>17-1754</v>
      </c>
      <c r="H12184" t="str">
        <f>"B"</f>
        <v>B</v>
      </c>
    </row>
    <row r="12185" spans="1:8" x14ac:dyDescent="0.2">
      <c r="A12185" t="str">
        <f t="shared" si="4404"/>
        <v>0616112812</v>
      </c>
      <c r="B12185" t="str">
        <f t="shared" si="4405"/>
        <v>COLLIN</v>
      </c>
      <c r="C12185" t="str">
        <f t="shared" si="4403"/>
        <v>NELSON</v>
      </c>
      <c r="D12185" t="str">
        <f t="shared" si="4406"/>
        <v>09</v>
      </c>
      <c r="E12185" t="str">
        <f>"05 - B - 001 - Laselleda D Shaw"</f>
        <v>05 - B - 001 - Laselleda D Shaw</v>
      </c>
      <c r="F12185" t="str">
        <f>"INTENS READ 1"</f>
        <v>INTENS READ 1</v>
      </c>
      <c r="G12185" t="str">
        <f>"17-1723"</f>
        <v>17-1723</v>
      </c>
      <c r="H12185" t="str">
        <f>"B"</f>
        <v>B</v>
      </c>
    </row>
    <row r="12186" spans="1:8" x14ac:dyDescent="0.2">
      <c r="A12186" t="str">
        <f t="shared" si="4404"/>
        <v>0616112812</v>
      </c>
      <c r="B12186" t="str">
        <f t="shared" si="4405"/>
        <v>COLLIN</v>
      </c>
      <c r="C12186" t="str">
        <f t="shared" si="4403"/>
        <v>NELSON</v>
      </c>
      <c r="D12186" t="str">
        <f t="shared" si="4406"/>
        <v>09</v>
      </c>
      <c r="E12186" t="str">
        <f>"01 - A - 101 - Adam Marcus  Drucker"</f>
        <v>01 - A - 101 - Adam Marcus  Drucker</v>
      </c>
      <c r="F12186" t="str">
        <f>"HOPE-PE V"</f>
        <v>HOPE-PE V</v>
      </c>
      <c r="G12186" t="str">
        <f>"04-254"</f>
        <v>04-254</v>
      </c>
      <c r="H12186" t="str">
        <f>"A"</f>
        <v>A</v>
      </c>
    </row>
    <row r="12187" spans="1:8" x14ac:dyDescent="0.2">
      <c r="A12187" t="str">
        <f t="shared" si="4404"/>
        <v>0616112812</v>
      </c>
      <c r="B12187" t="str">
        <f t="shared" si="4405"/>
        <v>COLLIN</v>
      </c>
      <c r="C12187" t="str">
        <f t="shared" si="4403"/>
        <v>NELSON</v>
      </c>
      <c r="D12187" t="str">
        <f t="shared" si="4406"/>
        <v>09</v>
      </c>
      <c r="E12187" t="str">
        <f>"08 - B - 106 - Helen A Flores"</f>
        <v>08 - B - 106 - Helen A Flores</v>
      </c>
      <c r="F12187" t="str">
        <f>"ALGEBRA 1"</f>
        <v>ALGEBRA 1</v>
      </c>
      <c r="G12187" t="str">
        <f>"21-2101"</f>
        <v>21-2101</v>
      </c>
      <c r="H12187" t="str">
        <f>"B"</f>
        <v>B</v>
      </c>
    </row>
    <row r="12188" spans="1:8" x14ac:dyDescent="0.2">
      <c r="A12188" t="str">
        <f t="shared" ref="A12188:A12195" si="4407">"0616152240"</f>
        <v>0616152240</v>
      </c>
      <c r="B12188" t="str">
        <f t="shared" ref="B12188:B12195" si="4408">"KAYANNA"</f>
        <v>KAYANNA</v>
      </c>
      <c r="C12188" t="str">
        <f t="shared" si="4403"/>
        <v>NELSON</v>
      </c>
      <c r="D12188" t="str">
        <f t="shared" si="4406"/>
        <v>09</v>
      </c>
      <c r="E12188" t="str">
        <f>"04 - A - 201 - Dorothy D Moore"</f>
        <v>04 - A - 201 - Dorothy D Moore</v>
      </c>
      <c r="F12188" t="str">
        <f>"HEALTH SCI 1/A&amp;P HON"</f>
        <v>HEALTH SCI 1/A&amp;P HON</v>
      </c>
      <c r="G12188" t="str">
        <f>"08-803"</f>
        <v>08-803</v>
      </c>
      <c r="H12188" t="str">
        <f>"A"</f>
        <v>A</v>
      </c>
    </row>
    <row r="12189" spans="1:8" x14ac:dyDescent="0.2">
      <c r="A12189" t="str">
        <f t="shared" si="4407"/>
        <v>0616152240</v>
      </c>
      <c r="B12189" t="str">
        <f t="shared" si="4408"/>
        <v>KAYANNA</v>
      </c>
      <c r="C12189" t="str">
        <f t="shared" si="4403"/>
        <v>NELSON</v>
      </c>
      <c r="D12189" t="str">
        <f t="shared" si="4406"/>
        <v>09</v>
      </c>
      <c r="E12189" t="str">
        <f>"06 - B - 106 - Marius D Orsolini"</f>
        <v>06 - B - 106 - Marius D Orsolini</v>
      </c>
      <c r="F12189" t="str">
        <f>"CULINARY ARTS 1"</f>
        <v>CULINARY ARTS 1</v>
      </c>
      <c r="G12189" t="str">
        <f>"21-2115"</f>
        <v>21-2115</v>
      </c>
      <c r="H12189" t="str">
        <f>"B"</f>
        <v>B</v>
      </c>
    </row>
    <row r="12190" spans="1:8" x14ac:dyDescent="0.2">
      <c r="A12190" t="str">
        <f t="shared" si="4407"/>
        <v>0616152240</v>
      </c>
      <c r="B12190" t="str">
        <f t="shared" si="4408"/>
        <v>KAYANNA</v>
      </c>
      <c r="C12190" t="str">
        <f t="shared" si="4403"/>
        <v>NELSON</v>
      </c>
      <c r="D12190" t="str">
        <f t="shared" si="4406"/>
        <v>09</v>
      </c>
      <c r="E12190" t="str">
        <f>"03 - A - 103 - Kelly N Panza"</f>
        <v>03 - A - 103 - Kelly N Panza</v>
      </c>
      <c r="F12190" t="str">
        <f>"AICE GLBL PERSP 1 AS"</f>
        <v>AICE GLBL PERSP 1 AS</v>
      </c>
      <c r="G12190" t="str">
        <f>"17-1753"</f>
        <v>17-1753</v>
      </c>
      <c r="H12190" t="str">
        <f>"A"</f>
        <v>A</v>
      </c>
    </row>
    <row r="12191" spans="1:8" x14ac:dyDescent="0.2">
      <c r="A12191" t="str">
        <f t="shared" si="4407"/>
        <v>0616152240</v>
      </c>
      <c r="B12191" t="str">
        <f t="shared" si="4408"/>
        <v>KAYANNA</v>
      </c>
      <c r="C12191" t="str">
        <f t="shared" si="4403"/>
        <v>NELSON</v>
      </c>
      <c r="D12191" t="str">
        <f t="shared" si="4406"/>
        <v>09</v>
      </c>
      <c r="E12191" t="str">
        <f>"02 - A - 112 - Cheryl Anne  Berman-Schechter"</f>
        <v>02 - A - 112 - Cheryl Anne  Berman-Schechter</v>
      </c>
      <c r="F12191" t="str">
        <f>"NC STUDY HALL 1"</f>
        <v>NC STUDY HALL 1</v>
      </c>
      <c r="G12191" t="str">
        <f>"17-1722"</f>
        <v>17-1722</v>
      </c>
      <c r="H12191" t="str">
        <f>"A"</f>
        <v>A</v>
      </c>
    </row>
    <row r="12192" spans="1:8" x14ac:dyDescent="0.2">
      <c r="A12192" t="str">
        <f t="shared" si="4407"/>
        <v>0616152240</v>
      </c>
      <c r="B12192" t="str">
        <f t="shared" si="4408"/>
        <v>KAYANNA</v>
      </c>
      <c r="C12192" t="str">
        <f t="shared" si="4403"/>
        <v>NELSON</v>
      </c>
      <c r="D12192" t="str">
        <f t="shared" si="4406"/>
        <v>09</v>
      </c>
      <c r="E12192" t="str">
        <f>"07 - B - 003 - Brandy N Zdenek"</f>
        <v>07 - B - 003 - Brandy N Zdenek</v>
      </c>
      <c r="F12192" t="str">
        <f>"AICE ENG GEN PAPER 1"</f>
        <v>AICE ENG GEN PAPER 1</v>
      </c>
      <c r="G12192" t="str">
        <f>"17-1704"</f>
        <v>17-1704</v>
      </c>
      <c r="H12192" t="str">
        <f>"B"</f>
        <v>B</v>
      </c>
    </row>
    <row r="12193" spans="1:8" x14ac:dyDescent="0.2">
      <c r="A12193" t="str">
        <f t="shared" si="4407"/>
        <v>0616152240</v>
      </c>
      <c r="B12193" t="str">
        <f t="shared" si="4408"/>
        <v>KAYANNA</v>
      </c>
      <c r="C12193" t="str">
        <f t="shared" si="4403"/>
        <v>NELSON</v>
      </c>
      <c r="D12193" t="str">
        <f t="shared" si="4406"/>
        <v>09</v>
      </c>
      <c r="E12193" t="str">
        <f>"05 - B - 101 - Arthur  Kulawik"</f>
        <v>05 - B - 101 - Arthur  Kulawik</v>
      </c>
      <c r="F12193" t="str">
        <f>"DEBATE 2 LH"</f>
        <v>DEBATE 2 LH</v>
      </c>
      <c r="G12193" t="str">
        <f>"05-506"</f>
        <v>05-506</v>
      </c>
      <c r="H12193" t="str">
        <f>"B"</f>
        <v>B</v>
      </c>
    </row>
    <row r="12194" spans="1:8" x14ac:dyDescent="0.2">
      <c r="A12194" t="str">
        <f t="shared" si="4407"/>
        <v>0616152240</v>
      </c>
      <c r="B12194" t="str">
        <f t="shared" si="4408"/>
        <v>KAYANNA</v>
      </c>
      <c r="C12194" t="str">
        <f t="shared" si="4403"/>
        <v>NELSON</v>
      </c>
      <c r="D12194" t="str">
        <f t="shared" si="4406"/>
        <v>09</v>
      </c>
      <c r="E12194" t="str">
        <f>"01 - A - 101 - Byron G Montenegro"</f>
        <v>01 - A - 101 - Byron G Montenegro</v>
      </c>
      <c r="F12194" t="str">
        <f>"AICE MARINE SCI 1 AS"</f>
        <v>AICE MARINE SCI 1 AS</v>
      </c>
      <c r="G12194" t="str">
        <f>"21-2144"</f>
        <v>21-2144</v>
      </c>
      <c r="H12194" t="str">
        <f>"A"</f>
        <v>A</v>
      </c>
    </row>
    <row r="12195" spans="1:8" x14ac:dyDescent="0.2">
      <c r="A12195" t="str">
        <f t="shared" si="4407"/>
        <v>0616152240</v>
      </c>
      <c r="B12195" t="str">
        <f t="shared" si="4408"/>
        <v>KAYANNA</v>
      </c>
      <c r="C12195" t="str">
        <f t="shared" si="4403"/>
        <v>NELSON</v>
      </c>
      <c r="D12195" t="str">
        <f t="shared" si="4406"/>
        <v>09</v>
      </c>
      <c r="E12195" t="str">
        <f>"08 - B - 107 - Dayna M Foster"</f>
        <v>08 - B - 107 - Dayna M Foster</v>
      </c>
      <c r="F12195" t="str">
        <f>"ALGEBRA 2"</f>
        <v>ALGEBRA 2</v>
      </c>
      <c r="G12195" t="str">
        <f>"21-2109"</f>
        <v>21-2109</v>
      </c>
      <c r="H12195" t="str">
        <f>"B"</f>
        <v>B</v>
      </c>
    </row>
    <row r="12196" spans="1:8" x14ac:dyDescent="0.2">
      <c r="A12196" t="str">
        <f t="shared" ref="A12196:A12203" si="4409">"0616156354"</f>
        <v>0616156354</v>
      </c>
      <c r="B12196" t="str">
        <f t="shared" ref="B12196:B12203" si="4410">"JESUS"</f>
        <v>JESUS</v>
      </c>
      <c r="C12196" t="str">
        <f t="shared" ref="C12196:C12203" si="4411">"NERY PEREZ"</f>
        <v>NERY PEREZ</v>
      </c>
      <c r="D12196" t="str">
        <f t="shared" si="4406"/>
        <v>09</v>
      </c>
      <c r="E12196" t="str">
        <f>"04 - A - 103 - Joe  Kilpatrick Jr"</f>
        <v>04 - A - 103 - Joe  Kilpatrick Jr</v>
      </c>
      <c r="F12196" t="str">
        <f>"PRE-AICE SPAN 1 IG"</f>
        <v>PRE-AICE SPAN 1 IG</v>
      </c>
      <c r="G12196" t="str">
        <f>"09-912"</f>
        <v>09-912</v>
      </c>
      <c r="H12196" t="str">
        <f>"A"</f>
        <v>A</v>
      </c>
    </row>
    <row r="12197" spans="1:8" x14ac:dyDescent="0.2">
      <c r="A12197" t="str">
        <f t="shared" si="4409"/>
        <v>0616156354</v>
      </c>
      <c r="B12197" t="str">
        <f t="shared" si="4410"/>
        <v>JESUS</v>
      </c>
      <c r="C12197" t="str">
        <f t="shared" si="4411"/>
        <v>NERY PEREZ</v>
      </c>
      <c r="D12197" t="str">
        <f t="shared" si="4406"/>
        <v>09</v>
      </c>
      <c r="E12197" t="str">
        <f>"06 - B - 104 - Rory T Sponsler"</f>
        <v>06 - B - 104 - Rory T Sponsler</v>
      </c>
      <c r="F12197" t="str">
        <f>"PRE-AICE WRLD HST IG"</f>
        <v>PRE-AICE WRLD HST IG</v>
      </c>
      <c r="G12197" t="str">
        <f>"17-1740"</f>
        <v>17-1740</v>
      </c>
      <c r="H12197" t="str">
        <f>"B"</f>
        <v>B</v>
      </c>
    </row>
    <row r="12198" spans="1:8" x14ac:dyDescent="0.2">
      <c r="A12198" t="str">
        <f t="shared" si="4409"/>
        <v>0616156354</v>
      </c>
      <c r="B12198" t="str">
        <f t="shared" si="4410"/>
        <v>JESUS</v>
      </c>
      <c r="C12198" t="str">
        <f t="shared" si="4411"/>
        <v>NERY PEREZ</v>
      </c>
      <c r="D12198" t="str">
        <f t="shared" si="4406"/>
        <v>09</v>
      </c>
      <c r="E12198" t="str">
        <f>"03 - A - 005 - Cerine S Stewart"</f>
        <v>03 - A - 005 - Cerine S Stewart</v>
      </c>
      <c r="F12198" t="str">
        <f>"AICE ENG GEN PAPER 1"</f>
        <v>AICE ENG GEN PAPER 1</v>
      </c>
      <c r="G12198" t="str">
        <f>"17-1720"</f>
        <v>17-1720</v>
      </c>
      <c r="H12198" t="str">
        <f>"A"</f>
        <v>A</v>
      </c>
    </row>
    <row r="12199" spans="1:8" x14ac:dyDescent="0.2">
      <c r="A12199" t="str">
        <f t="shared" si="4409"/>
        <v>0616156354</v>
      </c>
      <c r="B12199" t="str">
        <f t="shared" si="4410"/>
        <v>JESUS</v>
      </c>
      <c r="C12199" t="str">
        <f t="shared" si="4411"/>
        <v>NERY PEREZ</v>
      </c>
      <c r="D12199" t="str">
        <f t="shared" si="4406"/>
        <v>09</v>
      </c>
      <c r="E12199" t="str">
        <f>"02 - A - 105 - Elizabeth R Walker"</f>
        <v>02 - A - 105 - Elizabeth R Walker</v>
      </c>
      <c r="F12199" t="str">
        <f>"NC STUDY HALL 1"</f>
        <v>NC STUDY HALL 1</v>
      </c>
      <c r="G12199" t="str">
        <f>"17-1703"</f>
        <v>17-1703</v>
      </c>
      <c r="H12199" t="str">
        <f>"A"</f>
        <v>A</v>
      </c>
    </row>
    <row r="12200" spans="1:8" x14ac:dyDescent="0.2">
      <c r="A12200" t="str">
        <f t="shared" si="4409"/>
        <v>0616156354</v>
      </c>
      <c r="B12200" t="str">
        <f t="shared" si="4410"/>
        <v>JESUS</v>
      </c>
      <c r="C12200" t="str">
        <f t="shared" si="4411"/>
        <v>NERY PEREZ</v>
      </c>
      <c r="D12200" t="str">
        <f t="shared" si="4406"/>
        <v>09</v>
      </c>
      <c r="E12200" t="str">
        <f>"07 - B - 105 - Paige Lauren  Brochu"</f>
        <v>07 - B - 105 - Paige Lauren  Brochu</v>
      </c>
      <c r="F12200" t="str">
        <f>"PRE-AICE BIO IG"</f>
        <v>PRE-AICE BIO IG</v>
      </c>
      <c r="G12200" t="str">
        <f>"21-2134"</f>
        <v>21-2134</v>
      </c>
      <c r="H12200" t="str">
        <f>"B"</f>
        <v>B</v>
      </c>
    </row>
    <row r="12201" spans="1:8" x14ac:dyDescent="0.2">
      <c r="A12201" t="str">
        <f t="shared" si="4409"/>
        <v>0616156354</v>
      </c>
      <c r="B12201" t="str">
        <f t="shared" si="4410"/>
        <v>JESUS</v>
      </c>
      <c r="C12201" t="str">
        <f t="shared" si="4411"/>
        <v>NERY PEREZ</v>
      </c>
      <c r="D12201" t="str">
        <f t="shared" si="4406"/>
        <v>09</v>
      </c>
      <c r="E12201" t="str">
        <f>"05 - B - 102 - Tina L Lovett"</f>
        <v>05 - B - 102 - Tina L Lovett</v>
      </c>
      <c r="F12201" t="str">
        <f>"PRE-AICE MATH 1 IG"</f>
        <v>PRE-AICE MATH 1 IG</v>
      </c>
      <c r="G12201" t="str">
        <f>"21-2153"</f>
        <v>21-2153</v>
      </c>
      <c r="H12201" t="str">
        <f>"B"</f>
        <v>B</v>
      </c>
    </row>
    <row r="12202" spans="1:8" x14ac:dyDescent="0.2">
      <c r="A12202" t="str">
        <f t="shared" si="4409"/>
        <v>0616156354</v>
      </c>
      <c r="B12202" t="str">
        <f t="shared" si="4410"/>
        <v>JESUS</v>
      </c>
      <c r="C12202" t="str">
        <f t="shared" si="4411"/>
        <v>NERY PEREZ</v>
      </c>
      <c r="D12202" t="str">
        <f t="shared" si="4406"/>
        <v>09</v>
      </c>
      <c r="E12202" t="str">
        <f>"01 - A - 101 - Brian M Fitzgerald"</f>
        <v>01 - A - 101 - Brian M Fitzgerald</v>
      </c>
      <c r="F12202" t="str">
        <f>"CERAM/POT 1"</f>
        <v>CERAM/POT 1</v>
      </c>
      <c r="G12202" t="str">
        <f>"09-908"</f>
        <v>09-908</v>
      </c>
      <c r="H12202" t="str">
        <f>"A"</f>
        <v>A</v>
      </c>
    </row>
    <row r="12203" spans="1:8" x14ac:dyDescent="0.2">
      <c r="A12203" t="str">
        <f t="shared" si="4409"/>
        <v>0616156354</v>
      </c>
      <c r="B12203" t="str">
        <f t="shared" si="4410"/>
        <v>JESUS</v>
      </c>
      <c r="C12203" t="str">
        <f t="shared" si="4411"/>
        <v>NERY PEREZ</v>
      </c>
      <c r="D12203" t="str">
        <f t="shared" si="4406"/>
        <v>09</v>
      </c>
      <c r="E12203" t="str">
        <f>"08 - B - 105 - Daniel S Tyson"</f>
        <v>08 - B - 105 - Daniel S Tyson</v>
      </c>
      <c r="F12203" t="str">
        <f>"JROTC NAVAL SCI 1"</f>
        <v>JROTC NAVAL SCI 1</v>
      </c>
      <c r="G12203" t="str">
        <f>"05-510"</f>
        <v>05-510</v>
      </c>
      <c r="H12203" t="str">
        <f>"B"</f>
        <v>B</v>
      </c>
    </row>
    <row r="12204" spans="1:8" x14ac:dyDescent="0.2">
      <c r="A12204" t="str">
        <f t="shared" ref="A12204:A12212" si="4412">"0614036127"</f>
        <v>0614036127</v>
      </c>
      <c r="B12204" t="str">
        <f t="shared" ref="B12204:B12212" si="4413">"KEVIN"</f>
        <v>KEVIN</v>
      </c>
      <c r="C12204" t="str">
        <f t="shared" ref="C12204:C12212" si="4414">"NERY-PEREZ"</f>
        <v>NERY-PEREZ</v>
      </c>
      <c r="D12204">
        <f>12</f>
        <v>12</v>
      </c>
      <c r="E12204" t="str">
        <f>"04 - A - 102 - Jordana K Hass"</f>
        <v>04 - A - 102 - Jordana K Hass</v>
      </c>
      <c r="F12204" t="str">
        <f>"CHEMISTRY 1"</f>
        <v>CHEMISTRY 1</v>
      </c>
      <c r="G12204" t="str">
        <f>"08-807"</f>
        <v>08-807</v>
      </c>
      <c r="H12204" t="str">
        <f>"A"</f>
        <v>A</v>
      </c>
    </row>
    <row r="12205" spans="1:8" x14ac:dyDescent="0.2">
      <c r="A12205" t="str">
        <f t="shared" si="4412"/>
        <v>0614036127</v>
      </c>
      <c r="B12205" t="str">
        <f t="shared" si="4413"/>
        <v>KEVIN</v>
      </c>
      <c r="C12205" t="str">
        <f t="shared" si="4414"/>
        <v>NERY-PEREZ</v>
      </c>
      <c r="D12205">
        <f>12</f>
        <v>12</v>
      </c>
      <c r="E12205" t="str">
        <f>"06 - B - 112 - Lisa  Quinn"</f>
        <v>06 - B - 112 - Lisa  Quinn</v>
      </c>
      <c r="F12205" t="str">
        <f>"NC STUDY HALL 1"</f>
        <v>NC STUDY HALL 1</v>
      </c>
      <c r="G12205" t="str">
        <f>"17-1725"</f>
        <v>17-1725</v>
      </c>
      <c r="H12205" t="str">
        <f>"B"</f>
        <v>B</v>
      </c>
    </row>
    <row r="12206" spans="1:8" x14ac:dyDescent="0.2">
      <c r="A12206" t="str">
        <f t="shared" si="4412"/>
        <v>0614036127</v>
      </c>
      <c r="B12206" t="str">
        <f t="shared" si="4413"/>
        <v>KEVIN</v>
      </c>
      <c r="C12206" t="str">
        <f t="shared" si="4414"/>
        <v>NERY-PEREZ</v>
      </c>
      <c r="D12206">
        <f>12</f>
        <v>12</v>
      </c>
      <c r="E12206" t="str">
        <f>"06 - B - 116 - Karen A Toomer"</f>
        <v>06 - B - 116 - Karen A Toomer</v>
      </c>
      <c r="F12206" t="str">
        <f>"LANG THERAPY"</f>
        <v>LANG THERAPY</v>
      </c>
      <c r="G12206" t="str">
        <f>"21-2110"</f>
        <v>21-2110</v>
      </c>
      <c r="H12206" t="str">
        <f>"B"</f>
        <v>B</v>
      </c>
    </row>
    <row r="12207" spans="1:8" x14ac:dyDescent="0.2">
      <c r="A12207" t="str">
        <f t="shared" si="4412"/>
        <v>0614036127</v>
      </c>
      <c r="B12207" t="str">
        <f t="shared" si="4413"/>
        <v>KEVIN</v>
      </c>
      <c r="C12207" t="str">
        <f t="shared" si="4414"/>
        <v>NERY-PEREZ</v>
      </c>
      <c r="D12207">
        <f>12</f>
        <v>12</v>
      </c>
      <c r="E12207" t="str">
        <f>"03 - A - 101 - Jeffrey S Gallagher"</f>
        <v>03 - A - 101 - Jeffrey S Gallagher</v>
      </c>
      <c r="F12207" t="str">
        <f>"ENG HON 4"</f>
        <v>ENG HON 4</v>
      </c>
      <c r="G12207" t="str">
        <f>"17-1724"</f>
        <v>17-1724</v>
      </c>
      <c r="H12207" t="str">
        <f>"A"</f>
        <v>A</v>
      </c>
    </row>
    <row r="12208" spans="1:8" x14ac:dyDescent="0.2">
      <c r="A12208" t="str">
        <f t="shared" si="4412"/>
        <v>0614036127</v>
      </c>
      <c r="B12208" t="str">
        <f t="shared" si="4413"/>
        <v>KEVIN</v>
      </c>
      <c r="C12208" t="str">
        <f t="shared" si="4414"/>
        <v>NERY-PEREZ</v>
      </c>
      <c r="D12208">
        <f>12</f>
        <v>12</v>
      </c>
      <c r="E12208" t="str">
        <f>"02 - S1 - A - 103 - Barbara L Segal"</f>
        <v>02 - S1 - A - 103 - Barbara L Segal</v>
      </c>
      <c r="F12208" t="str">
        <f>"US GOVT HON"</f>
        <v>US GOVT HON</v>
      </c>
      <c r="G12208" t="str">
        <f>"17-1742"</f>
        <v>17-1742</v>
      </c>
      <c r="H12208" t="str">
        <f>"A"</f>
        <v>A</v>
      </c>
    </row>
    <row r="12209" spans="1:8" x14ac:dyDescent="0.2">
      <c r="A12209" t="str">
        <f t="shared" si="4412"/>
        <v>0614036127</v>
      </c>
      <c r="B12209" t="str">
        <f t="shared" si="4413"/>
        <v>KEVIN</v>
      </c>
      <c r="C12209" t="str">
        <f t="shared" si="4414"/>
        <v>NERY-PEREZ</v>
      </c>
      <c r="D12209">
        <f>12</f>
        <v>12</v>
      </c>
      <c r="E12209" t="str">
        <f>"07 - B - 101 - Samantha L Martinez"</f>
        <v>07 - B - 101 - Samantha L Martinez</v>
      </c>
      <c r="F12209" t="str">
        <f>"KEYBD 1"</f>
        <v>KEYBD 1</v>
      </c>
      <c r="G12209" t="str">
        <f>"05-505"</f>
        <v>05-505</v>
      </c>
      <c r="H12209" t="str">
        <f>"B"</f>
        <v>B</v>
      </c>
    </row>
    <row r="12210" spans="1:8" x14ac:dyDescent="0.2">
      <c r="A12210" t="str">
        <f t="shared" si="4412"/>
        <v>0614036127</v>
      </c>
      <c r="B12210" t="str">
        <f t="shared" si="4413"/>
        <v>KEVIN</v>
      </c>
      <c r="C12210" t="str">
        <f t="shared" si="4414"/>
        <v>NERY-PEREZ</v>
      </c>
      <c r="D12210">
        <f>12</f>
        <v>12</v>
      </c>
      <c r="E12210" t="str">
        <f>"05 - B - 108 - James H Mccann"</f>
        <v>05 - B - 108 - James H Mccann</v>
      </c>
      <c r="F12210" t="str">
        <f>"ALGEBRA 2"</f>
        <v>ALGEBRA 2</v>
      </c>
      <c r="G12210" t="str">
        <f>"17-1716"</f>
        <v>17-1716</v>
      </c>
      <c r="H12210" t="str">
        <f>"B"</f>
        <v>B</v>
      </c>
    </row>
    <row r="12211" spans="1:8" x14ac:dyDescent="0.2">
      <c r="A12211" t="str">
        <f t="shared" si="4412"/>
        <v>0614036127</v>
      </c>
      <c r="B12211" t="str">
        <f t="shared" si="4413"/>
        <v>KEVIN</v>
      </c>
      <c r="C12211" t="str">
        <f t="shared" si="4414"/>
        <v>NERY-PEREZ</v>
      </c>
      <c r="D12211">
        <f>12</f>
        <v>12</v>
      </c>
      <c r="E12211" t="str">
        <f>"01 - S1 - A - 101 - Jordana K Hass"</f>
        <v>01 - S1 - A - 101 - Jordana K Hass</v>
      </c>
      <c r="F12211" t="str">
        <f>"PRIN OF AERO SCI"</f>
        <v>PRIN OF AERO SCI</v>
      </c>
      <c r="G12211" t="str">
        <f>"08-807"</f>
        <v>08-807</v>
      </c>
      <c r="H12211" t="str">
        <f>"A"</f>
        <v>A</v>
      </c>
    </row>
    <row r="12212" spans="1:8" x14ac:dyDescent="0.2">
      <c r="A12212" t="str">
        <f t="shared" si="4412"/>
        <v>0614036127</v>
      </c>
      <c r="B12212" t="str">
        <f t="shared" si="4413"/>
        <v>KEVIN</v>
      </c>
      <c r="C12212" t="str">
        <f t="shared" si="4414"/>
        <v>NERY-PEREZ</v>
      </c>
      <c r="D12212">
        <f>12</f>
        <v>12</v>
      </c>
      <c r="E12212" t="str">
        <f>"08 - B - 101 - Rosa Elaine  Collado-Duff"</f>
        <v>08 - B - 101 - Rosa Elaine  Collado-Duff</v>
      </c>
      <c r="F12212" t="str">
        <f>"AP SPANISH LANG &amp; CU"</f>
        <v>AP SPANISH LANG &amp; CU</v>
      </c>
      <c r="G12212" t="str">
        <f>"09-913"</f>
        <v>09-913</v>
      </c>
      <c r="H12212" t="str">
        <f>"B"</f>
        <v>B</v>
      </c>
    </row>
    <row r="12213" spans="1:8" x14ac:dyDescent="0.2">
      <c r="A12213" t="str">
        <f t="shared" ref="A12213:A12220" si="4415">"0615033276"</f>
        <v>0615033276</v>
      </c>
      <c r="B12213" t="str">
        <f t="shared" ref="B12213:B12220" si="4416">"EMMANUEL"</f>
        <v>EMMANUEL</v>
      </c>
      <c r="C12213" t="str">
        <f t="shared" ref="C12213:C12220" si="4417">"NESBITT"</f>
        <v>NESBITT</v>
      </c>
      <c r="D12213">
        <f>10</f>
        <v>10</v>
      </c>
      <c r="E12213" t="str">
        <f>"04 - A - 102 - Jordana K Hass"</f>
        <v>04 - A - 102 - Jordana K Hass</v>
      </c>
      <c r="F12213" t="str">
        <f>"CHEMISTRY 1"</f>
        <v>CHEMISTRY 1</v>
      </c>
      <c r="G12213" t="str">
        <f>"08-807"</f>
        <v>08-807</v>
      </c>
      <c r="H12213" t="str">
        <f>"A"</f>
        <v>A</v>
      </c>
    </row>
    <row r="12214" spans="1:8" x14ac:dyDescent="0.2">
      <c r="A12214" t="str">
        <f t="shared" si="4415"/>
        <v>0615033276</v>
      </c>
      <c r="B12214" t="str">
        <f t="shared" si="4416"/>
        <v>EMMANUEL</v>
      </c>
      <c r="C12214" t="str">
        <f t="shared" si="4417"/>
        <v>NESBITT</v>
      </c>
      <c r="D12214">
        <f>10</f>
        <v>10</v>
      </c>
      <c r="E12214" t="str">
        <f>"06 - B - 117 - Daniel S Tyson"</f>
        <v>06 - B - 117 - Daniel S Tyson</v>
      </c>
      <c r="F12214" t="str">
        <f>"NC STUDY HALL 1"</f>
        <v>NC STUDY HALL 1</v>
      </c>
      <c r="G12214" t="str">
        <f>"05-510"</f>
        <v>05-510</v>
      </c>
      <c r="H12214" t="str">
        <f>"B"</f>
        <v>B</v>
      </c>
    </row>
    <row r="12215" spans="1:8" x14ac:dyDescent="0.2">
      <c r="A12215" t="str">
        <f t="shared" si="4415"/>
        <v>0615033276</v>
      </c>
      <c r="B12215" t="str">
        <f t="shared" si="4416"/>
        <v>EMMANUEL</v>
      </c>
      <c r="C12215" t="str">
        <f t="shared" si="4417"/>
        <v>NESBITT</v>
      </c>
      <c r="D12215">
        <f>10</f>
        <v>10</v>
      </c>
      <c r="E12215" t="str">
        <f>"03 - A - 201 - Alejandro  Navarro"</f>
        <v>03 - A - 201 - Alejandro  Navarro</v>
      </c>
      <c r="F12215" t="str">
        <f>"BAND 2"</f>
        <v>BAND 2</v>
      </c>
      <c r="G12215" t="str">
        <f>"05-504"</f>
        <v>05-504</v>
      </c>
      <c r="H12215" t="str">
        <f>"A"</f>
        <v>A</v>
      </c>
    </row>
    <row r="12216" spans="1:8" x14ac:dyDescent="0.2">
      <c r="A12216" t="str">
        <f t="shared" si="4415"/>
        <v>0615033276</v>
      </c>
      <c r="B12216" t="str">
        <f t="shared" si="4416"/>
        <v>EMMANUEL</v>
      </c>
      <c r="C12216" t="str">
        <f t="shared" si="4417"/>
        <v>NESBITT</v>
      </c>
      <c r="D12216">
        <f>10</f>
        <v>10</v>
      </c>
      <c r="E12216" t="str">
        <f>"02 - A - 102 - Jacklyn M James"</f>
        <v>02 - A - 102 - Jacklyn M James</v>
      </c>
      <c r="F12216" t="str">
        <f>"AICE ENG LANG AS"</f>
        <v>AICE ENG LANG AS</v>
      </c>
      <c r="G12216" t="str">
        <f>"17-1731"</f>
        <v>17-1731</v>
      </c>
      <c r="H12216" t="str">
        <f>"A"</f>
        <v>A</v>
      </c>
    </row>
    <row r="12217" spans="1:8" x14ac:dyDescent="0.2">
      <c r="A12217" t="str">
        <f t="shared" si="4415"/>
        <v>0615033276</v>
      </c>
      <c r="B12217" t="str">
        <f t="shared" si="4416"/>
        <v>EMMANUEL</v>
      </c>
      <c r="C12217" t="str">
        <f t="shared" si="4417"/>
        <v>NESBITT</v>
      </c>
      <c r="D12217">
        <f>10</f>
        <v>10</v>
      </c>
      <c r="E12217" t="str">
        <f>"07 - B - 102 - Lourivaldo  Da Silva"</f>
        <v>07 - B - 102 - Lourivaldo  Da Silva</v>
      </c>
      <c r="F12217" t="str">
        <f>"ALGEBRA 2 HON"</f>
        <v>ALGEBRA 2 HON</v>
      </c>
      <c r="G12217" t="str">
        <f>"20-2079"</f>
        <v>20-2079</v>
      </c>
      <c r="H12217" t="str">
        <f>"B"</f>
        <v>B</v>
      </c>
    </row>
    <row r="12218" spans="1:8" x14ac:dyDescent="0.2">
      <c r="A12218" t="str">
        <f t="shared" si="4415"/>
        <v>0615033276</v>
      </c>
      <c r="B12218" t="str">
        <f t="shared" si="4416"/>
        <v>EMMANUEL</v>
      </c>
      <c r="C12218" t="str">
        <f t="shared" si="4417"/>
        <v>NESBITT</v>
      </c>
      <c r="D12218">
        <f>10</f>
        <v>10</v>
      </c>
      <c r="E12218" t="str">
        <f>"05 - S1 - B - 102 - Carol S Moore"</f>
        <v>05 - S1 - B - 102 - Carol S Moore</v>
      </c>
      <c r="F12218" t="str">
        <f>"PERS FIN &amp; MON MGT H"</f>
        <v>PERS FIN &amp; MON MGT H</v>
      </c>
      <c r="G12218" t="str">
        <f>"17-1733"</f>
        <v>17-1733</v>
      </c>
      <c r="H12218" t="str">
        <f>"B"</f>
        <v>B</v>
      </c>
    </row>
    <row r="12219" spans="1:8" x14ac:dyDescent="0.2">
      <c r="A12219" t="str">
        <f t="shared" si="4415"/>
        <v>0615033276</v>
      </c>
      <c r="B12219" t="str">
        <f t="shared" si="4416"/>
        <v>EMMANUEL</v>
      </c>
      <c r="C12219" t="str">
        <f t="shared" si="4417"/>
        <v>NESBITT</v>
      </c>
      <c r="D12219">
        <f>10</f>
        <v>10</v>
      </c>
      <c r="E12219" t="str">
        <f>"01 - A - 201 - Stefanie S Scher"</f>
        <v>01 - A - 201 - Stefanie S Scher</v>
      </c>
      <c r="F12219" t="str">
        <f>"AICE PSYCH 1 AS"</f>
        <v>AICE PSYCH 1 AS</v>
      </c>
      <c r="G12219" t="str">
        <f>"17-1735"</f>
        <v>17-1735</v>
      </c>
      <c r="H12219" t="str">
        <f>"A"</f>
        <v>A</v>
      </c>
    </row>
    <row r="12220" spans="1:8" x14ac:dyDescent="0.2">
      <c r="A12220" t="str">
        <f t="shared" si="4415"/>
        <v>0615033276</v>
      </c>
      <c r="B12220" t="str">
        <f t="shared" si="4416"/>
        <v>EMMANUEL</v>
      </c>
      <c r="C12220" t="str">
        <f t="shared" si="4417"/>
        <v>NESBITT</v>
      </c>
      <c r="D12220">
        <f>10</f>
        <v>10</v>
      </c>
      <c r="E12220" t="str">
        <f>"08 - B - 109 - Rory T Sponsler"</f>
        <v>08 - B - 109 - Rory T Sponsler</v>
      </c>
      <c r="F12220" t="str">
        <f>"PRE-AICE WRLD HST IG"</f>
        <v>PRE-AICE WRLD HST IG</v>
      </c>
      <c r="G12220" t="str">
        <f>"17-1740"</f>
        <v>17-1740</v>
      </c>
      <c r="H12220" t="str">
        <f>"B"</f>
        <v>B</v>
      </c>
    </row>
    <row r="12221" spans="1:8" x14ac:dyDescent="0.2">
      <c r="A12221" t="str">
        <f t="shared" ref="A12221:A12228" si="4418">"0613124944"</f>
        <v>0613124944</v>
      </c>
      <c r="B12221" t="str">
        <f t="shared" ref="B12221:B12228" si="4419">"JOAO MARTINS"</f>
        <v>JOAO MARTINS</v>
      </c>
      <c r="C12221" t="str">
        <f t="shared" ref="C12221:C12228" si="4420">"NETO"</f>
        <v>NETO</v>
      </c>
      <c r="D12221">
        <f>11</f>
        <v>11</v>
      </c>
      <c r="E12221" t="str">
        <f>"04 - A - 201 - Dorothy D Moore"</f>
        <v>04 - A - 201 - Dorothy D Moore</v>
      </c>
      <c r="F12221" t="str">
        <f>"HEALTH SCI 1/A&amp;P HON"</f>
        <v>HEALTH SCI 1/A&amp;P HON</v>
      </c>
      <c r="G12221" t="str">
        <f>"08-803"</f>
        <v>08-803</v>
      </c>
      <c r="H12221" t="str">
        <f>"A"</f>
        <v>A</v>
      </c>
    </row>
    <row r="12222" spans="1:8" x14ac:dyDescent="0.2">
      <c r="A12222" t="str">
        <f t="shared" si="4418"/>
        <v>0613124944</v>
      </c>
      <c r="B12222" t="str">
        <f t="shared" si="4419"/>
        <v>JOAO MARTINS</v>
      </c>
      <c r="C12222" t="str">
        <f t="shared" si="4420"/>
        <v>NETO</v>
      </c>
      <c r="D12222">
        <f>11</f>
        <v>11</v>
      </c>
      <c r="E12222" t="str">
        <f>"06 - S1 - B - 104 - Leslie J Barton"</f>
        <v>06 - S1 - B - 104 - Leslie J Barton</v>
      </c>
      <c r="F12222" t="str">
        <f>"FIRST AID SAFETY"</f>
        <v>FIRST AID SAFETY</v>
      </c>
      <c r="G12222" t="str">
        <f>"05-521"</f>
        <v>05-521</v>
      </c>
      <c r="H12222" t="str">
        <f>"B"</f>
        <v>B</v>
      </c>
    </row>
    <row r="12223" spans="1:8" x14ac:dyDescent="0.2">
      <c r="A12223" t="str">
        <f t="shared" si="4418"/>
        <v>0613124944</v>
      </c>
      <c r="B12223" t="str">
        <f t="shared" si="4419"/>
        <v>JOAO MARTINS</v>
      </c>
      <c r="C12223" t="str">
        <f t="shared" si="4420"/>
        <v>NETO</v>
      </c>
      <c r="D12223">
        <f>11</f>
        <v>11</v>
      </c>
      <c r="E12223" t="str">
        <f>"03 - A - 102 - Lisa  Quinn"</f>
        <v>03 - A - 102 - Lisa  Quinn</v>
      </c>
      <c r="F12223" t="str">
        <f>"ENG 3"</f>
        <v>ENG 3</v>
      </c>
      <c r="G12223" t="str">
        <f>"17-1725"</f>
        <v>17-1725</v>
      </c>
      <c r="H12223" t="str">
        <f>"A"</f>
        <v>A</v>
      </c>
    </row>
    <row r="12224" spans="1:8" x14ac:dyDescent="0.2">
      <c r="A12224" t="str">
        <f t="shared" si="4418"/>
        <v>0613124944</v>
      </c>
      <c r="B12224" t="str">
        <f t="shared" si="4419"/>
        <v>JOAO MARTINS</v>
      </c>
      <c r="C12224" t="str">
        <f t="shared" si="4420"/>
        <v>NETO</v>
      </c>
      <c r="D12224">
        <f>11</f>
        <v>11</v>
      </c>
      <c r="E12224" t="str">
        <f>"02 - A - 114 - Eva T Rimmer"</f>
        <v>02 - A - 114 - Eva T Rimmer</v>
      </c>
      <c r="F12224" t="str">
        <f>"NC STUDY HALL 1"</f>
        <v>NC STUDY HALL 1</v>
      </c>
      <c r="G12224" t="str">
        <f>"05-523"</f>
        <v>05-523</v>
      </c>
      <c r="H12224" t="str">
        <f>"A"</f>
        <v>A</v>
      </c>
    </row>
    <row r="12225" spans="1:8" x14ac:dyDescent="0.2">
      <c r="A12225" t="str">
        <f t="shared" si="4418"/>
        <v>0613124944</v>
      </c>
      <c r="B12225" t="str">
        <f t="shared" si="4419"/>
        <v>JOAO MARTINS</v>
      </c>
      <c r="C12225" t="str">
        <f t="shared" si="4420"/>
        <v>NETO</v>
      </c>
      <c r="D12225">
        <f>11</f>
        <v>11</v>
      </c>
      <c r="E12225" t="str">
        <f>"07 - B - 107 - Adam Marcus  Drucker"</f>
        <v>07 - B - 107 - Adam Marcus  Drucker</v>
      </c>
      <c r="F12225" t="str">
        <f>"HOPE-PE V"</f>
        <v>HOPE-PE V</v>
      </c>
      <c r="G12225" t="str">
        <f>"04-254"</f>
        <v>04-254</v>
      </c>
      <c r="H12225" t="str">
        <f>"B"</f>
        <v>B</v>
      </c>
    </row>
    <row r="12226" spans="1:8" x14ac:dyDescent="0.2">
      <c r="A12226" t="str">
        <f t="shared" si="4418"/>
        <v>0613124944</v>
      </c>
      <c r="B12226" t="str">
        <f t="shared" si="4419"/>
        <v>JOAO MARTINS</v>
      </c>
      <c r="C12226" t="str">
        <f t="shared" si="4420"/>
        <v>NETO</v>
      </c>
      <c r="D12226">
        <f>11</f>
        <v>11</v>
      </c>
      <c r="E12226" t="str">
        <f>"05 - B - 103 - Nahum  Saint-Preux"</f>
        <v>05 - B - 103 - Nahum  Saint-Preux</v>
      </c>
      <c r="F12226" t="str">
        <f>"INTENS READ 3"</f>
        <v>INTENS READ 3</v>
      </c>
      <c r="G12226" t="str">
        <f>"17-1712"</f>
        <v>17-1712</v>
      </c>
      <c r="H12226" t="str">
        <f>"B"</f>
        <v>B</v>
      </c>
    </row>
    <row r="12227" spans="1:8" x14ac:dyDescent="0.2">
      <c r="A12227" t="str">
        <f t="shared" si="4418"/>
        <v>0613124944</v>
      </c>
      <c r="B12227" t="str">
        <f t="shared" si="4419"/>
        <v>JOAO MARTINS</v>
      </c>
      <c r="C12227" t="str">
        <f t="shared" si="4420"/>
        <v>NETO</v>
      </c>
      <c r="D12227">
        <f>11</f>
        <v>11</v>
      </c>
      <c r="E12227" t="str">
        <f>"01 - A - 101 - Kyle  Robbins"</f>
        <v>01 - A - 101 - Kyle  Robbins</v>
      </c>
      <c r="F12227" t="str">
        <f>"US HISTORY"</f>
        <v>US HISTORY</v>
      </c>
      <c r="G12227" t="str">
        <f>"17-1745"</f>
        <v>17-1745</v>
      </c>
      <c r="H12227" t="str">
        <f>"A"</f>
        <v>A</v>
      </c>
    </row>
    <row r="12228" spans="1:8" x14ac:dyDescent="0.2">
      <c r="A12228" t="str">
        <f t="shared" si="4418"/>
        <v>0613124944</v>
      </c>
      <c r="B12228" t="str">
        <f t="shared" si="4419"/>
        <v>JOAO MARTINS</v>
      </c>
      <c r="C12228" t="str">
        <f t="shared" si="4420"/>
        <v>NETO</v>
      </c>
      <c r="D12228">
        <f>11</f>
        <v>11</v>
      </c>
      <c r="E12228" t="str">
        <f>"08 - B - 105 - Semra  Bahadir"</f>
        <v>08 - B - 105 - Semra  Bahadir</v>
      </c>
      <c r="F12228" t="str">
        <f>"MATH COLL ALGEBRA"</f>
        <v>MATH COLL ALGEBRA</v>
      </c>
      <c r="G12228" t="str">
        <f>"21-2107"</f>
        <v>21-2107</v>
      </c>
      <c r="H12228" t="str">
        <f>"B"</f>
        <v>B</v>
      </c>
    </row>
    <row r="12229" spans="1:8" x14ac:dyDescent="0.2">
      <c r="A12229" t="str">
        <f t="shared" ref="A12229:A12236" si="4421">"0614113456"</f>
        <v>0614113456</v>
      </c>
      <c r="B12229" t="str">
        <f t="shared" ref="B12229:B12236" si="4422">"AMELIE"</f>
        <v>AMELIE</v>
      </c>
      <c r="C12229" t="str">
        <f t="shared" ref="C12229:C12236" si="4423">"NEVINS"</f>
        <v>NEVINS</v>
      </c>
      <c r="D12229" t="str">
        <f t="shared" ref="D12229:D12236" si="4424">"09"</f>
        <v>09</v>
      </c>
      <c r="E12229" t="str">
        <f>"04 - A - 101 - Chrystina M Marchionne"</f>
        <v>04 - A - 101 - Chrystina M Marchionne</v>
      </c>
      <c r="F12229" t="str">
        <f>"THEA CIN &amp; FILM LH"</f>
        <v>THEA CIN &amp; FILM LH</v>
      </c>
      <c r="G12229" t="str">
        <f>"05-520"</f>
        <v>05-520</v>
      </c>
      <c r="H12229" t="str">
        <f>"A"</f>
        <v>A</v>
      </c>
    </row>
    <row r="12230" spans="1:8" x14ac:dyDescent="0.2">
      <c r="A12230" t="str">
        <f t="shared" si="4421"/>
        <v>0614113456</v>
      </c>
      <c r="B12230" t="str">
        <f t="shared" si="4422"/>
        <v>AMELIE</v>
      </c>
      <c r="C12230" t="str">
        <f t="shared" si="4423"/>
        <v>NEVINS</v>
      </c>
      <c r="D12230" t="str">
        <f t="shared" si="4424"/>
        <v>09</v>
      </c>
      <c r="E12230" t="str">
        <f>"06 - B - 101 - Fernando  Vega-Cid"</f>
        <v>06 - B - 101 - Fernando  Vega-Cid</v>
      </c>
      <c r="F12230" t="str">
        <f>"PRE-AICE MATH 2 IG"</f>
        <v>PRE-AICE MATH 2 IG</v>
      </c>
      <c r="G12230" t="str">
        <f>"21-2163"</f>
        <v>21-2163</v>
      </c>
      <c r="H12230" t="str">
        <f>"B"</f>
        <v>B</v>
      </c>
    </row>
    <row r="12231" spans="1:8" x14ac:dyDescent="0.2">
      <c r="A12231" t="str">
        <f t="shared" si="4421"/>
        <v>0614113456</v>
      </c>
      <c r="B12231" t="str">
        <f t="shared" si="4422"/>
        <v>AMELIE</v>
      </c>
      <c r="C12231" t="str">
        <f t="shared" si="4423"/>
        <v>NEVINS</v>
      </c>
      <c r="D12231" t="str">
        <f t="shared" si="4424"/>
        <v>09</v>
      </c>
      <c r="E12231" t="str">
        <f>"03 - A - 202 - Cheryl L Beach"</f>
        <v>03 - A - 202 - Cheryl L Beach</v>
      </c>
      <c r="F12231" t="str">
        <f>"AICE ENV MGMNT AS"</f>
        <v>AICE ENV MGMNT AS</v>
      </c>
      <c r="G12231" t="str">
        <f>"08-811"</f>
        <v>08-811</v>
      </c>
      <c r="H12231" t="str">
        <f>"A"</f>
        <v>A</v>
      </c>
    </row>
    <row r="12232" spans="1:8" x14ac:dyDescent="0.2">
      <c r="A12232" t="str">
        <f t="shared" si="4421"/>
        <v>0614113456</v>
      </c>
      <c r="B12232" t="str">
        <f t="shared" si="4422"/>
        <v>AMELIE</v>
      </c>
      <c r="C12232" t="str">
        <f t="shared" si="4423"/>
        <v>NEVINS</v>
      </c>
      <c r="D12232" t="str">
        <f t="shared" si="4424"/>
        <v>09</v>
      </c>
      <c r="E12232" t="str">
        <f>"02 - A - 102 - Samantha J Headley"</f>
        <v>02 - A - 102 - Samantha J Headley</v>
      </c>
      <c r="F12232" t="str">
        <f>"NC STUDY HALL 1"</f>
        <v>NC STUDY HALL 1</v>
      </c>
      <c r="G12232" t="str">
        <f>"21-2134"</f>
        <v>21-2134</v>
      </c>
      <c r="H12232" t="str">
        <f>"A"</f>
        <v>A</v>
      </c>
    </row>
    <row r="12233" spans="1:8" x14ac:dyDescent="0.2">
      <c r="A12233" t="str">
        <f t="shared" si="4421"/>
        <v>0614113456</v>
      </c>
      <c r="B12233" t="str">
        <f t="shared" si="4422"/>
        <v>AMELIE</v>
      </c>
      <c r="C12233" t="str">
        <f t="shared" si="4423"/>
        <v>NEVINS</v>
      </c>
      <c r="D12233" t="str">
        <f t="shared" si="4424"/>
        <v>09</v>
      </c>
      <c r="E12233" t="str">
        <f>"07 - B - 103 - Vanessa J Liburd"</f>
        <v>07 - B - 103 - Vanessa J Liburd</v>
      </c>
      <c r="F12233" t="str">
        <f>"PRE-AICE FRENCH 1 IG"</f>
        <v>PRE-AICE FRENCH 1 IG</v>
      </c>
      <c r="G12233" t="str">
        <f>"05-519"</f>
        <v>05-519</v>
      </c>
      <c r="H12233" t="str">
        <f>"B"</f>
        <v>B</v>
      </c>
    </row>
    <row r="12234" spans="1:8" x14ac:dyDescent="0.2">
      <c r="A12234" t="str">
        <f t="shared" si="4421"/>
        <v>0614113456</v>
      </c>
      <c r="B12234" t="str">
        <f t="shared" si="4422"/>
        <v>AMELIE</v>
      </c>
      <c r="C12234" t="str">
        <f t="shared" si="4423"/>
        <v>NEVINS</v>
      </c>
      <c r="D12234" t="str">
        <f t="shared" si="4424"/>
        <v>09</v>
      </c>
      <c r="E12234" t="str">
        <f>"05 - B - 204 - Elizabeth R Walker"</f>
        <v>05 - B - 204 - Elizabeth R Walker</v>
      </c>
      <c r="F12234" t="str">
        <f>"AICE ENG GEN PAPER 1"</f>
        <v>AICE ENG GEN PAPER 1</v>
      </c>
      <c r="G12234" t="str">
        <f>"17-1703"</f>
        <v>17-1703</v>
      </c>
      <c r="H12234" t="str">
        <f>"B"</f>
        <v>B</v>
      </c>
    </row>
    <row r="12235" spans="1:8" x14ac:dyDescent="0.2">
      <c r="A12235" t="str">
        <f t="shared" si="4421"/>
        <v>0614113456</v>
      </c>
      <c r="B12235" t="str">
        <f t="shared" si="4422"/>
        <v>AMELIE</v>
      </c>
      <c r="C12235" t="str">
        <f t="shared" si="4423"/>
        <v>NEVINS</v>
      </c>
      <c r="D12235" t="str">
        <f t="shared" si="4424"/>
        <v>09</v>
      </c>
      <c r="E12235" t="str">
        <f>"01 - A - 101 - Adam Marcus  Drucker"</f>
        <v>01 - A - 101 - Adam Marcus  Drucker</v>
      </c>
      <c r="F12235" t="str">
        <f>"HOPE-PE V"</f>
        <v>HOPE-PE V</v>
      </c>
      <c r="G12235" t="str">
        <f>"04-254"</f>
        <v>04-254</v>
      </c>
      <c r="H12235" t="str">
        <f>"A"</f>
        <v>A</v>
      </c>
    </row>
    <row r="12236" spans="1:8" x14ac:dyDescent="0.2">
      <c r="A12236" t="str">
        <f t="shared" si="4421"/>
        <v>0614113456</v>
      </c>
      <c r="B12236" t="str">
        <f t="shared" si="4422"/>
        <v>AMELIE</v>
      </c>
      <c r="C12236" t="str">
        <f t="shared" si="4423"/>
        <v>NEVINS</v>
      </c>
      <c r="D12236" t="str">
        <f t="shared" si="4424"/>
        <v>09</v>
      </c>
      <c r="E12236" t="str">
        <f>"08 - B - 109 - Emmily A Sarmiento"</f>
        <v>08 - B - 109 - Emmily A Sarmiento</v>
      </c>
      <c r="F12236" t="str">
        <f>"AICE GLBL PERSP 1 AS"</f>
        <v>AICE GLBL PERSP 1 AS</v>
      </c>
      <c r="G12236" t="str">
        <f>"17-1743"</f>
        <v>17-1743</v>
      </c>
      <c r="H12236" t="str">
        <f>"B"</f>
        <v>B</v>
      </c>
    </row>
    <row r="12237" spans="1:8" x14ac:dyDescent="0.2">
      <c r="A12237" t="str">
        <f t="shared" ref="A12237:A12244" si="4425">"0614050844"</f>
        <v>0614050844</v>
      </c>
      <c r="B12237" t="str">
        <f t="shared" ref="B12237:B12244" si="4426">"JAYLA"</f>
        <v>JAYLA</v>
      </c>
      <c r="C12237" t="str">
        <f t="shared" ref="C12237:C12244" si="4427">"NEWKIRT"</f>
        <v>NEWKIRT</v>
      </c>
      <c r="D12237">
        <f>12</f>
        <v>12</v>
      </c>
      <c r="E12237" t="str">
        <f>"04 - S1 - A - 105 - Robert O Burger"</f>
        <v>04 - S1 - A - 105 - Robert O Burger</v>
      </c>
      <c r="F12237" t="str">
        <f>"US GOVT"</f>
        <v>US GOVT</v>
      </c>
      <c r="G12237" t="str">
        <f>"17-1755"</f>
        <v>17-1755</v>
      </c>
      <c r="H12237" t="str">
        <f>"A"</f>
        <v>A</v>
      </c>
    </row>
    <row r="12238" spans="1:8" x14ac:dyDescent="0.2">
      <c r="A12238" t="str">
        <f t="shared" si="4425"/>
        <v>0614050844</v>
      </c>
      <c r="B12238" t="str">
        <f t="shared" si="4426"/>
        <v>JAYLA</v>
      </c>
      <c r="C12238" t="str">
        <f t="shared" si="4427"/>
        <v>NEWKIRT</v>
      </c>
      <c r="D12238">
        <f>12</f>
        <v>12</v>
      </c>
      <c r="E12238" t="str">
        <f>"06 - B - 110 - Barbara L Segal"</f>
        <v>06 - B - 110 - Barbara L Segal</v>
      </c>
      <c r="F12238" t="str">
        <f>"NC STUDY HALL 1"</f>
        <v>NC STUDY HALL 1</v>
      </c>
      <c r="G12238" t="str">
        <f>"17-1742"</f>
        <v>17-1742</v>
      </c>
      <c r="H12238" t="str">
        <f>"B"</f>
        <v>B</v>
      </c>
    </row>
    <row r="12239" spans="1:8" x14ac:dyDescent="0.2">
      <c r="A12239" t="str">
        <f t="shared" si="4425"/>
        <v>0614050844</v>
      </c>
      <c r="B12239" t="str">
        <f t="shared" si="4426"/>
        <v>JAYLA</v>
      </c>
      <c r="C12239" t="str">
        <f t="shared" si="4427"/>
        <v>NEWKIRT</v>
      </c>
      <c r="D12239">
        <f>12</f>
        <v>12</v>
      </c>
      <c r="E12239" t="str">
        <f>"03 - A - 201 - Christa T Parisi"</f>
        <v>03 - A - 201 - Christa T Parisi</v>
      </c>
      <c r="F12239" t="str">
        <f>"DANCE TECHNQS 1"</f>
        <v>DANCE TECHNQS 1</v>
      </c>
      <c r="G12239" t="str">
        <f>"05-503"</f>
        <v>05-503</v>
      </c>
      <c r="H12239" t="str">
        <f>"A"</f>
        <v>A</v>
      </c>
    </row>
    <row r="12240" spans="1:8" x14ac:dyDescent="0.2">
      <c r="A12240" t="str">
        <f t="shared" si="4425"/>
        <v>0614050844</v>
      </c>
      <c r="B12240" t="str">
        <f t="shared" si="4426"/>
        <v>JAYLA</v>
      </c>
      <c r="C12240" t="str">
        <f t="shared" si="4427"/>
        <v>NEWKIRT</v>
      </c>
      <c r="D12240">
        <f>12</f>
        <v>12</v>
      </c>
      <c r="E12240" t="str">
        <f>"02 - A - 101 - Robyn L Trainer"</f>
        <v>02 - A - 101 - Robyn L Trainer</v>
      </c>
      <c r="F12240" t="str">
        <f>"ENG 4"</f>
        <v>ENG 4</v>
      </c>
      <c r="G12240" t="str">
        <f>"17-1734"</f>
        <v>17-1734</v>
      </c>
      <c r="H12240" t="str">
        <f>"A"</f>
        <v>A</v>
      </c>
    </row>
    <row r="12241" spans="1:8" x14ac:dyDescent="0.2">
      <c r="A12241" t="str">
        <f t="shared" si="4425"/>
        <v>0614050844</v>
      </c>
      <c r="B12241" t="str">
        <f t="shared" si="4426"/>
        <v>JAYLA</v>
      </c>
      <c r="C12241" t="str">
        <f t="shared" si="4427"/>
        <v>NEWKIRT</v>
      </c>
      <c r="D12241">
        <f>12</f>
        <v>12</v>
      </c>
      <c r="E12241" t="str">
        <f>"07 - B - 102 - Tina L Lovett"</f>
        <v>07 - B - 102 - Tina L Lovett</v>
      </c>
      <c r="F12241" t="str">
        <f>"MATH DATA &amp; FIN LIT"</f>
        <v>MATH DATA &amp; FIN LIT</v>
      </c>
      <c r="G12241" t="str">
        <f>"21-2153"</f>
        <v>21-2153</v>
      </c>
      <c r="H12241" t="str">
        <f>"B"</f>
        <v>B</v>
      </c>
    </row>
    <row r="12242" spans="1:8" x14ac:dyDescent="0.2">
      <c r="A12242" t="str">
        <f t="shared" si="4425"/>
        <v>0614050844</v>
      </c>
      <c r="B12242" t="str">
        <f t="shared" si="4426"/>
        <v>JAYLA</v>
      </c>
      <c r="C12242" t="str">
        <f t="shared" si="4427"/>
        <v>NEWKIRT</v>
      </c>
      <c r="D12242">
        <f>12</f>
        <v>12</v>
      </c>
      <c r="E12242" t="str">
        <f>"05 - B - 102 - Dorothy D Moore"</f>
        <v>05 - B - 102 - Dorothy D Moore</v>
      </c>
      <c r="F12242" t="str">
        <f>"FORC SCI 1 LH"</f>
        <v>FORC SCI 1 LH</v>
      </c>
      <c r="G12242" t="str">
        <f>"08-803"</f>
        <v>08-803</v>
      </c>
      <c r="H12242" t="str">
        <f>"B"</f>
        <v>B</v>
      </c>
    </row>
    <row r="12243" spans="1:8" x14ac:dyDescent="0.2">
      <c r="A12243" t="str">
        <f t="shared" si="4425"/>
        <v>0614050844</v>
      </c>
      <c r="B12243" t="str">
        <f t="shared" si="4426"/>
        <v>JAYLA</v>
      </c>
      <c r="C12243" t="str">
        <f t="shared" si="4427"/>
        <v>NEWKIRT</v>
      </c>
      <c r="D12243">
        <f>12</f>
        <v>12</v>
      </c>
      <c r="E12243" t="str">
        <f>"01 - A - 101 - Daniel S Tyson"</f>
        <v>01 - A - 101 - Daniel S Tyson</v>
      </c>
      <c r="F12243" t="str">
        <f>"JROTC NAVAL SCI 2"</f>
        <v>JROTC NAVAL SCI 2</v>
      </c>
      <c r="G12243" t="str">
        <f>"05-510"</f>
        <v>05-510</v>
      </c>
      <c r="H12243" t="str">
        <f>"A"</f>
        <v>A</v>
      </c>
    </row>
    <row r="12244" spans="1:8" x14ac:dyDescent="0.2">
      <c r="A12244" t="str">
        <f t="shared" si="4425"/>
        <v>0614050844</v>
      </c>
      <c r="B12244" t="str">
        <f t="shared" si="4426"/>
        <v>JAYLA</v>
      </c>
      <c r="C12244" t="str">
        <f t="shared" si="4427"/>
        <v>NEWKIRT</v>
      </c>
      <c r="D12244">
        <f>12</f>
        <v>12</v>
      </c>
      <c r="E12244" t="str">
        <f>"08 - S1 - B - 101 - Amy Beth  Broyles"</f>
        <v>08 - S1 - B - 101 - Amy Beth  Broyles</v>
      </c>
      <c r="F12244" t="str">
        <f>"PEER COUN 3"</f>
        <v>PEER COUN 3</v>
      </c>
      <c r="G12244" t="str">
        <f>"17-1713"</f>
        <v>17-1713</v>
      </c>
      <c r="H12244" t="str">
        <f>"B"</f>
        <v>B</v>
      </c>
    </row>
    <row r="12245" spans="1:8" x14ac:dyDescent="0.2">
      <c r="A12245" t="str">
        <f t="shared" ref="A12245:A12252" si="4428">"0608080360"</f>
        <v>0608080360</v>
      </c>
      <c r="B12245" t="str">
        <f t="shared" ref="B12245:B12252" si="4429">"KALIYAH"</f>
        <v>KALIYAH</v>
      </c>
      <c r="C12245" t="str">
        <f t="shared" ref="C12245:C12276" si="4430">"NGUYEN"</f>
        <v>NGUYEN</v>
      </c>
      <c r="D12245">
        <f>12</f>
        <v>12</v>
      </c>
      <c r="E12245" t="str">
        <f>"04 - A - 203 - Cheryl L Beach"</f>
        <v>04 - A - 203 - Cheryl L Beach</v>
      </c>
      <c r="F12245" t="str">
        <f>"AICE ENV MGMNT AS"</f>
        <v>AICE ENV MGMNT AS</v>
      </c>
      <c r="G12245" t="str">
        <f>"08-811"</f>
        <v>08-811</v>
      </c>
      <c r="H12245" t="str">
        <f>"A"</f>
        <v>A</v>
      </c>
    </row>
    <row r="12246" spans="1:8" x14ac:dyDescent="0.2">
      <c r="A12246" t="str">
        <f t="shared" si="4428"/>
        <v>0608080360</v>
      </c>
      <c r="B12246" t="str">
        <f t="shared" si="4429"/>
        <v>KALIYAH</v>
      </c>
      <c r="C12246" t="str">
        <f t="shared" si="4430"/>
        <v>NGUYEN</v>
      </c>
      <c r="D12246">
        <f>12</f>
        <v>12</v>
      </c>
      <c r="E12246" t="str">
        <f>"06 - B - 001 - Robert O Burger"</f>
        <v>06 - B - 001 - Robert O Burger</v>
      </c>
      <c r="F12246" t="str">
        <f>"NC STUDY HALL 1"</f>
        <v>NC STUDY HALL 1</v>
      </c>
      <c r="G12246" t="str">
        <f>"17-1755"</f>
        <v>17-1755</v>
      </c>
      <c r="H12246" t="str">
        <f>"B"</f>
        <v>B</v>
      </c>
    </row>
    <row r="12247" spans="1:8" x14ac:dyDescent="0.2">
      <c r="A12247" t="str">
        <f t="shared" si="4428"/>
        <v>0608080360</v>
      </c>
      <c r="B12247" t="str">
        <f t="shared" si="4429"/>
        <v>KALIYAH</v>
      </c>
      <c r="C12247" t="str">
        <f t="shared" si="4430"/>
        <v>NGUYEN</v>
      </c>
      <c r="D12247">
        <f>12</f>
        <v>12</v>
      </c>
      <c r="E12247" t="str">
        <f>"03 - A - 101 - Chrystina M Marchionne"</f>
        <v>03 - A - 101 - Chrystina M Marchionne</v>
      </c>
      <c r="F12247" t="str">
        <f>"JOURN 4 (YB) LH"</f>
        <v>JOURN 4 (YB) LH</v>
      </c>
      <c r="G12247" t="str">
        <f>"05-520"</f>
        <v>05-520</v>
      </c>
      <c r="H12247" t="str">
        <f>"A"</f>
        <v>A</v>
      </c>
    </row>
    <row r="12248" spans="1:8" x14ac:dyDescent="0.2">
      <c r="A12248" t="str">
        <f t="shared" si="4428"/>
        <v>0608080360</v>
      </c>
      <c r="B12248" t="str">
        <f t="shared" si="4429"/>
        <v>KALIYAH</v>
      </c>
      <c r="C12248" t="str">
        <f t="shared" si="4430"/>
        <v>NGUYEN</v>
      </c>
      <c r="D12248">
        <f>12</f>
        <v>12</v>
      </c>
      <c r="E12248" t="str">
        <f>"02 - A - 102 - Chrystina M Marchionne"</f>
        <v>02 - A - 102 - Chrystina M Marchionne</v>
      </c>
      <c r="F12248" t="str">
        <f>"AICE MEDIA STUDIES A"</f>
        <v>AICE MEDIA STUDIES A</v>
      </c>
      <c r="G12248" t="str">
        <f>"05-520"</f>
        <v>05-520</v>
      </c>
      <c r="H12248" t="str">
        <f>"A"</f>
        <v>A</v>
      </c>
    </row>
    <row r="12249" spans="1:8" x14ac:dyDescent="0.2">
      <c r="A12249" t="str">
        <f t="shared" si="4428"/>
        <v>0608080360</v>
      </c>
      <c r="B12249" t="str">
        <f t="shared" si="4429"/>
        <v>KALIYAH</v>
      </c>
      <c r="C12249" t="str">
        <f t="shared" si="4430"/>
        <v>NGUYEN</v>
      </c>
      <c r="D12249">
        <f>12</f>
        <v>12</v>
      </c>
      <c r="E12249" t="str">
        <f>"07 - S1 - B - 101 - Daniel S Katz"</f>
        <v>07 - S1 - B - 101 - Daniel S Katz</v>
      </c>
      <c r="F12249" t="str">
        <f>"CRIMINAL LAW"</f>
        <v>CRIMINAL LAW</v>
      </c>
      <c r="G12249" t="str">
        <f>"21-2156"</f>
        <v>21-2156</v>
      </c>
      <c r="H12249" t="str">
        <f>"B"</f>
        <v>B</v>
      </c>
    </row>
    <row r="12250" spans="1:8" x14ac:dyDescent="0.2">
      <c r="A12250" t="str">
        <f t="shared" si="4428"/>
        <v>0608080360</v>
      </c>
      <c r="B12250" t="str">
        <f t="shared" si="4429"/>
        <v>KALIYAH</v>
      </c>
      <c r="C12250" t="str">
        <f t="shared" si="4430"/>
        <v>NGUYEN</v>
      </c>
      <c r="D12250">
        <f>12</f>
        <v>12</v>
      </c>
      <c r="E12250" t="str">
        <f>"05 - B - 103 - Brandy N Zdenek"</f>
        <v>05 - B - 103 - Brandy N Zdenek</v>
      </c>
      <c r="F12250" t="str">
        <f>"AICE ENG LANG 2 AL"</f>
        <v>AICE ENG LANG 2 AL</v>
      </c>
      <c r="G12250" t="str">
        <f>"17-1704"</f>
        <v>17-1704</v>
      </c>
      <c r="H12250" t="str">
        <f>"B"</f>
        <v>B</v>
      </c>
    </row>
    <row r="12251" spans="1:8" x14ac:dyDescent="0.2">
      <c r="A12251" t="str">
        <f t="shared" si="4428"/>
        <v>0608080360</v>
      </c>
      <c r="B12251" t="str">
        <f t="shared" si="4429"/>
        <v>KALIYAH</v>
      </c>
      <c r="C12251" t="str">
        <f t="shared" si="4430"/>
        <v>NGUYEN</v>
      </c>
      <c r="D12251">
        <f>12</f>
        <v>12</v>
      </c>
      <c r="E12251" t="str">
        <f>"01 - A - 101 - Thomas G Handwerg"</f>
        <v>01 - A - 101 - Thomas G Handwerg</v>
      </c>
      <c r="F12251" t="str">
        <f>"PROB STAT W/APPS HON"</f>
        <v>PROB STAT W/APPS HON</v>
      </c>
      <c r="G12251" t="str">
        <f>"21-2146"</f>
        <v>21-2146</v>
      </c>
      <c r="H12251" t="str">
        <f>"A"</f>
        <v>A</v>
      </c>
    </row>
    <row r="12252" spans="1:8" x14ac:dyDescent="0.2">
      <c r="A12252" t="str">
        <f t="shared" si="4428"/>
        <v>0608080360</v>
      </c>
      <c r="B12252" t="str">
        <f t="shared" si="4429"/>
        <v>KALIYAH</v>
      </c>
      <c r="C12252" t="str">
        <f t="shared" si="4430"/>
        <v>NGUYEN</v>
      </c>
      <c r="D12252">
        <f>12</f>
        <v>12</v>
      </c>
      <c r="E12252" t="str">
        <f>"08 - S1 - B - 102 - Stephen T Ripp"</f>
        <v>08 - S1 - B - 102 - Stephen T Ripp</v>
      </c>
      <c r="F12252" t="str">
        <f>"AP US GOVT/POL"</f>
        <v>AP US GOVT/POL</v>
      </c>
      <c r="G12252" t="str">
        <f>"17-1744"</f>
        <v>17-1744</v>
      </c>
      <c r="H12252" t="str">
        <f>"B"</f>
        <v>B</v>
      </c>
    </row>
    <row r="12253" spans="1:8" x14ac:dyDescent="0.2">
      <c r="A12253" t="str">
        <f t="shared" ref="A12253:A12260" si="4431">"0617009409"</f>
        <v>0617009409</v>
      </c>
      <c r="B12253" t="str">
        <f t="shared" ref="B12253:B12260" si="4432">"KATHRYN"</f>
        <v>KATHRYN</v>
      </c>
      <c r="C12253" t="str">
        <f t="shared" si="4430"/>
        <v>NGUYEN</v>
      </c>
      <c r="D12253" t="str">
        <f t="shared" ref="D12253:D12260" si="4433">"09"</f>
        <v>09</v>
      </c>
      <c r="E12253" t="str">
        <f>"04 - A - 201 - Dorothy D Moore"</f>
        <v>04 - A - 201 - Dorothy D Moore</v>
      </c>
      <c r="F12253" t="str">
        <f>"HEALTH SCI 1/A&amp;P HON"</f>
        <v>HEALTH SCI 1/A&amp;P HON</v>
      </c>
      <c r="G12253" t="str">
        <f>"08-803"</f>
        <v>08-803</v>
      </c>
      <c r="H12253" t="str">
        <f>"A"</f>
        <v>A</v>
      </c>
    </row>
    <row r="12254" spans="1:8" x14ac:dyDescent="0.2">
      <c r="A12254" t="str">
        <f t="shared" si="4431"/>
        <v>0617009409</v>
      </c>
      <c r="B12254" t="str">
        <f t="shared" si="4432"/>
        <v>KATHRYN</v>
      </c>
      <c r="C12254" t="str">
        <f t="shared" si="4430"/>
        <v>NGUYEN</v>
      </c>
      <c r="D12254" t="str">
        <f t="shared" si="4433"/>
        <v>09</v>
      </c>
      <c r="E12254" t="str">
        <f>"06 - B - 102 - Rosa Elaine  Collado-Duff"</f>
        <v>06 - B - 102 - Rosa Elaine  Collado-Duff</v>
      </c>
      <c r="F12254" t="str">
        <f>"SPANISH 3 HON"</f>
        <v>SPANISH 3 HON</v>
      </c>
      <c r="G12254" t="str">
        <f>"09-913"</f>
        <v>09-913</v>
      </c>
      <c r="H12254" t="str">
        <f>"B"</f>
        <v>B</v>
      </c>
    </row>
    <row r="12255" spans="1:8" x14ac:dyDescent="0.2">
      <c r="A12255" t="str">
        <f t="shared" si="4431"/>
        <v>0617009409</v>
      </c>
      <c r="B12255" t="str">
        <f t="shared" si="4432"/>
        <v>KATHRYN</v>
      </c>
      <c r="C12255" t="str">
        <f t="shared" si="4430"/>
        <v>NGUYEN</v>
      </c>
      <c r="D12255" t="str">
        <f t="shared" si="4433"/>
        <v>09</v>
      </c>
      <c r="E12255" t="str">
        <f>"03 - A - 202 - Cheryl L Beach"</f>
        <v>03 - A - 202 - Cheryl L Beach</v>
      </c>
      <c r="F12255" t="str">
        <f>"AICE ENV MGMNT AS"</f>
        <v>AICE ENV MGMNT AS</v>
      </c>
      <c r="G12255" t="str">
        <f>"08-811"</f>
        <v>08-811</v>
      </c>
      <c r="H12255" t="str">
        <f>"A"</f>
        <v>A</v>
      </c>
    </row>
    <row r="12256" spans="1:8" x14ac:dyDescent="0.2">
      <c r="A12256" t="str">
        <f t="shared" si="4431"/>
        <v>0617009409</v>
      </c>
      <c r="B12256" t="str">
        <f t="shared" si="4432"/>
        <v>KATHRYN</v>
      </c>
      <c r="C12256" t="str">
        <f t="shared" si="4430"/>
        <v>NGUYEN</v>
      </c>
      <c r="D12256" t="str">
        <f t="shared" si="4433"/>
        <v>09</v>
      </c>
      <c r="E12256" t="str">
        <f>"02 - A - 108 - Rory T Sponsler"</f>
        <v>02 - A - 108 - Rory T Sponsler</v>
      </c>
      <c r="F12256" t="str">
        <f>"NC STUDY HALL 1"</f>
        <v>NC STUDY HALL 1</v>
      </c>
      <c r="G12256" t="str">
        <f>"17-1740"</f>
        <v>17-1740</v>
      </c>
      <c r="H12256" t="str">
        <f>"A"</f>
        <v>A</v>
      </c>
    </row>
    <row r="12257" spans="1:8" x14ac:dyDescent="0.2">
      <c r="A12257" t="str">
        <f t="shared" si="4431"/>
        <v>0617009409</v>
      </c>
      <c r="B12257" t="str">
        <f t="shared" si="4432"/>
        <v>KATHRYN</v>
      </c>
      <c r="C12257" t="str">
        <f t="shared" si="4430"/>
        <v>NGUYEN</v>
      </c>
      <c r="D12257" t="str">
        <f t="shared" si="4433"/>
        <v>09</v>
      </c>
      <c r="E12257" t="str">
        <f>"07 - B - 107 - Brook E Goren"</f>
        <v>07 - B - 107 - Brook E Goren</v>
      </c>
      <c r="F12257" t="str">
        <f>"PRE-AICE MATH 2 IG"</f>
        <v>PRE-AICE MATH 2 IG</v>
      </c>
      <c r="G12257" t="str">
        <f>"21-2158"</f>
        <v>21-2158</v>
      </c>
      <c r="H12257" t="str">
        <f>"B"</f>
        <v>B</v>
      </c>
    </row>
    <row r="12258" spans="1:8" x14ac:dyDescent="0.2">
      <c r="A12258" t="str">
        <f t="shared" si="4431"/>
        <v>0617009409</v>
      </c>
      <c r="B12258" t="str">
        <f t="shared" si="4432"/>
        <v>KATHRYN</v>
      </c>
      <c r="C12258" t="str">
        <f t="shared" si="4430"/>
        <v>NGUYEN</v>
      </c>
      <c r="D12258" t="str">
        <f t="shared" si="4433"/>
        <v>09</v>
      </c>
      <c r="E12258" t="str">
        <f>"05 - B - 003 - Krystal Marie  Beruty"</f>
        <v>05 - B - 003 - Krystal Marie  Beruty</v>
      </c>
      <c r="F12258" t="str">
        <f>"AICE GLBL PERSP 1 AS"</f>
        <v>AICE GLBL PERSP 1 AS</v>
      </c>
      <c r="G12258" t="str">
        <f>"17-1721"</f>
        <v>17-1721</v>
      </c>
      <c r="H12258" t="str">
        <f>"B"</f>
        <v>B</v>
      </c>
    </row>
    <row r="12259" spans="1:8" x14ac:dyDescent="0.2">
      <c r="A12259" t="str">
        <f t="shared" si="4431"/>
        <v>0617009409</v>
      </c>
      <c r="B12259" t="str">
        <f t="shared" si="4432"/>
        <v>KATHRYN</v>
      </c>
      <c r="C12259" t="str">
        <f t="shared" si="4430"/>
        <v>NGUYEN</v>
      </c>
      <c r="D12259" t="str">
        <f t="shared" si="4433"/>
        <v>09</v>
      </c>
      <c r="E12259" t="str">
        <f>"01 - A - 101 - Elizabeth R Walker"</f>
        <v>01 - A - 101 - Elizabeth R Walker</v>
      </c>
      <c r="F12259" t="str">
        <f>"AICE ENG GEN PAPER 1"</f>
        <v>AICE ENG GEN PAPER 1</v>
      </c>
      <c r="G12259" t="str">
        <f>"17-1703"</f>
        <v>17-1703</v>
      </c>
      <c r="H12259" t="str">
        <f>"A"</f>
        <v>A</v>
      </c>
    </row>
    <row r="12260" spans="1:8" x14ac:dyDescent="0.2">
      <c r="A12260" t="str">
        <f t="shared" si="4431"/>
        <v>0617009409</v>
      </c>
      <c r="B12260" t="str">
        <f t="shared" si="4432"/>
        <v>KATHRYN</v>
      </c>
      <c r="C12260" t="str">
        <f t="shared" si="4430"/>
        <v>NGUYEN</v>
      </c>
      <c r="D12260" t="str">
        <f t="shared" si="4433"/>
        <v>09</v>
      </c>
      <c r="E12260" t="str">
        <f>"08 - B - 001 - Chrystina M Marchionne"</f>
        <v>08 - B - 001 - Chrystina M Marchionne</v>
      </c>
      <c r="F12260" t="str">
        <f>"JOURN 1 (YB) LH"</f>
        <v>JOURN 1 (YB) LH</v>
      </c>
      <c r="G12260" t="str">
        <f>"05-520"</f>
        <v>05-520</v>
      </c>
      <c r="H12260" t="str">
        <f>"B"</f>
        <v>B</v>
      </c>
    </row>
    <row r="12261" spans="1:8" x14ac:dyDescent="0.2">
      <c r="A12261" t="str">
        <f t="shared" ref="A12261:A12268" si="4434">"0614021688"</f>
        <v>0614021688</v>
      </c>
      <c r="B12261" t="str">
        <f t="shared" ref="B12261:B12268" si="4435">"MELISSA"</f>
        <v>MELISSA</v>
      </c>
      <c r="C12261" t="str">
        <f t="shared" si="4430"/>
        <v>NGUYEN</v>
      </c>
      <c r="D12261">
        <f>12</f>
        <v>12</v>
      </c>
      <c r="E12261" t="str">
        <f>"04 - A - 101 - Brian M Fitzgerald"</f>
        <v>04 - A - 101 - Brian M Fitzgerald</v>
      </c>
      <c r="F12261" t="str">
        <f>"AP 2-D ART &amp; DESIGN"</f>
        <v>AP 2-D ART &amp; DESIGN</v>
      </c>
      <c r="G12261" t="str">
        <f>"09-908"</f>
        <v>09-908</v>
      </c>
      <c r="H12261" t="str">
        <f>"A"</f>
        <v>A</v>
      </c>
    </row>
    <row r="12262" spans="1:8" x14ac:dyDescent="0.2">
      <c r="A12262" t="str">
        <f t="shared" si="4434"/>
        <v>0614021688</v>
      </c>
      <c r="B12262" t="str">
        <f t="shared" si="4435"/>
        <v>MELISSA</v>
      </c>
      <c r="C12262" t="str">
        <f t="shared" si="4430"/>
        <v>NGUYEN</v>
      </c>
      <c r="D12262">
        <f>12</f>
        <v>12</v>
      </c>
      <c r="E12262" t="str">
        <f>"06 - B - 114 - Lisa J London"</f>
        <v>06 - B - 114 - Lisa J London</v>
      </c>
      <c r="F12262" t="str">
        <f>"NC STUDY HALL 1"</f>
        <v>NC STUDY HALL 1</v>
      </c>
      <c r="G12262" t="str">
        <f>"17-1714"</f>
        <v>17-1714</v>
      </c>
      <c r="H12262" t="str">
        <f>"B"</f>
        <v>B</v>
      </c>
    </row>
    <row r="12263" spans="1:8" x14ac:dyDescent="0.2">
      <c r="A12263" t="str">
        <f t="shared" si="4434"/>
        <v>0614021688</v>
      </c>
      <c r="B12263" t="str">
        <f t="shared" si="4435"/>
        <v>MELISSA</v>
      </c>
      <c r="C12263" t="str">
        <f t="shared" si="4430"/>
        <v>NGUYEN</v>
      </c>
      <c r="D12263">
        <f>12</f>
        <v>12</v>
      </c>
      <c r="E12263" t="str">
        <f>"03 - A - 101 - Lisa J London"</f>
        <v>03 - A - 101 - Lisa J London</v>
      </c>
      <c r="F12263" t="str">
        <f>"AP CAPSTONE RESEARCH"</f>
        <v>AP CAPSTONE RESEARCH</v>
      </c>
      <c r="G12263" t="str">
        <f>"17-1714"</f>
        <v>17-1714</v>
      </c>
      <c r="H12263" t="str">
        <f>"A"</f>
        <v>A</v>
      </c>
    </row>
    <row r="12264" spans="1:8" x14ac:dyDescent="0.2">
      <c r="A12264" t="str">
        <f t="shared" si="4434"/>
        <v>0614021688</v>
      </c>
      <c r="B12264" t="str">
        <f t="shared" si="4435"/>
        <v>MELISSA</v>
      </c>
      <c r="C12264" t="str">
        <f t="shared" si="4430"/>
        <v>NGUYEN</v>
      </c>
      <c r="D12264">
        <f>12</f>
        <v>12</v>
      </c>
      <c r="E12264" t="str">
        <f>"02 - A - 102 - Marielle A Witting"</f>
        <v>02 - A - 102 - Marielle A Witting</v>
      </c>
      <c r="F12264" t="str">
        <f>"AP BIO"</f>
        <v>AP BIO</v>
      </c>
      <c r="G12264" t="str">
        <f>"08-805"</f>
        <v>08-805</v>
      </c>
      <c r="H12264" t="str">
        <f>"A"</f>
        <v>A</v>
      </c>
    </row>
    <row r="12265" spans="1:8" x14ac:dyDescent="0.2">
      <c r="A12265" t="str">
        <f t="shared" si="4434"/>
        <v>0614021688</v>
      </c>
      <c r="B12265" t="str">
        <f t="shared" si="4435"/>
        <v>MELISSA</v>
      </c>
      <c r="C12265" t="str">
        <f t="shared" si="4430"/>
        <v>NGUYEN</v>
      </c>
      <c r="D12265">
        <f>12</f>
        <v>12</v>
      </c>
      <c r="E12265" t="str">
        <f>"07 - S1 - B - 102 - Barbara L Segal"</f>
        <v>07 - S1 - B - 102 - Barbara L Segal</v>
      </c>
      <c r="F12265" t="str">
        <f>"AP US GOVT/POL"</f>
        <v>AP US GOVT/POL</v>
      </c>
      <c r="G12265" t="str">
        <f>"17-1742"</f>
        <v>17-1742</v>
      </c>
      <c r="H12265" t="str">
        <f>"B"</f>
        <v>B</v>
      </c>
    </row>
    <row r="12266" spans="1:8" x14ac:dyDescent="0.2">
      <c r="A12266" t="str">
        <f t="shared" si="4434"/>
        <v>0614021688</v>
      </c>
      <c r="B12266" t="str">
        <f t="shared" si="4435"/>
        <v>MELISSA</v>
      </c>
      <c r="C12266" t="str">
        <f t="shared" si="4430"/>
        <v>NGUYEN</v>
      </c>
      <c r="D12266">
        <f>12</f>
        <v>12</v>
      </c>
      <c r="E12266" t="str">
        <f>"05 - B - 102 - Dorothy D Moore"</f>
        <v>05 - B - 102 - Dorothy D Moore</v>
      </c>
      <c r="F12266" t="str">
        <f>"FORC SCI 1 LH"</f>
        <v>FORC SCI 1 LH</v>
      </c>
      <c r="G12266" t="str">
        <f>"08-803"</f>
        <v>08-803</v>
      </c>
      <c r="H12266" t="str">
        <f>"B"</f>
        <v>B</v>
      </c>
    </row>
    <row r="12267" spans="1:8" x14ac:dyDescent="0.2">
      <c r="A12267" t="str">
        <f t="shared" si="4434"/>
        <v>0614021688</v>
      </c>
      <c r="B12267" t="str">
        <f t="shared" si="4435"/>
        <v>MELISSA</v>
      </c>
      <c r="C12267" t="str">
        <f t="shared" si="4430"/>
        <v>NGUYEN</v>
      </c>
      <c r="D12267">
        <f>12</f>
        <v>12</v>
      </c>
      <c r="E12267" t="str">
        <f>"01 - A - 101 - Thomas G Handwerg"</f>
        <v>01 - A - 101 - Thomas G Handwerg</v>
      </c>
      <c r="F12267" t="str">
        <f>"PROB STAT W/APPS HON"</f>
        <v>PROB STAT W/APPS HON</v>
      </c>
      <c r="G12267" t="str">
        <f>"21-2146"</f>
        <v>21-2146</v>
      </c>
      <c r="H12267" t="str">
        <f>"A"</f>
        <v>A</v>
      </c>
    </row>
    <row r="12268" spans="1:8" x14ac:dyDescent="0.2">
      <c r="A12268" t="str">
        <f t="shared" si="4434"/>
        <v>0614021688</v>
      </c>
      <c r="B12268" t="str">
        <f t="shared" si="4435"/>
        <v>MELISSA</v>
      </c>
      <c r="C12268" t="str">
        <f t="shared" si="4430"/>
        <v>NGUYEN</v>
      </c>
      <c r="D12268">
        <f>12</f>
        <v>12</v>
      </c>
      <c r="E12268" t="str">
        <f>"08 - B - 203 - Courtney E Hambright"</f>
        <v>08 - B - 203 - Courtney E Hambright</v>
      </c>
      <c r="F12268" t="str">
        <f>"AP ENG LIT COMPO"</f>
        <v>AP ENG LIT COMPO</v>
      </c>
      <c r="G12268" t="str">
        <f>"17-1711"</f>
        <v>17-1711</v>
      </c>
      <c r="H12268" t="str">
        <f>"B"</f>
        <v>B</v>
      </c>
    </row>
    <row r="12269" spans="1:8" x14ac:dyDescent="0.2">
      <c r="A12269" t="str">
        <f t="shared" ref="A12269:A12276" si="4436">"0615138417"</f>
        <v>0615138417</v>
      </c>
      <c r="B12269" t="str">
        <f t="shared" ref="B12269:B12276" si="4437">"VANESSA"</f>
        <v>VANESSA</v>
      </c>
      <c r="C12269" t="str">
        <f t="shared" si="4430"/>
        <v>NGUYEN</v>
      </c>
      <c r="D12269">
        <f>10</f>
        <v>10</v>
      </c>
      <c r="E12269" t="str">
        <f>"04 - A - 102 - Byron G Montenegro"</f>
        <v>04 - A - 102 - Byron G Montenegro</v>
      </c>
      <c r="F12269" t="str">
        <f>"AICE MARINE SCI 1 AS"</f>
        <v>AICE MARINE SCI 1 AS</v>
      </c>
      <c r="G12269" t="str">
        <f>"21-2144"</f>
        <v>21-2144</v>
      </c>
      <c r="H12269" t="str">
        <f>"A"</f>
        <v>A</v>
      </c>
    </row>
    <row r="12270" spans="1:8" x14ac:dyDescent="0.2">
      <c r="A12270" t="str">
        <f t="shared" si="4436"/>
        <v>0615138417</v>
      </c>
      <c r="B12270" t="str">
        <f t="shared" si="4437"/>
        <v>VANESSA</v>
      </c>
      <c r="C12270" t="str">
        <f t="shared" si="4430"/>
        <v>NGUYEN</v>
      </c>
      <c r="D12270">
        <f>10</f>
        <v>10</v>
      </c>
      <c r="E12270" t="str">
        <f>"06 - B - 119 - Nikiel  Nesbeth"</f>
        <v>06 - B - 119 - Nikiel  Nesbeth</v>
      </c>
      <c r="F12270" t="str">
        <f>"NC STUDY HALL 1"</f>
        <v>NC STUDY HALL 1</v>
      </c>
      <c r="G12270" t="str">
        <f>"17-1705"</f>
        <v>17-1705</v>
      </c>
      <c r="H12270" t="str">
        <f>"B"</f>
        <v>B</v>
      </c>
    </row>
    <row r="12271" spans="1:8" x14ac:dyDescent="0.2">
      <c r="A12271" t="str">
        <f t="shared" si="4436"/>
        <v>0615138417</v>
      </c>
      <c r="B12271" t="str">
        <f t="shared" si="4437"/>
        <v>VANESSA</v>
      </c>
      <c r="C12271" t="str">
        <f t="shared" si="4430"/>
        <v>NGUYEN</v>
      </c>
      <c r="D12271">
        <f>10</f>
        <v>10</v>
      </c>
      <c r="E12271" t="str">
        <f>"03 - A - 103 - Kelly N Panza"</f>
        <v>03 - A - 103 - Kelly N Panza</v>
      </c>
      <c r="F12271" t="str">
        <f>"AICE GLBL PERSP 1 AS"</f>
        <v>AICE GLBL PERSP 1 AS</v>
      </c>
      <c r="G12271" t="str">
        <f>"17-1753"</f>
        <v>17-1753</v>
      </c>
      <c r="H12271" t="str">
        <f>"A"</f>
        <v>A</v>
      </c>
    </row>
    <row r="12272" spans="1:8" x14ac:dyDescent="0.2">
      <c r="A12272" t="str">
        <f t="shared" si="4436"/>
        <v>0615138417</v>
      </c>
      <c r="B12272" t="str">
        <f t="shared" si="4437"/>
        <v>VANESSA</v>
      </c>
      <c r="C12272" t="str">
        <f t="shared" si="4430"/>
        <v>NGUYEN</v>
      </c>
      <c r="D12272">
        <f>10</f>
        <v>10</v>
      </c>
      <c r="E12272" t="str">
        <f>"02 - A - 102 - Jacklyn M James"</f>
        <v>02 - A - 102 - Jacklyn M James</v>
      </c>
      <c r="F12272" t="str">
        <f>"AICE ENG LANG AS"</f>
        <v>AICE ENG LANG AS</v>
      </c>
      <c r="G12272" t="str">
        <f>"17-1731"</f>
        <v>17-1731</v>
      </c>
      <c r="H12272" t="str">
        <f>"A"</f>
        <v>A</v>
      </c>
    </row>
    <row r="12273" spans="1:8" x14ac:dyDescent="0.2">
      <c r="A12273" t="str">
        <f t="shared" si="4436"/>
        <v>0615138417</v>
      </c>
      <c r="B12273" t="str">
        <f t="shared" si="4437"/>
        <v>VANESSA</v>
      </c>
      <c r="C12273" t="str">
        <f t="shared" si="4430"/>
        <v>NGUYEN</v>
      </c>
      <c r="D12273">
        <f>10</f>
        <v>10</v>
      </c>
      <c r="E12273" t="str">
        <f>"07 - B - 001 - Maried P Ramos"</f>
        <v>07 - B - 001 - Maried P Ramos</v>
      </c>
      <c r="F12273" t="str">
        <f>"GEOMETRY"</f>
        <v>GEOMETRY</v>
      </c>
      <c r="G12273" t="str">
        <f>"21-2159"</f>
        <v>21-2159</v>
      </c>
      <c r="H12273" t="str">
        <f>"B"</f>
        <v>B</v>
      </c>
    </row>
    <row r="12274" spans="1:8" x14ac:dyDescent="0.2">
      <c r="A12274" t="str">
        <f t="shared" si="4436"/>
        <v>0615138417</v>
      </c>
      <c r="B12274" t="str">
        <f t="shared" si="4437"/>
        <v>VANESSA</v>
      </c>
      <c r="C12274" t="str">
        <f t="shared" si="4430"/>
        <v>NGUYEN</v>
      </c>
      <c r="D12274">
        <f>10</f>
        <v>10</v>
      </c>
      <c r="E12274" t="str">
        <f>"05 - B - 102 - Dorothy D Moore"</f>
        <v>05 - B - 102 - Dorothy D Moore</v>
      </c>
      <c r="F12274" t="str">
        <f>"FORC SCI 1 LH"</f>
        <v>FORC SCI 1 LH</v>
      </c>
      <c r="G12274" t="str">
        <f>"08-803"</f>
        <v>08-803</v>
      </c>
      <c r="H12274" t="str">
        <f>"B"</f>
        <v>B</v>
      </c>
    </row>
    <row r="12275" spans="1:8" x14ac:dyDescent="0.2">
      <c r="A12275" t="str">
        <f t="shared" si="4436"/>
        <v>0615138417</v>
      </c>
      <c r="B12275" t="str">
        <f t="shared" si="4437"/>
        <v>VANESSA</v>
      </c>
      <c r="C12275" t="str">
        <f t="shared" si="4430"/>
        <v>NGUYEN</v>
      </c>
      <c r="D12275">
        <f>10</f>
        <v>10</v>
      </c>
      <c r="E12275" t="str">
        <f>"01 - S1 - A - 101 - Lissa C Frederique"</f>
        <v>01 - S1 - A - 101 - Lissa C Frederique</v>
      </c>
      <c r="F12275" t="str">
        <f>"PERS FIN &amp; MON MGT H"</f>
        <v>PERS FIN &amp; MON MGT H</v>
      </c>
      <c r="G12275" t="str">
        <f>"17-1754"</f>
        <v>17-1754</v>
      </c>
      <c r="H12275" t="str">
        <f>"A"</f>
        <v>A</v>
      </c>
    </row>
    <row r="12276" spans="1:8" x14ac:dyDescent="0.2">
      <c r="A12276" t="str">
        <f t="shared" si="4436"/>
        <v>0615138417</v>
      </c>
      <c r="B12276" t="str">
        <f t="shared" si="4437"/>
        <v>VANESSA</v>
      </c>
      <c r="C12276" t="str">
        <f t="shared" si="4430"/>
        <v>NGUYEN</v>
      </c>
      <c r="D12276">
        <f>10</f>
        <v>10</v>
      </c>
      <c r="E12276" t="str">
        <f>"08 - B - 001 - Chrystina M Marchionne"</f>
        <v>08 - B - 001 - Chrystina M Marchionne</v>
      </c>
      <c r="F12276" t="str">
        <f>"JOURN 1 (YB) LH"</f>
        <v>JOURN 1 (YB) LH</v>
      </c>
      <c r="G12276" t="str">
        <f>"05-520"</f>
        <v>05-520</v>
      </c>
      <c r="H12276" t="str">
        <f>"B"</f>
        <v>B</v>
      </c>
    </row>
    <row r="12277" spans="1:8" x14ac:dyDescent="0.2">
      <c r="A12277" t="str">
        <f t="shared" ref="A12277:A12284" si="4438">"0609124838"</f>
        <v>0609124838</v>
      </c>
      <c r="B12277" t="str">
        <f t="shared" ref="B12277:B12284" si="4439">"ELI"</f>
        <v>ELI</v>
      </c>
      <c r="C12277" t="str">
        <f t="shared" ref="C12277:C12292" si="4440">"NICOLAS"</f>
        <v>NICOLAS</v>
      </c>
      <c r="D12277">
        <f>12</f>
        <v>12</v>
      </c>
      <c r="E12277" t="str">
        <f>"04 - S1 - A - 107 - Richard E Dunbar Iii"</f>
        <v>04 - S1 - A - 107 - Richard E Dunbar Iii</v>
      </c>
      <c r="F12277" t="str">
        <f>"WEIGHT TRAIN 3"</f>
        <v>WEIGHT TRAIN 3</v>
      </c>
      <c r="G12277" t="str">
        <f>"05-501"</f>
        <v>05-501</v>
      </c>
      <c r="H12277" t="str">
        <f>"A"</f>
        <v>A</v>
      </c>
    </row>
    <row r="12278" spans="1:8" x14ac:dyDescent="0.2">
      <c r="A12278" t="str">
        <f t="shared" si="4438"/>
        <v>0609124838</v>
      </c>
      <c r="B12278" t="str">
        <f t="shared" si="4439"/>
        <v>ELI</v>
      </c>
      <c r="C12278" t="str">
        <f t="shared" si="4440"/>
        <v>NICOLAS</v>
      </c>
      <c r="D12278">
        <f>12</f>
        <v>12</v>
      </c>
      <c r="E12278" t="str">
        <f>"06 - B - 102 - Andrea A Amison"</f>
        <v>06 - B - 102 - Andrea A Amison</v>
      </c>
      <c r="F12278" t="str">
        <f>"NC STUDY HALL 1"</f>
        <v>NC STUDY HALL 1</v>
      </c>
      <c r="G12278" t="str">
        <f>"09-922C"</f>
        <v>09-922C</v>
      </c>
      <c r="H12278" t="str">
        <f>"B"</f>
        <v>B</v>
      </c>
    </row>
    <row r="12279" spans="1:8" x14ac:dyDescent="0.2">
      <c r="A12279" t="str">
        <f t="shared" si="4438"/>
        <v>0609124838</v>
      </c>
      <c r="B12279" t="str">
        <f t="shared" si="4439"/>
        <v>ELI</v>
      </c>
      <c r="C12279" t="str">
        <f t="shared" si="4440"/>
        <v>NICOLAS</v>
      </c>
      <c r="D12279">
        <f>12</f>
        <v>12</v>
      </c>
      <c r="E12279" t="str">
        <f>"03 - A - 101 - Tina L Lovett"</f>
        <v>03 - A - 101 - Tina L Lovett</v>
      </c>
      <c r="F12279" t="str">
        <f>"MATH DATA &amp; FIN LIT"</f>
        <v>MATH DATA &amp; FIN LIT</v>
      </c>
      <c r="G12279" t="str">
        <f>"21-2153"</f>
        <v>21-2153</v>
      </c>
      <c r="H12279" t="str">
        <f>"A"</f>
        <v>A</v>
      </c>
    </row>
    <row r="12280" spans="1:8" x14ac:dyDescent="0.2">
      <c r="A12280" t="str">
        <f t="shared" si="4438"/>
        <v>0609124838</v>
      </c>
      <c r="B12280" t="str">
        <f t="shared" si="4439"/>
        <v>ELI</v>
      </c>
      <c r="C12280" t="str">
        <f t="shared" si="4440"/>
        <v>NICOLAS</v>
      </c>
      <c r="D12280">
        <f>12</f>
        <v>12</v>
      </c>
      <c r="E12280" t="str">
        <f>"02 - A - 101 - Robyn L Trainer"</f>
        <v>02 - A - 101 - Robyn L Trainer</v>
      </c>
      <c r="F12280" t="str">
        <f>"ENG 4"</f>
        <v>ENG 4</v>
      </c>
      <c r="G12280" t="str">
        <f>"17-1734"</f>
        <v>17-1734</v>
      </c>
      <c r="H12280" t="str">
        <f>"A"</f>
        <v>A</v>
      </c>
    </row>
    <row r="12281" spans="1:8" x14ac:dyDescent="0.2">
      <c r="A12281" t="str">
        <f t="shared" si="4438"/>
        <v>0609124838</v>
      </c>
      <c r="B12281" t="str">
        <f t="shared" si="4439"/>
        <v>ELI</v>
      </c>
      <c r="C12281" t="str">
        <f t="shared" si="4440"/>
        <v>NICOLAS</v>
      </c>
      <c r="D12281">
        <f>12</f>
        <v>12</v>
      </c>
      <c r="E12281" t="str">
        <f>"07 - B - 104 - Marielle A Witting"</f>
        <v>07 - B - 104 - Marielle A Witting</v>
      </c>
      <c r="F12281" t="str">
        <f>"ANAT PHYSIO"</f>
        <v>ANAT PHYSIO</v>
      </c>
      <c r="G12281" t="str">
        <f>"08-805"</f>
        <v>08-805</v>
      </c>
      <c r="H12281" t="str">
        <f>"B"</f>
        <v>B</v>
      </c>
    </row>
    <row r="12282" spans="1:8" x14ac:dyDescent="0.2">
      <c r="A12282" t="str">
        <f t="shared" si="4438"/>
        <v>0609124838</v>
      </c>
      <c r="B12282" t="str">
        <f t="shared" si="4439"/>
        <v>ELI</v>
      </c>
      <c r="C12282" t="str">
        <f t="shared" si="4440"/>
        <v>NICOLAS</v>
      </c>
      <c r="D12282">
        <f>12</f>
        <v>12</v>
      </c>
      <c r="E12282" t="str">
        <f>"05 - B - 101 - Angela S Adeshina-Morrison"</f>
        <v>05 - B - 101 - Angela S Adeshina-Morrison</v>
      </c>
      <c r="F12282" t="str">
        <f>"MKT APPLCTNS LH"</f>
        <v>MKT APPLCTNS LH</v>
      </c>
      <c r="G12282" t="str">
        <f>"05-518"</f>
        <v>05-518</v>
      </c>
      <c r="H12282" t="str">
        <f>"B"</f>
        <v>B</v>
      </c>
    </row>
    <row r="12283" spans="1:8" x14ac:dyDescent="0.2">
      <c r="A12283" t="str">
        <f t="shared" si="4438"/>
        <v>0609124838</v>
      </c>
      <c r="B12283" t="str">
        <f t="shared" si="4439"/>
        <v>ELI</v>
      </c>
      <c r="C12283" t="str">
        <f t="shared" si="4440"/>
        <v>NICOLAS</v>
      </c>
      <c r="D12283">
        <f>12</f>
        <v>12</v>
      </c>
      <c r="E12283" t="str">
        <f>"01 - S1 - A - 101 - Robert O Burger"</f>
        <v>01 - S1 - A - 101 - Robert O Burger</v>
      </c>
      <c r="F12283" t="str">
        <f>"US GOVT"</f>
        <v>US GOVT</v>
      </c>
      <c r="G12283" t="str">
        <f>"17-1755"</f>
        <v>17-1755</v>
      </c>
      <c r="H12283" t="str">
        <f>"A"</f>
        <v>A</v>
      </c>
    </row>
    <row r="12284" spans="1:8" x14ac:dyDescent="0.2">
      <c r="A12284" t="str">
        <f t="shared" si="4438"/>
        <v>0609124838</v>
      </c>
      <c r="B12284" t="str">
        <f t="shared" si="4439"/>
        <v>ELI</v>
      </c>
      <c r="C12284" t="str">
        <f t="shared" si="4440"/>
        <v>NICOLAS</v>
      </c>
      <c r="D12284">
        <f>12</f>
        <v>12</v>
      </c>
      <c r="E12284" t="str">
        <f>"08 - B - 102 - Robert H Rindner"</f>
        <v>08 - B - 102 - Robert H Rindner</v>
      </c>
      <c r="F12284" t="str">
        <f>"TV PRODUCTION TECH 1"</f>
        <v>TV PRODUCTION TECH 1</v>
      </c>
      <c r="G12284" t="str">
        <f>"21-2160"</f>
        <v>21-2160</v>
      </c>
      <c r="H12284" t="str">
        <f>"B"</f>
        <v>B</v>
      </c>
    </row>
    <row r="12285" spans="1:8" x14ac:dyDescent="0.2">
      <c r="A12285" t="str">
        <f t="shared" ref="A12285:A12292" si="4441">"0611105412"</f>
        <v>0611105412</v>
      </c>
      <c r="B12285" t="str">
        <f t="shared" ref="B12285:B12292" si="4442">"YVEL"</f>
        <v>YVEL</v>
      </c>
      <c r="C12285" t="str">
        <f t="shared" si="4440"/>
        <v>NICOLAS</v>
      </c>
      <c r="D12285">
        <f>10</f>
        <v>10</v>
      </c>
      <c r="E12285" t="str">
        <f>"04 - S1 - A - 101 - Kyle  Robbins"</f>
        <v>04 - S1 - A - 101 - Kyle  Robbins</v>
      </c>
      <c r="F12285" t="str">
        <f>"PERS FIN &amp; MON MGT H"</f>
        <v>PERS FIN &amp; MON MGT H</v>
      </c>
      <c r="G12285" t="str">
        <f>"17-1745"</f>
        <v>17-1745</v>
      </c>
      <c r="H12285" t="str">
        <f>"A"</f>
        <v>A</v>
      </c>
    </row>
    <row r="12286" spans="1:8" x14ac:dyDescent="0.2">
      <c r="A12286" t="str">
        <f t="shared" si="4441"/>
        <v>0611105412</v>
      </c>
      <c r="B12286" t="str">
        <f t="shared" si="4442"/>
        <v>YVEL</v>
      </c>
      <c r="C12286" t="str">
        <f t="shared" si="4440"/>
        <v>NICOLAS</v>
      </c>
      <c r="D12286">
        <f>10</f>
        <v>10</v>
      </c>
      <c r="E12286" t="str">
        <f>"06 - B - 003 - Emmily A Sarmiento"</f>
        <v>06 - B - 003 - Emmily A Sarmiento</v>
      </c>
      <c r="F12286" t="str">
        <f>"NC STUDY HALL 1"</f>
        <v>NC STUDY HALL 1</v>
      </c>
      <c r="G12286" t="str">
        <f>"17-1743"</f>
        <v>17-1743</v>
      </c>
      <c r="H12286" t="str">
        <f>"B"</f>
        <v>B</v>
      </c>
    </row>
    <row r="12287" spans="1:8" x14ac:dyDescent="0.2">
      <c r="A12287" t="str">
        <f t="shared" si="4441"/>
        <v>0611105412</v>
      </c>
      <c r="B12287" t="str">
        <f t="shared" si="4442"/>
        <v>YVEL</v>
      </c>
      <c r="C12287" t="str">
        <f t="shared" si="4440"/>
        <v>NICOLAS</v>
      </c>
      <c r="D12287">
        <f>10</f>
        <v>10</v>
      </c>
      <c r="E12287" t="str">
        <f>"03 - A - 204 - Lytrell T Dixon"</f>
        <v>03 - A - 204 - Lytrell T Dixon</v>
      </c>
      <c r="F12287" t="str">
        <f>"BIOLOGY 1"</f>
        <v>BIOLOGY 1</v>
      </c>
      <c r="G12287" t="str">
        <f>"08-808"</f>
        <v>08-808</v>
      </c>
      <c r="H12287" t="str">
        <f>"A"</f>
        <v>A</v>
      </c>
    </row>
    <row r="12288" spans="1:8" x14ac:dyDescent="0.2">
      <c r="A12288" t="str">
        <f t="shared" si="4441"/>
        <v>0611105412</v>
      </c>
      <c r="B12288" t="str">
        <f t="shared" si="4442"/>
        <v>YVEL</v>
      </c>
      <c r="C12288" t="str">
        <f t="shared" si="4440"/>
        <v>NICOLAS</v>
      </c>
      <c r="D12288">
        <f>10</f>
        <v>10</v>
      </c>
      <c r="E12288" t="str">
        <f>"02 - A - 102 - Taraneh C Abreu"</f>
        <v>02 - A - 102 - Taraneh C Abreu</v>
      </c>
      <c r="F12288" t="str">
        <f>"INTENS READ 2"</f>
        <v>INTENS READ 2</v>
      </c>
      <c r="G12288" t="str">
        <f>"17-1713"</f>
        <v>17-1713</v>
      </c>
      <c r="H12288" t="str">
        <f>"A"</f>
        <v>A</v>
      </c>
    </row>
    <row r="12289" spans="1:8" x14ac:dyDescent="0.2">
      <c r="A12289" t="str">
        <f t="shared" si="4441"/>
        <v>0611105412</v>
      </c>
      <c r="B12289" t="str">
        <f t="shared" si="4442"/>
        <v>YVEL</v>
      </c>
      <c r="C12289" t="str">
        <f t="shared" si="4440"/>
        <v>NICOLAS</v>
      </c>
      <c r="D12289">
        <f>10</f>
        <v>10</v>
      </c>
      <c r="E12289" t="str">
        <f>"07 - B - 107 - Milca  Exantus"</f>
        <v>07 - B - 107 - Milca  Exantus</v>
      </c>
      <c r="F12289" t="str">
        <f>"MATH COLLEGE LIB ART"</f>
        <v>MATH COLLEGE LIB ART</v>
      </c>
      <c r="G12289" t="str">
        <f>"21-2145"</f>
        <v>21-2145</v>
      </c>
      <c r="H12289" t="str">
        <f>"B"</f>
        <v>B</v>
      </c>
    </row>
    <row r="12290" spans="1:8" x14ac:dyDescent="0.2">
      <c r="A12290" t="str">
        <f t="shared" si="4441"/>
        <v>0611105412</v>
      </c>
      <c r="B12290" t="str">
        <f t="shared" si="4442"/>
        <v>YVEL</v>
      </c>
      <c r="C12290" t="str">
        <f t="shared" si="4440"/>
        <v>NICOLAS</v>
      </c>
      <c r="D12290">
        <f>10</f>
        <v>10</v>
      </c>
      <c r="E12290" t="str">
        <f>"05 - B - 103 - Eva T Rimmer"</f>
        <v>05 - B - 103 - Eva T Rimmer</v>
      </c>
      <c r="F12290" t="str">
        <f>"CRIMINAL JUST OPS 1"</f>
        <v>CRIMINAL JUST OPS 1</v>
      </c>
      <c r="G12290" t="str">
        <f>"05-523"</f>
        <v>05-523</v>
      </c>
      <c r="H12290" t="str">
        <f>"B"</f>
        <v>B</v>
      </c>
    </row>
    <row r="12291" spans="1:8" x14ac:dyDescent="0.2">
      <c r="A12291" t="str">
        <f t="shared" si="4441"/>
        <v>0611105412</v>
      </c>
      <c r="B12291" t="str">
        <f t="shared" si="4442"/>
        <v>YVEL</v>
      </c>
      <c r="C12291" t="str">
        <f t="shared" si="4440"/>
        <v>NICOLAS</v>
      </c>
      <c r="D12291">
        <f>10</f>
        <v>10</v>
      </c>
      <c r="E12291" t="str">
        <f>"01 - A - 101 - Adam Marcus  Drucker"</f>
        <v>01 - A - 101 - Adam Marcus  Drucker</v>
      </c>
      <c r="F12291" t="str">
        <f>"HOPE-PE V"</f>
        <v>HOPE-PE V</v>
      </c>
      <c r="G12291" t="str">
        <f>"04-254"</f>
        <v>04-254</v>
      </c>
      <c r="H12291" t="str">
        <f>"A"</f>
        <v>A</v>
      </c>
    </row>
    <row r="12292" spans="1:8" x14ac:dyDescent="0.2">
      <c r="A12292" t="str">
        <f t="shared" si="4441"/>
        <v>0611105412</v>
      </c>
      <c r="B12292" t="str">
        <f t="shared" si="4442"/>
        <v>YVEL</v>
      </c>
      <c r="C12292" t="str">
        <f t="shared" si="4440"/>
        <v>NICOLAS</v>
      </c>
      <c r="D12292">
        <f>10</f>
        <v>10</v>
      </c>
      <c r="E12292" t="str">
        <f>"08 - B - 109 - Nikiel  Nesbeth"</f>
        <v>08 - B - 109 - Nikiel  Nesbeth</v>
      </c>
      <c r="F12292" t="str">
        <f>"ENG 2"</f>
        <v>ENG 2</v>
      </c>
      <c r="G12292" t="str">
        <f>"17-1705"</f>
        <v>17-1705</v>
      </c>
      <c r="H12292" t="str">
        <f>"B"</f>
        <v>B</v>
      </c>
    </row>
    <row r="12293" spans="1:8" x14ac:dyDescent="0.2">
      <c r="A12293" t="str">
        <f t="shared" ref="A12293:A12300" si="4443">"0613101772"</f>
        <v>0613101772</v>
      </c>
      <c r="B12293" t="str">
        <f t="shared" ref="B12293:B12300" si="4444">"CRYSTAL"</f>
        <v>CRYSTAL</v>
      </c>
      <c r="C12293" t="str">
        <f t="shared" ref="C12293:C12300" si="4445">"NIEVES"</f>
        <v>NIEVES</v>
      </c>
      <c r="D12293">
        <f>12</f>
        <v>12</v>
      </c>
      <c r="E12293" t="str">
        <f>"04 - A - 101 - Brian M Fitzgerald"</f>
        <v>04 - A - 101 - Brian M Fitzgerald</v>
      </c>
      <c r="F12293" t="str">
        <f>"DRAW 2"</f>
        <v>DRAW 2</v>
      </c>
      <c r="G12293" t="str">
        <f>"09-908"</f>
        <v>09-908</v>
      </c>
      <c r="H12293" t="str">
        <f>"A"</f>
        <v>A</v>
      </c>
    </row>
    <row r="12294" spans="1:8" x14ac:dyDescent="0.2">
      <c r="A12294" t="str">
        <f t="shared" si="4443"/>
        <v>0613101772</v>
      </c>
      <c r="B12294" t="str">
        <f t="shared" si="4444"/>
        <v>CRYSTAL</v>
      </c>
      <c r="C12294" t="str">
        <f t="shared" si="4445"/>
        <v>NIEVES</v>
      </c>
      <c r="D12294">
        <f>12</f>
        <v>12</v>
      </c>
      <c r="E12294" t="str">
        <f>"06 - B - 101 - Cliffon  Saurel"</f>
        <v>06 - B - 101 - Cliffon  Saurel</v>
      </c>
      <c r="F12294" t="str">
        <f>"NC STUDY HALL 1"</f>
        <v>NC STUDY HALL 1</v>
      </c>
      <c r="G12294" t="str">
        <f>"05-522"</f>
        <v>05-522</v>
      </c>
      <c r="H12294" t="str">
        <f>"B"</f>
        <v>B</v>
      </c>
    </row>
    <row r="12295" spans="1:8" x14ac:dyDescent="0.2">
      <c r="A12295" t="str">
        <f t="shared" si="4443"/>
        <v>0613101772</v>
      </c>
      <c r="B12295" t="str">
        <f t="shared" si="4444"/>
        <v>CRYSTAL</v>
      </c>
      <c r="C12295" t="str">
        <f t="shared" si="4445"/>
        <v>NIEVES</v>
      </c>
      <c r="D12295">
        <f>12</f>
        <v>12</v>
      </c>
      <c r="E12295" t="str">
        <f>"03 - A - 202 - Jeanne M Bermudez"</f>
        <v>03 - A - 202 - Jeanne M Bermudez</v>
      </c>
      <c r="F12295" t="str">
        <f>"PHYSICS 1 HON"</f>
        <v>PHYSICS 1 HON</v>
      </c>
      <c r="G12295" t="str">
        <f>"21-2141"</f>
        <v>21-2141</v>
      </c>
      <c r="H12295" t="str">
        <f>"A"</f>
        <v>A</v>
      </c>
    </row>
    <row r="12296" spans="1:8" x14ac:dyDescent="0.2">
      <c r="A12296" t="str">
        <f t="shared" si="4443"/>
        <v>0613101772</v>
      </c>
      <c r="B12296" t="str">
        <f t="shared" si="4444"/>
        <v>CRYSTAL</v>
      </c>
      <c r="C12296" t="str">
        <f t="shared" si="4445"/>
        <v>NIEVES</v>
      </c>
      <c r="D12296">
        <f>12</f>
        <v>12</v>
      </c>
      <c r="E12296" t="str">
        <f>"02 - A - 107 - Tina M Jaramillo"</f>
        <v>02 - A - 107 - Tina M Jaramillo</v>
      </c>
      <c r="F12296" t="str">
        <f>"AP ENG LIT COMPO"</f>
        <v>AP ENG LIT COMPO</v>
      </c>
      <c r="G12296" t="str">
        <f>"17-1706"</f>
        <v>17-1706</v>
      </c>
      <c r="H12296" t="str">
        <f>"A"</f>
        <v>A</v>
      </c>
    </row>
    <row r="12297" spans="1:8" x14ac:dyDescent="0.2">
      <c r="A12297" t="str">
        <f t="shared" si="4443"/>
        <v>0613101772</v>
      </c>
      <c r="B12297" t="str">
        <f t="shared" si="4444"/>
        <v>CRYSTAL</v>
      </c>
      <c r="C12297" t="str">
        <f t="shared" si="4445"/>
        <v>NIEVES</v>
      </c>
      <c r="D12297">
        <f>12</f>
        <v>12</v>
      </c>
      <c r="E12297" t="str">
        <f>"07 - S1 - B - 102 - Barbara L Segal"</f>
        <v>07 - S1 - B - 102 - Barbara L Segal</v>
      </c>
      <c r="F12297" t="str">
        <f>"AP US GOVT/POL"</f>
        <v>AP US GOVT/POL</v>
      </c>
      <c r="G12297" t="str">
        <f>"17-1742"</f>
        <v>17-1742</v>
      </c>
      <c r="H12297" t="str">
        <f>"B"</f>
        <v>B</v>
      </c>
    </row>
    <row r="12298" spans="1:8" x14ac:dyDescent="0.2">
      <c r="A12298" t="str">
        <f t="shared" si="4443"/>
        <v>0613101772</v>
      </c>
      <c r="B12298" t="str">
        <f t="shared" si="4444"/>
        <v>CRYSTAL</v>
      </c>
      <c r="C12298" t="str">
        <f t="shared" si="4445"/>
        <v>NIEVES</v>
      </c>
      <c r="D12298">
        <f>12</f>
        <v>12</v>
      </c>
      <c r="E12298" t="str">
        <f>"05 - S1 - B - 103 - Leslie J Barton"</f>
        <v>05 - S1 - B - 103 - Leslie J Barton</v>
      </c>
      <c r="F12298" t="str">
        <f>"FIRST AID SAFETY"</f>
        <v>FIRST AID SAFETY</v>
      </c>
      <c r="G12298" t="str">
        <f>"05-521"</f>
        <v>05-521</v>
      </c>
      <c r="H12298" t="str">
        <f>"B"</f>
        <v>B</v>
      </c>
    </row>
    <row r="12299" spans="1:8" x14ac:dyDescent="0.2">
      <c r="A12299" t="str">
        <f t="shared" si="4443"/>
        <v>0613101772</v>
      </c>
      <c r="B12299" t="str">
        <f t="shared" si="4444"/>
        <v>CRYSTAL</v>
      </c>
      <c r="C12299" t="str">
        <f t="shared" si="4445"/>
        <v>NIEVES</v>
      </c>
      <c r="D12299">
        <f>12</f>
        <v>12</v>
      </c>
      <c r="E12299" t="str">
        <f>"01 - A - 103 - Semra  Bahadir"</f>
        <v>01 - A - 103 - Semra  Bahadir</v>
      </c>
      <c r="F12299" t="str">
        <f>"MATH COLL ALGEBRA"</f>
        <v>MATH COLL ALGEBRA</v>
      </c>
      <c r="G12299" t="str">
        <f>"21-2107"</f>
        <v>21-2107</v>
      </c>
      <c r="H12299" t="str">
        <f>"A"</f>
        <v>A</v>
      </c>
    </row>
    <row r="12300" spans="1:8" x14ac:dyDescent="0.2">
      <c r="A12300" t="str">
        <f t="shared" si="4443"/>
        <v>0613101772</v>
      </c>
      <c r="B12300" t="str">
        <f t="shared" si="4444"/>
        <v>CRYSTAL</v>
      </c>
      <c r="C12300" t="str">
        <f t="shared" si="4445"/>
        <v>NIEVES</v>
      </c>
      <c r="D12300">
        <f>12</f>
        <v>12</v>
      </c>
      <c r="E12300" t="str">
        <f>"08 - B - 202 - Brian M Fitzgerald"</f>
        <v>08 - B - 202 - Brian M Fitzgerald</v>
      </c>
      <c r="F12300" t="str">
        <f>"CERAM/POT 2"</f>
        <v>CERAM/POT 2</v>
      </c>
      <c r="G12300" t="str">
        <f>"09-908"</f>
        <v>09-908</v>
      </c>
      <c r="H12300" t="str">
        <f>"B"</f>
        <v>B</v>
      </c>
    </row>
    <row r="12301" spans="1:8" x14ac:dyDescent="0.2">
      <c r="A12301" t="str">
        <f t="shared" ref="A12301:A12308" si="4446">"0616066494"</f>
        <v>0616066494</v>
      </c>
      <c r="B12301" t="str">
        <f t="shared" ref="B12301:B12308" si="4447">"BENJAMIN"</f>
        <v>BENJAMIN</v>
      </c>
      <c r="C12301" t="str">
        <f t="shared" ref="C12301:C12308" si="4448">"NISSIM"</f>
        <v>NISSIM</v>
      </c>
      <c r="D12301">
        <f>10</f>
        <v>10</v>
      </c>
      <c r="E12301" t="str">
        <f>"04 - A - 106 - Marielle A Witting"</f>
        <v>04 - A - 106 - Marielle A Witting</v>
      </c>
      <c r="F12301" t="str">
        <f>"ANAT PHYSIO"</f>
        <v>ANAT PHYSIO</v>
      </c>
      <c r="G12301" t="str">
        <f>"08-805"</f>
        <v>08-805</v>
      </c>
      <c r="H12301" t="str">
        <f>"A"</f>
        <v>A</v>
      </c>
    </row>
    <row r="12302" spans="1:8" x14ac:dyDescent="0.2">
      <c r="A12302" t="str">
        <f t="shared" si="4446"/>
        <v>0616066494</v>
      </c>
      <c r="B12302" t="str">
        <f t="shared" si="4447"/>
        <v>BENJAMIN</v>
      </c>
      <c r="C12302" t="str">
        <f t="shared" si="4448"/>
        <v>NISSIM</v>
      </c>
      <c r="D12302">
        <f>10</f>
        <v>10</v>
      </c>
      <c r="E12302" t="str">
        <f>"06 - B - 109 - Semra  Bahadir"</f>
        <v>06 - B - 109 - Semra  Bahadir</v>
      </c>
      <c r="F12302" t="str">
        <f>"NC STUDY HALL 1"</f>
        <v>NC STUDY HALL 1</v>
      </c>
      <c r="G12302" t="str">
        <f>"21-2107"</f>
        <v>21-2107</v>
      </c>
      <c r="H12302" t="str">
        <f>"B"</f>
        <v>B</v>
      </c>
    </row>
    <row r="12303" spans="1:8" x14ac:dyDescent="0.2">
      <c r="A12303" t="str">
        <f t="shared" si="4446"/>
        <v>0616066494</v>
      </c>
      <c r="B12303" t="str">
        <f t="shared" si="4447"/>
        <v>BENJAMIN</v>
      </c>
      <c r="C12303" t="str">
        <f t="shared" si="4448"/>
        <v>NISSIM</v>
      </c>
      <c r="D12303">
        <f>10</f>
        <v>10</v>
      </c>
      <c r="E12303" t="str">
        <f>"03 - S1 - A - 102 - Leslie J Barton"</f>
        <v>03 - S1 - A - 102 - Leslie J Barton</v>
      </c>
      <c r="F12303" t="str">
        <f>"FIRST AID SAFETY"</f>
        <v>FIRST AID SAFETY</v>
      </c>
      <c r="G12303" t="str">
        <f>"05-521"</f>
        <v>05-521</v>
      </c>
      <c r="H12303" t="str">
        <f>"A"</f>
        <v>A</v>
      </c>
    </row>
    <row r="12304" spans="1:8" x14ac:dyDescent="0.2">
      <c r="A12304" t="str">
        <f t="shared" si="4446"/>
        <v>0616066494</v>
      </c>
      <c r="B12304" t="str">
        <f t="shared" si="4447"/>
        <v>BENJAMIN</v>
      </c>
      <c r="C12304" t="str">
        <f t="shared" si="4448"/>
        <v>NISSIM</v>
      </c>
      <c r="D12304">
        <f>10</f>
        <v>10</v>
      </c>
      <c r="E12304" t="str">
        <f>"02 - A - 102 - Marius D Orsolini"</f>
        <v>02 - A - 102 - Marius D Orsolini</v>
      </c>
      <c r="F12304" t="str">
        <f>"CULINARY ARTS 1"</f>
        <v>CULINARY ARTS 1</v>
      </c>
      <c r="G12304" t="str">
        <f>"21-2115"</f>
        <v>21-2115</v>
      </c>
      <c r="H12304" t="str">
        <f>"A"</f>
        <v>A</v>
      </c>
    </row>
    <row r="12305" spans="1:8" x14ac:dyDescent="0.2">
      <c r="A12305" t="str">
        <f t="shared" si="4446"/>
        <v>0616066494</v>
      </c>
      <c r="B12305" t="str">
        <f t="shared" si="4447"/>
        <v>BENJAMIN</v>
      </c>
      <c r="C12305" t="str">
        <f t="shared" si="4448"/>
        <v>NISSIM</v>
      </c>
      <c r="D12305">
        <f>10</f>
        <v>10</v>
      </c>
      <c r="E12305" t="str">
        <f>"07 - B - 102 - Nikiel  Nesbeth"</f>
        <v>07 - B - 102 - Nikiel  Nesbeth</v>
      </c>
      <c r="F12305" t="str">
        <f>"PRE-AICE ENG LIT IG"</f>
        <v>PRE-AICE ENG LIT IG</v>
      </c>
      <c r="G12305" t="str">
        <f>"17-1705"</f>
        <v>17-1705</v>
      </c>
      <c r="H12305" t="str">
        <f>"B"</f>
        <v>B</v>
      </c>
    </row>
    <row r="12306" spans="1:8" x14ac:dyDescent="0.2">
      <c r="A12306" t="str">
        <f t="shared" si="4446"/>
        <v>0616066494</v>
      </c>
      <c r="B12306" t="str">
        <f t="shared" si="4447"/>
        <v>BENJAMIN</v>
      </c>
      <c r="C12306" t="str">
        <f t="shared" si="4448"/>
        <v>NISSIM</v>
      </c>
      <c r="D12306">
        <f>10</f>
        <v>10</v>
      </c>
      <c r="E12306" t="str">
        <f>"05 - B - 101 - Angela S Adeshina-Morrison"</f>
        <v>05 - B - 101 - Angela S Adeshina-Morrison</v>
      </c>
      <c r="F12306" t="str">
        <f>"MKT MANAGEMENT LH"</f>
        <v>MKT MANAGEMENT LH</v>
      </c>
      <c r="G12306" t="str">
        <f>"05-518"</f>
        <v>05-518</v>
      </c>
      <c r="H12306" t="str">
        <f>"B"</f>
        <v>B</v>
      </c>
    </row>
    <row r="12307" spans="1:8" x14ac:dyDescent="0.2">
      <c r="A12307" t="str">
        <f t="shared" si="4446"/>
        <v>0616066494</v>
      </c>
      <c r="B12307" t="str">
        <f t="shared" si="4447"/>
        <v>BENJAMIN</v>
      </c>
      <c r="C12307" t="str">
        <f t="shared" si="4448"/>
        <v>NISSIM</v>
      </c>
      <c r="D12307">
        <f>10</f>
        <v>10</v>
      </c>
      <c r="E12307" t="str">
        <f>"01 - A - 101 - James H Mccann"</f>
        <v>01 - A - 101 - James H Mccann</v>
      </c>
      <c r="F12307" t="str">
        <f>"ALGEBRA 2"</f>
        <v>ALGEBRA 2</v>
      </c>
      <c r="G12307" t="str">
        <f>"17-1716"</f>
        <v>17-1716</v>
      </c>
      <c r="H12307" t="str">
        <f>"A"</f>
        <v>A</v>
      </c>
    </row>
    <row r="12308" spans="1:8" x14ac:dyDescent="0.2">
      <c r="A12308" t="str">
        <f t="shared" si="4446"/>
        <v>0616066494</v>
      </c>
      <c r="B12308" t="str">
        <f t="shared" si="4447"/>
        <v>BENJAMIN</v>
      </c>
      <c r="C12308" t="str">
        <f t="shared" si="4448"/>
        <v>NISSIM</v>
      </c>
      <c r="D12308">
        <f>10</f>
        <v>10</v>
      </c>
      <c r="E12308" t="str">
        <f>"08 - S1 - B - 105 - Richard E Dunbar Iii"</f>
        <v>08 - S1 - B - 105 - Richard E Dunbar Iii</v>
      </c>
      <c r="F12308" t="str">
        <f>"WEIGHT TRAIN 1"</f>
        <v>WEIGHT TRAIN 1</v>
      </c>
      <c r="G12308" t="str">
        <f>"05-501"</f>
        <v>05-501</v>
      </c>
      <c r="H12308" t="str">
        <f>"B"</f>
        <v>B</v>
      </c>
    </row>
    <row r="12309" spans="1:8" x14ac:dyDescent="0.2">
      <c r="A12309" t="str">
        <f t="shared" ref="A12309:A12316" si="4449">"0625027153"</f>
        <v>0625027153</v>
      </c>
      <c r="B12309" t="str">
        <f t="shared" ref="B12309:B12316" si="4450">"Ethan"</f>
        <v>Ethan</v>
      </c>
      <c r="C12309" t="str">
        <f t="shared" ref="C12309:C12316" si="4451">"Nix"</f>
        <v>Nix</v>
      </c>
      <c r="D12309" t="str">
        <f t="shared" ref="D12309:D12316" si="4452">"09"</f>
        <v>09</v>
      </c>
      <c r="E12309" t="str">
        <f>"04 - A - 103 - Lenecy  Nodarse"</f>
        <v>04 - A - 103 - Lenecy  Nodarse</v>
      </c>
      <c r="F12309" t="str">
        <f>"WORLD HISTORY"</f>
        <v>WORLD HISTORY</v>
      </c>
      <c r="G12309" t="str">
        <f>"17-1741"</f>
        <v>17-1741</v>
      </c>
      <c r="H12309" t="str">
        <f>"A"</f>
        <v>A</v>
      </c>
    </row>
    <row r="12310" spans="1:8" x14ac:dyDescent="0.2">
      <c r="A12310" t="str">
        <f t="shared" si="4449"/>
        <v>0625027153</v>
      </c>
      <c r="B12310" t="str">
        <f t="shared" si="4450"/>
        <v>Ethan</v>
      </c>
      <c r="C12310" t="str">
        <f t="shared" si="4451"/>
        <v>Nix</v>
      </c>
      <c r="D12310" t="str">
        <f t="shared" si="4452"/>
        <v>09</v>
      </c>
      <c r="E12310" t="str">
        <f>"06 - B - 105 - Tina L Lovett"</f>
        <v>06 - B - 105 - Tina L Lovett</v>
      </c>
      <c r="F12310" t="str">
        <f>"FDN SKLS MATH 9-12"</f>
        <v>FDN SKLS MATH 9-12</v>
      </c>
      <c r="G12310" t="str">
        <f>"21-2153"</f>
        <v>21-2153</v>
      </c>
      <c r="H12310" t="str">
        <f>"B"</f>
        <v>B</v>
      </c>
    </row>
    <row r="12311" spans="1:8" x14ac:dyDescent="0.2">
      <c r="A12311" t="str">
        <f t="shared" si="4449"/>
        <v>0625027153</v>
      </c>
      <c r="B12311" t="str">
        <f t="shared" si="4450"/>
        <v>Ethan</v>
      </c>
      <c r="C12311" t="str">
        <f t="shared" si="4451"/>
        <v>Nix</v>
      </c>
      <c r="D12311" t="str">
        <f t="shared" si="4452"/>
        <v>09</v>
      </c>
      <c r="E12311" t="str">
        <f>"03 - A - 102 - Laselleda D Shaw"</f>
        <v>03 - A - 102 - Laselleda D Shaw</v>
      </c>
      <c r="F12311" t="str">
        <f>"INTENS READ 1"</f>
        <v>INTENS READ 1</v>
      </c>
      <c r="G12311" t="str">
        <f>"17-1723"</f>
        <v>17-1723</v>
      </c>
      <c r="H12311" t="str">
        <f>"A"</f>
        <v>A</v>
      </c>
    </row>
    <row r="12312" spans="1:8" x14ac:dyDescent="0.2">
      <c r="A12312" t="str">
        <f t="shared" si="4449"/>
        <v>0625027153</v>
      </c>
      <c r="B12312" t="str">
        <f t="shared" si="4450"/>
        <v>Ethan</v>
      </c>
      <c r="C12312" t="str">
        <f t="shared" si="4451"/>
        <v>Nix</v>
      </c>
      <c r="D12312" t="str">
        <f t="shared" si="4452"/>
        <v>09</v>
      </c>
      <c r="E12312" t="str">
        <f>"02 - A - 103 - Angela S Adeshina-Morrison"</f>
        <v>02 - A - 103 - Angela S Adeshina-Morrison</v>
      </c>
      <c r="F12312" t="str">
        <f>"NC STUDY HALL 1"</f>
        <v>NC STUDY HALL 1</v>
      </c>
      <c r="G12312" t="str">
        <f>"05-518"</f>
        <v>05-518</v>
      </c>
      <c r="H12312" t="str">
        <f>"A"</f>
        <v>A</v>
      </c>
    </row>
    <row r="12313" spans="1:8" x14ac:dyDescent="0.2">
      <c r="A12313" t="str">
        <f t="shared" si="4449"/>
        <v>0625027153</v>
      </c>
      <c r="B12313" t="str">
        <f t="shared" si="4450"/>
        <v>Ethan</v>
      </c>
      <c r="C12313" t="str">
        <f t="shared" si="4451"/>
        <v>Nix</v>
      </c>
      <c r="D12313" t="str">
        <f t="shared" si="4452"/>
        <v>09</v>
      </c>
      <c r="E12313" t="str">
        <f>"07 - B - 003 - Samantha J Headley"</f>
        <v>07 - B - 003 - Samantha J Headley</v>
      </c>
      <c r="F12313" t="str">
        <f>"ENV SCI"</f>
        <v>ENV SCI</v>
      </c>
      <c r="G12313" t="str">
        <f>"08-802"</f>
        <v>08-802</v>
      </c>
      <c r="H12313" t="str">
        <f>"B"</f>
        <v>B</v>
      </c>
    </row>
    <row r="12314" spans="1:8" x14ac:dyDescent="0.2">
      <c r="A12314" t="str">
        <f t="shared" si="4449"/>
        <v>0625027153</v>
      </c>
      <c r="B12314" t="str">
        <f t="shared" si="4450"/>
        <v>Ethan</v>
      </c>
      <c r="C12314" t="str">
        <f t="shared" si="4451"/>
        <v>Nix</v>
      </c>
      <c r="D12314" t="str">
        <f t="shared" si="4452"/>
        <v>09</v>
      </c>
      <c r="E12314" t="str">
        <f>"05 - B - 101 - Brian M Fitzgerald"</f>
        <v>05 - B - 101 - Brian M Fitzgerald</v>
      </c>
      <c r="F12314" t="str">
        <f>"PAINT 1"</f>
        <v>PAINT 1</v>
      </c>
      <c r="G12314" t="str">
        <f>"09-908"</f>
        <v>09-908</v>
      </c>
      <c r="H12314" t="str">
        <f>"B"</f>
        <v>B</v>
      </c>
    </row>
    <row r="12315" spans="1:8" x14ac:dyDescent="0.2">
      <c r="A12315" t="str">
        <f t="shared" si="4449"/>
        <v>0625027153</v>
      </c>
      <c r="B12315" t="str">
        <f t="shared" si="4450"/>
        <v>Ethan</v>
      </c>
      <c r="C12315" t="str">
        <f t="shared" si="4451"/>
        <v>Nix</v>
      </c>
      <c r="D12315" t="str">
        <f t="shared" si="4452"/>
        <v>09</v>
      </c>
      <c r="E12315" t="str">
        <f>"01 - A - 101 - Tina L Lovett"</f>
        <v>01 - A - 101 - Tina L Lovett</v>
      </c>
      <c r="F12315" t="str">
        <f>"ALGEBRA 1"</f>
        <v>ALGEBRA 1</v>
      </c>
      <c r="G12315" t="str">
        <f>"21-2153"</f>
        <v>21-2153</v>
      </c>
      <c r="H12315" t="str">
        <f>"A"</f>
        <v>A</v>
      </c>
    </row>
    <row r="12316" spans="1:8" x14ac:dyDescent="0.2">
      <c r="A12316" t="str">
        <f t="shared" si="4449"/>
        <v>0625027153</v>
      </c>
      <c r="B12316" t="str">
        <f t="shared" si="4450"/>
        <v>Ethan</v>
      </c>
      <c r="C12316" t="str">
        <f t="shared" si="4451"/>
        <v>Nix</v>
      </c>
      <c r="D12316" t="str">
        <f t="shared" si="4452"/>
        <v>09</v>
      </c>
      <c r="E12316" t="str">
        <f>"08 - B - 108 - Cerine S Stewart"</f>
        <v>08 - B - 108 - Cerine S Stewart</v>
      </c>
      <c r="F12316" t="str">
        <f>"ENG 1"</f>
        <v>ENG 1</v>
      </c>
      <c r="G12316" t="str">
        <f>"17-1720"</f>
        <v>17-1720</v>
      </c>
      <c r="H12316" t="str">
        <f>"B"</f>
        <v>B</v>
      </c>
    </row>
    <row r="12317" spans="1:8" x14ac:dyDescent="0.2">
      <c r="A12317" t="str">
        <f t="shared" ref="A12317:A12324" si="4453">"0615127948"</f>
        <v>0615127948</v>
      </c>
      <c r="B12317" t="str">
        <f t="shared" ref="B12317:B12324" si="4454">"XAVIER"</f>
        <v>XAVIER</v>
      </c>
      <c r="C12317" t="str">
        <f t="shared" ref="C12317:C12324" si="4455">"NIXON"</f>
        <v>NIXON</v>
      </c>
      <c r="D12317">
        <f>10</f>
        <v>10</v>
      </c>
      <c r="E12317" t="str">
        <f>"04 - A - 106 - Marielle A Witting"</f>
        <v>04 - A - 106 - Marielle A Witting</v>
      </c>
      <c r="F12317" t="str">
        <f>"ANAT PHYSIO"</f>
        <v>ANAT PHYSIO</v>
      </c>
      <c r="G12317" t="str">
        <f>"08-805"</f>
        <v>08-805</v>
      </c>
      <c r="H12317" t="str">
        <f>"A"</f>
        <v>A</v>
      </c>
    </row>
    <row r="12318" spans="1:8" x14ac:dyDescent="0.2">
      <c r="A12318" t="str">
        <f t="shared" si="4453"/>
        <v>0615127948</v>
      </c>
      <c r="B12318" t="str">
        <f t="shared" si="4454"/>
        <v>XAVIER</v>
      </c>
      <c r="C12318" t="str">
        <f t="shared" si="4455"/>
        <v>NIXON</v>
      </c>
      <c r="D12318">
        <f>10</f>
        <v>10</v>
      </c>
      <c r="E12318" t="str">
        <f>"06 - B - 114 - Richard E Dunbar Iii"</f>
        <v>06 - B - 114 - Richard E Dunbar Iii</v>
      </c>
      <c r="F12318" t="str">
        <f>"NC STUDY HALL 1"</f>
        <v>NC STUDY HALL 1</v>
      </c>
      <c r="G12318" t="str">
        <f>"17-1703"</f>
        <v>17-1703</v>
      </c>
      <c r="H12318" t="str">
        <f>"B"</f>
        <v>B</v>
      </c>
    </row>
    <row r="12319" spans="1:8" x14ac:dyDescent="0.2">
      <c r="A12319" t="str">
        <f t="shared" si="4453"/>
        <v>0615127948</v>
      </c>
      <c r="B12319" t="str">
        <f t="shared" si="4454"/>
        <v>XAVIER</v>
      </c>
      <c r="C12319" t="str">
        <f t="shared" si="4455"/>
        <v>NIXON</v>
      </c>
      <c r="D12319">
        <f>10</f>
        <v>10</v>
      </c>
      <c r="E12319" t="str">
        <f>"03 - A - 002 - Nikiel  Nesbeth"</f>
        <v>03 - A - 002 - Nikiel  Nesbeth</v>
      </c>
      <c r="F12319" t="str">
        <f>"PRE-AICE ENG LIT IG"</f>
        <v>PRE-AICE ENG LIT IG</v>
      </c>
      <c r="G12319" t="str">
        <f>"17-1705"</f>
        <v>17-1705</v>
      </c>
      <c r="H12319" t="str">
        <f>"A"</f>
        <v>A</v>
      </c>
    </row>
    <row r="12320" spans="1:8" x14ac:dyDescent="0.2">
      <c r="A12320" t="str">
        <f t="shared" si="4453"/>
        <v>0615127948</v>
      </c>
      <c r="B12320" t="str">
        <f t="shared" si="4454"/>
        <v>XAVIER</v>
      </c>
      <c r="C12320" t="str">
        <f t="shared" si="4455"/>
        <v>NIXON</v>
      </c>
      <c r="D12320">
        <f>10</f>
        <v>10</v>
      </c>
      <c r="E12320" t="str">
        <f>"02 - A - 102 - Marius D Orsolini"</f>
        <v>02 - A - 102 - Marius D Orsolini</v>
      </c>
      <c r="F12320" t="str">
        <f>"CULINARY ARTS 1"</f>
        <v>CULINARY ARTS 1</v>
      </c>
      <c r="G12320" t="str">
        <f>"21-2115"</f>
        <v>21-2115</v>
      </c>
      <c r="H12320" t="str">
        <f>"A"</f>
        <v>A</v>
      </c>
    </row>
    <row r="12321" spans="1:8" x14ac:dyDescent="0.2">
      <c r="A12321" t="str">
        <f t="shared" si="4453"/>
        <v>0615127948</v>
      </c>
      <c r="B12321" t="str">
        <f t="shared" si="4454"/>
        <v>XAVIER</v>
      </c>
      <c r="C12321" t="str">
        <f t="shared" si="4455"/>
        <v>NIXON</v>
      </c>
      <c r="D12321">
        <f>10</f>
        <v>10</v>
      </c>
      <c r="E12321" t="str">
        <f>"07 - B - 201 - Angela S Adeshina-Morrison"</f>
        <v>07 - B - 201 - Angela S Adeshina-Morrison</v>
      </c>
      <c r="F12321" t="str">
        <f>"BUSINESS OWNER HON"</f>
        <v>BUSINESS OWNER HON</v>
      </c>
      <c r="G12321" t="str">
        <f>"05-518"</f>
        <v>05-518</v>
      </c>
      <c r="H12321" t="str">
        <f>"B"</f>
        <v>B</v>
      </c>
    </row>
    <row r="12322" spans="1:8" x14ac:dyDescent="0.2">
      <c r="A12322" t="str">
        <f t="shared" si="4453"/>
        <v>0615127948</v>
      </c>
      <c r="B12322" t="str">
        <f t="shared" si="4454"/>
        <v>XAVIER</v>
      </c>
      <c r="C12322" t="str">
        <f t="shared" si="4455"/>
        <v>NIXON</v>
      </c>
      <c r="D12322">
        <f>10</f>
        <v>10</v>
      </c>
      <c r="E12322" t="str">
        <f>"05 - B - 104 - Joe  Kilpatrick Jr"</f>
        <v>05 - B - 104 - Joe  Kilpatrick Jr</v>
      </c>
      <c r="F12322" t="str">
        <f>"PRE-AICE SPAN 1 IG"</f>
        <v>PRE-AICE SPAN 1 IG</v>
      </c>
      <c r="G12322" t="str">
        <f>"09-912"</f>
        <v>09-912</v>
      </c>
      <c r="H12322" t="str">
        <f>"B"</f>
        <v>B</v>
      </c>
    </row>
    <row r="12323" spans="1:8" x14ac:dyDescent="0.2">
      <c r="A12323" t="str">
        <f t="shared" si="4453"/>
        <v>0615127948</v>
      </c>
      <c r="B12323" t="str">
        <f t="shared" si="4454"/>
        <v>XAVIER</v>
      </c>
      <c r="C12323" t="str">
        <f t="shared" si="4455"/>
        <v>NIXON</v>
      </c>
      <c r="D12323">
        <f>10</f>
        <v>10</v>
      </c>
      <c r="E12323" t="str">
        <f>"01 - A - 101 - Lourivaldo  Da Silva"</f>
        <v>01 - A - 101 - Lourivaldo  Da Silva</v>
      </c>
      <c r="F12323" t="str">
        <f>"ALGEBRA 2 HON"</f>
        <v>ALGEBRA 2 HON</v>
      </c>
      <c r="G12323" t="str">
        <f>"20-2079"</f>
        <v>20-2079</v>
      </c>
      <c r="H12323" t="str">
        <f>"A"</f>
        <v>A</v>
      </c>
    </row>
    <row r="12324" spans="1:8" x14ac:dyDescent="0.2">
      <c r="A12324" t="str">
        <f t="shared" si="4453"/>
        <v>0615127948</v>
      </c>
      <c r="B12324" t="str">
        <f t="shared" si="4454"/>
        <v>XAVIER</v>
      </c>
      <c r="C12324" t="str">
        <f t="shared" si="4455"/>
        <v>NIXON</v>
      </c>
      <c r="D12324">
        <f>10</f>
        <v>10</v>
      </c>
      <c r="E12324" t="str">
        <f>"08 - S1 - B - 001 - Carol S Moore"</f>
        <v>08 - S1 - B - 001 - Carol S Moore</v>
      </c>
      <c r="F12324" t="str">
        <f>"PER CAR SCH DEV 1 LH"</f>
        <v>PER CAR SCH DEV 1 LH</v>
      </c>
      <c r="G12324" t="str">
        <f>"17-1733"</f>
        <v>17-1733</v>
      </c>
      <c r="H12324" t="str">
        <f>"B"</f>
        <v>B</v>
      </c>
    </row>
    <row r="12325" spans="1:8" x14ac:dyDescent="0.2">
      <c r="A12325" t="str">
        <f t="shared" ref="A12325:A12332" si="4456">"0616104023"</f>
        <v>0616104023</v>
      </c>
      <c r="B12325" t="str">
        <f t="shared" ref="B12325:B12332" si="4457">"LIAM"</f>
        <v>LIAM</v>
      </c>
      <c r="C12325" t="str">
        <f t="shared" ref="C12325:C12332" si="4458">"NOACK"</f>
        <v>NOACK</v>
      </c>
      <c r="D12325" t="str">
        <f t="shared" ref="D12325:D12332" si="4459">"09"</f>
        <v>09</v>
      </c>
      <c r="E12325" t="str">
        <f>"04 - A - 104 - Brook E Goren"</f>
        <v>04 - A - 104 - Brook E Goren</v>
      </c>
      <c r="F12325" t="str">
        <f>"ALGEBRA 2 HON"</f>
        <v>ALGEBRA 2 HON</v>
      </c>
      <c r="G12325" t="str">
        <f>"21-2158"</f>
        <v>21-2158</v>
      </c>
      <c r="H12325" t="str">
        <f>"A"</f>
        <v>A</v>
      </c>
    </row>
    <row r="12326" spans="1:8" x14ac:dyDescent="0.2">
      <c r="A12326" t="str">
        <f t="shared" si="4456"/>
        <v>0616104023</v>
      </c>
      <c r="B12326" t="str">
        <f t="shared" si="4457"/>
        <v>LIAM</v>
      </c>
      <c r="C12326" t="str">
        <f t="shared" si="4458"/>
        <v>NOACK</v>
      </c>
      <c r="D12326" t="str">
        <f t="shared" si="4459"/>
        <v>09</v>
      </c>
      <c r="E12326" t="str">
        <f>"06 - B - 106 - Marius D Orsolini"</f>
        <v>06 - B - 106 - Marius D Orsolini</v>
      </c>
      <c r="F12326" t="str">
        <f>"CULINARY ARTS 1"</f>
        <v>CULINARY ARTS 1</v>
      </c>
      <c r="G12326" t="str">
        <f>"21-2115"</f>
        <v>21-2115</v>
      </c>
      <c r="H12326" t="str">
        <f>"B"</f>
        <v>B</v>
      </c>
    </row>
    <row r="12327" spans="1:8" x14ac:dyDescent="0.2">
      <c r="A12327" t="str">
        <f t="shared" si="4456"/>
        <v>0616104023</v>
      </c>
      <c r="B12327" t="str">
        <f t="shared" si="4457"/>
        <v>LIAM</v>
      </c>
      <c r="C12327" t="str">
        <f t="shared" si="4458"/>
        <v>NOACK</v>
      </c>
      <c r="D12327" t="str">
        <f t="shared" si="4459"/>
        <v>09</v>
      </c>
      <c r="E12327" t="str">
        <f>"03 - S1 - A - 101 - Daniel S Katz"</f>
        <v>03 - S1 - A - 101 - Daniel S Katz</v>
      </c>
      <c r="F12327" t="str">
        <f>"COURT PROCED"</f>
        <v>COURT PROCED</v>
      </c>
      <c r="G12327" t="str">
        <f>"21-2156"</f>
        <v>21-2156</v>
      </c>
      <c r="H12327" t="str">
        <f>"A"</f>
        <v>A</v>
      </c>
    </row>
    <row r="12328" spans="1:8" x14ac:dyDescent="0.2">
      <c r="A12328" t="str">
        <f t="shared" si="4456"/>
        <v>0616104023</v>
      </c>
      <c r="B12328" t="str">
        <f t="shared" si="4457"/>
        <v>LIAM</v>
      </c>
      <c r="C12328" t="str">
        <f t="shared" si="4458"/>
        <v>NOACK</v>
      </c>
      <c r="D12328" t="str">
        <f t="shared" si="4459"/>
        <v>09</v>
      </c>
      <c r="E12328" t="str">
        <f>"02 - A - 102 - Samantha J Headley"</f>
        <v>02 - A - 102 - Samantha J Headley</v>
      </c>
      <c r="F12328" t="str">
        <f>"NC STUDY HALL 1"</f>
        <v>NC STUDY HALL 1</v>
      </c>
      <c r="G12328" t="str">
        <f>"21-2134"</f>
        <v>21-2134</v>
      </c>
      <c r="H12328" t="str">
        <f>"A"</f>
        <v>A</v>
      </c>
    </row>
    <row r="12329" spans="1:8" x14ac:dyDescent="0.2">
      <c r="A12329" t="str">
        <f t="shared" si="4456"/>
        <v>0616104023</v>
      </c>
      <c r="B12329" t="str">
        <f t="shared" si="4457"/>
        <v>LIAM</v>
      </c>
      <c r="C12329" t="str">
        <f t="shared" si="4458"/>
        <v>NOACK</v>
      </c>
      <c r="D12329" t="str">
        <f t="shared" si="4459"/>
        <v>09</v>
      </c>
      <c r="E12329" t="str">
        <f>"07 - B - 207 - Krystal Marie  Beruty"</f>
        <v>07 - B - 207 - Krystal Marie  Beruty</v>
      </c>
      <c r="F12329" t="str">
        <f>"AICE GLBL PERSP 1 AS"</f>
        <v>AICE GLBL PERSP 1 AS</v>
      </c>
      <c r="G12329" t="str">
        <f>"17-1721"</f>
        <v>17-1721</v>
      </c>
      <c r="H12329" t="str">
        <f>"B"</f>
        <v>B</v>
      </c>
    </row>
    <row r="12330" spans="1:8" x14ac:dyDescent="0.2">
      <c r="A12330" t="str">
        <f t="shared" si="4456"/>
        <v>0616104023</v>
      </c>
      <c r="B12330" t="str">
        <f t="shared" si="4457"/>
        <v>LIAM</v>
      </c>
      <c r="C12330" t="str">
        <f t="shared" si="4458"/>
        <v>NOACK</v>
      </c>
      <c r="D12330" t="str">
        <f t="shared" si="4459"/>
        <v>09</v>
      </c>
      <c r="E12330" t="str">
        <f>"05 - B - 204 - Cheryl L Beach"</f>
        <v>05 - B - 204 - Cheryl L Beach</v>
      </c>
      <c r="F12330" t="str">
        <f>"AICE ENV MGMNT AS"</f>
        <v>AICE ENV MGMNT AS</v>
      </c>
      <c r="G12330" t="str">
        <f>"08-811"</f>
        <v>08-811</v>
      </c>
      <c r="H12330" t="str">
        <f>"B"</f>
        <v>B</v>
      </c>
    </row>
    <row r="12331" spans="1:8" x14ac:dyDescent="0.2">
      <c r="A12331" t="str">
        <f t="shared" si="4456"/>
        <v>0616104023</v>
      </c>
      <c r="B12331" t="str">
        <f t="shared" si="4457"/>
        <v>LIAM</v>
      </c>
      <c r="C12331" t="str">
        <f t="shared" si="4458"/>
        <v>NOACK</v>
      </c>
      <c r="D12331" t="str">
        <f t="shared" si="4459"/>
        <v>09</v>
      </c>
      <c r="E12331" t="str">
        <f>"01 - A - 101 - Vanessa J Liburd"</f>
        <v>01 - A - 101 - Vanessa J Liburd</v>
      </c>
      <c r="F12331" t="str">
        <f>"PRE-AICE FRENCH 1 IG"</f>
        <v>PRE-AICE FRENCH 1 IG</v>
      </c>
      <c r="G12331" t="str">
        <f>"05-519"</f>
        <v>05-519</v>
      </c>
      <c r="H12331" t="str">
        <f>"A"</f>
        <v>A</v>
      </c>
    </row>
    <row r="12332" spans="1:8" x14ac:dyDescent="0.2">
      <c r="A12332" t="str">
        <f t="shared" si="4456"/>
        <v>0616104023</v>
      </c>
      <c r="B12332" t="str">
        <f t="shared" si="4457"/>
        <v>LIAM</v>
      </c>
      <c r="C12332" t="str">
        <f t="shared" si="4458"/>
        <v>NOACK</v>
      </c>
      <c r="D12332" t="str">
        <f t="shared" si="4459"/>
        <v>09</v>
      </c>
      <c r="E12332" t="str">
        <f>"08 - B - 201 - Elizabeth R Walker"</f>
        <v>08 - B - 201 - Elizabeth R Walker</v>
      </c>
      <c r="F12332" t="str">
        <f>"AICE ENG GEN PAPER 1"</f>
        <v>AICE ENG GEN PAPER 1</v>
      </c>
      <c r="G12332" t="str">
        <f>"17-1703"</f>
        <v>17-1703</v>
      </c>
      <c r="H12332" t="str">
        <f>"B"</f>
        <v>B</v>
      </c>
    </row>
    <row r="12333" spans="1:8" x14ac:dyDescent="0.2">
      <c r="A12333" t="str">
        <f t="shared" ref="A12333:A12340" si="4460">"0622024058"</f>
        <v>0622024058</v>
      </c>
      <c r="B12333" t="str">
        <f t="shared" ref="B12333:B12340" si="4461">"ADEBI"</f>
        <v>ADEBI</v>
      </c>
      <c r="C12333" t="str">
        <f t="shared" ref="C12333:C12340" si="4462">"NOBLE"</f>
        <v>NOBLE</v>
      </c>
      <c r="D12333">
        <f>10</f>
        <v>10</v>
      </c>
      <c r="E12333" t="str">
        <f>"04 - S1 - A - 103 - Rory T Sponsler"</f>
        <v>04 - S1 - A - 103 - Rory T Sponsler</v>
      </c>
      <c r="F12333" t="str">
        <f>"WOMENS STUDIES LH"</f>
        <v>WOMENS STUDIES LH</v>
      </c>
      <c r="G12333" t="str">
        <f>"17-1740"</f>
        <v>17-1740</v>
      </c>
      <c r="H12333" t="str">
        <f>"A"</f>
        <v>A</v>
      </c>
    </row>
    <row r="12334" spans="1:8" x14ac:dyDescent="0.2">
      <c r="A12334" t="str">
        <f t="shared" si="4460"/>
        <v>0622024058</v>
      </c>
      <c r="B12334" t="str">
        <f t="shared" si="4461"/>
        <v>ADEBI</v>
      </c>
      <c r="C12334" t="str">
        <f t="shared" si="4462"/>
        <v>NOBLE</v>
      </c>
      <c r="D12334">
        <f>10</f>
        <v>10</v>
      </c>
      <c r="E12334" t="str">
        <f>"06 - B - 119 - Nikiel  Nesbeth"</f>
        <v>06 - B - 119 - Nikiel  Nesbeth</v>
      </c>
      <c r="F12334" t="str">
        <f>"NC STUDY HALL 1"</f>
        <v>NC STUDY HALL 1</v>
      </c>
      <c r="G12334" t="str">
        <f>"17-1705"</f>
        <v>17-1705</v>
      </c>
      <c r="H12334" t="str">
        <f>"B"</f>
        <v>B</v>
      </c>
    </row>
    <row r="12335" spans="1:8" x14ac:dyDescent="0.2">
      <c r="A12335" t="str">
        <f t="shared" si="4460"/>
        <v>0622024058</v>
      </c>
      <c r="B12335" t="str">
        <f t="shared" si="4461"/>
        <v>ADEBI</v>
      </c>
      <c r="C12335" t="str">
        <f t="shared" si="4462"/>
        <v>NOBLE</v>
      </c>
      <c r="D12335">
        <f>10</f>
        <v>10</v>
      </c>
      <c r="E12335" t="str">
        <f>"03 - A - 204 - Lytrell T Dixon"</f>
        <v>03 - A - 204 - Lytrell T Dixon</v>
      </c>
      <c r="F12335" t="str">
        <f>"BIOLOGY 1"</f>
        <v>BIOLOGY 1</v>
      </c>
      <c r="G12335" t="str">
        <f>"08-808"</f>
        <v>08-808</v>
      </c>
      <c r="H12335" t="str">
        <f>"A"</f>
        <v>A</v>
      </c>
    </row>
    <row r="12336" spans="1:8" x14ac:dyDescent="0.2">
      <c r="A12336" t="str">
        <f t="shared" si="4460"/>
        <v>0622024058</v>
      </c>
      <c r="B12336" t="str">
        <f t="shared" si="4461"/>
        <v>ADEBI</v>
      </c>
      <c r="C12336" t="str">
        <f t="shared" si="4462"/>
        <v>NOBLE</v>
      </c>
      <c r="D12336">
        <f>10</f>
        <v>10</v>
      </c>
      <c r="E12336" t="str">
        <f>"02 - A - 102 - Adam Marcus  Drucker"</f>
        <v>02 - A - 102 - Adam Marcus  Drucker</v>
      </c>
      <c r="F12336" t="str">
        <f>"HOPE-PE V"</f>
        <v>HOPE-PE V</v>
      </c>
      <c r="G12336" t="str">
        <f>"04-254"</f>
        <v>04-254</v>
      </c>
      <c r="H12336" t="str">
        <f>"A"</f>
        <v>A</v>
      </c>
    </row>
    <row r="12337" spans="1:8" x14ac:dyDescent="0.2">
      <c r="A12337" t="str">
        <f t="shared" si="4460"/>
        <v>0622024058</v>
      </c>
      <c r="B12337" t="str">
        <f t="shared" si="4461"/>
        <v>ADEBI</v>
      </c>
      <c r="C12337" t="str">
        <f t="shared" si="4462"/>
        <v>NOBLE</v>
      </c>
      <c r="D12337">
        <f>10</f>
        <v>10</v>
      </c>
      <c r="E12337" t="str">
        <f>"07 - B - 106 - Taraneh C Abreu"</f>
        <v>07 - B - 106 - Taraneh C Abreu</v>
      </c>
      <c r="F12337" t="str">
        <f>"INTENS READ 2"</f>
        <v>INTENS READ 2</v>
      </c>
      <c r="G12337" t="str">
        <f>"17-1713"</f>
        <v>17-1713</v>
      </c>
      <c r="H12337" t="str">
        <f>"B"</f>
        <v>B</v>
      </c>
    </row>
    <row r="12338" spans="1:8" x14ac:dyDescent="0.2">
      <c r="A12338" t="str">
        <f t="shared" si="4460"/>
        <v>0622024058</v>
      </c>
      <c r="B12338" t="str">
        <f t="shared" si="4461"/>
        <v>ADEBI</v>
      </c>
      <c r="C12338" t="str">
        <f t="shared" si="4462"/>
        <v>NOBLE</v>
      </c>
      <c r="D12338">
        <f>10</f>
        <v>10</v>
      </c>
      <c r="E12338" t="str">
        <f>"05 - B - 106 - Jacquelyn M Neeson"</f>
        <v>05 - B - 106 - Jacquelyn M Neeson</v>
      </c>
      <c r="F12338" t="str">
        <f>"ENG 2"</f>
        <v>ENG 2</v>
      </c>
      <c r="G12338" t="str">
        <f>"17-1715"</f>
        <v>17-1715</v>
      </c>
      <c r="H12338" t="str">
        <f>"B"</f>
        <v>B</v>
      </c>
    </row>
    <row r="12339" spans="1:8" x14ac:dyDescent="0.2">
      <c r="A12339" t="str">
        <f t="shared" si="4460"/>
        <v>0622024058</v>
      </c>
      <c r="B12339" t="str">
        <f t="shared" si="4461"/>
        <v>ADEBI</v>
      </c>
      <c r="C12339" t="str">
        <f t="shared" si="4462"/>
        <v>NOBLE</v>
      </c>
      <c r="D12339">
        <f>10</f>
        <v>10</v>
      </c>
      <c r="E12339" t="str">
        <f>"01 - A - 101 - Lourivaldo  Da Silva"</f>
        <v>01 - A - 101 - Lourivaldo  Da Silva</v>
      </c>
      <c r="F12339" t="str">
        <f>"ALGEBRA 2 HON"</f>
        <v>ALGEBRA 2 HON</v>
      </c>
      <c r="G12339" t="str">
        <f>"20-2079"</f>
        <v>20-2079</v>
      </c>
      <c r="H12339" t="str">
        <f>"A"</f>
        <v>A</v>
      </c>
    </row>
    <row r="12340" spans="1:8" x14ac:dyDescent="0.2">
      <c r="A12340" t="str">
        <f t="shared" si="4460"/>
        <v>0622024058</v>
      </c>
      <c r="B12340" t="str">
        <f t="shared" si="4461"/>
        <v>ADEBI</v>
      </c>
      <c r="C12340" t="str">
        <f t="shared" si="4462"/>
        <v>NOBLE</v>
      </c>
      <c r="D12340">
        <f>10</f>
        <v>10</v>
      </c>
      <c r="E12340" t="str">
        <f>"08 - B - 101 - Alejandro  Navarro"</f>
        <v>08 - B - 101 - Alejandro  Navarro</v>
      </c>
      <c r="F12340" t="str">
        <f>"GUITAR 1"</f>
        <v>GUITAR 1</v>
      </c>
      <c r="G12340" t="str">
        <f>"05-504"</f>
        <v>05-504</v>
      </c>
      <c r="H12340" t="str">
        <f>"B"</f>
        <v>B</v>
      </c>
    </row>
    <row r="12341" spans="1:8" x14ac:dyDescent="0.2">
      <c r="A12341" t="str">
        <f t="shared" ref="A12341:A12348" si="4463">"0614144059"</f>
        <v>0614144059</v>
      </c>
      <c r="B12341" t="str">
        <f t="shared" ref="B12341:B12348" si="4464">"RALPH"</f>
        <v>RALPH</v>
      </c>
      <c r="C12341" t="str">
        <f t="shared" ref="C12341:C12364" si="4465">"NOEL"</f>
        <v>NOEL</v>
      </c>
      <c r="D12341">
        <f>11</f>
        <v>11</v>
      </c>
      <c r="E12341" t="str">
        <f>"04 - A - 005 - Emmily A Sarmiento"</f>
        <v>04 - A - 005 - Emmily A Sarmiento</v>
      </c>
      <c r="F12341" t="str">
        <f>"AICE GLBL PERSP 1 AS"</f>
        <v>AICE GLBL PERSP 1 AS</v>
      </c>
      <c r="G12341" t="str">
        <f>"17-1743"</f>
        <v>17-1743</v>
      </c>
      <c r="H12341" t="str">
        <f>"A"</f>
        <v>A</v>
      </c>
    </row>
    <row r="12342" spans="1:8" x14ac:dyDescent="0.2">
      <c r="A12342" t="str">
        <f t="shared" si="4463"/>
        <v>0614144059</v>
      </c>
      <c r="B12342" t="str">
        <f t="shared" si="4464"/>
        <v>RALPH</v>
      </c>
      <c r="C12342" t="str">
        <f t="shared" si="4465"/>
        <v>NOEL</v>
      </c>
      <c r="D12342">
        <f>11</f>
        <v>11</v>
      </c>
      <c r="E12342" t="str">
        <f>"06 - B - 002 - Kyle  Robbins"</f>
        <v>06 - B - 002 - Kyle  Robbins</v>
      </c>
      <c r="F12342" t="str">
        <f>"US HISTORY HON"</f>
        <v>US HISTORY HON</v>
      </c>
      <c r="G12342" t="str">
        <f>"17-1745"</f>
        <v>17-1745</v>
      </c>
      <c r="H12342" t="str">
        <f>"B"</f>
        <v>B</v>
      </c>
    </row>
    <row r="12343" spans="1:8" x14ac:dyDescent="0.2">
      <c r="A12343" t="str">
        <f t="shared" si="4463"/>
        <v>0614144059</v>
      </c>
      <c r="B12343" t="str">
        <f t="shared" si="4464"/>
        <v>RALPH</v>
      </c>
      <c r="C12343" t="str">
        <f t="shared" si="4465"/>
        <v>NOEL</v>
      </c>
      <c r="D12343">
        <f>11</f>
        <v>11</v>
      </c>
      <c r="E12343" t="str">
        <f>"03 - A - 101 - Timothy J Lawrence"</f>
        <v>03 - A - 101 - Timothy J Lawrence</v>
      </c>
      <c r="F12343" t="str">
        <f>"AICE PHYS ED 1 AS"</f>
        <v>AICE PHYS ED 1 AS</v>
      </c>
      <c r="G12343" t="str">
        <f>"05-519"</f>
        <v>05-519</v>
      </c>
      <c r="H12343" t="str">
        <f>"A"</f>
        <v>A</v>
      </c>
    </row>
    <row r="12344" spans="1:8" x14ac:dyDescent="0.2">
      <c r="A12344" t="str">
        <f t="shared" si="4463"/>
        <v>0614144059</v>
      </c>
      <c r="B12344" t="str">
        <f t="shared" si="4464"/>
        <v>RALPH</v>
      </c>
      <c r="C12344" t="str">
        <f t="shared" si="4465"/>
        <v>NOEL</v>
      </c>
      <c r="D12344">
        <f>11</f>
        <v>11</v>
      </c>
      <c r="E12344" t="str">
        <f>"02 - A - 103 - Kelly N Panza"</f>
        <v>02 - A - 103 - Kelly N Panza</v>
      </c>
      <c r="F12344" t="str">
        <f>"NC STUDY HALL 1"</f>
        <v>NC STUDY HALL 1</v>
      </c>
      <c r="G12344" t="str">
        <f>"17-1753"</f>
        <v>17-1753</v>
      </c>
      <c r="H12344" t="str">
        <f>"A"</f>
        <v>A</v>
      </c>
    </row>
    <row r="12345" spans="1:8" x14ac:dyDescent="0.2">
      <c r="A12345" t="str">
        <f t="shared" si="4463"/>
        <v>0614144059</v>
      </c>
      <c r="B12345" t="str">
        <f t="shared" si="4464"/>
        <v>RALPH</v>
      </c>
      <c r="C12345" t="str">
        <f t="shared" si="4465"/>
        <v>NOEL</v>
      </c>
      <c r="D12345">
        <f>11</f>
        <v>11</v>
      </c>
      <c r="E12345" t="str">
        <f>"07 - B - 204 - Scott A Dethloff"</f>
        <v>07 - B - 204 - Scott A Dethloff</v>
      </c>
      <c r="F12345" t="str">
        <f>"CHEMISTRY 1"</f>
        <v>CHEMISTRY 1</v>
      </c>
      <c r="G12345" t="str">
        <f>"08-812"</f>
        <v>08-812</v>
      </c>
      <c r="H12345" t="str">
        <f>"B"</f>
        <v>B</v>
      </c>
    </row>
    <row r="12346" spans="1:8" x14ac:dyDescent="0.2">
      <c r="A12346" t="str">
        <f t="shared" si="4463"/>
        <v>0614144059</v>
      </c>
      <c r="B12346" t="str">
        <f t="shared" si="4464"/>
        <v>RALPH</v>
      </c>
      <c r="C12346" t="str">
        <f t="shared" si="4465"/>
        <v>NOEL</v>
      </c>
      <c r="D12346">
        <f>11</f>
        <v>11</v>
      </c>
      <c r="E12346" t="str">
        <f>"05 - B - 106 - Courtney E Hambright"</f>
        <v>05 - B - 106 - Courtney E Hambright</v>
      </c>
      <c r="F12346" t="str">
        <f>"AICE ENG LANG AS"</f>
        <v>AICE ENG LANG AS</v>
      </c>
      <c r="G12346" t="str">
        <f>"17-1711"</f>
        <v>17-1711</v>
      </c>
      <c r="H12346" t="str">
        <f>"B"</f>
        <v>B</v>
      </c>
    </row>
    <row r="12347" spans="1:8" x14ac:dyDescent="0.2">
      <c r="A12347" t="str">
        <f t="shared" si="4463"/>
        <v>0614144059</v>
      </c>
      <c r="B12347" t="str">
        <f t="shared" si="4464"/>
        <v>RALPH</v>
      </c>
      <c r="C12347" t="str">
        <f t="shared" si="4465"/>
        <v>NOEL</v>
      </c>
      <c r="D12347">
        <f>11</f>
        <v>11</v>
      </c>
      <c r="E12347" t="str">
        <f>"01 - A - 101 - Vanessa J Liburd"</f>
        <v>01 - A - 101 - Vanessa J Liburd</v>
      </c>
      <c r="F12347" t="str">
        <f>"PRE-AICE FRENCH 1 IG"</f>
        <v>PRE-AICE FRENCH 1 IG</v>
      </c>
      <c r="G12347" t="str">
        <f>"05-519"</f>
        <v>05-519</v>
      </c>
      <c r="H12347" t="str">
        <f>"A"</f>
        <v>A</v>
      </c>
    </row>
    <row r="12348" spans="1:8" x14ac:dyDescent="0.2">
      <c r="A12348" t="str">
        <f t="shared" si="4463"/>
        <v>0614144059</v>
      </c>
      <c r="B12348" t="str">
        <f t="shared" si="4464"/>
        <v>RALPH</v>
      </c>
      <c r="C12348" t="str">
        <f t="shared" si="4465"/>
        <v>NOEL</v>
      </c>
      <c r="D12348">
        <f>11</f>
        <v>11</v>
      </c>
      <c r="E12348" t="str">
        <f>"08 - B - 107 - Dayna M Foster"</f>
        <v>08 - B - 107 - Dayna M Foster</v>
      </c>
      <c r="F12348" t="str">
        <f>"ALGEBRA 2"</f>
        <v>ALGEBRA 2</v>
      </c>
      <c r="G12348" t="str">
        <f>"21-2109"</f>
        <v>21-2109</v>
      </c>
      <c r="H12348" t="str">
        <f>"B"</f>
        <v>B</v>
      </c>
    </row>
    <row r="12349" spans="1:8" x14ac:dyDescent="0.2">
      <c r="A12349" t="str">
        <f t="shared" ref="A12349:A12356" si="4466">"0615038092"</f>
        <v>0615038092</v>
      </c>
      <c r="B12349" t="str">
        <f t="shared" ref="B12349:B12356" si="4467">"SAMUEL"</f>
        <v>SAMUEL</v>
      </c>
      <c r="C12349" t="str">
        <f t="shared" si="4465"/>
        <v>NOEL</v>
      </c>
      <c r="D12349">
        <f>10</f>
        <v>10</v>
      </c>
      <c r="E12349" t="str">
        <f>"04 - A - 106 - Marielle A Witting"</f>
        <v>04 - A - 106 - Marielle A Witting</v>
      </c>
      <c r="F12349" t="str">
        <f>"ANAT PHYSIO"</f>
        <v>ANAT PHYSIO</v>
      </c>
      <c r="G12349" t="str">
        <f>"08-805"</f>
        <v>08-805</v>
      </c>
      <c r="H12349" t="str">
        <f>"A"</f>
        <v>A</v>
      </c>
    </row>
    <row r="12350" spans="1:8" x14ac:dyDescent="0.2">
      <c r="A12350" t="str">
        <f t="shared" si="4466"/>
        <v>0615038092</v>
      </c>
      <c r="B12350" t="str">
        <f t="shared" si="4467"/>
        <v>SAMUEL</v>
      </c>
      <c r="C12350" t="str">
        <f t="shared" si="4465"/>
        <v>NOEL</v>
      </c>
      <c r="D12350">
        <f>10</f>
        <v>10</v>
      </c>
      <c r="E12350" t="str">
        <f>"06 - B - 001 - Ferrie J Arostique"</f>
        <v>06 - B - 001 - Ferrie J Arostique</v>
      </c>
      <c r="F12350" t="str">
        <f>"NC STUDY HALL 1"</f>
        <v>NC STUDY HALL 1</v>
      </c>
      <c r="G12350" t="str">
        <f>"21-2139"</f>
        <v>21-2139</v>
      </c>
      <c r="H12350" t="str">
        <f>"B"</f>
        <v>B</v>
      </c>
    </row>
    <row r="12351" spans="1:8" x14ac:dyDescent="0.2">
      <c r="A12351" t="str">
        <f t="shared" si="4466"/>
        <v>0615038092</v>
      </c>
      <c r="B12351" t="str">
        <f t="shared" si="4467"/>
        <v>SAMUEL</v>
      </c>
      <c r="C12351" t="str">
        <f t="shared" si="4465"/>
        <v>NOEL</v>
      </c>
      <c r="D12351">
        <f>10</f>
        <v>10</v>
      </c>
      <c r="E12351" t="str">
        <f>"03 - A - 002 - Ferrie J Arostique"</f>
        <v>03 - A - 002 - Ferrie J Arostique</v>
      </c>
      <c r="F12351" t="str">
        <f>"GEOMETRY"</f>
        <v>GEOMETRY</v>
      </c>
      <c r="G12351" t="str">
        <f>"21-2139"</f>
        <v>21-2139</v>
      </c>
      <c r="H12351" t="str">
        <f>"A"</f>
        <v>A</v>
      </c>
    </row>
    <row r="12352" spans="1:8" x14ac:dyDescent="0.2">
      <c r="A12352" t="str">
        <f t="shared" si="4466"/>
        <v>0615038092</v>
      </c>
      <c r="B12352" t="str">
        <f t="shared" si="4467"/>
        <v>SAMUEL</v>
      </c>
      <c r="C12352" t="str">
        <f t="shared" si="4465"/>
        <v>NOEL</v>
      </c>
      <c r="D12352">
        <f>10</f>
        <v>10</v>
      </c>
      <c r="E12352" t="str">
        <f>"02 - S1 - A - 101 - Carol S Moore"</f>
        <v>02 - S1 - A - 101 - Carol S Moore</v>
      </c>
      <c r="F12352" t="str">
        <f>"PER CAR SCH DEV 1 LH"</f>
        <v>PER CAR SCH DEV 1 LH</v>
      </c>
      <c r="G12352" t="str">
        <f>"17-1733"</f>
        <v>17-1733</v>
      </c>
      <c r="H12352" t="str">
        <f>"A"</f>
        <v>A</v>
      </c>
    </row>
    <row r="12353" spans="1:8" x14ac:dyDescent="0.2">
      <c r="A12353" t="str">
        <f t="shared" si="4466"/>
        <v>0615038092</v>
      </c>
      <c r="B12353" t="str">
        <f t="shared" si="4467"/>
        <v>SAMUEL</v>
      </c>
      <c r="C12353" t="str">
        <f t="shared" si="4465"/>
        <v>NOEL</v>
      </c>
      <c r="D12353">
        <f>10</f>
        <v>10</v>
      </c>
      <c r="E12353" t="str">
        <f>"07 - B - 102 - Nikiel  Nesbeth"</f>
        <v>07 - B - 102 - Nikiel  Nesbeth</v>
      </c>
      <c r="F12353" t="str">
        <f>"PRE-AICE ENG LIT IG"</f>
        <v>PRE-AICE ENG LIT IG</v>
      </c>
      <c r="G12353" t="str">
        <f>"17-1705"</f>
        <v>17-1705</v>
      </c>
      <c r="H12353" t="str">
        <f>"B"</f>
        <v>B</v>
      </c>
    </row>
    <row r="12354" spans="1:8" x14ac:dyDescent="0.2">
      <c r="A12354" t="str">
        <f t="shared" si="4466"/>
        <v>0615038092</v>
      </c>
      <c r="B12354" t="str">
        <f t="shared" si="4467"/>
        <v>SAMUEL</v>
      </c>
      <c r="C12354" t="str">
        <f t="shared" si="4465"/>
        <v>NOEL</v>
      </c>
      <c r="D12354">
        <f>10</f>
        <v>10</v>
      </c>
      <c r="E12354" t="str">
        <f>"05 - B - 103 - Eva T Rimmer"</f>
        <v>05 - B - 103 - Eva T Rimmer</v>
      </c>
      <c r="F12354" t="str">
        <f>"CRIMINAL JUST OPS 1"</f>
        <v>CRIMINAL JUST OPS 1</v>
      </c>
      <c r="G12354" t="str">
        <f>"05-523"</f>
        <v>05-523</v>
      </c>
      <c r="H12354" t="str">
        <f>"B"</f>
        <v>B</v>
      </c>
    </row>
    <row r="12355" spans="1:8" x14ac:dyDescent="0.2">
      <c r="A12355" t="str">
        <f t="shared" si="4466"/>
        <v>0615038092</v>
      </c>
      <c r="B12355" t="str">
        <f t="shared" si="4467"/>
        <v>SAMUEL</v>
      </c>
      <c r="C12355" t="str">
        <f t="shared" si="4465"/>
        <v>NOEL</v>
      </c>
      <c r="D12355">
        <f>10</f>
        <v>10</v>
      </c>
      <c r="E12355" t="str">
        <f>"01 - S1 - A - 101 - Richard E Dunbar Iii"</f>
        <v>01 - S1 - A - 101 - Richard E Dunbar Iii</v>
      </c>
      <c r="F12355" t="str">
        <f>"WEIGHT TRAIN 1"</f>
        <v>WEIGHT TRAIN 1</v>
      </c>
      <c r="G12355" t="str">
        <f>"05-501"</f>
        <v>05-501</v>
      </c>
      <c r="H12355" t="str">
        <f>"A"</f>
        <v>A</v>
      </c>
    </row>
    <row r="12356" spans="1:8" x14ac:dyDescent="0.2">
      <c r="A12356" t="str">
        <f t="shared" si="4466"/>
        <v>0615038092</v>
      </c>
      <c r="B12356" t="str">
        <f t="shared" si="4467"/>
        <v>SAMUEL</v>
      </c>
      <c r="C12356" t="str">
        <f t="shared" si="4465"/>
        <v>NOEL</v>
      </c>
      <c r="D12356">
        <f>10</f>
        <v>10</v>
      </c>
      <c r="E12356" t="str">
        <f>"08 - B - 101 - Elizabeth Ellen  Moran"</f>
        <v>08 - B - 101 - Elizabeth Ellen  Moran</v>
      </c>
      <c r="F12356" t="str">
        <f>"WORLD HISTORY"</f>
        <v>WORLD HISTORY</v>
      </c>
      <c r="G12356" t="str">
        <f>"17-1752"</f>
        <v>17-1752</v>
      </c>
      <c r="H12356" t="str">
        <f>"B"</f>
        <v>B</v>
      </c>
    </row>
    <row r="12357" spans="1:8" x14ac:dyDescent="0.2">
      <c r="A12357" t="str">
        <f t="shared" ref="A12357:A12364" si="4468">"0615149593"</f>
        <v>0615149593</v>
      </c>
      <c r="B12357" t="str">
        <f t="shared" ref="B12357:B12364" si="4469">"STANIA"</f>
        <v>STANIA</v>
      </c>
      <c r="C12357" t="str">
        <f t="shared" si="4465"/>
        <v>NOEL</v>
      </c>
      <c r="D12357">
        <f>10</f>
        <v>10</v>
      </c>
      <c r="E12357" t="str">
        <f>"04 - A - 104 - Courtney E Hambright"</f>
        <v>04 - A - 104 - Courtney E Hambright</v>
      </c>
      <c r="F12357" t="str">
        <f>"AICE ENG LANG AS"</f>
        <v>AICE ENG LANG AS</v>
      </c>
      <c r="G12357" t="str">
        <f>"17-1711"</f>
        <v>17-1711</v>
      </c>
      <c r="H12357" t="str">
        <f>"A"</f>
        <v>A</v>
      </c>
    </row>
    <row r="12358" spans="1:8" x14ac:dyDescent="0.2">
      <c r="A12358" t="str">
        <f t="shared" si="4468"/>
        <v>0615149593</v>
      </c>
      <c r="B12358" t="str">
        <f t="shared" si="4469"/>
        <v>STANIA</v>
      </c>
      <c r="C12358" t="str">
        <f t="shared" si="4465"/>
        <v>NOEL</v>
      </c>
      <c r="D12358">
        <f>10</f>
        <v>10</v>
      </c>
      <c r="E12358" t="str">
        <f>"06 - B - 118 - Jeanne M Bermudez"</f>
        <v>06 - B - 118 - Jeanne M Bermudez</v>
      </c>
      <c r="F12358" t="str">
        <f>"NC STUDY HALL 1"</f>
        <v>NC STUDY HALL 1</v>
      </c>
      <c r="G12358" t="str">
        <f>"21-2141"</f>
        <v>21-2141</v>
      </c>
      <c r="H12358" t="str">
        <f>"B"</f>
        <v>B</v>
      </c>
    </row>
    <row r="12359" spans="1:8" x14ac:dyDescent="0.2">
      <c r="A12359" t="str">
        <f t="shared" si="4468"/>
        <v>0615149593</v>
      </c>
      <c r="B12359" t="str">
        <f t="shared" si="4469"/>
        <v>STANIA</v>
      </c>
      <c r="C12359" t="str">
        <f t="shared" si="4465"/>
        <v>NOEL</v>
      </c>
      <c r="D12359">
        <f>10</f>
        <v>10</v>
      </c>
      <c r="E12359" t="str">
        <f>"03 - A - 201 - Chrystina M Marchionne"</f>
        <v>03 - A - 201 - Chrystina M Marchionne</v>
      </c>
      <c r="F12359" t="str">
        <f>"JOURN 1 (YB) LH"</f>
        <v>JOURN 1 (YB) LH</v>
      </c>
      <c r="G12359" t="str">
        <f>"05-520"</f>
        <v>05-520</v>
      </c>
      <c r="H12359" t="str">
        <f>"A"</f>
        <v>A</v>
      </c>
    </row>
    <row r="12360" spans="1:8" x14ac:dyDescent="0.2">
      <c r="A12360" t="str">
        <f t="shared" si="4468"/>
        <v>0615149593</v>
      </c>
      <c r="B12360" t="str">
        <f t="shared" si="4469"/>
        <v>STANIA</v>
      </c>
      <c r="C12360" t="str">
        <f t="shared" si="4465"/>
        <v>NOEL</v>
      </c>
      <c r="D12360">
        <f>10</f>
        <v>10</v>
      </c>
      <c r="E12360" t="str">
        <f>"02 - A - 103 - Lenecy  Nodarse"</f>
        <v>02 - A - 103 - Lenecy  Nodarse</v>
      </c>
      <c r="F12360" t="str">
        <f>"AICE EURO HIST 1 AS"</f>
        <v>AICE EURO HIST 1 AS</v>
      </c>
      <c r="G12360" t="str">
        <f>"17-1741"</f>
        <v>17-1741</v>
      </c>
      <c r="H12360" t="str">
        <f>"A"</f>
        <v>A</v>
      </c>
    </row>
    <row r="12361" spans="1:8" x14ac:dyDescent="0.2">
      <c r="A12361" t="str">
        <f t="shared" si="4468"/>
        <v>0615149593</v>
      </c>
      <c r="B12361" t="str">
        <f t="shared" si="4469"/>
        <v>STANIA</v>
      </c>
      <c r="C12361" t="str">
        <f t="shared" si="4465"/>
        <v>NOEL</v>
      </c>
      <c r="D12361">
        <f>10</f>
        <v>10</v>
      </c>
      <c r="E12361" t="str">
        <f>"07 - B - 105 - Josiah I Lacy"</f>
        <v>07 - B - 105 - Josiah I Lacy</v>
      </c>
      <c r="F12361" t="str">
        <f>"ANAT PHYSIO HON"</f>
        <v>ANAT PHYSIO HON</v>
      </c>
      <c r="G12361" t="str">
        <f>"08-801"</f>
        <v>08-801</v>
      </c>
      <c r="H12361" t="str">
        <f>"B"</f>
        <v>B</v>
      </c>
    </row>
    <row r="12362" spans="1:8" x14ac:dyDescent="0.2">
      <c r="A12362" t="str">
        <f t="shared" si="4468"/>
        <v>0615149593</v>
      </c>
      <c r="B12362" t="str">
        <f t="shared" si="4469"/>
        <v>STANIA</v>
      </c>
      <c r="C12362" t="str">
        <f t="shared" si="4465"/>
        <v>NOEL</v>
      </c>
      <c r="D12362">
        <f>10</f>
        <v>10</v>
      </c>
      <c r="E12362" t="str">
        <f>"05 - B - 108 - Valerie J Ruwe"</f>
        <v>05 - B - 108 - Valerie J Ruwe</v>
      </c>
      <c r="F12362" t="str">
        <f>"CHEMISTRY 1 HON"</f>
        <v>CHEMISTRY 1 HON</v>
      </c>
      <c r="G12362" t="str">
        <f>"21-2138"</f>
        <v>21-2138</v>
      </c>
      <c r="H12362" t="str">
        <f>"B"</f>
        <v>B</v>
      </c>
    </row>
    <row r="12363" spans="1:8" x14ac:dyDescent="0.2">
      <c r="A12363" t="str">
        <f t="shared" si="4468"/>
        <v>0615149593</v>
      </c>
      <c r="B12363" t="str">
        <f t="shared" si="4469"/>
        <v>STANIA</v>
      </c>
      <c r="C12363" t="str">
        <f t="shared" si="4465"/>
        <v>NOEL</v>
      </c>
      <c r="D12363">
        <f>10</f>
        <v>10</v>
      </c>
      <c r="E12363" t="str">
        <f>"01 - A - 101 - Daniel S Katz"</f>
        <v>01 - A - 101 - Daniel S Katz</v>
      </c>
      <c r="F12363" t="str">
        <f>"EXEC INTERN 3 LH"</f>
        <v>EXEC INTERN 3 LH</v>
      </c>
      <c r="G12363" t="str">
        <f>"21-2156"</f>
        <v>21-2156</v>
      </c>
      <c r="H12363" t="str">
        <f>"A"</f>
        <v>A</v>
      </c>
    </row>
    <row r="12364" spans="1:8" x14ac:dyDescent="0.2">
      <c r="A12364" t="str">
        <f t="shared" si="4468"/>
        <v>0615149593</v>
      </c>
      <c r="B12364" t="str">
        <f t="shared" si="4469"/>
        <v>STANIA</v>
      </c>
      <c r="C12364" t="str">
        <f t="shared" si="4465"/>
        <v>NOEL</v>
      </c>
      <c r="D12364">
        <f>10</f>
        <v>10</v>
      </c>
      <c r="E12364" t="str">
        <f>"08 - B - 202 - Krystal Marie  Beruty"</f>
        <v>08 - B - 202 - Krystal Marie  Beruty</v>
      </c>
      <c r="F12364" t="str">
        <f>"AICE PSYCH 1 AS"</f>
        <v>AICE PSYCH 1 AS</v>
      </c>
      <c r="G12364" t="str">
        <f>"17-1721"</f>
        <v>17-1721</v>
      </c>
      <c r="H12364" t="str">
        <f>"B"</f>
        <v>B</v>
      </c>
    </row>
    <row r="12365" spans="1:8" x14ac:dyDescent="0.2">
      <c r="A12365" t="str">
        <f t="shared" ref="A12365:A12372" si="4470">"0617122704"</f>
        <v>0617122704</v>
      </c>
      <c r="B12365" t="str">
        <f t="shared" ref="B12365:B12372" si="4471">"JULIA"</f>
        <v>JULIA</v>
      </c>
      <c r="C12365" t="str">
        <f t="shared" ref="C12365:C12372" si="4472">"NOONE"</f>
        <v>NOONE</v>
      </c>
      <c r="D12365">
        <f>11</f>
        <v>11</v>
      </c>
      <c r="E12365" t="str">
        <f>"04 - A - 101 - Chrystina M Marchionne"</f>
        <v>04 - A - 101 - Chrystina M Marchionne</v>
      </c>
      <c r="F12365" t="str">
        <f>"THEA CIN &amp; FILM LH"</f>
        <v>THEA CIN &amp; FILM LH</v>
      </c>
      <c r="G12365" t="str">
        <f>"05-520"</f>
        <v>05-520</v>
      </c>
      <c r="H12365" t="str">
        <f>"A"</f>
        <v>A</v>
      </c>
    </row>
    <row r="12366" spans="1:8" x14ac:dyDescent="0.2">
      <c r="A12366" t="str">
        <f t="shared" si="4470"/>
        <v>0617122704</v>
      </c>
      <c r="B12366" t="str">
        <f t="shared" si="4471"/>
        <v>JULIA</v>
      </c>
      <c r="C12366" t="str">
        <f t="shared" si="4472"/>
        <v>NOONE</v>
      </c>
      <c r="D12366">
        <f>11</f>
        <v>11</v>
      </c>
      <c r="E12366" t="str">
        <f>"06 - B - 202 - Brian M Fitzgerald"</f>
        <v>06 - B - 202 - Brian M Fitzgerald</v>
      </c>
      <c r="F12366" t="str">
        <f>"DRAW 1"</f>
        <v>DRAW 1</v>
      </c>
      <c r="G12366" t="str">
        <f>"09-908"</f>
        <v>09-908</v>
      </c>
      <c r="H12366" t="str">
        <f>"B"</f>
        <v>B</v>
      </c>
    </row>
    <row r="12367" spans="1:8" x14ac:dyDescent="0.2">
      <c r="A12367" t="str">
        <f t="shared" si="4470"/>
        <v>0617122704</v>
      </c>
      <c r="B12367" t="str">
        <f t="shared" si="4471"/>
        <v>JULIA</v>
      </c>
      <c r="C12367" t="str">
        <f t="shared" si="4472"/>
        <v>NOONE</v>
      </c>
      <c r="D12367">
        <f>11</f>
        <v>11</v>
      </c>
      <c r="E12367" t="str">
        <f>"03 - A - 106 - Jerry S Jiampetti"</f>
        <v>03 - A - 106 - Jerry S Jiampetti</v>
      </c>
      <c r="F12367" t="str">
        <f>"US HISTORY HON"</f>
        <v>US HISTORY HON</v>
      </c>
      <c r="G12367" t="str">
        <f>"17-1751"</f>
        <v>17-1751</v>
      </c>
      <c r="H12367" t="str">
        <f>"A"</f>
        <v>A</v>
      </c>
    </row>
    <row r="12368" spans="1:8" x14ac:dyDescent="0.2">
      <c r="A12368" t="str">
        <f t="shared" si="4470"/>
        <v>0617122704</v>
      </c>
      <c r="B12368" t="str">
        <f t="shared" si="4471"/>
        <v>JULIA</v>
      </c>
      <c r="C12368" t="str">
        <f t="shared" si="4472"/>
        <v>NOONE</v>
      </c>
      <c r="D12368">
        <f>11</f>
        <v>11</v>
      </c>
      <c r="E12368" t="str">
        <f>"02 - A - 102 - Brook E Goren"</f>
        <v>02 - A - 102 - Brook E Goren</v>
      </c>
      <c r="F12368" t="str">
        <f>"NC STUDY HALL 1"</f>
        <v>NC STUDY HALL 1</v>
      </c>
      <c r="G12368" t="str">
        <f>"21-2158"</f>
        <v>21-2158</v>
      </c>
      <c r="H12368" t="str">
        <f>"A"</f>
        <v>A</v>
      </c>
    </row>
    <row r="12369" spans="1:8" x14ac:dyDescent="0.2">
      <c r="A12369" t="str">
        <f t="shared" si="4470"/>
        <v>0617122704</v>
      </c>
      <c r="B12369" t="str">
        <f t="shared" si="4471"/>
        <v>JULIA</v>
      </c>
      <c r="C12369" t="str">
        <f t="shared" si="4472"/>
        <v>NOONE</v>
      </c>
      <c r="D12369">
        <f>11</f>
        <v>11</v>
      </c>
      <c r="E12369" t="str">
        <f>"07 - B - 107 - Semra  Bahadir"</f>
        <v>07 - B - 107 - Semra  Bahadir</v>
      </c>
      <c r="F12369" t="str">
        <f>"MATH COLL ALGEBRA"</f>
        <v>MATH COLL ALGEBRA</v>
      </c>
      <c r="G12369" t="str">
        <f>"21-2107"</f>
        <v>21-2107</v>
      </c>
      <c r="H12369" t="str">
        <f>"B"</f>
        <v>B</v>
      </c>
    </row>
    <row r="12370" spans="1:8" x14ac:dyDescent="0.2">
      <c r="A12370" t="str">
        <f t="shared" si="4470"/>
        <v>0617122704</v>
      </c>
      <c r="B12370" t="str">
        <f t="shared" si="4471"/>
        <v>JULIA</v>
      </c>
      <c r="C12370" t="str">
        <f t="shared" si="4472"/>
        <v>NOONE</v>
      </c>
      <c r="D12370">
        <f>11</f>
        <v>11</v>
      </c>
      <c r="E12370" t="str">
        <f>"05 - B - 101 - Alejandro  Navarro"</f>
        <v>05 - B - 101 - Alejandro  Navarro</v>
      </c>
      <c r="F12370" t="str">
        <f>"GUITAR 2"</f>
        <v>GUITAR 2</v>
      </c>
      <c r="G12370" t="str">
        <f>"05-504"</f>
        <v>05-504</v>
      </c>
      <c r="H12370" t="str">
        <f>"B"</f>
        <v>B</v>
      </c>
    </row>
    <row r="12371" spans="1:8" x14ac:dyDescent="0.2">
      <c r="A12371" t="str">
        <f t="shared" si="4470"/>
        <v>0617122704</v>
      </c>
      <c r="B12371" t="str">
        <f t="shared" si="4471"/>
        <v>JULIA</v>
      </c>
      <c r="C12371" t="str">
        <f t="shared" si="4472"/>
        <v>NOONE</v>
      </c>
      <c r="D12371">
        <f>11</f>
        <v>11</v>
      </c>
      <c r="E12371" t="str">
        <f>"01 - A - 101 - Heidi M Knopp"</f>
        <v>01 - A - 101 - Heidi M Knopp</v>
      </c>
      <c r="F12371" t="str">
        <f>"ENG HON 3"</f>
        <v>ENG HON 3</v>
      </c>
      <c r="G12371" t="str">
        <f>"17-1752"</f>
        <v>17-1752</v>
      </c>
      <c r="H12371" t="str">
        <f>"A"</f>
        <v>A</v>
      </c>
    </row>
    <row r="12372" spans="1:8" x14ac:dyDescent="0.2">
      <c r="A12372" t="str">
        <f t="shared" si="4470"/>
        <v>0617122704</v>
      </c>
      <c r="B12372" t="str">
        <f t="shared" si="4471"/>
        <v>JULIA</v>
      </c>
      <c r="C12372" t="str">
        <f t="shared" si="4472"/>
        <v>NOONE</v>
      </c>
      <c r="D12372">
        <f>11</f>
        <v>11</v>
      </c>
      <c r="E12372" t="str">
        <f>"08 - B - 102 - Josiah I Lacy"</f>
        <v>08 - B - 102 - Josiah I Lacy</v>
      </c>
      <c r="F12372" t="str">
        <f>"ANAT PHYSIO HON"</f>
        <v>ANAT PHYSIO HON</v>
      </c>
      <c r="G12372" t="str">
        <f>"08-801"</f>
        <v>08-801</v>
      </c>
      <c r="H12372" t="str">
        <f>"B"</f>
        <v>B</v>
      </c>
    </row>
    <row r="12373" spans="1:8" x14ac:dyDescent="0.2">
      <c r="A12373" t="str">
        <f t="shared" ref="A12373:A12380" si="4473">"0622083660"</f>
        <v>0622083660</v>
      </c>
      <c r="B12373" t="str">
        <f t="shared" ref="B12373:B12380" si="4474">"JUAN"</f>
        <v>JUAN</v>
      </c>
      <c r="C12373" t="str">
        <f t="shared" ref="C12373:C12380" si="4475">"NORENA"</f>
        <v>NORENA</v>
      </c>
      <c r="D12373" t="str">
        <f t="shared" ref="D12373:D12412" si="4476">"09"</f>
        <v>09</v>
      </c>
      <c r="E12373" t="str">
        <f>"04 - A - 102 - Elizabeth R Walker"</f>
        <v>04 - A - 102 - Elizabeth R Walker</v>
      </c>
      <c r="F12373" t="str">
        <f>"AICE ENG GEN PAPER 1"</f>
        <v>AICE ENG GEN PAPER 1</v>
      </c>
      <c r="G12373" t="str">
        <f>"17-1703"</f>
        <v>17-1703</v>
      </c>
      <c r="H12373" t="str">
        <f>"A"</f>
        <v>A</v>
      </c>
    </row>
    <row r="12374" spans="1:8" x14ac:dyDescent="0.2">
      <c r="A12374" t="str">
        <f t="shared" si="4473"/>
        <v>0622083660</v>
      </c>
      <c r="B12374" t="str">
        <f t="shared" si="4474"/>
        <v>JUAN</v>
      </c>
      <c r="C12374" t="str">
        <f t="shared" si="4475"/>
        <v>NORENA</v>
      </c>
      <c r="D12374" t="str">
        <f t="shared" si="4476"/>
        <v>09</v>
      </c>
      <c r="E12374" t="str">
        <f>"06 - B - 106 - Marius D Orsolini"</f>
        <v>06 - B - 106 - Marius D Orsolini</v>
      </c>
      <c r="F12374" t="str">
        <f>"CULINARY ARTS 1"</f>
        <v>CULINARY ARTS 1</v>
      </c>
      <c r="G12374" t="str">
        <f>"21-2115"</f>
        <v>21-2115</v>
      </c>
      <c r="H12374" t="str">
        <f>"B"</f>
        <v>B</v>
      </c>
    </row>
    <row r="12375" spans="1:8" x14ac:dyDescent="0.2">
      <c r="A12375" t="str">
        <f t="shared" si="4473"/>
        <v>0622083660</v>
      </c>
      <c r="B12375" t="str">
        <f t="shared" si="4474"/>
        <v>JUAN</v>
      </c>
      <c r="C12375" t="str">
        <f t="shared" si="4475"/>
        <v>NORENA</v>
      </c>
      <c r="D12375" t="str">
        <f t="shared" si="4476"/>
        <v>09</v>
      </c>
      <c r="E12375" t="str">
        <f>"03 - A - 001 - Maried P Ramos"</f>
        <v>03 - A - 001 - Maried P Ramos</v>
      </c>
      <c r="F12375" t="str">
        <f>"PRE-AICE MATH 2 IG"</f>
        <v>PRE-AICE MATH 2 IG</v>
      </c>
      <c r="G12375" t="str">
        <f>"21-2159"</f>
        <v>21-2159</v>
      </c>
      <c r="H12375" t="str">
        <f>"A"</f>
        <v>A</v>
      </c>
    </row>
    <row r="12376" spans="1:8" x14ac:dyDescent="0.2">
      <c r="A12376" t="str">
        <f t="shared" si="4473"/>
        <v>0622083660</v>
      </c>
      <c r="B12376" t="str">
        <f t="shared" si="4474"/>
        <v>JUAN</v>
      </c>
      <c r="C12376" t="str">
        <f t="shared" si="4475"/>
        <v>NORENA</v>
      </c>
      <c r="D12376" t="str">
        <f t="shared" si="4476"/>
        <v>09</v>
      </c>
      <c r="E12376" t="str">
        <f>"02 - A - 115 - Lourivaldo  Da Silva"</f>
        <v>02 - A - 115 - Lourivaldo  Da Silva</v>
      </c>
      <c r="F12376" t="str">
        <f>"NC STUDY HALL 1"</f>
        <v>NC STUDY HALL 1</v>
      </c>
      <c r="G12376" t="str">
        <f>"20-2079"</f>
        <v>20-2079</v>
      </c>
      <c r="H12376" t="str">
        <f>"A"</f>
        <v>A</v>
      </c>
    </row>
    <row r="12377" spans="1:8" x14ac:dyDescent="0.2">
      <c r="A12377" t="str">
        <f t="shared" si="4473"/>
        <v>0622083660</v>
      </c>
      <c r="B12377" t="str">
        <f t="shared" si="4474"/>
        <v>JUAN</v>
      </c>
      <c r="C12377" t="str">
        <f t="shared" si="4475"/>
        <v>NORENA</v>
      </c>
      <c r="D12377" t="str">
        <f t="shared" si="4476"/>
        <v>09</v>
      </c>
      <c r="E12377" t="str">
        <f>"07 - B - 001 - Carol S Moore"</f>
        <v>07 - B - 001 - Carol S Moore</v>
      </c>
      <c r="F12377" t="str">
        <f>"PRE-AICE WRLD HST IG"</f>
        <v>PRE-AICE WRLD HST IG</v>
      </c>
      <c r="G12377" t="str">
        <f>"17-1733"</f>
        <v>17-1733</v>
      </c>
      <c r="H12377" t="str">
        <f>"B"</f>
        <v>B</v>
      </c>
    </row>
    <row r="12378" spans="1:8" x14ac:dyDescent="0.2">
      <c r="A12378" t="str">
        <f t="shared" si="4473"/>
        <v>0622083660</v>
      </c>
      <c r="B12378" t="str">
        <f t="shared" si="4474"/>
        <v>JUAN</v>
      </c>
      <c r="C12378" t="str">
        <f t="shared" si="4475"/>
        <v>NORENA</v>
      </c>
      <c r="D12378" t="str">
        <f t="shared" si="4476"/>
        <v>09</v>
      </c>
      <c r="E12378" t="str">
        <f>"05 - B - 103 - Josiah I Lacy"</f>
        <v>05 - B - 103 - Josiah I Lacy</v>
      </c>
      <c r="F12378" t="str">
        <f>"PRE-AICE BIO IG"</f>
        <v>PRE-AICE BIO IG</v>
      </c>
      <c r="G12378" t="str">
        <f>"08-801"</f>
        <v>08-801</v>
      </c>
      <c r="H12378" t="str">
        <f>"B"</f>
        <v>B</v>
      </c>
    </row>
    <row r="12379" spans="1:8" x14ac:dyDescent="0.2">
      <c r="A12379" t="str">
        <f t="shared" si="4473"/>
        <v>0622083660</v>
      </c>
      <c r="B12379" t="str">
        <f t="shared" si="4474"/>
        <v>JUAN</v>
      </c>
      <c r="C12379" t="str">
        <f t="shared" si="4475"/>
        <v>NORENA</v>
      </c>
      <c r="D12379" t="str">
        <f t="shared" si="4476"/>
        <v>09</v>
      </c>
      <c r="E12379" t="str">
        <f>"01 - A - 101 - Vanessa J Liburd"</f>
        <v>01 - A - 101 - Vanessa J Liburd</v>
      </c>
      <c r="F12379" t="str">
        <f>"PRE-AICE FRENCH 1 IG"</f>
        <v>PRE-AICE FRENCH 1 IG</v>
      </c>
      <c r="G12379" t="str">
        <f>"05-519"</f>
        <v>05-519</v>
      </c>
      <c r="H12379" t="str">
        <f>"A"</f>
        <v>A</v>
      </c>
    </row>
    <row r="12380" spans="1:8" x14ac:dyDescent="0.2">
      <c r="A12380" t="str">
        <f t="shared" si="4473"/>
        <v>0622083660</v>
      </c>
      <c r="B12380" t="str">
        <f t="shared" si="4474"/>
        <v>JUAN</v>
      </c>
      <c r="C12380" t="str">
        <f t="shared" si="4475"/>
        <v>NORENA</v>
      </c>
      <c r="D12380" t="str">
        <f t="shared" si="4476"/>
        <v>09</v>
      </c>
      <c r="E12380" t="str">
        <f>"08 - S1 - B - 105 - Richard E Dunbar Iii"</f>
        <v>08 - S1 - B - 105 - Richard E Dunbar Iii</v>
      </c>
      <c r="F12380" t="str">
        <f>"WEIGHT TRAIN 1"</f>
        <v>WEIGHT TRAIN 1</v>
      </c>
      <c r="G12380" t="str">
        <f>"05-501"</f>
        <v>05-501</v>
      </c>
      <c r="H12380" t="str">
        <f>"B"</f>
        <v>B</v>
      </c>
    </row>
    <row r="12381" spans="1:8" x14ac:dyDescent="0.2">
      <c r="A12381" t="str">
        <f t="shared" ref="A12381:A12388" si="4477">"0619077224"</f>
        <v>0619077224</v>
      </c>
      <c r="B12381" t="str">
        <f t="shared" ref="B12381:B12388" si="4478">"KAMERON"</f>
        <v>KAMERON</v>
      </c>
      <c r="C12381" t="str">
        <f t="shared" ref="C12381:C12388" si="4479">"NORRIS"</f>
        <v>NORRIS</v>
      </c>
      <c r="D12381" t="str">
        <f t="shared" si="4476"/>
        <v>09</v>
      </c>
      <c r="E12381" t="str">
        <f>"04 - A - 104 - Helen A Flores"</f>
        <v>04 - A - 104 - Helen A Flores</v>
      </c>
      <c r="F12381" t="str">
        <f>"FDN SKLS MATH 9-12"</f>
        <v>FDN SKLS MATH 9-12</v>
      </c>
      <c r="G12381" t="str">
        <f>"21-2101"</f>
        <v>21-2101</v>
      </c>
      <c r="H12381" t="str">
        <f>"A"</f>
        <v>A</v>
      </c>
    </row>
    <row r="12382" spans="1:8" x14ac:dyDescent="0.2">
      <c r="A12382" t="str">
        <f t="shared" si="4477"/>
        <v>0619077224</v>
      </c>
      <c r="B12382" t="str">
        <f t="shared" si="4478"/>
        <v>KAMERON</v>
      </c>
      <c r="C12382" t="str">
        <f t="shared" si="4479"/>
        <v>NORRIS</v>
      </c>
      <c r="D12382" t="str">
        <f t="shared" si="4476"/>
        <v>09</v>
      </c>
      <c r="E12382" t="str">
        <f>"06 - B - 106 - Marius D Orsolini"</f>
        <v>06 - B - 106 - Marius D Orsolini</v>
      </c>
      <c r="F12382" t="str">
        <f>"CULINARY ARTS 1"</f>
        <v>CULINARY ARTS 1</v>
      </c>
      <c r="G12382" t="str">
        <f>"21-2115"</f>
        <v>21-2115</v>
      </c>
      <c r="H12382" t="str">
        <f>"B"</f>
        <v>B</v>
      </c>
    </row>
    <row r="12383" spans="1:8" x14ac:dyDescent="0.2">
      <c r="A12383" t="str">
        <f t="shared" si="4477"/>
        <v>0619077224</v>
      </c>
      <c r="B12383" t="str">
        <f t="shared" si="4478"/>
        <v>KAMERON</v>
      </c>
      <c r="C12383" t="str">
        <f t="shared" si="4479"/>
        <v>NORRIS</v>
      </c>
      <c r="D12383" t="str">
        <f t="shared" si="4476"/>
        <v>09</v>
      </c>
      <c r="E12383" t="str">
        <f>"03 - A - 102 - Rory T Sponsler"</f>
        <v>03 - A - 102 - Rory T Sponsler</v>
      </c>
      <c r="F12383" t="str">
        <f>"PRE-AICE WRLD HST IG"</f>
        <v>PRE-AICE WRLD HST IG</v>
      </c>
      <c r="G12383" t="str">
        <f>"17-1740"</f>
        <v>17-1740</v>
      </c>
      <c r="H12383" t="str">
        <f>"A"</f>
        <v>A</v>
      </c>
    </row>
    <row r="12384" spans="1:8" x14ac:dyDescent="0.2">
      <c r="A12384" t="str">
        <f t="shared" si="4477"/>
        <v>0619077224</v>
      </c>
      <c r="B12384" t="str">
        <f t="shared" si="4478"/>
        <v>KAMERON</v>
      </c>
      <c r="C12384" t="str">
        <f t="shared" si="4479"/>
        <v>NORRIS</v>
      </c>
      <c r="D12384" t="str">
        <f t="shared" si="4476"/>
        <v>09</v>
      </c>
      <c r="E12384" t="str">
        <f>"02 - A - 104 - Lytrell T Dixon"</f>
        <v>02 - A - 104 - Lytrell T Dixon</v>
      </c>
      <c r="F12384" t="str">
        <f>"NC STUDY HALL 1"</f>
        <v>NC STUDY HALL 1</v>
      </c>
      <c r="G12384" t="str">
        <f>"08-808"</f>
        <v>08-808</v>
      </c>
      <c r="H12384" t="str">
        <f>"A"</f>
        <v>A</v>
      </c>
    </row>
    <row r="12385" spans="1:8" x14ac:dyDescent="0.2">
      <c r="A12385" t="str">
        <f t="shared" si="4477"/>
        <v>0619077224</v>
      </c>
      <c r="B12385" t="str">
        <f t="shared" si="4478"/>
        <v>KAMERON</v>
      </c>
      <c r="C12385" t="str">
        <f t="shared" si="4479"/>
        <v>NORRIS</v>
      </c>
      <c r="D12385" t="str">
        <f t="shared" si="4476"/>
        <v>09</v>
      </c>
      <c r="E12385" t="str">
        <f>"07 - B - 105 - Josiah I Lacy"</f>
        <v>07 - B - 105 - Josiah I Lacy</v>
      </c>
      <c r="F12385" t="str">
        <f>"ANAT PHYSIO HON"</f>
        <v>ANAT PHYSIO HON</v>
      </c>
      <c r="G12385" t="str">
        <f>"08-801"</f>
        <v>08-801</v>
      </c>
      <c r="H12385" t="str">
        <f>"B"</f>
        <v>B</v>
      </c>
    </row>
    <row r="12386" spans="1:8" x14ac:dyDescent="0.2">
      <c r="A12386" t="str">
        <f t="shared" si="4477"/>
        <v>0619077224</v>
      </c>
      <c r="B12386" t="str">
        <f t="shared" si="4478"/>
        <v>KAMERON</v>
      </c>
      <c r="C12386" t="str">
        <f t="shared" si="4479"/>
        <v>NORRIS</v>
      </c>
      <c r="D12386" t="str">
        <f t="shared" si="4476"/>
        <v>09</v>
      </c>
      <c r="E12386" t="str">
        <f>"05 - S1 - B - 103 - Leslie J Barton"</f>
        <v>05 - S1 - B - 103 - Leslie J Barton</v>
      </c>
      <c r="F12386" t="str">
        <f>"FIRST AID SAFETY"</f>
        <v>FIRST AID SAFETY</v>
      </c>
      <c r="G12386" t="str">
        <f>"05-521"</f>
        <v>05-521</v>
      </c>
      <c r="H12386" t="str">
        <f>"B"</f>
        <v>B</v>
      </c>
    </row>
    <row r="12387" spans="1:8" x14ac:dyDescent="0.2">
      <c r="A12387" t="str">
        <f t="shared" si="4477"/>
        <v>0619077224</v>
      </c>
      <c r="B12387" t="str">
        <f t="shared" si="4478"/>
        <v>KAMERON</v>
      </c>
      <c r="C12387" t="str">
        <f t="shared" si="4479"/>
        <v>NORRIS</v>
      </c>
      <c r="D12387" t="str">
        <f t="shared" si="4476"/>
        <v>09</v>
      </c>
      <c r="E12387" t="str">
        <f>"01 - A - 101 - Cheryl Anne  Berman-Schechter"</f>
        <v>01 - A - 101 - Cheryl Anne  Berman-Schechter</v>
      </c>
      <c r="F12387" t="str">
        <f>"PRE-AICE ENG LANG IG"</f>
        <v>PRE-AICE ENG LANG IG</v>
      </c>
      <c r="G12387" t="str">
        <f>"17-1722"</f>
        <v>17-1722</v>
      </c>
      <c r="H12387" t="str">
        <f>"A"</f>
        <v>A</v>
      </c>
    </row>
    <row r="12388" spans="1:8" x14ac:dyDescent="0.2">
      <c r="A12388" t="str">
        <f t="shared" si="4477"/>
        <v>0619077224</v>
      </c>
      <c r="B12388" t="str">
        <f t="shared" si="4478"/>
        <v>KAMERON</v>
      </c>
      <c r="C12388" t="str">
        <f t="shared" si="4479"/>
        <v>NORRIS</v>
      </c>
      <c r="D12388" t="str">
        <f t="shared" si="4476"/>
        <v>09</v>
      </c>
      <c r="E12388" t="str">
        <f>"08 - B - 106 - Helen A Flores"</f>
        <v>08 - B - 106 - Helen A Flores</v>
      </c>
      <c r="F12388" t="str">
        <f>"ALGEBRA 1"</f>
        <v>ALGEBRA 1</v>
      </c>
      <c r="G12388" t="str">
        <f>"21-2101"</f>
        <v>21-2101</v>
      </c>
      <c r="H12388" t="str">
        <f>"B"</f>
        <v>B</v>
      </c>
    </row>
    <row r="12389" spans="1:8" x14ac:dyDescent="0.2">
      <c r="A12389" t="str">
        <f t="shared" ref="A12389:A12396" si="4480">"0617033489"</f>
        <v>0617033489</v>
      </c>
      <c r="B12389" t="str">
        <f t="shared" ref="B12389:B12396" si="4481">"LYLA"</f>
        <v>LYLA</v>
      </c>
      <c r="C12389" t="str">
        <f t="shared" ref="C12389:C12396" si="4482">"NOTHHARD"</f>
        <v>NOTHHARD</v>
      </c>
      <c r="D12389" t="str">
        <f t="shared" si="4476"/>
        <v>09</v>
      </c>
      <c r="E12389" t="str">
        <f>"04 - A - 104 - Helen A Flores"</f>
        <v>04 - A - 104 - Helen A Flores</v>
      </c>
      <c r="F12389" t="str">
        <f>"FDN SKLS MATH 9-12"</f>
        <v>FDN SKLS MATH 9-12</v>
      </c>
      <c r="G12389" t="str">
        <f>"21-2101"</f>
        <v>21-2101</v>
      </c>
      <c r="H12389" t="str">
        <f>"A"</f>
        <v>A</v>
      </c>
    </row>
    <row r="12390" spans="1:8" x14ac:dyDescent="0.2">
      <c r="A12390" t="str">
        <f t="shared" si="4480"/>
        <v>0617033489</v>
      </c>
      <c r="B12390" t="str">
        <f t="shared" si="4481"/>
        <v>LYLA</v>
      </c>
      <c r="C12390" t="str">
        <f t="shared" si="4482"/>
        <v>NOTHHARD</v>
      </c>
      <c r="D12390" t="str">
        <f t="shared" si="4476"/>
        <v>09</v>
      </c>
      <c r="E12390" t="str">
        <f>"06 - S1 - B - 104 - Leslie J Barton"</f>
        <v>06 - S1 - B - 104 - Leslie J Barton</v>
      </c>
      <c r="F12390" t="str">
        <f>"FIRST AID SAFETY"</f>
        <v>FIRST AID SAFETY</v>
      </c>
      <c r="G12390" t="str">
        <f>"05-521"</f>
        <v>05-521</v>
      </c>
      <c r="H12390" t="str">
        <f>"B"</f>
        <v>B</v>
      </c>
    </row>
    <row r="12391" spans="1:8" x14ac:dyDescent="0.2">
      <c r="A12391" t="str">
        <f t="shared" si="4480"/>
        <v>0617033489</v>
      </c>
      <c r="B12391" t="str">
        <f t="shared" si="4481"/>
        <v>LYLA</v>
      </c>
      <c r="C12391" t="str">
        <f t="shared" si="4482"/>
        <v>NOTHHARD</v>
      </c>
      <c r="D12391" t="str">
        <f t="shared" si="4476"/>
        <v>09</v>
      </c>
      <c r="E12391" t="str">
        <f>"03 - A - 204 - Norayda D Suarez"</f>
        <v>03 - A - 204 - Norayda D Suarez</v>
      </c>
      <c r="F12391" t="str">
        <f>"ANAT PHYSIO HON"</f>
        <v>ANAT PHYSIO HON</v>
      </c>
      <c r="G12391" t="str">
        <f>"21-2144"</f>
        <v>21-2144</v>
      </c>
      <c r="H12391" t="str">
        <f>"A"</f>
        <v>A</v>
      </c>
    </row>
    <row r="12392" spans="1:8" x14ac:dyDescent="0.2">
      <c r="A12392" t="str">
        <f t="shared" si="4480"/>
        <v>0617033489</v>
      </c>
      <c r="B12392" t="str">
        <f t="shared" si="4481"/>
        <v>LYLA</v>
      </c>
      <c r="C12392" t="str">
        <f t="shared" si="4482"/>
        <v>NOTHHARD</v>
      </c>
      <c r="D12392" t="str">
        <f t="shared" si="4476"/>
        <v>09</v>
      </c>
      <c r="E12392" t="str">
        <f>"02 - A - 109 - Krystal Marie  Beruty"</f>
        <v>02 - A - 109 - Krystal Marie  Beruty</v>
      </c>
      <c r="F12392" t="str">
        <f>"NC STUDY HALL 1"</f>
        <v>NC STUDY HALL 1</v>
      </c>
      <c r="G12392" t="str">
        <f>"17-1721"</f>
        <v>17-1721</v>
      </c>
      <c r="H12392" t="str">
        <f>"A"</f>
        <v>A</v>
      </c>
    </row>
    <row r="12393" spans="1:8" x14ac:dyDescent="0.2">
      <c r="A12393" t="str">
        <f t="shared" si="4480"/>
        <v>0617033489</v>
      </c>
      <c r="B12393" t="str">
        <f t="shared" si="4481"/>
        <v>LYLA</v>
      </c>
      <c r="C12393" t="str">
        <f t="shared" si="4482"/>
        <v>NOTHHARD</v>
      </c>
      <c r="D12393" t="str">
        <f t="shared" si="4476"/>
        <v>09</v>
      </c>
      <c r="E12393" t="str">
        <f>"07 - B - 001 - Carol S Moore"</f>
        <v>07 - B - 001 - Carol S Moore</v>
      </c>
      <c r="F12393" t="str">
        <f>"PRE-AICE WRLD HST IG"</f>
        <v>PRE-AICE WRLD HST IG</v>
      </c>
      <c r="G12393" t="str">
        <f>"17-1733"</f>
        <v>17-1733</v>
      </c>
      <c r="H12393" t="str">
        <f>"B"</f>
        <v>B</v>
      </c>
    </row>
    <row r="12394" spans="1:8" x14ac:dyDescent="0.2">
      <c r="A12394" t="str">
        <f t="shared" si="4480"/>
        <v>0617033489</v>
      </c>
      <c r="B12394" t="str">
        <f t="shared" si="4481"/>
        <v>LYLA</v>
      </c>
      <c r="C12394" t="str">
        <f t="shared" si="4482"/>
        <v>NOTHHARD</v>
      </c>
      <c r="D12394" t="str">
        <f t="shared" si="4476"/>
        <v>09</v>
      </c>
      <c r="E12394" t="str">
        <f>"05 - B - 204 - Elizabeth R Walker"</f>
        <v>05 - B - 204 - Elizabeth R Walker</v>
      </c>
      <c r="F12394" t="str">
        <f>"AICE ENG GEN PAPER 1"</f>
        <v>AICE ENG GEN PAPER 1</v>
      </c>
      <c r="G12394" t="str">
        <f>"17-1703"</f>
        <v>17-1703</v>
      </c>
      <c r="H12394" t="str">
        <f>"B"</f>
        <v>B</v>
      </c>
    </row>
    <row r="12395" spans="1:8" x14ac:dyDescent="0.2">
      <c r="A12395" t="str">
        <f t="shared" si="4480"/>
        <v>0617033489</v>
      </c>
      <c r="B12395" t="str">
        <f t="shared" si="4481"/>
        <v>LYLA</v>
      </c>
      <c r="C12395" t="str">
        <f t="shared" si="4482"/>
        <v>NOTHHARD</v>
      </c>
      <c r="D12395" t="str">
        <f t="shared" si="4476"/>
        <v>09</v>
      </c>
      <c r="E12395" t="str">
        <f>"01 - A - 101 - Arthur  Kulawik"</f>
        <v>01 - A - 101 - Arthur  Kulawik</v>
      </c>
      <c r="F12395" t="str">
        <f>"DEBATE 1 LH"</f>
        <v>DEBATE 1 LH</v>
      </c>
      <c r="G12395" t="str">
        <f>"05-506"</f>
        <v>05-506</v>
      </c>
      <c r="H12395" t="str">
        <f>"A"</f>
        <v>A</v>
      </c>
    </row>
    <row r="12396" spans="1:8" x14ac:dyDescent="0.2">
      <c r="A12396" t="str">
        <f t="shared" si="4480"/>
        <v>0617033489</v>
      </c>
      <c r="B12396" t="str">
        <f t="shared" si="4481"/>
        <v>LYLA</v>
      </c>
      <c r="C12396" t="str">
        <f t="shared" si="4482"/>
        <v>NOTHHARD</v>
      </c>
      <c r="D12396" t="str">
        <f t="shared" si="4476"/>
        <v>09</v>
      </c>
      <c r="E12396" t="str">
        <f>"08 - B - 106 - Helen A Flores"</f>
        <v>08 - B - 106 - Helen A Flores</v>
      </c>
      <c r="F12396" t="str">
        <f>"ALGEBRA 1"</f>
        <v>ALGEBRA 1</v>
      </c>
      <c r="G12396" t="str">
        <f>"21-2101"</f>
        <v>21-2101</v>
      </c>
      <c r="H12396" t="str">
        <f>"B"</f>
        <v>B</v>
      </c>
    </row>
    <row r="12397" spans="1:8" x14ac:dyDescent="0.2">
      <c r="A12397" t="str">
        <f t="shared" ref="A12397:A12404" si="4483">"0625037141"</f>
        <v>0625037141</v>
      </c>
      <c r="B12397" t="str">
        <f t="shared" ref="B12397:B12404" si="4484">"Chris"</f>
        <v>Chris</v>
      </c>
      <c r="C12397" t="str">
        <f t="shared" ref="C12397:C12404" si="4485">"Notice"</f>
        <v>Notice</v>
      </c>
      <c r="D12397" t="str">
        <f t="shared" si="4476"/>
        <v>09</v>
      </c>
      <c r="E12397" t="str">
        <f>"04 - A - 005 - Emmily A Sarmiento"</f>
        <v>04 - A - 005 - Emmily A Sarmiento</v>
      </c>
      <c r="F12397" t="str">
        <f>"AICE GLBL PERSP 1 AS"</f>
        <v>AICE GLBL PERSP 1 AS</v>
      </c>
      <c r="G12397" t="str">
        <f>"17-1743"</f>
        <v>17-1743</v>
      </c>
      <c r="H12397" t="str">
        <f>"A"</f>
        <v>A</v>
      </c>
    </row>
    <row r="12398" spans="1:8" x14ac:dyDescent="0.2">
      <c r="A12398" t="str">
        <f t="shared" si="4483"/>
        <v>0625037141</v>
      </c>
      <c r="B12398" t="str">
        <f t="shared" si="4484"/>
        <v>Chris</v>
      </c>
      <c r="C12398" t="str">
        <f t="shared" si="4485"/>
        <v>Notice</v>
      </c>
      <c r="D12398" t="str">
        <f t="shared" si="4476"/>
        <v>09</v>
      </c>
      <c r="E12398" t="str">
        <f>"06 - B - 105 - Cheryl L Beach"</f>
        <v>06 - B - 105 - Cheryl L Beach</v>
      </c>
      <c r="F12398" t="str">
        <f>"AICE ENV MGMNT AS"</f>
        <v>AICE ENV MGMNT AS</v>
      </c>
      <c r="G12398" t="str">
        <f>"08-811"</f>
        <v>08-811</v>
      </c>
      <c r="H12398" t="str">
        <f>"B"</f>
        <v>B</v>
      </c>
    </row>
    <row r="12399" spans="1:8" x14ac:dyDescent="0.2">
      <c r="A12399" t="str">
        <f t="shared" si="4483"/>
        <v>0625037141</v>
      </c>
      <c r="B12399" t="str">
        <f t="shared" si="4484"/>
        <v>Chris</v>
      </c>
      <c r="C12399" t="str">
        <f t="shared" si="4485"/>
        <v>Notice</v>
      </c>
      <c r="D12399" t="str">
        <f t="shared" si="4476"/>
        <v>09</v>
      </c>
      <c r="E12399" t="str">
        <f>"03 - A - 103 - Adam Marcus  Drucker"</f>
        <v>03 - A - 103 - Adam Marcus  Drucker</v>
      </c>
      <c r="F12399" t="str">
        <f>"HOPE-PE V"</f>
        <v>HOPE-PE V</v>
      </c>
      <c r="G12399" t="str">
        <f>"04-254"</f>
        <v>04-254</v>
      </c>
      <c r="H12399" t="str">
        <f>"A"</f>
        <v>A</v>
      </c>
    </row>
    <row r="12400" spans="1:8" x14ac:dyDescent="0.2">
      <c r="A12400" t="str">
        <f t="shared" si="4483"/>
        <v>0625037141</v>
      </c>
      <c r="B12400" t="str">
        <f t="shared" si="4484"/>
        <v>Chris</v>
      </c>
      <c r="C12400" t="str">
        <f t="shared" si="4485"/>
        <v>Notice</v>
      </c>
      <c r="D12400" t="str">
        <f t="shared" si="4476"/>
        <v>09</v>
      </c>
      <c r="E12400" t="str">
        <f>"02 - A - 105 - Elizabeth R Walker"</f>
        <v>02 - A - 105 - Elizabeth R Walker</v>
      </c>
      <c r="F12400" t="str">
        <f>"NC STUDY HALL 1"</f>
        <v>NC STUDY HALL 1</v>
      </c>
      <c r="G12400" t="str">
        <f>"17-1703"</f>
        <v>17-1703</v>
      </c>
      <c r="H12400" t="str">
        <f>"A"</f>
        <v>A</v>
      </c>
    </row>
    <row r="12401" spans="1:8" x14ac:dyDescent="0.2">
      <c r="A12401" t="str">
        <f t="shared" si="4483"/>
        <v>0625037141</v>
      </c>
      <c r="B12401" t="str">
        <f t="shared" si="4484"/>
        <v>Chris</v>
      </c>
      <c r="C12401" t="str">
        <f t="shared" si="4485"/>
        <v>Notice</v>
      </c>
      <c r="D12401" t="str">
        <f t="shared" si="4476"/>
        <v>09</v>
      </c>
      <c r="E12401" t="str">
        <f>"07 - B - 001 - Cheryl Anne  Berman-Schechter"</f>
        <v>07 - B - 001 - Cheryl Anne  Berman-Schechter</v>
      </c>
      <c r="F12401" t="str">
        <f>"AICE ENG GEN PAPER 1"</f>
        <v>AICE ENG GEN PAPER 1</v>
      </c>
      <c r="G12401" t="str">
        <f>"17-1722"</f>
        <v>17-1722</v>
      </c>
      <c r="H12401" t="str">
        <f>"B"</f>
        <v>B</v>
      </c>
    </row>
    <row r="12402" spans="1:8" x14ac:dyDescent="0.2">
      <c r="A12402" t="str">
        <f t="shared" si="4483"/>
        <v>0625037141</v>
      </c>
      <c r="B12402" t="str">
        <f t="shared" si="4484"/>
        <v>Chris</v>
      </c>
      <c r="C12402" t="str">
        <f t="shared" si="4485"/>
        <v>Notice</v>
      </c>
      <c r="D12402" t="str">
        <f t="shared" si="4476"/>
        <v>09</v>
      </c>
      <c r="E12402" t="str">
        <f>"05 - B - 201 - Lisa J London"</f>
        <v>05 - B - 201 - Lisa J London</v>
      </c>
      <c r="F12402" t="str">
        <f>"COMPRE LAW HON"</f>
        <v>COMPRE LAW HON</v>
      </c>
      <c r="G12402" t="str">
        <f>"17-1714"</f>
        <v>17-1714</v>
      </c>
      <c r="H12402" t="str">
        <f>"B"</f>
        <v>B</v>
      </c>
    </row>
    <row r="12403" spans="1:8" x14ac:dyDescent="0.2">
      <c r="A12403" t="str">
        <f t="shared" si="4483"/>
        <v>0625037141</v>
      </c>
      <c r="B12403" t="str">
        <f t="shared" si="4484"/>
        <v>Chris</v>
      </c>
      <c r="C12403" t="str">
        <f t="shared" si="4485"/>
        <v>Notice</v>
      </c>
      <c r="D12403" t="str">
        <f t="shared" si="4476"/>
        <v>09</v>
      </c>
      <c r="E12403" t="str">
        <f>"01 - A - 101 - Joe  Kilpatrick Jr"</f>
        <v>01 - A - 101 - Joe  Kilpatrick Jr</v>
      </c>
      <c r="F12403" t="str">
        <f>"PRE-AICE SPAN 1 IG"</f>
        <v>PRE-AICE SPAN 1 IG</v>
      </c>
      <c r="G12403" t="str">
        <f>"09-912"</f>
        <v>09-912</v>
      </c>
      <c r="H12403" t="str">
        <f>"A"</f>
        <v>A</v>
      </c>
    </row>
    <row r="12404" spans="1:8" x14ac:dyDescent="0.2">
      <c r="A12404" t="str">
        <f t="shared" si="4483"/>
        <v>0625037141</v>
      </c>
      <c r="B12404" t="str">
        <f t="shared" si="4484"/>
        <v>Chris</v>
      </c>
      <c r="C12404" t="str">
        <f t="shared" si="4485"/>
        <v>Notice</v>
      </c>
      <c r="D12404" t="str">
        <f t="shared" si="4476"/>
        <v>09</v>
      </c>
      <c r="E12404" t="str">
        <f>"08 - B - 102 - Maried P Ramos"</f>
        <v>08 - B - 102 - Maried P Ramos</v>
      </c>
      <c r="F12404" t="str">
        <f>"ALGEBRA 2 HON"</f>
        <v>ALGEBRA 2 HON</v>
      </c>
      <c r="G12404" t="str">
        <f>"21-2159"</f>
        <v>21-2159</v>
      </c>
      <c r="H12404" t="str">
        <f>"B"</f>
        <v>B</v>
      </c>
    </row>
    <row r="12405" spans="1:8" x14ac:dyDescent="0.2">
      <c r="A12405" t="str">
        <f t="shared" ref="A12405:A12412" si="4486">"0617026198"</f>
        <v>0617026198</v>
      </c>
      <c r="B12405" t="str">
        <f t="shared" ref="B12405:B12412" si="4487">"BRIANA"</f>
        <v>BRIANA</v>
      </c>
      <c r="C12405" t="str">
        <f t="shared" ref="C12405:C12412" si="4488">"NOVO"</f>
        <v>NOVO</v>
      </c>
      <c r="D12405" t="str">
        <f t="shared" si="4476"/>
        <v>09</v>
      </c>
      <c r="E12405" t="str">
        <f>"04 - A - 102 - Josiah I Lacy"</f>
        <v>04 - A - 102 - Josiah I Lacy</v>
      </c>
      <c r="F12405" t="str">
        <f>"PRE-AICE BIO IG"</f>
        <v>PRE-AICE BIO IG</v>
      </c>
      <c r="G12405" t="str">
        <f>"08-801"</f>
        <v>08-801</v>
      </c>
      <c r="H12405" t="str">
        <f>"A"</f>
        <v>A</v>
      </c>
    </row>
    <row r="12406" spans="1:8" x14ac:dyDescent="0.2">
      <c r="A12406" t="str">
        <f t="shared" si="4486"/>
        <v>0617026198</v>
      </c>
      <c r="B12406" t="str">
        <f t="shared" si="4487"/>
        <v>BRIANA</v>
      </c>
      <c r="C12406" t="str">
        <f t="shared" si="4488"/>
        <v>NOVO</v>
      </c>
      <c r="D12406" t="str">
        <f t="shared" si="4476"/>
        <v>09</v>
      </c>
      <c r="E12406" t="str">
        <f>"06 - B - 104 - Eva T Rimmer"</f>
        <v>06 - B - 104 - Eva T Rimmer</v>
      </c>
      <c r="F12406" t="str">
        <f>"CRIMINAL JUST OPS 1"</f>
        <v>CRIMINAL JUST OPS 1</v>
      </c>
      <c r="G12406" t="str">
        <f>"05-523"</f>
        <v>05-523</v>
      </c>
      <c r="H12406" t="str">
        <f>"B"</f>
        <v>B</v>
      </c>
    </row>
    <row r="12407" spans="1:8" x14ac:dyDescent="0.2">
      <c r="A12407" t="str">
        <f t="shared" si="4486"/>
        <v>0617026198</v>
      </c>
      <c r="B12407" t="str">
        <f t="shared" si="4487"/>
        <v>BRIANA</v>
      </c>
      <c r="C12407" t="str">
        <f t="shared" si="4488"/>
        <v>NOVO</v>
      </c>
      <c r="D12407" t="str">
        <f t="shared" si="4476"/>
        <v>09</v>
      </c>
      <c r="E12407" t="str">
        <f>"03 - A - 101 - Helen A Flores"</f>
        <v>03 - A - 101 - Helen A Flores</v>
      </c>
      <c r="F12407" t="str">
        <f>"PRE-AICE MATH 1 IG"</f>
        <v>PRE-AICE MATH 1 IG</v>
      </c>
      <c r="G12407" t="str">
        <f>"21-2101"</f>
        <v>21-2101</v>
      </c>
      <c r="H12407" t="str">
        <f>"A"</f>
        <v>A</v>
      </c>
    </row>
    <row r="12408" spans="1:8" x14ac:dyDescent="0.2">
      <c r="A12408" t="str">
        <f t="shared" si="4486"/>
        <v>0617026198</v>
      </c>
      <c r="B12408" t="str">
        <f t="shared" si="4487"/>
        <v>BRIANA</v>
      </c>
      <c r="C12408" t="str">
        <f t="shared" si="4488"/>
        <v>NOVO</v>
      </c>
      <c r="D12408" t="str">
        <f t="shared" si="4476"/>
        <v>09</v>
      </c>
      <c r="E12408" t="str">
        <f>"02 - A - 103 - Arthur  Kulawik"</f>
        <v>02 - A - 103 - Arthur  Kulawik</v>
      </c>
      <c r="F12408" t="str">
        <f>"NC STUDY HALL 1"</f>
        <v>NC STUDY HALL 1</v>
      </c>
      <c r="G12408" t="str">
        <f>"05-506"</f>
        <v>05-506</v>
      </c>
      <c r="H12408" t="str">
        <f>"A"</f>
        <v>A</v>
      </c>
    </row>
    <row r="12409" spans="1:8" x14ac:dyDescent="0.2">
      <c r="A12409" t="str">
        <f t="shared" si="4486"/>
        <v>0617026198</v>
      </c>
      <c r="B12409" t="str">
        <f t="shared" si="4487"/>
        <v>BRIANA</v>
      </c>
      <c r="C12409" t="str">
        <f t="shared" si="4488"/>
        <v>NOVO</v>
      </c>
      <c r="D12409" t="str">
        <f t="shared" si="4476"/>
        <v>09</v>
      </c>
      <c r="E12409" t="str">
        <f>"07 - S1 - B - 103 - Leslie J Barton"</f>
        <v>07 - S1 - B - 103 - Leslie J Barton</v>
      </c>
      <c r="F12409" t="str">
        <f>"TEAM SPORTS 1"</f>
        <v>TEAM SPORTS 1</v>
      </c>
      <c r="G12409" t="str">
        <f>"04-254"</f>
        <v>04-254</v>
      </c>
      <c r="H12409" t="str">
        <f>"B"</f>
        <v>B</v>
      </c>
    </row>
    <row r="12410" spans="1:8" x14ac:dyDescent="0.2">
      <c r="A12410" t="str">
        <f t="shared" si="4486"/>
        <v>0617026198</v>
      </c>
      <c r="B12410" t="str">
        <f t="shared" si="4487"/>
        <v>BRIANA</v>
      </c>
      <c r="C12410" t="str">
        <f t="shared" si="4488"/>
        <v>NOVO</v>
      </c>
      <c r="D12410" t="str">
        <f t="shared" si="4476"/>
        <v>09</v>
      </c>
      <c r="E12410" t="str">
        <f>"05 - B - 104 - Joe  Kilpatrick Jr"</f>
        <v>05 - B - 104 - Joe  Kilpatrick Jr</v>
      </c>
      <c r="F12410" t="str">
        <f>"PRE-AICE SPAN 1 IG"</f>
        <v>PRE-AICE SPAN 1 IG</v>
      </c>
      <c r="G12410" t="str">
        <f>"09-912"</f>
        <v>09-912</v>
      </c>
      <c r="H12410" t="str">
        <f>"B"</f>
        <v>B</v>
      </c>
    </row>
    <row r="12411" spans="1:8" x14ac:dyDescent="0.2">
      <c r="A12411" t="str">
        <f t="shared" si="4486"/>
        <v>0617026198</v>
      </c>
      <c r="B12411" t="str">
        <f t="shared" si="4487"/>
        <v>BRIANA</v>
      </c>
      <c r="C12411" t="str">
        <f t="shared" si="4488"/>
        <v>NOVO</v>
      </c>
      <c r="D12411" t="str">
        <f t="shared" si="4476"/>
        <v>09</v>
      </c>
      <c r="E12411" t="str">
        <f>"01 - A - 101 - Elizabeth R Walker"</f>
        <v>01 - A - 101 - Elizabeth R Walker</v>
      </c>
      <c r="F12411" t="str">
        <f>"AICE ENG GEN PAPER 1"</f>
        <v>AICE ENG GEN PAPER 1</v>
      </c>
      <c r="G12411" t="str">
        <f>"17-1703"</f>
        <v>17-1703</v>
      </c>
      <c r="H12411" t="str">
        <f>"A"</f>
        <v>A</v>
      </c>
    </row>
    <row r="12412" spans="1:8" x14ac:dyDescent="0.2">
      <c r="A12412" t="str">
        <f t="shared" si="4486"/>
        <v>0617026198</v>
      </c>
      <c r="B12412" t="str">
        <f t="shared" si="4487"/>
        <v>BRIANA</v>
      </c>
      <c r="C12412" t="str">
        <f t="shared" si="4488"/>
        <v>NOVO</v>
      </c>
      <c r="D12412" t="str">
        <f t="shared" si="4476"/>
        <v>09</v>
      </c>
      <c r="E12412" t="str">
        <f>"08 - B - 109 - Rory T Sponsler"</f>
        <v>08 - B - 109 - Rory T Sponsler</v>
      </c>
      <c r="F12412" t="str">
        <f>"PRE-AICE WRLD HST IG"</f>
        <v>PRE-AICE WRLD HST IG</v>
      </c>
      <c r="G12412" t="str">
        <f>"17-1740"</f>
        <v>17-1740</v>
      </c>
      <c r="H12412" t="str">
        <f>"B"</f>
        <v>B</v>
      </c>
    </row>
    <row r="12413" spans="1:8" x14ac:dyDescent="0.2">
      <c r="A12413" t="str">
        <f t="shared" ref="A12413:A12420" si="4489">"0619029143"</f>
        <v>0619029143</v>
      </c>
      <c r="B12413" t="str">
        <f t="shared" ref="B12413:B12420" si="4490">"EVERLY"</f>
        <v>EVERLY</v>
      </c>
      <c r="C12413" t="str">
        <f t="shared" ref="C12413:C12420" si="4491">"NOWACKI"</f>
        <v>NOWACKI</v>
      </c>
      <c r="D12413">
        <f>10</f>
        <v>10</v>
      </c>
      <c r="E12413" t="str">
        <f>"04 - A - 203 - Cheryl L Beach"</f>
        <v>04 - A - 203 - Cheryl L Beach</v>
      </c>
      <c r="F12413" t="str">
        <f>"AICE ENV MGMNT AS"</f>
        <v>AICE ENV MGMNT AS</v>
      </c>
      <c r="G12413" t="str">
        <f>"08-811"</f>
        <v>08-811</v>
      </c>
      <c r="H12413" t="str">
        <f>"A"</f>
        <v>A</v>
      </c>
    </row>
    <row r="12414" spans="1:8" x14ac:dyDescent="0.2">
      <c r="A12414" t="str">
        <f t="shared" si="4489"/>
        <v>0619029143</v>
      </c>
      <c r="B12414" t="str">
        <f t="shared" si="4490"/>
        <v>EVERLY</v>
      </c>
      <c r="C12414" t="str">
        <f t="shared" si="4491"/>
        <v>NOWACKI</v>
      </c>
      <c r="D12414">
        <f>10</f>
        <v>10</v>
      </c>
      <c r="E12414" t="str">
        <f>"06 - B - 110 - Jerry S Jiampetti"</f>
        <v>06 - B - 110 - Jerry S Jiampetti</v>
      </c>
      <c r="F12414" t="str">
        <f>"NC STUDY HALL 1"</f>
        <v>NC STUDY HALL 1</v>
      </c>
      <c r="G12414" t="str">
        <f>"17-1751"</f>
        <v>17-1751</v>
      </c>
      <c r="H12414" t="str">
        <f>"B"</f>
        <v>B</v>
      </c>
    </row>
    <row r="12415" spans="1:8" x14ac:dyDescent="0.2">
      <c r="A12415" t="str">
        <f t="shared" si="4489"/>
        <v>0619029143</v>
      </c>
      <c r="B12415" t="str">
        <f t="shared" si="4490"/>
        <v>EVERLY</v>
      </c>
      <c r="C12415" t="str">
        <f t="shared" si="4491"/>
        <v>NOWACKI</v>
      </c>
      <c r="D12415">
        <f>10</f>
        <v>10</v>
      </c>
      <c r="E12415" t="str">
        <f>"03 - A - 101 - Samantha L Martinez"</f>
        <v>03 - A - 101 - Samantha L Martinez</v>
      </c>
      <c r="F12415" t="str">
        <f>"VOCAL ENS 1"</f>
        <v>VOCAL ENS 1</v>
      </c>
      <c r="G12415" t="str">
        <f>"05-505"</f>
        <v>05-505</v>
      </c>
      <c r="H12415" t="str">
        <f>"A"</f>
        <v>A</v>
      </c>
    </row>
    <row r="12416" spans="1:8" x14ac:dyDescent="0.2">
      <c r="A12416" t="str">
        <f t="shared" si="4489"/>
        <v>0619029143</v>
      </c>
      <c r="B12416" t="str">
        <f t="shared" si="4490"/>
        <v>EVERLY</v>
      </c>
      <c r="C12416" t="str">
        <f t="shared" si="4491"/>
        <v>NOWACKI</v>
      </c>
      <c r="D12416">
        <f>10</f>
        <v>10</v>
      </c>
      <c r="E12416" t="str">
        <f>"02 - A - 104 - Joe  Kilpatrick Jr"</f>
        <v>02 - A - 104 - Joe  Kilpatrick Jr</v>
      </c>
      <c r="F12416" t="str">
        <f>"PRE-AICE SPAN 2 IG"</f>
        <v>PRE-AICE SPAN 2 IG</v>
      </c>
      <c r="G12416" t="str">
        <f>"09-912"</f>
        <v>09-912</v>
      </c>
      <c r="H12416" t="str">
        <f>"A"</f>
        <v>A</v>
      </c>
    </row>
    <row r="12417" spans="1:8" x14ac:dyDescent="0.2">
      <c r="A12417" t="str">
        <f t="shared" si="4489"/>
        <v>0619029143</v>
      </c>
      <c r="B12417" t="str">
        <f t="shared" si="4490"/>
        <v>EVERLY</v>
      </c>
      <c r="C12417" t="str">
        <f t="shared" si="4491"/>
        <v>NOWACKI</v>
      </c>
      <c r="D12417">
        <f>10</f>
        <v>10</v>
      </c>
      <c r="E12417" t="str">
        <f>"07 - B - 102 - Lourivaldo  Da Silva"</f>
        <v>07 - B - 102 - Lourivaldo  Da Silva</v>
      </c>
      <c r="F12417" t="str">
        <f>"ALGEBRA 2 HON"</f>
        <v>ALGEBRA 2 HON</v>
      </c>
      <c r="G12417" t="str">
        <f>"20-2079"</f>
        <v>20-2079</v>
      </c>
      <c r="H12417" t="str">
        <f>"B"</f>
        <v>B</v>
      </c>
    </row>
    <row r="12418" spans="1:8" x14ac:dyDescent="0.2">
      <c r="A12418" t="str">
        <f t="shared" si="4489"/>
        <v>0619029143</v>
      </c>
      <c r="B12418" t="str">
        <f t="shared" si="4490"/>
        <v>EVERLY</v>
      </c>
      <c r="C12418" t="str">
        <f t="shared" si="4491"/>
        <v>NOWACKI</v>
      </c>
      <c r="D12418">
        <f>10</f>
        <v>10</v>
      </c>
      <c r="E12418" t="str">
        <f>"05 - B - 106 - Courtney E Hambright"</f>
        <v>05 - B - 106 - Courtney E Hambright</v>
      </c>
      <c r="F12418" t="str">
        <f>"AICE ENG LANG AS"</f>
        <v>AICE ENG LANG AS</v>
      </c>
      <c r="G12418" t="str">
        <f>"17-1711"</f>
        <v>17-1711</v>
      </c>
      <c r="H12418" t="str">
        <f>"B"</f>
        <v>B</v>
      </c>
    </row>
    <row r="12419" spans="1:8" x14ac:dyDescent="0.2">
      <c r="A12419" t="str">
        <f t="shared" si="4489"/>
        <v>0619029143</v>
      </c>
      <c r="B12419" t="str">
        <f t="shared" si="4490"/>
        <v>EVERLY</v>
      </c>
      <c r="C12419" t="str">
        <f t="shared" si="4491"/>
        <v>NOWACKI</v>
      </c>
      <c r="D12419">
        <f>10</f>
        <v>10</v>
      </c>
      <c r="E12419" t="str">
        <f>"01 - A - 002 - Krystal Marie  Beruty"</f>
        <v>01 - A - 002 - Krystal Marie  Beruty</v>
      </c>
      <c r="F12419" t="str">
        <f>"AICE GLBL PERSP 1 AS"</f>
        <v>AICE GLBL PERSP 1 AS</v>
      </c>
      <c r="G12419" t="str">
        <f>"17-1721"</f>
        <v>17-1721</v>
      </c>
      <c r="H12419" t="str">
        <f>"A"</f>
        <v>A</v>
      </c>
    </row>
    <row r="12420" spans="1:8" x14ac:dyDescent="0.2">
      <c r="A12420" t="str">
        <f t="shared" si="4489"/>
        <v>0619029143</v>
      </c>
      <c r="B12420" t="str">
        <f t="shared" si="4490"/>
        <v>EVERLY</v>
      </c>
      <c r="C12420" t="str">
        <f t="shared" si="4491"/>
        <v>NOWACKI</v>
      </c>
      <c r="D12420">
        <f>10</f>
        <v>10</v>
      </c>
      <c r="E12420" t="str">
        <f>"08 - B - 206 - Daniel S Katz"</f>
        <v>08 - B - 206 - Daniel S Katz</v>
      </c>
      <c r="F12420" t="str">
        <f>"AICE MEDIASTUDIES AS"</f>
        <v>AICE MEDIASTUDIES AS</v>
      </c>
      <c r="G12420" t="str">
        <f>"05-521"</f>
        <v>05-521</v>
      </c>
      <c r="H12420" t="str">
        <f>"B"</f>
        <v>B</v>
      </c>
    </row>
    <row r="12421" spans="1:8" x14ac:dyDescent="0.2">
      <c r="A12421" t="str">
        <f t="shared" ref="A12421:A12428" si="4492">"0624100008"</f>
        <v>0624100008</v>
      </c>
      <c r="B12421" t="str">
        <f t="shared" ref="B12421:B12428" si="4493">"LUCAS"</f>
        <v>LUCAS</v>
      </c>
      <c r="C12421" t="str">
        <f t="shared" ref="C12421:C12428" si="4494">"NUNES"</f>
        <v>NUNES</v>
      </c>
      <c r="D12421">
        <f>10</f>
        <v>10</v>
      </c>
      <c r="E12421" t="str">
        <f>"04 - A - 205 - Lytrell T Dixon"</f>
        <v>04 - A - 205 - Lytrell T Dixon</v>
      </c>
      <c r="F12421" t="str">
        <f>"BIOLOGY 1"</f>
        <v>BIOLOGY 1</v>
      </c>
      <c r="G12421" t="str">
        <f>"08-808"</f>
        <v>08-808</v>
      </c>
      <c r="H12421" t="str">
        <f>"A"</f>
        <v>A</v>
      </c>
    </row>
    <row r="12422" spans="1:8" x14ac:dyDescent="0.2">
      <c r="A12422" t="str">
        <f t="shared" si="4492"/>
        <v>0624100008</v>
      </c>
      <c r="B12422" t="str">
        <f t="shared" si="4493"/>
        <v>LUCAS</v>
      </c>
      <c r="C12422" t="str">
        <f t="shared" si="4494"/>
        <v>NUNES</v>
      </c>
      <c r="D12422">
        <f>10</f>
        <v>10</v>
      </c>
      <c r="E12422" t="str">
        <f>"06 - B - 108 - Jacklyn M James"</f>
        <v>06 - B - 108 - Jacklyn M James</v>
      </c>
      <c r="F12422" t="str">
        <f>"NC STUDY HALL 1"</f>
        <v>NC STUDY HALL 1</v>
      </c>
      <c r="G12422" t="str">
        <f>"17-1731"</f>
        <v>17-1731</v>
      </c>
      <c r="H12422" t="str">
        <f>"B"</f>
        <v>B</v>
      </c>
    </row>
    <row r="12423" spans="1:8" x14ac:dyDescent="0.2">
      <c r="A12423" t="str">
        <f t="shared" si="4492"/>
        <v>0624100008</v>
      </c>
      <c r="B12423" t="str">
        <f t="shared" si="4493"/>
        <v>LUCAS</v>
      </c>
      <c r="C12423" t="str">
        <f t="shared" si="4494"/>
        <v>NUNES</v>
      </c>
      <c r="D12423">
        <f>10</f>
        <v>10</v>
      </c>
      <c r="E12423" t="str">
        <f>"03 - A - 103 - Adam Marcus  Drucker"</f>
        <v>03 - A - 103 - Adam Marcus  Drucker</v>
      </c>
      <c r="F12423" t="str">
        <f>"HOPE-PE V"</f>
        <v>HOPE-PE V</v>
      </c>
      <c r="G12423" t="str">
        <f>"04-254"</f>
        <v>04-254</v>
      </c>
      <c r="H12423" t="str">
        <f>"A"</f>
        <v>A</v>
      </c>
    </row>
    <row r="12424" spans="1:8" x14ac:dyDescent="0.2">
      <c r="A12424" t="str">
        <f t="shared" si="4492"/>
        <v>0624100008</v>
      </c>
      <c r="B12424" t="str">
        <f t="shared" si="4493"/>
        <v>LUCAS</v>
      </c>
      <c r="C12424" t="str">
        <f t="shared" si="4494"/>
        <v>NUNES</v>
      </c>
      <c r="D12424">
        <f>10</f>
        <v>10</v>
      </c>
      <c r="E12424" t="str">
        <f>"02 - A - 102 - Nikiel  Nesbeth"</f>
        <v>02 - A - 102 - Nikiel  Nesbeth</v>
      </c>
      <c r="F12424" t="str">
        <f>"ENG 2"</f>
        <v>ENG 2</v>
      </c>
      <c r="G12424" t="str">
        <f>"17-1705"</f>
        <v>17-1705</v>
      </c>
      <c r="H12424" t="str">
        <f>"A"</f>
        <v>A</v>
      </c>
    </row>
    <row r="12425" spans="1:8" x14ac:dyDescent="0.2">
      <c r="A12425" t="str">
        <f t="shared" si="4492"/>
        <v>0624100008</v>
      </c>
      <c r="B12425" t="str">
        <f t="shared" si="4493"/>
        <v>LUCAS</v>
      </c>
      <c r="C12425" t="str">
        <f t="shared" si="4494"/>
        <v>NUNES</v>
      </c>
      <c r="D12425">
        <f>10</f>
        <v>10</v>
      </c>
      <c r="E12425" t="str">
        <f>"07 - B - 101 - Samantha L Martinez"</f>
        <v>07 - B - 101 - Samantha L Martinez</v>
      </c>
      <c r="F12425" t="str">
        <f>"KEYBD 1"</f>
        <v>KEYBD 1</v>
      </c>
      <c r="G12425" t="str">
        <f>"05-505"</f>
        <v>05-505</v>
      </c>
      <c r="H12425" t="str">
        <f>"B"</f>
        <v>B</v>
      </c>
    </row>
    <row r="12426" spans="1:8" x14ac:dyDescent="0.2">
      <c r="A12426" t="str">
        <f t="shared" si="4492"/>
        <v>0624100008</v>
      </c>
      <c r="B12426" t="str">
        <f t="shared" si="4493"/>
        <v>LUCAS</v>
      </c>
      <c r="C12426" t="str">
        <f t="shared" si="4494"/>
        <v>NUNES</v>
      </c>
      <c r="D12426">
        <f>10</f>
        <v>10</v>
      </c>
      <c r="E12426" t="str">
        <f>"05 - B - 103 - Brook E Goren"</f>
        <v>05 - B - 103 - Brook E Goren</v>
      </c>
      <c r="F12426" t="str">
        <f>"PRE-AICE MATH 2 IG"</f>
        <v>PRE-AICE MATH 2 IG</v>
      </c>
      <c r="G12426" t="str">
        <f>"21-2158"</f>
        <v>21-2158</v>
      </c>
      <c r="H12426" t="str">
        <f>"B"</f>
        <v>B</v>
      </c>
    </row>
    <row r="12427" spans="1:8" x14ac:dyDescent="0.2">
      <c r="A12427" t="str">
        <f t="shared" si="4492"/>
        <v>0624100008</v>
      </c>
      <c r="B12427" t="str">
        <f t="shared" si="4493"/>
        <v>LUCAS</v>
      </c>
      <c r="C12427" t="str">
        <f t="shared" si="4494"/>
        <v>NUNES</v>
      </c>
      <c r="D12427">
        <f>10</f>
        <v>10</v>
      </c>
      <c r="E12427" t="str">
        <f>"01 - A - 101 - Taraneh C Abreu"</f>
        <v>01 - A - 101 - Taraneh C Abreu</v>
      </c>
      <c r="F12427" t="str">
        <f>"INTENS READ 2"</f>
        <v>INTENS READ 2</v>
      </c>
      <c r="G12427" t="str">
        <f>"17-1713"</f>
        <v>17-1713</v>
      </c>
      <c r="H12427" t="str">
        <f>"A"</f>
        <v>A</v>
      </c>
    </row>
    <row r="12428" spans="1:8" x14ac:dyDescent="0.2">
      <c r="A12428" t="str">
        <f t="shared" si="4492"/>
        <v>0624100008</v>
      </c>
      <c r="B12428" t="str">
        <f t="shared" si="4493"/>
        <v>LUCAS</v>
      </c>
      <c r="C12428" t="str">
        <f t="shared" si="4494"/>
        <v>NUNES</v>
      </c>
      <c r="D12428">
        <f>10</f>
        <v>10</v>
      </c>
      <c r="E12428" t="str">
        <f>"08 - S1 - B - 001 - Carol S Moore"</f>
        <v>08 - S1 - B - 001 - Carol S Moore</v>
      </c>
      <c r="F12428" t="str">
        <f>"PER CAR SCH DEV 1 LH"</f>
        <v>PER CAR SCH DEV 1 LH</v>
      </c>
      <c r="G12428" t="str">
        <f>"17-1733"</f>
        <v>17-1733</v>
      </c>
      <c r="H12428" t="str">
        <f>"B"</f>
        <v>B</v>
      </c>
    </row>
    <row r="12429" spans="1:8" x14ac:dyDescent="0.2">
      <c r="A12429" t="str">
        <f t="shared" ref="A12429:A12436" si="4495">"0616016728"</f>
        <v>0616016728</v>
      </c>
      <c r="B12429" t="str">
        <f t="shared" ref="B12429:B12436" si="4496">"MADISSON"</f>
        <v>MADISSON</v>
      </c>
      <c r="C12429" t="str">
        <f t="shared" ref="C12429:C12436" si="4497">"NUNEZ"</f>
        <v>NUNEZ</v>
      </c>
      <c r="D12429">
        <f>10</f>
        <v>10</v>
      </c>
      <c r="E12429" t="str">
        <f>"04 - A - 101 - Chrystina M Marchionne"</f>
        <v>04 - A - 101 - Chrystina M Marchionne</v>
      </c>
      <c r="F12429" t="str">
        <f>"THEA CIN &amp; FILM LH"</f>
        <v>THEA CIN &amp; FILM LH</v>
      </c>
      <c r="G12429" t="str">
        <f>"05-520"</f>
        <v>05-520</v>
      </c>
      <c r="H12429" t="str">
        <f>"A"</f>
        <v>A</v>
      </c>
    </row>
    <row r="12430" spans="1:8" x14ac:dyDescent="0.2">
      <c r="A12430" t="str">
        <f t="shared" si="4495"/>
        <v>0616016728</v>
      </c>
      <c r="B12430" t="str">
        <f t="shared" si="4496"/>
        <v>MADISSON</v>
      </c>
      <c r="C12430" t="str">
        <f t="shared" si="4497"/>
        <v>NUNEZ</v>
      </c>
      <c r="D12430">
        <f>10</f>
        <v>10</v>
      </c>
      <c r="E12430" t="str">
        <f>"06 - B - 113 - Joe  Kilpatrick Jr"</f>
        <v>06 - B - 113 - Joe  Kilpatrick Jr</v>
      </c>
      <c r="F12430" t="str">
        <f>"NC STUDY HALL 1"</f>
        <v>NC STUDY HALL 1</v>
      </c>
      <c r="G12430" t="str">
        <f>"09-912"</f>
        <v>09-912</v>
      </c>
      <c r="H12430" t="str">
        <f>"B"</f>
        <v>B</v>
      </c>
    </row>
    <row r="12431" spans="1:8" x14ac:dyDescent="0.2">
      <c r="A12431" t="str">
        <f t="shared" si="4495"/>
        <v>0616016728</v>
      </c>
      <c r="B12431" t="str">
        <f t="shared" si="4496"/>
        <v>MADISSON</v>
      </c>
      <c r="C12431" t="str">
        <f t="shared" si="4497"/>
        <v>NUNEZ</v>
      </c>
      <c r="D12431">
        <f>10</f>
        <v>10</v>
      </c>
      <c r="E12431" t="str">
        <f>"03 - A - 002 - Brandy N Zdenek"</f>
        <v>03 - A - 002 - Brandy N Zdenek</v>
      </c>
      <c r="F12431" t="str">
        <f>"AICE ENG LANG AS"</f>
        <v>AICE ENG LANG AS</v>
      </c>
      <c r="G12431" t="str">
        <f>"17-1704"</f>
        <v>17-1704</v>
      </c>
      <c r="H12431" t="str">
        <f>"A"</f>
        <v>A</v>
      </c>
    </row>
    <row r="12432" spans="1:8" x14ac:dyDescent="0.2">
      <c r="A12432" t="str">
        <f t="shared" si="4495"/>
        <v>0616016728</v>
      </c>
      <c r="B12432" t="str">
        <f t="shared" si="4496"/>
        <v>MADISSON</v>
      </c>
      <c r="C12432" t="str">
        <f t="shared" si="4497"/>
        <v>NUNEZ</v>
      </c>
      <c r="D12432">
        <f>10</f>
        <v>10</v>
      </c>
      <c r="E12432" t="str">
        <f>"02 - A - 105 - Semra  Bahadir"</f>
        <v>02 - A - 105 - Semra  Bahadir</v>
      </c>
      <c r="F12432" t="str">
        <f>"ALGEBRA 2"</f>
        <v>ALGEBRA 2</v>
      </c>
      <c r="G12432" t="str">
        <f>"21-2107"</f>
        <v>21-2107</v>
      </c>
      <c r="H12432" t="str">
        <f>"A"</f>
        <v>A</v>
      </c>
    </row>
    <row r="12433" spans="1:8" x14ac:dyDescent="0.2">
      <c r="A12433" t="str">
        <f t="shared" si="4495"/>
        <v>0616016728</v>
      </c>
      <c r="B12433" t="str">
        <f t="shared" si="4496"/>
        <v>MADISSON</v>
      </c>
      <c r="C12433" t="str">
        <f t="shared" si="4497"/>
        <v>NUNEZ</v>
      </c>
      <c r="D12433">
        <f>10</f>
        <v>10</v>
      </c>
      <c r="E12433" t="str">
        <f>"07 - B - 204 - Elizabeth Ellen  Moran"</f>
        <v>07 - B - 204 - Elizabeth Ellen  Moran</v>
      </c>
      <c r="F12433" t="str">
        <f>"AICE EURO HIST 1 AS"</f>
        <v>AICE EURO HIST 1 AS</v>
      </c>
      <c r="G12433" t="str">
        <f>"17-1752"</f>
        <v>17-1752</v>
      </c>
      <c r="H12433" t="str">
        <f>"B"</f>
        <v>B</v>
      </c>
    </row>
    <row r="12434" spans="1:8" x14ac:dyDescent="0.2">
      <c r="A12434" t="str">
        <f t="shared" si="4495"/>
        <v>0616016728</v>
      </c>
      <c r="B12434" t="str">
        <f t="shared" si="4496"/>
        <v>MADISSON</v>
      </c>
      <c r="C12434" t="str">
        <f t="shared" si="4497"/>
        <v>NUNEZ</v>
      </c>
      <c r="D12434">
        <f>10</f>
        <v>10</v>
      </c>
      <c r="E12434" t="str">
        <f>"05 - B - 103 - Josiah I Lacy"</f>
        <v>05 - B - 103 - Josiah I Lacy</v>
      </c>
      <c r="F12434" t="str">
        <f>"PRE-AICE BIO IG"</f>
        <v>PRE-AICE BIO IG</v>
      </c>
      <c r="G12434" t="str">
        <f>"08-801"</f>
        <v>08-801</v>
      </c>
      <c r="H12434" t="str">
        <f>"B"</f>
        <v>B</v>
      </c>
    </row>
    <row r="12435" spans="1:8" x14ac:dyDescent="0.2">
      <c r="A12435" t="str">
        <f t="shared" si="4495"/>
        <v>0616016728</v>
      </c>
      <c r="B12435" t="str">
        <f t="shared" si="4496"/>
        <v>MADISSON</v>
      </c>
      <c r="C12435" t="str">
        <f t="shared" si="4497"/>
        <v>NUNEZ</v>
      </c>
      <c r="D12435">
        <f>10</f>
        <v>10</v>
      </c>
      <c r="E12435" t="str">
        <f>"01 - A - 101 - Arthur  Kulawik"</f>
        <v>01 - A - 101 - Arthur  Kulawik</v>
      </c>
      <c r="F12435" t="str">
        <f>"DEBATE 1 LH"</f>
        <v>DEBATE 1 LH</v>
      </c>
      <c r="G12435" t="str">
        <f>"05-506"</f>
        <v>05-506</v>
      </c>
      <c r="H12435" t="str">
        <f>"A"</f>
        <v>A</v>
      </c>
    </row>
    <row r="12436" spans="1:8" x14ac:dyDescent="0.2">
      <c r="A12436" t="str">
        <f t="shared" si="4495"/>
        <v>0616016728</v>
      </c>
      <c r="B12436" t="str">
        <f t="shared" si="4496"/>
        <v>MADISSON</v>
      </c>
      <c r="C12436" t="str">
        <f t="shared" si="4497"/>
        <v>NUNEZ</v>
      </c>
      <c r="D12436">
        <f>10</f>
        <v>10</v>
      </c>
      <c r="E12436" t="str">
        <f>"08 - B - 103 - Joe  Kilpatrick Jr"</f>
        <v>08 - B - 103 - Joe  Kilpatrick Jr</v>
      </c>
      <c r="F12436" t="str">
        <f>"PRE-AICE SPAN 2 IG"</f>
        <v>PRE-AICE SPAN 2 IG</v>
      </c>
      <c r="G12436" t="str">
        <f>"09-912"</f>
        <v>09-912</v>
      </c>
      <c r="H12436" t="str">
        <f>"B"</f>
        <v>B</v>
      </c>
    </row>
    <row r="12437" spans="1:8" x14ac:dyDescent="0.2">
      <c r="A12437" t="str">
        <f t="shared" ref="A12437:A12444" si="4498">"0617018139"</f>
        <v>0617018139</v>
      </c>
      <c r="B12437" t="str">
        <f t="shared" ref="B12437:B12444" si="4499">"EBUBECHUKWU"</f>
        <v>EBUBECHUKWU</v>
      </c>
      <c r="C12437" t="str">
        <f t="shared" ref="C12437:C12444" si="4500">"OBAZE"</f>
        <v>OBAZE</v>
      </c>
      <c r="D12437" t="str">
        <f t="shared" ref="D12437:D12444" si="4501">"09"</f>
        <v>09</v>
      </c>
      <c r="E12437" t="str">
        <f>"04 - A - 004 - Krystal Marie  Beruty"</f>
        <v>04 - A - 004 - Krystal Marie  Beruty</v>
      </c>
      <c r="F12437" t="str">
        <f>"AICE GLBL PERSP 1 AS"</f>
        <v>AICE GLBL PERSP 1 AS</v>
      </c>
      <c r="G12437" t="str">
        <f>"17-1721"</f>
        <v>17-1721</v>
      </c>
      <c r="H12437" t="str">
        <f>"A"</f>
        <v>A</v>
      </c>
    </row>
    <row r="12438" spans="1:8" x14ac:dyDescent="0.2">
      <c r="A12438" t="str">
        <f t="shared" si="4498"/>
        <v>0617018139</v>
      </c>
      <c r="B12438" t="str">
        <f t="shared" si="4499"/>
        <v>EBUBECHUKWU</v>
      </c>
      <c r="C12438" t="str">
        <f t="shared" si="4500"/>
        <v>OBAZE</v>
      </c>
      <c r="D12438" t="str">
        <f t="shared" si="4501"/>
        <v>09</v>
      </c>
      <c r="E12438" t="str">
        <f>"06 - S1 - B - 102 - Daniel S Katz"</f>
        <v>06 - S1 - B - 102 - Daniel S Katz</v>
      </c>
      <c r="F12438" t="str">
        <f>"COURT PROCED"</f>
        <v>COURT PROCED</v>
      </c>
      <c r="G12438" t="str">
        <f>"21-2156"</f>
        <v>21-2156</v>
      </c>
      <c r="H12438" t="str">
        <f>"B"</f>
        <v>B</v>
      </c>
    </row>
    <row r="12439" spans="1:8" x14ac:dyDescent="0.2">
      <c r="A12439" t="str">
        <f t="shared" si="4498"/>
        <v>0617018139</v>
      </c>
      <c r="B12439" t="str">
        <f t="shared" si="4499"/>
        <v>EBUBECHUKWU</v>
      </c>
      <c r="C12439" t="str">
        <f t="shared" si="4500"/>
        <v>OBAZE</v>
      </c>
      <c r="D12439" t="str">
        <f t="shared" si="4501"/>
        <v>09</v>
      </c>
      <c r="E12439" t="str">
        <f>"03 - A - 201 - Joe  Kilpatrick Jr"</f>
        <v>03 - A - 201 - Joe  Kilpatrick Jr</v>
      </c>
      <c r="F12439" t="str">
        <f>"PRE-AICE SPAN 2 IG"</f>
        <v>PRE-AICE SPAN 2 IG</v>
      </c>
      <c r="G12439" t="str">
        <f>"09-912"</f>
        <v>09-912</v>
      </c>
      <c r="H12439" t="str">
        <f>"A"</f>
        <v>A</v>
      </c>
    </row>
    <row r="12440" spans="1:8" x14ac:dyDescent="0.2">
      <c r="A12440" t="str">
        <f t="shared" si="4498"/>
        <v>0617018139</v>
      </c>
      <c r="B12440" t="str">
        <f t="shared" si="4499"/>
        <v>EBUBECHUKWU</v>
      </c>
      <c r="C12440" t="str">
        <f t="shared" si="4500"/>
        <v>OBAZE</v>
      </c>
      <c r="D12440" t="str">
        <f t="shared" si="4501"/>
        <v>09</v>
      </c>
      <c r="E12440" t="str">
        <f>"02 - A - 111 - Cheryl L Beach"</f>
        <v>02 - A - 111 - Cheryl L Beach</v>
      </c>
      <c r="F12440" t="str">
        <f>"NC STUDY HALL 1"</f>
        <v>NC STUDY HALL 1</v>
      </c>
      <c r="G12440" t="str">
        <f>"08-811"</f>
        <v>08-811</v>
      </c>
      <c r="H12440" t="str">
        <f>"A"</f>
        <v>A</v>
      </c>
    </row>
    <row r="12441" spans="1:8" x14ac:dyDescent="0.2">
      <c r="A12441" t="str">
        <f t="shared" si="4498"/>
        <v>0617018139</v>
      </c>
      <c r="B12441" t="str">
        <f t="shared" si="4499"/>
        <v>EBUBECHUKWU</v>
      </c>
      <c r="C12441" t="str">
        <f t="shared" si="4500"/>
        <v>OBAZE</v>
      </c>
      <c r="D12441" t="str">
        <f t="shared" si="4501"/>
        <v>09</v>
      </c>
      <c r="E12441" t="str">
        <f>"07 - B - 105 - Byron G Montenegro"</f>
        <v>07 - B - 105 - Byron G Montenegro</v>
      </c>
      <c r="F12441" t="str">
        <f>"AICE MARINE SCI 1 AS"</f>
        <v>AICE MARINE SCI 1 AS</v>
      </c>
      <c r="G12441" t="str">
        <f>"21-2144"</f>
        <v>21-2144</v>
      </c>
      <c r="H12441" t="str">
        <f>"B"</f>
        <v>B</v>
      </c>
    </row>
    <row r="12442" spans="1:8" x14ac:dyDescent="0.2">
      <c r="A12442" t="str">
        <f t="shared" si="4498"/>
        <v>0617018139</v>
      </c>
      <c r="B12442" t="str">
        <f t="shared" si="4499"/>
        <v>EBUBECHUKWU</v>
      </c>
      <c r="C12442" t="str">
        <f t="shared" si="4500"/>
        <v>OBAZE</v>
      </c>
      <c r="D12442" t="str">
        <f t="shared" si="4501"/>
        <v>09</v>
      </c>
      <c r="E12442" t="str">
        <f>"05 - B - 102 - Jeanne M Bermudez"</f>
        <v>05 - B - 102 - Jeanne M Bermudez</v>
      </c>
      <c r="F12442" t="str">
        <f>"ADVANCED IT HON"</f>
        <v>ADVANCED IT HON</v>
      </c>
      <c r="G12442" t="str">
        <f>"21-2141"</f>
        <v>21-2141</v>
      </c>
      <c r="H12442" t="str">
        <f>"B"</f>
        <v>B</v>
      </c>
    </row>
    <row r="12443" spans="1:8" x14ac:dyDescent="0.2">
      <c r="A12443" t="str">
        <f t="shared" si="4498"/>
        <v>0617018139</v>
      </c>
      <c r="B12443" t="str">
        <f t="shared" si="4499"/>
        <v>EBUBECHUKWU</v>
      </c>
      <c r="C12443" t="str">
        <f t="shared" si="4500"/>
        <v>OBAZE</v>
      </c>
      <c r="D12443" t="str">
        <f t="shared" si="4501"/>
        <v>09</v>
      </c>
      <c r="E12443" t="str">
        <f>"01 - A - 101 - Maried P Ramos"</f>
        <v>01 - A - 101 - Maried P Ramos</v>
      </c>
      <c r="F12443" t="str">
        <f>"ALGEBRA 2 HON"</f>
        <v>ALGEBRA 2 HON</v>
      </c>
      <c r="G12443" t="str">
        <f>"21-2159"</f>
        <v>21-2159</v>
      </c>
      <c r="H12443" t="str">
        <f>"A"</f>
        <v>A</v>
      </c>
    </row>
    <row r="12444" spans="1:8" x14ac:dyDescent="0.2">
      <c r="A12444" t="str">
        <f t="shared" si="4498"/>
        <v>0617018139</v>
      </c>
      <c r="B12444" t="str">
        <f t="shared" si="4499"/>
        <v>EBUBECHUKWU</v>
      </c>
      <c r="C12444" t="str">
        <f t="shared" si="4500"/>
        <v>OBAZE</v>
      </c>
      <c r="D12444" t="str">
        <f t="shared" si="4501"/>
        <v>09</v>
      </c>
      <c r="E12444" t="str">
        <f>"08 - B - 201 - Elizabeth R Walker"</f>
        <v>08 - B - 201 - Elizabeth R Walker</v>
      </c>
      <c r="F12444" t="str">
        <f>"AICE ENG GEN PAPER 1"</f>
        <v>AICE ENG GEN PAPER 1</v>
      </c>
      <c r="G12444" t="str">
        <f>"17-1703"</f>
        <v>17-1703</v>
      </c>
      <c r="H12444" t="str">
        <f>"B"</f>
        <v>B</v>
      </c>
    </row>
    <row r="12445" spans="1:8" x14ac:dyDescent="0.2">
      <c r="A12445" t="str">
        <f t="shared" ref="A12445:A12452" si="4502">"0613135491"</f>
        <v>0613135491</v>
      </c>
      <c r="B12445" t="str">
        <f t="shared" ref="B12445:B12452" si="4503">"DAEGAN"</f>
        <v>DAEGAN</v>
      </c>
      <c r="C12445" t="str">
        <f t="shared" ref="C12445:C12452" si="4504">"O`BRIEN"</f>
        <v>O`BRIEN</v>
      </c>
      <c r="D12445">
        <f>10</f>
        <v>10</v>
      </c>
      <c r="E12445" t="str">
        <f>"04 - A - 201 - Scott A Dethloff"</f>
        <v>04 - A - 201 - Scott A Dethloff</v>
      </c>
      <c r="F12445" t="str">
        <f>"AICE THINK SKLS 1 AS"</f>
        <v>AICE THINK SKLS 1 AS</v>
      </c>
      <c r="G12445" t="str">
        <f>"08-812"</f>
        <v>08-812</v>
      </c>
      <c r="H12445" t="str">
        <f>"A"</f>
        <v>A</v>
      </c>
    </row>
    <row r="12446" spans="1:8" x14ac:dyDescent="0.2">
      <c r="A12446" t="str">
        <f t="shared" si="4502"/>
        <v>0613135491</v>
      </c>
      <c r="B12446" t="str">
        <f t="shared" si="4503"/>
        <v>DAEGAN</v>
      </c>
      <c r="C12446" t="str">
        <f t="shared" si="4504"/>
        <v>O`BRIEN</v>
      </c>
      <c r="D12446">
        <f>10</f>
        <v>10</v>
      </c>
      <c r="E12446" t="str">
        <f>"06 - B - 114 - Richard E Dunbar Iii"</f>
        <v>06 - B - 114 - Richard E Dunbar Iii</v>
      </c>
      <c r="F12446" t="str">
        <f>"NC STUDY HALL 1"</f>
        <v>NC STUDY HALL 1</v>
      </c>
      <c r="G12446" t="str">
        <f>"17-1703"</f>
        <v>17-1703</v>
      </c>
      <c r="H12446" t="str">
        <f>"B"</f>
        <v>B</v>
      </c>
    </row>
    <row r="12447" spans="1:8" x14ac:dyDescent="0.2">
      <c r="A12447" t="str">
        <f t="shared" si="4502"/>
        <v>0613135491</v>
      </c>
      <c r="B12447" t="str">
        <f t="shared" si="4503"/>
        <v>DAEGAN</v>
      </c>
      <c r="C12447" t="str">
        <f t="shared" si="4504"/>
        <v>O`BRIEN</v>
      </c>
      <c r="D12447">
        <f>10</f>
        <v>10</v>
      </c>
      <c r="E12447" t="str">
        <f>"03 - A - 002 - Brandy N Zdenek"</f>
        <v>03 - A - 002 - Brandy N Zdenek</v>
      </c>
      <c r="F12447" t="str">
        <f>"AICE ENG LANG AS"</f>
        <v>AICE ENG LANG AS</v>
      </c>
      <c r="G12447" t="str">
        <f>"17-1704"</f>
        <v>17-1704</v>
      </c>
      <c r="H12447" t="str">
        <f>"A"</f>
        <v>A</v>
      </c>
    </row>
    <row r="12448" spans="1:8" x14ac:dyDescent="0.2">
      <c r="A12448" t="str">
        <f t="shared" si="4502"/>
        <v>0613135491</v>
      </c>
      <c r="B12448" t="str">
        <f t="shared" si="4503"/>
        <v>DAEGAN</v>
      </c>
      <c r="C12448" t="str">
        <f t="shared" si="4504"/>
        <v>O`BRIEN</v>
      </c>
      <c r="D12448">
        <f>10</f>
        <v>10</v>
      </c>
      <c r="E12448" t="str">
        <f>"02 - A - 102 - Chrystina M Marchionne"</f>
        <v>02 - A - 102 - Chrystina M Marchionne</v>
      </c>
      <c r="F12448" t="str">
        <f>"AICE MEDIASTUDIES AS"</f>
        <v>AICE MEDIASTUDIES AS</v>
      </c>
      <c r="G12448" t="str">
        <f>"05-520"</f>
        <v>05-520</v>
      </c>
      <c r="H12448" t="str">
        <f>"A"</f>
        <v>A</v>
      </c>
    </row>
    <row r="12449" spans="1:8" x14ac:dyDescent="0.2">
      <c r="A12449" t="str">
        <f t="shared" si="4502"/>
        <v>0613135491</v>
      </c>
      <c r="B12449" t="str">
        <f t="shared" si="4503"/>
        <v>DAEGAN</v>
      </c>
      <c r="C12449" t="str">
        <f t="shared" si="4504"/>
        <v>O`BRIEN</v>
      </c>
      <c r="D12449">
        <f>10</f>
        <v>10</v>
      </c>
      <c r="E12449" t="str">
        <f>"07 - B - 101 - Fernando  Vega-Cid"</f>
        <v>07 - B - 101 - Fernando  Vega-Cid</v>
      </c>
      <c r="F12449" t="str">
        <f>"AP PRECALCULUS"</f>
        <v>AP PRECALCULUS</v>
      </c>
      <c r="G12449" t="str">
        <f>"21-2163"</f>
        <v>21-2163</v>
      </c>
      <c r="H12449" t="str">
        <f>"B"</f>
        <v>B</v>
      </c>
    </row>
    <row r="12450" spans="1:8" x14ac:dyDescent="0.2">
      <c r="A12450" t="str">
        <f t="shared" si="4502"/>
        <v>0613135491</v>
      </c>
      <c r="B12450" t="str">
        <f t="shared" si="4503"/>
        <v>DAEGAN</v>
      </c>
      <c r="C12450" t="str">
        <f t="shared" si="4504"/>
        <v>O`BRIEN</v>
      </c>
      <c r="D12450">
        <f>10</f>
        <v>10</v>
      </c>
      <c r="E12450" t="str">
        <f>"05 - B - 108 - Valerie J Ruwe"</f>
        <v>05 - B - 108 - Valerie J Ruwe</v>
      </c>
      <c r="F12450" t="str">
        <f>"CHEMISTRY 1 HON"</f>
        <v>CHEMISTRY 1 HON</v>
      </c>
      <c r="G12450" t="str">
        <f>"21-2138"</f>
        <v>21-2138</v>
      </c>
      <c r="H12450" t="str">
        <f>"B"</f>
        <v>B</v>
      </c>
    </row>
    <row r="12451" spans="1:8" x14ac:dyDescent="0.2">
      <c r="A12451" t="str">
        <f t="shared" si="4502"/>
        <v>0613135491</v>
      </c>
      <c r="B12451" t="str">
        <f t="shared" si="4503"/>
        <v>DAEGAN</v>
      </c>
      <c r="C12451" t="str">
        <f t="shared" si="4504"/>
        <v>O`BRIEN</v>
      </c>
      <c r="D12451">
        <f>10</f>
        <v>10</v>
      </c>
      <c r="E12451" t="str">
        <f>"01 - A - 101 - Kelly N Panza"</f>
        <v>01 - A - 101 - Kelly N Panza</v>
      </c>
      <c r="F12451" t="str">
        <f>"AP HUMAN GEOG"</f>
        <v>AP HUMAN GEOG</v>
      </c>
      <c r="G12451" t="str">
        <f>"17-1753"</f>
        <v>17-1753</v>
      </c>
      <c r="H12451" t="str">
        <f>"A"</f>
        <v>A</v>
      </c>
    </row>
    <row r="12452" spans="1:8" x14ac:dyDescent="0.2">
      <c r="A12452" t="str">
        <f t="shared" si="4502"/>
        <v>0613135491</v>
      </c>
      <c r="B12452" t="str">
        <f t="shared" si="4503"/>
        <v>DAEGAN</v>
      </c>
      <c r="C12452" t="str">
        <f t="shared" si="4504"/>
        <v>O`BRIEN</v>
      </c>
      <c r="D12452">
        <f>10</f>
        <v>10</v>
      </c>
      <c r="E12452" t="str">
        <f>"08 - B - 101 - Jordana K Hass"</f>
        <v>08 - B - 101 - Jordana K Hass</v>
      </c>
      <c r="F12452" t="str">
        <f>"AICE INFO TECH 1 AS"</f>
        <v>AICE INFO TECH 1 AS</v>
      </c>
      <c r="G12452" t="str">
        <f>"08-807"</f>
        <v>08-807</v>
      </c>
      <c r="H12452" t="str">
        <f>"B"</f>
        <v>B</v>
      </c>
    </row>
    <row r="12453" spans="1:8" x14ac:dyDescent="0.2">
      <c r="A12453" t="str">
        <f t="shared" ref="A12453:A12460" si="4505">"0611129834"</f>
        <v>0611129834</v>
      </c>
      <c r="B12453" t="str">
        <f t="shared" ref="B12453:B12460" si="4506">"FINN"</f>
        <v>FINN</v>
      </c>
      <c r="C12453" t="str">
        <f t="shared" ref="C12453:C12468" si="4507">"O'BRIEN"</f>
        <v>O'BRIEN</v>
      </c>
      <c r="D12453">
        <f>12</f>
        <v>12</v>
      </c>
      <c r="E12453" t="str">
        <f>"04 - A - 202 - Daniel S Katz"</f>
        <v>04 - A - 202 - Daniel S Katz</v>
      </c>
      <c r="F12453" t="str">
        <f>"AICE DRAMA 2 A LEVEL"</f>
        <v>AICE DRAMA 2 A LEVEL</v>
      </c>
      <c r="G12453" t="str">
        <f>"05-521"</f>
        <v>05-521</v>
      </c>
      <c r="H12453" t="str">
        <f>"A"</f>
        <v>A</v>
      </c>
    </row>
    <row r="12454" spans="1:8" x14ac:dyDescent="0.2">
      <c r="A12454" t="str">
        <f t="shared" si="4505"/>
        <v>0611129834</v>
      </c>
      <c r="B12454" t="str">
        <f t="shared" si="4506"/>
        <v>FINN</v>
      </c>
      <c r="C12454" t="str">
        <f t="shared" si="4507"/>
        <v>O'BRIEN</v>
      </c>
      <c r="D12454">
        <f>12</f>
        <v>12</v>
      </c>
      <c r="E12454" t="str">
        <f>"06 - B - 111 - James H Mccann"</f>
        <v>06 - B - 111 - James H Mccann</v>
      </c>
      <c r="F12454" t="str">
        <f>"NC STUDY HALL 1"</f>
        <v>NC STUDY HALL 1</v>
      </c>
      <c r="G12454" t="str">
        <f>"17-1716"</f>
        <v>17-1716</v>
      </c>
      <c r="H12454" t="str">
        <f>"B"</f>
        <v>B</v>
      </c>
    </row>
    <row r="12455" spans="1:8" x14ac:dyDescent="0.2">
      <c r="A12455" t="str">
        <f t="shared" si="4505"/>
        <v>0611129834</v>
      </c>
      <c r="B12455" t="str">
        <f t="shared" si="4506"/>
        <v>FINN</v>
      </c>
      <c r="C12455" t="str">
        <f t="shared" si="4507"/>
        <v>O'BRIEN</v>
      </c>
      <c r="D12455">
        <f>12</f>
        <v>12</v>
      </c>
      <c r="E12455" t="str">
        <f>"03 - A - 101 - Carleigh R Carmichael"</f>
        <v>03 - A - 101 - Carleigh R Carmichael</v>
      </c>
      <c r="F12455" t="str">
        <f>"LEAD SKLS DEV LH"</f>
        <v>LEAD SKLS DEV LH</v>
      </c>
      <c r="G12455" t="str">
        <f>"20-2072"</f>
        <v>20-2072</v>
      </c>
      <c r="H12455" t="str">
        <f>"A"</f>
        <v>A</v>
      </c>
    </row>
    <row r="12456" spans="1:8" x14ac:dyDescent="0.2">
      <c r="A12456" t="str">
        <f t="shared" si="4505"/>
        <v>0611129834</v>
      </c>
      <c r="B12456" t="str">
        <f t="shared" si="4506"/>
        <v>FINN</v>
      </c>
      <c r="C12456" t="str">
        <f t="shared" si="4507"/>
        <v>O'BRIEN</v>
      </c>
      <c r="D12456">
        <f>12</f>
        <v>12</v>
      </c>
      <c r="E12456" t="str">
        <f>"02 - A - 201 - Jeanne M Bermudez"</f>
        <v>02 - A - 201 - Jeanne M Bermudez</v>
      </c>
      <c r="F12456" t="str">
        <f>"AP ENV SCI"</f>
        <v>AP ENV SCI</v>
      </c>
      <c r="G12456" t="str">
        <f>"21-2141"</f>
        <v>21-2141</v>
      </c>
      <c r="H12456" t="str">
        <f>"A"</f>
        <v>A</v>
      </c>
    </row>
    <row r="12457" spans="1:8" x14ac:dyDescent="0.2">
      <c r="A12457" t="str">
        <f t="shared" si="4505"/>
        <v>0611129834</v>
      </c>
      <c r="B12457" t="str">
        <f t="shared" si="4506"/>
        <v>FINN</v>
      </c>
      <c r="C12457" t="str">
        <f t="shared" si="4507"/>
        <v>O'BRIEN</v>
      </c>
      <c r="D12457">
        <f>12</f>
        <v>12</v>
      </c>
      <c r="E12457" t="str">
        <f>"07 - S1 - B - 101 - Stephen T Ripp"</f>
        <v>07 - S1 - B - 101 - Stephen T Ripp</v>
      </c>
      <c r="F12457" t="str">
        <f>"AP US GOVT/POL"</f>
        <v>AP US GOVT/POL</v>
      </c>
      <c r="G12457" t="str">
        <f>"17-1744"</f>
        <v>17-1744</v>
      </c>
      <c r="H12457" t="str">
        <f>"B"</f>
        <v>B</v>
      </c>
    </row>
    <row r="12458" spans="1:8" x14ac:dyDescent="0.2">
      <c r="A12458" t="str">
        <f t="shared" si="4505"/>
        <v>0611129834</v>
      </c>
      <c r="B12458" t="str">
        <f t="shared" si="4506"/>
        <v>FINN</v>
      </c>
      <c r="C12458" t="str">
        <f t="shared" si="4507"/>
        <v>O'BRIEN</v>
      </c>
      <c r="D12458">
        <f>12</f>
        <v>12</v>
      </c>
      <c r="E12458" t="str">
        <f>"05 - B - 101 - Angela S Adeshina-Morrison"</f>
        <v>05 - B - 101 - Angela S Adeshina-Morrison</v>
      </c>
      <c r="F12458" t="str">
        <f>"MKT MANAGEMENT LH"</f>
        <v>MKT MANAGEMENT LH</v>
      </c>
      <c r="G12458" t="str">
        <f>"05-518"</f>
        <v>05-518</v>
      </c>
      <c r="H12458" t="str">
        <f>"B"</f>
        <v>B</v>
      </c>
    </row>
    <row r="12459" spans="1:8" x14ac:dyDescent="0.2">
      <c r="A12459" t="str">
        <f t="shared" si="4505"/>
        <v>0611129834</v>
      </c>
      <c r="B12459" t="str">
        <f t="shared" si="4506"/>
        <v>FINN</v>
      </c>
      <c r="C12459" t="str">
        <f t="shared" si="4507"/>
        <v>O'BRIEN</v>
      </c>
      <c r="D12459">
        <f>12</f>
        <v>12</v>
      </c>
      <c r="E12459" t="str">
        <f>"01 - A - 204 - Tina M Jaramillo"</f>
        <v>01 - A - 204 - Tina M Jaramillo</v>
      </c>
      <c r="F12459" t="str">
        <f>"AP ENG LIT COMPO"</f>
        <v>AP ENG LIT COMPO</v>
      </c>
      <c r="G12459" t="str">
        <f>"17-1706"</f>
        <v>17-1706</v>
      </c>
      <c r="H12459" t="str">
        <f>"A"</f>
        <v>A</v>
      </c>
    </row>
    <row r="12460" spans="1:8" x14ac:dyDescent="0.2">
      <c r="A12460" t="str">
        <f t="shared" si="4505"/>
        <v>0611129834</v>
      </c>
      <c r="B12460" t="str">
        <f t="shared" si="4506"/>
        <v>FINN</v>
      </c>
      <c r="C12460" t="str">
        <f t="shared" si="4507"/>
        <v>O'BRIEN</v>
      </c>
      <c r="D12460">
        <f>12</f>
        <v>12</v>
      </c>
      <c r="E12460" t="str">
        <f>"08 - B - 107 - Taraneh C Abreu"</f>
        <v>08 - B - 107 - Taraneh C Abreu</v>
      </c>
      <c r="F12460" t="str">
        <f>"RESEARCH 1 LH"</f>
        <v>RESEARCH 1 LH</v>
      </c>
      <c r="G12460">
        <f>2041</f>
        <v>2041</v>
      </c>
      <c r="H12460" t="str">
        <f>"B"</f>
        <v>B</v>
      </c>
    </row>
    <row r="12461" spans="1:8" x14ac:dyDescent="0.2">
      <c r="A12461" t="str">
        <f t="shared" ref="A12461:A12468" si="4508">"0615086115"</f>
        <v>0615086115</v>
      </c>
      <c r="B12461" t="str">
        <f t="shared" ref="B12461:B12468" si="4509">"KAYLEN"</f>
        <v>KAYLEN</v>
      </c>
      <c r="C12461" t="str">
        <f t="shared" si="4507"/>
        <v>O'BRIEN</v>
      </c>
      <c r="D12461">
        <f>10</f>
        <v>10</v>
      </c>
      <c r="E12461" t="str">
        <f>"04 - A - 104 - Marius D Orsolini"</f>
        <v>04 - A - 104 - Marius D Orsolini</v>
      </c>
      <c r="F12461" t="str">
        <f>"CULINARY ARTS 1"</f>
        <v>CULINARY ARTS 1</v>
      </c>
      <c r="G12461" t="str">
        <f>"21-2115"</f>
        <v>21-2115</v>
      </c>
      <c r="H12461" t="str">
        <f>"A"</f>
        <v>A</v>
      </c>
    </row>
    <row r="12462" spans="1:8" x14ac:dyDescent="0.2">
      <c r="A12462" t="str">
        <f t="shared" si="4508"/>
        <v>0615086115</v>
      </c>
      <c r="B12462" t="str">
        <f t="shared" si="4509"/>
        <v>KAYLEN</v>
      </c>
      <c r="C12462" t="str">
        <f t="shared" si="4507"/>
        <v>O'BRIEN</v>
      </c>
      <c r="D12462">
        <f>10</f>
        <v>10</v>
      </c>
      <c r="E12462" t="str">
        <f>"06 - B - 107 - Dorothy D Moore"</f>
        <v>06 - B - 107 - Dorothy D Moore</v>
      </c>
      <c r="F12462" t="str">
        <f>"NC STUDY HALL 1"</f>
        <v>NC STUDY HALL 1</v>
      </c>
      <c r="G12462" t="str">
        <f>"08-803"</f>
        <v>08-803</v>
      </c>
      <c r="H12462" t="str">
        <f>"B"</f>
        <v>B</v>
      </c>
    </row>
    <row r="12463" spans="1:8" x14ac:dyDescent="0.2">
      <c r="A12463" t="str">
        <f t="shared" si="4508"/>
        <v>0615086115</v>
      </c>
      <c r="B12463" t="str">
        <f t="shared" si="4509"/>
        <v>KAYLEN</v>
      </c>
      <c r="C12463" t="str">
        <f t="shared" si="4507"/>
        <v>O'BRIEN</v>
      </c>
      <c r="D12463">
        <f>10</f>
        <v>10</v>
      </c>
      <c r="E12463" t="str">
        <f>"03 - A - 103 - Pamela M Corzo"</f>
        <v>03 - A - 103 - Pamela M Corzo</v>
      </c>
      <c r="F12463" t="str">
        <f>"ALGEBRA 2 HON"</f>
        <v>ALGEBRA 2 HON</v>
      </c>
      <c r="G12463" t="str">
        <f>"21-2133"</f>
        <v>21-2133</v>
      </c>
      <c r="H12463" t="str">
        <f>"A"</f>
        <v>A</v>
      </c>
    </row>
    <row r="12464" spans="1:8" x14ac:dyDescent="0.2">
      <c r="A12464" t="str">
        <f t="shared" si="4508"/>
        <v>0615086115</v>
      </c>
      <c r="B12464" t="str">
        <f t="shared" si="4509"/>
        <v>KAYLEN</v>
      </c>
      <c r="C12464" t="str">
        <f t="shared" si="4507"/>
        <v>O'BRIEN</v>
      </c>
      <c r="D12464">
        <f>10</f>
        <v>10</v>
      </c>
      <c r="E12464" t="str">
        <f>"02 - A - 101 - Brian M Fitzgerald"</f>
        <v>02 - A - 101 - Brian M Fitzgerald</v>
      </c>
      <c r="F12464" t="str">
        <f>"DRAW 1"</f>
        <v>DRAW 1</v>
      </c>
      <c r="G12464" t="str">
        <f>"09-908"</f>
        <v>09-908</v>
      </c>
      <c r="H12464" t="str">
        <f>"A"</f>
        <v>A</v>
      </c>
    </row>
    <row r="12465" spans="1:8" x14ac:dyDescent="0.2">
      <c r="A12465" t="str">
        <f t="shared" si="4508"/>
        <v>0615086115</v>
      </c>
      <c r="B12465" t="str">
        <f t="shared" si="4509"/>
        <v>KAYLEN</v>
      </c>
      <c r="C12465" t="str">
        <f t="shared" si="4507"/>
        <v>O'BRIEN</v>
      </c>
      <c r="D12465">
        <f>10</f>
        <v>10</v>
      </c>
      <c r="E12465" t="str">
        <f>"07 - B - 206 - Cheryl L Beach"</f>
        <v>07 - B - 206 - Cheryl L Beach</v>
      </c>
      <c r="F12465" t="str">
        <f>"AICE ENV MGMNT AS"</f>
        <v>AICE ENV MGMNT AS</v>
      </c>
      <c r="G12465" t="str">
        <f>"08-811"</f>
        <v>08-811</v>
      </c>
      <c r="H12465" t="str">
        <f>"B"</f>
        <v>B</v>
      </c>
    </row>
    <row r="12466" spans="1:8" x14ac:dyDescent="0.2">
      <c r="A12466" t="str">
        <f t="shared" si="4508"/>
        <v>0615086115</v>
      </c>
      <c r="B12466" t="str">
        <f t="shared" si="4509"/>
        <v>KAYLEN</v>
      </c>
      <c r="C12466" t="str">
        <f t="shared" si="4507"/>
        <v>O'BRIEN</v>
      </c>
      <c r="D12466">
        <f>10</f>
        <v>10</v>
      </c>
      <c r="E12466" t="str">
        <f>"05 - B - 003 - Krystal Marie  Beruty"</f>
        <v>05 - B - 003 - Krystal Marie  Beruty</v>
      </c>
      <c r="F12466" t="str">
        <f>"AICE GLBL PERSP 1 AS"</f>
        <v>AICE GLBL PERSP 1 AS</v>
      </c>
      <c r="G12466" t="str">
        <f>"17-1721"</f>
        <v>17-1721</v>
      </c>
      <c r="H12466" t="str">
        <f>"B"</f>
        <v>B</v>
      </c>
    </row>
    <row r="12467" spans="1:8" x14ac:dyDescent="0.2">
      <c r="A12467" t="str">
        <f t="shared" si="4508"/>
        <v>0615086115</v>
      </c>
      <c r="B12467" t="str">
        <f t="shared" si="4509"/>
        <v>KAYLEN</v>
      </c>
      <c r="C12467" t="str">
        <f t="shared" si="4507"/>
        <v>O'BRIEN</v>
      </c>
      <c r="D12467">
        <f>10</f>
        <v>10</v>
      </c>
      <c r="E12467" t="str">
        <f>"01 - S1 - A - 101 - Leslie J Barton"</f>
        <v>01 - S1 - A - 101 - Leslie J Barton</v>
      </c>
      <c r="F12467" t="str">
        <f>"FIRST AID SAFETY"</f>
        <v>FIRST AID SAFETY</v>
      </c>
      <c r="G12467" t="str">
        <f>"05-521"</f>
        <v>05-521</v>
      </c>
      <c r="H12467" t="str">
        <f>"A"</f>
        <v>A</v>
      </c>
    </row>
    <row r="12468" spans="1:8" x14ac:dyDescent="0.2">
      <c r="A12468" t="str">
        <f t="shared" si="4508"/>
        <v>0615086115</v>
      </c>
      <c r="B12468" t="str">
        <f t="shared" si="4509"/>
        <v>KAYLEN</v>
      </c>
      <c r="C12468" t="str">
        <f t="shared" si="4507"/>
        <v>O'BRIEN</v>
      </c>
      <c r="D12468">
        <f>10</f>
        <v>10</v>
      </c>
      <c r="E12468" t="str">
        <f>"08 - B - 001 - Jacklyn M James"</f>
        <v>08 - B - 001 - Jacklyn M James</v>
      </c>
      <c r="F12468" t="str">
        <f>"AICE ENG LANG AS"</f>
        <v>AICE ENG LANG AS</v>
      </c>
      <c r="G12468" t="str">
        <f>"17-1731"</f>
        <v>17-1731</v>
      </c>
      <c r="H12468" t="str">
        <f>"B"</f>
        <v>B</v>
      </c>
    </row>
    <row r="12469" spans="1:8" x14ac:dyDescent="0.2">
      <c r="A12469" t="str">
        <f t="shared" ref="A12469:A12476" si="4510">"0617032802"</f>
        <v>0617032802</v>
      </c>
      <c r="B12469" t="str">
        <f t="shared" ref="B12469:B12476" si="4511">"JOSEPH"</f>
        <v>JOSEPH</v>
      </c>
      <c r="C12469" t="str">
        <f t="shared" ref="C12469:C12476" si="4512">"OBRIG"</f>
        <v>OBRIG</v>
      </c>
      <c r="D12469" t="str">
        <f t="shared" ref="D12469:D12476" si="4513">"09"</f>
        <v>09</v>
      </c>
      <c r="E12469" t="str">
        <f>"04 - A - 104 - Brook E Goren"</f>
        <v>04 - A - 104 - Brook E Goren</v>
      </c>
      <c r="F12469" t="str">
        <f>"ALGEBRA 2 HON"</f>
        <v>ALGEBRA 2 HON</v>
      </c>
      <c r="G12469" t="str">
        <f>"21-2158"</f>
        <v>21-2158</v>
      </c>
      <c r="H12469" t="str">
        <f>"A"</f>
        <v>A</v>
      </c>
    </row>
    <row r="12470" spans="1:8" x14ac:dyDescent="0.2">
      <c r="A12470" t="str">
        <f t="shared" si="4510"/>
        <v>0617032802</v>
      </c>
      <c r="B12470" t="str">
        <f t="shared" si="4511"/>
        <v>JOSEPH</v>
      </c>
      <c r="C12470" t="str">
        <f t="shared" si="4512"/>
        <v>OBRIG</v>
      </c>
      <c r="D12470" t="str">
        <f t="shared" si="4513"/>
        <v>09</v>
      </c>
      <c r="E12470" t="str">
        <f>"06 - S1 - B - 102 - Daniel S Katz"</f>
        <v>06 - S1 - B - 102 - Daniel S Katz</v>
      </c>
      <c r="F12470" t="str">
        <f>"COURT PROCED"</f>
        <v>COURT PROCED</v>
      </c>
      <c r="G12470" t="str">
        <f>"21-2156"</f>
        <v>21-2156</v>
      </c>
      <c r="H12470" t="str">
        <f>"B"</f>
        <v>B</v>
      </c>
    </row>
    <row r="12471" spans="1:8" x14ac:dyDescent="0.2">
      <c r="A12471" t="str">
        <f t="shared" si="4510"/>
        <v>0617032802</v>
      </c>
      <c r="B12471" t="str">
        <f t="shared" si="4511"/>
        <v>JOSEPH</v>
      </c>
      <c r="C12471" t="str">
        <f t="shared" si="4512"/>
        <v>OBRIG</v>
      </c>
      <c r="D12471" t="str">
        <f t="shared" si="4513"/>
        <v>09</v>
      </c>
      <c r="E12471" t="str">
        <f>"03 - A - 202 - Cheryl L Beach"</f>
        <v>03 - A - 202 - Cheryl L Beach</v>
      </c>
      <c r="F12471" t="str">
        <f>"AICE ENV MGMNT AS"</f>
        <v>AICE ENV MGMNT AS</v>
      </c>
      <c r="G12471" t="str">
        <f>"08-811"</f>
        <v>08-811</v>
      </c>
      <c r="H12471" t="str">
        <f>"A"</f>
        <v>A</v>
      </c>
    </row>
    <row r="12472" spans="1:8" x14ac:dyDescent="0.2">
      <c r="A12472" t="str">
        <f t="shared" si="4510"/>
        <v>0617032802</v>
      </c>
      <c r="B12472" t="str">
        <f t="shared" si="4511"/>
        <v>JOSEPH</v>
      </c>
      <c r="C12472" t="str">
        <f t="shared" si="4512"/>
        <v>OBRIG</v>
      </c>
      <c r="D12472" t="str">
        <f t="shared" si="4513"/>
        <v>09</v>
      </c>
      <c r="E12472" t="str">
        <f>"02 - A - 110 - Maried P Ramos"</f>
        <v>02 - A - 110 - Maried P Ramos</v>
      </c>
      <c r="F12472" t="str">
        <f>"NC STUDY HALL 1"</f>
        <v>NC STUDY HALL 1</v>
      </c>
      <c r="G12472" t="str">
        <f>"21-2159"</f>
        <v>21-2159</v>
      </c>
      <c r="H12472" t="str">
        <f>"A"</f>
        <v>A</v>
      </c>
    </row>
    <row r="12473" spans="1:8" x14ac:dyDescent="0.2">
      <c r="A12473" t="str">
        <f t="shared" si="4510"/>
        <v>0617032802</v>
      </c>
      <c r="B12473" t="str">
        <f t="shared" si="4511"/>
        <v>JOSEPH</v>
      </c>
      <c r="C12473" t="str">
        <f t="shared" si="4512"/>
        <v>OBRIG</v>
      </c>
      <c r="D12473" t="str">
        <f t="shared" si="4513"/>
        <v>09</v>
      </c>
      <c r="E12473" t="str">
        <f>"07 - B - 001 - Cheryl Anne  Berman-Schechter"</f>
        <v>07 - B - 001 - Cheryl Anne  Berman-Schechter</v>
      </c>
      <c r="F12473" t="str">
        <f>"AICE ENG GEN PAPER 1"</f>
        <v>AICE ENG GEN PAPER 1</v>
      </c>
      <c r="G12473" t="str">
        <f>"17-1722"</f>
        <v>17-1722</v>
      </c>
      <c r="H12473" t="str">
        <f>"B"</f>
        <v>B</v>
      </c>
    </row>
    <row r="12474" spans="1:8" x14ac:dyDescent="0.2">
      <c r="A12474" t="str">
        <f t="shared" si="4510"/>
        <v>0617032802</v>
      </c>
      <c r="B12474" t="str">
        <f t="shared" si="4511"/>
        <v>JOSEPH</v>
      </c>
      <c r="C12474" t="str">
        <f t="shared" si="4512"/>
        <v>OBRIG</v>
      </c>
      <c r="D12474" t="str">
        <f t="shared" si="4513"/>
        <v>09</v>
      </c>
      <c r="E12474" t="str">
        <f>"05 - B - 105 - Adam Marcus  Drucker"</f>
        <v>05 - B - 105 - Adam Marcus  Drucker</v>
      </c>
      <c r="F12474" t="str">
        <f>"HOPE-PE V"</f>
        <v>HOPE-PE V</v>
      </c>
      <c r="G12474" t="str">
        <f>"04-254"</f>
        <v>04-254</v>
      </c>
      <c r="H12474" t="str">
        <f>"B"</f>
        <v>B</v>
      </c>
    </row>
    <row r="12475" spans="1:8" x14ac:dyDescent="0.2">
      <c r="A12475" t="str">
        <f t="shared" si="4510"/>
        <v>0617032802</v>
      </c>
      <c r="B12475" t="str">
        <f t="shared" si="4511"/>
        <v>JOSEPH</v>
      </c>
      <c r="C12475" t="str">
        <f t="shared" si="4512"/>
        <v>OBRIG</v>
      </c>
      <c r="D12475" t="str">
        <f t="shared" si="4513"/>
        <v>09</v>
      </c>
      <c r="E12475" t="str">
        <f>"01 - A - 006 - Emmily A Sarmiento"</f>
        <v>01 - A - 006 - Emmily A Sarmiento</v>
      </c>
      <c r="F12475" t="str">
        <f>"AICE GLBL PERSP 1 AS"</f>
        <v>AICE GLBL PERSP 1 AS</v>
      </c>
      <c r="G12475" t="str">
        <f>"17-1743"</f>
        <v>17-1743</v>
      </c>
      <c r="H12475" t="str">
        <f>"A"</f>
        <v>A</v>
      </c>
    </row>
    <row r="12476" spans="1:8" x14ac:dyDescent="0.2">
      <c r="A12476" t="str">
        <f t="shared" si="4510"/>
        <v>0617032802</v>
      </c>
      <c r="B12476" t="str">
        <f t="shared" si="4511"/>
        <v>JOSEPH</v>
      </c>
      <c r="C12476" t="str">
        <f t="shared" si="4512"/>
        <v>OBRIG</v>
      </c>
      <c r="D12476" t="str">
        <f t="shared" si="4513"/>
        <v>09</v>
      </c>
      <c r="E12476" t="str">
        <f>"08 - B - 103 - Jeanne M Bermudez"</f>
        <v>08 - B - 103 - Jeanne M Bermudez</v>
      </c>
      <c r="F12476" t="str">
        <f>"ADVANCED IT HON"</f>
        <v>ADVANCED IT HON</v>
      </c>
      <c r="G12476" t="str">
        <f>"21-2141"</f>
        <v>21-2141</v>
      </c>
      <c r="H12476" t="str">
        <f>"B"</f>
        <v>B</v>
      </c>
    </row>
    <row r="12477" spans="1:8" x14ac:dyDescent="0.2">
      <c r="A12477" t="str">
        <f t="shared" ref="A12477:A12484" si="4514">"0624066180"</f>
        <v>0624066180</v>
      </c>
      <c r="B12477" t="str">
        <f t="shared" ref="B12477:B12484" si="4515">"ANALIZ"</f>
        <v>ANALIZ</v>
      </c>
      <c r="C12477" t="str">
        <f t="shared" ref="C12477:C12484" si="4516">"OCAMPO"</f>
        <v>OCAMPO</v>
      </c>
      <c r="D12477">
        <f>11</f>
        <v>11</v>
      </c>
      <c r="E12477" t="str">
        <f>"04 - A - 101 - Rosa Elaine  Collado-Duff"</f>
        <v>04 - A - 101 - Rosa Elaine  Collado-Duff</v>
      </c>
      <c r="F12477" t="str">
        <f>"AICE SPAN LANG AS"</f>
        <v>AICE SPAN LANG AS</v>
      </c>
      <c r="G12477" t="str">
        <f>"09-913"</f>
        <v>09-913</v>
      </c>
      <c r="H12477" t="str">
        <f>"A"</f>
        <v>A</v>
      </c>
    </row>
    <row r="12478" spans="1:8" x14ac:dyDescent="0.2">
      <c r="A12478" t="str">
        <f t="shared" si="4514"/>
        <v>0624066180</v>
      </c>
      <c r="B12478" t="str">
        <f t="shared" si="4515"/>
        <v>ANALIZ</v>
      </c>
      <c r="C12478" t="str">
        <f t="shared" si="4516"/>
        <v>OCAMPO</v>
      </c>
      <c r="D12478">
        <f>11</f>
        <v>11</v>
      </c>
      <c r="E12478" t="str">
        <f>"06 - B - 108 - Milca  Exantus"</f>
        <v>06 - B - 108 - Milca  Exantus</v>
      </c>
      <c r="F12478" t="str">
        <f>"MATH COLLEGE LIB ART"</f>
        <v>MATH COLLEGE LIB ART</v>
      </c>
      <c r="G12478" t="str">
        <f>"21-2145"</f>
        <v>21-2145</v>
      </c>
      <c r="H12478" t="str">
        <f>"B"</f>
        <v>B</v>
      </c>
    </row>
    <row r="12479" spans="1:8" x14ac:dyDescent="0.2">
      <c r="A12479" t="str">
        <f t="shared" si="4514"/>
        <v>0624066180</v>
      </c>
      <c r="B12479" t="str">
        <f t="shared" si="4515"/>
        <v>ANALIZ</v>
      </c>
      <c r="C12479" t="str">
        <f t="shared" si="4516"/>
        <v>OCAMPO</v>
      </c>
      <c r="D12479">
        <f>11</f>
        <v>11</v>
      </c>
      <c r="E12479" t="str">
        <f>"03 - A - 102 - Lisa  Quinn"</f>
        <v>03 - A - 102 - Lisa  Quinn</v>
      </c>
      <c r="F12479" t="str">
        <f>"ENG 3"</f>
        <v>ENG 3</v>
      </c>
      <c r="G12479" t="str">
        <f>"17-1725"</f>
        <v>17-1725</v>
      </c>
      <c r="H12479" t="str">
        <f>"A"</f>
        <v>A</v>
      </c>
    </row>
    <row r="12480" spans="1:8" x14ac:dyDescent="0.2">
      <c r="A12480" t="str">
        <f t="shared" si="4514"/>
        <v>0624066180</v>
      </c>
      <c r="B12480" t="str">
        <f t="shared" si="4515"/>
        <v>ANALIZ</v>
      </c>
      <c r="C12480" t="str">
        <f t="shared" si="4516"/>
        <v>OCAMPO</v>
      </c>
      <c r="D12480">
        <f>11</f>
        <v>11</v>
      </c>
      <c r="E12480" t="str">
        <f>"02 - A - 112 - Brandy N Zdenek"</f>
        <v>02 - A - 112 - Brandy N Zdenek</v>
      </c>
      <c r="F12480" t="str">
        <f>"NC STUDY HALL 1"</f>
        <v>NC STUDY HALL 1</v>
      </c>
      <c r="G12480" t="str">
        <f>"17-1704"</f>
        <v>17-1704</v>
      </c>
      <c r="H12480" t="str">
        <f>"A"</f>
        <v>A</v>
      </c>
    </row>
    <row r="12481" spans="1:8" x14ac:dyDescent="0.2">
      <c r="A12481" t="str">
        <f t="shared" si="4514"/>
        <v>0624066180</v>
      </c>
      <c r="B12481" t="str">
        <f t="shared" si="4515"/>
        <v>ANALIZ</v>
      </c>
      <c r="C12481" t="str">
        <f t="shared" si="4516"/>
        <v>OCAMPO</v>
      </c>
      <c r="D12481">
        <f>11</f>
        <v>11</v>
      </c>
      <c r="E12481" t="str">
        <f>"07 - B - 104 - Marielle A Witting"</f>
        <v>07 - B - 104 - Marielle A Witting</v>
      </c>
      <c r="F12481" t="str">
        <f>"ANAT PHYSIO"</f>
        <v>ANAT PHYSIO</v>
      </c>
      <c r="G12481" t="str">
        <f>"08-805"</f>
        <v>08-805</v>
      </c>
      <c r="H12481" t="str">
        <f>"B"</f>
        <v>B</v>
      </c>
    </row>
    <row r="12482" spans="1:8" x14ac:dyDescent="0.2">
      <c r="A12482" t="str">
        <f t="shared" si="4514"/>
        <v>0624066180</v>
      </c>
      <c r="B12482" t="str">
        <f t="shared" si="4515"/>
        <v>ANALIZ</v>
      </c>
      <c r="C12482" t="str">
        <f t="shared" si="4516"/>
        <v>OCAMPO</v>
      </c>
      <c r="D12482">
        <f>11</f>
        <v>11</v>
      </c>
      <c r="E12482" t="str">
        <f>"05 - B - 101 - Angela S Adeshina-Morrison"</f>
        <v>05 - B - 101 - Angela S Adeshina-Morrison</v>
      </c>
      <c r="F12482" t="str">
        <f>"MKT APPLCTNS LH"</f>
        <v>MKT APPLCTNS LH</v>
      </c>
      <c r="G12482" t="str">
        <f>"05-518"</f>
        <v>05-518</v>
      </c>
      <c r="H12482" t="str">
        <f>"B"</f>
        <v>B</v>
      </c>
    </row>
    <row r="12483" spans="1:8" x14ac:dyDescent="0.2">
      <c r="A12483" t="str">
        <f t="shared" si="4514"/>
        <v>0624066180</v>
      </c>
      <c r="B12483" t="str">
        <f t="shared" si="4515"/>
        <v>ANALIZ</v>
      </c>
      <c r="C12483" t="str">
        <f t="shared" si="4516"/>
        <v>OCAMPO</v>
      </c>
      <c r="D12483">
        <f>11</f>
        <v>11</v>
      </c>
      <c r="E12483" t="str">
        <f>"01 - A - 101 - Kyle  Robbins"</f>
        <v>01 - A - 101 - Kyle  Robbins</v>
      </c>
      <c r="F12483" t="str">
        <f>"US HISTORY"</f>
        <v>US HISTORY</v>
      </c>
      <c r="G12483" t="str">
        <f>"17-1745"</f>
        <v>17-1745</v>
      </c>
      <c r="H12483" t="str">
        <f>"A"</f>
        <v>A</v>
      </c>
    </row>
    <row r="12484" spans="1:8" x14ac:dyDescent="0.2">
      <c r="A12484" t="str">
        <f t="shared" si="4514"/>
        <v>0624066180</v>
      </c>
      <c r="B12484" t="str">
        <f t="shared" si="4515"/>
        <v>ANALIZ</v>
      </c>
      <c r="C12484" t="str">
        <f t="shared" si="4516"/>
        <v>OCAMPO</v>
      </c>
      <c r="D12484">
        <f>11</f>
        <v>11</v>
      </c>
      <c r="E12484" t="str">
        <f>"08 - S1 - B - 001 - Carol S Moore"</f>
        <v>08 - S1 - B - 001 - Carol S Moore</v>
      </c>
      <c r="F12484" t="str">
        <f>"PER CAR SCH DEV 1 LH"</f>
        <v>PER CAR SCH DEV 1 LH</v>
      </c>
      <c r="G12484" t="str">
        <f>"17-1733"</f>
        <v>17-1733</v>
      </c>
      <c r="H12484" t="str">
        <f>"B"</f>
        <v>B</v>
      </c>
    </row>
    <row r="12485" spans="1:8" x14ac:dyDescent="0.2">
      <c r="A12485" t="str">
        <f t="shared" ref="A12485:A12492" si="4517">"0614032020"</f>
        <v>0614032020</v>
      </c>
      <c r="B12485" t="str">
        <f t="shared" ref="B12485:B12492" si="4518">"GABRIEL"</f>
        <v>GABRIEL</v>
      </c>
      <c r="C12485" t="str">
        <f t="shared" ref="C12485:C12492" si="4519">"OCHOA"</f>
        <v>OCHOA</v>
      </c>
      <c r="D12485">
        <f>12</f>
        <v>12</v>
      </c>
      <c r="E12485" t="str">
        <f>"04 - S1 - A - 106 - Kelly N Panza"</f>
        <v>04 - S1 - A - 106 - Kelly N Panza</v>
      </c>
      <c r="F12485" t="str">
        <f>"US GOVT HON"</f>
        <v>US GOVT HON</v>
      </c>
      <c r="G12485" t="str">
        <f>"17-1753"</f>
        <v>17-1753</v>
      </c>
      <c r="H12485" t="str">
        <f>"A"</f>
        <v>A</v>
      </c>
    </row>
    <row r="12486" spans="1:8" x14ac:dyDescent="0.2">
      <c r="A12486" t="str">
        <f t="shared" si="4517"/>
        <v>0614032020</v>
      </c>
      <c r="B12486" t="str">
        <f t="shared" si="4518"/>
        <v>GABRIEL</v>
      </c>
      <c r="C12486" t="str">
        <f t="shared" si="4519"/>
        <v>OCHOA</v>
      </c>
      <c r="D12486">
        <f>12</f>
        <v>12</v>
      </c>
      <c r="E12486" t="str">
        <f>"06 - B - 109 - Carol S Moore"</f>
        <v>06 - B - 109 - Carol S Moore</v>
      </c>
      <c r="F12486" t="str">
        <f>"NC STUDY HALL 1"</f>
        <v>NC STUDY HALL 1</v>
      </c>
      <c r="G12486" t="str">
        <f>"17-1733"</f>
        <v>17-1733</v>
      </c>
      <c r="H12486" t="str">
        <f>"B"</f>
        <v>B</v>
      </c>
    </row>
    <row r="12487" spans="1:8" x14ac:dyDescent="0.2">
      <c r="A12487" t="str">
        <f t="shared" si="4517"/>
        <v>0614032020</v>
      </c>
      <c r="B12487" t="str">
        <f t="shared" si="4518"/>
        <v>GABRIEL</v>
      </c>
      <c r="C12487" t="str">
        <f t="shared" si="4519"/>
        <v>OCHOA</v>
      </c>
      <c r="D12487">
        <f>12</f>
        <v>12</v>
      </c>
      <c r="E12487" t="str">
        <f>"03 - A - 101 - Dorothy D Moore"</f>
        <v>03 - A - 101 - Dorothy D Moore</v>
      </c>
      <c r="F12487" t="str">
        <f>"FORC SCI 1 LH"</f>
        <v>FORC SCI 1 LH</v>
      </c>
      <c r="G12487" t="str">
        <f>"08-803"</f>
        <v>08-803</v>
      </c>
      <c r="H12487" t="str">
        <f>"A"</f>
        <v>A</v>
      </c>
    </row>
    <row r="12488" spans="1:8" x14ac:dyDescent="0.2">
      <c r="A12488" t="str">
        <f t="shared" si="4517"/>
        <v>0614032020</v>
      </c>
      <c r="B12488" t="str">
        <f t="shared" si="4518"/>
        <v>GABRIEL</v>
      </c>
      <c r="C12488" t="str">
        <f t="shared" si="4519"/>
        <v>OCHOA</v>
      </c>
      <c r="D12488">
        <f>12</f>
        <v>12</v>
      </c>
      <c r="E12488" t="str">
        <f>"02 - S1 - A - 102 - Richard E Dunbar Iii"</f>
        <v>02 - S1 - A - 102 - Richard E Dunbar Iii</v>
      </c>
      <c r="F12488" t="str">
        <f>"WEIGHT TRAIN 3"</f>
        <v>WEIGHT TRAIN 3</v>
      </c>
      <c r="G12488" t="str">
        <f>"05-501"</f>
        <v>05-501</v>
      </c>
      <c r="H12488" t="str">
        <f>"A"</f>
        <v>A</v>
      </c>
    </row>
    <row r="12489" spans="1:8" x14ac:dyDescent="0.2">
      <c r="A12489" t="str">
        <f t="shared" si="4517"/>
        <v>0614032020</v>
      </c>
      <c r="B12489" t="str">
        <f t="shared" si="4518"/>
        <v>GABRIEL</v>
      </c>
      <c r="C12489" t="str">
        <f t="shared" si="4519"/>
        <v>OCHOA</v>
      </c>
      <c r="D12489">
        <f>12</f>
        <v>12</v>
      </c>
      <c r="E12489" t="str">
        <f>"07 - B - 102 - Thomas G Handwerg"</f>
        <v>07 - B - 102 - Thomas G Handwerg</v>
      </c>
      <c r="F12489" t="str">
        <f>"PROB STAT W/APPS HON"</f>
        <v>PROB STAT W/APPS HON</v>
      </c>
      <c r="G12489" t="str">
        <f>"21-2146"</f>
        <v>21-2146</v>
      </c>
      <c r="H12489" t="str">
        <f>"B"</f>
        <v>B</v>
      </c>
    </row>
    <row r="12490" spans="1:8" x14ac:dyDescent="0.2">
      <c r="A12490" t="str">
        <f t="shared" si="4517"/>
        <v>0614032020</v>
      </c>
      <c r="B12490" t="str">
        <f t="shared" si="4518"/>
        <v>GABRIEL</v>
      </c>
      <c r="C12490" t="str">
        <f t="shared" si="4519"/>
        <v>OCHOA</v>
      </c>
      <c r="D12490">
        <f>12</f>
        <v>12</v>
      </c>
      <c r="E12490" t="str">
        <f>"05 - B - 102 - Daniel S Katz"</f>
        <v>05 - B - 102 - Daniel S Katz</v>
      </c>
      <c r="F12490" t="str">
        <f>"EXEC INTERN 4 LH"</f>
        <v>EXEC INTERN 4 LH</v>
      </c>
      <c r="G12490" t="str">
        <f>"21-2156"</f>
        <v>21-2156</v>
      </c>
      <c r="H12490" t="str">
        <f>"B"</f>
        <v>B</v>
      </c>
    </row>
    <row r="12491" spans="1:8" x14ac:dyDescent="0.2">
      <c r="A12491" t="str">
        <f t="shared" si="4517"/>
        <v>0614032020</v>
      </c>
      <c r="B12491" t="str">
        <f t="shared" si="4518"/>
        <v>GABRIEL</v>
      </c>
      <c r="C12491" t="str">
        <f t="shared" si="4519"/>
        <v>OCHOA</v>
      </c>
      <c r="D12491">
        <f>12</f>
        <v>12</v>
      </c>
      <c r="E12491" t="str">
        <f>"01 - S1 - A - 101 - Jordana K Hass"</f>
        <v>01 - S1 - A - 101 - Jordana K Hass</v>
      </c>
      <c r="F12491" t="str">
        <f>"PRIN OF AERO SCI"</f>
        <v>PRIN OF AERO SCI</v>
      </c>
      <c r="G12491" t="str">
        <f>"08-807"</f>
        <v>08-807</v>
      </c>
      <c r="H12491" t="str">
        <f>"A"</f>
        <v>A</v>
      </c>
    </row>
    <row r="12492" spans="1:8" x14ac:dyDescent="0.2">
      <c r="A12492" t="str">
        <f t="shared" si="4517"/>
        <v>0614032020</v>
      </c>
      <c r="B12492" t="str">
        <f t="shared" si="4518"/>
        <v>GABRIEL</v>
      </c>
      <c r="C12492" t="str">
        <f t="shared" si="4519"/>
        <v>OCHOA</v>
      </c>
      <c r="D12492">
        <f>12</f>
        <v>12</v>
      </c>
      <c r="E12492" t="str">
        <f>"08 - B - 105 - Jeffrey S Gallagher"</f>
        <v>08 - B - 105 - Jeffrey S Gallagher</v>
      </c>
      <c r="F12492" t="str">
        <f>"ENG HON 4"</f>
        <v>ENG HON 4</v>
      </c>
      <c r="G12492" t="str">
        <f>"17-1724"</f>
        <v>17-1724</v>
      </c>
      <c r="H12492" t="str">
        <f>"B"</f>
        <v>B</v>
      </c>
    </row>
    <row r="12493" spans="1:8" x14ac:dyDescent="0.2">
      <c r="A12493" t="str">
        <f t="shared" ref="A12493:A12500" si="4520">"0613120961"</f>
        <v>0613120961</v>
      </c>
      <c r="B12493" t="str">
        <f t="shared" ref="B12493:B12500" si="4521">"DEAN"</f>
        <v>DEAN</v>
      </c>
      <c r="C12493" t="str">
        <f t="shared" ref="C12493:C12500" si="4522">"O'CONNOR"</f>
        <v>O'CONNOR</v>
      </c>
      <c r="D12493">
        <f>12</f>
        <v>12</v>
      </c>
      <c r="E12493" t="str">
        <f>"04 - S1 - A - 101 - Leslie J Barton"</f>
        <v>04 - S1 - A - 101 - Leslie J Barton</v>
      </c>
      <c r="F12493" t="str">
        <f>"TEAM SPORTS 1"</f>
        <v>TEAM SPORTS 1</v>
      </c>
      <c r="G12493" t="str">
        <f>"04-254"</f>
        <v>04-254</v>
      </c>
      <c r="H12493" t="str">
        <f>"A"</f>
        <v>A</v>
      </c>
    </row>
    <row r="12494" spans="1:8" x14ac:dyDescent="0.2">
      <c r="A12494" t="str">
        <f t="shared" si="4520"/>
        <v>0613120961</v>
      </c>
      <c r="B12494" t="str">
        <f t="shared" si="4521"/>
        <v>DEAN</v>
      </c>
      <c r="C12494" t="str">
        <f t="shared" si="4522"/>
        <v>O'CONNOR</v>
      </c>
      <c r="D12494">
        <f>12</f>
        <v>12</v>
      </c>
      <c r="E12494" t="str">
        <f>"06 - B - 114 - Lisa J London"</f>
        <v>06 - B - 114 - Lisa J London</v>
      </c>
      <c r="F12494" t="str">
        <f>"NC STUDY HALL 1"</f>
        <v>NC STUDY HALL 1</v>
      </c>
      <c r="G12494" t="str">
        <f>"17-1714"</f>
        <v>17-1714</v>
      </c>
      <c r="H12494" t="str">
        <f>"B"</f>
        <v>B</v>
      </c>
    </row>
    <row r="12495" spans="1:8" x14ac:dyDescent="0.2">
      <c r="A12495" t="str">
        <f t="shared" si="4520"/>
        <v>0613120961</v>
      </c>
      <c r="B12495" t="str">
        <f t="shared" si="4521"/>
        <v>DEAN</v>
      </c>
      <c r="C12495" t="str">
        <f t="shared" si="4522"/>
        <v>O'CONNOR</v>
      </c>
      <c r="D12495">
        <f>12</f>
        <v>12</v>
      </c>
      <c r="E12495" t="str">
        <f>"03 - S1 - A - 102 - Leslie J Barton"</f>
        <v>03 - S1 - A - 102 - Leslie J Barton</v>
      </c>
      <c r="F12495" t="str">
        <f>"FIRST AID SAFETY"</f>
        <v>FIRST AID SAFETY</v>
      </c>
      <c r="G12495" t="str">
        <f>"05-521"</f>
        <v>05-521</v>
      </c>
      <c r="H12495" t="str">
        <f>"A"</f>
        <v>A</v>
      </c>
    </row>
    <row r="12496" spans="1:8" x14ac:dyDescent="0.2">
      <c r="A12496" t="str">
        <f t="shared" si="4520"/>
        <v>0613120961</v>
      </c>
      <c r="B12496" t="str">
        <f t="shared" si="4521"/>
        <v>DEAN</v>
      </c>
      <c r="C12496" t="str">
        <f t="shared" si="4522"/>
        <v>O'CONNOR</v>
      </c>
      <c r="D12496">
        <f>12</f>
        <v>12</v>
      </c>
      <c r="E12496" t="str">
        <f>"02 - A - 101 - Robert H Rindner"</f>
        <v>02 - A - 101 - Robert H Rindner</v>
      </c>
      <c r="F12496" t="str">
        <f>"MATH DATA&amp;FIN LIT H"</f>
        <v>MATH DATA&amp;FIN LIT H</v>
      </c>
      <c r="G12496" t="str">
        <f>"21-2160"</f>
        <v>21-2160</v>
      </c>
      <c r="H12496" t="str">
        <f>"A"</f>
        <v>A</v>
      </c>
    </row>
    <row r="12497" spans="1:8" x14ac:dyDescent="0.2">
      <c r="A12497" t="str">
        <f t="shared" si="4520"/>
        <v>0613120961</v>
      </c>
      <c r="B12497" t="str">
        <f t="shared" si="4521"/>
        <v>DEAN</v>
      </c>
      <c r="C12497" t="str">
        <f t="shared" si="4522"/>
        <v>O'CONNOR</v>
      </c>
      <c r="D12497">
        <f>12</f>
        <v>12</v>
      </c>
      <c r="E12497" t="str">
        <f>"07 - B - 202 - Chrystina M Marchionne"</f>
        <v>07 - B - 202 - Chrystina M Marchionne</v>
      </c>
      <c r="F12497" t="str">
        <f>"JOURN 1 (YB) LH"</f>
        <v>JOURN 1 (YB) LH</v>
      </c>
      <c r="G12497" t="str">
        <f>"05-520"</f>
        <v>05-520</v>
      </c>
      <c r="H12497" t="str">
        <f>"B"</f>
        <v>B</v>
      </c>
    </row>
    <row r="12498" spans="1:8" x14ac:dyDescent="0.2">
      <c r="A12498" t="str">
        <f t="shared" si="4520"/>
        <v>0613120961</v>
      </c>
      <c r="B12498" t="str">
        <f t="shared" si="4521"/>
        <v>DEAN</v>
      </c>
      <c r="C12498" t="str">
        <f t="shared" si="4522"/>
        <v>O'CONNOR</v>
      </c>
      <c r="D12498">
        <f>12</f>
        <v>12</v>
      </c>
      <c r="E12498" t="str">
        <f>"05 - B - 102 - Robyn L Trainer"</f>
        <v>05 - B - 102 - Robyn L Trainer</v>
      </c>
      <c r="F12498" t="str">
        <f>"ENG 4"</f>
        <v>ENG 4</v>
      </c>
      <c r="G12498" t="str">
        <f>"17-1734"</f>
        <v>17-1734</v>
      </c>
      <c r="H12498" t="str">
        <f>"B"</f>
        <v>B</v>
      </c>
    </row>
    <row r="12499" spans="1:8" x14ac:dyDescent="0.2">
      <c r="A12499" t="str">
        <f t="shared" si="4520"/>
        <v>0613120961</v>
      </c>
      <c r="B12499" t="str">
        <f t="shared" si="4521"/>
        <v>DEAN</v>
      </c>
      <c r="C12499" t="str">
        <f t="shared" si="4522"/>
        <v>O'CONNOR</v>
      </c>
      <c r="D12499">
        <f>12</f>
        <v>12</v>
      </c>
      <c r="E12499" t="str">
        <f>"01 - S1 - A - 101 - Robert O Burger"</f>
        <v>01 - S1 - A - 101 - Robert O Burger</v>
      </c>
      <c r="F12499" t="str">
        <f>"US GOVT"</f>
        <v>US GOVT</v>
      </c>
      <c r="G12499" t="str">
        <f>"17-1755"</f>
        <v>17-1755</v>
      </c>
      <c r="H12499" t="str">
        <f>"A"</f>
        <v>A</v>
      </c>
    </row>
    <row r="12500" spans="1:8" x14ac:dyDescent="0.2">
      <c r="A12500" t="str">
        <f t="shared" si="4520"/>
        <v>0613120961</v>
      </c>
      <c r="B12500" t="str">
        <f t="shared" si="4521"/>
        <v>DEAN</v>
      </c>
      <c r="C12500" t="str">
        <f t="shared" si="4522"/>
        <v>O'CONNOR</v>
      </c>
      <c r="D12500">
        <f>12</f>
        <v>12</v>
      </c>
      <c r="E12500" t="str">
        <f>"08 - B - 205 - Daniel S Tyson"</f>
        <v>08 - B - 205 - Daniel S Tyson</v>
      </c>
      <c r="F12500" t="str">
        <f>"JROTC NAVAL SCI 3"</f>
        <v>JROTC NAVAL SCI 3</v>
      </c>
      <c r="G12500" t="str">
        <f>"05-510"</f>
        <v>05-510</v>
      </c>
      <c r="H12500" t="str">
        <f>"B"</f>
        <v>B</v>
      </c>
    </row>
    <row r="12501" spans="1:8" x14ac:dyDescent="0.2">
      <c r="A12501" t="str">
        <f t="shared" ref="A12501:A12508" si="4523">"0614024096"</f>
        <v>0614024096</v>
      </c>
      <c r="B12501" t="str">
        <f t="shared" ref="B12501:B12508" si="4524">"LYNSKI"</f>
        <v>LYNSKI</v>
      </c>
      <c r="C12501" t="str">
        <f t="shared" ref="C12501:C12508" si="4525">"OCTEUS"</f>
        <v>OCTEUS</v>
      </c>
      <c r="D12501">
        <f>11</f>
        <v>11</v>
      </c>
      <c r="E12501" t="str">
        <f>"04 - A - 201 - Alejandro  Navarro"</f>
        <v>04 - A - 201 - Alejandro  Navarro</v>
      </c>
      <c r="F12501" t="str">
        <f>"BAND 4"</f>
        <v>BAND 4</v>
      </c>
      <c r="G12501" t="str">
        <f>"05-504"</f>
        <v>05-504</v>
      </c>
      <c r="H12501" t="str">
        <f>"A"</f>
        <v>A</v>
      </c>
    </row>
    <row r="12502" spans="1:8" x14ac:dyDescent="0.2">
      <c r="A12502" t="str">
        <f t="shared" si="4523"/>
        <v>0614024096</v>
      </c>
      <c r="B12502" t="str">
        <f t="shared" si="4524"/>
        <v>LYNSKI</v>
      </c>
      <c r="C12502" t="str">
        <f t="shared" si="4525"/>
        <v>OCTEUS</v>
      </c>
      <c r="D12502">
        <f>11</f>
        <v>11</v>
      </c>
      <c r="E12502" t="str">
        <f>"06 - B - 202 - Brian M Fitzgerald"</f>
        <v>06 - B - 202 - Brian M Fitzgerald</v>
      </c>
      <c r="F12502" t="str">
        <f>"DRAW 1"</f>
        <v>DRAW 1</v>
      </c>
      <c r="G12502" t="str">
        <f>"09-908"</f>
        <v>09-908</v>
      </c>
      <c r="H12502" t="str">
        <f>"B"</f>
        <v>B</v>
      </c>
    </row>
    <row r="12503" spans="1:8" x14ac:dyDescent="0.2">
      <c r="A12503" t="str">
        <f t="shared" si="4523"/>
        <v>0614024096</v>
      </c>
      <c r="B12503" t="str">
        <f t="shared" si="4524"/>
        <v>LYNSKI</v>
      </c>
      <c r="C12503" t="str">
        <f t="shared" si="4525"/>
        <v>OCTEUS</v>
      </c>
      <c r="D12503">
        <f>11</f>
        <v>11</v>
      </c>
      <c r="E12503" t="str">
        <f>"03 - A - 002 - Ferrie J Arostique"</f>
        <v>03 - A - 002 - Ferrie J Arostique</v>
      </c>
      <c r="F12503" t="str">
        <f>"GEOMETRY"</f>
        <v>GEOMETRY</v>
      </c>
      <c r="G12503" t="str">
        <f>"21-2139"</f>
        <v>21-2139</v>
      </c>
      <c r="H12503" t="str">
        <f>"A"</f>
        <v>A</v>
      </c>
    </row>
    <row r="12504" spans="1:8" x14ac:dyDescent="0.2">
      <c r="A12504" t="str">
        <f t="shared" si="4523"/>
        <v>0614024096</v>
      </c>
      <c r="B12504" t="str">
        <f t="shared" si="4524"/>
        <v>LYNSKI</v>
      </c>
      <c r="C12504" t="str">
        <f t="shared" si="4525"/>
        <v>OCTEUS</v>
      </c>
      <c r="D12504">
        <f>11</f>
        <v>11</v>
      </c>
      <c r="E12504" t="str">
        <f>"02 - A - 117 - Kyle  Robbins"</f>
        <v>02 - A - 117 - Kyle  Robbins</v>
      </c>
      <c r="F12504" t="str">
        <f>"NC STUDY HALL 1"</f>
        <v>NC STUDY HALL 1</v>
      </c>
      <c r="G12504" t="str">
        <f>"17-1745"</f>
        <v>17-1745</v>
      </c>
      <c r="H12504" t="str">
        <f>"A"</f>
        <v>A</v>
      </c>
    </row>
    <row r="12505" spans="1:8" x14ac:dyDescent="0.2">
      <c r="A12505" t="str">
        <f t="shared" si="4523"/>
        <v>0614024096</v>
      </c>
      <c r="B12505" t="str">
        <f t="shared" si="4524"/>
        <v>LYNSKI</v>
      </c>
      <c r="C12505" t="str">
        <f t="shared" si="4525"/>
        <v>OCTEUS</v>
      </c>
      <c r="D12505">
        <f>11</f>
        <v>11</v>
      </c>
      <c r="E12505" t="str">
        <f>"07 - B - 105 - Cliffon  Saurel"</f>
        <v>07 - B - 105 - Cliffon  Saurel</v>
      </c>
      <c r="F12505" t="str">
        <f>"PHYSICAL SCI"</f>
        <v>PHYSICAL SCI</v>
      </c>
      <c r="G12505" t="str">
        <f>"05-522"</f>
        <v>05-522</v>
      </c>
      <c r="H12505" t="str">
        <f>"B"</f>
        <v>B</v>
      </c>
    </row>
    <row r="12506" spans="1:8" x14ac:dyDescent="0.2">
      <c r="A12506" t="str">
        <f t="shared" si="4523"/>
        <v>0614024096</v>
      </c>
      <c r="B12506" t="str">
        <f t="shared" si="4524"/>
        <v>LYNSKI</v>
      </c>
      <c r="C12506" t="str">
        <f t="shared" si="4525"/>
        <v>OCTEUS</v>
      </c>
      <c r="D12506">
        <f>11</f>
        <v>11</v>
      </c>
      <c r="E12506" t="str">
        <f>"05 - B - 105 - Adam Marcus  Drucker"</f>
        <v>05 - B - 105 - Adam Marcus  Drucker</v>
      </c>
      <c r="F12506" t="str">
        <f>"HOPE-PE V"</f>
        <v>HOPE-PE V</v>
      </c>
      <c r="G12506" t="str">
        <f>"04-254"</f>
        <v>04-254</v>
      </c>
      <c r="H12506" t="str">
        <f>"B"</f>
        <v>B</v>
      </c>
    </row>
    <row r="12507" spans="1:8" x14ac:dyDescent="0.2">
      <c r="A12507" t="str">
        <f t="shared" si="4523"/>
        <v>0614024096</v>
      </c>
      <c r="B12507" t="str">
        <f t="shared" si="4524"/>
        <v>LYNSKI</v>
      </c>
      <c r="C12507" t="str">
        <f t="shared" si="4525"/>
        <v>OCTEUS</v>
      </c>
      <c r="D12507">
        <f>11</f>
        <v>11</v>
      </c>
      <c r="E12507" t="str">
        <f>"01 - A - 101 - Kyle  Robbins"</f>
        <v>01 - A - 101 - Kyle  Robbins</v>
      </c>
      <c r="F12507" t="str">
        <f>"US HISTORY"</f>
        <v>US HISTORY</v>
      </c>
      <c r="G12507" t="str">
        <f>"17-1745"</f>
        <v>17-1745</v>
      </c>
      <c r="H12507" t="str">
        <f>"A"</f>
        <v>A</v>
      </c>
    </row>
    <row r="12508" spans="1:8" x14ac:dyDescent="0.2">
      <c r="A12508" t="str">
        <f t="shared" si="4523"/>
        <v>0614024096</v>
      </c>
      <c r="B12508" t="str">
        <f t="shared" si="4524"/>
        <v>LYNSKI</v>
      </c>
      <c r="C12508" t="str">
        <f t="shared" si="4525"/>
        <v>OCTEUS</v>
      </c>
      <c r="D12508">
        <f>11</f>
        <v>11</v>
      </c>
      <c r="E12508" t="str">
        <f>"08 - B - 106 - Lisa  Quinn"</f>
        <v>08 - B - 106 - Lisa  Quinn</v>
      </c>
      <c r="F12508" t="str">
        <f>"ENG 3"</f>
        <v>ENG 3</v>
      </c>
      <c r="G12508" t="str">
        <f>"17-1725"</f>
        <v>17-1725</v>
      </c>
      <c r="H12508" t="str">
        <f>"B"</f>
        <v>B</v>
      </c>
    </row>
    <row r="12509" spans="1:8" x14ac:dyDescent="0.2">
      <c r="A12509" t="str">
        <f t="shared" ref="A12509:A12516" si="4526">"0611114754"</f>
        <v>0611114754</v>
      </c>
      <c r="B12509" t="str">
        <f t="shared" ref="B12509:B12516" si="4527">"JORDYN"</f>
        <v>JORDYN</v>
      </c>
      <c r="C12509" t="str">
        <f t="shared" ref="C12509:C12516" si="4528">"ODONNELL"</f>
        <v>ODONNELL</v>
      </c>
      <c r="D12509">
        <f>12</f>
        <v>12</v>
      </c>
      <c r="E12509" t="str">
        <f>"04 - A - 101 - Thomas G Handwerg"</f>
        <v>04 - A - 101 - Thomas G Handwerg</v>
      </c>
      <c r="F12509" t="str">
        <f>"MATH COLL ALGEBRA"</f>
        <v>MATH COLL ALGEBRA</v>
      </c>
      <c r="G12509" t="str">
        <f>"21-2146"</f>
        <v>21-2146</v>
      </c>
      <c r="H12509" t="str">
        <f>"A"</f>
        <v>A</v>
      </c>
    </row>
    <row r="12510" spans="1:8" x14ac:dyDescent="0.2">
      <c r="A12510" t="str">
        <f t="shared" si="4526"/>
        <v>0611114754</v>
      </c>
      <c r="B12510" t="str">
        <f t="shared" si="4527"/>
        <v>JORDYN</v>
      </c>
      <c r="C12510" t="str">
        <f t="shared" si="4528"/>
        <v>ODONNELL</v>
      </c>
      <c r="D12510">
        <f>12</f>
        <v>12</v>
      </c>
      <c r="E12510" t="str">
        <f>"06 - B - 111 - James H Mccann"</f>
        <v>06 - B - 111 - James H Mccann</v>
      </c>
      <c r="F12510" t="str">
        <f>"NC STUDY HALL 1"</f>
        <v>NC STUDY HALL 1</v>
      </c>
      <c r="G12510" t="str">
        <f>"17-1716"</f>
        <v>17-1716</v>
      </c>
      <c r="H12510" t="str">
        <f>"B"</f>
        <v>B</v>
      </c>
    </row>
    <row r="12511" spans="1:8" x14ac:dyDescent="0.2">
      <c r="A12511" t="str">
        <f t="shared" si="4526"/>
        <v>0611114754</v>
      </c>
      <c r="B12511" t="str">
        <f t="shared" si="4527"/>
        <v>JORDYN</v>
      </c>
      <c r="C12511" t="str">
        <f t="shared" si="4528"/>
        <v>ODONNELL</v>
      </c>
      <c r="D12511">
        <f>12</f>
        <v>12</v>
      </c>
      <c r="E12511" t="str">
        <f>"03 - A - 101 - Jeffrey S Gallagher"</f>
        <v>03 - A - 101 - Jeffrey S Gallagher</v>
      </c>
      <c r="F12511" t="str">
        <f>"ENG HON 4"</f>
        <v>ENG HON 4</v>
      </c>
      <c r="G12511" t="str">
        <f>"17-1724"</f>
        <v>17-1724</v>
      </c>
      <c r="H12511" t="str">
        <f>"A"</f>
        <v>A</v>
      </c>
    </row>
    <row r="12512" spans="1:8" x14ac:dyDescent="0.2">
      <c r="A12512" t="str">
        <f t="shared" si="4526"/>
        <v>0611114754</v>
      </c>
      <c r="B12512" t="str">
        <f t="shared" si="4527"/>
        <v>JORDYN</v>
      </c>
      <c r="C12512" t="str">
        <f t="shared" si="4528"/>
        <v>ODONNELL</v>
      </c>
      <c r="D12512">
        <f>12</f>
        <v>12</v>
      </c>
      <c r="E12512" t="str">
        <f>"02 - S1 - A - 103 - Barbara L Segal"</f>
        <v>02 - S1 - A - 103 - Barbara L Segal</v>
      </c>
      <c r="F12512" t="str">
        <f>"US GOVT HON"</f>
        <v>US GOVT HON</v>
      </c>
      <c r="G12512" t="str">
        <f>"17-1742"</f>
        <v>17-1742</v>
      </c>
      <c r="H12512" t="str">
        <f>"A"</f>
        <v>A</v>
      </c>
    </row>
    <row r="12513" spans="1:8" x14ac:dyDescent="0.2">
      <c r="A12513" t="str">
        <f t="shared" si="4526"/>
        <v>0611114754</v>
      </c>
      <c r="B12513" t="str">
        <f t="shared" si="4527"/>
        <v>JORDYN</v>
      </c>
      <c r="C12513" t="str">
        <f t="shared" si="4528"/>
        <v>ODONNELL</v>
      </c>
      <c r="D12513">
        <f>12</f>
        <v>12</v>
      </c>
      <c r="E12513" t="str">
        <f>"07 - B - 105 - Cliffon  Saurel"</f>
        <v>07 - B - 105 - Cliffon  Saurel</v>
      </c>
      <c r="F12513" t="str">
        <f>"PHYSICAL SCI"</f>
        <v>PHYSICAL SCI</v>
      </c>
      <c r="G12513" t="str">
        <f>"05-522"</f>
        <v>05-522</v>
      </c>
      <c r="H12513" t="str">
        <f>"B"</f>
        <v>B</v>
      </c>
    </row>
    <row r="12514" spans="1:8" x14ac:dyDescent="0.2">
      <c r="A12514" t="str">
        <f t="shared" si="4526"/>
        <v>0611114754</v>
      </c>
      <c r="B12514" t="str">
        <f t="shared" si="4527"/>
        <v>JORDYN</v>
      </c>
      <c r="C12514" t="str">
        <f t="shared" si="4528"/>
        <v>ODONNELL</v>
      </c>
      <c r="D12514">
        <f>12</f>
        <v>12</v>
      </c>
      <c r="E12514" t="str">
        <f>"05 - B - 101 - Arthur  Kulawik"</f>
        <v>05 - B - 101 - Arthur  Kulawik</v>
      </c>
      <c r="F12514" t="str">
        <f>"DEBATE 2 LH"</f>
        <v>DEBATE 2 LH</v>
      </c>
      <c r="G12514" t="str">
        <f>"05-506"</f>
        <v>05-506</v>
      </c>
      <c r="H12514" t="str">
        <f>"B"</f>
        <v>B</v>
      </c>
    </row>
    <row r="12515" spans="1:8" x14ac:dyDescent="0.2">
      <c r="A12515" t="str">
        <f t="shared" si="4526"/>
        <v>0611114754</v>
      </c>
      <c r="B12515" t="str">
        <f t="shared" si="4527"/>
        <v>JORDYN</v>
      </c>
      <c r="C12515" t="str">
        <f t="shared" si="4528"/>
        <v>ODONNELL</v>
      </c>
      <c r="D12515">
        <f>12</f>
        <v>12</v>
      </c>
      <c r="E12515" t="str">
        <f>"01 - A - 101 - Angela S Adeshina-Morrison"</f>
        <v>01 - A - 101 - Angela S Adeshina-Morrison</v>
      </c>
      <c r="F12515" t="str">
        <f>"MARKETING ESSENTIALS"</f>
        <v>MARKETING ESSENTIALS</v>
      </c>
      <c r="G12515" t="str">
        <f>"05-518"</f>
        <v>05-518</v>
      </c>
      <c r="H12515" t="str">
        <f>"A"</f>
        <v>A</v>
      </c>
    </row>
    <row r="12516" spans="1:8" x14ac:dyDescent="0.2">
      <c r="A12516" t="str">
        <f t="shared" si="4526"/>
        <v>0611114754</v>
      </c>
      <c r="B12516" t="str">
        <f t="shared" si="4527"/>
        <v>JORDYN</v>
      </c>
      <c r="C12516" t="str">
        <f t="shared" si="4528"/>
        <v>ODONNELL</v>
      </c>
      <c r="D12516">
        <f>12</f>
        <v>12</v>
      </c>
      <c r="E12516" t="str">
        <f>"08 - B - 001 - Brian M Fitzgerald"</f>
        <v>08 - B - 001 - Brian M Fitzgerald</v>
      </c>
      <c r="F12516" t="str">
        <f>"CERAM/POT 1"</f>
        <v>CERAM/POT 1</v>
      </c>
      <c r="G12516" t="str">
        <f>"09-908"</f>
        <v>09-908</v>
      </c>
      <c r="H12516" t="str">
        <f>"B"</f>
        <v>B</v>
      </c>
    </row>
    <row r="12517" spans="1:8" x14ac:dyDescent="0.2">
      <c r="A12517" t="str">
        <f t="shared" ref="A12517:A12524" si="4529">"0616113556"</f>
        <v>0616113556</v>
      </c>
      <c r="B12517" t="str">
        <f t="shared" ref="B12517:B12524" si="4530">"BEN"</f>
        <v>BEN</v>
      </c>
      <c r="C12517" t="str">
        <f t="shared" ref="C12517:C12524" si="4531">"OGBURN"</f>
        <v>OGBURN</v>
      </c>
      <c r="D12517" t="str">
        <f t="shared" ref="D12517:D12524" si="4532">"09"</f>
        <v>09</v>
      </c>
      <c r="E12517" t="str">
        <f>"04 - A - 104 - Brook E Goren"</f>
        <v>04 - A - 104 - Brook E Goren</v>
      </c>
      <c r="F12517" t="str">
        <f>"ALGEBRA 2 HON"</f>
        <v>ALGEBRA 2 HON</v>
      </c>
      <c r="G12517" t="str">
        <f>"21-2158"</f>
        <v>21-2158</v>
      </c>
      <c r="H12517" t="str">
        <f>"A"</f>
        <v>A</v>
      </c>
    </row>
    <row r="12518" spans="1:8" x14ac:dyDescent="0.2">
      <c r="A12518" t="str">
        <f t="shared" si="4529"/>
        <v>0616113556</v>
      </c>
      <c r="B12518" t="str">
        <f t="shared" si="4530"/>
        <v>BEN</v>
      </c>
      <c r="C12518" t="str">
        <f t="shared" si="4531"/>
        <v>OGBURN</v>
      </c>
      <c r="D12518" t="str">
        <f t="shared" si="4532"/>
        <v>09</v>
      </c>
      <c r="E12518" t="str">
        <f>"06 - B - 105 - Cheryl L Beach"</f>
        <v>06 - B - 105 - Cheryl L Beach</v>
      </c>
      <c r="F12518" t="str">
        <f>"AICE ENV MGMNT AS"</f>
        <v>AICE ENV MGMNT AS</v>
      </c>
      <c r="G12518" t="str">
        <f>"08-811"</f>
        <v>08-811</v>
      </c>
      <c r="H12518" t="str">
        <f>"B"</f>
        <v>B</v>
      </c>
    </row>
    <row r="12519" spans="1:8" x14ac:dyDescent="0.2">
      <c r="A12519" t="str">
        <f t="shared" si="4529"/>
        <v>0616113556</v>
      </c>
      <c r="B12519" t="str">
        <f t="shared" si="4530"/>
        <v>BEN</v>
      </c>
      <c r="C12519" t="str">
        <f t="shared" si="4531"/>
        <v>OGBURN</v>
      </c>
      <c r="D12519" t="str">
        <f t="shared" si="4532"/>
        <v>09</v>
      </c>
      <c r="E12519" t="str">
        <f>"03 - A - 103 - Adam Marcus  Drucker"</f>
        <v>03 - A - 103 - Adam Marcus  Drucker</v>
      </c>
      <c r="F12519" t="str">
        <f>"HOPE-PE V"</f>
        <v>HOPE-PE V</v>
      </c>
      <c r="G12519" t="str">
        <f>"04-254"</f>
        <v>04-254</v>
      </c>
      <c r="H12519" t="str">
        <f>"A"</f>
        <v>A</v>
      </c>
    </row>
    <row r="12520" spans="1:8" x14ac:dyDescent="0.2">
      <c r="A12520" t="str">
        <f t="shared" si="4529"/>
        <v>0616113556</v>
      </c>
      <c r="B12520" t="str">
        <f t="shared" si="4530"/>
        <v>BEN</v>
      </c>
      <c r="C12520" t="str">
        <f t="shared" si="4531"/>
        <v>OGBURN</v>
      </c>
      <c r="D12520" t="str">
        <f t="shared" si="4532"/>
        <v>09</v>
      </c>
      <c r="E12520" t="str">
        <f>"02 - A - 101 - Josiah I Lacy"</f>
        <v>02 - A - 101 - Josiah I Lacy</v>
      </c>
      <c r="F12520" t="str">
        <f>"NC STUDY HALL 1"</f>
        <v>NC STUDY HALL 1</v>
      </c>
      <c r="G12520" t="str">
        <f>"08-801"</f>
        <v>08-801</v>
      </c>
      <c r="H12520" t="str">
        <f>"A"</f>
        <v>A</v>
      </c>
    </row>
    <row r="12521" spans="1:8" x14ac:dyDescent="0.2">
      <c r="A12521" t="str">
        <f t="shared" si="4529"/>
        <v>0616113556</v>
      </c>
      <c r="B12521" t="str">
        <f t="shared" si="4530"/>
        <v>BEN</v>
      </c>
      <c r="C12521" t="str">
        <f t="shared" si="4531"/>
        <v>OGBURN</v>
      </c>
      <c r="D12521" t="str">
        <f t="shared" si="4532"/>
        <v>09</v>
      </c>
      <c r="E12521" t="str">
        <f>"07 - B - 107 - Marius D Orsolini"</f>
        <v>07 - B - 107 - Marius D Orsolini</v>
      </c>
      <c r="F12521" t="str">
        <f>"CULINARY ARTS 1"</f>
        <v>CULINARY ARTS 1</v>
      </c>
      <c r="G12521" t="str">
        <f>"21-2115"</f>
        <v>21-2115</v>
      </c>
      <c r="H12521" t="str">
        <f>"B"</f>
        <v>B</v>
      </c>
    </row>
    <row r="12522" spans="1:8" x14ac:dyDescent="0.2">
      <c r="A12522" t="str">
        <f t="shared" si="4529"/>
        <v>0616113556</v>
      </c>
      <c r="B12522" t="str">
        <f t="shared" si="4530"/>
        <v>BEN</v>
      </c>
      <c r="C12522" t="str">
        <f t="shared" si="4531"/>
        <v>OGBURN</v>
      </c>
      <c r="D12522" t="str">
        <f t="shared" si="4532"/>
        <v>09</v>
      </c>
      <c r="E12522" t="str">
        <f>"05 - B - 002 - Cheryl Anne  Berman-Schechter"</f>
        <v>05 - B - 002 - Cheryl Anne  Berman-Schechter</v>
      </c>
      <c r="F12522" t="str">
        <f>"AICE ENG GEN PAPER 1"</f>
        <v>AICE ENG GEN PAPER 1</v>
      </c>
      <c r="G12522" t="str">
        <f>"17-1722"</f>
        <v>17-1722</v>
      </c>
      <c r="H12522" t="str">
        <f>"B"</f>
        <v>B</v>
      </c>
    </row>
    <row r="12523" spans="1:8" x14ac:dyDescent="0.2">
      <c r="A12523" t="str">
        <f t="shared" si="4529"/>
        <v>0616113556</v>
      </c>
      <c r="B12523" t="str">
        <f t="shared" si="4530"/>
        <v>BEN</v>
      </c>
      <c r="C12523" t="str">
        <f t="shared" si="4531"/>
        <v>OGBURN</v>
      </c>
      <c r="D12523" t="str">
        <f t="shared" si="4532"/>
        <v>09</v>
      </c>
      <c r="E12523" t="str">
        <f>"01 - A - 002 - Krystal Marie  Beruty"</f>
        <v>01 - A - 002 - Krystal Marie  Beruty</v>
      </c>
      <c r="F12523" t="str">
        <f>"AICE GLBL PERSP 1 AS"</f>
        <v>AICE GLBL PERSP 1 AS</v>
      </c>
      <c r="G12523" t="str">
        <f>"17-1721"</f>
        <v>17-1721</v>
      </c>
      <c r="H12523" t="str">
        <f>"A"</f>
        <v>A</v>
      </c>
    </row>
    <row r="12524" spans="1:8" x14ac:dyDescent="0.2">
      <c r="A12524" t="str">
        <f t="shared" si="4529"/>
        <v>0616113556</v>
      </c>
      <c r="B12524" t="str">
        <f t="shared" si="4530"/>
        <v>BEN</v>
      </c>
      <c r="C12524" t="str">
        <f t="shared" si="4531"/>
        <v>OGBURN</v>
      </c>
      <c r="D12524" t="str">
        <f t="shared" si="4532"/>
        <v>09</v>
      </c>
      <c r="E12524" t="str">
        <f>"08 - B - 102 - Robert H Rindner"</f>
        <v>08 - B - 102 - Robert H Rindner</v>
      </c>
      <c r="F12524" t="str">
        <f>"TV PRODUCTION TECH 1"</f>
        <v>TV PRODUCTION TECH 1</v>
      </c>
      <c r="G12524" t="str">
        <f>"21-2160"</f>
        <v>21-2160</v>
      </c>
      <c r="H12524" t="str">
        <f>"B"</f>
        <v>B</v>
      </c>
    </row>
    <row r="12525" spans="1:8" x14ac:dyDescent="0.2">
      <c r="A12525" t="str">
        <f t="shared" ref="A12525:A12532" si="4533">"0617069685"</f>
        <v>0617069685</v>
      </c>
      <c r="B12525" t="str">
        <f t="shared" ref="B12525:B12532" si="4534">"VIROLYN"</f>
        <v>VIROLYN</v>
      </c>
      <c r="C12525" t="str">
        <f t="shared" ref="C12525:C12532" si="4535">"OGISTE"</f>
        <v>OGISTE</v>
      </c>
      <c r="D12525">
        <f>11</f>
        <v>11</v>
      </c>
      <c r="E12525" t="str">
        <f>"04 - A - 103 - Lisa  Quinn"</f>
        <v>04 - A - 103 - Lisa  Quinn</v>
      </c>
      <c r="F12525" t="str">
        <f>"ENG 3"</f>
        <v>ENG 3</v>
      </c>
      <c r="G12525" t="str">
        <f>"17-1725"</f>
        <v>17-1725</v>
      </c>
      <c r="H12525" t="str">
        <f>"A"</f>
        <v>A</v>
      </c>
    </row>
    <row r="12526" spans="1:8" x14ac:dyDescent="0.2">
      <c r="A12526" t="str">
        <f t="shared" si="4533"/>
        <v>0617069685</v>
      </c>
      <c r="B12526" t="str">
        <f t="shared" si="4534"/>
        <v>VIROLYN</v>
      </c>
      <c r="C12526" t="str">
        <f t="shared" si="4535"/>
        <v>OGISTE</v>
      </c>
      <c r="D12526">
        <f>11</f>
        <v>11</v>
      </c>
      <c r="E12526" t="str">
        <f>"06 - B - 106 - Adam Marcus  Drucker"</f>
        <v>06 - B - 106 - Adam Marcus  Drucker</v>
      </c>
      <c r="F12526" t="str">
        <f>"HOPE-PE V"</f>
        <v>HOPE-PE V</v>
      </c>
      <c r="G12526" t="str">
        <f>"04-254"</f>
        <v>04-254</v>
      </c>
      <c r="H12526" t="str">
        <f>"B"</f>
        <v>B</v>
      </c>
    </row>
    <row r="12527" spans="1:8" x14ac:dyDescent="0.2">
      <c r="A12527" t="str">
        <f t="shared" si="4533"/>
        <v>0617069685</v>
      </c>
      <c r="B12527" t="str">
        <f t="shared" si="4534"/>
        <v>VIROLYN</v>
      </c>
      <c r="C12527" t="str">
        <f t="shared" si="4535"/>
        <v>OGISTE</v>
      </c>
      <c r="D12527">
        <f>11</f>
        <v>11</v>
      </c>
      <c r="E12527" t="str">
        <f>"03 - A - 104 - Kyle  Robbins"</f>
        <v>03 - A - 104 - Kyle  Robbins</v>
      </c>
      <c r="F12527" t="str">
        <f>"US HISTORY"</f>
        <v>US HISTORY</v>
      </c>
      <c r="G12527" t="str">
        <f>"17-1745"</f>
        <v>17-1745</v>
      </c>
      <c r="H12527" t="str">
        <f>"A"</f>
        <v>A</v>
      </c>
    </row>
    <row r="12528" spans="1:8" x14ac:dyDescent="0.2">
      <c r="A12528" t="str">
        <f t="shared" si="4533"/>
        <v>0617069685</v>
      </c>
      <c r="B12528" t="str">
        <f t="shared" si="4534"/>
        <v>VIROLYN</v>
      </c>
      <c r="C12528" t="str">
        <f t="shared" si="4535"/>
        <v>OGISTE</v>
      </c>
      <c r="D12528">
        <f>11</f>
        <v>11</v>
      </c>
      <c r="E12528" t="str">
        <f>"02 - A - 107 - Elizabeth Ellen  Moran"</f>
        <v>02 - A - 107 - Elizabeth Ellen  Moran</v>
      </c>
      <c r="F12528" t="str">
        <f>"NC STUDY HALL 1"</f>
        <v>NC STUDY HALL 1</v>
      </c>
      <c r="G12528" t="str">
        <f>"17-1752"</f>
        <v>17-1752</v>
      </c>
      <c r="H12528" t="str">
        <f>"A"</f>
        <v>A</v>
      </c>
    </row>
    <row r="12529" spans="1:8" x14ac:dyDescent="0.2">
      <c r="A12529" t="str">
        <f t="shared" si="4533"/>
        <v>0617069685</v>
      </c>
      <c r="B12529" t="str">
        <f t="shared" si="4534"/>
        <v>VIROLYN</v>
      </c>
      <c r="C12529" t="str">
        <f t="shared" si="4535"/>
        <v>OGISTE</v>
      </c>
      <c r="D12529">
        <f>11</f>
        <v>11</v>
      </c>
      <c r="E12529" t="str">
        <f>"07 - B - 107 - Semra  Bahadir"</f>
        <v>07 - B - 107 - Semra  Bahadir</v>
      </c>
      <c r="F12529" t="str">
        <f>"MATH COLL ALGEBRA"</f>
        <v>MATH COLL ALGEBRA</v>
      </c>
      <c r="G12529" t="str">
        <f>"21-2107"</f>
        <v>21-2107</v>
      </c>
      <c r="H12529" t="str">
        <f>"B"</f>
        <v>B</v>
      </c>
    </row>
    <row r="12530" spans="1:8" x14ac:dyDescent="0.2">
      <c r="A12530" t="str">
        <f t="shared" si="4533"/>
        <v>0617069685</v>
      </c>
      <c r="B12530" t="str">
        <f t="shared" si="4534"/>
        <v>VIROLYN</v>
      </c>
      <c r="C12530" t="str">
        <f t="shared" si="4535"/>
        <v>OGISTE</v>
      </c>
      <c r="D12530">
        <f>11</f>
        <v>11</v>
      </c>
      <c r="E12530" t="str">
        <f>"05 - B - 001 - Stefanie S Scher"</f>
        <v>05 - B - 001 - Stefanie S Scher</v>
      </c>
      <c r="F12530" t="str">
        <f>"AICE PSYCH 1 AS"</f>
        <v>AICE PSYCH 1 AS</v>
      </c>
      <c r="G12530" t="str">
        <f>"17-1735"</f>
        <v>17-1735</v>
      </c>
      <c r="H12530" t="str">
        <f>"B"</f>
        <v>B</v>
      </c>
    </row>
    <row r="12531" spans="1:8" x14ac:dyDescent="0.2">
      <c r="A12531" t="str">
        <f t="shared" si="4533"/>
        <v>0617069685</v>
      </c>
      <c r="B12531" t="str">
        <f t="shared" si="4534"/>
        <v>VIROLYN</v>
      </c>
      <c r="C12531" t="str">
        <f t="shared" si="4535"/>
        <v>OGISTE</v>
      </c>
      <c r="D12531">
        <f>11</f>
        <v>11</v>
      </c>
      <c r="E12531" t="str">
        <f>"01 - A - 101 - Cliffon  Saurel"</f>
        <v>01 - A - 101 - Cliffon  Saurel</v>
      </c>
      <c r="F12531" t="str">
        <f>"PHYSICAL SCI"</f>
        <v>PHYSICAL SCI</v>
      </c>
      <c r="G12531" t="str">
        <f>"05-522"</f>
        <v>05-522</v>
      </c>
      <c r="H12531" t="str">
        <f>"A"</f>
        <v>A</v>
      </c>
    </row>
    <row r="12532" spans="1:8" x14ac:dyDescent="0.2">
      <c r="A12532" t="str">
        <f t="shared" si="4533"/>
        <v>0617069685</v>
      </c>
      <c r="B12532" t="str">
        <f t="shared" si="4534"/>
        <v>VIROLYN</v>
      </c>
      <c r="C12532" t="str">
        <f t="shared" si="4535"/>
        <v>OGISTE</v>
      </c>
      <c r="D12532">
        <f>11</f>
        <v>11</v>
      </c>
      <c r="E12532" t="str">
        <f>"08 - B - 101 - Staci M Newton"</f>
        <v>08 - B - 101 - Staci M Newton</v>
      </c>
      <c r="F12532" t="str">
        <f>"PEER/PARTNERS LRN LH"</f>
        <v>PEER/PARTNERS LRN LH</v>
      </c>
      <c r="G12532" t="str">
        <f>"21-2103"</f>
        <v>21-2103</v>
      </c>
      <c r="H12532" t="str">
        <f>"B"</f>
        <v>B</v>
      </c>
    </row>
    <row r="12533" spans="1:8" x14ac:dyDescent="0.2">
      <c r="A12533" t="str">
        <f t="shared" ref="A12533:A12540" si="4536">"0614103481"</f>
        <v>0614103481</v>
      </c>
      <c r="B12533" t="str">
        <f t="shared" ref="B12533:B12540" si="4537">"CALEB"</f>
        <v>CALEB</v>
      </c>
      <c r="C12533" t="str">
        <f t="shared" ref="C12533:C12546" si="4538">"OGREN"</f>
        <v>OGREN</v>
      </c>
      <c r="D12533">
        <f>11</f>
        <v>11</v>
      </c>
      <c r="E12533" t="str">
        <f>"04 - A - 101 - Thomas G Handwerg"</f>
        <v>04 - A - 101 - Thomas G Handwerg</v>
      </c>
      <c r="F12533" t="str">
        <f>"MATH COLL ALGEBRA"</f>
        <v>MATH COLL ALGEBRA</v>
      </c>
      <c r="G12533" t="str">
        <f>"21-2146"</f>
        <v>21-2146</v>
      </c>
      <c r="H12533" t="str">
        <f>"A"</f>
        <v>A</v>
      </c>
    </row>
    <row r="12534" spans="1:8" x14ac:dyDescent="0.2">
      <c r="A12534" t="str">
        <f t="shared" si="4536"/>
        <v>0614103481</v>
      </c>
      <c r="B12534" t="str">
        <f t="shared" si="4537"/>
        <v>CALEB</v>
      </c>
      <c r="C12534" t="str">
        <f t="shared" si="4538"/>
        <v>OGREN</v>
      </c>
      <c r="D12534">
        <f>11</f>
        <v>11</v>
      </c>
      <c r="E12534" t="str">
        <f>"06 - B - 110 - Krystal Marie  Beruty"</f>
        <v>06 - B - 110 - Krystal Marie  Beruty</v>
      </c>
      <c r="F12534" t="str">
        <f>"AICE GLBL PERSP 1 AS"</f>
        <v>AICE GLBL PERSP 1 AS</v>
      </c>
      <c r="G12534" t="str">
        <f>"17-1721"</f>
        <v>17-1721</v>
      </c>
      <c r="H12534" t="str">
        <f>"B"</f>
        <v>B</v>
      </c>
    </row>
    <row r="12535" spans="1:8" x14ac:dyDescent="0.2">
      <c r="A12535" t="str">
        <f t="shared" si="4536"/>
        <v>0614103481</v>
      </c>
      <c r="B12535" t="str">
        <f t="shared" si="4537"/>
        <v>CALEB</v>
      </c>
      <c r="C12535" t="str">
        <f t="shared" si="4538"/>
        <v>OGREN</v>
      </c>
      <c r="D12535">
        <f>11</f>
        <v>11</v>
      </c>
      <c r="E12535" t="str">
        <f>"03 - A - 101 - Timothy J Lawrence"</f>
        <v>03 - A - 101 - Timothy J Lawrence</v>
      </c>
      <c r="F12535" t="str">
        <f>"AICE PHYS ED 1 AS"</f>
        <v>AICE PHYS ED 1 AS</v>
      </c>
      <c r="G12535" t="str">
        <f>"05-519"</f>
        <v>05-519</v>
      </c>
      <c r="H12535" t="str">
        <f>"A"</f>
        <v>A</v>
      </c>
    </row>
    <row r="12536" spans="1:8" x14ac:dyDescent="0.2">
      <c r="A12536" t="str">
        <f t="shared" si="4536"/>
        <v>0614103481</v>
      </c>
      <c r="B12536" t="str">
        <f t="shared" si="4537"/>
        <v>CALEB</v>
      </c>
      <c r="C12536" t="str">
        <f t="shared" si="4538"/>
        <v>OGREN</v>
      </c>
      <c r="D12536">
        <f>11</f>
        <v>11</v>
      </c>
      <c r="E12536" t="str">
        <f>"02 - A - 105 - Leslie J Barton"</f>
        <v>02 - A - 105 - Leslie J Barton</v>
      </c>
      <c r="F12536" t="str">
        <f>"NC STUDY HALL 1"</f>
        <v>NC STUDY HALL 1</v>
      </c>
      <c r="G12536" t="str">
        <f>"05-521"</f>
        <v>05-521</v>
      </c>
      <c r="H12536" t="str">
        <f>"A"</f>
        <v>A</v>
      </c>
    </row>
    <row r="12537" spans="1:8" x14ac:dyDescent="0.2">
      <c r="A12537" t="str">
        <f t="shared" si="4536"/>
        <v>0614103481</v>
      </c>
      <c r="B12537" t="str">
        <f t="shared" si="4537"/>
        <v>CALEB</v>
      </c>
      <c r="C12537" t="str">
        <f t="shared" si="4538"/>
        <v>OGREN</v>
      </c>
      <c r="D12537">
        <f>11</f>
        <v>11</v>
      </c>
      <c r="E12537" t="str">
        <f>"07 - B - 104 - Jerry S Jiampetti"</f>
        <v>07 - B - 104 - Jerry S Jiampetti</v>
      </c>
      <c r="F12537" t="str">
        <f>"AICE U.S. HIST 1 AS"</f>
        <v>AICE U.S. HIST 1 AS</v>
      </c>
      <c r="G12537" t="str">
        <f>"17-1751"</f>
        <v>17-1751</v>
      </c>
      <c r="H12537" t="str">
        <f>"B"</f>
        <v>B</v>
      </c>
    </row>
    <row r="12538" spans="1:8" x14ac:dyDescent="0.2">
      <c r="A12538" t="str">
        <f t="shared" si="4536"/>
        <v>0614103481</v>
      </c>
      <c r="B12538" t="str">
        <f t="shared" si="4537"/>
        <v>CALEB</v>
      </c>
      <c r="C12538" t="str">
        <f t="shared" si="4538"/>
        <v>OGREN</v>
      </c>
      <c r="D12538">
        <f>11</f>
        <v>11</v>
      </c>
      <c r="E12538" t="str">
        <f>"05 - B - 001 - Stefanie S Scher"</f>
        <v>05 - B - 001 - Stefanie S Scher</v>
      </c>
      <c r="F12538" t="str">
        <f>"AICE PSYCH 1 AS"</f>
        <v>AICE PSYCH 1 AS</v>
      </c>
      <c r="G12538" t="str">
        <f>"17-1735"</f>
        <v>17-1735</v>
      </c>
      <c r="H12538" t="str">
        <f>"B"</f>
        <v>B</v>
      </c>
    </row>
    <row r="12539" spans="1:8" x14ac:dyDescent="0.2">
      <c r="A12539" t="str">
        <f t="shared" si="4536"/>
        <v>0614103481</v>
      </c>
      <c r="B12539" t="str">
        <f t="shared" si="4537"/>
        <v>CALEB</v>
      </c>
      <c r="C12539" t="str">
        <f t="shared" si="4538"/>
        <v>OGREN</v>
      </c>
      <c r="D12539">
        <f>11</f>
        <v>11</v>
      </c>
      <c r="E12539" t="str">
        <f>"01 - A - 101 - Jacklyn M James"</f>
        <v>01 - A - 101 - Jacklyn M James</v>
      </c>
      <c r="F12539" t="str">
        <f>"AICE ENG LANG AS"</f>
        <v>AICE ENG LANG AS</v>
      </c>
      <c r="G12539" t="str">
        <f>"17-1731"</f>
        <v>17-1731</v>
      </c>
      <c r="H12539" t="str">
        <f>"A"</f>
        <v>A</v>
      </c>
    </row>
    <row r="12540" spans="1:8" x14ac:dyDescent="0.2">
      <c r="A12540" t="str">
        <f t="shared" si="4536"/>
        <v>0614103481</v>
      </c>
      <c r="B12540" t="str">
        <f t="shared" si="4537"/>
        <v>CALEB</v>
      </c>
      <c r="C12540" t="str">
        <f t="shared" si="4538"/>
        <v>OGREN</v>
      </c>
      <c r="D12540">
        <f>11</f>
        <v>11</v>
      </c>
      <c r="E12540" t="str">
        <f>"08 - B - 001 - Scott A Dethloff"</f>
        <v>08 - B - 001 - Scott A Dethloff</v>
      </c>
      <c r="F12540" t="str">
        <f>"CHEMISTRY 1 HON"</f>
        <v>CHEMISTRY 1 HON</v>
      </c>
      <c r="G12540" t="str">
        <f>"08-812"</f>
        <v>08-812</v>
      </c>
      <c r="H12540" t="str">
        <f>"B"</f>
        <v>B</v>
      </c>
    </row>
    <row r="12541" spans="1:8" x14ac:dyDescent="0.2">
      <c r="A12541" t="str">
        <f t="shared" ref="A12541:A12546" si="4539">"0616105259"</f>
        <v>0616105259</v>
      </c>
      <c r="B12541" t="str">
        <f t="shared" ref="B12541:B12546" si="4540">"LILY"</f>
        <v>LILY</v>
      </c>
      <c r="C12541" t="str">
        <f t="shared" si="4538"/>
        <v>OGREN</v>
      </c>
      <c r="D12541" t="str">
        <f t="shared" ref="D12541:D12554" si="4541">"09"</f>
        <v>09</v>
      </c>
      <c r="E12541" t="str">
        <f>"04 - A - 101 - Chrystina M Marchionne"</f>
        <v>04 - A - 101 - Chrystina M Marchionne</v>
      </c>
      <c r="F12541" t="str">
        <f>"THEA CIN &amp; FILM LH"</f>
        <v>THEA CIN &amp; FILM LH</v>
      </c>
      <c r="G12541" t="str">
        <f>"05-520"</f>
        <v>05-520</v>
      </c>
      <c r="H12541" t="str">
        <f>"A"</f>
        <v>A</v>
      </c>
    </row>
    <row r="12542" spans="1:8" x14ac:dyDescent="0.2">
      <c r="A12542" t="str">
        <f t="shared" si="4539"/>
        <v>0616105259</v>
      </c>
      <c r="B12542" t="str">
        <f t="shared" si="4540"/>
        <v>LILY</v>
      </c>
      <c r="C12542" t="str">
        <f t="shared" si="4538"/>
        <v>OGREN</v>
      </c>
      <c r="D12542" t="str">
        <f t="shared" si="4541"/>
        <v>09</v>
      </c>
      <c r="E12542" t="str">
        <f>"06 - B - 110 - Krystal Marie  Beruty"</f>
        <v>06 - B - 110 - Krystal Marie  Beruty</v>
      </c>
      <c r="F12542" t="str">
        <f>"AICE GLBL PERSP 1 AS"</f>
        <v>AICE GLBL PERSP 1 AS</v>
      </c>
      <c r="G12542" t="str">
        <f>"17-1721"</f>
        <v>17-1721</v>
      </c>
      <c r="H12542" t="str">
        <f>"B"</f>
        <v>B</v>
      </c>
    </row>
    <row r="12543" spans="1:8" x14ac:dyDescent="0.2">
      <c r="A12543" t="str">
        <f t="shared" si="4539"/>
        <v>0616105259</v>
      </c>
      <c r="B12543" t="str">
        <f t="shared" si="4540"/>
        <v>LILY</v>
      </c>
      <c r="C12543" t="str">
        <f t="shared" si="4538"/>
        <v>OGREN</v>
      </c>
      <c r="D12543" t="str">
        <f t="shared" si="4541"/>
        <v>09</v>
      </c>
      <c r="E12543" t="str">
        <f>"03 - S1 - A - 102 - Leslie J Barton"</f>
        <v>03 - S1 - A - 102 - Leslie J Barton</v>
      </c>
      <c r="F12543" t="str">
        <f>"FIRST AID SAFETY"</f>
        <v>FIRST AID SAFETY</v>
      </c>
      <c r="G12543" t="str">
        <f>"05-521"</f>
        <v>05-521</v>
      </c>
      <c r="H12543" t="str">
        <f>"A"</f>
        <v>A</v>
      </c>
    </row>
    <row r="12544" spans="1:8" x14ac:dyDescent="0.2">
      <c r="A12544" t="str">
        <f t="shared" si="4539"/>
        <v>0616105259</v>
      </c>
      <c r="B12544" t="str">
        <f t="shared" si="4540"/>
        <v>LILY</v>
      </c>
      <c r="C12544" t="str">
        <f t="shared" si="4538"/>
        <v>OGREN</v>
      </c>
      <c r="D12544" t="str">
        <f t="shared" si="4541"/>
        <v>09</v>
      </c>
      <c r="E12544" t="str">
        <f>"07 - B - 105 - Byron G Montenegro"</f>
        <v>07 - B - 105 - Byron G Montenegro</v>
      </c>
      <c r="F12544" t="str">
        <f>"AICE MARINE SCI 1 AS"</f>
        <v>AICE MARINE SCI 1 AS</v>
      </c>
      <c r="G12544" t="str">
        <f>"21-2144"</f>
        <v>21-2144</v>
      </c>
      <c r="H12544" t="str">
        <f>"B"</f>
        <v>B</v>
      </c>
    </row>
    <row r="12545" spans="1:8" x14ac:dyDescent="0.2">
      <c r="A12545" t="str">
        <f t="shared" si="4539"/>
        <v>0616105259</v>
      </c>
      <c r="B12545" t="str">
        <f t="shared" si="4540"/>
        <v>LILY</v>
      </c>
      <c r="C12545" t="str">
        <f t="shared" si="4538"/>
        <v>OGREN</v>
      </c>
      <c r="D12545" t="str">
        <f t="shared" si="4541"/>
        <v>09</v>
      </c>
      <c r="E12545" t="str">
        <f>"05 - B - 103 - Brook E Goren"</f>
        <v>05 - B - 103 - Brook E Goren</v>
      </c>
      <c r="F12545" t="str">
        <f>"PRE-AICE MATH 2 IG"</f>
        <v>PRE-AICE MATH 2 IG</v>
      </c>
      <c r="G12545" t="str">
        <f>"21-2158"</f>
        <v>21-2158</v>
      </c>
      <c r="H12545" t="str">
        <f>"B"</f>
        <v>B</v>
      </c>
    </row>
    <row r="12546" spans="1:8" x14ac:dyDescent="0.2">
      <c r="A12546" t="str">
        <f t="shared" si="4539"/>
        <v>0616105259</v>
      </c>
      <c r="B12546" t="str">
        <f t="shared" si="4540"/>
        <v>LILY</v>
      </c>
      <c r="C12546" t="str">
        <f t="shared" si="4538"/>
        <v>OGREN</v>
      </c>
      <c r="D12546" t="str">
        <f t="shared" si="4541"/>
        <v>09</v>
      </c>
      <c r="E12546" t="str">
        <f>"08 - B - 001 - Brian M Fitzgerald"</f>
        <v>08 - B - 001 - Brian M Fitzgerald</v>
      </c>
      <c r="F12546" t="str">
        <f>"CERAM/POT 1"</f>
        <v>CERAM/POT 1</v>
      </c>
      <c r="G12546" t="str">
        <f>"09-908"</f>
        <v>09-908</v>
      </c>
      <c r="H12546" t="str">
        <f>"B"</f>
        <v>B</v>
      </c>
    </row>
    <row r="12547" spans="1:8" x14ac:dyDescent="0.2">
      <c r="A12547" t="str">
        <f t="shared" ref="A12547:A12554" si="4542">"0617075287"</f>
        <v>0617075287</v>
      </c>
      <c r="B12547" t="str">
        <f t="shared" ref="B12547:B12554" si="4543">"ALANA"</f>
        <v>ALANA</v>
      </c>
      <c r="C12547" t="str">
        <f t="shared" ref="C12547:C12562" si="4544">"OJEDA"</f>
        <v>OJEDA</v>
      </c>
      <c r="D12547" t="str">
        <f t="shared" si="4541"/>
        <v>09</v>
      </c>
      <c r="E12547" t="str">
        <f>"04 - A - 106 - Ferrie J Arostique"</f>
        <v>04 - A - 106 - Ferrie J Arostique</v>
      </c>
      <c r="F12547" t="str">
        <f>"PRE-AICE MATH 2 IG"</f>
        <v>PRE-AICE MATH 2 IG</v>
      </c>
      <c r="G12547" t="str">
        <f>"21-2139"</f>
        <v>21-2139</v>
      </c>
      <c r="H12547" t="str">
        <f>"A"</f>
        <v>A</v>
      </c>
    </row>
    <row r="12548" spans="1:8" x14ac:dyDescent="0.2">
      <c r="A12548" t="str">
        <f t="shared" si="4542"/>
        <v>0617075287</v>
      </c>
      <c r="B12548" t="str">
        <f t="shared" si="4543"/>
        <v>ALANA</v>
      </c>
      <c r="C12548" t="str">
        <f t="shared" si="4544"/>
        <v>OJEDA</v>
      </c>
      <c r="D12548" t="str">
        <f t="shared" si="4541"/>
        <v>09</v>
      </c>
      <c r="E12548" t="str">
        <f>"06 - S1 - B - 104 - Leslie J Barton"</f>
        <v>06 - S1 - B - 104 - Leslie J Barton</v>
      </c>
      <c r="F12548" t="str">
        <f>"FIRST AID SAFETY"</f>
        <v>FIRST AID SAFETY</v>
      </c>
      <c r="G12548" t="str">
        <f>"05-521"</f>
        <v>05-521</v>
      </c>
      <c r="H12548" t="str">
        <f>"B"</f>
        <v>B</v>
      </c>
    </row>
    <row r="12549" spans="1:8" x14ac:dyDescent="0.2">
      <c r="A12549" t="str">
        <f t="shared" si="4542"/>
        <v>0617075287</v>
      </c>
      <c r="B12549" t="str">
        <f t="shared" si="4543"/>
        <v>ALANA</v>
      </c>
      <c r="C12549" t="str">
        <f t="shared" si="4544"/>
        <v>OJEDA</v>
      </c>
      <c r="D12549" t="str">
        <f t="shared" si="4541"/>
        <v>09</v>
      </c>
      <c r="E12549" t="str">
        <f>"03 - A - 103 - Kelly N Panza"</f>
        <v>03 - A - 103 - Kelly N Panza</v>
      </c>
      <c r="F12549" t="str">
        <f>"AICE GLBL PERSP 1 AS"</f>
        <v>AICE GLBL PERSP 1 AS</v>
      </c>
      <c r="G12549" t="str">
        <f>"17-1753"</f>
        <v>17-1753</v>
      </c>
      <c r="H12549" t="str">
        <f>"A"</f>
        <v>A</v>
      </c>
    </row>
    <row r="12550" spans="1:8" x14ac:dyDescent="0.2">
      <c r="A12550" t="str">
        <f t="shared" si="4542"/>
        <v>0617075287</v>
      </c>
      <c r="B12550" t="str">
        <f t="shared" si="4543"/>
        <v>ALANA</v>
      </c>
      <c r="C12550" t="str">
        <f t="shared" si="4544"/>
        <v>OJEDA</v>
      </c>
      <c r="D12550" t="str">
        <f t="shared" si="4541"/>
        <v>09</v>
      </c>
      <c r="E12550" t="str">
        <f>"02 - A - 111 - Cheryl L Beach"</f>
        <v>02 - A - 111 - Cheryl L Beach</v>
      </c>
      <c r="F12550" t="str">
        <f>"NC STUDY HALL 1"</f>
        <v>NC STUDY HALL 1</v>
      </c>
      <c r="G12550" t="str">
        <f>"08-811"</f>
        <v>08-811</v>
      </c>
      <c r="H12550" t="str">
        <f>"A"</f>
        <v>A</v>
      </c>
    </row>
    <row r="12551" spans="1:8" x14ac:dyDescent="0.2">
      <c r="A12551" t="str">
        <f t="shared" si="4542"/>
        <v>0617075287</v>
      </c>
      <c r="B12551" t="str">
        <f t="shared" si="4543"/>
        <v>ALANA</v>
      </c>
      <c r="C12551" t="str">
        <f t="shared" si="4544"/>
        <v>OJEDA</v>
      </c>
      <c r="D12551" t="str">
        <f t="shared" si="4541"/>
        <v>09</v>
      </c>
      <c r="E12551" t="str">
        <f>"07 - B - 003 - Brandy N Zdenek"</f>
        <v>07 - B - 003 - Brandy N Zdenek</v>
      </c>
      <c r="F12551" t="str">
        <f>"AICE ENG GEN PAPER 1"</f>
        <v>AICE ENG GEN PAPER 1</v>
      </c>
      <c r="G12551" t="str">
        <f>"17-1704"</f>
        <v>17-1704</v>
      </c>
      <c r="H12551" t="str">
        <f>"B"</f>
        <v>B</v>
      </c>
    </row>
    <row r="12552" spans="1:8" x14ac:dyDescent="0.2">
      <c r="A12552" t="str">
        <f t="shared" si="4542"/>
        <v>0617075287</v>
      </c>
      <c r="B12552" t="str">
        <f t="shared" si="4543"/>
        <v>ALANA</v>
      </c>
      <c r="C12552" t="str">
        <f t="shared" si="4544"/>
        <v>OJEDA</v>
      </c>
      <c r="D12552" t="str">
        <f t="shared" si="4541"/>
        <v>09</v>
      </c>
      <c r="E12552" t="str">
        <f>"05 - B - 204 - Cheryl L Beach"</f>
        <v>05 - B - 204 - Cheryl L Beach</v>
      </c>
      <c r="F12552" t="str">
        <f>"AICE ENV MGMNT AS"</f>
        <v>AICE ENV MGMNT AS</v>
      </c>
      <c r="G12552" t="str">
        <f>"08-811"</f>
        <v>08-811</v>
      </c>
      <c r="H12552" t="str">
        <f>"B"</f>
        <v>B</v>
      </c>
    </row>
    <row r="12553" spans="1:8" x14ac:dyDescent="0.2">
      <c r="A12553" t="str">
        <f t="shared" si="4542"/>
        <v>0617075287</v>
      </c>
      <c r="B12553" t="str">
        <f t="shared" si="4543"/>
        <v>ALANA</v>
      </c>
      <c r="C12553" t="str">
        <f t="shared" si="4544"/>
        <v>OJEDA</v>
      </c>
      <c r="D12553" t="str">
        <f t="shared" si="4541"/>
        <v>09</v>
      </c>
      <c r="E12553" t="str">
        <f>"01 - A - 101 - Josiah I Lacy"</f>
        <v>01 - A - 101 - Josiah I Lacy</v>
      </c>
      <c r="F12553" t="str">
        <f>"PRE-AICE BIO IG"</f>
        <v>PRE-AICE BIO IG</v>
      </c>
      <c r="G12553" t="str">
        <f>"08-801"</f>
        <v>08-801</v>
      </c>
      <c r="H12553" t="str">
        <f>"A"</f>
        <v>A</v>
      </c>
    </row>
    <row r="12554" spans="1:8" x14ac:dyDescent="0.2">
      <c r="A12554" t="str">
        <f t="shared" si="4542"/>
        <v>0617075287</v>
      </c>
      <c r="B12554" t="str">
        <f t="shared" si="4543"/>
        <v>ALANA</v>
      </c>
      <c r="C12554" t="str">
        <f t="shared" si="4544"/>
        <v>OJEDA</v>
      </c>
      <c r="D12554" t="str">
        <f t="shared" si="4541"/>
        <v>09</v>
      </c>
      <c r="E12554" t="str">
        <f>"08 - B - 202 - Dorothy D Moore"</f>
        <v>08 - B - 202 - Dorothy D Moore</v>
      </c>
      <c r="F12554" t="str">
        <f>"HEALTH SCI 1/A&amp;P HON"</f>
        <v>HEALTH SCI 1/A&amp;P HON</v>
      </c>
      <c r="G12554" t="str">
        <f>"08-803"</f>
        <v>08-803</v>
      </c>
      <c r="H12554" t="str">
        <f>"B"</f>
        <v>B</v>
      </c>
    </row>
    <row r="12555" spans="1:8" x14ac:dyDescent="0.2">
      <c r="A12555" t="str">
        <f t="shared" ref="A12555:A12562" si="4545">"0615023640"</f>
        <v>0615023640</v>
      </c>
      <c r="B12555" t="str">
        <f t="shared" ref="B12555:B12562" si="4546">"ALLISON"</f>
        <v>ALLISON</v>
      </c>
      <c r="C12555" t="str">
        <f t="shared" si="4544"/>
        <v>OJEDA</v>
      </c>
      <c r="D12555">
        <f>11</f>
        <v>11</v>
      </c>
      <c r="E12555" t="str">
        <f>"04 - A - 101 - Pamela M Corzo"</f>
        <v>04 - A - 101 - Pamela M Corzo</v>
      </c>
      <c r="F12555" t="str">
        <f>"CALCULUS HON"</f>
        <v>CALCULUS HON</v>
      </c>
      <c r="G12555" t="str">
        <f>"21-2133"</f>
        <v>21-2133</v>
      </c>
      <c r="H12555" t="str">
        <f>"A"</f>
        <v>A</v>
      </c>
    </row>
    <row r="12556" spans="1:8" x14ac:dyDescent="0.2">
      <c r="A12556" t="str">
        <f t="shared" si="4545"/>
        <v>0615023640</v>
      </c>
      <c r="B12556" t="str">
        <f t="shared" si="4546"/>
        <v>ALLISON</v>
      </c>
      <c r="C12556" t="str">
        <f t="shared" si="4544"/>
        <v>OJEDA</v>
      </c>
      <c r="D12556">
        <f>11</f>
        <v>11</v>
      </c>
      <c r="E12556" t="str">
        <f>"06 - B - 104 - Byron G Montenegro"</f>
        <v>06 - B - 104 - Byron G Montenegro</v>
      </c>
      <c r="F12556" t="str">
        <f>"AICE MARINE SCI 1 AS"</f>
        <v>AICE MARINE SCI 1 AS</v>
      </c>
      <c r="G12556" t="str">
        <f>"21-2144"</f>
        <v>21-2144</v>
      </c>
      <c r="H12556" t="str">
        <f>"B"</f>
        <v>B</v>
      </c>
    </row>
    <row r="12557" spans="1:8" x14ac:dyDescent="0.2">
      <c r="A12557" t="str">
        <f t="shared" si="4545"/>
        <v>0615023640</v>
      </c>
      <c r="B12557" t="str">
        <f t="shared" si="4546"/>
        <v>ALLISON</v>
      </c>
      <c r="C12557" t="str">
        <f t="shared" si="4544"/>
        <v>OJEDA</v>
      </c>
      <c r="D12557">
        <f>11</f>
        <v>11</v>
      </c>
      <c r="E12557" t="str">
        <f>"03 - A - 101 - Carleigh R Carmichael"</f>
        <v>03 - A - 101 - Carleigh R Carmichael</v>
      </c>
      <c r="F12557" t="str">
        <f>"LEAD SKLS DEV LH"</f>
        <v>LEAD SKLS DEV LH</v>
      </c>
      <c r="G12557" t="str">
        <f>"20-2072"</f>
        <v>20-2072</v>
      </c>
      <c r="H12557" t="str">
        <f>"A"</f>
        <v>A</v>
      </c>
    </row>
    <row r="12558" spans="1:8" x14ac:dyDescent="0.2">
      <c r="A12558" t="str">
        <f t="shared" si="4545"/>
        <v>0615023640</v>
      </c>
      <c r="B12558" t="str">
        <f t="shared" si="4546"/>
        <v>ALLISON</v>
      </c>
      <c r="C12558" t="str">
        <f t="shared" si="4544"/>
        <v>OJEDA</v>
      </c>
      <c r="D12558">
        <f>11</f>
        <v>11</v>
      </c>
      <c r="E12558" t="str">
        <f>"02 - A - 117 - Kyle  Robbins"</f>
        <v>02 - A - 117 - Kyle  Robbins</v>
      </c>
      <c r="F12558" t="str">
        <f>"NC STUDY HALL 1"</f>
        <v>NC STUDY HALL 1</v>
      </c>
      <c r="G12558" t="str">
        <f>"17-1745"</f>
        <v>17-1745</v>
      </c>
      <c r="H12558" t="str">
        <f>"A"</f>
        <v>A</v>
      </c>
    </row>
    <row r="12559" spans="1:8" x14ac:dyDescent="0.2">
      <c r="A12559" t="str">
        <f t="shared" si="4545"/>
        <v>0615023640</v>
      </c>
      <c r="B12559" t="str">
        <f t="shared" si="4546"/>
        <v>ALLISON</v>
      </c>
      <c r="C12559" t="str">
        <f t="shared" si="4544"/>
        <v>OJEDA</v>
      </c>
      <c r="D12559">
        <f>11</f>
        <v>11</v>
      </c>
      <c r="E12559" t="str">
        <f>"07 - B - 102 - Courtney E Hambright"</f>
        <v>07 - B - 102 - Courtney E Hambright</v>
      </c>
      <c r="F12559" t="str">
        <f>"AP ENG LIT COMPO"</f>
        <v>AP ENG LIT COMPO</v>
      </c>
      <c r="G12559" t="str">
        <f>"17-1711"</f>
        <v>17-1711</v>
      </c>
      <c r="H12559" t="str">
        <f>"B"</f>
        <v>B</v>
      </c>
    </row>
    <row r="12560" spans="1:8" x14ac:dyDescent="0.2">
      <c r="A12560" t="str">
        <f t="shared" si="4545"/>
        <v>0615023640</v>
      </c>
      <c r="B12560" t="str">
        <f t="shared" si="4546"/>
        <v>ALLISON</v>
      </c>
      <c r="C12560" t="str">
        <f t="shared" si="4544"/>
        <v>OJEDA</v>
      </c>
      <c r="D12560">
        <f>11</f>
        <v>11</v>
      </c>
      <c r="E12560" t="str">
        <f>"05 - B - 001 - Kyle  Robbins"</f>
        <v>05 - B - 001 - Kyle  Robbins</v>
      </c>
      <c r="F12560" t="str">
        <f>"US HISTORY HON"</f>
        <v>US HISTORY HON</v>
      </c>
      <c r="G12560" t="str">
        <f>"17-1745"</f>
        <v>17-1745</v>
      </c>
      <c r="H12560" t="str">
        <f>"B"</f>
        <v>B</v>
      </c>
    </row>
    <row r="12561" spans="1:8" x14ac:dyDescent="0.2">
      <c r="A12561" t="str">
        <f t="shared" si="4545"/>
        <v>0615023640</v>
      </c>
      <c r="B12561" t="str">
        <f t="shared" si="4546"/>
        <v>ALLISON</v>
      </c>
      <c r="C12561" t="str">
        <f t="shared" si="4544"/>
        <v>OJEDA</v>
      </c>
      <c r="D12561">
        <f>11</f>
        <v>11</v>
      </c>
      <c r="E12561" t="str">
        <f>"01 - A - 101 - Lisa J London"</f>
        <v>01 - A - 101 - Lisa J London</v>
      </c>
      <c r="F12561" t="str">
        <f>"AP CAPSTONE SEMINAR"</f>
        <v>AP CAPSTONE SEMINAR</v>
      </c>
      <c r="G12561" t="str">
        <f>"17-1714"</f>
        <v>17-1714</v>
      </c>
      <c r="H12561" t="str">
        <f>"A"</f>
        <v>A</v>
      </c>
    </row>
    <row r="12562" spans="1:8" x14ac:dyDescent="0.2">
      <c r="A12562" t="str">
        <f t="shared" si="4545"/>
        <v>0615023640</v>
      </c>
      <c r="B12562" t="str">
        <f t="shared" si="4546"/>
        <v>ALLISON</v>
      </c>
      <c r="C12562" t="str">
        <f t="shared" si="4544"/>
        <v>OJEDA</v>
      </c>
      <c r="D12562">
        <f>11</f>
        <v>11</v>
      </c>
      <c r="E12562" t="str">
        <f>"08 - B - 101 - Eva T Rimmer"</f>
        <v>08 - B - 101 - Eva T Rimmer</v>
      </c>
      <c r="F12562" t="str">
        <f>"CRIM JUST OPS 3 HON"</f>
        <v>CRIM JUST OPS 3 HON</v>
      </c>
      <c r="G12562" t="str">
        <f>"05-523"</f>
        <v>05-523</v>
      </c>
      <c r="H12562" t="str">
        <f>"B"</f>
        <v>B</v>
      </c>
    </row>
    <row r="12563" spans="1:8" x14ac:dyDescent="0.2">
      <c r="A12563" t="str">
        <f t="shared" ref="A12563:A12570" si="4547">"0619070800"</f>
        <v>0619070800</v>
      </c>
      <c r="B12563" t="str">
        <f t="shared" ref="B12563:B12570" si="4548">"JORGE"</f>
        <v>JORGE</v>
      </c>
      <c r="C12563" t="str">
        <f t="shared" ref="C12563:C12570" si="4549">"OLIVA MORALES"</f>
        <v>OLIVA MORALES</v>
      </c>
      <c r="D12563">
        <f>10</f>
        <v>10</v>
      </c>
      <c r="E12563" t="str">
        <f>"04 - A - 101 - Rosa Elaine  Collado-Duff"</f>
        <v>04 - A - 101 - Rosa Elaine  Collado-Duff</v>
      </c>
      <c r="F12563" t="str">
        <f>"AICE SPAN LANG AS"</f>
        <v>AICE SPAN LANG AS</v>
      </c>
      <c r="G12563" t="str">
        <f>"09-913"</f>
        <v>09-913</v>
      </c>
      <c r="H12563" t="str">
        <f>"A"</f>
        <v>A</v>
      </c>
    </row>
    <row r="12564" spans="1:8" x14ac:dyDescent="0.2">
      <c r="A12564" t="str">
        <f t="shared" si="4547"/>
        <v>0619070800</v>
      </c>
      <c r="B12564" t="str">
        <f t="shared" si="4548"/>
        <v>JORGE</v>
      </c>
      <c r="C12564" t="str">
        <f t="shared" si="4549"/>
        <v>OLIVA MORALES</v>
      </c>
      <c r="D12564">
        <f>10</f>
        <v>10</v>
      </c>
      <c r="E12564" t="str">
        <f>"06 - B - 107 - Dorothy D Moore"</f>
        <v>06 - B - 107 - Dorothy D Moore</v>
      </c>
      <c r="F12564" t="str">
        <f>"NC STUDY HALL 1"</f>
        <v>NC STUDY HALL 1</v>
      </c>
      <c r="G12564" t="str">
        <f>"08-803"</f>
        <v>08-803</v>
      </c>
      <c r="H12564" t="str">
        <f>"B"</f>
        <v>B</v>
      </c>
    </row>
    <row r="12565" spans="1:8" x14ac:dyDescent="0.2">
      <c r="A12565" t="str">
        <f t="shared" si="4547"/>
        <v>0619070800</v>
      </c>
      <c r="B12565" t="str">
        <f t="shared" si="4548"/>
        <v>JORGE</v>
      </c>
      <c r="C12565" t="str">
        <f t="shared" si="4549"/>
        <v>OLIVA MORALES</v>
      </c>
      <c r="D12565">
        <f>10</f>
        <v>10</v>
      </c>
      <c r="E12565" t="str">
        <f>"03 - A - 002 - Brandy N Zdenek"</f>
        <v>03 - A - 002 - Brandy N Zdenek</v>
      </c>
      <c r="F12565" t="str">
        <f>"AICE ENG LANG AS"</f>
        <v>AICE ENG LANG AS</v>
      </c>
      <c r="G12565" t="str">
        <f>"17-1704"</f>
        <v>17-1704</v>
      </c>
      <c r="H12565" t="str">
        <f>"A"</f>
        <v>A</v>
      </c>
    </row>
    <row r="12566" spans="1:8" x14ac:dyDescent="0.2">
      <c r="A12566" t="str">
        <f t="shared" si="4547"/>
        <v>0619070800</v>
      </c>
      <c r="B12566" t="str">
        <f t="shared" si="4548"/>
        <v>JORGE</v>
      </c>
      <c r="C12566" t="str">
        <f t="shared" si="4549"/>
        <v>OLIVA MORALES</v>
      </c>
      <c r="D12566">
        <f>10</f>
        <v>10</v>
      </c>
      <c r="E12566" t="str">
        <f>"02 - A - 104 - Scott A Dethloff"</f>
        <v>02 - A - 104 - Scott A Dethloff</v>
      </c>
      <c r="F12566" t="str">
        <f>"CHEMISTRY 1 HON"</f>
        <v>CHEMISTRY 1 HON</v>
      </c>
      <c r="G12566" t="str">
        <f>"08-812"</f>
        <v>08-812</v>
      </c>
      <c r="H12566" t="str">
        <f>"A"</f>
        <v>A</v>
      </c>
    </row>
    <row r="12567" spans="1:8" x14ac:dyDescent="0.2">
      <c r="A12567" t="str">
        <f t="shared" si="4547"/>
        <v>0619070800</v>
      </c>
      <c r="B12567" t="str">
        <f t="shared" si="4548"/>
        <v>JORGE</v>
      </c>
      <c r="C12567" t="str">
        <f t="shared" si="4549"/>
        <v>OLIVA MORALES</v>
      </c>
      <c r="D12567">
        <f>10</f>
        <v>10</v>
      </c>
      <c r="E12567" t="str">
        <f>"07 - B - 204 - Elizabeth Ellen  Moran"</f>
        <v>07 - B - 204 - Elizabeth Ellen  Moran</v>
      </c>
      <c r="F12567" t="str">
        <f>"AICE EURO HIST 1 AS"</f>
        <v>AICE EURO HIST 1 AS</v>
      </c>
      <c r="G12567" t="str">
        <f>"17-1752"</f>
        <v>17-1752</v>
      </c>
      <c r="H12567" t="str">
        <f>"B"</f>
        <v>B</v>
      </c>
    </row>
    <row r="12568" spans="1:8" x14ac:dyDescent="0.2">
      <c r="A12568" t="str">
        <f t="shared" si="4547"/>
        <v>0619070800</v>
      </c>
      <c r="B12568" t="str">
        <f t="shared" si="4548"/>
        <v>JORGE</v>
      </c>
      <c r="C12568" t="str">
        <f t="shared" si="4549"/>
        <v>OLIVA MORALES</v>
      </c>
      <c r="D12568">
        <f>10</f>
        <v>10</v>
      </c>
      <c r="E12568" t="str">
        <f>"05 - B - 104 - Lourivaldo  Da Silva"</f>
        <v>05 - B - 104 - Lourivaldo  Da Silva</v>
      </c>
      <c r="F12568" t="str">
        <f>"PRE-CALCULUS HON"</f>
        <v>PRE-CALCULUS HON</v>
      </c>
      <c r="G12568" t="str">
        <f>"20-2079"</f>
        <v>20-2079</v>
      </c>
      <c r="H12568" t="str">
        <f>"B"</f>
        <v>B</v>
      </c>
    </row>
    <row r="12569" spans="1:8" x14ac:dyDescent="0.2">
      <c r="A12569" t="str">
        <f t="shared" si="4547"/>
        <v>0619070800</v>
      </c>
      <c r="B12569" t="str">
        <f t="shared" si="4548"/>
        <v>JORGE</v>
      </c>
      <c r="C12569" t="str">
        <f t="shared" si="4549"/>
        <v>OLIVA MORALES</v>
      </c>
      <c r="D12569">
        <f>10</f>
        <v>10</v>
      </c>
      <c r="E12569" t="str">
        <f>"01 - A - 101 - Daniel S Katz"</f>
        <v>01 - A - 101 - Daniel S Katz</v>
      </c>
      <c r="F12569" t="str">
        <f>"EXEC INTERN 3 LH"</f>
        <v>EXEC INTERN 3 LH</v>
      </c>
      <c r="G12569" t="str">
        <f>"21-2156"</f>
        <v>21-2156</v>
      </c>
      <c r="H12569" t="str">
        <f>"A"</f>
        <v>A</v>
      </c>
    </row>
    <row r="12570" spans="1:8" x14ac:dyDescent="0.2">
      <c r="A12570" t="str">
        <f t="shared" si="4547"/>
        <v>0619070800</v>
      </c>
      <c r="B12570" t="str">
        <f t="shared" si="4548"/>
        <v>JORGE</v>
      </c>
      <c r="C12570" t="str">
        <f t="shared" si="4549"/>
        <v>OLIVA MORALES</v>
      </c>
      <c r="D12570">
        <f>10</f>
        <v>10</v>
      </c>
      <c r="E12570" t="str">
        <f>"08 - B - 201 - Stacey A Blecker"</f>
        <v>08 - B - 201 - Stacey A Blecker</v>
      </c>
      <c r="F12570" t="str">
        <f>"AICE SOCIOLOGY 1 AS"</f>
        <v>AICE SOCIOLOGY 1 AS</v>
      </c>
      <c r="G12570" t="str">
        <f>"09-926"</f>
        <v>09-926</v>
      </c>
      <c r="H12570" t="str">
        <f>"B"</f>
        <v>B</v>
      </c>
    </row>
    <row r="12571" spans="1:8" x14ac:dyDescent="0.2">
      <c r="A12571" t="str">
        <f t="shared" ref="A12571:A12578" si="4550">"0620107140"</f>
        <v>0620107140</v>
      </c>
      <c r="B12571" t="str">
        <f t="shared" ref="B12571:B12578" si="4551">"PEDRO"</f>
        <v>PEDRO</v>
      </c>
      <c r="C12571" t="str">
        <f t="shared" ref="C12571:C12578" si="4552">"OLIVEIRA-LIMA"</f>
        <v>OLIVEIRA-LIMA</v>
      </c>
      <c r="D12571" t="str">
        <f t="shared" ref="D12571:D12578" si="4553">"09"</f>
        <v>09</v>
      </c>
      <c r="E12571" t="str">
        <f>"04 - A - 101 - Chrystina M Marchionne"</f>
        <v>04 - A - 101 - Chrystina M Marchionne</v>
      </c>
      <c r="F12571" t="str">
        <f>"THEA CIN &amp; FILM LH"</f>
        <v>THEA CIN &amp; FILM LH</v>
      </c>
      <c r="G12571" t="str">
        <f>"05-520"</f>
        <v>05-520</v>
      </c>
      <c r="H12571" t="str">
        <f>"A"</f>
        <v>A</v>
      </c>
    </row>
    <row r="12572" spans="1:8" x14ac:dyDescent="0.2">
      <c r="A12572" t="str">
        <f t="shared" si="4550"/>
        <v>0620107140</v>
      </c>
      <c r="B12572" t="str">
        <f t="shared" si="4551"/>
        <v>PEDRO</v>
      </c>
      <c r="C12572" t="str">
        <f t="shared" si="4552"/>
        <v>OLIVEIRA-LIMA</v>
      </c>
      <c r="D12572" t="str">
        <f t="shared" si="4553"/>
        <v>09</v>
      </c>
      <c r="E12572" t="str">
        <f>"06 - B - 202 - Alejandro  Navarro"</f>
        <v>06 - B - 202 - Alejandro  Navarro</v>
      </c>
      <c r="F12572" t="str">
        <f>"BAND 1"</f>
        <v>BAND 1</v>
      </c>
      <c r="G12572" t="str">
        <f>"05-504"</f>
        <v>05-504</v>
      </c>
      <c r="H12572" t="str">
        <f>"B"</f>
        <v>B</v>
      </c>
    </row>
    <row r="12573" spans="1:8" x14ac:dyDescent="0.2">
      <c r="A12573" t="str">
        <f t="shared" si="4550"/>
        <v>0620107140</v>
      </c>
      <c r="B12573" t="str">
        <f t="shared" si="4551"/>
        <v>PEDRO</v>
      </c>
      <c r="C12573" t="str">
        <f t="shared" si="4552"/>
        <v>OLIVEIRA-LIMA</v>
      </c>
      <c r="D12573" t="str">
        <f t="shared" si="4553"/>
        <v>09</v>
      </c>
      <c r="E12573" t="str">
        <f>"03 - A - 203 - Elizabeth R Walker"</f>
        <v>03 - A - 203 - Elizabeth R Walker</v>
      </c>
      <c r="F12573" t="str">
        <f>"AICE ENG GEN PAPER 1"</f>
        <v>AICE ENG GEN PAPER 1</v>
      </c>
      <c r="G12573" t="str">
        <f>"17-1703"</f>
        <v>17-1703</v>
      </c>
      <c r="H12573" t="str">
        <f>"A"</f>
        <v>A</v>
      </c>
    </row>
    <row r="12574" spans="1:8" x14ac:dyDescent="0.2">
      <c r="A12574" t="str">
        <f t="shared" si="4550"/>
        <v>0620107140</v>
      </c>
      <c r="B12574" t="str">
        <f t="shared" si="4551"/>
        <v>PEDRO</v>
      </c>
      <c r="C12574" t="str">
        <f t="shared" si="4552"/>
        <v>OLIVEIRA-LIMA</v>
      </c>
      <c r="D12574" t="str">
        <f t="shared" si="4553"/>
        <v>09</v>
      </c>
      <c r="E12574" t="str">
        <f>"02 - A - 104 - Lytrell T Dixon"</f>
        <v>02 - A - 104 - Lytrell T Dixon</v>
      </c>
      <c r="F12574" t="str">
        <f>"NC STUDY HALL 1"</f>
        <v>NC STUDY HALL 1</v>
      </c>
      <c r="G12574" t="str">
        <f>"08-808"</f>
        <v>08-808</v>
      </c>
      <c r="H12574" t="str">
        <f>"A"</f>
        <v>A</v>
      </c>
    </row>
    <row r="12575" spans="1:8" x14ac:dyDescent="0.2">
      <c r="A12575" t="str">
        <f t="shared" si="4550"/>
        <v>0620107140</v>
      </c>
      <c r="B12575" t="str">
        <f t="shared" si="4551"/>
        <v>PEDRO</v>
      </c>
      <c r="C12575" t="str">
        <f t="shared" si="4552"/>
        <v>OLIVEIRA-LIMA</v>
      </c>
      <c r="D12575" t="str">
        <f t="shared" si="4553"/>
        <v>09</v>
      </c>
      <c r="E12575" t="str">
        <f>"07 - B - 105 - Byron G Montenegro"</f>
        <v>07 - B - 105 - Byron G Montenegro</v>
      </c>
      <c r="F12575" t="str">
        <f>"AICE MARINE SCI 1 AS"</f>
        <v>AICE MARINE SCI 1 AS</v>
      </c>
      <c r="G12575" t="str">
        <f>"21-2144"</f>
        <v>21-2144</v>
      </c>
      <c r="H12575" t="str">
        <f>"B"</f>
        <v>B</v>
      </c>
    </row>
    <row r="12576" spans="1:8" x14ac:dyDescent="0.2">
      <c r="A12576" t="str">
        <f t="shared" si="4550"/>
        <v>0620107140</v>
      </c>
      <c r="B12576" t="str">
        <f t="shared" si="4551"/>
        <v>PEDRO</v>
      </c>
      <c r="C12576" t="str">
        <f t="shared" si="4552"/>
        <v>OLIVEIRA-LIMA</v>
      </c>
      <c r="D12576" t="str">
        <f t="shared" si="4553"/>
        <v>09</v>
      </c>
      <c r="E12576" t="str">
        <f>"05 - B - 003 - Krystal Marie  Beruty"</f>
        <v>05 - B - 003 - Krystal Marie  Beruty</v>
      </c>
      <c r="F12576" t="str">
        <f>"AICE GLBL PERSP 1 AS"</f>
        <v>AICE GLBL PERSP 1 AS</v>
      </c>
      <c r="G12576" t="str">
        <f>"17-1721"</f>
        <v>17-1721</v>
      </c>
      <c r="H12576" t="str">
        <f>"B"</f>
        <v>B</v>
      </c>
    </row>
    <row r="12577" spans="1:8" x14ac:dyDescent="0.2">
      <c r="A12577" t="str">
        <f t="shared" si="4550"/>
        <v>0620107140</v>
      </c>
      <c r="B12577" t="str">
        <f t="shared" si="4551"/>
        <v>PEDRO</v>
      </c>
      <c r="C12577" t="str">
        <f t="shared" si="4552"/>
        <v>OLIVEIRA-LIMA</v>
      </c>
      <c r="D12577" t="str">
        <f t="shared" si="4553"/>
        <v>09</v>
      </c>
      <c r="E12577" t="str">
        <f>"01 - A - 101 - Maried P Ramos"</f>
        <v>01 - A - 101 - Maried P Ramos</v>
      </c>
      <c r="F12577" t="str">
        <f>"ALGEBRA 2 HON"</f>
        <v>ALGEBRA 2 HON</v>
      </c>
      <c r="G12577" t="str">
        <f>"21-2159"</f>
        <v>21-2159</v>
      </c>
      <c r="H12577" t="str">
        <f>"A"</f>
        <v>A</v>
      </c>
    </row>
    <row r="12578" spans="1:8" x14ac:dyDescent="0.2">
      <c r="A12578" t="str">
        <f t="shared" si="4550"/>
        <v>0620107140</v>
      </c>
      <c r="B12578" t="str">
        <f t="shared" si="4551"/>
        <v>PEDRO</v>
      </c>
      <c r="C12578" t="str">
        <f t="shared" si="4552"/>
        <v>OLIVEIRA-LIMA</v>
      </c>
      <c r="D12578" t="str">
        <f t="shared" si="4553"/>
        <v>09</v>
      </c>
      <c r="E12578" t="str">
        <f>"08 - B - 001 - Chrystina M Marchionne"</f>
        <v>08 - B - 001 - Chrystina M Marchionne</v>
      </c>
      <c r="F12578" t="str">
        <f>"JOURN 1 (YB) LH"</f>
        <v>JOURN 1 (YB) LH</v>
      </c>
      <c r="G12578" t="str">
        <f>"05-520"</f>
        <v>05-520</v>
      </c>
      <c r="H12578" t="str">
        <f>"B"</f>
        <v>B</v>
      </c>
    </row>
    <row r="12579" spans="1:8" x14ac:dyDescent="0.2">
      <c r="A12579" t="str">
        <f t="shared" ref="A12579:A12586" si="4554">"0625011394"</f>
        <v>0625011394</v>
      </c>
      <c r="B12579" t="str">
        <f t="shared" ref="B12579:B12586" si="4555">"Ray"</f>
        <v>Ray</v>
      </c>
      <c r="C12579" t="str">
        <f t="shared" ref="C12579:C12586" si="4556">"Olivier"</f>
        <v>Olivier</v>
      </c>
      <c r="D12579">
        <f>10</f>
        <v>10</v>
      </c>
      <c r="E12579" t="str">
        <f>"04 - S1 - A - 101 - Leslie J Barton"</f>
        <v>04 - S1 - A - 101 - Leslie J Barton</v>
      </c>
      <c r="F12579" t="str">
        <f>"TEAM SPORTS 1"</f>
        <v>TEAM SPORTS 1</v>
      </c>
      <c r="G12579" t="str">
        <f>"04-254"</f>
        <v>04-254</v>
      </c>
      <c r="H12579" t="str">
        <f>"A"</f>
        <v>A</v>
      </c>
    </row>
    <row r="12580" spans="1:8" x14ac:dyDescent="0.2">
      <c r="A12580" t="str">
        <f t="shared" si="4554"/>
        <v>0625011394</v>
      </c>
      <c r="B12580" t="str">
        <f t="shared" si="4555"/>
        <v>Ray</v>
      </c>
      <c r="C12580" t="str">
        <f t="shared" si="4556"/>
        <v>Olivier</v>
      </c>
      <c r="D12580">
        <f>10</f>
        <v>10</v>
      </c>
      <c r="E12580" t="str">
        <f>"06 - B - 103 - Vanessa J Liburd"</f>
        <v>06 - B - 103 - Vanessa J Liburd</v>
      </c>
      <c r="F12580" t="str">
        <f>"NC STUDY HALL 1"</f>
        <v>NC STUDY HALL 1</v>
      </c>
      <c r="G12580" t="str">
        <f>"05-519"</f>
        <v>05-519</v>
      </c>
      <c r="H12580" t="str">
        <f>"B"</f>
        <v>B</v>
      </c>
    </row>
    <row r="12581" spans="1:8" x14ac:dyDescent="0.2">
      <c r="A12581" t="str">
        <f t="shared" si="4554"/>
        <v>0625011394</v>
      </c>
      <c r="B12581" t="str">
        <f t="shared" si="4555"/>
        <v>Ray</v>
      </c>
      <c r="C12581" t="str">
        <f t="shared" si="4556"/>
        <v>Olivier</v>
      </c>
      <c r="D12581">
        <f>10</f>
        <v>10</v>
      </c>
      <c r="E12581" t="str">
        <f>"03 - A - 103 - Marius D Orsolini"</f>
        <v>03 - A - 103 - Marius D Orsolini</v>
      </c>
      <c r="F12581" t="str">
        <f>"CULINARY ARTS 1"</f>
        <v>CULINARY ARTS 1</v>
      </c>
      <c r="G12581" t="str">
        <f>"21-2115"</f>
        <v>21-2115</v>
      </c>
      <c r="H12581" t="str">
        <f>"A"</f>
        <v>A</v>
      </c>
    </row>
    <row r="12582" spans="1:8" x14ac:dyDescent="0.2">
      <c r="A12582" t="str">
        <f t="shared" si="4554"/>
        <v>0625011394</v>
      </c>
      <c r="B12582" t="str">
        <f t="shared" si="4555"/>
        <v>Ray</v>
      </c>
      <c r="C12582" t="str">
        <f t="shared" si="4556"/>
        <v>Olivier</v>
      </c>
      <c r="D12582">
        <f>10</f>
        <v>10</v>
      </c>
      <c r="E12582" t="str">
        <f>"02 - S1 - A - 101 - James H Mccann"</f>
        <v>02 - S1 - A - 101 - James H Mccann</v>
      </c>
      <c r="F12582" t="str">
        <f>"PERS FIN &amp; MON MGT H"</f>
        <v>PERS FIN &amp; MON MGT H</v>
      </c>
      <c r="G12582" t="str">
        <f>"17-1716"</f>
        <v>17-1716</v>
      </c>
      <c r="H12582" t="str">
        <f>"A"</f>
        <v>A</v>
      </c>
    </row>
    <row r="12583" spans="1:8" x14ac:dyDescent="0.2">
      <c r="A12583" t="str">
        <f t="shared" si="4554"/>
        <v>0625011394</v>
      </c>
      <c r="B12583" t="str">
        <f t="shared" si="4555"/>
        <v>Ray</v>
      </c>
      <c r="C12583" t="str">
        <f t="shared" si="4556"/>
        <v>Olivier</v>
      </c>
      <c r="D12583">
        <f>10</f>
        <v>10</v>
      </c>
      <c r="E12583" t="str">
        <f>"07 - B - 107 - Lytrell T Dixon"</f>
        <v>07 - B - 107 - Lytrell T Dixon</v>
      </c>
      <c r="F12583" t="str">
        <f>"BIOLOGY 1"</f>
        <v>BIOLOGY 1</v>
      </c>
      <c r="G12583" t="str">
        <f>"08-808"</f>
        <v>08-808</v>
      </c>
      <c r="H12583" t="str">
        <f>"B"</f>
        <v>B</v>
      </c>
    </row>
    <row r="12584" spans="1:8" x14ac:dyDescent="0.2">
      <c r="A12584" t="str">
        <f t="shared" si="4554"/>
        <v>0625011394</v>
      </c>
      <c r="B12584" t="str">
        <f t="shared" si="4555"/>
        <v>Ray</v>
      </c>
      <c r="C12584" t="str">
        <f t="shared" si="4556"/>
        <v>Olivier</v>
      </c>
      <c r="D12584">
        <f>10</f>
        <v>10</v>
      </c>
      <c r="E12584" t="str">
        <f>"05 - B - 106 - Jacquelyn M Neeson"</f>
        <v>05 - B - 106 - Jacquelyn M Neeson</v>
      </c>
      <c r="F12584" t="str">
        <f>"ENG 2"</f>
        <v>ENG 2</v>
      </c>
      <c r="G12584" t="str">
        <f>"17-1715"</f>
        <v>17-1715</v>
      </c>
      <c r="H12584" t="str">
        <f>"B"</f>
        <v>B</v>
      </c>
    </row>
    <row r="12585" spans="1:8" x14ac:dyDescent="0.2">
      <c r="A12585" t="str">
        <f t="shared" si="4554"/>
        <v>0625011394</v>
      </c>
      <c r="B12585" t="str">
        <f t="shared" si="4555"/>
        <v>Ray</v>
      </c>
      <c r="C12585" t="str">
        <f t="shared" si="4556"/>
        <v>Olivier</v>
      </c>
      <c r="D12585">
        <f>10</f>
        <v>10</v>
      </c>
      <c r="E12585" t="str">
        <f>"01 - A - 101 - Ferrie J Arostique"</f>
        <v>01 - A - 101 - Ferrie J Arostique</v>
      </c>
      <c r="F12585" t="str">
        <f>"GEOMETRY"</f>
        <v>GEOMETRY</v>
      </c>
      <c r="G12585" t="str">
        <f>"21-2139"</f>
        <v>21-2139</v>
      </c>
      <c r="H12585" t="str">
        <f>"A"</f>
        <v>A</v>
      </c>
    </row>
    <row r="12586" spans="1:8" x14ac:dyDescent="0.2">
      <c r="A12586" t="str">
        <f t="shared" si="4554"/>
        <v>0625011394</v>
      </c>
      <c r="B12586" t="str">
        <f t="shared" si="4555"/>
        <v>Ray</v>
      </c>
      <c r="C12586" t="str">
        <f t="shared" si="4556"/>
        <v>Olivier</v>
      </c>
      <c r="D12586">
        <f>10</f>
        <v>10</v>
      </c>
      <c r="E12586" t="str">
        <f>"08 - B - 105 - Daniel S Tyson"</f>
        <v>08 - B - 105 - Daniel S Tyson</v>
      </c>
      <c r="F12586" t="str">
        <f>"JROTC NAVAL SCI 2"</f>
        <v>JROTC NAVAL SCI 2</v>
      </c>
      <c r="G12586" t="str">
        <f>"05-510"</f>
        <v>05-510</v>
      </c>
      <c r="H12586" t="str">
        <f>"B"</f>
        <v>B</v>
      </c>
    </row>
    <row r="12587" spans="1:8" x14ac:dyDescent="0.2">
      <c r="A12587" t="str">
        <f t="shared" ref="A12587:A12594" si="4557">"0616145293"</f>
        <v>0616145293</v>
      </c>
      <c r="B12587" t="str">
        <f t="shared" ref="B12587:B12594" si="4558">"GLORY"</f>
        <v>GLORY</v>
      </c>
      <c r="C12587" t="str">
        <f t="shared" ref="C12587:C12594" si="4559">"OLOWOFELA"</f>
        <v>OLOWOFELA</v>
      </c>
      <c r="D12587">
        <f>10</f>
        <v>10</v>
      </c>
      <c r="E12587" t="str">
        <f>"04 - A - 102 - Daniel S Katz"</f>
        <v>04 - A - 102 - Daniel S Katz</v>
      </c>
      <c r="F12587" t="str">
        <f>"AICE DRAMA 1 AS LEV"</f>
        <v>AICE DRAMA 1 AS LEV</v>
      </c>
      <c r="G12587" t="str">
        <f>"05-521"</f>
        <v>05-521</v>
      </c>
      <c r="H12587" t="str">
        <f>"A"</f>
        <v>A</v>
      </c>
    </row>
    <row r="12588" spans="1:8" x14ac:dyDescent="0.2">
      <c r="A12588" t="str">
        <f t="shared" si="4557"/>
        <v>0616145293</v>
      </c>
      <c r="B12588" t="str">
        <f t="shared" si="4558"/>
        <v>GLORY</v>
      </c>
      <c r="C12588" t="str">
        <f t="shared" si="4559"/>
        <v>OLOWOFELA</v>
      </c>
      <c r="D12588">
        <f>10</f>
        <v>10</v>
      </c>
      <c r="E12588" t="str">
        <f>"06 - B - 112 - Tina M Jaramillo"</f>
        <v>06 - B - 112 - Tina M Jaramillo</v>
      </c>
      <c r="F12588" t="str">
        <f>"NC STUDY HALL 1"</f>
        <v>NC STUDY HALL 1</v>
      </c>
      <c r="G12588" t="str">
        <f>"17-1706"</f>
        <v>17-1706</v>
      </c>
      <c r="H12588" t="str">
        <f>"B"</f>
        <v>B</v>
      </c>
    </row>
    <row r="12589" spans="1:8" x14ac:dyDescent="0.2">
      <c r="A12589" t="str">
        <f t="shared" si="4557"/>
        <v>0616145293</v>
      </c>
      <c r="B12589" t="str">
        <f t="shared" si="4558"/>
        <v>GLORY</v>
      </c>
      <c r="C12589" t="str">
        <f t="shared" si="4559"/>
        <v>OLOWOFELA</v>
      </c>
      <c r="D12589">
        <f>10</f>
        <v>10</v>
      </c>
      <c r="E12589" t="str">
        <f>"03 - A - 002 - Lenecy  Nodarse"</f>
        <v>03 - A - 002 - Lenecy  Nodarse</v>
      </c>
      <c r="F12589" t="str">
        <f>"AICE EURO HIST 1 AS"</f>
        <v>AICE EURO HIST 1 AS</v>
      </c>
      <c r="G12589" t="str">
        <f>"17-1741"</f>
        <v>17-1741</v>
      </c>
      <c r="H12589" t="str">
        <f>"A"</f>
        <v>A</v>
      </c>
    </row>
    <row r="12590" spans="1:8" x14ac:dyDescent="0.2">
      <c r="A12590" t="str">
        <f t="shared" si="4557"/>
        <v>0616145293</v>
      </c>
      <c r="B12590" t="str">
        <f t="shared" si="4558"/>
        <v>GLORY</v>
      </c>
      <c r="C12590" t="str">
        <f t="shared" si="4559"/>
        <v>OLOWOFELA</v>
      </c>
      <c r="D12590">
        <f>10</f>
        <v>10</v>
      </c>
      <c r="E12590" t="str">
        <f>"02 - A - 104 - Scott A Dethloff"</f>
        <v>02 - A - 104 - Scott A Dethloff</v>
      </c>
      <c r="F12590" t="str">
        <f>"CHEMISTRY 1 HON"</f>
        <v>CHEMISTRY 1 HON</v>
      </c>
      <c r="G12590" t="str">
        <f>"08-812"</f>
        <v>08-812</v>
      </c>
      <c r="H12590" t="str">
        <f>"A"</f>
        <v>A</v>
      </c>
    </row>
    <row r="12591" spans="1:8" x14ac:dyDescent="0.2">
      <c r="A12591" t="str">
        <f t="shared" si="4557"/>
        <v>0616145293</v>
      </c>
      <c r="B12591" t="str">
        <f t="shared" si="4558"/>
        <v>GLORY</v>
      </c>
      <c r="C12591" t="str">
        <f t="shared" si="4559"/>
        <v>OLOWOFELA</v>
      </c>
      <c r="D12591">
        <f>10</f>
        <v>10</v>
      </c>
      <c r="E12591" t="str">
        <f>"07 - B - 107 - Jacklyn M James"</f>
        <v>07 - B - 107 - Jacklyn M James</v>
      </c>
      <c r="F12591" t="str">
        <f>"AICE ENG LANG AS"</f>
        <v>AICE ENG LANG AS</v>
      </c>
      <c r="G12591" t="str">
        <f>"17-1731"</f>
        <v>17-1731</v>
      </c>
      <c r="H12591" t="str">
        <f>"B"</f>
        <v>B</v>
      </c>
    </row>
    <row r="12592" spans="1:8" x14ac:dyDescent="0.2">
      <c r="A12592" t="str">
        <f t="shared" si="4557"/>
        <v>0616145293</v>
      </c>
      <c r="B12592" t="str">
        <f t="shared" si="4558"/>
        <v>GLORY</v>
      </c>
      <c r="C12592" t="str">
        <f t="shared" si="4559"/>
        <v>OLOWOFELA</v>
      </c>
      <c r="D12592">
        <f>10</f>
        <v>10</v>
      </c>
      <c r="E12592" t="str">
        <f>"05 - B - 104 - Lourivaldo  Da Silva"</f>
        <v>05 - B - 104 - Lourivaldo  Da Silva</v>
      </c>
      <c r="F12592" t="str">
        <f>"PRE-CALCULUS HON"</f>
        <v>PRE-CALCULUS HON</v>
      </c>
      <c r="G12592" t="str">
        <f>"20-2079"</f>
        <v>20-2079</v>
      </c>
      <c r="H12592" t="str">
        <f>"B"</f>
        <v>B</v>
      </c>
    </row>
    <row r="12593" spans="1:8" x14ac:dyDescent="0.2">
      <c r="A12593" t="str">
        <f t="shared" si="4557"/>
        <v>0616145293</v>
      </c>
      <c r="B12593" t="str">
        <f t="shared" si="4558"/>
        <v>GLORY</v>
      </c>
      <c r="C12593" t="str">
        <f t="shared" si="4559"/>
        <v>OLOWOFELA</v>
      </c>
      <c r="D12593">
        <f>10</f>
        <v>10</v>
      </c>
      <c r="E12593" t="str">
        <f>"01 - A - 101 - Daniel S Katz"</f>
        <v>01 - A - 101 - Daniel S Katz</v>
      </c>
      <c r="F12593" t="str">
        <f>"EXEC INTERN 3 LH"</f>
        <v>EXEC INTERN 3 LH</v>
      </c>
      <c r="G12593" t="str">
        <f>"21-2156"</f>
        <v>21-2156</v>
      </c>
      <c r="H12593" t="str">
        <f>"A"</f>
        <v>A</v>
      </c>
    </row>
    <row r="12594" spans="1:8" x14ac:dyDescent="0.2">
      <c r="A12594" t="str">
        <f t="shared" si="4557"/>
        <v>0616145293</v>
      </c>
      <c r="B12594" t="str">
        <f t="shared" si="4558"/>
        <v>GLORY</v>
      </c>
      <c r="C12594" t="str">
        <f t="shared" si="4559"/>
        <v>OLOWOFELA</v>
      </c>
      <c r="D12594">
        <f>10</f>
        <v>10</v>
      </c>
      <c r="E12594" t="str">
        <f>"08 - B - 206 - Daniel S Katz"</f>
        <v>08 - B - 206 - Daniel S Katz</v>
      </c>
      <c r="F12594" t="str">
        <f>"AICE MEDIASTUDIES AS"</f>
        <v>AICE MEDIASTUDIES AS</v>
      </c>
      <c r="G12594" t="str">
        <f>"05-521"</f>
        <v>05-521</v>
      </c>
      <c r="H12594" t="str">
        <f>"B"</f>
        <v>B</v>
      </c>
    </row>
    <row r="12595" spans="1:8" x14ac:dyDescent="0.2">
      <c r="A12595" t="str">
        <f t="shared" ref="A12595:A12602" si="4560">"0614121058"</f>
        <v>0614121058</v>
      </c>
      <c r="B12595" t="str">
        <f t="shared" ref="B12595:B12602" si="4561">"JACK"</f>
        <v>JACK</v>
      </c>
      <c r="C12595" t="str">
        <f t="shared" ref="C12595:C12602" si="4562">"OLSON"</f>
        <v>OLSON</v>
      </c>
      <c r="D12595">
        <f>11</f>
        <v>11</v>
      </c>
      <c r="E12595" t="str">
        <f>"04 - A - 101 - Stephen T Ripp"</f>
        <v>04 - A - 101 - Stephen T Ripp</v>
      </c>
      <c r="F12595" t="str">
        <f>"AP U.S. HIST"</f>
        <v>AP U.S. HIST</v>
      </c>
      <c r="G12595" t="str">
        <f>"17-1744"</f>
        <v>17-1744</v>
      </c>
      <c r="H12595" t="str">
        <f>"A"</f>
        <v>A</v>
      </c>
    </row>
    <row r="12596" spans="1:8" x14ac:dyDescent="0.2">
      <c r="A12596" t="str">
        <f t="shared" si="4560"/>
        <v>0614121058</v>
      </c>
      <c r="B12596" t="str">
        <f t="shared" si="4561"/>
        <v>JACK</v>
      </c>
      <c r="C12596" t="str">
        <f t="shared" si="4562"/>
        <v>OLSON</v>
      </c>
      <c r="D12596">
        <f>11</f>
        <v>11</v>
      </c>
      <c r="E12596" t="str">
        <f>"06 - B - 104 - Brandy N Zdenek"</f>
        <v>06 - B - 104 - Brandy N Zdenek</v>
      </c>
      <c r="F12596" t="str">
        <f>"AICE ENG LANG 2 AL"</f>
        <v>AICE ENG LANG 2 AL</v>
      </c>
      <c r="G12596" t="str">
        <f>"17-1704"</f>
        <v>17-1704</v>
      </c>
      <c r="H12596" t="str">
        <f>"B"</f>
        <v>B</v>
      </c>
    </row>
    <row r="12597" spans="1:8" x14ac:dyDescent="0.2">
      <c r="A12597" t="str">
        <f t="shared" si="4560"/>
        <v>0614121058</v>
      </c>
      <c r="B12597" t="str">
        <f t="shared" si="4561"/>
        <v>JACK</v>
      </c>
      <c r="C12597" t="str">
        <f t="shared" si="4562"/>
        <v>OLSON</v>
      </c>
      <c r="D12597">
        <f>11</f>
        <v>11</v>
      </c>
      <c r="E12597" t="str">
        <f>"03 - A - 101 - Jacqueline R Morphet"</f>
        <v>03 - A - 101 - Jacqueline R Morphet</v>
      </c>
      <c r="F12597" t="str">
        <f>"AP PHYSICS 1"</f>
        <v>AP PHYSICS 1</v>
      </c>
      <c r="G12597" t="str">
        <f>"21-2138"</f>
        <v>21-2138</v>
      </c>
      <c r="H12597" t="str">
        <f>"A"</f>
        <v>A</v>
      </c>
    </row>
    <row r="12598" spans="1:8" x14ac:dyDescent="0.2">
      <c r="A12598" t="str">
        <f t="shared" si="4560"/>
        <v>0614121058</v>
      </c>
      <c r="B12598" t="str">
        <f t="shared" si="4561"/>
        <v>JACK</v>
      </c>
      <c r="C12598" t="str">
        <f t="shared" si="4562"/>
        <v>OLSON</v>
      </c>
      <c r="D12598">
        <f>11</f>
        <v>11</v>
      </c>
      <c r="E12598" t="str">
        <f>"02 - A - 114 - Eva T Rimmer"</f>
        <v>02 - A - 114 - Eva T Rimmer</v>
      </c>
      <c r="F12598" t="str">
        <f>"NC STUDY HALL 1"</f>
        <v>NC STUDY HALL 1</v>
      </c>
      <c r="G12598" t="str">
        <f>"05-523"</f>
        <v>05-523</v>
      </c>
      <c r="H12598" t="str">
        <f>"A"</f>
        <v>A</v>
      </c>
    </row>
    <row r="12599" spans="1:8" x14ac:dyDescent="0.2">
      <c r="A12599" t="str">
        <f t="shared" si="4560"/>
        <v>0614121058</v>
      </c>
      <c r="B12599" t="str">
        <f t="shared" si="4561"/>
        <v>JACK</v>
      </c>
      <c r="C12599" t="str">
        <f t="shared" si="4562"/>
        <v>OLSON</v>
      </c>
      <c r="D12599">
        <f>11</f>
        <v>11</v>
      </c>
      <c r="E12599" t="str">
        <f>"07 - B - 201 - Angela S Adeshina-Morrison"</f>
        <v>07 - B - 201 - Angela S Adeshina-Morrison</v>
      </c>
      <c r="F12599" t="str">
        <f>"BUSINESS OWNER HON"</f>
        <v>BUSINESS OWNER HON</v>
      </c>
      <c r="G12599" t="str">
        <f>"05-518"</f>
        <v>05-518</v>
      </c>
      <c r="H12599" t="str">
        <f>"B"</f>
        <v>B</v>
      </c>
    </row>
    <row r="12600" spans="1:8" x14ac:dyDescent="0.2">
      <c r="A12600" t="str">
        <f t="shared" si="4560"/>
        <v>0614121058</v>
      </c>
      <c r="B12600" t="str">
        <f t="shared" si="4561"/>
        <v>JACK</v>
      </c>
      <c r="C12600" t="str">
        <f t="shared" si="4562"/>
        <v>OLSON</v>
      </c>
      <c r="D12600">
        <f>11</f>
        <v>11</v>
      </c>
      <c r="E12600" t="str">
        <f>"05 - B - 101 - Pamela M Corzo"</f>
        <v>05 - B - 101 - Pamela M Corzo</v>
      </c>
      <c r="F12600" t="str">
        <f>"AP CALCULUS AB"</f>
        <v>AP CALCULUS AB</v>
      </c>
      <c r="G12600" t="str">
        <f>"21-2133"</f>
        <v>21-2133</v>
      </c>
      <c r="H12600" t="str">
        <f>"B"</f>
        <v>B</v>
      </c>
    </row>
    <row r="12601" spans="1:8" x14ac:dyDescent="0.2">
      <c r="A12601" t="str">
        <f t="shared" si="4560"/>
        <v>0614121058</v>
      </c>
      <c r="B12601" t="str">
        <f t="shared" si="4561"/>
        <v>JACK</v>
      </c>
      <c r="C12601" t="str">
        <f t="shared" si="4562"/>
        <v>OLSON</v>
      </c>
      <c r="D12601">
        <f>11</f>
        <v>11</v>
      </c>
      <c r="E12601" t="str">
        <f>"01 - A - 101 - Lisa J London"</f>
        <v>01 - A - 101 - Lisa J London</v>
      </c>
      <c r="F12601" t="str">
        <f>"AP CAPSTONE SEMINAR"</f>
        <v>AP CAPSTONE SEMINAR</v>
      </c>
      <c r="G12601" t="str">
        <f>"17-1714"</f>
        <v>17-1714</v>
      </c>
      <c r="H12601" t="str">
        <f>"A"</f>
        <v>A</v>
      </c>
    </row>
    <row r="12602" spans="1:8" x14ac:dyDescent="0.2">
      <c r="A12602" t="str">
        <f t="shared" si="4560"/>
        <v>0614121058</v>
      </c>
      <c r="B12602" t="str">
        <f t="shared" si="4561"/>
        <v>JACK</v>
      </c>
      <c r="C12602" t="str">
        <f t="shared" si="4562"/>
        <v>OLSON</v>
      </c>
      <c r="D12602">
        <f>11</f>
        <v>11</v>
      </c>
      <c r="E12602" t="str">
        <f>"08 - B - 101 - Marius D Orsolini"</f>
        <v>08 - B - 101 - Marius D Orsolini</v>
      </c>
      <c r="F12602" t="str">
        <f>"CULINARY ARTS 2"</f>
        <v>CULINARY ARTS 2</v>
      </c>
      <c r="G12602" t="str">
        <f>"21-2115"</f>
        <v>21-2115</v>
      </c>
      <c r="H12602" t="str">
        <f>"B"</f>
        <v>B</v>
      </c>
    </row>
    <row r="12603" spans="1:8" x14ac:dyDescent="0.2">
      <c r="A12603" t="str">
        <f t="shared" ref="A12603:A12610" si="4563">"0613138810"</f>
        <v>0613138810</v>
      </c>
      <c r="B12603" t="str">
        <f t="shared" ref="B12603:B12610" si="4564">"ADLER"</f>
        <v>ADLER</v>
      </c>
      <c r="C12603" t="str">
        <f t="shared" ref="C12603:C12610" si="4565">"OLWEEAN"</f>
        <v>OLWEEAN</v>
      </c>
      <c r="D12603">
        <f>12</f>
        <v>12</v>
      </c>
      <c r="E12603" t="str">
        <f>"04 - A - 205 - Robyn L Trainer"</f>
        <v>04 - A - 205 - Robyn L Trainer</v>
      </c>
      <c r="F12603" t="str">
        <f>"ENG 4: FL COLL PREP"</f>
        <v>ENG 4: FL COLL PREP</v>
      </c>
      <c r="G12603" t="str">
        <f>"17-1734"</f>
        <v>17-1734</v>
      </c>
      <c r="H12603" t="str">
        <f>"A"</f>
        <v>A</v>
      </c>
    </row>
    <row r="12604" spans="1:8" x14ac:dyDescent="0.2">
      <c r="A12604" t="str">
        <f t="shared" si="4563"/>
        <v>0613138810</v>
      </c>
      <c r="B12604" t="str">
        <f t="shared" si="4564"/>
        <v>ADLER</v>
      </c>
      <c r="C12604" t="str">
        <f t="shared" si="4565"/>
        <v>OLWEEAN</v>
      </c>
      <c r="D12604">
        <f>12</f>
        <v>12</v>
      </c>
      <c r="E12604" t="str">
        <f>"06 - B - 108 - Jacquelyn M Neeson"</f>
        <v>06 - B - 108 - Jacquelyn M Neeson</v>
      </c>
      <c r="F12604" t="str">
        <f>"NC STUDY HALL 1"</f>
        <v>NC STUDY HALL 1</v>
      </c>
      <c r="G12604" t="str">
        <f>"17-1715"</f>
        <v>17-1715</v>
      </c>
      <c r="H12604" t="str">
        <f>"B"</f>
        <v>B</v>
      </c>
    </row>
    <row r="12605" spans="1:8" x14ac:dyDescent="0.2">
      <c r="A12605" t="str">
        <f t="shared" si="4563"/>
        <v>0613138810</v>
      </c>
      <c r="B12605" t="str">
        <f t="shared" si="4564"/>
        <v>ADLER</v>
      </c>
      <c r="C12605" t="str">
        <f t="shared" si="4565"/>
        <v>OLWEEAN</v>
      </c>
      <c r="D12605">
        <f>12</f>
        <v>12</v>
      </c>
      <c r="E12605" t="str">
        <f>"03 - A - 101 - Dorothy D Moore"</f>
        <v>03 - A - 101 - Dorothy D Moore</v>
      </c>
      <c r="F12605" t="str">
        <f>"FORC SCI 1 LH"</f>
        <v>FORC SCI 1 LH</v>
      </c>
      <c r="G12605" t="str">
        <f>"08-803"</f>
        <v>08-803</v>
      </c>
      <c r="H12605" t="str">
        <f>"A"</f>
        <v>A</v>
      </c>
    </row>
    <row r="12606" spans="1:8" x14ac:dyDescent="0.2">
      <c r="A12606" t="str">
        <f t="shared" si="4563"/>
        <v>0613138810</v>
      </c>
      <c r="B12606" t="str">
        <f t="shared" si="4564"/>
        <v>ADLER</v>
      </c>
      <c r="C12606" t="str">
        <f t="shared" si="4565"/>
        <v>OLWEEAN</v>
      </c>
      <c r="D12606">
        <f>12</f>
        <v>12</v>
      </c>
      <c r="E12606" t="str">
        <f>"02 - A - 101 - Nahum  Saint-Preux"</f>
        <v>02 - A - 101 - Nahum  Saint-Preux</v>
      </c>
      <c r="F12606" t="str">
        <f>"INTENS READ 4"</f>
        <v>INTENS READ 4</v>
      </c>
      <c r="G12606" t="str">
        <f>"17-1712"</f>
        <v>17-1712</v>
      </c>
      <c r="H12606" t="str">
        <f>"A"</f>
        <v>A</v>
      </c>
    </row>
    <row r="12607" spans="1:8" x14ac:dyDescent="0.2">
      <c r="A12607" t="str">
        <f t="shared" si="4563"/>
        <v>0613138810</v>
      </c>
      <c r="B12607" t="str">
        <f t="shared" si="4564"/>
        <v>ADLER</v>
      </c>
      <c r="C12607" t="str">
        <f t="shared" si="4565"/>
        <v>OLWEEAN</v>
      </c>
      <c r="D12607">
        <f>12</f>
        <v>12</v>
      </c>
      <c r="E12607" t="str">
        <f>"07 - B - 102 - Tina L Lovett"</f>
        <v>07 - B - 102 - Tina L Lovett</v>
      </c>
      <c r="F12607" t="str">
        <f>"MATH DATA &amp; FIN LIT"</f>
        <v>MATH DATA &amp; FIN LIT</v>
      </c>
      <c r="G12607" t="str">
        <f>"21-2153"</f>
        <v>21-2153</v>
      </c>
      <c r="H12607" t="str">
        <f>"B"</f>
        <v>B</v>
      </c>
    </row>
    <row r="12608" spans="1:8" x14ac:dyDescent="0.2">
      <c r="A12608" t="str">
        <f t="shared" si="4563"/>
        <v>0613138810</v>
      </c>
      <c r="B12608" t="str">
        <f t="shared" si="4564"/>
        <v>ADLER</v>
      </c>
      <c r="C12608" t="str">
        <f t="shared" si="4565"/>
        <v>OLWEEAN</v>
      </c>
      <c r="D12608">
        <f>12</f>
        <v>12</v>
      </c>
      <c r="E12608" t="str">
        <f>"05 - B - 105 - Adam Marcus  Drucker"</f>
        <v>05 - B - 105 - Adam Marcus  Drucker</v>
      </c>
      <c r="F12608" t="str">
        <f>"HOPE-PE V"</f>
        <v>HOPE-PE V</v>
      </c>
      <c r="G12608" t="str">
        <f>"04-254"</f>
        <v>04-254</v>
      </c>
      <c r="H12608" t="str">
        <f>"B"</f>
        <v>B</v>
      </c>
    </row>
    <row r="12609" spans="1:8" x14ac:dyDescent="0.2">
      <c r="A12609" t="str">
        <f t="shared" si="4563"/>
        <v>0613138810</v>
      </c>
      <c r="B12609" t="str">
        <f t="shared" si="4564"/>
        <v>ADLER</v>
      </c>
      <c r="C12609" t="str">
        <f t="shared" si="4565"/>
        <v>OLWEEAN</v>
      </c>
      <c r="D12609">
        <f>12</f>
        <v>12</v>
      </c>
      <c r="E12609" t="str">
        <f>"01 - S1 - A - 101 - Robert O Burger"</f>
        <v>01 - S1 - A - 101 - Robert O Burger</v>
      </c>
      <c r="F12609" t="str">
        <f>"US GOVT"</f>
        <v>US GOVT</v>
      </c>
      <c r="G12609" t="str">
        <f>"17-1755"</f>
        <v>17-1755</v>
      </c>
      <c r="H12609" t="str">
        <f>"A"</f>
        <v>A</v>
      </c>
    </row>
    <row r="12610" spans="1:8" x14ac:dyDescent="0.2">
      <c r="A12610" t="str">
        <f t="shared" si="4563"/>
        <v>0613138810</v>
      </c>
      <c r="B12610" t="str">
        <f t="shared" si="4564"/>
        <v>ADLER</v>
      </c>
      <c r="C12610" t="str">
        <f t="shared" si="4565"/>
        <v>OLWEEAN</v>
      </c>
      <c r="D12610">
        <f>12</f>
        <v>12</v>
      </c>
      <c r="E12610" t="str">
        <f>"08 - B - 102 - Robert H Rindner"</f>
        <v>08 - B - 102 - Robert H Rindner</v>
      </c>
      <c r="F12610" t="str">
        <f>"TV PRODUCTION TECH 1"</f>
        <v>TV PRODUCTION TECH 1</v>
      </c>
      <c r="G12610" t="str">
        <f>"21-2160"</f>
        <v>21-2160</v>
      </c>
      <c r="H12610" t="str">
        <f>"B"</f>
        <v>B</v>
      </c>
    </row>
    <row r="12611" spans="1:8" x14ac:dyDescent="0.2">
      <c r="A12611" t="str">
        <f t="shared" ref="A12611:A12618" si="4566">"0626006906"</f>
        <v>0626006906</v>
      </c>
      <c r="B12611" t="str">
        <f t="shared" ref="B12611:B12618" si="4567">"ARHAN"</f>
        <v>ARHAN</v>
      </c>
      <c r="C12611" t="str">
        <f t="shared" ref="C12611:C12626" si="4568">"OR"</f>
        <v>OR</v>
      </c>
      <c r="D12611" t="str">
        <f t="shared" ref="D12611:D12634" si="4569">"09"</f>
        <v>09</v>
      </c>
      <c r="E12611" t="str">
        <f>"04 - A - 104 - Helen A Flores"</f>
        <v>04 - A - 104 - Helen A Flores</v>
      </c>
      <c r="F12611" t="str">
        <f>"FDN SKLS MATH 9-12"</f>
        <v>FDN SKLS MATH 9-12</v>
      </c>
      <c r="G12611" t="str">
        <f>"21-2101"</f>
        <v>21-2101</v>
      </c>
      <c r="H12611" t="str">
        <f>"A"</f>
        <v>A</v>
      </c>
    </row>
    <row r="12612" spans="1:8" x14ac:dyDescent="0.2">
      <c r="A12612" t="str">
        <f t="shared" si="4566"/>
        <v>0626006906</v>
      </c>
      <c r="B12612" t="str">
        <f t="shared" si="4567"/>
        <v>ARHAN</v>
      </c>
      <c r="C12612" t="str">
        <f t="shared" si="4568"/>
        <v>OR</v>
      </c>
      <c r="D12612" t="str">
        <f t="shared" si="4569"/>
        <v>09</v>
      </c>
      <c r="E12612" t="str">
        <f>"06 - S1 - B - 104 - Leslie J Barton"</f>
        <v>06 - S1 - B - 104 - Leslie J Barton</v>
      </c>
      <c r="F12612" t="str">
        <f>"FIRST AID SAFETY"</f>
        <v>FIRST AID SAFETY</v>
      </c>
      <c r="G12612" t="str">
        <f>"05-521"</f>
        <v>05-521</v>
      </c>
      <c r="H12612" t="str">
        <f>"B"</f>
        <v>B</v>
      </c>
    </row>
    <row r="12613" spans="1:8" x14ac:dyDescent="0.2">
      <c r="A12613" t="str">
        <f t="shared" si="4566"/>
        <v>0626006906</v>
      </c>
      <c r="B12613" t="str">
        <f t="shared" si="4567"/>
        <v>ARHAN</v>
      </c>
      <c r="C12613" t="str">
        <f t="shared" si="4568"/>
        <v>OR</v>
      </c>
      <c r="D12613" t="str">
        <f t="shared" si="4569"/>
        <v>09</v>
      </c>
      <c r="E12613" t="str">
        <f>"03 - A - 103 - Adam Marcus  Drucker"</f>
        <v>03 - A - 103 - Adam Marcus  Drucker</v>
      </c>
      <c r="F12613" t="str">
        <f>"HOPE-PE V"</f>
        <v>HOPE-PE V</v>
      </c>
      <c r="G12613" t="str">
        <f>"04-254"</f>
        <v>04-254</v>
      </c>
      <c r="H12613" t="str">
        <f>"A"</f>
        <v>A</v>
      </c>
    </row>
    <row r="12614" spans="1:8" x14ac:dyDescent="0.2">
      <c r="A12614" t="str">
        <f t="shared" si="4566"/>
        <v>0626006906</v>
      </c>
      <c r="B12614" t="str">
        <f t="shared" si="4567"/>
        <v>ARHAN</v>
      </c>
      <c r="C12614" t="str">
        <f t="shared" si="4568"/>
        <v>OR</v>
      </c>
      <c r="D12614" t="str">
        <f t="shared" si="4569"/>
        <v>09</v>
      </c>
      <c r="E12614" t="str">
        <f>"02 - A - 110 - Maried P Ramos"</f>
        <v>02 - A - 110 - Maried P Ramos</v>
      </c>
      <c r="F12614" t="str">
        <f>"NC STUDY HALL 1"</f>
        <v>NC STUDY HALL 1</v>
      </c>
      <c r="G12614" t="str">
        <f>"21-2159"</f>
        <v>21-2159</v>
      </c>
      <c r="H12614" t="str">
        <f>"A"</f>
        <v>A</v>
      </c>
    </row>
    <row r="12615" spans="1:8" x14ac:dyDescent="0.2">
      <c r="A12615" t="str">
        <f t="shared" si="4566"/>
        <v>0626006906</v>
      </c>
      <c r="B12615" t="str">
        <f t="shared" si="4567"/>
        <v>ARHAN</v>
      </c>
      <c r="C12615" t="str">
        <f t="shared" si="4568"/>
        <v>OR</v>
      </c>
      <c r="D12615" t="str">
        <f t="shared" si="4569"/>
        <v>09</v>
      </c>
      <c r="E12615" t="str">
        <f>"07 - B - 003 - Samantha J Headley"</f>
        <v>07 - B - 003 - Samantha J Headley</v>
      </c>
      <c r="F12615" t="str">
        <f>"ENV SCI"</f>
        <v>ENV SCI</v>
      </c>
      <c r="G12615" t="str">
        <f>"08-802"</f>
        <v>08-802</v>
      </c>
      <c r="H12615" t="str">
        <f>"B"</f>
        <v>B</v>
      </c>
    </row>
    <row r="12616" spans="1:8" x14ac:dyDescent="0.2">
      <c r="A12616" t="str">
        <f t="shared" si="4566"/>
        <v>0626006906</v>
      </c>
      <c r="B12616" t="str">
        <f t="shared" si="4567"/>
        <v>ARHAN</v>
      </c>
      <c r="C12616" t="str">
        <f t="shared" si="4568"/>
        <v>OR</v>
      </c>
      <c r="D12616" t="str">
        <f t="shared" si="4569"/>
        <v>09</v>
      </c>
      <c r="E12616" t="str">
        <f>"05 - B - 104 - Cerine S Stewart"</f>
        <v>05 - B - 104 - Cerine S Stewart</v>
      </c>
      <c r="F12616" t="str">
        <f>"ENG 1"</f>
        <v>ENG 1</v>
      </c>
      <c r="G12616" t="str">
        <f>"17-1720"</f>
        <v>17-1720</v>
      </c>
      <c r="H12616" t="str">
        <f>"B"</f>
        <v>B</v>
      </c>
    </row>
    <row r="12617" spans="1:8" x14ac:dyDescent="0.2">
      <c r="A12617" t="str">
        <f t="shared" si="4566"/>
        <v>0626006906</v>
      </c>
      <c r="B12617" t="str">
        <f t="shared" si="4567"/>
        <v>ARHAN</v>
      </c>
      <c r="C12617" t="str">
        <f t="shared" si="4568"/>
        <v>OR</v>
      </c>
      <c r="D12617" t="str">
        <f t="shared" si="4569"/>
        <v>09</v>
      </c>
      <c r="E12617" t="str">
        <f>"01 - A - 101 - Vanessa J Pena"</f>
        <v>01 - A - 101 - Vanessa J Pena</v>
      </c>
      <c r="F12617" t="str">
        <f>"DEV LANG ARTS ESOL-R"</f>
        <v>DEV LANG ARTS ESOL-R</v>
      </c>
      <c r="G12617" t="str">
        <f>"09-926"</f>
        <v>09-926</v>
      </c>
      <c r="H12617" t="str">
        <f>"A"</f>
        <v>A</v>
      </c>
    </row>
    <row r="12618" spans="1:8" x14ac:dyDescent="0.2">
      <c r="A12618" t="str">
        <f t="shared" si="4566"/>
        <v>0626006906</v>
      </c>
      <c r="B12618" t="str">
        <f t="shared" si="4567"/>
        <v>ARHAN</v>
      </c>
      <c r="C12618" t="str">
        <f t="shared" si="4568"/>
        <v>OR</v>
      </c>
      <c r="D12618" t="str">
        <f t="shared" si="4569"/>
        <v>09</v>
      </c>
      <c r="E12618" t="str">
        <f>"08 - B - 106 - Helen A Flores"</f>
        <v>08 - B - 106 - Helen A Flores</v>
      </c>
      <c r="F12618" t="str">
        <f>"ALGEBRA 1"</f>
        <v>ALGEBRA 1</v>
      </c>
      <c r="G12618" t="str">
        <f>"21-2101"</f>
        <v>21-2101</v>
      </c>
      <c r="H12618" t="str">
        <f>"B"</f>
        <v>B</v>
      </c>
    </row>
    <row r="12619" spans="1:8" x14ac:dyDescent="0.2">
      <c r="A12619" t="str">
        <f t="shared" ref="A12619:A12626" si="4570">"0626006909"</f>
        <v>0626006909</v>
      </c>
      <c r="B12619" t="str">
        <f t="shared" ref="B12619:B12626" si="4571">"DERIN"</f>
        <v>DERIN</v>
      </c>
      <c r="C12619" t="str">
        <f t="shared" si="4568"/>
        <v>OR</v>
      </c>
      <c r="D12619" t="str">
        <f t="shared" si="4569"/>
        <v>09</v>
      </c>
      <c r="E12619" t="str">
        <f>"04 - A - 102 - Eva T Rimmer"</f>
        <v>04 - A - 102 - Eva T Rimmer</v>
      </c>
      <c r="F12619" t="str">
        <f>"CRIMINAL JUST OPS 1"</f>
        <v>CRIMINAL JUST OPS 1</v>
      </c>
      <c r="G12619" t="str">
        <f>"05-523"</f>
        <v>05-523</v>
      </c>
      <c r="H12619" t="str">
        <f>"A"</f>
        <v>A</v>
      </c>
    </row>
    <row r="12620" spans="1:8" x14ac:dyDescent="0.2">
      <c r="A12620" t="str">
        <f t="shared" si="4570"/>
        <v>0626006909</v>
      </c>
      <c r="B12620" t="str">
        <f t="shared" si="4571"/>
        <v>DERIN</v>
      </c>
      <c r="C12620" t="str">
        <f t="shared" si="4568"/>
        <v>OR</v>
      </c>
      <c r="D12620" t="str">
        <f t="shared" si="4569"/>
        <v>09</v>
      </c>
      <c r="E12620" t="str">
        <f>"06 - B - 104 - Lytrell T Dixon"</f>
        <v>06 - B - 104 - Lytrell T Dixon</v>
      </c>
      <c r="F12620" t="str">
        <f>"PRE-AICE BIO IG"</f>
        <v>PRE-AICE BIO IG</v>
      </c>
      <c r="G12620" t="str">
        <f>"08-808"</f>
        <v>08-808</v>
      </c>
      <c r="H12620" t="str">
        <f>"B"</f>
        <v>B</v>
      </c>
    </row>
    <row r="12621" spans="1:8" x14ac:dyDescent="0.2">
      <c r="A12621" t="str">
        <f t="shared" si="4570"/>
        <v>0626006909</v>
      </c>
      <c r="B12621" t="str">
        <f t="shared" si="4571"/>
        <v>DERIN</v>
      </c>
      <c r="C12621" t="str">
        <f t="shared" si="4568"/>
        <v>OR</v>
      </c>
      <c r="D12621" t="str">
        <f t="shared" si="4569"/>
        <v>09</v>
      </c>
      <c r="E12621" t="str">
        <f>"03 - A - 101 - Brian M Fitzgerald"</f>
        <v>03 - A - 101 - Brian M Fitzgerald</v>
      </c>
      <c r="F12621" t="str">
        <f>"SCULPT 1"</f>
        <v>SCULPT 1</v>
      </c>
      <c r="G12621" t="str">
        <f>"09-908"</f>
        <v>09-908</v>
      </c>
      <c r="H12621" t="str">
        <f>"A"</f>
        <v>A</v>
      </c>
    </row>
    <row r="12622" spans="1:8" x14ac:dyDescent="0.2">
      <c r="A12622" t="str">
        <f t="shared" si="4570"/>
        <v>0626006909</v>
      </c>
      <c r="B12622" t="str">
        <f t="shared" si="4571"/>
        <v>DERIN</v>
      </c>
      <c r="C12622" t="str">
        <f t="shared" si="4568"/>
        <v>OR</v>
      </c>
      <c r="D12622" t="str">
        <f t="shared" si="4569"/>
        <v>09</v>
      </c>
      <c r="E12622" t="str">
        <f>"02 - A - 113 - Amy Beth  Broyles"</f>
        <v>02 - A - 113 - Amy Beth  Broyles</v>
      </c>
      <c r="F12622" t="str">
        <f>"NC STUDY HALL 1"</f>
        <v>NC STUDY HALL 1</v>
      </c>
      <c r="G12622" t="str">
        <f>"08-802"</f>
        <v>08-802</v>
      </c>
      <c r="H12622" t="str">
        <f>"A"</f>
        <v>A</v>
      </c>
    </row>
    <row r="12623" spans="1:8" x14ac:dyDescent="0.2">
      <c r="A12623" t="str">
        <f t="shared" si="4570"/>
        <v>0626006909</v>
      </c>
      <c r="B12623" t="str">
        <f t="shared" si="4571"/>
        <v>DERIN</v>
      </c>
      <c r="C12623" t="str">
        <f t="shared" si="4568"/>
        <v>OR</v>
      </c>
      <c r="D12623" t="str">
        <f t="shared" si="4569"/>
        <v>09</v>
      </c>
      <c r="E12623" t="str">
        <f>"07 - B - 001 - Carol S Moore"</f>
        <v>07 - B - 001 - Carol S Moore</v>
      </c>
      <c r="F12623" t="str">
        <f>"PRE-AICE WRLD HST IG"</f>
        <v>PRE-AICE WRLD HST IG</v>
      </c>
      <c r="G12623" t="str">
        <f>"17-1733"</f>
        <v>17-1733</v>
      </c>
      <c r="H12623" t="str">
        <f>"B"</f>
        <v>B</v>
      </c>
    </row>
    <row r="12624" spans="1:8" x14ac:dyDescent="0.2">
      <c r="A12624" t="str">
        <f t="shared" si="4570"/>
        <v>0626006909</v>
      </c>
      <c r="B12624" t="str">
        <f t="shared" si="4571"/>
        <v>DERIN</v>
      </c>
      <c r="C12624" t="str">
        <f t="shared" si="4568"/>
        <v>OR</v>
      </c>
      <c r="D12624" t="str">
        <f t="shared" si="4569"/>
        <v>09</v>
      </c>
      <c r="E12624" t="str">
        <f>"05 - B - 102 - Tina L Lovett"</f>
        <v>05 - B - 102 - Tina L Lovett</v>
      </c>
      <c r="F12624" t="str">
        <f>"PRE-AICE MATH 1 IG"</f>
        <v>PRE-AICE MATH 1 IG</v>
      </c>
      <c r="G12624" t="str">
        <f>"21-2153"</f>
        <v>21-2153</v>
      </c>
      <c r="H12624" t="str">
        <f>"B"</f>
        <v>B</v>
      </c>
    </row>
    <row r="12625" spans="1:8" x14ac:dyDescent="0.2">
      <c r="A12625" t="str">
        <f t="shared" si="4570"/>
        <v>0626006909</v>
      </c>
      <c r="B12625" t="str">
        <f t="shared" si="4571"/>
        <v>DERIN</v>
      </c>
      <c r="C12625" t="str">
        <f t="shared" si="4568"/>
        <v>OR</v>
      </c>
      <c r="D12625" t="str">
        <f t="shared" si="4569"/>
        <v>09</v>
      </c>
      <c r="E12625" t="str">
        <f>"01 - A - 101 - Cheryl Anne  Berman-Schechter"</f>
        <v>01 - A - 101 - Cheryl Anne  Berman-Schechter</v>
      </c>
      <c r="F12625" t="str">
        <f>"PRE-AICE ENG LANG IG"</f>
        <v>PRE-AICE ENG LANG IG</v>
      </c>
      <c r="G12625" t="str">
        <f>"17-1722"</f>
        <v>17-1722</v>
      </c>
      <c r="H12625" t="str">
        <f>"A"</f>
        <v>A</v>
      </c>
    </row>
    <row r="12626" spans="1:8" x14ac:dyDescent="0.2">
      <c r="A12626" t="str">
        <f t="shared" si="4570"/>
        <v>0626006909</v>
      </c>
      <c r="B12626" t="str">
        <f t="shared" si="4571"/>
        <v>DERIN</v>
      </c>
      <c r="C12626" t="str">
        <f t="shared" si="4568"/>
        <v>OR</v>
      </c>
      <c r="D12626" t="str">
        <f t="shared" si="4569"/>
        <v>09</v>
      </c>
      <c r="E12626" t="str">
        <f>"08 - B - 108 - Adam Marcus  Drucker"</f>
        <v>08 - B - 108 - Adam Marcus  Drucker</v>
      </c>
      <c r="F12626" t="str">
        <f>"HOPE-PE V"</f>
        <v>HOPE-PE V</v>
      </c>
      <c r="G12626" t="str">
        <f>"04-254"</f>
        <v>04-254</v>
      </c>
      <c r="H12626" t="str">
        <f>"B"</f>
        <v>B</v>
      </c>
    </row>
    <row r="12627" spans="1:8" x14ac:dyDescent="0.2">
      <c r="A12627" t="str">
        <f t="shared" ref="A12627:A12634" si="4572">"0623052849"</f>
        <v>0623052849</v>
      </c>
      <c r="B12627" t="str">
        <f t="shared" ref="B12627:B12634" si="4573">"HARLEY"</f>
        <v>HARLEY</v>
      </c>
      <c r="C12627" t="str">
        <f t="shared" ref="C12627:C12634" si="4574">"ORDONEZ MENDEZ"</f>
        <v>ORDONEZ MENDEZ</v>
      </c>
      <c r="D12627" t="str">
        <f t="shared" si="4569"/>
        <v>09</v>
      </c>
      <c r="E12627" t="str">
        <f>"04 - A - 106 - Lissa C Frederique"</f>
        <v>04 - A - 106 - Lissa C Frederique</v>
      </c>
      <c r="F12627" t="str">
        <f>"WORLD HISTORY"</f>
        <v>WORLD HISTORY</v>
      </c>
      <c r="G12627" t="str">
        <f>"17-1754"</f>
        <v>17-1754</v>
      </c>
      <c r="H12627" t="str">
        <f>"A"</f>
        <v>A</v>
      </c>
    </row>
    <row r="12628" spans="1:8" x14ac:dyDescent="0.2">
      <c r="A12628" t="str">
        <f t="shared" si="4572"/>
        <v>0623052849</v>
      </c>
      <c r="B12628" t="str">
        <f t="shared" si="4573"/>
        <v>HARLEY</v>
      </c>
      <c r="C12628" t="str">
        <f t="shared" si="4574"/>
        <v>ORDONEZ MENDEZ</v>
      </c>
      <c r="D12628" t="str">
        <f t="shared" si="4569"/>
        <v>09</v>
      </c>
      <c r="E12628" t="str">
        <f>"06 - B - 202 - Brian M Fitzgerald"</f>
        <v>06 - B - 202 - Brian M Fitzgerald</v>
      </c>
      <c r="F12628" t="str">
        <f>"DRAW 1"</f>
        <v>DRAW 1</v>
      </c>
      <c r="G12628" t="str">
        <f>"09-908"</f>
        <v>09-908</v>
      </c>
      <c r="H12628" t="str">
        <f>"B"</f>
        <v>B</v>
      </c>
    </row>
    <row r="12629" spans="1:8" x14ac:dyDescent="0.2">
      <c r="A12629" t="str">
        <f t="shared" si="4572"/>
        <v>0623052849</v>
      </c>
      <c r="B12629" t="str">
        <f t="shared" si="4573"/>
        <v>HARLEY</v>
      </c>
      <c r="C12629" t="str">
        <f t="shared" si="4574"/>
        <v>ORDONEZ MENDEZ</v>
      </c>
      <c r="D12629" t="str">
        <f t="shared" si="4569"/>
        <v>09</v>
      </c>
      <c r="E12629" t="str">
        <f>"03 - A - 002 - Ferrie J Arostique"</f>
        <v>03 - A - 002 - Ferrie J Arostique</v>
      </c>
      <c r="F12629" t="str">
        <f>"GEOMETRY"</f>
        <v>GEOMETRY</v>
      </c>
      <c r="G12629" t="str">
        <f>"21-2139"</f>
        <v>21-2139</v>
      </c>
      <c r="H12629" t="str">
        <f>"A"</f>
        <v>A</v>
      </c>
    </row>
    <row r="12630" spans="1:8" x14ac:dyDescent="0.2">
      <c r="A12630" t="str">
        <f t="shared" si="4572"/>
        <v>0623052849</v>
      </c>
      <c r="B12630" t="str">
        <f t="shared" si="4573"/>
        <v>HARLEY</v>
      </c>
      <c r="C12630" t="str">
        <f t="shared" si="4574"/>
        <v>ORDONEZ MENDEZ</v>
      </c>
      <c r="D12630" t="str">
        <f t="shared" si="4569"/>
        <v>09</v>
      </c>
      <c r="E12630" t="str">
        <f>"02 - A - 105 - Elizabeth R Walker"</f>
        <v>02 - A - 105 - Elizabeth R Walker</v>
      </c>
      <c r="F12630" t="str">
        <f>"NC STUDY HALL 1"</f>
        <v>NC STUDY HALL 1</v>
      </c>
      <c r="G12630" t="str">
        <f>"17-1703"</f>
        <v>17-1703</v>
      </c>
      <c r="H12630" t="str">
        <f>"A"</f>
        <v>A</v>
      </c>
    </row>
    <row r="12631" spans="1:8" x14ac:dyDescent="0.2">
      <c r="A12631" t="str">
        <f t="shared" si="4572"/>
        <v>0623052849</v>
      </c>
      <c r="B12631" t="str">
        <f t="shared" si="4573"/>
        <v>HARLEY</v>
      </c>
      <c r="C12631" t="str">
        <f t="shared" si="4574"/>
        <v>ORDONEZ MENDEZ</v>
      </c>
      <c r="D12631" t="str">
        <f t="shared" si="4569"/>
        <v>09</v>
      </c>
      <c r="E12631" t="str">
        <f>"07 - B - 101 - Jeanne M Bermudez"</f>
        <v>07 - B - 101 - Jeanne M Bermudez</v>
      </c>
      <c r="F12631" t="str">
        <f>"FOUND OF PROGRAM HON"</f>
        <v>FOUND OF PROGRAM HON</v>
      </c>
      <c r="G12631" t="str">
        <f>"21-2141"</f>
        <v>21-2141</v>
      </c>
      <c r="H12631" t="str">
        <f>"B"</f>
        <v>B</v>
      </c>
    </row>
    <row r="12632" spans="1:8" x14ac:dyDescent="0.2">
      <c r="A12632" t="str">
        <f t="shared" si="4572"/>
        <v>0623052849</v>
      </c>
      <c r="B12632" t="str">
        <f t="shared" si="4573"/>
        <v>HARLEY</v>
      </c>
      <c r="C12632" t="str">
        <f t="shared" si="4574"/>
        <v>ORDONEZ MENDEZ</v>
      </c>
      <c r="D12632" t="str">
        <f t="shared" si="4569"/>
        <v>09</v>
      </c>
      <c r="E12632" t="str">
        <f>"05 - B - 001 - Laselleda D Shaw"</f>
        <v>05 - B - 001 - Laselleda D Shaw</v>
      </c>
      <c r="F12632" t="str">
        <f>"INTENS READ 1"</f>
        <v>INTENS READ 1</v>
      </c>
      <c r="G12632" t="str">
        <f>"17-1723"</f>
        <v>17-1723</v>
      </c>
      <c r="H12632" t="str">
        <f>"B"</f>
        <v>B</v>
      </c>
    </row>
    <row r="12633" spans="1:8" x14ac:dyDescent="0.2">
      <c r="A12633" t="str">
        <f t="shared" si="4572"/>
        <v>0623052849</v>
      </c>
      <c r="B12633" t="str">
        <f t="shared" si="4573"/>
        <v>HARLEY</v>
      </c>
      <c r="C12633" t="str">
        <f t="shared" si="4574"/>
        <v>ORDONEZ MENDEZ</v>
      </c>
      <c r="D12633" t="str">
        <f t="shared" si="4569"/>
        <v>09</v>
      </c>
      <c r="E12633" t="str">
        <f>"01 - A - 103 - Amy Beth  Broyles"</f>
        <v>01 - A - 103 - Amy Beth  Broyles</v>
      </c>
      <c r="F12633" t="str">
        <f>"ENV SCI"</f>
        <v>ENV SCI</v>
      </c>
      <c r="G12633" t="str">
        <f>"08-802"</f>
        <v>08-802</v>
      </c>
      <c r="H12633" t="str">
        <f>"A"</f>
        <v>A</v>
      </c>
    </row>
    <row r="12634" spans="1:8" x14ac:dyDescent="0.2">
      <c r="A12634" t="str">
        <f t="shared" si="4572"/>
        <v>0623052849</v>
      </c>
      <c r="B12634" t="str">
        <f t="shared" si="4573"/>
        <v>HARLEY</v>
      </c>
      <c r="C12634" t="str">
        <f t="shared" si="4574"/>
        <v>ORDONEZ MENDEZ</v>
      </c>
      <c r="D12634" t="str">
        <f t="shared" si="4569"/>
        <v>09</v>
      </c>
      <c r="E12634" t="str">
        <f>"08 - B - 108 - Cerine S Stewart"</f>
        <v>08 - B - 108 - Cerine S Stewart</v>
      </c>
      <c r="F12634" t="str">
        <f>"ENG 1"</f>
        <v>ENG 1</v>
      </c>
      <c r="G12634" t="str">
        <f>"17-1720"</f>
        <v>17-1720</v>
      </c>
      <c r="H12634" t="str">
        <f>"B"</f>
        <v>B</v>
      </c>
    </row>
    <row r="12635" spans="1:8" x14ac:dyDescent="0.2">
      <c r="A12635" t="str">
        <f t="shared" ref="A12635:A12642" si="4575">"0615003852"</f>
        <v>0615003852</v>
      </c>
      <c r="B12635" t="str">
        <f t="shared" ref="B12635:B12642" si="4576">"CARSON"</f>
        <v>CARSON</v>
      </c>
      <c r="C12635" t="str">
        <f t="shared" ref="C12635:C12642" si="4577">"OREFICE"</f>
        <v>OREFICE</v>
      </c>
      <c r="D12635">
        <f>11</f>
        <v>11</v>
      </c>
      <c r="E12635" t="str">
        <f>"04 - A - 101 - Thomas G Handwerg"</f>
        <v>04 - A - 101 - Thomas G Handwerg</v>
      </c>
      <c r="F12635" t="str">
        <f>"MATH COLL ALGEBRA"</f>
        <v>MATH COLL ALGEBRA</v>
      </c>
      <c r="G12635" t="str">
        <f>"21-2146"</f>
        <v>21-2146</v>
      </c>
      <c r="H12635" t="str">
        <f>"A"</f>
        <v>A</v>
      </c>
    </row>
    <row r="12636" spans="1:8" x14ac:dyDescent="0.2">
      <c r="A12636" t="str">
        <f t="shared" si="4575"/>
        <v>0615003852</v>
      </c>
      <c r="B12636" t="str">
        <f t="shared" si="4576"/>
        <v>CARSON</v>
      </c>
      <c r="C12636" t="str">
        <f t="shared" si="4577"/>
        <v>OREFICE</v>
      </c>
      <c r="D12636">
        <f>11</f>
        <v>11</v>
      </c>
      <c r="E12636" t="str">
        <f>"06 - B - 204 - Chrystina M Marchionne"</f>
        <v>06 - B - 204 - Chrystina M Marchionne</v>
      </c>
      <c r="F12636" t="str">
        <f>"AICE MEDIASTUDIES AS"</f>
        <v>AICE MEDIASTUDIES AS</v>
      </c>
      <c r="G12636" t="str">
        <f>"05-520"</f>
        <v>05-520</v>
      </c>
      <c r="H12636" t="str">
        <f>"B"</f>
        <v>B</v>
      </c>
    </row>
    <row r="12637" spans="1:8" x14ac:dyDescent="0.2">
      <c r="A12637" t="str">
        <f t="shared" si="4575"/>
        <v>0615003852</v>
      </c>
      <c r="B12637" t="str">
        <f t="shared" si="4576"/>
        <v>CARSON</v>
      </c>
      <c r="C12637" t="str">
        <f t="shared" si="4577"/>
        <v>OREFICE</v>
      </c>
      <c r="D12637">
        <f>11</f>
        <v>11</v>
      </c>
      <c r="E12637" t="str">
        <f>"03 - A - 204 - Norayda D Suarez"</f>
        <v>03 - A - 204 - Norayda D Suarez</v>
      </c>
      <c r="F12637" t="str">
        <f>"ANAT PHYSIO HON"</f>
        <v>ANAT PHYSIO HON</v>
      </c>
      <c r="G12637" t="str">
        <f>"21-2144"</f>
        <v>21-2144</v>
      </c>
      <c r="H12637" t="str">
        <f>"A"</f>
        <v>A</v>
      </c>
    </row>
    <row r="12638" spans="1:8" x14ac:dyDescent="0.2">
      <c r="A12638" t="str">
        <f t="shared" si="4575"/>
        <v>0615003852</v>
      </c>
      <c r="B12638" t="str">
        <f t="shared" si="4576"/>
        <v>CARSON</v>
      </c>
      <c r="C12638" t="str">
        <f t="shared" si="4577"/>
        <v>OREFICE</v>
      </c>
      <c r="D12638">
        <f>11</f>
        <v>11</v>
      </c>
      <c r="E12638" t="str">
        <f>"02 - A - 112 - Brandy N Zdenek"</f>
        <v>02 - A - 112 - Brandy N Zdenek</v>
      </c>
      <c r="F12638" t="str">
        <f>"NC STUDY HALL 1"</f>
        <v>NC STUDY HALL 1</v>
      </c>
      <c r="G12638" t="str">
        <f>"17-1704"</f>
        <v>17-1704</v>
      </c>
      <c r="H12638" t="str">
        <f>"A"</f>
        <v>A</v>
      </c>
    </row>
    <row r="12639" spans="1:8" x14ac:dyDescent="0.2">
      <c r="A12639" t="str">
        <f t="shared" si="4575"/>
        <v>0615003852</v>
      </c>
      <c r="B12639" t="str">
        <f t="shared" si="4576"/>
        <v>CARSON</v>
      </c>
      <c r="C12639" t="str">
        <f t="shared" si="4577"/>
        <v>OREFICE</v>
      </c>
      <c r="D12639">
        <f>11</f>
        <v>11</v>
      </c>
      <c r="E12639" t="str">
        <f>"07 - B - 107 - Rosa Elaine  Collado-Duff"</f>
        <v>07 - B - 107 - Rosa Elaine  Collado-Duff</v>
      </c>
      <c r="F12639" t="str">
        <f>"PRE-AICE SPAN 2 IG"</f>
        <v>PRE-AICE SPAN 2 IG</v>
      </c>
      <c r="G12639" t="str">
        <f>"09-913"</f>
        <v>09-913</v>
      </c>
      <c r="H12639" t="str">
        <f>"B"</f>
        <v>B</v>
      </c>
    </row>
    <row r="12640" spans="1:8" x14ac:dyDescent="0.2">
      <c r="A12640" t="str">
        <f t="shared" si="4575"/>
        <v>0615003852</v>
      </c>
      <c r="B12640" t="str">
        <f t="shared" si="4576"/>
        <v>CARSON</v>
      </c>
      <c r="C12640" t="str">
        <f t="shared" si="4577"/>
        <v>OREFICE</v>
      </c>
      <c r="D12640">
        <f>11</f>
        <v>11</v>
      </c>
      <c r="E12640" t="str">
        <f>"05 - S1 - B - 103 - Leslie J Barton"</f>
        <v>05 - S1 - B - 103 - Leslie J Barton</v>
      </c>
      <c r="F12640" t="str">
        <f>"FIRST AID SAFETY"</f>
        <v>FIRST AID SAFETY</v>
      </c>
      <c r="G12640" t="str">
        <f>"05-521"</f>
        <v>05-521</v>
      </c>
      <c r="H12640" t="str">
        <f>"B"</f>
        <v>B</v>
      </c>
    </row>
    <row r="12641" spans="1:8" x14ac:dyDescent="0.2">
      <c r="A12641" t="str">
        <f t="shared" si="4575"/>
        <v>0615003852</v>
      </c>
      <c r="B12641" t="str">
        <f t="shared" si="4576"/>
        <v>CARSON</v>
      </c>
      <c r="C12641" t="str">
        <f t="shared" si="4577"/>
        <v>OREFICE</v>
      </c>
      <c r="D12641">
        <f>11</f>
        <v>11</v>
      </c>
      <c r="E12641" t="str">
        <f>"01 - A - 101 - Jacklyn M James"</f>
        <v>01 - A - 101 - Jacklyn M James</v>
      </c>
      <c r="F12641" t="str">
        <f>"AICE ENG LANG AS"</f>
        <v>AICE ENG LANG AS</v>
      </c>
      <c r="G12641" t="str">
        <f>"17-1731"</f>
        <v>17-1731</v>
      </c>
      <c r="H12641" t="str">
        <f>"A"</f>
        <v>A</v>
      </c>
    </row>
    <row r="12642" spans="1:8" x14ac:dyDescent="0.2">
      <c r="A12642" t="str">
        <f t="shared" si="4575"/>
        <v>0615003852</v>
      </c>
      <c r="B12642" t="str">
        <f t="shared" si="4576"/>
        <v>CARSON</v>
      </c>
      <c r="C12642" t="str">
        <f t="shared" si="4577"/>
        <v>OREFICE</v>
      </c>
      <c r="D12642">
        <f>11</f>
        <v>11</v>
      </c>
      <c r="E12642" t="str">
        <f>"08 - B - 001 - Jerry S Jiampetti"</f>
        <v>08 - B - 001 - Jerry S Jiampetti</v>
      </c>
      <c r="F12642" t="str">
        <f>"AICE U.S. HIST 1 AS"</f>
        <v>AICE U.S. HIST 1 AS</v>
      </c>
      <c r="G12642" t="str">
        <f>"17-1751"</f>
        <v>17-1751</v>
      </c>
      <c r="H12642" t="str">
        <f>"B"</f>
        <v>B</v>
      </c>
    </row>
    <row r="12643" spans="1:8" x14ac:dyDescent="0.2">
      <c r="A12643" t="str">
        <f t="shared" ref="A12643:A12650" si="4578">"0615144639"</f>
        <v>0615144639</v>
      </c>
      <c r="B12643" t="str">
        <f t="shared" ref="B12643:B12650" si="4579">"LAURA"</f>
        <v>LAURA</v>
      </c>
      <c r="C12643" t="str">
        <f t="shared" ref="C12643:C12650" si="4580">"ORIZONDO MARTINEZ"</f>
        <v>ORIZONDO MARTINEZ</v>
      </c>
      <c r="D12643">
        <f>10</f>
        <v>10</v>
      </c>
      <c r="E12643" t="str">
        <f>"04 - A - 105 - Milca  Exantus"</f>
        <v>04 - A - 105 - Milca  Exantus</v>
      </c>
      <c r="F12643" t="str">
        <f>"MATH COLLEGE LIB ART"</f>
        <v>MATH COLLEGE LIB ART</v>
      </c>
      <c r="G12643" t="str">
        <f>"21-2145"</f>
        <v>21-2145</v>
      </c>
      <c r="H12643" t="str">
        <f>"A"</f>
        <v>A</v>
      </c>
    </row>
    <row r="12644" spans="1:8" x14ac:dyDescent="0.2">
      <c r="A12644" t="str">
        <f t="shared" si="4578"/>
        <v>0615144639</v>
      </c>
      <c r="B12644" t="str">
        <f t="shared" si="4579"/>
        <v>LAURA</v>
      </c>
      <c r="C12644" t="str">
        <f t="shared" si="4580"/>
        <v>ORIZONDO MARTINEZ</v>
      </c>
      <c r="D12644">
        <f>10</f>
        <v>10</v>
      </c>
      <c r="E12644" t="str">
        <f>"06 - B - 117 - Daniel S Tyson"</f>
        <v>06 - B - 117 - Daniel S Tyson</v>
      </c>
      <c r="F12644" t="str">
        <f>"NC STUDY HALL 1"</f>
        <v>NC STUDY HALL 1</v>
      </c>
      <c r="G12644" t="str">
        <f>"05-510"</f>
        <v>05-510</v>
      </c>
      <c r="H12644" t="str">
        <f>"B"</f>
        <v>B</v>
      </c>
    </row>
    <row r="12645" spans="1:8" x14ac:dyDescent="0.2">
      <c r="A12645" t="str">
        <f t="shared" si="4578"/>
        <v>0615144639</v>
      </c>
      <c r="B12645" t="str">
        <f t="shared" si="4579"/>
        <v>LAURA</v>
      </c>
      <c r="C12645" t="str">
        <f t="shared" si="4580"/>
        <v>ORIZONDO MARTINEZ</v>
      </c>
      <c r="D12645">
        <f>10</f>
        <v>10</v>
      </c>
      <c r="E12645" t="str">
        <f>"03 - S1 - A - 101 - Arthur  Kulawik"</f>
        <v>03 - S1 - A - 101 - Arthur  Kulawik</v>
      </c>
      <c r="F12645" t="str">
        <f>"PERS FIN &amp; MON MGT H"</f>
        <v>PERS FIN &amp; MON MGT H</v>
      </c>
      <c r="G12645" t="str">
        <f>"05-506"</f>
        <v>05-506</v>
      </c>
      <c r="H12645" t="str">
        <f>"A"</f>
        <v>A</v>
      </c>
    </row>
    <row r="12646" spans="1:8" x14ac:dyDescent="0.2">
      <c r="A12646" t="str">
        <f t="shared" si="4578"/>
        <v>0615144639</v>
      </c>
      <c r="B12646" t="str">
        <f t="shared" si="4579"/>
        <v>LAURA</v>
      </c>
      <c r="C12646" t="str">
        <f t="shared" si="4580"/>
        <v>ORIZONDO MARTINEZ</v>
      </c>
      <c r="D12646">
        <f>10</f>
        <v>10</v>
      </c>
      <c r="E12646" t="str">
        <f>"02 - A - 205 - Emmily A Sarmiento"</f>
        <v>02 - A - 205 - Emmily A Sarmiento</v>
      </c>
      <c r="F12646" t="str">
        <f>"AICE GLBL PERSP 1 AS"</f>
        <v>AICE GLBL PERSP 1 AS</v>
      </c>
      <c r="G12646" t="str">
        <f>"17-1743"</f>
        <v>17-1743</v>
      </c>
      <c r="H12646" t="str">
        <f>"A"</f>
        <v>A</v>
      </c>
    </row>
    <row r="12647" spans="1:8" x14ac:dyDescent="0.2">
      <c r="A12647" t="str">
        <f t="shared" si="4578"/>
        <v>0615144639</v>
      </c>
      <c r="B12647" t="str">
        <f t="shared" si="4579"/>
        <v>LAURA</v>
      </c>
      <c r="C12647" t="str">
        <f t="shared" si="4580"/>
        <v>ORIZONDO MARTINEZ</v>
      </c>
      <c r="D12647">
        <f>10</f>
        <v>10</v>
      </c>
      <c r="E12647" t="str">
        <f>"07 - B - 102 - Timothy J Lawrence"</f>
        <v>07 - B - 102 - Timothy J Lawrence</v>
      </c>
      <c r="F12647" t="str">
        <f>"AICE PHYS ED 1 AS"</f>
        <v>AICE PHYS ED 1 AS</v>
      </c>
      <c r="G12647" t="str">
        <f>"05-523"</f>
        <v>05-523</v>
      </c>
      <c r="H12647" t="str">
        <f>"B"</f>
        <v>B</v>
      </c>
    </row>
    <row r="12648" spans="1:8" x14ac:dyDescent="0.2">
      <c r="A12648" t="str">
        <f t="shared" si="4578"/>
        <v>0615144639</v>
      </c>
      <c r="B12648" t="str">
        <f t="shared" si="4579"/>
        <v>LAURA</v>
      </c>
      <c r="C12648" t="str">
        <f t="shared" si="4580"/>
        <v>ORIZONDO MARTINEZ</v>
      </c>
      <c r="D12648">
        <f>10</f>
        <v>10</v>
      </c>
      <c r="E12648" t="str">
        <f>"05 - B - 106 - Courtney E Hambright"</f>
        <v>05 - B - 106 - Courtney E Hambright</v>
      </c>
      <c r="F12648" t="str">
        <f>"AICE ENG LANG AS"</f>
        <v>AICE ENG LANG AS</v>
      </c>
      <c r="G12648" t="str">
        <f>"17-1711"</f>
        <v>17-1711</v>
      </c>
      <c r="H12648" t="str">
        <f>"B"</f>
        <v>B</v>
      </c>
    </row>
    <row r="12649" spans="1:8" x14ac:dyDescent="0.2">
      <c r="A12649" t="str">
        <f t="shared" si="4578"/>
        <v>0615144639</v>
      </c>
      <c r="B12649" t="str">
        <f t="shared" si="4579"/>
        <v>LAURA</v>
      </c>
      <c r="C12649" t="str">
        <f t="shared" si="4580"/>
        <v>ORIZONDO MARTINEZ</v>
      </c>
      <c r="D12649">
        <f>10</f>
        <v>10</v>
      </c>
      <c r="E12649" t="str">
        <f>"01 - A - 101 - Brian M Fitzgerald"</f>
        <v>01 - A - 101 - Brian M Fitzgerald</v>
      </c>
      <c r="F12649" t="str">
        <f>"CERAM/POT 1"</f>
        <v>CERAM/POT 1</v>
      </c>
      <c r="G12649" t="str">
        <f>"09-908"</f>
        <v>09-908</v>
      </c>
      <c r="H12649" t="str">
        <f>"A"</f>
        <v>A</v>
      </c>
    </row>
    <row r="12650" spans="1:8" x14ac:dyDescent="0.2">
      <c r="A12650" t="str">
        <f t="shared" si="4578"/>
        <v>0615144639</v>
      </c>
      <c r="B12650" t="str">
        <f t="shared" si="4579"/>
        <v>LAURA</v>
      </c>
      <c r="C12650" t="str">
        <f t="shared" si="4580"/>
        <v>ORIZONDO MARTINEZ</v>
      </c>
      <c r="D12650">
        <f>10</f>
        <v>10</v>
      </c>
      <c r="E12650" t="str">
        <f>"08 - B - 102 - Josiah I Lacy"</f>
        <v>08 - B - 102 - Josiah I Lacy</v>
      </c>
      <c r="F12650" t="str">
        <f>"ANAT PHYSIO HON"</f>
        <v>ANAT PHYSIO HON</v>
      </c>
      <c r="G12650" t="str">
        <f>"08-801"</f>
        <v>08-801</v>
      </c>
      <c r="H12650" t="str">
        <f>"B"</f>
        <v>B</v>
      </c>
    </row>
    <row r="12651" spans="1:8" x14ac:dyDescent="0.2">
      <c r="A12651" t="str">
        <f t="shared" ref="A12651:A12658" si="4581">"0615131521"</f>
        <v>0615131521</v>
      </c>
      <c r="B12651" t="str">
        <f t="shared" ref="B12651:B12658" si="4582">"DANIEL"</f>
        <v>DANIEL</v>
      </c>
      <c r="C12651" t="str">
        <f t="shared" ref="C12651:C12666" si="4583">"ORREGO MARTINEZ"</f>
        <v>ORREGO MARTINEZ</v>
      </c>
      <c r="D12651">
        <f>10</f>
        <v>10</v>
      </c>
      <c r="E12651" t="str">
        <f>"04 - A - 203 - Daniel S Tyson"</f>
        <v>04 - A - 203 - Daniel S Tyson</v>
      </c>
      <c r="F12651" t="str">
        <f>"JROTC NAVAL SCI 2"</f>
        <v>JROTC NAVAL SCI 2</v>
      </c>
      <c r="G12651" t="str">
        <f>"05-510"</f>
        <v>05-510</v>
      </c>
      <c r="H12651" t="str">
        <f>"A"</f>
        <v>A</v>
      </c>
    </row>
    <row r="12652" spans="1:8" x14ac:dyDescent="0.2">
      <c r="A12652" t="str">
        <f t="shared" si="4581"/>
        <v>0615131521</v>
      </c>
      <c r="B12652" t="str">
        <f t="shared" si="4582"/>
        <v>DANIEL</v>
      </c>
      <c r="C12652" t="str">
        <f t="shared" si="4583"/>
        <v>ORREGO MARTINEZ</v>
      </c>
      <c r="D12652">
        <f>10</f>
        <v>10</v>
      </c>
      <c r="E12652" t="str">
        <f>"06 - B - 104 - Robert H Rindner"</f>
        <v>06 - B - 104 - Robert H Rindner</v>
      </c>
      <c r="F12652" t="str">
        <f>"NC STUDY HALL 1"</f>
        <v>NC STUDY HALL 1</v>
      </c>
      <c r="G12652" t="str">
        <f>"21-2160"</f>
        <v>21-2160</v>
      </c>
      <c r="H12652" t="str">
        <f>"B"</f>
        <v>B</v>
      </c>
    </row>
    <row r="12653" spans="1:8" x14ac:dyDescent="0.2">
      <c r="A12653" t="str">
        <f t="shared" si="4581"/>
        <v>0615131521</v>
      </c>
      <c r="B12653" t="str">
        <f t="shared" si="4582"/>
        <v>DANIEL</v>
      </c>
      <c r="C12653" t="str">
        <f t="shared" si="4583"/>
        <v>ORREGO MARTINEZ</v>
      </c>
      <c r="D12653">
        <f>10</f>
        <v>10</v>
      </c>
      <c r="E12653" t="str">
        <f>"03 - A - 103 - Pamela M Corzo"</f>
        <v>03 - A - 103 - Pamela M Corzo</v>
      </c>
      <c r="F12653" t="str">
        <f>"ALGEBRA 2 HON"</f>
        <v>ALGEBRA 2 HON</v>
      </c>
      <c r="G12653" t="str">
        <f>"21-2133"</f>
        <v>21-2133</v>
      </c>
      <c r="H12653" t="str">
        <f>"A"</f>
        <v>A</v>
      </c>
    </row>
    <row r="12654" spans="1:8" x14ac:dyDescent="0.2">
      <c r="A12654" t="str">
        <f t="shared" si="4581"/>
        <v>0615131521</v>
      </c>
      <c r="B12654" t="str">
        <f t="shared" si="4582"/>
        <v>DANIEL</v>
      </c>
      <c r="C12654" t="str">
        <f t="shared" si="4583"/>
        <v>ORREGO MARTINEZ</v>
      </c>
      <c r="D12654">
        <f>10</f>
        <v>10</v>
      </c>
      <c r="E12654" t="str">
        <f>"02 - A - 205 - Emmily A Sarmiento"</f>
        <v>02 - A - 205 - Emmily A Sarmiento</v>
      </c>
      <c r="F12654" t="str">
        <f>"AICE GLBL PERSP 1 AS"</f>
        <v>AICE GLBL PERSP 1 AS</v>
      </c>
      <c r="G12654" t="str">
        <f>"17-1743"</f>
        <v>17-1743</v>
      </c>
      <c r="H12654" t="str">
        <f>"A"</f>
        <v>A</v>
      </c>
    </row>
    <row r="12655" spans="1:8" x14ac:dyDescent="0.2">
      <c r="A12655" t="str">
        <f t="shared" si="4581"/>
        <v>0615131521</v>
      </c>
      <c r="B12655" t="str">
        <f t="shared" si="4582"/>
        <v>DANIEL</v>
      </c>
      <c r="C12655" t="str">
        <f t="shared" si="4583"/>
        <v>ORREGO MARTINEZ</v>
      </c>
      <c r="D12655">
        <f>10</f>
        <v>10</v>
      </c>
      <c r="E12655" t="str">
        <f>"07 - B - 107 - Marius D Orsolini"</f>
        <v>07 - B - 107 - Marius D Orsolini</v>
      </c>
      <c r="F12655" t="str">
        <f>"CULINARY ARTS 1"</f>
        <v>CULINARY ARTS 1</v>
      </c>
      <c r="G12655" t="str">
        <f>"21-2115"</f>
        <v>21-2115</v>
      </c>
      <c r="H12655" t="str">
        <f>"B"</f>
        <v>B</v>
      </c>
    </row>
    <row r="12656" spans="1:8" x14ac:dyDescent="0.2">
      <c r="A12656" t="str">
        <f t="shared" si="4581"/>
        <v>0615131521</v>
      </c>
      <c r="B12656" t="str">
        <f t="shared" si="4582"/>
        <v>DANIEL</v>
      </c>
      <c r="C12656" t="str">
        <f t="shared" si="4583"/>
        <v>ORREGO MARTINEZ</v>
      </c>
      <c r="D12656">
        <f>10</f>
        <v>10</v>
      </c>
      <c r="E12656" t="str">
        <f>"05 - B - 204 - Cheryl L Beach"</f>
        <v>05 - B - 204 - Cheryl L Beach</v>
      </c>
      <c r="F12656" t="str">
        <f>"AICE ENV MGMNT AS"</f>
        <v>AICE ENV MGMNT AS</v>
      </c>
      <c r="G12656" t="str">
        <f>"08-811"</f>
        <v>08-811</v>
      </c>
      <c r="H12656" t="str">
        <f>"B"</f>
        <v>B</v>
      </c>
    </row>
    <row r="12657" spans="1:8" x14ac:dyDescent="0.2">
      <c r="A12657" t="str">
        <f t="shared" si="4581"/>
        <v>0615131521</v>
      </c>
      <c r="B12657" t="str">
        <f t="shared" si="4582"/>
        <v>DANIEL</v>
      </c>
      <c r="C12657" t="str">
        <f t="shared" si="4583"/>
        <v>ORREGO MARTINEZ</v>
      </c>
      <c r="D12657">
        <f>10</f>
        <v>10</v>
      </c>
      <c r="E12657" t="str">
        <f>"01 - A - 101 - Jacquelyn M Neeson"</f>
        <v>01 - A - 101 - Jacquelyn M Neeson</v>
      </c>
      <c r="F12657" t="str">
        <f>"AICE ENG GEN PAPER 1"</f>
        <v>AICE ENG GEN PAPER 1</v>
      </c>
      <c r="G12657" t="str">
        <f>"17-1715"</f>
        <v>17-1715</v>
      </c>
      <c r="H12657" t="str">
        <f>"A"</f>
        <v>A</v>
      </c>
    </row>
    <row r="12658" spans="1:8" x14ac:dyDescent="0.2">
      <c r="A12658" t="str">
        <f t="shared" si="4581"/>
        <v>0615131521</v>
      </c>
      <c r="B12658" t="str">
        <f t="shared" si="4582"/>
        <v>DANIEL</v>
      </c>
      <c r="C12658" t="str">
        <f t="shared" si="4583"/>
        <v>ORREGO MARTINEZ</v>
      </c>
      <c r="D12658">
        <f>10</f>
        <v>10</v>
      </c>
      <c r="E12658" t="str">
        <f>"08 - B - 001 - Scott A Dethloff"</f>
        <v>08 - B - 001 - Scott A Dethloff</v>
      </c>
      <c r="F12658" t="str">
        <f>"CHEMISTRY 1 HON"</f>
        <v>CHEMISTRY 1 HON</v>
      </c>
      <c r="G12658" t="str">
        <f>"08-812"</f>
        <v>08-812</v>
      </c>
      <c r="H12658" t="str">
        <f>"B"</f>
        <v>B</v>
      </c>
    </row>
    <row r="12659" spans="1:8" x14ac:dyDescent="0.2">
      <c r="A12659" t="str">
        <f t="shared" ref="A12659:A12666" si="4584">"0614139945"</f>
        <v>0614139945</v>
      </c>
      <c r="B12659" t="str">
        <f t="shared" ref="B12659:B12666" si="4585">"ROXANNA"</f>
        <v>ROXANNA</v>
      </c>
      <c r="C12659" t="str">
        <f t="shared" si="4583"/>
        <v>ORREGO MARTINEZ</v>
      </c>
      <c r="D12659">
        <f>11</f>
        <v>11</v>
      </c>
      <c r="E12659" t="str">
        <f>"04 - A - 102 - Jeffrey S Gallagher"</f>
        <v>04 - A - 102 - Jeffrey S Gallagher</v>
      </c>
      <c r="F12659" t="str">
        <f>"ENG HON 3"</f>
        <v>ENG HON 3</v>
      </c>
      <c r="G12659" t="str">
        <f>"17-1724"</f>
        <v>17-1724</v>
      </c>
      <c r="H12659" t="str">
        <f>"A"</f>
        <v>A</v>
      </c>
    </row>
    <row r="12660" spans="1:8" x14ac:dyDescent="0.2">
      <c r="A12660" t="str">
        <f t="shared" si="4584"/>
        <v>0614139945</v>
      </c>
      <c r="B12660" t="str">
        <f t="shared" si="4585"/>
        <v>ROXANNA</v>
      </c>
      <c r="C12660" t="str">
        <f t="shared" si="4583"/>
        <v>ORREGO MARTINEZ</v>
      </c>
      <c r="D12660">
        <f>11</f>
        <v>11</v>
      </c>
      <c r="E12660" t="str">
        <f>"06 - B - 101 - Bruce A Evans"</f>
        <v>06 - B - 101 - Bruce A Evans</v>
      </c>
      <c r="F12660" t="str">
        <f>"EMERG MED RESP 3 HON"</f>
        <v>EMERG MED RESP 3 HON</v>
      </c>
      <c r="G12660" t="str">
        <f>"21-2142"</f>
        <v>21-2142</v>
      </c>
      <c r="H12660" t="str">
        <f>"B"</f>
        <v>B</v>
      </c>
    </row>
    <row r="12661" spans="1:8" x14ac:dyDescent="0.2">
      <c r="A12661" t="str">
        <f t="shared" si="4584"/>
        <v>0614139945</v>
      </c>
      <c r="B12661" t="str">
        <f t="shared" si="4585"/>
        <v>ROXANNA</v>
      </c>
      <c r="C12661" t="str">
        <f t="shared" si="4583"/>
        <v>ORREGO MARTINEZ</v>
      </c>
      <c r="D12661">
        <f>11</f>
        <v>11</v>
      </c>
      <c r="E12661" t="str">
        <f>"03 - A - 106 - Jerry S Jiampetti"</f>
        <v>03 - A - 106 - Jerry S Jiampetti</v>
      </c>
      <c r="F12661" t="str">
        <f>"US HISTORY HON"</f>
        <v>US HISTORY HON</v>
      </c>
      <c r="G12661" t="str">
        <f>"17-1751"</f>
        <v>17-1751</v>
      </c>
      <c r="H12661" t="str">
        <f>"A"</f>
        <v>A</v>
      </c>
    </row>
    <row r="12662" spans="1:8" x14ac:dyDescent="0.2">
      <c r="A12662" t="str">
        <f t="shared" si="4584"/>
        <v>0614139945</v>
      </c>
      <c r="B12662" t="str">
        <f t="shared" si="4585"/>
        <v>ROXANNA</v>
      </c>
      <c r="C12662" t="str">
        <f t="shared" si="4583"/>
        <v>ORREGO MARTINEZ</v>
      </c>
      <c r="D12662">
        <f>11</f>
        <v>11</v>
      </c>
      <c r="E12662" t="str">
        <f>"02 - A - 113 - Byron G Montenegro"</f>
        <v>02 - A - 113 - Byron G Montenegro</v>
      </c>
      <c r="F12662" t="str">
        <f>"NC STUDY HALL 1"</f>
        <v>NC STUDY HALL 1</v>
      </c>
      <c r="G12662" t="str">
        <f>"21-2144"</f>
        <v>21-2144</v>
      </c>
      <c r="H12662" t="str">
        <f>"A"</f>
        <v>A</v>
      </c>
    </row>
    <row r="12663" spans="1:8" x14ac:dyDescent="0.2">
      <c r="A12663" t="str">
        <f t="shared" si="4584"/>
        <v>0614139945</v>
      </c>
      <c r="B12663" t="str">
        <f t="shared" si="4585"/>
        <v>ROXANNA</v>
      </c>
      <c r="C12663" t="str">
        <f t="shared" si="4583"/>
        <v>ORREGO MARTINEZ</v>
      </c>
      <c r="D12663">
        <f>11</f>
        <v>11</v>
      </c>
      <c r="E12663" t="str">
        <f>"07 - B - 105 - Cliffon  Saurel"</f>
        <v>07 - B - 105 - Cliffon  Saurel</v>
      </c>
      <c r="F12663" t="str">
        <f>"PHYSICAL SCI"</f>
        <v>PHYSICAL SCI</v>
      </c>
      <c r="G12663" t="str">
        <f>"05-522"</f>
        <v>05-522</v>
      </c>
      <c r="H12663" t="str">
        <f>"B"</f>
        <v>B</v>
      </c>
    </row>
    <row r="12664" spans="1:8" x14ac:dyDescent="0.2">
      <c r="A12664" t="str">
        <f t="shared" si="4584"/>
        <v>0614139945</v>
      </c>
      <c r="B12664" t="str">
        <f t="shared" si="4585"/>
        <v>ROXANNA</v>
      </c>
      <c r="C12664" t="str">
        <f t="shared" si="4583"/>
        <v>ORREGO MARTINEZ</v>
      </c>
      <c r="D12664">
        <f>11</f>
        <v>11</v>
      </c>
      <c r="E12664" t="str">
        <f>"05 - B - 201 - Bruce A Evans"</f>
        <v>05 - B - 201 - Bruce A Evans</v>
      </c>
      <c r="F12664" t="str">
        <f>"HEALTH SCI FOUND HON"</f>
        <v>HEALTH SCI FOUND HON</v>
      </c>
      <c r="G12664" t="str">
        <f>"21-2142"</f>
        <v>21-2142</v>
      </c>
      <c r="H12664" t="str">
        <f>"B"</f>
        <v>B</v>
      </c>
    </row>
    <row r="12665" spans="1:8" x14ac:dyDescent="0.2">
      <c r="A12665" t="str">
        <f t="shared" si="4584"/>
        <v>0614139945</v>
      </c>
      <c r="B12665" t="str">
        <f t="shared" si="4585"/>
        <v>ROXANNA</v>
      </c>
      <c r="C12665" t="str">
        <f t="shared" si="4583"/>
        <v>ORREGO MARTINEZ</v>
      </c>
      <c r="D12665">
        <f>11</f>
        <v>11</v>
      </c>
      <c r="E12665" t="str">
        <f>"01 - S1 - A - 101 - Bruce A Evans"</f>
        <v>01 - S1 - A - 101 - Bruce A Evans</v>
      </c>
      <c r="F12665" t="str">
        <f>"ELECTROCARD TECH 3HN"</f>
        <v>ELECTROCARD TECH 3HN</v>
      </c>
      <c r="G12665" t="str">
        <f>"21-2142"</f>
        <v>21-2142</v>
      </c>
      <c r="H12665" t="str">
        <f>"A"</f>
        <v>A</v>
      </c>
    </row>
    <row r="12666" spans="1:8" x14ac:dyDescent="0.2">
      <c r="A12666" t="str">
        <f t="shared" si="4584"/>
        <v>0614139945</v>
      </c>
      <c r="B12666" t="str">
        <f t="shared" si="4585"/>
        <v>ROXANNA</v>
      </c>
      <c r="C12666" t="str">
        <f t="shared" si="4583"/>
        <v>ORREGO MARTINEZ</v>
      </c>
      <c r="D12666">
        <f>11</f>
        <v>11</v>
      </c>
      <c r="E12666" t="str">
        <f>"08 - B - 105 - Semra  Bahadir"</f>
        <v>08 - B - 105 - Semra  Bahadir</v>
      </c>
      <c r="F12666" t="str">
        <f>"MATH COLL ALGEBRA"</f>
        <v>MATH COLL ALGEBRA</v>
      </c>
      <c r="G12666" t="str">
        <f>"21-2107"</f>
        <v>21-2107</v>
      </c>
      <c r="H12666" t="str">
        <f>"B"</f>
        <v>B</v>
      </c>
    </row>
    <row r="12667" spans="1:8" x14ac:dyDescent="0.2">
      <c r="A12667" t="str">
        <f t="shared" ref="A12667:A12674" si="4586">"0622077167"</f>
        <v>0622077167</v>
      </c>
      <c r="B12667" t="str">
        <f t="shared" ref="B12667:B12674" si="4587">"JOAQUIN"</f>
        <v>JOAQUIN</v>
      </c>
      <c r="C12667" t="str">
        <f t="shared" ref="C12667:C12674" si="4588">"ORTEGA FEIJOO"</f>
        <v>ORTEGA FEIJOO</v>
      </c>
      <c r="D12667">
        <f>11</f>
        <v>11</v>
      </c>
      <c r="E12667" t="str">
        <f>"04 - A - 201 - Norayda D Suarez"</f>
        <v>04 - A - 201 - Norayda D Suarez</v>
      </c>
      <c r="F12667" t="str">
        <f>"ANAT PHYSIO HON"</f>
        <v>ANAT PHYSIO HON</v>
      </c>
      <c r="G12667" t="str">
        <f>"21-2142"</f>
        <v>21-2142</v>
      </c>
      <c r="H12667" t="str">
        <f>"A"</f>
        <v>A</v>
      </c>
    </row>
    <row r="12668" spans="1:8" x14ac:dyDescent="0.2">
      <c r="A12668" t="str">
        <f t="shared" si="4586"/>
        <v>0622077167</v>
      </c>
      <c r="B12668" t="str">
        <f t="shared" si="4587"/>
        <v>JOAQUIN</v>
      </c>
      <c r="C12668" t="str">
        <f t="shared" si="4588"/>
        <v>ORTEGA FEIJOO</v>
      </c>
      <c r="D12668">
        <f>11</f>
        <v>11</v>
      </c>
      <c r="E12668" t="str">
        <f>"06 - B - 002 - Kyle  Robbins"</f>
        <v>06 - B - 002 - Kyle  Robbins</v>
      </c>
      <c r="F12668" t="str">
        <f>"US HISTORY HON"</f>
        <v>US HISTORY HON</v>
      </c>
      <c r="G12668" t="str">
        <f>"17-1745"</f>
        <v>17-1745</v>
      </c>
      <c r="H12668" t="str">
        <f>"B"</f>
        <v>B</v>
      </c>
    </row>
    <row r="12669" spans="1:8" x14ac:dyDescent="0.2">
      <c r="A12669" t="str">
        <f t="shared" si="4586"/>
        <v>0622077167</v>
      </c>
      <c r="B12669" t="str">
        <f t="shared" si="4587"/>
        <v>JOAQUIN</v>
      </c>
      <c r="C12669" t="str">
        <f t="shared" si="4588"/>
        <v>ORTEGA FEIJOO</v>
      </c>
      <c r="D12669">
        <f>11</f>
        <v>11</v>
      </c>
      <c r="E12669" t="str">
        <f>"03 - A - 104 - Brook E Goren"</f>
        <v>03 - A - 104 - Brook E Goren</v>
      </c>
      <c r="F12669" t="str">
        <f>"ALGEBRA 2 HON"</f>
        <v>ALGEBRA 2 HON</v>
      </c>
      <c r="G12669" t="str">
        <f>"21-2158"</f>
        <v>21-2158</v>
      </c>
      <c r="H12669" t="str">
        <f>"A"</f>
        <v>A</v>
      </c>
    </row>
    <row r="12670" spans="1:8" x14ac:dyDescent="0.2">
      <c r="A12670" t="str">
        <f t="shared" si="4586"/>
        <v>0622077167</v>
      </c>
      <c r="B12670" t="str">
        <f t="shared" si="4587"/>
        <v>JOAQUIN</v>
      </c>
      <c r="C12670" t="str">
        <f t="shared" si="4588"/>
        <v>ORTEGA FEIJOO</v>
      </c>
      <c r="D12670">
        <f>11</f>
        <v>11</v>
      </c>
      <c r="E12670" t="str">
        <f>"02 - A - 107 - Elizabeth Ellen  Moran"</f>
        <v>02 - A - 107 - Elizabeth Ellen  Moran</v>
      </c>
      <c r="F12670" t="str">
        <f>"NC STUDY HALL 1"</f>
        <v>NC STUDY HALL 1</v>
      </c>
      <c r="G12670" t="str">
        <f>"17-1752"</f>
        <v>17-1752</v>
      </c>
      <c r="H12670" t="str">
        <f>"A"</f>
        <v>A</v>
      </c>
    </row>
    <row r="12671" spans="1:8" x14ac:dyDescent="0.2">
      <c r="A12671" t="str">
        <f t="shared" si="4586"/>
        <v>0622077167</v>
      </c>
      <c r="B12671" t="str">
        <f t="shared" si="4587"/>
        <v>JOAQUIN</v>
      </c>
      <c r="C12671" t="str">
        <f t="shared" si="4588"/>
        <v>ORTEGA FEIJOO</v>
      </c>
      <c r="D12671">
        <f>11</f>
        <v>11</v>
      </c>
      <c r="E12671" t="str">
        <f>"07 - B - 105 - Joe  Kilpatrick Jr"</f>
        <v>07 - B - 105 - Joe  Kilpatrick Jr</v>
      </c>
      <c r="F12671" t="str">
        <f>"PRE-AICE SPAN 1 IG"</f>
        <v>PRE-AICE SPAN 1 IG</v>
      </c>
      <c r="G12671" t="str">
        <f>"09-912"</f>
        <v>09-912</v>
      </c>
      <c r="H12671" t="str">
        <f>"B"</f>
        <v>B</v>
      </c>
    </row>
    <row r="12672" spans="1:8" x14ac:dyDescent="0.2">
      <c r="A12672" t="str">
        <f t="shared" si="4586"/>
        <v>0622077167</v>
      </c>
      <c r="B12672" t="str">
        <f t="shared" si="4587"/>
        <v>JOAQUIN</v>
      </c>
      <c r="C12672" t="str">
        <f t="shared" si="4588"/>
        <v>ORTEGA FEIJOO</v>
      </c>
      <c r="D12672">
        <f>11</f>
        <v>11</v>
      </c>
      <c r="E12672" t="str">
        <f>"05 - B - 103 - Heidi M Knopp"</f>
        <v>05 - B - 103 - Heidi M Knopp</v>
      </c>
      <c r="F12672" t="str">
        <f>"ENG HON 3"</f>
        <v>ENG HON 3</v>
      </c>
      <c r="G12672" t="str">
        <f>"17-1723"</f>
        <v>17-1723</v>
      </c>
      <c r="H12672" t="str">
        <f>"B"</f>
        <v>B</v>
      </c>
    </row>
    <row r="12673" spans="1:8" x14ac:dyDescent="0.2">
      <c r="A12673" t="str">
        <f t="shared" si="4586"/>
        <v>0622077167</v>
      </c>
      <c r="B12673" t="str">
        <f t="shared" si="4587"/>
        <v>JOAQUIN</v>
      </c>
      <c r="C12673" t="str">
        <f t="shared" si="4588"/>
        <v>ORTEGA FEIJOO</v>
      </c>
      <c r="D12673">
        <f>11</f>
        <v>11</v>
      </c>
      <c r="E12673" t="str">
        <f>"01 - A - 001 - Brian M Fitzgerald"</f>
        <v>01 - A - 001 - Brian M Fitzgerald</v>
      </c>
      <c r="F12673" t="str">
        <f>"CERAM/POT 2"</f>
        <v>CERAM/POT 2</v>
      </c>
      <c r="G12673" t="str">
        <f>"09-908"</f>
        <v>09-908</v>
      </c>
      <c r="H12673" t="str">
        <f>"A"</f>
        <v>A</v>
      </c>
    </row>
    <row r="12674" spans="1:8" x14ac:dyDescent="0.2">
      <c r="A12674" t="str">
        <f t="shared" si="4586"/>
        <v>0622077167</v>
      </c>
      <c r="B12674" t="str">
        <f t="shared" si="4587"/>
        <v>JOAQUIN</v>
      </c>
      <c r="C12674" t="str">
        <f t="shared" si="4588"/>
        <v>ORTEGA FEIJOO</v>
      </c>
      <c r="D12674">
        <f>11</f>
        <v>11</v>
      </c>
      <c r="E12674" t="str">
        <f>"08 - B - 201 - Tina M Jaramillo"</f>
        <v>08 - B - 201 - Tina M Jaramillo</v>
      </c>
      <c r="F12674" t="str">
        <f>"CREATIVE WRIT 3 HON"</f>
        <v>CREATIVE WRIT 3 HON</v>
      </c>
      <c r="G12674" t="str">
        <f>"17-1706"</f>
        <v>17-1706</v>
      </c>
      <c r="H12674" t="str">
        <f>"B"</f>
        <v>B</v>
      </c>
    </row>
    <row r="12675" spans="1:8" x14ac:dyDescent="0.2">
      <c r="A12675" t="str">
        <f t="shared" ref="A12675:A12682" si="4589">"0625013372"</f>
        <v>0625013372</v>
      </c>
      <c r="B12675" t="str">
        <f t="shared" ref="B12675:B12682" si="4590">"Shamir"</f>
        <v>Shamir</v>
      </c>
      <c r="C12675" t="str">
        <f t="shared" ref="C12675:C12682" si="4591">"Ortega Perez"</f>
        <v>Ortega Perez</v>
      </c>
      <c r="D12675">
        <f>11</f>
        <v>11</v>
      </c>
      <c r="E12675" t="str">
        <f>"04 - S1 - A - 101 - Nahum  Saint-Preux"</f>
        <v>04 - S1 - A - 101 - Nahum  Saint-Preux</v>
      </c>
      <c r="F12675" t="str">
        <f>"CRIT THINK ST SKLS"</f>
        <v>CRIT THINK ST SKLS</v>
      </c>
      <c r="G12675" t="str">
        <f>"17-1712"</f>
        <v>17-1712</v>
      </c>
      <c r="H12675" t="str">
        <f>"A"</f>
        <v>A</v>
      </c>
    </row>
    <row r="12676" spans="1:8" x14ac:dyDescent="0.2">
      <c r="A12676" t="str">
        <f t="shared" si="4589"/>
        <v>0625013372</v>
      </c>
      <c r="B12676" t="str">
        <f t="shared" si="4590"/>
        <v>Shamir</v>
      </c>
      <c r="C12676" t="str">
        <f t="shared" si="4591"/>
        <v>Ortega Perez</v>
      </c>
      <c r="D12676">
        <f>11</f>
        <v>11</v>
      </c>
      <c r="E12676" t="str">
        <f>"06 - B - 104 - Nahum  Saint-Preux"</f>
        <v>06 - B - 104 - Nahum  Saint-Preux</v>
      </c>
      <c r="F12676" t="str">
        <f>"INTENS READ 3"</f>
        <v>INTENS READ 3</v>
      </c>
      <c r="G12676" t="str">
        <f>"17-1712"</f>
        <v>17-1712</v>
      </c>
      <c r="H12676" t="str">
        <f>"B"</f>
        <v>B</v>
      </c>
    </row>
    <row r="12677" spans="1:8" x14ac:dyDescent="0.2">
      <c r="A12677" t="str">
        <f t="shared" si="4589"/>
        <v>0625013372</v>
      </c>
      <c r="B12677" t="str">
        <f t="shared" si="4590"/>
        <v>Shamir</v>
      </c>
      <c r="C12677" t="str">
        <f t="shared" si="4591"/>
        <v>Ortega Perez</v>
      </c>
      <c r="D12677">
        <f>11</f>
        <v>11</v>
      </c>
      <c r="E12677" t="str">
        <f>"03 - A - 102 - Cliffon  Saurel"</f>
        <v>03 - A - 102 - Cliffon  Saurel</v>
      </c>
      <c r="F12677" t="str">
        <f>"PHYSICAL SCI"</f>
        <v>PHYSICAL SCI</v>
      </c>
      <c r="G12677" t="str">
        <f>"05-522"</f>
        <v>05-522</v>
      </c>
      <c r="H12677" t="str">
        <f>"A"</f>
        <v>A</v>
      </c>
    </row>
    <row r="12678" spans="1:8" x14ac:dyDescent="0.2">
      <c r="A12678" t="str">
        <f t="shared" si="4589"/>
        <v>0625013372</v>
      </c>
      <c r="B12678" t="str">
        <f t="shared" si="4590"/>
        <v>Shamir</v>
      </c>
      <c r="C12678" t="str">
        <f t="shared" si="4591"/>
        <v>Ortega Perez</v>
      </c>
      <c r="D12678">
        <f>11</f>
        <v>11</v>
      </c>
      <c r="E12678" t="str">
        <f>"02 - A - 104 - Dayna M Foster"</f>
        <v>02 - A - 104 - Dayna M Foster</v>
      </c>
      <c r="F12678" t="str">
        <f>"NC STUDY HALL 1"</f>
        <v>NC STUDY HALL 1</v>
      </c>
      <c r="G12678" t="str">
        <f>"21-2109"</f>
        <v>21-2109</v>
      </c>
      <c r="H12678" t="str">
        <f>"A"</f>
        <v>A</v>
      </c>
    </row>
    <row r="12679" spans="1:8" x14ac:dyDescent="0.2">
      <c r="A12679" t="str">
        <f t="shared" si="4589"/>
        <v>0625013372</v>
      </c>
      <c r="B12679" t="str">
        <f t="shared" si="4590"/>
        <v>Shamir</v>
      </c>
      <c r="C12679" t="str">
        <f t="shared" si="4591"/>
        <v>Ortega Perez</v>
      </c>
      <c r="D12679">
        <f>11</f>
        <v>11</v>
      </c>
      <c r="E12679" t="str">
        <f>"07 - B - 108 - Lauren N Logan"</f>
        <v>07 - B - 108 - Lauren N Logan</v>
      </c>
      <c r="F12679" t="str">
        <f>"US HISTORY"</f>
        <v>US HISTORY</v>
      </c>
      <c r="G12679" t="str">
        <f>"17-1745"</f>
        <v>17-1745</v>
      </c>
      <c r="H12679" t="str">
        <f>"B"</f>
        <v>B</v>
      </c>
    </row>
    <row r="12680" spans="1:8" x14ac:dyDescent="0.2">
      <c r="A12680" t="str">
        <f t="shared" si="4589"/>
        <v>0625013372</v>
      </c>
      <c r="B12680" t="str">
        <f t="shared" si="4590"/>
        <v>Shamir</v>
      </c>
      <c r="C12680" t="str">
        <f t="shared" si="4591"/>
        <v>Ortega Perez</v>
      </c>
      <c r="D12680">
        <f>11</f>
        <v>11</v>
      </c>
      <c r="E12680" t="str">
        <f>"05 - B - 104 - Lisa  Quinn"</f>
        <v>05 - B - 104 - Lisa  Quinn</v>
      </c>
      <c r="F12680" t="str">
        <f>"ENG 3"</f>
        <v>ENG 3</v>
      </c>
      <c r="G12680" t="str">
        <f>"17-1725"</f>
        <v>17-1725</v>
      </c>
      <c r="H12680" t="str">
        <f>"B"</f>
        <v>B</v>
      </c>
    </row>
    <row r="12681" spans="1:8" x14ac:dyDescent="0.2">
      <c r="A12681" t="str">
        <f t="shared" si="4589"/>
        <v>0625013372</v>
      </c>
      <c r="B12681" t="str">
        <f t="shared" si="4590"/>
        <v>Shamir</v>
      </c>
      <c r="C12681" t="str">
        <f t="shared" si="4591"/>
        <v>Ortega Perez</v>
      </c>
      <c r="D12681">
        <f>11</f>
        <v>11</v>
      </c>
      <c r="E12681" t="str">
        <f>"01 - A - 101 - Vanessa J Pena"</f>
        <v>01 - A - 101 - Vanessa J Pena</v>
      </c>
      <c r="F12681" t="str">
        <f>"DEV LANG ARTS ESOL-R"</f>
        <v>DEV LANG ARTS ESOL-R</v>
      </c>
      <c r="G12681" t="str">
        <f>"09-926"</f>
        <v>09-926</v>
      </c>
      <c r="H12681" t="str">
        <f>"A"</f>
        <v>A</v>
      </c>
    </row>
    <row r="12682" spans="1:8" x14ac:dyDescent="0.2">
      <c r="A12682" t="str">
        <f t="shared" si="4589"/>
        <v>0625013372</v>
      </c>
      <c r="B12682" t="str">
        <f t="shared" si="4590"/>
        <v>Shamir</v>
      </c>
      <c r="C12682" t="str">
        <f t="shared" si="4591"/>
        <v>Ortega Perez</v>
      </c>
      <c r="D12682">
        <f>11</f>
        <v>11</v>
      </c>
      <c r="E12682" t="str">
        <f>"08 - B - 107 - Brook E Goren"</f>
        <v>08 - B - 107 - Brook E Goren</v>
      </c>
      <c r="F12682" t="str">
        <f>"GEOMETRY"</f>
        <v>GEOMETRY</v>
      </c>
      <c r="G12682" t="str">
        <f>"21-2158"</f>
        <v>21-2158</v>
      </c>
      <c r="H12682" t="str">
        <f>"B"</f>
        <v>B</v>
      </c>
    </row>
    <row r="12683" spans="1:8" x14ac:dyDescent="0.2">
      <c r="A12683" t="str">
        <f t="shared" ref="A12683:A12690" si="4592">"0613115966"</f>
        <v>0613115966</v>
      </c>
      <c r="B12683" t="str">
        <f t="shared" ref="B12683:B12690" si="4593">"SAMANTHA"</f>
        <v>SAMANTHA</v>
      </c>
      <c r="C12683" t="str">
        <f t="shared" ref="C12683:C12690" si="4594">"ORTEZ"</f>
        <v>ORTEZ</v>
      </c>
      <c r="D12683">
        <f>12</f>
        <v>12</v>
      </c>
      <c r="E12683" t="str">
        <f>"04 - A - 101 - Alejandro  Navarro"</f>
        <v>04 - A - 101 - Alejandro  Navarro</v>
      </c>
      <c r="F12683" t="str">
        <f>"BAND 6 HON"</f>
        <v>BAND 6 HON</v>
      </c>
      <c r="G12683" t="str">
        <f>"05-504"</f>
        <v>05-504</v>
      </c>
      <c r="H12683" t="str">
        <f>"A"</f>
        <v>A</v>
      </c>
    </row>
    <row r="12684" spans="1:8" x14ac:dyDescent="0.2">
      <c r="A12684" t="str">
        <f t="shared" si="4592"/>
        <v>0613115966</v>
      </c>
      <c r="B12684" t="str">
        <f t="shared" si="4593"/>
        <v>SAMANTHA</v>
      </c>
      <c r="C12684" t="str">
        <f t="shared" si="4594"/>
        <v>ORTEZ</v>
      </c>
      <c r="D12684">
        <f>12</f>
        <v>12</v>
      </c>
      <c r="E12684" t="str">
        <f>"06 - B - 113 - Marielle A Witting"</f>
        <v>06 - B - 113 - Marielle A Witting</v>
      </c>
      <c r="F12684" t="str">
        <f>"NC STUDY HALL 1"</f>
        <v>NC STUDY HALL 1</v>
      </c>
      <c r="G12684" t="str">
        <f>"08-805"</f>
        <v>08-805</v>
      </c>
      <c r="H12684" t="str">
        <f>"B"</f>
        <v>B</v>
      </c>
    </row>
    <row r="12685" spans="1:8" x14ac:dyDescent="0.2">
      <c r="A12685" t="str">
        <f t="shared" si="4592"/>
        <v>0613115966</v>
      </c>
      <c r="B12685" t="str">
        <f t="shared" si="4593"/>
        <v>SAMANTHA</v>
      </c>
      <c r="C12685" t="str">
        <f t="shared" si="4594"/>
        <v>ORTEZ</v>
      </c>
      <c r="D12685">
        <f>12</f>
        <v>12</v>
      </c>
      <c r="E12685" t="str">
        <f>"03 - A - 101 - Rosa Elaine  Collado-Duff"</f>
        <v>03 - A - 101 - Rosa Elaine  Collado-Duff</v>
      </c>
      <c r="F12685" t="str">
        <f>"SPANISH 3 HON"</f>
        <v>SPANISH 3 HON</v>
      </c>
      <c r="G12685" t="str">
        <f>"09-913"</f>
        <v>09-913</v>
      </c>
      <c r="H12685" t="str">
        <f>"A"</f>
        <v>A</v>
      </c>
    </row>
    <row r="12686" spans="1:8" x14ac:dyDescent="0.2">
      <c r="A12686" t="str">
        <f t="shared" si="4592"/>
        <v>0613115966</v>
      </c>
      <c r="B12686" t="str">
        <f t="shared" si="4593"/>
        <v>SAMANTHA</v>
      </c>
      <c r="C12686" t="str">
        <f t="shared" si="4594"/>
        <v>ORTEZ</v>
      </c>
      <c r="D12686">
        <f>12</f>
        <v>12</v>
      </c>
      <c r="E12686" t="str">
        <f>"02 - A - 201 - Jordana K Hass"</f>
        <v>02 - A - 201 - Jordana K Hass</v>
      </c>
      <c r="F12686" t="str">
        <f>"CHEMISTRY 1"</f>
        <v>CHEMISTRY 1</v>
      </c>
      <c r="G12686" t="str">
        <f>"08-807"</f>
        <v>08-807</v>
      </c>
      <c r="H12686" t="str">
        <f>"A"</f>
        <v>A</v>
      </c>
    </row>
    <row r="12687" spans="1:8" x14ac:dyDescent="0.2">
      <c r="A12687" t="str">
        <f t="shared" si="4592"/>
        <v>0613115966</v>
      </c>
      <c r="B12687" t="str">
        <f t="shared" si="4593"/>
        <v>SAMANTHA</v>
      </c>
      <c r="C12687" t="str">
        <f t="shared" si="4594"/>
        <v>ORTEZ</v>
      </c>
      <c r="D12687">
        <f>12</f>
        <v>12</v>
      </c>
      <c r="E12687" t="str">
        <f>"07 - B - 107 - Semra  Bahadir"</f>
        <v>07 - B - 107 - Semra  Bahadir</v>
      </c>
      <c r="F12687" t="str">
        <f>"MATH COLL ALGEBRA"</f>
        <v>MATH COLL ALGEBRA</v>
      </c>
      <c r="G12687" t="str">
        <f>"21-2107"</f>
        <v>21-2107</v>
      </c>
      <c r="H12687" t="str">
        <f>"B"</f>
        <v>B</v>
      </c>
    </row>
    <row r="12688" spans="1:8" x14ac:dyDescent="0.2">
      <c r="A12688" t="str">
        <f t="shared" si="4592"/>
        <v>0613115966</v>
      </c>
      <c r="B12688" t="str">
        <f t="shared" si="4593"/>
        <v>SAMANTHA</v>
      </c>
      <c r="C12688" t="str">
        <f t="shared" si="4594"/>
        <v>ORTEZ</v>
      </c>
      <c r="D12688">
        <f>12</f>
        <v>12</v>
      </c>
      <c r="E12688" t="str">
        <f>"05 - B - 102 - Dorothy D Moore"</f>
        <v>05 - B - 102 - Dorothy D Moore</v>
      </c>
      <c r="F12688" t="str">
        <f>"FORC SCI 1 LH"</f>
        <v>FORC SCI 1 LH</v>
      </c>
      <c r="G12688" t="str">
        <f>"08-803"</f>
        <v>08-803</v>
      </c>
      <c r="H12688" t="str">
        <f>"B"</f>
        <v>B</v>
      </c>
    </row>
    <row r="12689" spans="1:8" x14ac:dyDescent="0.2">
      <c r="A12689" t="str">
        <f t="shared" si="4592"/>
        <v>0613115966</v>
      </c>
      <c r="B12689" t="str">
        <f t="shared" si="4593"/>
        <v>SAMANTHA</v>
      </c>
      <c r="C12689" t="str">
        <f t="shared" si="4594"/>
        <v>ORTEZ</v>
      </c>
      <c r="D12689">
        <f>12</f>
        <v>12</v>
      </c>
      <c r="E12689" t="str">
        <f>"01 - A - 103 - Jeffrey S Gallagher"</f>
        <v>01 - A - 103 - Jeffrey S Gallagher</v>
      </c>
      <c r="F12689" t="str">
        <f>"ENG HON 4"</f>
        <v>ENG HON 4</v>
      </c>
      <c r="G12689" t="str">
        <f>"17-1724"</f>
        <v>17-1724</v>
      </c>
      <c r="H12689" t="str">
        <f>"A"</f>
        <v>A</v>
      </c>
    </row>
    <row r="12690" spans="1:8" x14ac:dyDescent="0.2">
      <c r="A12690" t="str">
        <f t="shared" si="4592"/>
        <v>0613115966</v>
      </c>
      <c r="B12690" t="str">
        <f t="shared" si="4593"/>
        <v>SAMANTHA</v>
      </c>
      <c r="C12690" t="str">
        <f t="shared" si="4594"/>
        <v>ORTEZ</v>
      </c>
      <c r="D12690">
        <f>12</f>
        <v>12</v>
      </c>
      <c r="E12690" t="str">
        <f>"08 - S1 - B - 105 - Kelly N Panza"</f>
        <v>08 - S1 - B - 105 - Kelly N Panza</v>
      </c>
      <c r="F12690" t="str">
        <f>"US GOVT HON"</f>
        <v>US GOVT HON</v>
      </c>
      <c r="G12690" t="str">
        <f>"17-1753"</f>
        <v>17-1753</v>
      </c>
      <c r="H12690" t="str">
        <f>"B"</f>
        <v>B</v>
      </c>
    </row>
    <row r="12691" spans="1:8" x14ac:dyDescent="0.2">
      <c r="A12691" t="str">
        <f t="shared" ref="A12691:A12698" si="4595">"0615139090"</f>
        <v>0615139090</v>
      </c>
      <c r="B12691" t="str">
        <f t="shared" ref="B12691:B12698" si="4596">"JUSTIN"</f>
        <v>JUSTIN</v>
      </c>
      <c r="C12691" t="str">
        <f t="shared" ref="C12691:C12698" si="4597">"ORTEZ-CRUZ"</f>
        <v>ORTEZ-CRUZ</v>
      </c>
      <c r="D12691">
        <f>10</f>
        <v>10</v>
      </c>
      <c r="E12691" t="str">
        <f>"04 - A - 104 - Marius D Orsolini"</f>
        <v>04 - A - 104 - Marius D Orsolini</v>
      </c>
      <c r="F12691" t="str">
        <f>"CULINARY ARTS 1"</f>
        <v>CULINARY ARTS 1</v>
      </c>
      <c r="G12691" t="str">
        <f>"21-2115"</f>
        <v>21-2115</v>
      </c>
      <c r="H12691" t="str">
        <f>"A"</f>
        <v>A</v>
      </c>
    </row>
    <row r="12692" spans="1:8" x14ac:dyDescent="0.2">
      <c r="A12692" t="str">
        <f t="shared" si="4595"/>
        <v>0615139090</v>
      </c>
      <c r="B12692" t="str">
        <f t="shared" si="4596"/>
        <v>JUSTIN</v>
      </c>
      <c r="C12692" t="str">
        <f t="shared" si="4597"/>
        <v>ORTEZ-CRUZ</v>
      </c>
      <c r="D12692">
        <f>10</f>
        <v>10</v>
      </c>
      <c r="E12692" t="str">
        <f>"06 - B - 116 - Jordana K Hass"</f>
        <v>06 - B - 116 - Jordana K Hass</v>
      </c>
      <c r="F12692" t="str">
        <f>"NC STUDY HALL 1"</f>
        <v>NC STUDY HALL 1</v>
      </c>
      <c r="G12692" t="str">
        <f>"08-807"</f>
        <v>08-807</v>
      </c>
      <c r="H12692" t="str">
        <f>"B"</f>
        <v>B</v>
      </c>
    </row>
    <row r="12693" spans="1:8" x14ac:dyDescent="0.2">
      <c r="A12693" t="str">
        <f t="shared" si="4595"/>
        <v>0615139090</v>
      </c>
      <c r="B12693" t="str">
        <f t="shared" si="4596"/>
        <v>JUSTIN</v>
      </c>
      <c r="C12693" t="str">
        <f t="shared" si="4597"/>
        <v>ORTEZ-CRUZ</v>
      </c>
      <c r="D12693">
        <f>10</f>
        <v>10</v>
      </c>
      <c r="E12693" t="str">
        <f>"03 - A - 104 - Brook E Goren"</f>
        <v>03 - A - 104 - Brook E Goren</v>
      </c>
      <c r="F12693" t="str">
        <f>"ALGEBRA 2 HON"</f>
        <v>ALGEBRA 2 HON</v>
      </c>
      <c r="G12693" t="str">
        <f>"21-2158"</f>
        <v>21-2158</v>
      </c>
      <c r="H12693" t="str">
        <f>"A"</f>
        <v>A</v>
      </c>
    </row>
    <row r="12694" spans="1:8" x14ac:dyDescent="0.2">
      <c r="A12694" t="str">
        <f t="shared" si="4595"/>
        <v>0615139090</v>
      </c>
      <c r="B12694" t="str">
        <f t="shared" si="4596"/>
        <v>JUSTIN</v>
      </c>
      <c r="C12694" t="str">
        <f t="shared" si="4597"/>
        <v>ORTEZ-CRUZ</v>
      </c>
      <c r="D12694">
        <f>10</f>
        <v>10</v>
      </c>
      <c r="E12694" t="str">
        <f>"02 - A - 102 - Chrystina M Marchionne"</f>
        <v>02 - A - 102 - Chrystina M Marchionne</v>
      </c>
      <c r="F12694" t="str">
        <f>"AICE MEDIASTUDIES AS"</f>
        <v>AICE MEDIASTUDIES AS</v>
      </c>
      <c r="G12694" t="str">
        <f>"05-520"</f>
        <v>05-520</v>
      </c>
      <c r="H12694" t="str">
        <f>"A"</f>
        <v>A</v>
      </c>
    </row>
    <row r="12695" spans="1:8" x14ac:dyDescent="0.2">
      <c r="A12695" t="str">
        <f t="shared" si="4595"/>
        <v>0615139090</v>
      </c>
      <c r="B12695" t="str">
        <f t="shared" si="4596"/>
        <v>JUSTIN</v>
      </c>
      <c r="C12695" t="str">
        <f t="shared" si="4597"/>
        <v>ORTEZ-CRUZ</v>
      </c>
      <c r="D12695">
        <f>10</f>
        <v>10</v>
      </c>
      <c r="E12695" t="str">
        <f>"07 - B - 107 - Jacklyn M James"</f>
        <v>07 - B - 107 - Jacklyn M James</v>
      </c>
      <c r="F12695" t="str">
        <f>"AICE ENG LANG AS"</f>
        <v>AICE ENG LANG AS</v>
      </c>
      <c r="G12695" t="str">
        <f>"17-1731"</f>
        <v>17-1731</v>
      </c>
      <c r="H12695" t="str">
        <f>"B"</f>
        <v>B</v>
      </c>
    </row>
    <row r="12696" spans="1:8" x14ac:dyDescent="0.2">
      <c r="A12696" t="str">
        <f t="shared" si="4595"/>
        <v>0615139090</v>
      </c>
      <c r="B12696" t="str">
        <f t="shared" si="4596"/>
        <v>JUSTIN</v>
      </c>
      <c r="C12696" t="str">
        <f t="shared" si="4597"/>
        <v>ORTEZ-CRUZ</v>
      </c>
      <c r="D12696">
        <f>10</f>
        <v>10</v>
      </c>
      <c r="E12696" t="str">
        <f>"05 - B - 108 - Valerie J Ruwe"</f>
        <v>05 - B - 108 - Valerie J Ruwe</v>
      </c>
      <c r="F12696" t="str">
        <f>"CHEMISTRY 1 HON"</f>
        <v>CHEMISTRY 1 HON</v>
      </c>
      <c r="G12696" t="str">
        <f>"21-2138"</f>
        <v>21-2138</v>
      </c>
      <c r="H12696" t="str">
        <f>"B"</f>
        <v>B</v>
      </c>
    </row>
    <row r="12697" spans="1:8" x14ac:dyDescent="0.2">
      <c r="A12697" t="str">
        <f t="shared" si="4595"/>
        <v>0615139090</v>
      </c>
      <c r="B12697" t="str">
        <f t="shared" si="4596"/>
        <v>JUSTIN</v>
      </c>
      <c r="C12697" t="str">
        <f t="shared" si="4597"/>
        <v>ORTEZ-CRUZ</v>
      </c>
      <c r="D12697">
        <f>10</f>
        <v>10</v>
      </c>
      <c r="E12697" t="str">
        <f>"01 - A - 001 - Lenecy  Nodarse"</f>
        <v>01 - A - 001 - Lenecy  Nodarse</v>
      </c>
      <c r="F12697" t="str">
        <f>"AICE EURO HIST 1 AS"</f>
        <v>AICE EURO HIST 1 AS</v>
      </c>
      <c r="G12697" t="str">
        <f>"17-1741"</f>
        <v>17-1741</v>
      </c>
      <c r="H12697" t="str">
        <f>"A"</f>
        <v>A</v>
      </c>
    </row>
    <row r="12698" spans="1:8" x14ac:dyDescent="0.2">
      <c r="A12698" t="str">
        <f t="shared" si="4595"/>
        <v>0615139090</v>
      </c>
      <c r="B12698" t="str">
        <f t="shared" si="4596"/>
        <v>JUSTIN</v>
      </c>
      <c r="C12698" t="str">
        <f t="shared" si="4597"/>
        <v>ORTEZ-CRUZ</v>
      </c>
      <c r="D12698">
        <f>10</f>
        <v>10</v>
      </c>
      <c r="E12698" t="str">
        <f>"08 - B - 103 - Joe  Kilpatrick Jr"</f>
        <v>08 - B - 103 - Joe  Kilpatrick Jr</v>
      </c>
      <c r="F12698" t="str">
        <f>"PRE-AICE SPAN 2 IG"</f>
        <v>PRE-AICE SPAN 2 IG</v>
      </c>
      <c r="G12698" t="str">
        <f>"09-912"</f>
        <v>09-912</v>
      </c>
      <c r="H12698" t="str">
        <f>"B"</f>
        <v>B</v>
      </c>
    </row>
    <row r="12699" spans="1:8" x14ac:dyDescent="0.2">
      <c r="A12699" t="str">
        <f t="shared" ref="A12699:A12706" si="4598">"0621055542"</f>
        <v>0621055542</v>
      </c>
      <c r="B12699" t="str">
        <f t="shared" ref="B12699:B12706" si="4599">"ANNELYS"</f>
        <v>ANNELYS</v>
      </c>
      <c r="C12699" t="str">
        <f t="shared" ref="C12699:C12714" si="4600">"ORTIZ"</f>
        <v>ORTIZ</v>
      </c>
      <c r="D12699" t="str">
        <f t="shared" ref="D12699:D12706" si="4601">"09"</f>
        <v>09</v>
      </c>
      <c r="E12699" t="str">
        <f>"04 - A - 102 - Byron G Montenegro"</f>
        <v>04 - A - 102 - Byron G Montenegro</v>
      </c>
      <c r="F12699" t="str">
        <f>"AICE MARINE SCI 1 AS"</f>
        <v>AICE MARINE SCI 1 AS</v>
      </c>
      <c r="G12699" t="str">
        <f>"21-2144"</f>
        <v>21-2144</v>
      </c>
      <c r="H12699" t="str">
        <f>"A"</f>
        <v>A</v>
      </c>
    </row>
    <row r="12700" spans="1:8" x14ac:dyDescent="0.2">
      <c r="A12700" t="str">
        <f t="shared" si="4598"/>
        <v>0621055542</v>
      </c>
      <c r="B12700" t="str">
        <f t="shared" si="4599"/>
        <v>ANNELYS</v>
      </c>
      <c r="C12700" t="str">
        <f t="shared" si="4600"/>
        <v>ORTIZ</v>
      </c>
      <c r="D12700" t="str">
        <f t="shared" si="4601"/>
        <v>09</v>
      </c>
      <c r="E12700" t="str">
        <f>"06 - B - 104 - Lytrell T Dixon"</f>
        <v>06 - B - 104 - Lytrell T Dixon</v>
      </c>
      <c r="F12700" t="str">
        <f>"PRE-AICE BIO IG"</f>
        <v>PRE-AICE BIO IG</v>
      </c>
      <c r="G12700" t="str">
        <f>"08-808"</f>
        <v>08-808</v>
      </c>
      <c r="H12700" t="str">
        <f>"B"</f>
        <v>B</v>
      </c>
    </row>
    <row r="12701" spans="1:8" x14ac:dyDescent="0.2">
      <c r="A12701" t="str">
        <f t="shared" si="4598"/>
        <v>0621055542</v>
      </c>
      <c r="B12701" t="str">
        <f t="shared" si="4599"/>
        <v>ANNELYS</v>
      </c>
      <c r="C12701" t="str">
        <f t="shared" si="4600"/>
        <v>ORTIZ</v>
      </c>
      <c r="D12701" t="str">
        <f t="shared" si="4601"/>
        <v>09</v>
      </c>
      <c r="E12701" t="str">
        <f>"03 - A - 103 - Kelly N Panza"</f>
        <v>03 - A - 103 - Kelly N Panza</v>
      </c>
      <c r="F12701" t="str">
        <f>"AICE GLBL PERSP 1 AS"</f>
        <v>AICE GLBL PERSP 1 AS</v>
      </c>
      <c r="G12701" t="str">
        <f>"17-1753"</f>
        <v>17-1753</v>
      </c>
      <c r="H12701" t="str">
        <f>"A"</f>
        <v>A</v>
      </c>
    </row>
    <row r="12702" spans="1:8" x14ac:dyDescent="0.2">
      <c r="A12702" t="str">
        <f t="shared" si="4598"/>
        <v>0621055542</v>
      </c>
      <c r="B12702" t="str">
        <f t="shared" si="4599"/>
        <v>ANNELYS</v>
      </c>
      <c r="C12702" t="str">
        <f t="shared" si="4600"/>
        <v>ORTIZ</v>
      </c>
      <c r="D12702" t="str">
        <f t="shared" si="4601"/>
        <v>09</v>
      </c>
      <c r="E12702" t="str">
        <f>"02 - A - 103 - Arthur  Kulawik"</f>
        <v>02 - A - 103 - Arthur  Kulawik</v>
      </c>
      <c r="F12702" t="str">
        <f>"NC STUDY HALL 1"</f>
        <v>NC STUDY HALL 1</v>
      </c>
      <c r="G12702" t="str">
        <f>"05-506"</f>
        <v>05-506</v>
      </c>
      <c r="H12702" t="str">
        <f>"A"</f>
        <v>A</v>
      </c>
    </row>
    <row r="12703" spans="1:8" x14ac:dyDescent="0.2">
      <c r="A12703" t="str">
        <f t="shared" si="4598"/>
        <v>0621055542</v>
      </c>
      <c r="B12703" t="str">
        <f t="shared" si="4599"/>
        <v>ANNELYS</v>
      </c>
      <c r="C12703" t="str">
        <f t="shared" si="4600"/>
        <v>ORTIZ</v>
      </c>
      <c r="D12703" t="str">
        <f t="shared" si="4601"/>
        <v>09</v>
      </c>
      <c r="E12703" t="str">
        <f>"07 - B - 103 - Vanessa J Liburd"</f>
        <v>07 - B - 103 - Vanessa J Liburd</v>
      </c>
      <c r="F12703" t="str">
        <f>"PRE-AICE FRENCH 1 IG"</f>
        <v>PRE-AICE FRENCH 1 IG</v>
      </c>
      <c r="G12703" t="str">
        <f>"05-519"</f>
        <v>05-519</v>
      </c>
      <c r="H12703" t="str">
        <f>"B"</f>
        <v>B</v>
      </c>
    </row>
    <row r="12704" spans="1:8" x14ac:dyDescent="0.2">
      <c r="A12704" t="str">
        <f t="shared" si="4598"/>
        <v>0621055542</v>
      </c>
      <c r="B12704" t="str">
        <f t="shared" si="4599"/>
        <v>ANNELYS</v>
      </c>
      <c r="C12704" t="str">
        <f t="shared" si="4600"/>
        <v>ORTIZ</v>
      </c>
      <c r="D12704" t="str">
        <f t="shared" si="4601"/>
        <v>09</v>
      </c>
      <c r="E12704" t="str">
        <f>"05 - B - 002 - Cheryl Anne  Berman-Schechter"</f>
        <v>05 - B - 002 - Cheryl Anne  Berman-Schechter</v>
      </c>
      <c r="F12704" t="str">
        <f>"AICE ENG GEN PAPER 1"</f>
        <v>AICE ENG GEN PAPER 1</v>
      </c>
      <c r="G12704" t="str">
        <f>"17-1722"</f>
        <v>17-1722</v>
      </c>
      <c r="H12704" t="str">
        <f>"B"</f>
        <v>B</v>
      </c>
    </row>
    <row r="12705" spans="1:8" x14ac:dyDescent="0.2">
      <c r="A12705" t="str">
        <f t="shared" si="4598"/>
        <v>0621055542</v>
      </c>
      <c r="B12705" t="str">
        <f t="shared" si="4599"/>
        <v>ANNELYS</v>
      </c>
      <c r="C12705" t="str">
        <f t="shared" si="4600"/>
        <v>ORTIZ</v>
      </c>
      <c r="D12705" t="str">
        <f t="shared" si="4601"/>
        <v>09</v>
      </c>
      <c r="E12705" t="str">
        <f>"01 - A - 101 - Ferrie J Arostique"</f>
        <v>01 - A - 101 - Ferrie J Arostique</v>
      </c>
      <c r="F12705" t="str">
        <f>"GEOMETRY"</f>
        <v>GEOMETRY</v>
      </c>
      <c r="G12705" t="str">
        <f>"21-2139"</f>
        <v>21-2139</v>
      </c>
      <c r="H12705" t="str">
        <f>"A"</f>
        <v>A</v>
      </c>
    </row>
    <row r="12706" spans="1:8" x14ac:dyDescent="0.2">
      <c r="A12706" t="str">
        <f t="shared" si="4598"/>
        <v>0621055542</v>
      </c>
      <c r="B12706" t="str">
        <f t="shared" si="4599"/>
        <v>ANNELYS</v>
      </c>
      <c r="C12706" t="str">
        <f t="shared" si="4600"/>
        <v>ORTIZ</v>
      </c>
      <c r="D12706" t="str">
        <f t="shared" si="4601"/>
        <v>09</v>
      </c>
      <c r="E12706" t="str">
        <f>"08 - B - 202 - Dorothy D Moore"</f>
        <v>08 - B - 202 - Dorothy D Moore</v>
      </c>
      <c r="F12706" t="str">
        <f>"HEALTH SCI 1/A&amp;P HON"</f>
        <v>HEALTH SCI 1/A&amp;P HON</v>
      </c>
      <c r="G12706" t="str">
        <f>"08-803"</f>
        <v>08-803</v>
      </c>
      <c r="H12706" t="str">
        <f>"B"</f>
        <v>B</v>
      </c>
    </row>
    <row r="12707" spans="1:8" x14ac:dyDescent="0.2">
      <c r="A12707" t="str">
        <f t="shared" ref="A12707:A12714" si="4602">"0612083412"</f>
        <v>0612083412</v>
      </c>
      <c r="B12707" t="str">
        <f t="shared" ref="B12707:B12714" si="4603">"JOSEPH"</f>
        <v>JOSEPH</v>
      </c>
      <c r="C12707" t="str">
        <f t="shared" si="4600"/>
        <v>ORTIZ</v>
      </c>
      <c r="D12707">
        <f>12</f>
        <v>12</v>
      </c>
      <c r="E12707" t="str">
        <f>"04 - A - 105 - Milca  Exantus"</f>
        <v>04 - A - 105 - Milca  Exantus</v>
      </c>
      <c r="F12707" t="str">
        <f>"MATH COLLEGE LIB ART"</f>
        <v>MATH COLLEGE LIB ART</v>
      </c>
      <c r="G12707" t="str">
        <f>"21-2145"</f>
        <v>21-2145</v>
      </c>
      <c r="H12707" t="str">
        <f>"A"</f>
        <v>A</v>
      </c>
    </row>
    <row r="12708" spans="1:8" x14ac:dyDescent="0.2">
      <c r="A12708" t="str">
        <f t="shared" si="4602"/>
        <v>0612083412</v>
      </c>
      <c r="B12708" t="str">
        <f t="shared" si="4603"/>
        <v>JOSEPH</v>
      </c>
      <c r="C12708" t="str">
        <f t="shared" si="4600"/>
        <v>ORTIZ</v>
      </c>
      <c r="D12708">
        <f>12</f>
        <v>12</v>
      </c>
      <c r="E12708" t="str">
        <f>"06 - B - 102 - Andrea A Amison"</f>
        <v>06 - B - 102 - Andrea A Amison</v>
      </c>
      <c r="F12708" t="str">
        <f>"NC STUDY HALL 1"</f>
        <v>NC STUDY HALL 1</v>
      </c>
      <c r="G12708" t="str">
        <f>"09-922C"</f>
        <v>09-922C</v>
      </c>
      <c r="H12708" t="str">
        <f>"B"</f>
        <v>B</v>
      </c>
    </row>
    <row r="12709" spans="1:8" x14ac:dyDescent="0.2">
      <c r="A12709" t="str">
        <f t="shared" si="4602"/>
        <v>0612083412</v>
      </c>
      <c r="B12709" t="str">
        <f t="shared" si="4603"/>
        <v>JOSEPH</v>
      </c>
      <c r="C12709" t="str">
        <f t="shared" si="4600"/>
        <v>ORTIZ</v>
      </c>
      <c r="D12709">
        <f>12</f>
        <v>12</v>
      </c>
      <c r="E12709" t="str">
        <f>"03 - A - 208 - Marielle A Witting"</f>
        <v>03 - A - 208 - Marielle A Witting</v>
      </c>
      <c r="F12709" t="str">
        <f>"ANAT PHYSIO"</f>
        <v>ANAT PHYSIO</v>
      </c>
      <c r="G12709" t="str">
        <f>"08-805"</f>
        <v>08-805</v>
      </c>
      <c r="H12709" t="str">
        <f>"A"</f>
        <v>A</v>
      </c>
    </row>
    <row r="12710" spans="1:8" x14ac:dyDescent="0.2">
      <c r="A12710" t="str">
        <f t="shared" si="4602"/>
        <v>0612083412</v>
      </c>
      <c r="B12710" t="str">
        <f t="shared" si="4603"/>
        <v>JOSEPH</v>
      </c>
      <c r="C12710" t="str">
        <f t="shared" si="4600"/>
        <v>ORTIZ</v>
      </c>
      <c r="D12710">
        <f>12</f>
        <v>12</v>
      </c>
      <c r="E12710" t="str">
        <f>"02 - S1 - A - 102 - Richard E Dunbar Iii"</f>
        <v>02 - S1 - A - 102 - Richard E Dunbar Iii</v>
      </c>
      <c r="F12710" t="str">
        <f>"WEIGHT TRAIN 3"</f>
        <v>WEIGHT TRAIN 3</v>
      </c>
      <c r="G12710" t="str">
        <f>"05-501"</f>
        <v>05-501</v>
      </c>
      <c r="H12710" t="str">
        <f>"A"</f>
        <v>A</v>
      </c>
    </row>
    <row r="12711" spans="1:8" x14ac:dyDescent="0.2">
      <c r="A12711" t="str">
        <f t="shared" si="4602"/>
        <v>0612083412</v>
      </c>
      <c r="B12711" t="str">
        <f t="shared" si="4603"/>
        <v>JOSEPH</v>
      </c>
      <c r="C12711" t="str">
        <f t="shared" si="4600"/>
        <v>ORTIZ</v>
      </c>
      <c r="D12711">
        <f>12</f>
        <v>12</v>
      </c>
      <c r="E12711" t="str">
        <f>"07 - S1 - B - 103 - Robert O Burger"</f>
        <v>07 - S1 - B - 103 - Robert O Burger</v>
      </c>
      <c r="F12711" t="str">
        <f>"US GOVT"</f>
        <v>US GOVT</v>
      </c>
      <c r="G12711" t="str">
        <f>"17-1755"</f>
        <v>17-1755</v>
      </c>
      <c r="H12711" t="str">
        <f>"B"</f>
        <v>B</v>
      </c>
    </row>
    <row r="12712" spans="1:8" x14ac:dyDescent="0.2">
      <c r="A12712" t="str">
        <f t="shared" si="4602"/>
        <v>0612083412</v>
      </c>
      <c r="B12712" t="str">
        <f t="shared" si="4603"/>
        <v>JOSEPH</v>
      </c>
      <c r="C12712" t="str">
        <f t="shared" si="4600"/>
        <v>ORTIZ</v>
      </c>
      <c r="D12712">
        <f>12</f>
        <v>12</v>
      </c>
      <c r="E12712" t="str">
        <f>"05 - B - 102 - Robyn L Trainer"</f>
        <v>05 - B - 102 - Robyn L Trainer</v>
      </c>
      <c r="F12712" t="str">
        <f>"ENG 4"</f>
        <v>ENG 4</v>
      </c>
      <c r="G12712" t="str">
        <f>"17-1734"</f>
        <v>17-1734</v>
      </c>
      <c r="H12712" t="str">
        <f>"B"</f>
        <v>B</v>
      </c>
    </row>
    <row r="12713" spans="1:8" x14ac:dyDescent="0.2">
      <c r="A12713" t="str">
        <f t="shared" si="4602"/>
        <v>0612083412</v>
      </c>
      <c r="B12713" t="str">
        <f t="shared" si="4603"/>
        <v>JOSEPH</v>
      </c>
      <c r="C12713" t="str">
        <f t="shared" si="4600"/>
        <v>ORTIZ</v>
      </c>
      <c r="D12713">
        <f>12</f>
        <v>12</v>
      </c>
      <c r="E12713" t="str">
        <f>"01 - A - 101 - Samantha L Martinez"</f>
        <v>01 - A - 101 - Samantha L Martinez</v>
      </c>
      <c r="F12713" t="str">
        <f>"MUSIC WORLD"</f>
        <v>MUSIC WORLD</v>
      </c>
      <c r="G12713" t="str">
        <f>"05-505"</f>
        <v>05-505</v>
      </c>
      <c r="H12713" t="str">
        <f>"A"</f>
        <v>A</v>
      </c>
    </row>
    <row r="12714" spans="1:8" x14ac:dyDescent="0.2">
      <c r="A12714" t="str">
        <f t="shared" si="4602"/>
        <v>0612083412</v>
      </c>
      <c r="B12714" t="str">
        <f t="shared" si="4603"/>
        <v>JOSEPH</v>
      </c>
      <c r="C12714" t="str">
        <f t="shared" si="4600"/>
        <v>ORTIZ</v>
      </c>
      <c r="D12714">
        <f>12</f>
        <v>12</v>
      </c>
      <c r="E12714" t="str">
        <f>"08 - B - 102 - Robert H Rindner"</f>
        <v>08 - B - 102 - Robert H Rindner</v>
      </c>
      <c r="F12714" t="str">
        <f>"TV PRODUCTION TECH 1"</f>
        <v>TV PRODUCTION TECH 1</v>
      </c>
      <c r="G12714" t="str">
        <f>"21-2160"</f>
        <v>21-2160</v>
      </c>
      <c r="H12714" t="str">
        <f>"B"</f>
        <v>B</v>
      </c>
    </row>
    <row r="12715" spans="1:8" x14ac:dyDescent="0.2">
      <c r="A12715" t="str">
        <f t="shared" ref="A12715:A12722" si="4604">"0613135497"</f>
        <v>0613135497</v>
      </c>
      <c r="B12715" t="str">
        <f t="shared" ref="B12715:B12722" si="4605">"RAQUEL"</f>
        <v>RAQUEL</v>
      </c>
      <c r="C12715" t="str">
        <f t="shared" ref="C12715:C12722" si="4606">"ORTON"</f>
        <v>ORTON</v>
      </c>
      <c r="D12715">
        <f>12</f>
        <v>12</v>
      </c>
      <c r="E12715" t="str">
        <f>"04 - S1 - A - 105 - Robert O Burger"</f>
        <v>04 - S1 - A - 105 - Robert O Burger</v>
      </c>
      <c r="F12715" t="str">
        <f>"US GOVT"</f>
        <v>US GOVT</v>
      </c>
      <c r="G12715" t="str">
        <f>"17-1755"</f>
        <v>17-1755</v>
      </c>
      <c r="H12715" t="str">
        <f>"A"</f>
        <v>A</v>
      </c>
    </row>
    <row r="12716" spans="1:8" x14ac:dyDescent="0.2">
      <c r="A12716" t="str">
        <f t="shared" si="4604"/>
        <v>0613135497</v>
      </c>
      <c r="B12716" t="str">
        <f t="shared" si="4605"/>
        <v>RAQUEL</v>
      </c>
      <c r="C12716" t="str">
        <f t="shared" si="4606"/>
        <v>ORTON</v>
      </c>
      <c r="D12716">
        <f>12</f>
        <v>12</v>
      </c>
      <c r="E12716" t="str">
        <f>"06 - B - 109 - Carol S Moore"</f>
        <v>06 - B - 109 - Carol S Moore</v>
      </c>
      <c r="F12716" t="str">
        <f>"NC STUDY HALL 1"</f>
        <v>NC STUDY HALL 1</v>
      </c>
      <c r="G12716" t="str">
        <f>"17-1733"</f>
        <v>17-1733</v>
      </c>
      <c r="H12716" t="str">
        <f>"B"</f>
        <v>B</v>
      </c>
    </row>
    <row r="12717" spans="1:8" x14ac:dyDescent="0.2">
      <c r="A12717" t="str">
        <f t="shared" si="4604"/>
        <v>0613135497</v>
      </c>
      <c r="B12717" t="str">
        <f t="shared" si="4605"/>
        <v>RAQUEL</v>
      </c>
      <c r="C12717" t="str">
        <f t="shared" si="4606"/>
        <v>ORTON</v>
      </c>
      <c r="D12717">
        <f>12</f>
        <v>12</v>
      </c>
      <c r="E12717" t="str">
        <f>"03 - A - 102 - Cliffon  Saurel"</f>
        <v>03 - A - 102 - Cliffon  Saurel</v>
      </c>
      <c r="F12717" t="str">
        <f>"PHYSICAL SCI"</f>
        <v>PHYSICAL SCI</v>
      </c>
      <c r="G12717" t="str">
        <f>"05-522"</f>
        <v>05-522</v>
      </c>
      <c r="H12717" t="str">
        <f>"A"</f>
        <v>A</v>
      </c>
    </row>
    <row r="12718" spans="1:8" x14ac:dyDescent="0.2">
      <c r="A12718" t="str">
        <f t="shared" si="4604"/>
        <v>0613135497</v>
      </c>
      <c r="B12718" t="str">
        <f t="shared" si="4605"/>
        <v>RAQUEL</v>
      </c>
      <c r="C12718" t="str">
        <f t="shared" si="4606"/>
        <v>ORTON</v>
      </c>
      <c r="D12718">
        <f>12</f>
        <v>12</v>
      </c>
      <c r="E12718" t="str">
        <f>"02 - S1 - A - 102 - Richard E Dunbar Iii"</f>
        <v>02 - S1 - A - 102 - Richard E Dunbar Iii</v>
      </c>
      <c r="F12718" t="str">
        <f>"WEIGHT TRAIN 1"</f>
        <v>WEIGHT TRAIN 1</v>
      </c>
      <c r="G12718" t="str">
        <f>"05-501"</f>
        <v>05-501</v>
      </c>
      <c r="H12718" t="str">
        <f>"A"</f>
        <v>A</v>
      </c>
    </row>
    <row r="12719" spans="1:8" x14ac:dyDescent="0.2">
      <c r="A12719" t="str">
        <f t="shared" si="4604"/>
        <v>0613135497</v>
      </c>
      <c r="B12719" t="str">
        <f t="shared" si="4605"/>
        <v>RAQUEL</v>
      </c>
      <c r="C12719" t="str">
        <f t="shared" si="4606"/>
        <v>ORTON</v>
      </c>
      <c r="D12719">
        <f>12</f>
        <v>12</v>
      </c>
      <c r="E12719" t="str">
        <f>"07 - B - 202 - Chrystina M Marchionne"</f>
        <v>07 - B - 202 - Chrystina M Marchionne</v>
      </c>
      <c r="F12719" t="str">
        <f>"JOURN 1 (YB) LH"</f>
        <v>JOURN 1 (YB) LH</v>
      </c>
      <c r="G12719" t="str">
        <f>"05-520"</f>
        <v>05-520</v>
      </c>
      <c r="H12719" t="str">
        <f>"B"</f>
        <v>B</v>
      </c>
    </row>
    <row r="12720" spans="1:8" x14ac:dyDescent="0.2">
      <c r="A12720" t="str">
        <f t="shared" si="4604"/>
        <v>0613135497</v>
      </c>
      <c r="B12720" t="str">
        <f t="shared" si="4605"/>
        <v>RAQUEL</v>
      </c>
      <c r="C12720" t="str">
        <f t="shared" si="4606"/>
        <v>ORTON</v>
      </c>
      <c r="D12720">
        <f>12</f>
        <v>12</v>
      </c>
      <c r="E12720" t="str">
        <f>"05 - B - 106 - Thomas G Handwerg"</f>
        <v>05 - B - 106 - Thomas G Handwerg</v>
      </c>
      <c r="F12720" t="str">
        <f>"MATH COLL ALGEBRA"</f>
        <v>MATH COLL ALGEBRA</v>
      </c>
      <c r="G12720" t="str">
        <f>"21-2146"</f>
        <v>21-2146</v>
      </c>
      <c r="H12720" t="str">
        <f>"B"</f>
        <v>B</v>
      </c>
    </row>
    <row r="12721" spans="1:8" x14ac:dyDescent="0.2">
      <c r="A12721" t="str">
        <f t="shared" si="4604"/>
        <v>0613135497</v>
      </c>
      <c r="B12721" t="str">
        <f t="shared" si="4605"/>
        <v>RAQUEL</v>
      </c>
      <c r="C12721" t="str">
        <f t="shared" si="4606"/>
        <v>ORTON</v>
      </c>
      <c r="D12721">
        <f>12</f>
        <v>12</v>
      </c>
      <c r="E12721" t="str">
        <f>"01 - A - 103 - Robyn L Trainer"</f>
        <v>01 - A - 103 - Robyn L Trainer</v>
      </c>
      <c r="F12721" t="str">
        <f>"ENG 4"</f>
        <v>ENG 4</v>
      </c>
      <c r="G12721" t="str">
        <f>"17-1734"</f>
        <v>17-1734</v>
      </c>
      <c r="H12721" t="str">
        <f>"A"</f>
        <v>A</v>
      </c>
    </row>
    <row r="12722" spans="1:8" x14ac:dyDescent="0.2">
      <c r="A12722" t="str">
        <f t="shared" si="4604"/>
        <v>0613135497</v>
      </c>
      <c r="B12722" t="str">
        <f t="shared" si="4605"/>
        <v>RAQUEL</v>
      </c>
      <c r="C12722" t="str">
        <f t="shared" si="4606"/>
        <v>ORTON</v>
      </c>
      <c r="D12722">
        <f>12</f>
        <v>12</v>
      </c>
      <c r="E12722" t="str">
        <f>"08 - B - 101 - Alejandro  Navarro"</f>
        <v>08 - B - 101 - Alejandro  Navarro</v>
      </c>
      <c r="F12722" t="str">
        <f>"GUITAR 1"</f>
        <v>GUITAR 1</v>
      </c>
      <c r="G12722" t="str">
        <f>"05-504"</f>
        <v>05-504</v>
      </c>
      <c r="H12722" t="str">
        <f>"B"</f>
        <v>B</v>
      </c>
    </row>
    <row r="12723" spans="1:8" x14ac:dyDescent="0.2">
      <c r="A12723" t="str">
        <f t="shared" ref="A12723:A12730" si="4607">"0615072845"</f>
        <v>0615072845</v>
      </c>
      <c r="B12723" t="str">
        <f t="shared" ref="B12723:B12730" si="4608">"INAKI"</f>
        <v>INAKI</v>
      </c>
      <c r="C12723" t="str">
        <f t="shared" ref="C12723:C12730" si="4609">"ORTUNO"</f>
        <v>ORTUNO</v>
      </c>
      <c r="D12723">
        <f>11</f>
        <v>11</v>
      </c>
      <c r="E12723" t="str">
        <f>"04 - A - 102 - Daniel S Katz"</f>
        <v>04 - A - 102 - Daniel S Katz</v>
      </c>
      <c r="F12723" t="str">
        <f>"AICE DRAMA 1 AS LEV"</f>
        <v>AICE DRAMA 1 AS LEV</v>
      </c>
      <c r="G12723" t="str">
        <f>"05-521"</f>
        <v>05-521</v>
      </c>
      <c r="H12723" t="str">
        <f>"A"</f>
        <v>A</v>
      </c>
    </row>
    <row r="12724" spans="1:8" x14ac:dyDescent="0.2">
      <c r="A12724" t="str">
        <f t="shared" si="4607"/>
        <v>0615072845</v>
      </c>
      <c r="B12724" t="str">
        <f t="shared" si="4608"/>
        <v>INAKI</v>
      </c>
      <c r="C12724" t="str">
        <f t="shared" si="4609"/>
        <v>ORTUNO</v>
      </c>
      <c r="D12724">
        <f>11</f>
        <v>11</v>
      </c>
      <c r="E12724" t="str">
        <f>"06 - B - 206 - Jacqueline R Morphet"</f>
        <v>06 - B - 206 - Jacqueline R Morphet</v>
      </c>
      <c r="F12724" t="str">
        <f>"PHYSICS 1 HON"</f>
        <v>PHYSICS 1 HON</v>
      </c>
      <c r="G12724" t="str">
        <f>"21-2138"</f>
        <v>21-2138</v>
      </c>
      <c r="H12724" t="str">
        <f>"B"</f>
        <v>B</v>
      </c>
    </row>
    <row r="12725" spans="1:8" x14ac:dyDescent="0.2">
      <c r="A12725" t="str">
        <f t="shared" si="4607"/>
        <v>0615072845</v>
      </c>
      <c r="B12725" t="str">
        <f t="shared" si="4608"/>
        <v>INAKI</v>
      </c>
      <c r="C12725" t="str">
        <f t="shared" si="4609"/>
        <v>ORTUNO</v>
      </c>
      <c r="D12725">
        <f>11</f>
        <v>11</v>
      </c>
      <c r="E12725" t="str">
        <f>"03 - A - 101 - Emmily A Sarmiento"</f>
        <v>03 - A - 101 - Emmily A Sarmiento</v>
      </c>
      <c r="F12725" t="str">
        <f>"LEADER STRATS HONORS"</f>
        <v>LEADER STRATS HONORS</v>
      </c>
      <c r="G12725" t="str">
        <f>"17-1743"</f>
        <v>17-1743</v>
      </c>
      <c r="H12725" t="str">
        <f>"A"</f>
        <v>A</v>
      </c>
    </row>
    <row r="12726" spans="1:8" x14ac:dyDescent="0.2">
      <c r="A12726" t="str">
        <f t="shared" si="4607"/>
        <v>0615072845</v>
      </c>
      <c r="B12726" t="str">
        <f t="shared" si="4608"/>
        <v>INAKI</v>
      </c>
      <c r="C12726" t="str">
        <f t="shared" si="4609"/>
        <v>ORTUNO</v>
      </c>
      <c r="D12726">
        <f>11</f>
        <v>11</v>
      </c>
      <c r="E12726" t="str">
        <f>"02 - A - 101 - Timothy J Lawrence"</f>
        <v>02 - A - 101 - Timothy J Lawrence</v>
      </c>
      <c r="F12726" t="str">
        <f>"NC STUDY HALL 1"</f>
        <v>NC STUDY HALL 1</v>
      </c>
      <c r="G12726" t="str">
        <f>"05-522"</f>
        <v>05-522</v>
      </c>
      <c r="H12726" t="str">
        <f>"A"</f>
        <v>A</v>
      </c>
    </row>
    <row r="12727" spans="1:8" x14ac:dyDescent="0.2">
      <c r="A12727" t="str">
        <f t="shared" si="4607"/>
        <v>0615072845</v>
      </c>
      <c r="B12727" t="str">
        <f t="shared" si="4608"/>
        <v>INAKI</v>
      </c>
      <c r="C12727" t="str">
        <f t="shared" si="4609"/>
        <v>ORTUNO</v>
      </c>
      <c r="D12727">
        <f>11</f>
        <v>11</v>
      </c>
      <c r="E12727" t="str">
        <f>"07 - B - 102 - Pamela M Corzo"</f>
        <v>07 - B - 102 - Pamela M Corzo</v>
      </c>
      <c r="F12727" t="str">
        <f>"AP CALCULUS AB"</f>
        <v>AP CALCULUS AB</v>
      </c>
      <c r="G12727" t="str">
        <f>"21-2133"</f>
        <v>21-2133</v>
      </c>
      <c r="H12727" t="str">
        <f>"B"</f>
        <v>B</v>
      </c>
    </row>
    <row r="12728" spans="1:8" x14ac:dyDescent="0.2">
      <c r="A12728" t="str">
        <f t="shared" si="4607"/>
        <v>0615072845</v>
      </c>
      <c r="B12728" t="str">
        <f t="shared" si="4608"/>
        <v>INAKI</v>
      </c>
      <c r="C12728" t="str">
        <f t="shared" si="4609"/>
        <v>ORTUNO</v>
      </c>
      <c r="D12728">
        <f>11</f>
        <v>11</v>
      </c>
      <c r="E12728" t="str">
        <f>"05 - B - 102 - Jerry S Jiampetti"</f>
        <v>05 - B - 102 - Jerry S Jiampetti</v>
      </c>
      <c r="F12728" t="str">
        <f>"AICE U.S. HIST 1 AS"</f>
        <v>AICE U.S. HIST 1 AS</v>
      </c>
      <c r="G12728" t="str">
        <f>"17-1751"</f>
        <v>17-1751</v>
      </c>
      <c r="H12728" t="str">
        <f>"B"</f>
        <v>B</v>
      </c>
    </row>
    <row r="12729" spans="1:8" x14ac:dyDescent="0.2">
      <c r="A12729" t="str">
        <f t="shared" si="4607"/>
        <v>0615072845</v>
      </c>
      <c r="B12729" t="str">
        <f t="shared" si="4608"/>
        <v>INAKI</v>
      </c>
      <c r="C12729" t="str">
        <f t="shared" si="4609"/>
        <v>ORTUNO</v>
      </c>
      <c r="D12729">
        <f>11</f>
        <v>11</v>
      </c>
      <c r="E12729" t="str">
        <f>"01 - A - 101 - Lisa J London"</f>
        <v>01 - A - 101 - Lisa J London</v>
      </c>
      <c r="F12729" t="str">
        <f>"AP CAPSTONE SEMINAR"</f>
        <v>AP CAPSTONE SEMINAR</v>
      </c>
      <c r="G12729" t="str">
        <f>"17-1714"</f>
        <v>17-1714</v>
      </c>
      <c r="H12729" t="str">
        <f>"A"</f>
        <v>A</v>
      </c>
    </row>
    <row r="12730" spans="1:8" x14ac:dyDescent="0.2">
      <c r="A12730" t="str">
        <f t="shared" si="4607"/>
        <v>0615072845</v>
      </c>
      <c r="B12730" t="str">
        <f t="shared" si="4608"/>
        <v>INAKI</v>
      </c>
      <c r="C12730" t="str">
        <f t="shared" si="4609"/>
        <v>ORTUNO</v>
      </c>
      <c r="D12730">
        <f>11</f>
        <v>11</v>
      </c>
      <c r="E12730" t="str">
        <f>"08 - B - 105 - Brandy N Zdenek"</f>
        <v>08 - B - 105 - Brandy N Zdenek</v>
      </c>
      <c r="F12730" t="str">
        <f>"AICE ENG LANG 2 AL"</f>
        <v>AICE ENG LANG 2 AL</v>
      </c>
      <c r="G12730" t="str">
        <f>"17-1704"</f>
        <v>17-1704</v>
      </c>
      <c r="H12730" t="str">
        <f>"B"</f>
        <v>B</v>
      </c>
    </row>
    <row r="12731" spans="1:8" x14ac:dyDescent="0.2">
      <c r="A12731" t="str">
        <f t="shared" ref="A12731:A12738" si="4610">"0613091452"</f>
        <v>0613091452</v>
      </c>
      <c r="B12731" t="str">
        <f t="shared" ref="B12731:B12738" si="4611">"AOKI"</f>
        <v>AOKI</v>
      </c>
      <c r="C12731" t="str">
        <f t="shared" ref="C12731:C12746" si="4612">"OSBOURNE"</f>
        <v>OSBOURNE</v>
      </c>
      <c r="D12731">
        <f>12</f>
        <v>12</v>
      </c>
      <c r="E12731" t="str">
        <f>"04 - A - 101 - Alejandro  Navarro"</f>
        <v>04 - A - 101 - Alejandro  Navarro</v>
      </c>
      <c r="F12731" t="str">
        <f>"BAND 6 HON"</f>
        <v>BAND 6 HON</v>
      </c>
      <c r="G12731" t="str">
        <f>"05-504"</f>
        <v>05-504</v>
      </c>
      <c r="H12731" t="str">
        <f>"A"</f>
        <v>A</v>
      </c>
    </row>
    <row r="12732" spans="1:8" x14ac:dyDescent="0.2">
      <c r="A12732" t="str">
        <f t="shared" si="4610"/>
        <v>0613091452</v>
      </c>
      <c r="B12732" t="str">
        <f t="shared" si="4611"/>
        <v>AOKI</v>
      </c>
      <c r="C12732" t="str">
        <f t="shared" si="4612"/>
        <v>OSBOURNE</v>
      </c>
      <c r="D12732">
        <f>12</f>
        <v>12</v>
      </c>
      <c r="E12732" t="str">
        <f>"06 - B - 111 - James H Mccann"</f>
        <v>06 - B - 111 - James H Mccann</v>
      </c>
      <c r="F12732" t="str">
        <f>"NC STUDY HALL 1"</f>
        <v>NC STUDY HALL 1</v>
      </c>
      <c r="G12732" t="str">
        <f>"17-1716"</f>
        <v>17-1716</v>
      </c>
      <c r="H12732" t="str">
        <f>"B"</f>
        <v>B</v>
      </c>
    </row>
    <row r="12733" spans="1:8" x14ac:dyDescent="0.2">
      <c r="A12733" t="str">
        <f t="shared" si="4610"/>
        <v>0613091452</v>
      </c>
      <c r="B12733" t="str">
        <f t="shared" si="4611"/>
        <v>AOKI</v>
      </c>
      <c r="C12733" t="str">
        <f t="shared" si="4612"/>
        <v>OSBOURNE</v>
      </c>
      <c r="D12733">
        <f>12</f>
        <v>12</v>
      </c>
      <c r="E12733" t="str">
        <f>"03 - A - 101 - Jeffrey S Gallagher"</f>
        <v>03 - A - 101 - Jeffrey S Gallagher</v>
      </c>
      <c r="F12733" t="str">
        <f>"ENG HON 4"</f>
        <v>ENG HON 4</v>
      </c>
      <c r="G12733" t="str">
        <f>"17-1724"</f>
        <v>17-1724</v>
      </c>
      <c r="H12733" t="str">
        <f>"A"</f>
        <v>A</v>
      </c>
    </row>
    <row r="12734" spans="1:8" x14ac:dyDescent="0.2">
      <c r="A12734" t="str">
        <f t="shared" si="4610"/>
        <v>0613091452</v>
      </c>
      <c r="B12734" t="str">
        <f t="shared" si="4611"/>
        <v>AOKI</v>
      </c>
      <c r="C12734" t="str">
        <f t="shared" si="4612"/>
        <v>OSBOURNE</v>
      </c>
      <c r="D12734">
        <f>12</f>
        <v>12</v>
      </c>
      <c r="E12734" t="str">
        <f>"02 - A - 103 - Dorothy D Moore"</f>
        <v>02 - A - 103 - Dorothy D Moore</v>
      </c>
      <c r="F12734" t="str">
        <f>"ANAT PHYSIO HON"</f>
        <v>ANAT PHYSIO HON</v>
      </c>
      <c r="G12734" t="str">
        <f>"08-803"</f>
        <v>08-803</v>
      </c>
      <c r="H12734" t="str">
        <f>"A"</f>
        <v>A</v>
      </c>
    </row>
    <row r="12735" spans="1:8" x14ac:dyDescent="0.2">
      <c r="A12735" t="str">
        <f t="shared" si="4610"/>
        <v>0613091452</v>
      </c>
      <c r="B12735" t="str">
        <f t="shared" si="4611"/>
        <v>AOKI</v>
      </c>
      <c r="C12735" t="str">
        <f t="shared" si="4612"/>
        <v>OSBOURNE</v>
      </c>
      <c r="D12735">
        <f>12</f>
        <v>12</v>
      </c>
      <c r="E12735" t="str">
        <f>"07 - S1 - B - 103 - Leslie J Barton"</f>
        <v>07 - S1 - B - 103 - Leslie J Barton</v>
      </c>
      <c r="F12735" t="str">
        <f>"TEAM SPORTS 1"</f>
        <v>TEAM SPORTS 1</v>
      </c>
      <c r="G12735" t="str">
        <f>"04-254"</f>
        <v>04-254</v>
      </c>
      <c r="H12735" t="str">
        <f>"B"</f>
        <v>B</v>
      </c>
    </row>
    <row r="12736" spans="1:8" x14ac:dyDescent="0.2">
      <c r="A12736" t="str">
        <f t="shared" si="4610"/>
        <v>0613091452</v>
      </c>
      <c r="B12736" t="str">
        <f t="shared" si="4611"/>
        <v>AOKI</v>
      </c>
      <c r="C12736" t="str">
        <f t="shared" si="4612"/>
        <v>OSBOURNE</v>
      </c>
      <c r="D12736">
        <f>12</f>
        <v>12</v>
      </c>
      <c r="E12736" t="str">
        <f>"05 - S1 - B - 102 - Barbara L Segal"</f>
        <v>05 - S1 - B - 102 - Barbara L Segal</v>
      </c>
      <c r="F12736" t="str">
        <f>"US GOVT HON"</f>
        <v>US GOVT HON</v>
      </c>
      <c r="G12736" t="str">
        <f>"17-1742"</f>
        <v>17-1742</v>
      </c>
      <c r="H12736" t="str">
        <f>"B"</f>
        <v>B</v>
      </c>
    </row>
    <row r="12737" spans="1:8" x14ac:dyDescent="0.2">
      <c r="A12737" t="str">
        <f t="shared" si="4610"/>
        <v>0613091452</v>
      </c>
      <c r="B12737" t="str">
        <f t="shared" si="4611"/>
        <v>AOKI</v>
      </c>
      <c r="C12737" t="str">
        <f t="shared" si="4612"/>
        <v>OSBOURNE</v>
      </c>
      <c r="D12737">
        <f>12</f>
        <v>12</v>
      </c>
      <c r="E12737" t="str">
        <f>"01 - A - 102 - Robert H Rindner"</f>
        <v>01 - A - 102 - Robert H Rindner</v>
      </c>
      <c r="F12737" t="str">
        <f>"MATH DATA&amp;FIN LIT H"</f>
        <v>MATH DATA&amp;FIN LIT H</v>
      </c>
      <c r="G12737" t="str">
        <f>"21-2160"</f>
        <v>21-2160</v>
      </c>
      <c r="H12737" t="str">
        <f>"A"</f>
        <v>A</v>
      </c>
    </row>
    <row r="12738" spans="1:8" x14ac:dyDescent="0.2">
      <c r="A12738" t="str">
        <f t="shared" si="4610"/>
        <v>0613091452</v>
      </c>
      <c r="B12738" t="str">
        <f t="shared" si="4611"/>
        <v>AOKI</v>
      </c>
      <c r="C12738" t="str">
        <f t="shared" si="4612"/>
        <v>OSBOURNE</v>
      </c>
      <c r="D12738">
        <f>12</f>
        <v>12</v>
      </c>
      <c r="E12738" t="str">
        <f>"08 - B - 001 - Chrystina M Marchionne"</f>
        <v>08 - B - 001 - Chrystina M Marchionne</v>
      </c>
      <c r="F12738" t="str">
        <f>"JOURN 1 (YB) LH"</f>
        <v>JOURN 1 (YB) LH</v>
      </c>
      <c r="G12738" t="str">
        <f>"05-520"</f>
        <v>05-520</v>
      </c>
      <c r="H12738" t="str">
        <f>"B"</f>
        <v>B</v>
      </c>
    </row>
    <row r="12739" spans="1:8" x14ac:dyDescent="0.2">
      <c r="A12739" t="str">
        <f t="shared" ref="A12739:A12746" si="4613">"0617019771"</f>
        <v>0617019771</v>
      </c>
      <c r="B12739" t="str">
        <f t="shared" ref="B12739:B12746" si="4614">"MYA"</f>
        <v>MYA</v>
      </c>
      <c r="C12739" t="str">
        <f t="shared" si="4612"/>
        <v>OSBOURNE</v>
      </c>
      <c r="D12739" t="str">
        <f t="shared" ref="D12739:D12746" si="4615">"09"</f>
        <v>09</v>
      </c>
      <c r="E12739" t="str">
        <f>"04 - A - 106 - Lissa C Frederique"</f>
        <v>04 - A - 106 - Lissa C Frederique</v>
      </c>
      <c r="F12739" t="str">
        <f>"WORLD HISTORY"</f>
        <v>WORLD HISTORY</v>
      </c>
      <c r="G12739" t="str">
        <f>"17-1754"</f>
        <v>17-1754</v>
      </c>
      <c r="H12739" t="str">
        <f>"A"</f>
        <v>A</v>
      </c>
    </row>
    <row r="12740" spans="1:8" x14ac:dyDescent="0.2">
      <c r="A12740" t="str">
        <f t="shared" si="4613"/>
        <v>0617019771</v>
      </c>
      <c r="B12740" t="str">
        <f t="shared" si="4614"/>
        <v>MYA</v>
      </c>
      <c r="C12740" t="str">
        <f t="shared" si="4612"/>
        <v>OSBOURNE</v>
      </c>
      <c r="D12740" t="str">
        <f t="shared" si="4615"/>
        <v>09</v>
      </c>
      <c r="E12740" t="str">
        <f>"06 - B - 101 - Fernando  Vega-Cid"</f>
        <v>06 - B - 101 - Fernando  Vega-Cid</v>
      </c>
      <c r="F12740" t="str">
        <f>"PRE-AICE MATH 2 IG"</f>
        <v>PRE-AICE MATH 2 IG</v>
      </c>
      <c r="G12740" t="str">
        <f>"21-2163"</f>
        <v>21-2163</v>
      </c>
      <c r="H12740" t="str">
        <f>"B"</f>
        <v>B</v>
      </c>
    </row>
    <row r="12741" spans="1:8" x14ac:dyDescent="0.2">
      <c r="A12741" t="str">
        <f t="shared" si="4613"/>
        <v>0617019771</v>
      </c>
      <c r="B12741" t="str">
        <f t="shared" si="4614"/>
        <v>MYA</v>
      </c>
      <c r="C12741" t="str">
        <f t="shared" si="4612"/>
        <v>OSBOURNE</v>
      </c>
      <c r="D12741" t="str">
        <f t="shared" si="4615"/>
        <v>09</v>
      </c>
      <c r="E12741" t="str">
        <f>"03 - A - 102 - Laselleda D Shaw"</f>
        <v>03 - A - 102 - Laselleda D Shaw</v>
      </c>
      <c r="F12741" t="str">
        <f>"INTENS READ 1"</f>
        <v>INTENS READ 1</v>
      </c>
      <c r="G12741" t="str">
        <f>"17-1723"</f>
        <v>17-1723</v>
      </c>
      <c r="H12741" t="str">
        <f>"A"</f>
        <v>A</v>
      </c>
    </row>
    <row r="12742" spans="1:8" x14ac:dyDescent="0.2">
      <c r="A12742" t="str">
        <f t="shared" si="4613"/>
        <v>0617019771</v>
      </c>
      <c r="B12742" t="str">
        <f t="shared" si="4614"/>
        <v>MYA</v>
      </c>
      <c r="C12742" t="str">
        <f t="shared" si="4612"/>
        <v>OSBOURNE</v>
      </c>
      <c r="D12742" t="str">
        <f t="shared" si="4615"/>
        <v>09</v>
      </c>
      <c r="E12742" t="str">
        <f>"02 - A - 110 - Maried P Ramos"</f>
        <v>02 - A - 110 - Maried P Ramos</v>
      </c>
      <c r="F12742" t="str">
        <f>"NC STUDY HALL 1"</f>
        <v>NC STUDY HALL 1</v>
      </c>
      <c r="G12742" t="str">
        <f>"21-2159"</f>
        <v>21-2159</v>
      </c>
      <c r="H12742" t="str">
        <f>"A"</f>
        <v>A</v>
      </c>
    </row>
    <row r="12743" spans="1:8" x14ac:dyDescent="0.2">
      <c r="A12743" t="str">
        <f t="shared" si="4613"/>
        <v>0617019771</v>
      </c>
      <c r="B12743" t="str">
        <f t="shared" si="4614"/>
        <v>MYA</v>
      </c>
      <c r="C12743" t="str">
        <f t="shared" si="4612"/>
        <v>OSBOURNE</v>
      </c>
      <c r="D12743" t="str">
        <f t="shared" si="4615"/>
        <v>09</v>
      </c>
      <c r="E12743" t="str">
        <f>"07 - B - 101 - Alejandro  Navarro"</f>
        <v>07 - B - 101 - Alejandro  Navarro</v>
      </c>
      <c r="F12743" t="str">
        <f>"EURHY 1"</f>
        <v>EURHY 1</v>
      </c>
      <c r="G12743" t="str">
        <f>"05-504"</f>
        <v>05-504</v>
      </c>
      <c r="H12743" t="str">
        <f>"B"</f>
        <v>B</v>
      </c>
    </row>
    <row r="12744" spans="1:8" x14ac:dyDescent="0.2">
      <c r="A12744" t="str">
        <f t="shared" si="4613"/>
        <v>0617019771</v>
      </c>
      <c r="B12744" t="str">
        <f t="shared" si="4614"/>
        <v>MYA</v>
      </c>
      <c r="C12744" t="str">
        <f t="shared" si="4612"/>
        <v>OSBOURNE</v>
      </c>
      <c r="D12744" t="str">
        <f t="shared" si="4615"/>
        <v>09</v>
      </c>
      <c r="E12744" t="str">
        <f>"05 - B - 207 - Marielle A Witting"</f>
        <v>05 - B - 207 - Marielle A Witting</v>
      </c>
      <c r="F12744" t="str">
        <f>"ANAT PHYSIO"</f>
        <v>ANAT PHYSIO</v>
      </c>
      <c r="G12744" t="str">
        <f>"08-805"</f>
        <v>08-805</v>
      </c>
      <c r="H12744" t="str">
        <f>"B"</f>
        <v>B</v>
      </c>
    </row>
    <row r="12745" spans="1:8" x14ac:dyDescent="0.2">
      <c r="A12745" t="str">
        <f t="shared" si="4613"/>
        <v>0617019771</v>
      </c>
      <c r="B12745" t="str">
        <f t="shared" si="4614"/>
        <v>MYA</v>
      </c>
      <c r="C12745" t="str">
        <f t="shared" si="4612"/>
        <v>OSBOURNE</v>
      </c>
      <c r="D12745" t="str">
        <f t="shared" si="4615"/>
        <v>09</v>
      </c>
      <c r="E12745" t="str">
        <f>"01 - S1 - A - 101 - Leslie J Barton"</f>
        <v>01 - S1 - A - 101 - Leslie J Barton</v>
      </c>
      <c r="F12745" t="str">
        <f>"FIRST AID SAFETY"</f>
        <v>FIRST AID SAFETY</v>
      </c>
      <c r="G12745" t="str">
        <f>"05-521"</f>
        <v>05-521</v>
      </c>
      <c r="H12745" t="str">
        <f>"A"</f>
        <v>A</v>
      </c>
    </row>
    <row r="12746" spans="1:8" x14ac:dyDescent="0.2">
      <c r="A12746" t="str">
        <f t="shared" si="4613"/>
        <v>0617019771</v>
      </c>
      <c r="B12746" t="str">
        <f t="shared" si="4614"/>
        <v>MYA</v>
      </c>
      <c r="C12746" t="str">
        <f t="shared" si="4612"/>
        <v>OSBOURNE</v>
      </c>
      <c r="D12746" t="str">
        <f t="shared" si="4615"/>
        <v>09</v>
      </c>
      <c r="E12746" t="str">
        <f>"08 - B - 108 - Cerine S Stewart"</f>
        <v>08 - B - 108 - Cerine S Stewart</v>
      </c>
      <c r="F12746" t="str">
        <f>"ENG 1"</f>
        <v>ENG 1</v>
      </c>
      <c r="G12746" t="str">
        <f>"17-1720"</f>
        <v>17-1720</v>
      </c>
      <c r="H12746" t="str">
        <f>"B"</f>
        <v>B</v>
      </c>
    </row>
    <row r="12747" spans="1:8" x14ac:dyDescent="0.2">
      <c r="A12747" t="str">
        <f t="shared" ref="A12747:A12754" si="4616">"0614116544"</f>
        <v>0614116544</v>
      </c>
      <c r="B12747" t="str">
        <f t="shared" ref="B12747:B12754" si="4617">"ESTALINE"</f>
        <v>ESTALINE</v>
      </c>
      <c r="C12747" t="str">
        <f t="shared" ref="C12747:C12754" si="4618">"OSTREAL"</f>
        <v>OSTREAL</v>
      </c>
      <c r="D12747">
        <f>12</f>
        <v>12</v>
      </c>
      <c r="E12747" t="str">
        <f>"04 - A - 104 - Robert H Rindner"</f>
        <v>04 - A - 104 - Robert H Rindner</v>
      </c>
      <c r="F12747" t="str">
        <f>"MATH DATA&amp;FIN LIT H"</f>
        <v>MATH DATA&amp;FIN LIT H</v>
      </c>
      <c r="G12747" t="str">
        <f>"21-2160"</f>
        <v>21-2160</v>
      </c>
      <c r="H12747" t="str">
        <f>"A"</f>
        <v>A</v>
      </c>
    </row>
    <row r="12748" spans="1:8" x14ac:dyDescent="0.2">
      <c r="A12748" t="str">
        <f t="shared" si="4616"/>
        <v>0614116544</v>
      </c>
      <c r="B12748" t="str">
        <f t="shared" si="4617"/>
        <v>ESTALINE</v>
      </c>
      <c r="C12748" t="str">
        <f t="shared" si="4618"/>
        <v>OSTREAL</v>
      </c>
      <c r="D12748">
        <f>12</f>
        <v>12</v>
      </c>
      <c r="E12748" t="str">
        <f>"06 - B - 103 - Stefanie S Scher"</f>
        <v>06 - B - 103 - Stefanie S Scher</v>
      </c>
      <c r="F12748" t="str">
        <f>"NC STUDY HALL 1"</f>
        <v>NC STUDY HALL 1</v>
      </c>
      <c r="G12748" t="str">
        <f>"17-1735"</f>
        <v>17-1735</v>
      </c>
      <c r="H12748" t="str">
        <f>"B"</f>
        <v>B</v>
      </c>
    </row>
    <row r="12749" spans="1:8" x14ac:dyDescent="0.2">
      <c r="A12749" t="str">
        <f t="shared" si="4616"/>
        <v>0614116544</v>
      </c>
      <c r="B12749" t="str">
        <f t="shared" si="4617"/>
        <v>ESTALINE</v>
      </c>
      <c r="C12749" t="str">
        <f t="shared" si="4618"/>
        <v>OSTREAL</v>
      </c>
      <c r="D12749">
        <f>12</f>
        <v>12</v>
      </c>
      <c r="E12749" t="str">
        <f>"03 - A - 101 - Dorothy D Moore"</f>
        <v>03 - A - 101 - Dorothy D Moore</v>
      </c>
      <c r="F12749" t="str">
        <f>"FORC SCI 1 LH"</f>
        <v>FORC SCI 1 LH</v>
      </c>
      <c r="G12749" t="str">
        <f>"08-803"</f>
        <v>08-803</v>
      </c>
      <c r="H12749" t="str">
        <f>"A"</f>
        <v>A</v>
      </c>
    </row>
    <row r="12750" spans="1:8" x14ac:dyDescent="0.2">
      <c r="A12750" t="str">
        <f t="shared" si="4616"/>
        <v>0614116544</v>
      </c>
      <c r="B12750" t="str">
        <f t="shared" si="4617"/>
        <v>ESTALINE</v>
      </c>
      <c r="C12750" t="str">
        <f t="shared" si="4618"/>
        <v>OSTREAL</v>
      </c>
      <c r="D12750">
        <f>12</f>
        <v>12</v>
      </c>
      <c r="E12750" t="str">
        <f>"02 - S1 - A - 103 - Barbara L Segal"</f>
        <v>02 - S1 - A - 103 - Barbara L Segal</v>
      </c>
      <c r="F12750" t="str">
        <f>"US GOVT HON"</f>
        <v>US GOVT HON</v>
      </c>
      <c r="G12750" t="str">
        <f>"17-1742"</f>
        <v>17-1742</v>
      </c>
      <c r="H12750" t="str">
        <f>"A"</f>
        <v>A</v>
      </c>
    </row>
    <row r="12751" spans="1:8" x14ac:dyDescent="0.2">
      <c r="A12751" t="str">
        <f t="shared" si="4616"/>
        <v>0614116544</v>
      </c>
      <c r="B12751" t="str">
        <f t="shared" si="4617"/>
        <v>ESTALINE</v>
      </c>
      <c r="C12751" t="str">
        <f t="shared" si="4618"/>
        <v>OSTREAL</v>
      </c>
      <c r="D12751">
        <f>12</f>
        <v>12</v>
      </c>
      <c r="E12751" t="str">
        <f>"07 - B - 101 - Samantha L Martinez"</f>
        <v>07 - B - 101 - Samantha L Martinez</v>
      </c>
      <c r="F12751" t="str">
        <f>"KEYBD 1"</f>
        <v>KEYBD 1</v>
      </c>
      <c r="G12751" t="str">
        <f>"05-505"</f>
        <v>05-505</v>
      </c>
      <c r="H12751" t="str">
        <f>"B"</f>
        <v>B</v>
      </c>
    </row>
    <row r="12752" spans="1:8" x14ac:dyDescent="0.2">
      <c r="A12752" t="str">
        <f t="shared" si="4616"/>
        <v>0614116544</v>
      </c>
      <c r="B12752" t="str">
        <f t="shared" si="4617"/>
        <v>ESTALINE</v>
      </c>
      <c r="C12752" t="str">
        <f t="shared" si="4618"/>
        <v>OSTREAL</v>
      </c>
      <c r="D12752">
        <f>12</f>
        <v>12</v>
      </c>
      <c r="E12752" t="str">
        <f>"05 - B - 104 - Jeffrey S Gallagher"</f>
        <v>05 - B - 104 - Jeffrey S Gallagher</v>
      </c>
      <c r="F12752" t="str">
        <f>"ENG HON 4"</f>
        <v>ENG HON 4</v>
      </c>
      <c r="G12752" t="str">
        <f>"17-1724"</f>
        <v>17-1724</v>
      </c>
      <c r="H12752" t="str">
        <f>"B"</f>
        <v>B</v>
      </c>
    </row>
    <row r="12753" spans="1:8" x14ac:dyDescent="0.2">
      <c r="A12753" t="str">
        <f t="shared" si="4616"/>
        <v>0614116544</v>
      </c>
      <c r="B12753" t="str">
        <f t="shared" si="4617"/>
        <v>ESTALINE</v>
      </c>
      <c r="C12753" t="str">
        <f t="shared" si="4618"/>
        <v>OSTREAL</v>
      </c>
      <c r="D12753">
        <f>12</f>
        <v>12</v>
      </c>
      <c r="E12753" t="str">
        <f>"01 - A - 101 - Chrystina M Marchionne"</f>
        <v>01 - A - 101 - Chrystina M Marchionne</v>
      </c>
      <c r="F12753" t="str">
        <f>"AICE MEDIA STUDIES A"</f>
        <v>AICE MEDIA STUDIES A</v>
      </c>
      <c r="G12753" t="str">
        <f>"05-520"</f>
        <v>05-520</v>
      </c>
      <c r="H12753" t="str">
        <f>"A"</f>
        <v>A</v>
      </c>
    </row>
    <row r="12754" spans="1:8" x14ac:dyDescent="0.2">
      <c r="A12754" t="str">
        <f t="shared" si="4616"/>
        <v>0614116544</v>
      </c>
      <c r="B12754" t="str">
        <f t="shared" si="4617"/>
        <v>ESTALINE</v>
      </c>
      <c r="C12754" t="str">
        <f t="shared" si="4618"/>
        <v>OSTREAL</v>
      </c>
      <c r="D12754">
        <f>12</f>
        <v>12</v>
      </c>
      <c r="E12754" t="str">
        <f>"08 - B - 001 - Chrystina M Marchionne"</f>
        <v>08 - B - 001 - Chrystina M Marchionne</v>
      </c>
      <c r="F12754" t="str">
        <f>"JOURN 1 (YB) LH"</f>
        <v>JOURN 1 (YB) LH</v>
      </c>
      <c r="G12754" t="str">
        <f>"05-520"</f>
        <v>05-520</v>
      </c>
      <c r="H12754" t="str">
        <f>"B"</f>
        <v>B</v>
      </c>
    </row>
    <row r="12755" spans="1:8" x14ac:dyDescent="0.2">
      <c r="A12755" t="str">
        <f t="shared" ref="A12755:A12762" si="4619">"0619039544"</f>
        <v>0619039544</v>
      </c>
      <c r="B12755" t="str">
        <f t="shared" ref="B12755:B12762" si="4620">"AGYE"</f>
        <v>AGYE</v>
      </c>
      <c r="C12755" t="str">
        <f t="shared" ref="C12755:C12762" si="4621">"O'SULLIVAN"</f>
        <v>O'SULLIVAN</v>
      </c>
      <c r="D12755">
        <f>12</f>
        <v>12</v>
      </c>
      <c r="E12755" t="str">
        <f>"04 - S1 - A - 106 - Kelly N Panza"</f>
        <v>04 - S1 - A - 106 - Kelly N Panza</v>
      </c>
      <c r="F12755" t="str">
        <f>"US GOVT HON"</f>
        <v>US GOVT HON</v>
      </c>
      <c r="G12755" t="str">
        <f>"17-1753"</f>
        <v>17-1753</v>
      </c>
      <c r="H12755" t="str">
        <f>"A"</f>
        <v>A</v>
      </c>
    </row>
    <row r="12756" spans="1:8" x14ac:dyDescent="0.2">
      <c r="A12756" t="str">
        <f t="shared" si="4619"/>
        <v>0619039544</v>
      </c>
      <c r="B12756" t="str">
        <f t="shared" si="4620"/>
        <v>AGYE</v>
      </c>
      <c r="C12756" t="str">
        <f t="shared" si="4621"/>
        <v>O'SULLIVAN</v>
      </c>
      <c r="D12756">
        <f>12</f>
        <v>12</v>
      </c>
      <c r="E12756" t="str">
        <f>"06 - B - 105 - Robyn L Trainer"</f>
        <v>06 - B - 105 - Robyn L Trainer</v>
      </c>
      <c r="F12756" t="str">
        <f>"NC STUDY HALL 1"</f>
        <v>NC STUDY HALL 1</v>
      </c>
      <c r="G12756" t="str">
        <f>"17-1734"</f>
        <v>17-1734</v>
      </c>
      <c r="H12756" t="str">
        <f>"B"</f>
        <v>B</v>
      </c>
    </row>
    <row r="12757" spans="1:8" x14ac:dyDescent="0.2">
      <c r="A12757" t="str">
        <f t="shared" si="4619"/>
        <v>0619039544</v>
      </c>
      <c r="B12757" t="str">
        <f t="shared" si="4620"/>
        <v>AGYE</v>
      </c>
      <c r="C12757" t="str">
        <f t="shared" si="4621"/>
        <v>O'SULLIVAN</v>
      </c>
      <c r="D12757">
        <f>12</f>
        <v>12</v>
      </c>
      <c r="E12757" t="str">
        <f>"03 - A - 202 - Jeanne M Bermudez"</f>
        <v>03 - A - 202 - Jeanne M Bermudez</v>
      </c>
      <c r="F12757" t="str">
        <f>"PHYSICS 1 HON"</f>
        <v>PHYSICS 1 HON</v>
      </c>
      <c r="G12757" t="str">
        <f>"21-2141"</f>
        <v>21-2141</v>
      </c>
      <c r="H12757" t="str">
        <f>"A"</f>
        <v>A</v>
      </c>
    </row>
    <row r="12758" spans="1:8" x14ac:dyDescent="0.2">
      <c r="A12758" t="str">
        <f t="shared" si="4619"/>
        <v>0619039544</v>
      </c>
      <c r="B12758" t="str">
        <f t="shared" si="4620"/>
        <v>AGYE</v>
      </c>
      <c r="C12758" t="str">
        <f t="shared" si="4621"/>
        <v>O'SULLIVAN</v>
      </c>
      <c r="D12758">
        <f>12</f>
        <v>12</v>
      </c>
      <c r="E12758" t="str">
        <f>"02 - S1 - A - 101 - Carol S Moore"</f>
        <v>02 - S1 - A - 101 - Carol S Moore</v>
      </c>
      <c r="F12758" t="str">
        <f>"PER CAR SCH DEV 1 LH"</f>
        <v>PER CAR SCH DEV 1 LH</v>
      </c>
      <c r="G12758" t="str">
        <f>"17-1733"</f>
        <v>17-1733</v>
      </c>
      <c r="H12758" t="str">
        <f>"A"</f>
        <v>A</v>
      </c>
    </row>
    <row r="12759" spans="1:8" x14ac:dyDescent="0.2">
      <c r="A12759" t="str">
        <f t="shared" si="4619"/>
        <v>0619039544</v>
      </c>
      <c r="B12759" t="str">
        <f t="shared" si="4620"/>
        <v>AGYE</v>
      </c>
      <c r="C12759" t="str">
        <f t="shared" si="4621"/>
        <v>O'SULLIVAN</v>
      </c>
      <c r="D12759">
        <f>12</f>
        <v>12</v>
      </c>
      <c r="E12759" t="str">
        <f>"07 - B - 105 - Robert H Rindner"</f>
        <v>07 - B - 105 - Robert H Rindner</v>
      </c>
      <c r="F12759" t="str">
        <f>"MATH DATA&amp;FIN LIT H"</f>
        <v>MATH DATA&amp;FIN LIT H</v>
      </c>
      <c r="G12759" t="str">
        <f>"21-2160"</f>
        <v>21-2160</v>
      </c>
      <c r="H12759" t="str">
        <f>"B"</f>
        <v>B</v>
      </c>
    </row>
    <row r="12760" spans="1:8" x14ac:dyDescent="0.2">
      <c r="A12760" t="str">
        <f t="shared" si="4619"/>
        <v>0619039544</v>
      </c>
      <c r="B12760" t="str">
        <f t="shared" si="4620"/>
        <v>AGYE</v>
      </c>
      <c r="C12760" t="str">
        <f t="shared" si="4621"/>
        <v>O'SULLIVAN</v>
      </c>
      <c r="D12760">
        <f>12</f>
        <v>12</v>
      </c>
      <c r="E12760" t="str">
        <f>"05 - B - 101 - Angela S Adeshina-Morrison"</f>
        <v>05 - B - 101 - Angela S Adeshina-Morrison</v>
      </c>
      <c r="F12760" t="str">
        <f>"MKT MANAGEMENT LH"</f>
        <v>MKT MANAGEMENT LH</v>
      </c>
      <c r="G12760" t="str">
        <f>"05-518"</f>
        <v>05-518</v>
      </c>
      <c r="H12760" t="str">
        <f>"B"</f>
        <v>B</v>
      </c>
    </row>
    <row r="12761" spans="1:8" x14ac:dyDescent="0.2">
      <c r="A12761" t="str">
        <f t="shared" si="4619"/>
        <v>0619039544</v>
      </c>
      <c r="B12761" t="str">
        <f t="shared" si="4620"/>
        <v>AGYE</v>
      </c>
      <c r="C12761" t="str">
        <f t="shared" si="4621"/>
        <v>O'SULLIVAN</v>
      </c>
      <c r="D12761">
        <f>12</f>
        <v>12</v>
      </c>
      <c r="E12761" t="str">
        <f>"01 - A - 101 - Brandy N Zdenek"</f>
        <v>01 - A - 101 - Brandy N Zdenek</v>
      </c>
      <c r="F12761" t="str">
        <f>"AICE ENG LANG 2 AL"</f>
        <v>AICE ENG LANG 2 AL</v>
      </c>
      <c r="G12761" t="str">
        <f>"17-1704"</f>
        <v>17-1704</v>
      </c>
      <c r="H12761" t="str">
        <f>"A"</f>
        <v>A</v>
      </c>
    </row>
    <row r="12762" spans="1:8" x14ac:dyDescent="0.2">
      <c r="A12762" t="str">
        <f t="shared" si="4619"/>
        <v>0619039544</v>
      </c>
      <c r="B12762" t="str">
        <f t="shared" si="4620"/>
        <v>AGYE</v>
      </c>
      <c r="C12762" t="str">
        <f t="shared" si="4621"/>
        <v>O'SULLIVAN</v>
      </c>
      <c r="D12762">
        <f>12</f>
        <v>12</v>
      </c>
      <c r="E12762" t="str">
        <f>"08 - B - 101 - Jordana K Hass"</f>
        <v>08 - B - 101 - Jordana K Hass</v>
      </c>
      <c r="F12762" t="str">
        <f>"AICE INFO TECH 1 AS"</f>
        <v>AICE INFO TECH 1 AS</v>
      </c>
      <c r="G12762" t="str">
        <f>"08-807"</f>
        <v>08-807</v>
      </c>
      <c r="H12762" t="str">
        <f>"B"</f>
        <v>B</v>
      </c>
    </row>
    <row r="12763" spans="1:8" x14ac:dyDescent="0.2">
      <c r="A12763" t="str">
        <f t="shared" ref="A12763:A12770" si="4622">"0612115767"</f>
        <v>0612115767</v>
      </c>
      <c r="B12763" t="str">
        <f t="shared" ref="B12763:B12770" si="4623">"DAPHNE"</f>
        <v>DAPHNE</v>
      </c>
      <c r="C12763" t="str">
        <f t="shared" ref="C12763:C12778" si="4624">"OTALUS"</f>
        <v>OTALUS</v>
      </c>
      <c r="D12763">
        <f>12</f>
        <v>12</v>
      </c>
      <c r="E12763" t="str">
        <f>"04 - A - 201 - Scott A Dethloff"</f>
        <v>04 - A - 201 - Scott A Dethloff</v>
      </c>
      <c r="F12763" t="str">
        <f>"AICE THINK SKLS 1 AS"</f>
        <v>AICE THINK SKLS 1 AS</v>
      </c>
      <c r="G12763" t="str">
        <f>"08-812"</f>
        <v>08-812</v>
      </c>
      <c r="H12763" t="str">
        <f>"A"</f>
        <v>A</v>
      </c>
    </row>
    <row r="12764" spans="1:8" x14ac:dyDescent="0.2">
      <c r="A12764" t="str">
        <f t="shared" si="4622"/>
        <v>0612115767</v>
      </c>
      <c r="B12764" t="str">
        <f t="shared" si="4623"/>
        <v>DAPHNE</v>
      </c>
      <c r="C12764" t="str">
        <f t="shared" si="4624"/>
        <v>OTALUS</v>
      </c>
      <c r="D12764">
        <f>12</f>
        <v>12</v>
      </c>
      <c r="E12764" t="str">
        <f>"06 - B - 114 - Lisa J London"</f>
        <v>06 - B - 114 - Lisa J London</v>
      </c>
      <c r="F12764" t="str">
        <f>"NC STUDY HALL 1"</f>
        <v>NC STUDY HALL 1</v>
      </c>
      <c r="G12764" t="str">
        <f>"17-1714"</f>
        <v>17-1714</v>
      </c>
      <c r="H12764" t="str">
        <f>"B"</f>
        <v>B</v>
      </c>
    </row>
    <row r="12765" spans="1:8" x14ac:dyDescent="0.2">
      <c r="A12765" t="str">
        <f t="shared" si="4622"/>
        <v>0612115767</v>
      </c>
      <c r="B12765" t="str">
        <f t="shared" si="4623"/>
        <v>DAPHNE</v>
      </c>
      <c r="C12765" t="str">
        <f t="shared" si="4624"/>
        <v>OTALUS</v>
      </c>
      <c r="D12765">
        <f>12</f>
        <v>12</v>
      </c>
      <c r="E12765" t="str">
        <f>"03 - A - 101 - Brian M Fitzgerald"</f>
        <v>03 - A - 101 - Brian M Fitzgerald</v>
      </c>
      <c r="F12765" t="str">
        <f>"SCULPT 1"</f>
        <v>SCULPT 1</v>
      </c>
      <c r="G12765" t="str">
        <f>"09-908"</f>
        <v>09-908</v>
      </c>
      <c r="H12765" t="str">
        <f>"A"</f>
        <v>A</v>
      </c>
    </row>
    <row r="12766" spans="1:8" x14ac:dyDescent="0.2">
      <c r="A12766" t="str">
        <f t="shared" si="4622"/>
        <v>0612115767</v>
      </c>
      <c r="B12766" t="str">
        <f t="shared" si="4623"/>
        <v>DAPHNE</v>
      </c>
      <c r="C12766" t="str">
        <f t="shared" si="4624"/>
        <v>OTALUS</v>
      </c>
      <c r="D12766">
        <f>12</f>
        <v>12</v>
      </c>
      <c r="E12766" t="str">
        <f>"02 - A - 102 - Chrystina M Marchionne"</f>
        <v>02 - A - 102 - Chrystina M Marchionne</v>
      </c>
      <c r="F12766" t="str">
        <f>"AICE MEDIASTUDIES AS"</f>
        <v>AICE MEDIASTUDIES AS</v>
      </c>
      <c r="G12766" t="str">
        <f>"05-520"</f>
        <v>05-520</v>
      </c>
      <c r="H12766" t="str">
        <f>"A"</f>
        <v>A</v>
      </c>
    </row>
    <row r="12767" spans="1:8" x14ac:dyDescent="0.2">
      <c r="A12767" t="str">
        <f t="shared" si="4622"/>
        <v>0612115767</v>
      </c>
      <c r="B12767" t="str">
        <f t="shared" si="4623"/>
        <v>DAPHNE</v>
      </c>
      <c r="C12767" t="str">
        <f t="shared" si="4624"/>
        <v>OTALUS</v>
      </c>
      <c r="D12767">
        <f>12</f>
        <v>12</v>
      </c>
      <c r="E12767" t="str">
        <f>"07 - B - 102 - Thomas G Handwerg"</f>
        <v>07 - B - 102 - Thomas G Handwerg</v>
      </c>
      <c r="F12767" t="str">
        <f>"PROB STAT W/APPS HON"</f>
        <v>PROB STAT W/APPS HON</v>
      </c>
      <c r="G12767" t="str">
        <f>"21-2146"</f>
        <v>21-2146</v>
      </c>
      <c r="H12767" t="str">
        <f>"B"</f>
        <v>B</v>
      </c>
    </row>
    <row r="12768" spans="1:8" x14ac:dyDescent="0.2">
      <c r="A12768" t="str">
        <f t="shared" si="4622"/>
        <v>0612115767</v>
      </c>
      <c r="B12768" t="str">
        <f t="shared" si="4623"/>
        <v>DAPHNE</v>
      </c>
      <c r="C12768" t="str">
        <f t="shared" si="4624"/>
        <v>OTALUS</v>
      </c>
      <c r="D12768">
        <f>12</f>
        <v>12</v>
      </c>
      <c r="E12768" t="str">
        <f>"05 - S1 - B - 102 - Barbara L Segal"</f>
        <v>05 - S1 - B - 102 - Barbara L Segal</v>
      </c>
      <c r="F12768" t="str">
        <f>"US GOVT HON"</f>
        <v>US GOVT HON</v>
      </c>
      <c r="G12768" t="str">
        <f>"17-1742"</f>
        <v>17-1742</v>
      </c>
      <c r="H12768" t="str">
        <f>"B"</f>
        <v>B</v>
      </c>
    </row>
    <row r="12769" spans="1:8" x14ac:dyDescent="0.2">
      <c r="A12769" t="str">
        <f t="shared" si="4622"/>
        <v>0612115767</v>
      </c>
      <c r="B12769" t="str">
        <f t="shared" si="4623"/>
        <v>DAPHNE</v>
      </c>
      <c r="C12769" t="str">
        <f t="shared" si="4624"/>
        <v>OTALUS</v>
      </c>
      <c r="D12769">
        <f>12</f>
        <v>12</v>
      </c>
      <c r="E12769" t="str">
        <f>"01 - A - 201 - Jeanne M Bermudez"</f>
        <v>01 - A - 201 - Jeanne M Bermudez</v>
      </c>
      <c r="F12769" t="str">
        <f>"PHYSICS 1 HON"</f>
        <v>PHYSICS 1 HON</v>
      </c>
      <c r="G12769" t="str">
        <f>"21-2141"</f>
        <v>21-2141</v>
      </c>
      <c r="H12769" t="str">
        <f>"A"</f>
        <v>A</v>
      </c>
    </row>
    <row r="12770" spans="1:8" x14ac:dyDescent="0.2">
      <c r="A12770" t="str">
        <f t="shared" si="4622"/>
        <v>0612115767</v>
      </c>
      <c r="B12770" t="str">
        <f t="shared" si="4623"/>
        <v>DAPHNE</v>
      </c>
      <c r="C12770" t="str">
        <f t="shared" si="4624"/>
        <v>OTALUS</v>
      </c>
      <c r="D12770">
        <f>12</f>
        <v>12</v>
      </c>
      <c r="E12770" t="str">
        <f>"08 - B - 105 - Brandy N Zdenek"</f>
        <v>08 - B - 105 - Brandy N Zdenek</v>
      </c>
      <c r="F12770" t="str">
        <f>"AICE ENG LANG 2 AL"</f>
        <v>AICE ENG LANG 2 AL</v>
      </c>
      <c r="G12770" t="str">
        <f>"17-1704"</f>
        <v>17-1704</v>
      </c>
      <c r="H12770" t="str">
        <f>"B"</f>
        <v>B</v>
      </c>
    </row>
    <row r="12771" spans="1:8" x14ac:dyDescent="0.2">
      <c r="A12771" t="str">
        <f t="shared" ref="A12771:A12778" si="4625">"0615076240"</f>
        <v>0615076240</v>
      </c>
      <c r="B12771" t="str">
        <f t="shared" ref="B12771:B12778" si="4626">"PHARAH"</f>
        <v>PHARAH</v>
      </c>
      <c r="C12771" t="str">
        <f t="shared" si="4624"/>
        <v>OTALUS</v>
      </c>
      <c r="D12771">
        <f>11</f>
        <v>11</v>
      </c>
      <c r="E12771" t="str">
        <f>"04 - A - 205 - Jacqueline R Morphet"</f>
        <v>04 - A - 205 - Jacqueline R Morphet</v>
      </c>
      <c r="F12771" t="str">
        <f>"PHYSICS 1 HON"</f>
        <v>PHYSICS 1 HON</v>
      </c>
      <c r="G12771" t="str">
        <f>"21-2138"</f>
        <v>21-2138</v>
      </c>
      <c r="H12771" t="str">
        <f>"A"</f>
        <v>A</v>
      </c>
    </row>
    <row r="12772" spans="1:8" x14ac:dyDescent="0.2">
      <c r="A12772" t="str">
        <f t="shared" si="4625"/>
        <v>0615076240</v>
      </c>
      <c r="B12772" t="str">
        <f t="shared" si="4626"/>
        <v>PHARAH</v>
      </c>
      <c r="C12772" t="str">
        <f t="shared" si="4624"/>
        <v>OTALUS</v>
      </c>
      <c r="D12772">
        <f>11</f>
        <v>11</v>
      </c>
      <c r="E12772" t="str">
        <f>"06 - B - 104 - Eva T Rimmer"</f>
        <v>06 - B - 104 - Eva T Rimmer</v>
      </c>
      <c r="F12772" t="str">
        <f>"CRIMINAL JUST OPS 1"</f>
        <v>CRIMINAL JUST OPS 1</v>
      </c>
      <c r="G12772" t="str">
        <f>"05-523"</f>
        <v>05-523</v>
      </c>
      <c r="H12772" t="str">
        <f>"B"</f>
        <v>B</v>
      </c>
    </row>
    <row r="12773" spans="1:8" x14ac:dyDescent="0.2">
      <c r="A12773" t="str">
        <f t="shared" si="4625"/>
        <v>0615076240</v>
      </c>
      <c r="B12773" t="str">
        <f t="shared" si="4626"/>
        <v>PHARAH</v>
      </c>
      <c r="C12773" t="str">
        <f t="shared" si="4624"/>
        <v>OTALUS</v>
      </c>
      <c r="D12773">
        <f>11</f>
        <v>11</v>
      </c>
      <c r="E12773" t="str">
        <f>"03 - A - 102 - Thomas G Handwerg"</f>
        <v>03 - A - 102 - Thomas G Handwerg</v>
      </c>
      <c r="F12773" t="str">
        <f>"MATH COLL ALGEBRA"</f>
        <v>MATH COLL ALGEBRA</v>
      </c>
      <c r="G12773" t="str">
        <f>"21-2146"</f>
        <v>21-2146</v>
      </c>
      <c r="H12773" t="str">
        <f>"A"</f>
        <v>A</v>
      </c>
    </row>
    <row r="12774" spans="1:8" x14ac:dyDescent="0.2">
      <c r="A12774" t="str">
        <f t="shared" si="4625"/>
        <v>0615076240</v>
      </c>
      <c r="B12774" t="str">
        <f t="shared" si="4626"/>
        <v>PHARAH</v>
      </c>
      <c r="C12774" t="str">
        <f t="shared" si="4624"/>
        <v>OTALUS</v>
      </c>
      <c r="D12774">
        <f>11</f>
        <v>11</v>
      </c>
      <c r="E12774" t="str">
        <f>"02 - A - 104 - Dayna M Foster"</f>
        <v>02 - A - 104 - Dayna M Foster</v>
      </c>
      <c r="F12774" t="str">
        <f>"NC STUDY HALL 1"</f>
        <v>NC STUDY HALL 1</v>
      </c>
      <c r="G12774" t="str">
        <f>"21-2109"</f>
        <v>21-2109</v>
      </c>
      <c r="H12774" t="str">
        <f>"A"</f>
        <v>A</v>
      </c>
    </row>
    <row r="12775" spans="1:8" x14ac:dyDescent="0.2">
      <c r="A12775" t="str">
        <f t="shared" si="4625"/>
        <v>0615076240</v>
      </c>
      <c r="B12775" t="str">
        <f t="shared" si="4626"/>
        <v>PHARAH</v>
      </c>
      <c r="C12775" t="str">
        <f t="shared" si="4624"/>
        <v>OTALUS</v>
      </c>
      <c r="D12775">
        <f>11</f>
        <v>11</v>
      </c>
      <c r="E12775" t="str">
        <f>"07 - B - 104 - Jerry S Jiampetti"</f>
        <v>07 - B - 104 - Jerry S Jiampetti</v>
      </c>
      <c r="F12775" t="str">
        <f>"AICE U.S. HIST 1 AS"</f>
        <v>AICE U.S. HIST 1 AS</v>
      </c>
      <c r="G12775" t="str">
        <f>"17-1751"</f>
        <v>17-1751</v>
      </c>
      <c r="H12775" t="str">
        <f>"B"</f>
        <v>B</v>
      </c>
    </row>
    <row r="12776" spans="1:8" x14ac:dyDescent="0.2">
      <c r="A12776" t="str">
        <f t="shared" si="4625"/>
        <v>0615076240</v>
      </c>
      <c r="B12776" t="str">
        <f t="shared" si="4626"/>
        <v>PHARAH</v>
      </c>
      <c r="C12776" t="str">
        <f t="shared" si="4624"/>
        <v>OTALUS</v>
      </c>
      <c r="D12776">
        <f>11</f>
        <v>11</v>
      </c>
      <c r="E12776" t="str">
        <f>"05 - B - 102 - Jacklyn M James"</f>
        <v>05 - B - 102 - Jacklyn M James</v>
      </c>
      <c r="F12776" t="str">
        <f>"AICE ENG LANG AS"</f>
        <v>AICE ENG LANG AS</v>
      </c>
      <c r="G12776" t="str">
        <f>"17-1731"</f>
        <v>17-1731</v>
      </c>
      <c r="H12776" t="str">
        <f>"B"</f>
        <v>B</v>
      </c>
    </row>
    <row r="12777" spans="1:8" x14ac:dyDescent="0.2">
      <c r="A12777" t="str">
        <f t="shared" si="4625"/>
        <v>0615076240</v>
      </c>
      <c r="B12777" t="str">
        <f t="shared" si="4626"/>
        <v>PHARAH</v>
      </c>
      <c r="C12777" t="str">
        <f t="shared" si="4624"/>
        <v>OTALUS</v>
      </c>
      <c r="D12777">
        <f>11</f>
        <v>11</v>
      </c>
      <c r="E12777" t="str">
        <f>"01 - A - 001 - Brian M Fitzgerald"</f>
        <v>01 - A - 001 - Brian M Fitzgerald</v>
      </c>
      <c r="F12777" t="str">
        <f>"CERAM/POT 2"</f>
        <v>CERAM/POT 2</v>
      </c>
      <c r="G12777" t="str">
        <f>"09-908"</f>
        <v>09-908</v>
      </c>
      <c r="H12777" t="str">
        <f>"A"</f>
        <v>A</v>
      </c>
    </row>
    <row r="12778" spans="1:8" x14ac:dyDescent="0.2">
      <c r="A12778" t="str">
        <f t="shared" si="4625"/>
        <v>0615076240</v>
      </c>
      <c r="B12778" t="str">
        <f t="shared" si="4626"/>
        <v>PHARAH</v>
      </c>
      <c r="C12778" t="str">
        <f t="shared" si="4624"/>
        <v>OTALUS</v>
      </c>
      <c r="D12778">
        <f>11</f>
        <v>11</v>
      </c>
      <c r="E12778" t="str">
        <f>"08 - B - 201 - Stacey A Blecker"</f>
        <v>08 - B - 201 - Stacey A Blecker</v>
      </c>
      <c r="F12778" t="str">
        <f>"AICE SOCIOLOGY 1 AS"</f>
        <v>AICE SOCIOLOGY 1 AS</v>
      </c>
      <c r="G12778" t="str">
        <f>"09-926"</f>
        <v>09-926</v>
      </c>
      <c r="H12778" t="str">
        <f>"B"</f>
        <v>B</v>
      </c>
    </row>
    <row r="12779" spans="1:8" x14ac:dyDescent="0.2">
      <c r="A12779" t="str">
        <f t="shared" ref="A12779:A12786" si="4627">"0624109332"</f>
        <v>0624109332</v>
      </c>
      <c r="B12779" t="str">
        <f t="shared" ref="B12779:B12786" si="4628">"DULCE"</f>
        <v>DULCE</v>
      </c>
      <c r="C12779" t="str">
        <f t="shared" ref="C12779:C12786" si="4629">"OTALVARO OROZCO"</f>
        <v>OTALVARO OROZCO</v>
      </c>
      <c r="D12779" t="str">
        <f t="shared" ref="D12779:D12786" si="4630">"09"</f>
        <v>09</v>
      </c>
      <c r="E12779" t="str">
        <f>"04 - A - 107 - Amy Beth  Broyles"</f>
        <v>04 - A - 107 - Amy Beth  Broyles</v>
      </c>
      <c r="F12779" t="str">
        <f>"ENV SCI"</f>
        <v>ENV SCI</v>
      </c>
      <c r="G12779" t="str">
        <f>"08-802"</f>
        <v>08-802</v>
      </c>
      <c r="H12779" t="str">
        <f>"A"</f>
        <v>A</v>
      </c>
    </row>
    <row r="12780" spans="1:8" x14ac:dyDescent="0.2">
      <c r="A12780" t="str">
        <f t="shared" si="4627"/>
        <v>0624109332</v>
      </c>
      <c r="B12780" t="str">
        <f t="shared" si="4628"/>
        <v>DULCE</v>
      </c>
      <c r="C12780" t="str">
        <f t="shared" si="4629"/>
        <v>OTALVARO OROZCO</v>
      </c>
      <c r="D12780" t="str">
        <f t="shared" si="4630"/>
        <v>09</v>
      </c>
      <c r="E12780" t="str">
        <f>"06 - B - 104 - Laselleda D Shaw"</f>
        <v>06 - B - 104 - Laselleda D Shaw</v>
      </c>
      <c r="F12780" t="str">
        <f>"INTENS READ 1"</f>
        <v>INTENS READ 1</v>
      </c>
      <c r="G12780" t="str">
        <f>"17-1723"</f>
        <v>17-1723</v>
      </c>
      <c r="H12780" t="str">
        <f>"B"</f>
        <v>B</v>
      </c>
    </row>
    <row r="12781" spans="1:8" x14ac:dyDescent="0.2">
      <c r="A12781" t="str">
        <f t="shared" si="4627"/>
        <v>0624109332</v>
      </c>
      <c r="B12781" t="str">
        <f t="shared" si="4628"/>
        <v>DULCE</v>
      </c>
      <c r="C12781" t="str">
        <f t="shared" si="4629"/>
        <v>OTALVARO OROZCO</v>
      </c>
      <c r="D12781" t="str">
        <f t="shared" si="4630"/>
        <v>09</v>
      </c>
      <c r="E12781" t="str">
        <f>"03 - A - 105 - Cheryl Anne  Berman-Schechter"</f>
        <v>03 - A - 105 - Cheryl Anne  Berman-Schechter</v>
      </c>
      <c r="F12781" t="str">
        <f>"ENG 1"</f>
        <v>ENG 1</v>
      </c>
      <c r="G12781" t="str">
        <f>"17-1722"</f>
        <v>17-1722</v>
      </c>
      <c r="H12781" t="str">
        <f>"A"</f>
        <v>A</v>
      </c>
    </row>
    <row r="12782" spans="1:8" x14ac:dyDescent="0.2">
      <c r="A12782" t="str">
        <f t="shared" si="4627"/>
        <v>0624109332</v>
      </c>
      <c r="B12782" t="str">
        <f t="shared" si="4628"/>
        <v>DULCE</v>
      </c>
      <c r="C12782" t="str">
        <f t="shared" si="4629"/>
        <v>OTALVARO OROZCO</v>
      </c>
      <c r="D12782" t="str">
        <f t="shared" si="4630"/>
        <v>09</v>
      </c>
      <c r="E12782" t="str">
        <f>"02 - A - 102 - Fernando  Vega-Cid"</f>
        <v>02 - A - 102 - Fernando  Vega-Cid</v>
      </c>
      <c r="F12782" t="str">
        <f>"NC STUDY HALL 1"</f>
        <v>NC STUDY HALL 1</v>
      </c>
      <c r="G12782" t="str">
        <f>"21-2163"</f>
        <v>21-2163</v>
      </c>
      <c r="H12782" t="str">
        <f>"A"</f>
        <v>A</v>
      </c>
    </row>
    <row r="12783" spans="1:8" x14ac:dyDescent="0.2">
      <c r="A12783" t="str">
        <f t="shared" si="4627"/>
        <v>0624109332</v>
      </c>
      <c r="B12783" t="str">
        <f t="shared" si="4628"/>
        <v>DULCE</v>
      </c>
      <c r="C12783" t="str">
        <f t="shared" si="4629"/>
        <v>OTALVARO OROZCO</v>
      </c>
      <c r="D12783" t="str">
        <f t="shared" si="4630"/>
        <v>09</v>
      </c>
      <c r="E12783" t="str">
        <f>"07 - B - 107 - Helen A Flores"</f>
        <v>07 - B - 107 - Helen A Flores</v>
      </c>
      <c r="F12783" t="str">
        <f>"ALGEBRA 1"</f>
        <v>ALGEBRA 1</v>
      </c>
      <c r="G12783" t="str">
        <f>"21-2101"</f>
        <v>21-2101</v>
      </c>
      <c r="H12783" t="str">
        <f>"B"</f>
        <v>B</v>
      </c>
    </row>
    <row r="12784" spans="1:8" x14ac:dyDescent="0.2">
      <c r="A12784" t="str">
        <f t="shared" si="4627"/>
        <v>0624109332</v>
      </c>
      <c r="B12784" t="str">
        <f t="shared" si="4628"/>
        <v>DULCE</v>
      </c>
      <c r="C12784" t="str">
        <f t="shared" si="4629"/>
        <v>OTALVARO OROZCO</v>
      </c>
      <c r="D12784" t="str">
        <f t="shared" si="4630"/>
        <v>09</v>
      </c>
      <c r="E12784" t="str">
        <f>"05 - B - 102 - Vanessa J Pena"</f>
        <v>05 - B - 102 - Vanessa J Pena</v>
      </c>
      <c r="F12784" t="str">
        <f>"DEV LANG ARTS ESOL-R"</f>
        <v>DEV LANG ARTS ESOL-R</v>
      </c>
      <c r="G12784" t="str">
        <f>"09-926"</f>
        <v>09-926</v>
      </c>
      <c r="H12784" t="str">
        <f>"B"</f>
        <v>B</v>
      </c>
    </row>
    <row r="12785" spans="1:8" x14ac:dyDescent="0.2">
      <c r="A12785" t="str">
        <f t="shared" si="4627"/>
        <v>0624109332</v>
      </c>
      <c r="B12785" t="str">
        <f t="shared" si="4628"/>
        <v>DULCE</v>
      </c>
      <c r="C12785" t="str">
        <f t="shared" si="4629"/>
        <v>OTALVARO OROZCO</v>
      </c>
      <c r="D12785" t="str">
        <f t="shared" si="4630"/>
        <v>09</v>
      </c>
      <c r="E12785" t="str">
        <f>"01 - A - 102 - Helen A Flores"</f>
        <v>01 - A - 102 - Helen A Flores</v>
      </c>
      <c r="F12785" t="str">
        <f>"FDN SKLS MATH 9-12"</f>
        <v>FDN SKLS MATH 9-12</v>
      </c>
      <c r="G12785" t="str">
        <f>"21-2101"</f>
        <v>21-2101</v>
      </c>
      <c r="H12785" t="str">
        <f>"A"</f>
        <v>A</v>
      </c>
    </row>
    <row r="12786" spans="1:8" x14ac:dyDescent="0.2">
      <c r="A12786" t="str">
        <f t="shared" si="4627"/>
        <v>0624109332</v>
      </c>
      <c r="B12786" t="str">
        <f t="shared" si="4628"/>
        <v>DULCE</v>
      </c>
      <c r="C12786" t="str">
        <f t="shared" si="4629"/>
        <v>OTALVARO OROZCO</v>
      </c>
      <c r="D12786" t="str">
        <f t="shared" si="4630"/>
        <v>09</v>
      </c>
      <c r="E12786" t="str">
        <f>"08 - B - 101 - Elizabeth Ellen  Moran"</f>
        <v>08 - B - 101 - Elizabeth Ellen  Moran</v>
      </c>
      <c r="F12786" t="str">
        <f>"WORLD HISTORY"</f>
        <v>WORLD HISTORY</v>
      </c>
      <c r="G12786" t="str">
        <f>"17-1752"</f>
        <v>17-1752</v>
      </c>
      <c r="H12786" t="str">
        <f>"B"</f>
        <v>B</v>
      </c>
    </row>
    <row r="12787" spans="1:8" x14ac:dyDescent="0.2">
      <c r="A12787" t="str">
        <f t="shared" ref="A12787:A12794" si="4631">"0614025281"</f>
        <v>0614025281</v>
      </c>
      <c r="B12787" t="str">
        <f t="shared" ref="B12787:B12794" si="4632">"ANYLAH"</f>
        <v>ANYLAH</v>
      </c>
      <c r="C12787" t="str">
        <f t="shared" ref="C12787:C12802" si="4633">"OWENS"</f>
        <v>OWENS</v>
      </c>
      <c r="D12787">
        <f>12</f>
        <v>12</v>
      </c>
      <c r="E12787" t="str">
        <f>"04 - S1 - A - 101 - Leslie J Barton"</f>
        <v>04 - S1 - A - 101 - Leslie J Barton</v>
      </c>
      <c r="F12787" t="str">
        <f>"TEAM SPORTS 1"</f>
        <v>TEAM SPORTS 1</v>
      </c>
      <c r="G12787" t="str">
        <f>"04-254"</f>
        <v>04-254</v>
      </c>
      <c r="H12787" t="str">
        <f>"A"</f>
        <v>A</v>
      </c>
    </row>
    <row r="12788" spans="1:8" x14ac:dyDescent="0.2">
      <c r="A12788" t="str">
        <f t="shared" si="4631"/>
        <v>0614025281</v>
      </c>
      <c r="B12788" t="str">
        <f t="shared" si="4632"/>
        <v>ANYLAH</v>
      </c>
      <c r="C12788" t="str">
        <f t="shared" si="4633"/>
        <v>OWENS</v>
      </c>
      <c r="D12788">
        <f>12</f>
        <v>12</v>
      </c>
      <c r="E12788" t="str">
        <f>"06 - B - 106 - Taraneh C Abreu"</f>
        <v>06 - B - 106 - Taraneh C Abreu</v>
      </c>
      <c r="F12788" t="str">
        <f>"NC STUDY HALL 1"</f>
        <v>NC STUDY HALL 1</v>
      </c>
      <c r="G12788" t="str">
        <f>"17-1713"</f>
        <v>17-1713</v>
      </c>
      <c r="H12788" t="str">
        <f>"B"</f>
        <v>B</v>
      </c>
    </row>
    <row r="12789" spans="1:8" x14ac:dyDescent="0.2">
      <c r="A12789" t="str">
        <f t="shared" si="4631"/>
        <v>0614025281</v>
      </c>
      <c r="B12789" t="str">
        <f t="shared" si="4632"/>
        <v>ANYLAH</v>
      </c>
      <c r="C12789" t="str">
        <f t="shared" si="4633"/>
        <v>OWENS</v>
      </c>
      <c r="D12789">
        <f>12</f>
        <v>12</v>
      </c>
      <c r="E12789" t="str">
        <f>"03 - S1 - A - 102 - Angela S Adeshina-Morrison"</f>
        <v>03 - S1 - A - 102 - Angela S Adeshina-Morrison</v>
      </c>
      <c r="F12789" t="str">
        <f>"PEER COUN 1"</f>
        <v>PEER COUN 1</v>
      </c>
      <c r="G12789" t="str">
        <f>"05-518"</f>
        <v>05-518</v>
      </c>
      <c r="H12789" t="str">
        <f>"A"</f>
        <v>A</v>
      </c>
    </row>
    <row r="12790" spans="1:8" x14ac:dyDescent="0.2">
      <c r="A12790" t="str">
        <f t="shared" si="4631"/>
        <v>0614025281</v>
      </c>
      <c r="B12790" t="str">
        <f t="shared" si="4632"/>
        <v>ANYLAH</v>
      </c>
      <c r="C12790" t="str">
        <f t="shared" si="4633"/>
        <v>OWENS</v>
      </c>
      <c r="D12790">
        <f>12</f>
        <v>12</v>
      </c>
      <c r="E12790" t="str">
        <f>"02 - S1 - A - 101 - Carol S Moore"</f>
        <v>02 - S1 - A - 101 - Carol S Moore</v>
      </c>
      <c r="F12790" t="str">
        <f>"PER CAR SCH DEV 1 LH"</f>
        <v>PER CAR SCH DEV 1 LH</v>
      </c>
      <c r="G12790" t="str">
        <f>"17-1733"</f>
        <v>17-1733</v>
      </c>
      <c r="H12790" t="str">
        <f>"A"</f>
        <v>A</v>
      </c>
    </row>
    <row r="12791" spans="1:8" x14ac:dyDescent="0.2">
      <c r="A12791" t="str">
        <f t="shared" si="4631"/>
        <v>0614025281</v>
      </c>
      <c r="B12791" t="str">
        <f t="shared" si="4632"/>
        <v>ANYLAH</v>
      </c>
      <c r="C12791" t="str">
        <f t="shared" si="4633"/>
        <v>OWENS</v>
      </c>
      <c r="D12791">
        <f>12</f>
        <v>12</v>
      </c>
      <c r="E12791" t="str">
        <f>"07 - B - 105 - Robert H Rindner"</f>
        <v>07 - B - 105 - Robert H Rindner</v>
      </c>
      <c r="F12791" t="str">
        <f>"MATH DATA&amp;FIN LIT H"</f>
        <v>MATH DATA&amp;FIN LIT H</v>
      </c>
      <c r="G12791" t="str">
        <f>"21-2160"</f>
        <v>21-2160</v>
      </c>
      <c r="H12791" t="str">
        <f>"B"</f>
        <v>B</v>
      </c>
    </row>
    <row r="12792" spans="1:8" x14ac:dyDescent="0.2">
      <c r="A12792" t="str">
        <f t="shared" si="4631"/>
        <v>0614025281</v>
      </c>
      <c r="B12792" t="str">
        <f t="shared" si="4632"/>
        <v>ANYLAH</v>
      </c>
      <c r="C12792" t="str">
        <f t="shared" si="4633"/>
        <v>OWENS</v>
      </c>
      <c r="D12792">
        <f>12</f>
        <v>12</v>
      </c>
      <c r="E12792" t="str">
        <f>"05 - B - 101 - Angela S Adeshina-Morrison"</f>
        <v>05 - B - 101 - Angela S Adeshina-Morrison</v>
      </c>
      <c r="F12792" t="str">
        <f>"MKT MANAGEMENT LH"</f>
        <v>MKT MANAGEMENT LH</v>
      </c>
      <c r="G12792" t="str">
        <f>"05-518"</f>
        <v>05-518</v>
      </c>
      <c r="H12792" t="str">
        <f>"B"</f>
        <v>B</v>
      </c>
    </row>
    <row r="12793" spans="1:8" x14ac:dyDescent="0.2">
      <c r="A12793" t="str">
        <f t="shared" si="4631"/>
        <v>0614025281</v>
      </c>
      <c r="B12793" t="str">
        <f t="shared" si="4632"/>
        <v>ANYLAH</v>
      </c>
      <c r="C12793" t="str">
        <f t="shared" si="4633"/>
        <v>OWENS</v>
      </c>
      <c r="D12793">
        <f>12</f>
        <v>12</v>
      </c>
      <c r="E12793" t="str">
        <f>"01 - A - 103 - Jeffrey S Gallagher"</f>
        <v>01 - A - 103 - Jeffrey S Gallagher</v>
      </c>
      <c r="F12793" t="str">
        <f>"ENG HON 4"</f>
        <v>ENG HON 4</v>
      </c>
      <c r="G12793" t="str">
        <f>"17-1724"</f>
        <v>17-1724</v>
      </c>
      <c r="H12793" t="str">
        <f>"A"</f>
        <v>A</v>
      </c>
    </row>
    <row r="12794" spans="1:8" x14ac:dyDescent="0.2">
      <c r="A12794" t="str">
        <f t="shared" si="4631"/>
        <v>0614025281</v>
      </c>
      <c r="B12794" t="str">
        <f t="shared" si="4632"/>
        <v>ANYLAH</v>
      </c>
      <c r="C12794" t="str">
        <f t="shared" si="4633"/>
        <v>OWENS</v>
      </c>
      <c r="D12794">
        <f>12</f>
        <v>12</v>
      </c>
      <c r="E12794" t="str">
        <f>"08 - S1 - B - 105 - Kelly N Panza"</f>
        <v>08 - S1 - B - 105 - Kelly N Panza</v>
      </c>
      <c r="F12794" t="str">
        <f>"US GOVT HON"</f>
        <v>US GOVT HON</v>
      </c>
      <c r="G12794" t="str">
        <f>"17-1753"</f>
        <v>17-1753</v>
      </c>
      <c r="H12794" t="str">
        <f>"B"</f>
        <v>B</v>
      </c>
    </row>
    <row r="12795" spans="1:8" x14ac:dyDescent="0.2">
      <c r="A12795" t="str">
        <f t="shared" ref="A12795:A12802" si="4634">"0613059936"</f>
        <v>0613059936</v>
      </c>
      <c r="B12795" t="str">
        <f t="shared" ref="B12795:B12802" si="4635">"KEMONI"</f>
        <v>KEMONI</v>
      </c>
      <c r="C12795" t="str">
        <f t="shared" si="4633"/>
        <v>OWENS</v>
      </c>
      <c r="D12795">
        <f>11</f>
        <v>11</v>
      </c>
      <c r="E12795" t="str">
        <f>"04 - A - 102 - Jeffrey S Gallagher"</f>
        <v>04 - A - 102 - Jeffrey S Gallagher</v>
      </c>
      <c r="F12795" t="str">
        <f>"ENG HON 3"</f>
        <v>ENG HON 3</v>
      </c>
      <c r="G12795" t="str">
        <f>"17-1724"</f>
        <v>17-1724</v>
      </c>
      <c r="H12795" t="str">
        <f>"A"</f>
        <v>A</v>
      </c>
    </row>
    <row r="12796" spans="1:8" x14ac:dyDescent="0.2">
      <c r="A12796" t="str">
        <f t="shared" si="4634"/>
        <v>0613059936</v>
      </c>
      <c r="B12796" t="str">
        <f t="shared" si="4635"/>
        <v>KEMONI</v>
      </c>
      <c r="C12796" t="str">
        <f t="shared" si="4633"/>
        <v>OWENS</v>
      </c>
      <c r="D12796">
        <f>11</f>
        <v>11</v>
      </c>
      <c r="E12796" t="str">
        <f>"06 - B - 202 - Samantha L Martinez"</f>
        <v>06 - B - 202 - Samantha L Martinez</v>
      </c>
      <c r="F12796" t="str">
        <f>"GUITAR 1"</f>
        <v>GUITAR 1</v>
      </c>
      <c r="G12796" t="str">
        <f>"05-505"</f>
        <v>05-505</v>
      </c>
      <c r="H12796" t="str">
        <f>"B"</f>
        <v>B</v>
      </c>
    </row>
    <row r="12797" spans="1:8" x14ac:dyDescent="0.2">
      <c r="A12797" t="str">
        <f t="shared" si="4634"/>
        <v>0613059936</v>
      </c>
      <c r="B12797" t="str">
        <f t="shared" si="4635"/>
        <v>KEMONI</v>
      </c>
      <c r="C12797" t="str">
        <f t="shared" si="4633"/>
        <v>OWENS</v>
      </c>
      <c r="D12797">
        <f>11</f>
        <v>11</v>
      </c>
      <c r="E12797" t="str">
        <f>"03 - A - 103 - Adam Marcus  Drucker"</f>
        <v>03 - A - 103 - Adam Marcus  Drucker</v>
      </c>
      <c r="F12797" t="str">
        <f>"HOPE-PE V"</f>
        <v>HOPE-PE V</v>
      </c>
      <c r="G12797" t="str">
        <f>"04-254"</f>
        <v>04-254</v>
      </c>
      <c r="H12797" t="str">
        <f>"A"</f>
        <v>A</v>
      </c>
    </row>
    <row r="12798" spans="1:8" x14ac:dyDescent="0.2">
      <c r="A12798" t="str">
        <f t="shared" si="4634"/>
        <v>0613059936</v>
      </c>
      <c r="B12798" t="str">
        <f t="shared" si="4635"/>
        <v>KEMONI</v>
      </c>
      <c r="C12798" t="str">
        <f t="shared" si="4633"/>
        <v>OWENS</v>
      </c>
      <c r="D12798">
        <f>11</f>
        <v>11</v>
      </c>
      <c r="E12798" t="str">
        <f>"02 - A - 114 - Eva T Rimmer"</f>
        <v>02 - A - 114 - Eva T Rimmer</v>
      </c>
      <c r="F12798" t="str">
        <f>"NC STUDY HALL 1"</f>
        <v>NC STUDY HALL 1</v>
      </c>
      <c r="G12798" t="str">
        <f>"05-523"</f>
        <v>05-523</v>
      </c>
      <c r="H12798" t="str">
        <f>"A"</f>
        <v>A</v>
      </c>
    </row>
    <row r="12799" spans="1:8" x14ac:dyDescent="0.2">
      <c r="A12799" t="str">
        <f t="shared" si="4634"/>
        <v>0613059936</v>
      </c>
      <c r="B12799" t="str">
        <f t="shared" si="4635"/>
        <v>KEMONI</v>
      </c>
      <c r="C12799" t="str">
        <f t="shared" si="4633"/>
        <v>OWENS</v>
      </c>
      <c r="D12799">
        <f>11</f>
        <v>11</v>
      </c>
      <c r="E12799" t="str">
        <f>"07 - B - 204 - Scott A Dethloff"</f>
        <v>07 - B - 204 - Scott A Dethloff</v>
      </c>
      <c r="F12799" t="str">
        <f>"CHEMISTRY 1"</f>
        <v>CHEMISTRY 1</v>
      </c>
      <c r="G12799" t="str">
        <f>"08-812"</f>
        <v>08-812</v>
      </c>
      <c r="H12799" t="str">
        <f>"B"</f>
        <v>B</v>
      </c>
    </row>
    <row r="12800" spans="1:8" x14ac:dyDescent="0.2">
      <c r="A12800" t="str">
        <f t="shared" si="4634"/>
        <v>0613059936</v>
      </c>
      <c r="B12800" t="str">
        <f t="shared" si="4635"/>
        <v>KEMONI</v>
      </c>
      <c r="C12800" t="str">
        <f t="shared" si="4633"/>
        <v>OWENS</v>
      </c>
      <c r="D12800">
        <f>11</f>
        <v>11</v>
      </c>
      <c r="E12800" t="str">
        <f>"05 - B - 001 - Kyle  Robbins"</f>
        <v>05 - B - 001 - Kyle  Robbins</v>
      </c>
      <c r="F12800" t="str">
        <f>"US HISTORY HON"</f>
        <v>US HISTORY HON</v>
      </c>
      <c r="G12800" t="str">
        <f>"17-1745"</f>
        <v>17-1745</v>
      </c>
      <c r="H12800" t="str">
        <f>"B"</f>
        <v>B</v>
      </c>
    </row>
    <row r="12801" spans="1:8" x14ac:dyDescent="0.2">
      <c r="A12801" t="str">
        <f t="shared" si="4634"/>
        <v>0613059936</v>
      </c>
      <c r="B12801" t="str">
        <f t="shared" si="4635"/>
        <v>KEMONI</v>
      </c>
      <c r="C12801" t="str">
        <f t="shared" si="4633"/>
        <v>OWENS</v>
      </c>
      <c r="D12801">
        <f>11</f>
        <v>11</v>
      </c>
      <c r="E12801" t="str">
        <f>"01 - A - 101 - Ferrie J Arostique"</f>
        <v>01 - A - 101 - Ferrie J Arostique</v>
      </c>
      <c r="F12801" t="str">
        <f>"GEOMETRY"</f>
        <v>GEOMETRY</v>
      </c>
      <c r="G12801" t="str">
        <f>"21-2139"</f>
        <v>21-2139</v>
      </c>
      <c r="H12801" t="str">
        <f>"A"</f>
        <v>A</v>
      </c>
    </row>
    <row r="12802" spans="1:8" x14ac:dyDescent="0.2">
      <c r="A12802" t="str">
        <f t="shared" si="4634"/>
        <v>0613059936</v>
      </c>
      <c r="B12802" t="str">
        <f t="shared" si="4635"/>
        <v>KEMONI</v>
      </c>
      <c r="C12802" t="str">
        <f t="shared" si="4633"/>
        <v>OWENS</v>
      </c>
      <c r="D12802">
        <f>11</f>
        <v>11</v>
      </c>
      <c r="E12802" t="str">
        <f>"08 - B - 101 - Eva T Rimmer"</f>
        <v>08 - B - 101 - Eva T Rimmer</v>
      </c>
      <c r="F12802" t="str">
        <f>"CRIM JUST OPS 3 HON"</f>
        <v>CRIM JUST OPS 3 HON</v>
      </c>
      <c r="G12802" t="str">
        <f>"05-523"</f>
        <v>05-523</v>
      </c>
      <c r="H12802" t="str">
        <f>"B"</f>
        <v>B</v>
      </c>
    </row>
    <row r="12803" spans="1:8" x14ac:dyDescent="0.2">
      <c r="A12803" t="str">
        <f t="shared" ref="A12803:A12810" si="4636">"0615114659"</f>
        <v>0615114659</v>
      </c>
      <c r="B12803" t="str">
        <f t="shared" ref="B12803:B12810" si="4637">"LOGAN"</f>
        <v>LOGAN</v>
      </c>
      <c r="C12803" t="str">
        <f t="shared" ref="C12803:C12818" si="4638">"PACE"</f>
        <v>PACE</v>
      </c>
      <c r="D12803" t="str">
        <f t="shared" ref="D12803:D12810" si="4639">"09"</f>
        <v>09</v>
      </c>
      <c r="E12803" t="str">
        <f>"04 - A - 201 - Norayda D Suarez"</f>
        <v>04 - A - 201 - Norayda D Suarez</v>
      </c>
      <c r="F12803" t="str">
        <f>"ANAT PHYSIO HON"</f>
        <v>ANAT PHYSIO HON</v>
      </c>
      <c r="G12803" t="str">
        <f>"21-2142"</f>
        <v>21-2142</v>
      </c>
      <c r="H12803" t="str">
        <f>"A"</f>
        <v>A</v>
      </c>
    </row>
    <row r="12804" spans="1:8" x14ac:dyDescent="0.2">
      <c r="A12804" t="str">
        <f t="shared" si="4636"/>
        <v>0615114659</v>
      </c>
      <c r="B12804" t="str">
        <f t="shared" si="4637"/>
        <v>LOGAN</v>
      </c>
      <c r="C12804" t="str">
        <f t="shared" si="4638"/>
        <v>PACE</v>
      </c>
      <c r="D12804" t="str">
        <f t="shared" si="4639"/>
        <v>09</v>
      </c>
      <c r="E12804" t="str">
        <f>"06 - B - 106 - Adam Marcus  Drucker"</f>
        <v>06 - B - 106 - Adam Marcus  Drucker</v>
      </c>
      <c r="F12804" t="str">
        <f>"HOPE-PE V"</f>
        <v>HOPE-PE V</v>
      </c>
      <c r="G12804" t="str">
        <f>"04-254"</f>
        <v>04-254</v>
      </c>
      <c r="H12804" t="str">
        <f>"B"</f>
        <v>B</v>
      </c>
    </row>
    <row r="12805" spans="1:8" x14ac:dyDescent="0.2">
      <c r="A12805" t="str">
        <f t="shared" si="4636"/>
        <v>0615114659</v>
      </c>
      <c r="B12805" t="str">
        <f t="shared" si="4637"/>
        <v>LOGAN</v>
      </c>
      <c r="C12805" t="str">
        <f t="shared" si="4638"/>
        <v>PACE</v>
      </c>
      <c r="D12805" t="str">
        <f t="shared" si="4639"/>
        <v>09</v>
      </c>
      <c r="E12805" t="str">
        <f>"03 - S1 - A - 102 - Angela S Adeshina-Morrison"</f>
        <v>03 - S1 - A - 102 - Angela S Adeshina-Morrison</v>
      </c>
      <c r="F12805" t="str">
        <f>"PEER COUN 1"</f>
        <v>PEER COUN 1</v>
      </c>
      <c r="G12805" t="str">
        <f>"05-518"</f>
        <v>05-518</v>
      </c>
      <c r="H12805" t="str">
        <f>"A"</f>
        <v>A</v>
      </c>
    </row>
    <row r="12806" spans="1:8" x14ac:dyDescent="0.2">
      <c r="A12806" t="str">
        <f t="shared" si="4636"/>
        <v>0615114659</v>
      </c>
      <c r="B12806" t="str">
        <f t="shared" si="4637"/>
        <v>LOGAN</v>
      </c>
      <c r="C12806" t="str">
        <f t="shared" si="4638"/>
        <v>PACE</v>
      </c>
      <c r="D12806" t="str">
        <f t="shared" si="4639"/>
        <v>09</v>
      </c>
      <c r="E12806" t="str">
        <f>"02 - A - 105 - Elizabeth R Walker"</f>
        <v>02 - A - 105 - Elizabeth R Walker</v>
      </c>
      <c r="F12806" t="str">
        <f>"NC STUDY HALL 1"</f>
        <v>NC STUDY HALL 1</v>
      </c>
      <c r="G12806" t="str">
        <f>"17-1703"</f>
        <v>17-1703</v>
      </c>
      <c r="H12806" t="str">
        <f>"A"</f>
        <v>A</v>
      </c>
    </row>
    <row r="12807" spans="1:8" x14ac:dyDescent="0.2">
      <c r="A12807" t="str">
        <f t="shared" si="4636"/>
        <v>0615114659</v>
      </c>
      <c r="B12807" t="str">
        <f t="shared" si="4637"/>
        <v>LOGAN</v>
      </c>
      <c r="C12807" t="str">
        <f t="shared" si="4638"/>
        <v>PACE</v>
      </c>
      <c r="D12807" t="str">
        <f t="shared" si="4639"/>
        <v>09</v>
      </c>
      <c r="E12807" t="str">
        <f>"07 - B - 001 - Maried P Ramos"</f>
        <v>07 - B - 001 - Maried P Ramos</v>
      </c>
      <c r="F12807" t="str">
        <f>"GEOMETRY"</f>
        <v>GEOMETRY</v>
      </c>
      <c r="G12807" t="str">
        <f>"21-2159"</f>
        <v>21-2159</v>
      </c>
      <c r="H12807" t="str">
        <f>"B"</f>
        <v>B</v>
      </c>
    </row>
    <row r="12808" spans="1:8" x14ac:dyDescent="0.2">
      <c r="A12808" t="str">
        <f t="shared" si="4636"/>
        <v>0615114659</v>
      </c>
      <c r="B12808" t="str">
        <f t="shared" si="4637"/>
        <v>LOGAN</v>
      </c>
      <c r="C12808" t="str">
        <f t="shared" si="4638"/>
        <v>PACE</v>
      </c>
      <c r="D12808" t="str">
        <f t="shared" si="4639"/>
        <v>09</v>
      </c>
      <c r="E12808" t="str">
        <f>"05 - B - 103 - Rory T Sponsler"</f>
        <v>05 - B - 103 - Rory T Sponsler</v>
      </c>
      <c r="F12808" t="str">
        <f>"PRE-AICE WRLD HST IG"</f>
        <v>PRE-AICE WRLD HST IG</v>
      </c>
      <c r="G12808" t="str">
        <f>"17-1740"</f>
        <v>17-1740</v>
      </c>
      <c r="H12808" t="str">
        <f>"B"</f>
        <v>B</v>
      </c>
    </row>
    <row r="12809" spans="1:8" x14ac:dyDescent="0.2">
      <c r="A12809" t="str">
        <f t="shared" si="4636"/>
        <v>0615114659</v>
      </c>
      <c r="B12809" t="str">
        <f t="shared" si="4637"/>
        <v>LOGAN</v>
      </c>
      <c r="C12809" t="str">
        <f t="shared" si="4638"/>
        <v>PACE</v>
      </c>
      <c r="D12809" t="str">
        <f t="shared" si="4639"/>
        <v>09</v>
      </c>
      <c r="E12809" t="str">
        <f>"01 - A - 101 - Cheryl Anne  Berman-Schechter"</f>
        <v>01 - A - 101 - Cheryl Anne  Berman-Schechter</v>
      </c>
      <c r="F12809" t="str">
        <f>"PRE-AICE ENG LANG IG"</f>
        <v>PRE-AICE ENG LANG IG</v>
      </c>
      <c r="G12809" t="str">
        <f>"17-1722"</f>
        <v>17-1722</v>
      </c>
      <c r="H12809" t="str">
        <f>"A"</f>
        <v>A</v>
      </c>
    </row>
    <row r="12810" spans="1:8" x14ac:dyDescent="0.2">
      <c r="A12810" t="str">
        <f t="shared" si="4636"/>
        <v>0615114659</v>
      </c>
      <c r="B12810" t="str">
        <f t="shared" si="4637"/>
        <v>LOGAN</v>
      </c>
      <c r="C12810" t="str">
        <f t="shared" si="4638"/>
        <v>PACE</v>
      </c>
      <c r="D12810" t="str">
        <f t="shared" si="4639"/>
        <v>09</v>
      </c>
      <c r="E12810" t="str">
        <f>"08 - B - 103 - Jeanne M Bermudez"</f>
        <v>08 - B - 103 - Jeanne M Bermudez</v>
      </c>
      <c r="F12810" t="str">
        <f>"ADVANCED IT HON"</f>
        <v>ADVANCED IT HON</v>
      </c>
      <c r="G12810" t="str">
        <f>"21-2141"</f>
        <v>21-2141</v>
      </c>
      <c r="H12810" t="str">
        <f>"B"</f>
        <v>B</v>
      </c>
    </row>
    <row r="12811" spans="1:8" x14ac:dyDescent="0.2">
      <c r="A12811" t="str">
        <f t="shared" ref="A12811:A12818" si="4640">"0613101870"</f>
        <v>0613101870</v>
      </c>
      <c r="B12811" t="str">
        <f t="shared" ref="B12811:B12818" si="4641">"WILLIAM"</f>
        <v>WILLIAM</v>
      </c>
      <c r="C12811" t="str">
        <f t="shared" si="4638"/>
        <v>PACE</v>
      </c>
      <c r="D12811">
        <f>11</f>
        <v>11</v>
      </c>
      <c r="E12811" t="str">
        <f>"04 - A - 205 - Lytrell T Dixon"</f>
        <v>04 - A - 205 - Lytrell T Dixon</v>
      </c>
      <c r="F12811" t="str">
        <f>"BIOLOGY 1"</f>
        <v>BIOLOGY 1</v>
      </c>
      <c r="G12811" t="str">
        <f>"08-808"</f>
        <v>08-808</v>
      </c>
      <c r="H12811" t="str">
        <f>"A"</f>
        <v>A</v>
      </c>
    </row>
    <row r="12812" spans="1:8" x14ac:dyDescent="0.2">
      <c r="A12812" t="str">
        <f t="shared" si="4640"/>
        <v>0613101870</v>
      </c>
      <c r="B12812" t="str">
        <f t="shared" si="4641"/>
        <v>WILLIAM</v>
      </c>
      <c r="C12812" t="str">
        <f t="shared" si="4638"/>
        <v>PACE</v>
      </c>
      <c r="D12812">
        <f>11</f>
        <v>11</v>
      </c>
      <c r="E12812" t="str">
        <f>"06 - B - 102 - Angela S Adeshina-Morrison"</f>
        <v>06 - B - 102 - Angela S Adeshina-Morrison</v>
      </c>
      <c r="F12812" t="str">
        <f>"MARKETING ESSENTIALS"</f>
        <v>MARKETING ESSENTIALS</v>
      </c>
      <c r="G12812" t="str">
        <f>"05-518"</f>
        <v>05-518</v>
      </c>
      <c r="H12812" t="str">
        <f>"B"</f>
        <v>B</v>
      </c>
    </row>
    <row r="12813" spans="1:8" x14ac:dyDescent="0.2">
      <c r="A12813" t="str">
        <f t="shared" si="4640"/>
        <v>0613101870</v>
      </c>
      <c r="B12813" t="str">
        <f t="shared" si="4641"/>
        <v>WILLIAM</v>
      </c>
      <c r="C12813" t="str">
        <f t="shared" si="4638"/>
        <v>PACE</v>
      </c>
      <c r="D12813">
        <f>11</f>
        <v>11</v>
      </c>
      <c r="E12813" t="str">
        <f>"03 - S1 - A - 101 - Arthur  Kulawik"</f>
        <v>03 - S1 - A - 101 - Arthur  Kulawik</v>
      </c>
      <c r="F12813" t="str">
        <f>"PERS FIN &amp; MON MGT H"</f>
        <v>PERS FIN &amp; MON MGT H</v>
      </c>
      <c r="G12813" t="str">
        <f>"05-506"</f>
        <v>05-506</v>
      </c>
      <c r="H12813" t="str">
        <f>"A"</f>
        <v>A</v>
      </c>
    </row>
    <row r="12814" spans="1:8" x14ac:dyDescent="0.2">
      <c r="A12814" t="str">
        <f t="shared" si="4640"/>
        <v>0613101870</v>
      </c>
      <c r="B12814" t="str">
        <f t="shared" si="4641"/>
        <v>WILLIAM</v>
      </c>
      <c r="C12814" t="str">
        <f t="shared" si="4638"/>
        <v>PACE</v>
      </c>
      <c r="D12814">
        <f>11</f>
        <v>11</v>
      </c>
      <c r="E12814" t="str">
        <f>"02 - A - 107 - Elizabeth Ellen  Moran"</f>
        <v>02 - A - 107 - Elizabeth Ellen  Moran</v>
      </c>
      <c r="F12814" t="str">
        <f>"NC STUDY HALL 1"</f>
        <v>NC STUDY HALL 1</v>
      </c>
      <c r="G12814" t="str">
        <f>"17-1752"</f>
        <v>17-1752</v>
      </c>
      <c r="H12814" t="str">
        <f>"A"</f>
        <v>A</v>
      </c>
    </row>
    <row r="12815" spans="1:8" x14ac:dyDescent="0.2">
      <c r="A12815" t="str">
        <f t="shared" si="4640"/>
        <v>0613101870</v>
      </c>
      <c r="B12815" t="str">
        <f t="shared" si="4641"/>
        <v>WILLIAM</v>
      </c>
      <c r="C12815" t="str">
        <f t="shared" si="4638"/>
        <v>PACE</v>
      </c>
      <c r="D12815">
        <f>11</f>
        <v>11</v>
      </c>
      <c r="E12815" t="str">
        <f>"07 - B - 001 - Maried P Ramos"</f>
        <v>07 - B - 001 - Maried P Ramos</v>
      </c>
      <c r="F12815" t="str">
        <f>"GEOMETRY"</f>
        <v>GEOMETRY</v>
      </c>
      <c r="G12815" t="str">
        <f>"21-2159"</f>
        <v>21-2159</v>
      </c>
      <c r="H12815" t="str">
        <f>"B"</f>
        <v>B</v>
      </c>
    </row>
    <row r="12816" spans="1:8" x14ac:dyDescent="0.2">
      <c r="A12816" t="str">
        <f t="shared" si="4640"/>
        <v>0613101870</v>
      </c>
      <c r="B12816" t="str">
        <f t="shared" si="4641"/>
        <v>WILLIAM</v>
      </c>
      <c r="C12816" t="str">
        <f t="shared" si="4638"/>
        <v>PACE</v>
      </c>
      <c r="D12816">
        <f>11</f>
        <v>11</v>
      </c>
      <c r="E12816" t="str">
        <f>"05 - B - 107 - Elizabeth Ellen  Moran"</f>
        <v>05 - B - 107 - Elizabeth Ellen  Moran</v>
      </c>
      <c r="F12816" t="str">
        <f>"US HISTORY"</f>
        <v>US HISTORY</v>
      </c>
      <c r="G12816" t="str">
        <f>"17-1752"</f>
        <v>17-1752</v>
      </c>
      <c r="H12816" t="str">
        <f>"B"</f>
        <v>B</v>
      </c>
    </row>
    <row r="12817" spans="1:8" x14ac:dyDescent="0.2">
      <c r="A12817" t="str">
        <f t="shared" si="4640"/>
        <v>0613101870</v>
      </c>
      <c r="B12817" t="str">
        <f t="shared" si="4641"/>
        <v>WILLIAM</v>
      </c>
      <c r="C12817" t="str">
        <f t="shared" si="4638"/>
        <v>PACE</v>
      </c>
      <c r="D12817">
        <f>11</f>
        <v>11</v>
      </c>
      <c r="E12817" t="str">
        <f>"01 - A - 101 - Lisa  Quinn"</f>
        <v>01 - A - 101 - Lisa  Quinn</v>
      </c>
      <c r="F12817" t="str">
        <f>"ENG 3"</f>
        <v>ENG 3</v>
      </c>
      <c r="G12817" t="str">
        <f>"17-1725"</f>
        <v>17-1725</v>
      </c>
      <c r="H12817" t="str">
        <f>"A"</f>
        <v>A</v>
      </c>
    </row>
    <row r="12818" spans="1:8" x14ac:dyDescent="0.2">
      <c r="A12818" t="str">
        <f t="shared" si="4640"/>
        <v>0613101870</v>
      </c>
      <c r="B12818" t="str">
        <f t="shared" si="4641"/>
        <v>WILLIAM</v>
      </c>
      <c r="C12818" t="str">
        <f t="shared" si="4638"/>
        <v>PACE</v>
      </c>
      <c r="D12818">
        <f>11</f>
        <v>11</v>
      </c>
      <c r="E12818" t="str">
        <f>"08 - S1 - B - 101 - Amy Beth  Broyles"</f>
        <v>08 - S1 - B - 101 - Amy Beth  Broyles</v>
      </c>
      <c r="F12818" t="str">
        <f>"PEER COUN 3"</f>
        <v>PEER COUN 3</v>
      </c>
      <c r="G12818" t="str">
        <f>"17-1713"</f>
        <v>17-1713</v>
      </c>
      <c r="H12818" t="str">
        <f>"B"</f>
        <v>B</v>
      </c>
    </row>
    <row r="12819" spans="1:8" x14ac:dyDescent="0.2">
      <c r="A12819" t="str">
        <f t="shared" ref="A12819:A12826" si="4642">"0614032474"</f>
        <v>0614032474</v>
      </c>
      <c r="B12819" t="str">
        <f t="shared" ref="B12819:B12826" si="4643">"ANTHONY"</f>
        <v>ANTHONY</v>
      </c>
      <c r="C12819" t="str">
        <f t="shared" ref="C12819:C12834" si="4644">"PACHECO"</f>
        <v>PACHECO</v>
      </c>
      <c r="D12819">
        <f>11</f>
        <v>11</v>
      </c>
      <c r="E12819" t="str">
        <f>"04 - S1 - A - 104 - Richard E Dunbar Iii"</f>
        <v>04 - S1 - A - 104 - Richard E Dunbar Iii</v>
      </c>
      <c r="F12819" t="str">
        <f>"WEIGHT TRAIN 1"</f>
        <v>WEIGHT TRAIN 1</v>
      </c>
      <c r="G12819" t="str">
        <f>"05-501"</f>
        <v>05-501</v>
      </c>
      <c r="H12819" t="str">
        <f>"A"</f>
        <v>A</v>
      </c>
    </row>
    <row r="12820" spans="1:8" x14ac:dyDescent="0.2">
      <c r="A12820" t="str">
        <f t="shared" si="4642"/>
        <v>0614032474</v>
      </c>
      <c r="B12820" t="str">
        <f t="shared" si="4643"/>
        <v>ANTHONY</v>
      </c>
      <c r="C12820" t="str">
        <f t="shared" si="4644"/>
        <v>PACHECO</v>
      </c>
      <c r="D12820">
        <f>11</f>
        <v>11</v>
      </c>
      <c r="E12820" t="str">
        <f>"06 - B - 103 - Helen A Flores"</f>
        <v>06 - B - 103 - Helen A Flores</v>
      </c>
      <c r="F12820" t="str">
        <f>"ALGEBRA 2"</f>
        <v>ALGEBRA 2</v>
      </c>
      <c r="G12820" t="str">
        <f>"21-2101"</f>
        <v>21-2101</v>
      </c>
      <c r="H12820" t="str">
        <f>"B"</f>
        <v>B</v>
      </c>
    </row>
    <row r="12821" spans="1:8" x14ac:dyDescent="0.2">
      <c r="A12821" t="str">
        <f t="shared" si="4642"/>
        <v>0614032474</v>
      </c>
      <c r="B12821" t="str">
        <f t="shared" si="4643"/>
        <v>ANTHONY</v>
      </c>
      <c r="C12821" t="str">
        <f t="shared" si="4644"/>
        <v>PACHECO</v>
      </c>
      <c r="D12821">
        <f>11</f>
        <v>11</v>
      </c>
      <c r="E12821" t="str">
        <f>"03 - A - 103 - Samantha J Headley"</f>
        <v>03 - A - 103 - Samantha J Headley</v>
      </c>
      <c r="F12821" t="str">
        <f>"MARINE SCI 1 HON"</f>
        <v>MARINE SCI 1 HON</v>
      </c>
      <c r="G12821" t="str">
        <f>"21-2134"</f>
        <v>21-2134</v>
      </c>
      <c r="H12821" t="str">
        <f>"A"</f>
        <v>A</v>
      </c>
    </row>
    <row r="12822" spans="1:8" x14ac:dyDescent="0.2">
      <c r="A12822" t="str">
        <f t="shared" si="4642"/>
        <v>0614032474</v>
      </c>
      <c r="B12822" t="str">
        <f t="shared" si="4643"/>
        <v>ANTHONY</v>
      </c>
      <c r="C12822" t="str">
        <f t="shared" si="4644"/>
        <v>PACHECO</v>
      </c>
      <c r="D12822">
        <f>11</f>
        <v>11</v>
      </c>
      <c r="E12822" t="str">
        <f>"02 - A - 108 - Stephen T Ripp"</f>
        <v>02 - A - 108 - Stephen T Ripp</v>
      </c>
      <c r="F12822" t="str">
        <f>"NC STUDY HALL 1"</f>
        <v>NC STUDY HALL 1</v>
      </c>
      <c r="G12822" t="str">
        <f>"17-1744"</f>
        <v>17-1744</v>
      </c>
      <c r="H12822" t="str">
        <f>"A"</f>
        <v>A</v>
      </c>
    </row>
    <row r="12823" spans="1:8" x14ac:dyDescent="0.2">
      <c r="A12823" t="str">
        <f t="shared" si="4642"/>
        <v>0614032474</v>
      </c>
      <c r="B12823" t="str">
        <f t="shared" si="4643"/>
        <v>ANTHONY</v>
      </c>
      <c r="C12823" t="str">
        <f t="shared" si="4644"/>
        <v>PACHECO</v>
      </c>
      <c r="D12823">
        <f>11</f>
        <v>11</v>
      </c>
      <c r="E12823" t="str">
        <f>"07 - B - 202 - Chrystina M Marchionne"</f>
        <v>07 - B - 202 - Chrystina M Marchionne</v>
      </c>
      <c r="F12823" t="str">
        <f>"JOURN 1 (YB) LH"</f>
        <v>JOURN 1 (YB) LH</v>
      </c>
      <c r="G12823" t="str">
        <f>"05-520"</f>
        <v>05-520</v>
      </c>
      <c r="H12823" t="str">
        <f>"B"</f>
        <v>B</v>
      </c>
    </row>
    <row r="12824" spans="1:8" x14ac:dyDescent="0.2">
      <c r="A12824" t="str">
        <f t="shared" si="4642"/>
        <v>0614032474</v>
      </c>
      <c r="B12824" t="str">
        <f t="shared" si="4643"/>
        <v>ANTHONY</v>
      </c>
      <c r="C12824" t="str">
        <f t="shared" si="4644"/>
        <v>PACHECO</v>
      </c>
      <c r="D12824">
        <f>11</f>
        <v>11</v>
      </c>
      <c r="E12824" t="str">
        <f>"05 - B - 107 - Elizabeth Ellen  Moran"</f>
        <v>05 - B - 107 - Elizabeth Ellen  Moran</v>
      </c>
      <c r="F12824" t="str">
        <f>"US HISTORY"</f>
        <v>US HISTORY</v>
      </c>
      <c r="G12824" t="str">
        <f>"17-1752"</f>
        <v>17-1752</v>
      </c>
      <c r="H12824" t="str">
        <f>"B"</f>
        <v>B</v>
      </c>
    </row>
    <row r="12825" spans="1:8" x14ac:dyDescent="0.2">
      <c r="A12825" t="str">
        <f t="shared" si="4642"/>
        <v>0614032474</v>
      </c>
      <c r="B12825" t="str">
        <f t="shared" si="4643"/>
        <v>ANTHONY</v>
      </c>
      <c r="C12825" t="str">
        <f t="shared" si="4644"/>
        <v>PACHECO</v>
      </c>
      <c r="D12825">
        <f>11</f>
        <v>11</v>
      </c>
      <c r="E12825" t="str">
        <f>"01 - A - 101 - Angela S Adeshina-Morrison"</f>
        <v>01 - A - 101 - Angela S Adeshina-Morrison</v>
      </c>
      <c r="F12825" t="str">
        <f>"MARKETING ESSENTIALS"</f>
        <v>MARKETING ESSENTIALS</v>
      </c>
      <c r="G12825" t="str">
        <f>"05-518"</f>
        <v>05-518</v>
      </c>
      <c r="H12825" t="str">
        <f>"A"</f>
        <v>A</v>
      </c>
    </row>
    <row r="12826" spans="1:8" x14ac:dyDescent="0.2">
      <c r="A12826" t="str">
        <f t="shared" si="4642"/>
        <v>0614032474</v>
      </c>
      <c r="B12826" t="str">
        <f t="shared" si="4643"/>
        <v>ANTHONY</v>
      </c>
      <c r="C12826" t="str">
        <f t="shared" si="4644"/>
        <v>PACHECO</v>
      </c>
      <c r="D12826">
        <f>11</f>
        <v>11</v>
      </c>
      <c r="E12826" t="str">
        <f>"08 - B - 106 - Lisa  Quinn"</f>
        <v>08 - B - 106 - Lisa  Quinn</v>
      </c>
      <c r="F12826" t="str">
        <f>"ENG 3"</f>
        <v>ENG 3</v>
      </c>
      <c r="G12826" t="str">
        <f>"17-1725"</f>
        <v>17-1725</v>
      </c>
      <c r="H12826" t="str">
        <f>"B"</f>
        <v>B</v>
      </c>
    </row>
    <row r="12827" spans="1:8" x14ac:dyDescent="0.2">
      <c r="A12827" t="str">
        <f t="shared" ref="A12827:A12834" si="4645">"0615054834"</f>
        <v>0615054834</v>
      </c>
      <c r="B12827" t="str">
        <f t="shared" ref="B12827:B12834" si="4646">"ELIZABETH"</f>
        <v>ELIZABETH</v>
      </c>
      <c r="C12827" t="str">
        <f t="shared" si="4644"/>
        <v>PACHECO</v>
      </c>
      <c r="D12827">
        <f>11</f>
        <v>11</v>
      </c>
      <c r="E12827" t="str">
        <f>"04 - A - 202 - Daniel S Katz"</f>
        <v>04 - A - 202 - Daniel S Katz</v>
      </c>
      <c r="F12827" t="str">
        <f>"AICE DRAMA 2 A LEVEL"</f>
        <v>AICE DRAMA 2 A LEVEL</v>
      </c>
      <c r="G12827" t="str">
        <f>"05-521"</f>
        <v>05-521</v>
      </c>
      <c r="H12827" t="str">
        <f>"A"</f>
        <v>A</v>
      </c>
    </row>
    <row r="12828" spans="1:8" x14ac:dyDescent="0.2">
      <c r="A12828" t="str">
        <f t="shared" si="4645"/>
        <v>0615054834</v>
      </c>
      <c r="B12828" t="str">
        <f t="shared" si="4646"/>
        <v>ELIZABETH</v>
      </c>
      <c r="C12828" t="str">
        <f t="shared" si="4644"/>
        <v>PACHECO</v>
      </c>
      <c r="D12828">
        <f>11</f>
        <v>11</v>
      </c>
      <c r="E12828" t="str">
        <f>"06 - B - 001 - Lourivaldo  Da Silva"</f>
        <v>06 - B - 001 - Lourivaldo  Da Silva</v>
      </c>
      <c r="F12828" t="str">
        <f>"PRE-CALCULUS HON"</f>
        <v>PRE-CALCULUS HON</v>
      </c>
      <c r="G12828" t="str">
        <f>"20-2079"</f>
        <v>20-2079</v>
      </c>
      <c r="H12828" t="str">
        <f>"B"</f>
        <v>B</v>
      </c>
    </row>
    <row r="12829" spans="1:8" x14ac:dyDescent="0.2">
      <c r="A12829" t="str">
        <f t="shared" si="4645"/>
        <v>0615054834</v>
      </c>
      <c r="B12829" t="str">
        <f t="shared" si="4646"/>
        <v>ELIZABETH</v>
      </c>
      <c r="C12829" t="str">
        <f t="shared" si="4644"/>
        <v>PACHECO</v>
      </c>
      <c r="D12829">
        <f>11</f>
        <v>11</v>
      </c>
      <c r="E12829" t="str">
        <f>"03 - A - 201 - Emmily A Sarmiento"</f>
        <v>03 - A - 201 - Emmily A Sarmiento</v>
      </c>
      <c r="F12829" t="str">
        <f>"LEAD TECHQS HONORS"</f>
        <v>LEAD TECHQS HONORS</v>
      </c>
      <c r="G12829" t="str">
        <f>"17-1743"</f>
        <v>17-1743</v>
      </c>
      <c r="H12829" t="str">
        <f>"A"</f>
        <v>A</v>
      </c>
    </row>
    <row r="12830" spans="1:8" x14ac:dyDescent="0.2">
      <c r="A12830" t="str">
        <f t="shared" si="4645"/>
        <v>0615054834</v>
      </c>
      <c r="B12830" t="str">
        <f t="shared" si="4646"/>
        <v>ELIZABETH</v>
      </c>
      <c r="C12830" t="str">
        <f t="shared" si="4644"/>
        <v>PACHECO</v>
      </c>
      <c r="D12830">
        <f>11</f>
        <v>11</v>
      </c>
      <c r="E12830" t="str">
        <f>"02 - A - 109 - Daniel S Katz"</f>
        <v>02 - A - 109 - Daniel S Katz</v>
      </c>
      <c r="F12830" t="str">
        <f>"NC STUDY HALL 1"</f>
        <v>NC STUDY HALL 1</v>
      </c>
      <c r="G12830" t="str">
        <f>"21-2156"</f>
        <v>21-2156</v>
      </c>
      <c r="H12830" t="str">
        <f>"A"</f>
        <v>A</v>
      </c>
    </row>
    <row r="12831" spans="1:8" x14ac:dyDescent="0.2">
      <c r="A12831" t="str">
        <f t="shared" si="4645"/>
        <v>0615054834</v>
      </c>
      <c r="B12831" t="str">
        <f t="shared" si="4646"/>
        <v>ELIZABETH</v>
      </c>
      <c r="C12831" t="str">
        <f t="shared" si="4644"/>
        <v>PACHECO</v>
      </c>
      <c r="D12831">
        <f>11</f>
        <v>11</v>
      </c>
      <c r="E12831" t="str">
        <f>"07 - B - 204 - Scott A Dethloff"</f>
        <v>07 - B - 204 - Scott A Dethloff</v>
      </c>
      <c r="F12831" t="str">
        <f>"CHEMISTRY 1"</f>
        <v>CHEMISTRY 1</v>
      </c>
      <c r="G12831" t="str">
        <f>"08-812"</f>
        <v>08-812</v>
      </c>
      <c r="H12831" t="str">
        <f>"B"</f>
        <v>B</v>
      </c>
    </row>
    <row r="12832" spans="1:8" x14ac:dyDescent="0.2">
      <c r="A12832" t="str">
        <f t="shared" si="4645"/>
        <v>0615054834</v>
      </c>
      <c r="B12832" t="str">
        <f t="shared" si="4646"/>
        <v>ELIZABETH</v>
      </c>
      <c r="C12832" t="str">
        <f t="shared" si="4644"/>
        <v>PACHECO</v>
      </c>
      <c r="D12832">
        <f>11</f>
        <v>11</v>
      </c>
      <c r="E12832" t="str">
        <f>"05 - B - 001 - Stefanie S Scher"</f>
        <v>05 - B - 001 - Stefanie S Scher</v>
      </c>
      <c r="F12832" t="str">
        <f>"AICE PSYCH 1 AS"</f>
        <v>AICE PSYCH 1 AS</v>
      </c>
      <c r="G12832" t="str">
        <f>"17-1735"</f>
        <v>17-1735</v>
      </c>
      <c r="H12832" t="str">
        <f>"B"</f>
        <v>B</v>
      </c>
    </row>
    <row r="12833" spans="1:8" x14ac:dyDescent="0.2">
      <c r="A12833" t="str">
        <f t="shared" si="4645"/>
        <v>0615054834</v>
      </c>
      <c r="B12833" t="str">
        <f t="shared" si="4646"/>
        <v>ELIZABETH</v>
      </c>
      <c r="C12833" t="str">
        <f t="shared" si="4644"/>
        <v>PACHECO</v>
      </c>
      <c r="D12833">
        <f>11</f>
        <v>11</v>
      </c>
      <c r="E12833" t="str">
        <f>"01 - A - 101 - Brandy N Zdenek"</f>
        <v>01 - A - 101 - Brandy N Zdenek</v>
      </c>
      <c r="F12833" t="str">
        <f>"AICE ENG LANG 2 AL"</f>
        <v>AICE ENG LANG 2 AL</v>
      </c>
      <c r="G12833" t="str">
        <f>"17-1704"</f>
        <v>17-1704</v>
      </c>
      <c r="H12833" t="str">
        <f>"A"</f>
        <v>A</v>
      </c>
    </row>
    <row r="12834" spans="1:8" x14ac:dyDescent="0.2">
      <c r="A12834" t="str">
        <f t="shared" si="4645"/>
        <v>0615054834</v>
      </c>
      <c r="B12834" t="str">
        <f t="shared" si="4646"/>
        <v>ELIZABETH</v>
      </c>
      <c r="C12834" t="str">
        <f t="shared" si="4644"/>
        <v>PACHECO</v>
      </c>
      <c r="D12834">
        <f>11</f>
        <v>11</v>
      </c>
      <c r="E12834" t="str">
        <f>"08 - B - 001 - Jerry S Jiampetti"</f>
        <v>08 - B - 001 - Jerry S Jiampetti</v>
      </c>
      <c r="F12834" t="str">
        <f>"AICE U.S. HIST 1 AS"</f>
        <v>AICE U.S. HIST 1 AS</v>
      </c>
      <c r="G12834" t="str">
        <f>"17-1751"</f>
        <v>17-1751</v>
      </c>
      <c r="H12834" t="str">
        <f>"B"</f>
        <v>B</v>
      </c>
    </row>
    <row r="12835" spans="1:8" x14ac:dyDescent="0.2">
      <c r="A12835" t="str">
        <f t="shared" ref="A12835:A12842" si="4647">"0616161153"</f>
        <v>0616161153</v>
      </c>
      <c r="B12835" t="str">
        <f t="shared" ref="B12835:B12842" si="4648">"CAMILA"</f>
        <v>CAMILA</v>
      </c>
      <c r="C12835" t="str">
        <f t="shared" ref="C12835:C12850" si="4649">"PADRO"</f>
        <v>PADRO</v>
      </c>
      <c r="D12835">
        <f>10</f>
        <v>10</v>
      </c>
      <c r="E12835" t="str">
        <f>"04 - A - 203 - Cheryl L Beach"</f>
        <v>04 - A - 203 - Cheryl L Beach</v>
      </c>
      <c r="F12835" t="str">
        <f>"AICE ENV MGMNT AS"</f>
        <v>AICE ENV MGMNT AS</v>
      </c>
      <c r="G12835" t="str">
        <f>"08-811"</f>
        <v>08-811</v>
      </c>
      <c r="H12835" t="str">
        <f>"A"</f>
        <v>A</v>
      </c>
    </row>
    <row r="12836" spans="1:8" x14ac:dyDescent="0.2">
      <c r="A12836" t="str">
        <f t="shared" si="4647"/>
        <v>0616161153</v>
      </c>
      <c r="B12836" t="str">
        <f t="shared" si="4648"/>
        <v>CAMILA</v>
      </c>
      <c r="C12836" t="str">
        <f t="shared" si="4649"/>
        <v>PADRO</v>
      </c>
      <c r="D12836">
        <f>10</f>
        <v>10</v>
      </c>
      <c r="E12836" t="str">
        <f>"06 - B - 108 - Jacklyn M James"</f>
        <v>06 - B - 108 - Jacklyn M James</v>
      </c>
      <c r="F12836" t="str">
        <f>"NC STUDY HALL 1"</f>
        <v>NC STUDY HALL 1</v>
      </c>
      <c r="G12836" t="str">
        <f>"17-1731"</f>
        <v>17-1731</v>
      </c>
      <c r="H12836" t="str">
        <f>"B"</f>
        <v>B</v>
      </c>
    </row>
    <row r="12837" spans="1:8" x14ac:dyDescent="0.2">
      <c r="A12837" t="str">
        <f t="shared" si="4647"/>
        <v>0616161153</v>
      </c>
      <c r="B12837" t="str">
        <f t="shared" si="4648"/>
        <v>CAMILA</v>
      </c>
      <c r="C12837" t="str">
        <f t="shared" si="4649"/>
        <v>PADRO</v>
      </c>
      <c r="D12837">
        <f>10</f>
        <v>10</v>
      </c>
      <c r="E12837" t="str">
        <f>"03 - A - 104 - Brook E Goren"</f>
        <v>03 - A - 104 - Brook E Goren</v>
      </c>
      <c r="F12837" t="str">
        <f>"ALGEBRA 2 HON"</f>
        <v>ALGEBRA 2 HON</v>
      </c>
      <c r="G12837" t="str">
        <f>"21-2158"</f>
        <v>21-2158</v>
      </c>
      <c r="H12837" t="str">
        <f>"A"</f>
        <v>A</v>
      </c>
    </row>
    <row r="12838" spans="1:8" x14ac:dyDescent="0.2">
      <c r="A12838" t="str">
        <f t="shared" si="4647"/>
        <v>0616161153</v>
      </c>
      <c r="B12838" t="str">
        <f t="shared" si="4648"/>
        <v>CAMILA</v>
      </c>
      <c r="C12838" t="str">
        <f t="shared" si="4649"/>
        <v>PADRO</v>
      </c>
      <c r="D12838">
        <f>10</f>
        <v>10</v>
      </c>
      <c r="E12838" t="str">
        <f>"02 - A - 101 - Brian M Fitzgerald"</f>
        <v>02 - A - 101 - Brian M Fitzgerald</v>
      </c>
      <c r="F12838" t="str">
        <f>"DRAW 1"</f>
        <v>DRAW 1</v>
      </c>
      <c r="G12838" t="str">
        <f>"09-908"</f>
        <v>09-908</v>
      </c>
      <c r="H12838" t="str">
        <f>"A"</f>
        <v>A</v>
      </c>
    </row>
    <row r="12839" spans="1:8" x14ac:dyDescent="0.2">
      <c r="A12839" t="str">
        <f t="shared" si="4647"/>
        <v>0616161153</v>
      </c>
      <c r="B12839" t="str">
        <f t="shared" si="4648"/>
        <v>CAMILA</v>
      </c>
      <c r="C12839" t="str">
        <f t="shared" si="4649"/>
        <v>PADRO</v>
      </c>
      <c r="D12839">
        <f>10</f>
        <v>10</v>
      </c>
      <c r="E12839" t="str">
        <f>"07 - B - 107 - Jacklyn M James"</f>
        <v>07 - B - 107 - Jacklyn M James</v>
      </c>
      <c r="F12839" t="str">
        <f>"AICE ENG LANG AS"</f>
        <v>AICE ENG LANG AS</v>
      </c>
      <c r="G12839" t="str">
        <f>"17-1731"</f>
        <v>17-1731</v>
      </c>
      <c r="H12839" t="str">
        <f>"B"</f>
        <v>B</v>
      </c>
    </row>
    <row r="12840" spans="1:8" x14ac:dyDescent="0.2">
      <c r="A12840" t="str">
        <f t="shared" si="4647"/>
        <v>0616161153</v>
      </c>
      <c r="B12840" t="str">
        <f t="shared" si="4648"/>
        <v>CAMILA</v>
      </c>
      <c r="C12840" t="str">
        <f t="shared" si="4649"/>
        <v>PADRO</v>
      </c>
      <c r="D12840">
        <f>10</f>
        <v>10</v>
      </c>
      <c r="E12840" t="str">
        <f>"05 - B - 001 - Kelly N Panza"</f>
        <v>05 - B - 001 - Kelly N Panza</v>
      </c>
      <c r="F12840" t="str">
        <f>"AICE GLBL PERSP 1 AS"</f>
        <v>AICE GLBL PERSP 1 AS</v>
      </c>
      <c r="G12840" t="str">
        <f>"17-1753"</f>
        <v>17-1753</v>
      </c>
      <c r="H12840" t="str">
        <f>"B"</f>
        <v>B</v>
      </c>
    </row>
    <row r="12841" spans="1:8" x14ac:dyDescent="0.2">
      <c r="A12841" t="str">
        <f t="shared" si="4647"/>
        <v>0616161153</v>
      </c>
      <c r="B12841" t="str">
        <f t="shared" si="4648"/>
        <v>CAMILA</v>
      </c>
      <c r="C12841" t="str">
        <f t="shared" si="4649"/>
        <v>PADRO</v>
      </c>
      <c r="D12841">
        <f>10</f>
        <v>10</v>
      </c>
      <c r="E12841" t="str">
        <f>"01 - A - 101 - Daniel S Tyson"</f>
        <v>01 - A - 101 - Daniel S Tyson</v>
      </c>
      <c r="F12841" t="str">
        <f>"JROTC NAVAL SCI 2"</f>
        <v>JROTC NAVAL SCI 2</v>
      </c>
      <c r="G12841" t="str">
        <f>"05-510"</f>
        <v>05-510</v>
      </c>
      <c r="H12841" t="str">
        <f>"A"</f>
        <v>A</v>
      </c>
    </row>
    <row r="12842" spans="1:8" x14ac:dyDescent="0.2">
      <c r="A12842" t="str">
        <f t="shared" si="4647"/>
        <v>0616161153</v>
      </c>
      <c r="B12842" t="str">
        <f t="shared" si="4648"/>
        <v>CAMILA</v>
      </c>
      <c r="C12842" t="str">
        <f t="shared" si="4649"/>
        <v>PADRO</v>
      </c>
      <c r="D12842">
        <f>10</f>
        <v>10</v>
      </c>
      <c r="E12842" t="str">
        <f>"08 - B - 201 - Lenecy  Nodarse"</f>
        <v>08 - B - 201 - Lenecy  Nodarse</v>
      </c>
      <c r="F12842" t="str">
        <f>"AICE EURO HIST 1 AS"</f>
        <v>AICE EURO HIST 1 AS</v>
      </c>
      <c r="G12842" t="str">
        <f>"17-1741"</f>
        <v>17-1741</v>
      </c>
      <c r="H12842" t="str">
        <f>"B"</f>
        <v>B</v>
      </c>
    </row>
    <row r="12843" spans="1:8" x14ac:dyDescent="0.2">
      <c r="A12843" t="str">
        <f t="shared" ref="A12843:A12850" si="4650">"0623027490"</f>
        <v>0623027490</v>
      </c>
      <c r="B12843" t="str">
        <f t="shared" ref="B12843:B12850" si="4651">"SARA"</f>
        <v>SARA</v>
      </c>
      <c r="C12843" t="str">
        <f t="shared" si="4649"/>
        <v>PADRO</v>
      </c>
      <c r="D12843" t="str">
        <f t="shared" ref="D12843:D12850" si="4652">"09"</f>
        <v>09</v>
      </c>
      <c r="E12843" t="str">
        <f>"04 - A - 102 - Eva T Rimmer"</f>
        <v>04 - A - 102 - Eva T Rimmer</v>
      </c>
      <c r="F12843" t="str">
        <f>"CRIMINAL JUST OPS 1"</f>
        <v>CRIMINAL JUST OPS 1</v>
      </c>
      <c r="G12843" t="str">
        <f>"05-523"</f>
        <v>05-523</v>
      </c>
      <c r="H12843" t="str">
        <f>"A"</f>
        <v>A</v>
      </c>
    </row>
    <row r="12844" spans="1:8" x14ac:dyDescent="0.2">
      <c r="A12844" t="str">
        <f t="shared" si="4650"/>
        <v>0623027490</v>
      </c>
      <c r="B12844" t="str">
        <f t="shared" si="4651"/>
        <v>SARA</v>
      </c>
      <c r="C12844" t="str">
        <f t="shared" si="4649"/>
        <v>PADRO</v>
      </c>
      <c r="D12844" t="str">
        <f t="shared" si="4652"/>
        <v>09</v>
      </c>
      <c r="E12844" t="str">
        <f>"06 - B - 105 - Cerine S Stewart"</f>
        <v>06 - B - 105 - Cerine S Stewart</v>
      </c>
      <c r="F12844" t="str">
        <f>"AICE ENG GEN PAPER 1"</f>
        <v>AICE ENG GEN PAPER 1</v>
      </c>
      <c r="G12844" t="str">
        <f>"17-1720"</f>
        <v>17-1720</v>
      </c>
      <c r="H12844" t="str">
        <f>"B"</f>
        <v>B</v>
      </c>
    </row>
    <row r="12845" spans="1:8" x14ac:dyDescent="0.2">
      <c r="A12845" t="str">
        <f t="shared" si="4650"/>
        <v>0623027490</v>
      </c>
      <c r="B12845" t="str">
        <f t="shared" si="4651"/>
        <v>SARA</v>
      </c>
      <c r="C12845" t="str">
        <f t="shared" si="4649"/>
        <v>PADRO</v>
      </c>
      <c r="D12845" t="str">
        <f t="shared" si="4652"/>
        <v>09</v>
      </c>
      <c r="E12845" t="str">
        <f>"03 - A - 102 - Rory T Sponsler"</f>
        <v>03 - A - 102 - Rory T Sponsler</v>
      </c>
      <c r="F12845" t="str">
        <f>"PRE-AICE WRLD HST IG"</f>
        <v>PRE-AICE WRLD HST IG</v>
      </c>
      <c r="G12845" t="str">
        <f>"17-1740"</f>
        <v>17-1740</v>
      </c>
      <c r="H12845" t="str">
        <f>"A"</f>
        <v>A</v>
      </c>
    </row>
    <row r="12846" spans="1:8" x14ac:dyDescent="0.2">
      <c r="A12846" t="str">
        <f t="shared" si="4650"/>
        <v>0623027490</v>
      </c>
      <c r="B12846" t="str">
        <f t="shared" si="4651"/>
        <v>SARA</v>
      </c>
      <c r="C12846" t="str">
        <f t="shared" si="4649"/>
        <v>PADRO</v>
      </c>
      <c r="D12846" t="str">
        <f t="shared" si="4652"/>
        <v>09</v>
      </c>
      <c r="E12846" t="str">
        <f>"02 - A - 109 - Krystal Marie  Beruty"</f>
        <v>02 - A - 109 - Krystal Marie  Beruty</v>
      </c>
      <c r="F12846" t="str">
        <f>"NC STUDY HALL 1"</f>
        <v>NC STUDY HALL 1</v>
      </c>
      <c r="G12846" t="str">
        <f>"17-1721"</f>
        <v>17-1721</v>
      </c>
      <c r="H12846" t="str">
        <f>"A"</f>
        <v>A</v>
      </c>
    </row>
    <row r="12847" spans="1:8" x14ac:dyDescent="0.2">
      <c r="A12847" t="str">
        <f t="shared" si="4650"/>
        <v>0623027490</v>
      </c>
      <c r="B12847" t="str">
        <f t="shared" si="4651"/>
        <v>SARA</v>
      </c>
      <c r="C12847" t="str">
        <f t="shared" si="4649"/>
        <v>PADRO</v>
      </c>
      <c r="D12847" t="str">
        <f t="shared" si="4652"/>
        <v>09</v>
      </c>
      <c r="E12847" t="str">
        <f>"07 - B - 001 - Maried P Ramos"</f>
        <v>07 - B - 001 - Maried P Ramos</v>
      </c>
      <c r="F12847" t="str">
        <f>"GEOMETRY"</f>
        <v>GEOMETRY</v>
      </c>
      <c r="G12847" t="str">
        <f>"21-2159"</f>
        <v>21-2159</v>
      </c>
      <c r="H12847" t="str">
        <f>"B"</f>
        <v>B</v>
      </c>
    </row>
    <row r="12848" spans="1:8" x14ac:dyDescent="0.2">
      <c r="A12848" t="str">
        <f t="shared" si="4650"/>
        <v>0623027490</v>
      </c>
      <c r="B12848" t="str">
        <f t="shared" si="4651"/>
        <v>SARA</v>
      </c>
      <c r="C12848" t="str">
        <f t="shared" si="4649"/>
        <v>PADRO</v>
      </c>
      <c r="D12848" t="str">
        <f t="shared" si="4652"/>
        <v>09</v>
      </c>
      <c r="E12848" t="str">
        <f>"05 - B - 104 - Daniel S Tyson"</f>
        <v>05 - B - 104 - Daniel S Tyson</v>
      </c>
      <c r="F12848" t="str">
        <f>"JROTC NAVAL SCI 1"</f>
        <v>JROTC NAVAL SCI 1</v>
      </c>
      <c r="G12848" t="str">
        <f>"05-510"</f>
        <v>05-510</v>
      </c>
      <c r="H12848" t="str">
        <f>"B"</f>
        <v>B</v>
      </c>
    </row>
    <row r="12849" spans="1:8" x14ac:dyDescent="0.2">
      <c r="A12849" t="str">
        <f t="shared" si="4650"/>
        <v>0623027490</v>
      </c>
      <c r="B12849" t="str">
        <f t="shared" si="4651"/>
        <v>SARA</v>
      </c>
      <c r="C12849" t="str">
        <f t="shared" si="4649"/>
        <v>PADRO</v>
      </c>
      <c r="D12849" t="str">
        <f t="shared" si="4652"/>
        <v>09</v>
      </c>
      <c r="E12849" t="str">
        <f>"01 - A - 108 - Rosa Elaine  Collado-Duff"</f>
        <v>01 - A - 108 - Rosa Elaine  Collado-Duff</v>
      </c>
      <c r="F12849" t="str">
        <f>"PRE-AICE SPAN 2 IG"</f>
        <v>PRE-AICE SPAN 2 IG</v>
      </c>
      <c r="G12849" t="str">
        <f>"09-913"</f>
        <v>09-913</v>
      </c>
      <c r="H12849" t="str">
        <f>"A"</f>
        <v>A</v>
      </c>
    </row>
    <row r="12850" spans="1:8" x14ac:dyDescent="0.2">
      <c r="A12850" t="str">
        <f t="shared" si="4650"/>
        <v>0623027490</v>
      </c>
      <c r="B12850" t="str">
        <f t="shared" si="4651"/>
        <v>SARA</v>
      </c>
      <c r="C12850" t="str">
        <f t="shared" si="4649"/>
        <v>PADRO</v>
      </c>
      <c r="D12850" t="str">
        <f t="shared" si="4652"/>
        <v>09</v>
      </c>
      <c r="E12850" t="str">
        <f>"08 - B - 102 - Josiah I Lacy"</f>
        <v>08 - B - 102 - Josiah I Lacy</v>
      </c>
      <c r="F12850" t="str">
        <f>"ANAT PHYSIO HON"</f>
        <v>ANAT PHYSIO HON</v>
      </c>
      <c r="G12850" t="str">
        <f>"08-801"</f>
        <v>08-801</v>
      </c>
      <c r="H12850" t="str">
        <f>"B"</f>
        <v>B</v>
      </c>
    </row>
    <row r="12851" spans="1:8" x14ac:dyDescent="0.2">
      <c r="A12851" t="str">
        <f t="shared" ref="A12851:A12858" si="4653">"0625021163"</f>
        <v>0625021163</v>
      </c>
      <c r="B12851" t="str">
        <f t="shared" ref="B12851:B12858" si="4654">"Adrian"</f>
        <v>Adrian</v>
      </c>
      <c r="C12851" t="str">
        <f t="shared" ref="C12851:C12858" si="4655">"Pagan"</f>
        <v>Pagan</v>
      </c>
      <c r="D12851">
        <f>10</f>
        <v>10</v>
      </c>
      <c r="E12851" t="str">
        <f>"04 - A - 105 - Milca  Exantus"</f>
        <v>04 - A - 105 - Milca  Exantus</v>
      </c>
      <c r="F12851" t="str">
        <f>"MATH COLLEGE LIB ART"</f>
        <v>MATH COLLEGE LIB ART</v>
      </c>
      <c r="G12851" t="str">
        <f>"21-2145"</f>
        <v>21-2145</v>
      </c>
      <c r="H12851" t="str">
        <f>"A"</f>
        <v>A</v>
      </c>
    </row>
    <row r="12852" spans="1:8" x14ac:dyDescent="0.2">
      <c r="A12852" t="str">
        <f t="shared" si="4653"/>
        <v>0625021163</v>
      </c>
      <c r="B12852" t="str">
        <f t="shared" si="4654"/>
        <v>Adrian</v>
      </c>
      <c r="C12852" t="str">
        <f t="shared" si="4655"/>
        <v>Pagan</v>
      </c>
      <c r="D12852">
        <f>10</f>
        <v>10</v>
      </c>
      <c r="E12852" t="str">
        <f>"06 - B - 108 - Jacklyn M James"</f>
        <v>06 - B - 108 - Jacklyn M James</v>
      </c>
      <c r="F12852" t="str">
        <f>"NC STUDY HALL 1"</f>
        <v>NC STUDY HALL 1</v>
      </c>
      <c r="G12852" t="str">
        <f>"17-1731"</f>
        <v>17-1731</v>
      </c>
      <c r="H12852" t="str">
        <f>"B"</f>
        <v>B</v>
      </c>
    </row>
    <row r="12853" spans="1:8" x14ac:dyDescent="0.2">
      <c r="A12853" t="str">
        <f t="shared" si="4653"/>
        <v>0625021163</v>
      </c>
      <c r="B12853" t="str">
        <f t="shared" si="4654"/>
        <v>Adrian</v>
      </c>
      <c r="C12853" t="str">
        <f t="shared" si="4655"/>
        <v>Pagan</v>
      </c>
      <c r="D12853">
        <f>10</f>
        <v>10</v>
      </c>
      <c r="E12853" t="str">
        <f>"03 - A - 101 - Brian M Fitzgerald"</f>
        <v>03 - A - 101 - Brian M Fitzgerald</v>
      </c>
      <c r="F12853" t="str">
        <f>"SCULPT 1"</f>
        <v>SCULPT 1</v>
      </c>
      <c r="G12853" t="str">
        <f>"09-908"</f>
        <v>09-908</v>
      </c>
      <c r="H12853" t="str">
        <f>"A"</f>
        <v>A</v>
      </c>
    </row>
    <row r="12854" spans="1:8" x14ac:dyDescent="0.2">
      <c r="A12854" t="str">
        <f t="shared" si="4653"/>
        <v>0625021163</v>
      </c>
      <c r="B12854" t="str">
        <f t="shared" si="4654"/>
        <v>Adrian</v>
      </c>
      <c r="C12854" t="str">
        <f t="shared" si="4655"/>
        <v>Pagan</v>
      </c>
      <c r="D12854">
        <f>10</f>
        <v>10</v>
      </c>
      <c r="E12854" t="str">
        <f>"02 - A - 001 - Alejandro  Navarro"</f>
        <v>02 - A - 001 - Alejandro  Navarro</v>
      </c>
      <c r="F12854" t="str">
        <f>"BAND 1"</f>
        <v>BAND 1</v>
      </c>
      <c r="G12854" t="str">
        <f>"05-504"</f>
        <v>05-504</v>
      </c>
      <c r="H12854" t="str">
        <f>"A"</f>
        <v>A</v>
      </c>
    </row>
    <row r="12855" spans="1:8" x14ac:dyDescent="0.2">
      <c r="A12855" t="str">
        <f t="shared" si="4653"/>
        <v>0625021163</v>
      </c>
      <c r="B12855" t="str">
        <f t="shared" si="4654"/>
        <v>Adrian</v>
      </c>
      <c r="C12855" t="str">
        <f t="shared" si="4655"/>
        <v>Pagan</v>
      </c>
      <c r="D12855">
        <f>10</f>
        <v>10</v>
      </c>
      <c r="E12855" t="str">
        <f>"07 - S1 - B - 102 - Arthur  Kulawik"</f>
        <v>07 - S1 - B - 102 - Arthur  Kulawik</v>
      </c>
      <c r="F12855" t="str">
        <f>"PERS FIN &amp; MON MGT H"</f>
        <v>PERS FIN &amp; MON MGT H</v>
      </c>
      <c r="G12855" t="str">
        <f>"05-506"</f>
        <v>05-506</v>
      </c>
      <c r="H12855" t="str">
        <f>"B"</f>
        <v>B</v>
      </c>
    </row>
    <row r="12856" spans="1:8" x14ac:dyDescent="0.2">
      <c r="A12856" t="str">
        <f t="shared" si="4653"/>
        <v>0625021163</v>
      </c>
      <c r="B12856" t="str">
        <f t="shared" si="4654"/>
        <v>Adrian</v>
      </c>
      <c r="C12856" t="str">
        <f t="shared" si="4655"/>
        <v>Pagan</v>
      </c>
      <c r="D12856">
        <f>10</f>
        <v>10</v>
      </c>
      <c r="E12856" t="str">
        <f>"05 - B - 106 - Jacquelyn M Neeson"</f>
        <v>05 - B - 106 - Jacquelyn M Neeson</v>
      </c>
      <c r="F12856" t="str">
        <f>"ENG 2"</f>
        <v>ENG 2</v>
      </c>
      <c r="G12856" t="str">
        <f>"17-1715"</f>
        <v>17-1715</v>
      </c>
      <c r="H12856" t="str">
        <f>"B"</f>
        <v>B</v>
      </c>
    </row>
    <row r="12857" spans="1:8" x14ac:dyDescent="0.2">
      <c r="A12857" t="str">
        <f t="shared" si="4653"/>
        <v>0625021163</v>
      </c>
      <c r="B12857" t="str">
        <f t="shared" si="4654"/>
        <v>Adrian</v>
      </c>
      <c r="C12857" t="str">
        <f t="shared" si="4655"/>
        <v>Pagan</v>
      </c>
      <c r="D12857">
        <f>10</f>
        <v>10</v>
      </c>
      <c r="E12857" t="str">
        <f>"01 - A - 101 - Angela S Adeshina-Morrison"</f>
        <v>01 - A - 101 - Angela S Adeshina-Morrison</v>
      </c>
      <c r="F12857" t="str">
        <f>"MARKETING ESSENTIALS"</f>
        <v>MARKETING ESSENTIALS</v>
      </c>
      <c r="G12857" t="str">
        <f>"05-518"</f>
        <v>05-518</v>
      </c>
      <c r="H12857" t="str">
        <f>"A"</f>
        <v>A</v>
      </c>
    </row>
    <row r="12858" spans="1:8" x14ac:dyDescent="0.2">
      <c r="A12858" t="str">
        <f t="shared" si="4653"/>
        <v>0625021163</v>
      </c>
      <c r="B12858" t="str">
        <f t="shared" si="4654"/>
        <v>Adrian</v>
      </c>
      <c r="C12858" t="str">
        <f t="shared" si="4655"/>
        <v>Pagan</v>
      </c>
      <c r="D12858">
        <f>10</f>
        <v>10</v>
      </c>
      <c r="E12858" t="str">
        <f>"08 - B - 108 - Paige Lauren  Brochu"</f>
        <v>08 - B - 108 - Paige Lauren  Brochu</v>
      </c>
      <c r="F12858" t="str">
        <f>"BIOLOGY 1"</f>
        <v>BIOLOGY 1</v>
      </c>
      <c r="G12858" t="str">
        <f>"21-2134"</f>
        <v>21-2134</v>
      </c>
      <c r="H12858" t="str">
        <f>"B"</f>
        <v>B</v>
      </c>
    </row>
    <row r="12859" spans="1:8" x14ac:dyDescent="0.2">
      <c r="A12859" t="str">
        <f t="shared" ref="A12859:A12866" si="4656">"0608132354"</f>
        <v>0608132354</v>
      </c>
      <c r="B12859" t="str">
        <f t="shared" ref="B12859:B12866" si="4657">"MARIA"</f>
        <v>MARIA</v>
      </c>
      <c r="C12859" t="str">
        <f t="shared" ref="C12859:C12866" si="4658">"PALACIO"</f>
        <v>PALACIO</v>
      </c>
      <c r="D12859">
        <f>12</f>
        <v>12</v>
      </c>
      <c r="E12859" t="str">
        <f>"04 - S1 - A - 101 - Barbara L Segal"</f>
        <v>04 - S1 - A - 101 - Barbara L Segal</v>
      </c>
      <c r="F12859" t="str">
        <f>"AP US GOVT/POL"</f>
        <v>AP US GOVT/POL</v>
      </c>
      <c r="G12859" t="str">
        <f>"17-1742"</f>
        <v>17-1742</v>
      </c>
      <c r="H12859" t="str">
        <f>"A"</f>
        <v>A</v>
      </c>
    </row>
    <row r="12860" spans="1:8" x14ac:dyDescent="0.2">
      <c r="A12860" t="str">
        <f t="shared" si="4656"/>
        <v>0608132354</v>
      </c>
      <c r="B12860" t="str">
        <f t="shared" si="4657"/>
        <v>MARIA</v>
      </c>
      <c r="C12860" t="str">
        <f t="shared" si="4658"/>
        <v>PALACIO</v>
      </c>
      <c r="D12860">
        <f>12</f>
        <v>12</v>
      </c>
      <c r="E12860" t="str">
        <f>"06 - B - 103 - Stefanie S Scher"</f>
        <v>06 - B - 103 - Stefanie S Scher</v>
      </c>
      <c r="F12860" t="str">
        <f>"NC STUDY HALL 1"</f>
        <v>NC STUDY HALL 1</v>
      </c>
      <c r="G12860" t="str">
        <f>"17-1735"</f>
        <v>17-1735</v>
      </c>
      <c r="H12860" t="str">
        <f>"B"</f>
        <v>B</v>
      </c>
    </row>
    <row r="12861" spans="1:8" x14ac:dyDescent="0.2">
      <c r="A12861" t="str">
        <f t="shared" si="4656"/>
        <v>0608132354</v>
      </c>
      <c r="B12861" t="str">
        <f t="shared" si="4657"/>
        <v>MARIA</v>
      </c>
      <c r="C12861" t="str">
        <f t="shared" si="4658"/>
        <v>PALACIO</v>
      </c>
      <c r="D12861">
        <f>12</f>
        <v>12</v>
      </c>
      <c r="E12861" t="str">
        <f>"03 - A - 101 - Lisa J London"</f>
        <v>03 - A - 101 - Lisa J London</v>
      </c>
      <c r="F12861" t="str">
        <f>"AP CAPSTONE RESEARCH"</f>
        <v>AP CAPSTONE RESEARCH</v>
      </c>
      <c r="G12861" t="str">
        <f>"17-1714"</f>
        <v>17-1714</v>
      </c>
      <c r="H12861" t="str">
        <f>"A"</f>
        <v>A</v>
      </c>
    </row>
    <row r="12862" spans="1:8" x14ac:dyDescent="0.2">
      <c r="A12862" t="str">
        <f t="shared" si="4656"/>
        <v>0608132354</v>
      </c>
      <c r="B12862" t="str">
        <f t="shared" si="4657"/>
        <v>MARIA</v>
      </c>
      <c r="C12862" t="str">
        <f t="shared" si="4658"/>
        <v>PALACIO</v>
      </c>
      <c r="D12862">
        <f>12</f>
        <v>12</v>
      </c>
      <c r="E12862" t="str">
        <f>"02 - A - 102 - Marielle A Witting"</f>
        <v>02 - A - 102 - Marielle A Witting</v>
      </c>
      <c r="F12862" t="str">
        <f>"AP BIO"</f>
        <v>AP BIO</v>
      </c>
      <c r="G12862" t="str">
        <f>"08-805"</f>
        <v>08-805</v>
      </c>
      <c r="H12862" t="str">
        <f>"A"</f>
        <v>A</v>
      </c>
    </row>
    <row r="12863" spans="1:8" x14ac:dyDescent="0.2">
      <c r="A12863" t="str">
        <f t="shared" si="4656"/>
        <v>0608132354</v>
      </c>
      <c r="B12863" t="str">
        <f t="shared" si="4657"/>
        <v>MARIA</v>
      </c>
      <c r="C12863" t="str">
        <f t="shared" si="4658"/>
        <v>PALACIO</v>
      </c>
      <c r="D12863">
        <f>12</f>
        <v>12</v>
      </c>
      <c r="E12863" t="str">
        <f>"07 - B - 102 - Thomas G Handwerg"</f>
        <v>07 - B - 102 - Thomas G Handwerg</v>
      </c>
      <c r="F12863" t="str">
        <f>"PROB STAT W/APPS HON"</f>
        <v>PROB STAT W/APPS HON</v>
      </c>
      <c r="G12863" t="str">
        <f>"21-2146"</f>
        <v>21-2146</v>
      </c>
      <c r="H12863" t="str">
        <f>"B"</f>
        <v>B</v>
      </c>
    </row>
    <row r="12864" spans="1:8" x14ac:dyDescent="0.2">
      <c r="A12864" t="str">
        <f t="shared" si="4656"/>
        <v>0608132354</v>
      </c>
      <c r="B12864" t="str">
        <f t="shared" si="4657"/>
        <v>MARIA</v>
      </c>
      <c r="C12864" t="str">
        <f t="shared" si="4658"/>
        <v>PALACIO</v>
      </c>
      <c r="D12864">
        <f>12</f>
        <v>12</v>
      </c>
      <c r="E12864" t="str">
        <f>"05 - B - 102 - Emmily A Sarmiento"</f>
        <v>05 - B - 102 - Emmily A Sarmiento</v>
      </c>
      <c r="F12864" t="str">
        <f>"LEADER STRATS HONORS"</f>
        <v>LEADER STRATS HONORS</v>
      </c>
      <c r="G12864" t="str">
        <f>"17-1743"</f>
        <v>17-1743</v>
      </c>
      <c r="H12864" t="str">
        <f>"B"</f>
        <v>B</v>
      </c>
    </row>
    <row r="12865" spans="1:8" x14ac:dyDescent="0.2">
      <c r="A12865" t="str">
        <f t="shared" si="4656"/>
        <v>0608132354</v>
      </c>
      <c r="B12865" t="str">
        <f t="shared" si="4657"/>
        <v>MARIA</v>
      </c>
      <c r="C12865" t="str">
        <f t="shared" si="4658"/>
        <v>PALACIO</v>
      </c>
      <c r="D12865">
        <f>12</f>
        <v>12</v>
      </c>
      <c r="E12865" t="str">
        <f>"01 - A - 204 - Tina M Jaramillo"</f>
        <v>01 - A - 204 - Tina M Jaramillo</v>
      </c>
      <c r="F12865" t="str">
        <f>"AP ENG LIT COMPO"</f>
        <v>AP ENG LIT COMPO</v>
      </c>
      <c r="G12865" t="str">
        <f>"17-1706"</f>
        <v>17-1706</v>
      </c>
      <c r="H12865" t="str">
        <f>"A"</f>
        <v>A</v>
      </c>
    </row>
    <row r="12866" spans="1:8" x14ac:dyDescent="0.2">
      <c r="A12866" t="str">
        <f t="shared" si="4656"/>
        <v>0608132354</v>
      </c>
      <c r="B12866" t="str">
        <f t="shared" si="4657"/>
        <v>MARIA</v>
      </c>
      <c r="C12866" t="str">
        <f t="shared" si="4658"/>
        <v>PALACIO</v>
      </c>
      <c r="D12866">
        <f>12</f>
        <v>12</v>
      </c>
      <c r="E12866" t="str">
        <f>"08 - B - 101 - Rosa Elaine  Collado-Duff"</f>
        <v>08 - B - 101 - Rosa Elaine  Collado-Duff</v>
      </c>
      <c r="F12866" t="str">
        <f>"AP SPANISH LANG &amp; CU"</f>
        <v>AP SPANISH LANG &amp; CU</v>
      </c>
      <c r="G12866" t="str">
        <f>"09-913"</f>
        <v>09-913</v>
      </c>
      <c r="H12866" t="str">
        <f>"B"</f>
        <v>B</v>
      </c>
    </row>
    <row r="12867" spans="1:8" x14ac:dyDescent="0.2">
      <c r="A12867" t="str">
        <f t="shared" ref="A12867:A12874" si="4659">"0623098923"</f>
        <v>0623098923</v>
      </c>
      <c r="B12867" t="str">
        <f t="shared" ref="B12867:B12874" si="4660">"KENNIEL"</f>
        <v>KENNIEL</v>
      </c>
      <c r="C12867" t="str">
        <f t="shared" ref="C12867:C12874" si="4661">"PALMER"</f>
        <v>PALMER</v>
      </c>
      <c r="D12867" t="str">
        <f t="shared" ref="D12867:D12874" si="4662">"09"</f>
        <v>09</v>
      </c>
      <c r="E12867" t="str">
        <f>"04 - A - 104 - Marius D Orsolini"</f>
        <v>04 - A - 104 - Marius D Orsolini</v>
      </c>
      <c r="F12867" t="str">
        <f>"CULINARY ARTS 1"</f>
        <v>CULINARY ARTS 1</v>
      </c>
      <c r="G12867" t="str">
        <f>"21-2115"</f>
        <v>21-2115</v>
      </c>
      <c r="H12867" t="str">
        <f>"A"</f>
        <v>A</v>
      </c>
    </row>
    <row r="12868" spans="1:8" x14ac:dyDescent="0.2">
      <c r="A12868" t="str">
        <f t="shared" si="4659"/>
        <v>0623098923</v>
      </c>
      <c r="B12868" t="str">
        <f t="shared" si="4660"/>
        <v>KENNIEL</v>
      </c>
      <c r="C12868" t="str">
        <f t="shared" si="4661"/>
        <v>PALMER</v>
      </c>
      <c r="D12868" t="str">
        <f t="shared" si="4662"/>
        <v>09</v>
      </c>
      <c r="E12868" t="str">
        <f>"06 - B - 106 - Adam Marcus  Drucker"</f>
        <v>06 - B - 106 - Adam Marcus  Drucker</v>
      </c>
      <c r="F12868" t="str">
        <f>"HOPE-PE V"</f>
        <v>HOPE-PE V</v>
      </c>
      <c r="G12868" t="str">
        <f>"04-254"</f>
        <v>04-254</v>
      </c>
      <c r="H12868" t="str">
        <f>"B"</f>
        <v>B</v>
      </c>
    </row>
    <row r="12869" spans="1:8" x14ac:dyDescent="0.2">
      <c r="A12869" t="str">
        <f t="shared" si="4659"/>
        <v>0623098923</v>
      </c>
      <c r="B12869" t="str">
        <f t="shared" si="4660"/>
        <v>KENNIEL</v>
      </c>
      <c r="C12869" t="str">
        <f t="shared" si="4661"/>
        <v>PALMER</v>
      </c>
      <c r="D12869" t="str">
        <f t="shared" si="4662"/>
        <v>09</v>
      </c>
      <c r="E12869" t="str">
        <f>"03 - A - 203 - Elizabeth R Walker"</f>
        <v>03 - A - 203 - Elizabeth R Walker</v>
      </c>
      <c r="F12869" t="str">
        <f>"AICE ENG GEN PAPER 1"</f>
        <v>AICE ENG GEN PAPER 1</v>
      </c>
      <c r="G12869" t="str">
        <f>"17-1703"</f>
        <v>17-1703</v>
      </c>
      <c r="H12869" t="str">
        <f>"A"</f>
        <v>A</v>
      </c>
    </row>
    <row r="12870" spans="1:8" x14ac:dyDescent="0.2">
      <c r="A12870" t="str">
        <f t="shared" si="4659"/>
        <v>0623098923</v>
      </c>
      <c r="B12870" t="str">
        <f t="shared" si="4660"/>
        <v>KENNIEL</v>
      </c>
      <c r="C12870" t="str">
        <f t="shared" si="4661"/>
        <v>PALMER</v>
      </c>
      <c r="D12870" t="str">
        <f t="shared" si="4662"/>
        <v>09</v>
      </c>
      <c r="E12870" t="str">
        <f>"02 - A - 114 - Laselleda D Shaw"</f>
        <v>02 - A - 114 - Laselleda D Shaw</v>
      </c>
      <c r="F12870" t="str">
        <f>"NC STUDY HALL 1"</f>
        <v>NC STUDY HALL 1</v>
      </c>
      <c r="G12870" t="str">
        <f>"17-1723"</f>
        <v>17-1723</v>
      </c>
      <c r="H12870" t="str">
        <f>"A"</f>
        <v>A</v>
      </c>
    </row>
    <row r="12871" spans="1:8" x14ac:dyDescent="0.2">
      <c r="A12871" t="str">
        <f t="shared" si="4659"/>
        <v>0623098923</v>
      </c>
      <c r="B12871" t="str">
        <f t="shared" si="4660"/>
        <v>KENNIEL</v>
      </c>
      <c r="C12871" t="str">
        <f t="shared" si="4661"/>
        <v>PALMER</v>
      </c>
      <c r="D12871" t="str">
        <f t="shared" si="4662"/>
        <v>09</v>
      </c>
      <c r="E12871" t="str">
        <f>"07 - B - 001 - Carol S Moore"</f>
        <v>07 - B - 001 - Carol S Moore</v>
      </c>
      <c r="F12871" t="str">
        <f>"PRE-AICE WRLD HST IG"</f>
        <v>PRE-AICE WRLD HST IG</v>
      </c>
      <c r="G12871" t="str">
        <f>"17-1733"</f>
        <v>17-1733</v>
      </c>
      <c r="H12871" t="str">
        <f>"B"</f>
        <v>B</v>
      </c>
    </row>
    <row r="12872" spans="1:8" x14ac:dyDescent="0.2">
      <c r="A12872" t="str">
        <f t="shared" si="4659"/>
        <v>0623098923</v>
      </c>
      <c r="B12872" t="str">
        <f t="shared" si="4660"/>
        <v>KENNIEL</v>
      </c>
      <c r="C12872" t="str">
        <f t="shared" si="4661"/>
        <v>PALMER</v>
      </c>
      <c r="D12872" t="str">
        <f t="shared" si="4662"/>
        <v>09</v>
      </c>
      <c r="E12872" t="str">
        <f>"05 - B - 103 - Josiah I Lacy"</f>
        <v>05 - B - 103 - Josiah I Lacy</v>
      </c>
      <c r="F12872" t="str">
        <f>"PRE-AICE BIO IG"</f>
        <v>PRE-AICE BIO IG</v>
      </c>
      <c r="G12872" t="str">
        <f>"08-801"</f>
        <v>08-801</v>
      </c>
      <c r="H12872" t="str">
        <f>"B"</f>
        <v>B</v>
      </c>
    </row>
    <row r="12873" spans="1:8" x14ac:dyDescent="0.2">
      <c r="A12873" t="str">
        <f t="shared" si="4659"/>
        <v>0623098923</v>
      </c>
      <c r="B12873" t="str">
        <f t="shared" si="4660"/>
        <v>KENNIEL</v>
      </c>
      <c r="C12873" t="str">
        <f t="shared" si="4661"/>
        <v>PALMER</v>
      </c>
      <c r="D12873" t="str">
        <f t="shared" si="4662"/>
        <v>09</v>
      </c>
      <c r="E12873" t="str">
        <f>"01 - A - 101 - Nikiel  Nesbeth"</f>
        <v>01 - A - 101 - Nikiel  Nesbeth</v>
      </c>
      <c r="F12873" t="str">
        <f>"CONST LAW HON"</f>
        <v>CONST LAW HON</v>
      </c>
      <c r="G12873" t="str">
        <f>"17-1705"</f>
        <v>17-1705</v>
      </c>
      <c r="H12873" t="str">
        <f>"A"</f>
        <v>A</v>
      </c>
    </row>
    <row r="12874" spans="1:8" x14ac:dyDescent="0.2">
      <c r="A12874" t="str">
        <f t="shared" si="4659"/>
        <v>0623098923</v>
      </c>
      <c r="B12874" t="str">
        <f t="shared" si="4660"/>
        <v>KENNIEL</v>
      </c>
      <c r="C12874" t="str">
        <f t="shared" si="4661"/>
        <v>PALMER</v>
      </c>
      <c r="D12874" t="str">
        <f t="shared" si="4662"/>
        <v>09</v>
      </c>
      <c r="E12874" t="str">
        <f>"08 - B - 107 - Brook E Goren"</f>
        <v>08 - B - 107 - Brook E Goren</v>
      </c>
      <c r="F12874" t="str">
        <f>"GEOMETRY"</f>
        <v>GEOMETRY</v>
      </c>
      <c r="G12874" t="str">
        <f>"21-2158"</f>
        <v>21-2158</v>
      </c>
      <c r="H12874" t="str">
        <f>"B"</f>
        <v>B</v>
      </c>
    </row>
    <row r="12875" spans="1:8" x14ac:dyDescent="0.2">
      <c r="A12875" t="str">
        <f t="shared" ref="A12875:A12882" si="4663">"0622075706"</f>
        <v>0622075706</v>
      </c>
      <c r="B12875" t="str">
        <f t="shared" ref="B12875:B12882" si="4664">"JAMARCUS"</f>
        <v>JAMARCUS</v>
      </c>
      <c r="C12875" t="str">
        <f t="shared" ref="C12875:C12882" si="4665">"PANNELL"</f>
        <v>PANNELL</v>
      </c>
      <c r="D12875">
        <f>10</f>
        <v>10</v>
      </c>
      <c r="E12875" t="str">
        <f>"04 - A - 102 - Jordana K Hass"</f>
        <v>04 - A - 102 - Jordana K Hass</v>
      </c>
      <c r="F12875" t="str">
        <f>"CHEMISTRY 1"</f>
        <v>CHEMISTRY 1</v>
      </c>
      <c r="G12875" t="str">
        <f>"08-807"</f>
        <v>08-807</v>
      </c>
      <c r="H12875" t="str">
        <f>"A"</f>
        <v>A</v>
      </c>
    </row>
    <row r="12876" spans="1:8" x14ac:dyDescent="0.2">
      <c r="A12876" t="str">
        <f t="shared" si="4663"/>
        <v>0622075706</v>
      </c>
      <c r="B12876" t="str">
        <f t="shared" si="4664"/>
        <v>JAMARCUS</v>
      </c>
      <c r="C12876" t="str">
        <f t="shared" si="4665"/>
        <v>PANNELL</v>
      </c>
      <c r="D12876">
        <f>10</f>
        <v>10</v>
      </c>
      <c r="E12876" t="str">
        <f>"06 - B - 119 - Nikiel  Nesbeth"</f>
        <v>06 - B - 119 - Nikiel  Nesbeth</v>
      </c>
      <c r="F12876" t="str">
        <f>"NC STUDY HALL 1"</f>
        <v>NC STUDY HALL 1</v>
      </c>
      <c r="G12876" t="str">
        <f>"17-1705"</f>
        <v>17-1705</v>
      </c>
      <c r="H12876" t="str">
        <f>"B"</f>
        <v>B</v>
      </c>
    </row>
    <row r="12877" spans="1:8" x14ac:dyDescent="0.2">
      <c r="A12877" t="str">
        <f t="shared" si="4663"/>
        <v>0622075706</v>
      </c>
      <c r="B12877" t="str">
        <f t="shared" si="4664"/>
        <v>JAMARCUS</v>
      </c>
      <c r="C12877" t="str">
        <f t="shared" si="4665"/>
        <v>PANNELL</v>
      </c>
      <c r="D12877">
        <f>10</f>
        <v>10</v>
      </c>
      <c r="E12877" t="str">
        <f>"03 - A - 201 - Alejandro  Navarro"</f>
        <v>03 - A - 201 - Alejandro  Navarro</v>
      </c>
      <c r="F12877" t="str">
        <f>"BAND 2"</f>
        <v>BAND 2</v>
      </c>
      <c r="G12877" t="str">
        <f>"05-504"</f>
        <v>05-504</v>
      </c>
      <c r="H12877" t="str">
        <f>"A"</f>
        <v>A</v>
      </c>
    </row>
    <row r="12878" spans="1:8" x14ac:dyDescent="0.2">
      <c r="A12878" t="str">
        <f t="shared" si="4663"/>
        <v>0622075706</v>
      </c>
      <c r="B12878" t="str">
        <f t="shared" si="4664"/>
        <v>JAMARCUS</v>
      </c>
      <c r="C12878" t="str">
        <f t="shared" si="4665"/>
        <v>PANNELL</v>
      </c>
      <c r="D12878">
        <f>10</f>
        <v>10</v>
      </c>
      <c r="E12878" t="str">
        <f>"02 - A - 102 - Vanessa J Liburd"</f>
        <v>02 - A - 102 - Vanessa J Liburd</v>
      </c>
      <c r="F12878" t="str">
        <f>"PRE-AICE FRENCH 2 IG"</f>
        <v>PRE-AICE FRENCH 2 IG</v>
      </c>
      <c r="G12878" t="str">
        <f>"05-519"</f>
        <v>05-519</v>
      </c>
      <c r="H12878" t="str">
        <f>"A"</f>
        <v>A</v>
      </c>
    </row>
    <row r="12879" spans="1:8" x14ac:dyDescent="0.2">
      <c r="A12879" t="str">
        <f t="shared" si="4663"/>
        <v>0622075706</v>
      </c>
      <c r="B12879" t="str">
        <f t="shared" si="4664"/>
        <v>JAMARCUS</v>
      </c>
      <c r="C12879" t="str">
        <f t="shared" si="4665"/>
        <v>PANNELL</v>
      </c>
      <c r="D12879">
        <f>10</f>
        <v>10</v>
      </c>
      <c r="E12879" t="str">
        <f>"07 - B - 106 - James H Mccann"</f>
        <v>07 - B - 106 - James H Mccann</v>
      </c>
      <c r="F12879" t="str">
        <f>"ALGEBRA 2"</f>
        <v>ALGEBRA 2</v>
      </c>
      <c r="G12879" t="str">
        <f>"17-1716"</f>
        <v>17-1716</v>
      </c>
      <c r="H12879" t="str">
        <f>"B"</f>
        <v>B</v>
      </c>
    </row>
    <row r="12880" spans="1:8" x14ac:dyDescent="0.2">
      <c r="A12880" t="str">
        <f t="shared" si="4663"/>
        <v>0622075706</v>
      </c>
      <c r="B12880" t="str">
        <f t="shared" si="4664"/>
        <v>JAMARCUS</v>
      </c>
      <c r="C12880" t="str">
        <f t="shared" si="4665"/>
        <v>PANNELL</v>
      </c>
      <c r="D12880">
        <f>10</f>
        <v>10</v>
      </c>
      <c r="E12880" t="str">
        <f>"05 - B - 203 - Chrystina M Marchionne"</f>
        <v>05 - B - 203 - Chrystina M Marchionne</v>
      </c>
      <c r="F12880" t="str">
        <f>"AICE MEDIASTUDIES AS"</f>
        <v>AICE MEDIASTUDIES AS</v>
      </c>
      <c r="G12880" t="str">
        <f>"05-520"</f>
        <v>05-520</v>
      </c>
      <c r="H12880" t="str">
        <f>"B"</f>
        <v>B</v>
      </c>
    </row>
    <row r="12881" spans="1:8" x14ac:dyDescent="0.2">
      <c r="A12881" t="str">
        <f t="shared" si="4663"/>
        <v>0622075706</v>
      </c>
      <c r="B12881" t="str">
        <f t="shared" si="4664"/>
        <v>JAMARCUS</v>
      </c>
      <c r="C12881" t="str">
        <f t="shared" si="4665"/>
        <v>PANNELL</v>
      </c>
      <c r="D12881">
        <f>10</f>
        <v>10</v>
      </c>
      <c r="E12881" t="str">
        <f>"01 - A - 001 - Lenecy  Nodarse"</f>
        <v>01 - A - 001 - Lenecy  Nodarse</v>
      </c>
      <c r="F12881" t="str">
        <f>"AICE EURO HIST 1 AS"</f>
        <v>AICE EURO HIST 1 AS</v>
      </c>
      <c r="G12881" t="str">
        <f>"17-1741"</f>
        <v>17-1741</v>
      </c>
      <c r="H12881" t="str">
        <f>"A"</f>
        <v>A</v>
      </c>
    </row>
    <row r="12882" spans="1:8" x14ac:dyDescent="0.2">
      <c r="A12882" t="str">
        <f t="shared" si="4663"/>
        <v>0622075706</v>
      </c>
      <c r="B12882" t="str">
        <f t="shared" si="4664"/>
        <v>JAMARCUS</v>
      </c>
      <c r="C12882" t="str">
        <f t="shared" si="4665"/>
        <v>PANNELL</v>
      </c>
      <c r="D12882">
        <f>10</f>
        <v>10</v>
      </c>
      <c r="E12882" t="str">
        <f>"08 - B - 001 - Jacklyn M James"</f>
        <v>08 - B - 001 - Jacklyn M James</v>
      </c>
      <c r="F12882" t="str">
        <f>"AICE ENG LANG AS"</f>
        <v>AICE ENG LANG AS</v>
      </c>
      <c r="G12882" t="str">
        <f>"17-1731"</f>
        <v>17-1731</v>
      </c>
      <c r="H12882" t="str">
        <f>"B"</f>
        <v>B</v>
      </c>
    </row>
    <row r="12883" spans="1:8" x14ac:dyDescent="0.2">
      <c r="A12883" t="str">
        <f t="shared" ref="A12883:A12890" si="4666">"0621117677"</f>
        <v>0621117677</v>
      </c>
      <c r="B12883" t="str">
        <f t="shared" ref="B12883:B12890" si="4667">"BIANCA"</f>
        <v>BIANCA</v>
      </c>
      <c r="C12883" t="str">
        <f t="shared" ref="C12883:C12890" si="4668">"PANZELLA"</f>
        <v>PANZELLA</v>
      </c>
      <c r="D12883">
        <f>11</f>
        <v>11</v>
      </c>
      <c r="E12883" t="str">
        <f>"04 - A - 103 - Lourivaldo  Da Silva"</f>
        <v>04 - A - 103 - Lourivaldo  Da Silva</v>
      </c>
      <c r="F12883" t="str">
        <f>"PRE-CALCULUS HON"</f>
        <v>PRE-CALCULUS HON</v>
      </c>
      <c r="G12883" t="str">
        <f>"20-2079"</f>
        <v>20-2079</v>
      </c>
      <c r="H12883" t="str">
        <f>"A"</f>
        <v>A</v>
      </c>
    </row>
    <row r="12884" spans="1:8" x14ac:dyDescent="0.2">
      <c r="A12884" t="str">
        <f t="shared" si="4666"/>
        <v>0621117677</v>
      </c>
      <c r="B12884" t="str">
        <f t="shared" si="4667"/>
        <v>BIANCA</v>
      </c>
      <c r="C12884" t="str">
        <f t="shared" si="4668"/>
        <v>PANZELLA</v>
      </c>
      <c r="D12884">
        <f>11</f>
        <v>11</v>
      </c>
      <c r="E12884" t="str">
        <f>"06 - B - 102 - Rosa Elaine  Collado-Duff"</f>
        <v>06 - B - 102 - Rosa Elaine  Collado-Duff</v>
      </c>
      <c r="F12884" t="str">
        <f>"SPANISH 3 HON"</f>
        <v>SPANISH 3 HON</v>
      </c>
      <c r="G12884" t="str">
        <f>"09-913"</f>
        <v>09-913</v>
      </c>
      <c r="H12884" t="str">
        <f>"B"</f>
        <v>B</v>
      </c>
    </row>
    <row r="12885" spans="1:8" x14ac:dyDescent="0.2">
      <c r="A12885" t="str">
        <f t="shared" si="4666"/>
        <v>0621117677</v>
      </c>
      <c r="B12885" t="str">
        <f t="shared" si="4667"/>
        <v>BIANCA</v>
      </c>
      <c r="C12885" t="str">
        <f t="shared" si="4668"/>
        <v>PANZELLA</v>
      </c>
      <c r="D12885">
        <f>11</f>
        <v>11</v>
      </c>
      <c r="E12885" t="str">
        <f>"03 - A - 102 - Tina M Jaramillo"</f>
        <v>03 - A - 102 - Tina M Jaramillo</v>
      </c>
      <c r="F12885" t="str">
        <f>"AP ENG COMPO"</f>
        <v>AP ENG COMPO</v>
      </c>
      <c r="G12885" t="str">
        <f>"17-1706"</f>
        <v>17-1706</v>
      </c>
      <c r="H12885" t="str">
        <f>"A"</f>
        <v>A</v>
      </c>
    </row>
    <row r="12886" spans="1:8" x14ac:dyDescent="0.2">
      <c r="A12886" t="str">
        <f t="shared" si="4666"/>
        <v>0621117677</v>
      </c>
      <c r="B12886" t="str">
        <f t="shared" si="4667"/>
        <v>BIANCA</v>
      </c>
      <c r="C12886" t="str">
        <f t="shared" si="4668"/>
        <v>PANZELLA</v>
      </c>
      <c r="D12886">
        <f>11</f>
        <v>11</v>
      </c>
      <c r="E12886" t="str">
        <f>"02 - A - 101 - Milca  Exantus"</f>
        <v>02 - A - 101 - Milca  Exantus</v>
      </c>
      <c r="F12886" t="str">
        <f>"NC STUDY HALL 1"</f>
        <v>NC STUDY HALL 1</v>
      </c>
      <c r="G12886" t="str">
        <f>"21-2145"</f>
        <v>21-2145</v>
      </c>
      <c r="H12886" t="str">
        <f>"A"</f>
        <v>A</v>
      </c>
    </row>
    <row r="12887" spans="1:8" x14ac:dyDescent="0.2">
      <c r="A12887" t="str">
        <f t="shared" si="4666"/>
        <v>0621117677</v>
      </c>
      <c r="B12887" t="str">
        <f t="shared" si="4667"/>
        <v>BIANCA</v>
      </c>
      <c r="C12887" t="str">
        <f t="shared" si="4668"/>
        <v>PANZELLA</v>
      </c>
      <c r="D12887">
        <f>11</f>
        <v>11</v>
      </c>
      <c r="E12887" t="str">
        <f>"07 - B - 204 - Stefanie S Scher"</f>
        <v>07 - B - 204 - Stefanie S Scher</v>
      </c>
      <c r="F12887" t="str">
        <f>"AP PSYCH"</f>
        <v>AP PSYCH</v>
      </c>
      <c r="G12887" t="str">
        <f>"17-1735"</f>
        <v>17-1735</v>
      </c>
      <c r="H12887" t="str">
        <f>"B"</f>
        <v>B</v>
      </c>
    </row>
    <row r="12888" spans="1:8" x14ac:dyDescent="0.2">
      <c r="A12888" t="str">
        <f t="shared" si="4666"/>
        <v>0621117677</v>
      </c>
      <c r="B12888" t="str">
        <f t="shared" si="4667"/>
        <v>BIANCA</v>
      </c>
      <c r="C12888" t="str">
        <f t="shared" si="4668"/>
        <v>PANZELLA</v>
      </c>
      <c r="D12888">
        <f>11</f>
        <v>11</v>
      </c>
      <c r="E12888" t="str">
        <f>"05 - B - 102 - Jerry S Jiampetti"</f>
        <v>05 - B - 102 - Jerry S Jiampetti</v>
      </c>
      <c r="F12888" t="str">
        <f>"AICE U.S. HIST 1 AS"</f>
        <v>AICE U.S. HIST 1 AS</v>
      </c>
      <c r="G12888" t="str">
        <f>"17-1751"</f>
        <v>17-1751</v>
      </c>
      <c r="H12888" t="str">
        <f>"B"</f>
        <v>B</v>
      </c>
    </row>
    <row r="12889" spans="1:8" x14ac:dyDescent="0.2">
      <c r="A12889" t="str">
        <f t="shared" si="4666"/>
        <v>0621117677</v>
      </c>
      <c r="B12889" t="str">
        <f t="shared" si="4667"/>
        <v>BIANCA</v>
      </c>
      <c r="C12889" t="str">
        <f t="shared" si="4668"/>
        <v>PANZELLA</v>
      </c>
      <c r="D12889">
        <f>11</f>
        <v>11</v>
      </c>
      <c r="E12889" t="str">
        <f>"01 - A - 201 - Chrystina M Marchionne"</f>
        <v>01 - A - 201 - Chrystina M Marchionne</v>
      </c>
      <c r="F12889" t="str">
        <f>"AICE MEDIASTUDIES AS"</f>
        <v>AICE MEDIASTUDIES AS</v>
      </c>
      <c r="G12889" t="str">
        <f>"05-520"</f>
        <v>05-520</v>
      </c>
      <c r="H12889" t="str">
        <f>"A"</f>
        <v>A</v>
      </c>
    </row>
    <row r="12890" spans="1:8" x14ac:dyDescent="0.2">
      <c r="A12890" t="str">
        <f t="shared" si="4666"/>
        <v>0621117677</v>
      </c>
      <c r="B12890" t="str">
        <f t="shared" si="4667"/>
        <v>BIANCA</v>
      </c>
      <c r="C12890" t="str">
        <f t="shared" si="4668"/>
        <v>PANZELLA</v>
      </c>
      <c r="D12890">
        <f>11</f>
        <v>11</v>
      </c>
      <c r="E12890" t="str">
        <f>"08 - B - 102 - Jacqueline R Morphet"</f>
        <v>08 - B - 102 - Jacqueline R Morphet</v>
      </c>
      <c r="F12890" t="str">
        <f>"AP PHYSICS 1"</f>
        <v>AP PHYSICS 1</v>
      </c>
      <c r="G12890" t="str">
        <f>"21-2138"</f>
        <v>21-2138</v>
      </c>
      <c r="H12890" t="str">
        <f>"B"</f>
        <v>B</v>
      </c>
    </row>
    <row r="12891" spans="1:8" x14ac:dyDescent="0.2">
      <c r="A12891" t="str">
        <f t="shared" ref="A12891:A12899" si="4669">"0620038316"</f>
        <v>0620038316</v>
      </c>
      <c r="B12891" t="str">
        <f t="shared" ref="B12891:B12899" si="4670">"APORUPA"</f>
        <v>APORUPA</v>
      </c>
      <c r="C12891" t="str">
        <f t="shared" ref="C12891:C12899" si="4671">"PAPRY"</f>
        <v>PAPRY</v>
      </c>
      <c r="D12891">
        <f>11</f>
        <v>11</v>
      </c>
      <c r="E12891" t="str">
        <f>"19 - S1 - MTWHF - UF - Instructor UF"</f>
        <v>19 - S1 - MTWHF - UF - Instructor UF</v>
      </c>
      <c r="F12891" t="str">
        <f>"MUSIC APPRECIATION"</f>
        <v>MUSIC APPRECIATION</v>
      </c>
      <c r="G12891" t="str">
        <f>"60-DE"</f>
        <v>60-DE</v>
      </c>
      <c r="H12891" t="str">
        <f>"-"</f>
        <v>-</v>
      </c>
    </row>
    <row r="12892" spans="1:8" x14ac:dyDescent="0.2">
      <c r="A12892" t="str">
        <f t="shared" si="4669"/>
        <v>0620038316</v>
      </c>
      <c r="B12892" t="str">
        <f t="shared" si="4670"/>
        <v>APORUPA</v>
      </c>
      <c r="C12892" t="str">
        <f t="shared" si="4671"/>
        <v>PAPRY</v>
      </c>
      <c r="D12892">
        <f>11</f>
        <v>11</v>
      </c>
      <c r="E12892" t="str">
        <f>"04 - A - 101 - Stephen T Ripp"</f>
        <v>04 - A - 101 - Stephen T Ripp</v>
      </c>
      <c r="F12892" t="str">
        <f>"AP U.S. HIST"</f>
        <v>AP U.S. HIST</v>
      </c>
      <c r="G12892" t="str">
        <f>"17-1744"</f>
        <v>17-1744</v>
      </c>
      <c r="H12892" t="str">
        <f>"A"</f>
        <v>A</v>
      </c>
    </row>
    <row r="12893" spans="1:8" x14ac:dyDescent="0.2">
      <c r="A12893" t="str">
        <f t="shared" si="4669"/>
        <v>0620038316</v>
      </c>
      <c r="B12893" t="str">
        <f t="shared" si="4670"/>
        <v>APORUPA</v>
      </c>
      <c r="C12893" t="str">
        <f t="shared" si="4671"/>
        <v>PAPRY</v>
      </c>
      <c r="D12893">
        <f>11</f>
        <v>11</v>
      </c>
      <c r="E12893" t="str">
        <f>"06 - B - 001 - Lourivaldo  Da Silva"</f>
        <v>06 - B - 001 - Lourivaldo  Da Silva</v>
      </c>
      <c r="F12893" t="str">
        <f>"PRE-CALCULUS HON"</f>
        <v>PRE-CALCULUS HON</v>
      </c>
      <c r="G12893" t="str">
        <f>"20-2079"</f>
        <v>20-2079</v>
      </c>
      <c r="H12893" t="str">
        <f>"B"</f>
        <v>B</v>
      </c>
    </row>
    <row r="12894" spans="1:8" x14ac:dyDescent="0.2">
      <c r="A12894" t="str">
        <f t="shared" si="4669"/>
        <v>0620038316</v>
      </c>
      <c r="B12894" t="str">
        <f t="shared" si="4670"/>
        <v>APORUPA</v>
      </c>
      <c r="C12894" t="str">
        <f t="shared" si="4671"/>
        <v>PAPRY</v>
      </c>
      <c r="D12894">
        <f>11</f>
        <v>11</v>
      </c>
      <c r="E12894" t="str">
        <f>"03 - A - 203 - Stefanie S Scher"</f>
        <v>03 - A - 203 - Stefanie S Scher</v>
      </c>
      <c r="F12894" t="str">
        <f>"AP PSYCH"</f>
        <v>AP PSYCH</v>
      </c>
      <c r="G12894" t="str">
        <f>"17-1735"</f>
        <v>17-1735</v>
      </c>
      <c r="H12894" t="str">
        <f>"A"</f>
        <v>A</v>
      </c>
    </row>
    <row r="12895" spans="1:8" x14ac:dyDescent="0.2">
      <c r="A12895" t="str">
        <f t="shared" si="4669"/>
        <v>0620038316</v>
      </c>
      <c r="B12895" t="str">
        <f t="shared" si="4670"/>
        <v>APORUPA</v>
      </c>
      <c r="C12895" t="str">
        <f t="shared" si="4671"/>
        <v>PAPRY</v>
      </c>
      <c r="D12895">
        <f>11</f>
        <v>11</v>
      </c>
      <c r="E12895" t="str">
        <f>"02 - A - 101 - Timothy J Lawrence"</f>
        <v>02 - A - 101 - Timothy J Lawrence</v>
      </c>
      <c r="F12895" t="str">
        <f>"NC STUDY HALL 1"</f>
        <v>NC STUDY HALL 1</v>
      </c>
      <c r="G12895" t="str">
        <f>"05-522"</f>
        <v>05-522</v>
      </c>
      <c r="H12895" t="str">
        <f>"A"</f>
        <v>A</v>
      </c>
    </row>
    <row r="12896" spans="1:8" x14ac:dyDescent="0.2">
      <c r="A12896" t="str">
        <f t="shared" si="4669"/>
        <v>0620038316</v>
      </c>
      <c r="B12896" t="str">
        <f t="shared" si="4670"/>
        <v>APORUPA</v>
      </c>
      <c r="C12896" t="str">
        <f t="shared" si="4671"/>
        <v>PAPRY</v>
      </c>
      <c r="D12896">
        <f>11</f>
        <v>11</v>
      </c>
      <c r="E12896" t="str">
        <f>"07 - B - 103 - Lisa J London"</f>
        <v>07 - B - 103 - Lisa J London</v>
      </c>
      <c r="F12896" t="str">
        <f>"AP CAPSTONE SEMINAR"</f>
        <v>AP CAPSTONE SEMINAR</v>
      </c>
      <c r="G12896" t="str">
        <f>"17-1714"</f>
        <v>17-1714</v>
      </c>
      <c r="H12896" t="str">
        <f>"B"</f>
        <v>B</v>
      </c>
    </row>
    <row r="12897" spans="1:8" x14ac:dyDescent="0.2">
      <c r="A12897" t="str">
        <f t="shared" si="4669"/>
        <v>0620038316</v>
      </c>
      <c r="B12897" t="str">
        <f t="shared" si="4670"/>
        <v>APORUPA</v>
      </c>
      <c r="C12897" t="str">
        <f t="shared" si="4671"/>
        <v>PAPRY</v>
      </c>
      <c r="D12897">
        <f>11</f>
        <v>11</v>
      </c>
      <c r="E12897" t="str">
        <f>"05 - B - 102 - Jacklyn M James"</f>
        <v>05 - B - 102 - Jacklyn M James</v>
      </c>
      <c r="F12897" t="str">
        <f>"AICE ENG LANG AS"</f>
        <v>AICE ENG LANG AS</v>
      </c>
      <c r="G12897" t="str">
        <f>"17-1731"</f>
        <v>17-1731</v>
      </c>
      <c r="H12897" t="str">
        <f>"B"</f>
        <v>B</v>
      </c>
    </row>
    <row r="12898" spans="1:8" x14ac:dyDescent="0.2">
      <c r="A12898" t="str">
        <f t="shared" si="4669"/>
        <v>0620038316</v>
      </c>
      <c r="B12898" t="str">
        <f t="shared" si="4670"/>
        <v>APORUPA</v>
      </c>
      <c r="C12898" t="str">
        <f t="shared" si="4671"/>
        <v>PAPRY</v>
      </c>
      <c r="D12898">
        <f>11</f>
        <v>11</v>
      </c>
      <c r="E12898" t="str">
        <f>"01 - A - 201 - Jeanne M Bermudez"</f>
        <v>01 - A - 201 - Jeanne M Bermudez</v>
      </c>
      <c r="F12898" t="str">
        <f>"PHYSICS 1 HON"</f>
        <v>PHYSICS 1 HON</v>
      </c>
      <c r="G12898" t="str">
        <f>"21-2141"</f>
        <v>21-2141</v>
      </c>
      <c r="H12898" t="str">
        <f>"A"</f>
        <v>A</v>
      </c>
    </row>
    <row r="12899" spans="1:8" x14ac:dyDescent="0.2">
      <c r="A12899" t="str">
        <f t="shared" si="4669"/>
        <v>0620038316</v>
      </c>
      <c r="B12899" t="str">
        <f t="shared" si="4670"/>
        <v>APORUPA</v>
      </c>
      <c r="C12899" t="str">
        <f t="shared" si="4671"/>
        <v>PAPRY</v>
      </c>
      <c r="D12899">
        <f>11</f>
        <v>11</v>
      </c>
      <c r="E12899" t="str">
        <f>"08 - B - 201 - Stacey A Blecker"</f>
        <v>08 - B - 201 - Stacey A Blecker</v>
      </c>
      <c r="F12899" t="str">
        <f>"AICE SOCIOLOGY 1 AS"</f>
        <v>AICE SOCIOLOGY 1 AS</v>
      </c>
      <c r="G12899" t="str">
        <f>"09-926"</f>
        <v>09-926</v>
      </c>
      <c r="H12899" t="str">
        <f>"B"</f>
        <v>B</v>
      </c>
    </row>
    <row r="12900" spans="1:8" x14ac:dyDescent="0.2">
      <c r="A12900" t="str">
        <f t="shared" ref="A12900:A12907" si="4672">"0611129901"</f>
        <v>0611129901</v>
      </c>
      <c r="B12900" t="str">
        <f t="shared" ref="B12900:B12907" si="4673">"LOGAN"</f>
        <v>LOGAN</v>
      </c>
      <c r="C12900" t="str">
        <f t="shared" ref="C12900:C12907" si="4674">"PARDO"</f>
        <v>PARDO</v>
      </c>
      <c r="D12900">
        <f>12</f>
        <v>12</v>
      </c>
      <c r="E12900" t="str">
        <f>"04 - S1 - A - 106 - Kelly N Panza"</f>
        <v>04 - S1 - A - 106 - Kelly N Panza</v>
      </c>
      <c r="F12900" t="str">
        <f>"US GOVT HON"</f>
        <v>US GOVT HON</v>
      </c>
      <c r="G12900" t="str">
        <f>"17-1753"</f>
        <v>17-1753</v>
      </c>
      <c r="H12900" t="str">
        <f>"A"</f>
        <v>A</v>
      </c>
    </row>
    <row r="12901" spans="1:8" x14ac:dyDescent="0.2">
      <c r="A12901" t="str">
        <f t="shared" si="4672"/>
        <v>0611129901</v>
      </c>
      <c r="B12901" t="str">
        <f t="shared" si="4673"/>
        <v>LOGAN</v>
      </c>
      <c r="C12901" t="str">
        <f t="shared" si="4674"/>
        <v>PARDO</v>
      </c>
      <c r="D12901">
        <f>12</f>
        <v>12</v>
      </c>
      <c r="E12901" t="str">
        <f>"06 - B - 107 - Pamela M Corzo"</f>
        <v>06 - B - 107 - Pamela M Corzo</v>
      </c>
      <c r="F12901" t="str">
        <f>"NC STUDY HALL 1"</f>
        <v>NC STUDY HALL 1</v>
      </c>
      <c r="G12901" t="str">
        <f>"21-2133"</f>
        <v>21-2133</v>
      </c>
      <c r="H12901" t="str">
        <f>"B"</f>
        <v>B</v>
      </c>
    </row>
    <row r="12902" spans="1:8" x14ac:dyDescent="0.2">
      <c r="A12902" t="str">
        <f t="shared" si="4672"/>
        <v>0611129901</v>
      </c>
      <c r="B12902" t="str">
        <f t="shared" si="4673"/>
        <v>LOGAN</v>
      </c>
      <c r="C12902" t="str">
        <f t="shared" si="4674"/>
        <v>PARDO</v>
      </c>
      <c r="D12902">
        <f>12</f>
        <v>12</v>
      </c>
      <c r="E12902" t="str">
        <f>"03 - A - 202 - Jeanne M Bermudez"</f>
        <v>03 - A - 202 - Jeanne M Bermudez</v>
      </c>
      <c r="F12902" t="str">
        <f>"PHYSICS 1 HON"</f>
        <v>PHYSICS 1 HON</v>
      </c>
      <c r="G12902" t="str">
        <f>"21-2141"</f>
        <v>21-2141</v>
      </c>
      <c r="H12902" t="str">
        <f>"A"</f>
        <v>A</v>
      </c>
    </row>
    <row r="12903" spans="1:8" x14ac:dyDescent="0.2">
      <c r="A12903" t="str">
        <f t="shared" si="4672"/>
        <v>0611129901</v>
      </c>
      <c r="B12903" t="str">
        <f t="shared" si="4673"/>
        <v>LOGAN</v>
      </c>
      <c r="C12903" t="str">
        <f t="shared" si="4674"/>
        <v>PARDO</v>
      </c>
      <c r="D12903">
        <f>12</f>
        <v>12</v>
      </c>
      <c r="E12903" t="str">
        <f>"02 - A - 101 - Robert H Rindner"</f>
        <v>02 - A - 101 - Robert H Rindner</v>
      </c>
      <c r="F12903" t="str">
        <f>"MATH DATA&amp;FIN LIT H"</f>
        <v>MATH DATA&amp;FIN LIT H</v>
      </c>
      <c r="G12903" t="str">
        <f>"21-2160"</f>
        <v>21-2160</v>
      </c>
      <c r="H12903" t="str">
        <f>"A"</f>
        <v>A</v>
      </c>
    </row>
    <row r="12904" spans="1:8" x14ac:dyDescent="0.2">
      <c r="A12904" t="str">
        <f t="shared" si="4672"/>
        <v>0611129901</v>
      </c>
      <c r="B12904" t="str">
        <f t="shared" si="4673"/>
        <v>LOGAN</v>
      </c>
      <c r="C12904" t="str">
        <f t="shared" si="4674"/>
        <v>PARDO</v>
      </c>
      <c r="D12904">
        <f>12</f>
        <v>12</v>
      </c>
      <c r="E12904" t="str">
        <f>"07 - B - 102 - Carleigh R Carmichael"</f>
        <v>07 - B - 102 - Carleigh R Carmichael</v>
      </c>
      <c r="F12904" t="str">
        <f>"LEAD SKLS DEV LH"</f>
        <v>LEAD SKLS DEV LH</v>
      </c>
      <c r="G12904" t="str">
        <f>"20-2072"</f>
        <v>20-2072</v>
      </c>
      <c r="H12904" t="str">
        <f>"B"</f>
        <v>B</v>
      </c>
    </row>
    <row r="12905" spans="1:8" x14ac:dyDescent="0.2">
      <c r="A12905" t="str">
        <f t="shared" si="4672"/>
        <v>0611129901</v>
      </c>
      <c r="B12905" t="str">
        <f t="shared" si="4673"/>
        <v>LOGAN</v>
      </c>
      <c r="C12905" t="str">
        <f t="shared" si="4674"/>
        <v>PARDO</v>
      </c>
      <c r="D12905">
        <f>12</f>
        <v>12</v>
      </c>
      <c r="E12905" t="str">
        <f>"05 - B - 104 - Jeffrey S Gallagher"</f>
        <v>05 - B - 104 - Jeffrey S Gallagher</v>
      </c>
      <c r="F12905" t="str">
        <f>"ENG HON 4"</f>
        <v>ENG HON 4</v>
      </c>
      <c r="G12905" t="str">
        <f>"17-1724"</f>
        <v>17-1724</v>
      </c>
      <c r="H12905" t="str">
        <f>"B"</f>
        <v>B</v>
      </c>
    </row>
    <row r="12906" spans="1:8" x14ac:dyDescent="0.2">
      <c r="A12906" t="str">
        <f t="shared" si="4672"/>
        <v>0611129901</v>
      </c>
      <c r="B12906" t="str">
        <f t="shared" si="4673"/>
        <v>LOGAN</v>
      </c>
      <c r="C12906" t="str">
        <f t="shared" si="4674"/>
        <v>PARDO</v>
      </c>
      <c r="D12906">
        <f>12</f>
        <v>12</v>
      </c>
      <c r="E12906" t="str">
        <f>"01 - A - 101 - Angela S Adeshina-Morrison"</f>
        <v>01 - A - 101 - Angela S Adeshina-Morrison</v>
      </c>
      <c r="F12906" t="str">
        <f>"MARKETING ESSENTIALS"</f>
        <v>MARKETING ESSENTIALS</v>
      </c>
      <c r="G12906" t="str">
        <f>"05-518"</f>
        <v>05-518</v>
      </c>
      <c r="H12906" t="str">
        <f>"A"</f>
        <v>A</v>
      </c>
    </row>
    <row r="12907" spans="1:8" x14ac:dyDescent="0.2">
      <c r="A12907" t="str">
        <f t="shared" si="4672"/>
        <v>0611129901</v>
      </c>
      <c r="B12907" t="str">
        <f t="shared" si="4673"/>
        <v>LOGAN</v>
      </c>
      <c r="C12907" t="str">
        <f t="shared" si="4674"/>
        <v>PARDO</v>
      </c>
      <c r="D12907">
        <f>12</f>
        <v>12</v>
      </c>
      <c r="E12907" t="str">
        <f>"08 - B - 001 - Brian M Fitzgerald"</f>
        <v>08 - B - 001 - Brian M Fitzgerald</v>
      </c>
      <c r="F12907" t="str">
        <f>"CERAM/POT 1"</f>
        <v>CERAM/POT 1</v>
      </c>
      <c r="G12907" t="str">
        <f>"09-908"</f>
        <v>09-908</v>
      </c>
      <c r="H12907" t="str">
        <f>"B"</f>
        <v>B</v>
      </c>
    </row>
    <row r="12908" spans="1:8" x14ac:dyDescent="0.2">
      <c r="A12908" t="str">
        <f t="shared" ref="A12908:A12915" si="4675">"0617040284"</f>
        <v>0617040284</v>
      </c>
      <c r="B12908" t="str">
        <f t="shared" ref="B12908:B12915" si="4676">"MADISON"</f>
        <v>MADISON</v>
      </c>
      <c r="C12908" t="str">
        <f t="shared" ref="C12908:C12923" si="4677">"PARKER"</f>
        <v>PARKER</v>
      </c>
      <c r="D12908" t="str">
        <f t="shared" ref="D12908:D12915" si="4678">"09"</f>
        <v>09</v>
      </c>
      <c r="E12908" t="str">
        <f>"04 - A - 102 - Elizabeth R Walker"</f>
        <v>04 - A - 102 - Elizabeth R Walker</v>
      </c>
      <c r="F12908" t="str">
        <f>"AICE ENG GEN PAPER 1"</f>
        <v>AICE ENG GEN PAPER 1</v>
      </c>
      <c r="G12908" t="str">
        <f>"17-1703"</f>
        <v>17-1703</v>
      </c>
      <c r="H12908" t="str">
        <f>"A"</f>
        <v>A</v>
      </c>
    </row>
    <row r="12909" spans="1:8" x14ac:dyDescent="0.2">
      <c r="A12909" t="str">
        <f t="shared" si="4675"/>
        <v>0617040284</v>
      </c>
      <c r="B12909" t="str">
        <f t="shared" si="4676"/>
        <v>MADISON</v>
      </c>
      <c r="C12909" t="str">
        <f t="shared" si="4677"/>
        <v>PARKER</v>
      </c>
      <c r="D12909" t="str">
        <f t="shared" si="4678"/>
        <v>09</v>
      </c>
      <c r="E12909" t="str">
        <f>"06 - B - 106 - Marius D Orsolini"</f>
        <v>06 - B - 106 - Marius D Orsolini</v>
      </c>
      <c r="F12909" t="str">
        <f>"CULINARY ARTS 1"</f>
        <v>CULINARY ARTS 1</v>
      </c>
      <c r="G12909" t="str">
        <f>"21-2115"</f>
        <v>21-2115</v>
      </c>
      <c r="H12909" t="str">
        <f>"B"</f>
        <v>B</v>
      </c>
    </row>
    <row r="12910" spans="1:8" x14ac:dyDescent="0.2">
      <c r="A12910" t="str">
        <f t="shared" si="4675"/>
        <v>0617040284</v>
      </c>
      <c r="B12910" t="str">
        <f t="shared" si="4676"/>
        <v>MADISON</v>
      </c>
      <c r="C12910" t="str">
        <f t="shared" si="4677"/>
        <v>PARKER</v>
      </c>
      <c r="D12910" t="str">
        <f t="shared" si="4678"/>
        <v>09</v>
      </c>
      <c r="E12910" t="str">
        <f>"03 - A - 201 - Christa T Parisi"</f>
        <v>03 - A - 201 - Christa T Parisi</v>
      </c>
      <c r="F12910" t="str">
        <f>"DANCE TECHNQS 1"</f>
        <v>DANCE TECHNQS 1</v>
      </c>
      <c r="G12910" t="str">
        <f>"05-503"</f>
        <v>05-503</v>
      </c>
      <c r="H12910" t="str">
        <f>"A"</f>
        <v>A</v>
      </c>
    </row>
    <row r="12911" spans="1:8" x14ac:dyDescent="0.2">
      <c r="A12911" t="str">
        <f t="shared" si="4675"/>
        <v>0617040284</v>
      </c>
      <c r="B12911" t="str">
        <f t="shared" si="4676"/>
        <v>MADISON</v>
      </c>
      <c r="C12911" t="str">
        <f t="shared" si="4677"/>
        <v>PARKER</v>
      </c>
      <c r="D12911" t="str">
        <f t="shared" si="4678"/>
        <v>09</v>
      </c>
      <c r="E12911" t="str">
        <f>"02 - A - 106 - Helen A Flores"</f>
        <v>02 - A - 106 - Helen A Flores</v>
      </c>
      <c r="F12911" t="str">
        <f>"NC STUDY HALL 1"</f>
        <v>NC STUDY HALL 1</v>
      </c>
      <c r="G12911" t="str">
        <f>"21-2101"</f>
        <v>21-2101</v>
      </c>
      <c r="H12911" t="str">
        <f>"A"</f>
        <v>A</v>
      </c>
    </row>
    <row r="12912" spans="1:8" x14ac:dyDescent="0.2">
      <c r="A12912" t="str">
        <f t="shared" si="4675"/>
        <v>0617040284</v>
      </c>
      <c r="B12912" t="str">
        <f t="shared" si="4676"/>
        <v>MADISON</v>
      </c>
      <c r="C12912" t="str">
        <f t="shared" si="4677"/>
        <v>PARKER</v>
      </c>
      <c r="D12912" t="str">
        <f t="shared" si="4678"/>
        <v>09</v>
      </c>
      <c r="E12912" t="str">
        <f>"07 - B - 001 - Carol S Moore"</f>
        <v>07 - B - 001 - Carol S Moore</v>
      </c>
      <c r="F12912" t="str">
        <f>"PRE-AICE WRLD HST IG"</f>
        <v>PRE-AICE WRLD HST IG</v>
      </c>
      <c r="G12912" t="str">
        <f>"17-1733"</f>
        <v>17-1733</v>
      </c>
      <c r="H12912" t="str">
        <f>"B"</f>
        <v>B</v>
      </c>
    </row>
    <row r="12913" spans="1:8" x14ac:dyDescent="0.2">
      <c r="A12913" t="str">
        <f t="shared" si="4675"/>
        <v>0617040284</v>
      </c>
      <c r="B12913" t="str">
        <f t="shared" si="4676"/>
        <v>MADISON</v>
      </c>
      <c r="C12913" t="str">
        <f t="shared" si="4677"/>
        <v>PARKER</v>
      </c>
      <c r="D12913" t="str">
        <f t="shared" si="4678"/>
        <v>09</v>
      </c>
      <c r="E12913" t="str">
        <f>"05 - B - 103 - Eva T Rimmer"</f>
        <v>05 - B - 103 - Eva T Rimmer</v>
      </c>
      <c r="F12913" t="str">
        <f>"CRIMINAL JUST OPS 1"</f>
        <v>CRIMINAL JUST OPS 1</v>
      </c>
      <c r="G12913" t="str">
        <f>"05-523"</f>
        <v>05-523</v>
      </c>
      <c r="H12913" t="str">
        <f>"B"</f>
        <v>B</v>
      </c>
    </row>
    <row r="12914" spans="1:8" x14ac:dyDescent="0.2">
      <c r="A12914" t="str">
        <f t="shared" si="4675"/>
        <v>0617040284</v>
      </c>
      <c r="B12914" t="str">
        <f t="shared" si="4676"/>
        <v>MADISON</v>
      </c>
      <c r="C12914" t="str">
        <f t="shared" si="4677"/>
        <v>PARKER</v>
      </c>
      <c r="D12914" t="str">
        <f t="shared" si="4678"/>
        <v>09</v>
      </c>
      <c r="E12914" t="str">
        <f>"01 - A - 102 - Fernando  Vega-Cid"</f>
        <v>01 - A - 102 - Fernando  Vega-Cid</v>
      </c>
      <c r="F12914" t="str">
        <f>"GEOMETRY"</f>
        <v>GEOMETRY</v>
      </c>
      <c r="G12914" t="str">
        <f>"21-2163"</f>
        <v>21-2163</v>
      </c>
      <c r="H12914" t="str">
        <f>"A"</f>
        <v>A</v>
      </c>
    </row>
    <row r="12915" spans="1:8" x14ac:dyDescent="0.2">
      <c r="A12915" t="str">
        <f t="shared" si="4675"/>
        <v>0617040284</v>
      </c>
      <c r="B12915" t="str">
        <f t="shared" si="4676"/>
        <v>MADISON</v>
      </c>
      <c r="C12915" t="str">
        <f t="shared" si="4677"/>
        <v>PARKER</v>
      </c>
      <c r="D12915" t="str">
        <f t="shared" si="4678"/>
        <v>09</v>
      </c>
      <c r="E12915" t="str">
        <f>"08 - B - 102 - Josiah I Lacy"</f>
        <v>08 - B - 102 - Josiah I Lacy</v>
      </c>
      <c r="F12915" t="str">
        <f>"ANAT PHYSIO HON"</f>
        <v>ANAT PHYSIO HON</v>
      </c>
      <c r="G12915" t="str">
        <f>"08-801"</f>
        <v>08-801</v>
      </c>
      <c r="H12915" t="str">
        <f>"B"</f>
        <v>B</v>
      </c>
    </row>
    <row r="12916" spans="1:8" x14ac:dyDescent="0.2">
      <c r="A12916" t="str">
        <f t="shared" ref="A12916:A12923" si="4679">"0614127649"</f>
        <v>0614127649</v>
      </c>
      <c r="B12916" t="str">
        <f t="shared" ref="B12916:B12923" si="4680">"PEYTON"</f>
        <v>PEYTON</v>
      </c>
      <c r="C12916" t="str">
        <f t="shared" si="4677"/>
        <v>PARKER</v>
      </c>
      <c r="D12916">
        <f>11</f>
        <v>11</v>
      </c>
      <c r="E12916" t="str">
        <f>"04 - A - 101 - Pamela M Corzo"</f>
        <v>04 - A - 101 - Pamela M Corzo</v>
      </c>
      <c r="F12916" t="str">
        <f>"CALCULUS HON"</f>
        <v>CALCULUS HON</v>
      </c>
      <c r="G12916" t="str">
        <f>"21-2133"</f>
        <v>21-2133</v>
      </c>
      <c r="H12916" t="str">
        <f>"A"</f>
        <v>A</v>
      </c>
    </row>
    <row r="12917" spans="1:8" x14ac:dyDescent="0.2">
      <c r="A12917" t="str">
        <f t="shared" si="4679"/>
        <v>0614127649</v>
      </c>
      <c r="B12917" t="str">
        <f t="shared" si="4680"/>
        <v>PEYTON</v>
      </c>
      <c r="C12917" t="str">
        <f t="shared" si="4677"/>
        <v>PARKER</v>
      </c>
      <c r="D12917">
        <f>11</f>
        <v>11</v>
      </c>
      <c r="E12917" t="str">
        <f>"06 - B - 102 - Stephen T Ripp"</f>
        <v>06 - B - 102 - Stephen T Ripp</v>
      </c>
      <c r="F12917" t="str">
        <f>"AP U.S. HIST"</f>
        <v>AP U.S. HIST</v>
      </c>
      <c r="G12917" t="str">
        <f>"17-1744"</f>
        <v>17-1744</v>
      </c>
      <c r="H12917" t="str">
        <f>"B"</f>
        <v>B</v>
      </c>
    </row>
    <row r="12918" spans="1:8" x14ac:dyDescent="0.2">
      <c r="A12918" t="str">
        <f t="shared" si="4679"/>
        <v>0614127649</v>
      </c>
      <c r="B12918" t="str">
        <f t="shared" si="4680"/>
        <v>PEYTON</v>
      </c>
      <c r="C12918" t="str">
        <f t="shared" si="4677"/>
        <v>PARKER</v>
      </c>
      <c r="D12918">
        <f>11</f>
        <v>11</v>
      </c>
      <c r="E12918" t="str">
        <f>"03 - A - 102 - Tina M Jaramillo"</f>
        <v>03 - A - 102 - Tina M Jaramillo</v>
      </c>
      <c r="F12918" t="str">
        <f>"AP ENG COMPO"</f>
        <v>AP ENG COMPO</v>
      </c>
      <c r="G12918" t="str">
        <f>"17-1706"</f>
        <v>17-1706</v>
      </c>
      <c r="H12918" t="str">
        <f>"A"</f>
        <v>A</v>
      </c>
    </row>
    <row r="12919" spans="1:8" x14ac:dyDescent="0.2">
      <c r="A12919" t="str">
        <f t="shared" si="4679"/>
        <v>0614127649</v>
      </c>
      <c r="B12919" t="str">
        <f t="shared" si="4680"/>
        <v>PEYTON</v>
      </c>
      <c r="C12919" t="str">
        <f t="shared" si="4677"/>
        <v>PARKER</v>
      </c>
      <c r="D12919">
        <f>11</f>
        <v>11</v>
      </c>
      <c r="E12919" t="str">
        <f>"02 - A - 001 - Jazmin S Fletcher"</f>
        <v>02 - A - 001 - Jazmin S Fletcher</v>
      </c>
      <c r="F12919" t="str">
        <f>"NC STUDY HALL 1"</f>
        <v>NC STUDY HALL 1</v>
      </c>
      <c r="G12919" t="str">
        <f>"09-909"</f>
        <v>09-909</v>
      </c>
      <c r="H12919" t="str">
        <f>"A"</f>
        <v>A</v>
      </c>
    </row>
    <row r="12920" spans="1:8" x14ac:dyDescent="0.2">
      <c r="A12920" t="str">
        <f t="shared" si="4679"/>
        <v>0614127649</v>
      </c>
      <c r="B12920" t="str">
        <f t="shared" si="4680"/>
        <v>PEYTON</v>
      </c>
      <c r="C12920" t="str">
        <f t="shared" si="4677"/>
        <v>PARKER</v>
      </c>
      <c r="D12920">
        <f>11</f>
        <v>11</v>
      </c>
      <c r="E12920" t="str">
        <f>"07 - B - 103 - Lisa J London"</f>
        <v>07 - B - 103 - Lisa J London</v>
      </c>
      <c r="F12920" t="str">
        <f>"AP CAPSTONE SEMINAR"</f>
        <v>AP CAPSTONE SEMINAR</v>
      </c>
      <c r="G12920" t="str">
        <f>"17-1714"</f>
        <v>17-1714</v>
      </c>
      <c r="H12920" t="str">
        <f>"B"</f>
        <v>B</v>
      </c>
    </row>
    <row r="12921" spans="1:8" x14ac:dyDescent="0.2">
      <c r="A12921" t="str">
        <f t="shared" si="4679"/>
        <v>0614127649</v>
      </c>
      <c r="B12921" t="str">
        <f t="shared" si="4680"/>
        <v>PEYTON</v>
      </c>
      <c r="C12921" t="str">
        <f t="shared" si="4677"/>
        <v>PARKER</v>
      </c>
      <c r="D12921">
        <f>11</f>
        <v>11</v>
      </c>
      <c r="E12921" t="str">
        <f>"05 - B - 103 - Chrystina M Marchionne"</f>
        <v>05 - B - 103 - Chrystina M Marchionne</v>
      </c>
      <c r="F12921" t="str">
        <f>"AICE MEDIA STUDIES A"</f>
        <v>AICE MEDIA STUDIES A</v>
      </c>
      <c r="G12921" t="str">
        <f>"05-520"</f>
        <v>05-520</v>
      </c>
      <c r="H12921" t="str">
        <f>"B"</f>
        <v>B</v>
      </c>
    </row>
    <row r="12922" spans="1:8" x14ac:dyDescent="0.2">
      <c r="A12922" t="str">
        <f t="shared" si="4679"/>
        <v>0614127649</v>
      </c>
      <c r="B12922" t="str">
        <f t="shared" si="4680"/>
        <v>PEYTON</v>
      </c>
      <c r="C12922" t="str">
        <f t="shared" si="4677"/>
        <v>PARKER</v>
      </c>
      <c r="D12922">
        <f>11</f>
        <v>11</v>
      </c>
      <c r="E12922" t="str">
        <f>"01 - A - 101 - Marielle A Witting"</f>
        <v>01 - A - 101 - Marielle A Witting</v>
      </c>
      <c r="F12922" t="str">
        <f>"AP BIO"</f>
        <v>AP BIO</v>
      </c>
      <c r="G12922" t="str">
        <f>"08-805"</f>
        <v>08-805</v>
      </c>
      <c r="H12922" t="str">
        <f>"A"</f>
        <v>A</v>
      </c>
    </row>
    <row r="12923" spans="1:8" x14ac:dyDescent="0.2">
      <c r="A12923" t="str">
        <f t="shared" si="4679"/>
        <v>0614127649</v>
      </c>
      <c r="B12923" t="str">
        <f t="shared" si="4680"/>
        <v>PEYTON</v>
      </c>
      <c r="C12923" t="str">
        <f t="shared" si="4677"/>
        <v>PARKER</v>
      </c>
      <c r="D12923">
        <f>11</f>
        <v>11</v>
      </c>
      <c r="E12923" t="str">
        <f>"08 - B - 101 - Marius D Orsolini"</f>
        <v>08 - B - 101 - Marius D Orsolini</v>
      </c>
      <c r="F12923" t="str">
        <f>"CULINARY ARTS 2"</f>
        <v>CULINARY ARTS 2</v>
      </c>
      <c r="G12923" t="str">
        <f>"21-2115"</f>
        <v>21-2115</v>
      </c>
      <c r="H12923" t="str">
        <f>"B"</f>
        <v>B</v>
      </c>
    </row>
    <row r="12924" spans="1:8" x14ac:dyDescent="0.2">
      <c r="A12924" t="str">
        <f t="shared" ref="A12924:A12931" si="4681">"0614016644"</f>
        <v>0614016644</v>
      </c>
      <c r="B12924" t="str">
        <f t="shared" ref="B12924:B12931" si="4682">"ELIYAH"</f>
        <v>ELIYAH</v>
      </c>
      <c r="C12924" t="str">
        <f t="shared" ref="C12924:C12939" si="4683">"PARKS"</f>
        <v>PARKS</v>
      </c>
      <c r="D12924">
        <f>12</f>
        <v>12</v>
      </c>
      <c r="E12924" t="str">
        <f>"04 - A - 106 - Marielle A Witting"</f>
        <v>04 - A - 106 - Marielle A Witting</v>
      </c>
      <c r="F12924" t="str">
        <f>"ANAT PHYSIO"</f>
        <v>ANAT PHYSIO</v>
      </c>
      <c r="G12924" t="str">
        <f>"08-805"</f>
        <v>08-805</v>
      </c>
      <c r="H12924" t="str">
        <f>"A"</f>
        <v>A</v>
      </c>
    </row>
    <row r="12925" spans="1:8" x14ac:dyDescent="0.2">
      <c r="A12925" t="str">
        <f t="shared" si="4681"/>
        <v>0614016644</v>
      </c>
      <c r="B12925" t="str">
        <f t="shared" si="4682"/>
        <v>ELIYAH</v>
      </c>
      <c r="C12925" t="str">
        <f t="shared" si="4683"/>
        <v>PARKS</v>
      </c>
      <c r="D12925">
        <f>12</f>
        <v>12</v>
      </c>
      <c r="E12925" t="str">
        <f>"06 - B - 110 - Barbara L Segal"</f>
        <v>06 - B - 110 - Barbara L Segal</v>
      </c>
      <c r="F12925" t="str">
        <f>"NC STUDY HALL 1"</f>
        <v>NC STUDY HALL 1</v>
      </c>
      <c r="G12925" t="str">
        <f>"17-1742"</f>
        <v>17-1742</v>
      </c>
      <c r="H12925" t="str">
        <f>"B"</f>
        <v>B</v>
      </c>
    </row>
    <row r="12926" spans="1:8" x14ac:dyDescent="0.2">
      <c r="A12926" t="str">
        <f t="shared" si="4681"/>
        <v>0614016644</v>
      </c>
      <c r="B12926" t="str">
        <f t="shared" si="4682"/>
        <v>ELIYAH</v>
      </c>
      <c r="C12926" t="str">
        <f t="shared" si="4683"/>
        <v>PARKS</v>
      </c>
      <c r="D12926">
        <f>12</f>
        <v>12</v>
      </c>
      <c r="E12926" t="str">
        <f>"03 - A - 101 - Tina L Lovett"</f>
        <v>03 - A - 101 - Tina L Lovett</v>
      </c>
      <c r="F12926" t="str">
        <f>"MATH DATA &amp; FIN LIT"</f>
        <v>MATH DATA &amp; FIN LIT</v>
      </c>
      <c r="G12926" t="str">
        <f>"21-2153"</f>
        <v>21-2153</v>
      </c>
      <c r="H12926" t="str">
        <f>"A"</f>
        <v>A</v>
      </c>
    </row>
    <row r="12927" spans="1:8" x14ac:dyDescent="0.2">
      <c r="A12927" t="str">
        <f t="shared" si="4681"/>
        <v>0614016644</v>
      </c>
      <c r="B12927" t="str">
        <f t="shared" si="4682"/>
        <v>ELIYAH</v>
      </c>
      <c r="C12927" t="str">
        <f t="shared" si="4683"/>
        <v>PARKS</v>
      </c>
      <c r="D12927">
        <f>12</f>
        <v>12</v>
      </c>
      <c r="E12927" t="str">
        <f>"02 - A - 101 - Brian M Fitzgerald"</f>
        <v>02 - A - 101 - Brian M Fitzgerald</v>
      </c>
      <c r="F12927" t="str">
        <f>"DRAW 1"</f>
        <v>DRAW 1</v>
      </c>
      <c r="G12927" t="str">
        <f>"09-908"</f>
        <v>09-908</v>
      </c>
      <c r="H12927" t="str">
        <f>"A"</f>
        <v>A</v>
      </c>
    </row>
    <row r="12928" spans="1:8" x14ac:dyDescent="0.2">
      <c r="A12928" t="str">
        <f t="shared" si="4681"/>
        <v>0614016644</v>
      </c>
      <c r="B12928" t="str">
        <f t="shared" si="4682"/>
        <v>ELIYAH</v>
      </c>
      <c r="C12928" t="str">
        <f t="shared" si="4683"/>
        <v>PARKS</v>
      </c>
      <c r="D12928">
        <f>12</f>
        <v>12</v>
      </c>
      <c r="E12928" t="str">
        <f>"07 - S1 - B - 103 - Robert O Burger"</f>
        <v>07 - S1 - B - 103 - Robert O Burger</v>
      </c>
      <c r="F12928" t="str">
        <f>"US GOVT"</f>
        <v>US GOVT</v>
      </c>
      <c r="G12928" t="str">
        <f>"17-1755"</f>
        <v>17-1755</v>
      </c>
      <c r="H12928" t="str">
        <f>"B"</f>
        <v>B</v>
      </c>
    </row>
    <row r="12929" spans="1:8" x14ac:dyDescent="0.2">
      <c r="A12929" t="str">
        <f t="shared" si="4681"/>
        <v>0614016644</v>
      </c>
      <c r="B12929" t="str">
        <f t="shared" si="4682"/>
        <v>ELIYAH</v>
      </c>
      <c r="C12929" t="str">
        <f t="shared" si="4683"/>
        <v>PARKS</v>
      </c>
      <c r="D12929">
        <f>12</f>
        <v>12</v>
      </c>
      <c r="E12929" t="str">
        <f>"05 - B - 102 - Robyn L Trainer"</f>
        <v>05 - B - 102 - Robyn L Trainer</v>
      </c>
      <c r="F12929" t="str">
        <f>"ENG 4"</f>
        <v>ENG 4</v>
      </c>
      <c r="G12929" t="str">
        <f>"17-1734"</f>
        <v>17-1734</v>
      </c>
      <c r="H12929" t="str">
        <f>"B"</f>
        <v>B</v>
      </c>
    </row>
    <row r="12930" spans="1:8" x14ac:dyDescent="0.2">
      <c r="A12930" t="str">
        <f t="shared" si="4681"/>
        <v>0614016644</v>
      </c>
      <c r="B12930" t="str">
        <f t="shared" si="4682"/>
        <v>ELIYAH</v>
      </c>
      <c r="C12930" t="str">
        <f t="shared" si="4683"/>
        <v>PARKS</v>
      </c>
      <c r="D12930">
        <f>12</f>
        <v>12</v>
      </c>
      <c r="E12930" t="str">
        <f>"01 - S1 - A - 101 - Richard E Dunbar Iii"</f>
        <v>01 - S1 - A - 101 - Richard E Dunbar Iii</v>
      </c>
      <c r="F12930" t="str">
        <f>"WEIGHT TRAIN 3"</f>
        <v>WEIGHT TRAIN 3</v>
      </c>
      <c r="G12930" t="str">
        <f>"05-501"</f>
        <v>05-501</v>
      </c>
      <c r="H12930" t="str">
        <f>"A"</f>
        <v>A</v>
      </c>
    </row>
    <row r="12931" spans="1:8" x14ac:dyDescent="0.2">
      <c r="A12931" t="str">
        <f t="shared" si="4681"/>
        <v>0614016644</v>
      </c>
      <c r="B12931" t="str">
        <f t="shared" si="4682"/>
        <v>ELIYAH</v>
      </c>
      <c r="C12931" t="str">
        <f t="shared" si="4683"/>
        <v>PARKS</v>
      </c>
      <c r="D12931">
        <f>12</f>
        <v>12</v>
      </c>
      <c r="E12931" t="str">
        <f>"08 - B - 001 - Brian M Fitzgerald"</f>
        <v>08 - B - 001 - Brian M Fitzgerald</v>
      </c>
      <c r="F12931" t="str">
        <f>"CERAM/POT 1"</f>
        <v>CERAM/POT 1</v>
      </c>
      <c r="G12931" t="str">
        <f>"09-908"</f>
        <v>09-908</v>
      </c>
      <c r="H12931" t="str">
        <f>"B"</f>
        <v>B</v>
      </c>
    </row>
    <row r="12932" spans="1:8" x14ac:dyDescent="0.2">
      <c r="A12932" t="str">
        <f t="shared" ref="A12932:A12939" si="4684">"0614016626"</f>
        <v>0614016626</v>
      </c>
      <c r="B12932" t="str">
        <f t="shared" ref="B12932:B12939" si="4685">"ISAAC"</f>
        <v>ISAAC</v>
      </c>
      <c r="C12932" t="str">
        <f t="shared" si="4683"/>
        <v>PARKS</v>
      </c>
      <c r="D12932">
        <f>12</f>
        <v>12</v>
      </c>
      <c r="E12932" t="str">
        <f>"04 - A - 104 - Robert H Rindner"</f>
        <v>04 - A - 104 - Robert H Rindner</v>
      </c>
      <c r="F12932" t="str">
        <f>"MATH DATA&amp;FIN LIT H"</f>
        <v>MATH DATA&amp;FIN LIT H</v>
      </c>
      <c r="G12932" t="str">
        <f>"21-2160"</f>
        <v>21-2160</v>
      </c>
      <c r="H12932" t="str">
        <f>"A"</f>
        <v>A</v>
      </c>
    </row>
    <row r="12933" spans="1:8" x14ac:dyDescent="0.2">
      <c r="A12933" t="str">
        <f t="shared" si="4684"/>
        <v>0614016626</v>
      </c>
      <c r="B12933" t="str">
        <f t="shared" si="4685"/>
        <v>ISAAC</v>
      </c>
      <c r="C12933" t="str">
        <f t="shared" si="4683"/>
        <v>PARKS</v>
      </c>
      <c r="D12933">
        <f>12</f>
        <v>12</v>
      </c>
      <c r="E12933" t="str">
        <f>"06 - B - 104 - Lissa C Frederique"</f>
        <v>06 - B - 104 - Lissa C Frederique</v>
      </c>
      <c r="F12933" t="str">
        <f>"NC STUDY HALL 1"</f>
        <v>NC STUDY HALL 1</v>
      </c>
      <c r="G12933" t="str">
        <f>"17-1754"</f>
        <v>17-1754</v>
      </c>
      <c r="H12933" t="str">
        <f>"B"</f>
        <v>B</v>
      </c>
    </row>
    <row r="12934" spans="1:8" x14ac:dyDescent="0.2">
      <c r="A12934" t="str">
        <f t="shared" si="4684"/>
        <v>0614016626</v>
      </c>
      <c r="B12934" t="str">
        <f t="shared" si="4685"/>
        <v>ISAAC</v>
      </c>
      <c r="C12934" t="str">
        <f t="shared" si="4683"/>
        <v>PARKS</v>
      </c>
      <c r="D12934">
        <f>12</f>
        <v>12</v>
      </c>
      <c r="E12934" t="str">
        <f>"03 - A - 208 - Marielle A Witting"</f>
        <v>03 - A - 208 - Marielle A Witting</v>
      </c>
      <c r="F12934" t="str">
        <f>"ANAT PHYSIO"</f>
        <v>ANAT PHYSIO</v>
      </c>
      <c r="G12934" t="str">
        <f>"08-805"</f>
        <v>08-805</v>
      </c>
      <c r="H12934" t="str">
        <f>"A"</f>
        <v>A</v>
      </c>
    </row>
    <row r="12935" spans="1:8" x14ac:dyDescent="0.2">
      <c r="A12935" t="str">
        <f t="shared" si="4684"/>
        <v>0614016626</v>
      </c>
      <c r="B12935" t="str">
        <f t="shared" si="4685"/>
        <v>ISAAC</v>
      </c>
      <c r="C12935" t="str">
        <f t="shared" si="4683"/>
        <v>PARKS</v>
      </c>
      <c r="D12935">
        <f>12</f>
        <v>12</v>
      </c>
      <c r="E12935" t="str">
        <f>"02 - S1 - A - 102 - Richard E Dunbar Iii"</f>
        <v>02 - S1 - A - 102 - Richard E Dunbar Iii</v>
      </c>
      <c r="F12935" t="str">
        <f>"WEIGHT TRAIN 3"</f>
        <v>WEIGHT TRAIN 3</v>
      </c>
      <c r="G12935" t="str">
        <f>"05-501"</f>
        <v>05-501</v>
      </c>
      <c r="H12935" t="str">
        <f>"A"</f>
        <v>A</v>
      </c>
    </row>
    <row r="12936" spans="1:8" x14ac:dyDescent="0.2">
      <c r="A12936" t="str">
        <f t="shared" si="4684"/>
        <v>0614016626</v>
      </c>
      <c r="B12936" t="str">
        <f t="shared" si="4685"/>
        <v>ISAAC</v>
      </c>
      <c r="C12936" t="str">
        <f t="shared" si="4683"/>
        <v>PARKS</v>
      </c>
      <c r="D12936">
        <f>12</f>
        <v>12</v>
      </c>
      <c r="E12936" t="str">
        <f>"07 - S1 - B - 103 - Robert O Burger"</f>
        <v>07 - S1 - B - 103 - Robert O Burger</v>
      </c>
      <c r="F12936" t="str">
        <f>"US GOVT"</f>
        <v>US GOVT</v>
      </c>
      <c r="G12936" t="str">
        <f>"17-1755"</f>
        <v>17-1755</v>
      </c>
      <c r="H12936" t="str">
        <f>"B"</f>
        <v>B</v>
      </c>
    </row>
    <row r="12937" spans="1:8" x14ac:dyDescent="0.2">
      <c r="A12937" t="str">
        <f t="shared" si="4684"/>
        <v>0614016626</v>
      </c>
      <c r="B12937" t="str">
        <f t="shared" si="4685"/>
        <v>ISAAC</v>
      </c>
      <c r="C12937" t="str">
        <f t="shared" si="4683"/>
        <v>PARKS</v>
      </c>
      <c r="D12937">
        <f>12</f>
        <v>12</v>
      </c>
      <c r="E12937" t="str">
        <f>"05 - B - 102 - Robyn L Trainer"</f>
        <v>05 - B - 102 - Robyn L Trainer</v>
      </c>
      <c r="F12937" t="str">
        <f>"ENG 4"</f>
        <v>ENG 4</v>
      </c>
      <c r="G12937" t="str">
        <f>"17-1734"</f>
        <v>17-1734</v>
      </c>
      <c r="H12937" t="str">
        <f>"B"</f>
        <v>B</v>
      </c>
    </row>
    <row r="12938" spans="1:8" x14ac:dyDescent="0.2">
      <c r="A12938" t="str">
        <f t="shared" si="4684"/>
        <v>0614016626</v>
      </c>
      <c r="B12938" t="str">
        <f t="shared" si="4685"/>
        <v>ISAAC</v>
      </c>
      <c r="C12938" t="str">
        <f t="shared" si="4683"/>
        <v>PARKS</v>
      </c>
      <c r="D12938">
        <f>12</f>
        <v>12</v>
      </c>
      <c r="E12938" t="str">
        <f>"01 - A - 504 - Alejandro  Navarro"</f>
        <v>01 - A - 504 - Alejandro  Navarro</v>
      </c>
      <c r="F12938" t="str">
        <f>"BAND 1"</f>
        <v>BAND 1</v>
      </c>
      <c r="G12938" t="str">
        <f>"05-504"</f>
        <v>05-504</v>
      </c>
      <c r="H12938" t="str">
        <f>"A"</f>
        <v>A</v>
      </c>
    </row>
    <row r="12939" spans="1:8" x14ac:dyDescent="0.2">
      <c r="A12939" t="str">
        <f t="shared" si="4684"/>
        <v>0614016626</v>
      </c>
      <c r="B12939" t="str">
        <f t="shared" si="4685"/>
        <v>ISAAC</v>
      </c>
      <c r="C12939" t="str">
        <f t="shared" si="4683"/>
        <v>PARKS</v>
      </c>
      <c r="D12939">
        <f>12</f>
        <v>12</v>
      </c>
      <c r="E12939" t="str">
        <f>"08 - B - 102 - Robert H Rindner"</f>
        <v>08 - B - 102 - Robert H Rindner</v>
      </c>
      <c r="F12939" t="str">
        <f>"TV PRODUCTION TECH 1"</f>
        <v>TV PRODUCTION TECH 1</v>
      </c>
      <c r="G12939" t="str">
        <f>"21-2160"</f>
        <v>21-2160</v>
      </c>
      <c r="H12939" t="str">
        <f>"B"</f>
        <v>B</v>
      </c>
    </row>
    <row r="12940" spans="1:8" x14ac:dyDescent="0.2">
      <c r="A12940" t="str">
        <f t="shared" ref="A12940:A12947" si="4686">"0624072552"</f>
        <v>0624072552</v>
      </c>
      <c r="B12940" t="str">
        <f t="shared" ref="B12940:B12947" si="4687">"KIMBERLYS"</f>
        <v>KIMBERLYS</v>
      </c>
      <c r="C12940" t="str">
        <f t="shared" ref="C12940:C12947" si="4688">"PARRA LOPEZ"</f>
        <v>PARRA LOPEZ</v>
      </c>
      <c r="D12940">
        <f>12</f>
        <v>12</v>
      </c>
      <c r="E12940" t="str">
        <f>"04 - A - 205 - Robyn L Trainer"</f>
        <v>04 - A - 205 - Robyn L Trainer</v>
      </c>
      <c r="F12940" t="str">
        <f>"ENG 4: FL COLL PREP"</f>
        <v>ENG 4: FL COLL PREP</v>
      </c>
      <c r="G12940" t="str">
        <f>"17-1734"</f>
        <v>17-1734</v>
      </c>
      <c r="H12940" t="str">
        <f>"A"</f>
        <v>A</v>
      </c>
    </row>
    <row r="12941" spans="1:8" x14ac:dyDescent="0.2">
      <c r="A12941" t="str">
        <f t="shared" si="4686"/>
        <v>0624072552</v>
      </c>
      <c r="B12941" t="str">
        <f t="shared" si="4687"/>
        <v>KIMBERLYS</v>
      </c>
      <c r="C12941" t="str">
        <f t="shared" si="4688"/>
        <v>PARRA LOPEZ</v>
      </c>
      <c r="D12941">
        <f>12</f>
        <v>12</v>
      </c>
      <c r="E12941" t="str">
        <f>"06 - B - 108 - Jacquelyn M Neeson"</f>
        <v>06 - B - 108 - Jacquelyn M Neeson</v>
      </c>
      <c r="F12941" t="str">
        <f>"NC STUDY HALL 1"</f>
        <v>NC STUDY HALL 1</v>
      </c>
      <c r="G12941" t="str">
        <f>"17-1715"</f>
        <v>17-1715</v>
      </c>
      <c r="H12941" t="str">
        <f>"B"</f>
        <v>B</v>
      </c>
    </row>
    <row r="12942" spans="1:8" x14ac:dyDescent="0.2">
      <c r="A12942" t="str">
        <f t="shared" si="4686"/>
        <v>0624072552</v>
      </c>
      <c r="B12942" t="str">
        <f t="shared" si="4687"/>
        <v>KIMBERLYS</v>
      </c>
      <c r="C12942" t="str">
        <f t="shared" si="4688"/>
        <v>PARRA LOPEZ</v>
      </c>
      <c r="D12942">
        <f>12</f>
        <v>12</v>
      </c>
      <c r="E12942" t="str">
        <f>"03 - A - 101 - Tina L Lovett"</f>
        <v>03 - A - 101 - Tina L Lovett</v>
      </c>
      <c r="F12942" t="str">
        <f>"MATH DATA &amp; FIN LIT"</f>
        <v>MATH DATA &amp; FIN LIT</v>
      </c>
      <c r="G12942" t="str">
        <f>"21-2153"</f>
        <v>21-2153</v>
      </c>
      <c r="H12942" t="str">
        <f>"A"</f>
        <v>A</v>
      </c>
    </row>
    <row r="12943" spans="1:8" x14ac:dyDescent="0.2">
      <c r="A12943" t="str">
        <f t="shared" si="4686"/>
        <v>0624072552</v>
      </c>
      <c r="B12943" t="str">
        <f t="shared" si="4687"/>
        <v>KIMBERLYS</v>
      </c>
      <c r="C12943" t="str">
        <f t="shared" si="4688"/>
        <v>PARRA LOPEZ</v>
      </c>
      <c r="D12943">
        <f>12</f>
        <v>12</v>
      </c>
      <c r="E12943" t="str">
        <f>"02 - A - 101 - Brian M Fitzgerald"</f>
        <v>02 - A - 101 - Brian M Fitzgerald</v>
      </c>
      <c r="F12943" t="str">
        <f>"DRAW 1"</f>
        <v>DRAW 1</v>
      </c>
      <c r="G12943" t="str">
        <f>"09-908"</f>
        <v>09-908</v>
      </c>
      <c r="H12943" t="str">
        <f>"A"</f>
        <v>A</v>
      </c>
    </row>
    <row r="12944" spans="1:8" x14ac:dyDescent="0.2">
      <c r="A12944" t="str">
        <f t="shared" si="4686"/>
        <v>0624072552</v>
      </c>
      <c r="B12944" t="str">
        <f t="shared" si="4687"/>
        <v>KIMBERLYS</v>
      </c>
      <c r="C12944" t="str">
        <f t="shared" si="4688"/>
        <v>PARRA LOPEZ</v>
      </c>
      <c r="D12944">
        <f>12</f>
        <v>12</v>
      </c>
      <c r="E12944" t="str">
        <f>"07 - B - 103 - Nahum  Saint-Preux"</f>
        <v>07 - B - 103 - Nahum  Saint-Preux</v>
      </c>
      <c r="F12944" t="str">
        <f>"INTENS READ 4"</f>
        <v>INTENS READ 4</v>
      </c>
      <c r="G12944" t="str">
        <f>"17-1712"</f>
        <v>17-1712</v>
      </c>
      <c r="H12944" t="str">
        <f>"B"</f>
        <v>B</v>
      </c>
    </row>
    <row r="12945" spans="1:8" x14ac:dyDescent="0.2">
      <c r="A12945" t="str">
        <f t="shared" si="4686"/>
        <v>0624072552</v>
      </c>
      <c r="B12945" t="str">
        <f t="shared" si="4687"/>
        <v>KIMBERLYS</v>
      </c>
      <c r="C12945" t="str">
        <f t="shared" si="4688"/>
        <v>PARRA LOPEZ</v>
      </c>
      <c r="D12945">
        <f>12</f>
        <v>12</v>
      </c>
      <c r="E12945" t="str">
        <f>"05 - B - 207 - Marielle A Witting"</f>
        <v>05 - B - 207 - Marielle A Witting</v>
      </c>
      <c r="F12945" t="str">
        <f>"ANAT PHYSIO"</f>
        <v>ANAT PHYSIO</v>
      </c>
      <c r="G12945" t="str">
        <f>"08-805"</f>
        <v>08-805</v>
      </c>
      <c r="H12945" t="str">
        <f>"B"</f>
        <v>B</v>
      </c>
    </row>
    <row r="12946" spans="1:8" x14ac:dyDescent="0.2">
      <c r="A12946" t="str">
        <f t="shared" si="4686"/>
        <v>0624072552</v>
      </c>
      <c r="B12946" t="str">
        <f t="shared" si="4687"/>
        <v>KIMBERLYS</v>
      </c>
      <c r="C12946" t="str">
        <f t="shared" si="4688"/>
        <v>PARRA LOPEZ</v>
      </c>
      <c r="D12946">
        <f>12</f>
        <v>12</v>
      </c>
      <c r="E12946" t="str">
        <f>"01 - S1 - A - 101 - Robert O Burger"</f>
        <v>01 - S1 - A - 101 - Robert O Burger</v>
      </c>
      <c r="F12946" t="str">
        <f>"US GOVT"</f>
        <v>US GOVT</v>
      </c>
      <c r="G12946" t="str">
        <f>"17-1755"</f>
        <v>17-1755</v>
      </c>
      <c r="H12946" t="str">
        <f>"A"</f>
        <v>A</v>
      </c>
    </row>
    <row r="12947" spans="1:8" x14ac:dyDescent="0.2">
      <c r="A12947" t="str">
        <f t="shared" si="4686"/>
        <v>0624072552</v>
      </c>
      <c r="B12947" t="str">
        <f t="shared" si="4687"/>
        <v>KIMBERLYS</v>
      </c>
      <c r="C12947" t="str">
        <f t="shared" si="4688"/>
        <v>PARRA LOPEZ</v>
      </c>
      <c r="D12947">
        <f>12</f>
        <v>12</v>
      </c>
      <c r="E12947" t="str">
        <f>"08 - S1 - B - 104 - Leslie J Barton"</f>
        <v>08 - S1 - B - 104 - Leslie J Barton</v>
      </c>
      <c r="F12947" t="str">
        <f>"TEAM SPORTS 1"</f>
        <v>TEAM SPORTS 1</v>
      </c>
      <c r="G12947" t="str">
        <f>"04-254"</f>
        <v>04-254</v>
      </c>
      <c r="H12947" t="str">
        <f>"B"</f>
        <v>B</v>
      </c>
    </row>
    <row r="12948" spans="1:8" x14ac:dyDescent="0.2">
      <c r="A12948" t="str">
        <f t="shared" ref="A12948:A12955" si="4689">"0609101713"</f>
        <v>0609101713</v>
      </c>
      <c r="B12948" t="str">
        <f t="shared" ref="B12948:B12955" si="4690">"ARMANI"</f>
        <v>ARMANI</v>
      </c>
      <c r="C12948" t="str">
        <f t="shared" ref="C12948:C12963" si="4691">"PARRISH"</f>
        <v>PARRISH</v>
      </c>
      <c r="D12948">
        <f>11</f>
        <v>11</v>
      </c>
      <c r="E12948" t="str">
        <f>"04 - A - 102 - Jeffrey S Gallagher"</f>
        <v>04 - A - 102 - Jeffrey S Gallagher</v>
      </c>
      <c r="F12948" t="str">
        <f>"ENG HON 3"</f>
        <v>ENG HON 3</v>
      </c>
      <c r="G12948" t="str">
        <f>"17-1724"</f>
        <v>17-1724</v>
      </c>
      <c r="H12948" t="str">
        <f>"A"</f>
        <v>A</v>
      </c>
    </row>
    <row r="12949" spans="1:8" x14ac:dyDescent="0.2">
      <c r="A12949" t="str">
        <f t="shared" si="4689"/>
        <v>0609101713</v>
      </c>
      <c r="B12949" t="str">
        <f t="shared" si="4690"/>
        <v>ARMANI</v>
      </c>
      <c r="C12949" t="str">
        <f t="shared" si="4691"/>
        <v>PARRISH</v>
      </c>
      <c r="D12949">
        <f>11</f>
        <v>11</v>
      </c>
      <c r="E12949" t="str">
        <f>"06 - B - 002 - Kyle  Robbins"</f>
        <v>06 - B - 002 - Kyle  Robbins</v>
      </c>
      <c r="F12949" t="str">
        <f>"US HISTORY HON"</f>
        <v>US HISTORY HON</v>
      </c>
      <c r="G12949" t="str">
        <f>"17-1745"</f>
        <v>17-1745</v>
      </c>
      <c r="H12949" t="str">
        <f>"B"</f>
        <v>B</v>
      </c>
    </row>
    <row r="12950" spans="1:8" x14ac:dyDescent="0.2">
      <c r="A12950" t="str">
        <f t="shared" si="4689"/>
        <v>0609101713</v>
      </c>
      <c r="B12950" t="str">
        <f t="shared" si="4690"/>
        <v>ARMANI</v>
      </c>
      <c r="C12950" t="str">
        <f t="shared" si="4691"/>
        <v>PARRISH</v>
      </c>
      <c r="D12950">
        <f>11</f>
        <v>11</v>
      </c>
      <c r="E12950" t="str">
        <f>"03 - A - 101 - Jazmin S Fletcher"</f>
        <v>03 - A - 101 - Jazmin S Fletcher</v>
      </c>
      <c r="F12950" t="str">
        <f>"TECH THEA DES&amp;PROD 1"</f>
        <v>TECH THEA DES&amp;PROD 1</v>
      </c>
      <c r="G12950" t="str">
        <f>"09-909"</f>
        <v>09-909</v>
      </c>
      <c r="H12950" t="str">
        <f>"A"</f>
        <v>A</v>
      </c>
    </row>
    <row r="12951" spans="1:8" x14ac:dyDescent="0.2">
      <c r="A12951" t="str">
        <f t="shared" si="4689"/>
        <v>0609101713</v>
      </c>
      <c r="B12951" t="str">
        <f t="shared" si="4690"/>
        <v>ARMANI</v>
      </c>
      <c r="C12951" t="str">
        <f t="shared" si="4691"/>
        <v>PARRISH</v>
      </c>
      <c r="D12951">
        <f>11</f>
        <v>11</v>
      </c>
      <c r="E12951" t="str">
        <f>"02 - A - 102 - Brook E Goren"</f>
        <v>02 - A - 102 - Brook E Goren</v>
      </c>
      <c r="F12951" t="str">
        <f>"NC STUDY HALL 1"</f>
        <v>NC STUDY HALL 1</v>
      </c>
      <c r="G12951" t="str">
        <f>"21-2158"</f>
        <v>21-2158</v>
      </c>
      <c r="H12951" t="str">
        <f>"A"</f>
        <v>A</v>
      </c>
    </row>
    <row r="12952" spans="1:8" x14ac:dyDescent="0.2">
      <c r="A12952" t="str">
        <f t="shared" si="4689"/>
        <v>0609101713</v>
      </c>
      <c r="B12952" t="str">
        <f t="shared" si="4690"/>
        <v>ARMANI</v>
      </c>
      <c r="C12952" t="str">
        <f t="shared" si="4691"/>
        <v>PARRISH</v>
      </c>
      <c r="D12952">
        <f>11</f>
        <v>11</v>
      </c>
      <c r="E12952" t="str">
        <f>"07 - B - 105 - Cliffon  Saurel"</f>
        <v>07 - B - 105 - Cliffon  Saurel</v>
      </c>
      <c r="F12952" t="str">
        <f>"PHYSICAL SCI"</f>
        <v>PHYSICAL SCI</v>
      </c>
      <c r="G12952" t="str">
        <f>"05-522"</f>
        <v>05-522</v>
      </c>
      <c r="H12952" t="str">
        <f>"B"</f>
        <v>B</v>
      </c>
    </row>
    <row r="12953" spans="1:8" x14ac:dyDescent="0.2">
      <c r="A12953" t="str">
        <f t="shared" si="4689"/>
        <v>0609101713</v>
      </c>
      <c r="B12953" t="str">
        <f t="shared" si="4690"/>
        <v>ARMANI</v>
      </c>
      <c r="C12953" t="str">
        <f t="shared" si="4691"/>
        <v>PARRISH</v>
      </c>
      <c r="D12953">
        <f>11</f>
        <v>11</v>
      </c>
      <c r="E12953" t="str">
        <f>"05 - B - 104 - Joe  Kilpatrick Jr"</f>
        <v>05 - B - 104 - Joe  Kilpatrick Jr</v>
      </c>
      <c r="F12953" t="str">
        <f>"PRE-AICE SPAN 1 IG"</f>
        <v>PRE-AICE SPAN 1 IG</v>
      </c>
      <c r="G12953" t="str">
        <f>"09-912"</f>
        <v>09-912</v>
      </c>
      <c r="H12953" t="str">
        <f>"B"</f>
        <v>B</v>
      </c>
    </row>
    <row r="12954" spans="1:8" x14ac:dyDescent="0.2">
      <c r="A12954" t="str">
        <f t="shared" si="4689"/>
        <v>0609101713</v>
      </c>
      <c r="B12954" t="str">
        <f t="shared" si="4690"/>
        <v>ARMANI</v>
      </c>
      <c r="C12954" t="str">
        <f t="shared" si="4691"/>
        <v>PARRISH</v>
      </c>
      <c r="D12954">
        <f>11</f>
        <v>11</v>
      </c>
      <c r="E12954" t="str">
        <f>"01 - A - 101 - Ferrie J Arostique"</f>
        <v>01 - A - 101 - Ferrie J Arostique</v>
      </c>
      <c r="F12954" t="str">
        <f>"GEOMETRY"</f>
        <v>GEOMETRY</v>
      </c>
      <c r="G12954" t="str">
        <f>"21-2139"</f>
        <v>21-2139</v>
      </c>
      <c r="H12954" t="str">
        <f>"A"</f>
        <v>A</v>
      </c>
    </row>
    <row r="12955" spans="1:8" x14ac:dyDescent="0.2">
      <c r="A12955" t="str">
        <f t="shared" si="4689"/>
        <v>0609101713</v>
      </c>
      <c r="B12955" t="str">
        <f t="shared" si="4690"/>
        <v>ARMANI</v>
      </c>
      <c r="C12955" t="str">
        <f t="shared" si="4691"/>
        <v>PARRISH</v>
      </c>
      <c r="D12955">
        <f>11</f>
        <v>11</v>
      </c>
      <c r="E12955" t="str">
        <f>"08 - B - 001 - Chrystina M Marchionne"</f>
        <v>08 - B - 001 - Chrystina M Marchionne</v>
      </c>
      <c r="F12955" t="str">
        <f>"JOURN 1 (YB) LH"</f>
        <v>JOURN 1 (YB) LH</v>
      </c>
      <c r="G12955" t="str">
        <f>"05-520"</f>
        <v>05-520</v>
      </c>
      <c r="H12955" t="str">
        <f>"B"</f>
        <v>B</v>
      </c>
    </row>
    <row r="12956" spans="1:8" x14ac:dyDescent="0.2">
      <c r="A12956" t="str">
        <f t="shared" ref="A12956:A12963" si="4692">"0616091345"</f>
        <v>0616091345</v>
      </c>
      <c r="B12956" t="str">
        <f t="shared" ref="B12956:B12963" si="4693">"SARAH"</f>
        <v>SARAH</v>
      </c>
      <c r="C12956" t="str">
        <f t="shared" si="4691"/>
        <v>PARRISH</v>
      </c>
      <c r="D12956" t="str">
        <f t="shared" ref="D12956:D12979" si="4694">"09"</f>
        <v>09</v>
      </c>
      <c r="E12956" t="str">
        <f>"04 - A - 105 - Carol S Moore"</f>
        <v>04 - A - 105 - Carol S Moore</v>
      </c>
      <c r="F12956" t="str">
        <f>"PRE-AICE WRLD HST IG"</f>
        <v>PRE-AICE WRLD HST IG</v>
      </c>
      <c r="G12956" t="str">
        <f>"17-1733"</f>
        <v>17-1733</v>
      </c>
      <c r="H12956" t="str">
        <f>"A"</f>
        <v>A</v>
      </c>
    </row>
    <row r="12957" spans="1:8" x14ac:dyDescent="0.2">
      <c r="A12957" t="str">
        <f t="shared" si="4692"/>
        <v>0616091345</v>
      </c>
      <c r="B12957" t="str">
        <f t="shared" si="4693"/>
        <v>SARAH</v>
      </c>
      <c r="C12957" t="str">
        <f t="shared" si="4691"/>
        <v>PARRISH</v>
      </c>
      <c r="D12957" t="str">
        <f t="shared" si="4694"/>
        <v>09</v>
      </c>
      <c r="E12957" t="str">
        <f>"06 - B - 105 - Cerine S Stewart"</f>
        <v>06 - B - 105 - Cerine S Stewart</v>
      </c>
      <c r="F12957" t="str">
        <f>"AICE ENG GEN PAPER 1"</f>
        <v>AICE ENG GEN PAPER 1</v>
      </c>
      <c r="G12957" t="str">
        <f>"17-1720"</f>
        <v>17-1720</v>
      </c>
      <c r="H12957" t="str">
        <f>"B"</f>
        <v>B</v>
      </c>
    </row>
    <row r="12958" spans="1:8" x14ac:dyDescent="0.2">
      <c r="A12958" t="str">
        <f t="shared" si="4692"/>
        <v>0616091345</v>
      </c>
      <c r="B12958" t="str">
        <f t="shared" si="4693"/>
        <v>SARAH</v>
      </c>
      <c r="C12958" t="str">
        <f t="shared" si="4691"/>
        <v>PARRISH</v>
      </c>
      <c r="D12958" t="str">
        <f t="shared" si="4694"/>
        <v>09</v>
      </c>
      <c r="E12958" t="str">
        <f>"03 - S1 - A - 102 - Leslie J Barton"</f>
        <v>03 - S1 - A - 102 - Leslie J Barton</v>
      </c>
      <c r="F12958" t="str">
        <f>"FIRST AID SAFETY"</f>
        <v>FIRST AID SAFETY</v>
      </c>
      <c r="G12958" t="str">
        <f>"05-521"</f>
        <v>05-521</v>
      </c>
      <c r="H12958" t="str">
        <f>"A"</f>
        <v>A</v>
      </c>
    </row>
    <row r="12959" spans="1:8" x14ac:dyDescent="0.2">
      <c r="A12959" t="str">
        <f t="shared" si="4692"/>
        <v>0616091345</v>
      </c>
      <c r="B12959" t="str">
        <f t="shared" si="4693"/>
        <v>SARAH</v>
      </c>
      <c r="C12959" t="str">
        <f t="shared" si="4691"/>
        <v>PARRISH</v>
      </c>
      <c r="D12959" t="str">
        <f t="shared" si="4694"/>
        <v>09</v>
      </c>
      <c r="E12959" t="str">
        <f>"02 - A - 115 - Lourivaldo  Da Silva"</f>
        <v>02 - A - 115 - Lourivaldo  Da Silva</v>
      </c>
      <c r="F12959" t="str">
        <f>"NC STUDY HALL 1"</f>
        <v>NC STUDY HALL 1</v>
      </c>
      <c r="G12959" t="str">
        <f>"20-2079"</f>
        <v>20-2079</v>
      </c>
      <c r="H12959" t="str">
        <f>"A"</f>
        <v>A</v>
      </c>
    </row>
    <row r="12960" spans="1:8" x14ac:dyDescent="0.2">
      <c r="A12960" t="str">
        <f t="shared" si="4692"/>
        <v>0616091345</v>
      </c>
      <c r="B12960" t="str">
        <f t="shared" si="4693"/>
        <v>SARAH</v>
      </c>
      <c r="C12960" t="str">
        <f t="shared" si="4691"/>
        <v>PARRISH</v>
      </c>
      <c r="D12960" t="str">
        <f t="shared" si="4694"/>
        <v>09</v>
      </c>
      <c r="E12960" t="str">
        <f>"07 - B - 107 - Marius D Orsolini"</f>
        <v>07 - B - 107 - Marius D Orsolini</v>
      </c>
      <c r="F12960" t="str">
        <f>"CULINARY ARTS 1"</f>
        <v>CULINARY ARTS 1</v>
      </c>
      <c r="G12960" t="str">
        <f>"21-2115"</f>
        <v>21-2115</v>
      </c>
      <c r="H12960" t="str">
        <f>"B"</f>
        <v>B</v>
      </c>
    </row>
    <row r="12961" spans="1:8" x14ac:dyDescent="0.2">
      <c r="A12961" t="str">
        <f t="shared" si="4692"/>
        <v>0616091345</v>
      </c>
      <c r="B12961" t="str">
        <f t="shared" si="4693"/>
        <v>SARAH</v>
      </c>
      <c r="C12961" t="str">
        <f t="shared" si="4691"/>
        <v>PARRISH</v>
      </c>
      <c r="D12961" t="str">
        <f t="shared" si="4694"/>
        <v>09</v>
      </c>
      <c r="E12961" t="str">
        <f>"05 - B - 103 - Josiah I Lacy"</f>
        <v>05 - B - 103 - Josiah I Lacy</v>
      </c>
      <c r="F12961" t="str">
        <f>"PRE-AICE BIO IG"</f>
        <v>PRE-AICE BIO IG</v>
      </c>
      <c r="G12961" t="str">
        <f>"08-801"</f>
        <v>08-801</v>
      </c>
      <c r="H12961" t="str">
        <f>"B"</f>
        <v>B</v>
      </c>
    </row>
    <row r="12962" spans="1:8" x14ac:dyDescent="0.2">
      <c r="A12962" t="str">
        <f t="shared" si="4692"/>
        <v>0616091345</v>
      </c>
      <c r="B12962" t="str">
        <f t="shared" si="4693"/>
        <v>SARAH</v>
      </c>
      <c r="C12962" t="str">
        <f t="shared" si="4691"/>
        <v>PARRISH</v>
      </c>
      <c r="D12962" t="str">
        <f t="shared" si="4694"/>
        <v>09</v>
      </c>
      <c r="E12962" t="str">
        <f>"01 - A - 101 - Joe  Kilpatrick Jr"</f>
        <v>01 - A - 101 - Joe  Kilpatrick Jr</v>
      </c>
      <c r="F12962" t="str">
        <f>"PRE-AICE SPAN 1 IG"</f>
        <v>PRE-AICE SPAN 1 IG</v>
      </c>
      <c r="G12962" t="str">
        <f>"09-912"</f>
        <v>09-912</v>
      </c>
      <c r="H12962" t="str">
        <f>"A"</f>
        <v>A</v>
      </c>
    </row>
    <row r="12963" spans="1:8" x14ac:dyDescent="0.2">
      <c r="A12963" t="str">
        <f t="shared" si="4692"/>
        <v>0616091345</v>
      </c>
      <c r="B12963" t="str">
        <f t="shared" si="4693"/>
        <v>SARAH</v>
      </c>
      <c r="C12963" t="str">
        <f t="shared" si="4691"/>
        <v>PARRISH</v>
      </c>
      <c r="D12963" t="str">
        <f t="shared" si="4694"/>
        <v>09</v>
      </c>
      <c r="E12963" t="str">
        <f>"08 - B - 107 - Brook E Goren"</f>
        <v>08 - B - 107 - Brook E Goren</v>
      </c>
      <c r="F12963" t="str">
        <f>"GEOMETRY"</f>
        <v>GEOMETRY</v>
      </c>
      <c r="G12963" t="str">
        <f>"21-2158"</f>
        <v>21-2158</v>
      </c>
      <c r="H12963" t="str">
        <f>"B"</f>
        <v>B</v>
      </c>
    </row>
    <row r="12964" spans="1:8" x14ac:dyDescent="0.2">
      <c r="A12964" t="str">
        <f t="shared" ref="A12964:A12971" si="4695">"0617016000"</f>
        <v>0617016000</v>
      </c>
      <c r="B12964" t="str">
        <f t="shared" ref="B12964:B12971" si="4696">"CAI'YENNE"</f>
        <v>CAI'YENNE</v>
      </c>
      <c r="C12964" t="str">
        <f t="shared" ref="C12964:C12971" si="4697">"PATTERSON"</f>
        <v>PATTERSON</v>
      </c>
      <c r="D12964" t="str">
        <f t="shared" si="4694"/>
        <v>09</v>
      </c>
      <c r="E12964" t="str">
        <f>"04 - A - 104 - Adam Marcus  Drucker"</f>
        <v>04 - A - 104 - Adam Marcus  Drucker</v>
      </c>
      <c r="F12964" t="str">
        <f>"HOPE-PE V"</f>
        <v>HOPE-PE V</v>
      </c>
      <c r="G12964" t="str">
        <f>"04-254"</f>
        <v>04-254</v>
      </c>
      <c r="H12964" t="str">
        <f>"A"</f>
        <v>A</v>
      </c>
    </row>
    <row r="12965" spans="1:8" x14ac:dyDescent="0.2">
      <c r="A12965" t="str">
        <f t="shared" si="4695"/>
        <v>0617016000</v>
      </c>
      <c r="B12965" t="str">
        <f t="shared" si="4696"/>
        <v>CAI'YENNE</v>
      </c>
      <c r="C12965" t="str">
        <f t="shared" si="4697"/>
        <v>PATTERSON</v>
      </c>
      <c r="D12965" t="str">
        <f t="shared" si="4694"/>
        <v>09</v>
      </c>
      <c r="E12965" t="str">
        <f>"06 - B - 105 - Tina L Lovett"</f>
        <v>06 - B - 105 - Tina L Lovett</v>
      </c>
      <c r="F12965" t="str">
        <f>"FDN SKLS MATH 9-12"</f>
        <v>FDN SKLS MATH 9-12</v>
      </c>
      <c r="G12965" t="str">
        <f>"21-2153"</f>
        <v>21-2153</v>
      </c>
      <c r="H12965" t="str">
        <f>"B"</f>
        <v>B</v>
      </c>
    </row>
    <row r="12966" spans="1:8" x14ac:dyDescent="0.2">
      <c r="A12966" t="str">
        <f t="shared" si="4695"/>
        <v>0617016000</v>
      </c>
      <c r="B12966" t="str">
        <f t="shared" si="4696"/>
        <v>CAI'YENNE</v>
      </c>
      <c r="C12966" t="str">
        <f t="shared" si="4697"/>
        <v>PATTERSON</v>
      </c>
      <c r="D12966" t="str">
        <f t="shared" si="4694"/>
        <v>09</v>
      </c>
      <c r="E12966" t="str">
        <f>"03 - A - 101 - Eva T Rimmer"</f>
        <v>03 - A - 101 - Eva T Rimmer</v>
      </c>
      <c r="F12966" t="str">
        <f>"CRIMINAL JUST OPS 1"</f>
        <v>CRIMINAL JUST OPS 1</v>
      </c>
      <c r="G12966" t="str">
        <f>"05-523"</f>
        <v>05-523</v>
      </c>
      <c r="H12966" t="str">
        <f>"A"</f>
        <v>A</v>
      </c>
    </row>
    <row r="12967" spans="1:8" x14ac:dyDescent="0.2">
      <c r="A12967" t="str">
        <f t="shared" si="4695"/>
        <v>0617016000</v>
      </c>
      <c r="B12967" t="str">
        <f t="shared" si="4696"/>
        <v>CAI'YENNE</v>
      </c>
      <c r="C12967" t="str">
        <f t="shared" si="4697"/>
        <v>PATTERSON</v>
      </c>
      <c r="D12967" t="str">
        <f t="shared" si="4694"/>
        <v>09</v>
      </c>
      <c r="E12967" t="str">
        <f>"02 - A - 114 - Laselleda D Shaw"</f>
        <v>02 - A - 114 - Laselleda D Shaw</v>
      </c>
      <c r="F12967" t="str">
        <f>"NC STUDY HALL 1"</f>
        <v>NC STUDY HALL 1</v>
      </c>
      <c r="G12967" t="str">
        <f>"17-1723"</f>
        <v>17-1723</v>
      </c>
      <c r="H12967" t="str">
        <f>"A"</f>
        <v>A</v>
      </c>
    </row>
    <row r="12968" spans="1:8" x14ac:dyDescent="0.2">
      <c r="A12968" t="str">
        <f t="shared" si="4695"/>
        <v>0617016000</v>
      </c>
      <c r="B12968" t="str">
        <f t="shared" si="4696"/>
        <v>CAI'YENNE</v>
      </c>
      <c r="C12968" t="str">
        <f t="shared" si="4697"/>
        <v>PATTERSON</v>
      </c>
      <c r="D12968" t="str">
        <f t="shared" si="4694"/>
        <v>09</v>
      </c>
      <c r="E12968" t="str">
        <f>"07 - B - 003 - Samantha J Headley"</f>
        <v>07 - B - 003 - Samantha J Headley</v>
      </c>
      <c r="F12968" t="str">
        <f>"ENV SCI"</f>
        <v>ENV SCI</v>
      </c>
      <c r="G12968" t="str">
        <f>"08-802"</f>
        <v>08-802</v>
      </c>
      <c r="H12968" t="str">
        <f>"B"</f>
        <v>B</v>
      </c>
    </row>
    <row r="12969" spans="1:8" x14ac:dyDescent="0.2">
      <c r="A12969" t="str">
        <f t="shared" si="4695"/>
        <v>0617016000</v>
      </c>
      <c r="B12969" t="str">
        <f t="shared" si="4696"/>
        <v>CAI'YENNE</v>
      </c>
      <c r="C12969" t="str">
        <f t="shared" si="4697"/>
        <v>PATTERSON</v>
      </c>
      <c r="D12969" t="str">
        <f t="shared" si="4694"/>
        <v>09</v>
      </c>
      <c r="E12969" t="str">
        <f>"05 - B - 104 - Cerine S Stewart"</f>
        <v>05 - B - 104 - Cerine S Stewart</v>
      </c>
      <c r="F12969" t="str">
        <f>"ENG 1"</f>
        <v>ENG 1</v>
      </c>
      <c r="G12969" t="str">
        <f>"17-1720"</f>
        <v>17-1720</v>
      </c>
      <c r="H12969" t="str">
        <f>"B"</f>
        <v>B</v>
      </c>
    </row>
    <row r="12970" spans="1:8" x14ac:dyDescent="0.2">
      <c r="A12970" t="str">
        <f t="shared" si="4695"/>
        <v>0617016000</v>
      </c>
      <c r="B12970" t="str">
        <f t="shared" si="4696"/>
        <v>CAI'YENNE</v>
      </c>
      <c r="C12970" t="str">
        <f t="shared" si="4697"/>
        <v>PATTERSON</v>
      </c>
      <c r="D12970" t="str">
        <f t="shared" si="4694"/>
        <v>09</v>
      </c>
      <c r="E12970" t="str">
        <f>"01 - A - 101 - Tina L Lovett"</f>
        <v>01 - A - 101 - Tina L Lovett</v>
      </c>
      <c r="F12970" t="str">
        <f>"ALGEBRA 1"</f>
        <v>ALGEBRA 1</v>
      </c>
      <c r="G12970" t="str">
        <f>"21-2153"</f>
        <v>21-2153</v>
      </c>
      <c r="H12970" t="str">
        <f>"A"</f>
        <v>A</v>
      </c>
    </row>
    <row r="12971" spans="1:8" x14ac:dyDescent="0.2">
      <c r="A12971" t="str">
        <f t="shared" si="4695"/>
        <v>0617016000</v>
      </c>
      <c r="B12971" t="str">
        <f t="shared" si="4696"/>
        <v>CAI'YENNE</v>
      </c>
      <c r="C12971" t="str">
        <f t="shared" si="4697"/>
        <v>PATTERSON</v>
      </c>
      <c r="D12971" t="str">
        <f t="shared" si="4694"/>
        <v>09</v>
      </c>
      <c r="E12971" t="str">
        <f>"08 - B - 106 - Laselleda D Shaw"</f>
        <v>08 - B - 106 - Laselleda D Shaw</v>
      </c>
      <c r="F12971" t="str">
        <f>"INTENS READ 1"</f>
        <v>INTENS READ 1</v>
      </c>
      <c r="G12971" t="str">
        <f>"17-1723"</f>
        <v>17-1723</v>
      </c>
      <c r="H12971" t="str">
        <f>"B"</f>
        <v>B</v>
      </c>
    </row>
    <row r="12972" spans="1:8" x14ac:dyDescent="0.2">
      <c r="A12972" t="str">
        <f t="shared" ref="A12972:A12979" si="4698">"0615048908"</f>
        <v>0615048908</v>
      </c>
      <c r="B12972" t="str">
        <f t="shared" ref="B12972:B12979" si="4699">"AKAYLA"</f>
        <v>AKAYLA</v>
      </c>
      <c r="C12972" t="str">
        <f t="shared" ref="C12972:C13003" si="4700">"PAUL"</f>
        <v>PAUL</v>
      </c>
      <c r="D12972" t="str">
        <f t="shared" si="4694"/>
        <v>09</v>
      </c>
      <c r="E12972" t="str">
        <f>"04 - A - 103 - Lenecy  Nodarse"</f>
        <v>04 - A - 103 - Lenecy  Nodarse</v>
      </c>
      <c r="F12972" t="str">
        <f>"WORLD HISTORY"</f>
        <v>WORLD HISTORY</v>
      </c>
      <c r="G12972" t="str">
        <f>"17-1741"</f>
        <v>17-1741</v>
      </c>
      <c r="H12972" t="str">
        <f>"A"</f>
        <v>A</v>
      </c>
    </row>
    <row r="12973" spans="1:8" x14ac:dyDescent="0.2">
      <c r="A12973" t="str">
        <f t="shared" si="4698"/>
        <v>0615048908</v>
      </c>
      <c r="B12973" t="str">
        <f t="shared" si="4699"/>
        <v>AKAYLA</v>
      </c>
      <c r="C12973" t="str">
        <f t="shared" si="4700"/>
        <v>PAUL</v>
      </c>
      <c r="D12973" t="str">
        <f t="shared" si="4694"/>
        <v>09</v>
      </c>
      <c r="E12973" t="str">
        <f>"06 - B - 105 - Tina L Lovett"</f>
        <v>06 - B - 105 - Tina L Lovett</v>
      </c>
      <c r="F12973" t="str">
        <f>"FDN SKLS MATH 9-12"</f>
        <v>FDN SKLS MATH 9-12</v>
      </c>
      <c r="G12973" t="str">
        <f>"21-2153"</f>
        <v>21-2153</v>
      </c>
      <c r="H12973" t="str">
        <f>"B"</f>
        <v>B</v>
      </c>
    </row>
    <row r="12974" spans="1:8" x14ac:dyDescent="0.2">
      <c r="A12974" t="str">
        <f t="shared" si="4698"/>
        <v>0615048908</v>
      </c>
      <c r="B12974" t="str">
        <f t="shared" si="4699"/>
        <v>AKAYLA</v>
      </c>
      <c r="C12974" t="str">
        <f t="shared" si="4700"/>
        <v>PAUL</v>
      </c>
      <c r="D12974" t="str">
        <f t="shared" si="4694"/>
        <v>09</v>
      </c>
      <c r="E12974" t="str">
        <f>"03 - A - 102 - Laselleda D Shaw"</f>
        <v>03 - A - 102 - Laselleda D Shaw</v>
      </c>
      <c r="F12974" t="str">
        <f>"INTENS READ 1"</f>
        <v>INTENS READ 1</v>
      </c>
      <c r="G12974" t="str">
        <f>"17-1723"</f>
        <v>17-1723</v>
      </c>
      <c r="H12974" t="str">
        <f>"A"</f>
        <v>A</v>
      </c>
    </row>
    <row r="12975" spans="1:8" x14ac:dyDescent="0.2">
      <c r="A12975" t="str">
        <f t="shared" si="4698"/>
        <v>0615048908</v>
      </c>
      <c r="B12975" t="str">
        <f t="shared" si="4699"/>
        <v>AKAYLA</v>
      </c>
      <c r="C12975" t="str">
        <f t="shared" si="4700"/>
        <v>PAUL</v>
      </c>
      <c r="D12975" t="str">
        <f t="shared" si="4694"/>
        <v>09</v>
      </c>
      <c r="E12975" t="str">
        <f>"02 - A - 103 - Angela S Adeshina-Morrison"</f>
        <v>02 - A - 103 - Angela S Adeshina-Morrison</v>
      </c>
      <c r="F12975" t="str">
        <f>"NC STUDY HALL 1"</f>
        <v>NC STUDY HALL 1</v>
      </c>
      <c r="G12975" t="str">
        <f>"05-518"</f>
        <v>05-518</v>
      </c>
      <c r="H12975" t="str">
        <f>"A"</f>
        <v>A</v>
      </c>
    </row>
    <row r="12976" spans="1:8" x14ac:dyDescent="0.2">
      <c r="A12976" t="str">
        <f t="shared" si="4698"/>
        <v>0615048908</v>
      </c>
      <c r="B12976" t="str">
        <f t="shared" si="4699"/>
        <v>AKAYLA</v>
      </c>
      <c r="C12976" t="str">
        <f t="shared" si="4700"/>
        <v>PAUL</v>
      </c>
      <c r="D12976" t="str">
        <f t="shared" si="4694"/>
        <v>09</v>
      </c>
      <c r="E12976" t="str">
        <f>"07 - B - 003 - Samantha J Headley"</f>
        <v>07 - B - 003 - Samantha J Headley</v>
      </c>
      <c r="F12976" t="str">
        <f>"ENV SCI"</f>
        <v>ENV SCI</v>
      </c>
      <c r="G12976" t="str">
        <f>"08-802"</f>
        <v>08-802</v>
      </c>
      <c r="H12976" t="str">
        <f>"B"</f>
        <v>B</v>
      </c>
    </row>
    <row r="12977" spans="1:8" x14ac:dyDescent="0.2">
      <c r="A12977" t="str">
        <f t="shared" si="4698"/>
        <v>0615048908</v>
      </c>
      <c r="B12977" t="str">
        <f t="shared" si="4699"/>
        <v>AKAYLA</v>
      </c>
      <c r="C12977" t="str">
        <f t="shared" si="4700"/>
        <v>PAUL</v>
      </c>
      <c r="D12977" t="str">
        <f t="shared" si="4694"/>
        <v>09</v>
      </c>
      <c r="E12977" t="str">
        <f>"05 - B - 105 - Adam Marcus  Drucker"</f>
        <v>05 - B - 105 - Adam Marcus  Drucker</v>
      </c>
      <c r="F12977" t="str">
        <f>"HOPE-PE V"</f>
        <v>HOPE-PE V</v>
      </c>
      <c r="G12977" t="str">
        <f>"04-254"</f>
        <v>04-254</v>
      </c>
      <c r="H12977" t="str">
        <f>"B"</f>
        <v>B</v>
      </c>
    </row>
    <row r="12978" spans="1:8" x14ac:dyDescent="0.2">
      <c r="A12978" t="str">
        <f t="shared" si="4698"/>
        <v>0615048908</v>
      </c>
      <c r="B12978" t="str">
        <f t="shared" si="4699"/>
        <v>AKAYLA</v>
      </c>
      <c r="C12978" t="str">
        <f t="shared" si="4700"/>
        <v>PAUL</v>
      </c>
      <c r="D12978" t="str">
        <f t="shared" si="4694"/>
        <v>09</v>
      </c>
      <c r="E12978" t="str">
        <f>"01 - A - 101 - Tina L Lovett"</f>
        <v>01 - A - 101 - Tina L Lovett</v>
      </c>
      <c r="F12978" t="str">
        <f>"ALGEBRA 1"</f>
        <v>ALGEBRA 1</v>
      </c>
      <c r="G12978" t="str">
        <f>"21-2153"</f>
        <v>21-2153</v>
      </c>
      <c r="H12978" t="str">
        <f>"A"</f>
        <v>A</v>
      </c>
    </row>
    <row r="12979" spans="1:8" x14ac:dyDescent="0.2">
      <c r="A12979" t="str">
        <f t="shared" si="4698"/>
        <v>0615048908</v>
      </c>
      <c r="B12979" t="str">
        <f t="shared" si="4699"/>
        <v>AKAYLA</v>
      </c>
      <c r="C12979" t="str">
        <f t="shared" si="4700"/>
        <v>PAUL</v>
      </c>
      <c r="D12979" t="str">
        <f t="shared" si="4694"/>
        <v>09</v>
      </c>
      <c r="E12979" t="str">
        <f>"08 - B - 108 - Cerine S Stewart"</f>
        <v>08 - B - 108 - Cerine S Stewart</v>
      </c>
      <c r="F12979" t="str">
        <f>"ENG 1"</f>
        <v>ENG 1</v>
      </c>
      <c r="G12979" t="str">
        <f>"17-1720"</f>
        <v>17-1720</v>
      </c>
      <c r="H12979" t="str">
        <f>"B"</f>
        <v>B</v>
      </c>
    </row>
    <row r="12980" spans="1:8" x14ac:dyDescent="0.2">
      <c r="A12980" t="str">
        <f t="shared" ref="A12980:A12987" si="4701">"0616029361"</f>
        <v>0616029361</v>
      </c>
      <c r="B12980" t="str">
        <f t="shared" ref="B12980:B12987" si="4702">"LOURDES"</f>
        <v>LOURDES</v>
      </c>
      <c r="C12980" t="str">
        <f t="shared" si="4700"/>
        <v>PAUL</v>
      </c>
      <c r="D12980">
        <f>10</f>
        <v>10</v>
      </c>
      <c r="E12980" t="str">
        <f>"04 - A - 108 - Maried P Ramos"</f>
        <v>04 - A - 108 - Maried P Ramos</v>
      </c>
      <c r="F12980" t="str">
        <f>"GEOMETRY"</f>
        <v>GEOMETRY</v>
      </c>
      <c r="G12980" t="str">
        <f>"21-2159"</f>
        <v>21-2159</v>
      </c>
      <c r="H12980" t="str">
        <f>"A"</f>
        <v>A</v>
      </c>
    </row>
    <row r="12981" spans="1:8" x14ac:dyDescent="0.2">
      <c r="A12981" t="str">
        <f t="shared" si="4701"/>
        <v>0616029361</v>
      </c>
      <c r="B12981" t="str">
        <f t="shared" si="4702"/>
        <v>LOURDES</v>
      </c>
      <c r="C12981" t="str">
        <f t="shared" si="4700"/>
        <v>PAUL</v>
      </c>
      <c r="D12981">
        <f>10</f>
        <v>10</v>
      </c>
      <c r="E12981" t="str">
        <f>"06 - B - 001 - Ferrie J Arostique"</f>
        <v>06 - B - 001 - Ferrie J Arostique</v>
      </c>
      <c r="F12981" t="str">
        <f>"NC STUDY HALL 1"</f>
        <v>NC STUDY HALL 1</v>
      </c>
      <c r="G12981" t="str">
        <f>"21-2139"</f>
        <v>21-2139</v>
      </c>
      <c r="H12981" t="str">
        <f>"B"</f>
        <v>B</v>
      </c>
    </row>
    <row r="12982" spans="1:8" x14ac:dyDescent="0.2">
      <c r="A12982" t="str">
        <f t="shared" si="4701"/>
        <v>0616029361</v>
      </c>
      <c r="B12982" t="str">
        <f t="shared" si="4702"/>
        <v>LOURDES</v>
      </c>
      <c r="C12982" t="str">
        <f t="shared" si="4700"/>
        <v>PAUL</v>
      </c>
      <c r="D12982">
        <f>10</f>
        <v>10</v>
      </c>
      <c r="E12982" t="str">
        <f>"03 - A - 002 - Brandy N Zdenek"</f>
        <v>03 - A - 002 - Brandy N Zdenek</v>
      </c>
      <c r="F12982" t="str">
        <f>"AICE ENG LANG AS"</f>
        <v>AICE ENG LANG AS</v>
      </c>
      <c r="G12982" t="str">
        <f>"17-1704"</f>
        <v>17-1704</v>
      </c>
      <c r="H12982" t="str">
        <f>"A"</f>
        <v>A</v>
      </c>
    </row>
    <row r="12983" spans="1:8" x14ac:dyDescent="0.2">
      <c r="A12983" t="str">
        <f t="shared" si="4701"/>
        <v>0616029361</v>
      </c>
      <c r="B12983" t="str">
        <f t="shared" si="4702"/>
        <v>LOURDES</v>
      </c>
      <c r="C12983" t="str">
        <f t="shared" si="4700"/>
        <v>PAUL</v>
      </c>
      <c r="D12983">
        <f>10</f>
        <v>10</v>
      </c>
      <c r="E12983" t="str">
        <f>"02 - A - 205 - Emmily A Sarmiento"</f>
        <v>02 - A - 205 - Emmily A Sarmiento</v>
      </c>
      <c r="F12983" t="str">
        <f>"AICE GLBL PERSP 1 AS"</f>
        <v>AICE GLBL PERSP 1 AS</v>
      </c>
      <c r="G12983" t="str">
        <f>"17-1743"</f>
        <v>17-1743</v>
      </c>
      <c r="H12983" t="str">
        <f>"A"</f>
        <v>A</v>
      </c>
    </row>
    <row r="12984" spans="1:8" x14ac:dyDescent="0.2">
      <c r="A12984" t="str">
        <f t="shared" si="4701"/>
        <v>0616029361</v>
      </c>
      <c r="B12984" t="str">
        <f t="shared" si="4702"/>
        <v>LOURDES</v>
      </c>
      <c r="C12984" t="str">
        <f t="shared" si="4700"/>
        <v>PAUL</v>
      </c>
      <c r="D12984">
        <f>10</f>
        <v>10</v>
      </c>
      <c r="E12984" t="str">
        <f>"07 - B - 206 - Cheryl L Beach"</f>
        <v>07 - B - 206 - Cheryl L Beach</v>
      </c>
      <c r="F12984" t="str">
        <f>"AICE ENV MGMNT AS"</f>
        <v>AICE ENV MGMNT AS</v>
      </c>
      <c r="G12984" t="str">
        <f>"08-811"</f>
        <v>08-811</v>
      </c>
      <c r="H12984" t="str">
        <f>"B"</f>
        <v>B</v>
      </c>
    </row>
    <row r="12985" spans="1:8" x14ac:dyDescent="0.2">
      <c r="A12985" t="str">
        <f t="shared" si="4701"/>
        <v>0616029361</v>
      </c>
      <c r="B12985" t="str">
        <f t="shared" si="4702"/>
        <v>LOURDES</v>
      </c>
      <c r="C12985" t="str">
        <f t="shared" si="4700"/>
        <v>PAUL</v>
      </c>
      <c r="D12985">
        <f>10</f>
        <v>10</v>
      </c>
      <c r="E12985" t="str">
        <f>"05 - B - 105 - Marius D Orsolini"</f>
        <v>05 - B - 105 - Marius D Orsolini</v>
      </c>
      <c r="F12985" t="str">
        <f>"CULINARY ARTS 1"</f>
        <v>CULINARY ARTS 1</v>
      </c>
      <c r="G12985" t="str">
        <f>"21-2115"</f>
        <v>21-2115</v>
      </c>
      <c r="H12985" t="str">
        <f>"B"</f>
        <v>B</v>
      </c>
    </row>
    <row r="12986" spans="1:8" x14ac:dyDescent="0.2">
      <c r="A12986" t="str">
        <f t="shared" si="4701"/>
        <v>0616029361</v>
      </c>
      <c r="B12986" t="str">
        <f t="shared" si="4702"/>
        <v>LOURDES</v>
      </c>
      <c r="C12986" t="str">
        <f t="shared" si="4700"/>
        <v>PAUL</v>
      </c>
      <c r="D12986">
        <f>10</f>
        <v>10</v>
      </c>
      <c r="E12986" t="str">
        <f>"01 - A - 101 - Josiah I Lacy"</f>
        <v>01 - A - 101 - Josiah I Lacy</v>
      </c>
      <c r="F12986" t="str">
        <f>"PRE-AICE BIO IG"</f>
        <v>PRE-AICE BIO IG</v>
      </c>
      <c r="G12986" t="str">
        <f>"08-801"</f>
        <v>08-801</v>
      </c>
      <c r="H12986" t="str">
        <f>"A"</f>
        <v>A</v>
      </c>
    </row>
    <row r="12987" spans="1:8" x14ac:dyDescent="0.2">
      <c r="A12987" t="str">
        <f t="shared" si="4701"/>
        <v>0616029361</v>
      </c>
      <c r="B12987" t="str">
        <f t="shared" si="4702"/>
        <v>LOURDES</v>
      </c>
      <c r="C12987" t="str">
        <f t="shared" si="4700"/>
        <v>PAUL</v>
      </c>
      <c r="D12987">
        <f>10</f>
        <v>10</v>
      </c>
      <c r="E12987" t="str">
        <f>"08 - B - 202 - Dorothy D Moore"</f>
        <v>08 - B - 202 - Dorothy D Moore</v>
      </c>
      <c r="F12987" t="str">
        <f>"HEALTH SCI 1/A&amp;P HON"</f>
        <v>HEALTH SCI 1/A&amp;P HON</v>
      </c>
      <c r="G12987" t="str">
        <f>"08-803"</f>
        <v>08-803</v>
      </c>
      <c r="H12987" t="str">
        <f>"B"</f>
        <v>B</v>
      </c>
    </row>
    <row r="12988" spans="1:8" x14ac:dyDescent="0.2">
      <c r="A12988" t="str">
        <f t="shared" ref="A12988:A12995" si="4703">"0615025705"</f>
        <v>0615025705</v>
      </c>
      <c r="B12988" t="str">
        <f t="shared" ref="B12988:B12995" si="4704">"RAHNEA"</f>
        <v>RAHNEA</v>
      </c>
      <c r="C12988" t="str">
        <f t="shared" si="4700"/>
        <v>PAUL</v>
      </c>
      <c r="D12988">
        <f>10</f>
        <v>10</v>
      </c>
      <c r="E12988" t="str">
        <f>"04 - A - 104 - Dayna M Foster"</f>
        <v>04 - A - 104 - Dayna M Foster</v>
      </c>
      <c r="F12988" t="str">
        <f>"ALGEBRA 2"</f>
        <v>ALGEBRA 2</v>
      </c>
      <c r="G12988" t="str">
        <f>"21-2109"</f>
        <v>21-2109</v>
      </c>
      <c r="H12988" t="str">
        <f>"A"</f>
        <v>A</v>
      </c>
    </row>
    <row r="12989" spans="1:8" x14ac:dyDescent="0.2">
      <c r="A12989" t="str">
        <f t="shared" si="4703"/>
        <v>0615025705</v>
      </c>
      <c r="B12989" t="str">
        <f t="shared" si="4704"/>
        <v>RAHNEA</v>
      </c>
      <c r="C12989" t="str">
        <f t="shared" si="4700"/>
        <v>PAUL</v>
      </c>
      <c r="D12989">
        <f>10</f>
        <v>10</v>
      </c>
      <c r="E12989" t="str">
        <f>"06 - B - 109 - Semra  Bahadir"</f>
        <v>06 - B - 109 - Semra  Bahadir</v>
      </c>
      <c r="F12989" t="str">
        <f>"NC STUDY HALL 1"</f>
        <v>NC STUDY HALL 1</v>
      </c>
      <c r="G12989" t="str">
        <f>"21-2107"</f>
        <v>21-2107</v>
      </c>
      <c r="H12989" t="str">
        <f>"B"</f>
        <v>B</v>
      </c>
    </row>
    <row r="12990" spans="1:8" x14ac:dyDescent="0.2">
      <c r="A12990" t="str">
        <f t="shared" si="4703"/>
        <v>0615025705</v>
      </c>
      <c r="B12990" t="str">
        <f t="shared" si="4704"/>
        <v>RAHNEA</v>
      </c>
      <c r="C12990" t="str">
        <f t="shared" si="4700"/>
        <v>PAUL</v>
      </c>
      <c r="D12990">
        <f>10</f>
        <v>10</v>
      </c>
      <c r="E12990" t="str">
        <f>"03 - A - 101 - Eva T Rimmer"</f>
        <v>03 - A - 101 - Eva T Rimmer</v>
      </c>
      <c r="F12990" t="str">
        <f>"CRIMINAL JUST OPS 1"</f>
        <v>CRIMINAL JUST OPS 1</v>
      </c>
      <c r="G12990" t="str">
        <f>"05-523"</f>
        <v>05-523</v>
      </c>
      <c r="H12990" t="str">
        <f>"A"</f>
        <v>A</v>
      </c>
    </row>
    <row r="12991" spans="1:8" x14ac:dyDescent="0.2">
      <c r="A12991" t="str">
        <f t="shared" si="4703"/>
        <v>0615025705</v>
      </c>
      <c r="B12991" t="str">
        <f t="shared" si="4704"/>
        <v>RAHNEA</v>
      </c>
      <c r="C12991" t="str">
        <f t="shared" si="4700"/>
        <v>PAUL</v>
      </c>
      <c r="D12991">
        <f>10</f>
        <v>10</v>
      </c>
      <c r="E12991" t="str">
        <f>"02 - A - 102 - Vanessa J Liburd"</f>
        <v>02 - A - 102 - Vanessa J Liburd</v>
      </c>
      <c r="F12991" t="str">
        <f>"PRE-AICE FRENCH 2 IG"</f>
        <v>PRE-AICE FRENCH 2 IG</v>
      </c>
      <c r="G12991" t="str">
        <f>"05-519"</f>
        <v>05-519</v>
      </c>
      <c r="H12991" t="str">
        <f>"A"</f>
        <v>A</v>
      </c>
    </row>
    <row r="12992" spans="1:8" x14ac:dyDescent="0.2">
      <c r="A12992" t="str">
        <f t="shared" si="4703"/>
        <v>0615025705</v>
      </c>
      <c r="B12992" t="str">
        <f t="shared" si="4704"/>
        <v>RAHNEA</v>
      </c>
      <c r="C12992" t="str">
        <f t="shared" si="4700"/>
        <v>PAUL</v>
      </c>
      <c r="D12992">
        <f>10</f>
        <v>10</v>
      </c>
      <c r="E12992" t="str">
        <f>"07 - B - 102 - Nikiel  Nesbeth"</f>
        <v>07 - B - 102 - Nikiel  Nesbeth</v>
      </c>
      <c r="F12992" t="str">
        <f>"PRE-AICE ENG LIT IG"</f>
        <v>PRE-AICE ENG LIT IG</v>
      </c>
      <c r="G12992" t="str">
        <f>"17-1705"</f>
        <v>17-1705</v>
      </c>
      <c r="H12992" t="str">
        <f>"B"</f>
        <v>B</v>
      </c>
    </row>
    <row r="12993" spans="1:8" x14ac:dyDescent="0.2">
      <c r="A12993" t="str">
        <f t="shared" si="4703"/>
        <v>0615025705</v>
      </c>
      <c r="B12993" t="str">
        <f t="shared" si="4704"/>
        <v>RAHNEA</v>
      </c>
      <c r="C12993" t="str">
        <f t="shared" si="4700"/>
        <v>PAUL</v>
      </c>
      <c r="D12993">
        <f>10</f>
        <v>10</v>
      </c>
      <c r="E12993" t="str">
        <f>"05 - B - 001 - Stefanie S Scher"</f>
        <v>05 - B - 001 - Stefanie S Scher</v>
      </c>
      <c r="F12993" t="str">
        <f>"AICE PSYCH 1 AS"</f>
        <v>AICE PSYCH 1 AS</v>
      </c>
      <c r="G12993" t="str">
        <f>"17-1735"</f>
        <v>17-1735</v>
      </c>
      <c r="H12993" t="str">
        <f>"B"</f>
        <v>B</v>
      </c>
    </row>
    <row r="12994" spans="1:8" x14ac:dyDescent="0.2">
      <c r="A12994" t="str">
        <f t="shared" si="4703"/>
        <v>0615025705</v>
      </c>
      <c r="B12994" t="str">
        <f t="shared" si="4704"/>
        <v>RAHNEA</v>
      </c>
      <c r="C12994" t="str">
        <f t="shared" si="4700"/>
        <v>PAUL</v>
      </c>
      <c r="D12994">
        <f>10</f>
        <v>10</v>
      </c>
      <c r="E12994" t="str">
        <f>"01 - A - 107 - Valerie J Ruwe"</f>
        <v>01 - A - 107 - Valerie J Ruwe</v>
      </c>
      <c r="F12994" t="str">
        <f>"CHEMISTRY 1 HON"</f>
        <v>CHEMISTRY 1 HON</v>
      </c>
      <c r="G12994" t="str">
        <f>"21-2134"</f>
        <v>21-2134</v>
      </c>
      <c r="H12994" t="str">
        <f>"A"</f>
        <v>A</v>
      </c>
    </row>
    <row r="12995" spans="1:8" x14ac:dyDescent="0.2">
      <c r="A12995" t="str">
        <f t="shared" si="4703"/>
        <v>0615025705</v>
      </c>
      <c r="B12995" t="str">
        <f t="shared" si="4704"/>
        <v>RAHNEA</v>
      </c>
      <c r="C12995" t="str">
        <f t="shared" si="4700"/>
        <v>PAUL</v>
      </c>
      <c r="D12995">
        <f>10</f>
        <v>10</v>
      </c>
      <c r="E12995" t="str">
        <f>"08 - B - 202 - Brian M Fitzgerald"</f>
        <v>08 - B - 202 - Brian M Fitzgerald</v>
      </c>
      <c r="F12995" t="str">
        <f>"CERAM/POT 2"</f>
        <v>CERAM/POT 2</v>
      </c>
      <c r="G12995" t="str">
        <f>"09-908"</f>
        <v>09-908</v>
      </c>
      <c r="H12995" t="str">
        <f>"B"</f>
        <v>B</v>
      </c>
    </row>
    <row r="12996" spans="1:8" x14ac:dyDescent="0.2">
      <c r="A12996" t="str">
        <f t="shared" ref="A12996:A13003" si="4705">"0616070296"</f>
        <v>0616070296</v>
      </c>
      <c r="B12996" t="str">
        <f t="shared" ref="B12996:B13003" si="4706">"TYME"</f>
        <v>TYME</v>
      </c>
      <c r="C12996" t="str">
        <f t="shared" si="4700"/>
        <v>PAUL</v>
      </c>
      <c r="D12996" t="str">
        <f t="shared" ref="D12996:D13003" si="4707">"09"</f>
        <v>09</v>
      </c>
      <c r="E12996" t="str">
        <f>"04 - A - 102 - Elizabeth R Walker"</f>
        <v>04 - A - 102 - Elizabeth R Walker</v>
      </c>
      <c r="F12996" t="str">
        <f>"AICE ENG GEN PAPER 1"</f>
        <v>AICE ENG GEN PAPER 1</v>
      </c>
      <c r="G12996" t="str">
        <f>"17-1703"</f>
        <v>17-1703</v>
      </c>
      <c r="H12996" t="str">
        <f>"A"</f>
        <v>A</v>
      </c>
    </row>
    <row r="12997" spans="1:8" x14ac:dyDescent="0.2">
      <c r="A12997" t="str">
        <f t="shared" si="4705"/>
        <v>0616070296</v>
      </c>
      <c r="B12997" t="str">
        <f t="shared" si="4706"/>
        <v>TYME</v>
      </c>
      <c r="C12997" t="str">
        <f t="shared" si="4700"/>
        <v>PAUL</v>
      </c>
      <c r="D12997" t="str">
        <f t="shared" si="4707"/>
        <v>09</v>
      </c>
      <c r="E12997" t="str">
        <f>"06 - B - 104 - Lytrell T Dixon"</f>
        <v>06 - B - 104 - Lytrell T Dixon</v>
      </c>
      <c r="F12997" t="str">
        <f>"PRE-AICE BIO IG"</f>
        <v>PRE-AICE BIO IG</v>
      </c>
      <c r="G12997" t="str">
        <f>"08-808"</f>
        <v>08-808</v>
      </c>
      <c r="H12997" t="str">
        <f>"B"</f>
        <v>B</v>
      </c>
    </row>
    <row r="12998" spans="1:8" x14ac:dyDescent="0.2">
      <c r="A12998" t="str">
        <f t="shared" si="4705"/>
        <v>0616070296</v>
      </c>
      <c r="B12998" t="str">
        <f t="shared" si="4706"/>
        <v>TYME</v>
      </c>
      <c r="C12998" t="str">
        <f t="shared" si="4700"/>
        <v>PAUL</v>
      </c>
      <c r="D12998" t="str">
        <f t="shared" si="4707"/>
        <v>09</v>
      </c>
      <c r="E12998" t="str">
        <f>"03 - A - 001 - Maried P Ramos"</f>
        <v>03 - A - 001 - Maried P Ramos</v>
      </c>
      <c r="F12998" t="str">
        <f>"PRE-AICE MATH 2 IG"</f>
        <v>PRE-AICE MATH 2 IG</v>
      </c>
      <c r="G12998" t="str">
        <f>"21-2159"</f>
        <v>21-2159</v>
      </c>
      <c r="H12998" t="str">
        <f>"A"</f>
        <v>A</v>
      </c>
    </row>
    <row r="12999" spans="1:8" x14ac:dyDescent="0.2">
      <c r="A12999" t="str">
        <f t="shared" si="4705"/>
        <v>0616070296</v>
      </c>
      <c r="B12999" t="str">
        <f t="shared" si="4706"/>
        <v>TYME</v>
      </c>
      <c r="C12999" t="str">
        <f t="shared" si="4700"/>
        <v>PAUL</v>
      </c>
      <c r="D12999" t="str">
        <f t="shared" si="4707"/>
        <v>09</v>
      </c>
      <c r="E12999" t="str">
        <f>"02 - A - 112 - Cheryl Anne  Berman-Schechter"</f>
        <v>02 - A - 112 - Cheryl Anne  Berman-Schechter</v>
      </c>
      <c r="F12999" t="str">
        <f>"NC STUDY HALL 1"</f>
        <v>NC STUDY HALL 1</v>
      </c>
      <c r="G12999" t="str">
        <f>"17-1722"</f>
        <v>17-1722</v>
      </c>
      <c r="H12999" t="str">
        <f>"A"</f>
        <v>A</v>
      </c>
    </row>
    <row r="13000" spans="1:8" x14ac:dyDescent="0.2">
      <c r="A13000" t="str">
        <f t="shared" si="4705"/>
        <v>0616070296</v>
      </c>
      <c r="B13000" t="str">
        <f t="shared" si="4706"/>
        <v>TYME</v>
      </c>
      <c r="C13000" t="str">
        <f t="shared" si="4700"/>
        <v>PAUL</v>
      </c>
      <c r="D13000" t="str">
        <f t="shared" si="4707"/>
        <v>09</v>
      </c>
      <c r="E13000" t="str">
        <f>"07 - B - 101 - Jeanne M Bermudez"</f>
        <v>07 - B - 101 - Jeanne M Bermudez</v>
      </c>
      <c r="F13000" t="str">
        <f>"FOUND OF PROGRAM HON"</f>
        <v>FOUND OF PROGRAM HON</v>
      </c>
      <c r="G13000" t="str">
        <f>"21-2141"</f>
        <v>21-2141</v>
      </c>
      <c r="H13000" t="str">
        <f>"B"</f>
        <v>B</v>
      </c>
    </row>
    <row r="13001" spans="1:8" x14ac:dyDescent="0.2">
      <c r="A13001" t="str">
        <f t="shared" si="4705"/>
        <v>0616070296</v>
      </c>
      <c r="B13001" t="str">
        <f t="shared" si="4706"/>
        <v>TYME</v>
      </c>
      <c r="C13001" t="str">
        <f t="shared" si="4700"/>
        <v>PAUL</v>
      </c>
      <c r="D13001" t="str">
        <f t="shared" si="4707"/>
        <v>09</v>
      </c>
      <c r="E13001" t="str">
        <f>"05 - B - 103 - Rory T Sponsler"</f>
        <v>05 - B - 103 - Rory T Sponsler</v>
      </c>
      <c r="F13001" t="str">
        <f>"PRE-AICE WRLD HST IG"</f>
        <v>PRE-AICE WRLD HST IG</v>
      </c>
      <c r="G13001" t="str">
        <f>"17-1740"</f>
        <v>17-1740</v>
      </c>
      <c r="H13001" t="str">
        <f>"B"</f>
        <v>B</v>
      </c>
    </row>
    <row r="13002" spans="1:8" x14ac:dyDescent="0.2">
      <c r="A13002" t="str">
        <f t="shared" si="4705"/>
        <v>0616070296</v>
      </c>
      <c r="B13002" t="str">
        <f t="shared" si="4706"/>
        <v>TYME</v>
      </c>
      <c r="C13002" t="str">
        <f t="shared" si="4700"/>
        <v>PAUL</v>
      </c>
      <c r="D13002" t="str">
        <f t="shared" si="4707"/>
        <v>09</v>
      </c>
      <c r="E13002" t="str">
        <f>"01 - A - 101 - Marius D Orsolini"</f>
        <v>01 - A - 101 - Marius D Orsolini</v>
      </c>
      <c r="F13002" t="str">
        <f>"CULINARY ARTS 1"</f>
        <v>CULINARY ARTS 1</v>
      </c>
      <c r="G13002" t="str">
        <f>"21-2115"</f>
        <v>21-2115</v>
      </c>
      <c r="H13002" t="str">
        <f>"A"</f>
        <v>A</v>
      </c>
    </row>
    <row r="13003" spans="1:8" x14ac:dyDescent="0.2">
      <c r="A13003" t="str">
        <f t="shared" si="4705"/>
        <v>0616070296</v>
      </c>
      <c r="B13003" t="str">
        <f t="shared" si="4706"/>
        <v>TYME</v>
      </c>
      <c r="C13003" t="str">
        <f t="shared" si="4700"/>
        <v>PAUL</v>
      </c>
      <c r="D13003" t="str">
        <f t="shared" si="4707"/>
        <v>09</v>
      </c>
      <c r="E13003" t="str">
        <f>"08 - B - 201 - Tina M Jaramillo"</f>
        <v>08 - B - 201 - Tina M Jaramillo</v>
      </c>
      <c r="F13003" t="str">
        <f>"CREATIVE WRIT 3 HON"</f>
        <v>CREATIVE WRIT 3 HON</v>
      </c>
      <c r="G13003" t="str">
        <f>"17-1706"</f>
        <v>17-1706</v>
      </c>
      <c r="H13003" t="str">
        <f>"B"</f>
        <v>B</v>
      </c>
    </row>
    <row r="13004" spans="1:8" x14ac:dyDescent="0.2">
      <c r="A13004" t="str">
        <f t="shared" ref="A13004:A13011" si="4708">"0616039926"</f>
        <v>0616039926</v>
      </c>
      <c r="B13004" t="str">
        <f t="shared" ref="B13004:B13011" si="4709">"AIDEN"</f>
        <v>AIDEN</v>
      </c>
      <c r="C13004" t="str">
        <f t="shared" ref="C13004:C13011" si="4710">"PAULINO"</f>
        <v>PAULINO</v>
      </c>
      <c r="D13004">
        <f>10</f>
        <v>10</v>
      </c>
      <c r="E13004" t="str">
        <f>"04 - A - 104 - Nikiel  Nesbeth"</f>
        <v>04 - A - 104 - Nikiel  Nesbeth</v>
      </c>
      <c r="F13004" t="str">
        <f>"ENG 2"</f>
        <v>ENG 2</v>
      </c>
      <c r="G13004" t="str">
        <f>"17-1705"</f>
        <v>17-1705</v>
      </c>
      <c r="H13004" t="str">
        <f>"A"</f>
        <v>A</v>
      </c>
    </row>
    <row r="13005" spans="1:8" x14ac:dyDescent="0.2">
      <c r="A13005" t="str">
        <f t="shared" si="4708"/>
        <v>0616039926</v>
      </c>
      <c r="B13005" t="str">
        <f t="shared" si="4709"/>
        <v>AIDEN</v>
      </c>
      <c r="C13005" t="str">
        <f t="shared" si="4710"/>
        <v>PAULINO</v>
      </c>
      <c r="D13005">
        <f>10</f>
        <v>10</v>
      </c>
      <c r="E13005" t="str">
        <f>"06 - B - 105 - Jeffrey S Gallagher"</f>
        <v>06 - B - 105 - Jeffrey S Gallagher</v>
      </c>
      <c r="F13005" t="str">
        <f>"NC STUDY HALL 1"</f>
        <v>NC STUDY HALL 1</v>
      </c>
      <c r="G13005" t="str">
        <f>"17-1724"</f>
        <v>17-1724</v>
      </c>
      <c r="H13005" t="str">
        <f>"B"</f>
        <v>B</v>
      </c>
    </row>
    <row r="13006" spans="1:8" x14ac:dyDescent="0.2">
      <c r="A13006" t="str">
        <f t="shared" si="4708"/>
        <v>0616039926</v>
      </c>
      <c r="B13006" t="str">
        <f t="shared" si="4709"/>
        <v>AIDEN</v>
      </c>
      <c r="C13006" t="str">
        <f t="shared" si="4710"/>
        <v>PAULINO</v>
      </c>
      <c r="D13006">
        <f>10</f>
        <v>10</v>
      </c>
      <c r="E13006" t="str">
        <f>"03 - A - 204 - Lytrell T Dixon"</f>
        <v>03 - A - 204 - Lytrell T Dixon</v>
      </c>
      <c r="F13006" t="str">
        <f>"BIOLOGY 1"</f>
        <v>BIOLOGY 1</v>
      </c>
      <c r="G13006" t="str">
        <f>"08-808"</f>
        <v>08-808</v>
      </c>
      <c r="H13006" t="str">
        <f>"A"</f>
        <v>A</v>
      </c>
    </row>
    <row r="13007" spans="1:8" x14ac:dyDescent="0.2">
      <c r="A13007" t="str">
        <f t="shared" si="4708"/>
        <v>0616039926</v>
      </c>
      <c r="B13007" t="str">
        <f t="shared" si="4709"/>
        <v>AIDEN</v>
      </c>
      <c r="C13007" t="str">
        <f t="shared" si="4710"/>
        <v>PAULINO</v>
      </c>
      <c r="D13007">
        <f>10</f>
        <v>10</v>
      </c>
      <c r="E13007" t="str">
        <f>"02 - S1 - A - 101 - James H Mccann"</f>
        <v>02 - S1 - A - 101 - James H Mccann</v>
      </c>
      <c r="F13007" t="str">
        <f>"PERS FIN &amp; MON MGT H"</f>
        <v>PERS FIN &amp; MON MGT H</v>
      </c>
      <c r="G13007" t="str">
        <f>"17-1716"</f>
        <v>17-1716</v>
      </c>
      <c r="H13007" t="str">
        <f>"A"</f>
        <v>A</v>
      </c>
    </row>
    <row r="13008" spans="1:8" x14ac:dyDescent="0.2">
      <c r="A13008" t="str">
        <f t="shared" si="4708"/>
        <v>0616039926</v>
      </c>
      <c r="B13008" t="str">
        <f t="shared" si="4709"/>
        <v>AIDEN</v>
      </c>
      <c r="C13008" t="str">
        <f t="shared" si="4710"/>
        <v>PAULINO</v>
      </c>
      <c r="D13008">
        <f>10</f>
        <v>10</v>
      </c>
      <c r="E13008" t="str">
        <f>"07 - B - 201 - Angela S Adeshina-Morrison"</f>
        <v>07 - B - 201 - Angela S Adeshina-Morrison</v>
      </c>
      <c r="F13008" t="str">
        <f>"BUSINESS OWNER HON"</f>
        <v>BUSINESS OWNER HON</v>
      </c>
      <c r="G13008" t="str">
        <f>"05-518"</f>
        <v>05-518</v>
      </c>
      <c r="H13008" t="str">
        <f>"B"</f>
        <v>B</v>
      </c>
    </row>
    <row r="13009" spans="1:8" x14ac:dyDescent="0.2">
      <c r="A13009" t="str">
        <f t="shared" si="4708"/>
        <v>0616039926</v>
      </c>
      <c r="B13009" t="str">
        <f t="shared" si="4709"/>
        <v>AIDEN</v>
      </c>
      <c r="C13009" t="str">
        <f t="shared" si="4710"/>
        <v>PAULINO</v>
      </c>
      <c r="D13009">
        <f>10</f>
        <v>10</v>
      </c>
      <c r="E13009" t="str">
        <f>"05 - B - 106 - Fernando  Vega-Cid"</f>
        <v>05 - B - 106 - Fernando  Vega-Cid</v>
      </c>
      <c r="F13009" t="str">
        <f>"GEOMETRY"</f>
        <v>GEOMETRY</v>
      </c>
      <c r="G13009" t="str">
        <f>"21-2163"</f>
        <v>21-2163</v>
      </c>
      <c r="H13009" t="str">
        <f>"B"</f>
        <v>B</v>
      </c>
    </row>
    <row r="13010" spans="1:8" x14ac:dyDescent="0.2">
      <c r="A13010" t="str">
        <f t="shared" si="4708"/>
        <v>0616039926</v>
      </c>
      <c r="B13010" t="str">
        <f t="shared" si="4709"/>
        <v>AIDEN</v>
      </c>
      <c r="C13010" t="str">
        <f t="shared" si="4710"/>
        <v>PAULINO</v>
      </c>
      <c r="D13010">
        <f>10</f>
        <v>10</v>
      </c>
      <c r="E13010" t="str">
        <f>"01 - A - 101 - Taraneh C Abreu"</f>
        <v>01 - A - 101 - Taraneh C Abreu</v>
      </c>
      <c r="F13010" t="str">
        <f>"INTENS READ 2"</f>
        <v>INTENS READ 2</v>
      </c>
      <c r="G13010" t="str">
        <f>"17-1713"</f>
        <v>17-1713</v>
      </c>
      <c r="H13010" t="str">
        <f>"A"</f>
        <v>A</v>
      </c>
    </row>
    <row r="13011" spans="1:8" x14ac:dyDescent="0.2">
      <c r="A13011" t="str">
        <f t="shared" si="4708"/>
        <v>0616039926</v>
      </c>
      <c r="B13011" t="str">
        <f t="shared" si="4709"/>
        <v>AIDEN</v>
      </c>
      <c r="C13011" t="str">
        <f t="shared" si="4710"/>
        <v>PAULINO</v>
      </c>
      <c r="D13011">
        <f>10</f>
        <v>10</v>
      </c>
      <c r="E13011" t="str">
        <f>"08 - B - 101 - Elizabeth Ellen  Moran"</f>
        <v>08 - B - 101 - Elizabeth Ellen  Moran</v>
      </c>
      <c r="F13011" t="str">
        <f>"WORLD HISTORY"</f>
        <v>WORLD HISTORY</v>
      </c>
      <c r="G13011" t="str">
        <f>"17-1752"</f>
        <v>17-1752</v>
      </c>
      <c r="H13011" t="str">
        <f>"B"</f>
        <v>B</v>
      </c>
    </row>
    <row r="13012" spans="1:8" x14ac:dyDescent="0.2">
      <c r="A13012" t="str">
        <f t="shared" ref="A13012:A13019" si="4711">"0615134423"</f>
        <v>0615134423</v>
      </c>
      <c r="B13012" t="str">
        <f t="shared" ref="B13012:B13019" si="4712">"MARIELA"</f>
        <v>MARIELA</v>
      </c>
      <c r="C13012" t="str">
        <f t="shared" ref="C13012:C13027" si="4713">"PAZ ARAUZ"</f>
        <v>PAZ ARAUZ</v>
      </c>
      <c r="D13012">
        <f>10</f>
        <v>10</v>
      </c>
      <c r="E13012" t="str">
        <f>"04 - A - 201 - Dorothy D Moore"</f>
        <v>04 - A - 201 - Dorothy D Moore</v>
      </c>
      <c r="F13012" t="str">
        <f>"HEALTH SCI 1/A&amp;P HON"</f>
        <v>HEALTH SCI 1/A&amp;P HON</v>
      </c>
      <c r="G13012" t="str">
        <f>"08-803"</f>
        <v>08-803</v>
      </c>
      <c r="H13012" t="str">
        <f>"A"</f>
        <v>A</v>
      </c>
    </row>
    <row r="13013" spans="1:8" x14ac:dyDescent="0.2">
      <c r="A13013" t="str">
        <f t="shared" si="4711"/>
        <v>0615134423</v>
      </c>
      <c r="B13013" t="str">
        <f t="shared" si="4712"/>
        <v>MARIELA</v>
      </c>
      <c r="C13013" t="str">
        <f t="shared" si="4713"/>
        <v>PAZ ARAUZ</v>
      </c>
      <c r="D13013">
        <f>10</f>
        <v>10</v>
      </c>
      <c r="E13013" t="str">
        <f>"06 - B - 113 - Joe  Kilpatrick Jr"</f>
        <v>06 - B - 113 - Joe  Kilpatrick Jr</v>
      </c>
      <c r="F13013" t="str">
        <f>"NC STUDY HALL 1"</f>
        <v>NC STUDY HALL 1</v>
      </c>
      <c r="G13013" t="str">
        <f>"09-912"</f>
        <v>09-912</v>
      </c>
      <c r="H13013" t="str">
        <f>"B"</f>
        <v>B</v>
      </c>
    </row>
    <row r="13014" spans="1:8" x14ac:dyDescent="0.2">
      <c r="A13014" t="str">
        <f t="shared" si="4711"/>
        <v>0615134423</v>
      </c>
      <c r="B13014" t="str">
        <f t="shared" si="4712"/>
        <v>MARIELA</v>
      </c>
      <c r="C13014" t="str">
        <f t="shared" si="4713"/>
        <v>PAZ ARAUZ</v>
      </c>
      <c r="D13014">
        <f>10</f>
        <v>10</v>
      </c>
      <c r="E13014" t="str">
        <f>"03 - S1 - A - 102 - Leslie J Barton"</f>
        <v>03 - S1 - A - 102 - Leslie J Barton</v>
      </c>
      <c r="F13014" t="str">
        <f>"FIRST AID SAFETY"</f>
        <v>FIRST AID SAFETY</v>
      </c>
      <c r="G13014" t="str">
        <f>"05-521"</f>
        <v>05-521</v>
      </c>
      <c r="H13014" t="str">
        <f>"A"</f>
        <v>A</v>
      </c>
    </row>
    <row r="13015" spans="1:8" x14ac:dyDescent="0.2">
      <c r="A13015" t="str">
        <f t="shared" si="4711"/>
        <v>0615134423</v>
      </c>
      <c r="B13015" t="str">
        <f t="shared" si="4712"/>
        <v>MARIELA</v>
      </c>
      <c r="C13015" t="str">
        <f t="shared" si="4713"/>
        <v>PAZ ARAUZ</v>
      </c>
      <c r="D13015">
        <f>10</f>
        <v>10</v>
      </c>
      <c r="E13015" t="str">
        <f>"02 - A - 102 - Jacklyn M James"</f>
        <v>02 - A - 102 - Jacklyn M James</v>
      </c>
      <c r="F13015" t="str">
        <f>"AICE ENG LANG AS"</f>
        <v>AICE ENG LANG AS</v>
      </c>
      <c r="G13015" t="str">
        <f>"17-1731"</f>
        <v>17-1731</v>
      </c>
      <c r="H13015" t="str">
        <f>"A"</f>
        <v>A</v>
      </c>
    </row>
    <row r="13016" spans="1:8" x14ac:dyDescent="0.2">
      <c r="A13016" t="str">
        <f t="shared" si="4711"/>
        <v>0615134423</v>
      </c>
      <c r="B13016" t="str">
        <f t="shared" si="4712"/>
        <v>MARIELA</v>
      </c>
      <c r="C13016" t="str">
        <f t="shared" si="4713"/>
        <v>PAZ ARAUZ</v>
      </c>
      <c r="D13016">
        <f>10</f>
        <v>10</v>
      </c>
      <c r="E13016" t="str">
        <f>"07 - B - 102 - Timothy J Lawrence"</f>
        <v>07 - B - 102 - Timothy J Lawrence</v>
      </c>
      <c r="F13016" t="str">
        <f>"AICE PHYS ED 1 AS"</f>
        <v>AICE PHYS ED 1 AS</v>
      </c>
      <c r="G13016" t="str">
        <f>"05-523"</f>
        <v>05-523</v>
      </c>
      <c r="H13016" t="str">
        <f>"B"</f>
        <v>B</v>
      </c>
    </row>
    <row r="13017" spans="1:8" x14ac:dyDescent="0.2">
      <c r="A13017" t="str">
        <f t="shared" si="4711"/>
        <v>0615134423</v>
      </c>
      <c r="B13017" t="str">
        <f t="shared" si="4712"/>
        <v>MARIELA</v>
      </c>
      <c r="C13017" t="str">
        <f t="shared" si="4713"/>
        <v>PAZ ARAUZ</v>
      </c>
      <c r="D13017">
        <f>10</f>
        <v>10</v>
      </c>
      <c r="E13017" t="str">
        <f>"05 - B - 103 - Rory T Sponsler"</f>
        <v>05 - B - 103 - Rory T Sponsler</v>
      </c>
      <c r="F13017" t="str">
        <f>"PRE-AICE WRLD HST IG"</f>
        <v>PRE-AICE WRLD HST IG</v>
      </c>
      <c r="G13017" t="str">
        <f>"17-1740"</f>
        <v>17-1740</v>
      </c>
      <c r="H13017" t="str">
        <f>"B"</f>
        <v>B</v>
      </c>
    </row>
    <row r="13018" spans="1:8" x14ac:dyDescent="0.2">
      <c r="A13018" t="str">
        <f t="shared" si="4711"/>
        <v>0615134423</v>
      </c>
      <c r="B13018" t="str">
        <f t="shared" si="4712"/>
        <v>MARIELA</v>
      </c>
      <c r="C13018" t="str">
        <f t="shared" si="4713"/>
        <v>PAZ ARAUZ</v>
      </c>
      <c r="D13018">
        <f>10</f>
        <v>10</v>
      </c>
      <c r="E13018" t="str">
        <f>"01 - A - 101 - Lourivaldo  Da Silva"</f>
        <v>01 - A - 101 - Lourivaldo  Da Silva</v>
      </c>
      <c r="F13018" t="str">
        <f>"ALGEBRA 2 HON"</f>
        <v>ALGEBRA 2 HON</v>
      </c>
      <c r="G13018" t="str">
        <f>"20-2079"</f>
        <v>20-2079</v>
      </c>
      <c r="H13018" t="str">
        <f>"A"</f>
        <v>A</v>
      </c>
    </row>
    <row r="13019" spans="1:8" x14ac:dyDescent="0.2">
      <c r="A13019" t="str">
        <f t="shared" si="4711"/>
        <v>0615134423</v>
      </c>
      <c r="B13019" t="str">
        <f t="shared" si="4712"/>
        <v>MARIELA</v>
      </c>
      <c r="C13019" t="str">
        <f t="shared" si="4713"/>
        <v>PAZ ARAUZ</v>
      </c>
      <c r="D13019">
        <f>10</f>
        <v>10</v>
      </c>
      <c r="E13019" t="str">
        <f>"08 - B - 202 - Krystal Marie  Beruty"</f>
        <v>08 - B - 202 - Krystal Marie  Beruty</v>
      </c>
      <c r="F13019" t="str">
        <f>"AICE PSYCH 1 AS"</f>
        <v>AICE PSYCH 1 AS</v>
      </c>
      <c r="G13019" t="str">
        <f>"17-1721"</f>
        <v>17-1721</v>
      </c>
      <c r="H13019" t="str">
        <f>"B"</f>
        <v>B</v>
      </c>
    </row>
    <row r="13020" spans="1:8" x14ac:dyDescent="0.2">
      <c r="A13020" t="str">
        <f t="shared" ref="A13020:A13027" si="4714">"0614135270"</f>
        <v>0614135270</v>
      </c>
      <c r="B13020" t="str">
        <f t="shared" ref="B13020:B13027" si="4715">"MARILIEL"</f>
        <v>MARILIEL</v>
      </c>
      <c r="C13020" t="str">
        <f t="shared" si="4713"/>
        <v>PAZ ARAUZ</v>
      </c>
      <c r="D13020">
        <f>11</f>
        <v>11</v>
      </c>
      <c r="E13020" t="str">
        <f>"04 - A - 104 - Robert H Rindner"</f>
        <v>04 - A - 104 - Robert H Rindner</v>
      </c>
      <c r="F13020" t="str">
        <f>"MATH DATA&amp;FIN LIT H"</f>
        <v>MATH DATA&amp;FIN LIT H</v>
      </c>
      <c r="G13020" t="str">
        <f>"21-2160"</f>
        <v>21-2160</v>
      </c>
      <c r="H13020" t="str">
        <f>"A"</f>
        <v>A</v>
      </c>
    </row>
    <row r="13021" spans="1:8" x14ac:dyDescent="0.2">
      <c r="A13021" t="str">
        <f t="shared" si="4714"/>
        <v>0614135270</v>
      </c>
      <c r="B13021" t="str">
        <f t="shared" si="4715"/>
        <v>MARILIEL</v>
      </c>
      <c r="C13021" t="str">
        <f t="shared" si="4713"/>
        <v>PAZ ARAUZ</v>
      </c>
      <c r="D13021">
        <f>11</f>
        <v>11</v>
      </c>
      <c r="E13021" t="str">
        <f>"06 - B - 206 - Jacqueline R Morphet"</f>
        <v>06 - B - 206 - Jacqueline R Morphet</v>
      </c>
      <c r="F13021" t="str">
        <f>"PHYSICS 1 HON"</f>
        <v>PHYSICS 1 HON</v>
      </c>
      <c r="G13021" t="str">
        <f>"21-2138"</f>
        <v>21-2138</v>
      </c>
      <c r="H13021" t="str">
        <f>"B"</f>
        <v>B</v>
      </c>
    </row>
    <row r="13022" spans="1:8" x14ac:dyDescent="0.2">
      <c r="A13022" t="str">
        <f t="shared" si="4714"/>
        <v>0614135270</v>
      </c>
      <c r="B13022" t="str">
        <f t="shared" si="4715"/>
        <v>MARILIEL</v>
      </c>
      <c r="C13022" t="str">
        <f t="shared" si="4713"/>
        <v>PAZ ARAUZ</v>
      </c>
      <c r="D13022">
        <f>11</f>
        <v>11</v>
      </c>
      <c r="E13022" t="str">
        <f>"03 - A - 106 - Jerry S Jiampetti"</f>
        <v>03 - A - 106 - Jerry S Jiampetti</v>
      </c>
      <c r="F13022" t="str">
        <f>"US HISTORY HON"</f>
        <v>US HISTORY HON</v>
      </c>
      <c r="G13022" t="str">
        <f>"17-1751"</f>
        <v>17-1751</v>
      </c>
      <c r="H13022" t="str">
        <f>"A"</f>
        <v>A</v>
      </c>
    </row>
    <row r="13023" spans="1:8" x14ac:dyDescent="0.2">
      <c r="A13023" t="str">
        <f t="shared" si="4714"/>
        <v>0614135270</v>
      </c>
      <c r="B13023" t="str">
        <f t="shared" si="4715"/>
        <v>MARILIEL</v>
      </c>
      <c r="C13023" t="str">
        <f t="shared" si="4713"/>
        <v>PAZ ARAUZ</v>
      </c>
      <c r="D13023">
        <f>11</f>
        <v>11</v>
      </c>
      <c r="E13023" t="str">
        <f>"02 - A - 107 - Elizabeth Ellen  Moran"</f>
        <v>02 - A - 107 - Elizabeth Ellen  Moran</v>
      </c>
      <c r="F13023" t="str">
        <f>"NC STUDY HALL 1"</f>
        <v>NC STUDY HALL 1</v>
      </c>
      <c r="G13023" t="str">
        <f>"17-1752"</f>
        <v>17-1752</v>
      </c>
      <c r="H13023" t="str">
        <f>"A"</f>
        <v>A</v>
      </c>
    </row>
    <row r="13024" spans="1:8" x14ac:dyDescent="0.2">
      <c r="A13024" t="str">
        <f t="shared" si="4714"/>
        <v>0614135270</v>
      </c>
      <c r="B13024" t="str">
        <f t="shared" si="4715"/>
        <v>MARILIEL</v>
      </c>
      <c r="C13024" t="str">
        <f t="shared" si="4713"/>
        <v>PAZ ARAUZ</v>
      </c>
      <c r="D13024">
        <f>11</f>
        <v>11</v>
      </c>
      <c r="E13024" t="str">
        <f>"07 - B - 102 - Timothy J Lawrence"</f>
        <v>07 - B - 102 - Timothy J Lawrence</v>
      </c>
      <c r="F13024" t="str">
        <f>"AICE PHYS ED 1 AS"</f>
        <v>AICE PHYS ED 1 AS</v>
      </c>
      <c r="G13024" t="str">
        <f>"05-523"</f>
        <v>05-523</v>
      </c>
      <c r="H13024" t="str">
        <f>"B"</f>
        <v>B</v>
      </c>
    </row>
    <row r="13025" spans="1:8" x14ac:dyDescent="0.2">
      <c r="A13025" t="str">
        <f t="shared" si="4714"/>
        <v>0614135270</v>
      </c>
      <c r="B13025" t="str">
        <f t="shared" si="4715"/>
        <v>MARILIEL</v>
      </c>
      <c r="C13025" t="str">
        <f t="shared" si="4713"/>
        <v>PAZ ARAUZ</v>
      </c>
      <c r="D13025">
        <f>11</f>
        <v>11</v>
      </c>
      <c r="E13025" t="str">
        <f>"05 - B - 001 - Stefanie S Scher"</f>
        <v>05 - B - 001 - Stefanie S Scher</v>
      </c>
      <c r="F13025" t="str">
        <f>"AICE PSYCH 1 AS"</f>
        <v>AICE PSYCH 1 AS</v>
      </c>
      <c r="G13025" t="str">
        <f>"17-1735"</f>
        <v>17-1735</v>
      </c>
      <c r="H13025" t="str">
        <f>"B"</f>
        <v>B</v>
      </c>
    </row>
    <row r="13026" spans="1:8" x14ac:dyDescent="0.2">
      <c r="A13026" t="str">
        <f t="shared" si="4714"/>
        <v>0614135270</v>
      </c>
      <c r="B13026" t="str">
        <f t="shared" si="4715"/>
        <v>MARILIEL</v>
      </c>
      <c r="C13026" t="str">
        <f t="shared" si="4713"/>
        <v>PAZ ARAUZ</v>
      </c>
      <c r="D13026">
        <f>11</f>
        <v>11</v>
      </c>
      <c r="E13026" t="str">
        <f>"01 - A - 101 - Jacklyn M James"</f>
        <v>01 - A - 101 - Jacklyn M James</v>
      </c>
      <c r="F13026" t="str">
        <f>"AICE ENG LANG AS"</f>
        <v>AICE ENG LANG AS</v>
      </c>
      <c r="G13026" t="str">
        <f>"17-1731"</f>
        <v>17-1731</v>
      </c>
      <c r="H13026" t="str">
        <f>"A"</f>
        <v>A</v>
      </c>
    </row>
    <row r="13027" spans="1:8" x14ac:dyDescent="0.2">
      <c r="A13027" t="str">
        <f t="shared" si="4714"/>
        <v>0614135270</v>
      </c>
      <c r="B13027" t="str">
        <f t="shared" si="4715"/>
        <v>MARILIEL</v>
      </c>
      <c r="C13027" t="str">
        <f t="shared" si="4713"/>
        <v>PAZ ARAUZ</v>
      </c>
      <c r="D13027">
        <f>11</f>
        <v>11</v>
      </c>
      <c r="E13027" t="str">
        <f>"08 - B - 105 - Daniel S Katz"</f>
        <v>08 - B - 105 - Daniel S Katz</v>
      </c>
      <c r="F13027" t="str">
        <f>"AICE MEDIA STUDIES A"</f>
        <v>AICE MEDIA STUDIES A</v>
      </c>
      <c r="G13027" t="str">
        <f>"05-521"</f>
        <v>05-521</v>
      </c>
      <c r="H13027" t="str">
        <f>"B"</f>
        <v>B</v>
      </c>
    </row>
    <row r="13028" spans="1:8" x14ac:dyDescent="0.2">
      <c r="A13028" t="str">
        <f t="shared" ref="A13028:A13035" si="4716">"0625030675"</f>
        <v>0625030675</v>
      </c>
      <c r="B13028" t="str">
        <f t="shared" ref="B13028:B13035" si="4717">"Hariah"</f>
        <v>Hariah</v>
      </c>
      <c r="C13028" t="str">
        <f t="shared" ref="C13028:C13035" si="4718">"Pearson"</f>
        <v>Pearson</v>
      </c>
      <c r="D13028">
        <f>11</f>
        <v>11</v>
      </c>
      <c r="E13028" t="str">
        <f>"04 - A - 102 - Elizabeth Ellen  Moran"</f>
        <v>04 - A - 102 - Elizabeth Ellen  Moran</v>
      </c>
      <c r="F13028" t="str">
        <f>"US HISTORY"</f>
        <v>US HISTORY</v>
      </c>
      <c r="G13028" t="str">
        <f>"17-1752"</f>
        <v>17-1752</v>
      </c>
      <c r="H13028" t="str">
        <f>"A"</f>
        <v>A</v>
      </c>
    </row>
    <row r="13029" spans="1:8" x14ac:dyDescent="0.2">
      <c r="A13029" t="str">
        <f t="shared" si="4716"/>
        <v>0625030675</v>
      </c>
      <c r="B13029" t="str">
        <f t="shared" si="4717"/>
        <v>Hariah</v>
      </c>
      <c r="C13029" t="str">
        <f t="shared" si="4718"/>
        <v>Pearson</v>
      </c>
      <c r="D13029">
        <f>11</f>
        <v>11</v>
      </c>
      <c r="E13029" t="str">
        <f>"06 - B - 202 - Brian M Fitzgerald"</f>
        <v>06 - B - 202 - Brian M Fitzgerald</v>
      </c>
      <c r="F13029" t="str">
        <f>"DRAW 1"</f>
        <v>DRAW 1</v>
      </c>
      <c r="G13029" t="str">
        <f>"09-908"</f>
        <v>09-908</v>
      </c>
      <c r="H13029" t="str">
        <f>"B"</f>
        <v>B</v>
      </c>
    </row>
    <row r="13030" spans="1:8" x14ac:dyDescent="0.2">
      <c r="A13030" t="str">
        <f t="shared" si="4716"/>
        <v>0625030675</v>
      </c>
      <c r="B13030" t="str">
        <f t="shared" si="4717"/>
        <v>Hariah</v>
      </c>
      <c r="C13030" t="str">
        <f t="shared" si="4718"/>
        <v>Pearson</v>
      </c>
      <c r="D13030">
        <f>11</f>
        <v>11</v>
      </c>
      <c r="E13030" t="str">
        <f>"03 - A - 103 - Samantha J Headley"</f>
        <v>03 - A - 103 - Samantha J Headley</v>
      </c>
      <c r="F13030" t="str">
        <f>"MARINE SCI 1 HON"</f>
        <v>MARINE SCI 1 HON</v>
      </c>
      <c r="G13030" t="str">
        <f>"21-2134"</f>
        <v>21-2134</v>
      </c>
      <c r="H13030" t="str">
        <f>"A"</f>
        <v>A</v>
      </c>
    </row>
    <row r="13031" spans="1:8" x14ac:dyDescent="0.2">
      <c r="A13031" t="str">
        <f t="shared" si="4716"/>
        <v>0625030675</v>
      </c>
      <c r="B13031" t="str">
        <f t="shared" si="4717"/>
        <v>Hariah</v>
      </c>
      <c r="C13031" t="str">
        <f t="shared" si="4718"/>
        <v>Pearson</v>
      </c>
      <c r="D13031">
        <f>11</f>
        <v>11</v>
      </c>
      <c r="E13031" t="str">
        <f>"02 - A - 105 - Leslie J Barton"</f>
        <v>02 - A - 105 - Leslie J Barton</v>
      </c>
      <c r="F13031" t="str">
        <f>"NC STUDY HALL 1"</f>
        <v>NC STUDY HALL 1</v>
      </c>
      <c r="G13031" t="str">
        <f>"05-521"</f>
        <v>05-521</v>
      </c>
      <c r="H13031" t="str">
        <f>"A"</f>
        <v>A</v>
      </c>
    </row>
    <row r="13032" spans="1:8" x14ac:dyDescent="0.2">
      <c r="A13032" t="str">
        <f t="shared" si="4716"/>
        <v>0625030675</v>
      </c>
      <c r="B13032" t="str">
        <f t="shared" si="4717"/>
        <v>Hariah</v>
      </c>
      <c r="C13032" t="str">
        <f t="shared" si="4718"/>
        <v>Pearson</v>
      </c>
      <c r="D13032">
        <f>11</f>
        <v>11</v>
      </c>
      <c r="E13032" t="str">
        <f>"07 - B - 002 - Jazmin S Fletcher"</f>
        <v>07 - B - 002 - Jazmin S Fletcher</v>
      </c>
      <c r="F13032" t="str">
        <f>"THEATRE 1"</f>
        <v>THEATRE 1</v>
      </c>
      <c r="G13032" t="str">
        <f>"09-909"</f>
        <v>09-909</v>
      </c>
      <c r="H13032" t="str">
        <f>"B"</f>
        <v>B</v>
      </c>
    </row>
    <row r="13033" spans="1:8" x14ac:dyDescent="0.2">
      <c r="A13033" t="str">
        <f t="shared" si="4716"/>
        <v>0625030675</v>
      </c>
      <c r="B13033" t="str">
        <f t="shared" si="4717"/>
        <v>Hariah</v>
      </c>
      <c r="C13033" t="str">
        <f t="shared" si="4718"/>
        <v>Pearson</v>
      </c>
      <c r="D13033">
        <f>11</f>
        <v>11</v>
      </c>
      <c r="E13033" t="str">
        <f>"05 - B - 106 - Milca  Exantus"</f>
        <v>05 - B - 106 - Milca  Exantus</v>
      </c>
      <c r="F13033" t="str">
        <f>"MATH COLLEGE LIB ART"</f>
        <v>MATH COLLEGE LIB ART</v>
      </c>
      <c r="G13033" t="str">
        <f>"21-2145"</f>
        <v>21-2145</v>
      </c>
      <c r="H13033" t="str">
        <f>"B"</f>
        <v>B</v>
      </c>
    </row>
    <row r="13034" spans="1:8" x14ac:dyDescent="0.2">
      <c r="A13034" t="str">
        <f t="shared" si="4716"/>
        <v>0625030675</v>
      </c>
      <c r="B13034" t="str">
        <f t="shared" si="4717"/>
        <v>Hariah</v>
      </c>
      <c r="C13034" t="str">
        <f t="shared" si="4718"/>
        <v>Pearson</v>
      </c>
      <c r="D13034">
        <f>11</f>
        <v>11</v>
      </c>
      <c r="E13034" t="str">
        <f>"01 - A - 101 - Nahum  Saint-Preux"</f>
        <v>01 - A - 101 - Nahum  Saint-Preux</v>
      </c>
      <c r="F13034" t="str">
        <f>"INTENS READ 3"</f>
        <v>INTENS READ 3</v>
      </c>
      <c r="G13034" t="str">
        <f>"17-1712"</f>
        <v>17-1712</v>
      </c>
      <c r="H13034" t="str">
        <f>"A"</f>
        <v>A</v>
      </c>
    </row>
    <row r="13035" spans="1:8" x14ac:dyDescent="0.2">
      <c r="A13035" t="str">
        <f t="shared" si="4716"/>
        <v>0625030675</v>
      </c>
      <c r="B13035" t="str">
        <f t="shared" si="4717"/>
        <v>Hariah</v>
      </c>
      <c r="C13035" t="str">
        <f t="shared" si="4718"/>
        <v>Pearson</v>
      </c>
      <c r="D13035">
        <f>11</f>
        <v>11</v>
      </c>
      <c r="E13035" t="str">
        <f>"08 - B - 106 - Lisa  Quinn"</f>
        <v>08 - B - 106 - Lisa  Quinn</v>
      </c>
      <c r="F13035" t="str">
        <f>"ENG 3"</f>
        <v>ENG 3</v>
      </c>
      <c r="G13035" t="str">
        <f>"17-1725"</f>
        <v>17-1725</v>
      </c>
      <c r="H13035" t="str">
        <f>"B"</f>
        <v>B</v>
      </c>
    </row>
    <row r="13036" spans="1:8" x14ac:dyDescent="0.2">
      <c r="A13036" t="str">
        <f t="shared" ref="A13036:A13043" si="4719">"0615149755"</f>
        <v>0615149755</v>
      </c>
      <c r="B13036" t="str">
        <f t="shared" ref="B13036:B13043" si="4720">"BRIANNA"</f>
        <v>BRIANNA</v>
      </c>
      <c r="C13036" t="str">
        <f t="shared" ref="C13036:C13043" si="4721">"PEARSON-HAYES"</f>
        <v>PEARSON-HAYES</v>
      </c>
      <c r="D13036">
        <f>10</f>
        <v>10</v>
      </c>
      <c r="E13036" t="str">
        <f>"04 - S1 - A - 101 - Kyle  Robbins"</f>
        <v>04 - S1 - A - 101 - Kyle  Robbins</v>
      </c>
      <c r="F13036" t="str">
        <f>"PERS FIN &amp; MON MGT H"</f>
        <v>PERS FIN &amp; MON MGT H</v>
      </c>
      <c r="G13036" t="str">
        <f>"17-1745"</f>
        <v>17-1745</v>
      </c>
      <c r="H13036" t="str">
        <f>"A"</f>
        <v>A</v>
      </c>
    </row>
    <row r="13037" spans="1:8" x14ac:dyDescent="0.2">
      <c r="A13037" t="str">
        <f t="shared" si="4719"/>
        <v>0615149755</v>
      </c>
      <c r="B13037" t="str">
        <f t="shared" si="4720"/>
        <v>BRIANNA</v>
      </c>
      <c r="C13037" t="str">
        <f t="shared" si="4721"/>
        <v>PEARSON-HAYES</v>
      </c>
      <c r="D13037">
        <f>10</f>
        <v>10</v>
      </c>
      <c r="E13037" t="str">
        <f>"06 - B - 118 - Jeanne M Bermudez"</f>
        <v>06 - B - 118 - Jeanne M Bermudez</v>
      </c>
      <c r="F13037" t="str">
        <f>"NC STUDY HALL 1"</f>
        <v>NC STUDY HALL 1</v>
      </c>
      <c r="G13037" t="str">
        <f>"21-2141"</f>
        <v>21-2141</v>
      </c>
      <c r="H13037" t="str">
        <f>"B"</f>
        <v>B</v>
      </c>
    </row>
    <row r="13038" spans="1:8" x14ac:dyDescent="0.2">
      <c r="A13038" t="str">
        <f t="shared" si="4719"/>
        <v>0615149755</v>
      </c>
      <c r="B13038" t="str">
        <f t="shared" si="4720"/>
        <v>BRIANNA</v>
      </c>
      <c r="C13038" t="str">
        <f t="shared" si="4721"/>
        <v>PEARSON-HAYES</v>
      </c>
      <c r="D13038">
        <f>10</f>
        <v>10</v>
      </c>
      <c r="E13038" t="str">
        <f>"03 - A - 104 - Fernando  Vega-Cid"</f>
        <v>03 - A - 104 - Fernando  Vega-Cid</v>
      </c>
      <c r="F13038" t="str">
        <f>"GEOMETRY"</f>
        <v>GEOMETRY</v>
      </c>
      <c r="G13038" t="str">
        <f>"21-2163"</f>
        <v>21-2163</v>
      </c>
      <c r="H13038" t="str">
        <f>"A"</f>
        <v>A</v>
      </c>
    </row>
    <row r="13039" spans="1:8" x14ac:dyDescent="0.2">
      <c r="A13039" t="str">
        <f t="shared" si="4719"/>
        <v>0615149755</v>
      </c>
      <c r="B13039" t="str">
        <f t="shared" si="4720"/>
        <v>BRIANNA</v>
      </c>
      <c r="C13039" t="str">
        <f t="shared" si="4721"/>
        <v>PEARSON-HAYES</v>
      </c>
      <c r="D13039">
        <f>10</f>
        <v>10</v>
      </c>
      <c r="E13039" t="str">
        <f>"02 - A - 102 - Nikiel  Nesbeth"</f>
        <v>02 - A - 102 - Nikiel  Nesbeth</v>
      </c>
      <c r="F13039" t="str">
        <f>"ENG 2"</f>
        <v>ENG 2</v>
      </c>
      <c r="G13039" t="str">
        <f>"17-1705"</f>
        <v>17-1705</v>
      </c>
      <c r="H13039" t="str">
        <f>"A"</f>
        <v>A</v>
      </c>
    </row>
    <row r="13040" spans="1:8" x14ac:dyDescent="0.2">
      <c r="A13040" t="str">
        <f t="shared" si="4719"/>
        <v>0615149755</v>
      </c>
      <c r="B13040" t="str">
        <f t="shared" si="4720"/>
        <v>BRIANNA</v>
      </c>
      <c r="C13040" t="str">
        <f t="shared" si="4721"/>
        <v>PEARSON-HAYES</v>
      </c>
      <c r="D13040">
        <f>10</f>
        <v>10</v>
      </c>
      <c r="E13040" t="str">
        <f>"07 - B - 107 - Lytrell T Dixon"</f>
        <v>07 - B - 107 - Lytrell T Dixon</v>
      </c>
      <c r="F13040" t="str">
        <f>"BIOLOGY 1"</f>
        <v>BIOLOGY 1</v>
      </c>
      <c r="G13040" t="str">
        <f>"08-808"</f>
        <v>08-808</v>
      </c>
      <c r="H13040" t="str">
        <f>"B"</f>
        <v>B</v>
      </c>
    </row>
    <row r="13041" spans="1:8" x14ac:dyDescent="0.2">
      <c r="A13041" t="str">
        <f t="shared" si="4719"/>
        <v>0615149755</v>
      </c>
      <c r="B13041" t="str">
        <f t="shared" si="4720"/>
        <v>BRIANNA</v>
      </c>
      <c r="C13041" t="str">
        <f t="shared" si="4721"/>
        <v>PEARSON-HAYES</v>
      </c>
      <c r="D13041">
        <f>10</f>
        <v>10</v>
      </c>
      <c r="E13041" t="str">
        <f>"05 - B - 103 - Vanessa J Liburd"</f>
        <v>05 - B - 103 - Vanessa J Liburd</v>
      </c>
      <c r="F13041" t="str">
        <f>"PRE-AICE FRENCH 2 IG"</f>
        <v>PRE-AICE FRENCH 2 IG</v>
      </c>
      <c r="G13041" t="str">
        <f>"05-519"</f>
        <v>05-519</v>
      </c>
      <c r="H13041" t="str">
        <f>"B"</f>
        <v>B</v>
      </c>
    </row>
    <row r="13042" spans="1:8" x14ac:dyDescent="0.2">
      <c r="A13042" t="str">
        <f t="shared" si="4719"/>
        <v>0615149755</v>
      </c>
      <c r="B13042" t="str">
        <f t="shared" si="4720"/>
        <v>BRIANNA</v>
      </c>
      <c r="C13042" t="str">
        <f t="shared" si="4721"/>
        <v>PEARSON-HAYES</v>
      </c>
      <c r="D13042">
        <f>10</f>
        <v>10</v>
      </c>
      <c r="E13042" t="str">
        <f>"01 - A - 101 - Samantha L Martinez"</f>
        <v>01 - A - 101 - Samantha L Martinez</v>
      </c>
      <c r="F13042" t="str">
        <f>"MUSIC WORLD"</f>
        <v>MUSIC WORLD</v>
      </c>
      <c r="G13042" t="str">
        <f>"05-505"</f>
        <v>05-505</v>
      </c>
      <c r="H13042" t="str">
        <f>"A"</f>
        <v>A</v>
      </c>
    </row>
    <row r="13043" spans="1:8" x14ac:dyDescent="0.2">
      <c r="A13043" t="str">
        <f t="shared" si="4719"/>
        <v>0615149755</v>
      </c>
      <c r="B13043" t="str">
        <f t="shared" si="4720"/>
        <v>BRIANNA</v>
      </c>
      <c r="C13043" t="str">
        <f t="shared" si="4721"/>
        <v>PEARSON-HAYES</v>
      </c>
      <c r="D13043">
        <f>10</f>
        <v>10</v>
      </c>
      <c r="E13043" t="str">
        <f>"08 - B - 102 - Robert H Rindner"</f>
        <v>08 - B - 102 - Robert H Rindner</v>
      </c>
      <c r="F13043" t="str">
        <f>"TV PRODUCTION TECH 1"</f>
        <v>TV PRODUCTION TECH 1</v>
      </c>
      <c r="G13043" t="str">
        <f>"21-2160"</f>
        <v>21-2160</v>
      </c>
      <c r="H13043" t="str">
        <f>"B"</f>
        <v>B</v>
      </c>
    </row>
    <row r="13044" spans="1:8" x14ac:dyDescent="0.2">
      <c r="A13044" t="str">
        <f t="shared" ref="A13044:A13051" si="4722">"0614130960"</f>
        <v>0614130960</v>
      </c>
      <c r="B13044" t="str">
        <f t="shared" ref="B13044:B13051" si="4723">"KALIA"</f>
        <v>KALIA</v>
      </c>
      <c r="C13044" t="str">
        <f t="shared" ref="C13044:C13051" si="4724">"PECEROS"</f>
        <v>PECEROS</v>
      </c>
      <c r="D13044">
        <f>11</f>
        <v>11</v>
      </c>
      <c r="E13044" t="str">
        <f>"04 - A - 103 - Lisa  Quinn"</f>
        <v>04 - A - 103 - Lisa  Quinn</v>
      </c>
      <c r="F13044" t="str">
        <f>"ENG 3"</f>
        <v>ENG 3</v>
      </c>
      <c r="G13044" t="str">
        <f>"17-1725"</f>
        <v>17-1725</v>
      </c>
      <c r="H13044" t="str">
        <f>"A"</f>
        <v>A</v>
      </c>
    </row>
    <row r="13045" spans="1:8" x14ac:dyDescent="0.2">
      <c r="A13045" t="str">
        <f t="shared" si="4722"/>
        <v>0614130960</v>
      </c>
      <c r="B13045" t="str">
        <f t="shared" si="4723"/>
        <v>KALIA</v>
      </c>
      <c r="C13045" t="str">
        <f t="shared" si="4724"/>
        <v>PECEROS</v>
      </c>
      <c r="D13045">
        <f>11</f>
        <v>11</v>
      </c>
      <c r="E13045" t="str">
        <f>"06 - B - 202 - Brian M Fitzgerald"</f>
        <v>06 - B - 202 - Brian M Fitzgerald</v>
      </c>
      <c r="F13045" t="str">
        <f>"DRAW 1"</f>
        <v>DRAW 1</v>
      </c>
      <c r="G13045" t="str">
        <f>"09-908"</f>
        <v>09-908</v>
      </c>
      <c r="H13045" t="str">
        <f>"B"</f>
        <v>B</v>
      </c>
    </row>
    <row r="13046" spans="1:8" x14ac:dyDescent="0.2">
      <c r="A13046" t="str">
        <f t="shared" si="4722"/>
        <v>0614130960</v>
      </c>
      <c r="B13046" t="str">
        <f t="shared" si="4723"/>
        <v>KALIA</v>
      </c>
      <c r="C13046" t="str">
        <f t="shared" si="4724"/>
        <v>PECEROS</v>
      </c>
      <c r="D13046">
        <f>11</f>
        <v>11</v>
      </c>
      <c r="E13046" t="str">
        <f>"03 - A - 101 - Rosa Elaine  Collado-Duff"</f>
        <v>03 - A - 101 - Rosa Elaine  Collado-Duff</v>
      </c>
      <c r="F13046" t="str">
        <f>"SPANISH 3 HON"</f>
        <v>SPANISH 3 HON</v>
      </c>
      <c r="G13046" t="str">
        <f>"09-913"</f>
        <v>09-913</v>
      </c>
      <c r="H13046" t="str">
        <f>"A"</f>
        <v>A</v>
      </c>
    </row>
    <row r="13047" spans="1:8" x14ac:dyDescent="0.2">
      <c r="A13047" t="str">
        <f t="shared" si="4722"/>
        <v>0614130960</v>
      </c>
      <c r="B13047" t="str">
        <f t="shared" si="4723"/>
        <v>KALIA</v>
      </c>
      <c r="C13047" t="str">
        <f t="shared" si="4724"/>
        <v>PECEROS</v>
      </c>
      <c r="D13047">
        <f>11</f>
        <v>11</v>
      </c>
      <c r="E13047" t="str">
        <f>"02 - A - 102 - Brook E Goren"</f>
        <v>02 - A - 102 - Brook E Goren</v>
      </c>
      <c r="F13047" t="str">
        <f>"NC STUDY HALL 1"</f>
        <v>NC STUDY HALL 1</v>
      </c>
      <c r="G13047" t="str">
        <f>"21-2158"</f>
        <v>21-2158</v>
      </c>
      <c r="H13047" t="str">
        <f>"A"</f>
        <v>A</v>
      </c>
    </row>
    <row r="13048" spans="1:8" x14ac:dyDescent="0.2">
      <c r="A13048" t="str">
        <f t="shared" si="4722"/>
        <v>0614130960</v>
      </c>
      <c r="B13048" t="str">
        <f t="shared" si="4723"/>
        <v>KALIA</v>
      </c>
      <c r="C13048" t="str">
        <f t="shared" si="4724"/>
        <v>PECEROS</v>
      </c>
      <c r="D13048">
        <f>11</f>
        <v>11</v>
      </c>
      <c r="E13048" t="str">
        <f>"07 - B - 104 - Marielle A Witting"</f>
        <v>07 - B - 104 - Marielle A Witting</v>
      </c>
      <c r="F13048" t="str">
        <f>"ANAT PHYSIO"</f>
        <v>ANAT PHYSIO</v>
      </c>
      <c r="G13048" t="str">
        <f>"08-805"</f>
        <v>08-805</v>
      </c>
      <c r="H13048" t="str">
        <f>"B"</f>
        <v>B</v>
      </c>
    </row>
    <row r="13049" spans="1:8" x14ac:dyDescent="0.2">
      <c r="A13049" t="str">
        <f t="shared" si="4722"/>
        <v>0614130960</v>
      </c>
      <c r="B13049" t="str">
        <f t="shared" si="4723"/>
        <v>KALIA</v>
      </c>
      <c r="C13049" t="str">
        <f t="shared" si="4724"/>
        <v>PECEROS</v>
      </c>
      <c r="D13049">
        <f>11</f>
        <v>11</v>
      </c>
      <c r="E13049" t="str">
        <f>"05 - B - 107 - Elizabeth Ellen  Moran"</f>
        <v>05 - B - 107 - Elizabeth Ellen  Moran</v>
      </c>
      <c r="F13049" t="str">
        <f>"US HISTORY"</f>
        <v>US HISTORY</v>
      </c>
      <c r="G13049" t="str">
        <f>"17-1752"</f>
        <v>17-1752</v>
      </c>
      <c r="H13049" t="str">
        <f>"B"</f>
        <v>B</v>
      </c>
    </row>
    <row r="13050" spans="1:8" x14ac:dyDescent="0.2">
      <c r="A13050" t="str">
        <f t="shared" si="4722"/>
        <v>0614130960</v>
      </c>
      <c r="B13050" t="str">
        <f t="shared" si="4723"/>
        <v>KALIA</v>
      </c>
      <c r="C13050" t="str">
        <f t="shared" si="4724"/>
        <v>PECEROS</v>
      </c>
      <c r="D13050">
        <f>11</f>
        <v>11</v>
      </c>
      <c r="E13050" t="str">
        <f>"01 - A - 101 - Nahum  Saint-Preux"</f>
        <v>01 - A - 101 - Nahum  Saint-Preux</v>
      </c>
      <c r="F13050" t="str">
        <f>"INTENS READ 3"</f>
        <v>INTENS READ 3</v>
      </c>
      <c r="G13050" t="str">
        <f>"17-1712"</f>
        <v>17-1712</v>
      </c>
      <c r="H13050" t="str">
        <f>"A"</f>
        <v>A</v>
      </c>
    </row>
    <row r="13051" spans="1:8" x14ac:dyDescent="0.2">
      <c r="A13051" t="str">
        <f t="shared" si="4722"/>
        <v>0614130960</v>
      </c>
      <c r="B13051" t="str">
        <f t="shared" si="4723"/>
        <v>KALIA</v>
      </c>
      <c r="C13051" t="str">
        <f t="shared" si="4724"/>
        <v>PECEROS</v>
      </c>
      <c r="D13051">
        <f>11</f>
        <v>11</v>
      </c>
      <c r="E13051" t="str">
        <f>"08 - B - 107 - Brook E Goren"</f>
        <v>08 - B - 107 - Brook E Goren</v>
      </c>
      <c r="F13051" t="str">
        <f>"GEOMETRY"</f>
        <v>GEOMETRY</v>
      </c>
      <c r="G13051" t="str">
        <f>"21-2158"</f>
        <v>21-2158</v>
      </c>
      <c r="H13051" t="str">
        <f>"B"</f>
        <v>B</v>
      </c>
    </row>
    <row r="13052" spans="1:8" x14ac:dyDescent="0.2">
      <c r="A13052" t="str">
        <f t="shared" ref="A13052:A13059" si="4725">"0616150134"</f>
        <v>0616150134</v>
      </c>
      <c r="B13052" t="str">
        <f t="shared" ref="B13052:B13059" si="4726">"JAYDA"</f>
        <v>JAYDA</v>
      </c>
      <c r="C13052" t="str">
        <f t="shared" ref="C13052:C13059" si="4727">"PELIPICHE"</f>
        <v>PELIPICHE</v>
      </c>
      <c r="D13052" t="str">
        <f t="shared" ref="D13052:D13059" si="4728">"09"</f>
        <v>09</v>
      </c>
      <c r="E13052" t="str">
        <f>"04 - A - 201 - Dorothy D Moore"</f>
        <v>04 - A - 201 - Dorothy D Moore</v>
      </c>
      <c r="F13052" t="str">
        <f>"HEALTH SCI 1/A&amp;P HON"</f>
        <v>HEALTH SCI 1/A&amp;P HON</v>
      </c>
      <c r="G13052" t="str">
        <f>"08-803"</f>
        <v>08-803</v>
      </c>
      <c r="H13052" t="str">
        <f>"A"</f>
        <v>A</v>
      </c>
    </row>
    <row r="13053" spans="1:8" x14ac:dyDescent="0.2">
      <c r="A13053" t="str">
        <f t="shared" si="4725"/>
        <v>0616150134</v>
      </c>
      <c r="B13053" t="str">
        <f t="shared" si="4726"/>
        <v>JAYDA</v>
      </c>
      <c r="C13053" t="str">
        <f t="shared" si="4727"/>
        <v>PELIPICHE</v>
      </c>
      <c r="D13053" t="str">
        <f t="shared" si="4728"/>
        <v>09</v>
      </c>
      <c r="E13053" t="str">
        <f>"06 - B - 105 - Tina L Lovett"</f>
        <v>06 - B - 105 - Tina L Lovett</v>
      </c>
      <c r="F13053" t="str">
        <f>"FDN SKLS MATH 9-12"</f>
        <v>FDN SKLS MATH 9-12</v>
      </c>
      <c r="G13053" t="str">
        <f>"21-2153"</f>
        <v>21-2153</v>
      </c>
      <c r="H13053" t="str">
        <f>"B"</f>
        <v>B</v>
      </c>
    </row>
    <row r="13054" spans="1:8" x14ac:dyDescent="0.2">
      <c r="A13054" t="str">
        <f t="shared" si="4725"/>
        <v>0616150134</v>
      </c>
      <c r="B13054" t="str">
        <f t="shared" si="4726"/>
        <v>JAYDA</v>
      </c>
      <c r="C13054" t="str">
        <f t="shared" si="4727"/>
        <v>PELIPICHE</v>
      </c>
      <c r="D13054" t="str">
        <f t="shared" si="4728"/>
        <v>09</v>
      </c>
      <c r="E13054" t="str">
        <f>"03 - A - 005 - Cerine S Stewart"</f>
        <v>03 - A - 005 - Cerine S Stewart</v>
      </c>
      <c r="F13054" t="str">
        <f>"AICE ENG GEN PAPER 1"</f>
        <v>AICE ENG GEN PAPER 1</v>
      </c>
      <c r="G13054" t="str">
        <f>"17-1720"</f>
        <v>17-1720</v>
      </c>
      <c r="H13054" t="str">
        <f>"A"</f>
        <v>A</v>
      </c>
    </row>
    <row r="13055" spans="1:8" x14ac:dyDescent="0.2">
      <c r="A13055" t="str">
        <f t="shared" si="4725"/>
        <v>0616150134</v>
      </c>
      <c r="B13055" t="str">
        <f t="shared" si="4726"/>
        <v>JAYDA</v>
      </c>
      <c r="C13055" t="str">
        <f t="shared" si="4727"/>
        <v>PELIPICHE</v>
      </c>
      <c r="D13055" t="str">
        <f t="shared" si="4728"/>
        <v>09</v>
      </c>
      <c r="E13055" t="str">
        <f>"02 - A - 111 - Cheryl L Beach"</f>
        <v>02 - A - 111 - Cheryl L Beach</v>
      </c>
      <c r="F13055" t="str">
        <f>"NC STUDY HALL 1"</f>
        <v>NC STUDY HALL 1</v>
      </c>
      <c r="G13055" t="str">
        <f>"08-811"</f>
        <v>08-811</v>
      </c>
      <c r="H13055" t="str">
        <f>"A"</f>
        <v>A</v>
      </c>
    </row>
    <row r="13056" spans="1:8" x14ac:dyDescent="0.2">
      <c r="A13056" t="str">
        <f t="shared" si="4725"/>
        <v>0616150134</v>
      </c>
      <c r="B13056" t="str">
        <f t="shared" si="4726"/>
        <v>JAYDA</v>
      </c>
      <c r="C13056" t="str">
        <f t="shared" si="4727"/>
        <v>PELIPICHE</v>
      </c>
      <c r="D13056" t="str">
        <f t="shared" si="4728"/>
        <v>09</v>
      </c>
      <c r="E13056" t="str">
        <f>"07 - B - 206 - Cheryl L Beach"</f>
        <v>07 - B - 206 - Cheryl L Beach</v>
      </c>
      <c r="F13056" t="str">
        <f>"AICE ENV MGMNT AS"</f>
        <v>AICE ENV MGMNT AS</v>
      </c>
      <c r="G13056" t="str">
        <f>"08-811"</f>
        <v>08-811</v>
      </c>
      <c r="H13056" t="str">
        <f>"B"</f>
        <v>B</v>
      </c>
    </row>
    <row r="13057" spans="1:8" x14ac:dyDescent="0.2">
      <c r="A13057" t="str">
        <f t="shared" si="4725"/>
        <v>0616150134</v>
      </c>
      <c r="B13057" t="str">
        <f t="shared" si="4726"/>
        <v>JAYDA</v>
      </c>
      <c r="C13057" t="str">
        <f t="shared" si="4727"/>
        <v>PELIPICHE</v>
      </c>
      <c r="D13057" t="str">
        <f t="shared" si="4728"/>
        <v>09</v>
      </c>
      <c r="E13057" t="str">
        <f>"05 - B - 103 - Josiah I Lacy"</f>
        <v>05 - B - 103 - Josiah I Lacy</v>
      </c>
      <c r="F13057" t="str">
        <f>"PRE-AICE BIO IG"</f>
        <v>PRE-AICE BIO IG</v>
      </c>
      <c r="G13057" t="str">
        <f>"08-801"</f>
        <v>08-801</v>
      </c>
      <c r="H13057" t="str">
        <f>"B"</f>
        <v>B</v>
      </c>
    </row>
    <row r="13058" spans="1:8" x14ac:dyDescent="0.2">
      <c r="A13058" t="str">
        <f t="shared" si="4725"/>
        <v>0616150134</v>
      </c>
      <c r="B13058" t="str">
        <f t="shared" si="4726"/>
        <v>JAYDA</v>
      </c>
      <c r="C13058" t="str">
        <f t="shared" si="4727"/>
        <v>PELIPICHE</v>
      </c>
      <c r="D13058" t="str">
        <f t="shared" si="4728"/>
        <v>09</v>
      </c>
      <c r="E13058" t="str">
        <f>"01 - A - 101 - Tina L Lovett"</f>
        <v>01 - A - 101 - Tina L Lovett</v>
      </c>
      <c r="F13058" t="str">
        <f>"ALGEBRA 1"</f>
        <v>ALGEBRA 1</v>
      </c>
      <c r="G13058" t="str">
        <f>"21-2153"</f>
        <v>21-2153</v>
      </c>
      <c r="H13058" t="str">
        <f>"A"</f>
        <v>A</v>
      </c>
    </row>
    <row r="13059" spans="1:8" x14ac:dyDescent="0.2">
      <c r="A13059" t="str">
        <f t="shared" si="4725"/>
        <v>0616150134</v>
      </c>
      <c r="B13059" t="str">
        <f t="shared" si="4726"/>
        <v>JAYDA</v>
      </c>
      <c r="C13059" t="str">
        <f t="shared" si="4727"/>
        <v>PELIPICHE</v>
      </c>
      <c r="D13059" t="str">
        <f t="shared" si="4728"/>
        <v>09</v>
      </c>
      <c r="E13059" t="str">
        <f>"08 - B - 109 - Emmily A Sarmiento"</f>
        <v>08 - B - 109 - Emmily A Sarmiento</v>
      </c>
      <c r="F13059" t="str">
        <f>"AICE GLBL PERSP 1 AS"</f>
        <v>AICE GLBL PERSP 1 AS</v>
      </c>
      <c r="G13059" t="str">
        <f>"17-1743"</f>
        <v>17-1743</v>
      </c>
      <c r="H13059" t="str">
        <f>"B"</f>
        <v>B</v>
      </c>
    </row>
    <row r="13060" spans="1:8" x14ac:dyDescent="0.2">
      <c r="A13060" t="str">
        <f t="shared" ref="A13060:A13068" si="4729">"0614014178"</f>
        <v>0614014178</v>
      </c>
      <c r="B13060" t="str">
        <f t="shared" ref="B13060:B13068" si="4730">"ERIC"</f>
        <v>ERIC</v>
      </c>
      <c r="C13060" t="str">
        <f t="shared" ref="C13060:C13076" si="4731">"PELLETIER"</f>
        <v>PELLETIER</v>
      </c>
      <c r="D13060">
        <f>12</f>
        <v>12</v>
      </c>
      <c r="E13060" t="str">
        <f>"04 - S1 - A - 106 - Kelly N Panza"</f>
        <v>04 - S1 - A - 106 - Kelly N Panza</v>
      </c>
      <c r="F13060" t="str">
        <f>"US GOVT HON"</f>
        <v>US GOVT HON</v>
      </c>
      <c r="G13060" t="str">
        <f>"17-1753"</f>
        <v>17-1753</v>
      </c>
      <c r="H13060" t="str">
        <f>"A"</f>
        <v>A</v>
      </c>
    </row>
    <row r="13061" spans="1:8" x14ac:dyDescent="0.2">
      <c r="A13061" t="str">
        <f t="shared" si="4729"/>
        <v>0614014178</v>
      </c>
      <c r="B13061" t="str">
        <f t="shared" si="4730"/>
        <v>ERIC</v>
      </c>
      <c r="C13061" t="str">
        <f t="shared" si="4731"/>
        <v>PELLETIER</v>
      </c>
      <c r="D13061">
        <f>12</f>
        <v>12</v>
      </c>
      <c r="E13061" t="str">
        <f>"06 - B - 108 - Jacquelyn M Neeson"</f>
        <v>06 - B - 108 - Jacquelyn M Neeson</v>
      </c>
      <c r="F13061" t="str">
        <f>"NC STUDY HALL 1"</f>
        <v>NC STUDY HALL 1</v>
      </c>
      <c r="G13061" t="str">
        <f>"17-1715"</f>
        <v>17-1715</v>
      </c>
      <c r="H13061" t="str">
        <f>"B"</f>
        <v>B</v>
      </c>
    </row>
    <row r="13062" spans="1:8" x14ac:dyDescent="0.2">
      <c r="A13062" t="str">
        <f t="shared" si="4729"/>
        <v>0614014178</v>
      </c>
      <c r="B13062" t="str">
        <f t="shared" si="4730"/>
        <v>ERIC</v>
      </c>
      <c r="C13062" t="str">
        <f t="shared" si="4731"/>
        <v>PELLETIER</v>
      </c>
      <c r="D13062">
        <f>12</f>
        <v>12</v>
      </c>
      <c r="E13062" t="str">
        <f>"06 - B - 116 - Karen A Toomer"</f>
        <v>06 - B - 116 - Karen A Toomer</v>
      </c>
      <c r="F13062" t="str">
        <f>"LANG THERAPY"</f>
        <v>LANG THERAPY</v>
      </c>
      <c r="G13062" t="str">
        <f>"21-2110"</f>
        <v>21-2110</v>
      </c>
      <c r="H13062" t="str">
        <f>"B"</f>
        <v>B</v>
      </c>
    </row>
    <row r="13063" spans="1:8" x14ac:dyDescent="0.2">
      <c r="A13063" t="str">
        <f t="shared" si="4729"/>
        <v>0614014178</v>
      </c>
      <c r="B13063" t="str">
        <f t="shared" si="4730"/>
        <v>ERIC</v>
      </c>
      <c r="C13063" t="str">
        <f t="shared" si="4731"/>
        <v>PELLETIER</v>
      </c>
      <c r="D13063">
        <f>12</f>
        <v>12</v>
      </c>
      <c r="E13063" t="str">
        <f>"03 - A - 101 - Jacqueline R Morphet"</f>
        <v>03 - A - 101 - Jacqueline R Morphet</v>
      </c>
      <c r="F13063" t="str">
        <f>"AP PHYSICS 1"</f>
        <v>AP PHYSICS 1</v>
      </c>
      <c r="G13063" t="str">
        <f>"21-2138"</f>
        <v>21-2138</v>
      </c>
      <c r="H13063" t="str">
        <f>"A"</f>
        <v>A</v>
      </c>
    </row>
    <row r="13064" spans="1:8" x14ac:dyDescent="0.2">
      <c r="A13064" t="str">
        <f t="shared" si="4729"/>
        <v>0614014178</v>
      </c>
      <c r="B13064" t="str">
        <f t="shared" si="4730"/>
        <v>ERIC</v>
      </c>
      <c r="C13064" t="str">
        <f t="shared" si="4731"/>
        <v>PELLETIER</v>
      </c>
      <c r="D13064">
        <f>12</f>
        <v>12</v>
      </c>
      <c r="E13064" t="str">
        <f>"02 - A - 102 - Jeffrey S Gallagher"</f>
        <v>02 - A - 102 - Jeffrey S Gallagher</v>
      </c>
      <c r="F13064" t="str">
        <f>"ENG HON 4"</f>
        <v>ENG HON 4</v>
      </c>
      <c r="G13064" t="str">
        <f>"17-1724"</f>
        <v>17-1724</v>
      </c>
      <c r="H13064" t="str">
        <f>"A"</f>
        <v>A</v>
      </c>
    </row>
    <row r="13065" spans="1:8" x14ac:dyDescent="0.2">
      <c r="A13065" t="str">
        <f t="shared" si="4729"/>
        <v>0614014178</v>
      </c>
      <c r="B13065" t="str">
        <f t="shared" si="4730"/>
        <v>ERIC</v>
      </c>
      <c r="C13065" t="str">
        <f t="shared" si="4731"/>
        <v>PELLETIER</v>
      </c>
      <c r="D13065">
        <f>12</f>
        <v>12</v>
      </c>
      <c r="E13065" t="str">
        <f>"07 - B - 101 - Fernando  Vega-Cid"</f>
        <v>07 - B - 101 - Fernando  Vega-Cid</v>
      </c>
      <c r="F13065" t="str">
        <f>"AP PRECALCULUS"</f>
        <v>AP PRECALCULUS</v>
      </c>
      <c r="G13065" t="str">
        <f>"21-2163"</f>
        <v>21-2163</v>
      </c>
      <c r="H13065" t="str">
        <f>"B"</f>
        <v>B</v>
      </c>
    </row>
    <row r="13066" spans="1:8" x14ac:dyDescent="0.2">
      <c r="A13066" t="str">
        <f t="shared" si="4729"/>
        <v>0614014178</v>
      </c>
      <c r="B13066" t="str">
        <f t="shared" si="4730"/>
        <v>ERIC</v>
      </c>
      <c r="C13066" t="str">
        <f t="shared" si="4731"/>
        <v>PELLETIER</v>
      </c>
      <c r="D13066">
        <f>12</f>
        <v>12</v>
      </c>
      <c r="E13066" t="str">
        <f>"05 - B - 101 - Angela S Adeshina-Morrison"</f>
        <v>05 - B - 101 - Angela S Adeshina-Morrison</v>
      </c>
      <c r="F13066" t="str">
        <f>"MKT MANAGEMENT LH"</f>
        <v>MKT MANAGEMENT LH</v>
      </c>
      <c r="G13066" t="str">
        <f>"05-518"</f>
        <v>05-518</v>
      </c>
      <c r="H13066" t="str">
        <f>"B"</f>
        <v>B</v>
      </c>
    </row>
    <row r="13067" spans="1:8" x14ac:dyDescent="0.2">
      <c r="A13067" t="str">
        <f t="shared" si="4729"/>
        <v>0614014178</v>
      </c>
      <c r="B13067" t="str">
        <f t="shared" si="4730"/>
        <v>ERIC</v>
      </c>
      <c r="C13067" t="str">
        <f t="shared" si="4731"/>
        <v>PELLETIER</v>
      </c>
      <c r="D13067">
        <f>12</f>
        <v>12</v>
      </c>
      <c r="E13067" t="str">
        <f>"01 - S1 - A - 101 - Jordana K Hass"</f>
        <v>01 - S1 - A - 101 - Jordana K Hass</v>
      </c>
      <c r="F13067" t="str">
        <f>"PRIN OF AERO SCI"</f>
        <v>PRIN OF AERO SCI</v>
      </c>
      <c r="G13067" t="str">
        <f>"08-807"</f>
        <v>08-807</v>
      </c>
      <c r="H13067" t="str">
        <f>"A"</f>
        <v>A</v>
      </c>
    </row>
    <row r="13068" spans="1:8" x14ac:dyDescent="0.2">
      <c r="A13068" t="str">
        <f t="shared" si="4729"/>
        <v>0614014178</v>
      </c>
      <c r="B13068" t="str">
        <f t="shared" si="4730"/>
        <v>ERIC</v>
      </c>
      <c r="C13068" t="str">
        <f t="shared" si="4731"/>
        <v>PELLETIER</v>
      </c>
      <c r="D13068">
        <f>12</f>
        <v>12</v>
      </c>
      <c r="E13068" t="str">
        <f>"08 - B - 103 - Jeanne M Bermudez"</f>
        <v>08 - B - 103 - Jeanne M Bermudez</v>
      </c>
      <c r="F13068" t="str">
        <f>"ADVANCED IT HON"</f>
        <v>ADVANCED IT HON</v>
      </c>
      <c r="G13068" t="str">
        <f>"21-2141"</f>
        <v>21-2141</v>
      </c>
      <c r="H13068" t="str">
        <f>"B"</f>
        <v>B</v>
      </c>
    </row>
    <row r="13069" spans="1:8" x14ac:dyDescent="0.2">
      <c r="A13069" t="str">
        <f t="shared" ref="A13069:A13076" si="4732">"0614140363"</f>
        <v>0614140363</v>
      </c>
      <c r="B13069" t="str">
        <f t="shared" ref="B13069:B13076" si="4733">"NICOLAS"</f>
        <v>NICOLAS</v>
      </c>
      <c r="C13069" t="str">
        <f t="shared" si="4731"/>
        <v>PELLETIER</v>
      </c>
      <c r="D13069">
        <f>11</f>
        <v>11</v>
      </c>
      <c r="E13069" t="str">
        <f>"04 - A - 102 - Jeffrey S Gallagher"</f>
        <v>04 - A - 102 - Jeffrey S Gallagher</v>
      </c>
      <c r="F13069" t="str">
        <f>"ENG HON 3"</f>
        <v>ENG HON 3</v>
      </c>
      <c r="G13069" t="str">
        <f>"17-1724"</f>
        <v>17-1724</v>
      </c>
      <c r="H13069" t="str">
        <f>"A"</f>
        <v>A</v>
      </c>
    </row>
    <row r="13070" spans="1:8" x14ac:dyDescent="0.2">
      <c r="A13070" t="str">
        <f t="shared" si="4732"/>
        <v>0614140363</v>
      </c>
      <c r="B13070" t="str">
        <f t="shared" si="4733"/>
        <v>NICOLAS</v>
      </c>
      <c r="C13070" t="str">
        <f t="shared" si="4731"/>
        <v>PELLETIER</v>
      </c>
      <c r="D13070">
        <f>11</f>
        <v>11</v>
      </c>
      <c r="E13070" t="str">
        <f>"06 - B - 001 - Samantha J Headley"</f>
        <v>06 - B - 001 - Samantha J Headley</v>
      </c>
      <c r="F13070" t="str">
        <f>"MARINE SCI 1 HON"</f>
        <v>MARINE SCI 1 HON</v>
      </c>
      <c r="G13070" t="str">
        <f>"21-2134"</f>
        <v>21-2134</v>
      </c>
      <c r="H13070" t="str">
        <f>"B"</f>
        <v>B</v>
      </c>
    </row>
    <row r="13071" spans="1:8" x14ac:dyDescent="0.2">
      <c r="A13071" t="str">
        <f t="shared" si="4732"/>
        <v>0614140363</v>
      </c>
      <c r="B13071" t="str">
        <f t="shared" si="4733"/>
        <v>NICOLAS</v>
      </c>
      <c r="C13071" t="str">
        <f t="shared" si="4731"/>
        <v>PELLETIER</v>
      </c>
      <c r="D13071">
        <f>11</f>
        <v>11</v>
      </c>
      <c r="E13071" t="str">
        <f>"03 - S1 - A - 103 - Richard E Dunbar Iii"</f>
        <v>03 - S1 - A - 103 - Richard E Dunbar Iii</v>
      </c>
      <c r="F13071" t="str">
        <f>"WEIGHT TRAIN 1"</f>
        <v>WEIGHT TRAIN 1</v>
      </c>
      <c r="G13071" t="str">
        <f>"05-501"</f>
        <v>05-501</v>
      </c>
      <c r="H13071" t="str">
        <f>"A"</f>
        <v>A</v>
      </c>
    </row>
    <row r="13072" spans="1:8" x14ac:dyDescent="0.2">
      <c r="A13072" t="str">
        <f t="shared" si="4732"/>
        <v>0614140363</v>
      </c>
      <c r="B13072" t="str">
        <f t="shared" si="4733"/>
        <v>NICOLAS</v>
      </c>
      <c r="C13072" t="str">
        <f t="shared" si="4731"/>
        <v>PELLETIER</v>
      </c>
      <c r="D13072">
        <f>11</f>
        <v>11</v>
      </c>
      <c r="E13072" t="str">
        <f>"02 - A - 001 - Courtney E Hambright"</f>
        <v>02 - A - 001 - Courtney E Hambright</v>
      </c>
      <c r="F13072" t="str">
        <f>"NC STUDY HALL 1"</f>
        <v>NC STUDY HALL 1</v>
      </c>
      <c r="G13072" t="str">
        <f>"17-1711"</f>
        <v>17-1711</v>
      </c>
      <c r="H13072" t="str">
        <f>"A"</f>
        <v>A</v>
      </c>
    </row>
    <row r="13073" spans="1:8" x14ac:dyDescent="0.2">
      <c r="A13073" t="str">
        <f t="shared" si="4732"/>
        <v>0614140363</v>
      </c>
      <c r="B13073" t="str">
        <f t="shared" si="4733"/>
        <v>NICOLAS</v>
      </c>
      <c r="C13073" t="str">
        <f t="shared" si="4731"/>
        <v>PELLETIER</v>
      </c>
      <c r="D13073">
        <f>11</f>
        <v>11</v>
      </c>
      <c r="E13073" t="str">
        <f>"07 - B - 106 - James H Mccann"</f>
        <v>07 - B - 106 - James H Mccann</v>
      </c>
      <c r="F13073" t="str">
        <f>"ALGEBRA 2"</f>
        <v>ALGEBRA 2</v>
      </c>
      <c r="G13073" t="str">
        <f>"17-1716"</f>
        <v>17-1716</v>
      </c>
      <c r="H13073" t="str">
        <f>"B"</f>
        <v>B</v>
      </c>
    </row>
    <row r="13074" spans="1:8" x14ac:dyDescent="0.2">
      <c r="A13074" t="str">
        <f t="shared" si="4732"/>
        <v>0614140363</v>
      </c>
      <c r="B13074" t="str">
        <f t="shared" si="4733"/>
        <v>NICOLAS</v>
      </c>
      <c r="C13074" t="str">
        <f t="shared" si="4731"/>
        <v>PELLETIER</v>
      </c>
      <c r="D13074">
        <f>11</f>
        <v>11</v>
      </c>
      <c r="E13074" t="str">
        <f>"05 - B - 101 - Brian M Fitzgerald"</f>
        <v>05 - B - 101 - Brian M Fitzgerald</v>
      </c>
      <c r="F13074" t="str">
        <f>"PAINT 1"</f>
        <v>PAINT 1</v>
      </c>
      <c r="G13074" t="str">
        <f>"09-908"</f>
        <v>09-908</v>
      </c>
      <c r="H13074" t="str">
        <f>"B"</f>
        <v>B</v>
      </c>
    </row>
    <row r="13075" spans="1:8" x14ac:dyDescent="0.2">
      <c r="A13075" t="str">
        <f t="shared" si="4732"/>
        <v>0614140363</v>
      </c>
      <c r="B13075" t="str">
        <f t="shared" si="4733"/>
        <v>NICOLAS</v>
      </c>
      <c r="C13075" t="str">
        <f t="shared" si="4731"/>
        <v>PELLETIER</v>
      </c>
      <c r="D13075">
        <f>11</f>
        <v>11</v>
      </c>
      <c r="E13075" t="str">
        <f>"01 - A - 104 - Jerry S Jiampetti"</f>
        <v>01 - A - 104 - Jerry S Jiampetti</v>
      </c>
      <c r="F13075" t="str">
        <f>"US HISTORY HON"</f>
        <v>US HISTORY HON</v>
      </c>
      <c r="G13075" t="str">
        <f>"17-1751"</f>
        <v>17-1751</v>
      </c>
      <c r="H13075" t="str">
        <f>"A"</f>
        <v>A</v>
      </c>
    </row>
    <row r="13076" spans="1:8" x14ac:dyDescent="0.2">
      <c r="A13076" t="str">
        <f t="shared" si="4732"/>
        <v>0614140363</v>
      </c>
      <c r="B13076" t="str">
        <f t="shared" si="4733"/>
        <v>NICOLAS</v>
      </c>
      <c r="C13076" t="str">
        <f t="shared" si="4731"/>
        <v>PELLETIER</v>
      </c>
      <c r="D13076">
        <f>11</f>
        <v>11</v>
      </c>
      <c r="E13076" t="str">
        <f>"08 - B - 103 - Joe  Kilpatrick Jr"</f>
        <v>08 - B - 103 - Joe  Kilpatrick Jr</v>
      </c>
      <c r="F13076" t="str">
        <f>"PRE-AICE SPAN 2 IG"</f>
        <v>PRE-AICE SPAN 2 IG</v>
      </c>
      <c r="G13076" t="str">
        <f>"09-912"</f>
        <v>09-912</v>
      </c>
      <c r="H13076" t="str">
        <f>"B"</f>
        <v>B</v>
      </c>
    </row>
    <row r="13077" spans="1:8" x14ac:dyDescent="0.2">
      <c r="A13077" t="str">
        <f t="shared" ref="A13077:A13084" si="4734">"0625020314"</f>
        <v>0625020314</v>
      </c>
      <c r="B13077" t="str">
        <f t="shared" ref="B13077:B13084" si="4735">"Vladyslav"</f>
        <v>Vladyslav</v>
      </c>
      <c r="C13077" t="str">
        <f t="shared" ref="C13077:C13084" si="4736">"Peltek"</f>
        <v>Peltek</v>
      </c>
      <c r="D13077">
        <f>10</f>
        <v>10</v>
      </c>
      <c r="E13077" t="str">
        <f>"04 - A - 102 - Samantha J Headley"</f>
        <v>04 - A - 102 - Samantha J Headley</v>
      </c>
      <c r="F13077" t="str">
        <f>"MARINE SCI 1 HON"</f>
        <v>MARINE SCI 1 HON</v>
      </c>
      <c r="G13077" t="str">
        <f>"21-2134"</f>
        <v>21-2134</v>
      </c>
      <c r="H13077" t="str">
        <f>"A"</f>
        <v>A</v>
      </c>
    </row>
    <row r="13078" spans="1:8" x14ac:dyDescent="0.2">
      <c r="A13078" t="str">
        <f t="shared" si="4734"/>
        <v>0625020314</v>
      </c>
      <c r="B13078" t="str">
        <f t="shared" si="4735"/>
        <v>Vladyslav</v>
      </c>
      <c r="C13078" t="str">
        <f t="shared" si="4736"/>
        <v>Peltek</v>
      </c>
      <c r="D13078">
        <f>10</f>
        <v>10</v>
      </c>
      <c r="E13078" t="str">
        <f>"06 - B - 103 - Thomas G Handwerg"</f>
        <v>06 - B - 103 - Thomas G Handwerg</v>
      </c>
      <c r="F13078" t="str">
        <f>"NC STUDY HALL 1"</f>
        <v>NC STUDY HALL 1</v>
      </c>
      <c r="G13078" t="str">
        <f>"21-2146"</f>
        <v>21-2146</v>
      </c>
      <c r="H13078" t="str">
        <f>"B"</f>
        <v>B</v>
      </c>
    </row>
    <row r="13079" spans="1:8" x14ac:dyDescent="0.2">
      <c r="A13079" t="str">
        <f t="shared" si="4734"/>
        <v>0625020314</v>
      </c>
      <c r="B13079" t="str">
        <f t="shared" si="4735"/>
        <v>Vladyslav</v>
      </c>
      <c r="C13079" t="str">
        <f t="shared" si="4736"/>
        <v>Peltek</v>
      </c>
      <c r="D13079">
        <f>10</f>
        <v>10</v>
      </c>
      <c r="E13079" t="str">
        <f>"03 - A - 002 - Nikiel  Nesbeth"</f>
        <v>03 - A - 002 - Nikiel  Nesbeth</v>
      </c>
      <c r="F13079" t="str">
        <f>"PRE-AICE ENG LIT IG"</f>
        <v>PRE-AICE ENG LIT IG</v>
      </c>
      <c r="G13079" t="str">
        <f>"17-1705"</f>
        <v>17-1705</v>
      </c>
      <c r="H13079" t="str">
        <f>"A"</f>
        <v>A</v>
      </c>
    </row>
    <row r="13080" spans="1:8" x14ac:dyDescent="0.2">
      <c r="A13080" t="str">
        <f t="shared" si="4734"/>
        <v>0625020314</v>
      </c>
      <c r="B13080" t="str">
        <f t="shared" si="4735"/>
        <v>Vladyslav</v>
      </c>
      <c r="C13080" t="str">
        <f t="shared" si="4736"/>
        <v>Peltek</v>
      </c>
      <c r="D13080">
        <f>10</f>
        <v>10</v>
      </c>
      <c r="E13080" t="str">
        <f>"02 - A - 102 - Marius D Orsolini"</f>
        <v>02 - A - 102 - Marius D Orsolini</v>
      </c>
      <c r="F13080" t="str">
        <f>"CULINARY ARTS 1"</f>
        <v>CULINARY ARTS 1</v>
      </c>
      <c r="G13080" t="str">
        <f>"21-2115"</f>
        <v>21-2115</v>
      </c>
      <c r="H13080" t="str">
        <f>"A"</f>
        <v>A</v>
      </c>
    </row>
    <row r="13081" spans="1:8" x14ac:dyDescent="0.2">
      <c r="A13081" t="str">
        <f t="shared" si="4734"/>
        <v>0625020314</v>
      </c>
      <c r="B13081" t="str">
        <f t="shared" si="4735"/>
        <v>Vladyslav</v>
      </c>
      <c r="C13081" t="str">
        <f t="shared" si="4736"/>
        <v>Peltek</v>
      </c>
      <c r="D13081">
        <f>10</f>
        <v>10</v>
      </c>
      <c r="E13081" t="str">
        <f>"07 - S1 - B - 103 - Leslie J Barton"</f>
        <v>07 - S1 - B - 103 - Leslie J Barton</v>
      </c>
      <c r="F13081" t="str">
        <f>"TEAM SPORTS 1"</f>
        <v>TEAM SPORTS 1</v>
      </c>
      <c r="G13081" t="str">
        <f>"04-254"</f>
        <v>04-254</v>
      </c>
      <c r="H13081" t="str">
        <f>"B"</f>
        <v>B</v>
      </c>
    </row>
    <row r="13082" spans="1:8" x14ac:dyDescent="0.2">
      <c r="A13082" t="str">
        <f t="shared" si="4734"/>
        <v>0625020314</v>
      </c>
      <c r="B13082" t="str">
        <f t="shared" si="4735"/>
        <v>Vladyslav</v>
      </c>
      <c r="C13082" t="str">
        <f t="shared" si="4736"/>
        <v>Peltek</v>
      </c>
      <c r="D13082">
        <f>10</f>
        <v>10</v>
      </c>
      <c r="E13082" t="str">
        <f>"05 - B - 104 - Maried P Ramos"</f>
        <v>05 - B - 104 - Maried P Ramos</v>
      </c>
      <c r="F13082" t="str">
        <f>"PRE-AICE MATH 2 IG"</f>
        <v>PRE-AICE MATH 2 IG</v>
      </c>
      <c r="G13082" t="str">
        <f>"21-2159"</f>
        <v>21-2159</v>
      </c>
      <c r="H13082" t="str">
        <f>"B"</f>
        <v>B</v>
      </c>
    </row>
    <row r="13083" spans="1:8" x14ac:dyDescent="0.2">
      <c r="A13083" t="str">
        <f t="shared" si="4734"/>
        <v>0625020314</v>
      </c>
      <c r="B13083" t="str">
        <f t="shared" si="4735"/>
        <v>Vladyslav</v>
      </c>
      <c r="C13083" t="str">
        <f t="shared" si="4736"/>
        <v>Peltek</v>
      </c>
      <c r="D13083">
        <f>10</f>
        <v>10</v>
      </c>
      <c r="E13083" t="str">
        <f>"01 - S1 - A - 101 - Carol S Moore"</f>
        <v>01 - S1 - A - 101 - Carol S Moore</v>
      </c>
      <c r="F13083" t="str">
        <f>"PERS FIN &amp; MON MGT H"</f>
        <v>PERS FIN &amp; MON MGT H</v>
      </c>
      <c r="G13083" t="str">
        <f>"17-1733"</f>
        <v>17-1733</v>
      </c>
      <c r="H13083" t="str">
        <f>"A"</f>
        <v>A</v>
      </c>
    </row>
    <row r="13084" spans="1:8" x14ac:dyDescent="0.2">
      <c r="A13084" t="str">
        <f t="shared" si="4734"/>
        <v>0625020314</v>
      </c>
      <c r="B13084" t="str">
        <f t="shared" si="4735"/>
        <v>Vladyslav</v>
      </c>
      <c r="C13084" t="str">
        <f t="shared" si="4736"/>
        <v>Peltek</v>
      </c>
      <c r="D13084">
        <f>10</f>
        <v>10</v>
      </c>
      <c r="E13084" t="str">
        <f>"08 - B - 101 - Elizabeth Ellen  Moran"</f>
        <v>08 - B - 101 - Elizabeth Ellen  Moran</v>
      </c>
      <c r="F13084" t="str">
        <f>"WORLD HISTORY"</f>
        <v>WORLD HISTORY</v>
      </c>
      <c r="G13084" t="str">
        <f>"17-1752"</f>
        <v>17-1752</v>
      </c>
      <c r="H13084" t="str">
        <f>"B"</f>
        <v>B</v>
      </c>
    </row>
    <row r="13085" spans="1:8" x14ac:dyDescent="0.2">
      <c r="A13085" t="str">
        <f t="shared" ref="A13085:A13092" si="4737">"0620106441"</f>
        <v>0620106441</v>
      </c>
      <c r="B13085" t="str">
        <f t="shared" ref="B13085:B13092" si="4738">"ADELYS"</f>
        <v>ADELYS</v>
      </c>
      <c r="C13085" t="str">
        <f t="shared" ref="C13085:C13092" si="4739">"PENA"</f>
        <v>PENA</v>
      </c>
      <c r="D13085">
        <f>10</f>
        <v>10</v>
      </c>
      <c r="E13085" t="str">
        <f>"04 - A - 104 - Laselleda D Shaw"</f>
        <v>04 - A - 104 - Laselleda D Shaw</v>
      </c>
      <c r="F13085" t="str">
        <f>"INTENS READ 2"</f>
        <v>INTENS READ 2</v>
      </c>
      <c r="G13085" t="str">
        <f>"17-1723"</f>
        <v>17-1723</v>
      </c>
      <c r="H13085" t="str">
        <f>"A"</f>
        <v>A</v>
      </c>
    </row>
    <row r="13086" spans="1:8" x14ac:dyDescent="0.2">
      <c r="A13086" t="str">
        <f t="shared" si="4737"/>
        <v>0620106441</v>
      </c>
      <c r="B13086" t="str">
        <f t="shared" si="4738"/>
        <v>ADELYS</v>
      </c>
      <c r="C13086" t="str">
        <f t="shared" si="4739"/>
        <v>PENA</v>
      </c>
      <c r="D13086">
        <f>10</f>
        <v>10</v>
      </c>
      <c r="E13086" t="str">
        <f>"06 - B - 001 - Ferrie J Arostique"</f>
        <v>06 - B - 001 - Ferrie J Arostique</v>
      </c>
      <c r="F13086" t="str">
        <f>"NC STUDY HALL 1"</f>
        <v>NC STUDY HALL 1</v>
      </c>
      <c r="G13086" t="str">
        <f>"21-2139"</f>
        <v>21-2139</v>
      </c>
      <c r="H13086" t="str">
        <f>"B"</f>
        <v>B</v>
      </c>
    </row>
    <row r="13087" spans="1:8" x14ac:dyDescent="0.2">
      <c r="A13087" t="str">
        <f t="shared" si="4737"/>
        <v>0620106441</v>
      </c>
      <c r="B13087" t="str">
        <f t="shared" si="4738"/>
        <v>ADELYS</v>
      </c>
      <c r="C13087" t="str">
        <f t="shared" si="4739"/>
        <v>PENA</v>
      </c>
      <c r="D13087">
        <f>10</f>
        <v>10</v>
      </c>
      <c r="E13087" t="str">
        <f>"03 - A - 002 - Ferrie J Arostique"</f>
        <v>03 - A - 002 - Ferrie J Arostique</v>
      </c>
      <c r="F13087" t="str">
        <f>"GEOMETRY"</f>
        <v>GEOMETRY</v>
      </c>
      <c r="G13087" t="str">
        <f>"21-2139"</f>
        <v>21-2139</v>
      </c>
      <c r="H13087" t="str">
        <f>"A"</f>
        <v>A</v>
      </c>
    </row>
    <row r="13088" spans="1:8" x14ac:dyDescent="0.2">
      <c r="A13088" t="str">
        <f t="shared" si="4737"/>
        <v>0620106441</v>
      </c>
      <c r="B13088" t="str">
        <f t="shared" si="4738"/>
        <v>ADELYS</v>
      </c>
      <c r="C13088" t="str">
        <f t="shared" si="4739"/>
        <v>PENA</v>
      </c>
      <c r="D13088">
        <f>10</f>
        <v>10</v>
      </c>
      <c r="E13088" t="str">
        <f>"02 - A - 102 - Adam Marcus  Drucker"</f>
        <v>02 - A - 102 - Adam Marcus  Drucker</v>
      </c>
      <c r="F13088" t="str">
        <f>"HOPE-PE V"</f>
        <v>HOPE-PE V</v>
      </c>
      <c r="G13088" t="str">
        <f>"04-254"</f>
        <v>04-254</v>
      </c>
      <c r="H13088" t="str">
        <f>"A"</f>
        <v>A</v>
      </c>
    </row>
    <row r="13089" spans="1:8" x14ac:dyDescent="0.2">
      <c r="A13089" t="str">
        <f t="shared" si="4737"/>
        <v>0620106441</v>
      </c>
      <c r="B13089" t="str">
        <f t="shared" si="4738"/>
        <v>ADELYS</v>
      </c>
      <c r="C13089" t="str">
        <f t="shared" si="4739"/>
        <v>PENA</v>
      </c>
      <c r="D13089">
        <f>10</f>
        <v>10</v>
      </c>
      <c r="E13089" t="str">
        <f>"07 - B - 108 - Jacquelyn M Neeson"</f>
        <v>07 - B - 108 - Jacquelyn M Neeson</v>
      </c>
      <c r="F13089" t="str">
        <f>"ENG 2"</f>
        <v>ENG 2</v>
      </c>
      <c r="G13089" t="str">
        <f>"17-1715"</f>
        <v>17-1715</v>
      </c>
      <c r="H13089" t="str">
        <f>"B"</f>
        <v>B</v>
      </c>
    </row>
    <row r="13090" spans="1:8" x14ac:dyDescent="0.2">
      <c r="A13090" t="str">
        <f t="shared" si="4737"/>
        <v>0620106441</v>
      </c>
      <c r="B13090" t="str">
        <f t="shared" si="4738"/>
        <v>ADELYS</v>
      </c>
      <c r="C13090" t="str">
        <f t="shared" si="4739"/>
        <v>PENA</v>
      </c>
      <c r="D13090">
        <f>10</f>
        <v>10</v>
      </c>
      <c r="E13090" t="str">
        <f>"05 - S1 - B - 102 - Lissa C Frederique"</f>
        <v>05 - S1 - B - 102 - Lissa C Frederique</v>
      </c>
      <c r="F13090" t="str">
        <f>"PERS FIN &amp; MON MGT H"</f>
        <v>PERS FIN &amp; MON MGT H</v>
      </c>
      <c r="G13090" t="str">
        <f>"17-1754"</f>
        <v>17-1754</v>
      </c>
      <c r="H13090" t="str">
        <f>"B"</f>
        <v>B</v>
      </c>
    </row>
    <row r="13091" spans="1:8" x14ac:dyDescent="0.2">
      <c r="A13091" t="str">
        <f t="shared" si="4737"/>
        <v>0620106441</v>
      </c>
      <c r="B13091" t="str">
        <f t="shared" si="4738"/>
        <v>ADELYS</v>
      </c>
      <c r="C13091" t="str">
        <f t="shared" si="4739"/>
        <v>PENA</v>
      </c>
      <c r="D13091">
        <f>10</f>
        <v>10</v>
      </c>
      <c r="E13091" t="str">
        <f>"01 - A - 101 - Vanessa J Liburd"</f>
        <v>01 - A - 101 - Vanessa J Liburd</v>
      </c>
      <c r="F13091" t="str">
        <f>"PRE-AICE FRENCH 1 IG"</f>
        <v>PRE-AICE FRENCH 1 IG</v>
      </c>
      <c r="G13091" t="str">
        <f>"05-519"</f>
        <v>05-519</v>
      </c>
      <c r="H13091" t="str">
        <f>"A"</f>
        <v>A</v>
      </c>
    </row>
    <row r="13092" spans="1:8" x14ac:dyDescent="0.2">
      <c r="A13092" t="str">
        <f t="shared" si="4737"/>
        <v>0620106441</v>
      </c>
      <c r="B13092" t="str">
        <f t="shared" si="4738"/>
        <v>ADELYS</v>
      </c>
      <c r="C13092" t="str">
        <f t="shared" si="4739"/>
        <v>PENA</v>
      </c>
      <c r="D13092">
        <f>10</f>
        <v>10</v>
      </c>
      <c r="E13092" t="str">
        <f>"08 - B - 001 - Lytrell T Dixon"</f>
        <v>08 - B - 001 - Lytrell T Dixon</v>
      </c>
      <c r="F13092" t="str">
        <f>"BIOLOGY 1"</f>
        <v>BIOLOGY 1</v>
      </c>
      <c r="G13092" t="str">
        <f>"08-808"</f>
        <v>08-808</v>
      </c>
      <c r="H13092" t="str">
        <f>"B"</f>
        <v>B</v>
      </c>
    </row>
    <row r="13093" spans="1:8" x14ac:dyDescent="0.2">
      <c r="A13093" t="str">
        <f t="shared" ref="A13093:A13100" si="4740">"0623082174"</f>
        <v>0623082174</v>
      </c>
      <c r="B13093" t="str">
        <f t="shared" ref="B13093:B13100" si="4741">"OSCAR"</f>
        <v>OSCAR</v>
      </c>
      <c r="C13093" t="str">
        <f t="shared" ref="C13093:C13100" si="4742">"PENA HERNANDEZ"</f>
        <v>PENA HERNANDEZ</v>
      </c>
      <c r="D13093">
        <f>10</f>
        <v>10</v>
      </c>
      <c r="E13093" t="str">
        <f>"04 - S1 - A - 103 - Rory T Sponsler"</f>
        <v>04 - S1 - A - 103 - Rory T Sponsler</v>
      </c>
      <c r="F13093" t="str">
        <f>"WOMENS STUDIES LH"</f>
        <v>WOMENS STUDIES LH</v>
      </c>
      <c r="G13093" t="str">
        <f>"17-1740"</f>
        <v>17-1740</v>
      </c>
      <c r="H13093" t="str">
        <f>"A"</f>
        <v>A</v>
      </c>
    </row>
    <row r="13094" spans="1:8" x14ac:dyDescent="0.2">
      <c r="A13094" t="str">
        <f t="shared" si="4740"/>
        <v>0623082174</v>
      </c>
      <c r="B13094" t="str">
        <f t="shared" si="4741"/>
        <v>OSCAR</v>
      </c>
      <c r="C13094" t="str">
        <f t="shared" si="4742"/>
        <v>PENA HERNANDEZ</v>
      </c>
      <c r="D13094">
        <f>10</f>
        <v>10</v>
      </c>
      <c r="E13094" t="str">
        <f>"06 - B - 103 - Vanessa J Liburd"</f>
        <v>06 - B - 103 - Vanessa J Liburd</v>
      </c>
      <c r="F13094" t="str">
        <f>"NC STUDY HALL 1"</f>
        <v>NC STUDY HALL 1</v>
      </c>
      <c r="G13094" t="str">
        <f>"05-519"</f>
        <v>05-519</v>
      </c>
      <c r="H13094" t="str">
        <f>"B"</f>
        <v>B</v>
      </c>
    </row>
    <row r="13095" spans="1:8" x14ac:dyDescent="0.2">
      <c r="A13095" t="str">
        <f t="shared" si="4740"/>
        <v>0623082174</v>
      </c>
      <c r="B13095" t="str">
        <f t="shared" si="4741"/>
        <v>OSCAR</v>
      </c>
      <c r="C13095" t="str">
        <f t="shared" si="4742"/>
        <v>PENA HERNANDEZ</v>
      </c>
      <c r="D13095">
        <f>10</f>
        <v>10</v>
      </c>
      <c r="E13095" t="str">
        <f>"03 - S1 - A - 103 - Richard E Dunbar Iii"</f>
        <v>03 - S1 - A - 103 - Richard E Dunbar Iii</v>
      </c>
      <c r="F13095" t="str">
        <f>"WEIGHT TRAIN 1"</f>
        <v>WEIGHT TRAIN 1</v>
      </c>
      <c r="G13095" t="str">
        <f>"05-501"</f>
        <v>05-501</v>
      </c>
      <c r="H13095" t="str">
        <f>"A"</f>
        <v>A</v>
      </c>
    </row>
    <row r="13096" spans="1:8" x14ac:dyDescent="0.2">
      <c r="A13096" t="str">
        <f t="shared" si="4740"/>
        <v>0623082174</v>
      </c>
      <c r="B13096" t="str">
        <f t="shared" si="4741"/>
        <v>OSCAR</v>
      </c>
      <c r="C13096" t="str">
        <f t="shared" si="4742"/>
        <v>PENA HERNANDEZ</v>
      </c>
      <c r="D13096">
        <f>10</f>
        <v>10</v>
      </c>
      <c r="E13096" t="str">
        <f>"02 - A - 101 - Brian M Fitzgerald"</f>
        <v>02 - A - 101 - Brian M Fitzgerald</v>
      </c>
      <c r="F13096" t="str">
        <f>"DRAW 1"</f>
        <v>DRAW 1</v>
      </c>
      <c r="G13096" t="str">
        <f>"09-908"</f>
        <v>09-908</v>
      </c>
      <c r="H13096" t="str">
        <f>"A"</f>
        <v>A</v>
      </c>
    </row>
    <row r="13097" spans="1:8" x14ac:dyDescent="0.2">
      <c r="A13097" t="str">
        <f t="shared" si="4740"/>
        <v>0623082174</v>
      </c>
      <c r="B13097" t="str">
        <f t="shared" si="4741"/>
        <v>OSCAR</v>
      </c>
      <c r="C13097" t="str">
        <f t="shared" si="4742"/>
        <v>PENA HERNANDEZ</v>
      </c>
      <c r="D13097">
        <f>10</f>
        <v>10</v>
      </c>
      <c r="E13097" t="str">
        <f>"07 - B - 108 - Jacquelyn M Neeson"</f>
        <v>07 - B - 108 - Jacquelyn M Neeson</v>
      </c>
      <c r="F13097" t="str">
        <f>"ENG 2"</f>
        <v>ENG 2</v>
      </c>
      <c r="G13097" t="str">
        <f>"17-1715"</f>
        <v>17-1715</v>
      </c>
      <c r="H13097" t="str">
        <f>"B"</f>
        <v>B</v>
      </c>
    </row>
    <row r="13098" spans="1:8" x14ac:dyDescent="0.2">
      <c r="A13098" t="str">
        <f t="shared" si="4740"/>
        <v>0623082174</v>
      </c>
      <c r="B13098" t="str">
        <f t="shared" si="4741"/>
        <v>OSCAR</v>
      </c>
      <c r="C13098" t="str">
        <f t="shared" si="4742"/>
        <v>PENA HERNANDEZ</v>
      </c>
      <c r="D13098">
        <f>10</f>
        <v>10</v>
      </c>
      <c r="E13098" t="str">
        <f>"05 - B - 106 - Milca  Exantus"</f>
        <v>05 - B - 106 - Milca  Exantus</v>
      </c>
      <c r="F13098" t="str">
        <f>"MATH COLLEGE LIB ART"</f>
        <v>MATH COLLEGE LIB ART</v>
      </c>
      <c r="G13098" t="str">
        <f>"21-2145"</f>
        <v>21-2145</v>
      </c>
      <c r="H13098" t="str">
        <f>"B"</f>
        <v>B</v>
      </c>
    </row>
    <row r="13099" spans="1:8" x14ac:dyDescent="0.2">
      <c r="A13099" t="str">
        <f t="shared" si="4740"/>
        <v>0623082174</v>
      </c>
      <c r="B13099" t="str">
        <f t="shared" si="4741"/>
        <v>OSCAR</v>
      </c>
      <c r="C13099" t="str">
        <f t="shared" si="4742"/>
        <v>PENA HERNANDEZ</v>
      </c>
      <c r="D13099">
        <f>10</f>
        <v>10</v>
      </c>
      <c r="E13099" t="str">
        <f>"01 - A - 101 - Taraneh C Abreu"</f>
        <v>01 - A - 101 - Taraneh C Abreu</v>
      </c>
      <c r="F13099" t="str">
        <f>"INTENS READ 2"</f>
        <v>INTENS READ 2</v>
      </c>
      <c r="G13099" t="str">
        <f>"17-1713"</f>
        <v>17-1713</v>
      </c>
      <c r="H13099" t="str">
        <f>"A"</f>
        <v>A</v>
      </c>
    </row>
    <row r="13100" spans="1:8" x14ac:dyDescent="0.2">
      <c r="A13100" t="str">
        <f t="shared" si="4740"/>
        <v>0623082174</v>
      </c>
      <c r="B13100" t="str">
        <f t="shared" si="4741"/>
        <v>OSCAR</v>
      </c>
      <c r="C13100" t="str">
        <f t="shared" si="4742"/>
        <v>PENA HERNANDEZ</v>
      </c>
      <c r="D13100">
        <f>10</f>
        <v>10</v>
      </c>
      <c r="E13100" t="str">
        <f>"08 - B - 108 - Paige Lauren  Brochu"</f>
        <v>08 - B - 108 - Paige Lauren  Brochu</v>
      </c>
      <c r="F13100" t="str">
        <f>"BIOLOGY 1"</f>
        <v>BIOLOGY 1</v>
      </c>
      <c r="G13100" t="str">
        <f>"21-2134"</f>
        <v>21-2134</v>
      </c>
      <c r="H13100" t="str">
        <f>"B"</f>
        <v>B</v>
      </c>
    </row>
    <row r="13101" spans="1:8" x14ac:dyDescent="0.2">
      <c r="A13101" t="str">
        <f t="shared" ref="A13101:A13108" si="4743">"0615065701"</f>
        <v>0615065701</v>
      </c>
      <c r="B13101" t="str">
        <f t="shared" ref="B13101:B13108" si="4744">"OMARI"</f>
        <v>OMARI</v>
      </c>
      <c r="C13101" t="str">
        <f t="shared" ref="C13101:C13108" si="4745">"PENCLEY"</f>
        <v>PENCLEY</v>
      </c>
      <c r="D13101">
        <f>10</f>
        <v>10</v>
      </c>
      <c r="E13101" t="str">
        <f>"04 - S1 - A - 101 - Kyle  Robbins"</f>
        <v>04 - S1 - A - 101 - Kyle  Robbins</v>
      </c>
      <c r="F13101" t="str">
        <f>"PERS FIN &amp; MON MGT H"</f>
        <v>PERS FIN &amp; MON MGT H</v>
      </c>
      <c r="G13101" t="str">
        <f>"17-1745"</f>
        <v>17-1745</v>
      </c>
      <c r="H13101" t="str">
        <f>"A"</f>
        <v>A</v>
      </c>
    </row>
    <row r="13102" spans="1:8" x14ac:dyDescent="0.2">
      <c r="A13102" t="str">
        <f t="shared" si="4743"/>
        <v>0615065701</v>
      </c>
      <c r="B13102" t="str">
        <f t="shared" si="4744"/>
        <v>OMARI</v>
      </c>
      <c r="C13102" t="str">
        <f t="shared" si="4745"/>
        <v>PENCLEY</v>
      </c>
      <c r="D13102">
        <f>10</f>
        <v>10</v>
      </c>
      <c r="E13102" t="str">
        <f>"06 - B - 108 - Jacklyn M James"</f>
        <v>06 - B - 108 - Jacklyn M James</v>
      </c>
      <c r="F13102" t="str">
        <f>"NC STUDY HALL 1"</f>
        <v>NC STUDY HALL 1</v>
      </c>
      <c r="G13102" t="str">
        <f>"17-1731"</f>
        <v>17-1731</v>
      </c>
      <c r="H13102" t="str">
        <f>"B"</f>
        <v>B</v>
      </c>
    </row>
    <row r="13103" spans="1:8" x14ac:dyDescent="0.2">
      <c r="A13103" t="str">
        <f t="shared" si="4743"/>
        <v>0615065701</v>
      </c>
      <c r="B13103" t="str">
        <f t="shared" si="4744"/>
        <v>OMARI</v>
      </c>
      <c r="C13103" t="str">
        <f t="shared" si="4745"/>
        <v>PENCLEY</v>
      </c>
      <c r="D13103">
        <f>10</f>
        <v>10</v>
      </c>
      <c r="E13103" t="str">
        <f>"03 - A - 101 - Timothy J Lawrence"</f>
        <v>03 - A - 101 - Timothy J Lawrence</v>
      </c>
      <c r="F13103" t="str">
        <f>"AICE PHYS ED 1 AS"</f>
        <v>AICE PHYS ED 1 AS</v>
      </c>
      <c r="G13103" t="str">
        <f>"05-519"</f>
        <v>05-519</v>
      </c>
      <c r="H13103" t="str">
        <f>"A"</f>
        <v>A</v>
      </c>
    </row>
    <row r="13104" spans="1:8" x14ac:dyDescent="0.2">
      <c r="A13104" t="str">
        <f t="shared" si="4743"/>
        <v>0615065701</v>
      </c>
      <c r="B13104" t="str">
        <f t="shared" si="4744"/>
        <v>OMARI</v>
      </c>
      <c r="C13104" t="str">
        <f t="shared" si="4745"/>
        <v>PENCLEY</v>
      </c>
      <c r="D13104">
        <f>10</f>
        <v>10</v>
      </c>
      <c r="E13104" t="str">
        <f>"02 - A - 103 - Dorothy D Moore"</f>
        <v>02 - A - 103 - Dorothy D Moore</v>
      </c>
      <c r="F13104" t="str">
        <f>"ANAT PHYSIO HON"</f>
        <v>ANAT PHYSIO HON</v>
      </c>
      <c r="G13104" t="str">
        <f>"08-803"</f>
        <v>08-803</v>
      </c>
      <c r="H13104" t="str">
        <f>"A"</f>
        <v>A</v>
      </c>
    </row>
    <row r="13105" spans="1:8" x14ac:dyDescent="0.2">
      <c r="A13105" t="str">
        <f t="shared" si="4743"/>
        <v>0615065701</v>
      </c>
      <c r="B13105" t="str">
        <f t="shared" si="4744"/>
        <v>OMARI</v>
      </c>
      <c r="C13105" t="str">
        <f t="shared" si="4745"/>
        <v>PENCLEY</v>
      </c>
      <c r="D13105">
        <f>10</f>
        <v>10</v>
      </c>
      <c r="E13105" t="str">
        <f>"07 - B - 107 - Semra  Bahadir"</f>
        <v>07 - B - 107 - Semra  Bahadir</v>
      </c>
      <c r="F13105" t="str">
        <f>"MATH COLL ALGEBRA"</f>
        <v>MATH COLL ALGEBRA</v>
      </c>
      <c r="G13105" t="str">
        <f>"21-2107"</f>
        <v>21-2107</v>
      </c>
      <c r="H13105" t="str">
        <f>"B"</f>
        <v>B</v>
      </c>
    </row>
    <row r="13106" spans="1:8" x14ac:dyDescent="0.2">
      <c r="A13106" t="str">
        <f t="shared" si="4743"/>
        <v>0615065701</v>
      </c>
      <c r="B13106" t="str">
        <f t="shared" si="4744"/>
        <v>OMARI</v>
      </c>
      <c r="C13106" t="str">
        <f t="shared" si="4745"/>
        <v>PENCLEY</v>
      </c>
      <c r="D13106">
        <f>10</f>
        <v>10</v>
      </c>
      <c r="E13106" t="str">
        <f>"05 - B - 106 - Courtney E Hambright"</f>
        <v>05 - B - 106 - Courtney E Hambright</v>
      </c>
      <c r="F13106" t="str">
        <f>"AICE ENG LANG AS"</f>
        <v>AICE ENG LANG AS</v>
      </c>
      <c r="G13106" t="str">
        <f>"17-1711"</f>
        <v>17-1711</v>
      </c>
      <c r="H13106" t="str">
        <f>"B"</f>
        <v>B</v>
      </c>
    </row>
    <row r="13107" spans="1:8" x14ac:dyDescent="0.2">
      <c r="A13107" t="str">
        <f t="shared" si="4743"/>
        <v>0615065701</v>
      </c>
      <c r="B13107" t="str">
        <f t="shared" si="4744"/>
        <v>OMARI</v>
      </c>
      <c r="C13107" t="str">
        <f t="shared" si="4745"/>
        <v>PENCLEY</v>
      </c>
      <c r="D13107">
        <f>10</f>
        <v>10</v>
      </c>
      <c r="E13107" t="str">
        <f>"01 - A - 101 - Eva T Rimmer"</f>
        <v>01 - A - 101 - Eva T Rimmer</v>
      </c>
      <c r="F13107" t="str">
        <f>"CRIMINAL JUST OPS 2"</f>
        <v>CRIMINAL JUST OPS 2</v>
      </c>
      <c r="G13107" t="str">
        <f>"05-523"</f>
        <v>05-523</v>
      </c>
      <c r="H13107" t="str">
        <f>"A"</f>
        <v>A</v>
      </c>
    </row>
    <row r="13108" spans="1:8" x14ac:dyDescent="0.2">
      <c r="A13108" t="str">
        <f t="shared" si="4743"/>
        <v>0615065701</v>
      </c>
      <c r="B13108" t="str">
        <f t="shared" si="4744"/>
        <v>OMARI</v>
      </c>
      <c r="C13108" t="str">
        <f t="shared" si="4745"/>
        <v>PENCLEY</v>
      </c>
      <c r="D13108">
        <f>10</f>
        <v>10</v>
      </c>
      <c r="E13108" t="str">
        <f>"08 - B - 201 - Lenecy  Nodarse"</f>
        <v>08 - B - 201 - Lenecy  Nodarse</v>
      </c>
      <c r="F13108" t="str">
        <f>"AICE EURO HIST 1 AS"</f>
        <v>AICE EURO HIST 1 AS</v>
      </c>
      <c r="G13108" t="str">
        <f>"17-1741"</f>
        <v>17-1741</v>
      </c>
      <c r="H13108" t="str">
        <f>"B"</f>
        <v>B</v>
      </c>
    </row>
    <row r="13109" spans="1:8" x14ac:dyDescent="0.2">
      <c r="A13109" t="str">
        <f t="shared" ref="A13109:A13117" si="4746">"0614088706"</f>
        <v>0614088706</v>
      </c>
      <c r="B13109" t="str">
        <f t="shared" ref="B13109:B13117" si="4747">"ANTONIO"</f>
        <v>ANTONIO</v>
      </c>
      <c r="C13109" t="str">
        <f t="shared" ref="C13109:C13117" si="4748">"PENDERGRASS-DAVIS"</f>
        <v>PENDERGRASS-DAVIS</v>
      </c>
      <c r="D13109">
        <f>11</f>
        <v>11</v>
      </c>
      <c r="E13109" t="str">
        <f>"04 - A - 108 - Maried P Ramos"</f>
        <v>04 - A - 108 - Maried P Ramos</v>
      </c>
      <c r="F13109" t="str">
        <f>"GEOMETRY"</f>
        <v>GEOMETRY</v>
      </c>
      <c r="G13109" t="str">
        <f>"21-2159"</f>
        <v>21-2159</v>
      </c>
      <c r="H13109" t="str">
        <f>"A"</f>
        <v>A</v>
      </c>
    </row>
    <row r="13110" spans="1:8" x14ac:dyDescent="0.2">
      <c r="A13110" t="str">
        <f t="shared" si="4746"/>
        <v>0614088706</v>
      </c>
      <c r="B13110" t="str">
        <f t="shared" si="4747"/>
        <v>ANTONIO</v>
      </c>
      <c r="C13110" t="str">
        <f t="shared" si="4748"/>
        <v>PENDERGRASS-DAVIS</v>
      </c>
      <c r="D13110">
        <f>11</f>
        <v>11</v>
      </c>
      <c r="E13110" t="str">
        <f>"06 - B - 105 - Elizabeth Ellen  Moran"</f>
        <v>06 - B - 105 - Elizabeth Ellen  Moran</v>
      </c>
      <c r="F13110" t="str">
        <f>"US HISTORY"</f>
        <v>US HISTORY</v>
      </c>
      <c r="G13110" t="str">
        <f>"17-1752"</f>
        <v>17-1752</v>
      </c>
      <c r="H13110" t="str">
        <f>"B"</f>
        <v>B</v>
      </c>
    </row>
    <row r="13111" spans="1:8" x14ac:dyDescent="0.2">
      <c r="A13111" t="str">
        <f t="shared" si="4746"/>
        <v>0614088706</v>
      </c>
      <c r="B13111" t="str">
        <f t="shared" si="4747"/>
        <v>ANTONIO</v>
      </c>
      <c r="C13111" t="str">
        <f t="shared" si="4748"/>
        <v>PENDERGRASS-DAVIS</v>
      </c>
      <c r="D13111">
        <f>11</f>
        <v>11</v>
      </c>
      <c r="E13111" t="str">
        <f>"03 - A - 201 - Joe  Kilpatrick Jr"</f>
        <v>03 - A - 201 - Joe  Kilpatrick Jr</v>
      </c>
      <c r="F13111" t="str">
        <f>"PRE-AICE SPAN 2 IG"</f>
        <v>PRE-AICE SPAN 2 IG</v>
      </c>
      <c r="G13111" t="str">
        <f>"09-912"</f>
        <v>09-912</v>
      </c>
      <c r="H13111" t="str">
        <f>"A"</f>
        <v>A</v>
      </c>
    </row>
    <row r="13112" spans="1:8" x14ac:dyDescent="0.2">
      <c r="A13112" t="str">
        <f t="shared" si="4746"/>
        <v>0614088706</v>
      </c>
      <c r="B13112" t="str">
        <f t="shared" si="4747"/>
        <v>ANTONIO</v>
      </c>
      <c r="C13112" t="str">
        <f t="shared" si="4748"/>
        <v>PENDERGRASS-DAVIS</v>
      </c>
      <c r="D13112">
        <f>11</f>
        <v>11</v>
      </c>
      <c r="E13112" t="str">
        <f>"02 - A - 112 - Brandy N Zdenek"</f>
        <v>02 - A - 112 - Brandy N Zdenek</v>
      </c>
      <c r="F13112" t="str">
        <f>"NC STUDY HALL 1"</f>
        <v>NC STUDY HALL 1</v>
      </c>
      <c r="G13112" t="str">
        <f>"17-1704"</f>
        <v>17-1704</v>
      </c>
      <c r="H13112" t="str">
        <f>"A"</f>
        <v>A</v>
      </c>
    </row>
    <row r="13113" spans="1:8" x14ac:dyDescent="0.2">
      <c r="A13113" t="str">
        <f t="shared" si="4746"/>
        <v>0614088706</v>
      </c>
      <c r="B13113" t="str">
        <f t="shared" si="4747"/>
        <v>ANTONIO</v>
      </c>
      <c r="C13113" t="str">
        <f t="shared" si="4748"/>
        <v>PENDERGRASS-DAVIS</v>
      </c>
      <c r="D13113">
        <f>11</f>
        <v>11</v>
      </c>
      <c r="E13113" t="str">
        <f>"02 - A - 112 - Karen A Toomer"</f>
        <v>02 - A - 112 - Karen A Toomer</v>
      </c>
      <c r="F13113" t="str">
        <f>"SPEECH THRPY"</f>
        <v>SPEECH THRPY</v>
      </c>
      <c r="G13113" t="str">
        <f>"21-2110"</f>
        <v>21-2110</v>
      </c>
      <c r="H13113" t="str">
        <f>"A"</f>
        <v>A</v>
      </c>
    </row>
    <row r="13114" spans="1:8" x14ac:dyDescent="0.2">
      <c r="A13114" t="str">
        <f t="shared" si="4746"/>
        <v>0614088706</v>
      </c>
      <c r="B13114" t="str">
        <f t="shared" si="4747"/>
        <v>ANTONIO</v>
      </c>
      <c r="C13114" t="str">
        <f t="shared" si="4748"/>
        <v>PENDERGRASS-DAVIS</v>
      </c>
      <c r="D13114">
        <f>11</f>
        <v>11</v>
      </c>
      <c r="E13114" t="str">
        <f>"07 - B - 105 - Cliffon  Saurel"</f>
        <v>07 - B - 105 - Cliffon  Saurel</v>
      </c>
      <c r="F13114" t="str">
        <f>"PHYSICAL SCI"</f>
        <v>PHYSICAL SCI</v>
      </c>
      <c r="G13114" t="str">
        <f>"05-522"</f>
        <v>05-522</v>
      </c>
      <c r="H13114" t="str">
        <f>"B"</f>
        <v>B</v>
      </c>
    </row>
    <row r="13115" spans="1:8" x14ac:dyDescent="0.2">
      <c r="A13115" t="str">
        <f t="shared" si="4746"/>
        <v>0614088706</v>
      </c>
      <c r="B13115" t="str">
        <f t="shared" si="4747"/>
        <v>ANTONIO</v>
      </c>
      <c r="C13115" t="str">
        <f t="shared" si="4748"/>
        <v>PENDERGRASS-DAVIS</v>
      </c>
      <c r="D13115">
        <f>11</f>
        <v>11</v>
      </c>
      <c r="E13115" t="str">
        <f>"05 - B - 102 - Jeanne M Bermudez"</f>
        <v>05 - B - 102 - Jeanne M Bermudez</v>
      </c>
      <c r="F13115" t="str">
        <f>"ADVANCED IT HON"</f>
        <v>ADVANCED IT HON</v>
      </c>
      <c r="G13115" t="str">
        <f>"21-2141"</f>
        <v>21-2141</v>
      </c>
      <c r="H13115" t="str">
        <f>"B"</f>
        <v>B</v>
      </c>
    </row>
    <row r="13116" spans="1:8" x14ac:dyDescent="0.2">
      <c r="A13116" t="str">
        <f t="shared" si="4746"/>
        <v>0614088706</v>
      </c>
      <c r="B13116" t="str">
        <f t="shared" si="4747"/>
        <v>ANTONIO</v>
      </c>
      <c r="C13116" t="str">
        <f t="shared" si="4748"/>
        <v>PENDERGRASS-DAVIS</v>
      </c>
      <c r="D13116">
        <f>11</f>
        <v>11</v>
      </c>
      <c r="E13116" t="str">
        <f>"01 - A - 101 - Heidi M Knopp"</f>
        <v>01 - A - 101 - Heidi M Knopp</v>
      </c>
      <c r="F13116" t="str">
        <f>"ENG HON 3"</f>
        <v>ENG HON 3</v>
      </c>
      <c r="G13116" t="str">
        <f>"17-1752"</f>
        <v>17-1752</v>
      </c>
      <c r="H13116" t="str">
        <f>"A"</f>
        <v>A</v>
      </c>
    </row>
    <row r="13117" spans="1:8" x14ac:dyDescent="0.2">
      <c r="A13117" t="str">
        <f t="shared" si="4746"/>
        <v>0614088706</v>
      </c>
      <c r="B13117" t="str">
        <f t="shared" si="4747"/>
        <v>ANTONIO</v>
      </c>
      <c r="C13117" t="str">
        <f t="shared" si="4748"/>
        <v>PENDERGRASS-DAVIS</v>
      </c>
      <c r="D13117">
        <f>11</f>
        <v>11</v>
      </c>
      <c r="E13117" t="str">
        <f>"08 - B - 102 - Carleigh R Carmichael"</f>
        <v>08 - B - 102 - Carleigh R Carmichael</v>
      </c>
      <c r="F13117" t="str">
        <f>"LRNG STRATEGIES 9-12"</f>
        <v>LRNG STRATEGIES 9-12</v>
      </c>
      <c r="G13117" t="str">
        <f>"20-2072"</f>
        <v>20-2072</v>
      </c>
      <c r="H13117" t="str">
        <f>"B"</f>
        <v>B</v>
      </c>
    </row>
    <row r="13118" spans="1:8" x14ac:dyDescent="0.2">
      <c r="A13118" t="str">
        <f t="shared" ref="A13118:A13125" si="4749">"0613085501"</f>
        <v>0613085501</v>
      </c>
      <c r="B13118" t="str">
        <f t="shared" ref="B13118:B13125" si="4750">"GRAHAM"</f>
        <v>GRAHAM</v>
      </c>
      <c r="C13118" t="str">
        <f t="shared" ref="C13118:C13125" si="4751">"PENN"</f>
        <v>PENN</v>
      </c>
      <c r="D13118">
        <f>12</f>
        <v>12</v>
      </c>
      <c r="E13118" t="str">
        <f>"04 - A - 101 - Stefanie S Scher"</f>
        <v>04 - A - 101 - Stefanie S Scher</v>
      </c>
      <c r="F13118" t="str">
        <f>"AP PSYCH"</f>
        <v>AP PSYCH</v>
      </c>
      <c r="G13118" t="str">
        <f>"17-1735"</f>
        <v>17-1735</v>
      </c>
      <c r="H13118" t="str">
        <f>"A"</f>
        <v>A</v>
      </c>
    </row>
    <row r="13119" spans="1:8" x14ac:dyDescent="0.2">
      <c r="A13119" t="str">
        <f t="shared" si="4749"/>
        <v>0613085501</v>
      </c>
      <c r="B13119" t="str">
        <f t="shared" si="4750"/>
        <v>GRAHAM</v>
      </c>
      <c r="C13119" t="str">
        <f t="shared" si="4751"/>
        <v>PENN</v>
      </c>
      <c r="D13119">
        <f>12</f>
        <v>12</v>
      </c>
      <c r="E13119" t="str">
        <f>"06 - B - 109 - Carol S Moore"</f>
        <v>06 - B - 109 - Carol S Moore</v>
      </c>
      <c r="F13119" t="str">
        <f>"NC STUDY HALL 1"</f>
        <v>NC STUDY HALL 1</v>
      </c>
      <c r="G13119" t="str">
        <f>"17-1733"</f>
        <v>17-1733</v>
      </c>
      <c r="H13119" t="str">
        <f>"B"</f>
        <v>B</v>
      </c>
    </row>
    <row r="13120" spans="1:8" x14ac:dyDescent="0.2">
      <c r="A13120" t="str">
        <f t="shared" si="4749"/>
        <v>0613085501</v>
      </c>
      <c r="B13120" t="str">
        <f t="shared" si="4750"/>
        <v>GRAHAM</v>
      </c>
      <c r="C13120" t="str">
        <f t="shared" si="4751"/>
        <v>PENN</v>
      </c>
      <c r="D13120">
        <f>12</f>
        <v>12</v>
      </c>
      <c r="E13120" t="str">
        <f>"03 - A - 103 - Jazmin S Fletcher"</f>
        <v>03 - A - 103 - Jazmin S Fletcher</v>
      </c>
      <c r="F13120" t="str">
        <f>"THEATRE 2"</f>
        <v>THEATRE 2</v>
      </c>
      <c r="G13120" t="str">
        <f>"09-909"</f>
        <v>09-909</v>
      </c>
      <c r="H13120" t="str">
        <f>"A"</f>
        <v>A</v>
      </c>
    </row>
    <row r="13121" spans="1:8" x14ac:dyDescent="0.2">
      <c r="A13121" t="str">
        <f t="shared" si="4749"/>
        <v>0613085501</v>
      </c>
      <c r="B13121" t="str">
        <f t="shared" si="4750"/>
        <v>GRAHAM</v>
      </c>
      <c r="C13121" t="str">
        <f t="shared" si="4751"/>
        <v>PENN</v>
      </c>
      <c r="D13121">
        <f>12</f>
        <v>12</v>
      </c>
      <c r="E13121" t="str">
        <f>"02 - A - 201 - Jeanne M Bermudez"</f>
        <v>02 - A - 201 - Jeanne M Bermudez</v>
      </c>
      <c r="F13121" t="str">
        <f>"AP ENV SCI"</f>
        <v>AP ENV SCI</v>
      </c>
      <c r="G13121" t="str">
        <f>"21-2141"</f>
        <v>21-2141</v>
      </c>
      <c r="H13121" t="str">
        <f>"A"</f>
        <v>A</v>
      </c>
    </row>
    <row r="13122" spans="1:8" x14ac:dyDescent="0.2">
      <c r="A13122" t="str">
        <f t="shared" si="4749"/>
        <v>0613085501</v>
      </c>
      <c r="B13122" t="str">
        <f t="shared" si="4750"/>
        <v>GRAHAM</v>
      </c>
      <c r="C13122" t="str">
        <f t="shared" si="4751"/>
        <v>PENN</v>
      </c>
      <c r="D13122">
        <f>12</f>
        <v>12</v>
      </c>
      <c r="E13122" t="str">
        <f>"07 - B - 102 - Courtney E Hambright"</f>
        <v>07 - B - 102 - Courtney E Hambright</v>
      </c>
      <c r="F13122" t="str">
        <f>"AP ENG LIT COMPO"</f>
        <v>AP ENG LIT COMPO</v>
      </c>
      <c r="G13122" t="str">
        <f>"17-1711"</f>
        <v>17-1711</v>
      </c>
      <c r="H13122" t="str">
        <f>"B"</f>
        <v>B</v>
      </c>
    </row>
    <row r="13123" spans="1:8" x14ac:dyDescent="0.2">
      <c r="A13123" t="str">
        <f t="shared" si="4749"/>
        <v>0613085501</v>
      </c>
      <c r="B13123" t="str">
        <f t="shared" si="4750"/>
        <v>GRAHAM</v>
      </c>
      <c r="C13123" t="str">
        <f t="shared" si="4751"/>
        <v>PENN</v>
      </c>
      <c r="D13123">
        <f>12</f>
        <v>12</v>
      </c>
      <c r="E13123" t="str">
        <f>"05 - S1 - B - 103 - Stephen T Ripp"</f>
        <v>05 - S1 - B - 103 - Stephen T Ripp</v>
      </c>
      <c r="F13123" t="str">
        <f>"AP US GOVT/POL"</f>
        <v>AP US GOVT/POL</v>
      </c>
      <c r="G13123" t="str">
        <f>"17-1744"</f>
        <v>17-1744</v>
      </c>
      <c r="H13123" t="str">
        <f>"B"</f>
        <v>B</v>
      </c>
    </row>
    <row r="13124" spans="1:8" x14ac:dyDescent="0.2">
      <c r="A13124" t="str">
        <f t="shared" si="4749"/>
        <v>0613085501</v>
      </c>
      <c r="B13124" t="str">
        <f t="shared" si="4750"/>
        <v>GRAHAM</v>
      </c>
      <c r="C13124" t="str">
        <f t="shared" si="4751"/>
        <v>PENN</v>
      </c>
      <c r="D13124">
        <f>12</f>
        <v>12</v>
      </c>
      <c r="E13124" t="str">
        <f>"01 - A - 101 - Thomas G Handwerg"</f>
        <v>01 - A - 101 - Thomas G Handwerg</v>
      </c>
      <c r="F13124" t="str">
        <f>"PROB STAT W/APPS HON"</f>
        <v>PROB STAT W/APPS HON</v>
      </c>
      <c r="G13124" t="str">
        <f>"21-2146"</f>
        <v>21-2146</v>
      </c>
      <c r="H13124" t="str">
        <f>"A"</f>
        <v>A</v>
      </c>
    </row>
    <row r="13125" spans="1:8" x14ac:dyDescent="0.2">
      <c r="A13125" t="str">
        <f t="shared" si="4749"/>
        <v>0613085501</v>
      </c>
      <c r="B13125" t="str">
        <f t="shared" si="4750"/>
        <v>GRAHAM</v>
      </c>
      <c r="C13125" t="str">
        <f t="shared" si="4751"/>
        <v>PENN</v>
      </c>
      <c r="D13125">
        <f>12</f>
        <v>12</v>
      </c>
      <c r="E13125" t="str">
        <f>"08 - B - 201 - Tina M Jaramillo"</f>
        <v>08 - B - 201 - Tina M Jaramillo</v>
      </c>
      <c r="F13125" t="str">
        <f>"CREATIVE WRIT 3 HON"</f>
        <v>CREATIVE WRIT 3 HON</v>
      </c>
      <c r="G13125" t="str">
        <f>"17-1706"</f>
        <v>17-1706</v>
      </c>
      <c r="H13125" t="str">
        <f>"B"</f>
        <v>B</v>
      </c>
    </row>
    <row r="13126" spans="1:8" x14ac:dyDescent="0.2">
      <c r="A13126" t="str">
        <f t="shared" ref="A13126:A13133" si="4752">"0615096280"</f>
        <v>0615096280</v>
      </c>
      <c r="B13126" t="str">
        <f t="shared" ref="B13126:B13133" si="4753">"SKILLA"</f>
        <v>SKILLA</v>
      </c>
      <c r="C13126" t="str">
        <f t="shared" ref="C13126:C13133" si="4754">"PENSO"</f>
        <v>PENSO</v>
      </c>
      <c r="D13126">
        <f>12</f>
        <v>12</v>
      </c>
      <c r="E13126" t="str">
        <f>"04 - A - 106 - Tina M Jaramillo"</f>
        <v>04 - A - 106 - Tina M Jaramillo</v>
      </c>
      <c r="F13126" t="str">
        <f>"AP ENG LIT COMPO"</f>
        <v>AP ENG LIT COMPO</v>
      </c>
      <c r="G13126" t="str">
        <f>"17-1706"</f>
        <v>17-1706</v>
      </c>
      <c r="H13126" t="str">
        <f>"A"</f>
        <v>A</v>
      </c>
    </row>
    <row r="13127" spans="1:8" x14ac:dyDescent="0.2">
      <c r="A13127" t="str">
        <f t="shared" si="4752"/>
        <v>0615096280</v>
      </c>
      <c r="B13127" t="str">
        <f t="shared" si="4753"/>
        <v>SKILLA</v>
      </c>
      <c r="C13127" t="str">
        <f t="shared" si="4754"/>
        <v>PENSO</v>
      </c>
      <c r="D13127">
        <f>12</f>
        <v>12</v>
      </c>
      <c r="E13127" t="str">
        <f>"06 - B - 111 - James H Mccann"</f>
        <v>06 - B - 111 - James H Mccann</v>
      </c>
      <c r="F13127" t="str">
        <f>"NC STUDY HALL 1"</f>
        <v>NC STUDY HALL 1</v>
      </c>
      <c r="G13127" t="str">
        <f>"17-1716"</f>
        <v>17-1716</v>
      </c>
      <c r="H13127" t="str">
        <f>"B"</f>
        <v>B</v>
      </c>
    </row>
    <row r="13128" spans="1:8" x14ac:dyDescent="0.2">
      <c r="A13128" t="str">
        <f t="shared" si="4752"/>
        <v>0615096280</v>
      </c>
      <c r="B13128" t="str">
        <f t="shared" si="4753"/>
        <v>SKILLA</v>
      </c>
      <c r="C13128" t="str">
        <f t="shared" si="4754"/>
        <v>PENSO</v>
      </c>
      <c r="D13128">
        <f>12</f>
        <v>12</v>
      </c>
      <c r="E13128" t="str">
        <f>"03 - A - 101 - Lisa J London"</f>
        <v>03 - A - 101 - Lisa J London</v>
      </c>
      <c r="F13128" t="str">
        <f>"AP CAPSTONE RESEARCH"</f>
        <v>AP CAPSTONE RESEARCH</v>
      </c>
      <c r="G13128" t="str">
        <f>"17-1714"</f>
        <v>17-1714</v>
      </c>
      <c r="H13128" t="str">
        <f>"A"</f>
        <v>A</v>
      </c>
    </row>
    <row r="13129" spans="1:8" x14ac:dyDescent="0.2">
      <c r="A13129" t="str">
        <f t="shared" si="4752"/>
        <v>0615096280</v>
      </c>
      <c r="B13129" t="str">
        <f t="shared" si="4753"/>
        <v>SKILLA</v>
      </c>
      <c r="C13129" t="str">
        <f t="shared" si="4754"/>
        <v>PENSO</v>
      </c>
      <c r="D13129">
        <f>12</f>
        <v>12</v>
      </c>
      <c r="E13129" t="str">
        <f>"02 - A - 201 - Jeanne M Bermudez"</f>
        <v>02 - A - 201 - Jeanne M Bermudez</v>
      </c>
      <c r="F13129" t="str">
        <f>"AP ENV SCI"</f>
        <v>AP ENV SCI</v>
      </c>
      <c r="G13129" t="str">
        <f>"21-2141"</f>
        <v>21-2141</v>
      </c>
      <c r="H13129" t="str">
        <f>"A"</f>
        <v>A</v>
      </c>
    </row>
    <row r="13130" spans="1:8" x14ac:dyDescent="0.2">
      <c r="A13130" t="str">
        <f t="shared" si="4752"/>
        <v>0615096280</v>
      </c>
      <c r="B13130" t="str">
        <f t="shared" si="4753"/>
        <v>SKILLA</v>
      </c>
      <c r="C13130" t="str">
        <f t="shared" si="4754"/>
        <v>PENSO</v>
      </c>
      <c r="D13130">
        <f>12</f>
        <v>12</v>
      </c>
      <c r="E13130" t="str">
        <f>"07 - B - 201 - Jacqueline R Morphet"</f>
        <v>07 - B - 201 - Jacqueline R Morphet</v>
      </c>
      <c r="F13130" t="str">
        <f>"AP PHYSICS C: ME"</f>
        <v>AP PHYSICS C: ME</v>
      </c>
      <c r="G13130" t="str">
        <f>"21-2138"</f>
        <v>21-2138</v>
      </c>
      <c r="H13130" t="str">
        <f>"B"</f>
        <v>B</v>
      </c>
    </row>
    <row r="13131" spans="1:8" x14ac:dyDescent="0.2">
      <c r="A13131" t="str">
        <f t="shared" si="4752"/>
        <v>0615096280</v>
      </c>
      <c r="B13131" t="str">
        <f t="shared" si="4753"/>
        <v>SKILLA</v>
      </c>
      <c r="C13131" t="str">
        <f t="shared" si="4754"/>
        <v>PENSO</v>
      </c>
      <c r="D13131">
        <f>12</f>
        <v>12</v>
      </c>
      <c r="E13131" t="str">
        <f>"05 - S1 - B - 103 - Stephen T Ripp"</f>
        <v>05 - S1 - B - 103 - Stephen T Ripp</v>
      </c>
      <c r="F13131" t="str">
        <f>"AP US GOVT/POL"</f>
        <v>AP US GOVT/POL</v>
      </c>
      <c r="G13131" t="str">
        <f>"17-1744"</f>
        <v>17-1744</v>
      </c>
      <c r="H13131" t="str">
        <f>"B"</f>
        <v>B</v>
      </c>
    </row>
    <row r="13132" spans="1:8" x14ac:dyDescent="0.2">
      <c r="A13132" t="str">
        <f t="shared" si="4752"/>
        <v>0615096280</v>
      </c>
      <c r="B13132" t="str">
        <f t="shared" si="4753"/>
        <v>SKILLA</v>
      </c>
      <c r="C13132" t="str">
        <f t="shared" si="4754"/>
        <v>PENSO</v>
      </c>
      <c r="D13132">
        <f>12</f>
        <v>12</v>
      </c>
      <c r="E13132" t="str">
        <f>"01 - A - 201 - Pamela M Corzo"</f>
        <v>01 - A - 201 - Pamela M Corzo</v>
      </c>
      <c r="F13132" t="str">
        <f>"AP CALCULUS BC"</f>
        <v>AP CALCULUS BC</v>
      </c>
      <c r="G13132" t="str">
        <f>"21-2133"</f>
        <v>21-2133</v>
      </c>
      <c r="H13132" t="str">
        <f>"A"</f>
        <v>A</v>
      </c>
    </row>
    <row r="13133" spans="1:8" x14ac:dyDescent="0.2">
      <c r="A13133" t="str">
        <f t="shared" si="4752"/>
        <v>0615096280</v>
      </c>
      <c r="B13133" t="str">
        <f t="shared" si="4753"/>
        <v>SKILLA</v>
      </c>
      <c r="C13133" t="str">
        <f t="shared" si="4754"/>
        <v>PENSO</v>
      </c>
      <c r="D13133">
        <f>12</f>
        <v>12</v>
      </c>
      <c r="E13133" t="str">
        <f>"08 - B - 103 - Marielle A Witting"</f>
        <v>08 - B - 103 - Marielle A Witting</v>
      </c>
      <c r="F13133" t="str">
        <f>"AP BIO"</f>
        <v>AP BIO</v>
      </c>
      <c r="G13133" t="str">
        <f>"08-805"</f>
        <v>08-805</v>
      </c>
      <c r="H13133" t="str">
        <f>"B"</f>
        <v>B</v>
      </c>
    </row>
    <row r="13134" spans="1:8" x14ac:dyDescent="0.2">
      <c r="A13134" t="str">
        <f t="shared" ref="A13134:A13141" si="4755">"0617018352"</f>
        <v>0617018352</v>
      </c>
      <c r="B13134" t="str">
        <f t="shared" ref="B13134:B13141" si="4756">"NOAH"</f>
        <v>NOAH</v>
      </c>
      <c r="C13134" t="str">
        <f t="shared" ref="C13134:C13149" si="4757">"PERALTA"</f>
        <v>PERALTA</v>
      </c>
      <c r="D13134">
        <f>11</f>
        <v>11</v>
      </c>
      <c r="E13134" t="str">
        <f>"04 - A - 101 - Jerry S Jiampetti"</f>
        <v>04 - A - 101 - Jerry S Jiampetti</v>
      </c>
      <c r="F13134" t="str">
        <f>"AICE U.S. HIST 1 AS"</f>
        <v>AICE U.S. HIST 1 AS</v>
      </c>
      <c r="G13134" t="str">
        <f>"17-1751"</f>
        <v>17-1751</v>
      </c>
      <c r="H13134" t="str">
        <f>"A"</f>
        <v>A</v>
      </c>
    </row>
    <row r="13135" spans="1:8" x14ac:dyDescent="0.2">
      <c r="A13135" t="str">
        <f t="shared" si="4755"/>
        <v>0617018352</v>
      </c>
      <c r="B13135" t="str">
        <f t="shared" si="4756"/>
        <v>NOAH</v>
      </c>
      <c r="C13135" t="str">
        <f t="shared" si="4757"/>
        <v>PERALTA</v>
      </c>
      <c r="D13135">
        <f>11</f>
        <v>11</v>
      </c>
      <c r="E13135" t="str">
        <f>"06 - B - 204 - Chrystina M Marchionne"</f>
        <v>06 - B - 204 - Chrystina M Marchionne</v>
      </c>
      <c r="F13135" t="str">
        <f>"AICE MEDIASTUDIES AS"</f>
        <v>AICE MEDIASTUDIES AS</v>
      </c>
      <c r="G13135" t="str">
        <f>"05-520"</f>
        <v>05-520</v>
      </c>
      <c r="H13135" t="str">
        <f>"B"</f>
        <v>B</v>
      </c>
    </row>
    <row r="13136" spans="1:8" x14ac:dyDescent="0.2">
      <c r="A13136" t="str">
        <f t="shared" si="4755"/>
        <v>0617018352</v>
      </c>
      <c r="B13136" t="str">
        <f t="shared" si="4756"/>
        <v>NOAH</v>
      </c>
      <c r="C13136" t="str">
        <f t="shared" si="4757"/>
        <v>PERALTA</v>
      </c>
      <c r="D13136">
        <f>11</f>
        <v>11</v>
      </c>
      <c r="E13136" t="str">
        <f>"03 - A - 102 - Semra  Bahadir"</f>
        <v>03 - A - 102 - Semra  Bahadir</v>
      </c>
      <c r="F13136" t="str">
        <f>"ALGEBRA 2"</f>
        <v>ALGEBRA 2</v>
      </c>
      <c r="G13136" t="str">
        <f>"21-2107"</f>
        <v>21-2107</v>
      </c>
      <c r="H13136" t="str">
        <f>"A"</f>
        <v>A</v>
      </c>
    </row>
    <row r="13137" spans="1:8" x14ac:dyDescent="0.2">
      <c r="A13137" t="str">
        <f t="shared" si="4755"/>
        <v>0617018352</v>
      </c>
      <c r="B13137" t="str">
        <f t="shared" si="4756"/>
        <v>NOAH</v>
      </c>
      <c r="C13137" t="str">
        <f t="shared" si="4757"/>
        <v>PERALTA</v>
      </c>
      <c r="D13137">
        <f>11</f>
        <v>11</v>
      </c>
      <c r="E13137" t="str">
        <f>"02 - A - 101 - Timothy J Lawrence"</f>
        <v>02 - A - 101 - Timothy J Lawrence</v>
      </c>
      <c r="F13137" t="str">
        <f>"NC STUDY HALL 1"</f>
        <v>NC STUDY HALL 1</v>
      </c>
      <c r="G13137" t="str">
        <f>"05-522"</f>
        <v>05-522</v>
      </c>
      <c r="H13137" t="str">
        <f>"A"</f>
        <v>A</v>
      </c>
    </row>
    <row r="13138" spans="1:8" x14ac:dyDescent="0.2">
      <c r="A13138" t="str">
        <f t="shared" si="4755"/>
        <v>0617018352</v>
      </c>
      <c r="B13138" t="str">
        <f t="shared" si="4756"/>
        <v>NOAH</v>
      </c>
      <c r="C13138" t="str">
        <f t="shared" si="4757"/>
        <v>PERALTA</v>
      </c>
      <c r="D13138">
        <f>11</f>
        <v>11</v>
      </c>
      <c r="E13138" t="str">
        <f>"07 - B - 002 - Jordana K Hass"</f>
        <v>07 - B - 002 - Jordana K Hass</v>
      </c>
      <c r="F13138" t="str">
        <f>"CHEMISTRY 1 HON"</f>
        <v>CHEMISTRY 1 HON</v>
      </c>
      <c r="G13138" t="str">
        <f>"08-807"</f>
        <v>08-807</v>
      </c>
      <c r="H13138" t="str">
        <f>"B"</f>
        <v>B</v>
      </c>
    </row>
    <row r="13139" spans="1:8" x14ac:dyDescent="0.2">
      <c r="A13139" t="str">
        <f t="shared" si="4755"/>
        <v>0617018352</v>
      </c>
      <c r="B13139" t="str">
        <f t="shared" si="4756"/>
        <v>NOAH</v>
      </c>
      <c r="C13139" t="str">
        <f t="shared" si="4757"/>
        <v>PERALTA</v>
      </c>
      <c r="D13139">
        <f>11</f>
        <v>11</v>
      </c>
      <c r="E13139" t="str">
        <f>"05 - B - 102 - Jeanne M Bermudez"</f>
        <v>05 - B - 102 - Jeanne M Bermudez</v>
      </c>
      <c r="F13139" t="str">
        <f>"ADVANCED IT HON"</f>
        <v>ADVANCED IT HON</v>
      </c>
      <c r="G13139" t="str">
        <f>"21-2141"</f>
        <v>21-2141</v>
      </c>
      <c r="H13139" t="str">
        <f>"B"</f>
        <v>B</v>
      </c>
    </row>
    <row r="13140" spans="1:8" x14ac:dyDescent="0.2">
      <c r="A13140" t="str">
        <f t="shared" si="4755"/>
        <v>0617018352</v>
      </c>
      <c r="B13140" t="str">
        <f t="shared" si="4756"/>
        <v>NOAH</v>
      </c>
      <c r="C13140" t="str">
        <f t="shared" si="4757"/>
        <v>PERALTA</v>
      </c>
      <c r="D13140">
        <f>11</f>
        <v>11</v>
      </c>
      <c r="E13140" t="str">
        <f>"01 - A - 101 - Brandy N Zdenek"</f>
        <v>01 - A - 101 - Brandy N Zdenek</v>
      </c>
      <c r="F13140" t="str">
        <f>"AICE ENG LANG 2 AL"</f>
        <v>AICE ENG LANG 2 AL</v>
      </c>
      <c r="G13140" t="str">
        <f>"17-1704"</f>
        <v>17-1704</v>
      </c>
      <c r="H13140" t="str">
        <f>"A"</f>
        <v>A</v>
      </c>
    </row>
    <row r="13141" spans="1:8" x14ac:dyDescent="0.2">
      <c r="A13141" t="str">
        <f t="shared" si="4755"/>
        <v>0617018352</v>
      </c>
      <c r="B13141" t="str">
        <f t="shared" si="4756"/>
        <v>NOAH</v>
      </c>
      <c r="C13141" t="str">
        <f t="shared" si="4757"/>
        <v>PERALTA</v>
      </c>
      <c r="D13141">
        <f>11</f>
        <v>11</v>
      </c>
      <c r="E13141" t="str">
        <f>"08 - B - 202 - Krystal Marie  Beruty"</f>
        <v>08 - B - 202 - Krystal Marie  Beruty</v>
      </c>
      <c r="F13141" t="str">
        <f>"AICE PSYCH 1 AS"</f>
        <v>AICE PSYCH 1 AS</v>
      </c>
      <c r="G13141" t="str">
        <f>"17-1721"</f>
        <v>17-1721</v>
      </c>
      <c r="H13141" t="str">
        <f>"B"</f>
        <v>B</v>
      </c>
    </row>
    <row r="13142" spans="1:8" x14ac:dyDescent="0.2">
      <c r="A13142" t="str">
        <f t="shared" ref="A13142:A13149" si="4758">"0616015792"</f>
        <v>0616015792</v>
      </c>
      <c r="B13142" t="str">
        <f t="shared" ref="B13142:B13149" si="4759">"SOFIA"</f>
        <v>SOFIA</v>
      </c>
      <c r="C13142" t="str">
        <f t="shared" si="4757"/>
        <v>PERALTA</v>
      </c>
      <c r="D13142">
        <f>10</f>
        <v>10</v>
      </c>
      <c r="E13142" t="str">
        <f>"04 - A - 201 - Dorothy D Moore"</f>
        <v>04 - A - 201 - Dorothy D Moore</v>
      </c>
      <c r="F13142" t="str">
        <f>"HEALTH SCI 1/A&amp;P HON"</f>
        <v>HEALTH SCI 1/A&amp;P HON</v>
      </c>
      <c r="G13142" t="str">
        <f>"08-803"</f>
        <v>08-803</v>
      </c>
      <c r="H13142" t="str">
        <f>"A"</f>
        <v>A</v>
      </c>
    </row>
    <row r="13143" spans="1:8" x14ac:dyDescent="0.2">
      <c r="A13143" t="str">
        <f t="shared" si="4758"/>
        <v>0616015792</v>
      </c>
      <c r="B13143" t="str">
        <f t="shared" si="4759"/>
        <v>SOFIA</v>
      </c>
      <c r="C13143" t="str">
        <f t="shared" si="4757"/>
        <v>PERALTA</v>
      </c>
      <c r="D13143">
        <f>10</f>
        <v>10</v>
      </c>
      <c r="E13143" t="str">
        <f>"06 - B - 115 - Scott A Dethloff"</f>
        <v>06 - B - 115 - Scott A Dethloff</v>
      </c>
      <c r="F13143" t="str">
        <f>"NC STUDY HALL 1"</f>
        <v>NC STUDY HALL 1</v>
      </c>
      <c r="G13143" t="str">
        <f>"08-812"</f>
        <v>08-812</v>
      </c>
      <c r="H13143" t="str">
        <f>"B"</f>
        <v>B</v>
      </c>
    </row>
    <row r="13144" spans="1:8" x14ac:dyDescent="0.2">
      <c r="A13144" t="str">
        <f t="shared" si="4758"/>
        <v>0616015792</v>
      </c>
      <c r="B13144" t="str">
        <f t="shared" si="4759"/>
        <v>SOFIA</v>
      </c>
      <c r="C13144" t="str">
        <f t="shared" si="4757"/>
        <v>PERALTA</v>
      </c>
      <c r="D13144">
        <f>10</f>
        <v>10</v>
      </c>
      <c r="E13144" t="str">
        <f>"03 - A - 104 - Brook E Goren"</f>
        <v>03 - A - 104 - Brook E Goren</v>
      </c>
      <c r="F13144" t="str">
        <f>"ALGEBRA 2 HON"</f>
        <v>ALGEBRA 2 HON</v>
      </c>
      <c r="G13144" t="str">
        <f>"21-2158"</f>
        <v>21-2158</v>
      </c>
      <c r="H13144" t="str">
        <f>"A"</f>
        <v>A</v>
      </c>
    </row>
    <row r="13145" spans="1:8" x14ac:dyDescent="0.2">
      <c r="A13145" t="str">
        <f t="shared" si="4758"/>
        <v>0616015792</v>
      </c>
      <c r="B13145" t="str">
        <f t="shared" si="4759"/>
        <v>SOFIA</v>
      </c>
      <c r="C13145" t="str">
        <f t="shared" si="4757"/>
        <v>PERALTA</v>
      </c>
      <c r="D13145">
        <f>10</f>
        <v>10</v>
      </c>
      <c r="E13145" t="str">
        <f>"02 - A - 103 - Lenecy  Nodarse"</f>
        <v>02 - A - 103 - Lenecy  Nodarse</v>
      </c>
      <c r="F13145" t="str">
        <f>"AICE EURO HIST 1 AS"</f>
        <v>AICE EURO HIST 1 AS</v>
      </c>
      <c r="G13145" t="str">
        <f>"17-1741"</f>
        <v>17-1741</v>
      </c>
      <c r="H13145" t="str">
        <f>"A"</f>
        <v>A</v>
      </c>
    </row>
    <row r="13146" spans="1:8" x14ac:dyDescent="0.2">
      <c r="A13146" t="str">
        <f t="shared" si="4758"/>
        <v>0616015792</v>
      </c>
      <c r="B13146" t="str">
        <f t="shared" si="4759"/>
        <v>SOFIA</v>
      </c>
      <c r="C13146" t="str">
        <f t="shared" si="4757"/>
        <v>PERALTA</v>
      </c>
      <c r="D13146">
        <f>10</f>
        <v>10</v>
      </c>
      <c r="E13146" t="str">
        <f>"07 - B - 002 - Jordana K Hass"</f>
        <v>07 - B - 002 - Jordana K Hass</v>
      </c>
      <c r="F13146" t="str">
        <f>"CHEMISTRY 1 HON"</f>
        <v>CHEMISTRY 1 HON</v>
      </c>
      <c r="G13146" t="str">
        <f>"08-807"</f>
        <v>08-807</v>
      </c>
      <c r="H13146" t="str">
        <f>"B"</f>
        <v>B</v>
      </c>
    </row>
    <row r="13147" spans="1:8" x14ac:dyDescent="0.2">
      <c r="A13147" t="str">
        <f t="shared" si="4758"/>
        <v>0616015792</v>
      </c>
      <c r="B13147" t="str">
        <f t="shared" si="4759"/>
        <v>SOFIA</v>
      </c>
      <c r="C13147" t="str">
        <f t="shared" si="4757"/>
        <v>PERALTA</v>
      </c>
      <c r="D13147">
        <f>10</f>
        <v>10</v>
      </c>
      <c r="E13147" t="str">
        <f>"05 - B - 105 - Marius D Orsolini"</f>
        <v>05 - B - 105 - Marius D Orsolini</v>
      </c>
      <c r="F13147" t="str">
        <f>"CULINARY ARTS 1"</f>
        <v>CULINARY ARTS 1</v>
      </c>
      <c r="G13147" t="str">
        <f>"21-2115"</f>
        <v>21-2115</v>
      </c>
      <c r="H13147" t="str">
        <f>"B"</f>
        <v>B</v>
      </c>
    </row>
    <row r="13148" spans="1:8" x14ac:dyDescent="0.2">
      <c r="A13148" t="str">
        <f t="shared" si="4758"/>
        <v>0616015792</v>
      </c>
      <c r="B13148" t="str">
        <f t="shared" si="4759"/>
        <v>SOFIA</v>
      </c>
      <c r="C13148" t="str">
        <f t="shared" si="4757"/>
        <v>PERALTA</v>
      </c>
      <c r="D13148">
        <f>10</f>
        <v>10</v>
      </c>
      <c r="E13148" t="str">
        <f>"01 - A - 101 - Courtney E Hambright"</f>
        <v>01 - A - 101 - Courtney E Hambright</v>
      </c>
      <c r="F13148" t="str">
        <f>"AICE ENG LANG AS"</f>
        <v>AICE ENG LANG AS</v>
      </c>
      <c r="G13148" t="str">
        <f>"17-1711"</f>
        <v>17-1711</v>
      </c>
      <c r="H13148" t="str">
        <f>"A"</f>
        <v>A</v>
      </c>
    </row>
    <row r="13149" spans="1:8" x14ac:dyDescent="0.2">
      <c r="A13149" t="str">
        <f t="shared" si="4758"/>
        <v>0616015792</v>
      </c>
      <c r="B13149" t="str">
        <f t="shared" si="4759"/>
        <v>SOFIA</v>
      </c>
      <c r="C13149" t="str">
        <f t="shared" si="4757"/>
        <v>PERALTA</v>
      </c>
      <c r="D13149">
        <f>10</f>
        <v>10</v>
      </c>
      <c r="E13149" t="str">
        <f>"08 - B - 206 - Daniel S Katz"</f>
        <v>08 - B - 206 - Daniel S Katz</v>
      </c>
      <c r="F13149" t="str">
        <f>"AICE MEDIASTUDIES AS"</f>
        <v>AICE MEDIASTUDIES AS</v>
      </c>
      <c r="G13149" t="str">
        <f>"05-521"</f>
        <v>05-521</v>
      </c>
      <c r="H13149" t="str">
        <f>"B"</f>
        <v>B</v>
      </c>
    </row>
    <row r="13150" spans="1:8" x14ac:dyDescent="0.2">
      <c r="A13150" t="str">
        <f t="shared" ref="A13150:A13157" si="4760">"0615009823"</f>
        <v>0615009823</v>
      </c>
      <c r="B13150" t="str">
        <f t="shared" ref="B13150:B13157" si="4761">"ISABELLA"</f>
        <v>ISABELLA</v>
      </c>
      <c r="C13150" t="str">
        <f t="shared" ref="C13150:C13157" si="4762">"PEREYRA"</f>
        <v>PEREYRA</v>
      </c>
      <c r="D13150">
        <f>11</f>
        <v>11</v>
      </c>
      <c r="E13150" t="str">
        <f>"04 - A - 101 - Alejandro  Navarro"</f>
        <v>04 - A - 101 - Alejandro  Navarro</v>
      </c>
      <c r="F13150" t="str">
        <f>"BAND 6 HON"</f>
        <v>BAND 6 HON</v>
      </c>
      <c r="G13150" t="str">
        <f>"05-504"</f>
        <v>05-504</v>
      </c>
      <c r="H13150" t="str">
        <f>"A"</f>
        <v>A</v>
      </c>
    </row>
    <row r="13151" spans="1:8" x14ac:dyDescent="0.2">
      <c r="A13151" t="str">
        <f t="shared" si="4760"/>
        <v>0615009823</v>
      </c>
      <c r="B13151" t="str">
        <f t="shared" si="4761"/>
        <v>ISABELLA</v>
      </c>
      <c r="C13151" t="str">
        <f t="shared" si="4762"/>
        <v>PEREYRA</v>
      </c>
      <c r="D13151">
        <f>11</f>
        <v>11</v>
      </c>
      <c r="E13151" t="str">
        <f>"06 - B - 104 - Brandy N Zdenek"</f>
        <v>06 - B - 104 - Brandy N Zdenek</v>
      </c>
      <c r="F13151" t="str">
        <f>"AICE ENG LANG 2 AL"</f>
        <v>AICE ENG LANG 2 AL</v>
      </c>
      <c r="G13151" t="str">
        <f>"17-1704"</f>
        <v>17-1704</v>
      </c>
      <c r="H13151" t="str">
        <f>"B"</f>
        <v>B</v>
      </c>
    </row>
    <row r="13152" spans="1:8" x14ac:dyDescent="0.2">
      <c r="A13152" t="str">
        <f t="shared" si="4760"/>
        <v>0615009823</v>
      </c>
      <c r="B13152" t="str">
        <f t="shared" si="4761"/>
        <v>ISABELLA</v>
      </c>
      <c r="C13152" t="str">
        <f t="shared" si="4762"/>
        <v>PEREYRA</v>
      </c>
      <c r="D13152">
        <f>11</f>
        <v>11</v>
      </c>
      <c r="E13152" t="str">
        <f>"03 - A - 103 - Jordana K Hass"</f>
        <v>03 - A - 103 - Jordana K Hass</v>
      </c>
      <c r="F13152" t="str">
        <f>"CHEMISTRY 1"</f>
        <v>CHEMISTRY 1</v>
      </c>
      <c r="G13152" t="str">
        <f>"08-807"</f>
        <v>08-807</v>
      </c>
      <c r="H13152" t="str">
        <f>"A"</f>
        <v>A</v>
      </c>
    </row>
    <row r="13153" spans="1:8" x14ac:dyDescent="0.2">
      <c r="A13153" t="str">
        <f t="shared" si="4760"/>
        <v>0615009823</v>
      </c>
      <c r="B13153" t="str">
        <f t="shared" si="4761"/>
        <v>ISABELLA</v>
      </c>
      <c r="C13153" t="str">
        <f t="shared" si="4762"/>
        <v>PEREYRA</v>
      </c>
      <c r="D13153">
        <f>11</f>
        <v>11</v>
      </c>
      <c r="E13153" t="str">
        <f>"02 - A - 104 - Dayna M Foster"</f>
        <v>02 - A - 104 - Dayna M Foster</v>
      </c>
      <c r="F13153" t="str">
        <f>"NC STUDY HALL 1"</f>
        <v>NC STUDY HALL 1</v>
      </c>
      <c r="G13153" t="str">
        <f>"21-2109"</f>
        <v>21-2109</v>
      </c>
      <c r="H13153" t="str">
        <f>"A"</f>
        <v>A</v>
      </c>
    </row>
    <row r="13154" spans="1:8" x14ac:dyDescent="0.2">
      <c r="A13154" t="str">
        <f t="shared" si="4760"/>
        <v>0615009823</v>
      </c>
      <c r="B13154" t="str">
        <f t="shared" si="4761"/>
        <v>ISABELLA</v>
      </c>
      <c r="C13154" t="str">
        <f t="shared" si="4762"/>
        <v>PEREYRA</v>
      </c>
      <c r="D13154">
        <f>11</f>
        <v>11</v>
      </c>
      <c r="E13154" t="str">
        <f>"07 - B - 104 - Jerry S Jiampetti"</f>
        <v>07 - B - 104 - Jerry S Jiampetti</v>
      </c>
      <c r="F13154" t="str">
        <f>"AICE U.S. HIST 1 AS"</f>
        <v>AICE U.S. HIST 1 AS</v>
      </c>
      <c r="G13154" t="str">
        <f>"17-1751"</f>
        <v>17-1751</v>
      </c>
      <c r="H13154" t="str">
        <f>"B"</f>
        <v>B</v>
      </c>
    </row>
    <row r="13155" spans="1:8" x14ac:dyDescent="0.2">
      <c r="A13155" t="str">
        <f t="shared" si="4760"/>
        <v>0615009823</v>
      </c>
      <c r="B13155" t="str">
        <f t="shared" si="4761"/>
        <v>ISABELLA</v>
      </c>
      <c r="C13155" t="str">
        <f t="shared" si="4762"/>
        <v>PEREYRA</v>
      </c>
      <c r="D13155">
        <f>11</f>
        <v>11</v>
      </c>
      <c r="E13155" t="str">
        <f>"05 - B - 106 - Thomas G Handwerg"</f>
        <v>05 - B - 106 - Thomas G Handwerg</v>
      </c>
      <c r="F13155" t="str">
        <f>"MATH COLL ALGEBRA"</f>
        <v>MATH COLL ALGEBRA</v>
      </c>
      <c r="G13155" t="str">
        <f>"21-2146"</f>
        <v>21-2146</v>
      </c>
      <c r="H13155" t="str">
        <f>"B"</f>
        <v>B</v>
      </c>
    </row>
    <row r="13156" spans="1:8" x14ac:dyDescent="0.2">
      <c r="A13156" t="str">
        <f t="shared" si="4760"/>
        <v>0615009823</v>
      </c>
      <c r="B13156" t="str">
        <f t="shared" si="4761"/>
        <v>ISABELLA</v>
      </c>
      <c r="C13156" t="str">
        <f t="shared" si="4762"/>
        <v>PEREYRA</v>
      </c>
      <c r="D13156">
        <f>11</f>
        <v>11</v>
      </c>
      <c r="E13156" t="str">
        <f>"01 - A - 101 - Brian M Fitzgerald"</f>
        <v>01 - A - 101 - Brian M Fitzgerald</v>
      </c>
      <c r="F13156" t="str">
        <f>"CERAM/POT 1"</f>
        <v>CERAM/POT 1</v>
      </c>
      <c r="G13156" t="str">
        <f>"09-908"</f>
        <v>09-908</v>
      </c>
      <c r="H13156" t="str">
        <f>"A"</f>
        <v>A</v>
      </c>
    </row>
    <row r="13157" spans="1:8" x14ac:dyDescent="0.2">
      <c r="A13157" t="str">
        <f t="shared" si="4760"/>
        <v>0615009823</v>
      </c>
      <c r="B13157" t="str">
        <f t="shared" si="4761"/>
        <v>ISABELLA</v>
      </c>
      <c r="C13157" t="str">
        <f t="shared" si="4762"/>
        <v>PEREYRA</v>
      </c>
      <c r="D13157">
        <f>11</f>
        <v>11</v>
      </c>
      <c r="E13157" t="str">
        <f>"08 - B - 101 - Eva T Rimmer"</f>
        <v>08 - B - 101 - Eva T Rimmer</v>
      </c>
      <c r="F13157" t="str">
        <f>"CRIM JUST OPS 3 HON"</f>
        <v>CRIM JUST OPS 3 HON</v>
      </c>
      <c r="G13157" t="str">
        <f>"05-523"</f>
        <v>05-523</v>
      </c>
      <c r="H13157" t="str">
        <f>"B"</f>
        <v>B</v>
      </c>
    </row>
    <row r="13158" spans="1:8" x14ac:dyDescent="0.2">
      <c r="A13158" t="str">
        <f t="shared" ref="A13158:A13165" si="4763">"0625012148"</f>
        <v>0625012148</v>
      </c>
      <c r="B13158" t="str">
        <f t="shared" ref="B13158:B13165" si="4764">"Erika"</f>
        <v>Erika</v>
      </c>
      <c r="C13158" t="str">
        <f t="shared" ref="C13158:C13165" si="4765">"Perez"</f>
        <v>Perez</v>
      </c>
      <c r="D13158">
        <f>12</f>
        <v>12</v>
      </c>
      <c r="E13158" t="str">
        <f>"04 - A - 205 - Robyn L Trainer"</f>
        <v>04 - A - 205 - Robyn L Trainer</v>
      </c>
      <c r="F13158" t="str">
        <f>"ENG 4: FL COLL PREP"</f>
        <v>ENG 4: FL COLL PREP</v>
      </c>
      <c r="G13158" t="str">
        <f>"17-1734"</f>
        <v>17-1734</v>
      </c>
      <c r="H13158" t="str">
        <f>"A"</f>
        <v>A</v>
      </c>
    </row>
    <row r="13159" spans="1:8" x14ac:dyDescent="0.2">
      <c r="A13159" t="str">
        <f t="shared" si="4763"/>
        <v>0625012148</v>
      </c>
      <c r="B13159" t="str">
        <f t="shared" si="4764"/>
        <v>Erika</v>
      </c>
      <c r="C13159" t="str">
        <f t="shared" si="4765"/>
        <v>Perez</v>
      </c>
      <c r="D13159">
        <f>12</f>
        <v>12</v>
      </c>
      <c r="E13159" t="str">
        <f>"06 - B - 104 - Lissa C Frederique"</f>
        <v>06 - B - 104 - Lissa C Frederique</v>
      </c>
      <c r="F13159" t="str">
        <f>"NC STUDY HALL 1"</f>
        <v>NC STUDY HALL 1</v>
      </c>
      <c r="G13159" t="str">
        <f>"17-1754"</f>
        <v>17-1754</v>
      </c>
      <c r="H13159" t="str">
        <f>"B"</f>
        <v>B</v>
      </c>
    </row>
    <row r="13160" spans="1:8" x14ac:dyDescent="0.2">
      <c r="A13160" t="str">
        <f t="shared" si="4763"/>
        <v>0625012148</v>
      </c>
      <c r="B13160" t="str">
        <f t="shared" si="4764"/>
        <v>Erika</v>
      </c>
      <c r="C13160" t="str">
        <f t="shared" si="4765"/>
        <v>Perez</v>
      </c>
      <c r="D13160">
        <f>12</f>
        <v>12</v>
      </c>
      <c r="E13160" t="str">
        <f>"03 - A - 201 - Emmily A Sarmiento"</f>
        <v>03 - A - 201 - Emmily A Sarmiento</v>
      </c>
      <c r="F13160" t="str">
        <f>"LEAD SKLS DEV LH"</f>
        <v>LEAD SKLS DEV LH</v>
      </c>
      <c r="G13160" t="str">
        <f>"17-1743"</f>
        <v>17-1743</v>
      </c>
      <c r="H13160" t="str">
        <f>"A"</f>
        <v>A</v>
      </c>
    </row>
    <row r="13161" spans="1:8" x14ac:dyDescent="0.2">
      <c r="A13161" t="str">
        <f t="shared" si="4763"/>
        <v>0625012148</v>
      </c>
      <c r="B13161" t="str">
        <f t="shared" si="4764"/>
        <v>Erika</v>
      </c>
      <c r="C13161" t="str">
        <f t="shared" si="4765"/>
        <v>Perez</v>
      </c>
      <c r="D13161">
        <f>12</f>
        <v>12</v>
      </c>
      <c r="E13161" t="str">
        <f>"02 - S1 - A - 104 - Robert O Burger"</f>
        <v>02 - S1 - A - 104 - Robert O Burger</v>
      </c>
      <c r="F13161" t="str">
        <f>"US GOVT"</f>
        <v>US GOVT</v>
      </c>
      <c r="G13161" t="str">
        <f>"17-1755"</f>
        <v>17-1755</v>
      </c>
      <c r="H13161" t="str">
        <f>"A"</f>
        <v>A</v>
      </c>
    </row>
    <row r="13162" spans="1:8" x14ac:dyDescent="0.2">
      <c r="A13162" t="str">
        <f t="shared" si="4763"/>
        <v>0625012148</v>
      </c>
      <c r="B13162" t="str">
        <f t="shared" si="4764"/>
        <v>Erika</v>
      </c>
      <c r="C13162" t="str">
        <f t="shared" si="4765"/>
        <v>Perez</v>
      </c>
      <c r="D13162">
        <f>12</f>
        <v>12</v>
      </c>
      <c r="E13162" t="str">
        <f>"07 - B - 102 - Tina L Lovett"</f>
        <v>07 - B - 102 - Tina L Lovett</v>
      </c>
      <c r="F13162" t="str">
        <f>"MATH DATA &amp; FIN LIT"</f>
        <v>MATH DATA &amp; FIN LIT</v>
      </c>
      <c r="G13162" t="str">
        <f>"21-2153"</f>
        <v>21-2153</v>
      </c>
      <c r="H13162" t="str">
        <f>"B"</f>
        <v>B</v>
      </c>
    </row>
    <row r="13163" spans="1:8" x14ac:dyDescent="0.2">
      <c r="A13163" t="str">
        <f t="shared" si="4763"/>
        <v>0625012148</v>
      </c>
      <c r="B13163" t="str">
        <f t="shared" si="4764"/>
        <v>Erika</v>
      </c>
      <c r="C13163" t="str">
        <f t="shared" si="4765"/>
        <v>Perez</v>
      </c>
      <c r="D13163">
        <f>12</f>
        <v>12</v>
      </c>
      <c r="E13163" t="str">
        <f>"05 - B - 207 - Marielle A Witting"</f>
        <v>05 - B - 207 - Marielle A Witting</v>
      </c>
      <c r="F13163" t="str">
        <f>"ANAT PHYSIO"</f>
        <v>ANAT PHYSIO</v>
      </c>
      <c r="G13163" t="str">
        <f>"08-805"</f>
        <v>08-805</v>
      </c>
      <c r="H13163" t="str">
        <f>"B"</f>
        <v>B</v>
      </c>
    </row>
    <row r="13164" spans="1:8" x14ac:dyDescent="0.2">
      <c r="A13164" t="str">
        <f t="shared" si="4763"/>
        <v>0625012148</v>
      </c>
      <c r="B13164" t="str">
        <f t="shared" si="4764"/>
        <v>Erika</v>
      </c>
      <c r="C13164" t="str">
        <f t="shared" si="4765"/>
        <v>Perez</v>
      </c>
      <c r="D13164">
        <f>12</f>
        <v>12</v>
      </c>
      <c r="E13164" t="str">
        <f>"01 - A - 101 - Vanessa J Pena"</f>
        <v>01 - A - 101 - Vanessa J Pena</v>
      </c>
      <c r="F13164" t="str">
        <f>"DEV LANG ARTS ESOL-R"</f>
        <v>DEV LANG ARTS ESOL-R</v>
      </c>
      <c r="G13164" t="str">
        <f>"09-926"</f>
        <v>09-926</v>
      </c>
      <c r="H13164" t="str">
        <f>"A"</f>
        <v>A</v>
      </c>
    </row>
    <row r="13165" spans="1:8" x14ac:dyDescent="0.2">
      <c r="A13165" t="str">
        <f t="shared" si="4763"/>
        <v>0625012148</v>
      </c>
      <c r="B13165" t="str">
        <f t="shared" si="4764"/>
        <v>Erika</v>
      </c>
      <c r="C13165" t="str">
        <f t="shared" si="4765"/>
        <v>Perez</v>
      </c>
      <c r="D13165">
        <f>12</f>
        <v>12</v>
      </c>
      <c r="E13165" t="str">
        <f>"08 - S1 - B - 102 - Nahum  Saint-Preux"</f>
        <v>08 - S1 - B - 102 - Nahum  Saint-Preux</v>
      </c>
      <c r="F13165" t="str">
        <f>"CRIT THINK ST SKLS"</f>
        <v>CRIT THINK ST SKLS</v>
      </c>
      <c r="G13165" t="str">
        <f>"17-1712"</f>
        <v>17-1712</v>
      </c>
      <c r="H13165" t="str">
        <f>"B"</f>
        <v>B</v>
      </c>
    </row>
    <row r="13166" spans="1:8" x14ac:dyDescent="0.2">
      <c r="A13166" t="str">
        <f t="shared" ref="A13166:A13173" si="4766">"0616025099"</f>
        <v>0616025099</v>
      </c>
      <c r="B13166" t="str">
        <f t="shared" ref="B13166:B13173" si="4767">"ANTONIO"</f>
        <v>ANTONIO</v>
      </c>
      <c r="C13166" t="str">
        <f t="shared" ref="C13166:C13197" si="4768">"PEREZ"</f>
        <v>PEREZ</v>
      </c>
      <c r="D13166">
        <f>11</f>
        <v>11</v>
      </c>
      <c r="E13166" t="str">
        <f>"04 - A - 102 - Brandy N Zdenek"</f>
        <v>04 - A - 102 - Brandy N Zdenek</v>
      </c>
      <c r="F13166" t="str">
        <f>"AICE ENG LANG 2 AL"</f>
        <v>AICE ENG LANG 2 AL</v>
      </c>
      <c r="G13166" t="str">
        <f>"17-1704"</f>
        <v>17-1704</v>
      </c>
      <c r="H13166" t="str">
        <f>"A"</f>
        <v>A</v>
      </c>
    </row>
    <row r="13167" spans="1:8" x14ac:dyDescent="0.2">
      <c r="A13167" t="str">
        <f t="shared" si="4766"/>
        <v>0616025099</v>
      </c>
      <c r="B13167" t="str">
        <f t="shared" si="4767"/>
        <v>ANTONIO</v>
      </c>
      <c r="C13167" t="str">
        <f t="shared" si="4768"/>
        <v>PEREZ</v>
      </c>
      <c r="D13167">
        <f>11</f>
        <v>11</v>
      </c>
      <c r="E13167" t="str">
        <f>"06 - B - 206 - Jacqueline R Morphet"</f>
        <v>06 - B - 206 - Jacqueline R Morphet</v>
      </c>
      <c r="F13167" t="str">
        <f>"PHYSICS 1 HON"</f>
        <v>PHYSICS 1 HON</v>
      </c>
      <c r="G13167" t="str">
        <f>"21-2138"</f>
        <v>21-2138</v>
      </c>
      <c r="H13167" t="str">
        <f>"B"</f>
        <v>B</v>
      </c>
    </row>
    <row r="13168" spans="1:8" x14ac:dyDescent="0.2">
      <c r="A13168" t="str">
        <f t="shared" si="4766"/>
        <v>0616025099</v>
      </c>
      <c r="B13168" t="str">
        <f t="shared" si="4767"/>
        <v>ANTONIO</v>
      </c>
      <c r="C13168" t="str">
        <f t="shared" si="4768"/>
        <v>PEREZ</v>
      </c>
      <c r="D13168">
        <f>11</f>
        <v>11</v>
      </c>
      <c r="E13168" t="str">
        <f>"03 - A - 102 - Thomas G Handwerg"</f>
        <v>03 - A - 102 - Thomas G Handwerg</v>
      </c>
      <c r="F13168" t="str">
        <f>"MATH COLL ALGEBRA"</f>
        <v>MATH COLL ALGEBRA</v>
      </c>
      <c r="G13168" t="str">
        <f>"21-2146"</f>
        <v>21-2146</v>
      </c>
      <c r="H13168" t="str">
        <f>"A"</f>
        <v>A</v>
      </c>
    </row>
    <row r="13169" spans="1:8" x14ac:dyDescent="0.2">
      <c r="A13169" t="str">
        <f t="shared" si="4766"/>
        <v>0616025099</v>
      </c>
      <c r="B13169" t="str">
        <f t="shared" si="4767"/>
        <v>ANTONIO</v>
      </c>
      <c r="C13169" t="str">
        <f t="shared" si="4768"/>
        <v>PEREZ</v>
      </c>
      <c r="D13169">
        <f>11</f>
        <v>11</v>
      </c>
      <c r="E13169" t="str">
        <f>"02 - A - 001 - Courtney E Hambright"</f>
        <v>02 - A - 001 - Courtney E Hambright</v>
      </c>
      <c r="F13169" t="str">
        <f>"NC STUDY HALL 1"</f>
        <v>NC STUDY HALL 1</v>
      </c>
      <c r="G13169" t="str">
        <f>"17-1711"</f>
        <v>17-1711</v>
      </c>
      <c r="H13169" t="str">
        <f>"A"</f>
        <v>A</v>
      </c>
    </row>
    <row r="13170" spans="1:8" x14ac:dyDescent="0.2">
      <c r="A13170" t="str">
        <f t="shared" si="4766"/>
        <v>0616025099</v>
      </c>
      <c r="B13170" t="str">
        <f t="shared" si="4767"/>
        <v>ANTONIO</v>
      </c>
      <c r="C13170" t="str">
        <f t="shared" si="4768"/>
        <v>PEREZ</v>
      </c>
      <c r="D13170">
        <f>11</f>
        <v>11</v>
      </c>
      <c r="E13170" t="str">
        <f>"07 - B - 102 - Timothy J Lawrence"</f>
        <v>07 - B - 102 - Timothy J Lawrence</v>
      </c>
      <c r="F13170" t="str">
        <f>"AICE PHYS ED 1 AS"</f>
        <v>AICE PHYS ED 1 AS</v>
      </c>
      <c r="G13170" t="str">
        <f>"05-523"</f>
        <v>05-523</v>
      </c>
      <c r="H13170" t="str">
        <f>"B"</f>
        <v>B</v>
      </c>
    </row>
    <row r="13171" spans="1:8" x14ac:dyDescent="0.2">
      <c r="A13171" t="str">
        <f t="shared" si="4766"/>
        <v>0616025099</v>
      </c>
      <c r="B13171" t="str">
        <f t="shared" si="4767"/>
        <v>ANTONIO</v>
      </c>
      <c r="C13171" t="str">
        <f t="shared" si="4768"/>
        <v>PEREZ</v>
      </c>
      <c r="D13171">
        <f>11</f>
        <v>11</v>
      </c>
      <c r="E13171" t="str">
        <f>"05 - B - 203 - Chrystina M Marchionne"</f>
        <v>05 - B - 203 - Chrystina M Marchionne</v>
      </c>
      <c r="F13171" t="str">
        <f>"AICE MEDIASTUDIES AS"</f>
        <v>AICE MEDIASTUDIES AS</v>
      </c>
      <c r="G13171" t="str">
        <f>"05-520"</f>
        <v>05-520</v>
      </c>
      <c r="H13171" t="str">
        <f>"B"</f>
        <v>B</v>
      </c>
    </row>
    <row r="13172" spans="1:8" x14ac:dyDescent="0.2">
      <c r="A13172" t="str">
        <f t="shared" si="4766"/>
        <v>0616025099</v>
      </c>
      <c r="B13172" t="str">
        <f t="shared" si="4767"/>
        <v>ANTONIO</v>
      </c>
      <c r="C13172" t="str">
        <f t="shared" si="4768"/>
        <v>PEREZ</v>
      </c>
      <c r="D13172">
        <f>11</f>
        <v>11</v>
      </c>
      <c r="E13172" t="str">
        <f>"01 - A - 101 - Angela S Adeshina-Morrison"</f>
        <v>01 - A - 101 - Angela S Adeshina-Morrison</v>
      </c>
      <c r="F13172" t="str">
        <f>"MARKETING ESSENTIALS"</f>
        <v>MARKETING ESSENTIALS</v>
      </c>
      <c r="G13172" t="str">
        <f>"05-518"</f>
        <v>05-518</v>
      </c>
      <c r="H13172" t="str">
        <f>"A"</f>
        <v>A</v>
      </c>
    </row>
    <row r="13173" spans="1:8" x14ac:dyDescent="0.2">
      <c r="A13173" t="str">
        <f t="shared" si="4766"/>
        <v>0616025099</v>
      </c>
      <c r="B13173" t="str">
        <f t="shared" si="4767"/>
        <v>ANTONIO</v>
      </c>
      <c r="C13173" t="str">
        <f t="shared" si="4768"/>
        <v>PEREZ</v>
      </c>
      <c r="D13173">
        <f>11</f>
        <v>11</v>
      </c>
      <c r="E13173" t="str">
        <f>"08 - B - 001 - Jerry S Jiampetti"</f>
        <v>08 - B - 001 - Jerry S Jiampetti</v>
      </c>
      <c r="F13173" t="str">
        <f>"AICE U.S. HIST 1 AS"</f>
        <v>AICE U.S. HIST 1 AS</v>
      </c>
      <c r="G13173" t="str">
        <f>"17-1751"</f>
        <v>17-1751</v>
      </c>
      <c r="H13173" t="str">
        <f>"B"</f>
        <v>B</v>
      </c>
    </row>
    <row r="13174" spans="1:8" x14ac:dyDescent="0.2">
      <c r="A13174" t="str">
        <f t="shared" ref="A13174:A13181" si="4769">"0615030804"</f>
        <v>0615030804</v>
      </c>
      <c r="B13174" t="str">
        <f t="shared" ref="B13174:B13181" si="4770">"CHRISTIAN"</f>
        <v>CHRISTIAN</v>
      </c>
      <c r="C13174" t="str">
        <f t="shared" si="4768"/>
        <v>PEREZ</v>
      </c>
      <c r="D13174">
        <f>12</f>
        <v>12</v>
      </c>
      <c r="E13174" t="str">
        <f>"04 - A - 201 - Alejandro  Navarro"</f>
        <v>04 - A - 201 - Alejandro  Navarro</v>
      </c>
      <c r="F13174" t="str">
        <f>"BAND 4"</f>
        <v>BAND 4</v>
      </c>
      <c r="G13174" t="str">
        <f>"05-504"</f>
        <v>05-504</v>
      </c>
      <c r="H13174" t="str">
        <f>"A"</f>
        <v>A</v>
      </c>
    </row>
    <row r="13175" spans="1:8" x14ac:dyDescent="0.2">
      <c r="A13175" t="str">
        <f t="shared" si="4769"/>
        <v>0615030804</v>
      </c>
      <c r="B13175" t="str">
        <f t="shared" si="4770"/>
        <v>CHRISTIAN</v>
      </c>
      <c r="C13175" t="str">
        <f t="shared" si="4768"/>
        <v>PEREZ</v>
      </c>
      <c r="D13175">
        <f>12</f>
        <v>12</v>
      </c>
      <c r="E13175" t="str">
        <f>"06 - B - 105 - Robyn L Trainer"</f>
        <v>06 - B - 105 - Robyn L Trainer</v>
      </c>
      <c r="F13175" t="str">
        <f>"NC STUDY HALL 1"</f>
        <v>NC STUDY HALL 1</v>
      </c>
      <c r="G13175" t="str">
        <f>"17-1734"</f>
        <v>17-1734</v>
      </c>
      <c r="H13175" t="str">
        <f>"B"</f>
        <v>B</v>
      </c>
    </row>
    <row r="13176" spans="1:8" x14ac:dyDescent="0.2">
      <c r="A13176" t="str">
        <f t="shared" si="4769"/>
        <v>0615030804</v>
      </c>
      <c r="B13176" t="str">
        <f t="shared" si="4770"/>
        <v>CHRISTIAN</v>
      </c>
      <c r="C13176" t="str">
        <f t="shared" si="4768"/>
        <v>PEREZ</v>
      </c>
      <c r="D13176">
        <f>12</f>
        <v>12</v>
      </c>
      <c r="E13176" t="str">
        <f>"03 - A - 102 - Semra  Bahadir"</f>
        <v>03 - A - 102 - Semra  Bahadir</v>
      </c>
      <c r="F13176" t="str">
        <f>"ALGEBRA 2"</f>
        <v>ALGEBRA 2</v>
      </c>
      <c r="G13176" t="str">
        <f>"21-2107"</f>
        <v>21-2107</v>
      </c>
      <c r="H13176" t="str">
        <f>"A"</f>
        <v>A</v>
      </c>
    </row>
    <row r="13177" spans="1:8" x14ac:dyDescent="0.2">
      <c r="A13177" t="str">
        <f t="shared" si="4769"/>
        <v>0615030804</v>
      </c>
      <c r="B13177" t="str">
        <f t="shared" si="4770"/>
        <v>CHRISTIAN</v>
      </c>
      <c r="C13177" t="str">
        <f t="shared" si="4768"/>
        <v>PEREZ</v>
      </c>
      <c r="D13177">
        <f>12</f>
        <v>12</v>
      </c>
      <c r="E13177" t="str">
        <f>"02 - A - 104 - Scott A Dethloff"</f>
        <v>02 - A - 104 - Scott A Dethloff</v>
      </c>
      <c r="F13177" t="str">
        <f>"CHEMISTRY 1 HON"</f>
        <v>CHEMISTRY 1 HON</v>
      </c>
      <c r="G13177" t="str">
        <f>"08-812"</f>
        <v>08-812</v>
      </c>
      <c r="H13177" t="str">
        <f>"A"</f>
        <v>A</v>
      </c>
    </row>
    <row r="13178" spans="1:8" x14ac:dyDescent="0.2">
      <c r="A13178" t="str">
        <f t="shared" si="4769"/>
        <v>0615030804</v>
      </c>
      <c r="B13178" t="str">
        <f t="shared" si="4770"/>
        <v>CHRISTIAN</v>
      </c>
      <c r="C13178" t="str">
        <f t="shared" si="4768"/>
        <v>PEREZ</v>
      </c>
      <c r="D13178">
        <f>12</f>
        <v>12</v>
      </c>
      <c r="E13178" t="str">
        <f>"07 - S1 - B - 107 - Kelly N Panza"</f>
        <v>07 - S1 - B - 107 - Kelly N Panza</v>
      </c>
      <c r="F13178" t="str">
        <f>"US GOVT HON"</f>
        <v>US GOVT HON</v>
      </c>
      <c r="G13178" t="str">
        <f>"17-1753"</f>
        <v>17-1753</v>
      </c>
      <c r="H13178" t="str">
        <f>"B"</f>
        <v>B</v>
      </c>
    </row>
    <row r="13179" spans="1:8" x14ac:dyDescent="0.2">
      <c r="A13179" t="str">
        <f t="shared" si="4769"/>
        <v>0615030804</v>
      </c>
      <c r="B13179" t="str">
        <f t="shared" si="4770"/>
        <v>CHRISTIAN</v>
      </c>
      <c r="C13179" t="str">
        <f t="shared" si="4768"/>
        <v>PEREZ</v>
      </c>
      <c r="D13179">
        <f>12</f>
        <v>12</v>
      </c>
      <c r="E13179" t="str">
        <f>"05 - S1 - B - 102 - Richard E Dunbar Iii"</f>
        <v>05 - S1 - B - 102 - Richard E Dunbar Iii</v>
      </c>
      <c r="F13179" t="str">
        <f>"TEAM SPORTS 1"</f>
        <v>TEAM SPORTS 1</v>
      </c>
      <c r="G13179" t="str">
        <f>"04-254"</f>
        <v>04-254</v>
      </c>
      <c r="H13179" t="str">
        <f>"B"</f>
        <v>B</v>
      </c>
    </row>
    <row r="13180" spans="1:8" x14ac:dyDescent="0.2">
      <c r="A13180" t="str">
        <f t="shared" si="4769"/>
        <v>0615030804</v>
      </c>
      <c r="B13180" t="str">
        <f t="shared" si="4770"/>
        <v>CHRISTIAN</v>
      </c>
      <c r="C13180" t="str">
        <f t="shared" si="4768"/>
        <v>PEREZ</v>
      </c>
      <c r="D13180">
        <f>12</f>
        <v>12</v>
      </c>
      <c r="E13180" t="str">
        <f>"01 - A - 204 - Tina M Jaramillo"</f>
        <v>01 - A - 204 - Tina M Jaramillo</v>
      </c>
      <c r="F13180" t="str">
        <f>"AP ENG LIT COMPO"</f>
        <v>AP ENG LIT COMPO</v>
      </c>
      <c r="G13180" t="str">
        <f>"17-1706"</f>
        <v>17-1706</v>
      </c>
      <c r="H13180" t="str">
        <f>"A"</f>
        <v>A</v>
      </c>
    </row>
    <row r="13181" spans="1:8" x14ac:dyDescent="0.2">
      <c r="A13181" t="str">
        <f t="shared" si="4769"/>
        <v>0615030804</v>
      </c>
      <c r="B13181" t="str">
        <f t="shared" si="4770"/>
        <v>CHRISTIAN</v>
      </c>
      <c r="C13181" t="str">
        <f t="shared" si="4768"/>
        <v>PEREZ</v>
      </c>
      <c r="D13181">
        <f>12</f>
        <v>12</v>
      </c>
      <c r="E13181" t="str">
        <f>"08 - S1 - B - 102 - Nahum  Saint-Preux"</f>
        <v>08 - S1 - B - 102 - Nahum  Saint-Preux</v>
      </c>
      <c r="F13181" t="str">
        <f>"CRIT THINK ST SKLS"</f>
        <v>CRIT THINK ST SKLS</v>
      </c>
      <c r="G13181" t="str">
        <f>"17-1712"</f>
        <v>17-1712</v>
      </c>
      <c r="H13181" t="str">
        <f>"B"</f>
        <v>B</v>
      </c>
    </row>
    <row r="13182" spans="1:8" x14ac:dyDescent="0.2">
      <c r="A13182" t="str">
        <f t="shared" ref="A13182:A13189" si="4771">"0615010535"</f>
        <v>0615010535</v>
      </c>
      <c r="B13182" t="str">
        <f t="shared" ref="B13182:B13189" si="4772">"JAKAYLA"</f>
        <v>JAKAYLA</v>
      </c>
      <c r="C13182" t="str">
        <f t="shared" si="4768"/>
        <v>PEREZ</v>
      </c>
      <c r="D13182">
        <f>11</f>
        <v>11</v>
      </c>
      <c r="E13182" t="str">
        <f>"04 - A - 102 - Lisa J London"</f>
        <v>04 - A - 102 - Lisa J London</v>
      </c>
      <c r="F13182" t="str">
        <f>"AP CAPSTONE SEMINAR"</f>
        <v>AP CAPSTONE SEMINAR</v>
      </c>
      <c r="G13182" t="str">
        <f>"17-1714"</f>
        <v>17-1714</v>
      </c>
      <c r="H13182" t="str">
        <f>"A"</f>
        <v>A</v>
      </c>
    </row>
    <row r="13183" spans="1:8" x14ac:dyDescent="0.2">
      <c r="A13183" t="str">
        <f t="shared" si="4771"/>
        <v>0615010535</v>
      </c>
      <c r="B13183" t="str">
        <f t="shared" si="4772"/>
        <v>JAKAYLA</v>
      </c>
      <c r="C13183" t="str">
        <f t="shared" si="4768"/>
        <v>PEREZ</v>
      </c>
      <c r="D13183">
        <f>11</f>
        <v>11</v>
      </c>
      <c r="E13183" t="str">
        <f>"06 - B - 102 - Stephen T Ripp"</f>
        <v>06 - B - 102 - Stephen T Ripp</v>
      </c>
      <c r="F13183" t="str">
        <f>"AP U.S. HIST"</f>
        <v>AP U.S. HIST</v>
      </c>
      <c r="G13183" t="str">
        <f>"17-1744"</f>
        <v>17-1744</v>
      </c>
      <c r="H13183" t="str">
        <f>"B"</f>
        <v>B</v>
      </c>
    </row>
    <row r="13184" spans="1:8" x14ac:dyDescent="0.2">
      <c r="A13184" t="str">
        <f t="shared" si="4771"/>
        <v>0615010535</v>
      </c>
      <c r="B13184" t="str">
        <f t="shared" si="4772"/>
        <v>JAKAYLA</v>
      </c>
      <c r="C13184" t="str">
        <f t="shared" si="4768"/>
        <v>PEREZ</v>
      </c>
      <c r="D13184">
        <f>11</f>
        <v>11</v>
      </c>
      <c r="E13184" t="str">
        <f>"03 - A - 102 - Tina M Jaramillo"</f>
        <v>03 - A - 102 - Tina M Jaramillo</v>
      </c>
      <c r="F13184" t="str">
        <f>"AP ENG COMPO"</f>
        <v>AP ENG COMPO</v>
      </c>
      <c r="G13184" t="str">
        <f>"17-1706"</f>
        <v>17-1706</v>
      </c>
      <c r="H13184" t="str">
        <f>"A"</f>
        <v>A</v>
      </c>
    </row>
    <row r="13185" spans="1:8" x14ac:dyDescent="0.2">
      <c r="A13185" t="str">
        <f t="shared" si="4771"/>
        <v>0615010535</v>
      </c>
      <c r="B13185" t="str">
        <f t="shared" si="4772"/>
        <v>JAKAYLA</v>
      </c>
      <c r="C13185" t="str">
        <f t="shared" si="4768"/>
        <v>PEREZ</v>
      </c>
      <c r="D13185">
        <f>11</f>
        <v>11</v>
      </c>
      <c r="E13185" t="str">
        <f>"02 - A - 112 - Brandy N Zdenek"</f>
        <v>02 - A - 112 - Brandy N Zdenek</v>
      </c>
      <c r="F13185" t="str">
        <f>"NC STUDY HALL 1"</f>
        <v>NC STUDY HALL 1</v>
      </c>
      <c r="G13185" t="str">
        <f>"17-1704"</f>
        <v>17-1704</v>
      </c>
      <c r="H13185" t="str">
        <f>"A"</f>
        <v>A</v>
      </c>
    </row>
    <row r="13186" spans="1:8" x14ac:dyDescent="0.2">
      <c r="A13186" t="str">
        <f t="shared" si="4771"/>
        <v>0615010535</v>
      </c>
      <c r="B13186" t="str">
        <f t="shared" si="4772"/>
        <v>JAKAYLA</v>
      </c>
      <c r="C13186" t="str">
        <f t="shared" si="4768"/>
        <v>PEREZ</v>
      </c>
      <c r="D13186">
        <f>11</f>
        <v>11</v>
      </c>
      <c r="E13186" t="str">
        <f>"07 - B - 102 - Pamela M Corzo"</f>
        <v>07 - B - 102 - Pamela M Corzo</v>
      </c>
      <c r="F13186" t="str">
        <f>"AP CALCULUS AB"</f>
        <v>AP CALCULUS AB</v>
      </c>
      <c r="G13186" t="str">
        <f>"21-2133"</f>
        <v>21-2133</v>
      </c>
      <c r="H13186" t="str">
        <f>"B"</f>
        <v>B</v>
      </c>
    </row>
    <row r="13187" spans="1:8" x14ac:dyDescent="0.2">
      <c r="A13187" t="str">
        <f t="shared" si="4771"/>
        <v>0615010535</v>
      </c>
      <c r="B13187" t="str">
        <f t="shared" si="4772"/>
        <v>JAKAYLA</v>
      </c>
      <c r="C13187" t="str">
        <f t="shared" si="4768"/>
        <v>PEREZ</v>
      </c>
      <c r="D13187">
        <f>11</f>
        <v>11</v>
      </c>
      <c r="E13187" t="str">
        <f>"05 - B - 102 - Emmily A Sarmiento"</f>
        <v>05 - B - 102 - Emmily A Sarmiento</v>
      </c>
      <c r="F13187" t="str">
        <f>"LEAD TECHQS HONORS"</f>
        <v>LEAD TECHQS HONORS</v>
      </c>
      <c r="G13187" t="str">
        <f>"17-1743"</f>
        <v>17-1743</v>
      </c>
      <c r="H13187" t="str">
        <f>"B"</f>
        <v>B</v>
      </c>
    </row>
    <row r="13188" spans="1:8" x14ac:dyDescent="0.2">
      <c r="A13188" t="str">
        <f t="shared" si="4771"/>
        <v>0615010535</v>
      </c>
      <c r="B13188" t="str">
        <f t="shared" si="4772"/>
        <v>JAKAYLA</v>
      </c>
      <c r="C13188" t="str">
        <f t="shared" si="4768"/>
        <v>PEREZ</v>
      </c>
      <c r="D13188">
        <f>11</f>
        <v>11</v>
      </c>
      <c r="E13188" t="str">
        <f>"01 - A - 101 - Daniel S Katz"</f>
        <v>01 - A - 101 - Daniel S Katz</v>
      </c>
      <c r="F13188" t="str">
        <f>"EXEC INTERN 4 LH"</f>
        <v>EXEC INTERN 4 LH</v>
      </c>
      <c r="G13188" t="str">
        <f>"21-2156"</f>
        <v>21-2156</v>
      </c>
      <c r="H13188" t="str">
        <f>"A"</f>
        <v>A</v>
      </c>
    </row>
    <row r="13189" spans="1:8" x14ac:dyDescent="0.2">
      <c r="A13189" t="str">
        <f t="shared" si="4771"/>
        <v>0615010535</v>
      </c>
      <c r="B13189" t="str">
        <f t="shared" si="4772"/>
        <v>JAKAYLA</v>
      </c>
      <c r="C13189" t="str">
        <f t="shared" si="4768"/>
        <v>PEREZ</v>
      </c>
      <c r="D13189">
        <f>11</f>
        <v>11</v>
      </c>
      <c r="E13189" t="str">
        <f>"08 - B - 102 - Jacqueline R Morphet"</f>
        <v>08 - B - 102 - Jacqueline R Morphet</v>
      </c>
      <c r="F13189" t="str">
        <f>"AP PHYSICS 1"</f>
        <v>AP PHYSICS 1</v>
      </c>
      <c r="G13189" t="str">
        <f>"21-2138"</f>
        <v>21-2138</v>
      </c>
      <c r="H13189" t="str">
        <f>"B"</f>
        <v>B</v>
      </c>
    </row>
    <row r="13190" spans="1:8" x14ac:dyDescent="0.2">
      <c r="A13190" t="str">
        <f t="shared" ref="A13190:A13197" si="4773">"0623006405"</f>
        <v>0623006405</v>
      </c>
      <c r="B13190" t="str">
        <f t="shared" ref="B13190:B13197" si="4774">"JOSHUA"</f>
        <v>JOSHUA</v>
      </c>
      <c r="C13190" t="str">
        <f t="shared" si="4768"/>
        <v>PEREZ</v>
      </c>
      <c r="D13190" t="str">
        <f t="shared" ref="D13190:D13197" si="4775">"09"</f>
        <v>09</v>
      </c>
      <c r="E13190" t="str">
        <f>"04 - A - 102 - Samantha J Headley"</f>
        <v>04 - A - 102 - Samantha J Headley</v>
      </c>
      <c r="F13190" t="str">
        <f>"MARINE SCI 1 HON"</f>
        <v>MARINE SCI 1 HON</v>
      </c>
      <c r="G13190" t="str">
        <f>"21-2134"</f>
        <v>21-2134</v>
      </c>
      <c r="H13190" t="str">
        <f>"A"</f>
        <v>A</v>
      </c>
    </row>
    <row r="13191" spans="1:8" x14ac:dyDescent="0.2">
      <c r="A13191" t="str">
        <f t="shared" si="4773"/>
        <v>0623006405</v>
      </c>
      <c r="B13191" t="str">
        <f t="shared" si="4774"/>
        <v>JOSHUA</v>
      </c>
      <c r="C13191" t="str">
        <f t="shared" si="4768"/>
        <v>PEREZ</v>
      </c>
      <c r="D13191" t="str">
        <f t="shared" si="4775"/>
        <v>09</v>
      </c>
      <c r="E13191" t="str">
        <f>"06 - B - 102 - Angela S Adeshina-Morrison"</f>
        <v>06 - B - 102 - Angela S Adeshina-Morrison</v>
      </c>
      <c r="F13191" t="str">
        <f>"MARKETING ESSENTIALS"</f>
        <v>MARKETING ESSENTIALS</v>
      </c>
      <c r="G13191" t="str">
        <f>"05-518"</f>
        <v>05-518</v>
      </c>
      <c r="H13191" t="str">
        <f>"B"</f>
        <v>B</v>
      </c>
    </row>
    <row r="13192" spans="1:8" x14ac:dyDescent="0.2">
      <c r="A13192" t="str">
        <f t="shared" si="4773"/>
        <v>0623006405</v>
      </c>
      <c r="B13192" t="str">
        <f t="shared" si="4774"/>
        <v>JOSHUA</v>
      </c>
      <c r="C13192" t="str">
        <f t="shared" si="4768"/>
        <v>PEREZ</v>
      </c>
      <c r="D13192" t="str">
        <f t="shared" si="4775"/>
        <v>09</v>
      </c>
      <c r="E13192" t="str">
        <f>"03 - A - 101 - Helen A Flores"</f>
        <v>03 - A - 101 - Helen A Flores</v>
      </c>
      <c r="F13192" t="str">
        <f>"PRE-AICE MATH 1 IG"</f>
        <v>PRE-AICE MATH 1 IG</v>
      </c>
      <c r="G13192" t="str">
        <f>"21-2101"</f>
        <v>21-2101</v>
      </c>
      <c r="H13192" t="str">
        <f>"A"</f>
        <v>A</v>
      </c>
    </row>
    <row r="13193" spans="1:8" x14ac:dyDescent="0.2">
      <c r="A13193" t="str">
        <f t="shared" si="4773"/>
        <v>0623006405</v>
      </c>
      <c r="B13193" t="str">
        <f t="shared" si="4774"/>
        <v>JOSHUA</v>
      </c>
      <c r="C13193" t="str">
        <f t="shared" si="4768"/>
        <v>PEREZ</v>
      </c>
      <c r="D13193" t="str">
        <f t="shared" si="4775"/>
        <v>09</v>
      </c>
      <c r="E13193" t="str">
        <f>"02 - A - 110 - Maried P Ramos"</f>
        <v>02 - A - 110 - Maried P Ramos</v>
      </c>
      <c r="F13193" t="str">
        <f>"NC STUDY HALL 1"</f>
        <v>NC STUDY HALL 1</v>
      </c>
      <c r="G13193" t="str">
        <f>"21-2159"</f>
        <v>21-2159</v>
      </c>
      <c r="H13193" t="str">
        <f>"A"</f>
        <v>A</v>
      </c>
    </row>
    <row r="13194" spans="1:8" x14ac:dyDescent="0.2">
      <c r="A13194" t="str">
        <f t="shared" si="4773"/>
        <v>0623006405</v>
      </c>
      <c r="B13194" t="str">
        <f t="shared" si="4774"/>
        <v>JOSHUA</v>
      </c>
      <c r="C13194" t="str">
        <f t="shared" si="4768"/>
        <v>PEREZ</v>
      </c>
      <c r="D13194" t="str">
        <f t="shared" si="4775"/>
        <v>09</v>
      </c>
      <c r="E13194" t="str">
        <f>"07 - B - 101 - Jeanne M Bermudez"</f>
        <v>07 - B - 101 - Jeanne M Bermudez</v>
      </c>
      <c r="F13194" t="str">
        <f>"FOUND OF PROGRAM HON"</f>
        <v>FOUND OF PROGRAM HON</v>
      </c>
      <c r="G13194" t="str">
        <f>"21-2141"</f>
        <v>21-2141</v>
      </c>
      <c r="H13194" t="str">
        <f>"B"</f>
        <v>B</v>
      </c>
    </row>
    <row r="13195" spans="1:8" x14ac:dyDescent="0.2">
      <c r="A13195" t="str">
        <f t="shared" si="4773"/>
        <v>0623006405</v>
      </c>
      <c r="B13195" t="str">
        <f t="shared" si="4774"/>
        <v>JOSHUA</v>
      </c>
      <c r="C13195" t="str">
        <f t="shared" si="4768"/>
        <v>PEREZ</v>
      </c>
      <c r="D13195" t="str">
        <f t="shared" si="4775"/>
        <v>09</v>
      </c>
      <c r="E13195" t="str">
        <f>"05 - S1 - B - 103 - Leslie J Barton"</f>
        <v>05 - S1 - B - 103 - Leslie J Barton</v>
      </c>
      <c r="F13195" t="str">
        <f>"FIRST AID SAFETY"</f>
        <v>FIRST AID SAFETY</v>
      </c>
      <c r="G13195" t="str">
        <f>"05-521"</f>
        <v>05-521</v>
      </c>
      <c r="H13195" t="str">
        <f>"B"</f>
        <v>B</v>
      </c>
    </row>
    <row r="13196" spans="1:8" x14ac:dyDescent="0.2">
      <c r="A13196" t="str">
        <f t="shared" si="4773"/>
        <v>0623006405</v>
      </c>
      <c r="B13196" t="str">
        <f t="shared" si="4774"/>
        <v>JOSHUA</v>
      </c>
      <c r="C13196" t="str">
        <f t="shared" si="4768"/>
        <v>PEREZ</v>
      </c>
      <c r="D13196" t="str">
        <f t="shared" si="4775"/>
        <v>09</v>
      </c>
      <c r="E13196" t="str">
        <f>"01 - A - 101 - Elizabeth R Walker"</f>
        <v>01 - A - 101 - Elizabeth R Walker</v>
      </c>
      <c r="F13196" t="str">
        <f>"AICE ENG GEN PAPER 1"</f>
        <v>AICE ENG GEN PAPER 1</v>
      </c>
      <c r="G13196" t="str">
        <f>"17-1703"</f>
        <v>17-1703</v>
      </c>
      <c r="H13196" t="str">
        <f>"A"</f>
        <v>A</v>
      </c>
    </row>
    <row r="13197" spans="1:8" x14ac:dyDescent="0.2">
      <c r="A13197" t="str">
        <f t="shared" si="4773"/>
        <v>0623006405</v>
      </c>
      <c r="B13197" t="str">
        <f t="shared" si="4774"/>
        <v>JOSHUA</v>
      </c>
      <c r="C13197" t="str">
        <f t="shared" si="4768"/>
        <v>PEREZ</v>
      </c>
      <c r="D13197" t="str">
        <f t="shared" si="4775"/>
        <v>09</v>
      </c>
      <c r="E13197" t="str">
        <f>"08 - B - 109 - Rory T Sponsler"</f>
        <v>08 - B - 109 - Rory T Sponsler</v>
      </c>
      <c r="F13197" t="str">
        <f>"PRE-AICE WRLD HST IG"</f>
        <v>PRE-AICE WRLD HST IG</v>
      </c>
      <c r="G13197" t="str">
        <f>"17-1740"</f>
        <v>17-1740</v>
      </c>
      <c r="H13197" t="str">
        <f>"B"</f>
        <v>B</v>
      </c>
    </row>
    <row r="13198" spans="1:8" x14ac:dyDescent="0.2">
      <c r="A13198" t="str">
        <f t="shared" ref="A13198:A13205" si="4776">"0614004794"</f>
        <v>0614004794</v>
      </c>
      <c r="B13198" t="str">
        <f t="shared" ref="B13198:B13205" si="4777">"JOSIE"</f>
        <v>JOSIE</v>
      </c>
      <c r="C13198" t="str">
        <f t="shared" ref="C13198:C13229" si="4778">"PEREZ"</f>
        <v>PEREZ</v>
      </c>
      <c r="D13198">
        <f>12</f>
        <v>12</v>
      </c>
      <c r="E13198" t="str">
        <f>"04 - A - 101 - Pamela M Corzo"</f>
        <v>04 - A - 101 - Pamela M Corzo</v>
      </c>
      <c r="F13198" t="str">
        <f>"CALCULUS HON"</f>
        <v>CALCULUS HON</v>
      </c>
      <c r="G13198" t="str">
        <f>"21-2133"</f>
        <v>21-2133</v>
      </c>
      <c r="H13198" t="str">
        <f>"A"</f>
        <v>A</v>
      </c>
    </row>
    <row r="13199" spans="1:8" x14ac:dyDescent="0.2">
      <c r="A13199" t="str">
        <f t="shared" si="4776"/>
        <v>0614004794</v>
      </c>
      <c r="B13199" t="str">
        <f t="shared" si="4777"/>
        <v>JOSIE</v>
      </c>
      <c r="C13199" t="str">
        <f t="shared" si="4778"/>
        <v>PEREZ</v>
      </c>
      <c r="D13199">
        <f>12</f>
        <v>12</v>
      </c>
      <c r="E13199" t="str">
        <f>"06 - B - 102 - Ferrie J Arostique"</f>
        <v>06 - B - 102 - Ferrie J Arostique</v>
      </c>
      <c r="F13199" t="str">
        <f>"NC STUDY HALL 1"</f>
        <v>NC STUDY HALL 1</v>
      </c>
      <c r="G13199" t="str">
        <f>"21-2139"</f>
        <v>21-2139</v>
      </c>
      <c r="H13199" t="str">
        <f>"B"</f>
        <v>B</v>
      </c>
    </row>
    <row r="13200" spans="1:8" x14ac:dyDescent="0.2">
      <c r="A13200" t="str">
        <f t="shared" si="4776"/>
        <v>0614004794</v>
      </c>
      <c r="B13200" t="str">
        <f t="shared" si="4777"/>
        <v>JOSIE</v>
      </c>
      <c r="C13200" t="str">
        <f t="shared" si="4778"/>
        <v>PEREZ</v>
      </c>
      <c r="D13200">
        <f>12</f>
        <v>12</v>
      </c>
      <c r="E13200" t="str">
        <f>"03 - A - 203 - Stefanie S Scher"</f>
        <v>03 - A - 203 - Stefanie S Scher</v>
      </c>
      <c r="F13200" t="str">
        <f>"AP PSYCH"</f>
        <v>AP PSYCH</v>
      </c>
      <c r="G13200" t="str">
        <f>"17-1735"</f>
        <v>17-1735</v>
      </c>
      <c r="H13200" t="str">
        <f>"A"</f>
        <v>A</v>
      </c>
    </row>
    <row r="13201" spans="1:8" x14ac:dyDescent="0.2">
      <c r="A13201" t="str">
        <f t="shared" si="4776"/>
        <v>0614004794</v>
      </c>
      <c r="B13201" t="str">
        <f t="shared" si="4777"/>
        <v>JOSIE</v>
      </c>
      <c r="C13201" t="str">
        <f t="shared" si="4778"/>
        <v>PEREZ</v>
      </c>
      <c r="D13201">
        <f>12</f>
        <v>12</v>
      </c>
      <c r="E13201" t="str">
        <f>"02 - A - 102 - Marielle A Witting"</f>
        <v>02 - A - 102 - Marielle A Witting</v>
      </c>
      <c r="F13201" t="str">
        <f>"AP BIO"</f>
        <v>AP BIO</v>
      </c>
      <c r="G13201" t="str">
        <f>"08-805"</f>
        <v>08-805</v>
      </c>
      <c r="H13201" t="str">
        <f>"A"</f>
        <v>A</v>
      </c>
    </row>
    <row r="13202" spans="1:8" x14ac:dyDescent="0.2">
      <c r="A13202" t="str">
        <f t="shared" si="4776"/>
        <v>0614004794</v>
      </c>
      <c r="B13202" t="str">
        <f t="shared" si="4777"/>
        <v>JOSIE</v>
      </c>
      <c r="C13202" t="str">
        <f t="shared" si="4778"/>
        <v>PEREZ</v>
      </c>
      <c r="D13202">
        <f>12</f>
        <v>12</v>
      </c>
      <c r="E13202" t="str">
        <f>"07 - S1 - B - 102 - Barbara L Segal"</f>
        <v>07 - S1 - B - 102 - Barbara L Segal</v>
      </c>
      <c r="F13202" t="str">
        <f>"AP US GOVT/POL"</f>
        <v>AP US GOVT/POL</v>
      </c>
      <c r="G13202" t="str">
        <f>"17-1742"</f>
        <v>17-1742</v>
      </c>
      <c r="H13202" t="str">
        <f>"B"</f>
        <v>B</v>
      </c>
    </row>
    <row r="13203" spans="1:8" x14ac:dyDescent="0.2">
      <c r="A13203" t="str">
        <f t="shared" si="4776"/>
        <v>0614004794</v>
      </c>
      <c r="B13203" t="str">
        <f t="shared" si="4777"/>
        <v>JOSIE</v>
      </c>
      <c r="C13203" t="str">
        <f t="shared" si="4778"/>
        <v>PEREZ</v>
      </c>
      <c r="D13203">
        <f>12</f>
        <v>12</v>
      </c>
      <c r="E13203" t="str">
        <f>"05 - B - 102 - Dorothy D Moore"</f>
        <v>05 - B - 102 - Dorothy D Moore</v>
      </c>
      <c r="F13203" t="str">
        <f>"FORC SCI 1 LH"</f>
        <v>FORC SCI 1 LH</v>
      </c>
      <c r="G13203" t="str">
        <f>"08-803"</f>
        <v>08-803</v>
      </c>
      <c r="H13203" t="str">
        <f>"B"</f>
        <v>B</v>
      </c>
    </row>
    <row r="13204" spans="1:8" x14ac:dyDescent="0.2">
      <c r="A13204" t="str">
        <f t="shared" si="4776"/>
        <v>0614004794</v>
      </c>
      <c r="B13204" t="str">
        <f t="shared" si="4777"/>
        <v>JOSIE</v>
      </c>
      <c r="C13204" t="str">
        <f t="shared" si="4778"/>
        <v>PEREZ</v>
      </c>
      <c r="D13204">
        <f>12</f>
        <v>12</v>
      </c>
      <c r="E13204" t="str">
        <f>"01 - S1 - A - 101 - Bruce A Evans"</f>
        <v>01 - S1 - A - 101 - Bruce A Evans</v>
      </c>
      <c r="F13204" t="str">
        <f>"ELECTROCARD TECH 3HN"</f>
        <v>ELECTROCARD TECH 3HN</v>
      </c>
      <c r="G13204" t="str">
        <f>"21-2142"</f>
        <v>21-2142</v>
      </c>
      <c r="H13204" t="str">
        <f>"A"</f>
        <v>A</v>
      </c>
    </row>
    <row r="13205" spans="1:8" x14ac:dyDescent="0.2">
      <c r="A13205" t="str">
        <f t="shared" si="4776"/>
        <v>0614004794</v>
      </c>
      <c r="B13205" t="str">
        <f t="shared" si="4777"/>
        <v>JOSIE</v>
      </c>
      <c r="C13205" t="str">
        <f t="shared" si="4778"/>
        <v>PEREZ</v>
      </c>
      <c r="D13205">
        <f>12</f>
        <v>12</v>
      </c>
      <c r="E13205" t="str">
        <f>"08 - B - 203 - Courtney E Hambright"</f>
        <v>08 - B - 203 - Courtney E Hambright</v>
      </c>
      <c r="F13205" t="str">
        <f>"AP ENG LIT COMPO"</f>
        <v>AP ENG LIT COMPO</v>
      </c>
      <c r="G13205" t="str">
        <f>"17-1711"</f>
        <v>17-1711</v>
      </c>
      <c r="H13205" t="str">
        <f>"B"</f>
        <v>B</v>
      </c>
    </row>
    <row r="13206" spans="1:8" x14ac:dyDescent="0.2">
      <c r="A13206" t="str">
        <f t="shared" ref="A13206:A13213" si="4779">"0625008422"</f>
        <v>0625008422</v>
      </c>
      <c r="B13206" t="str">
        <f t="shared" ref="B13206:B13213" si="4780">"KIMBERLY"</f>
        <v>KIMBERLY</v>
      </c>
      <c r="C13206" t="str">
        <f t="shared" si="4778"/>
        <v>PEREZ</v>
      </c>
      <c r="D13206" t="str">
        <f t="shared" ref="D13206:D13213" si="4781">"09"</f>
        <v>09</v>
      </c>
      <c r="E13206" t="str">
        <f>"04 - A - 102 - Josiah I Lacy"</f>
        <v>04 - A - 102 - Josiah I Lacy</v>
      </c>
      <c r="F13206" t="str">
        <f>"PRE-AICE BIO IG"</f>
        <v>PRE-AICE BIO IG</v>
      </c>
      <c r="G13206" t="str">
        <f>"08-801"</f>
        <v>08-801</v>
      </c>
      <c r="H13206" t="str">
        <f>"A"</f>
        <v>A</v>
      </c>
    </row>
    <row r="13207" spans="1:8" x14ac:dyDescent="0.2">
      <c r="A13207" t="str">
        <f t="shared" si="4779"/>
        <v>0625008422</v>
      </c>
      <c r="B13207" t="str">
        <f t="shared" si="4780"/>
        <v>KIMBERLY</v>
      </c>
      <c r="C13207" t="str">
        <f t="shared" si="4778"/>
        <v>PEREZ</v>
      </c>
      <c r="D13207" t="str">
        <f t="shared" si="4781"/>
        <v>09</v>
      </c>
      <c r="E13207" t="str">
        <f>"06 - B - 105 - Dayna M Foster"</f>
        <v>06 - B - 105 - Dayna M Foster</v>
      </c>
      <c r="F13207" t="str">
        <f>"ALGEBRA 1"</f>
        <v>ALGEBRA 1</v>
      </c>
      <c r="G13207" t="str">
        <f>"21-2109"</f>
        <v>21-2109</v>
      </c>
      <c r="H13207" t="str">
        <f>"B"</f>
        <v>B</v>
      </c>
    </row>
    <row r="13208" spans="1:8" x14ac:dyDescent="0.2">
      <c r="A13208" t="str">
        <f t="shared" si="4779"/>
        <v>0625008422</v>
      </c>
      <c r="B13208" t="str">
        <f t="shared" si="4780"/>
        <v>KIMBERLY</v>
      </c>
      <c r="C13208" t="str">
        <f t="shared" si="4778"/>
        <v>PEREZ</v>
      </c>
      <c r="D13208" t="str">
        <f t="shared" si="4781"/>
        <v>09</v>
      </c>
      <c r="E13208" t="str">
        <f>"03 - A - 101 - Dayna M Foster"</f>
        <v>03 - A - 101 - Dayna M Foster</v>
      </c>
      <c r="F13208" t="str">
        <f>"FDN SKLS MATH 9-12"</f>
        <v>FDN SKLS MATH 9-12</v>
      </c>
      <c r="G13208" t="str">
        <f>"21-2109"</f>
        <v>21-2109</v>
      </c>
      <c r="H13208" t="str">
        <f>"A"</f>
        <v>A</v>
      </c>
    </row>
    <row r="13209" spans="1:8" x14ac:dyDescent="0.2">
      <c r="A13209" t="str">
        <f t="shared" si="4779"/>
        <v>0625008422</v>
      </c>
      <c r="B13209" t="str">
        <f t="shared" si="4780"/>
        <v>KIMBERLY</v>
      </c>
      <c r="C13209" t="str">
        <f t="shared" si="4778"/>
        <v>PEREZ</v>
      </c>
      <c r="D13209" t="str">
        <f t="shared" si="4781"/>
        <v>09</v>
      </c>
      <c r="E13209" t="str">
        <f>"02 - A - 113 - Amy Beth  Broyles"</f>
        <v>02 - A - 113 - Amy Beth  Broyles</v>
      </c>
      <c r="F13209" t="str">
        <f>"NC STUDY HALL 1"</f>
        <v>NC STUDY HALL 1</v>
      </c>
      <c r="G13209" t="str">
        <f>"08-802"</f>
        <v>08-802</v>
      </c>
      <c r="H13209" t="str">
        <f>"A"</f>
        <v>A</v>
      </c>
    </row>
    <row r="13210" spans="1:8" x14ac:dyDescent="0.2">
      <c r="A13210" t="str">
        <f t="shared" si="4779"/>
        <v>0625008422</v>
      </c>
      <c r="B13210" t="str">
        <f t="shared" si="4780"/>
        <v>KIMBERLY</v>
      </c>
      <c r="C13210" t="str">
        <f t="shared" si="4778"/>
        <v>PEREZ</v>
      </c>
      <c r="D13210" t="str">
        <f t="shared" si="4781"/>
        <v>09</v>
      </c>
      <c r="E13210" t="str">
        <f>"07 - B - 002 - Jazmin S Fletcher"</f>
        <v>07 - B - 002 - Jazmin S Fletcher</v>
      </c>
      <c r="F13210" t="str">
        <f>"THEATRE 1"</f>
        <v>THEATRE 1</v>
      </c>
      <c r="G13210" t="str">
        <f>"09-909"</f>
        <v>09-909</v>
      </c>
      <c r="H13210" t="str">
        <f>"B"</f>
        <v>B</v>
      </c>
    </row>
    <row r="13211" spans="1:8" x14ac:dyDescent="0.2">
      <c r="A13211" t="str">
        <f t="shared" si="4779"/>
        <v>0625008422</v>
      </c>
      <c r="B13211" t="str">
        <f t="shared" si="4780"/>
        <v>KIMBERLY</v>
      </c>
      <c r="C13211" t="str">
        <f t="shared" si="4778"/>
        <v>PEREZ</v>
      </c>
      <c r="D13211" t="str">
        <f t="shared" si="4781"/>
        <v>09</v>
      </c>
      <c r="E13211" t="str">
        <f>"05 - B - 103 - Rory T Sponsler"</f>
        <v>05 - B - 103 - Rory T Sponsler</v>
      </c>
      <c r="F13211" t="str">
        <f>"PRE-AICE WRLD HST IG"</f>
        <v>PRE-AICE WRLD HST IG</v>
      </c>
      <c r="G13211" t="str">
        <f>"17-1740"</f>
        <v>17-1740</v>
      </c>
      <c r="H13211" t="str">
        <f>"B"</f>
        <v>B</v>
      </c>
    </row>
    <row r="13212" spans="1:8" x14ac:dyDescent="0.2">
      <c r="A13212" t="str">
        <f t="shared" si="4779"/>
        <v>0625008422</v>
      </c>
      <c r="B13212" t="str">
        <f t="shared" si="4780"/>
        <v>KIMBERLY</v>
      </c>
      <c r="C13212" t="str">
        <f t="shared" si="4778"/>
        <v>PEREZ</v>
      </c>
      <c r="D13212" t="str">
        <f t="shared" si="4781"/>
        <v>09</v>
      </c>
      <c r="E13212" t="str">
        <f>"01 - A - 101 - Cheryl Anne  Berman-Schechter"</f>
        <v>01 - A - 101 - Cheryl Anne  Berman-Schechter</v>
      </c>
      <c r="F13212" t="str">
        <f>"PRE-AICE ENG LANG IG"</f>
        <v>PRE-AICE ENG LANG IG</v>
      </c>
      <c r="G13212" t="str">
        <f>"17-1722"</f>
        <v>17-1722</v>
      </c>
      <c r="H13212" t="str">
        <f>"A"</f>
        <v>A</v>
      </c>
    </row>
    <row r="13213" spans="1:8" x14ac:dyDescent="0.2">
      <c r="A13213" t="str">
        <f t="shared" si="4779"/>
        <v>0625008422</v>
      </c>
      <c r="B13213" t="str">
        <f t="shared" si="4780"/>
        <v>KIMBERLY</v>
      </c>
      <c r="C13213" t="str">
        <f t="shared" si="4778"/>
        <v>PEREZ</v>
      </c>
      <c r="D13213" t="str">
        <f t="shared" si="4781"/>
        <v>09</v>
      </c>
      <c r="E13213" t="str">
        <f>"08 - B - 108 - Adam Marcus  Drucker"</f>
        <v>08 - B - 108 - Adam Marcus  Drucker</v>
      </c>
      <c r="F13213" t="str">
        <f>"HOPE-PE V"</f>
        <v>HOPE-PE V</v>
      </c>
      <c r="G13213" t="str">
        <f>"04-254"</f>
        <v>04-254</v>
      </c>
      <c r="H13213" t="str">
        <f>"B"</f>
        <v>B</v>
      </c>
    </row>
    <row r="13214" spans="1:8" x14ac:dyDescent="0.2">
      <c r="A13214" t="str">
        <f t="shared" ref="A13214:A13221" si="4782">"0623013953"</f>
        <v>0623013953</v>
      </c>
      <c r="B13214" t="str">
        <f t="shared" ref="B13214:B13221" si="4783">"RICARDO"</f>
        <v>RICARDO</v>
      </c>
      <c r="C13214" t="str">
        <f t="shared" si="4778"/>
        <v>PEREZ</v>
      </c>
      <c r="D13214">
        <f>12</f>
        <v>12</v>
      </c>
      <c r="E13214" t="str">
        <f>"04 - A - 103 - Cliffon  Saurel"</f>
        <v>04 - A - 103 - Cliffon  Saurel</v>
      </c>
      <c r="F13214" t="str">
        <f>"PHYSICAL SCI"</f>
        <v>PHYSICAL SCI</v>
      </c>
      <c r="G13214" t="str">
        <f>"05-522"</f>
        <v>05-522</v>
      </c>
      <c r="H13214" t="str">
        <f>"A"</f>
        <v>A</v>
      </c>
    </row>
    <row r="13215" spans="1:8" x14ac:dyDescent="0.2">
      <c r="A13215" t="str">
        <f t="shared" si="4782"/>
        <v>0623013953</v>
      </c>
      <c r="B13215" t="str">
        <f t="shared" si="4783"/>
        <v>RICARDO</v>
      </c>
      <c r="C13215" t="str">
        <f t="shared" si="4778"/>
        <v>PEREZ</v>
      </c>
      <c r="D13215">
        <f>12</f>
        <v>12</v>
      </c>
      <c r="E13215" t="str">
        <f>"06 - B - 106 - Taraneh C Abreu"</f>
        <v>06 - B - 106 - Taraneh C Abreu</v>
      </c>
      <c r="F13215" t="str">
        <f>"NC STUDY HALL 1"</f>
        <v>NC STUDY HALL 1</v>
      </c>
      <c r="G13215" t="str">
        <f>"17-1713"</f>
        <v>17-1713</v>
      </c>
      <c r="H13215" t="str">
        <f>"B"</f>
        <v>B</v>
      </c>
    </row>
    <row r="13216" spans="1:8" x14ac:dyDescent="0.2">
      <c r="A13216" t="str">
        <f t="shared" si="4782"/>
        <v>0623013953</v>
      </c>
      <c r="B13216" t="str">
        <f t="shared" si="4783"/>
        <v>RICARDO</v>
      </c>
      <c r="C13216" t="str">
        <f t="shared" si="4778"/>
        <v>PEREZ</v>
      </c>
      <c r="D13216">
        <f>12</f>
        <v>12</v>
      </c>
      <c r="E13216" t="str">
        <f>"03 - S1 - A - 002 - Barbara L Segal"</f>
        <v>03 - S1 - A - 002 - Barbara L Segal</v>
      </c>
      <c r="F13216" t="str">
        <f>"US GOVT"</f>
        <v>US GOVT</v>
      </c>
      <c r="G13216" t="str">
        <f>"17-1742"</f>
        <v>17-1742</v>
      </c>
      <c r="H13216" t="str">
        <f>"A"</f>
        <v>A</v>
      </c>
    </row>
    <row r="13217" spans="1:8" x14ac:dyDescent="0.2">
      <c r="A13217" t="str">
        <f t="shared" si="4782"/>
        <v>0623013953</v>
      </c>
      <c r="B13217" t="str">
        <f t="shared" si="4783"/>
        <v>RICARDO</v>
      </c>
      <c r="C13217" t="str">
        <f t="shared" si="4778"/>
        <v>PEREZ</v>
      </c>
      <c r="D13217">
        <f>12</f>
        <v>12</v>
      </c>
      <c r="E13217" t="str">
        <f>"02 - A - 106 - Heidi M Knopp"</f>
        <v>02 - A - 106 - Heidi M Knopp</v>
      </c>
      <c r="F13217" t="str">
        <f>"NC STUDY HALL 1"</f>
        <v>NC STUDY HALL 1</v>
      </c>
      <c r="G13217" t="str">
        <f>"17-1735"</f>
        <v>17-1735</v>
      </c>
      <c r="H13217" t="str">
        <f>"A"</f>
        <v>A</v>
      </c>
    </row>
    <row r="13218" spans="1:8" x14ac:dyDescent="0.2">
      <c r="A13218" t="str">
        <f t="shared" si="4782"/>
        <v>0623013953</v>
      </c>
      <c r="B13218" t="str">
        <f t="shared" si="4783"/>
        <v>RICARDO</v>
      </c>
      <c r="C13218" t="str">
        <f t="shared" si="4778"/>
        <v>PEREZ</v>
      </c>
      <c r="D13218">
        <f>12</f>
        <v>12</v>
      </c>
      <c r="E13218" t="str">
        <f>"07 - B - 101 - Bruce A Evans"</f>
        <v>07 - B - 101 - Bruce A Evans</v>
      </c>
      <c r="F13218" t="str">
        <f>"FIREFIGHTING 2 LH"</f>
        <v>FIREFIGHTING 2 LH</v>
      </c>
      <c r="G13218" t="str">
        <f>"21-2142"</f>
        <v>21-2142</v>
      </c>
      <c r="H13218" t="str">
        <f>"B"</f>
        <v>B</v>
      </c>
    </row>
    <row r="13219" spans="1:8" x14ac:dyDescent="0.2">
      <c r="A13219" t="str">
        <f t="shared" si="4782"/>
        <v>0623013953</v>
      </c>
      <c r="B13219" t="str">
        <f t="shared" si="4783"/>
        <v>RICARDO</v>
      </c>
      <c r="C13219" t="str">
        <f t="shared" si="4778"/>
        <v>PEREZ</v>
      </c>
      <c r="D13219">
        <f>12</f>
        <v>12</v>
      </c>
      <c r="E13219" t="str">
        <f>"05 - B - 104 - Daniel S Tyson"</f>
        <v>05 - B - 104 - Daniel S Tyson</v>
      </c>
      <c r="F13219" t="str">
        <f>"JROTC NAVAL SCI 1"</f>
        <v>JROTC NAVAL SCI 1</v>
      </c>
      <c r="G13219" t="str">
        <f>"05-510"</f>
        <v>05-510</v>
      </c>
      <c r="H13219" t="str">
        <f>"B"</f>
        <v>B</v>
      </c>
    </row>
    <row r="13220" spans="1:8" x14ac:dyDescent="0.2">
      <c r="A13220" t="str">
        <f t="shared" si="4782"/>
        <v>0623013953</v>
      </c>
      <c r="B13220" t="str">
        <f t="shared" si="4783"/>
        <v>RICARDO</v>
      </c>
      <c r="C13220" t="str">
        <f t="shared" si="4778"/>
        <v>PEREZ</v>
      </c>
      <c r="D13220">
        <f>12</f>
        <v>12</v>
      </c>
      <c r="E13220" t="str">
        <f>"01 - S1 - A - 101 - Leslie J Barton"</f>
        <v>01 - S1 - A - 101 - Leslie J Barton</v>
      </c>
      <c r="F13220" t="str">
        <f>"FIRST AID SAFETY"</f>
        <v>FIRST AID SAFETY</v>
      </c>
      <c r="G13220" t="str">
        <f>"05-521"</f>
        <v>05-521</v>
      </c>
      <c r="H13220" t="str">
        <f>"A"</f>
        <v>A</v>
      </c>
    </row>
    <row r="13221" spans="1:8" x14ac:dyDescent="0.2">
      <c r="A13221" t="str">
        <f t="shared" si="4782"/>
        <v>0623013953</v>
      </c>
      <c r="B13221" t="str">
        <f t="shared" si="4783"/>
        <v>RICARDO</v>
      </c>
      <c r="C13221" t="str">
        <f t="shared" si="4778"/>
        <v>PEREZ</v>
      </c>
      <c r="D13221">
        <f>12</f>
        <v>12</v>
      </c>
      <c r="E13221" t="str">
        <f>"08 - B - 105 - Jeffrey S Gallagher"</f>
        <v>08 - B - 105 - Jeffrey S Gallagher</v>
      </c>
      <c r="F13221" t="str">
        <f>"ENG HON 4"</f>
        <v>ENG HON 4</v>
      </c>
      <c r="G13221" t="str">
        <f>"17-1724"</f>
        <v>17-1724</v>
      </c>
      <c r="H13221" t="str">
        <f>"B"</f>
        <v>B</v>
      </c>
    </row>
    <row r="13222" spans="1:8" x14ac:dyDescent="0.2">
      <c r="A13222" t="str">
        <f t="shared" ref="A13222:A13229" si="4784">"0619017986"</f>
        <v>0619017986</v>
      </c>
      <c r="B13222" t="str">
        <f t="shared" ref="B13222:B13229" si="4785">"YOLANDA"</f>
        <v>YOLANDA</v>
      </c>
      <c r="C13222" t="str">
        <f t="shared" si="4778"/>
        <v>PEREZ</v>
      </c>
      <c r="D13222" t="str">
        <f t="shared" ref="D13222:D13229" si="4786">"09"</f>
        <v>09</v>
      </c>
      <c r="E13222" t="str">
        <f>"04 - A - 101 - Chrystina M Marchionne"</f>
        <v>04 - A - 101 - Chrystina M Marchionne</v>
      </c>
      <c r="F13222" t="str">
        <f>"THEA CIN &amp; FILM LH"</f>
        <v>THEA CIN &amp; FILM LH</v>
      </c>
      <c r="G13222" t="str">
        <f>"05-520"</f>
        <v>05-520</v>
      </c>
      <c r="H13222" t="str">
        <f>"A"</f>
        <v>A</v>
      </c>
    </row>
    <row r="13223" spans="1:8" x14ac:dyDescent="0.2">
      <c r="A13223" t="str">
        <f t="shared" si="4784"/>
        <v>0619017986</v>
      </c>
      <c r="B13223" t="str">
        <f t="shared" si="4785"/>
        <v>YOLANDA</v>
      </c>
      <c r="C13223" t="str">
        <f t="shared" si="4778"/>
        <v>PEREZ</v>
      </c>
      <c r="D13223" t="str">
        <f t="shared" si="4786"/>
        <v>09</v>
      </c>
      <c r="E13223" t="str">
        <f>"06 - B - 104 - Eva T Rimmer"</f>
        <v>06 - B - 104 - Eva T Rimmer</v>
      </c>
      <c r="F13223" t="str">
        <f>"CRIMINAL JUST OPS 1"</f>
        <v>CRIMINAL JUST OPS 1</v>
      </c>
      <c r="G13223" t="str">
        <f>"05-523"</f>
        <v>05-523</v>
      </c>
      <c r="H13223" t="str">
        <f>"B"</f>
        <v>B</v>
      </c>
    </row>
    <row r="13224" spans="1:8" x14ac:dyDescent="0.2">
      <c r="A13224" t="str">
        <f t="shared" si="4784"/>
        <v>0619017986</v>
      </c>
      <c r="B13224" t="str">
        <f t="shared" si="4785"/>
        <v>YOLANDA</v>
      </c>
      <c r="C13224" t="str">
        <f t="shared" si="4778"/>
        <v>PEREZ</v>
      </c>
      <c r="D13224" t="str">
        <f t="shared" si="4786"/>
        <v>09</v>
      </c>
      <c r="E13224" t="str">
        <f>"03 - A - 001 - Maried P Ramos"</f>
        <v>03 - A - 001 - Maried P Ramos</v>
      </c>
      <c r="F13224" t="str">
        <f>"PRE-AICE MATH 2 IG"</f>
        <v>PRE-AICE MATH 2 IG</v>
      </c>
      <c r="G13224" t="str">
        <f>"21-2159"</f>
        <v>21-2159</v>
      </c>
      <c r="H13224" t="str">
        <f>"A"</f>
        <v>A</v>
      </c>
    </row>
    <row r="13225" spans="1:8" x14ac:dyDescent="0.2">
      <c r="A13225" t="str">
        <f t="shared" si="4784"/>
        <v>0619017986</v>
      </c>
      <c r="B13225" t="str">
        <f t="shared" si="4785"/>
        <v>YOLANDA</v>
      </c>
      <c r="C13225" t="str">
        <f t="shared" si="4778"/>
        <v>PEREZ</v>
      </c>
      <c r="D13225" t="str">
        <f t="shared" si="4786"/>
        <v>09</v>
      </c>
      <c r="E13225" t="str">
        <f>"02 - A - 112 - Cheryl Anne  Berman-Schechter"</f>
        <v>02 - A - 112 - Cheryl Anne  Berman-Schechter</v>
      </c>
      <c r="F13225" t="str">
        <f>"NC STUDY HALL 1"</f>
        <v>NC STUDY HALL 1</v>
      </c>
      <c r="G13225" t="str">
        <f>"17-1722"</f>
        <v>17-1722</v>
      </c>
      <c r="H13225" t="str">
        <f>"A"</f>
        <v>A</v>
      </c>
    </row>
    <row r="13226" spans="1:8" x14ac:dyDescent="0.2">
      <c r="A13226" t="str">
        <f t="shared" si="4784"/>
        <v>0619017986</v>
      </c>
      <c r="B13226" t="str">
        <f t="shared" si="4785"/>
        <v>YOLANDA</v>
      </c>
      <c r="C13226" t="str">
        <f t="shared" si="4778"/>
        <v>PEREZ</v>
      </c>
      <c r="D13226" t="str">
        <f t="shared" si="4786"/>
        <v>09</v>
      </c>
      <c r="E13226" t="str">
        <f>"07 - B - 001 - Cheryl Anne  Berman-Schechter"</f>
        <v>07 - B - 001 - Cheryl Anne  Berman-Schechter</v>
      </c>
      <c r="F13226" t="str">
        <f>"AICE ENG GEN PAPER 1"</f>
        <v>AICE ENG GEN PAPER 1</v>
      </c>
      <c r="G13226" t="str">
        <f>"17-1722"</f>
        <v>17-1722</v>
      </c>
      <c r="H13226" t="str">
        <f>"B"</f>
        <v>B</v>
      </c>
    </row>
    <row r="13227" spans="1:8" x14ac:dyDescent="0.2">
      <c r="A13227" t="str">
        <f t="shared" si="4784"/>
        <v>0619017986</v>
      </c>
      <c r="B13227" t="str">
        <f t="shared" si="4785"/>
        <v>YOLANDA</v>
      </c>
      <c r="C13227" t="str">
        <f t="shared" si="4778"/>
        <v>PEREZ</v>
      </c>
      <c r="D13227" t="str">
        <f t="shared" si="4786"/>
        <v>09</v>
      </c>
      <c r="E13227" t="str">
        <f>"05 - B - 103 - Josiah I Lacy"</f>
        <v>05 - B - 103 - Josiah I Lacy</v>
      </c>
      <c r="F13227" t="str">
        <f>"PRE-AICE BIO IG"</f>
        <v>PRE-AICE BIO IG</v>
      </c>
      <c r="G13227" t="str">
        <f>"08-801"</f>
        <v>08-801</v>
      </c>
      <c r="H13227" t="str">
        <f>"B"</f>
        <v>B</v>
      </c>
    </row>
    <row r="13228" spans="1:8" x14ac:dyDescent="0.2">
      <c r="A13228" t="str">
        <f t="shared" si="4784"/>
        <v>0619017986</v>
      </c>
      <c r="B13228" t="str">
        <f t="shared" si="4785"/>
        <v>YOLANDA</v>
      </c>
      <c r="C13228" t="str">
        <f t="shared" si="4778"/>
        <v>PEREZ</v>
      </c>
      <c r="D13228" t="str">
        <f t="shared" si="4786"/>
        <v>09</v>
      </c>
      <c r="E13228" t="str">
        <f>"01 - A - 101 - Joe  Kilpatrick Jr"</f>
        <v>01 - A - 101 - Joe  Kilpatrick Jr</v>
      </c>
      <c r="F13228" t="str">
        <f>"PRE-AICE SPAN 1 IG"</f>
        <v>PRE-AICE SPAN 1 IG</v>
      </c>
      <c r="G13228" t="str">
        <f>"09-912"</f>
        <v>09-912</v>
      </c>
      <c r="H13228" t="str">
        <f>"A"</f>
        <v>A</v>
      </c>
    </row>
    <row r="13229" spans="1:8" x14ac:dyDescent="0.2">
      <c r="A13229" t="str">
        <f t="shared" si="4784"/>
        <v>0619017986</v>
      </c>
      <c r="B13229" t="str">
        <f t="shared" si="4785"/>
        <v>YOLANDA</v>
      </c>
      <c r="C13229" t="str">
        <f t="shared" si="4778"/>
        <v>PEREZ</v>
      </c>
      <c r="D13229" t="str">
        <f t="shared" si="4786"/>
        <v>09</v>
      </c>
      <c r="E13229" t="str">
        <f>"08 - B - 109 - Rory T Sponsler"</f>
        <v>08 - B - 109 - Rory T Sponsler</v>
      </c>
      <c r="F13229" t="str">
        <f>"PRE-AICE WRLD HST IG"</f>
        <v>PRE-AICE WRLD HST IG</v>
      </c>
      <c r="G13229" t="str">
        <f>"17-1740"</f>
        <v>17-1740</v>
      </c>
      <c r="H13229" t="str">
        <f>"B"</f>
        <v>B</v>
      </c>
    </row>
    <row r="13230" spans="1:8" x14ac:dyDescent="0.2">
      <c r="A13230" t="str">
        <f t="shared" ref="A13230:A13237" si="4787">"0616007988"</f>
        <v>0616007988</v>
      </c>
      <c r="B13230" t="str">
        <f t="shared" ref="B13230:B13237" si="4788">"ZADIE"</f>
        <v>ZADIE</v>
      </c>
      <c r="C13230" t="str">
        <f t="shared" ref="C13230:C13245" si="4789">"PEREZ"</f>
        <v>PEREZ</v>
      </c>
      <c r="D13230">
        <f>10</f>
        <v>10</v>
      </c>
      <c r="E13230" t="str">
        <f>"04 - S1 - A - 103 - Rory T Sponsler"</f>
        <v>04 - S1 - A - 103 - Rory T Sponsler</v>
      </c>
      <c r="F13230" t="str">
        <f>"WOMENS STUDIES LH"</f>
        <v>WOMENS STUDIES LH</v>
      </c>
      <c r="G13230" t="str">
        <f>"17-1740"</f>
        <v>17-1740</v>
      </c>
      <c r="H13230" t="str">
        <f>"A"</f>
        <v>A</v>
      </c>
    </row>
    <row r="13231" spans="1:8" x14ac:dyDescent="0.2">
      <c r="A13231" t="str">
        <f t="shared" si="4787"/>
        <v>0616007988</v>
      </c>
      <c r="B13231" t="str">
        <f t="shared" si="4788"/>
        <v>ZADIE</v>
      </c>
      <c r="C13231" t="str">
        <f t="shared" si="4789"/>
        <v>PEREZ</v>
      </c>
      <c r="D13231">
        <f>10</f>
        <v>10</v>
      </c>
      <c r="E13231" t="str">
        <f>"06 - B - 114 - Richard E Dunbar Iii"</f>
        <v>06 - B - 114 - Richard E Dunbar Iii</v>
      </c>
      <c r="F13231" t="str">
        <f>"NC STUDY HALL 1"</f>
        <v>NC STUDY HALL 1</v>
      </c>
      <c r="G13231" t="str">
        <f>"17-1703"</f>
        <v>17-1703</v>
      </c>
      <c r="H13231" t="str">
        <f>"B"</f>
        <v>B</v>
      </c>
    </row>
    <row r="13232" spans="1:8" x14ac:dyDescent="0.2">
      <c r="A13232" t="str">
        <f t="shared" si="4787"/>
        <v>0616007988</v>
      </c>
      <c r="B13232" t="str">
        <f t="shared" si="4788"/>
        <v>ZADIE</v>
      </c>
      <c r="C13232" t="str">
        <f t="shared" si="4789"/>
        <v>PEREZ</v>
      </c>
      <c r="D13232">
        <f>10</f>
        <v>10</v>
      </c>
      <c r="E13232" t="str">
        <f>"03 - A - 101 - Brian M Fitzgerald"</f>
        <v>03 - A - 101 - Brian M Fitzgerald</v>
      </c>
      <c r="F13232" t="str">
        <f>"SCULPT 1"</f>
        <v>SCULPT 1</v>
      </c>
      <c r="G13232" t="str">
        <f>"09-908"</f>
        <v>09-908</v>
      </c>
      <c r="H13232" t="str">
        <f>"A"</f>
        <v>A</v>
      </c>
    </row>
    <row r="13233" spans="1:8" x14ac:dyDescent="0.2">
      <c r="A13233" t="str">
        <f t="shared" si="4787"/>
        <v>0616007988</v>
      </c>
      <c r="B13233" t="str">
        <f t="shared" si="4788"/>
        <v>ZADIE</v>
      </c>
      <c r="C13233" t="str">
        <f t="shared" si="4789"/>
        <v>PEREZ</v>
      </c>
      <c r="D13233">
        <f>10</f>
        <v>10</v>
      </c>
      <c r="E13233" t="str">
        <f>"02 - A - 205 - Emmily A Sarmiento"</f>
        <v>02 - A - 205 - Emmily A Sarmiento</v>
      </c>
      <c r="F13233" t="str">
        <f>"AICE GLBL PERSP 1 AS"</f>
        <v>AICE GLBL PERSP 1 AS</v>
      </c>
      <c r="G13233" t="str">
        <f>"17-1743"</f>
        <v>17-1743</v>
      </c>
      <c r="H13233" t="str">
        <f>"A"</f>
        <v>A</v>
      </c>
    </row>
    <row r="13234" spans="1:8" x14ac:dyDescent="0.2">
      <c r="A13234" t="str">
        <f t="shared" si="4787"/>
        <v>0616007988</v>
      </c>
      <c r="B13234" t="str">
        <f t="shared" si="4788"/>
        <v>ZADIE</v>
      </c>
      <c r="C13234" t="str">
        <f t="shared" si="4789"/>
        <v>PEREZ</v>
      </c>
      <c r="D13234">
        <f>10</f>
        <v>10</v>
      </c>
      <c r="E13234" t="str">
        <f>"07 - B - 107 - Marius D Orsolini"</f>
        <v>07 - B - 107 - Marius D Orsolini</v>
      </c>
      <c r="F13234" t="str">
        <f>"CULINARY ARTS 1"</f>
        <v>CULINARY ARTS 1</v>
      </c>
      <c r="G13234" t="str">
        <f>"21-2115"</f>
        <v>21-2115</v>
      </c>
      <c r="H13234" t="str">
        <f>"B"</f>
        <v>B</v>
      </c>
    </row>
    <row r="13235" spans="1:8" x14ac:dyDescent="0.2">
      <c r="A13235" t="str">
        <f t="shared" si="4787"/>
        <v>0616007988</v>
      </c>
      <c r="B13235" t="str">
        <f t="shared" si="4788"/>
        <v>ZADIE</v>
      </c>
      <c r="C13235" t="str">
        <f t="shared" si="4789"/>
        <v>PEREZ</v>
      </c>
      <c r="D13235">
        <f>10</f>
        <v>10</v>
      </c>
      <c r="E13235" t="str">
        <f>"05 - B - 103 - Brook E Goren"</f>
        <v>05 - B - 103 - Brook E Goren</v>
      </c>
      <c r="F13235" t="str">
        <f>"PRE-AICE MATH 2 IG"</f>
        <v>PRE-AICE MATH 2 IG</v>
      </c>
      <c r="G13235" t="str">
        <f>"21-2158"</f>
        <v>21-2158</v>
      </c>
      <c r="H13235" t="str">
        <f>"B"</f>
        <v>B</v>
      </c>
    </row>
    <row r="13236" spans="1:8" x14ac:dyDescent="0.2">
      <c r="A13236" t="str">
        <f t="shared" si="4787"/>
        <v>0616007988</v>
      </c>
      <c r="B13236" t="str">
        <f t="shared" si="4788"/>
        <v>ZADIE</v>
      </c>
      <c r="C13236" t="str">
        <f t="shared" si="4789"/>
        <v>PEREZ</v>
      </c>
      <c r="D13236">
        <f>10</f>
        <v>10</v>
      </c>
      <c r="E13236" t="str">
        <f>"01 - A - 201 - Cheryl L Beach"</f>
        <v>01 - A - 201 - Cheryl L Beach</v>
      </c>
      <c r="F13236" t="str">
        <f>"AICE ENV MGMNT AS"</f>
        <v>AICE ENV MGMNT AS</v>
      </c>
      <c r="G13236" t="str">
        <f>"08-811"</f>
        <v>08-811</v>
      </c>
      <c r="H13236" t="str">
        <f>"A"</f>
        <v>A</v>
      </c>
    </row>
    <row r="13237" spans="1:8" x14ac:dyDescent="0.2">
      <c r="A13237" t="str">
        <f t="shared" si="4787"/>
        <v>0616007988</v>
      </c>
      <c r="B13237" t="str">
        <f t="shared" si="4788"/>
        <v>ZADIE</v>
      </c>
      <c r="C13237" t="str">
        <f t="shared" si="4789"/>
        <v>PEREZ</v>
      </c>
      <c r="D13237">
        <f>10</f>
        <v>10</v>
      </c>
      <c r="E13237" t="str">
        <f>"08 - B - 102 - Jacquelyn M Neeson"</f>
        <v>08 - B - 102 - Jacquelyn M Neeson</v>
      </c>
      <c r="F13237" t="str">
        <f>"AICE ENG GEN PAPER 1"</f>
        <v>AICE ENG GEN PAPER 1</v>
      </c>
      <c r="G13237" t="str">
        <f>"17-1715"</f>
        <v>17-1715</v>
      </c>
      <c r="H13237" t="str">
        <f>"B"</f>
        <v>B</v>
      </c>
    </row>
    <row r="13238" spans="1:8" x14ac:dyDescent="0.2">
      <c r="A13238" t="str">
        <f t="shared" ref="A13238:A13245" si="4790">"0614031285"</f>
        <v>0614031285</v>
      </c>
      <c r="B13238" t="str">
        <f t="shared" ref="B13238:B13245" si="4791">"ZULEYMA"</f>
        <v>ZULEYMA</v>
      </c>
      <c r="C13238" t="str">
        <f t="shared" si="4789"/>
        <v>PEREZ</v>
      </c>
      <c r="D13238">
        <f>12</f>
        <v>12</v>
      </c>
      <c r="E13238" t="str">
        <f>"04 - S1 - A - 103 - James H Mccann"</f>
        <v>04 - S1 - A - 103 - James H Mccann</v>
      </c>
      <c r="F13238" t="str">
        <f>"PERS FIN &amp; MON MGT H"</f>
        <v>PERS FIN &amp; MON MGT H</v>
      </c>
      <c r="G13238" t="str">
        <f>"17-1716"</f>
        <v>17-1716</v>
      </c>
      <c r="H13238" t="str">
        <f>"A"</f>
        <v>A</v>
      </c>
    </row>
    <row r="13239" spans="1:8" x14ac:dyDescent="0.2">
      <c r="A13239" t="str">
        <f t="shared" si="4790"/>
        <v>0614031285</v>
      </c>
      <c r="B13239" t="str">
        <f t="shared" si="4791"/>
        <v>ZULEYMA</v>
      </c>
      <c r="C13239" t="str">
        <f t="shared" si="4789"/>
        <v>PEREZ</v>
      </c>
      <c r="D13239">
        <f>12</f>
        <v>12</v>
      </c>
      <c r="E13239" t="str">
        <f>"06 - B - 105 - Robyn L Trainer"</f>
        <v>06 - B - 105 - Robyn L Trainer</v>
      </c>
      <c r="F13239" t="str">
        <f>"NC STUDY HALL 1"</f>
        <v>NC STUDY HALL 1</v>
      </c>
      <c r="G13239" t="str">
        <f>"17-1734"</f>
        <v>17-1734</v>
      </c>
      <c r="H13239" t="str">
        <f>"B"</f>
        <v>B</v>
      </c>
    </row>
    <row r="13240" spans="1:8" x14ac:dyDescent="0.2">
      <c r="A13240" t="str">
        <f t="shared" si="4790"/>
        <v>0614031285</v>
      </c>
      <c r="B13240" t="str">
        <f t="shared" si="4791"/>
        <v>ZULEYMA</v>
      </c>
      <c r="C13240" t="str">
        <f t="shared" si="4789"/>
        <v>PEREZ</v>
      </c>
      <c r="D13240">
        <f>12</f>
        <v>12</v>
      </c>
      <c r="E13240" t="str">
        <f>"03 - A - 101 - Dorothy D Moore"</f>
        <v>03 - A - 101 - Dorothy D Moore</v>
      </c>
      <c r="F13240" t="str">
        <f>"FORC SCI 1 LH"</f>
        <v>FORC SCI 1 LH</v>
      </c>
      <c r="G13240" t="str">
        <f>"08-803"</f>
        <v>08-803</v>
      </c>
      <c r="H13240" t="str">
        <f>"A"</f>
        <v>A</v>
      </c>
    </row>
    <row r="13241" spans="1:8" x14ac:dyDescent="0.2">
      <c r="A13241" t="str">
        <f t="shared" si="4790"/>
        <v>0614031285</v>
      </c>
      <c r="B13241" t="str">
        <f t="shared" si="4791"/>
        <v>ZULEYMA</v>
      </c>
      <c r="C13241" t="str">
        <f t="shared" si="4789"/>
        <v>PEREZ</v>
      </c>
      <c r="D13241">
        <f>12</f>
        <v>12</v>
      </c>
      <c r="E13241" t="str">
        <f>"02 - A - 101 - Robert H Rindner"</f>
        <v>02 - A - 101 - Robert H Rindner</v>
      </c>
      <c r="F13241" t="str">
        <f>"MATH DATA&amp;FIN LIT H"</f>
        <v>MATH DATA&amp;FIN LIT H</v>
      </c>
      <c r="G13241" t="str">
        <f>"21-2160"</f>
        <v>21-2160</v>
      </c>
      <c r="H13241" t="str">
        <f>"A"</f>
        <v>A</v>
      </c>
    </row>
    <row r="13242" spans="1:8" x14ac:dyDescent="0.2">
      <c r="A13242" t="str">
        <f t="shared" si="4790"/>
        <v>0614031285</v>
      </c>
      <c r="B13242" t="str">
        <f t="shared" si="4791"/>
        <v>ZULEYMA</v>
      </c>
      <c r="C13242" t="str">
        <f t="shared" si="4789"/>
        <v>PEREZ</v>
      </c>
      <c r="D13242">
        <f>12</f>
        <v>12</v>
      </c>
      <c r="E13242" t="str">
        <f>"07 - S1 - B - 102 - Barbara L Segal"</f>
        <v>07 - S1 - B - 102 - Barbara L Segal</v>
      </c>
      <c r="F13242" t="str">
        <f>"AP US GOVT/POL"</f>
        <v>AP US GOVT/POL</v>
      </c>
      <c r="G13242" t="str">
        <f>"17-1742"</f>
        <v>17-1742</v>
      </c>
      <c r="H13242" t="str">
        <f>"B"</f>
        <v>B</v>
      </c>
    </row>
    <row r="13243" spans="1:8" x14ac:dyDescent="0.2">
      <c r="A13243" t="str">
        <f t="shared" si="4790"/>
        <v>0614031285</v>
      </c>
      <c r="B13243" t="str">
        <f t="shared" si="4791"/>
        <v>ZULEYMA</v>
      </c>
      <c r="C13243" t="str">
        <f t="shared" si="4789"/>
        <v>PEREZ</v>
      </c>
      <c r="D13243">
        <f>12</f>
        <v>12</v>
      </c>
      <c r="E13243" t="str">
        <f>"05 - B - 104 - Jeffrey S Gallagher"</f>
        <v>05 - B - 104 - Jeffrey S Gallagher</v>
      </c>
      <c r="F13243" t="str">
        <f>"ENG HON 4"</f>
        <v>ENG HON 4</v>
      </c>
      <c r="G13243" t="str">
        <f>"17-1724"</f>
        <v>17-1724</v>
      </c>
      <c r="H13243" t="str">
        <f>"B"</f>
        <v>B</v>
      </c>
    </row>
    <row r="13244" spans="1:8" x14ac:dyDescent="0.2">
      <c r="A13244" t="str">
        <f t="shared" si="4790"/>
        <v>0614031285</v>
      </c>
      <c r="B13244" t="str">
        <f t="shared" si="4791"/>
        <v>ZULEYMA</v>
      </c>
      <c r="C13244" t="str">
        <f t="shared" si="4789"/>
        <v>PEREZ</v>
      </c>
      <c r="D13244">
        <f>12</f>
        <v>12</v>
      </c>
      <c r="E13244" t="str">
        <f>"01 - A - 101 - Kelly N Panza"</f>
        <v>01 - A - 101 - Kelly N Panza</v>
      </c>
      <c r="F13244" t="str">
        <f>"AP HUMAN GEOG"</f>
        <v>AP HUMAN GEOG</v>
      </c>
      <c r="G13244" t="str">
        <f>"17-1753"</f>
        <v>17-1753</v>
      </c>
      <c r="H13244" t="str">
        <f>"A"</f>
        <v>A</v>
      </c>
    </row>
    <row r="13245" spans="1:8" x14ac:dyDescent="0.2">
      <c r="A13245" t="str">
        <f t="shared" si="4790"/>
        <v>0614031285</v>
      </c>
      <c r="B13245" t="str">
        <f t="shared" si="4791"/>
        <v>ZULEYMA</v>
      </c>
      <c r="C13245" t="str">
        <f t="shared" si="4789"/>
        <v>PEREZ</v>
      </c>
      <c r="D13245">
        <f>12</f>
        <v>12</v>
      </c>
      <c r="E13245" t="str">
        <f>"08 - B - 101 - Jazmin S Fletcher"</f>
        <v>08 - B - 101 - Jazmin S Fletcher</v>
      </c>
      <c r="F13245" t="str">
        <f>"PRE-AICE DRAMA 1G"</f>
        <v>PRE-AICE DRAMA 1G</v>
      </c>
      <c r="G13245" t="str">
        <f>"09-909"</f>
        <v>09-909</v>
      </c>
      <c r="H13245" t="str">
        <f>"B"</f>
        <v>B</v>
      </c>
    </row>
    <row r="13246" spans="1:8" x14ac:dyDescent="0.2">
      <c r="A13246" t="str">
        <f t="shared" ref="A13246:A13254" si="4792">"0614002778"</f>
        <v>0614002778</v>
      </c>
      <c r="B13246" t="str">
        <f t="shared" ref="B13246:B13254" si="4793">"LIZBETH"</f>
        <v>LIZBETH</v>
      </c>
      <c r="C13246" t="str">
        <f t="shared" ref="C13246:C13254" si="4794">"PEREZ CRUZ"</f>
        <v>PEREZ CRUZ</v>
      </c>
      <c r="D13246">
        <f>11</f>
        <v>11</v>
      </c>
      <c r="E13246" t="str">
        <f>"04 - A - 103 - Lisa  Quinn"</f>
        <v>04 - A - 103 - Lisa  Quinn</v>
      </c>
      <c r="F13246" t="str">
        <f>"ENG 3"</f>
        <v>ENG 3</v>
      </c>
      <c r="G13246" t="str">
        <f>"17-1725"</f>
        <v>17-1725</v>
      </c>
      <c r="H13246" t="str">
        <f>"A"</f>
        <v>A</v>
      </c>
    </row>
    <row r="13247" spans="1:8" x14ac:dyDescent="0.2">
      <c r="A13247" t="str">
        <f t="shared" si="4792"/>
        <v>0614002778</v>
      </c>
      <c r="B13247" t="str">
        <f t="shared" si="4793"/>
        <v>LIZBETH</v>
      </c>
      <c r="C13247" t="str">
        <f t="shared" si="4794"/>
        <v>PEREZ CRUZ</v>
      </c>
      <c r="D13247">
        <f>11</f>
        <v>11</v>
      </c>
      <c r="E13247" t="str">
        <f>"06 - B - 106 - Adam Marcus  Drucker"</f>
        <v>06 - B - 106 - Adam Marcus  Drucker</v>
      </c>
      <c r="F13247" t="str">
        <f>"HOPE-PE V"</f>
        <v>HOPE-PE V</v>
      </c>
      <c r="G13247" t="str">
        <f>"04-254"</f>
        <v>04-254</v>
      </c>
      <c r="H13247" t="str">
        <f>"B"</f>
        <v>B</v>
      </c>
    </row>
    <row r="13248" spans="1:8" x14ac:dyDescent="0.2">
      <c r="A13248" t="str">
        <f t="shared" si="4792"/>
        <v>0614002778</v>
      </c>
      <c r="B13248" t="str">
        <f t="shared" si="4793"/>
        <v>LIZBETH</v>
      </c>
      <c r="C13248" t="str">
        <f t="shared" si="4794"/>
        <v>PEREZ CRUZ</v>
      </c>
      <c r="D13248">
        <f>11</f>
        <v>11</v>
      </c>
      <c r="E13248" t="str">
        <f>"03 - A - 208 - Marielle A Witting"</f>
        <v>03 - A - 208 - Marielle A Witting</v>
      </c>
      <c r="F13248" t="str">
        <f>"ANAT PHYSIO"</f>
        <v>ANAT PHYSIO</v>
      </c>
      <c r="G13248" t="str">
        <f>"08-805"</f>
        <v>08-805</v>
      </c>
      <c r="H13248" t="str">
        <f>"A"</f>
        <v>A</v>
      </c>
    </row>
    <row r="13249" spans="1:8" x14ac:dyDescent="0.2">
      <c r="A13249" t="str">
        <f t="shared" si="4792"/>
        <v>0614002778</v>
      </c>
      <c r="B13249" t="str">
        <f t="shared" si="4793"/>
        <v>LIZBETH</v>
      </c>
      <c r="C13249" t="str">
        <f t="shared" si="4794"/>
        <v>PEREZ CRUZ</v>
      </c>
      <c r="D13249">
        <f>11</f>
        <v>11</v>
      </c>
      <c r="E13249" t="str">
        <f>"02 - A - 106 - Heidi M Knopp"</f>
        <v>02 - A - 106 - Heidi M Knopp</v>
      </c>
      <c r="F13249" t="str">
        <f>"NC STUDY HALL 1"</f>
        <v>NC STUDY HALL 1</v>
      </c>
      <c r="G13249" t="str">
        <f>"17-1735"</f>
        <v>17-1735</v>
      </c>
      <c r="H13249" t="str">
        <f>"A"</f>
        <v>A</v>
      </c>
    </row>
    <row r="13250" spans="1:8" x14ac:dyDescent="0.2">
      <c r="A13250" t="str">
        <f t="shared" si="4792"/>
        <v>0614002778</v>
      </c>
      <c r="B13250" t="str">
        <f t="shared" si="4793"/>
        <v>LIZBETH</v>
      </c>
      <c r="C13250" t="str">
        <f t="shared" si="4794"/>
        <v>PEREZ CRUZ</v>
      </c>
      <c r="D13250">
        <f>11</f>
        <v>11</v>
      </c>
      <c r="E13250" t="str">
        <f>"02 - A - 112 - Karen A Toomer"</f>
        <v>02 - A - 112 - Karen A Toomer</v>
      </c>
      <c r="F13250" t="str">
        <f>"LANG THERAPY"</f>
        <v>LANG THERAPY</v>
      </c>
      <c r="G13250" t="str">
        <f>"21-2110"</f>
        <v>21-2110</v>
      </c>
      <c r="H13250" t="str">
        <f>"A"</f>
        <v>A</v>
      </c>
    </row>
    <row r="13251" spans="1:8" x14ac:dyDescent="0.2">
      <c r="A13251" t="str">
        <f t="shared" si="4792"/>
        <v>0614002778</v>
      </c>
      <c r="B13251" t="str">
        <f t="shared" si="4793"/>
        <v>LIZBETH</v>
      </c>
      <c r="C13251" t="str">
        <f t="shared" si="4794"/>
        <v>PEREZ CRUZ</v>
      </c>
      <c r="D13251">
        <f>11</f>
        <v>11</v>
      </c>
      <c r="E13251" t="str">
        <f>"07 - B - 002 - Rachel M Montrose"</f>
        <v>07 - B - 002 - Rachel M Montrose</v>
      </c>
      <c r="F13251" t="str">
        <f>"JOURN 1 (NP) LH"</f>
        <v>JOURN 1 (NP) LH</v>
      </c>
      <c r="G13251" t="str">
        <f>"05-521"</f>
        <v>05-521</v>
      </c>
      <c r="H13251" t="str">
        <f>"B"</f>
        <v>B</v>
      </c>
    </row>
    <row r="13252" spans="1:8" x14ac:dyDescent="0.2">
      <c r="A13252" t="str">
        <f t="shared" si="4792"/>
        <v>0614002778</v>
      </c>
      <c r="B13252" t="str">
        <f t="shared" si="4793"/>
        <v>LIZBETH</v>
      </c>
      <c r="C13252" t="str">
        <f t="shared" si="4794"/>
        <v>PEREZ CRUZ</v>
      </c>
      <c r="D13252">
        <f>11</f>
        <v>11</v>
      </c>
      <c r="E13252" t="str">
        <f>"05 - B - 109 - Ferrie J Arostique"</f>
        <v>05 - B - 109 - Ferrie J Arostique</v>
      </c>
      <c r="F13252" t="str">
        <f>"GEOMETRY"</f>
        <v>GEOMETRY</v>
      </c>
      <c r="G13252" t="str">
        <f>"21-2139"</f>
        <v>21-2139</v>
      </c>
      <c r="H13252" t="str">
        <f>"B"</f>
        <v>B</v>
      </c>
    </row>
    <row r="13253" spans="1:8" x14ac:dyDescent="0.2">
      <c r="A13253" t="str">
        <f t="shared" si="4792"/>
        <v>0614002778</v>
      </c>
      <c r="B13253" t="str">
        <f t="shared" si="4793"/>
        <v>LIZBETH</v>
      </c>
      <c r="C13253" t="str">
        <f t="shared" si="4794"/>
        <v>PEREZ CRUZ</v>
      </c>
      <c r="D13253">
        <f>11</f>
        <v>11</v>
      </c>
      <c r="E13253" t="str">
        <f>"01 - S1 - A - 101 - Leslie J Barton"</f>
        <v>01 - S1 - A - 101 - Leslie J Barton</v>
      </c>
      <c r="F13253" t="str">
        <f>"FIRST AID SAFETY"</f>
        <v>FIRST AID SAFETY</v>
      </c>
      <c r="G13253" t="str">
        <f>"05-521"</f>
        <v>05-521</v>
      </c>
      <c r="H13253" t="str">
        <f>"A"</f>
        <v>A</v>
      </c>
    </row>
    <row r="13254" spans="1:8" x14ac:dyDescent="0.2">
      <c r="A13254" t="str">
        <f t="shared" si="4792"/>
        <v>0614002778</v>
      </c>
      <c r="B13254" t="str">
        <f t="shared" si="4793"/>
        <v>LIZBETH</v>
      </c>
      <c r="C13254" t="str">
        <f t="shared" si="4794"/>
        <v>PEREZ CRUZ</v>
      </c>
      <c r="D13254">
        <f>11</f>
        <v>11</v>
      </c>
      <c r="E13254" t="str">
        <f>"08 - B - 109 - Lauren N Logan"</f>
        <v>08 - B - 109 - Lauren N Logan</v>
      </c>
      <c r="F13254" t="str">
        <f>"US HISTORY"</f>
        <v>US HISTORY</v>
      </c>
      <c r="G13254" t="str">
        <f>"17-1754"</f>
        <v>17-1754</v>
      </c>
      <c r="H13254" t="str">
        <f>"B"</f>
        <v>B</v>
      </c>
    </row>
    <row r="13255" spans="1:8" x14ac:dyDescent="0.2">
      <c r="A13255" t="str">
        <f t="shared" ref="A13255:A13262" si="4795">"0625019747"</f>
        <v>0625019747</v>
      </c>
      <c r="B13255" t="str">
        <f t="shared" ref="B13255:B13262" si="4796">"SOFIA"</f>
        <v>SOFIA</v>
      </c>
      <c r="C13255" t="str">
        <f t="shared" ref="C13255:C13262" si="4797">"PEREZ MANJARRES"</f>
        <v>PEREZ MANJARRES</v>
      </c>
      <c r="D13255" t="str">
        <f t="shared" ref="D13255:D13262" si="4798">"09"</f>
        <v>09</v>
      </c>
      <c r="E13255" t="str">
        <f>"04 - A - 201 - Dorothy D Moore"</f>
        <v>04 - A - 201 - Dorothy D Moore</v>
      </c>
      <c r="F13255" t="str">
        <f>"HEALTH SCI 1/A&amp;P HON"</f>
        <v>HEALTH SCI 1/A&amp;P HON</v>
      </c>
      <c r="G13255" t="str">
        <f>"08-803"</f>
        <v>08-803</v>
      </c>
      <c r="H13255" t="str">
        <f>"A"</f>
        <v>A</v>
      </c>
    </row>
    <row r="13256" spans="1:8" x14ac:dyDescent="0.2">
      <c r="A13256" t="str">
        <f t="shared" si="4795"/>
        <v>0625019747</v>
      </c>
      <c r="B13256" t="str">
        <f t="shared" si="4796"/>
        <v>SOFIA</v>
      </c>
      <c r="C13256" t="str">
        <f t="shared" si="4797"/>
        <v>PEREZ MANJARRES</v>
      </c>
      <c r="D13256" t="str">
        <f t="shared" si="4798"/>
        <v>09</v>
      </c>
      <c r="E13256" t="str">
        <f>"06 - S1 - B - 104 - Leslie J Barton"</f>
        <v>06 - S1 - B - 104 - Leslie J Barton</v>
      </c>
      <c r="F13256" t="str">
        <f>"FIRST AID SAFETY"</f>
        <v>FIRST AID SAFETY</v>
      </c>
      <c r="G13256" t="str">
        <f>"05-521"</f>
        <v>05-521</v>
      </c>
      <c r="H13256" t="str">
        <f>"B"</f>
        <v>B</v>
      </c>
    </row>
    <row r="13257" spans="1:8" x14ac:dyDescent="0.2">
      <c r="A13257" t="str">
        <f t="shared" si="4795"/>
        <v>0625019747</v>
      </c>
      <c r="B13257" t="str">
        <f t="shared" si="4796"/>
        <v>SOFIA</v>
      </c>
      <c r="C13257" t="str">
        <f t="shared" si="4797"/>
        <v>PEREZ MANJARRES</v>
      </c>
      <c r="D13257" t="str">
        <f t="shared" si="4798"/>
        <v>09</v>
      </c>
      <c r="E13257" t="str">
        <f>"03 - A - 105 - Elizabeth Ellen  Moran"</f>
        <v>03 - A - 105 - Elizabeth Ellen  Moran</v>
      </c>
      <c r="F13257" t="str">
        <f>"WORLD HISTORY"</f>
        <v>WORLD HISTORY</v>
      </c>
      <c r="G13257" t="str">
        <f>"17-1752"</f>
        <v>17-1752</v>
      </c>
      <c r="H13257" t="str">
        <f>"A"</f>
        <v>A</v>
      </c>
    </row>
    <row r="13258" spans="1:8" x14ac:dyDescent="0.2">
      <c r="A13258" t="str">
        <f t="shared" si="4795"/>
        <v>0625019747</v>
      </c>
      <c r="B13258" t="str">
        <f t="shared" si="4796"/>
        <v>SOFIA</v>
      </c>
      <c r="C13258" t="str">
        <f t="shared" si="4797"/>
        <v>PEREZ MANJARRES</v>
      </c>
      <c r="D13258" t="str">
        <f t="shared" si="4798"/>
        <v>09</v>
      </c>
      <c r="E13258" t="str">
        <f>"02 - A - 108 - Rory T Sponsler"</f>
        <v>02 - A - 108 - Rory T Sponsler</v>
      </c>
      <c r="F13258" t="str">
        <f>"NC STUDY HALL 1"</f>
        <v>NC STUDY HALL 1</v>
      </c>
      <c r="G13258" t="str">
        <f>"17-1740"</f>
        <v>17-1740</v>
      </c>
      <c r="H13258" t="str">
        <f>"A"</f>
        <v>A</v>
      </c>
    </row>
    <row r="13259" spans="1:8" x14ac:dyDescent="0.2">
      <c r="A13259" t="str">
        <f t="shared" si="4795"/>
        <v>0625019747</v>
      </c>
      <c r="B13259" t="str">
        <f t="shared" si="4796"/>
        <v>SOFIA</v>
      </c>
      <c r="C13259" t="str">
        <f t="shared" si="4797"/>
        <v>PEREZ MANJARRES</v>
      </c>
      <c r="D13259" t="str">
        <f t="shared" si="4798"/>
        <v>09</v>
      </c>
      <c r="E13259" t="str">
        <f>"07 - B - 107 - Cerine S Stewart"</f>
        <v>07 - B - 107 - Cerine S Stewart</v>
      </c>
      <c r="F13259" t="str">
        <f>"ENG 1"</f>
        <v>ENG 1</v>
      </c>
      <c r="G13259" t="str">
        <f>"17-1720"</f>
        <v>17-1720</v>
      </c>
      <c r="H13259" t="str">
        <f>"B"</f>
        <v>B</v>
      </c>
    </row>
    <row r="13260" spans="1:8" x14ac:dyDescent="0.2">
      <c r="A13260" t="str">
        <f t="shared" si="4795"/>
        <v>0625019747</v>
      </c>
      <c r="B13260" t="str">
        <f t="shared" si="4796"/>
        <v>SOFIA</v>
      </c>
      <c r="C13260" t="str">
        <f t="shared" si="4797"/>
        <v>PEREZ MANJARRES</v>
      </c>
      <c r="D13260" t="str">
        <f t="shared" si="4798"/>
        <v>09</v>
      </c>
      <c r="E13260" t="str">
        <f>"05 - B - 102 - Tina L Lovett"</f>
        <v>05 - B - 102 - Tina L Lovett</v>
      </c>
      <c r="F13260" t="str">
        <f>"PRE-AICE MATH 1 IG"</f>
        <v>PRE-AICE MATH 1 IG</v>
      </c>
      <c r="G13260" t="str">
        <f>"21-2153"</f>
        <v>21-2153</v>
      </c>
      <c r="H13260" t="str">
        <f>"B"</f>
        <v>B</v>
      </c>
    </row>
    <row r="13261" spans="1:8" x14ac:dyDescent="0.2">
      <c r="A13261" t="str">
        <f t="shared" si="4795"/>
        <v>0625019747</v>
      </c>
      <c r="B13261" t="str">
        <f t="shared" si="4796"/>
        <v>SOFIA</v>
      </c>
      <c r="C13261" t="str">
        <f t="shared" si="4797"/>
        <v>PEREZ MANJARRES</v>
      </c>
      <c r="D13261" t="str">
        <f t="shared" si="4798"/>
        <v>09</v>
      </c>
      <c r="E13261" t="str">
        <f>"01 - A - 103 - Amy Beth  Broyles"</f>
        <v>01 - A - 103 - Amy Beth  Broyles</v>
      </c>
      <c r="F13261" t="str">
        <f>"ENV SCI"</f>
        <v>ENV SCI</v>
      </c>
      <c r="G13261" t="str">
        <f>"08-802"</f>
        <v>08-802</v>
      </c>
      <c r="H13261" t="str">
        <f>"A"</f>
        <v>A</v>
      </c>
    </row>
    <row r="13262" spans="1:8" x14ac:dyDescent="0.2">
      <c r="A13262" t="str">
        <f t="shared" si="4795"/>
        <v>0625019747</v>
      </c>
      <c r="B13262" t="str">
        <f t="shared" si="4796"/>
        <v>SOFIA</v>
      </c>
      <c r="C13262" t="str">
        <f t="shared" si="4797"/>
        <v>PEREZ MANJARRES</v>
      </c>
      <c r="D13262" t="str">
        <f t="shared" si="4798"/>
        <v>09</v>
      </c>
      <c r="E13262" t="str">
        <f>"08 - B - 106 - Laselleda D Shaw"</f>
        <v>08 - B - 106 - Laselleda D Shaw</v>
      </c>
      <c r="F13262" t="str">
        <f>"INTENS READ 1"</f>
        <v>INTENS READ 1</v>
      </c>
      <c r="G13262" t="str">
        <f>"17-1723"</f>
        <v>17-1723</v>
      </c>
      <c r="H13262" t="str">
        <f>"B"</f>
        <v>B</v>
      </c>
    </row>
    <row r="13263" spans="1:8" x14ac:dyDescent="0.2">
      <c r="A13263" t="str">
        <f t="shared" ref="A13263:A13270" si="4799">"0614111710"</f>
        <v>0614111710</v>
      </c>
      <c r="B13263" t="str">
        <f t="shared" ref="B13263:B13270" si="4800">"KATERIN"</f>
        <v>KATERIN</v>
      </c>
      <c r="C13263" t="str">
        <f t="shared" ref="C13263:C13270" si="4801">"PEREZ MAZARIEGOS"</f>
        <v>PEREZ MAZARIEGOS</v>
      </c>
      <c r="D13263">
        <f>11</f>
        <v>11</v>
      </c>
      <c r="E13263" t="str">
        <f>"04 - A - 102 - Jordana K Hass"</f>
        <v>04 - A - 102 - Jordana K Hass</v>
      </c>
      <c r="F13263" t="str">
        <f>"CHEMISTRY 1"</f>
        <v>CHEMISTRY 1</v>
      </c>
      <c r="G13263" t="str">
        <f>"08-807"</f>
        <v>08-807</v>
      </c>
      <c r="H13263" t="str">
        <f>"A"</f>
        <v>A</v>
      </c>
    </row>
    <row r="13264" spans="1:8" x14ac:dyDescent="0.2">
      <c r="A13264" t="str">
        <f t="shared" si="4799"/>
        <v>0614111710</v>
      </c>
      <c r="B13264" t="str">
        <f t="shared" si="4800"/>
        <v>KATERIN</v>
      </c>
      <c r="C13264" t="str">
        <f t="shared" si="4801"/>
        <v>PEREZ MAZARIEGOS</v>
      </c>
      <c r="D13264">
        <f>11</f>
        <v>11</v>
      </c>
      <c r="E13264" t="str">
        <f>"06 - B - 002 - Kyle  Robbins"</f>
        <v>06 - B - 002 - Kyle  Robbins</v>
      </c>
      <c r="F13264" t="str">
        <f>"US HISTORY HON"</f>
        <v>US HISTORY HON</v>
      </c>
      <c r="G13264" t="str">
        <f>"17-1745"</f>
        <v>17-1745</v>
      </c>
      <c r="H13264" t="str">
        <f>"B"</f>
        <v>B</v>
      </c>
    </row>
    <row r="13265" spans="1:8" x14ac:dyDescent="0.2">
      <c r="A13265" t="str">
        <f t="shared" si="4799"/>
        <v>0614111710</v>
      </c>
      <c r="B13265" t="str">
        <f t="shared" si="4800"/>
        <v>KATERIN</v>
      </c>
      <c r="C13265" t="str">
        <f t="shared" si="4801"/>
        <v>PEREZ MAZARIEGOS</v>
      </c>
      <c r="D13265">
        <f>11</f>
        <v>11</v>
      </c>
      <c r="E13265" t="str">
        <f>"03 - A - 101 - Rosa Elaine  Collado-Duff"</f>
        <v>03 - A - 101 - Rosa Elaine  Collado-Duff</v>
      </c>
      <c r="F13265" t="str">
        <f>"SPANISH 3 HON"</f>
        <v>SPANISH 3 HON</v>
      </c>
      <c r="G13265" t="str">
        <f>"09-913"</f>
        <v>09-913</v>
      </c>
      <c r="H13265" t="str">
        <f>"A"</f>
        <v>A</v>
      </c>
    </row>
    <row r="13266" spans="1:8" x14ac:dyDescent="0.2">
      <c r="A13266" t="str">
        <f t="shared" si="4799"/>
        <v>0614111710</v>
      </c>
      <c r="B13266" t="str">
        <f t="shared" si="4800"/>
        <v>KATERIN</v>
      </c>
      <c r="C13266" t="str">
        <f t="shared" si="4801"/>
        <v>PEREZ MAZARIEGOS</v>
      </c>
      <c r="D13266">
        <f>11</f>
        <v>11</v>
      </c>
      <c r="E13266" t="str">
        <f>"02 - A - 108 - Stephen T Ripp"</f>
        <v>02 - A - 108 - Stephen T Ripp</v>
      </c>
      <c r="F13266" t="str">
        <f>"NC STUDY HALL 1"</f>
        <v>NC STUDY HALL 1</v>
      </c>
      <c r="G13266" t="str">
        <f>"17-1744"</f>
        <v>17-1744</v>
      </c>
      <c r="H13266" t="str">
        <f>"A"</f>
        <v>A</v>
      </c>
    </row>
    <row r="13267" spans="1:8" x14ac:dyDescent="0.2">
      <c r="A13267" t="str">
        <f t="shared" si="4799"/>
        <v>0614111710</v>
      </c>
      <c r="B13267" t="str">
        <f t="shared" si="4800"/>
        <v>KATERIN</v>
      </c>
      <c r="C13267" t="str">
        <f t="shared" si="4801"/>
        <v>PEREZ MAZARIEGOS</v>
      </c>
      <c r="D13267">
        <f>11</f>
        <v>11</v>
      </c>
      <c r="E13267" t="str">
        <f>"07 - B - 204 - Stefanie S Scher"</f>
        <v>07 - B - 204 - Stefanie S Scher</v>
      </c>
      <c r="F13267" t="str">
        <f>"AP PSYCH"</f>
        <v>AP PSYCH</v>
      </c>
      <c r="G13267" t="str">
        <f>"17-1735"</f>
        <v>17-1735</v>
      </c>
      <c r="H13267" t="str">
        <f>"B"</f>
        <v>B</v>
      </c>
    </row>
    <row r="13268" spans="1:8" x14ac:dyDescent="0.2">
      <c r="A13268" t="str">
        <f t="shared" si="4799"/>
        <v>0614111710</v>
      </c>
      <c r="B13268" t="str">
        <f t="shared" si="4800"/>
        <v>KATERIN</v>
      </c>
      <c r="C13268" t="str">
        <f t="shared" si="4801"/>
        <v>PEREZ MAZARIEGOS</v>
      </c>
      <c r="D13268">
        <f>11</f>
        <v>11</v>
      </c>
      <c r="E13268" t="str">
        <f>"05 - B - 101 - Brian M Fitzgerald"</f>
        <v>05 - B - 101 - Brian M Fitzgerald</v>
      </c>
      <c r="F13268" t="str">
        <f>"PAINT 1"</f>
        <v>PAINT 1</v>
      </c>
      <c r="G13268" t="str">
        <f>"09-908"</f>
        <v>09-908</v>
      </c>
      <c r="H13268" t="str">
        <f>"B"</f>
        <v>B</v>
      </c>
    </row>
    <row r="13269" spans="1:8" x14ac:dyDescent="0.2">
      <c r="A13269" t="str">
        <f t="shared" si="4799"/>
        <v>0614111710</v>
      </c>
      <c r="B13269" t="str">
        <f t="shared" si="4800"/>
        <v>KATERIN</v>
      </c>
      <c r="C13269" t="str">
        <f t="shared" si="4801"/>
        <v>PEREZ MAZARIEGOS</v>
      </c>
      <c r="D13269">
        <f>11</f>
        <v>11</v>
      </c>
      <c r="E13269" t="str">
        <f>"01 - A - 101 - Heidi M Knopp"</f>
        <v>01 - A - 101 - Heidi M Knopp</v>
      </c>
      <c r="F13269" t="str">
        <f>"ENG HON 3"</f>
        <v>ENG HON 3</v>
      </c>
      <c r="G13269" t="str">
        <f>"17-1752"</f>
        <v>17-1752</v>
      </c>
      <c r="H13269" t="str">
        <f>"A"</f>
        <v>A</v>
      </c>
    </row>
    <row r="13270" spans="1:8" x14ac:dyDescent="0.2">
      <c r="A13270" t="str">
        <f t="shared" si="4799"/>
        <v>0614111710</v>
      </c>
      <c r="B13270" t="str">
        <f t="shared" si="4800"/>
        <v>KATERIN</v>
      </c>
      <c r="C13270" t="str">
        <f t="shared" si="4801"/>
        <v>PEREZ MAZARIEGOS</v>
      </c>
      <c r="D13270">
        <f>11</f>
        <v>11</v>
      </c>
      <c r="E13270" t="str">
        <f>"08 - B - 105 - Semra  Bahadir"</f>
        <v>08 - B - 105 - Semra  Bahadir</v>
      </c>
      <c r="F13270" t="str">
        <f>"MATH COLL ALGEBRA"</f>
        <v>MATH COLL ALGEBRA</v>
      </c>
      <c r="G13270" t="str">
        <f>"21-2107"</f>
        <v>21-2107</v>
      </c>
      <c r="H13270" t="str">
        <f>"B"</f>
        <v>B</v>
      </c>
    </row>
    <row r="13271" spans="1:8" x14ac:dyDescent="0.2">
      <c r="A13271" t="str">
        <f t="shared" ref="A13271:A13278" si="4802">"0616090021"</f>
        <v>0616090021</v>
      </c>
      <c r="B13271" t="str">
        <f t="shared" ref="B13271:B13278" si="4803">"SERGIO"</f>
        <v>SERGIO</v>
      </c>
      <c r="C13271" t="str">
        <f t="shared" ref="C13271:C13278" si="4804">"PEREZ MIRANDA"</f>
        <v>PEREZ MIRANDA</v>
      </c>
      <c r="D13271">
        <f>10</f>
        <v>10</v>
      </c>
      <c r="E13271" t="str">
        <f>"04 - A - 106 - Marielle A Witting"</f>
        <v>04 - A - 106 - Marielle A Witting</v>
      </c>
      <c r="F13271" t="str">
        <f>"ANAT PHYSIO"</f>
        <v>ANAT PHYSIO</v>
      </c>
      <c r="G13271" t="str">
        <f>"08-805"</f>
        <v>08-805</v>
      </c>
      <c r="H13271" t="str">
        <f>"A"</f>
        <v>A</v>
      </c>
    </row>
    <row r="13272" spans="1:8" x14ac:dyDescent="0.2">
      <c r="A13272" t="str">
        <f t="shared" si="4802"/>
        <v>0616090021</v>
      </c>
      <c r="B13272" t="str">
        <f t="shared" si="4803"/>
        <v>SERGIO</v>
      </c>
      <c r="C13272" t="str">
        <f t="shared" si="4804"/>
        <v>PEREZ MIRANDA</v>
      </c>
      <c r="D13272">
        <f>10</f>
        <v>10</v>
      </c>
      <c r="E13272" t="str">
        <f>"06 - B - 109 - Semra  Bahadir"</f>
        <v>06 - B - 109 - Semra  Bahadir</v>
      </c>
      <c r="F13272" t="str">
        <f>"NC STUDY HALL 1"</f>
        <v>NC STUDY HALL 1</v>
      </c>
      <c r="G13272" t="str">
        <f>"21-2107"</f>
        <v>21-2107</v>
      </c>
      <c r="H13272" t="str">
        <f>"B"</f>
        <v>B</v>
      </c>
    </row>
    <row r="13273" spans="1:8" x14ac:dyDescent="0.2">
      <c r="A13273" t="str">
        <f t="shared" si="4802"/>
        <v>0616090021</v>
      </c>
      <c r="B13273" t="str">
        <f t="shared" si="4803"/>
        <v>SERGIO</v>
      </c>
      <c r="C13273" t="str">
        <f t="shared" si="4804"/>
        <v>PEREZ MIRANDA</v>
      </c>
      <c r="D13273">
        <f>10</f>
        <v>10</v>
      </c>
      <c r="E13273" t="str">
        <f>"03 - A - 002 - Nikiel  Nesbeth"</f>
        <v>03 - A - 002 - Nikiel  Nesbeth</v>
      </c>
      <c r="F13273" t="str">
        <f>"PRE-AICE ENG LIT IG"</f>
        <v>PRE-AICE ENG LIT IG</v>
      </c>
      <c r="G13273" t="str">
        <f>"17-1705"</f>
        <v>17-1705</v>
      </c>
      <c r="H13273" t="str">
        <f>"A"</f>
        <v>A</v>
      </c>
    </row>
    <row r="13274" spans="1:8" x14ac:dyDescent="0.2">
      <c r="A13274" t="str">
        <f t="shared" si="4802"/>
        <v>0616090021</v>
      </c>
      <c r="B13274" t="str">
        <f t="shared" si="4803"/>
        <v>SERGIO</v>
      </c>
      <c r="C13274" t="str">
        <f t="shared" si="4804"/>
        <v>PEREZ MIRANDA</v>
      </c>
      <c r="D13274">
        <f>10</f>
        <v>10</v>
      </c>
      <c r="E13274" t="str">
        <f>"02 - A - 105 - Semra  Bahadir"</f>
        <v>02 - A - 105 - Semra  Bahadir</v>
      </c>
      <c r="F13274" t="str">
        <f>"ALGEBRA 2"</f>
        <v>ALGEBRA 2</v>
      </c>
      <c r="G13274" t="str">
        <f>"21-2107"</f>
        <v>21-2107</v>
      </c>
      <c r="H13274" t="str">
        <f>"A"</f>
        <v>A</v>
      </c>
    </row>
    <row r="13275" spans="1:8" x14ac:dyDescent="0.2">
      <c r="A13275" t="str">
        <f t="shared" si="4802"/>
        <v>0616090021</v>
      </c>
      <c r="B13275" t="str">
        <f t="shared" si="4803"/>
        <v>SERGIO</v>
      </c>
      <c r="C13275" t="str">
        <f t="shared" si="4804"/>
        <v>PEREZ MIRANDA</v>
      </c>
      <c r="D13275">
        <f>10</f>
        <v>10</v>
      </c>
      <c r="E13275" t="str">
        <f>"07 - S1 - B - 103 - Leslie J Barton"</f>
        <v>07 - S1 - B - 103 - Leslie J Barton</v>
      </c>
      <c r="F13275" t="str">
        <f>"TEAM SPORTS 1"</f>
        <v>TEAM SPORTS 1</v>
      </c>
      <c r="G13275" t="str">
        <f>"04-254"</f>
        <v>04-254</v>
      </c>
      <c r="H13275" t="str">
        <f>"B"</f>
        <v>B</v>
      </c>
    </row>
    <row r="13276" spans="1:8" x14ac:dyDescent="0.2">
      <c r="A13276" t="str">
        <f t="shared" si="4802"/>
        <v>0616090021</v>
      </c>
      <c r="B13276" t="str">
        <f t="shared" si="4803"/>
        <v>SERGIO</v>
      </c>
      <c r="C13276" t="str">
        <f t="shared" si="4804"/>
        <v>PEREZ MIRANDA</v>
      </c>
      <c r="D13276">
        <f>10</f>
        <v>10</v>
      </c>
      <c r="E13276" t="str">
        <f>"05 - S1 - B - 102 - Carol S Moore"</f>
        <v>05 - S1 - B - 102 - Carol S Moore</v>
      </c>
      <c r="F13276" t="str">
        <f>"PERS FIN &amp; MON MGT H"</f>
        <v>PERS FIN &amp; MON MGT H</v>
      </c>
      <c r="G13276" t="str">
        <f>"17-1733"</f>
        <v>17-1733</v>
      </c>
      <c r="H13276" t="str">
        <f>"B"</f>
        <v>B</v>
      </c>
    </row>
    <row r="13277" spans="1:8" x14ac:dyDescent="0.2">
      <c r="A13277" t="str">
        <f t="shared" si="4802"/>
        <v>0616090021</v>
      </c>
      <c r="B13277" t="str">
        <f t="shared" si="4803"/>
        <v>SERGIO</v>
      </c>
      <c r="C13277" t="str">
        <f t="shared" si="4804"/>
        <v>PEREZ MIRANDA</v>
      </c>
      <c r="D13277">
        <f>10</f>
        <v>10</v>
      </c>
      <c r="E13277" t="str">
        <f>"01 - A - 101 - Samantha L Martinez"</f>
        <v>01 - A - 101 - Samantha L Martinez</v>
      </c>
      <c r="F13277" t="str">
        <f>"MUSIC WORLD"</f>
        <v>MUSIC WORLD</v>
      </c>
      <c r="G13277" t="str">
        <f>"05-505"</f>
        <v>05-505</v>
      </c>
      <c r="H13277" t="str">
        <f>"A"</f>
        <v>A</v>
      </c>
    </row>
    <row r="13278" spans="1:8" x14ac:dyDescent="0.2">
      <c r="A13278" t="str">
        <f t="shared" si="4802"/>
        <v>0616090021</v>
      </c>
      <c r="B13278" t="str">
        <f t="shared" si="4803"/>
        <v>SERGIO</v>
      </c>
      <c r="C13278" t="str">
        <f t="shared" si="4804"/>
        <v>PEREZ MIRANDA</v>
      </c>
      <c r="D13278">
        <f>10</f>
        <v>10</v>
      </c>
      <c r="E13278" t="str">
        <f>"08 - B - 105 - Daniel S Tyson"</f>
        <v>08 - B - 105 - Daniel S Tyson</v>
      </c>
      <c r="F13278" t="str">
        <f>"JROTC NAVAL SCI 1"</f>
        <v>JROTC NAVAL SCI 1</v>
      </c>
      <c r="G13278" t="str">
        <f>"05-510"</f>
        <v>05-510</v>
      </c>
      <c r="H13278" t="str">
        <f>"B"</f>
        <v>B</v>
      </c>
    </row>
    <row r="13279" spans="1:8" x14ac:dyDescent="0.2">
      <c r="A13279" t="str">
        <f t="shared" ref="A13279:A13286" si="4805">"0622103894"</f>
        <v>0622103894</v>
      </c>
      <c r="B13279" t="str">
        <f t="shared" ref="B13279:B13286" si="4806">"EMILIANA"</f>
        <v>EMILIANA</v>
      </c>
      <c r="C13279" t="str">
        <f t="shared" ref="C13279:C13286" si="4807">"PEREZ-TOBON"</f>
        <v>PEREZ-TOBON</v>
      </c>
      <c r="D13279">
        <f>10</f>
        <v>10</v>
      </c>
      <c r="E13279" t="str">
        <f>"04 - A - 005 - Emmily A Sarmiento"</f>
        <v>04 - A - 005 - Emmily A Sarmiento</v>
      </c>
      <c r="F13279" t="str">
        <f>"AICE GLBL PERSP 1 AS"</f>
        <v>AICE GLBL PERSP 1 AS</v>
      </c>
      <c r="G13279" t="str">
        <f>"17-1743"</f>
        <v>17-1743</v>
      </c>
      <c r="H13279" t="str">
        <f>"A"</f>
        <v>A</v>
      </c>
    </row>
    <row r="13280" spans="1:8" x14ac:dyDescent="0.2">
      <c r="A13280" t="str">
        <f t="shared" si="4805"/>
        <v>0622103894</v>
      </c>
      <c r="B13280" t="str">
        <f t="shared" si="4806"/>
        <v>EMILIANA</v>
      </c>
      <c r="C13280" t="str">
        <f t="shared" si="4807"/>
        <v>PEREZ-TOBON</v>
      </c>
      <c r="D13280">
        <f>10</f>
        <v>10</v>
      </c>
      <c r="E13280" t="str">
        <f>"06 - B - 107 - Dorothy D Moore"</f>
        <v>06 - B - 107 - Dorothy D Moore</v>
      </c>
      <c r="F13280" t="str">
        <f>"NC STUDY HALL 1"</f>
        <v>NC STUDY HALL 1</v>
      </c>
      <c r="G13280" t="str">
        <f>"08-803"</f>
        <v>08-803</v>
      </c>
      <c r="H13280" t="str">
        <f>"B"</f>
        <v>B</v>
      </c>
    </row>
    <row r="13281" spans="1:8" x14ac:dyDescent="0.2">
      <c r="A13281" t="str">
        <f t="shared" si="4805"/>
        <v>0622103894</v>
      </c>
      <c r="B13281" t="str">
        <f t="shared" si="4806"/>
        <v>EMILIANA</v>
      </c>
      <c r="C13281" t="str">
        <f t="shared" si="4807"/>
        <v>PEREZ-TOBON</v>
      </c>
      <c r="D13281">
        <f>10</f>
        <v>10</v>
      </c>
      <c r="E13281" t="str">
        <f>"03 - A - 103 - Courtney E Hambright"</f>
        <v>03 - A - 103 - Courtney E Hambright</v>
      </c>
      <c r="F13281" t="str">
        <f>"AICE ENG LANG AS"</f>
        <v>AICE ENG LANG AS</v>
      </c>
      <c r="G13281" t="str">
        <f>"17-1711"</f>
        <v>17-1711</v>
      </c>
      <c r="H13281" t="str">
        <f>"A"</f>
        <v>A</v>
      </c>
    </row>
    <row r="13282" spans="1:8" x14ac:dyDescent="0.2">
      <c r="A13282" t="str">
        <f t="shared" si="4805"/>
        <v>0622103894</v>
      </c>
      <c r="B13282" t="str">
        <f t="shared" si="4806"/>
        <v>EMILIANA</v>
      </c>
      <c r="C13282" t="str">
        <f t="shared" si="4807"/>
        <v>PEREZ-TOBON</v>
      </c>
      <c r="D13282">
        <f>10</f>
        <v>10</v>
      </c>
      <c r="E13282" t="str">
        <f>"02 - A - 201 - Jordana K Hass"</f>
        <v>02 - A - 201 - Jordana K Hass</v>
      </c>
      <c r="F13282" t="str">
        <f>"CHEMISTRY 1"</f>
        <v>CHEMISTRY 1</v>
      </c>
      <c r="G13282" t="str">
        <f>"08-807"</f>
        <v>08-807</v>
      </c>
      <c r="H13282" t="str">
        <f>"A"</f>
        <v>A</v>
      </c>
    </row>
    <row r="13283" spans="1:8" x14ac:dyDescent="0.2">
      <c r="A13283" t="str">
        <f t="shared" si="4805"/>
        <v>0622103894</v>
      </c>
      <c r="B13283" t="str">
        <f t="shared" si="4806"/>
        <v>EMILIANA</v>
      </c>
      <c r="C13283" t="str">
        <f t="shared" si="4807"/>
        <v>PEREZ-TOBON</v>
      </c>
      <c r="D13283">
        <f>10</f>
        <v>10</v>
      </c>
      <c r="E13283" t="str">
        <f>"07 - B - 201 - Angela S Adeshina-Morrison"</f>
        <v>07 - B - 201 - Angela S Adeshina-Morrison</v>
      </c>
      <c r="F13283" t="str">
        <f>"BUSINESS OWNER HON"</f>
        <v>BUSINESS OWNER HON</v>
      </c>
      <c r="G13283" t="str">
        <f>"05-518"</f>
        <v>05-518</v>
      </c>
      <c r="H13283" t="str">
        <f>"B"</f>
        <v>B</v>
      </c>
    </row>
    <row r="13284" spans="1:8" x14ac:dyDescent="0.2">
      <c r="A13284" t="str">
        <f t="shared" si="4805"/>
        <v>0622103894</v>
      </c>
      <c r="B13284" t="str">
        <f t="shared" si="4806"/>
        <v>EMILIANA</v>
      </c>
      <c r="C13284" t="str">
        <f t="shared" si="4807"/>
        <v>PEREZ-TOBON</v>
      </c>
      <c r="D13284">
        <f>10</f>
        <v>10</v>
      </c>
      <c r="E13284" t="str">
        <f>"05 - B - 103 - Eva T Rimmer"</f>
        <v>05 - B - 103 - Eva T Rimmer</v>
      </c>
      <c r="F13284" t="str">
        <f>"CRIMINAL JUST OPS 1"</f>
        <v>CRIMINAL JUST OPS 1</v>
      </c>
      <c r="G13284" t="str">
        <f>"05-523"</f>
        <v>05-523</v>
      </c>
      <c r="H13284" t="str">
        <f>"B"</f>
        <v>B</v>
      </c>
    </row>
    <row r="13285" spans="1:8" x14ac:dyDescent="0.2">
      <c r="A13285" t="str">
        <f t="shared" si="4805"/>
        <v>0622103894</v>
      </c>
      <c r="B13285" t="str">
        <f t="shared" si="4806"/>
        <v>EMILIANA</v>
      </c>
      <c r="C13285" t="str">
        <f t="shared" si="4807"/>
        <v>PEREZ-TOBON</v>
      </c>
      <c r="D13285">
        <f>10</f>
        <v>10</v>
      </c>
      <c r="E13285" t="str">
        <f>"01 - A - 101 - Lourivaldo  Da Silva"</f>
        <v>01 - A - 101 - Lourivaldo  Da Silva</v>
      </c>
      <c r="F13285" t="str">
        <f>"ALGEBRA 2 HON"</f>
        <v>ALGEBRA 2 HON</v>
      </c>
      <c r="G13285" t="str">
        <f>"20-2079"</f>
        <v>20-2079</v>
      </c>
      <c r="H13285" t="str">
        <f>"A"</f>
        <v>A</v>
      </c>
    </row>
    <row r="13286" spans="1:8" x14ac:dyDescent="0.2">
      <c r="A13286" t="str">
        <f t="shared" si="4805"/>
        <v>0622103894</v>
      </c>
      <c r="B13286" t="str">
        <f t="shared" si="4806"/>
        <v>EMILIANA</v>
      </c>
      <c r="C13286" t="str">
        <f t="shared" si="4807"/>
        <v>PEREZ-TOBON</v>
      </c>
      <c r="D13286">
        <f>10</f>
        <v>10</v>
      </c>
      <c r="E13286" t="str">
        <f>"08 - B - 201 - Stacey A Blecker"</f>
        <v>08 - B - 201 - Stacey A Blecker</v>
      </c>
      <c r="F13286" t="str">
        <f>"AICE SOCIOLOGY 1 AS"</f>
        <v>AICE SOCIOLOGY 1 AS</v>
      </c>
      <c r="G13286" t="str">
        <f>"09-926"</f>
        <v>09-926</v>
      </c>
      <c r="H13286" t="str">
        <f>"B"</f>
        <v>B</v>
      </c>
    </row>
    <row r="13287" spans="1:8" x14ac:dyDescent="0.2">
      <c r="A13287" t="str">
        <f t="shared" ref="A13287:A13294" si="4808">"0625049527"</f>
        <v>0625049527</v>
      </c>
      <c r="B13287" t="str">
        <f t="shared" ref="B13287:B13294" si="4809">"ELLIE"</f>
        <v>ELLIE</v>
      </c>
      <c r="C13287" t="str">
        <f t="shared" ref="C13287:C13294" si="4810">"PERKINS"</f>
        <v>PERKINS</v>
      </c>
      <c r="D13287">
        <f>10</f>
        <v>10</v>
      </c>
      <c r="E13287" t="str">
        <f>"04 - A - 201 - Dorothy D Moore"</f>
        <v>04 - A - 201 - Dorothy D Moore</v>
      </c>
      <c r="F13287" t="str">
        <f>"HEALTH SCI 1/A&amp;P HON"</f>
        <v>HEALTH SCI 1/A&amp;P HON</v>
      </c>
      <c r="G13287" t="str">
        <f>"08-803"</f>
        <v>08-803</v>
      </c>
      <c r="H13287" t="str">
        <f>"A"</f>
        <v>A</v>
      </c>
    </row>
    <row r="13288" spans="1:8" x14ac:dyDescent="0.2">
      <c r="A13288" t="str">
        <f t="shared" si="4808"/>
        <v>0625049527</v>
      </c>
      <c r="B13288" t="str">
        <f t="shared" si="4809"/>
        <v>ELLIE</v>
      </c>
      <c r="C13288" t="str">
        <f t="shared" si="4810"/>
        <v>PERKINS</v>
      </c>
      <c r="D13288">
        <f>10</f>
        <v>10</v>
      </c>
      <c r="E13288" t="str">
        <f>"06 - B - 107 - Dorothy D Moore"</f>
        <v>06 - B - 107 - Dorothy D Moore</v>
      </c>
      <c r="F13288" t="str">
        <f>"NC STUDY HALL 1"</f>
        <v>NC STUDY HALL 1</v>
      </c>
      <c r="G13288" t="str">
        <f>"08-803"</f>
        <v>08-803</v>
      </c>
      <c r="H13288" t="str">
        <f>"B"</f>
        <v>B</v>
      </c>
    </row>
    <row r="13289" spans="1:8" x14ac:dyDescent="0.2">
      <c r="A13289" t="str">
        <f t="shared" si="4808"/>
        <v>0625049527</v>
      </c>
      <c r="B13289" t="str">
        <f t="shared" si="4809"/>
        <v>ELLIE</v>
      </c>
      <c r="C13289" t="str">
        <f t="shared" si="4810"/>
        <v>PERKINS</v>
      </c>
      <c r="D13289">
        <f>10</f>
        <v>10</v>
      </c>
      <c r="E13289" t="str">
        <f>"03 - S1 - A - 101 - Arthur  Kulawik"</f>
        <v>03 - S1 - A - 101 - Arthur  Kulawik</v>
      </c>
      <c r="F13289" t="str">
        <f>"PERS FIN &amp; MON MGT H"</f>
        <v>PERS FIN &amp; MON MGT H</v>
      </c>
      <c r="G13289" t="str">
        <f>"05-506"</f>
        <v>05-506</v>
      </c>
      <c r="H13289" t="str">
        <f>"A"</f>
        <v>A</v>
      </c>
    </row>
    <row r="13290" spans="1:8" x14ac:dyDescent="0.2">
      <c r="A13290" t="str">
        <f t="shared" si="4808"/>
        <v>0625049527</v>
      </c>
      <c r="B13290" t="str">
        <f t="shared" si="4809"/>
        <v>ELLIE</v>
      </c>
      <c r="C13290" t="str">
        <f t="shared" si="4810"/>
        <v>PERKINS</v>
      </c>
      <c r="D13290">
        <f>10</f>
        <v>10</v>
      </c>
      <c r="E13290" t="str">
        <f>"02 - A - 101 - Brian M Fitzgerald"</f>
        <v>02 - A - 101 - Brian M Fitzgerald</v>
      </c>
      <c r="F13290" t="str">
        <f>"DRAW 1"</f>
        <v>DRAW 1</v>
      </c>
      <c r="G13290" t="str">
        <f>"09-908"</f>
        <v>09-908</v>
      </c>
      <c r="H13290" t="str">
        <f>"A"</f>
        <v>A</v>
      </c>
    </row>
    <row r="13291" spans="1:8" x14ac:dyDescent="0.2">
      <c r="A13291" t="str">
        <f t="shared" si="4808"/>
        <v>0625049527</v>
      </c>
      <c r="B13291" t="str">
        <f t="shared" si="4809"/>
        <v>ELLIE</v>
      </c>
      <c r="C13291" t="str">
        <f t="shared" si="4810"/>
        <v>PERKINS</v>
      </c>
      <c r="D13291">
        <f>10</f>
        <v>10</v>
      </c>
      <c r="E13291" t="str">
        <f>"07 - B - 107 - Milca  Exantus"</f>
        <v>07 - B - 107 - Milca  Exantus</v>
      </c>
      <c r="F13291" t="str">
        <f>"MATH COLLEGE LIB ART"</f>
        <v>MATH COLLEGE LIB ART</v>
      </c>
      <c r="G13291" t="str">
        <f>"21-2145"</f>
        <v>21-2145</v>
      </c>
      <c r="H13291" t="str">
        <f>"B"</f>
        <v>B</v>
      </c>
    </row>
    <row r="13292" spans="1:8" x14ac:dyDescent="0.2">
      <c r="A13292" t="str">
        <f t="shared" si="4808"/>
        <v>0625049527</v>
      </c>
      <c r="B13292" t="str">
        <f t="shared" si="4809"/>
        <v>ELLIE</v>
      </c>
      <c r="C13292" t="str">
        <f t="shared" si="4810"/>
        <v>PERKINS</v>
      </c>
      <c r="D13292">
        <f>10</f>
        <v>10</v>
      </c>
      <c r="E13292" t="str">
        <f>"05 - B - 201 - Jazmin S Fletcher"</f>
        <v>05 - B - 201 - Jazmin S Fletcher</v>
      </c>
      <c r="F13292" t="str">
        <f>"THEATRE 1"</f>
        <v>THEATRE 1</v>
      </c>
      <c r="G13292" t="str">
        <f>"09-909"</f>
        <v>09-909</v>
      </c>
      <c r="H13292" t="str">
        <f>"B"</f>
        <v>B</v>
      </c>
    </row>
    <row r="13293" spans="1:8" x14ac:dyDescent="0.2">
      <c r="A13293" t="str">
        <f t="shared" si="4808"/>
        <v>0625049527</v>
      </c>
      <c r="B13293" t="str">
        <f t="shared" si="4809"/>
        <v>ELLIE</v>
      </c>
      <c r="C13293" t="str">
        <f t="shared" si="4810"/>
        <v>PERKINS</v>
      </c>
      <c r="D13293">
        <f>10</f>
        <v>10</v>
      </c>
      <c r="E13293" t="str">
        <f>"01 - A - 102 - Lytrell T Dixon"</f>
        <v>01 - A - 102 - Lytrell T Dixon</v>
      </c>
      <c r="F13293" t="str">
        <f>"BIOLOGY 1"</f>
        <v>BIOLOGY 1</v>
      </c>
      <c r="G13293" t="str">
        <f>"08-808"</f>
        <v>08-808</v>
      </c>
      <c r="H13293" t="str">
        <f>"A"</f>
        <v>A</v>
      </c>
    </row>
    <row r="13294" spans="1:8" x14ac:dyDescent="0.2">
      <c r="A13294" t="str">
        <f t="shared" si="4808"/>
        <v>0625049527</v>
      </c>
      <c r="B13294" t="str">
        <f t="shared" si="4809"/>
        <v>ELLIE</v>
      </c>
      <c r="C13294" t="str">
        <f t="shared" si="4810"/>
        <v>PERKINS</v>
      </c>
      <c r="D13294">
        <f>10</f>
        <v>10</v>
      </c>
      <c r="E13294" t="str">
        <f>"08 - B - 109 - Nikiel  Nesbeth"</f>
        <v>08 - B - 109 - Nikiel  Nesbeth</v>
      </c>
      <c r="F13294" t="str">
        <f>"ENG 2"</f>
        <v>ENG 2</v>
      </c>
      <c r="G13294" t="str">
        <f>"17-1705"</f>
        <v>17-1705</v>
      </c>
      <c r="H13294" t="str">
        <f>"B"</f>
        <v>B</v>
      </c>
    </row>
    <row r="13295" spans="1:8" x14ac:dyDescent="0.2">
      <c r="A13295" t="str">
        <f t="shared" ref="A13295:A13302" si="4811">"0616017853"</f>
        <v>0616017853</v>
      </c>
      <c r="B13295" t="str">
        <f t="shared" ref="B13295:B13302" si="4812">"VERONICA"</f>
        <v>VERONICA</v>
      </c>
      <c r="C13295" t="str">
        <f t="shared" ref="C13295:C13302" si="4813">"PERMINOV"</f>
        <v>PERMINOV</v>
      </c>
      <c r="D13295">
        <f>10</f>
        <v>10</v>
      </c>
      <c r="E13295" t="str">
        <f>"04 - A - 102 - Daniel S Katz"</f>
        <v>04 - A - 102 - Daniel S Katz</v>
      </c>
      <c r="F13295" t="str">
        <f>"AICE DRAMA 1 AS LEV"</f>
        <v>AICE DRAMA 1 AS LEV</v>
      </c>
      <c r="G13295" t="str">
        <f>"05-521"</f>
        <v>05-521</v>
      </c>
      <c r="H13295" t="str">
        <f>"A"</f>
        <v>A</v>
      </c>
    </row>
    <row r="13296" spans="1:8" x14ac:dyDescent="0.2">
      <c r="A13296" t="str">
        <f t="shared" si="4811"/>
        <v>0616017853</v>
      </c>
      <c r="B13296" t="str">
        <f t="shared" si="4812"/>
        <v>VERONICA</v>
      </c>
      <c r="C13296" t="str">
        <f t="shared" si="4813"/>
        <v>PERMINOV</v>
      </c>
      <c r="D13296">
        <f>10</f>
        <v>10</v>
      </c>
      <c r="E13296" t="str">
        <f>"06 - B - 112 - Tina M Jaramillo"</f>
        <v>06 - B - 112 - Tina M Jaramillo</v>
      </c>
      <c r="F13296" t="str">
        <f>"NC STUDY HALL 1"</f>
        <v>NC STUDY HALL 1</v>
      </c>
      <c r="G13296" t="str">
        <f>"17-1706"</f>
        <v>17-1706</v>
      </c>
      <c r="H13296" t="str">
        <f>"B"</f>
        <v>B</v>
      </c>
    </row>
    <row r="13297" spans="1:8" x14ac:dyDescent="0.2">
      <c r="A13297" t="str">
        <f t="shared" si="4811"/>
        <v>0616017853</v>
      </c>
      <c r="B13297" t="str">
        <f t="shared" si="4812"/>
        <v>VERONICA</v>
      </c>
      <c r="C13297" t="str">
        <f t="shared" si="4813"/>
        <v>PERMINOV</v>
      </c>
      <c r="D13297">
        <f>10</f>
        <v>10</v>
      </c>
      <c r="E13297" t="str">
        <f>"03 - A - 104 - Brook E Goren"</f>
        <v>03 - A - 104 - Brook E Goren</v>
      </c>
      <c r="F13297" t="str">
        <f>"ALGEBRA 2 HON"</f>
        <v>ALGEBRA 2 HON</v>
      </c>
      <c r="G13297" t="str">
        <f>"21-2158"</f>
        <v>21-2158</v>
      </c>
      <c r="H13297" t="str">
        <f>"A"</f>
        <v>A</v>
      </c>
    </row>
    <row r="13298" spans="1:8" x14ac:dyDescent="0.2">
      <c r="A13298" t="str">
        <f t="shared" si="4811"/>
        <v>0616017853</v>
      </c>
      <c r="B13298" t="str">
        <f t="shared" si="4812"/>
        <v>VERONICA</v>
      </c>
      <c r="C13298" t="str">
        <f t="shared" si="4813"/>
        <v>PERMINOV</v>
      </c>
      <c r="D13298">
        <f>10</f>
        <v>10</v>
      </c>
      <c r="E13298" t="str">
        <f>"02 - A - 103 - Lenecy  Nodarse"</f>
        <v>02 - A - 103 - Lenecy  Nodarse</v>
      </c>
      <c r="F13298" t="str">
        <f>"AICE EURO HIST 1 AS"</f>
        <v>AICE EURO HIST 1 AS</v>
      </c>
      <c r="G13298" t="str">
        <f>"17-1741"</f>
        <v>17-1741</v>
      </c>
      <c r="H13298" t="str">
        <f>"A"</f>
        <v>A</v>
      </c>
    </row>
    <row r="13299" spans="1:8" x14ac:dyDescent="0.2">
      <c r="A13299" t="str">
        <f t="shared" si="4811"/>
        <v>0616017853</v>
      </c>
      <c r="B13299" t="str">
        <f t="shared" si="4812"/>
        <v>VERONICA</v>
      </c>
      <c r="C13299" t="str">
        <f t="shared" si="4813"/>
        <v>PERMINOV</v>
      </c>
      <c r="D13299">
        <f>10</f>
        <v>10</v>
      </c>
      <c r="E13299" t="str">
        <f>"07 - B - 002 - Jordana K Hass"</f>
        <v>07 - B - 002 - Jordana K Hass</v>
      </c>
      <c r="F13299" t="str">
        <f>"CHEMISTRY 1 HON"</f>
        <v>CHEMISTRY 1 HON</v>
      </c>
      <c r="G13299" t="str">
        <f>"08-807"</f>
        <v>08-807</v>
      </c>
      <c r="H13299" t="str">
        <f>"B"</f>
        <v>B</v>
      </c>
    </row>
    <row r="13300" spans="1:8" x14ac:dyDescent="0.2">
      <c r="A13300" t="str">
        <f t="shared" si="4811"/>
        <v>0616017853</v>
      </c>
      <c r="B13300" t="str">
        <f t="shared" si="4812"/>
        <v>VERONICA</v>
      </c>
      <c r="C13300" t="str">
        <f t="shared" si="4813"/>
        <v>PERMINOV</v>
      </c>
      <c r="D13300">
        <f>10</f>
        <v>10</v>
      </c>
      <c r="E13300" t="str">
        <f>"05 - B - 001 - Stefanie S Scher"</f>
        <v>05 - B - 001 - Stefanie S Scher</v>
      </c>
      <c r="F13300" t="str">
        <f>"AICE PSYCH 1 AS"</f>
        <v>AICE PSYCH 1 AS</v>
      </c>
      <c r="G13300" t="str">
        <f>"17-1735"</f>
        <v>17-1735</v>
      </c>
      <c r="H13300" t="str">
        <f>"B"</f>
        <v>B</v>
      </c>
    </row>
    <row r="13301" spans="1:8" x14ac:dyDescent="0.2">
      <c r="A13301" t="str">
        <f t="shared" si="4811"/>
        <v>0616017853</v>
      </c>
      <c r="B13301" t="str">
        <f t="shared" si="4812"/>
        <v>VERONICA</v>
      </c>
      <c r="C13301" t="str">
        <f t="shared" si="4813"/>
        <v>PERMINOV</v>
      </c>
      <c r="D13301">
        <f>10</f>
        <v>10</v>
      </c>
      <c r="E13301" t="str">
        <f>"01 - A - 201 - Chrystina M Marchionne"</f>
        <v>01 - A - 201 - Chrystina M Marchionne</v>
      </c>
      <c r="F13301" t="str">
        <f>"AICE MEDIASTUDIES AS"</f>
        <v>AICE MEDIASTUDIES AS</v>
      </c>
      <c r="G13301" t="str">
        <f>"05-520"</f>
        <v>05-520</v>
      </c>
      <c r="H13301" t="str">
        <f>"A"</f>
        <v>A</v>
      </c>
    </row>
    <row r="13302" spans="1:8" x14ac:dyDescent="0.2">
      <c r="A13302" t="str">
        <f t="shared" si="4811"/>
        <v>0616017853</v>
      </c>
      <c r="B13302" t="str">
        <f t="shared" si="4812"/>
        <v>VERONICA</v>
      </c>
      <c r="C13302" t="str">
        <f t="shared" si="4813"/>
        <v>PERMINOV</v>
      </c>
      <c r="D13302">
        <f>10</f>
        <v>10</v>
      </c>
      <c r="E13302" t="str">
        <f>"08 - B - 001 - Jacklyn M James"</f>
        <v>08 - B - 001 - Jacklyn M James</v>
      </c>
      <c r="F13302" t="str">
        <f>"AICE ENG LANG AS"</f>
        <v>AICE ENG LANG AS</v>
      </c>
      <c r="G13302" t="str">
        <f>"17-1731"</f>
        <v>17-1731</v>
      </c>
      <c r="H13302" t="str">
        <f>"B"</f>
        <v>B</v>
      </c>
    </row>
    <row r="13303" spans="1:8" x14ac:dyDescent="0.2">
      <c r="A13303" t="str">
        <f t="shared" ref="A13303:A13310" si="4814">"0615131031"</f>
        <v>0615131031</v>
      </c>
      <c r="B13303" t="str">
        <f t="shared" ref="B13303:B13310" si="4815">"ALEXANDRA"</f>
        <v>ALEXANDRA</v>
      </c>
      <c r="C13303" t="str">
        <f t="shared" ref="C13303:C13310" si="4816">"PERNES"</f>
        <v>PERNES</v>
      </c>
      <c r="D13303">
        <f>10</f>
        <v>10</v>
      </c>
      <c r="E13303" t="str">
        <f>"04 - A - 104 - Courtney E Hambright"</f>
        <v>04 - A - 104 - Courtney E Hambright</v>
      </c>
      <c r="F13303" t="str">
        <f>"AICE ENG LANG AS"</f>
        <v>AICE ENG LANG AS</v>
      </c>
      <c r="G13303" t="str">
        <f>"17-1711"</f>
        <v>17-1711</v>
      </c>
      <c r="H13303" t="str">
        <f>"A"</f>
        <v>A</v>
      </c>
    </row>
    <row r="13304" spans="1:8" x14ac:dyDescent="0.2">
      <c r="A13304" t="str">
        <f t="shared" si="4814"/>
        <v>0615131031</v>
      </c>
      <c r="B13304" t="str">
        <f t="shared" si="4815"/>
        <v>ALEXANDRA</v>
      </c>
      <c r="C13304" t="str">
        <f t="shared" si="4816"/>
        <v>PERNES</v>
      </c>
      <c r="D13304">
        <f>10</f>
        <v>10</v>
      </c>
      <c r="E13304" t="str">
        <f>"06 - B - 108 - Jacklyn M James"</f>
        <v>06 - B - 108 - Jacklyn M James</v>
      </c>
      <c r="F13304" t="str">
        <f>"NC STUDY HALL 1"</f>
        <v>NC STUDY HALL 1</v>
      </c>
      <c r="G13304" t="str">
        <f>"17-1731"</f>
        <v>17-1731</v>
      </c>
      <c r="H13304" t="str">
        <f>"B"</f>
        <v>B</v>
      </c>
    </row>
    <row r="13305" spans="1:8" x14ac:dyDescent="0.2">
      <c r="A13305" t="str">
        <f t="shared" si="4814"/>
        <v>0615131031</v>
      </c>
      <c r="B13305" t="str">
        <f t="shared" si="4815"/>
        <v>ALEXANDRA</v>
      </c>
      <c r="C13305" t="str">
        <f t="shared" si="4816"/>
        <v>PERNES</v>
      </c>
      <c r="D13305">
        <f>10</f>
        <v>10</v>
      </c>
      <c r="E13305" t="str">
        <f>"03 - A - 106 - Krystal Marie  Beruty"</f>
        <v>03 - A - 106 - Krystal Marie  Beruty</v>
      </c>
      <c r="F13305" t="str">
        <f>"AICE PSYCH 1 AS"</f>
        <v>AICE PSYCH 1 AS</v>
      </c>
      <c r="G13305" t="str">
        <f>"17-1721"</f>
        <v>17-1721</v>
      </c>
      <c r="H13305" t="str">
        <f>"A"</f>
        <v>A</v>
      </c>
    </row>
    <row r="13306" spans="1:8" x14ac:dyDescent="0.2">
      <c r="A13306" t="str">
        <f t="shared" si="4814"/>
        <v>0615131031</v>
      </c>
      <c r="B13306" t="str">
        <f t="shared" si="4815"/>
        <v>ALEXANDRA</v>
      </c>
      <c r="C13306" t="str">
        <f t="shared" si="4816"/>
        <v>PERNES</v>
      </c>
      <c r="D13306">
        <f>10</f>
        <v>10</v>
      </c>
      <c r="E13306" t="str">
        <f>"02 - A - 104 - Scott A Dethloff"</f>
        <v>02 - A - 104 - Scott A Dethloff</v>
      </c>
      <c r="F13306" t="str">
        <f>"CHEMISTRY 1 HON"</f>
        <v>CHEMISTRY 1 HON</v>
      </c>
      <c r="G13306" t="str">
        <f>"08-812"</f>
        <v>08-812</v>
      </c>
      <c r="H13306" t="str">
        <f>"A"</f>
        <v>A</v>
      </c>
    </row>
    <row r="13307" spans="1:8" x14ac:dyDescent="0.2">
      <c r="A13307" t="str">
        <f t="shared" si="4814"/>
        <v>0615131031</v>
      </c>
      <c r="B13307" t="str">
        <f t="shared" si="4815"/>
        <v>ALEXANDRA</v>
      </c>
      <c r="C13307" t="str">
        <f t="shared" si="4816"/>
        <v>PERNES</v>
      </c>
      <c r="D13307">
        <f>10</f>
        <v>10</v>
      </c>
      <c r="E13307" t="str">
        <f>"07 - B - 102 - Carleigh R Carmichael"</f>
        <v>07 - B - 102 - Carleigh R Carmichael</v>
      </c>
      <c r="F13307" t="str">
        <f>"LEAD SKLS DEV LH"</f>
        <v>LEAD SKLS DEV LH</v>
      </c>
      <c r="G13307" t="str">
        <f>"20-2072"</f>
        <v>20-2072</v>
      </c>
      <c r="H13307" t="str">
        <f>"B"</f>
        <v>B</v>
      </c>
    </row>
    <row r="13308" spans="1:8" x14ac:dyDescent="0.2">
      <c r="A13308" t="str">
        <f t="shared" si="4814"/>
        <v>0615131031</v>
      </c>
      <c r="B13308" t="str">
        <f t="shared" si="4815"/>
        <v>ALEXANDRA</v>
      </c>
      <c r="C13308" t="str">
        <f t="shared" si="4816"/>
        <v>PERNES</v>
      </c>
      <c r="D13308">
        <f>10</f>
        <v>10</v>
      </c>
      <c r="E13308" t="str">
        <f>"05 - B - 205 - Rosa Elaine  Collado-Duff"</f>
        <v>05 - B - 205 - Rosa Elaine  Collado-Duff</v>
      </c>
      <c r="F13308" t="str">
        <f>"PRE-AICE SPAN 2 IG"</f>
        <v>PRE-AICE SPAN 2 IG</v>
      </c>
      <c r="G13308" t="str">
        <f>"09-913"</f>
        <v>09-913</v>
      </c>
      <c r="H13308" t="str">
        <f>"B"</f>
        <v>B</v>
      </c>
    </row>
    <row r="13309" spans="1:8" x14ac:dyDescent="0.2">
      <c r="A13309" t="str">
        <f t="shared" si="4814"/>
        <v>0615131031</v>
      </c>
      <c r="B13309" t="str">
        <f t="shared" si="4815"/>
        <v>ALEXANDRA</v>
      </c>
      <c r="C13309" t="str">
        <f t="shared" si="4816"/>
        <v>PERNES</v>
      </c>
      <c r="D13309">
        <f>10</f>
        <v>10</v>
      </c>
      <c r="E13309" t="str">
        <f>"01 - A - 102 - Brook E Goren"</f>
        <v>01 - A - 102 - Brook E Goren</v>
      </c>
      <c r="F13309" t="str">
        <f>"PRE-AICE MATH 2 IG"</f>
        <v>PRE-AICE MATH 2 IG</v>
      </c>
      <c r="G13309" t="str">
        <f>"21-2158"</f>
        <v>21-2158</v>
      </c>
      <c r="H13309" t="str">
        <f>"A"</f>
        <v>A</v>
      </c>
    </row>
    <row r="13310" spans="1:8" x14ac:dyDescent="0.2">
      <c r="A13310" t="str">
        <f t="shared" si="4814"/>
        <v>0615131031</v>
      </c>
      <c r="B13310" t="str">
        <f t="shared" si="4815"/>
        <v>ALEXANDRA</v>
      </c>
      <c r="C13310" t="str">
        <f t="shared" si="4816"/>
        <v>PERNES</v>
      </c>
      <c r="D13310">
        <f>10</f>
        <v>10</v>
      </c>
      <c r="E13310" t="str">
        <f>"08 - B - 201 - Lenecy  Nodarse"</f>
        <v>08 - B - 201 - Lenecy  Nodarse</v>
      </c>
      <c r="F13310" t="str">
        <f>"AICE EURO HIST 1 AS"</f>
        <v>AICE EURO HIST 1 AS</v>
      </c>
      <c r="G13310" t="str">
        <f>"17-1741"</f>
        <v>17-1741</v>
      </c>
      <c r="H13310" t="str">
        <f>"B"</f>
        <v>B</v>
      </c>
    </row>
    <row r="13311" spans="1:8" x14ac:dyDescent="0.2">
      <c r="A13311" t="str">
        <f t="shared" ref="A13311:A13318" si="4817">"0622005800"</f>
        <v>0622005800</v>
      </c>
      <c r="B13311" t="str">
        <f t="shared" ref="B13311:B13318" si="4818">"CRISTIAN"</f>
        <v>CRISTIAN</v>
      </c>
      <c r="C13311" t="str">
        <f t="shared" ref="C13311:C13318" si="4819">"PERNIA URBAEZ"</f>
        <v>PERNIA URBAEZ</v>
      </c>
      <c r="D13311">
        <f>12</f>
        <v>12</v>
      </c>
      <c r="E13311" t="str">
        <f>"04 - A - 104 - Robert H Rindner"</f>
        <v>04 - A - 104 - Robert H Rindner</v>
      </c>
      <c r="F13311" t="str">
        <f>"MATH DATA&amp;FIN LIT H"</f>
        <v>MATH DATA&amp;FIN LIT H</v>
      </c>
      <c r="G13311" t="str">
        <f>"21-2160"</f>
        <v>21-2160</v>
      </c>
      <c r="H13311" t="str">
        <f>"A"</f>
        <v>A</v>
      </c>
    </row>
    <row r="13312" spans="1:8" x14ac:dyDescent="0.2">
      <c r="A13312" t="str">
        <f t="shared" si="4817"/>
        <v>0622005800</v>
      </c>
      <c r="B13312" t="str">
        <f t="shared" si="4818"/>
        <v>CRISTIAN</v>
      </c>
      <c r="C13312" t="str">
        <f t="shared" si="4819"/>
        <v>PERNIA URBAEZ</v>
      </c>
      <c r="D13312">
        <f>12</f>
        <v>12</v>
      </c>
      <c r="E13312" t="str">
        <f>"06 - B - 102 - Andrea A Amison"</f>
        <v>06 - B - 102 - Andrea A Amison</v>
      </c>
      <c r="F13312" t="str">
        <f>"NC STUDY HALL 1"</f>
        <v>NC STUDY HALL 1</v>
      </c>
      <c r="G13312" t="str">
        <f>"09-922C"</f>
        <v>09-922C</v>
      </c>
      <c r="H13312" t="str">
        <f>"B"</f>
        <v>B</v>
      </c>
    </row>
    <row r="13313" spans="1:8" x14ac:dyDescent="0.2">
      <c r="A13313" t="str">
        <f t="shared" si="4817"/>
        <v>0622005800</v>
      </c>
      <c r="B13313" t="str">
        <f t="shared" si="4818"/>
        <v>CRISTIAN</v>
      </c>
      <c r="C13313" t="str">
        <f t="shared" si="4819"/>
        <v>PERNIA URBAEZ</v>
      </c>
      <c r="D13313">
        <f>12</f>
        <v>12</v>
      </c>
      <c r="E13313" t="str">
        <f>"03 - A - 201 - Emmily A Sarmiento"</f>
        <v>03 - A - 201 - Emmily A Sarmiento</v>
      </c>
      <c r="F13313" t="str">
        <f>"LEAD SKLS DEV LH"</f>
        <v>LEAD SKLS DEV LH</v>
      </c>
      <c r="G13313" t="str">
        <f>"17-1743"</f>
        <v>17-1743</v>
      </c>
      <c r="H13313" t="str">
        <f>"A"</f>
        <v>A</v>
      </c>
    </row>
    <row r="13314" spans="1:8" x14ac:dyDescent="0.2">
      <c r="A13314" t="str">
        <f t="shared" si="4817"/>
        <v>0622005800</v>
      </c>
      <c r="B13314" t="str">
        <f t="shared" si="4818"/>
        <v>CRISTIAN</v>
      </c>
      <c r="C13314" t="str">
        <f t="shared" si="4819"/>
        <v>PERNIA URBAEZ</v>
      </c>
      <c r="D13314">
        <f>12</f>
        <v>12</v>
      </c>
      <c r="E13314" t="str">
        <f>"02 - S1 - A - 104 - Robert O Burger"</f>
        <v>02 - S1 - A - 104 - Robert O Burger</v>
      </c>
      <c r="F13314" t="str">
        <f>"US GOVT"</f>
        <v>US GOVT</v>
      </c>
      <c r="G13314" t="str">
        <f>"17-1755"</f>
        <v>17-1755</v>
      </c>
      <c r="H13314" t="str">
        <f>"A"</f>
        <v>A</v>
      </c>
    </row>
    <row r="13315" spans="1:8" x14ac:dyDescent="0.2">
      <c r="A13315" t="str">
        <f t="shared" si="4817"/>
        <v>0622005800</v>
      </c>
      <c r="B13315" t="str">
        <f t="shared" si="4818"/>
        <v>CRISTIAN</v>
      </c>
      <c r="C13315" t="str">
        <f t="shared" si="4819"/>
        <v>PERNIA URBAEZ</v>
      </c>
      <c r="D13315">
        <f>12</f>
        <v>12</v>
      </c>
      <c r="E13315" t="str">
        <f>"07 - B - 104 - Robyn L Trainer"</f>
        <v>07 - B - 104 - Robyn L Trainer</v>
      </c>
      <c r="F13315" t="str">
        <f>"ENG 4"</f>
        <v>ENG 4</v>
      </c>
      <c r="G13315" t="str">
        <f>"17-1734"</f>
        <v>17-1734</v>
      </c>
      <c r="H13315" t="str">
        <f>"B"</f>
        <v>B</v>
      </c>
    </row>
    <row r="13316" spans="1:8" x14ac:dyDescent="0.2">
      <c r="A13316" t="str">
        <f t="shared" si="4817"/>
        <v>0622005800</v>
      </c>
      <c r="B13316" t="str">
        <f t="shared" si="4818"/>
        <v>CRISTIAN</v>
      </c>
      <c r="C13316" t="str">
        <f t="shared" si="4819"/>
        <v>PERNIA URBAEZ</v>
      </c>
      <c r="D13316">
        <f>12</f>
        <v>12</v>
      </c>
      <c r="E13316" t="str">
        <f>"05 - B - 101 - Alejandro  Navarro"</f>
        <v>05 - B - 101 - Alejandro  Navarro</v>
      </c>
      <c r="F13316" t="str">
        <f>"GUITAR 3"</f>
        <v>GUITAR 3</v>
      </c>
      <c r="G13316" t="str">
        <f>"05-504"</f>
        <v>05-504</v>
      </c>
      <c r="H13316" t="str">
        <f>"B"</f>
        <v>B</v>
      </c>
    </row>
    <row r="13317" spans="1:8" x14ac:dyDescent="0.2">
      <c r="A13317" t="str">
        <f t="shared" si="4817"/>
        <v>0622005800</v>
      </c>
      <c r="B13317" t="str">
        <f t="shared" si="4818"/>
        <v>CRISTIAN</v>
      </c>
      <c r="C13317" t="str">
        <f t="shared" si="4819"/>
        <v>PERNIA URBAEZ</v>
      </c>
      <c r="D13317">
        <f>12</f>
        <v>12</v>
      </c>
      <c r="E13317" t="str">
        <f>"01 - A - 201 - Jeanne M Bermudez"</f>
        <v>01 - A - 201 - Jeanne M Bermudez</v>
      </c>
      <c r="F13317" t="str">
        <f>"PHYSICS 1 HON"</f>
        <v>PHYSICS 1 HON</v>
      </c>
      <c r="G13317" t="str">
        <f>"21-2141"</f>
        <v>21-2141</v>
      </c>
      <c r="H13317" t="str">
        <f>"A"</f>
        <v>A</v>
      </c>
    </row>
    <row r="13318" spans="1:8" x14ac:dyDescent="0.2">
      <c r="A13318" t="str">
        <f t="shared" si="4817"/>
        <v>0622005800</v>
      </c>
      <c r="B13318" t="str">
        <f t="shared" si="4818"/>
        <v>CRISTIAN</v>
      </c>
      <c r="C13318" t="str">
        <f t="shared" si="4819"/>
        <v>PERNIA URBAEZ</v>
      </c>
      <c r="D13318">
        <f>12</f>
        <v>12</v>
      </c>
      <c r="E13318" t="str">
        <f>"08 - B - 103 - Jeanne M Bermudez"</f>
        <v>08 - B - 103 - Jeanne M Bermudez</v>
      </c>
      <c r="F13318" t="str">
        <f>"ADVANCED IT HON"</f>
        <v>ADVANCED IT HON</v>
      </c>
      <c r="G13318" t="str">
        <f>"21-2141"</f>
        <v>21-2141</v>
      </c>
      <c r="H13318" t="str">
        <f>"B"</f>
        <v>B</v>
      </c>
    </row>
    <row r="13319" spans="1:8" x14ac:dyDescent="0.2">
      <c r="A13319" t="str">
        <f t="shared" ref="A13319:A13326" si="4820">"0625022850"</f>
        <v>0625022850</v>
      </c>
      <c r="B13319" t="str">
        <f t="shared" ref="B13319:B13326" si="4821">"Tyquan"</f>
        <v>Tyquan</v>
      </c>
      <c r="C13319" t="str">
        <f t="shared" ref="C13319:C13326" si="4822">"Perodin"</f>
        <v>Perodin</v>
      </c>
      <c r="D13319">
        <f>11</f>
        <v>11</v>
      </c>
      <c r="E13319" t="str">
        <f>"04 - S1 - A - 101 - Nahum  Saint-Preux"</f>
        <v>04 - S1 - A - 101 - Nahum  Saint-Preux</v>
      </c>
      <c r="F13319" t="str">
        <f>"CRIT THINK ST SKLS"</f>
        <v>CRIT THINK ST SKLS</v>
      </c>
      <c r="G13319" t="str">
        <f>"17-1712"</f>
        <v>17-1712</v>
      </c>
      <c r="H13319" t="str">
        <f>"A"</f>
        <v>A</v>
      </c>
    </row>
    <row r="13320" spans="1:8" x14ac:dyDescent="0.2">
      <c r="A13320" t="str">
        <f t="shared" si="4820"/>
        <v>0625022850</v>
      </c>
      <c r="B13320" t="str">
        <f t="shared" si="4821"/>
        <v>Tyquan</v>
      </c>
      <c r="C13320" t="str">
        <f t="shared" si="4822"/>
        <v>Perodin</v>
      </c>
      <c r="D13320">
        <f>11</f>
        <v>11</v>
      </c>
      <c r="E13320" t="str">
        <f>"06 - B - 001 - Samantha J Headley"</f>
        <v>06 - B - 001 - Samantha J Headley</v>
      </c>
      <c r="F13320" t="str">
        <f>"MARINE SCI 1 HON"</f>
        <v>MARINE SCI 1 HON</v>
      </c>
      <c r="G13320" t="str">
        <f>"21-2134"</f>
        <v>21-2134</v>
      </c>
      <c r="H13320" t="str">
        <f>"B"</f>
        <v>B</v>
      </c>
    </row>
    <row r="13321" spans="1:8" x14ac:dyDescent="0.2">
      <c r="A13321" t="str">
        <f t="shared" si="4820"/>
        <v>0625022850</v>
      </c>
      <c r="B13321" t="str">
        <f t="shared" si="4821"/>
        <v>Tyquan</v>
      </c>
      <c r="C13321" t="str">
        <f t="shared" si="4822"/>
        <v>Perodin</v>
      </c>
      <c r="D13321">
        <f>11</f>
        <v>11</v>
      </c>
      <c r="E13321" t="str">
        <f>"03 - A - 102 - Nahum  Saint-Preux"</f>
        <v>03 - A - 102 - Nahum  Saint-Preux</v>
      </c>
      <c r="F13321" t="str">
        <f>"INTENS READ 3"</f>
        <v>INTENS READ 3</v>
      </c>
      <c r="G13321" t="str">
        <f>"17-1712"</f>
        <v>17-1712</v>
      </c>
      <c r="H13321" t="str">
        <f>"A"</f>
        <v>A</v>
      </c>
    </row>
    <row r="13322" spans="1:8" x14ac:dyDescent="0.2">
      <c r="A13322" t="str">
        <f t="shared" si="4820"/>
        <v>0625022850</v>
      </c>
      <c r="B13322" t="str">
        <f t="shared" si="4821"/>
        <v>Tyquan</v>
      </c>
      <c r="C13322" t="str">
        <f t="shared" si="4822"/>
        <v>Perodin</v>
      </c>
      <c r="D13322">
        <f>11</f>
        <v>11</v>
      </c>
      <c r="E13322" t="str">
        <f>"02 - A - 001 - Courtney E Hambright"</f>
        <v>02 - A - 001 - Courtney E Hambright</v>
      </c>
      <c r="F13322" t="str">
        <f>"NC STUDY HALL 1"</f>
        <v>NC STUDY HALL 1</v>
      </c>
      <c r="G13322" t="str">
        <f>"17-1711"</f>
        <v>17-1711</v>
      </c>
      <c r="H13322" t="str">
        <f>"A"</f>
        <v>A</v>
      </c>
    </row>
    <row r="13323" spans="1:8" x14ac:dyDescent="0.2">
      <c r="A13323" t="str">
        <f t="shared" si="4820"/>
        <v>0625022850</v>
      </c>
      <c r="B13323" t="str">
        <f t="shared" si="4821"/>
        <v>Tyquan</v>
      </c>
      <c r="C13323" t="str">
        <f t="shared" si="4822"/>
        <v>Perodin</v>
      </c>
      <c r="D13323">
        <f>11</f>
        <v>11</v>
      </c>
      <c r="E13323" t="str">
        <f>"07 - B - 108 - Lauren N Logan"</f>
        <v>07 - B - 108 - Lauren N Logan</v>
      </c>
      <c r="F13323" t="str">
        <f>"US HISTORY"</f>
        <v>US HISTORY</v>
      </c>
      <c r="G13323" t="str">
        <f>"17-1745"</f>
        <v>17-1745</v>
      </c>
      <c r="H13323" t="str">
        <f>"B"</f>
        <v>B</v>
      </c>
    </row>
    <row r="13324" spans="1:8" x14ac:dyDescent="0.2">
      <c r="A13324" t="str">
        <f t="shared" si="4820"/>
        <v>0625022850</v>
      </c>
      <c r="B13324" t="str">
        <f t="shared" si="4821"/>
        <v>Tyquan</v>
      </c>
      <c r="C13324" t="str">
        <f t="shared" si="4822"/>
        <v>Perodin</v>
      </c>
      <c r="D13324">
        <f>11</f>
        <v>11</v>
      </c>
      <c r="E13324" t="str">
        <f>"05 - B - 106 - Milca  Exantus"</f>
        <v>05 - B - 106 - Milca  Exantus</v>
      </c>
      <c r="F13324" t="str">
        <f>"MATH COLLEGE LIB ART"</f>
        <v>MATH COLLEGE LIB ART</v>
      </c>
      <c r="G13324" t="str">
        <f>"21-2145"</f>
        <v>21-2145</v>
      </c>
      <c r="H13324" t="str">
        <f>"B"</f>
        <v>B</v>
      </c>
    </row>
    <row r="13325" spans="1:8" x14ac:dyDescent="0.2">
      <c r="A13325" t="str">
        <f t="shared" si="4820"/>
        <v>0625022850</v>
      </c>
      <c r="B13325" t="str">
        <f t="shared" si="4821"/>
        <v>Tyquan</v>
      </c>
      <c r="C13325" t="str">
        <f t="shared" si="4822"/>
        <v>Perodin</v>
      </c>
      <c r="D13325">
        <f>11</f>
        <v>11</v>
      </c>
      <c r="E13325" t="str">
        <f>"01 - A - 101 - Lisa  Quinn"</f>
        <v>01 - A - 101 - Lisa  Quinn</v>
      </c>
      <c r="F13325" t="str">
        <f>"ENG 3"</f>
        <v>ENG 3</v>
      </c>
      <c r="G13325" t="str">
        <f>"17-1725"</f>
        <v>17-1725</v>
      </c>
      <c r="H13325" t="str">
        <f>"A"</f>
        <v>A</v>
      </c>
    </row>
    <row r="13326" spans="1:8" x14ac:dyDescent="0.2">
      <c r="A13326" t="str">
        <f t="shared" si="4820"/>
        <v>0625022850</v>
      </c>
      <c r="B13326" t="str">
        <f t="shared" si="4821"/>
        <v>Tyquan</v>
      </c>
      <c r="C13326" t="str">
        <f t="shared" si="4822"/>
        <v>Perodin</v>
      </c>
      <c r="D13326">
        <f>11</f>
        <v>11</v>
      </c>
      <c r="E13326" t="str">
        <f>"08 - B - 101 - Jazmin S Fletcher"</f>
        <v>08 - B - 101 - Jazmin S Fletcher</v>
      </c>
      <c r="F13326" t="str">
        <f>"PRE-AICE DRAMA 1G"</f>
        <v>PRE-AICE DRAMA 1G</v>
      </c>
      <c r="G13326" t="str">
        <f>"09-909"</f>
        <v>09-909</v>
      </c>
      <c r="H13326" t="str">
        <f>"B"</f>
        <v>B</v>
      </c>
    </row>
    <row r="13327" spans="1:8" x14ac:dyDescent="0.2">
      <c r="A13327" t="str">
        <f t="shared" ref="A13327:A13334" si="4823">"0612118699"</f>
        <v>0612118699</v>
      </c>
      <c r="B13327" t="str">
        <f t="shared" ref="B13327:B13334" si="4824">"ISABELLA"</f>
        <v>ISABELLA</v>
      </c>
      <c r="C13327" t="str">
        <f t="shared" ref="C13327:C13334" si="4825">"PERREIRA"</f>
        <v>PERREIRA</v>
      </c>
      <c r="D13327">
        <f>10</f>
        <v>10</v>
      </c>
      <c r="E13327" t="str">
        <f>"04 - A - 201 - Scott A Dethloff"</f>
        <v>04 - A - 201 - Scott A Dethloff</v>
      </c>
      <c r="F13327" t="str">
        <f>"AICE THINK SKLS 1 AS"</f>
        <v>AICE THINK SKLS 1 AS</v>
      </c>
      <c r="G13327" t="str">
        <f>"08-812"</f>
        <v>08-812</v>
      </c>
      <c r="H13327" t="str">
        <f>"A"</f>
        <v>A</v>
      </c>
    </row>
    <row r="13328" spans="1:8" x14ac:dyDescent="0.2">
      <c r="A13328" t="str">
        <f t="shared" si="4823"/>
        <v>0612118699</v>
      </c>
      <c r="B13328" t="str">
        <f t="shared" si="4824"/>
        <v>ISABELLA</v>
      </c>
      <c r="C13328" t="str">
        <f t="shared" si="4825"/>
        <v>PERREIRA</v>
      </c>
      <c r="D13328">
        <f>10</f>
        <v>10</v>
      </c>
      <c r="E13328" t="str">
        <f>"06 - B - 117 - Daniel S Tyson"</f>
        <v>06 - B - 117 - Daniel S Tyson</v>
      </c>
      <c r="F13328" t="str">
        <f>"NC STUDY HALL 1"</f>
        <v>NC STUDY HALL 1</v>
      </c>
      <c r="G13328" t="str">
        <f>"05-510"</f>
        <v>05-510</v>
      </c>
      <c r="H13328" t="str">
        <f>"B"</f>
        <v>B</v>
      </c>
    </row>
    <row r="13329" spans="1:8" x14ac:dyDescent="0.2">
      <c r="A13329" t="str">
        <f t="shared" si="4823"/>
        <v>0612118699</v>
      </c>
      <c r="B13329" t="str">
        <f t="shared" si="4824"/>
        <v>ISABELLA</v>
      </c>
      <c r="C13329" t="str">
        <f t="shared" si="4825"/>
        <v>PERREIRA</v>
      </c>
      <c r="D13329">
        <f>10</f>
        <v>10</v>
      </c>
      <c r="E13329" t="str">
        <f>"03 - A - 101 - Dorothy D Moore"</f>
        <v>03 - A - 101 - Dorothy D Moore</v>
      </c>
      <c r="F13329" t="str">
        <f>"FORC SCI 1 LH"</f>
        <v>FORC SCI 1 LH</v>
      </c>
      <c r="G13329" t="str">
        <f>"08-803"</f>
        <v>08-803</v>
      </c>
      <c r="H13329" t="str">
        <f>"A"</f>
        <v>A</v>
      </c>
    </row>
    <row r="13330" spans="1:8" x14ac:dyDescent="0.2">
      <c r="A13330" t="str">
        <f t="shared" si="4823"/>
        <v>0612118699</v>
      </c>
      <c r="B13330" t="str">
        <f t="shared" si="4824"/>
        <v>ISABELLA</v>
      </c>
      <c r="C13330" t="str">
        <f t="shared" si="4825"/>
        <v>PERREIRA</v>
      </c>
      <c r="D13330">
        <f>10</f>
        <v>10</v>
      </c>
      <c r="E13330" t="str">
        <f>"02 - A - 205 - Emmily A Sarmiento"</f>
        <v>02 - A - 205 - Emmily A Sarmiento</v>
      </c>
      <c r="F13330" t="str">
        <f>"AICE GLBL PERSP 1 AS"</f>
        <v>AICE GLBL PERSP 1 AS</v>
      </c>
      <c r="G13330" t="str">
        <f>"17-1743"</f>
        <v>17-1743</v>
      </c>
      <c r="H13330" t="str">
        <f>"A"</f>
        <v>A</v>
      </c>
    </row>
    <row r="13331" spans="1:8" x14ac:dyDescent="0.2">
      <c r="A13331" t="str">
        <f t="shared" si="4823"/>
        <v>0612118699</v>
      </c>
      <c r="B13331" t="str">
        <f t="shared" si="4824"/>
        <v>ISABELLA</v>
      </c>
      <c r="C13331" t="str">
        <f t="shared" si="4825"/>
        <v>PERREIRA</v>
      </c>
      <c r="D13331">
        <f>10</f>
        <v>10</v>
      </c>
      <c r="E13331" t="str">
        <f>"07 - B - 107 - Jacklyn M James"</f>
        <v>07 - B - 107 - Jacklyn M James</v>
      </c>
      <c r="F13331" t="str">
        <f>"AICE ENG LANG AS"</f>
        <v>AICE ENG LANG AS</v>
      </c>
      <c r="G13331" t="str">
        <f>"17-1731"</f>
        <v>17-1731</v>
      </c>
      <c r="H13331" t="str">
        <f>"B"</f>
        <v>B</v>
      </c>
    </row>
    <row r="13332" spans="1:8" x14ac:dyDescent="0.2">
      <c r="A13332" t="str">
        <f t="shared" si="4823"/>
        <v>0612118699</v>
      </c>
      <c r="B13332" t="str">
        <f t="shared" si="4824"/>
        <v>ISABELLA</v>
      </c>
      <c r="C13332" t="str">
        <f t="shared" si="4825"/>
        <v>PERREIRA</v>
      </c>
      <c r="D13332">
        <f>10</f>
        <v>10</v>
      </c>
      <c r="E13332" t="str">
        <f>"05 - B - 201 - Lisa J London"</f>
        <v>05 - B - 201 - Lisa J London</v>
      </c>
      <c r="F13332" t="str">
        <f>"COMPRE LAW HON"</f>
        <v>COMPRE LAW HON</v>
      </c>
      <c r="G13332" t="str">
        <f>"17-1714"</f>
        <v>17-1714</v>
      </c>
      <c r="H13332" t="str">
        <f>"B"</f>
        <v>B</v>
      </c>
    </row>
    <row r="13333" spans="1:8" x14ac:dyDescent="0.2">
      <c r="A13333" t="str">
        <f t="shared" si="4823"/>
        <v>0612118699</v>
      </c>
      <c r="B13333" t="str">
        <f t="shared" si="4824"/>
        <v>ISABELLA</v>
      </c>
      <c r="C13333" t="str">
        <f t="shared" si="4825"/>
        <v>PERREIRA</v>
      </c>
      <c r="D13333">
        <f>10</f>
        <v>10</v>
      </c>
      <c r="E13333" t="str">
        <f>"01 - A - 101 - James H Mccann"</f>
        <v>01 - A - 101 - James H Mccann</v>
      </c>
      <c r="F13333" t="str">
        <f>"ALGEBRA 2"</f>
        <v>ALGEBRA 2</v>
      </c>
      <c r="G13333" t="str">
        <f>"17-1716"</f>
        <v>17-1716</v>
      </c>
      <c r="H13333" t="str">
        <f>"A"</f>
        <v>A</v>
      </c>
    </row>
    <row r="13334" spans="1:8" x14ac:dyDescent="0.2">
      <c r="A13334" t="str">
        <f t="shared" si="4823"/>
        <v>0612118699</v>
      </c>
      <c r="B13334" t="str">
        <f t="shared" si="4824"/>
        <v>ISABELLA</v>
      </c>
      <c r="C13334" t="str">
        <f t="shared" si="4825"/>
        <v>PERREIRA</v>
      </c>
      <c r="D13334">
        <f>10</f>
        <v>10</v>
      </c>
      <c r="E13334" t="str">
        <f>"08 - B - 001 - Samantha L Martinez"</f>
        <v>08 - B - 001 - Samantha L Martinez</v>
      </c>
      <c r="F13334" t="str">
        <f>"VOCAL ENS 2"</f>
        <v>VOCAL ENS 2</v>
      </c>
      <c r="G13334" t="str">
        <f>"05-505"</f>
        <v>05-505</v>
      </c>
      <c r="H13334" t="str">
        <f>"B"</f>
        <v>B</v>
      </c>
    </row>
    <row r="13335" spans="1:8" x14ac:dyDescent="0.2">
      <c r="A13335" t="str">
        <f t="shared" ref="A13335:A13342" si="4826">"0614146221"</f>
        <v>0614146221</v>
      </c>
      <c r="B13335" t="str">
        <f t="shared" ref="B13335:B13342" si="4827">"PAYCE"</f>
        <v>PAYCE</v>
      </c>
      <c r="C13335" t="str">
        <f t="shared" ref="C13335:C13342" si="4828">"PERRIER"</f>
        <v>PERRIER</v>
      </c>
      <c r="D13335" t="str">
        <f t="shared" ref="D13335:D13342" si="4829">"09"</f>
        <v>09</v>
      </c>
      <c r="E13335" t="str">
        <f>"04 - A - 201 - Norayda D Suarez"</f>
        <v>04 - A - 201 - Norayda D Suarez</v>
      </c>
      <c r="F13335" t="str">
        <f>"ANAT PHYSIO HON"</f>
        <v>ANAT PHYSIO HON</v>
      </c>
      <c r="G13335" t="str">
        <f>"21-2142"</f>
        <v>21-2142</v>
      </c>
      <c r="H13335" t="str">
        <f>"A"</f>
        <v>A</v>
      </c>
    </row>
    <row r="13336" spans="1:8" x14ac:dyDescent="0.2">
      <c r="A13336" t="str">
        <f t="shared" si="4826"/>
        <v>0614146221</v>
      </c>
      <c r="B13336" t="str">
        <f t="shared" si="4827"/>
        <v>PAYCE</v>
      </c>
      <c r="C13336" t="str">
        <f t="shared" si="4828"/>
        <v>PERRIER</v>
      </c>
      <c r="D13336" t="str">
        <f t="shared" si="4829"/>
        <v>09</v>
      </c>
      <c r="E13336" t="str">
        <f>"06 - B - 102 - Rosa Elaine  Collado-Duff"</f>
        <v>06 - B - 102 - Rosa Elaine  Collado-Duff</v>
      </c>
      <c r="F13336" t="str">
        <f>"SPANISH 3 HON"</f>
        <v>SPANISH 3 HON</v>
      </c>
      <c r="G13336" t="str">
        <f>"09-913"</f>
        <v>09-913</v>
      </c>
      <c r="H13336" t="str">
        <f>"B"</f>
        <v>B</v>
      </c>
    </row>
    <row r="13337" spans="1:8" x14ac:dyDescent="0.2">
      <c r="A13337" t="str">
        <f t="shared" si="4826"/>
        <v>0614146221</v>
      </c>
      <c r="B13337" t="str">
        <f t="shared" si="4827"/>
        <v>PAYCE</v>
      </c>
      <c r="C13337" t="str">
        <f t="shared" si="4828"/>
        <v>PERRIER</v>
      </c>
      <c r="D13337" t="str">
        <f t="shared" si="4829"/>
        <v>09</v>
      </c>
      <c r="E13337" t="str">
        <f>"03 - A - 005 - Cerine S Stewart"</f>
        <v>03 - A - 005 - Cerine S Stewart</v>
      </c>
      <c r="F13337" t="str">
        <f>"AICE ENG GEN PAPER 1"</f>
        <v>AICE ENG GEN PAPER 1</v>
      </c>
      <c r="G13337" t="str">
        <f>"17-1720"</f>
        <v>17-1720</v>
      </c>
      <c r="H13337" t="str">
        <f>"A"</f>
        <v>A</v>
      </c>
    </row>
    <row r="13338" spans="1:8" x14ac:dyDescent="0.2">
      <c r="A13338" t="str">
        <f t="shared" si="4826"/>
        <v>0614146221</v>
      </c>
      <c r="B13338" t="str">
        <f t="shared" si="4827"/>
        <v>PAYCE</v>
      </c>
      <c r="C13338" t="str">
        <f t="shared" si="4828"/>
        <v>PERRIER</v>
      </c>
      <c r="D13338" t="str">
        <f t="shared" si="4829"/>
        <v>09</v>
      </c>
      <c r="E13338" t="str">
        <f>"02 - A - 106 - Helen A Flores"</f>
        <v>02 - A - 106 - Helen A Flores</v>
      </c>
      <c r="F13338" t="str">
        <f>"NC STUDY HALL 1"</f>
        <v>NC STUDY HALL 1</v>
      </c>
      <c r="G13338" t="str">
        <f>"21-2101"</f>
        <v>21-2101</v>
      </c>
      <c r="H13338" t="str">
        <f>"A"</f>
        <v>A</v>
      </c>
    </row>
    <row r="13339" spans="1:8" x14ac:dyDescent="0.2">
      <c r="A13339" t="str">
        <f t="shared" si="4826"/>
        <v>0614146221</v>
      </c>
      <c r="B13339" t="str">
        <f t="shared" si="4827"/>
        <v>PAYCE</v>
      </c>
      <c r="C13339" t="str">
        <f t="shared" si="4828"/>
        <v>PERRIER</v>
      </c>
      <c r="D13339" t="str">
        <f t="shared" si="4829"/>
        <v>09</v>
      </c>
      <c r="E13339" t="str">
        <f>"07 - B - 001 - Carol S Moore"</f>
        <v>07 - B - 001 - Carol S Moore</v>
      </c>
      <c r="F13339" t="str">
        <f>"PRE-AICE WRLD HST IG"</f>
        <v>PRE-AICE WRLD HST IG</v>
      </c>
      <c r="G13339" t="str">
        <f>"17-1733"</f>
        <v>17-1733</v>
      </c>
      <c r="H13339" t="str">
        <f>"B"</f>
        <v>B</v>
      </c>
    </row>
    <row r="13340" spans="1:8" x14ac:dyDescent="0.2">
      <c r="A13340" t="str">
        <f t="shared" si="4826"/>
        <v>0614146221</v>
      </c>
      <c r="B13340" t="str">
        <f t="shared" si="4827"/>
        <v>PAYCE</v>
      </c>
      <c r="C13340" t="str">
        <f t="shared" si="4828"/>
        <v>PERRIER</v>
      </c>
      <c r="D13340" t="str">
        <f t="shared" si="4829"/>
        <v>09</v>
      </c>
      <c r="E13340" t="str">
        <f>"05 - B - 105 - Adam Marcus  Drucker"</f>
        <v>05 - B - 105 - Adam Marcus  Drucker</v>
      </c>
      <c r="F13340" t="str">
        <f>"HOPE-PE V"</f>
        <v>HOPE-PE V</v>
      </c>
      <c r="G13340" t="str">
        <f>"04-254"</f>
        <v>04-254</v>
      </c>
      <c r="H13340" t="str">
        <f>"B"</f>
        <v>B</v>
      </c>
    </row>
    <row r="13341" spans="1:8" x14ac:dyDescent="0.2">
      <c r="A13341" t="str">
        <f t="shared" si="4826"/>
        <v>0614146221</v>
      </c>
      <c r="B13341" t="str">
        <f t="shared" si="4827"/>
        <v>PAYCE</v>
      </c>
      <c r="C13341" t="str">
        <f t="shared" si="4828"/>
        <v>PERRIER</v>
      </c>
      <c r="D13341" t="str">
        <f t="shared" si="4829"/>
        <v>09</v>
      </c>
      <c r="E13341" t="str">
        <f>"01 - A - 101 - Marius D Orsolini"</f>
        <v>01 - A - 101 - Marius D Orsolini</v>
      </c>
      <c r="F13341" t="str">
        <f>"CULINARY ARTS 1"</f>
        <v>CULINARY ARTS 1</v>
      </c>
      <c r="G13341" t="str">
        <f>"21-2115"</f>
        <v>21-2115</v>
      </c>
      <c r="H13341" t="str">
        <f>"A"</f>
        <v>A</v>
      </c>
    </row>
    <row r="13342" spans="1:8" x14ac:dyDescent="0.2">
      <c r="A13342" t="str">
        <f t="shared" si="4826"/>
        <v>0614146221</v>
      </c>
      <c r="B13342" t="str">
        <f t="shared" si="4827"/>
        <v>PAYCE</v>
      </c>
      <c r="C13342" t="str">
        <f t="shared" si="4828"/>
        <v>PERRIER</v>
      </c>
      <c r="D13342" t="str">
        <f t="shared" si="4829"/>
        <v>09</v>
      </c>
      <c r="E13342" t="str">
        <f>"08 - B - 107 - Dayna M Foster"</f>
        <v>08 - B - 107 - Dayna M Foster</v>
      </c>
      <c r="F13342" t="str">
        <f>"ALGEBRA 2"</f>
        <v>ALGEBRA 2</v>
      </c>
      <c r="G13342" t="str">
        <f>"21-2109"</f>
        <v>21-2109</v>
      </c>
      <c r="H13342" t="str">
        <f>"B"</f>
        <v>B</v>
      </c>
    </row>
    <row r="13343" spans="1:8" x14ac:dyDescent="0.2">
      <c r="A13343" t="str">
        <f t="shared" ref="A13343:A13350" si="4830">"0622059635"</f>
        <v>0622059635</v>
      </c>
      <c r="B13343" t="str">
        <f t="shared" ref="B13343:B13350" si="4831">"KAYDEN"</f>
        <v>KAYDEN</v>
      </c>
      <c r="C13343" t="str">
        <f t="shared" ref="C13343:C13350" si="4832">"PERRY"</f>
        <v>PERRY</v>
      </c>
      <c r="D13343">
        <f>10</f>
        <v>10</v>
      </c>
      <c r="E13343" t="str">
        <f>"04 - A - 201 - Alejandro  Navarro"</f>
        <v>04 - A - 201 - Alejandro  Navarro</v>
      </c>
      <c r="F13343" t="str">
        <f>"BAND 4"</f>
        <v>BAND 4</v>
      </c>
      <c r="G13343" t="str">
        <f>"05-504"</f>
        <v>05-504</v>
      </c>
      <c r="H13343" t="str">
        <f>"A"</f>
        <v>A</v>
      </c>
    </row>
    <row r="13344" spans="1:8" x14ac:dyDescent="0.2">
      <c r="A13344" t="str">
        <f t="shared" si="4830"/>
        <v>0622059635</v>
      </c>
      <c r="B13344" t="str">
        <f t="shared" si="4831"/>
        <v>KAYDEN</v>
      </c>
      <c r="C13344" t="str">
        <f t="shared" si="4832"/>
        <v>PERRY</v>
      </c>
      <c r="D13344">
        <f>10</f>
        <v>10</v>
      </c>
      <c r="E13344" t="str">
        <f>"06 - B - 104 - Robert H Rindner"</f>
        <v>06 - B - 104 - Robert H Rindner</v>
      </c>
      <c r="F13344" t="str">
        <f>"NC STUDY HALL 1"</f>
        <v>NC STUDY HALL 1</v>
      </c>
      <c r="G13344" t="str">
        <f>"21-2160"</f>
        <v>21-2160</v>
      </c>
      <c r="H13344" t="str">
        <f>"B"</f>
        <v>B</v>
      </c>
    </row>
    <row r="13345" spans="1:8" x14ac:dyDescent="0.2">
      <c r="A13345" t="str">
        <f t="shared" si="4830"/>
        <v>0622059635</v>
      </c>
      <c r="B13345" t="str">
        <f t="shared" si="4831"/>
        <v>KAYDEN</v>
      </c>
      <c r="C13345" t="str">
        <f t="shared" si="4832"/>
        <v>PERRY</v>
      </c>
      <c r="D13345">
        <f>10</f>
        <v>10</v>
      </c>
      <c r="E13345" t="str">
        <f>"03 - A - 002 - Brandy N Zdenek"</f>
        <v>03 - A - 002 - Brandy N Zdenek</v>
      </c>
      <c r="F13345" t="str">
        <f>"AICE ENG LANG AS"</f>
        <v>AICE ENG LANG AS</v>
      </c>
      <c r="G13345" t="str">
        <f>"17-1704"</f>
        <v>17-1704</v>
      </c>
      <c r="H13345" t="str">
        <f>"A"</f>
        <v>A</v>
      </c>
    </row>
    <row r="13346" spans="1:8" x14ac:dyDescent="0.2">
      <c r="A13346" t="str">
        <f t="shared" si="4830"/>
        <v>0622059635</v>
      </c>
      <c r="B13346" t="str">
        <f t="shared" si="4831"/>
        <v>KAYDEN</v>
      </c>
      <c r="C13346" t="str">
        <f t="shared" si="4832"/>
        <v>PERRY</v>
      </c>
      <c r="D13346">
        <f>10</f>
        <v>10</v>
      </c>
      <c r="E13346" t="str">
        <f>"02 - A - 103 - Lenecy  Nodarse"</f>
        <v>02 - A - 103 - Lenecy  Nodarse</v>
      </c>
      <c r="F13346" t="str">
        <f>"AICE EURO HIST 1 AS"</f>
        <v>AICE EURO HIST 1 AS</v>
      </c>
      <c r="G13346" t="str">
        <f>"17-1741"</f>
        <v>17-1741</v>
      </c>
      <c r="H13346" t="str">
        <f>"A"</f>
        <v>A</v>
      </c>
    </row>
    <row r="13347" spans="1:8" x14ac:dyDescent="0.2">
      <c r="A13347" t="str">
        <f t="shared" si="4830"/>
        <v>0622059635</v>
      </c>
      <c r="B13347" t="str">
        <f t="shared" si="4831"/>
        <v>KAYDEN</v>
      </c>
      <c r="C13347" t="str">
        <f t="shared" si="4832"/>
        <v>PERRY</v>
      </c>
      <c r="D13347">
        <f>10</f>
        <v>10</v>
      </c>
      <c r="E13347" t="str">
        <f>"07 - B - 105 - Josiah I Lacy"</f>
        <v>07 - B - 105 - Josiah I Lacy</v>
      </c>
      <c r="F13347" t="str">
        <f>"ANAT PHYSIO HON"</f>
        <v>ANAT PHYSIO HON</v>
      </c>
      <c r="G13347" t="str">
        <f>"08-801"</f>
        <v>08-801</v>
      </c>
      <c r="H13347" t="str">
        <f>"B"</f>
        <v>B</v>
      </c>
    </row>
    <row r="13348" spans="1:8" x14ac:dyDescent="0.2">
      <c r="A13348" t="str">
        <f t="shared" si="4830"/>
        <v>0622059635</v>
      </c>
      <c r="B13348" t="str">
        <f t="shared" si="4831"/>
        <v>KAYDEN</v>
      </c>
      <c r="C13348" t="str">
        <f t="shared" si="4832"/>
        <v>PERRY</v>
      </c>
      <c r="D13348">
        <f>10</f>
        <v>10</v>
      </c>
      <c r="E13348" t="str">
        <f>"05 - B - 103 - Vanessa J Liburd"</f>
        <v>05 - B - 103 - Vanessa J Liburd</v>
      </c>
      <c r="F13348" t="str">
        <f>"PRE-AICE FRENCH 2 IG"</f>
        <v>PRE-AICE FRENCH 2 IG</v>
      </c>
      <c r="G13348" t="str">
        <f>"05-519"</f>
        <v>05-519</v>
      </c>
      <c r="H13348" t="str">
        <f>"B"</f>
        <v>B</v>
      </c>
    </row>
    <row r="13349" spans="1:8" x14ac:dyDescent="0.2">
      <c r="A13349" t="str">
        <f t="shared" si="4830"/>
        <v>0622059635</v>
      </c>
      <c r="B13349" t="str">
        <f t="shared" si="4831"/>
        <v>KAYDEN</v>
      </c>
      <c r="C13349" t="str">
        <f t="shared" si="4832"/>
        <v>PERRY</v>
      </c>
      <c r="D13349">
        <f>10</f>
        <v>10</v>
      </c>
      <c r="E13349" t="str">
        <f>"01 - A - 101 - Lourivaldo  Da Silva"</f>
        <v>01 - A - 101 - Lourivaldo  Da Silva</v>
      </c>
      <c r="F13349" t="str">
        <f>"ALGEBRA 2 HON"</f>
        <v>ALGEBRA 2 HON</v>
      </c>
      <c r="G13349" t="str">
        <f>"20-2079"</f>
        <v>20-2079</v>
      </c>
      <c r="H13349" t="str">
        <f>"A"</f>
        <v>A</v>
      </c>
    </row>
    <row r="13350" spans="1:8" x14ac:dyDescent="0.2">
      <c r="A13350" t="str">
        <f t="shared" si="4830"/>
        <v>0622059635</v>
      </c>
      <c r="B13350" t="str">
        <f t="shared" si="4831"/>
        <v>KAYDEN</v>
      </c>
      <c r="C13350" t="str">
        <f t="shared" si="4832"/>
        <v>PERRY</v>
      </c>
      <c r="D13350">
        <f>10</f>
        <v>10</v>
      </c>
      <c r="E13350" t="str">
        <f>"08 - B - 101 - Jordana K Hass"</f>
        <v>08 - B - 101 - Jordana K Hass</v>
      </c>
      <c r="F13350" t="str">
        <f>"AICE INFO TECH 1 AS"</f>
        <v>AICE INFO TECH 1 AS</v>
      </c>
      <c r="G13350" t="str">
        <f>"08-807"</f>
        <v>08-807</v>
      </c>
      <c r="H13350" t="str">
        <f>"B"</f>
        <v>B</v>
      </c>
    </row>
    <row r="13351" spans="1:8" x14ac:dyDescent="0.2">
      <c r="A13351" t="str">
        <f t="shared" ref="A13351:A13358" si="4833">"0615126882"</f>
        <v>0615126882</v>
      </c>
      <c r="B13351" t="str">
        <f t="shared" ref="B13351:B13358" si="4834">"ALICIA"</f>
        <v>ALICIA</v>
      </c>
      <c r="C13351" t="str">
        <f t="shared" ref="C13351:C13366" si="4835">"PERSAUD"</f>
        <v>PERSAUD</v>
      </c>
      <c r="D13351">
        <f>10</f>
        <v>10</v>
      </c>
      <c r="E13351" t="str">
        <f>"04 - A - 102 - Daniel S Katz"</f>
        <v>04 - A - 102 - Daniel S Katz</v>
      </c>
      <c r="F13351" t="str">
        <f>"AICE DRAMA 1 AS LEV"</f>
        <v>AICE DRAMA 1 AS LEV</v>
      </c>
      <c r="G13351" t="str">
        <f>"05-521"</f>
        <v>05-521</v>
      </c>
      <c r="H13351" t="str">
        <f>"A"</f>
        <v>A</v>
      </c>
    </row>
    <row r="13352" spans="1:8" x14ac:dyDescent="0.2">
      <c r="A13352" t="str">
        <f t="shared" si="4833"/>
        <v>0615126882</v>
      </c>
      <c r="B13352" t="str">
        <f t="shared" si="4834"/>
        <v>ALICIA</v>
      </c>
      <c r="C13352" t="str">
        <f t="shared" si="4835"/>
        <v>PERSAUD</v>
      </c>
      <c r="D13352">
        <f>10</f>
        <v>10</v>
      </c>
      <c r="E13352" t="str">
        <f>"06 - B - 116 - Jordana K Hass"</f>
        <v>06 - B - 116 - Jordana K Hass</v>
      </c>
      <c r="F13352" t="str">
        <f>"NC STUDY HALL 1"</f>
        <v>NC STUDY HALL 1</v>
      </c>
      <c r="G13352" t="str">
        <f>"08-807"</f>
        <v>08-807</v>
      </c>
      <c r="H13352" t="str">
        <f>"B"</f>
        <v>B</v>
      </c>
    </row>
    <row r="13353" spans="1:8" x14ac:dyDescent="0.2">
      <c r="A13353" t="str">
        <f t="shared" si="4833"/>
        <v>0615126882</v>
      </c>
      <c r="B13353" t="str">
        <f t="shared" si="4834"/>
        <v>ALICIA</v>
      </c>
      <c r="C13353" t="str">
        <f t="shared" si="4835"/>
        <v>PERSAUD</v>
      </c>
      <c r="D13353">
        <f>10</f>
        <v>10</v>
      </c>
      <c r="E13353" t="str">
        <f>"03 - A - 002 - Brandy N Zdenek"</f>
        <v>03 - A - 002 - Brandy N Zdenek</v>
      </c>
      <c r="F13353" t="str">
        <f>"AICE ENG LANG AS"</f>
        <v>AICE ENG LANG AS</v>
      </c>
      <c r="G13353" t="str">
        <f>"17-1704"</f>
        <v>17-1704</v>
      </c>
      <c r="H13353" t="str">
        <f>"A"</f>
        <v>A</v>
      </c>
    </row>
    <row r="13354" spans="1:8" x14ac:dyDescent="0.2">
      <c r="A13354" t="str">
        <f t="shared" si="4833"/>
        <v>0615126882</v>
      </c>
      <c r="B13354" t="str">
        <f t="shared" si="4834"/>
        <v>ALICIA</v>
      </c>
      <c r="C13354" t="str">
        <f t="shared" si="4835"/>
        <v>PERSAUD</v>
      </c>
      <c r="D13354">
        <f>10</f>
        <v>10</v>
      </c>
      <c r="E13354" t="str">
        <f>"02 - A - 102 - Taraneh C Abreu"</f>
        <v>02 - A - 102 - Taraneh C Abreu</v>
      </c>
      <c r="F13354" t="str">
        <f>"INTENS READ 2"</f>
        <v>INTENS READ 2</v>
      </c>
      <c r="G13354" t="str">
        <f>"17-1713"</f>
        <v>17-1713</v>
      </c>
      <c r="H13354" t="str">
        <f>"A"</f>
        <v>A</v>
      </c>
    </row>
    <row r="13355" spans="1:8" x14ac:dyDescent="0.2">
      <c r="A13355" t="str">
        <f t="shared" si="4833"/>
        <v>0615126882</v>
      </c>
      <c r="B13355" t="str">
        <f t="shared" si="4834"/>
        <v>ALICIA</v>
      </c>
      <c r="C13355" t="str">
        <f t="shared" si="4835"/>
        <v>PERSAUD</v>
      </c>
      <c r="D13355">
        <f>10</f>
        <v>10</v>
      </c>
      <c r="E13355" t="str">
        <f>"07 - B - 102 - Lourivaldo  Da Silva"</f>
        <v>07 - B - 102 - Lourivaldo  Da Silva</v>
      </c>
      <c r="F13355" t="str">
        <f>"ALGEBRA 2 HON"</f>
        <v>ALGEBRA 2 HON</v>
      </c>
      <c r="G13355" t="str">
        <f>"20-2079"</f>
        <v>20-2079</v>
      </c>
      <c r="H13355" t="str">
        <f>"B"</f>
        <v>B</v>
      </c>
    </row>
    <row r="13356" spans="1:8" x14ac:dyDescent="0.2">
      <c r="A13356" t="str">
        <f t="shared" si="4833"/>
        <v>0615126882</v>
      </c>
      <c r="B13356" t="str">
        <f t="shared" si="4834"/>
        <v>ALICIA</v>
      </c>
      <c r="C13356" t="str">
        <f t="shared" si="4835"/>
        <v>PERSAUD</v>
      </c>
      <c r="D13356">
        <f>10</f>
        <v>10</v>
      </c>
      <c r="E13356" t="str">
        <f>"05 - B - 001 - Kelly N Panza"</f>
        <v>05 - B - 001 - Kelly N Panza</v>
      </c>
      <c r="F13356" t="str">
        <f>"AICE GLBL PERSP 1 AS"</f>
        <v>AICE GLBL PERSP 1 AS</v>
      </c>
      <c r="G13356" t="str">
        <f>"17-1753"</f>
        <v>17-1753</v>
      </c>
      <c r="H13356" t="str">
        <f>"B"</f>
        <v>B</v>
      </c>
    </row>
    <row r="13357" spans="1:8" x14ac:dyDescent="0.2">
      <c r="A13357" t="str">
        <f t="shared" si="4833"/>
        <v>0615126882</v>
      </c>
      <c r="B13357" t="str">
        <f t="shared" si="4834"/>
        <v>ALICIA</v>
      </c>
      <c r="C13357" t="str">
        <f t="shared" si="4835"/>
        <v>PERSAUD</v>
      </c>
      <c r="D13357">
        <f>10</f>
        <v>10</v>
      </c>
      <c r="E13357" t="str">
        <f>"01 - A - 201 - Cheryl L Beach"</f>
        <v>01 - A - 201 - Cheryl L Beach</v>
      </c>
      <c r="F13357" t="str">
        <f>"AICE ENV MGMNT AS"</f>
        <v>AICE ENV MGMNT AS</v>
      </c>
      <c r="G13357" t="str">
        <f>"08-811"</f>
        <v>08-811</v>
      </c>
      <c r="H13357" t="str">
        <f>"A"</f>
        <v>A</v>
      </c>
    </row>
    <row r="13358" spans="1:8" x14ac:dyDescent="0.2">
      <c r="A13358" t="str">
        <f t="shared" si="4833"/>
        <v>0615126882</v>
      </c>
      <c r="B13358" t="str">
        <f t="shared" si="4834"/>
        <v>ALICIA</v>
      </c>
      <c r="C13358" t="str">
        <f t="shared" si="4835"/>
        <v>PERSAUD</v>
      </c>
      <c r="D13358">
        <f>10</f>
        <v>10</v>
      </c>
      <c r="E13358" t="str">
        <f>"08 - B - 001 - Chrystina M Marchionne"</f>
        <v>08 - B - 001 - Chrystina M Marchionne</v>
      </c>
      <c r="F13358" t="str">
        <f>"JOURN 1 (YB) LH"</f>
        <v>JOURN 1 (YB) LH</v>
      </c>
      <c r="G13358" t="str">
        <f>"05-520"</f>
        <v>05-520</v>
      </c>
      <c r="H13358" t="str">
        <f>"B"</f>
        <v>B</v>
      </c>
    </row>
    <row r="13359" spans="1:8" x14ac:dyDescent="0.2">
      <c r="A13359" t="str">
        <f t="shared" ref="A13359:A13366" si="4836">"0617100334"</f>
        <v>0617100334</v>
      </c>
      <c r="B13359" t="str">
        <f t="shared" ref="B13359:B13366" si="4837">"ARICA"</f>
        <v>ARICA</v>
      </c>
      <c r="C13359" t="str">
        <f t="shared" si="4835"/>
        <v>PERSAUD</v>
      </c>
      <c r="D13359">
        <f>11</f>
        <v>11</v>
      </c>
      <c r="E13359" t="str">
        <f>"04 - A - 102 - Jeffrey S Gallagher"</f>
        <v>04 - A - 102 - Jeffrey S Gallagher</v>
      </c>
      <c r="F13359" t="str">
        <f>"ENG HON 3"</f>
        <v>ENG HON 3</v>
      </c>
      <c r="G13359" t="str">
        <f>"17-1724"</f>
        <v>17-1724</v>
      </c>
      <c r="H13359" t="str">
        <f>"A"</f>
        <v>A</v>
      </c>
    </row>
    <row r="13360" spans="1:8" x14ac:dyDescent="0.2">
      <c r="A13360" t="str">
        <f t="shared" si="4836"/>
        <v>0617100334</v>
      </c>
      <c r="B13360" t="str">
        <f t="shared" si="4837"/>
        <v>ARICA</v>
      </c>
      <c r="C13360" t="str">
        <f t="shared" si="4835"/>
        <v>PERSAUD</v>
      </c>
      <c r="D13360">
        <f>11</f>
        <v>11</v>
      </c>
      <c r="E13360" t="str">
        <f>"06 - B - 204 - Chrystina M Marchionne"</f>
        <v>06 - B - 204 - Chrystina M Marchionne</v>
      </c>
      <c r="F13360" t="str">
        <f>"AICE MEDIASTUDIES AS"</f>
        <v>AICE MEDIASTUDIES AS</v>
      </c>
      <c r="G13360" t="str">
        <f>"05-520"</f>
        <v>05-520</v>
      </c>
      <c r="H13360" t="str">
        <f>"B"</f>
        <v>B</v>
      </c>
    </row>
    <row r="13361" spans="1:8" x14ac:dyDescent="0.2">
      <c r="A13361" t="str">
        <f t="shared" si="4836"/>
        <v>0617100334</v>
      </c>
      <c r="B13361" t="str">
        <f t="shared" si="4837"/>
        <v>ARICA</v>
      </c>
      <c r="C13361" t="str">
        <f t="shared" si="4835"/>
        <v>PERSAUD</v>
      </c>
      <c r="D13361">
        <f>11</f>
        <v>11</v>
      </c>
      <c r="E13361" t="str">
        <f>"03 - A - 101 - Dorothy D Moore"</f>
        <v>03 - A - 101 - Dorothy D Moore</v>
      </c>
      <c r="F13361" t="str">
        <f>"FORC SCI 1 LH"</f>
        <v>FORC SCI 1 LH</v>
      </c>
      <c r="G13361" t="str">
        <f>"08-803"</f>
        <v>08-803</v>
      </c>
      <c r="H13361" t="str">
        <f>"A"</f>
        <v>A</v>
      </c>
    </row>
    <row r="13362" spans="1:8" x14ac:dyDescent="0.2">
      <c r="A13362" t="str">
        <f t="shared" si="4836"/>
        <v>0617100334</v>
      </c>
      <c r="B13362" t="str">
        <f t="shared" si="4837"/>
        <v>ARICA</v>
      </c>
      <c r="C13362" t="str">
        <f t="shared" si="4835"/>
        <v>PERSAUD</v>
      </c>
      <c r="D13362">
        <f>11</f>
        <v>11</v>
      </c>
      <c r="E13362" t="str">
        <f>"02 - A - 102 - Brook E Goren"</f>
        <v>02 - A - 102 - Brook E Goren</v>
      </c>
      <c r="F13362" t="str">
        <f>"NC STUDY HALL 1"</f>
        <v>NC STUDY HALL 1</v>
      </c>
      <c r="G13362" t="str">
        <f>"21-2158"</f>
        <v>21-2158</v>
      </c>
      <c r="H13362" t="str">
        <f>"A"</f>
        <v>A</v>
      </c>
    </row>
    <row r="13363" spans="1:8" x14ac:dyDescent="0.2">
      <c r="A13363" t="str">
        <f t="shared" si="4836"/>
        <v>0617100334</v>
      </c>
      <c r="B13363" t="str">
        <f t="shared" si="4837"/>
        <v>ARICA</v>
      </c>
      <c r="C13363" t="str">
        <f t="shared" si="4835"/>
        <v>PERSAUD</v>
      </c>
      <c r="D13363">
        <f>11</f>
        <v>11</v>
      </c>
      <c r="E13363" t="str">
        <f>"07 - B - 107 - Semra  Bahadir"</f>
        <v>07 - B - 107 - Semra  Bahadir</v>
      </c>
      <c r="F13363" t="str">
        <f>"MATH COLL ALGEBRA"</f>
        <v>MATH COLL ALGEBRA</v>
      </c>
      <c r="G13363" t="str">
        <f>"21-2107"</f>
        <v>21-2107</v>
      </c>
      <c r="H13363" t="str">
        <f>"B"</f>
        <v>B</v>
      </c>
    </row>
    <row r="13364" spans="1:8" x14ac:dyDescent="0.2">
      <c r="A13364" t="str">
        <f t="shared" si="4836"/>
        <v>0617100334</v>
      </c>
      <c r="B13364" t="str">
        <f t="shared" si="4837"/>
        <v>ARICA</v>
      </c>
      <c r="C13364" t="str">
        <f t="shared" si="4835"/>
        <v>PERSAUD</v>
      </c>
      <c r="D13364">
        <f>11</f>
        <v>11</v>
      </c>
      <c r="E13364" t="str">
        <f>"05 - B - 101 - Angela S Adeshina-Morrison"</f>
        <v>05 - B - 101 - Angela S Adeshina-Morrison</v>
      </c>
      <c r="F13364" t="str">
        <f>"MKT MANAGEMENT LH"</f>
        <v>MKT MANAGEMENT LH</v>
      </c>
      <c r="G13364" t="str">
        <f>"05-518"</f>
        <v>05-518</v>
      </c>
      <c r="H13364" t="str">
        <f>"B"</f>
        <v>B</v>
      </c>
    </row>
    <row r="13365" spans="1:8" x14ac:dyDescent="0.2">
      <c r="A13365" t="str">
        <f t="shared" si="4836"/>
        <v>0617100334</v>
      </c>
      <c r="B13365" t="str">
        <f t="shared" si="4837"/>
        <v>ARICA</v>
      </c>
      <c r="C13365" t="str">
        <f t="shared" si="4835"/>
        <v>PERSAUD</v>
      </c>
      <c r="D13365">
        <f>11</f>
        <v>11</v>
      </c>
      <c r="E13365" t="str">
        <f>"01 - A - 104 - Jerry S Jiampetti"</f>
        <v>01 - A - 104 - Jerry S Jiampetti</v>
      </c>
      <c r="F13365" t="str">
        <f>"US HISTORY HON"</f>
        <v>US HISTORY HON</v>
      </c>
      <c r="G13365" t="str">
        <f>"17-1751"</f>
        <v>17-1751</v>
      </c>
      <c r="H13365" t="str">
        <f>"A"</f>
        <v>A</v>
      </c>
    </row>
    <row r="13366" spans="1:8" x14ac:dyDescent="0.2">
      <c r="A13366" t="str">
        <f t="shared" si="4836"/>
        <v>0617100334</v>
      </c>
      <c r="B13366" t="str">
        <f t="shared" si="4837"/>
        <v>ARICA</v>
      </c>
      <c r="C13366" t="str">
        <f t="shared" si="4835"/>
        <v>PERSAUD</v>
      </c>
      <c r="D13366">
        <f>11</f>
        <v>11</v>
      </c>
      <c r="E13366" t="str">
        <f>"08 - S1 - B - 105 - James H Mccann"</f>
        <v>08 - S1 - B - 105 - James H Mccann</v>
      </c>
      <c r="F13366" t="str">
        <f>"PERS FIN &amp; MON MGT H"</f>
        <v>PERS FIN &amp; MON MGT H</v>
      </c>
      <c r="G13366" t="str">
        <f>"17-1716"</f>
        <v>17-1716</v>
      </c>
      <c r="H13366" t="str">
        <f>"B"</f>
        <v>B</v>
      </c>
    </row>
    <row r="13367" spans="1:8" x14ac:dyDescent="0.2">
      <c r="A13367" t="str">
        <f t="shared" ref="A13367:A13375" si="4838">"0611080217"</f>
        <v>0611080217</v>
      </c>
      <c r="B13367" t="str">
        <f t="shared" ref="B13367:B13375" si="4839">"TAANUJA"</f>
        <v>TAANUJA</v>
      </c>
      <c r="C13367" t="str">
        <f t="shared" ref="C13367:C13375" si="4840">"PERSHAD"</f>
        <v>PERSHAD</v>
      </c>
      <c r="D13367">
        <f>12</f>
        <v>12</v>
      </c>
      <c r="E13367" t="str">
        <f>"04 - A - 102 - Samantha L Martinez"</f>
        <v>04 - A - 102 - Samantha L Martinez</v>
      </c>
      <c r="F13367" t="str">
        <f>"KEYBD 1"</f>
        <v>KEYBD 1</v>
      </c>
      <c r="G13367" t="str">
        <f>"05-505"</f>
        <v>05-505</v>
      </c>
      <c r="H13367" t="str">
        <f>"A"</f>
        <v>A</v>
      </c>
    </row>
    <row r="13368" spans="1:8" x14ac:dyDescent="0.2">
      <c r="A13368" t="str">
        <f t="shared" si="4838"/>
        <v>0611080217</v>
      </c>
      <c r="B13368" t="str">
        <f t="shared" si="4839"/>
        <v>TAANUJA</v>
      </c>
      <c r="C13368" t="str">
        <f t="shared" si="4840"/>
        <v>PERSHAD</v>
      </c>
      <c r="D13368">
        <f>12</f>
        <v>12</v>
      </c>
      <c r="E13368" t="str">
        <f>"06 - B - 101 - Justin D Willard"</f>
        <v>06 - B - 101 - Justin D Willard</v>
      </c>
      <c r="F13368" t="str">
        <f>"CAR EXERIENCES: 9-12"</f>
        <v>CAR EXERIENCES: 9-12</v>
      </c>
      <c r="G13368" t="str">
        <f>"21-2111"</f>
        <v>21-2111</v>
      </c>
      <c r="H13368" t="str">
        <f>"B"</f>
        <v>B</v>
      </c>
    </row>
    <row r="13369" spans="1:8" x14ac:dyDescent="0.2">
      <c r="A13369" t="str">
        <f t="shared" si="4838"/>
        <v>0611080217</v>
      </c>
      <c r="B13369" t="str">
        <f t="shared" si="4839"/>
        <v>TAANUJA</v>
      </c>
      <c r="C13369" t="str">
        <f t="shared" si="4840"/>
        <v>PERSHAD</v>
      </c>
      <c r="D13369">
        <f>12</f>
        <v>12</v>
      </c>
      <c r="E13369" t="str">
        <f>"03 - A - 101 - Justin D Willard"</f>
        <v>03 - A - 101 - Justin D Willard</v>
      </c>
      <c r="F13369" t="str">
        <f>"SELF-DETERMINATION"</f>
        <v>SELF-DETERMINATION</v>
      </c>
      <c r="G13369" t="str">
        <f>"21-2111"</f>
        <v>21-2111</v>
      </c>
      <c r="H13369" t="str">
        <f>"A"</f>
        <v>A</v>
      </c>
    </row>
    <row r="13370" spans="1:8" x14ac:dyDescent="0.2">
      <c r="A13370" t="str">
        <f t="shared" si="4838"/>
        <v>0611080217</v>
      </c>
      <c r="B13370" t="str">
        <f t="shared" si="4839"/>
        <v>TAANUJA</v>
      </c>
      <c r="C13370" t="str">
        <f t="shared" si="4840"/>
        <v>PERSHAD</v>
      </c>
      <c r="D13370">
        <f>12</f>
        <v>12</v>
      </c>
      <c r="E13370" t="str">
        <f>"02 - A - 101 - Justin D Willard"</f>
        <v>02 - A - 101 - Justin D Willard</v>
      </c>
      <c r="F13370" t="str">
        <f>"CAREER ED: 9-12"</f>
        <v>CAREER ED: 9-12</v>
      </c>
      <c r="G13370" t="str">
        <f>"21-2111"</f>
        <v>21-2111</v>
      </c>
      <c r="H13370" t="str">
        <f>"A"</f>
        <v>A</v>
      </c>
    </row>
    <row r="13371" spans="1:8" x14ac:dyDescent="0.2">
      <c r="A13371" t="str">
        <f t="shared" si="4838"/>
        <v>0611080217</v>
      </c>
      <c r="B13371" t="str">
        <f t="shared" si="4839"/>
        <v>TAANUJA</v>
      </c>
      <c r="C13371" t="str">
        <f t="shared" si="4840"/>
        <v>PERSHAD</v>
      </c>
      <c r="D13371">
        <f>12</f>
        <v>12</v>
      </c>
      <c r="E13371" t="str">
        <f>"07 - B - 101 - Justin D Willard"</f>
        <v>07 - B - 101 - Justin D Willard</v>
      </c>
      <c r="F13371" t="str">
        <f>"CAR PLACEMENT: 9-12"</f>
        <v>CAR PLACEMENT: 9-12</v>
      </c>
      <c r="G13371" t="str">
        <f>"21-2111"</f>
        <v>21-2111</v>
      </c>
      <c r="H13371" t="str">
        <f>"B"</f>
        <v>B</v>
      </c>
    </row>
    <row r="13372" spans="1:8" x14ac:dyDescent="0.2">
      <c r="A13372" t="str">
        <f t="shared" si="4838"/>
        <v>0611080217</v>
      </c>
      <c r="B13372" t="str">
        <f t="shared" si="4839"/>
        <v>TAANUJA</v>
      </c>
      <c r="C13372" t="str">
        <f t="shared" si="4840"/>
        <v>PERSHAD</v>
      </c>
      <c r="D13372">
        <f>12</f>
        <v>12</v>
      </c>
      <c r="E13372" t="str">
        <f>"05 - B - 103 - Justin D Willard"</f>
        <v>05 - B - 103 - Justin D Willard</v>
      </c>
      <c r="F13372" t="str">
        <f>"U SKLS: 9-12"</f>
        <v>U SKLS: 9-12</v>
      </c>
      <c r="G13372" t="str">
        <f>"21-2111"</f>
        <v>21-2111</v>
      </c>
      <c r="H13372" t="str">
        <f>"B"</f>
        <v>B</v>
      </c>
    </row>
    <row r="13373" spans="1:8" x14ac:dyDescent="0.2">
      <c r="A13373" t="str">
        <f t="shared" si="4838"/>
        <v>0611080217</v>
      </c>
      <c r="B13373" t="str">
        <f t="shared" si="4839"/>
        <v>TAANUJA</v>
      </c>
      <c r="C13373" t="str">
        <f t="shared" si="4840"/>
        <v>PERSHAD</v>
      </c>
      <c r="D13373">
        <f>12</f>
        <v>12</v>
      </c>
      <c r="E13373" t="str">
        <f>"05 - B - 115 - Karen A Toomer"</f>
        <v>05 - B - 115 - Karen A Toomer</v>
      </c>
      <c r="F13373" t="str">
        <f>"LANG THERAPY"</f>
        <v>LANG THERAPY</v>
      </c>
      <c r="G13373" t="str">
        <f>"21-2110"</f>
        <v>21-2110</v>
      </c>
      <c r="H13373" t="str">
        <f>"B"</f>
        <v>B</v>
      </c>
    </row>
    <row r="13374" spans="1:8" x14ac:dyDescent="0.2">
      <c r="A13374" t="str">
        <f t="shared" si="4838"/>
        <v>0611080217</v>
      </c>
      <c r="B13374" t="str">
        <f t="shared" si="4839"/>
        <v>TAANUJA</v>
      </c>
      <c r="C13374" t="str">
        <f t="shared" si="4840"/>
        <v>PERSHAD</v>
      </c>
      <c r="D13374">
        <f>12</f>
        <v>12</v>
      </c>
      <c r="E13374" t="str">
        <f>"01 - A - 101 - Justin D Willard"</f>
        <v>01 - A - 101 - Justin D Willard</v>
      </c>
      <c r="F13374" t="str">
        <f>"PREP AD LIV"</f>
        <v>PREP AD LIV</v>
      </c>
      <c r="G13374" t="str">
        <f>"21-2111"</f>
        <v>21-2111</v>
      </c>
      <c r="H13374" t="str">
        <f>"A"</f>
        <v>A</v>
      </c>
    </row>
    <row r="13375" spans="1:8" x14ac:dyDescent="0.2">
      <c r="A13375" t="str">
        <f t="shared" si="4838"/>
        <v>0611080217</v>
      </c>
      <c r="B13375" t="str">
        <f t="shared" si="4839"/>
        <v>TAANUJA</v>
      </c>
      <c r="C13375" t="str">
        <f t="shared" si="4840"/>
        <v>PERSHAD</v>
      </c>
      <c r="D13375">
        <f>12</f>
        <v>12</v>
      </c>
      <c r="E13375" t="str">
        <f>"08 - B - 108 - Adam Marcus  Drucker"</f>
        <v>08 - B - 108 - Adam Marcus  Drucker</v>
      </c>
      <c r="F13375" t="str">
        <f>"HOPE-PE V"</f>
        <v>HOPE-PE V</v>
      </c>
      <c r="G13375" t="str">
        <f>"04-254"</f>
        <v>04-254</v>
      </c>
      <c r="H13375" t="str">
        <f>"B"</f>
        <v>B</v>
      </c>
    </row>
    <row r="13376" spans="1:8" x14ac:dyDescent="0.2">
      <c r="A13376" t="str">
        <f t="shared" ref="A13376:A13383" si="4841">"0616107387"</f>
        <v>0616107387</v>
      </c>
      <c r="B13376" t="str">
        <f t="shared" ref="B13376:B13383" si="4842">"ANYA"</f>
        <v>ANYA</v>
      </c>
      <c r="C13376" t="str">
        <f t="shared" ref="C13376:C13399" si="4843">"PETERSEN"</f>
        <v>PETERSEN</v>
      </c>
      <c r="D13376" t="str">
        <f t="shared" ref="D13376:D13399" si="4844">"09"</f>
        <v>09</v>
      </c>
      <c r="E13376" t="str">
        <f>"04 - A - 102 - Elizabeth R Walker"</f>
        <v>04 - A - 102 - Elizabeth R Walker</v>
      </c>
      <c r="F13376" t="str">
        <f>"AICE ENG GEN PAPER 1"</f>
        <v>AICE ENG GEN PAPER 1</v>
      </c>
      <c r="G13376" t="str">
        <f>"17-1703"</f>
        <v>17-1703</v>
      </c>
      <c r="H13376" t="str">
        <f>"A"</f>
        <v>A</v>
      </c>
    </row>
    <row r="13377" spans="1:8" x14ac:dyDescent="0.2">
      <c r="A13377" t="str">
        <f t="shared" si="4841"/>
        <v>0616107387</v>
      </c>
      <c r="B13377" t="str">
        <f t="shared" si="4842"/>
        <v>ANYA</v>
      </c>
      <c r="C13377" t="str">
        <f t="shared" si="4843"/>
        <v>PETERSEN</v>
      </c>
      <c r="D13377" t="str">
        <f t="shared" si="4844"/>
        <v>09</v>
      </c>
      <c r="E13377" t="str">
        <f>"06 - B - 110 - Krystal Marie  Beruty"</f>
        <v>06 - B - 110 - Krystal Marie  Beruty</v>
      </c>
      <c r="F13377" t="str">
        <f>"AICE GLBL PERSP 1 AS"</f>
        <v>AICE GLBL PERSP 1 AS</v>
      </c>
      <c r="G13377" t="str">
        <f>"17-1721"</f>
        <v>17-1721</v>
      </c>
      <c r="H13377" t="str">
        <f>"B"</f>
        <v>B</v>
      </c>
    </row>
    <row r="13378" spans="1:8" x14ac:dyDescent="0.2">
      <c r="A13378" t="str">
        <f t="shared" si="4841"/>
        <v>0616107387</v>
      </c>
      <c r="B13378" t="str">
        <f t="shared" si="4842"/>
        <v>ANYA</v>
      </c>
      <c r="C13378" t="str">
        <f t="shared" si="4843"/>
        <v>PETERSEN</v>
      </c>
      <c r="D13378" t="str">
        <f t="shared" si="4844"/>
        <v>09</v>
      </c>
      <c r="E13378" t="str">
        <f>"03 - A - 201 - Christa T Parisi"</f>
        <v>03 - A - 201 - Christa T Parisi</v>
      </c>
      <c r="F13378" t="str">
        <f>"DANCE TECHNQS 1"</f>
        <v>DANCE TECHNQS 1</v>
      </c>
      <c r="G13378" t="str">
        <f>"05-503"</f>
        <v>05-503</v>
      </c>
      <c r="H13378" t="str">
        <f>"A"</f>
        <v>A</v>
      </c>
    </row>
    <row r="13379" spans="1:8" x14ac:dyDescent="0.2">
      <c r="A13379" t="str">
        <f t="shared" si="4841"/>
        <v>0616107387</v>
      </c>
      <c r="B13379" t="str">
        <f t="shared" si="4842"/>
        <v>ANYA</v>
      </c>
      <c r="C13379" t="str">
        <f t="shared" si="4843"/>
        <v>PETERSEN</v>
      </c>
      <c r="D13379" t="str">
        <f t="shared" si="4844"/>
        <v>09</v>
      </c>
      <c r="E13379" t="str">
        <f>"02 - A - 116 - Tina L Lovett"</f>
        <v>02 - A - 116 - Tina L Lovett</v>
      </c>
      <c r="F13379" t="str">
        <f>"NC STUDY HALL 1"</f>
        <v>NC STUDY HALL 1</v>
      </c>
      <c r="G13379" t="str">
        <f>"21-2153"</f>
        <v>21-2153</v>
      </c>
      <c r="H13379" t="str">
        <f>"A"</f>
        <v>A</v>
      </c>
    </row>
    <row r="13380" spans="1:8" x14ac:dyDescent="0.2">
      <c r="A13380" t="str">
        <f t="shared" si="4841"/>
        <v>0616107387</v>
      </c>
      <c r="B13380" t="str">
        <f t="shared" si="4842"/>
        <v>ANYA</v>
      </c>
      <c r="C13380" t="str">
        <f t="shared" si="4843"/>
        <v>PETERSEN</v>
      </c>
      <c r="D13380" t="str">
        <f t="shared" si="4844"/>
        <v>09</v>
      </c>
      <c r="E13380" t="str">
        <f>"07 - B - 103 - Vanessa J Liburd"</f>
        <v>07 - B - 103 - Vanessa J Liburd</v>
      </c>
      <c r="F13380" t="str">
        <f>"PRE-AICE FRENCH 1 IG"</f>
        <v>PRE-AICE FRENCH 1 IG</v>
      </c>
      <c r="G13380" t="str">
        <f>"05-519"</f>
        <v>05-519</v>
      </c>
      <c r="H13380" t="str">
        <f>"B"</f>
        <v>B</v>
      </c>
    </row>
    <row r="13381" spans="1:8" x14ac:dyDescent="0.2">
      <c r="A13381" t="str">
        <f t="shared" si="4841"/>
        <v>0616107387</v>
      </c>
      <c r="B13381" t="str">
        <f t="shared" si="4842"/>
        <v>ANYA</v>
      </c>
      <c r="C13381" t="str">
        <f t="shared" si="4843"/>
        <v>PETERSEN</v>
      </c>
      <c r="D13381" t="str">
        <f t="shared" si="4844"/>
        <v>09</v>
      </c>
      <c r="E13381" t="str">
        <f>"05 - B - 104 - Maried P Ramos"</f>
        <v>05 - B - 104 - Maried P Ramos</v>
      </c>
      <c r="F13381" t="str">
        <f>"PRE-AICE MATH 2 IG"</f>
        <v>PRE-AICE MATH 2 IG</v>
      </c>
      <c r="G13381" t="str">
        <f>"21-2159"</f>
        <v>21-2159</v>
      </c>
      <c r="H13381" t="str">
        <f>"B"</f>
        <v>B</v>
      </c>
    </row>
    <row r="13382" spans="1:8" x14ac:dyDescent="0.2">
      <c r="A13382" t="str">
        <f t="shared" si="4841"/>
        <v>0616107387</v>
      </c>
      <c r="B13382" t="str">
        <f t="shared" si="4842"/>
        <v>ANYA</v>
      </c>
      <c r="C13382" t="str">
        <f t="shared" si="4843"/>
        <v>PETERSEN</v>
      </c>
      <c r="D13382" t="str">
        <f t="shared" si="4844"/>
        <v>09</v>
      </c>
      <c r="E13382" t="str">
        <f>"01 - A - 201 - Cheryl L Beach"</f>
        <v>01 - A - 201 - Cheryl L Beach</v>
      </c>
      <c r="F13382" t="str">
        <f>"AICE ENV MGMNT AS"</f>
        <v>AICE ENV MGMNT AS</v>
      </c>
      <c r="G13382" t="str">
        <f>"08-811"</f>
        <v>08-811</v>
      </c>
      <c r="H13382" t="str">
        <f>"A"</f>
        <v>A</v>
      </c>
    </row>
    <row r="13383" spans="1:8" x14ac:dyDescent="0.2">
      <c r="A13383" t="str">
        <f t="shared" si="4841"/>
        <v>0616107387</v>
      </c>
      <c r="B13383" t="str">
        <f t="shared" si="4842"/>
        <v>ANYA</v>
      </c>
      <c r="C13383" t="str">
        <f t="shared" si="4843"/>
        <v>PETERSEN</v>
      </c>
      <c r="D13383" t="str">
        <f t="shared" si="4844"/>
        <v>09</v>
      </c>
      <c r="E13383" t="str">
        <f>"08 - B - 201 - Tina M Jaramillo"</f>
        <v>08 - B - 201 - Tina M Jaramillo</v>
      </c>
      <c r="F13383" t="str">
        <f>"CREATIVE WRIT 3 HON"</f>
        <v>CREATIVE WRIT 3 HON</v>
      </c>
      <c r="G13383" t="str">
        <f>"17-1706"</f>
        <v>17-1706</v>
      </c>
      <c r="H13383" t="str">
        <f>"B"</f>
        <v>B</v>
      </c>
    </row>
    <row r="13384" spans="1:8" x14ac:dyDescent="0.2">
      <c r="A13384" t="str">
        <f t="shared" ref="A13384:A13391" si="4845">"0617010273"</f>
        <v>0617010273</v>
      </c>
      <c r="B13384" t="str">
        <f t="shared" ref="B13384:B13391" si="4846">"CALEB"</f>
        <v>CALEB</v>
      </c>
      <c r="C13384" t="str">
        <f t="shared" si="4843"/>
        <v>PETERSEN</v>
      </c>
      <c r="D13384" t="str">
        <f t="shared" si="4844"/>
        <v>09</v>
      </c>
      <c r="E13384" t="str">
        <f>"04 - A - 102 - Elizabeth R Walker"</f>
        <v>04 - A - 102 - Elizabeth R Walker</v>
      </c>
      <c r="F13384" t="str">
        <f>"AICE ENG GEN PAPER 1"</f>
        <v>AICE ENG GEN PAPER 1</v>
      </c>
      <c r="G13384" t="str">
        <f>"17-1703"</f>
        <v>17-1703</v>
      </c>
      <c r="H13384" t="str">
        <f>"A"</f>
        <v>A</v>
      </c>
    </row>
    <row r="13385" spans="1:8" x14ac:dyDescent="0.2">
      <c r="A13385" t="str">
        <f t="shared" si="4845"/>
        <v>0617010273</v>
      </c>
      <c r="B13385" t="str">
        <f t="shared" si="4846"/>
        <v>CALEB</v>
      </c>
      <c r="C13385" t="str">
        <f t="shared" si="4843"/>
        <v>PETERSEN</v>
      </c>
      <c r="D13385" t="str">
        <f t="shared" si="4844"/>
        <v>09</v>
      </c>
      <c r="E13385" t="str">
        <f>"06 - B - 102 - Rosa Elaine  Collado-Duff"</f>
        <v>06 - B - 102 - Rosa Elaine  Collado-Duff</v>
      </c>
      <c r="F13385" t="str">
        <f>"SPANISH 3 HON"</f>
        <v>SPANISH 3 HON</v>
      </c>
      <c r="G13385" t="str">
        <f>"09-913"</f>
        <v>09-913</v>
      </c>
      <c r="H13385" t="str">
        <f>"B"</f>
        <v>B</v>
      </c>
    </row>
    <row r="13386" spans="1:8" x14ac:dyDescent="0.2">
      <c r="A13386" t="str">
        <f t="shared" si="4845"/>
        <v>0617010273</v>
      </c>
      <c r="B13386" t="str">
        <f t="shared" si="4846"/>
        <v>CALEB</v>
      </c>
      <c r="C13386" t="str">
        <f t="shared" si="4843"/>
        <v>PETERSEN</v>
      </c>
      <c r="D13386" t="str">
        <f t="shared" si="4844"/>
        <v>09</v>
      </c>
      <c r="E13386" t="str">
        <f>"03 - A - 001 - Maried P Ramos"</f>
        <v>03 - A - 001 - Maried P Ramos</v>
      </c>
      <c r="F13386" t="str">
        <f>"PRE-AICE MATH 2 IG"</f>
        <v>PRE-AICE MATH 2 IG</v>
      </c>
      <c r="G13386" t="str">
        <f>"21-2159"</f>
        <v>21-2159</v>
      </c>
      <c r="H13386" t="str">
        <f>"A"</f>
        <v>A</v>
      </c>
    </row>
    <row r="13387" spans="1:8" x14ac:dyDescent="0.2">
      <c r="A13387" t="str">
        <f t="shared" si="4845"/>
        <v>0617010273</v>
      </c>
      <c r="B13387" t="str">
        <f t="shared" si="4846"/>
        <v>CALEB</v>
      </c>
      <c r="C13387" t="str">
        <f t="shared" si="4843"/>
        <v>PETERSEN</v>
      </c>
      <c r="D13387" t="str">
        <f t="shared" si="4844"/>
        <v>09</v>
      </c>
      <c r="E13387" t="str">
        <f>"02 - A - 109 - Krystal Marie  Beruty"</f>
        <v>02 - A - 109 - Krystal Marie  Beruty</v>
      </c>
      <c r="F13387" t="str">
        <f>"NC STUDY HALL 1"</f>
        <v>NC STUDY HALL 1</v>
      </c>
      <c r="G13387" t="str">
        <f>"17-1721"</f>
        <v>17-1721</v>
      </c>
      <c r="H13387" t="str">
        <f>"A"</f>
        <v>A</v>
      </c>
    </row>
    <row r="13388" spans="1:8" x14ac:dyDescent="0.2">
      <c r="A13388" t="str">
        <f t="shared" si="4845"/>
        <v>0617010273</v>
      </c>
      <c r="B13388" t="str">
        <f t="shared" si="4846"/>
        <v>CALEB</v>
      </c>
      <c r="C13388" t="str">
        <f t="shared" si="4843"/>
        <v>PETERSEN</v>
      </c>
      <c r="D13388" t="str">
        <f t="shared" si="4844"/>
        <v>09</v>
      </c>
      <c r="E13388" t="str">
        <f>"07 - S1 - B - 107 - Richard E Dunbar Iii"</f>
        <v>07 - S1 - B - 107 - Richard E Dunbar Iii</v>
      </c>
      <c r="F13388" t="str">
        <f>"WEIGHT TRAIN 1"</f>
        <v>WEIGHT TRAIN 1</v>
      </c>
      <c r="G13388" t="str">
        <f>"05-501"</f>
        <v>05-501</v>
      </c>
      <c r="H13388" t="str">
        <f>"B"</f>
        <v>B</v>
      </c>
    </row>
    <row r="13389" spans="1:8" x14ac:dyDescent="0.2">
      <c r="A13389" t="str">
        <f t="shared" si="4845"/>
        <v>0617010273</v>
      </c>
      <c r="B13389" t="str">
        <f t="shared" si="4846"/>
        <v>CALEB</v>
      </c>
      <c r="C13389" t="str">
        <f t="shared" si="4843"/>
        <v>PETERSEN</v>
      </c>
      <c r="D13389" t="str">
        <f t="shared" si="4844"/>
        <v>09</v>
      </c>
      <c r="E13389" t="str">
        <f>"05 - B - 103 - Byron G Montenegro"</f>
        <v>05 - B - 103 - Byron G Montenegro</v>
      </c>
      <c r="F13389" t="str">
        <f>"AICE MARINE SCI 1 AS"</f>
        <v>AICE MARINE SCI 1 AS</v>
      </c>
      <c r="G13389" t="str">
        <f>"21-2144"</f>
        <v>21-2144</v>
      </c>
      <c r="H13389" t="str">
        <f>"B"</f>
        <v>B</v>
      </c>
    </row>
    <row r="13390" spans="1:8" x14ac:dyDescent="0.2">
      <c r="A13390" t="str">
        <f t="shared" si="4845"/>
        <v>0617010273</v>
      </c>
      <c r="B13390" t="str">
        <f t="shared" si="4846"/>
        <v>CALEB</v>
      </c>
      <c r="C13390" t="str">
        <f t="shared" si="4843"/>
        <v>PETERSEN</v>
      </c>
      <c r="D13390" t="str">
        <f t="shared" si="4844"/>
        <v>09</v>
      </c>
      <c r="E13390" t="str">
        <f>"01 - A - 002 - Krystal Marie  Beruty"</f>
        <v>01 - A - 002 - Krystal Marie  Beruty</v>
      </c>
      <c r="F13390" t="str">
        <f>"AICE GLBL PERSP 1 AS"</f>
        <v>AICE GLBL PERSP 1 AS</v>
      </c>
      <c r="G13390" t="str">
        <f>"17-1721"</f>
        <v>17-1721</v>
      </c>
      <c r="H13390" t="str">
        <f>"A"</f>
        <v>A</v>
      </c>
    </row>
    <row r="13391" spans="1:8" x14ac:dyDescent="0.2">
      <c r="A13391" t="str">
        <f t="shared" si="4845"/>
        <v>0617010273</v>
      </c>
      <c r="B13391" t="str">
        <f t="shared" si="4846"/>
        <v>CALEB</v>
      </c>
      <c r="C13391" t="str">
        <f t="shared" si="4843"/>
        <v>PETERSEN</v>
      </c>
      <c r="D13391" t="str">
        <f t="shared" si="4844"/>
        <v>09</v>
      </c>
      <c r="E13391" t="str">
        <f>"08 - B - 102 - Josiah I Lacy"</f>
        <v>08 - B - 102 - Josiah I Lacy</v>
      </c>
      <c r="F13391" t="str">
        <f>"ANAT PHYSIO HON"</f>
        <v>ANAT PHYSIO HON</v>
      </c>
      <c r="G13391" t="str">
        <f>"08-801"</f>
        <v>08-801</v>
      </c>
      <c r="H13391" t="str">
        <f>"B"</f>
        <v>B</v>
      </c>
    </row>
    <row r="13392" spans="1:8" x14ac:dyDescent="0.2">
      <c r="A13392" t="str">
        <f t="shared" ref="A13392:A13399" si="4847">"0617010261"</f>
        <v>0617010261</v>
      </c>
      <c r="B13392" t="str">
        <f t="shared" ref="B13392:B13399" si="4848">"LEAH"</f>
        <v>LEAH</v>
      </c>
      <c r="C13392" t="str">
        <f t="shared" si="4843"/>
        <v>PETERSEN</v>
      </c>
      <c r="D13392" t="str">
        <f t="shared" si="4844"/>
        <v>09</v>
      </c>
      <c r="E13392" t="str">
        <f>"04 - A - 106 - Ferrie J Arostique"</f>
        <v>04 - A - 106 - Ferrie J Arostique</v>
      </c>
      <c r="F13392" t="str">
        <f>"PRE-AICE MATH 2 IG"</f>
        <v>PRE-AICE MATH 2 IG</v>
      </c>
      <c r="G13392" t="str">
        <f>"21-2139"</f>
        <v>21-2139</v>
      </c>
      <c r="H13392" t="str">
        <f>"A"</f>
        <v>A</v>
      </c>
    </row>
    <row r="13393" spans="1:8" x14ac:dyDescent="0.2">
      <c r="A13393" t="str">
        <f t="shared" si="4847"/>
        <v>0617010261</v>
      </c>
      <c r="B13393" t="str">
        <f t="shared" si="4848"/>
        <v>LEAH</v>
      </c>
      <c r="C13393" t="str">
        <f t="shared" si="4843"/>
        <v>PETERSEN</v>
      </c>
      <c r="D13393" t="str">
        <f t="shared" si="4844"/>
        <v>09</v>
      </c>
      <c r="E13393" t="str">
        <f>"06 - B - 202 - Brian M Fitzgerald"</f>
        <v>06 - B - 202 - Brian M Fitzgerald</v>
      </c>
      <c r="F13393" t="str">
        <f>"DRAW 1"</f>
        <v>DRAW 1</v>
      </c>
      <c r="G13393" t="str">
        <f>"09-908"</f>
        <v>09-908</v>
      </c>
      <c r="H13393" t="str">
        <f>"B"</f>
        <v>B</v>
      </c>
    </row>
    <row r="13394" spans="1:8" x14ac:dyDescent="0.2">
      <c r="A13394" t="str">
        <f t="shared" si="4847"/>
        <v>0617010261</v>
      </c>
      <c r="B13394" t="str">
        <f t="shared" si="4848"/>
        <v>LEAH</v>
      </c>
      <c r="C13394" t="str">
        <f t="shared" si="4843"/>
        <v>PETERSEN</v>
      </c>
      <c r="D13394" t="str">
        <f t="shared" si="4844"/>
        <v>09</v>
      </c>
      <c r="E13394" t="str">
        <f>"03 - S1 - A - 102 - Angela S Adeshina-Morrison"</f>
        <v>03 - S1 - A - 102 - Angela S Adeshina-Morrison</v>
      </c>
      <c r="F13394" t="str">
        <f>"PEER COUN 1"</f>
        <v>PEER COUN 1</v>
      </c>
      <c r="G13394" t="str">
        <f>"05-518"</f>
        <v>05-518</v>
      </c>
      <c r="H13394" t="str">
        <f>"A"</f>
        <v>A</v>
      </c>
    </row>
    <row r="13395" spans="1:8" x14ac:dyDescent="0.2">
      <c r="A13395" t="str">
        <f t="shared" si="4847"/>
        <v>0617010261</v>
      </c>
      <c r="B13395" t="str">
        <f t="shared" si="4848"/>
        <v>LEAH</v>
      </c>
      <c r="C13395" t="str">
        <f t="shared" si="4843"/>
        <v>PETERSEN</v>
      </c>
      <c r="D13395" t="str">
        <f t="shared" si="4844"/>
        <v>09</v>
      </c>
      <c r="E13395" t="str">
        <f>"02 - A - 116 - Tina L Lovett"</f>
        <v>02 - A - 116 - Tina L Lovett</v>
      </c>
      <c r="F13395" t="str">
        <f>"NC STUDY HALL 1"</f>
        <v>NC STUDY HALL 1</v>
      </c>
      <c r="G13395" t="str">
        <f>"21-2153"</f>
        <v>21-2153</v>
      </c>
      <c r="H13395" t="str">
        <f>"A"</f>
        <v>A</v>
      </c>
    </row>
    <row r="13396" spans="1:8" x14ac:dyDescent="0.2">
      <c r="A13396" t="str">
        <f t="shared" si="4847"/>
        <v>0617010261</v>
      </c>
      <c r="B13396" t="str">
        <f t="shared" si="4848"/>
        <v>LEAH</v>
      </c>
      <c r="C13396" t="str">
        <f t="shared" si="4843"/>
        <v>PETERSEN</v>
      </c>
      <c r="D13396" t="str">
        <f t="shared" si="4844"/>
        <v>09</v>
      </c>
      <c r="E13396" t="str">
        <f>"07 - B - 107 - Marius D Orsolini"</f>
        <v>07 - B - 107 - Marius D Orsolini</v>
      </c>
      <c r="F13396" t="str">
        <f>"CULINARY ARTS 1"</f>
        <v>CULINARY ARTS 1</v>
      </c>
      <c r="G13396" t="str">
        <f>"21-2115"</f>
        <v>21-2115</v>
      </c>
      <c r="H13396" t="str">
        <f>"B"</f>
        <v>B</v>
      </c>
    </row>
    <row r="13397" spans="1:8" x14ac:dyDescent="0.2">
      <c r="A13397" t="str">
        <f t="shared" si="4847"/>
        <v>0617010261</v>
      </c>
      <c r="B13397" t="str">
        <f t="shared" si="4848"/>
        <v>LEAH</v>
      </c>
      <c r="C13397" t="str">
        <f t="shared" si="4843"/>
        <v>PETERSEN</v>
      </c>
      <c r="D13397" t="str">
        <f t="shared" si="4844"/>
        <v>09</v>
      </c>
      <c r="E13397" t="str">
        <f>"05 - B - 103 - Byron G Montenegro"</f>
        <v>05 - B - 103 - Byron G Montenegro</v>
      </c>
      <c r="F13397" t="str">
        <f>"AICE MARINE SCI 1 AS"</f>
        <v>AICE MARINE SCI 1 AS</v>
      </c>
      <c r="G13397" t="str">
        <f>"21-2144"</f>
        <v>21-2144</v>
      </c>
      <c r="H13397" t="str">
        <f>"B"</f>
        <v>B</v>
      </c>
    </row>
    <row r="13398" spans="1:8" x14ac:dyDescent="0.2">
      <c r="A13398" t="str">
        <f t="shared" si="4847"/>
        <v>0617010261</v>
      </c>
      <c r="B13398" t="str">
        <f t="shared" si="4848"/>
        <v>LEAH</v>
      </c>
      <c r="C13398" t="str">
        <f t="shared" si="4843"/>
        <v>PETERSEN</v>
      </c>
      <c r="D13398" t="str">
        <f t="shared" si="4844"/>
        <v>09</v>
      </c>
      <c r="E13398" t="str">
        <f>"01 - A - 002 - Krystal Marie  Beruty"</f>
        <v>01 - A - 002 - Krystal Marie  Beruty</v>
      </c>
      <c r="F13398" t="str">
        <f>"AICE GLBL PERSP 1 AS"</f>
        <v>AICE GLBL PERSP 1 AS</v>
      </c>
      <c r="G13398" t="str">
        <f>"17-1721"</f>
        <v>17-1721</v>
      </c>
      <c r="H13398" t="str">
        <f>"A"</f>
        <v>A</v>
      </c>
    </row>
    <row r="13399" spans="1:8" x14ac:dyDescent="0.2">
      <c r="A13399" t="str">
        <f t="shared" si="4847"/>
        <v>0617010261</v>
      </c>
      <c r="B13399" t="str">
        <f t="shared" si="4848"/>
        <v>LEAH</v>
      </c>
      <c r="C13399" t="str">
        <f t="shared" si="4843"/>
        <v>PETERSEN</v>
      </c>
      <c r="D13399" t="str">
        <f t="shared" si="4844"/>
        <v>09</v>
      </c>
      <c r="E13399" t="str">
        <f>"08 - B - 004 - Cheryl Anne  Berman-Schechter"</f>
        <v>08 - B - 004 - Cheryl Anne  Berman-Schechter</v>
      </c>
      <c r="F13399" t="str">
        <f>"AICE ENG GEN PAPER 1"</f>
        <v>AICE ENG GEN PAPER 1</v>
      </c>
      <c r="G13399" t="str">
        <f>"17-1722"</f>
        <v>17-1722</v>
      </c>
      <c r="H13399" t="str">
        <f>"B"</f>
        <v>B</v>
      </c>
    </row>
    <row r="13400" spans="1:8" x14ac:dyDescent="0.2">
      <c r="A13400" t="str">
        <f t="shared" ref="A13400:A13407" si="4849">"0613049371"</f>
        <v>0613049371</v>
      </c>
      <c r="B13400" t="str">
        <f t="shared" ref="B13400:B13407" si="4850">"JESSY"</f>
        <v>JESSY</v>
      </c>
      <c r="C13400" t="str">
        <f t="shared" ref="C13400:C13423" si="4851">"PETION"</f>
        <v>PETION</v>
      </c>
      <c r="D13400">
        <f>12</f>
        <v>12</v>
      </c>
      <c r="E13400" t="str">
        <f>"04 - A - 205 - Jacqueline R Morphet"</f>
        <v>04 - A - 205 - Jacqueline R Morphet</v>
      </c>
      <c r="F13400" t="str">
        <f>"PHYSICS 1 HON"</f>
        <v>PHYSICS 1 HON</v>
      </c>
      <c r="G13400" t="str">
        <f>"21-2138"</f>
        <v>21-2138</v>
      </c>
      <c r="H13400" t="str">
        <f>"A"</f>
        <v>A</v>
      </c>
    </row>
    <row r="13401" spans="1:8" x14ac:dyDescent="0.2">
      <c r="A13401" t="str">
        <f t="shared" si="4849"/>
        <v>0613049371</v>
      </c>
      <c r="B13401" t="str">
        <f t="shared" si="4850"/>
        <v>JESSY</v>
      </c>
      <c r="C13401" t="str">
        <f t="shared" si="4851"/>
        <v>PETION</v>
      </c>
      <c r="D13401">
        <f>12</f>
        <v>12</v>
      </c>
      <c r="E13401" t="str">
        <f>"06 - B - 107 - Pamela M Corzo"</f>
        <v>06 - B - 107 - Pamela M Corzo</v>
      </c>
      <c r="F13401" t="str">
        <f>"NC STUDY HALL 1"</f>
        <v>NC STUDY HALL 1</v>
      </c>
      <c r="G13401" t="str">
        <f>"21-2133"</f>
        <v>21-2133</v>
      </c>
      <c r="H13401" t="str">
        <f>"B"</f>
        <v>B</v>
      </c>
    </row>
    <row r="13402" spans="1:8" x14ac:dyDescent="0.2">
      <c r="A13402" t="str">
        <f t="shared" si="4849"/>
        <v>0613049371</v>
      </c>
      <c r="B13402" t="str">
        <f t="shared" si="4850"/>
        <v>JESSY</v>
      </c>
      <c r="C13402" t="str">
        <f t="shared" si="4851"/>
        <v>PETION</v>
      </c>
      <c r="D13402">
        <f>12</f>
        <v>12</v>
      </c>
      <c r="E13402" t="str">
        <f>"03 - S1 - A - 102 - Angela S Adeshina-Morrison"</f>
        <v>03 - S1 - A - 102 - Angela S Adeshina-Morrison</v>
      </c>
      <c r="F13402" t="str">
        <f>"PEER COUN 1"</f>
        <v>PEER COUN 1</v>
      </c>
      <c r="G13402" t="str">
        <f>"05-518"</f>
        <v>05-518</v>
      </c>
      <c r="H13402" t="str">
        <f>"A"</f>
        <v>A</v>
      </c>
    </row>
    <row r="13403" spans="1:8" x14ac:dyDescent="0.2">
      <c r="A13403" t="str">
        <f t="shared" si="4849"/>
        <v>0613049371</v>
      </c>
      <c r="B13403" t="str">
        <f t="shared" si="4850"/>
        <v>JESSY</v>
      </c>
      <c r="C13403" t="str">
        <f t="shared" si="4851"/>
        <v>PETION</v>
      </c>
      <c r="D13403">
        <f>12</f>
        <v>12</v>
      </c>
      <c r="E13403" t="str">
        <f>"02 - A - 101 - Brian M Fitzgerald"</f>
        <v>02 - A - 101 - Brian M Fitzgerald</v>
      </c>
      <c r="F13403" t="str">
        <f>"DRAW 1"</f>
        <v>DRAW 1</v>
      </c>
      <c r="G13403" t="str">
        <f>"09-908"</f>
        <v>09-908</v>
      </c>
      <c r="H13403" t="str">
        <f>"A"</f>
        <v>A</v>
      </c>
    </row>
    <row r="13404" spans="1:8" x14ac:dyDescent="0.2">
      <c r="A13404" t="str">
        <f t="shared" si="4849"/>
        <v>0613049371</v>
      </c>
      <c r="B13404" t="str">
        <f t="shared" si="4850"/>
        <v>JESSY</v>
      </c>
      <c r="C13404" t="str">
        <f t="shared" si="4851"/>
        <v>PETION</v>
      </c>
      <c r="D13404">
        <f>12</f>
        <v>12</v>
      </c>
      <c r="E13404" t="str">
        <f>"07 - B - 001 - Rachel M Montrose"</f>
        <v>07 - B - 001 - Rachel M Montrose</v>
      </c>
      <c r="F13404" t="str">
        <f>"JOURN 2 (NP) LH"</f>
        <v>JOURN 2 (NP) LH</v>
      </c>
      <c r="G13404" t="str">
        <f>"05-521"</f>
        <v>05-521</v>
      </c>
      <c r="H13404" t="str">
        <f>"B"</f>
        <v>B</v>
      </c>
    </row>
    <row r="13405" spans="1:8" x14ac:dyDescent="0.2">
      <c r="A13405" t="str">
        <f t="shared" si="4849"/>
        <v>0613049371</v>
      </c>
      <c r="B13405" t="str">
        <f t="shared" si="4850"/>
        <v>JESSY</v>
      </c>
      <c r="C13405" t="str">
        <f t="shared" si="4851"/>
        <v>PETION</v>
      </c>
      <c r="D13405">
        <f>12</f>
        <v>12</v>
      </c>
      <c r="E13405" t="str">
        <f>"05 - B - 104 - Jeffrey S Gallagher"</f>
        <v>05 - B - 104 - Jeffrey S Gallagher</v>
      </c>
      <c r="F13405" t="str">
        <f>"ENG HON 4"</f>
        <v>ENG HON 4</v>
      </c>
      <c r="G13405" t="str">
        <f>"17-1724"</f>
        <v>17-1724</v>
      </c>
      <c r="H13405" t="str">
        <f>"B"</f>
        <v>B</v>
      </c>
    </row>
    <row r="13406" spans="1:8" x14ac:dyDescent="0.2">
      <c r="A13406" t="str">
        <f t="shared" si="4849"/>
        <v>0613049371</v>
      </c>
      <c r="B13406" t="str">
        <f t="shared" si="4850"/>
        <v>JESSY</v>
      </c>
      <c r="C13406" t="str">
        <f t="shared" si="4851"/>
        <v>PETION</v>
      </c>
      <c r="D13406">
        <f>12</f>
        <v>12</v>
      </c>
      <c r="E13406" t="str">
        <f>"01 - S1 - A - 101 - Barbara L Segal"</f>
        <v>01 - S1 - A - 101 - Barbara L Segal</v>
      </c>
      <c r="F13406" t="str">
        <f>"US GOVT HON"</f>
        <v>US GOVT HON</v>
      </c>
      <c r="G13406" t="str">
        <f>"17-1742"</f>
        <v>17-1742</v>
      </c>
      <c r="H13406" t="str">
        <f>"A"</f>
        <v>A</v>
      </c>
    </row>
    <row r="13407" spans="1:8" x14ac:dyDescent="0.2">
      <c r="A13407" t="str">
        <f t="shared" si="4849"/>
        <v>0613049371</v>
      </c>
      <c r="B13407" t="str">
        <f t="shared" si="4850"/>
        <v>JESSY</v>
      </c>
      <c r="C13407" t="str">
        <f t="shared" si="4851"/>
        <v>PETION</v>
      </c>
      <c r="D13407">
        <f>12</f>
        <v>12</v>
      </c>
      <c r="E13407" t="str">
        <f>"08 - B - 107 - Dayna M Foster"</f>
        <v>08 - B - 107 - Dayna M Foster</v>
      </c>
      <c r="F13407" t="str">
        <f>"ALGEBRA 2"</f>
        <v>ALGEBRA 2</v>
      </c>
      <c r="G13407" t="str">
        <f>"21-2109"</f>
        <v>21-2109</v>
      </c>
      <c r="H13407" t="str">
        <f>"B"</f>
        <v>B</v>
      </c>
    </row>
    <row r="13408" spans="1:8" x14ac:dyDescent="0.2">
      <c r="A13408" t="str">
        <f t="shared" ref="A13408:A13415" si="4852">"0617031881"</f>
        <v>0617031881</v>
      </c>
      <c r="B13408" t="str">
        <f t="shared" ref="B13408:B13415" si="4853">"NATHAN"</f>
        <v>NATHAN</v>
      </c>
      <c r="C13408" t="str">
        <f t="shared" si="4851"/>
        <v>PETION</v>
      </c>
      <c r="D13408" t="str">
        <f t="shared" ref="D13408:D13415" si="4854">"09"</f>
        <v>09</v>
      </c>
      <c r="E13408" t="str">
        <f>"04 - A - 103 - Cerine S Stewart"</f>
        <v>04 - A - 103 - Cerine S Stewart</v>
      </c>
      <c r="F13408" t="str">
        <f>"ENG 1"</f>
        <v>ENG 1</v>
      </c>
      <c r="G13408" t="str">
        <f>"17-1720"</f>
        <v>17-1720</v>
      </c>
      <c r="H13408" t="str">
        <f>"A"</f>
        <v>A</v>
      </c>
    </row>
    <row r="13409" spans="1:8" x14ac:dyDescent="0.2">
      <c r="A13409" t="str">
        <f t="shared" si="4852"/>
        <v>0617031881</v>
      </c>
      <c r="B13409" t="str">
        <f t="shared" si="4853"/>
        <v>NATHAN</v>
      </c>
      <c r="C13409" t="str">
        <f t="shared" si="4851"/>
        <v>PETION</v>
      </c>
      <c r="D13409" t="str">
        <f t="shared" si="4854"/>
        <v>09</v>
      </c>
      <c r="E13409" t="str">
        <f>"06 - B - 105 - Tina L Lovett"</f>
        <v>06 - B - 105 - Tina L Lovett</v>
      </c>
      <c r="F13409" t="str">
        <f>"FDN SKLS MATH 9-12"</f>
        <v>FDN SKLS MATH 9-12</v>
      </c>
      <c r="G13409" t="str">
        <f>"21-2153"</f>
        <v>21-2153</v>
      </c>
      <c r="H13409" t="str">
        <f>"B"</f>
        <v>B</v>
      </c>
    </row>
    <row r="13410" spans="1:8" x14ac:dyDescent="0.2">
      <c r="A13410" t="str">
        <f t="shared" si="4852"/>
        <v>0617031881</v>
      </c>
      <c r="B13410" t="str">
        <f t="shared" si="4853"/>
        <v>NATHAN</v>
      </c>
      <c r="C13410" t="str">
        <f t="shared" si="4851"/>
        <v>PETION</v>
      </c>
      <c r="D13410" t="str">
        <f t="shared" si="4854"/>
        <v>09</v>
      </c>
      <c r="E13410" t="str">
        <f>"03 - A - 109 - Lissa C Frederique"</f>
        <v>03 - A - 109 - Lissa C Frederique</v>
      </c>
      <c r="F13410" t="str">
        <f>"WORLD HISTORY"</f>
        <v>WORLD HISTORY</v>
      </c>
      <c r="G13410" t="str">
        <f>"17-1754"</f>
        <v>17-1754</v>
      </c>
      <c r="H13410" t="str">
        <f>"A"</f>
        <v>A</v>
      </c>
    </row>
    <row r="13411" spans="1:8" x14ac:dyDescent="0.2">
      <c r="A13411" t="str">
        <f t="shared" si="4852"/>
        <v>0617031881</v>
      </c>
      <c r="B13411" t="str">
        <f t="shared" si="4853"/>
        <v>NATHAN</v>
      </c>
      <c r="C13411" t="str">
        <f t="shared" si="4851"/>
        <v>PETION</v>
      </c>
      <c r="D13411" t="str">
        <f t="shared" si="4854"/>
        <v>09</v>
      </c>
      <c r="E13411" t="str">
        <f>"02 - A - 105 - Elizabeth R Walker"</f>
        <v>02 - A - 105 - Elizabeth R Walker</v>
      </c>
      <c r="F13411" t="str">
        <f>"NC STUDY HALL 1"</f>
        <v>NC STUDY HALL 1</v>
      </c>
      <c r="G13411" t="str">
        <f>"17-1703"</f>
        <v>17-1703</v>
      </c>
      <c r="H13411" t="str">
        <f>"A"</f>
        <v>A</v>
      </c>
    </row>
    <row r="13412" spans="1:8" x14ac:dyDescent="0.2">
      <c r="A13412" t="str">
        <f t="shared" si="4852"/>
        <v>0617031881</v>
      </c>
      <c r="B13412" t="str">
        <f t="shared" si="4853"/>
        <v>NATHAN</v>
      </c>
      <c r="C13412" t="str">
        <f t="shared" si="4851"/>
        <v>PETION</v>
      </c>
      <c r="D13412" t="str">
        <f t="shared" si="4854"/>
        <v>09</v>
      </c>
      <c r="E13412" t="str">
        <f>"07 - B - 105 - Laselleda D Shaw"</f>
        <v>07 - B - 105 - Laselleda D Shaw</v>
      </c>
      <c r="F13412" t="str">
        <f>"INTENS READ 1"</f>
        <v>INTENS READ 1</v>
      </c>
      <c r="G13412" t="str">
        <f>"17-1723"</f>
        <v>17-1723</v>
      </c>
      <c r="H13412" t="str">
        <f>"B"</f>
        <v>B</v>
      </c>
    </row>
    <row r="13413" spans="1:8" x14ac:dyDescent="0.2">
      <c r="A13413" t="str">
        <f t="shared" si="4852"/>
        <v>0617031881</v>
      </c>
      <c r="B13413" t="str">
        <f t="shared" si="4853"/>
        <v>NATHAN</v>
      </c>
      <c r="C13413" t="str">
        <f t="shared" si="4851"/>
        <v>PETION</v>
      </c>
      <c r="D13413" t="str">
        <f t="shared" si="4854"/>
        <v>09</v>
      </c>
      <c r="E13413" t="str">
        <f>"05 - B - 102 - Jeanne M Bermudez"</f>
        <v>05 - B - 102 - Jeanne M Bermudez</v>
      </c>
      <c r="F13413" t="str">
        <f>"ADVANCED IT HON"</f>
        <v>ADVANCED IT HON</v>
      </c>
      <c r="G13413" t="str">
        <f>"21-2141"</f>
        <v>21-2141</v>
      </c>
      <c r="H13413" t="str">
        <f>"B"</f>
        <v>B</v>
      </c>
    </row>
    <row r="13414" spans="1:8" x14ac:dyDescent="0.2">
      <c r="A13414" t="str">
        <f t="shared" si="4852"/>
        <v>0617031881</v>
      </c>
      <c r="B13414" t="str">
        <f t="shared" si="4853"/>
        <v>NATHAN</v>
      </c>
      <c r="C13414" t="str">
        <f t="shared" si="4851"/>
        <v>PETION</v>
      </c>
      <c r="D13414" t="str">
        <f t="shared" si="4854"/>
        <v>09</v>
      </c>
      <c r="E13414" t="str">
        <f>"01 - A - 101 - Tina L Lovett"</f>
        <v>01 - A - 101 - Tina L Lovett</v>
      </c>
      <c r="F13414" t="str">
        <f>"ALGEBRA 1"</f>
        <v>ALGEBRA 1</v>
      </c>
      <c r="G13414" t="str">
        <f>"21-2153"</f>
        <v>21-2153</v>
      </c>
      <c r="H13414" t="str">
        <f>"A"</f>
        <v>A</v>
      </c>
    </row>
    <row r="13415" spans="1:8" x14ac:dyDescent="0.2">
      <c r="A13415" t="str">
        <f t="shared" si="4852"/>
        <v>0617031881</v>
      </c>
      <c r="B13415" t="str">
        <f t="shared" si="4853"/>
        <v>NATHAN</v>
      </c>
      <c r="C13415" t="str">
        <f t="shared" si="4851"/>
        <v>PETION</v>
      </c>
      <c r="D13415" t="str">
        <f t="shared" si="4854"/>
        <v>09</v>
      </c>
      <c r="E13415" t="str">
        <f>"08 - B - 105 - Samantha J Headley"</f>
        <v>08 - B - 105 - Samantha J Headley</v>
      </c>
      <c r="F13415" t="str">
        <f>"ENV SCI"</f>
        <v>ENV SCI</v>
      </c>
      <c r="G13415" t="str">
        <f>"08-802"</f>
        <v>08-802</v>
      </c>
      <c r="H13415" t="str">
        <f>"B"</f>
        <v>B</v>
      </c>
    </row>
    <row r="13416" spans="1:8" x14ac:dyDescent="0.2">
      <c r="A13416" t="str">
        <f t="shared" ref="A13416:A13423" si="4855">"0616019255"</f>
        <v>0616019255</v>
      </c>
      <c r="B13416" t="str">
        <f t="shared" ref="B13416:B13423" si="4856">"NICOLAS"</f>
        <v>NICOLAS</v>
      </c>
      <c r="C13416" t="str">
        <f t="shared" si="4851"/>
        <v>PETION</v>
      </c>
      <c r="D13416">
        <f>10</f>
        <v>10</v>
      </c>
      <c r="E13416" t="str">
        <f>"04 - A - 004 - Krystal Marie  Beruty"</f>
        <v>04 - A - 004 - Krystal Marie  Beruty</v>
      </c>
      <c r="F13416" t="str">
        <f>"AICE GLBL PERSP 1 AS"</f>
        <v>AICE GLBL PERSP 1 AS</v>
      </c>
      <c r="G13416" t="str">
        <f>"17-1721"</f>
        <v>17-1721</v>
      </c>
      <c r="H13416" t="str">
        <f>"A"</f>
        <v>A</v>
      </c>
    </row>
    <row r="13417" spans="1:8" x14ac:dyDescent="0.2">
      <c r="A13417" t="str">
        <f t="shared" si="4855"/>
        <v>0616019255</v>
      </c>
      <c r="B13417" t="str">
        <f t="shared" si="4856"/>
        <v>NICOLAS</v>
      </c>
      <c r="C13417" t="str">
        <f t="shared" si="4851"/>
        <v>PETION</v>
      </c>
      <c r="D13417">
        <f>10</f>
        <v>10</v>
      </c>
      <c r="E13417" t="str">
        <f>"06 - B - 103 - Thomas G Handwerg"</f>
        <v>06 - B - 103 - Thomas G Handwerg</v>
      </c>
      <c r="F13417" t="str">
        <f>"NC STUDY HALL 1"</f>
        <v>NC STUDY HALL 1</v>
      </c>
      <c r="G13417" t="str">
        <f>"21-2146"</f>
        <v>21-2146</v>
      </c>
      <c r="H13417" t="str">
        <f>"B"</f>
        <v>B</v>
      </c>
    </row>
    <row r="13418" spans="1:8" x14ac:dyDescent="0.2">
      <c r="A13418" t="str">
        <f t="shared" si="4855"/>
        <v>0616019255</v>
      </c>
      <c r="B13418" t="str">
        <f t="shared" si="4856"/>
        <v>NICOLAS</v>
      </c>
      <c r="C13418" t="str">
        <f t="shared" si="4851"/>
        <v>PETION</v>
      </c>
      <c r="D13418">
        <f>10</f>
        <v>10</v>
      </c>
      <c r="E13418" t="str">
        <f>"03 - A - 101 - Rosa Elaine  Collado-Duff"</f>
        <v>03 - A - 101 - Rosa Elaine  Collado-Duff</v>
      </c>
      <c r="F13418" t="str">
        <f>"SPANISH 3 HON"</f>
        <v>SPANISH 3 HON</v>
      </c>
      <c r="G13418" t="str">
        <f>"09-913"</f>
        <v>09-913</v>
      </c>
      <c r="H13418" t="str">
        <f>"A"</f>
        <v>A</v>
      </c>
    </row>
    <row r="13419" spans="1:8" x14ac:dyDescent="0.2">
      <c r="A13419" t="str">
        <f t="shared" si="4855"/>
        <v>0616019255</v>
      </c>
      <c r="B13419" t="str">
        <f t="shared" si="4856"/>
        <v>NICOLAS</v>
      </c>
      <c r="C13419" t="str">
        <f t="shared" si="4851"/>
        <v>PETION</v>
      </c>
      <c r="D13419">
        <f>10</f>
        <v>10</v>
      </c>
      <c r="E13419" t="str">
        <f>"02 - A - 105 - Semra  Bahadir"</f>
        <v>02 - A - 105 - Semra  Bahadir</v>
      </c>
      <c r="F13419" t="str">
        <f>"ALGEBRA 2"</f>
        <v>ALGEBRA 2</v>
      </c>
      <c r="G13419" t="str">
        <f>"21-2107"</f>
        <v>21-2107</v>
      </c>
      <c r="H13419" t="str">
        <f>"A"</f>
        <v>A</v>
      </c>
    </row>
    <row r="13420" spans="1:8" x14ac:dyDescent="0.2">
      <c r="A13420" t="str">
        <f t="shared" si="4855"/>
        <v>0616019255</v>
      </c>
      <c r="B13420" t="str">
        <f t="shared" si="4856"/>
        <v>NICOLAS</v>
      </c>
      <c r="C13420" t="str">
        <f t="shared" si="4851"/>
        <v>PETION</v>
      </c>
      <c r="D13420">
        <f>10</f>
        <v>10</v>
      </c>
      <c r="E13420" t="str">
        <f>"07 - B - 206 - Cheryl L Beach"</f>
        <v>07 - B - 206 - Cheryl L Beach</v>
      </c>
      <c r="F13420" t="str">
        <f>"AICE ENV MGMNT AS"</f>
        <v>AICE ENV MGMNT AS</v>
      </c>
      <c r="G13420" t="str">
        <f>"08-811"</f>
        <v>08-811</v>
      </c>
      <c r="H13420" t="str">
        <f>"B"</f>
        <v>B</v>
      </c>
    </row>
    <row r="13421" spans="1:8" x14ac:dyDescent="0.2">
      <c r="A13421" t="str">
        <f t="shared" si="4855"/>
        <v>0616019255</v>
      </c>
      <c r="B13421" t="str">
        <f t="shared" si="4856"/>
        <v>NICOLAS</v>
      </c>
      <c r="C13421" t="str">
        <f t="shared" si="4851"/>
        <v>PETION</v>
      </c>
      <c r="D13421">
        <f>10</f>
        <v>10</v>
      </c>
      <c r="E13421" t="str">
        <f>"05 - B - 105 - Marius D Orsolini"</f>
        <v>05 - B - 105 - Marius D Orsolini</v>
      </c>
      <c r="F13421" t="str">
        <f>"CULINARY ARTS 1"</f>
        <v>CULINARY ARTS 1</v>
      </c>
      <c r="G13421" t="str">
        <f>"21-2115"</f>
        <v>21-2115</v>
      </c>
      <c r="H13421" t="str">
        <f>"B"</f>
        <v>B</v>
      </c>
    </row>
    <row r="13422" spans="1:8" x14ac:dyDescent="0.2">
      <c r="A13422" t="str">
        <f t="shared" si="4855"/>
        <v>0616019255</v>
      </c>
      <c r="B13422" t="str">
        <f t="shared" si="4856"/>
        <v>NICOLAS</v>
      </c>
      <c r="C13422" t="str">
        <f t="shared" si="4851"/>
        <v>PETION</v>
      </c>
      <c r="D13422">
        <f>10</f>
        <v>10</v>
      </c>
      <c r="E13422" t="str">
        <f>"01 - A - 101 - Jacquelyn M Neeson"</f>
        <v>01 - A - 101 - Jacquelyn M Neeson</v>
      </c>
      <c r="F13422" t="str">
        <f>"AICE ENG GEN PAPER 1"</f>
        <v>AICE ENG GEN PAPER 1</v>
      </c>
      <c r="G13422" t="str">
        <f>"17-1715"</f>
        <v>17-1715</v>
      </c>
      <c r="H13422" t="str">
        <f>"A"</f>
        <v>A</v>
      </c>
    </row>
    <row r="13423" spans="1:8" x14ac:dyDescent="0.2">
      <c r="A13423" t="str">
        <f t="shared" si="4855"/>
        <v>0616019255</v>
      </c>
      <c r="B13423" t="str">
        <f t="shared" si="4856"/>
        <v>NICOLAS</v>
      </c>
      <c r="C13423" t="str">
        <f t="shared" si="4851"/>
        <v>PETION</v>
      </c>
      <c r="D13423">
        <f>10</f>
        <v>10</v>
      </c>
      <c r="E13423" t="str">
        <f>"08 - S1 - B - 104 - Leslie J Barton"</f>
        <v>08 - S1 - B - 104 - Leslie J Barton</v>
      </c>
      <c r="F13423" t="str">
        <f>"TEAM SPORTS 1"</f>
        <v>TEAM SPORTS 1</v>
      </c>
      <c r="G13423" t="str">
        <f>"04-254"</f>
        <v>04-254</v>
      </c>
      <c r="H13423" t="str">
        <f>"B"</f>
        <v>B</v>
      </c>
    </row>
    <row r="13424" spans="1:8" x14ac:dyDescent="0.2">
      <c r="A13424" t="str">
        <f t="shared" ref="A13424:A13431" si="4857">"0624029931"</f>
        <v>0624029931</v>
      </c>
      <c r="B13424" t="str">
        <f t="shared" ref="B13424:B13431" si="4858">"MYEISHA"</f>
        <v>MYEISHA</v>
      </c>
      <c r="C13424" t="str">
        <f t="shared" ref="C13424:C13431" si="4859">"PETIT-FRERE"</f>
        <v>PETIT-FRERE</v>
      </c>
      <c r="D13424">
        <f>12</f>
        <v>12</v>
      </c>
      <c r="E13424" t="str">
        <f>"04 - S1 - A - 105 - Robert O Burger"</f>
        <v>04 - S1 - A - 105 - Robert O Burger</v>
      </c>
      <c r="F13424" t="str">
        <f>"US GOVT"</f>
        <v>US GOVT</v>
      </c>
      <c r="G13424" t="str">
        <f>"17-1755"</f>
        <v>17-1755</v>
      </c>
      <c r="H13424" t="str">
        <f>"A"</f>
        <v>A</v>
      </c>
    </row>
    <row r="13425" spans="1:8" x14ac:dyDescent="0.2">
      <c r="A13425" t="str">
        <f t="shared" si="4857"/>
        <v>0624029931</v>
      </c>
      <c r="B13425" t="str">
        <f t="shared" si="4858"/>
        <v>MYEISHA</v>
      </c>
      <c r="C13425" t="str">
        <f t="shared" si="4859"/>
        <v>PETIT-FRERE</v>
      </c>
      <c r="D13425">
        <f>12</f>
        <v>12</v>
      </c>
      <c r="E13425" t="str">
        <f>"06 - B - 110 - Barbara L Segal"</f>
        <v>06 - B - 110 - Barbara L Segal</v>
      </c>
      <c r="F13425" t="str">
        <f>"NC STUDY HALL 1"</f>
        <v>NC STUDY HALL 1</v>
      </c>
      <c r="G13425" t="str">
        <f>"17-1742"</f>
        <v>17-1742</v>
      </c>
      <c r="H13425" t="str">
        <f>"B"</f>
        <v>B</v>
      </c>
    </row>
    <row r="13426" spans="1:8" x14ac:dyDescent="0.2">
      <c r="A13426" t="str">
        <f t="shared" si="4857"/>
        <v>0624029931</v>
      </c>
      <c r="B13426" t="str">
        <f t="shared" si="4858"/>
        <v>MYEISHA</v>
      </c>
      <c r="C13426" t="str">
        <f t="shared" si="4859"/>
        <v>PETIT-FRERE</v>
      </c>
      <c r="D13426">
        <f>12</f>
        <v>12</v>
      </c>
      <c r="E13426" t="str">
        <f>"03 - A - 101 - Tina L Lovett"</f>
        <v>03 - A - 101 - Tina L Lovett</v>
      </c>
      <c r="F13426" t="str">
        <f>"MATH DATA &amp; FIN LIT"</f>
        <v>MATH DATA &amp; FIN LIT</v>
      </c>
      <c r="G13426" t="str">
        <f>"21-2153"</f>
        <v>21-2153</v>
      </c>
      <c r="H13426" t="str">
        <f>"A"</f>
        <v>A</v>
      </c>
    </row>
    <row r="13427" spans="1:8" x14ac:dyDescent="0.2">
      <c r="A13427" t="str">
        <f t="shared" si="4857"/>
        <v>0624029931</v>
      </c>
      <c r="B13427" t="str">
        <f t="shared" si="4858"/>
        <v>MYEISHA</v>
      </c>
      <c r="C13427" t="str">
        <f t="shared" si="4859"/>
        <v>PETIT-FRERE</v>
      </c>
      <c r="D13427">
        <f>12</f>
        <v>12</v>
      </c>
      <c r="E13427" t="str">
        <f>"02 - A - 102 - Bruce A Evans"</f>
        <v>02 - A - 102 - Bruce A Evans</v>
      </c>
      <c r="F13427" t="str">
        <f>"EMERG MED RESP 3 HON"</f>
        <v>EMERG MED RESP 3 HON</v>
      </c>
      <c r="G13427" t="str">
        <f>"21-2142"</f>
        <v>21-2142</v>
      </c>
      <c r="H13427" t="str">
        <f>"A"</f>
        <v>A</v>
      </c>
    </row>
    <row r="13428" spans="1:8" x14ac:dyDescent="0.2">
      <c r="A13428" t="str">
        <f t="shared" si="4857"/>
        <v>0624029931</v>
      </c>
      <c r="B13428" t="str">
        <f t="shared" si="4858"/>
        <v>MYEISHA</v>
      </c>
      <c r="C13428" t="str">
        <f t="shared" si="4859"/>
        <v>PETIT-FRERE</v>
      </c>
      <c r="D13428">
        <f>12</f>
        <v>12</v>
      </c>
      <c r="E13428" t="str">
        <f>"07 - B - 103 - Nahum  Saint-Preux"</f>
        <v>07 - B - 103 - Nahum  Saint-Preux</v>
      </c>
      <c r="F13428" t="str">
        <f>"INTENS READ 4"</f>
        <v>INTENS READ 4</v>
      </c>
      <c r="G13428" t="str">
        <f>"17-1712"</f>
        <v>17-1712</v>
      </c>
      <c r="H13428" t="str">
        <f>"B"</f>
        <v>B</v>
      </c>
    </row>
    <row r="13429" spans="1:8" x14ac:dyDescent="0.2">
      <c r="A13429" t="str">
        <f t="shared" si="4857"/>
        <v>0624029931</v>
      </c>
      <c r="B13429" t="str">
        <f t="shared" si="4858"/>
        <v>MYEISHA</v>
      </c>
      <c r="C13429" t="str">
        <f t="shared" si="4859"/>
        <v>PETIT-FRERE</v>
      </c>
      <c r="D13429">
        <f>12</f>
        <v>12</v>
      </c>
      <c r="E13429" t="str">
        <f>"05 - B - 201 - Bruce A Evans"</f>
        <v>05 - B - 201 - Bruce A Evans</v>
      </c>
      <c r="F13429" t="str">
        <f>"HEALTH SCI FOUND HON"</f>
        <v>HEALTH SCI FOUND HON</v>
      </c>
      <c r="G13429" t="str">
        <f>"21-2142"</f>
        <v>21-2142</v>
      </c>
      <c r="H13429" t="str">
        <f>"B"</f>
        <v>B</v>
      </c>
    </row>
    <row r="13430" spans="1:8" x14ac:dyDescent="0.2">
      <c r="A13430" t="str">
        <f t="shared" si="4857"/>
        <v>0624029931</v>
      </c>
      <c r="B13430" t="str">
        <f t="shared" si="4858"/>
        <v>MYEISHA</v>
      </c>
      <c r="C13430" t="str">
        <f t="shared" si="4859"/>
        <v>PETIT-FRERE</v>
      </c>
      <c r="D13430">
        <f>12</f>
        <v>12</v>
      </c>
      <c r="E13430" t="str">
        <f>"01 - A - 101 - Cliffon  Saurel"</f>
        <v>01 - A - 101 - Cliffon  Saurel</v>
      </c>
      <c r="F13430" t="str">
        <f>"PHYSICAL SCI"</f>
        <v>PHYSICAL SCI</v>
      </c>
      <c r="G13430" t="str">
        <f>"05-522"</f>
        <v>05-522</v>
      </c>
      <c r="H13430" t="str">
        <f>"A"</f>
        <v>A</v>
      </c>
    </row>
    <row r="13431" spans="1:8" x14ac:dyDescent="0.2">
      <c r="A13431" t="str">
        <f t="shared" si="4857"/>
        <v>0624029931</v>
      </c>
      <c r="B13431" t="str">
        <f t="shared" si="4858"/>
        <v>MYEISHA</v>
      </c>
      <c r="C13431" t="str">
        <f t="shared" si="4859"/>
        <v>PETIT-FRERE</v>
      </c>
      <c r="D13431">
        <f>12</f>
        <v>12</v>
      </c>
      <c r="E13431" t="str">
        <f>"08 - B - 206 - Robyn L Trainer"</f>
        <v>08 - B - 206 - Robyn L Trainer</v>
      </c>
      <c r="F13431" t="str">
        <f>"ENG 4: FL COLL PREP"</f>
        <v>ENG 4: FL COLL PREP</v>
      </c>
      <c r="G13431" t="str">
        <f>"17-1734"</f>
        <v>17-1734</v>
      </c>
      <c r="H13431" t="str">
        <f>"B"</f>
        <v>B</v>
      </c>
    </row>
    <row r="13432" spans="1:8" x14ac:dyDescent="0.2">
      <c r="A13432" t="str">
        <f t="shared" ref="A13432:A13439" si="4860">"0619094577"</f>
        <v>0619094577</v>
      </c>
      <c r="B13432" t="str">
        <f t="shared" ref="B13432:B13439" si="4861">"DANIEL"</f>
        <v>DANIEL</v>
      </c>
      <c r="C13432" t="str">
        <f t="shared" ref="C13432:C13439" si="4862">"PETRENKO"</f>
        <v>PETRENKO</v>
      </c>
      <c r="D13432">
        <f>12</f>
        <v>12</v>
      </c>
      <c r="E13432" t="str">
        <f>"04 - S1 - A - 105 - Robert O Burger"</f>
        <v>04 - S1 - A - 105 - Robert O Burger</v>
      </c>
      <c r="F13432" t="str">
        <f>"US GOVT"</f>
        <v>US GOVT</v>
      </c>
      <c r="G13432" t="str">
        <f>"17-1755"</f>
        <v>17-1755</v>
      </c>
      <c r="H13432" t="str">
        <f>"A"</f>
        <v>A</v>
      </c>
    </row>
    <row r="13433" spans="1:8" x14ac:dyDescent="0.2">
      <c r="A13433" t="str">
        <f t="shared" si="4860"/>
        <v>0619094577</v>
      </c>
      <c r="B13433" t="str">
        <f t="shared" si="4861"/>
        <v>DANIEL</v>
      </c>
      <c r="C13433" t="str">
        <f t="shared" si="4862"/>
        <v>PETRENKO</v>
      </c>
      <c r="D13433">
        <f>12</f>
        <v>12</v>
      </c>
      <c r="E13433" t="str">
        <f>"06 - B - 104 - Lissa C Frederique"</f>
        <v>06 - B - 104 - Lissa C Frederique</v>
      </c>
      <c r="F13433" t="str">
        <f>"NC STUDY HALL 1"</f>
        <v>NC STUDY HALL 1</v>
      </c>
      <c r="G13433" t="str">
        <f>"17-1754"</f>
        <v>17-1754</v>
      </c>
      <c r="H13433" t="str">
        <f>"B"</f>
        <v>B</v>
      </c>
    </row>
    <row r="13434" spans="1:8" x14ac:dyDescent="0.2">
      <c r="A13434" t="str">
        <f t="shared" si="4860"/>
        <v>0619094577</v>
      </c>
      <c r="B13434" t="str">
        <f t="shared" si="4861"/>
        <v>DANIEL</v>
      </c>
      <c r="C13434" t="str">
        <f t="shared" si="4862"/>
        <v>PETRENKO</v>
      </c>
      <c r="D13434">
        <f>12</f>
        <v>12</v>
      </c>
      <c r="E13434" t="str">
        <f>"03 - A - 103 - Adam Marcus  Drucker"</f>
        <v>03 - A - 103 - Adam Marcus  Drucker</v>
      </c>
      <c r="F13434" t="str">
        <f>"HOPE-PE V"</f>
        <v>HOPE-PE V</v>
      </c>
      <c r="G13434" t="str">
        <f>"04-254"</f>
        <v>04-254</v>
      </c>
      <c r="H13434" t="str">
        <f>"A"</f>
        <v>A</v>
      </c>
    </row>
    <row r="13435" spans="1:8" x14ac:dyDescent="0.2">
      <c r="A13435" t="str">
        <f t="shared" si="4860"/>
        <v>0619094577</v>
      </c>
      <c r="B13435" t="str">
        <f t="shared" si="4861"/>
        <v>DANIEL</v>
      </c>
      <c r="C13435" t="str">
        <f t="shared" si="4862"/>
        <v>PETRENKO</v>
      </c>
      <c r="D13435">
        <f>12</f>
        <v>12</v>
      </c>
      <c r="E13435" t="str">
        <f>"02 - S1 - A - 101 - Carol S Moore"</f>
        <v>02 - S1 - A - 101 - Carol S Moore</v>
      </c>
      <c r="F13435" t="str">
        <f>"PER CAR SCH DEV 1 LH"</f>
        <v>PER CAR SCH DEV 1 LH</v>
      </c>
      <c r="G13435" t="str">
        <f>"17-1733"</f>
        <v>17-1733</v>
      </c>
      <c r="H13435" t="str">
        <f>"A"</f>
        <v>A</v>
      </c>
    </row>
    <row r="13436" spans="1:8" x14ac:dyDescent="0.2">
      <c r="A13436" t="str">
        <f t="shared" si="4860"/>
        <v>0619094577</v>
      </c>
      <c r="B13436" t="str">
        <f t="shared" si="4861"/>
        <v>DANIEL</v>
      </c>
      <c r="C13436" t="str">
        <f t="shared" si="4862"/>
        <v>PETRENKO</v>
      </c>
      <c r="D13436">
        <f>12</f>
        <v>12</v>
      </c>
      <c r="E13436" t="str">
        <f>"07 - B - 105 - Robert H Rindner"</f>
        <v>07 - B - 105 - Robert H Rindner</v>
      </c>
      <c r="F13436" t="str">
        <f>"MATH DATA&amp;FIN LIT H"</f>
        <v>MATH DATA&amp;FIN LIT H</v>
      </c>
      <c r="G13436" t="str">
        <f>"21-2160"</f>
        <v>21-2160</v>
      </c>
      <c r="H13436" t="str">
        <f>"B"</f>
        <v>B</v>
      </c>
    </row>
    <row r="13437" spans="1:8" x14ac:dyDescent="0.2">
      <c r="A13437" t="str">
        <f t="shared" si="4860"/>
        <v>0619094577</v>
      </c>
      <c r="B13437" t="str">
        <f t="shared" si="4861"/>
        <v>DANIEL</v>
      </c>
      <c r="C13437" t="str">
        <f t="shared" si="4862"/>
        <v>PETRENKO</v>
      </c>
      <c r="D13437">
        <f>12</f>
        <v>12</v>
      </c>
      <c r="E13437" t="str">
        <f>"05 - B - 102 - Robyn L Trainer"</f>
        <v>05 - B - 102 - Robyn L Trainer</v>
      </c>
      <c r="F13437" t="str">
        <f>"ENG 4"</f>
        <v>ENG 4</v>
      </c>
      <c r="G13437" t="str">
        <f>"17-1734"</f>
        <v>17-1734</v>
      </c>
      <c r="H13437" t="str">
        <f>"B"</f>
        <v>B</v>
      </c>
    </row>
    <row r="13438" spans="1:8" x14ac:dyDescent="0.2">
      <c r="A13438" t="str">
        <f t="shared" si="4860"/>
        <v>0619094577</v>
      </c>
      <c r="B13438" t="str">
        <f t="shared" si="4861"/>
        <v>DANIEL</v>
      </c>
      <c r="C13438" t="str">
        <f t="shared" si="4862"/>
        <v>PETRENKO</v>
      </c>
      <c r="D13438">
        <f>12</f>
        <v>12</v>
      </c>
      <c r="E13438" t="str">
        <f>"01 - A - 101 - Cliffon  Saurel"</f>
        <v>01 - A - 101 - Cliffon  Saurel</v>
      </c>
      <c r="F13438" t="str">
        <f>"PHYSICAL SCI"</f>
        <v>PHYSICAL SCI</v>
      </c>
      <c r="G13438" t="str">
        <f>"05-522"</f>
        <v>05-522</v>
      </c>
      <c r="H13438" t="str">
        <f>"A"</f>
        <v>A</v>
      </c>
    </row>
    <row r="13439" spans="1:8" x14ac:dyDescent="0.2">
      <c r="A13439" t="str">
        <f t="shared" si="4860"/>
        <v>0619094577</v>
      </c>
      <c r="B13439" t="str">
        <f t="shared" si="4861"/>
        <v>DANIEL</v>
      </c>
      <c r="C13439" t="str">
        <f t="shared" si="4862"/>
        <v>PETRENKO</v>
      </c>
      <c r="D13439">
        <f>12</f>
        <v>12</v>
      </c>
      <c r="E13439" t="str">
        <f>"08 - B - 001 - Samantha L Martinez"</f>
        <v>08 - B - 001 - Samantha L Martinez</v>
      </c>
      <c r="F13439" t="str">
        <f>"VOCAL ENS 2"</f>
        <v>VOCAL ENS 2</v>
      </c>
      <c r="G13439" t="str">
        <f>"05-505"</f>
        <v>05-505</v>
      </c>
      <c r="H13439" t="str">
        <f>"B"</f>
        <v>B</v>
      </c>
    </row>
    <row r="13440" spans="1:8" x14ac:dyDescent="0.2">
      <c r="A13440" t="str">
        <f t="shared" ref="A13440:A13447" si="4863">"0613081656"</f>
        <v>0613081656</v>
      </c>
      <c r="B13440" t="str">
        <f t="shared" ref="B13440:B13447" si="4864">"ARIANNA"</f>
        <v>ARIANNA</v>
      </c>
      <c r="C13440" t="str">
        <f t="shared" ref="C13440:C13447" si="4865">"PETWAY"</f>
        <v>PETWAY</v>
      </c>
      <c r="D13440">
        <f>12</f>
        <v>12</v>
      </c>
      <c r="E13440" t="str">
        <f>"04 - A - 102 - Brandy N Zdenek"</f>
        <v>04 - A - 102 - Brandy N Zdenek</v>
      </c>
      <c r="F13440" t="str">
        <f>"AICE ENG LANG 2 AL"</f>
        <v>AICE ENG LANG 2 AL</v>
      </c>
      <c r="G13440" t="str">
        <f>"17-1704"</f>
        <v>17-1704</v>
      </c>
      <c r="H13440" t="str">
        <f>"A"</f>
        <v>A</v>
      </c>
    </row>
    <row r="13441" spans="1:8" x14ac:dyDescent="0.2">
      <c r="A13441" t="str">
        <f t="shared" si="4863"/>
        <v>0613081656</v>
      </c>
      <c r="B13441" t="str">
        <f t="shared" si="4864"/>
        <v>ARIANNA</v>
      </c>
      <c r="C13441" t="str">
        <f t="shared" si="4865"/>
        <v>PETWAY</v>
      </c>
      <c r="D13441">
        <f>12</f>
        <v>12</v>
      </c>
      <c r="E13441" t="str">
        <f>"06 - B - 102 - Ferrie J Arostique"</f>
        <v>06 - B - 102 - Ferrie J Arostique</v>
      </c>
      <c r="F13441" t="str">
        <f>"NC STUDY HALL 1"</f>
        <v>NC STUDY HALL 1</v>
      </c>
      <c r="G13441" t="str">
        <f>"21-2139"</f>
        <v>21-2139</v>
      </c>
      <c r="H13441" t="str">
        <f>"B"</f>
        <v>B</v>
      </c>
    </row>
    <row r="13442" spans="1:8" x14ac:dyDescent="0.2">
      <c r="A13442" t="str">
        <f t="shared" si="4863"/>
        <v>0613081656</v>
      </c>
      <c r="B13442" t="str">
        <f t="shared" si="4864"/>
        <v>ARIANNA</v>
      </c>
      <c r="C13442" t="str">
        <f t="shared" si="4865"/>
        <v>PETWAY</v>
      </c>
      <c r="D13442">
        <f>12</f>
        <v>12</v>
      </c>
      <c r="E13442" t="str">
        <f>"03 - A - 101 - Rosa Elaine  Collado-Duff"</f>
        <v>03 - A - 101 - Rosa Elaine  Collado-Duff</v>
      </c>
      <c r="F13442" t="str">
        <f>"SPANISH 3 HON"</f>
        <v>SPANISH 3 HON</v>
      </c>
      <c r="G13442" t="str">
        <f>"09-913"</f>
        <v>09-913</v>
      </c>
      <c r="H13442" t="str">
        <f>"A"</f>
        <v>A</v>
      </c>
    </row>
    <row r="13443" spans="1:8" x14ac:dyDescent="0.2">
      <c r="A13443" t="str">
        <f t="shared" si="4863"/>
        <v>0613081656</v>
      </c>
      <c r="B13443" t="str">
        <f t="shared" si="4864"/>
        <v>ARIANNA</v>
      </c>
      <c r="C13443" t="str">
        <f t="shared" si="4865"/>
        <v>PETWAY</v>
      </c>
      <c r="D13443">
        <f>12</f>
        <v>12</v>
      </c>
      <c r="E13443" t="str">
        <f>"02 - A - 204 - Jacqueline R Morphet"</f>
        <v>02 - A - 204 - Jacqueline R Morphet</v>
      </c>
      <c r="F13443" t="str">
        <f>"PHYSICS 1 HON"</f>
        <v>PHYSICS 1 HON</v>
      </c>
      <c r="G13443" t="str">
        <f>"21-2138"</f>
        <v>21-2138</v>
      </c>
      <c r="H13443" t="str">
        <f>"A"</f>
        <v>A</v>
      </c>
    </row>
    <row r="13444" spans="1:8" x14ac:dyDescent="0.2">
      <c r="A13444" t="str">
        <f t="shared" si="4863"/>
        <v>0613081656</v>
      </c>
      <c r="B13444" t="str">
        <f t="shared" si="4864"/>
        <v>ARIANNA</v>
      </c>
      <c r="C13444" t="str">
        <f t="shared" si="4865"/>
        <v>PETWAY</v>
      </c>
      <c r="D13444">
        <f>12</f>
        <v>12</v>
      </c>
      <c r="E13444" t="str">
        <f>"07 - B - 102 - Thomas G Handwerg"</f>
        <v>07 - B - 102 - Thomas G Handwerg</v>
      </c>
      <c r="F13444" t="str">
        <f>"PROB STAT W/APPS HON"</f>
        <v>PROB STAT W/APPS HON</v>
      </c>
      <c r="G13444" t="str">
        <f>"21-2146"</f>
        <v>21-2146</v>
      </c>
      <c r="H13444" t="str">
        <f>"B"</f>
        <v>B</v>
      </c>
    </row>
    <row r="13445" spans="1:8" x14ac:dyDescent="0.2">
      <c r="A13445" t="str">
        <f t="shared" si="4863"/>
        <v>0613081656</v>
      </c>
      <c r="B13445" t="str">
        <f t="shared" si="4864"/>
        <v>ARIANNA</v>
      </c>
      <c r="C13445" t="str">
        <f t="shared" si="4865"/>
        <v>PETWAY</v>
      </c>
      <c r="D13445">
        <f>12</f>
        <v>12</v>
      </c>
      <c r="E13445" t="str">
        <f>"05 - B - 101 - Angela S Adeshina-Morrison"</f>
        <v>05 - B - 101 - Angela S Adeshina-Morrison</v>
      </c>
      <c r="F13445" t="str">
        <f>"MKT MANAGEMENT LH"</f>
        <v>MKT MANAGEMENT LH</v>
      </c>
      <c r="G13445" t="str">
        <f>"05-518"</f>
        <v>05-518</v>
      </c>
      <c r="H13445" t="str">
        <f>"B"</f>
        <v>B</v>
      </c>
    </row>
    <row r="13446" spans="1:8" x14ac:dyDescent="0.2">
      <c r="A13446" t="str">
        <f t="shared" si="4863"/>
        <v>0613081656</v>
      </c>
      <c r="B13446" t="str">
        <f t="shared" si="4864"/>
        <v>ARIANNA</v>
      </c>
      <c r="C13446" t="str">
        <f t="shared" si="4865"/>
        <v>PETWAY</v>
      </c>
      <c r="D13446">
        <f>12</f>
        <v>12</v>
      </c>
      <c r="E13446" t="str">
        <f>"01 - A - 103 - Scott A Dethloff"</f>
        <v>01 - A - 103 - Scott A Dethloff</v>
      </c>
      <c r="F13446" t="str">
        <f>"AICE THINK SKLS 1 AS"</f>
        <v>AICE THINK SKLS 1 AS</v>
      </c>
      <c r="G13446" t="str">
        <f>"08-812"</f>
        <v>08-812</v>
      </c>
      <c r="H13446" t="str">
        <f>"A"</f>
        <v>A</v>
      </c>
    </row>
    <row r="13447" spans="1:8" x14ac:dyDescent="0.2">
      <c r="A13447" t="str">
        <f t="shared" si="4863"/>
        <v>0613081656</v>
      </c>
      <c r="B13447" t="str">
        <f t="shared" si="4864"/>
        <v>ARIANNA</v>
      </c>
      <c r="C13447" t="str">
        <f t="shared" si="4865"/>
        <v>PETWAY</v>
      </c>
      <c r="D13447">
        <f>12</f>
        <v>12</v>
      </c>
      <c r="E13447" t="str">
        <f>"08 - S1 - B - 105 - Kelly N Panza"</f>
        <v>08 - S1 - B - 105 - Kelly N Panza</v>
      </c>
      <c r="F13447" t="str">
        <f>"US GOVT HON"</f>
        <v>US GOVT HON</v>
      </c>
      <c r="G13447" t="str">
        <f>"17-1753"</f>
        <v>17-1753</v>
      </c>
      <c r="H13447" t="str">
        <f>"B"</f>
        <v>B</v>
      </c>
    </row>
    <row r="13448" spans="1:8" x14ac:dyDescent="0.2">
      <c r="A13448" t="str">
        <f t="shared" ref="A13448:A13455" si="4866">"0613065565"</f>
        <v>0613065565</v>
      </c>
      <c r="B13448" t="str">
        <f t="shared" ref="B13448:B13455" si="4867">"MARVINS"</f>
        <v>MARVINS</v>
      </c>
      <c r="C13448" t="str">
        <f t="shared" ref="C13448:C13455" si="4868">"PHABILUS"</f>
        <v>PHABILUS</v>
      </c>
      <c r="D13448">
        <f>12</f>
        <v>12</v>
      </c>
      <c r="E13448" t="str">
        <f>"04 - A - 201 - Samantha L Martinez"</f>
        <v>04 - A - 201 - Samantha L Martinez</v>
      </c>
      <c r="F13448" t="str">
        <f>"KEYBD 2"</f>
        <v>KEYBD 2</v>
      </c>
      <c r="G13448" t="str">
        <f>"05-505"</f>
        <v>05-505</v>
      </c>
      <c r="H13448" t="str">
        <f>"A"</f>
        <v>A</v>
      </c>
    </row>
    <row r="13449" spans="1:8" x14ac:dyDescent="0.2">
      <c r="A13449" t="str">
        <f t="shared" si="4866"/>
        <v>0613065565</v>
      </c>
      <c r="B13449" t="str">
        <f t="shared" si="4867"/>
        <v>MARVINS</v>
      </c>
      <c r="C13449" t="str">
        <f t="shared" si="4868"/>
        <v>PHABILUS</v>
      </c>
      <c r="D13449">
        <f>12</f>
        <v>12</v>
      </c>
      <c r="E13449" t="str">
        <f>"06 - B - 113 - Marielle A Witting"</f>
        <v>06 - B - 113 - Marielle A Witting</v>
      </c>
      <c r="F13449" t="str">
        <f>"NC STUDY HALL 1"</f>
        <v>NC STUDY HALL 1</v>
      </c>
      <c r="G13449" t="str">
        <f>"08-805"</f>
        <v>08-805</v>
      </c>
      <c r="H13449" t="str">
        <f>"B"</f>
        <v>B</v>
      </c>
    </row>
    <row r="13450" spans="1:8" x14ac:dyDescent="0.2">
      <c r="A13450" t="str">
        <f t="shared" si="4866"/>
        <v>0613065565</v>
      </c>
      <c r="B13450" t="str">
        <f t="shared" si="4867"/>
        <v>MARVINS</v>
      </c>
      <c r="C13450" t="str">
        <f t="shared" si="4868"/>
        <v>PHABILUS</v>
      </c>
      <c r="D13450">
        <f>12</f>
        <v>12</v>
      </c>
      <c r="E13450" t="str">
        <f>"03 - S1 - A - 002 - Barbara L Segal"</f>
        <v>03 - S1 - A - 002 - Barbara L Segal</v>
      </c>
      <c r="F13450" t="str">
        <f>"US GOVT"</f>
        <v>US GOVT</v>
      </c>
      <c r="G13450" t="str">
        <f>"17-1742"</f>
        <v>17-1742</v>
      </c>
      <c r="H13450" t="str">
        <f>"A"</f>
        <v>A</v>
      </c>
    </row>
    <row r="13451" spans="1:8" x14ac:dyDescent="0.2">
      <c r="A13451" t="str">
        <f t="shared" si="4866"/>
        <v>0613065565</v>
      </c>
      <c r="B13451" t="str">
        <f t="shared" si="4867"/>
        <v>MARVINS</v>
      </c>
      <c r="C13451" t="str">
        <f t="shared" si="4868"/>
        <v>PHABILUS</v>
      </c>
      <c r="D13451">
        <f>12</f>
        <v>12</v>
      </c>
      <c r="E13451" t="str">
        <f>"02 - A - 204 - Jacqueline R Morphet"</f>
        <v>02 - A - 204 - Jacqueline R Morphet</v>
      </c>
      <c r="F13451" t="str">
        <f>"PHYSICS 1 HON"</f>
        <v>PHYSICS 1 HON</v>
      </c>
      <c r="G13451" t="str">
        <f>"21-2138"</f>
        <v>21-2138</v>
      </c>
      <c r="H13451" t="str">
        <f>"A"</f>
        <v>A</v>
      </c>
    </row>
    <row r="13452" spans="1:8" x14ac:dyDescent="0.2">
      <c r="A13452" t="str">
        <f t="shared" si="4866"/>
        <v>0613065565</v>
      </c>
      <c r="B13452" t="str">
        <f t="shared" si="4867"/>
        <v>MARVINS</v>
      </c>
      <c r="C13452" t="str">
        <f t="shared" si="4868"/>
        <v>PHABILUS</v>
      </c>
      <c r="D13452">
        <f>12</f>
        <v>12</v>
      </c>
      <c r="E13452" t="str">
        <f>"07 - B - 104 - Robyn L Trainer"</f>
        <v>07 - B - 104 - Robyn L Trainer</v>
      </c>
      <c r="F13452" t="str">
        <f>"ENG 4"</f>
        <v>ENG 4</v>
      </c>
      <c r="G13452" t="str">
        <f>"17-1734"</f>
        <v>17-1734</v>
      </c>
      <c r="H13452" t="str">
        <f>"B"</f>
        <v>B</v>
      </c>
    </row>
    <row r="13453" spans="1:8" x14ac:dyDescent="0.2">
      <c r="A13453" t="str">
        <f t="shared" si="4866"/>
        <v>0613065565</v>
      </c>
      <c r="B13453" t="str">
        <f t="shared" si="4867"/>
        <v>MARVINS</v>
      </c>
      <c r="C13453" t="str">
        <f t="shared" si="4868"/>
        <v>PHABILUS</v>
      </c>
      <c r="D13453">
        <f>12</f>
        <v>12</v>
      </c>
      <c r="E13453" t="str">
        <f>"05 - B - 104 - Lourivaldo  Da Silva"</f>
        <v>05 - B - 104 - Lourivaldo  Da Silva</v>
      </c>
      <c r="F13453" t="str">
        <f>"PRE-CALCULUS HON"</f>
        <v>PRE-CALCULUS HON</v>
      </c>
      <c r="G13453" t="str">
        <f>"20-2079"</f>
        <v>20-2079</v>
      </c>
      <c r="H13453" t="str">
        <f>"B"</f>
        <v>B</v>
      </c>
    </row>
    <row r="13454" spans="1:8" x14ac:dyDescent="0.2">
      <c r="A13454" t="str">
        <f t="shared" si="4866"/>
        <v>0613065565</v>
      </c>
      <c r="B13454" t="str">
        <f t="shared" si="4867"/>
        <v>MARVINS</v>
      </c>
      <c r="C13454" t="str">
        <f t="shared" si="4868"/>
        <v>PHABILUS</v>
      </c>
      <c r="D13454">
        <f>12</f>
        <v>12</v>
      </c>
      <c r="E13454" t="str">
        <f>"01 - A - 101 - Samantha L Martinez"</f>
        <v>01 - A - 101 - Samantha L Martinez</v>
      </c>
      <c r="F13454" t="str">
        <f>"MUSIC WORLD"</f>
        <v>MUSIC WORLD</v>
      </c>
      <c r="G13454" t="str">
        <f>"05-505"</f>
        <v>05-505</v>
      </c>
      <c r="H13454" t="str">
        <f>"A"</f>
        <v>A</v>
      </c>
    </row>
    <row r="13455" spans="1:8" x14ac:dyDescent="0.2">
      <c r="A13455" t="str">
        <f t="shared" si="4866"/>
        <v>0613065565</v>
      </c>
      <c r="B13455" t="str">
        <f t="shared" si="4867"/>
        <v>MARVINS</v>
      </c>
      <c r="C13455" t="str">
        <f t="shared" si="4868"/>
        <v>PHABILUS</v>
      </c>
      <c r="D13455">
        <f>12</f>
        <v>12</v>
      </c>
      <c r="E13455" t="str">
        <f>"08 - B - 101 - Jordana K Hass"</f>
        <v>08 - B - 101 - Jordana K Hass</v>
      </c>
      <c r="F13455" t="str">
        <f>"AICE INFO TECH 1 AS"</f>
        <v>AICE INFO TECH 1 AS</v>
      </c>
      <c r="G13455" t="str">
        <f>"08-807"</f>
        <v>08-807</v>
      </c>
      <c r="H13455" t="str">
        <f>"B"</f>
        <v>B</v>
      </c>
    </row>
    <row r="13456" spans="1:8" x14ac:dyDescent="0.2">
      <c r="A13456" t="str">
        <f t="shared" ref="A13456:A13463" si="4869">"0616145578"</f>
        <v>0616145578</v>
      </c>
      <c r="B13456" t="str">
        <f t="shared" ref="B13456:B13463" si="4870">"KAYLA"</f>
        <v>KAYLA</v>
      </c>
      <c r="C13456" t="str">
        <f t="shared" ref="C13456:C13463" si="4871">"PHATON"</f>
        <v>PHATON</v>
      </c>
      <c r="D13456" t="str">
        <f t="shared" ref="D13456:D13463" si="4872">"09"</f>
        <v>09</v>
      </c>
      <c r="E13456" t="str">
        <f>"04 - A - 102 - Byron G Montenegro"</f>
        <v>04 - A - 102 - Byron G Montenegro</v>
      </c>
      <c r="F13456" t="str">
        <f>"AICE MARINE SCI 1 AS"</f>
        <v>AICE MARINE SCI 1 AS</v>
      </c>
      <c r="G13456" t="str">
        <f>"21-2144"</f>
        <v>21-2144</v>
      </c>
      <c r="H13456" t="str">
        <f>"A"</f>
        <v>A</v>
      </c>
    </row>
    <row r="13457" spans="1:8" x14ac:dyDescent="0.2">
      <c r="A13457" t="str">
        <f t="shared" si="4869"/>
        <v>0616145578</v>
      </c>
      <c r="B13457" t="str">
        <f t="shared" si="4870"/>
        <v>KAYLA</v>
      </c>
      <c r="C13457" t="str">
        <f t="shared" si="4871"/>
        <v>PHATON</v>
      </c>
      <c r="D13457" t="str">
        <f t="shared" si="4872"/>
        <v>09</v>
      </c>
      <c r="E13457" t="str">
        <f>"06 - B - 104 - Lytrell T Dixon"</f>
        <v>06 - B - 104 - Lytrell T Dixon</v>
      </c>
      <c r="F13457" t="str">
        <f>"PRE-AICE BIO IG"</f>
        <v>PRE-AICE BIO IG</v>
      </c>
      <c r="G13457" t="str">
        <f>"08-808"</f>
        <v>08-808</v>
      </c>
      <c r="H13457" t="str">
        <f>"B"</f>
        <v>B</v>
      </c>
    </row>
    <row r="13458" spans="1:8" x14ac:dyDescent="0.2">
      <c r="A13458" t="str">
        <f t="shared" si="4869"/>
        <v>0616145578</v>
      </c>
      <c r="B13458" t="str">
        <f t="shared" si="4870"/>
        <v>KAYLA</v>
      </c>
      <c r="C13458" t="str">
        <f t="shared" si="4871"/>
        <v>PHATON</v>
      </c>
      <c r="D13458" t="str">
        <f t="shared" si="4872"/>
        <v>09</v>
      </c>
      <c r="E13458" t="str">
        <f>"03 - A - 005 - Cerine S Stewart"</f>
        <v>03 - A - 005 - Cerine S Stewart</v>
      </c>
      <c r="F13458" t="str">
        <f>"AICE ENG GEN PAPER 1"</f>
        <v>AICE ENG GEN PAPER 1</v>
      </c>
      <c r="G13458" t="str">
        <f>"17-1720"</f>
        <v>17-1720</v>
      </c>
      <c r="H13458" t="str">
        <f>"A"</f>
        <v>A</v>
      </c>
    </row>
    <row r="13459" spans="1:8" x14ac:dyDescent="0.2">
      <c r="A13459" t="str">
        <f t="shared" si="4869"/>
        <v>0616145578</v>
      </c>
      <c r="B13459" t="str">
        <f t="shared" si="4870"/>
        <v>KAYLA</v>
      </c>
      <c r="C13459" t="str">
        <f t="shared" si="4871"/>
        <v>PHATON</v>
      </c>
      <c r="D13459" t="str">
        <f t="shared" si="4872"/>
        <v>09</v>
      </c>
      <c r="E13459" t="str">
        <f>"02 - A - 107 - Cerine S Stewart"</f>
        <v>02 - A - 107 - Cerine S Stewart</v>
      </c>
      <c r="F13459" t="str">
        <f>"NC STUDY HALL 1"</f>
        <v>NC STUDY HALL 1</v>
      </c>
      <c r="G13459" t="str">
        <f>"17-1720"</f>
        <v>17-1720</v>
      </c>
      <c r="H13459" t="str">
        <f>"A"</f>
        <v>A</v>
      </c>
    </row>
    <row r="13460" spans="1:8" x14ac:dyDescent="0.2">
      <c r="A13460" t="str">
        <f t="shared" si="4869"/>
        <v>0616145578</v>
      </c>
      <c r="B13460" t="str">
        <f t="shared" si="4870"/>
        <v>KAYLA</v>
      </c>
      <c r="C13460" t="str">
        <f t="shared" si="4871"/>
        <v>PHATON</v>
      </c>
      <c r="D13460" t="str">
        <f t="shared" si="4872"/>
        <v>09</v>
      </c>
      <c r="E13460" t="str">
        <f>"07 - B - 207 - Krystal Marie  Beruty"</f>
        <v>07 - B - 207 - Krystal Marie  Beruty</v>
      </c>
      <c r="F13460" t="str">
        <f>"AICE GLBL PERSP 1 AS"</f>
        <v>AICE GLBL PERSP 1 AS</v>
      </c>
      <c r="G13460" t="str">
        <f>"17-1721"</f>
        <v>17-1721</v>
      </c>
      <c r="H13460" t="str">
        <f>"B"</f>
        <v>B</v>
      </c>
    </row>
    <row r="13461" spans="1:8" x14ac:dyDescent="0.2">
      <c r="A13461" t="str">
        <f t="shared" si="4869"/>
        <v>0616145578</v>
      </c>
      <c r="B13461" t="str">
        <f t="shared" si="4870"/>
        <v>KAYLA</v>
      </c>
      <c r="C13461" t="str">
        <f t="shared" si="4871"/>
        <v>PHATON</v>
      </c>
      <c r="D13461" t="str">
        <f t="shared" si="4872"/>
        <v>09</v>
      </c>
      <c r="E13461" t="str">
        <f>"05 - S1 - B - 103 - Leslie J Barton"</f>
        <v>05 - S1 - B - 103 - Leslie J Barton</v>
      </c>
      <c r="F13461" t="str">
        <f>"FIRST AID SAFETY"</f>
        <v>FIRST AID SAFETY</v>
      </c>
      <c r="G13461" t="str">
        <f>"05-521"</f>
        <v>05-521</v>
      </c>
      <c r="H13461" t="str">
        <f>"B"</f>
        <v>B</v>
      </c>
    </row>
    <row r="13462" spans="1:8" x14ac:dyDescent="0.2">
      <c r="A13462" t="str">
        <f t="shared" si="4869"/>
        <v>0616145578</v>
      </c>
      <c r="B13462" t="str">
        <f t="shared" si="4870"/>
        <v>KAYLA</v>
      </c>
      <c r="C13462" t="str">
        <f t="shared" si="4871"/>
        <v>PHATON</v>
      </c>
      <c r="D13462" t="str">
        <f t="shared" si="4872"/>
        <v>09</v>
      </c>
      <c r="E13462" t="str">
        <f>"01 - A - 101 - Marius D Orsolini"</f>
        <v>01 - A - 101 - Marius D Orsolini</v>
      </c>
      <c r="F13462" t="str">
        <f>"CULINARY ARTS 1"</f>
        <v>CULINARY ARTS 1</v>
      </c>
      <c r="G13462" t="str">
        <f>"21-2115"</f>
        <v>21-2115</v>
      </c>
      <c r="H13462" t="str">
        <f>"A"</f>
        <v>A</v>
      </c>
    </row>
    <row r="13463" spans="1:8" x14ac:dyDescent="0.2">
      <c r="A13463" t="str">
        <f t="shared" si="4869"/>
        <v>0616145578</v>
      </c>
      <c r="B13463" t="str">
        <f t="shared" si="4870"/>
        <v>KAYLA</v>
      </c>
      <c r="C13463" t="str">
        <f t="shared" si="4871"/>
        <v>PHATON</v>
      </c>
      <c r="D13463" t="str">
        <f t="shared" si="4872"/>
        <v>09</v>
      </c>
      <c r="E13463" t="str">
        <f>"08 - B - 105 - Ferrie J Arostique"</f>
        <v>08 - B - 105 - Ferrie J Arostique</v>
      </c>
      <c r="F13463" t="str">
        <f>"PRE-AICE MATH 2 IG"</f>
        <v>PRE-AICE MATH 2 IG</v>
      </c>
      <c r="G13463" t="str">
        <f>"21-2139"</f>
        <v>21-2139</v>
      </c>
      <c r="H13463" t="str">
        <f>"B"</f>
        <v>B</v>
      </c>
    </row>
    <row r="13464" spans="1:8" x14ac:dyDescent="0.2">
      <c r="A13464" t="str">
        <f t="shared" ref="A13464:A13471" si="4873">"0621100673"</f>
        <v>0621100673</v>
      </c>
      <c r="B13464" t="str">
        <f t="shared" ref="B13464:B13471" si="4874">"ADRIANNA"</f>
        <v>ADRIANNA</v>
      </c>
      <c r="C13464" t="str">
        <f t="shared" ref="C13464:C13471" si="4875">"PHILIAS"</f>
        <v>PHILIAS</v>
      </c>
      <c r="D13464">
        <f>10</f>
        <v>10</v>
      </c>
      <c r="E13464" t="str">
        <f>"04 - A - 201 - Alejandro  Navarro"</f>
        <v>04 - A - 201 - Alejandro  Navarro</v>
      </c>
      <c r="F13464" t="str">
        <f>"BAND 4"</f>
        <v>BAND 4</v>
      </c>
      <c r="G13464" t="str">
        <f>"05-504"</f>
        <v>05-504</v>
      </c>
      <c r="H13464" t="str">
        <f>"A"</f>
        <v>A</v>
      </c>
    </row>
    <row r="13465" spans="1:8" x14ac:dyDescent="0.2">
      <c r="A13465" t="str">
        <f t="shared" si="4873"/>
        <v>0621100673</v>
      </c>
      <c r="B13465" t="str">
        <f t="shared" si="4874"/>
        <v>ADRIANNA</v>
      </c>
      <c r="C13465" t="str">
        <f t="shared" si="4875"/>
        <v>PHILIAS</v>
      </c>
      <c r="D13465">
        <f>10</f>
        <v>10</v>
      </c>
      <c r="E13465" t="str">
        <f>"06 - B - 116 - Jordana K Hass"</f>
        <v>06 - B - 116 - Jordana K Hass</v>
      </c>
      <c r="F13465" t="str">
        <f>"NC STUDY HALL 1"</f>
        <v>NC STUDY HALL 1</v>
      </c>
      <c r="G13465" t="str">
        <f>"08-807"</f>
        <v>08-807</v>
      </c>
      <c r="H13465" t="str">
        <f>"B"</f>
        <v>B</v>
      </c>
    </row>
    <row r="13466" spans="1:8" x14ac:dyDescent="0.2">
      <c r="A13466" t="str">
        <f t="shared" si="4873"/>
        <v>0621100673</v>
      </c>
      <c r="B13466" t="str">
        <f t="shared" si="4874"/>
        <v>ADRIANNA</v>
      </c>
      <c r="C13466" t="str">
        <f t="shared" si="4875"/>
        <v>PHILIAS</v>
      </c>
      <c r="D13466">
        <f>10</f>
        <v>10</v>
      </c>
      <c r="E13466" t="str">
        <f>"03 - A - 002 - Nikiel  Nesbeth"</f>
        <v>03 - A - 002 - Nikiel  Nesbeth</v>
      </c>
      <c r="F13466" t="str">
        <f>"PRE-AICE ENG LIT IG"</f>
        <v>PRE-AICE ENG LIT IG</v>
      </c>
      <c r="G13466" t="str">
        <f>"17-1705"</f>
        <v>17-1705</v>
      </c>
      <c r="H13466" t="str">
        <f>"A"</f>
        <v>A</v>
      </c>
    </row>
    <row r="13467" spans="1:8" x14ac:dyDescent="0.2">
      <c r="A13467" t="str">
        <f t="shared" si="4873"/>
        <v>0621100673</v>
      </c>
      <c r="B13467" t="str">
        <f t="shared" si="4874"/>
        <v>ADRIANNA</v>
      </c>
      <c r="C13467" t="str">
        <f t="shared" si="4875"/>
        <v>PHILIAS</v>
      </c>
      <c r="D13467">
        <f>10</f>
        <v>10</v>
      </c>
      <c r="E13467" t="str">
        <f>"02 - A - 102 - Marius D Orsolini"</f>
        <v>02 - A - 102 - Marius D Orsolini</v>
      </c>
      <c r="F13467" t="str">
        <f>"CULINARY ARTS 1"</f>
        <v>CULINARY ARTS 1</v>
      </c>
      <c r="G13467" t="str">
        <f>"21-2115"</f>
        <v>21-2115</v>
      </c>
      <c r="H13467" t="str">
        <f>"A"</f>
        <v>A</v>
      </c>
    </row>
    <row r="13468" spans="1:8" x14ac:dyDescent="0.2">
      <c r="A13468" t="str">
        <f t="shared" si="4873"/>
        <v>0621100673</v>
      </c>
      <c r="B13468" t="str">
        <f t="shared" si="4874"/>
        <v>ADRIANNA</v>
      </c>
      <c r="C13468" t="str">
        <f t="shared" si="4875"/>
        <v>PHILIAS</v>
      </c>
      <c r="D13468">
        <f>10</f>
        <v>10</v>
      </c>
      <c r="E13468" t="str">
        <f>"07 - S1 - B - 102 - Arthur  Kulawik"</f>
        <v>07 - S1 - B - 102 - Arthur  Kulawik</v>
      </c>
      <c r="F13468" t="str">
        <f>"PERS FIN &amp; MON MGT H"</f>
        <v>PERS FIN &amp; MON MGT H</v>
      </c>
      <c r="G13468" t="str">
        <f>"05-506"</f>
        <v>05-506</v>
      </c>
      <c r="H13468" t="str">
        <f>"B"</f>
        <v>B</v>
      </c>
    </row>
    <row r="13469" spans="1:8" x14ac:dyDescent="0.2">
      <c r="A13469" t="str">
        <f t="shared" si="4873"/>
        <v>0621100673</v>
      </c>
      <c r="B13469" t="str">
        <f t="shared" si="4874"/>
        <v>ADRIANNA</v>
      </c>
      <c r="C13469" t="str">
        <f t="shared" si="4875"/>
        <v>PHILIAS</v>
      </c>
      <c r="D13469">
        <f>10</f>
        <v>10</v>
      </c>
      <c r="E13469" t="str">
        <f>"05 - B - 104 - Lourivaldo  Da Silva"</f>
        <v>05 - B - 104 - Lourivaldo  Da Silva</v>
      </c>
      <c r="F13469" t="str">
        <f>"PRE-CALCULUS HON"</f>
        <v>PRE-CALCULUS HON</v>
      </c>
      <c r="G13469" t="str">
        <f>"20-2079"</f>
        <v>20-2079</v>
      </c>
      <c r="H13469" t="str">
        <f>"B"</f>
        <v>B</v>
      </c>
    </row>
    <row r="13470" spans="1:8" x14ac:dyDescent="0.2">
      <c r="A13470" t="str">
        <f t="shared" si="4873"/>
        <v>0621100673</v>
      </c>
      <c r="B13470" t="str">
        <f t="shared" si="4874"/>
        <v>ADRIANNA</v>
      </c>
      <c r="C13470" t="str">
        <f t="shared" si="4875"/>
        <v>PHILIAS</v>
      </c>
      <c r="D13470">
        <f>10</f>
        <v>10</v>
      </c>
      <c r="E13470" t="str">
        <f>"01 - A - 101 - Eva T Rimmer"</f>
        <v>01 - A - 101 - Eva T Rimmer</v>
      </c>
      <c r="F13470" t="str">
        <f>"CRIMINAL JUST OPS 2"</f>
        <v>CRIMINAL JUST OPS 2</v>
      </c>
      <c r="G13470" t="str">
        <f>"05-523"</f>
        <v>05-523</v>
      </c>
      <c r="H13470" t="str">
        <f>"A"</f>
        <v>A</v>
      </c>
    </row>
    <row r="13471" spans="1:8" x14ac:dyDescent="0.2">
      <c r="A13471" t="str">
        <f t="shared" si="4873"/>
        <v>0621100673</v>
      </c>
      <c r="B13471" t="str">
        <f t="shared" si="4874"/>
        <v>ADRIANNA</v>
      </c>
      <c r="C13471" t="str">
        <f t="shared" si="4875"/>
        <v>PHILIAS</v>
      </c>
      <c r="D13471">
        <f>10</f>
        <v>10</v>
      </c>
      <c r="E13471" t="str">
        <f>"08 - B - 001 - Scott A Dethloff"</f>
        <v>08 - B - 001 - Scott A Dethloff</v>
      </c>
      <c r="F13471" t="str">
        <f>"CHEMISTRY 1 HON"</f>
        <v>CHEMISTRY 1 HON</v>
      </c>
      <c r="G13471" t="str">
        <f>"08-812"</f>
        <v>08-812</v>
      </c>
      <c r="H13471" t="str">
        <f>"B"</f>
        <v>B</v>
      </c>
    </row>
    <row r="13472" spans="1:8" x14ac:dyDescent="0.2">
      <c r="A13472" t="str">
        <f t="shared" ref="A13472:A13479" si="4876">"0615058615"</f>
        <v>0615058615</v>
      </c>
      <c r="B13472" t="str">
        <f t="shared" ref="B13472:B13479" si="4877">"TAYSHA"</f>
        <v>TAYSHA</v>
      </c>
      <c r="C13472" t="str">
        <f t="shared" ref="C13472:C13479" si="4878">"PHILIPPE"</f>
        <v>PHILIPPE</v>
      </c>
      <c r="D13472">
        <f>10</f>
        <v>10</v>
      </c>
      <c r="E13472" t="str">
        <f>"04 - A - 102 - Josiah I Lacy"</f>
        <v>04 - A - 102 - Josiah I Lacy</v>
      </c>
      <c r="F13472" t="str">
        <f>"PRE-AICE BIO IG"</f>
        <v>PRE-AICE BIO IG</v>
      </c>
      <c r="G13472" t="str">
        <f>"08-801"</f>
        <v>08-801</v>
      </c>
      <c r="H13472" t="str">
        <f>"A"</f>
        <v>A</v>
      </c>
    </row>
    <row r="13473" spans="1:8" x14ac:dyDescent="0.2">
      <c r="A13473" t="str">
        <f t="shared" si="4876"/>
        <v>0615058615</v>
      </c>
      <c r="B13473" t="str">
        <f t="shared" si="4877"/>
        <v>TAYSHA</v>
      </c>
      <c r="C13473" t="str">
        <f t="shared" si="4878"/>
        <v>PHILIPPE</v>
      </c>
      <c r="D13473">
        <f>10</f>
        <v>10</v>
      </c>
      <c r="E13473" t="str">
        <f>"06 - B - 113 - Joe  Kilpatrick Jr"</f>
        <v>06 - B - 113 - Joe  Kilpatrick Jr</v>
      </c>
      <c r="F13473" t="str">
        <f>"NC STUDY HALL 1"</f>
        <v>NC STUDY HALL 1</v>
      </c>
      <c r="G13473" t="str">
        <f>"09-912"</f>
        <v>09-912</v>
      </c>
      <c r="H13473" t="str">
        <f>"B"</f>
        <v>B</v>
      </c>
    </row>
    <row r="13474" spans="1:8" x14ac:dyDescent="0.2">
      <c r="A13474" t="str">
        <f t="shared" si="4876"/>
        <v>0615058615</v>
      </c>
      <c r="B13474" t="str">
        <f t="shared" si="4877"/>
        <v>TAYSHA</v>
      </c>
      <c r="C13474" t="str">
        <f t="shared" si="4878"/>
        <v>PHILIPPE</v>
      </c>
      <c r="D13474">
        <f>10</f>
        <v>10</v>
      </c>
      <c r="E13474" t="str">
        <f>"03 - A - 201 - Alejandro  Navarro"</f>
        <v>03 - A - 201 - Alejandro  Navarro</v>
      </c>
      <c r="F13474" t="str">
        <f>"BAND 2"</f>
        <v>BAND 2</v>
      </c>
      <c r="G13474" t="str">
        <f>"05-504"</f>
        <v>05-504</v>
      </c>
      <c r="H13474" t="str">
        <f>"A"</f>
        <v>A</v>
      </c>
    </row>
    <row r="13475" spans="1:8" x14ac:dyDescent="0.2">
      <c r="A13475" t="str">
        <f t="shared" si="4876"/>
        <v>0615058615</v>
      </c>
      <c r="B13475" t="str">
        <f t="shared" si="4877"/>
        <v>TAYSHA</v>
      </c>
      <c r="C13475" t="str">
        <f t="shared" si="4878"/>
        <v>PHILIPPE</v>
      </c>
      <c r="D13475">
        <f>10</f>
        <v>10</v>
      </c>
      <c r="E13475" t="str">
        <f>"02 - A - 102 - Daniel S Tyson"</f>
        <v>02 - A - 102 - Daniel S Tyson</v>
      </c>
      <c r="F13475" t="str">
        <f>"JROTC NAVAL SCI 1"</f>
        <v>JROTC NAVAL SCI 1</v>
      </c>
      <c r="G13475" t="str">
        <f>"05-510"</f>
        <v>05-510</v>
      </c>
      <c r="H13475" t="str">
        <f>"A"</f>
        <v>A</v>
      </c>
    </row>
    <row r="13476" spans="1:8" x14ac:dyDescent="0.2">
      <c r="A13476" t="str">
        <f t="shared" si="4876"/>
        <v>0615058615</v>
      </c>
      <c r="B13476" t="str">
        <f t="shared" si="4877"/>
        <v>TAYSHA</v>
      </c>
      <c r="C13476" t="str">
        <f t="shared" si="4878"/>
        <v>PHILIPPE</v>
      </c>
      <c r="D13476">
        <f>10</f>
        <v>10</v>
      </c>
      <c r="E13476" t="str">
        <f>"07 - B - 102 - Nikiel  Nesbeth"</f>
        <v>07 - B - 102 - Nikiel  Nesbeth</v>
      </c>
      <c r="F13476" t="str">
        <f>"PRE-AICE ENG LIT IG"</f>
        <v>PRE-AICE ENG LIT IG</v>
      </c>
      <c r="G13476" t="str">
        <f>"17-1705"</f>
        <v>17-1705</v>
      </c>
      <c r="H13476" t="str">
        <f>"B"</f>
        <v>B</v>
      </c>
    </row>
    <row r="13477" spans="1:8" x14ac:dyDescent="0.2">
      <c r="A13477" t="str">
        <f t="shared" si="4876"/>
        <v>0615058615</v>
      </c>
      <c r="B13477" t="str">
        <f t="shared" si="4877"/>
        <v>TAYSHA</v>
      </c>
      <c r="C13477" t="str">
        <f t="shared" si="4878"/>
        <v>PHILIPPE</v>
      </c>
      <c r="D13477">
        <f>10</f>
        <v>10</v>
      </c>
      <c r="E13477" t="str">
        <f>"05 - B - 104 - Maried P Ramos"</f>
        <v>05 - B - 104 - Maried P Ramos</v>
      </c>
      <c r="F13477" t="str">
        <f>"PRE-AICE MATH 2 IG"</f>
        <v>PRE-AICE MATH 2 IG</v>
      </c>
      <c r="G13477" t="str">
        <f>"21-2159"</f>
        <v>21-2159</v>
      </c>
      <c r="H13477" t="str">
        <f>"B"</f>
        <v>B</v>
      </c>
    </row>
    <row r="13478" spans="1:8" x14ac:dyDescent="0.2">
      <c r="A13478" t="str">
        <f t="shared" si="4876"/>
        <v>0615058615</v>
      </c>
      <c r="B13478" t="str">
        <f t="shared" si="4877"/>
        <v>TAYSHA</v>
      </c>
      <c r="C13478" t="str">
        <f t="shared" si="4878"/>
        <v>PHILIPPE</v>
      </c>
      <c r="D13478">
        <f>10</f>
        <v>10</v>
      </c>
      <c r="E13478" t="str">
        <f>"01 - S1 - A - 101 - Carol S Moore"</f>
        <v>01 - S1 - A - 101 - Carol S Moore</v>
      </c>
      <c r="F13478" t="str">
        <f>"PERS FIN &amp; MON MGT H"</f>
        <v>PERS FIN &amp; MON MGT H</v>
      </c>
      <c r="G13478" t="str">
        <f>"17-1733"</f>
        <v>17-1733</v>
      </c>
      <c r="H13478" t="str">
        <f>"A"</f>
        <v>A</v>
      </c>
    </row>
    <row r="13479" spans="1:8" x14ac:dyDescent="0.2">
      <c r="A13479" t="str">
        <f t="shared" si="4876"/>
        <v>0615058615</v>
      </c>
      <c r="B13479" t="str">
        <f t="shared" si="4877"/>
        <v>TAYSHA</v>
      </c>
      <c r="C13479" t="str">
        <f t="shared" si="4878"/>
        <v>PHILIPPE</v>
      </c>
      <c r="D13479">
        <f>10</f>
        <v>10</v>
      </c>
      <c r="E13479" t="str">
        <f>"08 - B - 202 - Dorothy D Moore"</f>
        <v>08 - B - 202 - Dorothy D Moore</v>
      </c>
      <c r="F13479" t="str">
        <f>"HEALTH SCI 1/A&amp;P HON"</f>
        <v>HEALTH SCI 1/A&amp;P HON</v>
      </c>
      <c r="G13479" t="str">
        <f>"08-803"</f>
        <v>08-803</v>
      </c>
      <c r="H13479" t="str">
        <f>"B"</f>
        <v>B</v>
      </c>
    </row>
    <row r="13480" spans="1:8" x14ac:dyDescent="0.2">
      <c r="A13480" t="str">
        <f t="shared" ref="A13480:A13487" si="4879">"0616036173"</f>
        <v>0616036173</v>
      </c>
      <c r="B13480" t="str">
        <f t="shared" ref="B13480:B13487" si="4880">"AMAYA"</f>
        <v>AMAYA</v>
      </c>
      <c r="C13480" t="str">
        <f t="shared" ref="C13480:C13495" si="4881">"PHILLIPS"</f>
        <v>PHILLIPS</v>
      </c>
      <c r="D13480">
        <f>10</f>
        <v>10</v>
      </c>
      <c r="E13480" t="str">
        <f>"04 - A - 205 - Lytrell T Dixon"</f>
        <v>04 - A - 205 - Lytrell T Dixon</v>
      </c>
      <c r="F13480" t="str">
        <f>"BIOLOGY 1"</f>
        <v>BIOLOGY 1</v>
      </c>
      <c r="G13480" t="str">
        <f>"08-808"</f>
        <v>08-808</v>
      </c>
      <c r="H13480" t="str">
        <f>"A"</f>
        <v>A</v>
      </c>
    </row>
    <row r="13481" spans="1:8" x14ac:dyDescent="0.2">
      <c r="A13481" t="str">
        <f t="shared" si="4879"/>
        <v>0616036173</v>
      </c>
      <c r="B13481" t="str">
        <f t="shared" si="4880"/>
        <v>AMAYA</v>
      </c>
      <c r="C13481" t="str">
        <f t="shared" si="4881"/>
        <v>PHILLIPS</v>
      </c>
      <c r="D13481">
        <f>10</f>
        <v>10</v>
      </c>
      <c r="E13481" t="str">
        <f>"06 - B - 003 - Emmily A Sarmiento"</f>
        <v>06 - B - 003 - Emmily A Sarmiento</v>
      </c>
      <c r="F13481" t="str">
        <f>"NC STUDY HALL 1"</f>
        <v>NC STUDY HALL 1</v>
      </c>
      <c r="G13481" t="str">
        <f>"17-1743"</f>
        <v>17-1743</v>
      </c>
      <c r="H13481" t="str">
        <f>"B"</f>
        <v>B</v>
      </c>
    </row>
    <row r="13482" spans="1:8" x14ac:dyDescent="0.2">
      <c r="A13482" t="str">
        <f t="shared" si="4879"/>
        <v>0616036173</v>
      </c>
      <c r="B13482" t="str">
        <f t="shared" si="4880"/>
        <v>AMAYA</v>
      </c>
      <c r="C13482" t="str">
        <f t="shared" si="4881"/>
        <v>PHILLIPS</v>
      </c>
      <c r="D13482">
        <f>10</f>
        <v>10</v>
      </c>
      <c r="E13482" t="str">
        <f>"03 - A - 103 - Jacquelyn M Neeson"</f>
        <v>03 - A - 103 - Jacquelyn M Neeson</v>
      </c>
      <c r="F13482" t="str">
        <f>"ENG 2"</f>
        <v>ENG 2</v>
      </c>
      <c r="G13482" t="str">
        <f>"17-1715"</f>
        <v>17-1715</v>
      </c>
      <c r="H13482" t="str">
        <f>"A"</f>
        <v>A</v>
      </c>
    </row>
    <row r="13483" spans="1:8" x14ac:dyDescent="0.2">
      <c r="A13483" t="str">
        <f t="shared" si="4879"/>
        <v>0616036173</v>
      </c>
      <c r="B13483" t="str">
        <f t="shared" si="4880"/>
        <v>AMAYA</v>
      </c>
      <c r="C13483" t="str">
        <f t="shared" si="4881"/>
        <v>PHILLIPS</v>
      </c>
      <c r="D13483">
        <f>10</f>
        <v>10</v>
      </c>
      <c r="E13483" t="str">
        <f>"02 - A - 102 - Marius D Orsolini"</f>
        <v>02 - A - 102 - Marius D Orsolini</v>
      </c>
      <c r="F13483" t="str">
        <f>"CULINARY ARTS 1"</f>
        <v>CULINARY ARTS 1</v>
      </c>
      <c r="G13483" t="str">
        <f>"21-2115"</f>
        <v>21-2115</v>
      </c>
      <c r="H13483" t="str">
        <f>"A"</f>
        <v>A</v>
      </c>
    </row>
    <row r="13484" spans="1:8" x14ac:dyDescent="0.2">
      <c r="A13484" t="str">
        <f t="shared" si="4879"/>
        <v>0616036173</v>
      </c>
      <c r="B13484" t="str">
        <f t="shared" si="4880"/>
        <v>AMAYA</v>
      </c>
      <c r="C13484" t="str">
        <f t="shared" si="4881"/>
        <v>PHILLIPS</v>
      </c>
      <c r="D13484">
        <f>10</f>
        <v>10</v>
      </c>
      <c r="E13484" t="str">
        <f>"07 - B - 106 - Taraneh C Abreu"</f>
        <v>07 - B - 106 - Taraneh C Abreu</v>
      </c>
      <c r="F13484" t="str">
        <f>"INTENS READ 2"</f>
        <v>INTENS READ 2</v>
      </c>
      <c r="G13484" t="str">
        <f>"17-1713"</f>
        <v>17-1713</v>
      </c>
      <c r="H13484" t="str">
        <f>"B"</f>
        <v>B</v>
      </c>
    </row>
    <row r="13485" spans="1:8" x14ac:dyDescent="0.2">
      <c r="A13485" t="str">
        <f t="shared" si="4879"/>
        <v>0616036173</v>
      </c>
      <c r="B13485" t="str">
        <f t="shared" si="4880"/>
        <v>AMAYA</v>
      </c>
      <c r="C13485" t="str">
        <f t="shared" si="4881"/>
        <v>PHILLIPS</v>
      </c>
      <c r="D13485">
        <f>10</f>
        <v>10</v>
      </c>
      <c r="E13485" t="str">
        <f>"05 - B - 103 - Brook E Goren"</f>
        <v>05 - B - 103 - Brook E Goren</v>
      </c>
      <c r="F13485" t="str">
        <f>"PRE-AICE MATH 2 IG"</f>
        <v>PRE-AICE MATH 2 IG</v>
      </c>
      <c r="G13485" t="str">
        <f>"21-2158"</f>
        <v>21-2158</v>
      </c>
      <c r="H13485" t="str">
        <f>"B"</f>
        <v>B</v>
      </c>
    </row>
    <row r="13486" spans="1:8" x14ac:dyDescent="0.2">
      <c r="A13486" t="str">
        <f t="shared" si="4879"/>
        <v>0616036173</v>
      </c>
      <c r="B13486" t="str">
        <f t="shared" si="4880"/>
        <v>AMAYA</v>
      </c>
      <c r="C13486" t="str">
        <f t="shared" si="4881"/>
        <v>PHILLIPS</v>
      </c>
      <c r="D13486">
        <f>10</f>
        <v>10</v>
      </c>
      <c r="E13486" t="str">
        <f>"01 - S1 - A - 101 - Lissa C Frederique"</f>
        <v>01 - S1 - A - 101 - Lissa C Frederique</v>
      </c>
      <c r="F13486" t="str">
        <f>"PERS FIN &amp; MON MGT H"</f>
        <v>PERS FIN &amp; MON MGT H</v>
      </c>
      <c r="G13486" t="str">
        <f>"17-1754"</f>
        <v>17-1754</v>
      </c>
      <c r="H13486" t="str">
        <f>"A"</f>
        <v>A</v>
      </c>
    </row>
    <row r="13487" spans="1:8" x14ac:dyDescent="0.2">
      <c r="A13487" t="str">
        <f t="shared" si="4879"/>
        <v>0616036173</v>
      </c>
      <c r="B13487" t="str">
        <f t="shared" si="4880"/>
        <v>AMAYA</v>
      </c>
      <c r="C13487" t="str">
        <f t="shared" si="4881"/>
        <v>PHILLIPS</v>
      </c>
      <c r="D13487">
        <f>10</f>
        <v>10</v>
      </c>
      <c r="E13487" t="str">
        <f>"08 - B - 101 - Jazmin S Fletcher"</f>
        <v>08 - B - 101 - Jazmin S Fletcher</v>
      </c>
      <c r="F13487" t="str">
        <f>"PRE-AICE DRAMA 1G"</f>
        <v>PRE-AICE DRAMA 1G</v>
      </c>
      <c r="G13487" t="str">
        <f>"09-909"</f>
        <v>09-909</v>
      </c>
      <c r="H13487" t="str">
        <f>"B"</f>
        <v>B</v>
      </c>
    </row>
    <row r="13488" spans="1:8" x14ac:dyDescent="0.2">
      <c r="A13488" t="str">
        <f t="shared" ref="A13488:A13495" si="4882">"0616002310"</f>
        <v>0616002310</v>
      </c>
      <c r="B13488" t="str">
        <f t="shared" ref="B13488:B13495" si="4883">"JAYDEN"</f>
        <v>JAYDEN</v>
      </c>
      <c r="C13488" t="str">
        <f t="shared" si="4881"/>
        <v>PHILLIPS</v>
      </c>
      <c r="D13488">
        <f>11</f>
        <v>11</v>
      </c>
      <c r="E13488" t="str">
        <f>"04 - A - 104 - Dayna M Foster"</f>
        <v>04 - A - 104 - Dayna M Foster</v>
      </c>
      <c r="F13488" t="str">
        <f>"ALGEBRA 2"</f>
        <v>ALGEBRA 2</v>
      </c>
      <c r="G13488" t="str">
        <f>"21-2109"</f>
        <v>21-2109</v>
      </c>
      <c r="H13488" t="str">
        <f>"A"</f>
        <v>A</v>
      </c>
    </row>
    <row r="13489" spans="1:8" x14ac:dyDescent="0.2">
      <c r="A13489" t="str">
        <f t="shared" si="4882"/>
        <v>0616002310</v>
      </c>
      <c r="B13489" t="str">
        <f t="shared" si="4883"/>
        <v>JAYDEN</v>
      </c>
      <c r="C13489" t="str">
        <f t="shared" si="4881"/>
        <v>PHILLIPS</v>
      </c>
      <c r="D13489">
        <f>11</f>
        <v>11</v>
      </c>
      <c r="E13489" t="str">
        <f>"06 - B - 104 - Brandy N Zdenek"</f>
        <v>06 - B - 104 - Brandy N Zdenek</v>
      </c>
      <c r="F13489" t="str">
        <f>"AICE ENG LANG 2 AL"</f>
        <v>AICE ENG LANG 2 AL</v>
      </c>
      <c r="G13489" t="str">
        <f>"17-1704"</f>
        <v>17-1704</v>
      </c>
      <c r="H13489" t="str">
        <f>"B"</f>
        <v>B</v>
      </c>
    </row>
    <row r="13490" spans="1:8" x14ac:dyDescent="0.2">
      <c r="A13490" t="str">
        <f t="shared" si="4882"/>
        <v>0616002310</v>
      </c>
      <c r="B13490" t="str">
        <f t="shared" si="4883"/>
        <v>JAYDEN</v>
      </c>
      <c r="C13490" t="str">
        <f t="shared" si="4881"/>
        <v>PHILLIPS</v>
      </c>
      <c r="D13490">
        <f>11</f>
        <v>11</v>
      </c>
      <c r="E13490" t="str">
        <f>"03 - A - 101 - Scott A Dethloff"</f>
        <v>03 - A - 101 - Scott A Dethloff</v>
      </c>
      <c r="F13490" t="str">
        <f>"CHEMISTRY 1 HON"</f>
        <v>CHEMISTRY 1 HON</v>
      </c>
      <c r="G13490" t="str">
        <f>"08-812"</f>
        <v>08-812</v>
      </c>
      <c r="H13490" t="str">
        <f>"A"</f>
        <v>A</v>
      </c>
    </row>
    <row r="13491" spans="1:8" x14ac:dyDescent="0.2">
      <c r="A13491" t="str">
        <f t="shared" si="4882"/>
        <v>0616002310</v>
      </c>
      <c r="B13491" t="str">
        <f t="shared" si="4883"/>
        <v>JAYDEN</v>
      </c>
      <c r="C13491" t="str">
        <f t="shared" si="4881"/>
        <v>PHILLIPS</v>
      </c>
      <c r="D13491">
        <f>11</f>
        <v>11</v>
      </c>
      <c r="E13491" t="str">
        <f>"02 - A - 101 - Timothy J Lawrence"</f>
        <v>02 - A - 101 - Timothy J Lawrence</v>
      </c>
      <c r="F13491" t="str">
        <f>"NC STUDY HALL 1"</f>
        <v>NC STUDY HALL 1</v>
      </c>
      <c r="G13491" t="str">
        <f>"05-522"</f>
        <v>05-522</v>
      </c>
      <c r="H13491" t="str">
        <f>"A"</f>
        <v>A</v>
      </c>
    </row>
    <row r="13492" spans="1:8" x14ac:dyDescent="0.2">
      <c r="A13492" t="str">
        <f t="shared" si="4882"/>
        <v>0616002310</v>
      </c>
      <c r="B13492" t="str">
        <f t="shared" si="4883"/>
        <v>JAYDEN</v>
      </c>
      <c r="C13492" t="str">
        <f t="shared" si="4881"/>
        <v>PHILLIPS</v>
      </c>
      <c r="D13492">
        <f>11</f>
        <v>11</v>
      </c>
      <c r="E13492" t="str">
        <f>"07 - B - 103 - Vanessa J Liburd"</f>
        <v>07 - B - 103 - Vanessa J Liburd</v>
      </c>
      <c r="F13492" t="str">
        <f>"PRE-AICE FRENCH 1 IG"</f>
        <v>PRE-AICE FRENCH 1 IG</v>
      </c>
      <c r="G13492" t="str">
        <f>"05-519"</f>
        <v>05-519</v>
      </c>
      <c r="H13492" t="str">
        <f>"B"</f>
        <v>B</v>
      </c>
    </row>
    <row r="13493" spans="1:8" x14ac:dyDescent="0.2">
      <c r="A13493" t="str">
        <f t="shared" si="4882"/>
        <v>0616002310</v>
      </c>
      <c r="B13493" t="str">
        <f t="shared" si="4883"/>
        <v>JAYDEN</v>
      </c>
      <c r="C13493" t="str">
        <f t="shared" si="4881"/>
        <v>PHILLIPS</v>
      </c>
      <c r="D13493">
        <f>11</f>
        <v>11</v>
      </c>
      <c r="E13493" t="str">
        <f>"05 - B - 001 - Kyle  Robbins"</f>
        <v>05 - B - 001 - Kyle  Robbins</v>
      </c>
      <c r="F13493" t="str">
        <f>"US HISTORY HON"</f>
        <v>US HISTORY HON</v>
      </c>
      <c r="G13493" t="str">
        <f>"17-1745"</f>
        <v>17-1745</v>
      </c>
      <c r="H13493" t="str">
        <f>"B"</f>
        <v>B</v>
      </c>
    </row>
    <row r="13494" spans="1:8" x14ac:dyDescent="0.2">
      <c r="A13494" t="str">
        <f t="shared" si="4882"/>
        <v>0616002310</v>
      </c>
      <c r="B13494" t="str">
        <f t="shared" si="4883"/>
        <v>JAYDEN</v>
      </c>
      <c r="C13494" t="str">
        <f t="shared" si="4881"/>
        <v>PHILLIPS</v>
      </c>
      <c r="D13494">
        <f>11</f>
        <v>11</v>
      </c>
      <c r="E13494" t="str">
        <f>"01 - A - 101 - Nikiel  Nesbeth"</f>
        <v>01 - A - 101 - Nikiel  Nesbeth</v>
      </c>
      <c r="F13494" t="str">
        <f>"CONST LAW HON"</f>
        <v>CONST LAW HON</v>
      </c>
      <c r="G13494" t="str">
        <f>"17-1705"</f>
        <v>17-1705</v>
      </c>
      <c r="H13494" t="str">
        <f>"A"</f>
        <v>A</v>
      </c>
    </row>
    <row r="13495" spans="1:8" x14ac:dyDescent="0.2">
      <c r="A13495" t="str">
        <f t="shared" si="4882"/>
        <v>0616002310</v>
      </c>
      <c r="B13495" t="str">
        <f t="shared" si="4883"/>
        <v>JAYDEN</v>
      </c>
      <c r="C13495" t="str">
        <f t="shared" si="4881"/>
        <v>PHILLIPS</v>
      </c>
      <c r="D13495">
        <f>11</f>
        <v>11</v>
      </c>
      <c r="E13495" t="str">
        <f>"08 - B - 102 - Robert H Rindner"</f>
        <v>08 - B - 102 - Robert H Rindner</v>
      </c>
      <c r="F13495" t="str">
        <f>"TV PRODUCTION TECH 1"</f>
        <v>TV PRODUCTION TECH 1</v>
      </c>
      <c r="G13495" t="str">
        <f>"21-2160"</f>
        <v>21-2160</v>
      </c>
      <c r="H13495" t="str">
        <f>"B"</f>
        <v>B</v>
      </c>
    </row>
    <row r="13496" spans="1:8" x14ac:dyDescent="0.2">
      <c r="A13496" t="str">
        <f t="shared" ref="A13496:A13504" si="4884">"0615062803"</f>
        <v>0615062803</v>
      </c>
      <c r="B13496" t="str">
        <f t="shared" ref="B13496:B13504" si="4885">"RAINNA"</f>
        <v>RAINNA</v>
      </c>
      <c r="C13496" t="str">
        <f t="shared" ref="C13496:C13504" si="4886">"PHOENIX"</f>
        <v>PHOENIX</v>
      </c>
      <c r="D13496">
        <f>10</f>
        <v>10</v>
      </c>
      <c r="E13496" t="str">
        <f>"04 - A - 101 - Reggie L Nixon"</f>
        <v>04 - A - 101 - Reggie L Nixon</v>
      </c>
      <c r="F13496" t="str">
        <f>"ACCESS US HISTORY"</f>
        <v>ACCESS US HISTORY</v>
      </c>
      <c r="G13496" t="str">
        <f>"21-2119"</f>
        <v>21-2119</v>
      </c>
      <c r="H13496" t="str">
        <f>"A"</f>
        <v>A</v>
      </c>
    </row>
    <row r="13497" spans="1:8" x14ac:dyDescent="0.2">
      <c r="A13497" t="str">
        <f t="shared" si="4884"/>
        <v>0615062803</v>
      </c>
      <c r="B13497" t="str">
        <f t="shared" si="4885"/>
        <v>RAINNA</v>
      </c>
      <c r="C13497" t="str">
        <f t="shared" si="4886"/>
        <v>PHOENIX</v>
      </c>
      <c r="D13497">
        <f>10</f>
        <v>10</v>
      </c>
      <c r="E13497" t="str">
        <f>"06 - B - 106 - Eric  Lopapa"</f>
        <v>06 - B - 106 - Eric  Lopapa</v>
      </c>
      <c r="F13497" t="str">
        <f>"LANG THERAPY"</f>
        <v>LANG THERAPY</v>
      </c>
      <c r="G13497" t="str">
        <f>"21-2110"</f>
        <v>21-2110</v>
      </c>
      <c r="H13497" t="str">
        <f>"B"</f>
        <v>B</v>
      </c>
    </row>
    <row r="13498" spans="1:8" x14ac:dyDescent="0.2">
      <c r="A13498" t="str">
        <f t="shared" si="4884"/>
        <v>0615062803</v>
      </c>
      <c r="B13498" t="str">
        <f t="shared" si="4885"/>
        <v>RAINNA</v>
      </c>
      <c r="C13498" t="str">
        <f t="shared" si="4886"/>
        <v>PHOENIX</v>
      </c>
      <c r="D13498">
        <f>10</f>
        <v>10</v>
      </c>
      <c r="E13498" t="str">
        <f>"06 - B - 106 - Adam Marcus  Drucker"</f>
        <v>06 - B - 106 - Adam Marcus  Drucker</v>
      </c>
      <c r="F13498" t="str">
        <f>"HOPE-PE V"</f>
        <v>HOPE-PE V</v>
      </c>
      <c r="G13498" t="str">
        <f>"04-254"</f>
        <v>04-254</v>
      </c>
      <c r="H13498" t="str">
        <f>"B"</f>
        <v>B</v>
      </c>
    </row>
    <row r="13499" spans="1:8" x14ac:dyDescent="0.2">
      <c r="A13499" t="str">
        <f t="shared" si="4884"/>
        <v>0615062803</v>
      </c>
      <c r="B13499" t="str">
        <f t="shared" si="4885"/>
        <v>RAINNA</v>
      </c>
      <c r="C13499" t="str">
        <f t="shared" si="4886"/>
        <v>PHOENIX</v>
      </c>
      <c r="D13499">
        <f>10</f>
        <v>10</v>
      </c>
      <c r="E13499" t="str">
        <f>"03 - A - 101 - Reggie L Nixon"</f>
        <v>03 - A - 101 - Reggie L Nixon</v>
      </c>
      <c r="F13499" t="str">
        <f>"ACCESS BIOLOGY 1"</f>
        <v>ACCESS BIOLOGY 1</v>
      </c>
      <c r="G13499" t="str">
        <f>"21-2119"</f>
        <v>21-2119</v>
      </c>
      <c r="H13499" t="str">
        <f>"A"</f>
        <v>A</v>
      </c>
    </row>
    <row r="13500" spans="1:8" x14ac:dyDescent="0.2">
      <c r="A13500" t="str">
        <f t="shared" si="4884"/>
        <v>0615062803</v>
      </c>
      <c r="B13500" t="str">
        <f t="shared" si="4885"/>
        <v>RAINNA</v>
      </c>
      <c r="C13500" t="str">
        <f t="shared" si="4886"/>
        <v>PHOENIX</v>
      </c>
      <c r="D13500">
        <f>10</f>
        <v>10</v>
      </c>
      <c r="E13500" t="str">
        <f>"02 - A - 105 - Leslie J Barton"</f>
        <v>02 - A - 105 - Leslie J Barton</v>
      </c>
      <c r="F13500" t="str">
        <f>"NC STUDY HALL 1"</f>
        <v>NC STUDY HALL 1</v>
      </c>
      <c r="G13500" t="str">
        <f>"05-521"</f>
        <v>05-521</v>
      </c>
      <c r="H13500" t="str">
        <f>"A"</f>
        <v>A</v>
      </c>
    </row>
    <row r="13501" spans="1:8" x14ac:dyDescent="0.2">
      <c r="A13501" t="str">
        <f t="shared" si="4884"/>
        <v>0615062803</v>
      </c>
      <c r="B13501" t="str">
        <f t="shared" si="4885"/>
        <v>RAINNA</v>
      </c>
      <c r="C13501" t="str">
        <f t="shared" si="4886"/>
        <v>PHOENIX</v>
      </c>
      <c r="D13501">
        <f>10</f>
        <v>10</v>
      </c>
      <c r="E13501" t="str">
        <f>"07 - B - 102 - Reggie L Nixon"</f>
        <v>07 - B - 102 - Reggie L Nixon</v>
      </c>
      <c r="F13501" t="str">
        <f>"ACCESS ENGLISH 2"</f>
        <v>ACCESS ENGLISH 2</v>
      </c>
      <c r="G13501" t="str">
        <f>"21-2119"</f>
        <v>21-2119</v>
      </c>
      <c r="H13501" t="str">
        <f>"B"</f>
        <v>B</v>
      </c>
    </row>
    <row r="13502" spans="1:8" x14ac:dyDescent="0.2">
      <c r="A13502" t="str">
        <f t="shared" si="4884"/>
        <v>0615062803</v>
      </c>
      <c r="B13502" t="str">
        <f t="shared" si="4885"/>
        <v>RAINNA</v>
      </c>
      <c r="C13502" t="str">
        <f t="shared" si="4886"/>
        <v>PHOENIX</v>
      </c>
      <c r="D13502">
        <f>10</f>
        <v>10</v>
      </c>
      <c r="E13502" t="str">
        <f>"05 - B - 102 - Reggie L Nixon"</f>
        <v>05 - B - 102 - Reggie L Nixon</v>
      </c>
      <c r="F13502" t="str">
        <f>"ACCESS ALGEBRA 1A"</f>
        <v>ACCESS ALGEBRA 1A</v>
      </c>
      <c r="G13502" t="str">
        <f>"21-2119"</f>
        <v>21-2119</v>
      </c>
      <c r="H13502" t="str">
        <f>"B"</f>
        <v>B</v>
      </c>
    </row>
    <row r="13503" spans="1:8" x14ac:dyDescent="0.2">
      <c r="A13503" t="str">
        <f t="shared" si="4884"/>
        <v>0615062803</v>
      </c>
      <c r="B13503" t="str">
        <f t="shared" si="4885"/>
        <v>RAINNA</v>
      </c>
      <c r="C13503" t="str">
        <f t="shared" si="4886"/>
        <v>PHOENIX</v>
      </c>
      <c r="D13503">
        <f>10</f>
        <v>10</v>
      </c>
      <c r="E13503" t="str">
        <f>"01 - S1 - A - 101 - Lissa C Frederique"</f>
        <v>01 - S1 - A - 101 - Lissa C Frederique</v>
      </c>
      <c r="F13503" t="str">
        <f>"PERS FIN &amp; MON MGT H"</f>
        <v>PERS FIN &amp; MON MGT H</v>
      </c>
      <c r="G13503" t="str">
        <f>"17-1754"</f>
        <v>17-1754</v>
      </c>
      <c r="H13503" t="str">
        <f>"A"</f>
        <v>A</v>
      </c>
    </row>
    <row r="13504" spans="1:8" x14ac:dyDescent="0.2">
      <c r="A13504" t="str">
        <f t="shared" si="4884"/>
        <v>0615062803</v>
      </c>
      <c r="B13504" t="str">
        <f t="shared" si="4885"/>
        <v>RAINNA</v>
      </c>
      <c r="C13504" t="str">
        <f t="shared" si="4886"/>
        <v>PHOENIX</v>
      </c>
      <c r="D13504">
        <f>10</f>
        <v>10</v>
      </c>
      <c r="E13504" t="str">
        <f>"08 - B - 101 - Reggie L Nixon"</f>
        <v>08 - B - 101 - Reggie L Nixon</v>
      </c>
      <c r="F13504" t="str">
        <f>"ACCESS ALGEBRA 1B"</f>
        <v>ACCESS ALGEBRA 1B</v>
      </c>
      <c r="G13504" t="str">
        <f>"21-2119"</f>
        <v>21-2119</v>
      </c>
      <c r="H13504" t="str">
        <f>"B"</f>
        <v>B</v>
      </c>
    </row>
    <row r="13505" spans="1:8" x14ac:dyDescent="0.2">
      <c r="A13505" t="str">
        <f t="shared" ref="A13505:A13512" si="4887">"0614115605"</f>
        <v>0614115605</v>
      </c>
      <c r="B13505" t="str">
        <f t="shared" ref="B13505:B13512" si="4888">"FATIMA"</f>
        <v>FATIMA</v>
      </c>
      <c r="C13505" t="str">
        <f t="shared" ref="C13505:C13512" si="4889">"PICASSO"</f>
        <v>PICASSO</v>
      </c>
      <c r="D13505">
        <f>11</f>
        <v>11</v>
      </c>
      <c r="E13505" t="str">
        <f>"04 - A - 102 - Jeffrey S Gallagher"</f>
        <v>04 - A - 102 - Jeffrey S Gallagher</v>
      </c>
      <c r="F13505" t="str">
        <f>"ENG HON 3"</f>
        <v>ENG HON 3</v>
      </c>
      <c r="G13505" t="str">
        <f>"17-1724"</f>
        <v>17-1724</v>
      </c>
      <c r="H13505" t="str">
        <f>"A"</f>
        <v>A</v>
      </c>
    </row>
    <row r="13506" spans="1:8" x14ac:dyDescent="0.2">
      <c r="A13506" t="str">
        <f t="shared" si="4887"/>
        <v>0614115605</v>
      </c>
      <c r="B13506" t="str">
        <f t="shared" si="4888"/>
        <v>FATIMA</v>
      </c>
      <c r="C13506" t="str">
        <f t="shared" si="4889"/>
        <v>PICASSO</v>
      </c>
      <c r="D13506">
        <f>11</f>
        <v>11</v>
      </c>
      <c r="E13506" t="str">
        <f>"06 - B - 002 - Kyle  Robbins"</f>
        <v>06 - B - 002 - Kyle  Robbins</v>
      </c>
      <c r="F13506" t="str">
        <f>"US HISTORY HON"</f>
        <v>US HISTORY HON</v>
      </c>
      <c r="G13506" t="str">
        <f>"17-1745"</f>
        <v>17-1745</v>
      </c>
      <c r="H13506" t="str">
        <f>"B"</f>
        <v>B</v>
      </c>
    </row>
    <row r="13507" spans="1:8" x14ac:dyDescent="0.2">
      <c r="A13507" t="str">
        <f t="shared" si="4887"/>
        <v>0614115605</v>
      </c>
      <c r="B13507" t="str">
        <f t="shared" si="4888"/>
        <v>FATIMA</v>
      </c>
      <c r="C13507" t="str">
        <f t="shared" si="4889"/>
        <v>PICASSO</v>
      </c>
      <c r="D13507">
        <f>11</f>
        <v>11</v>
      </c>
      <c r="E13507" t="str">
        <f>"03 - A - 201 - Emmily A Sarmiento"</f>
        <v>03 - A - 201 - Emmily A Sarmiento</v>
      </c>
      <c r="F13507" t="str">
        <f>"LEAD SKLS DEV LH"</f>
        <v>LEAD SKLS DEV LH</v>
      </c>
      <c r="G13507" t="str">
        <f>"17-1743"</f>
        <v>17-1743</v>
      </c>
      <c r="H13507" t="str">
        <f>"A"</f>
        <v>A</v>
      </c>
    </row>
    <row r="13508" spans="1:8" x14ac:dyDescent="0.2">
      <c r="A13508" t="str">
        <f t="shared" si="4887"/>
        <v>0614115605</v>
      </c>
      <c r="B13508" t="str">
        <f t="shared" si="4888"/>
        <v>FATIMA</v>
      </c>
      <c r="C13508" t="str">
        <f t="shared" si="4889"/>
        <v>PICASSO</v>
      </c>
      <c r="D13508">
        <f>11</f>
        <v>11</v>
      </c>
      <c r="E13508" t="str">
        <f>"02 - A - 117 - Kyle  Robbins"</f>
        <v>02 - A - 117 - Kyle  Robbins</v>
      </c>
      <c r="F13508" t="str">
        <f>"NC STUDY HALL 1"</f>
        <v>NC STUDY HALL 1</v>
      </c>
      <c r="G13508" t="str">
        <f>"17-1745"</f>
        <v>17-1745</v>
      </c>
      <c r="H13508" t="str">
        <f>"A"</f>
        <v>A</v>
      </c>
    </row>
    <row r="13509" spans="1:8" x14ac:dyDescent="0.2">
      <c r="A13509" t="str">
        <f t="shared" si="4887"/>
        <v>0614115605</v>
      </c>
      <c r="B13509" t="str">
        <f t="shared" si="4888"/>
        <v>FATIMA</v>
      </c>
      <c r="C13509" t="str">
        <f t="shared" si="4889"/>
        <v>PICASSO</v>
      </c>
      <c r="D13509">
        <f>11</f>
        <v>11</v>
      </c>
      <c r="E13509" t="str">
        <f>"07 - B - 106 - James H Mccann"</f>
        <v>07 - B - 106 - James H Mccann</v>
      </c>
      <c r="F13509" t="str">
        <f>"ALGEBRA 2"</f>
        <v>ALGEBRA 2</v>
      </c>
      <c r="G13509" t="str">
        <f>"17-1716"</f>
        <v>17-1716</v>
      </c>
      <c r="H13509" t="str">
        <f>"B"</f>
        <v>B</v>
      </c>
    </row>
    <row r="13510" spans="1:8" x14ac:dyDescent="0.2">
      <c r="A13510" t="str">
        <f t="shared" si="4887"/>
        <v>0614115605</v>
      </c>
      <c r="B13510" t="str">
        <f t="shared" si="4888"/>
        <v>FATIMA</v>
      </c>
      <c r="C13510" t="str">
        <f t="shared" si="4889"/>
        <v>PICASSO</v>
      </c>
      <c r="D13510">
        <f>11</f>
        <v>11</v>
      </c>
      <c r="E13510" t="str">
        <f>"05 - B - 204 - Cliffon  Saurel"</f>
        <v>05 - B - 204 - Cliffon  Saurel</v>
      </c>
      <c r="F13510" t="str">
        <f>"PHYSICAL SCI"</f>
        <v>PHYSICAL SCI</v>
      </c>
      <c r="G13510" t="str">
        <f>"05-522"</f>
        <v>05-522</v>
      </c>
      <c r="H13510" t="str">
        <f>"B"</f>
        <v>B</v>
      </c>
    </row>
    <row r="13511" spans="1:8" x14ac:dyDescent="0.2">
      <c r="A13511" t="str">
        <f t="shared" si="4887"/>
        <v>0614115605</v>
      </c>
      <c r="B13511" t="str">
        <f t="shared" si="4888"/>
        <v>FATIMA</v>
      </c>
      <c r="C13511" t="str">
        <f t="shared" si="4889"/>
        <v>PICASSO</v>
      </c>
      <c r="D13511">
        <f>11</f>
        <v>11</v>
      </c>
      <c r="E13511" t="str">
        <f>"01 - A - 101 - Nikiel  Nesbeth"</f>
        <v>01 - A - 101 - Nikiel  Nesbeth</v>
      </c>
      <c r="F13511" t="str">
        <f>"CONST LAW HON"</f>
        <v>CONST LAW HON</v>
      </c>
      <c r="G13511" t="str">
        <f>"17-1705"</f>
        <v>17-1705</v>
      </c>
      <c r="H13511" t="str">
        <f>"A"</f>
        <v>A</v>
      </c>
    </row>
    <row r="13512" spans="1:8" x14ac:dyDescent="0.2">
      <c r="A13512" t="str">
        <f t="shared" si="4887"/>
        <v>0614115605</v>
      </c>
      <c r="B13512" t="str">
        <f t="shared" si="4888"/>
        <v>FATIMA</v>
      </c>
      <c r="C13512" t="str">
        <f t="shared" si="4889"/>
        <v>PICASSO</v>
      </c>
      <c r="D13512">
        <f>11</f>
        <v>11</v>
      </c>
      <c r="E13512" t="str">
        <f>"08 - B - 101 - Eva T Rimmer"</f>
        <v>08 - B - 101 - Eva T Rimmer</v>
      </c>
      <c r="F13512" t="str">
        <f>"CRIM JUST OPS 3 HON"</f>
        <v>CRIM JUST OPS 3 HON</v>
      </c>
      <c r="G13512" t="str">
        <f>"05-523"</f>
        <v>05-523</v>
      </c>
      <c r="H13512" t="str">
        <f>"B"</f>
        <v>B</v>
      </c>
    </row>
    <row r="13513" spans="1:8" x14ac:dyDescent="0.2">
      <c r="A13513" t="str">
        <f t="shared" ref="A13513:A13520" si="4890">"0615109740"</f>
        <v>0615109740</v>
      </c>
      <c r="B13513" t="str">
        <f t="shared" ref="B13513:B13520" si="4891">"ALEA"</f>
        <v>ALEA</v>
      </c>
      <c r="C13513" t="str">
        <f t="shared" ref="C13513:C13528" si="4892">"PIERCE"</f>
        <v>PIERCE</v>
      </c>
      <c r="D13513">
        <f>10</f>
        <v>10</v>
      </c>
      <c r="E13513" t="str">
        <f>"04 - A - 102 - Daniel S Katz"</f>
        <v>04 - A - 102 - Daniel S Katz</v>
      </c>
      <c r="F13513" t="str">
        <f>"AICE DRAMA 1 AS LEV"</f>
        <v>AICE DRAMA 1 AS LEV</v>
      </c>
      <c r="G13513" t="str">
        <f>"05-521"</f>
        <v>05-521</v>
      </c>
      <c r="H13513" t="str">
        <f>"A"</f>
        <v>A</v>
      </c>
    </row>
    <row r="13514" spans="1:8" x14ac:dyDescent="0.2">
      <c r="A13514" t="str">
        <f t="shared" si="4890"/>
        <v>0615109740</v>
      </c>
      <c r="B13514" t="str">
        <f t="shared" si="4891"/>
        <v>ALEA</v>
      </c>
      <c r="C13514" t="str">
        <f t="shared" si="4892"/>
        <v>PIERCE</v>
      </c>
      <c r="D13514">
        <f>10</f>
        <v>10</v>
      </c>
      <c r="E13514" t="str">
        <f>"06 - B - 117 - Daniel S Tyson"</f>
        <v>06 - B - 117 - Daniel S Tyson</v>
      </c>
      <c r="F13514" t="str">
        <f>"NC STUDY HALL 1"</f>
        <v>NC STUDY HALL 1</v>
      </c>
      <c r="G13514" t="str">
        <f>"05-510"</f>
        <v>05-510</v>
      </c>
      <c r="H13514" t="str">
        <f>"B"</f>
        <v>B</v>
      </c>
    </row>
    <row r="13515" spans="1:8" x14ac:dyDescent="0.2">
      <c r="A13515" t="str">
        <f t="shared" si="4890"/>
        <v>0615109740</v>
      </c>
      <c r="B13515" t="str">
        <f t="shared" si="4891"/>
        <v>ALEA</v>
      </c>
      <c r="C13515" t="str">
        <f t="shared" si="4892"/>
        <v>PIERCE</v>
      </c>
      <c r="D13515">
        <f>10</f>
        <v>10</v>
      </c>
      <c r="E13515" t="str">
        <f>"03 - A - 101 - Scott A Dethloff"</f>
        <v>03 - A - 101 - Scott A Dethloff</v>
      </c>
      <c r="F13515" t="str">
        <f>"CHEMISTRY 1 HON"</f>
        <v>CHEMISTRY 1 HON</v>
      </c>
      <c r="G13515" t="str">
        <f>"08-812"</f>
        <v>08-812</v>
      </c>
      <c r="H13515" t="str">
        <f>"A"</f>
        <v>A</v>
      </c>
    </row>
    <row r="13516" spans="1:8" x14ac:dyDescent="0.2">
      <c r="A13516" t="str">
        <f t="shared" si="4890"/>
        <v>0615109740</v>
      </c>
      <c r="B13516" t="str">
        <f t="shared" si="4891"/>
        <v>ALEA</v>
      </c>
      <c r="C13516" t="str">
        <f t="shared" si="4892"/>
        <v>PIERCE</v>
      </c>
      <c r="D13516">
        <f>10</f>
        <v>10</v>
      </c>
      <c r="E13516" t="str">
        <f>"02 - A - 103 - Lenecy  Nodarse"</f>
        <v>02 - A - 103 - Lenecy  Nodarse</v>
      </c>
      <c r="F13516" t="str">
        <f>"AICE EURO HIST 1 AS"</f>
        <v>AICE EURO HIST 1 AS</v>
      </c>
      <c r="G13516" t="str">
        <f>"17-1741"</f>
        <v>17-1741</v>
      </c>
      <c r="H13516" t="str">
        <f>"A"</f>
        <v>A</v>
      </c>
    </row>
    <row r="13517" spans="1:8" x14ac:dyDescent="0.2">
      <c r="A13517" t="str">
        <f t="shared" si="4890"/>
        <v>0615109740</v>
      </c>
      <c r="B13517" t="str">
        <f t="shared" si="4891"/>
        <v>ALEA</v>
      </c>
      <c r="C13517" t="str">
        <f t="shared" si="4892"/>
        <v>PIERCE</v>
      </c>
      <c r="D13517">
        <f>10</f>
        <v>10</v>
      </c>
      <c r="E13517" t="str">
        <f>"07 - B - 102 - Chrystina M Marchionne"</f>
        <v>07 - B - 102 - Chrystina M Marchionne</v>
      </c>
      <c r="F13517" t="str">
        <f>"JOURN 2 (YB) LH"</f>
        <v>JOURN 2 (YB) LH</v>
      </c>
      <c r="G13517" t="str">
        <f>"05-520"</f>
        <v>05-520</v>
      </c>
      <c r="H13517" t="str">
        <f>"B"</f>
        <v>B</v>
      </c>
    </row>
    <row r="13518" spans="1:8" x14ac:dyDescent="0.2">
      <c r="A13518" t="str">
        <f t="shared" si="4890"/>
        <v>0615109740</v>
      </c>
      <c r="B13518" t="str">
        <f t="shared" si="4891"/>
        <v>ALEA</v>
      </c>
      <c r="C13518" t="str">
        <f t="shared" si="4892"/>
        <v>PIERCE</v>
      </c>
      <c r="D13518">
        <f>10</f>
        <v>10</v>
      </c>
      <c r="E13518" t="str">
        <f>"05 - B - 108 - James H Mccann"</f>
        <v>05 - B - 108 - James H Mccann</v>
      </c>
      <c r="F13518" t="str">
        <f>"ALGEBRA 2"</f>
        <v>ALGEBRA 2</v>
      </c>
      <c r="G13518" t="str">
        <f>"17-1716"</f>
        <v>17-1716</v>
      </c>
      <c r="H13518" t="str">
        <f>"B"</f>
        <v>B</v>
      </c>
    </row>
    <row r="13519" spans="1:8" x14ac:dyDescent="0.2">
      <c r="A13519" t="str">
        <f t="shared" si="4890"/>
        <v>0615109740</v>
      </c>
      <c r="B13519" t="str">
        <f t="shared" si="4891"/>
        <v>ALEA</v>
      </c>
      <c r="C13519" t="str">
        <f t="shared" si="4892"/>
        <v>PIERCE</v>
      </c>
      <c r="D13519">
        <f>10</f>
        <v>10</v>
      </c>
      <c r="E13519" t="str">
        <f>"01 - A - 201 - Stefanie S Scher"</f>
        <v>01 - A - 201 - Stefanie S Scher</v>
      </c>
      <c r="F13519" t="str">
        <f>"AICE PSYCH 1 AS"</f>
        <v>AICE PSYCH 1 AS</v>
      </c>
      <c r="G13519" t="str">
        <f>"17-1735"</f>
        <v>17-1735</v>
      </c>
      <c r="H13519" t="str">
        <f>"A"</f>
        <v>A</v>
      </c>
    </row>
    <row r="13520" spans="1:8" x14ac:dyDescent="0.2">
      <c r="A13520" t="str">
        <f t="shared" si="4890"/>
        <v>0615109740</v>
      </c>
      <c r="B13520" t="str">
        <f t="shared" si="4891"/>
        <v>ALEA</v>
      </c>
      <c r="C13520" t="str">
        <f t="shared" si="4892"/>
        <v>PIERCE</v>
      </c>
      <c r="D13520">
        <f>10</f>
        <v>10</v>
      </c>
      <c r="E13520" t="str">
        <f>"08 - B - 001 - Jacklyn M James"</f>
        <v>08 - B - 001 - Jacklyn M James</v>
      </c>
      <c r="F13520" t="str">
        <f>"AICE ENG LANG AS"</f>
        <v>AICE ENG LANG AS</v>
      </c>
      <c r="G13520" t="str">
        <f>"17-1731"</f>
        <v>17-1731</v>
      </c>
      <c r="H13520" t="str">
        <f>"B"</f>
        <v>B</v>
      </c>
    </row>
    <row r="13521" spans="1:8" x14ac:dyDescent="0.2">
      <c r="A13521" t="str">
        <f t="shared" ref="A13521:A13528" si="4893">"0614087317"</f>
        <v>0614087317</v>
      </c>
      <c r="B13521" t="str">
        <f t="shared" ref="B13521:B13528" si="4894">"LIVIA"</f>
        <v>LIVIA</v>
      </c>
      <c r="C13521" t="str">
        <f t="shared" si="4892"/>
        <v>PIERCE</v>
      </c>
      <c r="D13521">
        <f>11</f>
        <v>11</v>
      </c>
      <c r="E13521" t="str">
        <f>"04 - A - 101 - Alejandro  Navarro"</f>
        <v>04 - A - 101 - Alejandro  Navarro</v>
      </c>
      <c r="F13521" t="str">
        <f>"BAND 5 HON"</f>
        <v>BAND 5 HON</v>
      </c>
      <c r="G13521" t="str">
        <f>"05-504"</f>
        <v>05-504</v>
      </c>
      <c r="H13521" t="str">
        <f>"A"</f>
        <v>A</v>
      </c>
    </row>
    <row r="13522" spans="1:8" x14ac:dyDescent="0.2">
      <c r="A13522" t="str">
        <f t="shared" si="4893"/>
        <v>0614087317</v>
      </c>
      <c r="B13522" t="str">
        <f t="shared" si="4894"/>
        <v>LIVIA</v>
      </c>
      <c r="C13522" t="str">
        <f t="shared" si="4892"/>
        <v>PIERCE</v>
      </c>
      <c r="D13522">
        <f>11</f>
        <v>11</v>
      </c>
      <c r="E13522" t="str">
        <f>"06 - B - 206 - Jacqueline R Morphet"</f>
        <v>06 - B - 206 - Jacqueline R Morphet</v>
      </c>
      <c r="F13522" t="str">
        <f>"PHYSICS 1 HON"</f>
        <v>PHYSICS 1 HON</v>
      </c>
      <c r="G13522" t="str">
        <f>"21-2138"</f>
        <v>21-2138</v>
      </c>
      <c r="H13522" t="str">
        <f>"B"</f>
        <v>B</v>
      </c>
    </row>
    <row r="13523" spans="1:8" x14ac:dyDescent="0.2">
      <c r="A13523" t="str">
        <f t="shared" si="4893"/>
        <v>0614087317</v>
      </c>
      <c r="B13523" t="str">
        <f t="shared" si="4894"/>
        <v>LIVIA</v>
      </c>
      <c r="C13523" t="str">
        <f t="shared" si="4892"/>
        <v>PIERCE</v>
      </c>
      <c r="D13523">
        <f>11</f>
        <v>11</v>
      </c>
      <c r="E13523" t="str">
        <f>"03 - S1 - A - 101 - Daniel S Katz"</f>
        <v>03 - S1 - A - 101 - Daniel S Katz</v>
      </c>
      <c r="F13523" t="str">
        <f>"COURT PROCED"</f>
        <v>COURT PROCED</v>
      </c>
      <c r="G13523" t="str">
        <f>"21-2156"</f>
        <v>21-2156</v>
      </c>
      <c r="H13523" t="str">
        <f>"A"</f>
        <v>A</v>
      </c>
    </row>
    <row r="13524" spans="1:8" x14ac:dyDescent="0.2">
      <c r="A13524" t="str">
        <f t="shared" si="4893"/>
        <v>0614087317</v>
      </c>
      <c r="B13524" t="str">
        <f t="shared" si="4894"/>
        <v>LIVIA</v>
      </c>
      <c r="C13524" t="str">
        <f t="shared" si="4892"/>
        <v>PIERCE</v>
      </c>
      <c r="D13524">
        <f>11</f>
        <v>11</v>
      </c>
      <c r="E13524" t="str">
        <f>"02 - A - 107 - Elizabeth Ellen  Moran"</f>
        <v>02 - A - 107 - Elizabeth Ellen  Moran</v>
      </c>
      <c r="F13524" t="str">
        <f>"NC STUDY HALL 1"</f>
        <v>NC STUDY HALL 1</v>
      </c>
      <c r="G13524" t="str">
        <f>"17-1752"</f>
        <v>17-1752</v>
      </c>
      <c r="H13524" t="str">
        <f>"A"</f>
        <v>A</v>
      </c>
    </row>
    <row r="13525" spans="1:8" x14ac:dyDescent="0.2">
      <c r="A13525" t="str">
        <f t="shared" si="4893"/>
        <v>0614087317</v>
      </c>
      <c r="B13525" t="str">
        <f t="shared" si="4894"/>
        <v>LIVIA</v>
      </c>
      <c r="C13525" t="str">
        <f t="shared" si="4892"/>
        <v>PIERCE</v>
      </c>
      <c r="D13525">
        <f>11</f>
        <v>11</v>
      </c>
      <c r="E13525" t="str">
        <f>"07 - B - 104 - Jerry S Jiampetti"</f>
        <v>07 - B - 104 - Jerry S Jiampetti</v>
      </c>
      <c r="F13525" t="str">
        <f>"AICE U.S. HIST 1 AS"</f>
        <v>AICE U.S. HIST 1 AS</v>
      </c>
      <c r="G13525" t="str">
        <f>"17-1751"</f>
        <v>17-1751</v>
      </c>
      <c r="H13525" t="str">
        <f>"B"</f>
        <v>B</v>
      </c>
    </row>
    <row r="13526" spans="1:8" x14ac:dyDescent="0.2">
      <c r="A13526" t="str">
        <f t="shared" si="4893"/>
        <v>0614087317</v>
      </c>
      <c r="B13526" t="str">
        <f t="shared" si="4894"/>
        <v>LIVIA</v>
      </c>
      <c r="C13526" t="str">
        <f t="shared" si="4892"/>
        <v>PIERCE</v>
      </c>
      <c r="D13526">
        <f>11</f>
        <v>11</v>
      </c>
      <c r="E13526" t="str">
        <f>"05 - B - 203 - Chrystina M Marchionne"</f>
        <v>05 - B - 203 - Chrystina M Marchionne</v>
      </c>
      <c r="F13526" t="str">
        <f>"AICE MEDIASTUDIES AS"</f>
        <v>AICE MEDIASTUDIES AS</v>
      </c>
      <c r="G13526" t="str">
        <f>"05-520"</f>
        <v>05-520</v>
      </c>
      <c r="H13526" t="str">
        <f>"B"</f>
        <v>B</v>
      </c>
    </row>
    <row r="13527" spans="1:8" x14ac:dyDescent="0.2">
      <c r="A13527" t="str">
        <f t="shared" si="4893"/>
        <v>0614087317</v>
      </c>
      <c r="B13527" t="str">
        <f t="shared" si="4894"/>
        <v>LIVIA</v>
      </c>
      <c r="C13527" t="str">
        <f t="shared" si="4892"/>
        <v>PIERCE</v>
      </c>
      <c r="D13527">
        <f>11</f>
        <v>11</v>
      </c>
      <c r="E13527" t="str">
        <f>"01 - A - 101 - Brandy N Zdenek"</f>
        <v>01 - A - 101 - Brandy N Zdenek</v>
      </c>
      <c r="F13527" t="str">
        <f>"AICE ENG LANG 2 AL"</f>
        <v>AICE ENG LANG 2 AL</v>
      </c>
      <c r="G13527" t="str">
        <f>"17-1704"</f>
        <v>17-1704</v>
      </c>
      <c r="H13527" t="str">
        <f>"A"</f>
        <v>A</v>
      </c>
    </row>
    <row r="13528" spans="1:8" x14ac:dyDescent="0.2">
      <c r="A13528" t="str">
        <f t="shared" si="4893"/>
        <v>0614087317</v>
      </c>
      <c r="B13528" t="str">
        <f t="shared" si="4894"/>
        <v>LIVIA</v>
      </c>
      <c r="C13528" t="str">
        <f t="shared" si="4892"/>
        <v>PIERCE</v>
      </c>
      <c r="D13528">
        <f>11</f>
        <v>11</v>
      </c>
      <c r="E13528" t="str">
        <f>"08 - B - 105 - Semra  Bahadir"</f>
        <v>08 - B - 105 - Semra  Bahadir</v>
      </c>
      <c r="F13528" t="str">
        <f>"MATH COLL ALGEBRA"</f>
        <v>MATH COLL ALGEBRA</v>
      </c>
      <c r="G13528" t="str">
        <f>"21-2107"</f>
        <v>21-2107</v>
      </c>
      <c r="H13528" t="str">
        <f>"B"</f>
        <v>B</v>
      </c>
    </row>
    <row r="13529" spans="1:8" x14ac:dyDescent="0.2">
      <c r="A13529" t="str">
        <f t="shared" ref="A13529:A13536" si="4895">"0625036997"</f>
        <v>0625036997</v>
      </c>
      <c r="B13529" t="str">
        <f t="shared" ref="B13529:B13536" si="4896">"Sandro"</f>
        <v>Sandro</v>
      </c>
      <c r="C13529" t="str">
        <f t="shared" ref="C13529:C13536" si="4897">"Pierre"</f>
        <v>Pierre</v>
      </c>
      <c r="D13529">
        <f>11</f>
        <v>11</v>
      </c>
      <c r="E13529" t="str">
        <f>"04 - A - 106 - Marielle A Witting"</f>
        <v>04 - A - 106 - Marielle A Witting</v>
      </c>
      <c r="F13529" t="str">
        <f>"ANAT PHYSIO"</f>
        <v>ANAT PHYSIO</v>
      </c>
      <c r="G13529" t="str">
        <f>"08-805"</f>
        <v>08-805</v>
      </c>
      <c r="H13529" t="str">
        <f>"A"</f>
        <v>A</v>
      </c>
    </row>
    <row r="13530" spans="1:8" x14ac:dyDescent="0.2">
      <c r="A13530" t="str">
        <f t="shared" si="4895"/>
        <v>0625036997</v>
      </c>
      <c r="B13530" t="str">
        <f t="shared" si="4896"/>
        <v>Sandro</v>
      </c>
      <c r="C13530" t="str">
        <f t="shared" si="4897"/>
        <v>Pierre</v>
      </c>
      <c r="D13530">
        <f>11</f>
        <v>11</v>
      </c>
      <c r="E13530" t="str">
        <f>"06 - B - 105 - Arthur  Kulawik"</f>
        <v>06 - B - 105 - Arthur  Kulawik</v>
      </c>
      <c r="F13530" t="str">
        <f>"ENG 3"</f>
        <v>ENG 3</v>
      </c>
      <c r="G13530" t="str">
        <f>"05-506"</f>
        <v>05-506</v>
      </c>
      <c r="H13530" t="str">
        <f>"B"</f>
        <v>B</v>
      </c>
    </row>
    <row r="13531" spans="1:8" x14ac:dyDescent="0.2">
      <c r="A13531" t="str">
        <f t="shared" si="4895"/>
        <v>0625036997</v>
      </c>
      <c r="B13531" t="str">
        <f t="shared" si="4896"/>
        <v>Sandro</v>
      </c>
      <c r="C13531" t="str">
        <f t="shared" si="4897"/>
        <v>Pierre</v>
      </c>
      <c r="D13531">
        <f>11</f>
        <v>11</v>
      </c>
      <c r="E13531" t="str">
        <f>"03 - A - 102 - Nahum  Saint-Preux"</f>
        <v>03 - A - 102 - Nahum  Saint-Preux</v>
      </c>
      <c r="F13531" t="str">
        <f>"INTENS READ 3"</f>
        <v>INTENS READ 3</v>
      </c>
      <c r="G13531" t="str">
        <f>"17-1712"</f>
        <v>17-1712</v>
      </c>
      <c r="H13531" t="str">
        <f>"A"</f>
        <v>A</v>
      </c>
    </row>
    <row r="13532" spans="1:8" x14ac:dyDescent="0.2">
      <c r="A13532" t="str">
        <f t="shared" si="4895"/>
        <v>0625036997</v>
      </c>
      <c r="B13532" t="str">
        <f t="shared" si="4896"/>
        <v>Sandro</v>
      </c>
      <c r="C13532" t="str">
        <f t="shared" si="4897"/>
        <v>Pierre</v>
      </c>
      <c r="D13532">
        <f>11</f>
        <v>11</v>
      </c>
      <c r="E13532" t="str">
        <f>"02 - A - 112 - Brandy N Zdenek"</f>
        <v>02 - A - 112 - Brandy N Zdenek</v>
      </c>
      <c r="F13532" t="str">
        <f>"NC STUDY HALL 1"</f>
        <v>NC STUDY HALL 1</v>
      </c>
      <c r="G13532" t="str">
        <f>"17-1704"</f>
        <v>17-1704</v>
      </c>
      <c r="H13532" t="str">
        <f>"A"</f>
        <v>A</v>
      </c>
    </row>
    <row r="13533" spans="1:8" x14ac:dyDescent="0.2">
      <c r="A13533" t="str">
        <f t="shared" si="4895"/>
        <v>0625036997</v>
      </c>
      <c r="B13533" t="str">
        <f t="shared" si="4896"/>
        <v>Sandro</v>
      </c>
      <c r="C13533" t="str">
        <f t="shared" si="4897"/>
        <v>Pierre</v>
      </c>
      <c r="D13533">
        <f>11</f>
        <v>11</v>
      </c>
      <c r="E13533" t="str">
        <f>"07 - S1 - B - 102 - Arthur  Kulawik"</f>
        <v>07 - S1 - B - 102 - Arthur  Kulawik</v>
      </c>
      <c r="F13533" t="str">
        <f>"PERS FIN &amp; MON MGT H"</f>
        <v>PERS FIN &amp; MON MGT H</v>
      </c>
      <c r="G13533" t="str">
        <f>"05-506"</f>
        <v>05-506</v>
      </c>
      <c r="H13533" t="str">
        <f>"B"</f>
        <v>B</v>
      </c>
    </row>
    <row r="13534" spans="1:8" x14ac:dyDescent="0.2">
      <c r="A13534" t="str">
        <f t="shared" si="4895"/>
        <v>0625036997</v>
      </c>
      <c r="B13534" t="str">
        <f t="shared" si="4896"/>
        <v>Sandro</v>
      </c>
      <c r="C13534" t="str">
        <f t="shared" si="4897"/>
        <v>Pierre</v>
      </c>
      <c r="D13534">
        <f>11</f>
        <v>11</v>
      </c>
      <c r="E13534" t="str">
        <f>"05 - B - 109 - Ferrie J Arostique"</f>
        <v>05 - B - 109 - Ferrie J Arostique</v>
      </c>
      <c r="F13534" t="str">
        <f>"GEOMETRY"</f>
        <v>GEOMETRY</v>
      </c>
      <c r="G13534" t="str">
        <f>"21-2139"</f>
        <v>21-2139</v>
      </c>
      <c r="H13534" t="str">
        <f>"B"</f>
        <v>B</v>
      </c>
    </row>
    <row r="13535" spans="1:8" x14ac:dyDescent="0.2">
      <c r="A13535" t="str">
        <f t="shared" si="4895"/>
        <v>0625036997</v>
      </c>
      <c r="B13535" t="str">
        <f t="shared" si="4896"/>
        <v>Sandro</v>
      </c>
      <c r="C13535" t="str">
        <f t="shared" si="4897"/>
        <v>Pierre</v>
      </c>
      <c r="D13535">
        <f>11</f>
        <v>11</v>
      </c>
      <c r="E13535" t="str">
        <f>"01 - A - 101 - Vanessa J Pena"</f>
        <v>01 - A - 101 - Vanessa J Pena</v>
      </c>
      <c r="F13535" t="str">
        <f>"DEV LANG ARTS ESOL-R"</f>
        <v>DEV LANG ARTS ESOL-R</v>
      </c>
      <c r="G13535" t="str">
        <f>"09-926"</f>
        <v>09-926</v>
      </c>
      <c r="H13535" t="str">
        <f>"A"</f>
        <v>A</v>
      </c>
    </row>
    <row r="13536" spans="1:8" x14ac:dyDescent="0.2">
      <c r="A13536" t="str">
        <f t="shared" si="4895"/>
        <v>0625036997</v>
      </c>
      <c r="B13536" t="str">
        <f t="shared" si="4896"/>
        <v>Sandro</v>
      </c>
      <c r="C13536" t="str">
        <f t="shared" si="4897"/>
        <v>Pierre</v>
      </c>
      <c r="D13536">
        <f>11</f>
        <v>11</v>
      </c>
      <c r="E13536" t="str">
        <f>"08 - B - 109 - Lauren N Logan"</f>
        <v>08 - B - 109 - Lauren N Logan</v>
      </c>
      <c r="F13536" t="str">
        <f>"US HISTORY"</f>
        <v>US HISTORY</v>
      </c>
      <c r="G13536" t="str">
        <f>"17-1754"</f>
        <v>17-1754</v>
      </c>
      <c r="H13536" t="str">
        <f>"B"</f>
        <v>B</v>
      </c>
    </row>
    <row r="13537" spans="1:8" x14ac:dyDescent="0.2">
      <c r="A13537" t="str">
        <f t="shared" ref="A13537:A13544" si="4898">"0614112323"</f>
        <v>0614112323</v>
      </c>
      <c r="B13537" t="str">
        <f t="shared" ref="B13537:B13544" si="4899">"CHELSEA"</f>
        <v>CHELSEA</v>
      </c>
      <c r="C13537" t="str">
        <f t="shared" ref="C13537:C13568" si="4900">"PIERRE"</f>
        <v>PIERRE</v>
      </c>
      <c r="D13537" t="str">
        <f t="shared" ref="D13537:D13544" si="4901">"09"</f>
        <v>09</v>
      </c>
      <c r="E13537" t="str">
        <f>"04 - A - 101 - Jeanne M Bermudez"</f>
        <v>04 - A - 101 - Jeanne M Bermudez</v>
      </c>
      <c r="F13537" t="str">
        <f>"ADVANCED IT HON"</f>
        <v>ADVANCED IT HON</v>
      </c>
      <c r="G13537" t="str">
        <f>"21-2141"</f>
        <v>21-2141</v>
      </c>
      <c r="H13537" t="str">
        <f>"A"</f>
        <v>A</v>
      </c>
    </row>
    <row r="13538" spans="1:8" x14ac:dyDescent="0.2">
      <c r="A13538" t="str">
        <f t="shared" si="4898"/>
        <v>0614112323</v>
      </c>
      <c r="B13538" t="str">
        <f t="shared" si="4899"/>
        <v>CHELSEA</v>
      </c>
      <c r="C13538" t="str">
        <f t="shared" si="4900"/>
        <v>PIERRE</v>
      </c>
      <c r="D13538" t="str">
        <f t="shared" si="4901"/>
        <v>09</v>
      </c>
      <c r="E13538" t="str">
        <f>"06 - B - 104 - Rory T Sponsler"</f>
        <v>06 - B - 104 - Rory T Sponsler</v>
      </c>
      <c r="F13538" t="str">
        <f>"PRE-AICE WRLD HST IG"</f>
        <v>PRE-AICE WRLD HST IG</v>
      </c>
      <c r="G13538" t="str">
        <f>"17-1740"</f>
        <v>17-1740</v>
      </c>
      <c r="H13538" t="str">
        <f>"B"</f>
        <v>B</v>
      </c>
    </row>
    <row r="13539" spans="1:8" x14ac:dyDescent="0.2">
      <c r="A13539" t="str">
        <f t="shared" si="4898"/>
        <v>0614112323</v>
      </c>
      <c r="B13539" t="str">
        <f t="shared" si="4899"/>
        <v>CHELSEA</v>
      </c>
      <c r="C13539" t="str">
        <f t="shared" si="4900"/>
        <v>PIERRE</v>
      </c>
      <c r="D13539" t="str">
        <f t="shared" si="4901"/>
        <v>09</v>
      </c>
      <c r="E13539" t="str">
        <f>"03 - A - 204 - Norayda D Suarez"</f>
        <v>03 - A - 204 - Norayda D Suarez</v>
      </c>
      <c r="F13539" t="str">
        <f>"ANAT PHYSIO HON"</f>
        <v>ANAT PHYSIO HON</v>
      </c>
      <c r="G13539" t="str">
        <f>"21-2144"</f>
        <v>21-2144</v>
      </c>
      <c r="H13539" t="str">
        <f>"A"</f>
        <v>A</v>
      </c>
    </row>
    <row r="13540" spans="1:8" x14ac:dyDescent="0.2">
      <c r="A13540" t="str">
        <f t="shared" si="4898"/>
        <v>0614112323</v>
      </c>
      <c r="B13540" t="str">
        <f t="shared" si="4899"/>
        <v>CHELSEA</v>
      </c>
      <c r="C13540" t="str">
        <f t="shared" si="4900"/>
        <v>PIERRE</v>
      </c>
      <c r="D13540" t="str">
        <f t="shared" si="4901"/>
        <v>09</v>
      </c>
      <c r="E13540" t="str">
        <f>"02 - A - 105 - Elizabeth R Walker"</f>
        <v>02 - A - 105 - Elizabeth R Walker</v>
      </c>
      <c r="F13540" t="str">
        <f>"NC STUDY HALL 1"</f>
        <v>NC STUDY HALL 1</v>
      </c>
      <c r="G13540" t="str">
        <f>"17-1703"</f>
        <v>17-1703</v>
      </c>
      <c r="H13540" t="str">
        <f>"A"</f>
        <v>A</v>
      </c>
    </row>
    <row r="13541" spans="1:8" x14ac:dyDescent="0.2">
      <c r="A13541" t="str">
        <f t="shared" si="4898"/>
        <v>0614112323</v>
      </c>
      <c r="B13541" t="str">
        <f t="shared" si="4899"/>
        <v>CHELSEA</v>
      </c>
      <c r="C13541" t="str">
        <f t="shared" si="4900"/>
        <v>PIERRE</v>
      </c>
      <c r="D13541" t="str">
        <f t="shared" si="4901"/>
        <v>09</v>
      </c>
      <c r="E13541" t="str">
        <f>"07 - B - 107 - Brook E Goren"</f>
        <v>07 - B - 107 - Brook E Goren</v>
      </c>
      <c r="F13541" t="str">
        <f>"PRE-AICE MATH 2 IG"</f>
        <v>PRE-AICE MATH 2 IG</v>
      </c>
      <c r="G13541" t="str">
        <f>"21-2158"</f>
        <v>21-2158</v>
      </c>
      <c r="H13541" t="str">
        <f>"B"</f>
        <v>B</v>
      </c>
    </row>
    <row r="13542" spans="1:8" x14ac:dyDescent="0.2">
      <c r="A13542" t="str">
        <f t="shared" si="4898"/>
        <v>0614112323</v>
      </c>
      <c r="B13542" t="str">
        <f t="shared" si="4899"/>
        <v>CHELSEA</v>
      </c>
      <c r="C13542" t="str">
        <f t="shared" si="4900"/>
        <v>PIERRE</v>
      </c>
      <c r="D13542" t="str">
        <f t="shared" si="4901"/>
        <v>09</v>
      </c>
      <c r="E13542" t="str">
        <f>"05 - B - 104 - Joe  Kilpatrick Jr"</f>
        <v>05 - B - 104 - Joe  Kilpatrick Jr</v>
      </c>
      <c r="F13542" t="str">
        <f>"PRE-AICE SPAN 1 IG"</f>
        <v>PRE-AICE SPAN 1 IG</v>
      </c>
      <c r="G13542" t="str">
        <f>"09-912"</f>
        <v>09-912</v>
      </c>
      <c r="H13542" t="str">
        <f>"B"</f>
        <v>B</v>
      </c>
    </row>
    <row r="13543" spans="1:8" x14ac:dyDescent="0.2">
      <c r="A13543" t="str">
        <f t="shared" si="4898"/>
        <v>0614112323</v>
      </c>
      <c r="B13543" t="str">
        <f t="shared" si="4899"/>
        <v>CHELSEA</v>
      </c>
      <c r="C13543" t="str">
        <f t="shared" si="4900"/>
        <v>PIERRE</v>
      </c>
      <c r="D13543" t="str">
        <f t="shared" si="4901"/>
        <v>09</v>
      </c>
      <c r="E13543" t="str">
        <f>"01 - A - 101 - Adam Marcus  Drucker"</f>
        <v>01 - A - 101 - Adam Marcus  Drucker</v>
      </c>
      <c r="F13543" t="str">
        <f>"HOPE-PE V"</f>
        <v>HOPE-PE V</v>
      </c>
      <c r="G13543" t="str">
        <f>"04-254"</f>
        <v>04-254</v>
      </c>
      <c r="H13543" t="str">
        <f>"A"</f>
        <v>A</v>
      </c>
    </row>
    <row r="13544" spans="1:8" x14ac:dyDescent="0.2">
      <c r="A13544" t="str">
        <f t="shared" si="4898"/>
        <v>0614112323</v>
      </c>
      <c r="B13544" t="str">
        <f t="shared" si="4899"/>
        <v>CHELSEA</v>
      </c>
      <c r="C13544" t="str">
        <f t="shared" si="4900"/>
        <v>PIERRE</v>
      </c>
      <c r="D13544" t="str">
        <f t="shared" si="4901"/>
        <v>09</v>
      </c>
      <c r="E13544" t="str">
        <f>"08 - B - 004 - Cheryl Anne  Berman-Schechter"</f>
        <v>08 - B - 004 - Cheryl Anne  Berman-Schechter</v>
      </c>
      <c r="F13544" t="str">
        <f>"AICE ENG GEN PAPER 1"</f>
        <v>AICE ENG GEN PAPER 1</v>
      </c>
      <c r="G13544" t="str">
        <f>"17-1722"</f>
        <v>17-1722</v>
      </c>
      <c r="H13544" t="str">
        <f>"B"</f>
        <v>B</v>
      </c>
    </row>
    <row r="13545" spans="1:8" x14ac:dyDescent="0.2">
      <c r="A13545" t="str">
        <f t="shared" ref="A13545:A13552" si="4902">"0615099771"</f>
        <v>0615099771</v>
      </c>
      <c r="B13545" t="str">
        <f t="shared" ref="B13545:B13552" si="4903">"GAELLE"</f>
        <v>GAELLE</v>
      </c>
      <c r="C13545" t="str">
        <f t="shared" si="4900"/>
        <v>PIERRE</v>
      </c>
      <c r="D13545">
        <f>10</f>
        <v>10</v>
      </c>
      <c r="E13545" t="str">
        <f>"04 - A - 201 - Dorothy D Moore"</f>
        <v>04 - A - 201 - Dorothy D Moore</v>
      </c>
      <c r="F13545" t="str">
        <f>"HEALTH SCI 1/A&amp;P HON"</f>
        <v>HEALTH SCI 1/A&amp;P HON</v>
      </c>
      <c r="G13545" t="str">
        <f>"08-803"</f>
        <v>08-803</v>
      </c>
      <c r="H13545" t="str">
        <f>"A"</f>
        <v>A</v>
      </c>
    </row>
    <row r="13546" spans="1:8" x14ac:dyDescent="0.2">
      <c r="A13546" t="str">
        <f t="shared" si="4902"/>
        <v>0615099771</v>
      </c>
      <c r="B13546" t="str">
        <f t="shared" si="4903"/>
        <v>GAELLE</v>
      </c>
      <c r="C13546" t="str">
        <f t="shared" si="4900"/>
        <v>PIERRE</v>
      </c>
      <c r="D13546">
        <f>10</f>
        <v>10</v>
      </c>
      <c r="E13546" t="str">
        <f>"06 - B - 119 - Nikiel  Nesbeth"</f>
        <v>06 - B - 119 - Nikiel  Nesbeth</v>
      </c>
      <c r="F13546" t="str">
        <f>"NC STUDY HALL 1"</f>
        <v>NC STUDY HALL 1</v>
      </c>
      <c r="G13546" t="str">
        <f>"17-1705"</f>
        <v>17-1705</v>
      </c>
      <c r="H13546" t="str">
        <f>"B"</f>
        <v>B</v>
      </c>
    </row>
    <row r="13547" spans="1:8" x14ac:dyDescent="0.2">
      <c r="A13547" t="str">
        <f t="shared" si="4902"/>
        <v>0615099771</v>
      </c>
      <c r="B13547" t="str">
        <f t="shared" si="4903"/>
        <v>GAELLE</v>
      </c>
      <c r="C13547" t="str">
        <f t="shared" si="4900"/>
        <v>PIERRE</v>
      </c>
      <c r="D13547">
        <f>10</f>
        <v>10</v>
      </c>
      <c r="E13547" t="str">
        <f>"03 - A - 102 - Rory T Sponsler"</f>
        <v>03 - A - 102 - Rory T Sponsler</v>
      </c>
      <c r="F13547" t="str">
        <f>"PRE-AICE WRLD HST IG"</f>
        <v>PRE-AICE WRLD HST IG</v>
      </c>
      <c r="G13547" t="str">
        <f>"17-1740"</f>
        <v>17-1740</v>
      </c>
      <c r="H13547" t="str">
        <f>"A"</f>
        <v>A</v>
      </c>
    </row>
    <row r="13548" spans="1:8" x14ac:dyDescent="0.2">
      <c r="A13548" t="str">
        <f t="shared" si="4902"/>
        <v>0615099771</v>
      </c>
      <c r="B13548" t="str">
        <f t="shared" si="4903"/>
        <v>GAELLE</v>
      </c>
      <c r="C13548" t="str">
        <f t="shared" si="4900"/>
        <v>PIERRE</v>
      </c>
      <c r="D13548">
        <f>10</f>
        <v>10</v>
      </c>
      <c r="E13548" t="str">
        <f>"02 - S1 - A - 101 - Carol S Moore"</f>
        <v>02 - S1 - A - 101 - Carol S Moore</v>
      </c>
      <c r="F13548" t="str">
        <f>"PER CAR SCH DEV 1 LH"</f>
        <v>PER CAR SCH DEV 1 LH</v>
      </c>
      <c r="G13548" t="str">
        <f>"17-1733"</f>
        <v>17-1733</v>
      </c>
      <c r="H13548" t="str">
        <f>"A"</f>
        <v>A</v>
      </c>
    </row>
    <row r="13549" spans="1:8" x14ac:dyDescent="0.2">
      <c r="A13549" t="str">
        <f t="shared" si="4902"/>
        <v>0615099771</v>
      </c>
      <c r="B13549" t="str">
        <f t="shared" si="4903"/>
        <v>GAELLE</v>
      </c>
      <c r="C13549" t="str">
        <f t="shared" si="4900"/>
        <v>PIERRE</v>
      </c>
      <c r="D13549">
        <f>10</f>
        <v>10</v>
      </c>
      <c r="E13549" t="str">
        <f>"07 - B - 102 - Nikiel  Nesbeth"</f>
        <v>07 - B - 102 - Nikiel  Nesbeth</v>
      </c>
      <c r="F13549" t="str">
        <f>"PRE-AICE ENG LIT IG"</f>
        <v>PRE-AICE ENG LIT IG</v>
      </c>
      <c r="G13549" t="str">
        <f>"17-1705"</f>
        <v>17-1705</v>
      </c>
      <c r="H13549" t="str">
        <f>"B"</f>
        <v>B</v>
      </c>
    </row>
    <row r="13550" spans="1:8" x14ac:dyDescent="0.2">
      <c r="A13550" t="str">
        <f t="shared" si="4902"/>
        <v>0615099771</v>
      </c>
      <c r="B13550" t="str">
        <f t="shared" si="4903"/>
        <v>GAELLE</v>
      </c>
      <c r="C13550" t="str">
        <f t="shared" si="4900"/>
        <v>PIERRE</v>
      </c>
      <c r="D13550">
        <f>10</f>
        <v>10</v>
      </c>
      <c r="E13550" t="str">
        <f>"05 - B - 109 - Ferrie J Arostique"</f>
        <v>05 - B - 109 - Ferrie J Arostique</v>
      </c>
      <c r="F13550" t="str">
        <f>"GEOMETRY"</f>
        <v>GEOMETRY</v>
      </c>
      <c r="G13550" t="str">
        <f>"21-2139"</f>
        <v>21-2139</v>
      </c>
      <c r="H13550" t="str">
        <f>"B"</f>
        <v>B</v>
      </c>
    </row>
    <row r="13551" spans="1:8" x14ac:dyDescent="0.2">
      <c r="A13551" t="str">
        <f t="shared" si="4902"/>
        <v>0615099771</v>
      </c>
      <c r="B13551" t="str">
        <f t="shared" si="4903"/>
        <v>GAELLE</v>
      </c>
      <c r="C13551" t="str">
        <f t="shared" si="4900"/>
        <v>PIERRE</v>
      </c>
      <c r="D13551">
        <f>10</f>
        <v>10</v>
      </c>
      <c r="E13551" t="str">
        <f>"01 - A - 101 - Adam Marcus  Drucker"</f>
        <v>01 - A - 101 - Adam Marcus  Drucker</v>
      </c>
      <c r="F13551" t="str">
        <f>"HOPE-PE V"</f>
        <v>HOPE-PE V</v>
      </c>
      <c r="G13551" t="str">
        <f>"04-254"</f>
        <v>04-254</v>
      </c>
      <c r="H13551" t="str">
        <f>"A"</f>
        <v>A</v>
      </c>
    </row>
    <row r="13552" spans="1:8" x14ac:dyDescent="0.2">
      <c r="A13552" t="str">
        <f t="shared" si="4902"/>
        <v>0615099771</v>
      </c>
      <c r="B13552" t="str">
        <f t="shared" si="4903"/>
        <v>GAELLE</v>
      </c>
      <c r="C13552" t="str">
        <f t="shared" si="4900"/>
        <v>PIERRE</v>
      </c>
      <c r="D13552">
        <f>10</f>
        <v>10</v>
      </c>
      <c r="E13552" t="str">
        <f>"08 - B - 001 - Brian M Fitzgerald"</f>
        <v>08 - B - 001 - Brian M Fitzgerald</v>
      </c>
      <c r="F13552" t="str">
        <f>"CERAM/POT 1"</f>
        <v>CERAM/POT 1</v>
      </c>
      <c r="G13552" t="str">
        <f>"09-908"</f>
        <v>09-908</v>
      </c>
      <c r="H13552" t="str">
        <f>"B"</f>
        <v>B</v>
      </c>
    </row>
    <row r="13553" spans="1:8" x14ac:dyDescent="0.2">
      <c r="A13553" t="str">
        <f t="shared" ref="A13553:A13560" si="4904">"0616024409"</f>
        <v>0616024409</v>
      </c>
      <c r="B13553" t="str">
        <f t="shared" ref="B13553:B13560" si="4905">"GERALD"</f>
        <v>GERALD</v>
      </c>
      <c r="C13553" t="str">
        <f t="shared" si="4900"/>
        <v>PIERRE</v>
      </c>
      <c r="D13553" t="str">
        <f t="shared" ref="D13553:D13560" si="4906">"09"</f>
        <v>09</v>
      </c>
      <c r="E13553" t="str">
        <f>"04 - A - 101 - Jeanne M Bermudez"</f>
        <v>04 - A - 101 - Jeanne M Bermudez</v>
      </c>
      <c r="F13553" t="str">
        <f>"ADVANCED IT HON"</f>
        <v>ADVANCED IT HON</v>
      </c>
      <c r="G13553" t="str">
        <f>"21-2141"</f>
        <v>21-2141</v>
      </c>
      <c r="H13553" t="str">
        <f>"A"</f>
        <v>A</v>
      </c>
    </row>
    <row r="13554" spans="1:8" x14ac:dyDescent="0.2">
      <c r="A13554" t="str">
        <f t="shared" si="4904"/>
        <v>0616024409</v>
      </c>
      <c r="B13554" t="str">
        <f t="shared" si="4905"/>
        <v>GERALD</v>
      </c>
      <c r="C13554" t="str">
        <f t="shared" si="4900"/>
        <v>PIERRE</v>
      </c>
      <c r="D13554" t="str">
        <f t="shared" si="4906"/>
        <v>09</v>
      </c>
      <c r="E13554" t="str">
        <f>"06 - B - 102 - Rosa Elaine  Collado-Duff"</f>
        <v>06 - B - 102 - Rosa Elaine  Collado-Duff</v>
      </c>
      <c r="F13554" t="str">
        <f>"SPANISH 3 HON"</f>
        <v>SPANISH 3 HON</v>
      </c>
      <c r="G13554" t="str">
        <f>"09-913"</f>
        <v>09-913</v>
      </c>
      <c r="H13554" t="str">
        <f>"B"</f>
        <v>B</v>
      </c>
    </row>
    <row r="13555" spans="1:8" x14ac:dyDescent="0.2">
      <c r="A13555" t="str">
        <f t="shared" si="4904"/>
        <v>0616024409</v>
      </c>
      <c r="B13555" t="str">
        <f t="shared" si="4905"/>
        <v>GERALD</v>
      </c>
      <c r="C13555" t="str">
        <f t="shared" si="4900"/>
        <v>PIERRE</v>
      </c>
      <c r="D13555" t="str">
        <f t="shared" si="4906"/>
        <v>09</v>
      </c>
      <c r="E13555" t="str">
        <f>"03 - A - 203 - Elizabeth R Walker"</f>
        <v>03 - A - 203 - Elizabeth R Walker</v>
      </c>
      <c r="F13555" t="str">
        <f>"AICE ENG GEN PAPER 1"</f>
        <v>AICE ENG GEN PAPER 1</v>
      </c>
      <c r="G13555" t="str">
        <f>"17-1703"</f>
        <v>17-1703</v>
      </c>
      <c r="H13555" t="str">
        <f>"A"</f>
        <v>A</v>
      </c>
    </row>
    <row r="13556" spans="1:8" x14ac:dyDescent="0.2">
      <c r="A13556" t="str">
        <f t="shared" si="4904"/>
        <v>0616024409</v>
      </c>
      <c r="B13556" t="str">
        <f t="shared" si="4905"/>
        <v>GERALD</v>
      </c>
      <c r="C13556" t="str">
        <f t="shared" si="4900"/>
        <v>PIERRE</v>
      </c>
      <c r="D13556" t="str">
        <f t="shared" si="4906"/>
        <v>09</v>
      </c>
      <c r="E13556" t="str">
        <f>"02 - A - 101 - Josiah I Lacy"</f>
        <v>02 - A - 101 - Josiah I Lacy</v>
      </c>
      <c r="F13556" t="str">
        <f>"NC STUDY HALL 1"</f>
        <v>NC STUDY HALL 1</v>
      </c>
      <c r="G13556" t="str">
        <f>"08-801"</f>
        <v>08-801</v>
      </c>
      <c r="H13556" t="str">
        <f>"A"</f>
        <v>A</v>
      </c>
    </row>
    <row r="13557" spans="1:8" x14ac:dyDescent="0.2">
      <c r="A13557" t="str">
        <f t="shared" si="4904"/>
        <v>0616024409</v>
      </c>
      <c r="B13557" t="str">
        <f t="shared" si="4905"/>
        <v>GERALD</v>
      </c>
      <c r="C13557" t="str">
        <f t="shared" si="4900"/>
        <v>PIERRE</v>
      </c>
      <c r="D13557" t="str">
        <f t="shared" si="4906"/>
        <v>09</v>
      </c>
      <c r="E13557" t="str">
        <f>"07 - B - 107 - Adam Marcus  Drucker"</f>
        <v>07 - B - 107 - Adam Marcus  Drucker</v>
      </c>
      <c r="F13557" t="str">
        <f>"HOPE-PE V"</f>
        <v>HOPE-PE V</v>
      </c>
      <c r="G13557" t="str">
        <f>"04-254"</f>
        <v>04-254</v>
      </c>
      <c r="H13557" t="str">
        <f>"B"</f>
        <v>B</v>
      </c>
    </row>
    <row r="13558" spans="1:8" x14ac:dyDescent="0.2">
      <c r="A13558" t="str">
        <f t="shared" si="4904"/>
        <v>0616024409</v>
      </c>
      <c r="B13558" t="str">
        <f t="shared" si="4905"/>
        <v>GERALD</v>
      </c>
      <c r="C13558" t="str">
        <f t="shared" si="4900"/>
        <v>PIERRE</v>
      </c>
      <c r="D13558" t="str">
        <f t="shared" si="4906"/>
        <v>09</v>
      </c>
      <c r="E13558" t="str">
        <f>"05 - B - 204 - Cheryl L Beach"</f>
        <v>05 - B - 204 - Cheryl L Beach</v>
      </c>
      <c r="F13558" t="str">
        <f>"AICE ENV MGMNT AS"</f>
        <v>AICE ENV MGMNT AS</v>
      </c>
      <c r="G13558" t="str">
        <f>"08-811"</f>
        <v>08-811</v>
      </c>
      <c r="H13558" t="str">
        <f>"B"</f>
        <v>B</v>
      </c>
    </row>
    <row r="13559" spans="1:8" x14ac:dyDescent="0.2">
      <c r="A13559" t="str">
        <f t="shared" si="4904"/>
        <v>0616024409</v>
      </c>
      <c r="B13559" t="str">
        <f t="shared" si="4905"/>
        <v>GERALD</v>
      </c>
      <c r="C13559" t="str">
        <f t="shared" si="4900"/>
        <v>PIERRE</v>
      </c>
      <c r="D13559" t="str">
        <f t="shared" si="4906"/>
        <v>09</v>
      </c>
      <c r="E13559" t="str">
        <f>"01 - A - 101 - Maried P Ramos"</f>
        <v>01 - A - 101 - Maried P Ramos</v>
      </c>
      <c r="F13559" t="str">
        <f>"ALGEBRA 2 HON"</f>
        <v>ALGEBRA 2 HON</v>
      </c>
      <c r="G13559" t="str">
        <f>"21-2159"</f>
        <v>21-2159</v>
      </c>
      <c r="H13559" t="str">
        <f>"A"</f>
        <v>A</v>
      </c>
    </row>
    <row r="13560" spans="1:8" x14ac:dyDescent="0.2">
      <c r="A13560" t="str">
        <f t="shared" si="4904"/>
        <v>0616024409</v>
      </c>
      <c r="B13560" t="str">
        <f t="shared" si="4905"/>
        <v>GERALD</v>
      </c>
      <c r="C13560" t="str">
        <f t="shared" si="4900"/>
        <v>PIERRE</v>
      </c>
      <c r="D13560" t="str">
        <f t="shared" si="4906"/>
        <v>09</v>
      </c>
      <c r="E13560" t="str">
        <f>"08 - B - 109 - Emmily A Sarmiento"</f>
        <v>08 - B - 109 - Emmily A Sarmiento</v>
      </c>
      <c r="F13560" t="str">
        <f>"AICE GLBL PERSP 1 AS"</f>
        <v>AICE GLBL PERSP 1 AS</v>
      </c>
      <c r="G13560" t="str">
        <f>"17-1743"</f>
        <v>17-1743</v>
      </c>
      <c r="H13560" t="str">
        <f>"B"</f>
        <v>B</v>
      </c>
    </row>
    <row r="13561" spans="1:8" x14ac:dyDescent="0.2">
      <c r="A13561" t="str">
        <f t="shared" ref="A13561:A13568" si="4907">"0616134097"</f>
        <v>0616134097</v>
      </c>
      <c r="B13561" t="str">
        <f t="shared" ref="B13561:B13568" si="4908">"JADEN"</f>
        <v>JADEN</v>
      </c>
      <c r="C13561" t="str">
        <f t="shared" si="4900"/>
        <v>PIERRE</v>
      </c>
      <c r="D13561">
        <f>10</f>
        <v>10</v>
      </c>
      <c r="E13561" t="str">
        <f>"04 - A - 205 - Lytrell T Dixon"</f>
        <v>04 - A - 205 - Lytrell T Dixon</v>
      </c>
      <c r="F13561" t="str">
        <f>"BIOLOGY 1"</f>
        <v>BIOLOGY 1</v>
      </c>
      <c r="G13561" t="str">
        <f>"08-808"</f>
        <v>08-808</v>
      </c>
      <c r="H13561" t="str">
        <f>"A"</f>
        <v>A</v>
      </c>
    </row>
    <row r="13562" spans="1:8" x14ac:dyDescent="0.2">
      <c r="A13562" t="str">
        <f t="shared" si="4907"/>
        <v>0616134097</v>
      </c>
      <c r="B13562" t="str">
        <f t="shared" si="4908"/>
        <v>JADEN</v>
      </c>
      <c r="C13562" t="str">
        <f t="shared" si="4900"/>
        <v>PIERRE</v>
      </c>
      <c r="D13562">
        <f>10</f>
        <v>10</v>
      </c>
      <c r="E13562" t="str">
        <f>"06 - B - 002 - Lenecy  Nodarse"</f>
        <v>06 - B - 002 - Lenecy  Nodarse</v>
      </c>
      <c r="F13562" t="str">
        <f>"NC STUDY HALL 1"</f>
        <v>NC STUDY HALL 1</v>
      </c>
      <c r="G13562" t="str">
        <f>"17-1741"</f>
        <v>17-1741</v>
      </c>
      <c r="H13562" t="str">
        <f>"B"</f>
        <v>B</v>
      </c>
    </row>
    <row r="13563" spans="1:8" x14ac:dyDescent="0.2">
      <c r="A13563" t="str">
        <f t="shared" si="4907"/>
        <v>0616134097</v>
      </c>
      <c r="B13563" t="str">
        <f t="shared" si="4908"/>
        <v>JADEN</v>
      </c>
      <c r="C13563" t="str">
        <f t="shared" si="4900"/>
        <v>PIERRE</v>
      </c>
      <c r="D13563">
        <f>10</f>
        <v>10</v>
      </c>
      <c r="E13563" t="str">
        <f>"03 - A - 002 - Ferrie J Arostique"</f>
        <v>03 - A - 002 - Ferrie J Arostique</v>
      </c>
      <c r="F13563" t="str">
        <f>"GEOMETRY"</f>
        <v>GEOMETRY</v>
      </c>
      <c r="G13563" t="str">
        <f>"21-2139"</f>
        <v>21-2139</v>
      </c>
      <c r="H13563" t="str">
        <f>"A"</f>
        <v>A</v>
      </c>
    </row>
    <row r="13564" spans="1:8" x14ac:dyDescent="0.2">
      <c r="A13564" t="str">
        <f t="shared" si="4907"/>
        <v>0616134097</v>
      </c>
      <c r="B13564" t="str">
        <f t="shared" si="4908"/>
        <v>JADEN</v>
      </c>
      <c r="C13564" t="str">
        <f t="shared" si="4900"/>
        <v>PIERRE</v>
      </c>
      <c r="D13564">
        <f>10</f>
        <v>10</v>
      </c>
      <c r="E13564" t="str">
        <f>"02 - A - 102 - Adam Marcus  Drucker"</f>
        <v>02 - A - 102 - Adam Marcus  Drucker</v>
      </c>
      <c r="F13564" t="str">
        <f>"HOPE-PE V"</f>
        <v>HOPE-PE V</v>
      </c>
      <c r="G13564" t="str">
        <f>"04-254"</f>
        <v>04-254</v>
      </c>
      <c r="H13564" t="str">
        <f>"A"</f>
        <v>A</v>
      </c>
    </row>
    <row r="13565" spans="1:8" x14ac:dyDescent="0.2">
      <c r="A13565" t="str">
        <f t="shared" si="4907"/>
        <v>0616134097</v>
      </c>
      <c r="B13565" t="str">
        <f t="shared" si="4908"/>
        <v>JADEN</v>
      </c>
      <c r="C13565" t="str">
        <f t="shared" si="4900"/>
        <v>PIERRE</v>
      </c>
      <c r="D13565">
        <f>10</f>
        <v>10</v>
      </c>
      <c r="E13565" t="str">
        <f>"07 - B - 101 - Lisa  Quinn"</f>
        <v>07 - B - 101 - Lisa  Quinn</v>
      </c>
      <c r="F13565" t="str">
        <f>"RESEARCH 1"</f>
        <v>RESEARCH 1</v>
      </c>
      <c r="G13565" t="str">
        <f>"17-1725"</f>
        <v>17-1725</v>
      </c>
      <c r="H13565" t="str">
        <f>"B"</f>
        <v>B</v>
      </c>
    </row>
    <row r="13566" spans="1:8" x14ac:dyDescent="0.2">
      <c r="A13566" t="str">
        <f t="shared" si="4907"/>
        <v>0616134097</v>
      </c>
      <c r="B13566" t="str">
        <f t="shared" si="4908"/>
        <v>JADEN</v>
      </c>
      <c r="C13566" t="str">
        <f t="shared" si="4900"/>
        <v>PIERRE</v>
      </c>
      <c r="D13566">
        <f>10</f>
        <v>10</v>
      </c>
      <c r="E13566" t="str">
        <f>"05 - B - 107 - Nikiel  Nesbeth"</f>
        <v>05 - B - 107 - Nikiel  Nesbeth</v>
      </c>
      <c r="F13566" t="str">
        <f>"ENG 2"</f>
        <v>ENG 2</v>
      </c>
      <c r="G13566" t="str">
        <f>"17-1705"</f>
        <v>17-1705</v>
      </c>
      <c r="H13566" t="str">
        <f>"B"</f>
        <v>B</v>
      </c>
    </row>
    <row r="13567" spans="1:8" x14ac:dyDescent="0.2">
      <c r="A13567" t="str">
        <f t="shared" si="4907"/>
        <v>0616134097</v>
      </c>
      <c r="B13567" t="str">
        <f t="shared" si="4908"/>
        <v>JADEN</v>
      </c>
      <c r="C13567" t="str">
        <f t="shared" si="4900"/>
        <v>PIERRE</v>
      </c>
      <c r="D13567">
        <f>10</f>
        <v>10</v>
      </c>
      <c r="E13567" t="str">
        <f>"01 - A - 101 - Samantha L Martinez"</f>
        <v>01 - A - 101 - Samantha L Martinez</v>
      </c>
      <c r="F13567" t="str">
        <f>"MUSIC WORLD"</f>
        <v>MUSIC WORLD</v>
      </c>
      <c r="G13567" t="str">
        <f>"05-505"</f>
        <v>05-505</v>
      </c>
      <c r="H13567" t="str">
        <f>"A"</f>
        <v>A</v>
      </c>
    </row>
    <row r="13568" spans="1:8" x14ac:dyDescent="0.2">
      <c r="A13568" t="str">
        <f t="shared" si="4907"/>
        <v>0616134097</v>
      </c>
      <c r="B13568" t="str">
        <f t="shared" si="4908"/>
        <v>JADEN</v>
      </c>
      <c r="C13568" t="str">
        <f t="shared" si="4900"/>
        <v>PIERRE</v>
      </c>
      <c r="D13568">
        <f>10</f>
        <v>10</v>
      </c>
      <c r="E13568" t="str">
        <f>"08 - S1 - B - 102 - Kyle  Robbins"</f>
        <v>08 - S1 - B - 102 - Kyle  Robbins</v>
      </c>
      <c r="F13568" t="str">
        <f>"PERS FIN &amp; MON MGT H"</f>
        <v>PERS FIN &amp; MON MGT H</v>
      </c>
      <c r="G13568" t="str">
        <f>"17-1745"</f>
        <v>17-1745</v>
      </c>
      <c r="H13568" t="str">
        <f>"B"</f>
        <v>B</v>
      </c>
    </row>
    <row r="13569" spans="1:8" x14ac:dyDescent="0.2">
      <c r="A13569" t="str">
        <f t="shared" ref="A13569:A13576" si="4909">"0615005164"</f>
        <v>0615005164</v>
      </c>
      <c r="B13569" t="str">
        <f t="shared" ref="B13569:B13576" si="4910">"JANIYAH"</f>
        <v>JANIYAH</v>
      </c>
      <c r="C13569" t="str">
        <f t="shared" ref="C13569:C13600" si="4911">"PIERRE"</f>
        <v>PIERRE</v>
      </c>
      <c r="D13569" t="str">
        <f t="shared" ref="D13569:D13584" si="4912">"09"</f>
        <v>09</v>
      </c>
      <c r="E13569" t="str">
        <f>"04 - A - 106 - Ferrie J Arostique"</f>
        <v>04 - A - 106 - Ferrie J Arostique</v>
      </c>
      <c r="F13569" t="str">
        <f>"PRE-AICE MATH 2 IG"</f>
        <v>PRE-AICE MATH 2 IG</v>
      </c>
      <c r="G13569" t="str">
        <f>"21-2139"</f>
        <v>21-2139</v>
      </c>
      <c r="H13569" t="str">
        <f>"A"</f>
        <v>A</v>
      </c>
    </row>
    <row r="13570" spans="1:8" x14ac:dyDescent="0.2">
      <c r="A13570" t="str">
        <f t="shared" si="4909"/>
        <v>0615005164</v>
      </c>
      <c r="B13570" t="str">
        <f t="shared" si="4910"/>
        <v>JANIYAH</v>
      </c>
      <c r="C13570" t="str">
        <f t="shared" si="4911"/>
        <v>PIERRE</v>
      </c>
      <c r="D13570" t="str">
        <f t="shared" si="4912"/>
        <v>09</v>
      </c>
      <c r="E13570" t="str">
        <f>"06 - B - 106 - Adam Marcus  Drucker"</f>
        <v>06 - B - 106 - Adam Marcus  Drucker</v>
      </c>
      <c r="F13570" t="str">
        <f>"HOPE-PE V"</f>
        <v>HOPE-PE V</v>
      </c>
      <c r="G13570" t="str">
        <f>"04-254"</f>
        <v>04-254</v>
      </c>
      <c r="H13570" t="str">
        <f>"B"</f>
        <v>B</v>
      </c>
    </row>
    <row r="13571" spans="1:8" x14ac:dyDescent="0.2">
      <c r="A13571" t="str">
        <f t="shared" si="4909"/>
        <v>0615005164</v>
      </c>
      <c r="B13571" t="str">
        <f t="shared" si="4910"/>
        <v>JANIYAH</v>
      </c>
      <c r="C13571" t="str">
        <f t="shared" si="4911"/>
        <v>PIERRE</v>
      </c>
      <c r="D13571" t="str">
        <f t="shared" si="4912"/>
        <v>09</v>
      </c>
      <c r="E13571" t="str">
        <f>"03 - A - 201 - Chrystina M Marchionne"</f>
        <v>03 - A - 201 - Chrystina M Marchionne</v>
      </c>
      <c r="F13571" t="str">
        <f>"JOURN 1 (YB) LH"</f>
        <v>JOURN 1 (YB) LH</v>
      </c>
      <c r="G13571" t="str">
        <f>"05-520"</f>
        <v>05-520</v>
      </c>
      <c r="H13571" t="str">
        <f>"A"</f>
        <v>A</v>
      </c>
    </row>
    <row r="13572" spans="1:8" x14ac:dyDescent="0.2">
      <c r="A13572" t="str">
        <f t="shared" si="4909"/>
        <v>0615005164</v>
      </c>
      <c r="B13572" t="str">
        <f t="shared" si="4910"/>
        <v>JANIYAH</v>
      </c>
      <c r="C13572" t="str">
        <f t="shared" si="4911"/>
        <v>PIERRE</v>
      </c>
      <c r="D13572" t="str">
        <f t="shared" si="4912"/>
        <v>09</v>
      </c>
      <c r="E13572" t="str">
        <f>"02 - A - 111 - Cheryl L Beach"</f>
        <v>02 - A - 111 - Cheryl L Beach</v>
      </c>
      <c r="F13572" t="str">
        <f>"NC STUDY HALL 1"</f>
        <v>NC STUDY HALL 1</v>
      </c>
      <c r="G13572" t="str">
        <f>"08-811"</f>
        <v>08-811</v>
      </c>
      <c r="H13572" t="str">
        <f>"A"</f>
        <v>A</v>
      </c>
    </row>
    <row r="13573" spans="1:8" x14ac:dyDescent="0.2">
      <c r="A13573" t="str">
        <f t="shared" si="4909"/>
        <v>0615005164</v>
      </c>
      <c r="B13573" t="str">
        <f t="shared" si="4910"/>
        <v>JANIYAH</v>
      </c>
      <c r="C13573" t="str">
        <f t="shared" si="4911"/>
        <v>PIERRE</v>
      </c>
      <c r="D13573" t="str">
        <f t="shared" si="4912"/>
        <v>09</v>
      </c>
      <c r="E13573" t="str">
        <f>"07 - B - 105 - Byron G Montenegro"</f>
        <v>07 - B - 105 - Byron G Montenegro</v>
      </c>
      <c r="F13573" t="str">
        <f>"AICE MARINE SCI 1 AS"</f>
        <v>AICE MARINE SCI 1 AS</v>
      </c>
      <c r="G13573" t="str">
        <f>"21-2144"</f>
        <v>21-2144</v>
      </c>
      <c r="H13573" t="str">
        <f>"B"</f>
        <v>B</v>
      </c>
    </row>
    <row r="13574" spans="1:8" x14ac:dyDescent="0.2">
      <c r="A13574" t="str">
        <f t="shared" si="4909"/>
        <v>0615005164</v>
      </c>
      <c r="B13574" t="str">
        <f t="shared" si="4910"/>
        <v>JANIYAH</v>
      </c>
      <c r="C13574" t="str">
        <f t="shared" si="4911"/>
        <v>PIERRE</v>
      </c>
      <c r="D13574" t="str">
        <f t="shared" si="4912"/>
        <v>09</v>
      </c>
      <c r="E13574" t="str">
        <f>"05 - B - 001 - Kelly N Panza"</f>
        <v>05 - B - 001 - Kelly N Panza</v>
      </c>
      <c r="F13574" t="str">
        <f>"AICE GLBL PERSP 1 AS"</f>
        <v>AICE GLBL PERSP 1 AS</v>
      </c>
      <c r="G13574" t="str">
        <f>"17-1753"</f>
        <v>17-1753</v>
      </c>
      <c r="H13574" t="str">
        <f>"B"</f>
        <v>B</v>
      </c>
    </row>
    <row r="13575" spans="1:8" x14ac:dyDescent="0.2">
      <c r="A13575" t="str">
        <f t="shared" si="4909"/>
        <v>0615005164</v>
      </c>
      <c r="B13575" t="str">
        <f t="shared" si="4910"/>
        <v>JANIYAH</v>
      </c>
      <c r="C13575" t="str">
        <f t="shared" si="4911"/>
        <v>PIERRE</v>
      </c>
      <c r="D13575" t="str">
        <f t="shared" si="4912"/>
        <v>09</v>
      </c>
      <c r="E13575" t="str">
        <f>"01 - A - 504 - Alejandro  Navarro"</f>
        <v>01 - A - 504 - Alejandro  Navarro</v>
      </c>
      <c r="F13575" t="str">
        <f>"BAND 1"</f>
        <v>BAND 1</v>
      </c>
      <c r="G13575" t="str">
        <f>"05-504"</f>
        <v>05-504</v>
      </c>
      <c r="H13575" t="str">
        <f>"A"</f>
        <v>A</v>
      </c>
    </row>
    <row r="13576" spans="1:8" x14ac:dyDescent="0.2">
      <c r="A13576" t="str">
        <f t="shared" si="4909"/>
        <v>0615005164</v>
      </c>
      <c r="B13576" t="str">
        <f t="shared" si="4910"/>
        <v>JANIYAH</v>
      </c>
      <c r="C13576" t="str">
        <f t="shared" si="4911"/>
        <v>PIERRE</v>
      </c>
      <c r="D13576" t="str">
        <f t="shared" si="4912"/>
        <v>09</v>
      </c>
      <c r="E13576" t="str">
        <f>"08 - B - 201 - Elizabeth R Walker"</f>
        <v>08 - B - 201 - Elizabeth R Walker</v>
      </c>
      <c r="F13576" t="str">
        <f>"AICE ENG GEN PAPER 1"</f>
        <v>AICE ENG GEN PAPER 1</v>
      </c>
      <c r="G13576" t="str">
        <f>"17-1703"</f>
        <v>17-1703</v>
      </c>
      <c r="H13576" t="str">
        <f>"B"</f>
        <v>B</v>
      </c>
    </row>
    <row r="13577" spans="1:8" x14ac:dyDescent="0.2">
      <c r="A13577" t="str">
        <f t="shared" ref="A13577:A13584" si="4913">"0615054807"</f>
        <v>0615054807</v>
      </c>
      <c r="B13577" t="str">
        <f t="shared" ref="B13577:B13584" si="4914">"JOHN"</f>
        <v>JOHN</v>
      </c>
      <c r="C13577" t="str">
        <f t="shared" si="4911"/>
        <v>PIERRE</v>
      </c>
      <c r="D13577" t="str">
        <f t="shared" si="4912"/>
        <v>09</v>
      </c>
      <c r="E13577" t="str">
        <f>"04 - A - 106 - Marielle A Witting"</f>
        <v>04 - A - 106 - Marielle A Witting</v>
      </c>
      <c r="F13577" t="str">
        <f>"ANAT PHYSIO"</f>
        <v>ANAT PHYSIO</v>
      </c>
      <c r="G13577" t="str">
        <f>"08-805"</f>
        <v>08-805</v>
      </c>
      <c r="H13577" t="str">
        <f>"A"</f>
        <v>A</v>
      </c>
    </row>
    <row r="13578" spans="1:8" x14ac:dyDescent="0.2">
      <c r="A13578" t="str">
        <f t="shared" si="4913"/>
        <v>0615054807</v>
      </c>
      <c r="B13578" t="str">
        <f t="shared" si="4914"/>
        <v>JOHN</v>
      </c>
      <c r="C13578" t="str">
        <f t="shared" si="4911"/>
        <v>PIERRE</v>
      </c>
      <c r="D13578" t="str">
        <f t="shared" si="4912"/>
        <v>09</v>
      </c>
      <c r="E13578" t="str">
        <f>"06 - B - 202 - Alejandro  Navarro"</f>
        <v>06 - B - 202 - Alejandro  Navarro</v>
      </c>
      <c r="F13578" t="str">
        <f>"BAND 1"</f>
        <v>BAND 1</v>
      </c>
      <c r="G13578" t="str">
        <f>"05-504"</f>
        <v>05-504</v>
      </c>
      <c r="H13578" t="str">
        <f>"B"</f>
        <v>B</v>
      </c>
    </row>
    <row r="13579" spans="1:8" x14ac:dyDescent="0.2">
      <c r="A13579" t="str">
        <f t="shared" si="4913"/>
        <v>0615054807</v>
      </c>
      <c r="B13579" t="str">
        <f t="shared" si="4914"/>
        <v>JOHN</v>
      </c>
      <c r="C13579" t="str">
        <f t="shared" si="4911"/>
        <v>PIERRE</v>
      </c>
      <c r="D13579" t="str">
        <f t="shared" si="4912"/>
        <v>09</v>
      </c>
      <c r="E13579" t="str">
        <f>"03 - A - 105 - Elizabeth Ellen  Moran"</f>
        <v>03 - A - 105 - Elizabeth Ellen  Moran</v>
      </c>
      <c r="F13579" t="str">
        <f>"WORLD HISTORY"</f>
        <v>WORLD HISTORY</v>
      </c>
      <c r="G13579" t="str">
        <f>"17-1752"</f>
        <v>17-1752</v>
      </c>
      <c r="H13579" t="str">
        <f>"A"</f>
        <v>A</v>
      </c>
    </row>
    <row r="13580" spans="1:8" x14ac:dyDescent="0.2">
      <c r="A13580" t="str">
        <f t="shared" si="4913"/>
        <v>0615054807</v>
      </c>
      <c r="B13580" t="str">
        <f t="shared" si="4914"/>
        <v>JOHN</v>
      </c>
      <c r="C13580" t="str">
        <f t="shared" si="4911"/>
        <v>PIERRE</v>
      </c>
      <c r="D13580" t="str">
        <f t="shared" si="4912"/>
        <v>09</v>
      </c>
      <c r="E13580" t="str">
        <f>"02 - A - 110 - Maried P Ramos"</f>
        <v>02 - A - 110 - Maried P Ramos</v>
      </c>
      <c r="F13580" t="str">
        <f>"NC STUDY HALL 1"</f>
        <v>NC STUDY HALL 1</v>
      </c>
      <c r="G13580" t="str">
        <f>"21-2159"</f>
        <v>21-2159</v>
      </c>
      <c r="H13580" t="str">
        <f>"A"</f>
        <v>A</v>
      </c>
    </row>
    <row r="13581" spans="1:8" x14ac:dyDescent="0.2">
      <c r="A13581" t="str">
        <f t="shared" si="4913"/>
        <v>0615054807</v>
      </c>
      <c r="B13581" t="str">
        <f t="shared" si="4914"/>
        <v>JOHN</v>
      </c>
      <c r="C13581" t="str">
        <f t="shared" si="4911"/>
        <v>PIERRE</v>
      </c>
      <c r="D13581" t="str">
        <f t="shared" si="4912"/>
        <v>09</v>
      </c>
      <c r="E13581" t="str">
        <f>"07 - B - 002 - Jazmin S Fletcher"</f>
        <v>07 - B - 002 - Jazmin S Fletcher</v>
      </c>
      <c r="F13581" t="str">
        <f>"THEATRE 1"</f>
        <v>THEATRE 1</v>
      </c>
      <c r="G13581" t="str">
        <f>"09-909"</f>
        <v>09-909</v>
      </c>
      <c r="H13581" t="str">
        <f>"B"</f>
        <v>B</v>
      </c>
    </row>
    <row r="13582" spans="1:8" x14ac:dyDescent="0.2">
      <c r="A13582" t="str">
        <f t="shared" si="4913"/>
        <v>0615054807</v>
      </c>
      <c r="B13582" t="str">
        <f t="shared" si="4914"/>
        <v>JOHN</v>
      </c>
      <c r="C13582" t="str">
        <f t="shared" si="4911"/>
        <v>PIERRE</v>
      </c>
      <c r="D13582" t="str">
        <f t="shared" si="4912"/>
        <v>09</v>
      </c>
      <c r="E13582" t="str">
        <f>"05 - B - 002 - Cheryl Anne  Berman-Schechter"</f>
        <v>05 - B - 002 - Cheryl Anne  Berman-Schechter</v>
      </c>
      <c r="F13582" t="str">
        <f>"AICE ENG GEN PAPER 1"</f>
        <v>AICE ENG GEN PAPER 1</v>
      </c>
      <c r="G13582" t="str">
        <f>"17-1722"</f>
        <v>17-1722</v>
      </c>
      <c r="H13582" t="str">
        <f>"B"</f>
        <v>B</v>
      </c>
    </row>
    <row r="13583" spans="1:8" x14ac:dyDescent="0.2">
      <c r="A13583" t="str">
        <f t="shared" si="4913"/>
        <v>0615054807</v>
      </c>
      <c r="B13583" t="str">
        <f t="shared" si="4914"/>
        <v>JOHN</v>
      </c>
      <c r="C13583" t="str">
        <f t="shared" si="4911"/>
        <v>PIERRE</v>
      </c>
      <c r="D13583" t="str">
        <f t="shared" si="4912"/>
        <v>09</v>
      </c>
      <c r="E13583" t="str">
        <f>"01 - A - 101 - James H Mccann"</f>
        <v>01 - A - 101 - James H Mccann</v>
      </c>
      <c r="F13583" t="str">
        <f>"ALGEBRA 2"</f>
        <v>ALGEBRA 2</v>
      </c>
      <c r="G13583" t="str">
        <f>"17-1716"</f>
        <v>17-1716</v>
      </c>
      <c r="H13583" t="str">
        <f>"A"</f>
        <v>A</v>
      </c>
    </row>
    <row r="13584" spans="1:8" x14ac:dyDescent="0.2">
      <c r="A13584" t="str">
        <f t="shared" si="4913"/>
        <v>0615054807</v>
      </c>
      <c r="B13584" t="str">
        <f t="shared" si="4914"/>
        <v>JOHN</v>
      </c>
      <c r="C13584" t="str">
        <f t="shared" si="4911"/>
        <v>PIERRE</v>
      </c>
      <c r="D13584" t="str">
        <f t="shared" si="4912"/>
        <v>09</v>
      </c>
      <c r="E13584" t="str">
        <f>"08 - S1 - B - 104 - Angela S Adeshina-Morrison"</f>
        <v>08 - S1 - B - 104 - Angela S Adeshina-Morrison</v>
      </c>
      <c r="F13584" t="str">
        <f>"PEER COUN 1"</f>
        <v>PEER COUN 1</v>
      </c>
      <c r="G13584" t="str">
        <f>"05-518"</f>
        <v>05-518</v>
      </c>
      <c r="H13584" t="str">
        <f>"B"</f>
        <v>B</v>
      </c>
    </row>
    <row r="13585" spans="1:8" x14ac:dyDescent="0.2">
      <c r="A13585" t="str">
        <f t="shared" ref="A13585:A13592" si="4915">"0614030796"</f>
        <v>0614030796</v>
      </c>
      <c r="B13585" t="str">
        <f t="shared" ref="B13585:B13592" si="4916">"KENNALD"</f>
        <v>KENNALD</v>
      </c>
      <c r="C13585" t="str">
        <f t="shared" si="4911"/>
        <v>PIERRE</v>
      </c>
      <c r="D13585">
        <f>11</f>
        <v>11</v>
      </c>
      <c r="E13585" t="str">
        <f>"04 - A - 102 - Elizabeth Ellen  Moran"</f>
        <v>04 - A - 102 - Elizabeth Ellen  Moran</v>
      </c>
      <c r="F13585" t="str">
        <f>"US HISTORY"</f>
        <v>US HISTORY</v>
      </c>
      <c r="G13585" t="str">
        <f>"17-1752"</f>
        <v>17-1752</v>
      </c>
      <c r="H13585" t="str">
        <f>"A"</f>
        <v>A</v>
      </c>
    </row>
    <row r="13586" spans="1:8" x14ac:dyDescent="0.2">
      <c r="A13586" t="str">
        <f t="shared" si="4915"/>
        <v>0614030796</v>
      </c>
      <c r="B13586" t="str">
        <f t="shared" si="4916"/>
        <v>KENNALD</v>
      </c>
      <c r="C13586" t="str">
        <f t="shared" si="4911"/>
        <v>PIERRE</v>
      </c>
      <c r="D13586">
        <f>11</f>
        <v>11</v>
      </c>
      <c r="E13586" t="str">
        <f>"06 - B - 104 - Nahum  Saint-Preux"</f>
        <v>06 - B - 104 - Nahum  Saint-Preux</v>
      </c>
      <c r="F13586" t="str">
        <f>"INTENS READ 3"</f>
        <v>INTENS READ 3</v>
      </c>
      <c r="G13586" t="str">
        <f>"17-1712"</f>
        <v>17-1712</v>
      </c>
      <c r="H13586" t="str">
        <f>"B"</f>
        <v>B</v>
      </c>
    </row>
    <row r="13587" spans="1:8" x14ac:dyDescent="0.2">
      <c r="A13587" t="str">
        <f t="shared" si="4915"/>
        <v>0614030796</v>
      </c>
      <c r="B13587" t="str">
        <f t="shared" si="4916"/>
        <v>KENNALD</v>
      </c>
      <c r="C13587" t="str">
        <f t="shared" si="4911"/>
        <v>PIERRE</v>
      </c>
      <c r="D13587">
        <f>11</f>
        <v>11</v>
      </c>
      <c r="E13587" t="str">
        <f>"03 - A - 201 - Chrystina M Marchionne"</f>
        <v>03 - A - 201 - Chrystina M Marchionne</v>
      </c>
      <c r="F13587" t="str">
        <f>"JOURN 1 (YB) LH"</f>
        <v>JOURN 1 (YB) LH</v>
      </c>
      <c r="G13587" t="str">
        <f>"05-520"</f>
        <v>05-520</v>
      </c>
      <c r="H13587" t="str">
        <f>"A"</f>
        <v>A</v>
      </c>
    </row>
    <row r="13588" spans="1:8" x14ac:dyDescent="0.2">
      <c r="A13588" t="str">
        <f t="shared" si="4915"/>
        <v>0614030796</v>
      </c>
      <c r="B13588" t="str">
        <f t="shared" si="4916"/>
        <v>KENNALD</v>
      </c>
      <c r="C13588" t="str">
        <f t="shared" si="4911"/>
        <v>PIERRE</v>
      </c>
      <c r="D13588">
        <f>11</f>
        <v>11</v>
      </c>
      <c r="E13588" t="str">
        <f>"02 - A - 108 - Stephen T Ripp"</f>
        <v>02 - A - 108 - Stephen T Ripp</v>
      </c>
      <c r="F13588" t="str">
        <f>"NC STUDY HALL 1"</f>
        <v>NC STUDY HALL 1</v>
      </c>
      <c r="G13588" t="str">
        <f>"17-1744"</f>
        <v>17-1744</v>
      </c>
      <c r="H13588" t="str">
        <f>"A"</f>
        <v>A</v>
      </c>
    </row>
    <row r="13589" spans="1:8" x14ac:dyDescent="0.2">
      <c r="A13589" t="str">
        <f t="shared" si="4915"/>
        <v>0614030796</v>
      </c>
      <c r="B13589" t="str">
        <f t="shared" si="4916"/>
        <v>KENNALD</v>
      </c>
      <c r="C13589" t="str">
        <f t="shared" si="4911"/>
        <v>PIERRE</v>
      </c>
      <c r="D13589">
        <f>11</f>
        <v>11</v>
      </c>
      <c r="E13589" t="str">
        <f>"07 - B - 105 - Cliffon  Saurel"</f>
        <v>07 - B - 105 - Cliffon  Saurel</v>
      </c>
      <c r="F13589" t="str">
        <f>"PHYSICAL SCI"</f>
        <v>PHYSICAL SCI</v>
      </c>
      <c r="G13589" t="str">
        <f>"05-522"</f>
        <v>05-522</v>
      </c>
      <c r="H13589" t="str">
        <f>"B"</f>
        <v>B</v>
      </c>
    </row>
    <row r="13590" spans="1:8" x14ac:dyDescent="0.2">
      <c r="A13590" t="str">
        <f t="shared" si="4915"/>
        <v>0614030796</v>
      </c>
      <c r="B13590" t="str">
        <f t="shared" si="4916"/>
        <v>KENNALD</v>
      </c>
      <c r="C13590" t="str">
        <f t="shared" si="4911"/>
        <v>PIERRE</v>
      </c>
      <c r="D13590">
        <f>11</f>
        <v>11</v>
      </c>
      <c r="E13590" t="str">
        <f>"05 - B - 109 - Ferrie J Arostique"</f>
        <v>05 - B - 109 - Ferrie J Arostique</v>
      </c>
      <c r="F13590" t="str">
        <f>"GEOMETRY"</f>
        <v>GEOMETRY</v>
      </c>
      <c r="G13590" t="str">
        <f>"21-2139"</f>
        <v>21-2139</v>
      </c>
      <c r="H13590" t="str">
        <f>"B"</f>
        <v>B</v>
      </c>
    </row>
    <row r="13591" spans="1:8" x14ac:dyDescent="0.2">
      <c r="A13591" t="str">
        <f t="shared" si="4915"/>
        <v>0614030796</v>
      </c>
      <c r="B13591" t="str">
        <f t="shared" si="4916"/>
        <v>KENNALD</v>
      </c>
      <c r="C13591" t="str">
        <f t="shared" si="4911"/>
        <v>PIERRE</v>
      </c>
      <c r="D13591">
        <f>11</f>
        <v>11</v>
      </c>
      <c r="E13591" t="str">
        <f>"01 - S1 - A - 101 - Richard E Dunbar Iii"</f>
        <v>01 - S1 - A - 101 - Richard E Dunbar Iii</v>
      </c>
      <c r="F13591" t="str">
        <f>"WEIGHT TRAIN 1"</f>
        <v>WEIGHT TRAIN 1</v>
      </c>
      <c r="G13591" t="str">
        <f>"05-501"</f>
        <v>05-501</v>
      </c>
      <c r="H13591" t="str">
        <f>"A"</f>
        <v>A</v>
      </c>
    </row>
    <row r="13592" spans="1:8" x14ac:dyDescent="0.2">
      <c r="A13592" t="str">
        <f t="shared" si="4915"/>
        <v>0614030796</v>
      </c>
      <c r="B13592" t="str">
        <f t="shared" si="4916"/>
        <v>KENNALD</v>
      </c>
      <c r="C13592" t="str">
        <f t="shared" si="4911"/>
        <v>PIERRE</v>
      </c>
      <c r="D13592">
        <f>11</f>
        <v>11</v>
      </c>
      <c r="E13592" t="str">
        <f>"08 - B - 106 - Lisa  Quinn"</f>
        <v>08 - B - 106 - Lisa  Quinn</v>
      </c>
      <c r="F13592" t="str">
        <f>"ENG 3"</f>
        <v>ENG 3</v>
      </c>
      <c r="G13592" t="str">
        <f>"17-1725"</f>
        <v>17-1725</v>
      </c>
      <c r="H13592" t="str">
        <f>"B"</f>
        <v>B</v>
      </c>
    </row>
    <row r="13593" spans="1:8" x14ac:dyDescent="0.2">
      <c r="A13593" t="str">
        <f t="shared" ref="A13593:A13600" si="4917">"0617020359"</f>
        <v>0617020359</v>
      </c>
      <c r="B13593" t="str">
        <f t="shared" ref="B13593:B13600" si="4918">"LEON"</f>
        <v>LEON</v>
      </c>
      <c r="C13593" t="str">
        <f t="shared" si="4911"/>
        <v>PIERRE</v>
      </c>
      <c r="D13593" t="str">
        <f t="shared" ref="D13593:D13608" si="4919">"09"</f>
        <v>09</v>
      </c>
      <c r="E13593" t="str">
        <f>"04 - A - 103 - Daniel S Tyson"</f>
        <v>04 - A - 103 - Daniel S Tyson</v>
      </c>
      <c r="F13593" t="str">
        <f>"JROTC NAVAL SCI 1"</f>
        <v>JROTC NAVAL SCI 1</v>
      </c>
      <c r="G13593" t="str">
        <f>"05-510"</f>
        <v>05-510</v>
      </c>
      <c r="H13593" t="str">
        <f>"A"</f>
        <v>A</v>
      </c>
    </row>
    <row r="13594" spans="1:8" x14ac:dyDescent="0.2">
      <c r="A13594" t="str">
        <f t="shared" si="4917"/>
        <v>0617020359</v>
      </c>
      <c r="B13594" t="str">
        <f t="shared" si="4918"/>
        <v>LEON</v>
      </c>
      <c r="C13594" t="str">
        <f t="shared" si="4911"/>
        <v>PIERRE</v>
      </c>
      <c r="D13594" t="str">
        <f t="shared" si="4919"/>
        <v>09</v>
      </c>
      <c r="E13594" t="str">
        <f>"06 - B - 105 - Tina L Lovett"</f>
        <v>06 - B - 105 - Tina L Lovett</v>
      </c>
      <c r="F13594" t="str">
        <f>"FDN SKLS MATH 9-12"</f>
        <v>FDN SKLS MATH 9-12</v>
      </c>
      <c r="G13594" t="str">
        <f>"21-2153"</f>
        <v>21-2153</v>
      </c>
      <c r="H13594" t="str">
        <f>"B"</f>
        <v>B</v>
      </c>
    </row>
    <row r="13595" spans="1:8" x14ac:dyDescent="0.2">
      <c r="A13595" t="str">
        <f t="shared" si="4917"/>
        <v>0617020359</v>
      </c>
      <c r="B13595" t="str">
        <f t="shared" si="4918"/>
        <v>LEON</v>
      </c>
      <c r="C13595" t="str">
        <f t="shared" si="4911"/>
        <v>PIERRE</v>
      </c>
      <c r="D13595" t="str">
        <f t="shared" si="4919"/>
        <v>09</v>
      </c>
      <c r="E13595" t="str">
        <f>"03 - A - 105 - Cheryl Anne  Berman-Schechter"</f>
        <v>03 - A - 105 - Cheryl Anne  Berman-Schechter</v>
      </c>
      <c r="F13595" t="str">
        <f>"ENG 1"</f>
        <v>ENG 1</v>
      </c>
      <c r="G13595" t="str">
        <f>"17-1722"</f>
        <v>17-1722</v>
      </c>
      <c r="H13595" t="str">
        <f>"A"</f>
        <v>A</v>
      </c>
    </row>
    <row r="13596" spans="1:8" x14ac:dyDescent="0.2">
      <c r="A13596" t="str">
        <f t="shared" si="4917"/>
        <v>0617020359</v>
      </c>
      <c r="B13596" t="str">
        <f t="shared" si="4918"/>
        <v>LEON</v>
      </c>
      <c r="C13596" t="str">
        <f t="shared" si="4911"/>
        <v>PIERRE</v>
      </c>
      <c r="D13596" t="str">
        <f t="shared" si="4919"/>
        <v>09</v>
      </c>
      <c r="E13596" t="str">
        <f>"02 - A - 108 - Rory T Sponsler"</f>
        <v>02 - A - 108 - Rory T Sponsler</v>
      </c>
      <c r="F13596" t="str">
        <f>"NC STUDY HALL 1"</f>
        <v>NC STUDY HALL 1</v>
      </c>
      <c r="G13596" t="str">
        <f>"17-1740"</f>
        <v>17-1740</v>
      </c>
      <c r="H13596" t="str">
        <f>"A"</f>
        <v>A</v>
      </c>
    </row>
    <row r="13597" spans="1:8" x14ac:dyDescent="0.2">
      <c r="A13597" t="str">
        <f t="shared" si="4917"/>
        <v>0617020359</v>
      </c>
      <c r="B13597" t="str">
        <f t="shared" si="4918"/>
        <v>LEON</v>
      </c>
      <c r="C13597" t="str">
        <f t="shared" si="4911"/>
        <v>PIERRE</v>
      </c>
      <c r="D13597" t="str">
        <f t="shared" si="4919"/>
        <v>09</v>
      </c>
      <c r="E13597" t="str">
        <f>"07 - B - 104 - Lissa C Frederique"</f>
        <v>07 - B - 104 - Lissa C Frederique</v>
      </c>
      <c r="F13597" t="str">
        <f>"WORLD HISTORY"</f>
        <v>WORLD HISTORY</v>
      </c>
      <c r="G13597" t="str">
        <f>"17-1754"</f>
        <v>17-1754</v>
      </c>
      <c r="H13597" t="str">
        <f>"B"</f>
        <v>B</v>
      </c>
    </row>
    <row r="13598" spans="1:8" x14ac:dyDescent="0.2">
      <c r="A13598" t="str">
        <f t="shared" si="4917"/>
        <v>0617020359</v>
      </c>
      <c r="B13598" t="str">
        <f t="shared" si="4918"/>
        <v>LEON</v>
      </c>
      <c r="C13598" t="str">
        <f t="shared" si="4911"/>
        <v>PIERRE</v>
      </c>
      <c r="D13598" t="str">
        <f t="shared" si="4919"/>
        <v>09</v>
      </c>
      <c r="E13598" t="str">
        <f>"05 - B - 103 - Vanessa J Liburd"</f>
        <v>05 - B - 103 - Vanessa J Liburd</v>
      </c>
      <c r="F13598" t="str">
        <f>"PRE-AICE FRENCH 2 IG"</f>
        <v>PRE-AICE FRENCH 2 IG</v>
      </c>
      <c r="G13598" t="str">
        <f>"05-519"</f>
        <v>05-519</v>
      </c>
      <c r="H13598" t="str">
        <f>"B"</f>
        <v>B</v>
      </c>
    </row>
    <row r="13599" spans="1:8" x14ac:dyDescent="0.2">
      <c r="A13599" t="str">
        <f t="shared" si="4917"/>
        <v>0617020359</v>
      </c>
      <c r="B13599" t="str">
        <f t="shared" si="4918"/>
        <v>LEON</v>
      </c>
      <c r="C13599" t="str">
        <f t="shared" si="4911"/>
        <v>PIERRE</v>
      </c>
      <c r="D13599" t="str">
        <f t="shared" si="4919"/>
        <v>09</v>
      </c>
      <c r="E13599" t="str">
        <f>"01 - A - 101 - Tina L Lovett"</f>
        <v>01 - A - 101 - Tina L Lovett</v>
      </c>
      <c r="F13599" t="str">
        <f>"ALGEBRA 1"</f>
        <v>ALGEBRA 1</v>
      </c>
      <c r="G13599" t="str">
        <f>"21-2153"</f>
        <v>21-2153</v>
      </c>
      <c r="H13599" t="str">
        <f>"A"</f>
        <v>A</v>
      </c>
    </row>
    <row r="13600" spans="1:8" x14ac:dyDescent="0.2">
      <c r="A13600" t="str">
        <f t="shared" si="4917"/>
        <v>0617020359</v>
      </c>
      <c r="B13600" t="str">
        <f t="shared" si="4918"/>
        <v>LEON</v>
      </c>
      <c r="C13600" t="str">
        <f t="shared" si="4911"/>
        <v>PIERRE</v>
      </c>
      <c r="D13600" t="str">
        <f t="shared" si="4919"/>
        <v>09</v>
      </c>
      <c r="E13600" t="str">
        <f>"08 - B - 202 - Dorothy D Moore"</f>
        <v>08 - B - 202 - Dorothy D Moore</v>
      </c>
      <c r="F13600" t="str">
        <f>"HEALTH SCI 1/A&amp;P HON"</f>
        <v>HEALTH SCI 1/A&amp;P HON</v>
      </c>
      <c r="G13600" t="str">
        <f>"08-803"</f>
        <v>08-803</v>
      </c>
      <c r="H13600" t="str">
        <f>"B"</f>
        <v>B</v>
      </c>
    </row>
    <row r="13601" spans="1:8" x14ac:dyDescent="0.2">
      <c r="A13601" t="str">
        <f t="shared" ref="A13601:A13608" si="4920">"0619054805"</f>
        <v>0619054805</v>
      </c>
      <c r="B13601" t="str">
        <f t="shared" ref="B13601:B13608" si="4921">"MADISON"</f>
        <v>MADISON</v>
      </c>
      <c r="C13601" t="str">
        <f t="shared" ref="C13601:C13624" si="4922">"PIERRE"</f>
        <v>PIERRE</v>
      </c>
      <c r="D13601" t="str">
        <f t="shared" si="4919"/>
        <v>09</v>
      </c>
      <c r="E13601" t="str">
        <f>"04 - A - 004 - Krystal Marie  Beruty"</f>
        <v>04 - A - 004 - Krystal Marie  Beruty</v>
      </c>
      <c r="F13601" t="str">
        <f>"AICE GLBL PERSP 1 AS"</f>
        <v>AICE GLBL PERSP 1 AS</v>
      </c>
      <c r="G13601" t="str">
        <f>"17-1721"</f>
        <v>17-1721</v>
      </c>
      <c r="H13601" t="str">
        <f>"A"</f>
        <v>A</v>
      </c>
    </row>
    <row r="13602" spans="1:8" x14ac:dyDescent="0.2">
      <c r="A13602" t="str">
        <f t="shared" si="4920"/>
        <v>0619054805</v>
      </c>
      <c r="B13602" t="str">
        <f t="shared" si="4921"/>
        <v>MADISON</v>
      </c>
      <c r="C13602" t="str">
        <f t="shared" si="4922"/>
        <v>PIERRE</v>
      </c>
      <c r="D13602" t="str">
        <f t="shared" si="4919"/>
        <v>09</v>
      </c>
      <c r="E13602" t="str">
        <f>"06 - B - 106 - Marius D Orsolini"</f>
        <v>06 - B - 106 - Marius D Orsolini</v>
      </c>
      <c r="F13602" t="str">
        <f>"CULINARY ARTS 1"</f>
        <v>CULINARY ARTS 1</v>
      </c>
      <c r="G13602" t="str">
        <f>"21-2115"</f>
        <v>21-2115</v>
      </c>
      <c r="H13602" t="str">
        <f>"B"</f>
        <v>B</v>
      </c>
    </row>
    <row r="13603" spans="1:8" x14ac:dyDescent="0.2">
      <c r="A13603" t="str">
        <f t="shared" si="4920"/>
        <v>0619054805</v>
      </c>
      <c r="B13603" t="str">
        <f t="shared" si="4921"/>
        <v>MADISON</v>
      </c>
      <c r="C13603" t="str">
        <f t="shared" si="4922"/>
        <v>PIERRE</v>
      </c>
      <c r="D13603" t="str">
        <f t="shared" si="4919"/>
        <v>09</v>
      </c>
      <c r="E13603" t="str">
        <f>"03 - A - 101 - Rosa Elaine  Collado-Duff"</f>
        <v>03 - A - 101 - Rosa Elaine  Collado-Duff</v>
      </c>
      <c r="F13603" t="str">
        <f>"SPANISH 3 HON"</f>
        <v>SPANISH 3 HON</v>
      </c>
      <c r="G13603" t="str">
        <f>"09-913"</f>
        <v>09-913</v>
      </c>
      <c r="H13603" t="str">
        <f>"A"</f>
        <v>A</v>
      </c>
    </row>
    <row r="13604" spans="1:8" x14ac:dyDescent="0.2">
      <c r="A13604" t="str">
        <f t="shared" si="4920"/>
        <v>0619054805</v>
      </c>
      <c r="B13604" t="str">
        <f t="shared" si="4921"/>
        <v>MADISON</v>
      </c>
      <c r="C13604" t="str">
        <f t="shared" si="4922"/>
        <v>PIERRE</v>
      </c>
      <c r="D13604" t="str">
        <f t="shared" si="4919"/>
        <v>09</v>
      </c>
      <c r="E13604" t="str">
        <f>"02 - A - 116 - Tina L Lovett"</f>
        <v>02 - A - 116 - Tina L Lovett</v>
      </c>
      <c r="F13604" t="str">
        <f>"NC STUDY HALL 1"</f>
        <v>NC STUDY HALL 1</v>
      </c>
      <c r="G13604" t="str">
        <f>"21-2153"</f>
        <v>21-2153</v>
      </c>
      <c r="H13604" t="str">
        <f>"A"</f>
        <v>A</v>
      </c>
    </row>
    <row r="13605" spans="1:8" x14ac:dyDescent="0.2">
      <c r="A13605" t="str">
        <f t="shared" si="4920"/>
        <v>0619054805</v>
      </c>
      <c r="B13605" t="str">
        <f t="shared" si="4921"/>
        <v>MADISON</v>
      </c>
      <c r="C13605" t="str">
        <f t="shared" si="4922"/>
        <v>PIERRE</v>
      </c>
      <c r="D13605" t="str">
        <f t="shared" si="4919"/>
        <v>09</v>
      </c>
      <c r="E13605" t="str">
        <f>"07 - B - 106 - James H Mccann"</f>
        <v>07 - B - 106 - James H Mccann</v>
      </c>
      <c r="F13605" t="str">
        <f>"ALGEBRA 2"</f>
        <v>ALGEBRA 2</v>
      </c>
      <c r="G13605" t="str">
        <f>"17-1716"</f>
        <v>17-1716</v>
      </c>
      <c r="H13605" t="str">
        <f>"B"</f>
        <v>B</v>
      </c>
    </row>
    <row r="13606" spans="1:8" x14ac:dyDescent="0.2">
      <c r="A13606" t="str">
        <f t="shared" si="4920"/>
        <v>0619054805</v>
      </c>
      <c r="B13606" t="str">
        <f t="shared" si="4921"/>
        <v>MADISON</v>
      </c>
      <c r="C13606" t="str">
        <f t="shared" si="4922"/>
        <v>PIERRE</v>
      </c>
      <c r="D13606" t="str">
        <f t="shared" si="4919"/>
        <v>09</v>
      </c>
      <c r="E13606" t="str">
        <f>"05 - B - 101 - Arthur  Kulawik"</f>
        <v>05 - B - 101 - Arthur  Kulawik</v>
      </c>
      <c r="F13606" t="str">
        <f>"DEBATE 2 LH"</f>
        <v>DEBATE 2 LH</v>
      </c>
      <c r="G13606" t="str">
        <f>"05-506"</f>
        <v>05-506</v>
      </c>
      <c r="H13606" t="str">
        <f>"B"</f>
        <v>B</v>
      </c>
    </row>
    <row r="13607" spans="1:8" x14ac:dyDescent="0.2">
      <c r="A13607" t="str">
        <f t="shared" si="4920"/>
        <v>0619054805</v>
      </c>
      <c r="B13607" t="str">
        <f t="shared" si="4921"/>
        <v>MADISON</v>
      </c>
      <c r="C13607" t="str">
        <f t="shared" si="4922"/>
        <v>PIERRE</v>
      </c>
      <c r="D13607" t="str">
        <f t="shared" si="4919"/>
        <v>09</v>
      </c>
      <c r="E13607" t="str">
        <f>"01 - A - 201 - Cheryl L Beach"</f>
        <v>01 - A - 201 - Cheryl L Beach</v>
      </c>
      <c r="F13607" t="str">
        <f>"AICE ENV MGMNT AS"</f>
        <v>AICE ENV MGMNT AS</v>
      </c>
      <c r="G13607" t="str">
        <f>"08-811"</f>
        <v>08-811</v>
      </c>
      <c r="H13607" t="str">
        <f>"A"</f>
        <v>A</v>
      </c>
    </row>
    <row r="13608" spans="1:8" x14ac:dyDescent="0.2">
      <c r="A13608" t="str">
        <f t="shared" si="4920"/>
        <v>0619054805</v>
      </c>
      <c r="B13608" t="str">
        <f t="shared" si="4921"/>
        <v>MADISON</v>
      </c>
      <c r="C13608" t="str">
        <f t="shared" si="4922"/>
        <v>PIERRE</v>
      </c>
      <c r="D13608" t="str">
        <f t="shared" si="4919"/>
        <v>09</v>
      </c>
      <c r="E13608" t="str">
        <f>"08 - B - 004 - Cheryl Anne  Berman-Schechter"</f>
        <v>08 - B - 004 - Cheryl Anne  Berman-Schechter</v>
      </c>
      <c r="F13608" t="str">
        <f>"AICE ENG GEN PAPER 1"</f>
        <v>AICE ENG GEN PAPER 1</v>
      </c>
      <c r="G13608" t="str">
        <f>"17-1722"</f>
        <v>17-1722</v>
      </c>
      <c r="H13608" t="str">
        <f>"B"</f>
        <v>B</v>
      </c>
    </row>
    <row r="13609" spans="1:8" x14ac:dyDescent="0.2">
      <c r="A13609" t="str">
        <f t="shared" ref="A13609:A13616" si="4923">"0617087401"</f>
        <v>0617087401</v>
      </c>
      <c r="B13609" t="str">
        <f t="shared" ref="B13609:B13616" si="4924">"SCHADRAC"</f>
        <v>SCHADRAC</v>
      </c>
      <c r="C13609" t="str">
        <f t="shared" si="4922"/>
        <v>PIERRE</v>
      </c>
      <c r="D13609">
        <f>10</f>
        <v>10</v>
      </c>
      <c r="E13609" t="str">
        <f>"04 - A - 102 - Josiah I Lacy"</f>
        <v>04 - A - 102 - Josiah I Lacy</v>
      </c>
      <c r="F13609" t="str">
        <f>"PRE-AICE BIO IG"</f>
        <v>PRE-AICE BIO IG</v>
      </c>
      <c r="G13609" t="str">
        <f>"08-801"</f>
        <v>08-801</v>
      </c>
      <c r="H13609" t="str">
        <f>"A"</f>
        <v>A</v>
      </c>
    </row>
    <row r="13610" spans="1:8" x14ac:dyDescent="0.2">
      <c r="A13610" t="str">
        <f t="shared" si="4923"/>
        <v>0617087401</v>
      </c>
      <c r="B13610" t="str">
        <f t="shared" si="4924"/>
        <v>SCHADRAC</v>
      </c>
      <c r="C13610" t="str">
        <f t="shared" si="4922"/>
        <v>PIERRE</v>
      </c>
      <c r="D13610">
        <f>10</f>
        <v>10</v>
      </c>
      <c r="E13610" t="str">
        <f>"06 - B - 113 - Joe  Kilpatrick Jr"</f>
        <v>06 - B - 113 - Joe  Kilpatrick Jr</v>
      </c>
      <c r="F13610" t="str">
        <f>"NC STUDY HALL 1"</f>
        <v>NC STUDY HALL 1</v>
      </c>
      <c r="G13610" t="str">
        <f>"09-912"</f>
        <v>09-912</v>
      </c>
      <c r="H13610" t="str">
        <f>"B"</f>
        <v>B</v>
      </c>
    </row>
    <row r="13611" spans="1:8" x14ac:dyDescent="0.2">
      <c r="A13611" t="str">
        <f t="shared" si="4923"/>
        <v>0617087401</v>
      </c>
      <c r="B13611" t="str">
        <f t="shared" si="4924"/>
        <v>SCHADRAC</v>
      </c>
      <c r="C13611" t="str">
        <f t="shared" si="4922"/>
        <v>PIERRE</v>
      </c>
      <c r="D13611">
        <f>10</f>
        <v>10</v>
      </c>
      <c r="E13611" t="str">
        <f>"03 - A - 202 - Cheryl L Beach"</f>
        <v>03 - A - 202 - Cheryl L Beach</v>
      </c>
      <c r="F13611" t="str">
        <f>"AICE ENV MGMNT AS"</f>
        <v>AICE ENV MGMNT AS</v>
      </c>
      <c r="G13611" t="str">
        <f>"08-811"</f>
        <v>08-811</v>
      </c>
      <c r="H13611" t="str">
        <f>"A"</f>
        <v>A</v>
      </c>
    </row>
    <row r="13612" spans="1:8" x14ac:dyDescent="0.2">
      <c r="A13612" t="str">
        <f t="shared" si="4923"/>
        <v>0617087401</v>
      </c>
      <c r="B13612" t="str">
        <f t="shared" si="4924"/>
        <v>SCHADRAC</v>
      </c>
      <c r="C13612" t="str">
        <f t="shared" si="4922"/>
        <v>PIERRE</v>
      </c>
      <c r="D13612">
        <f>10</f>
        <v>10</v>
      </c>
      <c r="E13612" t="str">
        <f>"02 - A - 205 - Emmily A Sarmiento"</f>
        <v>02 - A - 205 - Emmily A Sarmiento</v>
      </c>
      <c r="F13612" t="str">
        <f>"AICE GLBL PERSP 1 AS"</f>
        <v>AICE GLBL PERSP 1 AS</v>
      </c>
      <c r="G13612" t="str">
        <f>"17-1743"</f>
        <v>17-1743</v>
      </c>
      <c r="H13612" t="str">
        <f>"A"</f>
        <v>A</v>
      </c>
    </row>
    <row r="13613" spans="1:8" x14ac:dyDescent="0.2">
      <c r="A13613" t="str">
        <f t="shared" si="4923"/>
        <v>0617087401</v>
      </c>
      <c r="B13613" t="str">
        <f t="shared" si="4924"/>
        <v>SCHADRAC</v>
      </c>
      <c r="C13613" t="str">
        <f t="shared" si="4922"/>
        <v>PIERRE</v>
      </c>
      <c r="D13613">
        <f>10</f>
        <v>10</v>
      </c>
      <c r="E13613" t="str">
        <f>"07 - B - 201 - Angela S Adeshina-Morrison"</f>
        <v>07 - B - 201 - Angela S Adeshina-Morrison</v>
      </c>
      <c r="F13613" t="str">
        <f>"BUSINESS OWNER HON"</f>
        <v>BUSINESS OWNER HON</v>
      </c>
      <c r="G13613" t="str">
        <f>"05-518"</f>
        <v>05-518</v>
      </c>
      <c r="H13613" t="str">
        <f>"B"</f>
        <v>B</v>
      </c>
    </row>
    <row r="13614" spans="1:8" x14ac:dyDescent="0.2">
      <c r="A13614" t="str">
        <f t="shared" si="4923"/>
        <v>0617087401</v>
      </c>
      <c r="B13614" t="str">
        <f t="shared" si="4924"/>
        <v>SCHADRAC</v>
      </c>
      <c r="C13614" t="str">
        <f t="shared" si="4922"/>
        <v>PIERRE</v>
      </c>
      <c r="D13614">
        <f>10</f>
        <v>10</v>
      </c>
      <c r="E13614" t="str">
        <f>"05 - B - 102 - Jeanne M Bermudez"</f>
        <v>05 - B - 102 - Jeanne M Bermudez</v>
      </c>
      <c r="F13614" t="str">
        <f>"ADVANCED IT HON"</f>
        <v>ADVANCED IT HON</v>
      </c>
      <c r="G13614" t="str">
        <f>"21-2141"</f>
        <v>21-2141</v>
      </c>
      <c r="H13614" t="str">
        <f>"B"</f>
        <v>B</v>
      </c>
    </row>
    <row r="13615" spans="1:8" x14ac:dyDescent="0.2">
      <c r="A13615" t="str">
        <f t="shared" si="4923"/>
        <v>0617087401</v>
      </c>
      <c r="B13615" t="str">
        <f t="shared" si="4924"/>
        <v>SCHADRAC</v>
      </c>
      <c r="C13615" t="str">
        <f t="shared" si="4922"/>
        <v>PIERRE</v>
      </c>
      <c r="D13615">
        <f>10</f>
        <v>10</v>
      </c>
      <c r="E13615" t="str">
        <f>"01 - A - 102 - Brook E Goren"</f>
        <v>01 - A - 102 - Brook E Goren</v>
      </c>
      <c r="F13615" t="str">
        <f>"PRE-AICE MATH 2 IG"</f>
        <v>PRE-AICE MATH 2 IG</v>
      </c>
      <c r="G13615" t="str">
        <f>"21-2158"</f>
        <v>21-2158</v>
      </c>
      <c r="H13615" t="str">
        <f>"A"</f>
        <v>A</v>
      </c>
    </row>
    <row r="13616" spans="1:8" x14ac:dyDescent="0.2">
      <c r="A13616" t="str">
        <f t="shared" si="4923"/>
        <v>0617087401</v>
      </c>
      <c r="B13616" t="str">
        <f t="shared" si="4924"/>
        <v>SCHADRAC</v>
      </c>
      <c r="C13616" t="str">
        <f t="shared" si="4922"/>
        <v>PIERRE</v>
      </c>
      <c r="D13616">
        <f>10</f>
        <v>10</v>
      </c>
      <c r="E13616" t="str">
        <f>"08 - B - 102 - Jacquelyn M Neeson"</f>
        <v>08 - B - 102 - Jacquelyn M Neeson</v>
      </c>
      <c r="F13616" t="str">
        <f>"AICE ENG GEN PAPER 1"</f>
        <v>AICE ENG GEN PAPER 1</v>
      </c>
      <c r="G13616" t="str">
        <f>"17-1715"</f>
        <v>17-1715</v>
      </c>
      <c r="H13616" t="str">
        <f>"B"</f>
        <v>B</v>
      </c>
    </row>
    <row r="13617" spans="1:8" x14ac:dyDescent="0.2">
      <c r="A13617" t="str">
        <f t="shared" ref="A13617:A13624" si="4925">"0618014391"</f>
        <v>0618014391</v>
      </c>
      <c r="B13617" t="str">
        <f t="shared" ref="B13617:B13624" si="4926">"TAMYRA"</f>
        <v>TAMYRA</v>
      </c>
      <c r="C13617" t="str">
        <f t="shared" si="4922"/>
        <v>PIERRE</v>
      </c>
      <c r="D13617" t="str">
        <f t="shared" ref="D13617:D13624" si="4927">"09"</f>
        <v>09</v>
      </c>
      <c r="E13617" t="str">
        <f>"04 - A - 201 - Norayda D Suarez"</f>
        <v>04 - A - 201 - Norayda D Suarez</v>
      </c>
      <c r="F13617" t="str">
        <f>"ANAT PHYSIO HON"</f>
        <v>ANAT PHYSIO HON</v>
      </c>
      <c r="G13617" t="str">
        <f>"21-2142"</f>
        <v>21-2142</v>
      </c>
      <c r="H13617" t="str">
        <f>"A"</f>
        <v>A</v>
      </c>
    </row>
    <row r="13618" spans="1:8" x14ac:dyDescent="0.2">
      <c r="A13618" t="str">
        <f t="shared" si="4925"/>
        <v>0618014391</v>
      </c>
      <c r="B13618" t="str">
        <f t="shared" si="4926"/>
        <v>TAMYRA</v>
      </c>
      <c r="C13618" t="str">
        <f t="shared" si="4922"/>
        <v>PIERRE</v>
      </c>
      <c r="D13618" t="str">
        <f t="shared" si="4927"/>
        <v>09</v>
      </c>
      <c r="E13618" t="str">
        <f>"06 - B - 102 - Angela S Adeshina-Morrison"</f>
        <v>06 - B - 102 - Angela S Adeshina-Morrison</v>
      </c>
      <c r="F13618" t="str">
        <f>"MARKETING ESSENTIALS"</f>
        <v>MARKETING ESSENTIALS</v>
      </c>
      <c r="G13618" t="str">
        <f>"05-518"</f>
        <v>05-518</v>
      </c>
      <c r="H13618" t="str">
        <f>"B"</f>
        <v>B</v>
      </c>
    </row>
    <row r="13619" spans="1:8" x14ac:dyDescent="0.2">
      <c r="A13619" t="str">
        <f t="shared" si="4925"/>
        <v>0618014391</v>
      </c>
      <c r="B13619" t="str">
        <f t="shared" si="4926"/>
        <v>TAMYRA</v>
      </c>
      <c r="C13619" t="str">
        <f t="shared" si="4922"/>
        <v>PIERRE</v>
      </c>
      <c r="D13619" t="str">
        <f t="shared" si="4927"/>
        <v>09</v>
      </c>
      <c r="E13619" t="str">
        <f>"03 - A - 005 - Cerine S Stewart"</f>
        <v>03 - A - 005 - Cerine S Stewart</v>
      </c>
      <c r="F13619" t="str">
        <f>"AICE ENG GEN PAPER 1"</f>
        <v>AICE ENG GEN PAPER 1</v>
      </c>
      <c r="G13619" t="str">
        <f>"17-1720"</f>
        <v>17-1720</v>
      </c>
      <c r="H13619" t="str">
        <f>"A"</f>
        <v>A</v>
      </c>
    </row>
    <row r="13620" spans="1:8" x14ac:dyDescent="0.2">
      <c r="A13620" t="str">
        <f t="shared" si="4925"/>
        <v>0618014391</v>
      </c>
      <c r="B13620" t="str">
        <f t="shared" si="4926"/>
        <v>TAMYRA</v>
      </c>
      <c r="C13620" t="str">
        <f t="shared" si="4922"/>
        <v>PIERRE</v>
      </c>
      <c r="D13620" t="str">
        <f t="shared" si="4927"/>
        <v>09</v>
      </c>
      <c r="E13620" t="str">
        <f>"02 - A - 105 - Elizabeth R Walker"</f>
        <v>02 - A - 105 - Elizabeth R Walker</v>
      </c>
      <c r="F13620" t="str">
        <f>"NC STUDY HALL 1"</f>
        <v>NC STUDY HALL 1</v>
      </c>
      <c r="G13620" t="str">
        <f>"17-1703"</f>
        <v>17-1703</v>
      </c>
      <c r="H13620" t="str">
        <f>"A"</f>
        <v>A</v>
      </c>
    </row>
    <row r="13621" spans="1:8" x14ac:dyDescent="0.2">
      <c r="A13621" t="str">
        <f t="shared" si="4925"/>
        <v>0618014391</v>
      </c>
      <c r="B13621" t="str">
        <f t="shared" si="4926"/>
        <v>TAMYRA</v>
      </c>
      <c r="C13621" t="str">
        <f t="shared" si="4922"/>
        <v>PIERRE</v>
      </c>
      <c r="D13621" t="str">
        <f t="shared" si="4927"/>
        <v>09</v>
      </c>
      <c r="E13621" t="str">
        <f>"07 - B - 001 - Carol S Moore"</f>
        <v>07 - B - 001 - Carol S Moore</v>
      </c>
      <c r="F13621" t="str">
        <f>"PRE-AICE WRLD HST IG"</f>
        <v>PRE-AICE WRLD HST IG</v>
      </c>
      <c r="G13621" t="str">
        <f>"17-1733"</f>
        <v>17-1733</v>
      </c>
      <c r="H13621" t="str">
        <f>"B"</f>
        <v>B</v>
      </c>
    </row>
    <row r="13622" spans="1:8" x14ac:dyDescent="0.2">
      <c r="A13622" t="str">
        <f t="shared" si="4925"/>
        <v>0618014391</v>
      </c>
      <c r="B13622" t="str">
        <f t="shared" si="4926"/>
        <v>TAMYRA</v>
      </c>
      <c r="C13622" t="str">
        <f t="shared" si="4922"/>
        <v>PIERRE</v>
      </c>
      <c r="D13622" t="str">
        <f t="shared" si="4927"/>
        <v>09</v>
      </c>
      <c r="E13622" t="str">
        <f>"05 - B - 106 - Fernando  Vega-Cid"</f>
        <v>05 - B - 106 - Fernando  Vega-Cid</v>
      </c>
      <c r="F13622" t="str">
        <f>"GEOMETRY"</f>
        <v>GEOMETRY</v>
      </c>
      <c r="G13622" t="str">
        <f>"21-2163"</f>
        <v>21-2163</v>
      </c>
      <c r="H13622" t="str">
        <f>"B"</f>
        <v>B</v>
      </c>
    </row>
    <row r="13623" spans="1:8" x14ac:dyDescent="0.2">
      <c r="A13623" t="str">
        <f t="shared" si="4925"/>
        <v>0618014391</v>
      </c>
      <c r="B13623" t="str">
        <f t="shared" si="4926"/>
        <v>TAMYRA</v>
      </c>
      <c r="C13623" t="str">
        <f t="shared" si="4922"/>
        <v>PIERRE</v>
      </c>
      <c r="D13623" t="str">
        <f t="shared" si="4927"/>
        <v>09</v>
      </c>
      <c r="E13623" t="str">
        <f>"01 - A - 101 - Brian M Fitzgerald"</f>
        <v>01 - A - 101 - Brian M Fitzgerald</v>
      </c>
      <c r="F13623" t="str">
        <f>"CERAM/POT 1"</f>
        <v>CERAM/POT 1</v>
      </c>
      <c r="G13623" t="str">
        <f>"09-908"</f>
        <v>09-908</v>
      </c>
      <c r="H13623" t="str">
        <f>"A"</f>
        <v>A</v>
      </c>
    </row>
    <row r="13624" spans="1:8" x14ac:dyDescent="0.2">
      <c r="A13624" t="str">
        <f t="shared" si="4925"/>
        <v>0618014391</v>
      </c>
      <c r="B13624" t="str">
        <f t="shared" si="4926"/>
        <v>TAMYRA</v>
      </c>
      <c r="C13624" t="str">
        <f t="shared" si="4922"/>
        <v>PIERRE</v>
      </c>
      <c r="D13624" t="str">
        <f t="shared" si="4927"/>
        <v>09</v>
      </c>
      <c r="E13624" t="str">
        <f>"08 - B - 103 - Joe  Kilpatrick Jr"</f>
        <v>08 - B - 103 - Joe  Kilpatrick Jr</v>
      </c>
      <c r="F13624" t="str">
        <f>"PRE-AICE SPAN 2 IG"</f>
        <v>PRE-AICE SPAN 2 IG</v>
      </c>
      <c r="G13624" t="str">
        <f>"09-912"</f>
        <v>09-912</v>
      </c>
      <c r="H13624" t="str">
        <f>"B"</f>
        <v>B</v>
      </c>
    </row>
    <row r="13625" spans="1:8" x14ac:dyDescent="0.2">
      <c r="A13625" t="str">
        <f t="shared" ref="A13625:A13632" si="4928">"0615134600"</f>
        <v>0615134600</v>
      </c>
      <c r="B13625" t="str">
        <f t="shared" ref="B13625:B13632" si="4929">"KEYLA"</f>
        <v>KEYLA</v>
      </c>
      <c r="C13625" t="str">
        <f t="shared" ref="C13625:C13632" si="4930">"PIMENTEL"</f>
        <v>PIMENTEL</v>
      </c>
      <c r="D13625">
        <f>10</f>
        <v>10</v>
      </c>
      <c r="E13625" t="str">
        <f>"04 - A - 203 - Daniel S Tyson"</f>
        <v>04 - A - 203 - Daniel S Tyson</v>
      </c>
      <c r="F13625" t="str">
        <f>"JROTC NAVAL SCI 2"</f>
        <v>JROTC NAVAL SCI 2</v>
      </c>
      <c r="G13625" t="str">
        <f>"05-510"</f>
        <v>05-510</v>
      </c>
      <c r="H13625" t="str">
        <f>"A"</f>
        <v>A</v>
      </c>
    </row>
    <row r="13626" spans="1:8" x14ac:dyDescent="0.2">
      <c r="A13626" t="str">
        <f t="shared" si="4928"/>
        <v>0615134600</v>
      </c>
      <c r="B13626" t="str">
        <f t="shared" si="4929"/>
        <v>KEYLA</v>
      </c>
      <c r="C13626" t="str">
        <f t="shared" si="4930"/>
        <v>PIMENTEL</v>
      </c>
      <c r="D13626">
        <f>10</f>
        <v>10</v>
      </c>
      <c r="E13626" t="str">
        <f>"06 - B - 110 - Jerry S Jiampetti"</f>
        <v>06 - B - 110 - Jerry S Jiampetti</v>
      </c>
      <c r="F13626" t="str">
        <f>"NC STUDY HALL 1"</f>
        <v>NC STUDY HALL 1</v>
      </c>
      <c r="G13626" t="str">
        <f>"17-1751"</f>
        <v>17-1751</v>
      </c>
      <c r="H13626" t="str">
        <f>"B"</f>
        <v>B</v>
      </c>
    </row>
    <row r="13627" spans="1:8" x14ac:dyDescent="0.2">
      <c r="A13627" t="str">
        <f t="shared" si="4928"/>
        <v>0615134600</v>
      </c>
      <c r="B13627" t="str">
        <f t="shared" si="4929"/>
        <v>KEYLA</v>
      </c>
      <c r="C13627" t="str">
        <f t="shared" si="4930"/>
        <v>PIMENTEL</v>
      </c>
      <c r="D13627">
        <f>10</f>
        <v>10</v>
      </c>
      <c r="E13627" t="str">
        <f>"03 - A - 101 - Eva T Rimmer"</f>
        <v>03 - A - 101 - Eva T Rimmer</v>
      </c>
      <c r="F13627" t="str">
        <f>"CRIMINAL JUST OPS 1"</f>
        <v>CRIMINAL JUST OPS 1</v>
      </c>
      <c r="G13627" t="str">
        <f>"05-523"</f>
        <v>05-523</v>
      </c>
      <c r="H13627" t="str">
        <f>"A"</f>
        <v>A</v>
      </c>
    </row>
    <row r="13628" spans="1:8" x14ac:dyDescent="0.2">
      <c r="A13628" t="str">
        <f t="shared" si="4928"/>
        <v>0615134600</v>
      </c>
      <c r="B13628" t="str">
        <f t="shared" si="4929"/>
        <v>KEYLA</v>
      </c>
      <c r="C13628" t="str">
        <f t="shared" si="4930"/>
        <v>PIMENTEL</v>
      </c>
      <c r="D13628">
        <f>10</f>
        <v>10</v>
      </c>
      <c r="E13628" t="str">
        <f>"02 - A - 103 - Dorothy D Moore"</f>
        <v>02 - A - 103 - Dorothy D Moore</v>
      </c>
      <c r="F13628" t="str">
        <f>"ANAT PHYSIO HON"</f>
        <v>ANAT PHYSIO HON</v>
      </c>
      <c r="G13628" t="str">
        <f>"08-803"</f>
        <v>08-803</v>
      </c>
      <c r="H13628" t="str">
        <f>"A"</f>
        <v>A</v>
      </c>
    </row>
    <row r="13629" spans="1:8" x14ac:dyDescent="0.2">
      <c r="A13629" t="str">
        <f t="shared" si="4928"/>
        <v>0615134600</v>
      </c>
      <c r="B13629" t="str">
        <f t="shared" si="4929"/>
        <v>KEYLA</v>
      </c>
      <c r="C13629" t="str">
        <f t="shared" si="4930"/>
        <v>PIMENTEL</v>
      </c>
      <c r="D13629">
        <f>10</f>
        <v>10</v>
      </c>
      <c r="E13629" t="str">
        <f>"07 - B - 107 - Brook E Goren"</f>
        <v>07 - B - 107 - Brook E Goren</v>
      </c>
      <c r="F13629" t="str">
        <f>"PRE-AICE MATH 2 IG"</f>
        <v>PRE-AICE MATH 2 IG</v>
      </c>
      <c r="G13629" t="str">
        <f>"21-2158"</f>
        <v>21-2158</v>
      </c>
      <c r="H13629" t="str">
        <f>"B"</f>
        <v>B</v>
      </c>
    </row>
    <row r="13630" spans="1:8" x14ac:dyDescent="0.2">
      <c r="A13630" t="str">
        <f t="shared" si="4928"/>
        <v>0615134600</v>
      </c>
      <c r="B13630" t="str">
        <f t="shared" si="4929"/>
        <v>KEYLA</v>
      </c>
      <c r="C13630" t="str">
        <f t="shared" si="4930"/>
        <v>PIMENTEL</v>
      </c>
      <c r="D13630">
        <f>10</f>
        <v>10</v>
      </c>
      <c r="E13630" t="str">
        <f>"05 - B - 205 - Rosa Elaine  Collado-Duff"</f>
        <v>05 - B - 205 - Rosa Elaine  Collado-Duff</v>
      </c>
      <c r="F13630" t="str">
        <f>"PRE-AICE SPAN 2 IG"</f>
        <v>PRE-AICE SPAN 2 IG</v>
      </c>
      <c r="G13630" t="str">
        <f>"09-913"</f>
        <v>09-913</v>
      </c>
      <c r="H13630" t="str">
        <f>"B"</f>
        <v>B</v>
      </c>
    </row>
    <row r="13631" spans="1:8" x14ac:dyDescent="0.2">
      <c r="A13631" t="str">
        <f t="shared" si="4928"/>
        <v>0615134600</v>
      </c>
      <c r="B13631" t="str">
        <f t="shared" si="4929"/>
        <v>KEYLA</v>
      </c>
      <c r="C13631" t="str">
        <f t="shared" si="4930"/>
        <v>PIMENTEL</v>
      </c>
      <c r="D13631">
        <f>10</f>
        <v>10</v>
      </c>
      <c r="E13631" t="str">
        <f>"01 - A - 001 - Lenecy  Nodarse"</f>
        <v>01 - A - 001 - Lenecy  Nodarse</v>
      </c>
      <c r="F13631" t="str">
        <f>"AICE EURO HIST 1 AS"</f>
        <v>AICE EURO HIST 1 AS</v>
      </c>
      <c r="G13631" t="str">
        <f>"17-1741"</f>
        <v>17-1741</v>
      </c>
      <c r="H13631" t="str">
        <f>"A"</f>
        <v>A</v>
      </c>
    </row>
    <row r="13632" spans="1:8" x14ac:dyDescent="0.2">
      <c r="A13632" t="str">
        <f t="shared" si="4928"/>
        <v>0615134600</v>
      </c>
      <c r="B13632" t="str">
        <f t="shared" si="4929"/>
        <v>KEYLA</v>
      </c>
      <c r="C13632" t="str">
        <f t="shared" si="4930"/>
        <v>PIMENTEL</v>
      </c>
      <c r="D13632">
        <f>10</f>
        <v>10</v>
      </c>
      <c r="E13632" t="str">
        <f>"08 - B - 001 - Jacklyn M James"</f>
        <v>08 - B - 001 - Jacklyn M James</v>
      </c>
      <c r="F13632" t="str">
        <f>"AICE ENG LANG AS"</f>
        <v>AICE ENG LANG AS</v>
      </c>
      <c r="G13632" t="str">
        <f>"17-1731"</f>
        <v>17-1731</v>
      </c>
      <c r="H13632" t="str">
        <f>"B"</f>
        <v>B</v>
      </c>
    </row>
    <row r="13633" spans="1:8" x14ac:dyDescent="0.2">
      <c r="A13633" t="str">
        <f t="shared" ref="A13633:A13640" si="4931">"0618023604"</f>
        <v>0618023604</v>
      </c>
      <c r="B13633" t="str">
        <f t="shared" ref="B13633:B13640" si="4932">"SANTIAGO"</f>
        <v>SANTIAGO</v>
      </c>
      <c r="C13633" t="str">
        <f t="shared" ref="C13633:C13640" si="4933">"PINARGOTE"</f>
        <v>PINARGOTE</v>
      </c>
      <c r="D13633">
        <f>11</f>
        <v>11</v>
      </c>
      <c r="E13633" t="str">
        <f>"04 - A - 102 - Jeffrey S Gallagher"</f>
        <v>04 - A - 102 - Jeffrey S Gallagher</v>
      </c>
      <c r="F13633" t="str">
        <f>"ENG HON 3"</f>
        <v>ENG HON 3</v>
      </c>
      <c r="G13633" t="str">
        <f>"17-1724"</f>
        <v>17-1724</v>
      </c>
      <c r="H13633" t="str">
        <f>"A"</f>
        <v>A</v>
      </c>
    </row>
    <row r="13634" spans="1:8" x14ac:dyDescent="0.2">
      <c r="A13634" t="str">
        <f t="shared" si="4931"/>
        <v>0618023604</v>
      </c>
      <c r="B13634" t="str">
        <f t="shared" si="4932"/>
        <v>SANTIAGO</v>
      </c>
      <c r="C13634" t="str">
        <f t="shared" si="4933"/>
        <v>PINARGOTE</v>
      </c>
      <c r="D13634">
        <f>11</f>
        <v>11</v>
      </c>
      <c r="E13634" t="str">
        <f>"06 - B - 102 - Angela S Adeshina-Morrison"</f>
        <v>06 - B - 102 - Angela S Adeshina-Morrison</v>
      </c>
      <c r="F13634" t="str">
        <f>"MARKETING ESSENTIALS"</f>
        <v>MARKETING ESSENTIALS</v>
      </c>
      <c r="G13634" t="str">
        <f>"05-518"</f>
        <v>05-518</v>
      </c>
      <c r="H13634" t="str">
        <f>"B"</f>
        <v>B</v>
      </c>
    </row>
    <row r="13635" spans="1:8" x14ac:dyDescent="0.2">
      <c r="A13635" t="str">
        <f t="shared" si="4931"/>
        <v>0618023604</v>
      </c>
      <c r="B13635" t="str">
        <f t="shared" si="4932"/>
        <v>SANTIAGO</v>
      </c>
      <c r="C13635" t="str">
        <f t="shared" si="4933"/>
        <v>PINARGOTE</v>
      </c>
      <c r="D13635">
        <f>11</f>
        <v>11</v>
      </c>
      <c r="E13635" t="str">
        <f>"03 - A - 106 - Jerry S Jiampetti"</f>
        <v>03 - A - 106 - Jerry S Jiampetti</v>
      </c>
      <c r="F13635" t="str">
        <f>"US HISTORY HON"</f>
        <v>US HISTORY HON</v>
      </c>
      <c r="G13635" t="str">
        <f>"17-1751"</f>
        <v>17-1751</v>
      </c>
      <c r="H13635" t="str">
        <f>"A"</f>
        <v>A</v>
      </c>
    </row>
    <row r="13636" spans="1:8" x14ac:dyDescent="0.2">
      <c r="A13636" t="str">
        <f t="shared" si="4931"/>
        <v>0618023604</v>
      </c>
      <c r="B13636" t="str">
        <f t="shared" si="4932"/>
        <v>SANTIAGO</v>
      </c>
      <c r="C13636" t="str">
        <f t="shared" si="4933"/>
        <v>PINARGOTE</v>
      </c>
      <c r="D13636">
        <f>11</f>
        <v>11</v>
      </c>
      <c r="E13636" t="str">
        <f>"02 - A - 114 - Eva T Rimmer"</f>
        <v>02 - A - 114 - Eva T Rimmer</v>
      </c>
      <c r="F13636" t="str">
        <f>"NC STUDY HALL 1"</f>
        <v>NC STUDY HALL 1</v>
      </c>
      <c r="G13636" t="str">
        <f>"05-523"</f>
        <v>05-523</v>
      </c>
      <c r="H13636" t="str">
        <f>"A"</f>
        <v>A</v>
      </c>
    </row>
    <row r="13637" spans="1:8" x14ac:dyDescent="0.2">
      <c r="A13637" t="str">
        <f t="shared" si="4931"/>
        <v>0618023604</v>
      </c>
      <c r="B13637" t="str">
        <f t="shared" si="4932"/>
        <v>SANTIAGO</v>
      </c>
      <c r="C13637" t="str">
        <f t="shared" si="4933"/>
        <v>PINARGOTE</v>
      </c>
      <c r="D13637">
        <f>11</f>
        <v>11</v>
      </c>
      <c r="E13637" t="str">
        <f>"07 - S1 - B - 103 - Leslie J Barton"</f>
        <v>07 - S1 - B - 103 - Leslie J Barton</v>
      </c>
      <c r="F13637" t="str">
        <f>"TEAM SPORTS 1"</f>
        <v>TEAM SPORTS 1</v>
      </c>
      <c r="G13637" t="str">
        <f>"04-254"</f>
        <v>04-254</v>
      </c>
      <c r="H13637" t="str">
        <f>"B"</f>
        <v>B</v>
      </c>
    </row>
    <row r="13638" spans="1:8" x14ac:dyDescent="0.2">
      <c r="A13638" t="str">
        <f t="shared" si="4931"/>
        <v>0618023604</v>
      </c>
      <c r="B13638" t="str">
        <f t="shared" si="4932"/>
        <v>SANTIAGO</v>
      </c>
      <c r="C13638" t="str">
        <f t="shared" si="4933"/>
        <v>PINARGOTE</v>
      </c>
      <c r="D13638">
        <f>11</f>
        <v>11</v>
      </c>
      <c r="E13638" t="str">
        <f>"05 - B - 204 - Cliffon  Saurel"</f>
        <v>05 - B - 204 - Cliffon  Saurel</v>
      </c>
      <c r="F13638" t="str">
        <f>"PHYSICAL SCI"</f>
        <v>PHYSICAL SCI</v>
      </c>
      <c r="G13638" t="str">
        <f>"05-522"</f>
        <v>05-522</v>
      </c>
      <c r="H13638" t="str">
        <f>"B"</f>
        <v>B</v>
      </c>
    </row>
    <row r="13639" spans="1:8" x14ac:dyDescent="0.2">
      <c r="A13639" t="str">
        <f t="shared" si="4931"/>
        <v>0618023604</v>
      </c>
      <c r="B13639" t="str">
        <f t="shared" si="4932"/>
        <v>SANTIAGO</v>
      </c>
      <c r="C13639" t="str">
        <f t="shared" si="4933"/>
        <v>PINARGOTE</v>
      </c>
      <c r="D13639">
        <f>11</f>
        <v>11</v>
      </c>
      <c r="E13639" t="str">
        <f>"01 - A - 101 - Nikiel  Nesbeth"</f>
        <v>01 - A - 101 - Nikiel  Nesbeth</v>
      </c>
      <c r="F13639" t="str">
        <f>"CONST LAW HON"</f>
        <v>CONST LAW HON</v>
      </c>
      <c r="G13639" t="str">
        <f>"17-1705"</f>
        <v>17-1705</v>
      </c>
      <c r="H13639" t="str">
        <f>"A"</f>
        <v>A</v>
      </c>
    </row>
    <row r="13640" spans="1:8" x14ac:dyDescent="0.2">
      <c r="A13640" t="str">
        <f t="shared" si="4931"/>
        <v>0618023604</v>
      </c>
      <c r="B13640" t="str">
        <f t="shared" si="4932"/>
        <v>SANTIAGO</v>
      </c>
      <c r="C13640" t="str">
        <f t="shared" si="4933"/>
        <v>PINARGOTE</v>
      </c>
      <c r="D13640">
        <f>11</f>
        <v>11</v>
      </c>
      <c r="E13640" t="str">
        <f>"08 - B - 105 - Semra  Bahadir"</f>
        <v>08 - B - 105 - Semra  Bahadir</v>
      </c>
      <c r="F13640" t="str">
        <f>"MATH COLL ALGEBRA"</f>
        <v>MATH COLL ALGEBRA</v>
      </c>
      <c r="G13640" t="str">
        <f>"21-2107"</f>
        <v>21-2107</v>
      </c>
      <c r="H13640" t="str">
        <f>"B"</f>
        <v>B</v>
      </c>
    </row>
    <row r="13641" spans="1:8" x14ac:dyDescent="0.2">
      <c r="A13641" t="str">
        <f t="shared" ref="A13641:A13648" si="4934">"0625019551"</f>
        <v>0625019551</v>
      </c>
      <c r="B13641" t="str">
        <f t="shared" ref="B13641:B13648" si="4935">"KEVIN"</f>
        <v>KEVIN</v>
      </c>
      <c r="C13641" t="str">
        <f t="shared" ref="C13641:C13648" si="4936">"PINEDA CANO"</f>
        <v>PINEDA CANO</v>
      </c>
      <c r="D13641" t="str">
        <f t="shared" ref="D13641:D13648" si="4937">"09"</f>
        <v>09</v>
      </c>
      <c r="E13641" t="str">
        <f>"04 - A - 104 - Adam Marcus  Drucker"</f>
        <v>04 - A - 104 - Adam Marcus  Drucker</v>
      </c>
      <c r="F13641" t="str">
        <f>"HOPE-PE V"</f>
        <v>HOPE-PE V</v>
      </c>
      <c r="G13641" t="str">
        <f>"04-254"</f>
        <v>04-254</v>
      </c>
      <c r="H13641" t="str">
        <f>"A"</f>
        <v>A</v>
      </c>
    </row>
    <row r="13642" spans="1:8" x14ac:dyDescent="0.2">
      <c r="A13642" t="str">
        <f t="shared" si="4934"/>
        <v>0625019551</v>
      </c>
      <c r="B13642" t="str">
        <f t="shared" si="4935"/>
        <v>KEVIN</v>
      </c>
      <c r="C13642" t="str">
        <f t="shared" si="4936"/>
        <v>PINEDA CANO</v>
      </c>
      <c r="D13642" t="str">
        <f t="shared" si="4937"/>
        <v>09</v>
      </c>
      <c r="E13642" t="str">
        <f>"06 - B - 105 - Dayna M Foster"</f>
        <v>06 - B - 105 - Dayna M Foster</v>
      </c>
      <c r="F13642" t="str">
        <f>"ALGEBRA 1"</f>
        <v>ALGEBRA 1</v>
      </c>
      <c r="G13642" t="str">
        <f>"21-2109"</f>
        <v>21-2109</v>
      </c>
      <c r="H13642" t="str">
        <f>"B"</f>
        <v>B</v>
      </c>
    </row>
    <row r="13643" spans="1:8" x14ac:dyDescent="0.2">
      <c r="A13643" t="str">
        <f t="shared" si="4934"/>
        <v>0625019551</v>
      </c>
      <c r="B13643" t="str">
        <f t="shared" si="4935"/>
        <v>KEVIN</v>
      </c>
      <c r="C13643" t="str">
        <f t="shared" si="4936"/>
        <v>PINEDA CANO</v>
      </c>
      <c r="D13643" t="str">
        <f t="shared" si="4937"/>
        <v>09</v>
      </c>
      <c r="E13643" t="str">
        <f>"03 - A - 101 - Dayna M Foster"</f>
        <v>03 - A - 101 - Dayna M Foster</v>
      </c>
      <c r="F13643" t="str">
        <f>"FDN SKLS MATH 9-12"</f>
        <v>FDN SKLS MATH 9-12</v>
      </c>
      <c r="G13643" t="str">
        <f>"21-2109"</f>
        <v>21-2109</v>
      </c>
      <c r="H13643" t="str">
        <f>"A"</f>
        <v>A</v>
      </c>
    </row>
    <row r="13644" spans="1:8" x14ac:dyDescent="0.2">
      <c r="A13644" t="str">
        <f t="shared" si="4934"/>
        <v>0625019551</v>
      </c>
      <c r="B13644" t="str">
        <f t="shared" si="4935"/>
        <v>KEVIN</v>
      </c>
      <c r="C13644" t="str">
        <f t="shared" si="4936"/>
        <v>PINEDA CANO</v>
      </c>
      <c r="D13644" t="str">
        <f t="shared" si="4937"/>
        <v>09</v>
      </c>
      <c r="E13644" t="str">
        <f>"02 - A - 102 - Fernando  Vega-Cid"</f>
        <v>02 - A - 102 - Fernando  Vega-Cid</v>
      </c>
      <c r="F13644" t="str">
        <f>"NC STUDY HALL 1"</f>
        <v>NC STUDY HALL 1</v>
      </c>
      <c r="G13644" t="str">
        <f>"21-2163"</f>
        <v>21-2163</v>
      </c>
      <c r="H13644" t="str">
        <f>"A"</f>
        <v>A</v>
      </c>
    </row>
    <row r="13645" spans="1:8" x14ac:dyDescent="0.2">
      <c r="A13645" t="str">
        <f t="shared" si="4934"/>
        <v>0625019551</v>
      </c>
      <c r="B13645" t="str">
        <f t="shared" si="4935"/>
        <v>KEVIN</v>
      </c>
      <c r="C13645" t="str">
        <f t="shared" si="4936"/>
        <v>PINEDA CANO</v>
      </c>
      <c r="D13645" t="str">
        <f t="shared" si="4937"/>
        <v>09</v>
      </c>
      <c r="E13645" t="str">
        <f>"07 - B - 104 - Lissa C Frederique"</f>
        <v>07 - B - 104 - Lissa C Frederique</v>
      </c>
      <c r="F13645" t="str">
        <f>"WORLD HISTORY"</f>
        <v>WORLD HISTORY</v>
      </c>
      <c r="G13645" t="str">
        <f>"17-1754"</f>
        <v>17-1754</v>
      </c>
      <c r="H13645" t="str">
        <f>"B"</f>
        <v>B</v>
      </c>
    </row>
    <row r="13646" spans="1:8" x14ac:dyDescent="0.2">
      <c r="A13646" t="str">
        <f t="shared" si="4934"/>
        <v>0625019551</v>
      </c>
      <c r="B13646" t="str">
        <f t="shared" si="4935"/>
        <v>KEVIN</v>
      </c>
      <c r="C13646" t="str">
        <f t="shared" si="4936"/>
        <v>PINEDA CANO</v>
      </c>
      <c r="D13646" t="str">
        <f t="shared" si="4937"/>
        <v>09</v>
      </c>
      <c r="E13646" t="str">
        <f>"05 - B - 102 - Vanessa J Pena"</f>
        <v>05 - B - 102 - Vanessa J Pena</v>
      </c>
      <c r="F13646" t="str">
        <f>"DEV LANG ARTS ESOL-R"</f>
        <v>DEV LANG ARTS ESOL-R</v>
      </c>
      <c r="G13646" t="str">
        <f>"09-926"</f>
        <v>09-926</v>
      </c>
      <c r="H13646" t="str">
        <f>"B"</f>
        <v>B</v>
      </c>
    </row>
    <row r="13647" spans="1:8" x14ac:dyDescent="0.2">
      <c r="A13647" t="str">
        <f t="shared" si="4934"/>
        <v>0625019551</v>
      </c>
      <c r="B13647" t="str">
        <f t="shared" si="4935"/>
        <v>KEVIN</v>
      </c>
      <c r="C13647" t="str">
        <f t="shared" si="4936"/>
        <v>PINEDA CANO</v>
      </c>
      <c r="D13647" t="str">
        <f t="shared" si="4937"/>
        <v>09</v>
      </c>
      <c r="E13647" t="str">
        <f>"01 - A - 103 - Amy Beth  Broyles"</f>
        <v>01 - A - 103 - Amy Beth  Broyles</v>
      </c>
      <c r="F13647" t="str">
        <f>"ENV SCI"</f>
        <v>ENV SCI</v>
      </c>
      <c r="G13647" t="str">
        <f>"08-802"</f>
        <v>08-802</v>
      </c>
      <c r="H13647" t="str">
        <f>"A"</f>
        <v>A</v>
      </c>
    </row>
    <row r="13648" spans="1:8" x14ac:dyDescent="0.2">
      <c r="A13648" t="str">
        <f t="shared" si="4934"/>
        <v>0625019551</v>
      </c>
      <c r="B13648" t="str">
        <f t="shared" si="4935"/>
        <v>KEVIN</v>
      </c>
      <c r="C13648" t="str">
        <f t="shared" si="4936"/>
        <v>PINEDA CANO</v>
      </c>
      <c r="D13648" t="str">
        <f t="shared" si="4937"/>
        <v>09</v>
      </c>
      <c r="E13648" t="str">
        <f>"08 - B - 108 - Cerine S Stewart"</f>
        <v>08 - B - 108 - Cerine S Stewart</v>
      </c>
      <c r="F13648" t="str">
        <f>"ENG 1"</f>
        <v>ENG 1</v>
      </c>
      <c r="G13648" t="str">
        <f>"17-1720"</f>
        <v>17-1720</v>
      </c>
      <c r="H13648" t="str">
        <f>"B"</f>
        <v>B</v>
      </c>
    </row>
    <row r="13649" spans="1:8" x14ac:dyDescent="0.2">
      <c r="A13649" t="str">
        <f t="shared" ref="A13649:A13656" si="4938">"0614054178"</f>
        <v>0614054178</v>
      </c>
      <c r="B13649" t="str">
        <f t="shared" ref="B13649:B13656" si="4939">"AYMERIA"</f>
        <v>AYMERIA</v>
      </c>
      <c r="C13649" t="str">
        <f t="shared" ref="C13649:C13656" si="4940">"PINKNEY"</f>
        <v>PINKNEY</v>
      </c>
      <c r="D13649">
        <f>11</f>
        <v>11</v>
      </c>
      <c r="E13649" t="str">
        <f>"04 - A - 102 - Elizabeth Ellen  Moran"</f>
        <v>04 - A - 102 - Elizabeth Ellen  Moran</v>
      </c>
      <c r="F13649" t="str">
        <f>"US HISTORY"</f>
        <v>US HISTORY</v>
      </c>
      <c r="G13649" t="str">
        <f>"17-1752"</f>
        <v>17-1752</v>
      </c>
      <c r="H13649" t="str">
        <f>"A"</f>
        <v>A</v>
      </c>
    </row>
    <row r="13650" spans="1:8" x14ac:dyDescent="0.2">
      <c r="A13650" t="str">
        <f t="shared" si="4938"/>
        <v>0614054178</v>
      </c>
      <c r="B13650" t="str">
        <f t="shared" si="4939"/>
        <v>AYMERIA</v>
      </c>
      <c r="C13650" t="str">
        <f t="shared" si="4940"/>
        <v>PINKNEY</v>
      </c>
      <c r="D13650">
        <f>11</f>
        <v>11</v>
      </c>
      <c r="E13650" t="str">
        <f>"06 - S1 - B - 104 - Leslie J Barton"</f>
        <v>06 - S1 - B - 104 - Leslie J Barton</v>
      </c>
      <c r="F13650" t="str">
        <f>"FIRST AID SAFETY"</f>
        <v>FIRST AID SAFETY</v>
      </c>
      <c r="G13650" t="str">
        <f>"05-521"</f>
        <v>05-521</v>
      </c>
      <c r="H13650" t="str">
        <f>"B"</f>
        <v>B</v>
      </c>
    </row>
    <row r="13651" spans="1:8" x14ac:dyDescent="0.2">
      <c r="A13651" t="str">
        <f t="shared" si="4938"/>
        <v>0614054178</v>
      </c>
      <c r="B13651" t="str">
        <f t="shared" si="4939"/>
        <v>AYMERIA</v>
      </c>
      <c r="C13651" t="str">
        <f t="shared" si="4940"/>
        <v>PINKNEY</v>
      </c>
      <c r="D13651">
        <f>11</f>
        <v>11</v>
      </c>
      <c r="E13651" t="str">
        <f>"03 - A - 102 - Nahum  Saint-Preux"</f>
        <v>03 - A - 102 - Nahum  Saint-Preux</v>
      </c>
      <c r="F13651" t="str">
        <f>"INTENS READ 3"</f>
        <v>INTENS READ 3</v>
      </c>
      <c r="G13651" t="str">
        <f>"17-1712"</f>
        <v>17-1712</v>
      </c>
      <c r="H13651" t="str">
        <f>"A"</f>
        <v>A</v>
      </c>
    </row>
    <row r="13652" spans="1:8" x14ac:dyDescent="0.2">
      <c r="A13652" t="str">
        <f t="shared" si="4938"/>
        <v>0614054178</v>
      </c>
      <c r="B13652" t="str">
        <f t="shared" si="4939"/>
        <v>AYMERIA</v>
      </c>
      <c r="C13652" t="str">
        <f t="shared" si="4940"/>
        <v>PINKNEY</v>
      </c>
      <c r="D13652">
        <f>11</f>
        <v>11</v>
      </c>
      <c r="E13652" t="str">
        <f>"02 - A - 001 - Courtney E Hambright"</f>
        <v>02 - A - 001 - Courtney E Hambright</v>
      </c>
      <c r="F13652" t="str">
        <f>"NC STUDY HALL 1"</f>
        <v>NC STUDY HALL 1</v>
      </c>
      <c r="G13652" t="str">
        <f>"17-1711"</f>
        <v>17-1711</v>
      </c>
      <c r="H13652" t="str">
        <f>"A"</f>
        <v>A</v>
      </c>
    </row>
    <row r="13653" spans="1:8" x14ac:dyDescent="0.2">
      <c r="A13653" t="str">
        <f t="shared" si="4938"/>
        <v>0614054178</v>
      </c>
      <c r="B13653" t="str">
        <f t="shared" si="4939"/>
        <v>AYMERIA</v>
      </c>
      <c r="C13653" t="str">
        <f t="shared" si="4940"/>
        <v>PINKNEY</v>
      </c>
      <c r="D13653">
        <f>11</f>
        <v>11</v>
      </c>
      <c r="E13653" t="str">
        <f>"07 - S1 - B - 102 - Arthur  Kulawik"</f>
        <v>07 - S1 - B - 102 - Arthur  Kulawik</v>
      </c>
      <c r="F13653" t="str">
        <f>"PERS FIN &amp; MON MGT H"</f>
        <v>PERS FIN &amp; MON MGT H</v>
      </c>
      <c r="G13653" t="str">
        <f>"05-506"</f>
        <v>05-506</v>
      </c>
      <c r="H13653" t="str">
        <f>"B"</f>
        <v>B</v>
      </c>
    </row>
    <row r="13654" spans="1:8" x14ac:dyDescent="0.2">
      <c r="A13654" t="str">
        <f t="shared" si="4938"/>
        <v>0614054178</v>
      </c>
      <c r="B13654" t="str">
        <f t="shared" si="4939"/>
        <v>AYMERIA</v>
      </c>
      <c r="C13654" t="str">
        <f t="shared" si="4940"/>
        <v>PINKNEY</v>
      </c>
      <c r="D13654">
        <f>11</f>
        <v>11</v>
      </c>
      <c r="E13654" t="str">
        <f>"05 - B - 109 - Ferrie J Arostique"</f>
        <v>05 - B - 109 - Ferrie J Arostique</v>
      </c>
      <c r="F13654" t="str">
        <f>"GEOMETRY"</f>
        <v>GEOMETRY</v>
      </c>
      <c r="G13654" t="str">
        <f>"21-2139"</f>
        <v>21-2139</v>
      </c>
      <c r="H13654" t="str">
        <f>"B"</f>
        <v>B</v>
      </c>
    </row>
    <row r="13655" spans="1:8" x14ac:dyDescent="0.2">
      <c r="A13655" t="str">
        <f t="shared" si="4938"/>
        <v>0614054178</v>
      </c>
      <c r="B13655" t="str">
        <f t="shared" si="4939"/>
        <v>AYMERIA</v>
      </c>
      <c r="C13655" t="str">
        <f t="shared" si="4940"/>
        <v>PINKNEY</v>
      </c>
      <c r="D13655">
        <f>11</f>
        <v>11</v>
      </c>
      <c r="E13655" t="str">
        <f>"01 - A - 101 - Cliffon  Saurel"</f>
        <v>01 - A - 101 - Cliffon  Saurel</v>
      </c>
      <c r="F13655" t="str">
        <f>"PHYSICAL SCI"</f>
        <v>PHYSICAL SCI</v>
      </c>
      <c r="G13655" t="str">
        <f>"05-522"</f>
        <v>05-522</v>
      </c>
      <c r="H13655" t="str">
        <f>"A"</f>
        <v>A</v>
      </c>
    </row>
    <row r="13656" spans="1:8" x14ac:dyDescent="0.2">
      <c r="A13656" t="str">
        <f t="shared" si="4938"/>
        <v>0614054178</v>
      </c>
      <c r="B13656" t="str">
        <f t="shared" si="4939"/>
        <v>AYMERIA</v>
      </c>
      <c r="C13656" t="str">
        <f t="shared" si="4940"/>
        <v>PINKNEY</v>
      </c>
      <c r="D13656">
        <f>11</f>
        <v>11</v>
      </c>
      <c r="E13656" t="str">
        <f>"08 - B - 106 - Lisa  Quinn"</f>
        <v>08 - B - 106 - Lisa  Quinn</v>
      </c>
      <c r="F13656" t="str">
        <f>"ENG 3"</f>
        <v>ENG 3</v>
      </c>
      <c r="G13656" t="str">
        <f>"17-1725"</f>
        <v>17-1725</v>
      </c>
      <c r="H13656" t="str">
        <f>"B"</f>
        <v>B</v>
      </c>
    </row>
    <row r="13657" spans="1:8" x14ac:dyDescent="0.2">
      <c r="A13657" t="str">
        <f t="shared" ref="A13657:A13665" si="4941">"0615017552"</f>
        <v>0615017552</v>
      </c>
      <c r="B13657" t="str">
        <f t="shared" ref="B13657:B13665" si="4942">"LATORIA"</f>
        <v>LATORIA</v>
      </c>
      <c r="C13657" t="str">
        <f t="shared" ref="C13657:C13665" si="4943">"PINTO"</f>
        <v>PINTO</v>
      </c>
      <c r="D13657">
        <f>11</f>
        <v>11</v>
      </c>
      <c r="E13657" t="str">
        <f>"04 - A - 106 - Marielle A Witting"</f>
        <v>04 - A - 106 - Marielle A Witting</v>
      </c>
      <c r="F13657" t="str">
        <f>"ANAT PHYSIO"</f>
        <v>ANAT PHYSIO</v>
      </c>
      <c r="G13657" t="str">
        <f>"08-805"</f>
        <v>08-805</v>
      </c>
      <c r="H13657" t="str">
        <f>"A"</f>
        <v>A</v>
      </c>
    </row>
    <row r="13658" spans="1:8" x14ac:dyDescent="0.2">
      <c r="A13658" t="str">
        <f t="shared" si="4941"/>
        <v>0615017552</v>
      </c>
      <c r="B13658" t="str">
        <f t="shared" si="4942"/>
        <v>LATORIA</v>
      </c>
      <c r="C13658" t="str">
        <f t="shared" si="4943"/>
        <v>PINTO</v>
      </c>
      <c r="D13658">
        <f>11</f>
        <v>11</v>
      </c>
      <c r="E13658" t="str">
        <f>"06 - B - 104 - Nahum  Saint-Preux"</f>
        <v>06 - B - 104 - Nahum  Saint-Preux</v>
      </c>
      <c r="F13658" t="str">
        <f>"INTENS READ 3"</f>
        <v>INTENS READ 3</v>
      </c>
      <c r="G13658" t="str">
        <f>"17-1712"</f>
        <v>17-1712</v>
      </c>
      <c r="H13658" t="str">
        <f>"B"</f>
        <v>B</v>
      </c>
    </row>
    <row r="13659" spans="1:8" x14ac:dyDescent="0.2">
      <c r="A13659" t="str">
        <f t="shared" si="4941"/>
        <v>0615017552</v>
      </c>
      <c r="B13659" t="str">
        <f t="shared" si="4942"/>
        <v>LATORIA</v>
      </c>
      <c r="C13659" t="str">
        <f t="shared" si="4943"/>
        <v>PINTO</v>
      </c>
      <c r="D13659">
        <f>11</f>
        <v>11</v>
      </c>
      <c r="E13659" t="str">
        <f>"03 - A - 104 - Fernando  Vega-Cid"</f>
        <v>03 - A - 104 - Fernando  Vega-Cid</v>
      </c>
      <c r="F13659" t="str">
        <f>"GEOMETRY"</f>
        <v>GEOMETRY</v>
      </c>
      <c r="G13659" t="str">
        <f>"21-2163"</f>
        <v>21-2163</v>
      </c>
      <c r="H13659" t="str">
        <f>"A"</f>
        <v>A</v>
      </c>
    </row>
    <row r="13660" spans="1:8" x14ac:dyDescent="0.2">
      <c r="A13660" t="str">
        <f t="shared" si="4941"/>
        <v>0615017552</v>
      </c>
      <c r="B13660" t="str">
        <f t="shared" si="4942"/>
        <v>LATORIA</v>
      </c>
      <c r="C13660" t="str">
        <f t="shared" si="4943"/>
        <v>PINTO</v>
      </c>
      <c r="D13660">
        <f>11</f>
        <v>11</v>
      </c>
      <c r="E13660" t="str">
        <f>"02 - A - 102 - Brook E Goren"</f>
        <v>02 - A - 102 - Brook E Goren</v>
      </c>
      <c r="F13660" t="str">
        <f>"NC STUDY HALL 1"</f>
        <v>NC STUDY HALL 1</v>
      </c>
      <c r="G13660" t="str">
        <f>"21-2158"</f>
        <v>21-2158</v>
      </c>
      <c r="H13660" t="str">
        <f>"A"</f>
        <v>A</v>
      </c>
    </row>
    <row r="13661" spans="1:8" x14ac:dyDescent="0.2">
      <c r="A13661" t="str">
        <f t="shared" si="4941"/>
        <v>0615017552</v>
      </c>
      <c r="B13661" t="str">
        <f t="shared" si="4942"/>
        <v>LATORIA</v>
      </c>
      <c r="C13661" t="str">
        <f t="shared" si="4943"/>
        <v>PINTO</v>
      </c>
      <c r="D13661">
        <f>11</f>
        <v>11</v>
      </c>
      <c r="E13661" t="str">
        <f>"02 - A - 112 - Karen A Toomer"</f>
        <v>02 - A - 112 - Karen A Toomer</v>
      </c>
      <c r="F13661" t="str">
        <f>"LANG THERAPY"</f>
        <v>LANG THERAPY</v>
      </c>
      <c r="G13661" t="str">
        <f>"21-2110"</f>
        <v>21-2110</v>
      </c>
      <c r="H13661" t="str">
        <f>"A"</f>
        <v>A</v>
      </c>
    </row>
    <row r="13662" spans="1:8" x14ac:dyDescent="0.2">
      <c r="A13662" t="str">
        <f t="shared" si="4941"/>
        <v>0615017552</v>
      </c>
      <c r="B13662" t="str">
        <f t="shared" si="4942"/>
        <v>LATORIA</v>
      </c>
      <c r="C13662" t="str">
        <f t="shared" si="4943"/>
        <v>PINTO</v>
      </c>
      <c r="D13662">
        <f>11</f>
        <v>11</v>
      </c>
      <c r="E13662" t="str">
        <f>"07 - S1 - B - 102 - Arthur  Kulawik"</f>
        <v>07 - S1 - B - 102 - Arthur  Kulawik</v>
      </c>
      <c r="F13662" t="str">
        <f>"PERS FIN &amp; MON MGT H"</f>
        <v>PERS FIN &amp; MON MGT H</v>
      </c>
      <c r="G13662" t="str">
        <f>"05-506"</f>
        <v>05-506</v>
      </c>
      <c r="H13662" t="str">
        <f>"B"</f>
        <v>B</v>
      </c>
    </row>
    <row r="13663" spans="1:8" x14ac:dyDescent="0.2">
      <c r="A13663" t="str">
        <f t="shared" si="4941"/>
        <v>0615017552</v>
      </c>
      <c r="B13663" t="str">
        <f t="shared" si="4942"/>
        <v>LATORIA</v>
      </c>
      <c r="C13663" t="str">
        <f t="shared" si="4943"/>
        <v>PINTO</v>
      </c>
      <c r="D13663">
        <f>11</f>
        <v>11</v>
      </c>
      <c r="E13663" t="str">
        <f>"05 - B - 104 - Lisa  Quinn"</f>
        <v>05 - B - 104 - Lisa  Quinn</v>
      </c>
      <c r="F13663" t="str">
        <f>"ENG 3"</f>
        <v>ENG 3</v>
      </c>
      <c r="G13663" t="str">
        <f>"17-1725"</f>
        <v>17-1725</v>
      </c>
      <c r="H13663" t="str">
        <f>"B"</f>
        <v>B</v>
      </c>
    </row>
    <row r="13664" spans="1:8" x14ac:dyDescent="0.2">
      <c r="A13664" t="str">
        <f t="shared" si="4941"/>
        <v>0615017552</v>
      </c>
      <c r="B13664" t="str">
        <f t="shared" si="4942"/>
        <v>LATORIA</v>
      </c>
      <c r="C13664" t="str">
        <f t="shared" si="4943"/>
        <v>PINTO</v>
      </c>
      <c r="D13664">
        <f>11</f>
        <v>11</v>
      </c>
      <c r="E13664" t="str">
        <f>"01 - A - 101 - Kyle  Robbins"</f>
        <v>01 - A - 101 - Kyle  Robbins</v>
      </c>
      <c r="F13664" t="str">
        <f>"US HISTORY"</f>
        <v>US HISTORY</v>
      </c>
      <c r="G13664" t="str">
        <f>"17-1745"</f>
        <v>17-1745</v>
      </c>
      <c r="H13664" t="str">
        <f>"A"</f>
        <v>A</v>
      </c>
    </row>
    <row r="13665" spans="1:8" x14ac:dyDescent="0.2">
      <c r="A13665" t="str">
        <f t="shared" si="4941"/>
        <v>0615017552</v>
      </c>
      <c r="B13665" t="str">
        <f t="shared" si="4942"/>
        <v>LATORIA</v>
      </c>
      <c r="C13665" t="str">
        <f t="shared" si="4943"/>
        <v>PINTO</v>
      </c>
      <c r="D13665">
        <f>11</f>
        <v>11</v>
      </c>
      <c r="E13665" t="str">
        <f>"08 - B - 102 - Robert H Rindner"</f>
        <v>08 - B - 102 - Robert H Rindner</v>
      </c>
      <c r="F13665" t="str">
        <f>"TV PRODUCTION TECH 1"</f>
        <v>TV PRODUCTION TECH 1</v>
      </c>
      <c r="G13665" t="str">
        <f>"21-2160"</f>
        <v>21-2160</v>
      </c>
      <c r="H13665" t="str">
        <f>"B"</f>
        <v>B</v>
      </c>
    </row>
    <row r="13666" spans="1:8" x14ac:dyDescent="0.2">
      <c r="A13666" t="str">
        <f t="shared" ref="A13666:A13673" si="4944">"0616108114"</f>
        <v>0616108114</v>
      </c>
      <c r="B13666" t="str">
        <f t="shared" ref="B13666:B13673" si="4945">"ALEXA"</f>
        <v>ALEXA</v>
      </c>
      <c r="C13666" t="str">
        <f t="shared" ref="C13666:C13673" si="4946">"PINZON"</f>
        <v>PINZON</v>
      </c>
      <c r="D13666" t="str">
        <f t="shared" ref="D13666:D13673" si="4947">"09"</f>
        <v>09</v>
      </c>
      <c r="E13666" t="str">
        <f>"04 - A - 105 - Carol S Moore"</f>
        <v>04 - A - 105 - Carol S Moore</v>
      </c>
      <c r="F13666" t="str">
        <f>"PRE-AICE WRLD HST IG"</f>
        <v>PRE-AICE WRLD HST IG</v>
      </c>
      <c r="G13666" t="str">
        <f>"17-1733"</f>
        <v>17-1733</v>
      </c>
      <c r="H13666" t="str">
        <f>"A"</f>
        <v>A</v>
      </c>
    </row>
    <row r="13667" spans="1:8" x14ac:dyDescent="0.2">
      <c r="A13667" t="str">
        <f t="shared" si="4944"/>
        <v>0616108114</v>
      </c>
      <c r="B13667" t="str">
        <f t="shared" si="4945"/>
        <v>ALEXA</v>
      </c>
      <c r="C13667" t="str">
        <f t="shared" si="4946"/>
        <v>PINZON</v>
      </c>
      <c r="D13667" t="str">
        <f t="shared" si="4947"/>
        <v>09</v>
      </c>
      <c r="E13667" t="str">
        <f>"06 - B - 106 - Marius D Orsolini"</f>
        <v>06 - B - 106 - Marius D Orsolini</v>
      </c>
      <c r="F13667" t="str">
        <f>"CULINARY ARTS 1"</f>
        <v>CULINARY ARTS 1</v>
      </c>
      <c r="G13667" t="str">
        <f>"21-2115"</f>
        <v>21-2115</v>
      </c>
      <c r="H13667" t="str">
        <f>"B"</f>
        <v>B</v>
      </c>
    </row>
    <row r="13668" spans="1:8" x14ac:dyDescent="0.2">
      <c r="A13668" t="str">
        <f t="shared" si="4944"/>
        <v>0616108114</v>
      </c>
      <c r="B13668" t="str">
        <f t="shared" si="4945"/>
        <v>ALEXA</v>
      </c>
      <c r="C13668" t="str">
        <f t="shared" si="4946"/>
        <v>PINZON</v>
      </c>
      <c r="D13668" t="str">
        <f t="shared" si="4947"/>
        <v>09</v>
      </c>
      <c r="E13668" t="str">
        <f>"03 - A - 103 - Adam Marcus  Drucker"</f>
        <v>03 - A - 103 - Adam Marcus  Drucker</v>
      </c>
      <c r="F13668" t="str">
        <f>"HOPE-PE V"</f>
        <v>HOPE-PE V</v>
      </c>
      <c r="G13668" t="str">
        <f>"04-254"</f>
        <v>04-254</v>
      </c>
      <c r="H13668" t="str">
        <f>"A"</f>
        <v>A</v>
      </c>
    </row>
    <row r="13669" spans="1:8" x14ac:dyDescent="0.2">
      <c r="A13669" t="str">
        <f t="shared" si="4944"/>
        <v>0616108114</v>
      </c>
      <c r="B13669" t="str">
        <f t="shared" si="4945"/>
        <v>ALEXA</v>
      </c>
      <c r="C13669" t="str">
        <f t="shared" si="4946"/>
        <v>PINZON</v>
      </c>
      <c r="D13669" t="str">
        <f t="shared" si="4947"/>
        <v>09</v>
      </c>
      <c r="E13669" t="str">
        <f>"02 - A - 101 - Josiah I Lacy"</f>
        <v>02 - A - 101 - Josiah I Lacy</v>
      </c>
      <c r="F13669" t="str">
        <f>"NC STUDY HALL 1"</f>
        <v>NC STUDY HALL 1</v>
      </c>
      <c r="G13669" t="str">
        <f>"08-801"</f>
        <v>08-801</v>
      </c>
      <c r="H13669" t="str">
        <f>"A"</f>
        <v>A</v>
      </c>
    </row>
    <row r="13670" spans="1:8" x14ac:dyDescent="0.2">
      <c r="A13670" t="str">
        <f t="shared" si="4944"/>
        <v>0616108114</v>
      </c>
      <c r="B13670" t="str">
        <f t="shared" si="4945"/>
        <v>ALEXA</v>
      </c>
      <c r="C13670" t="str">
        <f t="shared" si="4946"/>
        <v>PINZON</v>
      </c>
      <c r="D13670" t="str">
        <f t="shared" si="4947"/>
        <v>09</v>
      </c>
      <c r="E13670" t="str">
        <f>"07 - B - 105 - Joe  Kilpatrick Jr"</f>
        <v>07 - B - 105 - Joe  Kilpatrick Jr</v>
      </c>
      <c r="F13670" t="str">
        <f>"PRE-AICE SPAN 1 IG"</f>
        <v>PRE-AICE SPAN 1 IG</v>
      </c>
      <c r="G13670" t="str">
        <f>"09-912"</f>
        <v>09-912</v>
      </c>
      <c r="H13670" t="str">
        <f>"B"</f>
        <v>B</v>
      </c>
    </row>
    <row r="13671" spans="1:8" x14ac:dyDescent="0.2">
      <c r="A13671" t="str">
        <f t="shared" si="4944"/>
        <v>0616108114</v>
      </c>
      <c r="B13671" t="str">
        <f t="shared" si="4945"/>
        <v>ALEXA</v>
      </c>
      <c r="C13671" t="str">
        <f t="shared" si="4946"/>
        <v>PINZON</v>
      </c>
      <c r="D13671" t="str">
        <f t="shared" si="4947"/>
        <v>09</v>
      </c>
      <c r="E13671" t="str">
        <f>"05 - B - 104 - Maried P Ramos"</f>
        <v>05 - B - 104 - Maried P Ramos</v>
      </c>
      <c r="F13671" t="str">
        <f>"PRE-AICE MATH 2 IG"</f>
        <v>PRE-AICE MATH 2 IG</v>
      </c>
      <c r="G13671" t="str">
        <f>"21-2159"</f>
        <v>21-2159</v>
      </c>
      <c r="H13671" t="str">
        <f>"B"</f>
        <v>B</v>
      </c>
    </row>
    <row r="13672" spans="1:8" x14ac:dyDescent="0.2">
      <c r="A13672" t="str">
        <f t="shared" si="4944"/>
        <v>0616108114</v>
      </c>
      <c r="B13672" t="str">
        <f t="shared" si="4945"/>
        <v>ALEXA</v>
      </c>
      <c r="C13672" t="str">
        <f t="shared" si="4946"/>
        <v>PINZON</v>
      </c>
      <c r="D13672" t="str">
        <f t="shared" si="4947"/>
        <v>09</v>
      </c>
      <c r="E13672" t="str">
        <f>"01 - A - 101 - Josiah I Lacy"</f>
        <v>01 - A - 101 - Josiah I Lacy</v>
      </c>
      <c r="F13672" t="str">
        <f>"PRE-AICE BIO IG"</f>
        <v>PRE-AICE BIO IG</v>
      </c>
      <c r="G13672" t="str">
        <f>"08-801"</f>
        <v>08-801</v>
      </c>
      <c r="H13672" t="str">
        <f>"A"</f>
        <v>A</v>
      </c>
    </row>
    <row r="13673" spans="1:8" x14ac:dyDescent="0.2">
      <c r="A13673" t="str">
        <f t="shared" si="4944"/>
        <v>0616108114</v>
      </c>
      <c r="B13673" t="str">
        <f t="shared" si="4945"/>
        <v>ALEXA</v>
      </c>
      <c r="C13673" t="str">
        <f t="shared" si="4946"/>
        <v>PINZON</v>
      </c>
      <c r="D13673" t="str">
        <f t="shared" si="4947"/>
        <v>09</v>
      </c>
      <c r="E13673" t="str">
        <f>"08 - B - 201 - Elizabeth R Walker"</f>
        <v>08 - B - 201 - Elizabeth R Walker</v>
      </c>
      <c r="F13673" t="str">
        <f>"AICE ENG GEN PAPER 1"</f>
        <v>AICE ENG GEN PAPER 1</v>
      </c>
      <c r="G13673" t="str">
        <f>"17-1703"</f>
        <v>17-1703</v>
      </c>
      <c r="H13673" t="str">
        <f>"B"</f>
        <v>B</v>
      </c>
    </row>
    <row r="13674" spans="1:8" x14ac:dyDescent="0.2">
      <c r="A13674" t="str">
        <f t="shared" ref="A13674:A13681" si="4948">"0615082817"</f>
        <v>0615082817</v>
      </c>
      <c r="B13674" t="str">
        <f t="shared" ref="B13674:B13681" si="4949">"BIANCA"</f>
        <v>BIANCA</v>
      </c>
      <c r="C13674" t="str">
        <f t="shared" ref="C13674:C13681" si="4950">"PIRES"</f>
        <v>PIRES</v>
      </c>
      <c r="D13674">
        <f>11</f>
        <v>11</v>
      </c>
      <c r="E13674" t="str">
        <f>"04 - A - 102 - Brandy N Zdenek"</f>
        <v>04 - A - 102 - Brandy N Zdenek</v>
      </c>
      <c r="F13674" t="str">
        <f>"AICE ENG LANG 2 AL"</f>
        <v>AICE ENG LANG 2 AL</v>
      </c>
      <c r="G13674" t="str">
        <f>"17-1704"</f>
        <v>17-1704</v>
      </c>
      <c r="H13674" t="str">
        <f>"A"</f>
        <v>A</v>
      </c>
    </row>
    <row r="13675" spans="1:8" x14ac:dyDescent="0.2">
      <c r="A13675" t="str">
        <f t="shared" si="4948"/>
        <v>0615082817</v>
      </c>
      <c r="B13675" t="str">
        <f t="shared" si="4949"/>
        <v>BIANCA</v>
      </c>
      <c r="C13675" t="str">
        <f t="shared" si="4950"/>
        <v>PIRES</v>
      </c>
      <c r="D13675">
        <f>11</f>
        <v>11</v>
      </c>
      <c r="E13675" t="str">
        <f>"06 - B - 102 - Rosa Elaine  Collado-Duff"</f>
        <v>06 - B - 102 - Rosa Elaine  Collado-Duff</v>
      </c>
      <c r="F13675" t="str">
        <f>"SPANISH 3 HON"</f>
        <v>SPANISH 3 HON</v>
      </c>
      <c r="G13675" t="str">
        <f>"09-913"</f>
        <v>09-913</v>
      </c>
      <c r="H13675" t="str">
        <f>"B"</f>
        <v>B</v>
      </c>
    </row>
    <row r="13676" spans="1:8" x14ac:dyDescent="0.2">
      <c r="A13676" t="str">
        <f t="shared" si="4948"/>
        <v>0615082817</v>
      </c>
      <c r="B13676" t="str">
        <f t="shared" si="4949"/>
        <v>BIANCA</v>
      </c>
      <c r="C13676" t="str">
        <f t="shared" si="4950"/>
        <v>PIRES</v>
      </c>
      <c r="D13676">
        <f>11</f>
        <v>11</v>
      </c>
      <c r="E13676" t="str">
        <f>"03 - A - 103 - Jordana K Hass"</f>
        <v>03 - A - 103 - Jordana K Hass</v>
      </c>
      <c r="F13676" t="str">
        <f>"CHEMISTRY 1"</f>
        <v>CHEMISTRY 1</v>
      </c>
      <c r="G13676" t="str">
        <f>"08-807"</f>
        <v>08-807</v>
      </c>
      <c r="H13676" t="str">
        <f>"A"</f>
        <v>A</v>
      </c>
    </row>
    <row r="13677" spans="1:8" x14ac:dyDescent="0.2">
      <c r="A13677" t="str">
        <f t="shared" si="4948"/>
        <v>0615082817</v>
      </c>
      <c r="B13677" t="str">
        <f t="shared" si="4949"/>
        <v>BIANCA</v>
      </c>
      <c r="C13677" t="str">
        <f t="shared" si="4950"/>
        <v>PIRES</v>
      </c>
      <c r="D13677">
        <f>11</f>
        <v>11</v>
      </c>
      <c r="E13677" t="str">
        <f>"02 - A - 112 - Brandy N Zdenek"</f>
        <v>02 - A - 112 - Brandy N Zdenek</v>
      </c>
      <c r="F13677" t="str">
        <f>"NC STUDY HALL 1"</f>
        <v>NC STUDY HALL 1</v>
      </c>
      <c r="G13677" t="str">
        <f>"17-1704"</f>
        <v>17-1704</v>
      </c>
      <c r="H13677" t="str">
        <f>"A"</f>
        <v>A</v>
      </c>
    </row>
    <row r="13678" spans="1:8" x14ac:dyDescent="0.2">
      <c r="A13678" t="str">
        <f t="shared" si="4948"/>
        <v>0615082817</v>
      </c>
      <c r="B13678" t="str">
        <f t="shared" si="4949"/>
        <v>BIANCA</v>
      </c>
      <c r="C13678" t="str">
        <f t="shared" si="4950"/>
        <v>PIRES</v>
      </c>
      <c r="D13678">
        <f>11</f>
        <v>11</v>
      </c>
      <c r="E13678" t="str">
        <f>"07 - B - 104 - Jerry S Jiampetti"</f>
        <v>07 - B - 104 - Jerry S Jiampetti</v>
      </c>
      <c r="F13678" t="str">
        <f>"AICE U.S. HIST 1 AS"</f>
        <v>AICE U.S. HIST 1 AS</v>
      </c>
      <c r="G13678" t="str">
        <f>"17-1751"</f>
        <v>17-1751</v>
      </c>
      <c r="H13678" t="str">
        <f>"B"</f>
        <v>B</v>
      </c>
    </row>
    <row r="13679" spans="1:8" x14ac:dyDescent="0.2">
      <c r="A13679" t="str">
        <f t="shared" si="4948"/>
        <v>0615082817</v>
      </c>
      <c r="B13679" t="str">
        <f t="shared" si="4949"/>
        <v>BIANCA</v>
      </c>
      <c r="C13679" t="str">
        <f t="shared" si="4950"/>
        <v>PIRES</v>
      </c>
      <c r="D13679">
        <f>11</f>
        <v>11</v>
      </c>
      <c r="E13679" t="str">
        <f>"05 - B - 106 - Thomas G Handwerg"</f>
        <v>05 - B - 106 - Thomas G Handwerg</v>
      </c>
      <c r="F13679" t="str">
        <f>"MATH COLL ALGEBRA"</f>
        <v>MATH COLL ALGEBRA</v>
      </c>
      <c r="G13679" t="str">
        <f>"21-2146"</f>
        <v>21-2146</v>
      </c>
      <c r="H13679" t="str">
        <f>"B"</f>
        <v>B</v>
      </c>
    </row>
    <row r="13680" spans="1:8" x14ac:dyDescent="0.2">
      <c r="A13680" t="str">
        <f t="shared" si="4948"/>
        <v>0615082817</v>
      </c>
      <c r="B13680" t="str">
        <f t="shared" si="4949"/>
        <v>BIANCA</v>
      </c>
      <c r="C13680" t="str">
        <f t="shared" si="4950"/>
        <v>PIRES</v>
      </c>
      <c r="D13680">
        <f>11</f>
        <v>11</v>
      </c>
      <c r="E13680" t="str">
        <f>"01 - A - 101 - Chrystina M Marchionne"</f>
        <v>01 - A - 101 - Chrystina M Marchionne</v>
      </c>
      <c r="F13680" t="str">
        <f>"AICE MEDIA STUDIES A"</f>
        <v>AICE MEDIA STUDIES A</v>
      </c>
      <c r="G13680" t="str">
        <f>"05-520"</f>
        <v>05-520</v>
      </c>
      <c r="H13680" t="str">
        <f>"A"</f>
        <v>A</v>
      </c>
    </row>
    <row r="13681" spans="1:8" x14ac:dyDescent="0.2">
      <c r="A13681" t="str">
        <f t="shared" si="4948"/>
        <v>0615082817</v>
      </c>
      <c r="B13681" t="str">
        <f t="shared" si="4949"/>
        <v>BIANCA</v>
      </c>
      <c r="C13681" t="str">
        <f t="shared" si="4950"/>
        <v>PIRES</v>
      </c>
      <c r="D13681">
        <f>11</f>
        <v>11</v>
      </c>
      <c r="E13681" t="str">
        <f>"08 - B - 201 - Stacey A Blecker"</f>
        <v>08 - B - 201 - Stacey A Blecker</v>
      </c>
      <c r="F13681" t="str">
        <f>"AICE SOCIOLOGY 1 AS"</f>
        <v>AICE SOCIOLOGY 1 AS</v>
      </c>
      <c r="G13681" t="str">
        <f>"09-926"</f>
        <v>09-926</v>
      </c>
      <c r="H13681" t="str">
        <f>"B"</f>
        <v>B</v>
      </c>
    </row>
    <row r="13682" spans="1:8" x14ac:dyDescent="0.2">
      <c r="A13682" t="str">
        <f t="shared" ref="A13682:A13689" si="4951">"0616109998"</f>
        <v>0616109998</v>
      </c>
      <c r="B13682" t="str">
        <f t="shared" ref="B13682:B13689" si="4952">"SHEYANNE"</f>
        <v>SHEYANNE</v>
      </c>
      <c r="C13682" t="str">
        <f t="shared" ref="C13682:C13689" si="4953">"PITTER"</f>
        <v>PITTER</v>
      </c>
      <c r="D13682" t="str">
        <f t="shared" ref="D13682:D13689" si="4954">"09"</f>
        <v>09</v>
      </c>
      <c r="E13682" t="str">
        <f>"04 - A - 102 - Josiah I Lacy"</f>
        <v>04 - A - 102 - Josiah I Lacy</v>
      </c>
      <c r="F13682" t="str">
        <f>"PRE-AICE BIO IG"</f>
        <v>PRE-AICE BIO IG</v>
      </c>
      <c r="G13682" t="str">
        <f>"08-801"</f>
        <v>08-801</v>
      </c>
      <c r="H13682" t="str">
        <f>"A"</f>
        <v>A</v>
      </c>
    </row>
    <row r="13683" spans="1:8" x14ac:dyDescent="0.2">
      <c r="A13683" t="str">
        <f t="shared" si="4951"/>
        <v>0616109998</v>
      </c>
      <c r="B13683" t="str">
        <f t="shared" si="4952"/>
        <v>SHEYANNE</v>
      </c>
      <c r="C13683" t="str">
        <f t="shared" si="4953"/>
        <v>PITTER</v>
      </c>
      <c r="D13683" t="str">
        <f t="shared" si="4954"/>
        <v>09</v>
      </c>
      <c r="E13683" t="str">
        <f>"06 - S1 - B - 102 - Daniel S Katz"</f>
        <v>06 - S1 - B - 102 - Daniel S Katz</v>
      </c>
      <c r="F13683" t="str">
        <f>"COURT PROCED"</f>
        <v>COURT PROCED</v>
      </c>
      <c r="G13683" t="str">
        <f>"21-2156"</f>
        <v>21-2156</v>
      </c>
      <c r="H13683" t="str">
        <f>"B"</f>
        <v>B</v>
      </c>
    </row>
    <row r="13684" spans="1:8" x14ac:dyDescent="0.2">
      <c r="A13684" t="str">
        <f t="shared" si="4951"/>
        <v>0616109998</v>
      </c>
      <c r="B13684" t="str">
        <f t="shared" si="4952"/>
        <v>SHEYANNE</v>
      </c>
      <c r="C13684" t="str">
        <f t="shared" si="4953"/>
        <v>PITTER</v>
      </c>
      <c r="D13684" t="str">
        <f t="shared" si="4954"/>
        <v>09</v>
      </c>
      <c r="E13684" t="str">
        <f>"03 - A - 101 - Helen A Flores"</f>
        <v>03 - A - 101 - Helen A Flores</v>
      </c>
      <c r="F13684" t="str">
        <f>"PRE-AICE MATH 1 IG"</f>
        <v>PRE-AICE MATH 1 IG</v>
      </c>
      <c r="G13684" t="str">
        <f>"21-2101"</f>
        <v>21-2101</v>
      </c>
      <c r="H13684" t="str">
        <f>"A"</f>
        <v>A</v>
      </c>
    </row>
    <row r="13685" spans="1:8" x14ac:dyDescent="0.2">
      <c r="A13685" t="str">
        <f t="shared" si="4951"/>
        <v>0616109998</v>
      </c>
      <c r="B13685" t="str">
        <f t="shared" si="4952"/>
        <v>SHEYANNE</v>
      </c>
      <c r="C13685" t="str">
        <f t="shared" si="4953"/>
        <v>PITTER</v>
      </c>
      <c r="D13685" t="str">
        <f t="shared" si="4954"/>
        <v>09</v>
      </c>
      <c r="E13685" t="str">
        <f>"02 - A - 102 - Samantha J Headley"</f>
        <v>02 - A - 102 - Samantha J Headley</v>
      </c>
      <c r="F13685" t="str">
        <f>"NC STUDY HALL 1"</f>
        <v>NC STUDY HALL 1</v>
      </c>
      <c r="G13685" t="str">
        <f>"21-2134"</f>
        <v>21-2134</v>
      </c>
      <c r="H13685" t="str">
        <f>"A"</f>
        <v>A</v>
      </c>
    </row>
    <row r="13686" spans="1:8" x14ac:dyDescent="0.2">
      <c r="A13686" t="str">
        <f t="shared" si="4951"/>
        <v>0616109998</v>
      </c>
      <c r="B13686" t="str">
        <f t="shared" si="4952"/>
        <v>SHEYANNE</v>
      </c>
      <c r="C13686" t="str">
        <f t="shared" si="4953"/>
        <v>PITTER</v>
      </c>
      <c r="D13686" t="str">
        <f t="shared" si="4954"/>
        <v>09</v>
      </c>
      <c r="E13686" t="str">
        <f>"07 - B - 001 - Cheryl Anne  Berman-Schechter"</f>
        <v>07 - B - 001 - Cheryl Anne  Berman-Schechter</v>
      </c>
      <c r="F13686" t="str">
        <f>"AICE ENG GEN PAPER 1"</f>
        <v>AICE ENG GEN PAPER 1</v>
      </c>
      <c r="G13686" t="str">
        <f>"17-1722"</f>
        <v>17-1722</v>
      </c>
      <c r="H13686" t="str">
        <f>"B"</f>
        <v>B</v>
      </c>
    </row>
    <row r="13687" spans="1:8" x14ac:dyDescent="0.2">
      <c r="A13687" t="str">
        <f t="shared" si="4951"/>
        <v>0616109998</v>
      </c>
      <c r="B13687" t="str">
        <f t="shared" si="4952"/>
        <v>SHEYANNE</v>
      </c>
      <c r="C13687" t="str">
        <f t="shared" si="4953"/>
        <v>PITTER</v>
      </c>
      <c r="D13687" t="str">
        <f t="shared" si="4954"/>
        <v>09</v>
      </c>
      <c r="E13687" t="str">
        <f>"05 - B - 103 - Eva T Rimmer"</f>
        <v>05 - B - 103 - Eva T Rimmer</v>
      </c>
      <c r="F13687" t="str">
        <f>"CRIMINAL JUST OPS 1"</f>
        <v>CRIMINAL JUST OPS 1</v>
      </c>
      <c r="G13687" t="str">
        <f>"05-523"</f>
        <v>05-523</v>
      </c>
      <c r="H13687" t="str">
        <f>"B"</f>
        <v>B</v>
      </c>
    </row>
    <row r="13688" spans="1:8" x14ac:dyDescent="0.2">
      <c r="A13688" t="str">
        <f t="shared" si="4951"/>
        <v>0616109998</v>
      </c>
      <c r="B13688" t="str">
        <f t="shared" si="4952"/>
        <v>SHEYANNE</v>
      </c>
      <c r="C13688" t="str">
        <f t="shared" si="4953"/>
        <v>PITTER</v>
      </c>
      <c r="D13688" t="str">
        <f t="shared" si="4954"/>
        <v>09</v>
      </c>
      <c r="E13688" t="str">
        <f>"01 - A - 101 - Nikiel  Nesbeth"</f>
        <v>01 - A - 101 - Nikiel  Nesbeth</v>
      </c>
      <c r="F13688" t="str">
        <f>"CONST LAW HON"</f>
        <v>CONST LAW HON</v>
      </c>
      <c r="G13688" t="str">
        <f>"17-1705"</f>
        <v>17-1705</v>
      </c>
      <c r="H13688" t="str">
        <f>"A"</f>
        <v>A</v>
      </c>
    </row>
    <row r="13689" spans="1:8" x14ac:dyDescent="0.2">
      <c r="A13689" t="str">
        <f t="shared" si="4951"/>
        <v>0616109998</v>
      </c>
      <c r="B13689" t="str">
        <f t="shared" si="4952"/>
        <v>SHEYANNE</v>
      </c>
      <c r="C13689" t="str">
        <f t="shared" si="4953"/>
        <v>PITTER</v>
      </c>
      <c r="D13689" t="str">
        <f t="shared" si="4954"/>
        <v>09</v>
      </c>
      <c r="E13689" t="str">
        <f>"08 - B - 109 - Rory T Sponsler"</f>
        <v>08 - B - 109 - Rory T Sponsler</v>
      </c>
      <c r="F13689" t="str">
        <f>"PRE-AICE WRLD HST IG"</f>
        <v>PRE-AICE WRLD HST IG</v>
      </c>
      <c r="G13689" t="str">
        <f>"17-1740"</f>
        <v>17-1740</v>
      </c>
      <c r="H13689" t="str">
        <f>"B"</f>
        <v>B</v>
      </c>
    </row>
    <row r="13690" spans="1:8" x14ac:dyDescent="0.2">
      <c r="A13690" t="str">
        <f t="shared" ref="A13690:A13698" si="4955">"0622307665"</f>
        <v>0622307665</v>
      </c>
      <c r="B13690" t="str">
        <f t="shared" ref="B13690:B13698" si="4956">"ETHAN"</f>
        <v>ETHAN</v>
      </c>
      <c r="C13690" t="str">
        <f t="shared" ref="C13690:C13698" si="4957">"PITTER-DALEY"</f>
        <v>PITTER-DALEY</v>
      </c>
      <c r="D13690">
        <f>12</f>
        <v>12</v>
      </c>
      <c r="E13690" t="str">
        <f>"04 - A - 102 - Brandy N Zdenek"</f>
        <v>04 - A - 102 - Brandy N Zdenek</v>
      </c>
      <c r="F13690" t="str">
        <f>"AICE ENG LANG 2 AL"</f>
        <v>AICE ENG LANG 2 AL</v>
      </c>
      <c r="G13690" t="str">
        <f>"17-1704"</f>
        <v>17-1704</v>
      </c>
      <c r="H13690" t="str">
        <f>"A"</f>
        <v>A</v>
      </c>
    </row>
    <row r="13691" spans="1:8" x14ac:dyDescent="0.2">
      <c r="A13691" t="str">
        <f t="shared" si="4955"/>
        <v>0622307665</v>
      </c>
      <c r="B13691" t="str">
        <f t="shared" si="4956"/>
        <v>ETHAN</v>
      </c>
      <c r="C13691" t="str">
        <f t="shared" si="4957"/>
        <v>PITTER-DALEY</v>
      </c>
      <c r="D13691">
        <f>12</f>
        <v>12</v>
      </c>
      <c r="E13691" t="str">
        <f>"06 - B - 104 - Lissa C Frederique"</f>
        <v>06 - B - 104 - Lissa C Frederique</v>
      </c>
      <c r="F13691" t="str">
        <f>"NC STUDY HALL 1"</f>
        <v>NC STUDY HALL 1</v>
      </c>
      <c r="G13691" t="str">
        <f>"17-1754"</f>
        <v>17-1754</v>
      </c>
      <c r="H13691" t="str">
        <f>"B"</f>
        <v>B</v>
      </c>
    </row>
    <row r="13692" spans="1:8" x14ac:dyDescent="0.2">
      <c r="A13692" t="str">
        <f t="shared" si="4955"/>
        <v>0622307665</v>
      </c>
      <c r="B13692" t="str">
        <f t="shared" si="4956"/>
        <v>ETHAN</v>
      </c>
      <c r="C13692" t="str">
        <f t="shared" si="4957"/>
        <v>PITTER-DALEY</v>
      </c>
      <c r="D13692">
        <f>12</f>
        <v>12</v>
      </c>
      <c r="E13692" t="str">
        <f>"06 - B - 116 - Karen A Toomer"</f>
        <v>06 - B - 116 - Karen A Toomer</v>
      </c>
      <c r="F13692" t="str">
        <f>"LANG THERAPY"</f>
        <v>LANG THERAPY</v>
      </c>
      <c r="G13692" t="str">
        <f>"21-2110"</f>
        <v>21-2110</v>
      </c>
      <c r="H13692" t="str">
        <f>"B"</f>
        <v>B</v>
      </c>
    </row>
    <row r="13693" spans="1:8" x14ac:dyDescent="0.2">
      <c r="A13693" t="str">
        <f t="shared" si="4955"/>
        <v>0622307665</v>
      </c>
      <c r="B13693" t="str">
        <f t="shared" si="4956"/>
        <v>ETHAN</v>
      </c>
      <c r="C13693" t="str">
        <f t="shared" si="4957"/>
        <v>PITTER-DALEY</v>
      </c>
      <c r="D13693">
        <f>12</f>
        <v>12</v>
      </c>
      <c r="E13693" t="str">
        <f>"03 - A - 101 - Jazmin S Fletcher"</f>
        <v>03 - A - 101 - Jazmin S Fletcher</v>
      </c>
      <c r="F13693" t="str">
        <f>"TECH THEA DES&amp;PROD 1"</f>
        <v>TECH THEA DES&amp;PROD 1</v>
      </c>
      <c r="G13693" t="str">
        <f>"09-909"</f>
        <v>09-909</v>
      </c>
      <c r="H13693" t="str">
        <f>"A"</f>
        <v>A</v>
      </c>
    </row>
    <row r="13694" spans="1:8" x14ac:dyDescent="0.2">
      <c r="A13694" t="str">
        <f t="shared" si="4955"/>
        <v>0622307665</v>
      </c>
      <c r="B13694" t="str">
        <f t="shared" si="4956"/>
        <v>ETHAN</v>
      </c>
      <c r="C13694" t="str">
        <f t="shared" si="4957"/>
        <v>PITTER-DALEY</v>
      </c>
      <c r="D13694">
        <f>12</f>
        <v>12</v>
      </c>
      <c r="E13694" t="str">
        <f>"02 - A - 102 - Adam Marcus  Drucker"</f>
        <v>02 - A - 102 - Adam Marcus  Drucker</v>
      </c>
      <c r="F13694" t="str">
        <f>"HOPE-PE V"</f>
        <v>HOPE-PE V</v>
      </c>
      <c r="G13694" t="str">
        <f>"04-254"</f>
        <v>04-254</v>
      </c>
      <c r="H13694" t="str">
        <f>"A"</f>
        <v>A</v>
      </c>
    </row>
    <row r="13695" spans="1:8" x14ac:dyDescent="0.2">
      <c r="A13695" t="str">
        <f t="shared" si="4955"/>
        <v>0622307665</v>
      </c>
      <c r="B13695" t="str">
        <f t="shared" si="4956"/>
        <v>ETHAN</v>
      </c>
      <c r="C13695" t="str">
        <f t="shared" si="4957"/>
        <v>PITTER-DALEY</v>
      </c>
      <c r="D13695">
        <f>12</f>
        <v>12</v>
      </c>
      <c r="E13695" t="str">
        <f>"07 - B - 105 - Cliffon  Saurel"</f>
        <v>07 - B - 105 - Cliffon  Saurel</v>
      </c>
      <c r="F13695" t="str">
        <f>"PHYSICAL SCI"</f>
        <v>PHYSICAL SCI</v>
      </c>
      <c r="G13695" t="str">
        <f>"05-522"</f>
        <v>05-522</v>
      </c>
      <c r="H13695" t="str">
        <f>"B"</f>
        <v>B</v>
      </c>
    </row>
    <row r="13696" spans="1:8" x14ac:dyDescent="0.2">
      <c r="A13696" t="str">
        <f t="shared" si="4955"/>
        <v>0622307665</v>
      </c>
      <c r="B13696" t="str">
        <f t="shared" si="4956"/>
        <v>ETHAN</v>
      </c>
      <c r="C13696" t="str">
        <f t="shared" si="4957"/>
        <v>PITTER-DALEY</v>
      </c>
      <c r="D13696">
        <f>12</f>
        <v>12</v>
      </c>
      <c r="E13696" t="str">
        <f>"05 - S1 - B - 102 - Barbara L Segal"</f>
        <v>05 - S1 - B - 102 - Barbara L Segal</v>
      </c>
      <c r="F13696" t="str">
        <f>"US GOVT HON"</f>
        <v>US GOVT HON</v>
      </c>
      <c r="G13696" t="str">
        <f>"17-1742"</f>
        <v>17-1742</v>
      </c>
      <c r="H13696" t="str">
        <f>"B"</f>
        <v>B</v>
      </c>
    </row>
    <row r="13697" spans="1:8" x14ac:dyDescent="0.2">
      <c r="A13697" t="str">
        <f t="shared" si="4955"/>
        <v>0622307665</v>
      </c>
      <c r="B13697" t="str">
        <f t="shared" si="4956"/>
        <v>ETHAN</v>
      </c>
      <c r="C13697" t="str">
        <f t="shared" si="4957"/>
        <v>PITTER-DALEY</v>
      </c>
      <c r="D13697">
        <f>12</f>
        <v>12</v>
      </c>
      <c r="E13697" t="str">
        <f>"01 - A - 102 - Robert H Rindner"</f>
        <v>01 - A - 102 - Robert H Rindner</v>
      </c>
      <c r="F13697" t="str">
        <f>"MATH DATA&amp;FIN LIT H"</f>
        <v>MATH DATA&amp;FIN LIT H</v>
      </c>
      <c r="G13697" t="str">
        <f>"21-2160"</f>
        <v>21-2160</v>
      </c>
      <c r="H13697" t="str">
        <f>"A"</f>
        <v>A</v>
      </c>
    </row>
    <row r="13698" spans="1:8" x14ac:dyDescent="0.2">
      <c r="A13698" t="str">
        <f t="shared" si="4955"/>
        <v>0622307665</v>
      </c>
      <c r="B13698" t="str">
        <f t="shared" si="4956"/>
        <v>ETHAN</v>
      </c>
      <c r="C13698" t="str">
        <f t="shared" si="4957"/>
        <v>PITTER-DALEY</v>
      </c>
      <c r="D13698">
        <f>12</f>
        <v>12</v>
      </c>
      <c r="E13698" t="str">
        <f>"08 - B - 105 - Daniel S Katz"</f>
        <v>08 - B - 105 - Daniel S Katz</v>
      </c>
      <c r="F13698" t="str">
        <f>"AICE MEDIA STUDIES A"</f>
        <v>AICE MEDIA STUDIES A</v>
      </c>
      <c r="G13698" t="str">
        <f>"05-521"</f>
        <v>05-521</v>
      </c>
      <c r="H13698" t="str">
        <f>"B"</f>
        <v>B</v>
      </c>
    </row>
    <row r="13699" spans="1:8" x14ac:dyDescent="0.2">
      <c r="A13699" t="str">
        <f t="shared" ref="A13699:A13706" si="4958">"0615079103"</f>
        <v>0615079103</v>
      </c>
      <c r="B13699" t="str">
        <f t="shared" ref="B13699:B13706" si="4959">"SHAMIRA"</f>
        <v>SHAMIRA</v>
      </c>
      <c r="C13699" t="str">
        <f t="shared" ref="C13699:C13706" si="4960">"PITTMAN"</f>
        <v>PITTMAN</v>
      </c>
      <c r="D13699" t="str">
        <f t="shared" ref="D13699:D13706" si="4961">"09"</f>
        <v>09</v>
      </c>
      <c r="E13699" t="str">
        <f>"04 - A - 107 - Amy Beth  Broyles"</f>
        <v>04 - A - 107 - Amy Beth  Broyles</v>
      </c>
      <c r="F13699" t="str">
        <f>"ENV SCI"</f>
        <v>ENV SCI</v>
      </c>
      <c r="G13699" t="str">
        <f>"08-802"</f>
        <v>08-802</v>
      </c>
      <c r="H13699" t="str">
        <f>"A"</f>
        <v>A</v>
      </c>
    </row>
    <row r="13700" spans="1:8" x14ac:dyDescent="0.2">
      <c r="A13700" t="str">
        <f t="shared" si="4958"/>
        <v>0615079103</v>
      </c>
      <c r="B13700" t="str">
        <f t="shared" si="4959"/>
        <v>SHAMIRA</v>
      </c>
      <c r="C13700" t="str">
        <f t="shared" si="4960"/>
        <v>PITTMAN</v>
      </c>
      <c r="D13700" t="str">
        <f t="shared" si="4961"/>
        <v>09</v>
      </c>
      <c r="E13700" t="str">
        <f>"06 - S1 - B - 104 - Leslie J Barton"</f>
        <v>06 - S1 - B - 104 - Leslie J Barton</v>
      </c>
      <c r="F13700" t="str">
        <f>"FIRST AID SAFETY"</f>
        <v>FIRST AID SAFETY</v>
      </c>
      <c r="G13700" t="str">
        <f>"05-521"</f>
        <v>05-521</v>
      </c>
      <c r="H13700" t="str">
        <f>"B"</f>
        <v>B</v>
      </c>
    </row>
    <row r="13701" spans="1:8" x14ac:dyDescent="0.2">
      <c r="A13701" t="str">
        <f t="shared" si="4958"/>
        <v>0615079103</v>
      </c>
      <c r="B13701" t="str">
        <f t="shared" si="4959"/>
        <v>SHAMIRA</v>
      </c>
      <c r="C13701" t="str">
        <f t="shared" si="4960"/>
        <v>PITTMAN</v>
      </c>
      <c r="D13701" t="str">
        <f t="shared" si="4961"/>
        <v>09</v>
      </c>
      <c r="E13701" t="str">
        <f>"03 - A - 105 - Elizabeth Ellen  Moran"</f>
        <v>03 - A - 105 - Elizabeth Ellen  Moran</v>
      </c>
      <c r="F13701" t="str">
        <f>"WORLD HISTORY"</f>
        <v>WORLD HISTORY</v>
      </c>
      <c r="G13701" t="str">
        <f>"17-1752"</f>
        <v>17-1752</v>
      </c>
      <c r="H13701" t="str">
        <f>"A"</f>
        <v>A</v>
      </c>
    </row>
    <row r="13702" spans="1:8" x14ac:dyDescent="0.2">
      <c r="A13702" t="str">
        <f t="shared" si="4958"/>
        <v>0615079103</v>
      </c>
      <c r="B13702" t="str">
        <f t="shared" si="4959"/>
        <v>SHAMIRA</v>
      </c>
      <c r="C13702" t="str">
        <f t="shared" si="4960"/>
        <v>PITTMAN</v>
      </c>
      <c r="D13702" t="str">
        <f t="shared" si="4961"/>
        <v>09</v>
      </c>
      <c r="E13702" t="str">
        <f>"02 - A - 103 - Arthur  Kulawik"</f>
        <v>02 - A - 103 - Arthur  Kulawik</v>
      </c>
      <c r="F13702" t="str">
        <f>"NC STUDY HALL 1"</f>
        <v>NC STUDY HALL 1</v>
      </c>
      <c r="G13702" t="str">
        <f>"05-506"</f>
        <v>05-506</v>
      </c>
      <c r="H13702" t="str">
        <f>"A"</f>
        <v>A</v>
      </c>
    </row>
    <row r="13703" spans="1:8" x14ac:dyDescent="0.2">
      <c r="A13703" t="str">
        <f t="shared" si="4958"/>
        <v>0615079103</v>
      </c>
      <c r="B13703" t="str">
        <f t="shared" si="4959"/>
        <v>SHAMIRA</v>
      </c>
      <c r="C13703" t="str">
        <f t="shared" si="4960"/>
        <v>PITTMAN</v>
      </c>
      <c r="D13703" t="str">
        <f t="shared" si="4961"/>
        <v>09</v>
      </c>
      <c r="E13703" t="str">
        <f>"07 - B - 105 - Laselleda D Shaw"</f>
        <v>07 - B - 105 - Laselleda D Shaw</v>
      </c>
      <c r="F13703" t="str">
        <f>"INTENS READ 1"</f>
        <v>INTENS READ 1</v>
      </c>
      <c r="G13703" t="str">
        <f>"17-1723"</f>
        <v>17-1723</v>
      </c>
      <c r="H13703" t="str">
        <f>"B"</f>
        <v>B</v>
      </c>
    </row>
    <row r="13704" spans="1:8" x14ac:dyDescent="0.2">
      <c r="A13704" t="str">
        <f t="shared" si="4958"/>
        <v>0615079103</v>
      </c>
      <c r="B13704" t="str">
        <f t="shared" si="4959"/>
        <v>SHAMIRA</v>
      </c>
      <c r="C13704" t="str">
        <f t="shared" si="4960"/>
        <v>PITTMAN</v>
      </c>
      <c r="D13704" t="str">
        <f t="shared" si="4961"/>
        <v>09</v>
      </c>
      <c r="E13704" t="str">
        <f>"05 - B - 102 - Tina L Lovett"</f>
        <v>05 - B - 102 - Tina L Lovett</v>
      </c>
      <c r="F13704" t="str">
        <f>"PRE-AICE MATH 1 IG"</f>
        <v>PRE-AICE MATH 1 IG</v>
      </c>
      <c r="G13704" t="str">
        <f>"21-2153"</f>
        <v>21-2153</v>
      </c>
      <c r="H13704" t="str">
        <f>"B"</f>
        <v>B</v>
      </c>
    </row>
    <row r="13705" spans="1:8" x14ac:dyDescent="0.2">
      <c r="A13705" t="str">
        <f t="shared" si="4958"/>
        <v>0615079103</v>
      </c>
      <c r="B13705" t="str">
        <f t="shared" si="4959"/>
        <v>SHAMIRA</v>
      </c>
      <c r="C13705" t="str">
        <f t="shared" si="4960"/>
        <v>PITTMAN</v>
      </c>
      <c r="D13705" t="str">
        <f t="shared" si="4961"/>
        <v>09</v>
      </c>
      <c r="E13705" t="str">
        <f>"01 - A - 504 - Alejandro  Navarro"</f>
        <v>01 - A - 504 - Alejandro  Navarro</v>
      </c>
      <c r="F13705" t="str">
        <f>"BAND 1"</f>
        <v>BAND 1</v>
      </c>
      <c r="G13705" t="str">
        <f>"05-504"</f>
        <v>05-504</v>
      </c>
      <c r="H13705" t="str">
        <f>"A"</f>
        <v>A</v>
      </c>
    </row>
    <row r="13706" spans="1:8" x14ac:dyDescent="0.2">
      <c r="A13706" t="str">
        <f t="shared" si="4958"/>
        <v>0615079103</v>
      </c>
      <c r="B13706" t="str">
        <f t="shared" si="4959"/>
        <v>SHAMIRA</v>
      </c>
      <c r="C13706" t="str">
        <f t="shared" si="4960"/>
        <v>PITTMAN</v>
      </c>
      <c r="D13706" t="str">
        <f t="shared" si="4961"/>
        <v>09</v>
      </c>
      <c r="E13706" t="str">
        <f>"08 - B - 108 - Cerine S Stewart"</f>
        <v>08 - B - 108 - Cerine S Stewart</v>
      </c>
      <c r="F13706" t="str">
        <f>"ENG 1"</f>
        <v>ENG 1</v>
      </c>
      <c r="G13706" t="str">
        <f>"17-1720"</f>
        <v>17-1720</v>
      </c>
      <c r="H13706" t="str">
        <f>"B"</f>
        <v>B</v>
      </c>
    </row>
    <row r="13707" spans="1:8" x14ac:dyDescent="0.2">
      <c r="A13707" t="str">
        <f t="shared" ref="A13707:A13714" si="4962">"0616072816"</f>
        <v>0616072816</v>
      </c>
      <c r="B13707" t="str">
        <f t="shared" ref="B13707:B13714" si="4963">"MIRICLE"</f>
        <v>MIRICLE</v>
      </c>
      <c r="C13707" t="str">
        <f t="shared" ref="C13707:C13714" si="4964">"PITTS"</f>
        <v>PITTS</v>
      </c>
      <c r="D13707">
        <f>10</f>
        <v>10</v>
      </c>
      <c r="E13707" t="str">
        <f>"04 - A - 205 - Lytrell T Dixon"</f>
        <v>04 - A - 205 - Lytrell T Dixon</v>
      </c>
      <c r="F13707" t="str">
        <f>"BIOLOGY 1"</f>
        <v>BIOLOGY 1</v>
      </c>
      <c r="G13707" t="str">
        <f>"08-808"</f>
        <v>08-808</v>
      </c>
      <c r="H13707" t="str">
        <f>"A"</f>
        <v>A</v>
      </c>
    </row>
    <row r="13708" spans="1:8" x14ac:dyDescent="0.2">
      <c r="A13708" t="str">
        <f t="shared" si="4962"/>
        <v>0616072816</v>
      </c>
      <c r="B13708" t="str">
        <f t="shared" si="4963"/>
        <v>MIRICLE</v>
      </c>
      <c r="C13708" t="str">
        <f t="shared" si="4964"/>
        <v>PITTS</v>
      </c>
      <c r="D13708">
        <f>10</f>
        <v>10</v>
      </c>
      <c r="E13708" t="str">
        <f>"06 - B - 119 - Nikiel  Nesbeth"</f>
        <v>06 - B - 119 - Nikiel  Nesbeth</v>
      </c>
      <c r="F13708" t="str">
        <f>"NC STUDY HALL 1"</f>
        <v>NC STUDY HALL 1</v>
      </c>
      <c r="G13708" t="str">
        <f>"17-1705"</f>
        <v>17-1705</v>
      </c>
      <c r="H13708" t="str">
        <f>"B"</f>
        <v>B</v>
      </c>
    </row>
    <row r="13709" spans="1:8" x14ac:dyDescent="0.2">
      <c r="A13709" t="str">
        <f t="shared" si="4962"/>
        <v>0616072816</v>
      </c>
      <c r="B13709" t="str">
        <f t="shared" si="4963"/>
        <v>MIRICLE</v>
      </c>
      <c r="C13709" t="str">
        <f t="shared" si="4964"/>
        <v>PITTS</v>
      </c>
      <c r="D13709">
        <f>10</f>
        <v>10</v>
      </c>
      <c r="E13709" t="str">
        <f>"03 - A - 101 - Eva T Rimmer"</f>
        <v>03 - A - 101 - Eva T Rimmer</v>
      </c>
      <c r="F13709" t="str">
        <f>"CRIMINAL JUST OPS 1"</f>
        <v>CRIMINAL JUST OPS 1</v>
      </c>
      <c r="G13709" t="str">
        <f>"05-523"</f>
        <v>05-523</v>
      </c>
      <c r="H13709" t="str">
        <f>"A"</f>
        <v>A</v>
      </c>
    </row>
    <row r="13710" spans="1:8" x14ac:dyDescent="0.2">
      <c r="A13710" t="str">
        <f t="shared" si="4962"/>
        <v>0616072816</v>
      </c>
      <c r="B13710" t="str">
        <f t="shared" si="4963"/>
        <v>MIRICLE</v>
      </c>
      <c r="C13710" t="str">
        <f t="shared" si="4964"/>
        <v>PITTS</v>
      </c>
      <c r="D13710">
        <f>10</f>
        <v>10</v>
      </c>
      <c r="E13710" t="str">
        <f>"02 - A - 102 - Nikiel  Nesbeth"</f>
        <v>02 - A - 102 - Nikiel  Nesbeth</v>
      </c>
      <c r="F13710" t="str">
        <f>"ENG 2"</f>
        <v>ENG 2</v>
      </c>
      <c r="G13710" t="str">
        <f>"17-1705"</f>
        <v>17-1705</v>
      </c>
      <c r="H13710" t="str">
        <f>"A"</f>
        <v>A</v>
      </c>
    </row>
    <row r="13711" spans="1:8" x14ac:dyDescent="0.2">
      <c r="A13711" t="str">
        <f t="shared" si="4962"/>
        <v>0616072816</v>
      </c>
      <c r="B13711" t="str">
        <f t="shared" si="4963"/>
        <v>MIRICLE</v>
      </c>
      <c r="C13711" t="str">
        <f t="shared" si="4964"/>
        <v>PITTS</v>
      </c>
      <c r="D13711">
        <f>10</f>
        <v>10</v>
      </c>
      <c r="E13711" t="str">
        <f>"07 - B - 107 - Marius D Orsolini"</f>
        <v>07 - B - 107 - Marius D Orsolini</v>
      </c>
      <c r="F13711" t="str">
        <f>"CULINARY ARTS 1"</f>
        <v>CULINARY ARTS 1</v>
      </c>
      <c r="G13711" t="str">
        <f>"21-2115"</f>
        <v>21-2115</v>
      </c>
      <c r="H13711" t="str">
        <f>"B"</f>
        <v>B</v>
      </c>
    </row>
    <row r="13712" spans="1:8" x14ac:dyDescent="0.2">
      <c r="A13712" t="str">
        <f t="shared" si="4962"/>
        <v>0616072816</v>
      </c>
      <c r="B13712" t="str">
        <f t="shared" si="4963"/>
        <v>MIRICLE</v>
      </c>
      <c r="C13712" t="str">
        <f t="shared" si="4964"/>
        <v>PITTS</v>
      </c>
      <c r="D13712">
        <f>10</f>
        <v>10</v>
      </c>
      <c r="E13712" t="str">
        <f>"05 - B - 105 - Taraneh C Abreu"</f>
        <v>05 - B - 105 - Taraneh C Abreu</v>
      </c>
      <c r="F13712" t="str">
        <f>"INTENS READ 2"</f>
        <v>INTENS READ 2</v>
      </c>
      <c r="G13712" t="str">
        <f>"17-1713"</f>
        <v>17-1713</v>
      </c>
      <c r="H13712" t="str">
        <f>"B"</f>
        <v>B</v>
      </c>
    </row>
    <row r="13713" spans="1:8" x14ac:dyDescent="0.2">
      <c r="A13713" t="str">
        <f t="shared" si="4962"/>
        <v>0616072816</v>
      </c>
      <c r="B13713" t="str">
        <f t="shared" si="4963"/>
        <v>MIRICLE</v>
      </c>
      <c r="C13713" t="str">
        <f t="shared" si="4964"/>
        <v>PITTS</v>
      </c>
      <c r="D13713">
        <f>10</f>
        <v>10</v>
      </c>
      <c r="E13713" t="str">
        <f>"01 - A - 102 - Fernando  Vega-Cid"</f>
        <v>01 - A - 102 - Fernando  Vega-Cid</v>
      </c>
      <c r="F13713" t="str">
        <f>"GEOMETRY"</f>
        <v>GEOMETRY</v>
      </c>
      <c r="G13713" t="str">
        <f>"21-2163"</f>
        <v>21-2163</v>
      </c>
      <c r="H13713" t="str">
        <f>"A"</f>
        <v>A</v>
      </c>
    </row>
    <row r="13714" spans="1:8" x14ac:dyDescent="0.2">
      <c r="A13714" t="str">
        <f t="shared" si="4962"/>
        <v>0616072816</v>
      </c>
      <c r="B13714" t="str">
        <f t="shared" si="4963"/>
        <v>MIRICLE</v>
      </c>
      <c r="C13714" t="str">
        <f t="shared" si="4964"/>
        <v>PITTS</v>
      </c>
      <c r="D13714">
        <f>10</f>
        <v>10</v>
      </c>
      <c r="E13714" t="str">
        <f>"08 - S1 - B - 105 - James H Mccann"</f>
        <v>08 - S1 - B - 105 - James H Mccann</v>
      </c>
      <c r="F13714" t="str">
        <f>"PERS FIN &amp; MON MGT H"</f>
        <v>PERS FIN &amp; MON MGT H</v>
      </c>
      <c r="G13714" t="str">
        <f>"17-1716"</f>
        <v>17-1716</v>
      </c>
      <c r="H13714" t="str">
        <f>"B"</f>
        <v>B</v>
      </c>
    </row>
    <row r="13715" spans="1:8" x14ac:dyDescent="0.2">
      <c r="A13715" t="str">
        <f t="shared" ref="A13715:A13722" si="4965">"0615082724"</f>
        <v>0615082724</v>
      </c>
      <c r="B13715" t="str">
        <f t="shared" ref="B13715:B13722" si="4966">"FABIOLA"</f>
        <v>FABIOLA</v>
      </c>
      <c r="C13715" t="str">
        <f t="shared" ref="C13715:C13730" si="4967">"PLANCHER"</f>
        <v>PLANCHER</v>
      </c>
      <c r="D13715">
        <f>12</f>
        <v>12</v>
      </c>
      <c r="E13715" t="str">
        <f>"04 - S1 - A - 105 - Robert O Burger"</f>
        <v>04 - S1 - A - 105 - Robert O Burger</v>
      </c>
      <c r="F13715" t="str">
        <f>"US GOVT"</f>
        <v>US GOVT</v>
      </c>
      <c r="G13715" t="str">
        <f>"17-1755"</f>
        <v>17-1755</v>
      </c>
      <c r="H13715" t="str">
        <f>"A"</f>
        <v>A</v>
      </c>
    </row>
    <row r="13716" spans="1:8" x14ac:dyDescent="0.2">
      <c r="A13716" t="str">
        <f t="shared" si="4965"/>
        <v>0615082724</v>
      </c>
      <c r="B13716" t="str">
        <f t="shared" si="4966"/>
        <v>FABIOLA</v>
      </c>
      <c r="C13716" t="str">
        <f t="shared" si="4967"/>
        <v>PLANCHER</v>
      </c>
      <c r="D13716">
        <f>12</f>
        <v>12</v>
      </c>
      <c r="E13716" t="str">
        <f>"06 - B - 112 - Lisa  Quinn"</f>
        <v>06 - B - 112 - Lisa  Quinn</v>
      </c>
      <c r="F13716" t="str">
        <f>"NC STUDY HALL 1"</f>
        <v>NC STUDY HALL 1</v>
      </c>
      <c r="G13716" t="str">
        <f>"17-1725"</f>
        <v>17-1725</v>
      </c>
      <c r="H13716" t="str">
        <f>"B"</f>
        <v>B</v>
      </c>
    </row>
    <row r="13717" spans="1:8" x14ac:dyDescent="0.2">
      <c r="A13717" t="str">
        <f t="shared" si="4965"/>
        <v>0615082724</v>
      </c>
      <c r="B13717" t="str">
        <f t="shared" si="4966"/>
        <v>FABIOLA</v>
      </c>
      <c r="C13717" t="str">
        <f t="shared" si="4967"/>
        <v>PLANCHER</v>
      </c>
      <c r="D13717">
        <f>12</f>
        <v>12</v>
      </c>
      <c r="E13717" t="str">
        <f>"03 - A - 102 - Thomas G Handwerg"</f>
        <v>03 - A - 102 - Thomas G Handwerg</v>
      </c>
      <c r="F13717" t="str">
        <f>"MATH COLL ALGEBRA"</f>
        <v>MATH COLL ALGEBRA</v>
      </c>
      <c r="G13717" t="str">
        <f>"21-2146"</f>
        <v>21-2146</v>
      </c>
      <c r="H13717" t="str">
        <f>"A"</f>
        <v>A</v>
      </c>
    </row>
    <row r="13718" spans="1:8" x14ac:dyDescent="0.2">
      <c r="A13718" t="str">
        <f t="shared" si="4965"/>
        <v>0615082724</v>
      </c>
      <c r="B13718" t="str">
        <f t="shared" si="4966"/>
        <v>FABIOLA</v>
      </c>
      <c r="C13718" t="str">
        <f t="shared" si="4967"/>
        <v>PLANCHER</v>
      </c>
      <c r="D13718">
        <f>12</f>
        <v>12</v>
      </c>
      <c r="E13718" t="str">
        <f>"02 - S1 - A - 101 - James H Mccann"</f>
        <v>02 - S1 - A - 101 - James H Mccann</v>
      </c>
      <c r="F13718" t="str">
        <f>"PERS FIN &amp; MON MGT H"</f>
        <v>PERS FIN &amp; MON MGT H</v>
      </c>
      <c r="G13718" t="str">
        <f>"17-1716"</f>
        <v>17-1716</v>
      </c>
      <c r="H13718" t="str">
        <f>"A"</f>
        <v>A</v>
      </c>
    </row>
    <row r="13719" spans="1:8" x14ac:dyDescent="0.2">
      <c r="A13719" t="str">
        <f t="shared" si="4965"/>
        <v>0615082724</v>
      </c>
      <c r="B13719" t="str">
        <f t="shared" si="4966"/>
        <v>FABIOLA</v>
      </c>
      <c r="C13719" t="str">
        <f t="shared" si="4967"/>
        <v>PLANCHER</v>
      </c>
      <c r="D13719">
        <f>12</f>
        <v>12</v>
      </c>
      <c r="E13719" t="str">
        <f>"07 - B - 104 - Robyn L Trainer"</f>
        <v>07 - B - 104 - Robyn L Trainer</v>
      </c>
      <c r="F13719" t="str">
        <f>"ENG 4"</f>
        <v>ENG 4</v>
      </c>
      <c r="G13719" t="str">
        <f>"17-1734"</f>
        <v>17-1734</v>
      </c>
      <c r="H13719" t="str">
        <f>"B"</f>
        <v>B</v>
      </c>
    </row>
    <row r="13720" spans="1:8" x14ac:dyDescent="0.2">
      <c r="A13720" t="str">
        <f t="shared" si="4965"/>
        <v>0615082724</v>
      </c>
      <c r="B13720" t="str">
        <f t="shared" si="4966"/>
        <v>FABIOLA</v>
      </c>
      <c r="C13720" t="str">
        <f t="shared" si="4967"/>
        <v>PLANCHER</v>
      </c>
      <c r="D13720">
        <f>12</f>
        <v>12</v>
      </c>
      <c r="E13720" t="str">
        <f>"05 - B - 102 - Vanessa J Pena"</f>
        <v>05 - B - 102 - Vanessa J Pena</v>
      </c>
      <c r="F13720" t="str">
        <f>"DEV LANG ARTS ESOL-R"</f>
        <v>DEV LANG ARTS ESOL-R</v>
      </c>
      <c r="G13720" t="str">
        <f>"09-926"</f>
        <v>09-926</v>
      </c>
      <c r="H13720" t="str">
        <f>"B"</f>
        <v>B</v>
      </c>
    </row>
    <row r="13721" spans="1:8" x14ac:dyDescent="0.2">
      <c r="A13721" t="str">
        <f t="shared" si="4965"/>
        <v>0615082724</v>
      </c>
      <c r="B13721" t="str">
        <f t="shared" si="4966"/>
        <v>FABIOLA</v>
      </c>
      <c r="C13721" t="str">
        <f t="shared" si="4967"/>
        <v>PLANCHER</v>
      </c>
      <c r="D13721">
        <f>12</f>
        <v>12</v>
      </c>
      <c r="E13721" t="str">
        <f>"01 - A - 101 - Cliffon  Saurel"</f>
        <v>01 - A - 101 - Cliffon  Saurel</v>
      </c>
      <c r="F13721" t="str">
        <f>"PHYSICAL SCI"</f>
        <v>PHYSICAL SCI</v>
      </c>
      <c r="G13721" t="str">
        <f>"05-522"</f>
        <v>05-522</v>
      </c>
      <c r="H13721" t="str">
        <f>"A"</f>
        <v>A</v>
      </c>
    </row>
    <row r="13722" spans="1:8" x14ac:dyDescent="0.2">
      <c r="A13722" t="str">
        <f t="shared" si="4965"/>
        <v>0615082724</v>
      </c>
      <c r="B13722" t="str">
        <f t="shared" si="4966"/>
        <v>FABIOLA</v>
      </c>
      <c r="C13722" t="str">
        <f t="shared" si="4967"/>
        <v>PLANCHER</v>
      </c>
      <c r="D13722">
        <f>12</f>
        <v>12</v>
      </c>
      <c r="E13722" t="str">
        <f>"08 - B - 201 - Vanessa J Liburd"</f>
        <v>08 - B - 201 - Vanessa J Liburd</v>
      </c>
      <c r="F13722" t="str">
        <f>"FRENCH 3 HON"</f>
        <v>FRENCH 3 HON</v>
      </c>
      <c r="G13722" t="str">
        <f>"05-519"</f>
        <v>05-519</v>
      </c>
      <c r="H13722" t="str">
        <f>"B"</f>
        <v>B</v>
      </c>
    </row>
    <row r="13723" spans="1:8" x14ac:dyDescent="0.2">
      <c r="A13723" t="str">
        <f t="shared" ref="A13723:A13730" si="4968">"0615082730"</f>
        <v>0615082730</v>
      </c>
      <c r="B13723" t="str">
        <f t="shared" ref="B13723:B13730" si="4969">"FADLINE"</f>
        <v>FADLINE</v>
      </c>
      <c r="C13723" t="str">
        <f t="shared" si="4967"/>
        <v>PLANCHER</v>
      </c>
      <c r="D13723">
        <f>12</f>
        <v>12</v>
      </c>
      <c r="E13723" t="str">
        <f>"04 - A - 104 - Robert H Rindner"</f>
        <v>04 - A - 104 - Robert H Rindner</v>
      </c>
      <c r="F13723" t="str">
        <f>"MATH DATA&amp;FIN LIT H"</f>
        <v>MATH DATA&amp;FIN LIT H</v>
      </c>
      <c r="G13723" t="str">
        <f>"21-2160"</f>
        <v>21-2160</v>
      </c>
      <c r="H13723" t="str">
        <f>"A"</f>
        <v>A</v>
      </c>
    </row>
    <row r="13724" spans="1:8" x14ac:dyDescent="0.2">
      <c r="A13724" t="str">
        <f t="shared" si="4968"/>
        <v>0615082730</v>
      </c>
      <c r="B13724" t="str">
        <f t="shared" si="4969"/>
        <v>FADLINE</v>
      </c>
      <c r="C13724" t="str">
        <f t="shared" si="4967"/>
        <v>PLANCHER</v>
      </c>
      <c r="D13724">
        <f>12</f>
        <v>12</v>
      </c>
      <c r="E13724" t="str">
        <f>"06 - B - 111 - James H Mccann"</f>
        <v>06 - B - 111 - James H Mccann</v>
      </c>
      <c r="F13724" t="str">
        <f>"NC STUDY HALL 1"</f>
        <v>NC STUDY HALL 1</v>
      </c>
      <c r="G13724" t="str">
        <f>"17-1716"</f>
        <v>17-1716</v>
      </c>
      <c r="H13724" t="str">
        <f>"B"</f>
        <v>B</v>
      </c>
    </row>
    <row r="13725" spans="1:8" x14ac:dyDescent="0.2">
      <c r="A13725" t="str">
        <f t="shared" si="4968"/>
        <v>0615082730</v>
      </c>
      <c r="B13725" t="str">
        <f t="shared" si="4969"/>
        <v>FADLINE</v>
      </c>
      <c r="C13725" t="str">
        <f t="shared" si="4967"/>
        <v>PLANCHER</v>
      </c>
      <c r="D13725">
        <f>12</f>
        <v>12</v>
      </c>
      <c r="E13725" t="str">
        <f>"03 - S1 - A - 002 - Barbara L Segal"</f>
        <v>03 - S1 - A - 002 - Barbara L Segal</v>
      </c>
      <c r="F13725" t="str">
        <f>"US GOVT"</f>
        <v>US GOVT</v>
      </c>
      <c r="G13725" t="str">
        <f>"17-1742"</f>
        <v>17-1742</v>
      </c>
      <c r="H13725" t="str">
        <f>"A"</f>
        <v>A</v>
      </c>
    </row>
    <row r="13726" spans="1:8" x14ac:dyDescent="0.2">
      <c r="A13726" t="str">
        <f t="shared" si="4968"/>
        <v>0615082730</v>
      </c>
      <c r="B13726" t="str">
        <f t="shared" si="4969"/>
        <v>FADLINE</v>
      </c>
      <c r="C13726" t="str">
        <f t="shared" si="4967"/>
        <v>PLANCHER</v>
      </c>
      <c r="D13726">
        <f>12</f>
        <v>12</v>
      </c>
      <c r="E13726" t="str">
        <f>"02 - A - 102 - Daniel S Tyson"</f>
        <v>02 - A - 102 - Daniel S Tyson</v>
      </c>
      <c r="F13726" t="str">
        <f>"JROTC NAVAL SCI 1"</f>
        <v>JROTC NAVAL SCI 1</v>
      </c>
      <c r="G13726" t="str">
        <f>"05-510"</f>
        <v>05-510</v>
      </c>
      <c r="H13726" t="str">
        <f>"A"</f>
        <v>A</v>
      </c>
    </row>
    <row r="13727" spans="1:8" x14ac:dyDescent="0.2">
      <c r="A13727" t="str">
        <f t="shared" si="4968"/>
        <v>0615082730</v>
      </c>
      <c r="B13727" t="str">
        <f t="shared" si="4969"/>
        <v>FADLINE</v>
      </c>
      <c r="C13727" t="str">
        <f t="shared" si="4967"/>
        <v>PLANCHER</v>
      </c>
      <c r="D13727">
        <f>12</f>
        <v>12</v>
      </c>
      <c r="E13727" t="str">
        <f>"07 - B - 104 - Robyn L Trainer"</f>
        <v>07 - B - 104 - Robyn L Trainer</v>
      </c>
      <c r="F13727" t="str">
        <f>"ENG 4"</f>
        <v>ENG 4</v>
      </c>
      <c r="G13727" t="str">
        <f>"17-1734"</f>
        <v>17-1734</v>
      </c>
      <c r="H13727" t="str">
        <f>"B"</f>
        <v>B</v>
      </c>
    </row>
    <row r="13728" spans="1:8" x14ac:dyDescent="0.2">
      <c r="A13728" t="str">
        <f t="shared" si="4968"/>
        <v>0615082730</v>
      </c>
      <c r="B13728" t="str">
        <f t="shared" si="4969"/>
        <v>FADLINE</v>
      </c>
      <c r="C13728" t="str">
        <f t="shared" si="4967"/>
        <v>PLANCHER</v>
      </c>
      <c r="D13728">
        <f>12</f>
        <v>12</v>
      </c>
      <c r="E13728" t="str">
        <f>"05 - S1 - B - 103 - Leslie J Barton"</f>
        <v>05 - S1 - B - 103 - Leslie J Barton</v>
      </c>
      <c r="F13728" t="str">
        <f>"FIRST AID SAFETY"</f>
        <v>FIRST AID SAFETY</v>
      </c>
      <c r="G13728" t="str">
        <f>"05-521"</f>
        <v>05-521</v>
      </c>
      <c r="H13728" t="str">
        <f>"B"</f>
        <v>B</v>
      </c>
    </row>
    <row r="13729" spans="1:8" x14ac:dyDescent="0.2">
      <c r="A13729" t="str">
        <f t="shared" si="4968"/>
        <v>0615082730</v>
      </c>
      <c r="B13729" t="str">
        <f t="shared" si="4969"/>
        <v>FADLINE</v>
      </c>
      <c r="C13729" t="str">
        <f t="shared" si="4967"/>
        <v>PLANCHER</v>
      </c>
      <c r="D13729">
        <f>12</f>
        <v>12</v>
      </c>
      <c r="E13729" t="str">
        <f>"01 - A - 101 - Vanessa J Pena"</f>
        <v>01 - A - 101 - Vanessa J Pena</v>
      </c>
      <c r="F13729" t="str">
        <f>"DEV LANG ARTS ESOL-R"</f>
        <v>DEV LANG ARTS ESOL-R</v>
      </c>
      <c r="G13729" t="str">
        <f>"09-926"</f>
        <v>09-926</v>
      </c>
      <c r="H13729" t="str">
        <f>"A"</f>
        <v>A</v>
      </c>
    </row>
    <row r="13730" spans="1:8" x14ac:dyDescent="0.2">
      <c r="A13730" t="str">
        <f t="shared" si="4968"/>
        <v>0615082730</v>
      </c>
      <c r="B13730" t="str">
        <f t="shared" si="4969"/>
        <v>FADLINE</v>
      </c>
      <c r="C13730" t="str">
        <f t="shared" si="4967"/>
        <v>PLANCHER</v>
      </c>
      <c r="D13730">
        <f>12</f>
        <v>12</v>
      </c>
      <c r="E13730" t="str">
        <f>"08 - S1 - B - 001 - Carol S Moore"</f>
        <v>08 - S1 - B - 001 - Carol S Moore</v>
      </c>
      <c r="F13730" t="str">
        <f>"PER CAR SCH DEV 1 LH"</f>
        <v>PER CAR SCH DEV 1 LH</v>
      </c>
      <c r="G13730" t="str">
        <f>"17-1733"</f>
        <v>17-1733</v>
      </c>
      <c r="H13730" t="str">
        <f>"B"</f>
        <v>B</v>
      </c>
    </row>
    <row r="13731" spans="1:8" x14ac:dyDescent="0.2">
      <c r="A13731" t="str">
        <f t="shared" ref="A13731:A13738" si="4970">"0614000622"</f>
        <v>0614000622</v>
      </c>
      <c r="B13731" t="str">
        <f t="shared" ref="B13731:B13738" si="4971">"ARACELY"</f>
        <v>ARACELY</v>
      </c>
      <c r="C13731" t="str">
        <f t="shared" ref="C13731:C13738" si="4972">"PLAZA RUBI"</f>
        <v>PLAZA RUBI</v>
      </c>
      <c r="D13731">
        <f>12</f>
        <v>12</v>
      </c>
      <c r="E13731" t="str">
        <f>"04 - S1 - A - 106 - Kelly N Panza"</f>
        <v>04 - S1 - A - 106 - Kelly N Panza</v>
      </c>
      <c r="F13731" t="str">
        <f>"US GOVT HON"</f>
        <v>US GOVT HON</v>
      </c>
      <c r="G13731" t="str">
        <f>"17-1753"</f>
        <v>17-1753</v>
      </c>
      <c r="H13731" t="str">
        <f>"A"</f>
        <v>A</v>
      </c>
    </row>
    <row r="13732" spans="1:8" x14ac:dyDescent="0.2">
      <c r="A13732" t="str">
        <f t="shared" si="4970"/>
        <v>0614000622</v>
      </c>
      <c r="B13732" t="str">
        <f t="shared" si="4971"/>
        <v>ARACELY</v>
      </c>
      <c r="C13732" t="str">
        <f t="shared" si="4972"/>
        <v>PLAZA RUBI</v>
      </c>
      <c r="D13732">
        <f>12</f>
        <v>12</v>
      </c>
      <c r="E13732" t="str">
        <f>"06 - B - 109 - Carol S Moore"</f>
        <v>06 - B - 109 - Carol S Moore</v>
      </c>
      <c r="F13732" t="str">
        <f>"NC STUDY HALL 1"</f>
        <v>NC STUDY HALL 1</v>
      </c>
      <c r="G13732" t="str">
        <f>"17-1733"</f>
        <v>17-1733</v>
      </c>
      <c r="H13732" t="str">
        <f>"B"</f>
        <v>B</v>
      </c>
    </row>
    <row r="13733" spans="1:8" x14ac:dyDescent="0.2">
      <c r="A13733" t="str">
        <f t="shared" si="4970"/>
        <v>0614000622</v>
      </c>
      <c r="B13733" t="str">
        <f t="shared" si="4971"/>
        <v>ARACELY</v>
      </c>
      <c r="C13733" t="str">
        <f t="shared" si="4972"/>
        <v>PLAZA RUBI</v>
      </c>
      <c r="D13733">
        <f>12</f>
        <v>12</v>
      </c>
      <c r="E13733" t="str">
        <f>"03 - A - 202 - Jeanne M Bermudez"</f>
        <v>03 - A - 202 - Jeanne M Bermudez</v>
      </c>
      <c r="F13733" t="str">
        <f>"PHYSICS 1 HON"</f>
        <v>PHYSICS 1 HON</v>
      </c>
      <c r="G13733" t="str">
        <f>"21-2141"</f>
        <v>21-2141</v>
      </c>
      <c r="H13733" t="str">
        <f>"A"</f>
        <v>A</v>
      </c>
    </row>
    <row r="13734" spans="1:8" x14ac:dyDescent="0.2">
      <c r="A13734" t="str">
        <f t="shared" si="4970"/>
        <v>0614000622</v>
      </c>
      <c r="B13734" t="str">
        <f t="shared" si="4971"/>
        <v>ARACELY</v>
      </c>
      <c r="C13734" t="str">
        <f t="shared" si="4972"/>
        <v>PLAZA RUBI</v>
      </c>
      <c r="D13734">
        <f>12</f>
        <v>12</v>
      </c>
      <c r="E13734" t="str">
        <f>"02 - S1 - A - 101 - Carol S Moore"</f>
        <v>02 - S1 - A - 101 - Carol S Moore</v>
      </c>
      <c r="F13734" t="str">
        <f>"PER CAR SCH DEV 1 LH"</f>
        <v>PER CAR SCH DEV 1 LH</v>
      </c>
      <c r="G13734" t="str">
        <f>"17-1733"</f>
        <v>17-1733</v>
      </c>
      <c r="H13734" t="str">
        <f>"A"</f>
        <v>A</v>
      </c>
    </row>
    <row r="13735" spans="1:8" x14ac:dyDescent="0.2">
      <c r="A13735" t="str">
        <f t="shared" si="4970"/>
        <v>0614000622</v>
      </c>
      <c r="B13735" t="str">
        <f t="shared" si="4971"/>
        <v>ARACELY</v>
      </c>
      <c r="C13735" t="str">
        <f t="shared" si="4972"/>
        <v>PLAZA RUBI</v>
      </c>
      <c r="D13735">
        <f>12</f>
        <v>12</v>
      </c>
      <c r="E13735" t="str">
        <f>"07 - B - 102 - Thomas G Handwerg"</f>
        <v>07 - B - 102 - Thomas G Handwerg</v>
      </c>
      <c r="F13735" t="str">
        <f>"PROB STAT W/APPS HON"</f>
        <v>PROB STAT W/APPS HON</v>
      </c>
      <c r="G13735" t="str">
        <f>"21-2146"</f>
        <v>21-2146</v>
      </c>
      <c r="H13735" t="str">
        <f>"B"</f>
        <v>B</v>
      </c>
    </row>
    <row r="13736" spans="1:8" x14ac:dyDescent="0.2">
      <c r="A13736" t="str">
        <f t="shared" si="4970"/>
        <v>0614000622</v>
      </c>
      <c r="B13736" t="str">
        <f t="shared" si="4971"/>
        <v>ARACELY</v>
      </c>
      <c r="C13736" t="str">
        <f t="shared" si="4972"/>
        <v>PLAZA RUBI</v>
      </c>
      <c r="D13736">
        <f>12</f>
        <v>12</v>
      </c>
      <c r="E13736" t="str">
        <f>"05 - B - 201 - Lisa J London"</f>
        <v>05 - B - 201 - Lisa J London</v>
      </c>
      <c r="F13736" t="str">
        <f>"COMPRE LAW HON"</f>
        <v>COMPRE LAW HON</v>
      </c>
      <c r="G13736" t="str">
        <f>"17-1714"</f>
        <v>17-1714</v>
      </c>
      <c r="H13736" t="str">
        <f>"B"</f>
        <v>B</v>
      </c>
    </row>
    <row r="13737" spans="1:8" x14ac:dyDescent="0.2">
      <c r="A13737" t="str">
        <f t="shared" si="4970"/>
        <v>0614000622</v>
      </c>
      <c r="B13737" t="str">
        <f t="shared" si="4971"/>
        <v>ARACELY</v>
      </c>
      <c r="C13737" t="str">
        <f t="shared" si="4972"/>
        <v>PLAZA RUBI</v>
      </c>
      <c r="D13737">
        <f>12</f>
        <v>12</v>
      </c>
      <c r="E13737" t="str">
        <f>"01 - A - 101 - Samantha L Martinez"</f>
        <v>01 - A - 101 - Samantha L Martinez</v>
      </c>
      <c r="F13737" t="str">
        <f>"MUSIC WORLD"</f>
        <v>MUSIC WORLD</v>
      </c>
      <c r="G13737" t="str">
        <f>"05-505"</f>
        <v>05-505</v>
      </c>
      <c r="H13737" t="str">
        <f>"A"</f>
        <v>A</v>
      </c>
    </row>
    <row r="13738" spans="1:8" x14ac:dyDescent="0.2">
      <c r="A13738" t="str">
        <f t="shared" si="4970"/>
        <v>0614000622</v>
      </c>
      <c r="B13738" t="str">
        <f t="shared" si="4971"/>
        <v>ARACELY</v>
      </c>
      <c r="C13738" t="str">
        <f t="shared" si="4972"/>
        <v>PLAZA RUBI</v>
      </c>
      <c r="D13738">
        <f>12</f>
        <v>12</v>
      </c>
      <c r="E13738" t="str">
        <f>"08 - B - 105 - Jeffrey S Gallagher"</f>
        <v>08 - B - 105 - Jeffrey S Gallagher</v>
      </c>
      <c r="F13738" t="str">
        <f>"ENG HON 4"</f>
        <v>ENG HON 4</v>
      </c>
      <c r="G13738" t="str">
        <f>"17-1724"</f>
        <v>17-1724</v>
      </c>
      <c r="H13738" t="str">
        <f>"B"</f>
        <v>B</v>
      </c>
    </row>
    <row r="13739" spans="1:8" x14ac:dyDescent="0.2">
      <c r="A13739" t="str">
        <f t="shared" ref="A13739:A13746" si="4973">"0616113274"</f>
        <v>0616113274</v>
      </c>
      <c r="B13739" t="str">
        <f t="shared" ref="B13739:B13746" si="4974">"PETRA"</f>
        <v>PETRA</v>
      </c>
      <c r="C13739" t="str">
        <f t="shared" ref="C13739:C13746" si="4975">"PLECENIK"</f>
        <v>PLECENIK</v>
      </c>
      <c r="D13739">
        <f>12</f>
        <v>12</v>
      </c>
      <c r="E13739" t="str">
        <f>"04 - A - 106 - Tina M Jaramillo"</f>
        <v>04 - A - 106 - Tina M Jaramillo</v>
      </c>
      <c r="F13739" t="str">
        <f>"AP ENG LIT COMPO"</f>
        <v>AP ENG LIT COMPO</v>
      </c>
      <c r="G13739" t="str">
        <f>"17-1706"</f>
        <v>17-1706</v>
      </c>
      <c r="H13739" t="str">
        <f>"A"</f>
        <v>A</v>
      </c>
    </row>
    <row r="13740" spans="1:8" x14ac:dyDescent="0.2">
      <c r="A13740" t="str">
        <f t="shared" si="4973"/>
        <v>0616113274</v>
      </c>
      <c r="B13740" t="str">
        <f t="shared" si="4974"/>
        <v>PETRA</v>
      </c>
      <c r="C13740" t="str">
        <f t="shared" si="4975"/>
        <v>PLECENIK</v>
      </c>
      <c r="D13740">
        <f>12</f>
        <v>12</v>
      </c>
      <c r="E13740" t="str">
        <f>"06 - B - 111 - James H Mccann"</f>
        <v>06 - B - 111 - James H Mccann</v>
      </c>
      <c r="F13740" t="str">
        <f>"NC STUDY HALL 1"</f>
        <v>NC STUDY HALL 1</v>
      </c>
      <c r="G13740" t="str">
        <f>"17-1716"</f>
        <v>17-1716</v>
      </c>
      <c r="H13740" t="str">
        <f>"B"</f>
        <v>B</v>
      </c>
    </row>
    <row r="13741" spans="1:8" x14ac:dyDescent="0.2">
      <c r="A13741" t="str">
        <f t="shared" si="4973"/>
        <v>0616113274</v>
      </c>
      <c r="B13741" t="str">
        <f t="shared" si="4974"/>
        <v>PETRA</v>
      </c>
      <c r="C13741" t="str">
        <f t="shared" si="4975"/>
        <v>PLECENIK</v>
      </c>
      <c r="D13741">
        <f>12</f>
        <v>12</v>
      </c>
      <c r="E13741" t="str">
        <f>"03 - A - 101 - Lisa J London"</f>
        <v>03 - A - 101 - Lisa J London</v>
      </c>
      <c r="F13741" t="str">
        <f>"AP CAPSTONE RESEARCH"</f>
        <v>AP CAPSTONE RESEARCH</v>
      </c>
      <c r="G13741" t="str">
        <f>"17-1714"</f>
        <v>17-1714</v>
      </c>
      <c r="H13741" t="str">
        <f>"A"</f>
        <v>A</v>
      </c>
    </row>
    <row r="13742" spans="1:8" x14ac:dyDescent="0.2">
      <c r="A13742" t="str">
        <f t="shared" si="4973"/>
        <v>0616113274</v>
      </c>
      <c r="B13742" t="str">
        <f t="shared" si="4974"/>
        <v>PETRA</v>
      </c>
      <c r="C13742" t="str">
        <f t="shared" si="4975"/>
        <v>PLECENIK</v>
      </c>
      <c r="D13742">
        <f>12</f>
        <v>12</v>
      </c>
      <c r="E13742" t="str">
        <f>"02 - A - 102 - Bruce A Evans"</f>
        <v>02 - A - 102 - Bruce A Evans</v>
      </c>
      <c r="F13742" t="str">
        <f>"EMERG MED RESP 3 HON"</f>
        <v>EMERG MED RESP 3 HON</v>
      </c>
      <c r="G13742" t="str">
        <f>"21-2142"</f>
        <v>21-2142</v>
      </c>
      <c r="H13742" t="str">
        <f>"A"</f>
        <v>A</v>
      </c>
    </row>
    <row r="13743" spans="1:8" x14ac:dyDescent="0.2">
      <c r="A13743" t="str">
        <f t="shared" si="4973"/>
        <v>0616113274</v>
      </c>
      <c r="B13743" t="str">
        <f t="shared" si="4974"/>
        <v>PETRA</v>
      </c>
      <c r="C13743" t="str">
        <f t="shared" si="4975"/>
        <v>PLECENIK</v>
      </c>
      <c r="D13743">
        <f>12</f>
        <v>12</v>
      </c>
      <c r="E13743" t="str">
        <f>"07 - S1 - B - 101 - Stephen T Ripp"</f>
        <v>07 - S1 - B - 101 - Stephen T Ripp</v>
      </c>
      <c r="F13743" t="str">
        <f>"AP US GOVT/POL"</f>
        <v>AP US GOVT/POL</v>
      </c>
      <c r="G13743" t="str">
        <f>"17-1744"</f>
        <v>17-1744</v>
      </c>
      <c r="H13743" t="str">
        <f>"B"</f>
        <v>B</v>
      </c>
    </row>
    <row r="13744" spans="1:8" x14ac:dyDescent="0.2">
      <c r="A13744" t="str">
        <f t="shared" si="4973"/>
        <v>0616113274</v>
      </c>
      <c r="B13744" t="str">
        <f t="shared" si="4974"/>
        <v>PETRA</v>
      </c>
      <c r="C13744" t="str">
        <f t="shared" si="4975"/>
        <v>PLECENIK</v>
      </c>
      <c r="D13744">
        <f>12</f>
        <v>12</v>
      </c>
      <c r="E13744" t="str">
        <f>"05 - B - 201 - Bruce A Evans"</f>
        <v>05 - B - 201 - Bruce A Evans</v>
      </c>
      <c r="F13744" t="str">
        <f>"HEALTH SCI FOUND HON"</f>
        <v>HEALTH SCI FOUND HON</v>
      </c>
      <c r="G13744" t="str">
        <f>"21-2142"</f>
        <v>21-2142</v>
      </c>
      <c r="H13744" t="str">
        <f>"B"</f>
        <v>B</v>
      </c>
    </row>
    <row r="13745" spans="1:8" x14ac:dyDescent="0.2">
      <c r="A13745" t="str">
        <f t="shared" si="4973"/>
        <v>0616113274</v>
      </c>
      <c r="B13745" t="str">
        <f t="shared" si="4974"/>
        <v>PETRA</v>
      </c>
      <c r="C13745" t="str">
        <f t="shared" si="4975"/>
        <v>PLECENIK</v>
      </c>
      <c r="D13745">
        <f>12</f>
        <v>12</v>
      </c>
      <c r="E13745" t="str">
        <f>"01 - A - 101 - Marielle A Witting"</f>
        <v>01 - A - 101 - Marielle A Witting</v>
      </c>
      <c r="F13745" t="str">
        <f>"AP BIO"</f>
        <v>AP BIO</v>
      </c>
      <c r="G13745" t="str">
        <f>"08-805"</f>
        <v>08-805</v>
      </c>
      <c r="H13745" t="str">
        <f>"A"</f>
        <v>A</v>
      </c>
    </row>
    <row r="13746" spans="1:8" x14ac:dyDescent="0.2">
      <c r="A13746" t="str">
        <f t="shared" si="4973"/>
        <v>0616113274</v>
      </c>
      <c r="B13746" t="str">
        <f t="shared" si="4974"/>
        <v>PETRA</v>
      </c>
      <c r="C13746" t="str">
        <f t="shared" si="4975"/>
        <v>PLECENIK</v>
      </c>
      <c r="D13746">
        <f>12</f>
        <v>12</v>
      </c>
      <c r="E13746" t="str">
        <f>"08 - B - 102 - Pamela M Corzo"</f>
        <v>08 - B - 102 - Pamela M Corzo</v>
      </c>
      <c r="F13746" t="str">
        <f>"AP STAT"</f>
        <v>AP STAT</v>
      </c>
      <c r="G13746" t="str">
        <f>"21-2133"</f>
        <v>21-2133</v>
      </c>
      <c r="H13746" t="str">
        <f>"B"</f>
        <v>B</v>
      </c>
    </row>
    <row r="13747" spans="1:8" x14ac:dyDescent="0.2">
      <c r="A13747" t="str">
        <f t="shared" ref="A13747:A13754" si="4976">"0617031659"</f>
        <v>0617031659</v>
      </c>
      <c r="B13747" t="str">
        <f t="shared" ref="B13747:B13754" si="4977">"JOSEPH"</f>
        <v>JOSEPH</v>
      </c>
      <c r="C13747" t="str">
        <f t="shared" ref="C13747:C13754" si="4978">"PLESCIA"</f>
        <v>PLESCIA</v>
      </c>
      <c r="D13747" t="str">
        <f t="shared" ref="D13747:D13754" si="4979">"09"</f>
        <v>09</v>
      </c>
      <c r="E13747" t="str">
        <f>"04 - A - 004 - Krystal Marie  Beruty"</f>
        <v>04 - A - 004 - Krystal Marie  Beruty</v>
      </c>
      <c r="F13747" t="str">
        <f>"AICE GLBL PERSP 1 AS"</f>
        <v>AICE GLBL PERSP 1 AS</v>
      </c>
      <c r="G13747" t="str">
        <f>"17-1721"</f>
        <v>17-1721</v>
      </c>
      <c r="H13747" t="str">
        <f>"A"</f>
        <v>A</v>
      </c>
    </row>
    <row r="13748" spans="1:8" x14ac:dyDescent="0.2">
      <c r="A13748" t="str">
        <f t="shared" si="4976"/>
        <v>0617031659</v>
      </c>
      <c r="B13748" t="str">
        <f t="shared" si="4977"/>
        <v>JOSEPH</v>
      </c>
      <c r="C13748" t="str">
        <f t="shared" si="4978"/>
        <v>PLESCIA</v>
      </c>
      <c r="D13748" t="str">
        <f t="shared" si="4979"/>
        <v>09</v>
      </c>
      <c r="E13748" t="str">
        <f>"06 - B - 102 - Rosa Elaine  Collado-Duff"</f>
        <v>06 - B - 102 - Rosa Elaine  Collado-Duff</v>
      </c>
      <c r="F13748" t="str">
        <f>"SPANISH 3 HON"</f>
        <v>SPANISH 3 HON</v>
      </c>
      <c r="G13748" t="str">
        <f>"09-913"</f>
        <v>09-913</v>
      </c>
      <c r="H13748" t="str">
        <f>"B"</f>
        <v>B</v>
      </c>
    </row>
    <row r="13749" spans="1:8" x14ac:dyDescent="0.2">
      <c r="A13749" t="str">
        <f t="shared" si="4976"/>
        <v>0617031659</v>
      </c>
      <c r="B13749" t="str">
        <f t="shared" si="4977"/>
        <v>JOSEPH</v>
      </c>
      <c r="C13749" t="str">
        <f t="shared" si="4978"/>
        <v>PLESCIA</v>
      </c>
      <c r="D13749" t="str">
        <f t="shared" si="4979"/>
        <v>09</v>
      </c>
      <c r="E13749" t="str">
        <f>"03 - S1 - A - 101 - Daniel S Katz"</f>
        <v>03 - S1 - A - 101 - Daniel S Katz</v>
      </c>
      <c r="F13749" t="str">
        <f>"COURT PROCED"</f>
        <v>COURT PROCED</v>
      </c>
      <c r="G13749" t="str">
        <f>"21-2156"</f>
        <v>21-2156</v>
      </c>
      <c r="H13749" t="str">
        <f>"A"</f>
        <v>A</v>
      </c>
    </row>
    <row r="13750" spans="1:8" x14ac:dyDescent="0.2">
      <c r="A13750" t="str">
        <f t="shared" si="4976"/>
        <v>0617031659</v>
      </c>
      <c r="B13750" t="str">
        <f t="shared" si="4977"/>
        <v>JOSEPH</v>
      </c>
      <c r="C13750" t="str">
        <f t="shared" si="4978"/>
        <v>PLESCIA</v>
      </c>
      <c r="D13750" t="str">
        <f t="shared" si="4979"/>
        <v>09</v>
      </c>
      <c r="E13750" t="str">
        <f>"02 - A - 114 - Laselleda D Shaw"</f>
        <v>02 - A - 114 - Laselleda D Shaw</v>
      </c>
      <c r="F13750" t="str">
        <f>"NC STUDY HALL 1"</f>
        <v>NC STUDY HALL 1</v>
      </c>
      <c r="G13750" t="str">
        <f>"17-1723"</f>
        <v>17-1723</v>
      </c>
      <c r="H13750" t="str">
        <f>"A"</f>
        <v>A</v>
      </c>
    </row>
    <row r="13751" spans="1:8" x14ac:dyDescent="0.2">
      <c r="A13751" t="str">
        <f t="shared" si="4976"/>
        <v>0617031659</v>
      </c>
      <c r="B13751" t="str">
        <f t="shared" si="4977"/>
        <v>JOSEPH</v>
      </c>
      <c r="C13751" t="str">
        <f t="shared" si="4978"/>
        <v>PLESCIA</v>
      </c>
      <c r="D13751" t="str">
        <f t="shared" si="4979"/>
        <v>09</v>
      </c>
      <c r="E13751" t="str">
        <f>"07 - S1 - B - 107 - Richard E Dunbar Iii"</f>
        <v>07 - S1 - B - 107 - Richard E Dunbar Iii</v>
      </c>
      <c r="F13751" t="str">
        <f>"WEIGHT TRAIN 1"</f>
        <v>WEIGHT TRAIN 1</v>
      </c>
      <c r="G13751" t="str">
        <f>"05-501"</f>
        <v>05-501</v>
      </c>
      <c r="H13751" t="str">
        <f>"B"</f>
        <v>B</v>
      </c>
    </row>
    <row r="13752" spans="1:8" x14ac:dyDescent="0.2">
      <c r="A13752" t="str">
        <f t="shared" si="4976"/>
        <v>0617031659</v>
      </c>
      <c r="B13752" t="str">
        <f t="shared" si="4977"/>
        <v>JOSEPH</v>
      </c>
      <c r="C13752" t="str">
        <f t="shared" si="4978"/>
        <v>PLESCIA</v>
      </c>
      <c r="D13752" t="str">
        <f t="shared" si="4979"/>
        <v>09</v>
      </c>
      <c r="E13752" t="str">
        <f>"05 - B - 002 - Cheryl Anne  Berman-Schechter"</f>
        <v>05 - B - 002 - Cheryl Anne  Berman-Schechter</v>
      </c>
      <c r="F13752" t="str">
        <f>"AICE ENG GEN PAPER 1"</f>
        <v>AICE ENG GEN PAPER 1</v>
      </c>
      <c r="G13752" t="str">
        <f>"17-1722"</f>
        <v>17-1722</v>
      </c>
      <c r="H13752" t="str">
        <f>"B"</f>
        <v>B</v>
      </c>
    </row>
    <row r="13753" spans="1:8" x14ac:dyDescent="0.2">
      <c r="A13753" t="str">
        <f t="shared" si="4976"/>
        <v>0617031659</v>
      </c>
      <c r="B13753" t="str">
        <f t="shared" si="4977"/>
        <v>JOSEPH</v>
      </c>
      <c r="C13753" t="str">
        <f t="shared" si="4978"/>
        <v>PLESCIA</v>
      </c>
      <c r="D13753" t="str">
        <f t="shared" si="4979"/>
        <v>09</v>
      </c>
      <c r="E13753" t="str">
        <f>"01 - A - 201 - Cheryl L Beach"</f>
        <v>01 - A - 201 - Cheryl L Beach</v>
      </c>
      <c r="F13753" t="str">
        <f>"AICE ENV MGMNT AS"</f>
        <v>AICE ENV MGMNT AS</v>
      </c>
      <c r="G13753" t="str">
        <f>"08-811"</f>
        <v>08-811</v>
      </c>
      <c r="H13753" t="str">
        <f>"A"</f>
        <v>A</v>
      </c>
    </row>
    <row r="13754" spans="1:8" x14ac:dyDescent="0.2">
      <c r="A13754" t="str">
        <f t="shared" si="4976"/>
        <v>0617031659</v>
      </c>
      <c r="B13754" t="str">
        <f t="shared" si="4977"/>
        <v>JOSEPH</v>
      </c>
      <c r="C13754" t="str">
        <f t="shared" si="4978"/>
        <v>PLESCIA</v>
      </c>
      <c r="D13754" t="str">
        <f t="shared" si="4979"/>
        <v>09</v>
      </c>
      <c r="E13754" t="str">
        <f>"08 - B - 102 - Maried P Ramos"</f>
        <v>08 - B - 102 - Maried P Ramos</v>
      </c>
      <c r="F13754" t="str">
        <f>"ALGEBRA 2 HON"</f>
        <v>ALGEBRA 2 HON</v>
      </c>
      <c r="G13754" t="str">
        <f>"21-2159"</f>
        <v>21-2159</v>
      </c>
      <c r="H13754" t="str">
        <f>"B"</f>
        <v>B</v>
      </c>
    </row>
    <row r="13755" spans="1:8" x14ac:dyDescent="0.2">
      <c r="A13755" t="str">
        <f t="shared" ref="A13755:A13762" si="4980">"0614008190"</f>
        <v>0614008190</v>
      </c>
      <c r="B13755" t="str">
        <f t="shared" ref="B13755:B13762" si="4981">"ELIJAH"</f>
        <v>ELIJAH</v>
      </c>
      <c r="C13755" t="str">
        <f t="shared" ref="C13755:C13762" si="4982">"PLUMMER"</f>
        <v>PLUMMER</v>
      </c>
      <c r="D13755">
        <f>12</f>
        <v>12</v>
      </c>
      <c r="E13755" t="str">
        <f>"04 - A - 103 - Lourivaldo  Da Silva"</f>
        <v>04 - A - 103 - Lourivaldo  Da Silva</v>
      </c>
      <c r="F13755" t="str">
        <f>"PRE-CALCULUS HON"</f>
        <v>PRE-CALCULUS HON</v>
      </c>
      <c r="G13755" t="str">
        <f>"20-2079"</f>
        <v>20-2079</v>
      </c>
      <c r="H13755" t="str">
        <f>"A"</f>
        <v>A</v>
      </c>
    </row>
    <row r="13756" spans="1:8" x14ac:dyDescent="0.2">
      <c r="A13756" t="str">
        <f t="shared" si="4980"/>
        <v>0614008190</v>
      </c>
      <c r="B13756" t="str">
        <f t="shared" si="4981"/>
        <v>ELIJAH</v>
      </c>
      <c r="C13756" t="str">
        <f t="shared" si="4982"/>
        <v>PLUMMER</v>
      </c>
      <c r="D13756">
        <f>12</f>
        <v>12</v>
      </c>
      <c r="E13756" t="str">
        <f>"06 - B - 114 - Lisa J London"</f>
        <v>06 - B - 114 - Lisa J London</v>
      </c>
      <c r="F13756" t="str">
        <f>"NC STUDY HALL 1"</f>
        <v>NC STUDY HALL 1</v>
      </c>
      <c r="G13756" t="str">
        <f>"17-1714"</f>
        <v>17-1714</v>
      </c>
      <c r="H13756" t="str">
        <f>"B"</f>
        <v>B</v>
      </c>
    </row>
    <row r="13757" spans="1:8" x14ac:dyDescent="0.2">
      <c r="A13757" t="str">
        <f t="shared" si="4980"/>
        <v>0614008190</v>
      </c>
      <c r="B13757" t="str">
        <f t="shared" si="4981"/>
        <v>ELIJAH</v>
      </c>
      <c r="C13757" t="str">
        <f t="shared" si="4982"/>
        <v>PLUMMER</v>
      </c>
      <c r="D13757">
        <f>12</f>
        <v>12</v>
      </c>
      <c r="E13757" t="str">
        <f>"03 - A - 101 - Eva T Rimmer"</f>
        <v>03 - A - 101 - Eva T Rimmer</v>
      </c>
      <c r="F13757" t="str">
        <f>"CRIMINAL JUST OPS 1"</f>
        <v>CRIMINAL JUST OPS 1</v>
      </c>
      <c r="G13757" t="str">
        <f>"05-523"</f>
        <v>05-523</v>
      </c>
      <c r="H13757" t="str">
        <f>"A"</f>
        <v>A</v>
      </c>
    </row>
    <row r="13758" spans="1:8" x14ac:dyDescent="0.2">
      <c r="A13758" t="str">
        <f t="shared" si="4980"/>
        <v>0614008190</v>
      </c>
      <c r="B13758" t="str">
        <f t="shared" si="4981"/>
        <v>ELIJAH</v>
      </c>
      <c r="C13758" t="str">
        <f t="shared" si="4982"/>
        <v>PLUMMER</v>
      </c>
      <c r="D13758">
        <f>12</f>
        <v>12</v>
      </c>
      <c r="E13758" t="str">
        <f>"02 - A - 201 - Jordana K Hass"</f>
        <v>02 - A - 201 - Jordana K Hass</v>
      </c>
      <c r="F13758" t="str">
        <f>"CHEMISTRY 1"</f>
        <v>CHEMISTRY 1</v>
      </c>
      <c r="G13758" t="str">
        <f>"08-807"</f>
        <v>08-807</v>
      </c>
      <c r="H13758" t="str">
        <f>"A"</f>
        <v>A</v>
      </c>
    </row>
    <row r="13759" spans="1:8" x14ac:dyDescent="0.2">
      <c r="A13759" t="str">
        <f t="shared" si="4980"/>
        <v>0614008190</v>
      </c>
      <c r="B13759" t="str">
        <f t="shared" si="4981"/>
        <v>ELIJAH</v>
      </c>
      <c r="C13759" t="str">
        <f t="shared" si="4982"/>
        <v>PLUMMER</v>
      </c>
      <c r="D13759">
        <f>12</f>
        <v>12</v>
      </c>
      <c r="E13759" t="str">
        <f>"07 - B - 101 - Samantha L Martinez"</f>
        <v>07 - B - 101 - Samantha L Martinez</v>
      </c>
      <c r="F13759" t="str">
        <f>"KEYBD 1"</f>
        <v>KEYBD 1</v>
      </c>
      <c r="G13759" t="str">
        <f>"05-505"</f>
        <v>05-505</v>
      </c>
      <c r="H13759" t="str">
        <f>"B"</f>
        <v>B</v>
      </c>
    </row>
    <row r="13760" spans="1:8" x14ac:dyDescent="0.2">
      <c r="A13760" t="str">
        <f t="shared" si="4980"/>
        <v>0614008190</v>
      </c>
      <c r="B13760" t="str">
        <f t="shared" si="4981"/>
        <v>ELIJAH</v>
      </c>
      <c r="C13760" t="str">
        <f t="shared" si="4982"/>
        <v>PLUMMER</v>
      </c>
      <c r="D13760">
        <f>12</f>
        <v>12</v>
      </c>
      <c r="E13760" t="str">
        <f>"05 - B - 104 - Daniel S Tyson"</f>
        <v>05 - B - 104 - Daniel S Tyson</v>
      </c>
      <c r="F13760" t="str">
        <f>"JROTC NAVAL SCI 1"</f>
        <v>JROTC NAVAL SCI 1</v>
      </c>
      <c r="G13760" t="str">
        <f>"05-510"</f>
        <v>05-510</v>
      </c>
      <c r="H13760" t="str">
        <f>"B"</f>
        <v>B</v>
      </c>
    </row>
    <row r="13761" spans="1:8" x14ac:dyDescent="0.2">
      <c r="A13761" t="str">
        <f t="shared" si="4980"/>
        <v>0614008190</v>
      </c>
      <c r="B13761" t="str">
        <f t="shared" si="4981"/>
        <v>ELIJAH</v>
      </c>
      <c r="C13761" t="str">
        <f t="shared" si="4982"/>
        <v>PLUMMER</v>
      </c>
      <c r="D13761">
        <f>12</f>
        <v>12</v>
      </c>
      <c r="E13761" t="str">
        <f>"01 - S1 - A - 101 - Barbara L Segal"</f>
        <v>01 - S1 - A - 101 - Barbara L Segal</v>
      </c>
      <c r="F13761" t="str">
        <f>"US GOVT HON"</f>
        <v>US GOVT HON</v>
      </c>
      <c r="G13761" t="str">
        <f>"17-1742"</f>
        <v>17-1742</v>
      </c>
      <c r="H13761" t="str">
        <f>"A"</f>
        <v>A</v>
      </c>
    </row>
    <row r="13762" spans="1:8" x14ac:dyDescent="0.2">
      <c r="A13762" t="str">
        <f t="shared" si="4980"/>
        <v>0614008190</v>
      </c>
      <c r="B13762" t="str">
        <f t="shared" si="4981"/>
        <v>ELIJAH</v>
      </c>
      <c r="C13762" t="str">
        <f t="shared" si="4982"/>
        <v>PLUMMER</v>
      </c>
      <c r="D13762">
        <f>12</f>
        <v>12</v>
      </c>
      <c r="E13762" t="str">
        <f>"08 - B - 105 - Jeffrey S Gallagher"</f>
        <v>08 - B - 105 - Jeffrey S Gallagher</v>
      </c>
      <c r="F13762" t="str">
        <f>"ENG HON 4"</f>
        <v>ENG HON 4</v>
      </c>
      <c r="G13762" t="str">
        <f>"17-1724"</f>
        <v>17-1724</v>
      </c>
      <c r="H13762" t="str">
        <f>"B"</f>
        <v>B</v>
      </c>
    </row>
    <row r="13763" spans="1:8" x14ac:dyDescent="0.2">
      <c r="A13763" t="str">
        <f t="shared" ref="A13763:A13770" si="4983">"0614083963"</f>
        <v>0614083963</v>
      </c>
      <c r="B13763" t="str">
        <f t="shared" ref="B13763:B13770" si="4984">"WEST"</f>
        <v>WEST</v>
      </c>
      <c r="C13763" t="str">
        <f t="shared" ref="C13763:C13770" si="4985">"POCKER"</f>
        <v>POCKER</v>
      </c>
      <c r="D13763">
        <f>11</f>
        <v>11</v>
      </c>
      <c r="E13763" t="str">
        <f>"04 - A - 103 - Daniel S Tyson"</f>
        <v>04 - A - 103 - Daniel S Tyson</v>
      </c>
      <c r="F13763" t="str">
        <f>"JROTC NAVAL SCI 3"</f>
        <v>JROTC NAVAL SCI 3</v>
      </c>
      <c r="G13763" t="str">
        <f>"05-510"</f>
        <v>05-510</v>
      </c>
      <c r="H13763" t="str">
        <f>"A"</f>
        <v>A</v>
      </c>
    </row>
    <row r="13764" spans="1:8" x14ac:dyDescent="0.2">
      <c r="A13764" t="str">
        <f t="shared" si="4983"/>
        <v>0614083963</v>
      </c>
      <c r="B13764" t="str">
        <f t="shared" si="4984"/>
        <v>WEST</v>
      </c>
      <c r="C13764" t="str">
        <f t="shared" si="4985"/>
        <v>POCKER</v>
      </c>
      <c r="D13764">
        <f>11</f>
        <v>11</v>
      </c>
      <c r="E13764" t="str">
        <f>"06 - B - 202 - Brian M Fitzgerald"</f>
        <v>06 - B - 202 - Brian M Fitzgerald</v>
      </c>
      <c r="F13764" t="str">
        <f>"DRAW 1"</f>
        <v>DRAW 1</v>
      </c>
      <c r="G13764" t="str">
        <f>"09-908"</f>
        <v>09-908</v>
      </c>
      <c r="H13764" t="str">
        <f>"B"</f>
        <v>B</v>
      </c>
    </row>
    <row r="13765" spans="1:8" x14ac:dyDescent="0.2">
      <c r="A13765" t="str">
        <f t="shared" si="4983"/>
        <v>0614083963</v>
      </c>
      <c r="B13765" t="str">
        <f t="shared" si="4984"/>
        <v>WEST</v>
      </c>
      <c r="C13765" t="str">
        <f t="shared" si="4985"/>
        <v>POCKER</v>
      </c>
      <c r="D13765">
        <f>11</f>
        <v>11</v>
      </c>
      <c r="E13765" t="str">
        <f>"03 - A - 101 - Timothy J Lawrence"</f>
        <v>03 - A - 101 - Timothy J Lawrence</v>
      </c>
      <c r="F13765" t="str">
        <f>"AICE PHYS ED 1 AS"</f>
        <v>AICE PHYS ED 1 AS</v>
      </c>
      <c r="G13765" t="str">
        <f>"05-519"</f>
        <v>05-519</v>
      </c>
      <c r="H13765" t="str">
        <f>"A"</f>
        <v>A</v>
      </c>
    </row>
    <row r="13766" spans="1:8" x14ac:dyDescent="0.2">
      <c r="A13766" t="str">
        <f t="shared" si="4983"/>
        <v>0614083963</v>
      </c>
      <c r="B13766" t="str">
        <f t="shared" si="4984"/>
        <v>WEST</v>
      </c>
      <c r="C13766" t="str">
        <f t="shared" si="4985"/>
        <v>POCKER</v>
      </c>
      <c r="D13766">
        <f>11</f>
        <v>11</v>
      </c>
      <c r="E13766" t="str">
        <f>"02 - A - 113 - Byron G Montenegro"</f>
        <v>02 - A - 113 - Byron G Montenegro</v>
      </c>
      <c r="F13766" t="str">
        <f>"NC STUDY HALL 1"</f>
        <v>NC STUDY HALL 1</v>
      </c>
      <c r="G13766" t="str">
        <f>"21-2144"</f>
        <v>21-2144</v>
      </c>
      <c r="H13766" t="str">
        <f>"A"</f>
        <v>A</v>
      </c>
    </row>
    <row r="13767" spans="1:8" x14ac:dyDescent="0.2">
      <c r="A13767" t="str">
        <f t="shared" si="4983"/>
        <v>0614083963</v>
      </c>
      <c r="B13767" t="str">
        <f t="shared" si="4984"/>
        <v>WEST</v>
      </c>
      <c r="C13767" t="str">
        <f t="shared" si="4985"/>
        <v>POCKER</v>
      </c>
      <c r="D13767">
        <f>11</f>
        <v>11</v>
      </c>
      <c r="E13767" t="str">
        <f>"07 - B - 104 - Jerry S Jiampetti"</f>
        <v>07 - B - 104 - Jerry S Jiampetti</v>
      </c>
      <c r="F13767" t="str">
        <f>"AICE U.S. HIST 1 AS"</f>
        <v>AICE U.S. HIST 1 AS</v>
      </c>
      <c r="G13767" t="str">
        <f>"17-1751"</f>
        <v>17-1751</v>
      </c>
      <c r="H13767" t="str">
        <f>"B"</f>
        <v>B</v>
      </c>
    </row>
    <row r="13768" spans="1:8" x14ac:dyDescent="0.2">
      <c r="A13768" t="str">
        <f t="shared" si="4983"/>
        <v>0614083963</v>
      </c>
      <c r="B13768" t="str">
        <f t="shared" si="4984"/>
        <v>WEST</v>
      </c>
      <c r="C13768" t="str">
        <f t="shared" si="4985"/>
        <v>POCKER</v>
      </c>
      <c r="D13768">
        <f>11</f>
        <v>11</v>
      </c>
      <c r="E13768" t="str">
        <f>"05 - B - 102 - Jacklyn M James"</f>
        <v>05 - B - 102 - Jacklyn M James</v>
      </c>
      <c r="F13768" t="str">
        <f>"AICE ENG LANG AS"</f>
        <v>AICE ENG LANG AS</v>
      </c>
      <c r="G13768" t="str">
        <f>"17-1731"</f>
        <v>17-1731</v>
      </c>
      <c r="H13768" t="str">
        <f>"B"</f>
        <v>B</v>
      </c>
    </row>
    <row r="13769" spans="1:8" x14ac:dyDescent="0.2">
      <c r="A13769" t="str">
        <f t="shared" si="4983"/>
        <v>0614083963</v>
      </c>
      <c r="B13769" t="str">
        <f t="shared" si="4984"/>
        <v>WEST</v>
      </c>
      <c r="C13769" t="str">
        <f t="shared" si="4985"/>
        <v>POCKER</v>
      </c>
      <c r="D13769">
        <f>11</f>
        <v>11</v>
      </c>
      <c r="E13769" t="str">
        <f>"01 - A - 103 - Scott A Dethloff"</f>
        <v>01 - A - 103 - Scott A Dethloff</v>
      </c>
      <c r="F13769" t="str">
        <f>"AICE THINK SKLS 1 AS"</f>
        <v>AICE THINK SKLS 1 AS</v>
      </c>
      <c r="G13769" t="str">
        <f>"08-812"</f>
        <v>08-812</v>
      </c>
      <c r="H13769" t="str">
        <f>"A"</f>
        <v>A</v>
      </c>
    </row>
    <row r="13770" spans="1:8" x14ac:dyDescent="0.2">
      <c r="A13770" t="str">
        <f t="shared" si="4983"/>
        <v>0614083963</v>
      </c>
      <c r="B13770" t="str">
        <f t="shared" si="4984"/>
        <v>WEST</v>
      </c>
      <c r="C13770" t="str">
        <f t="shared" si="4985"/>
        <v>POCKER</v>
      </c>
      <c r="D13770">
        <f>11</f>
        <v>11</v>
      </c>
      <c r="E13770" t="str">
        <f>"08 - B - 001 - Scott A Dethloff"</f>
        <v>08 - B - 001 - Scott A Dethloff</v>
      </c>
      <c r="F13770" t="str">
        <f>"CHEMISTRY 1 HON"</f>
        <v>CHEMISTRY 1 HON</v>
      </c>
      <c r="G13770" t="str">
        <f>"08-812"</f>
        <v>08-812</v>
      </c>
      <c r="H13770" t="str">
        <f>"B"</f>
        <v>B</v>
      </c>
    </row>
    <row r="13771" spans="1:8" x14ac:dyDescent="0.2">
      <c r="A13771" t="str">
        <f t="shared" ref="A13771:A13778" si="4986">"0616124214"</f>
        <v>0616124214</v>
      </c>
      <c r="B13771" t="str">
        <f t="shared" ref="B13771:B13778" si="4987">"EVERLY"</f>
        <v>EVERLY</v>
      </c>
      <c r="C13771" t="str">
        <f t="shared" ref="C13771:C13786" si="4988">"PODGORSKI"</f>
        <v>PODGORSKI</v>
      </c>
      <c r="D13771" t="str">
        <f t="shared" ref="D13771:D13778" si="4989">"09"</f>
        <v>09</v>
      </c>
      <c r="E13771" t="str">
        <f>"04 - A - 106 - Ferrie J Arostique"</f>
        <v>04 - A - 106 - Ferrie J Arostique</v>
      </c>
      <c r="F13771" t="str">
        <f>"PRE-AICE MATH 2 IG"</f>
        <v>PRE-AICE MATH 2 IG</v>
      </c>
      <c r="G13771" t="str">
        <f>"21-2139"</f>
        <v>21-2139</v>
      </c>
      <c r="H13771" t="str">
        <f>"A"</f>
        <v>A</v>
      </c>
    </row>
    <row r="13772" spans="1:8" x14ac:dyDescent="0.2">
      <c r="A13772" t="str">
        <f t="shared" si="4986"/>
        <v>0616124214</v>
      </c>
      <c r="B13772" t="str">
        <f t="shared" si="4987"/>
        <v>EVERLY</v>
      </c>
      <c r="C13772" t="str">
        <f t="shared" si="4988"/>
        <v>PODGORSKI</v>
      </c>
      <c r="D13772" t="str">
        <f t="shared" si="4989"/>
        <v>09</v>
      </c>
      <c r="E13772" t="str">
        <f>"06 - B - 110 - Krystal Marie  Beruty"</f>
        <v>06 - B - 110 - Krystal Marie  Beruty</v>
      </c>
      <c r="F13772" t="str">
        <f>"AICE GLBL PERSP 1 AS"</f>
        <v>AICE GLBL PERSP 1 AS</v>
      </c>
      <c r="G13772" t="str">
        <f>"17-1721"</f>
        <v>17-1721</v>
      </c>
      <c r="H13772" t="str">
        <f>"B"</f>
        <v>B</v>
      </c>
    </row>
    <row r="13773" spans="1:8" x14ac:dyDescent="0.2">
      <c r="A13773" t="str">
        <f t="shared" si="4986"/>
        <v>0616124214</v>
      </c>
      <c r="B13773" t="str">
        <f t="shared" si="4987"/>
        <v>EVERLY</v>
      </c>
      <c r="C13773" t="str">
        <f t="shared" si="4988"/>
        <v>PODGORSKI</v>
      </c>
      <c r="D13773" t="str">
        <f t="shared" si="4989"/>
        <v>09</v>
      </c>
      <c r="E13773" t="str">
        <f>"03 - A - 203 - Elizabeth R Walker"</f>
        <v>03 - A - 203 - Elizabeth R Walker</v>
      </c>
      <c r="F13773" t="str">
        <f>"AICE ENG GEN PAPER 1"</f>
        <v>AICE ENG GEN PAPER 1</v>
      </c>
      <c r="G13773" t="str">
        <f>"17-1703"</f>
        <v>17-1703</v>
      </c>
      <c r="H13773" t="str">
        <f>"A"</f>
        <v>A</v>
      </c>
    </row>
    <row r="13774" spans="1:8" x14ac:dyDescent="0.2">
      <c r="A13774" t="str">
        <f t="shared" si="4986"/>
        <v>0616124214</v>
      </c>
      <c r="B13774" t="str">
        <f t="shared" si="4987"/>
        <v>EVERLY</v>
      </c>
      <c r="C13774" t="str">
        <f t="shared" si="4988"/>
        <v>PODGORSKI</v>
      </c>
      <c r="D13774" t="str">
        <f t="shared" si="4989"/>
        <v>09</v>
      </c>
      <c r="E13774" t="str">
        <f>"02 - A - 106 - Helen A Flores"</f>
        <v>02 - A - 106 - Helen A Flores</v>
      </c>
      <c r="F13774" t="str">
        <f>"NC STUDY HALL 1"</f>
        <v>NC STUDY HALL 1</v>
      </c>
      <c r="G13774" t="str">
        <f>"21-2101"</f>
        <v>21-2101</v>
      </c>
      <c r="H13774" t="str">
        <f>"A"</f>
        <v>A</v>
      </c>
    </row>
    <row r="13775" spans="1:8" x14ac:dyDescent="0.2">
      <c r="A13775" t="str">
        <f t="shared" si="4986"/>
        <v>0616124214</v>
      </c>
      <c r="B13775" t="str">
        <f t="shared" si="4987"/>
        <v>EVERLY</v>
      </c>
      <c r="C13775" t="str">
        <f t="shared" si="4988"/>
        <v>PODGORSKI</v>
      </c>
      <c r="D13775" t="str">
        <f t="shared" si="4989"/>
        <v>09</v>
      </c>
      <c r="E13775" t="str">
        <f>"07 - B - 105 - Byron G Montenegro"</f>
        <v>07 - B - 105 - Byron G Montenegro</v>
      </c>
      <c r="F13775" t="str">
        <f>"AICE MARINE SCI 1 AS"</f>
        <v>AICE MARINE SCI 1 AS</v>
      </c>
      <c r="G13775" t="str">
        <f>"21-2144"</f>
        <v>21-2144</v>
      </c>
      <c r="H13775" t="str">
        <f>"B"</f>
        <v>B</v>
      </c>
    </row>
    <row r="13776" spans="1:8" x14ac:dyDescent="0.2">
      <c r="A13776" t="str">
        <f t="shared" si="4986"/>
        <v>0616124214</v>
      </c>
      <c r="B13776" t="str">
        <f t="shared" si="4987"/>
        <v>EVERLY</v>
      </c>
      <c r="C13776" t="str">
        <f t="shared" si="4988"/>
        <v>PODGORSKI</v>
      </c>
      <c r="D13776" t="str">
        <f t="shared" si="4989"/>
        <v>09</v>
      </c>
      <c r="E13776" t="str">
        <f>"05 - B - 101 - Arthur  Kulawik"</f>
        <v>05 - B - 101 - Arthur  Kulawik</v>
      </c>
      <c r="F13776" t="str">
        <f>"DEBATE 2 LH"</f>
        <v>DEBATE 2 LH</v>
      </c>
      <c r="G13776" t="str">
        <f>"05-506"</f>
        <v>05-506</v>
      </c>
      <c r="H13776" t="str">
        <f>"B"</f>
        <v>B</v>
      </c>
    </row>
    <row r="13777" spans="1:8" x14ac:dyDescent="0.2">
      <c r="A13777" t="str">
        <f t="shared" si="4986"/>
        <v>0616124214</v>
      </c>
      <c r="B13777" t="str">
        <f t="shared" si="4987"/>
        <v>EVERLY</v>
      </c>
      <c r="C13777" t="str">
        <f t="shared" si="4988"/>
        <v>PODGORSKI</v>
      </c>
      <c r="D13777" t="str">
        <f t="shared" si="4989"/>
        <v>09</v>
      </c>
      <c r="E13777" t="str">
        <f>"01 - A - 101 - Joe  Kilpatrick Jr"</f>
        <v>01 - A - 101 - Joe  Kilpatrick Jr</v>
      </c>
      <c r="F13777" t="str">
        <f>"PRE-AICE SPAN 1 IG"</f>
        <v>PRE-AICE SPAN 1 IG</v>
      </c>
      <c r="G13777" t="str">
        <f>"09-912"</f>
        <v>09-912</v>
      </c>
      <c r="H13777" t="str">
        <f>"A"</f>
        <v>A</v>
      </c>
    </row>
    <row r="13778" spans="1:8" x14ac:dyDescent="0.2">
      <c r="A13778" t="str">
        <f t="shared" si="4986"/>
        <v>0616124214</v>
      </c>
      <c r="B13778" t="str">
        <f t="shared" si="4987"/>
        <v>EVERLY</v>
      </c>
      <c r="C13778" t="str">
        <f t="shared" si="4988"/>
        <v>PODGORSKI</v>
      </c>
      <c r="D13778" t="str">
        <f t="shared" si="4989"/>
        <v>09</v>
      </c>
      <c r="E13778" t="str">
        <f>"08 - B - 201 - Tina M Jaramillo"</f>
        <v>08 - B - 201 - Tina M Jaramillo</v>
      </c>
      <c r="F13778" t="str">
        <f>"CREATIVE WRIT 3 HON"</f>
        <v>CREATIVE WRIT 3 HON</v>
      </c>
      <c r="G13778" t="str">
        <f>"17-1706"</f>
        <v>17-1706</v>
      </c>
      <c r="H13778" t="str">
        <f>"B"</f>
        <v>B</v>
      </c>
    </row>
    <row r="13779" spans="1:8" x14ac:dyDescent="0.2">
      <c r="A13779" t="str">
        <f t="shared" ref="A13779:A13786" si="4990">"0613098011"</f>
        <v>0613098011</v>
      </c>
      <c r="B13779" t="str">
        <f t="shared" ref="B13779:B13786" si="4991">"ROWYN"</f>
        <v>ROWYN</v>
      </c>
      <c r="C13779" t="str">
        <f t="shared" si="4988"/>
        <v>PODGORSKI</v>
      </c>
      <c r="D13779">
        <f>12</f>
        <v>12</v>
      </c>
      <c r="E13779" t="str">
        <f>"04 - A - 104 - Robert H Rindner"</f>
        <v>04 - A - 104 - Robert H Rindner</v>
      </c>
      <c r="F13779" t="str">
        <f>"MATH DATA&amp;FIN LIT H"</f>
        <v>MATH DATA&amp;FIN LIT H</v>
      </c>
      <c r="G13779" t="str">
        <f>"21-2160"</f>
        <v>21-2160</v>
      </c>
      <c r="H13779" t="str">
        <f>"A"</f>
        <v>A</v>
      </c>
    </row>
    <row r="13780" spans="1:8" x14ac:dyDescent="0.2">
      <c r="A13780" t="str">
        <f t="shared" si="4990"/>
        <v>0613098011</v>
      </c>
      <c r="B13780" t="str">
        <f t="shared" si="4991"/>
        <v>ROWYN</v>
      </c>
      <c r="C13780" t="str">
        <f t="shared" si="4988"/>
        <v>PODGORSKI</v>
      </c>
      <c r="D13780">
        <f>12</f>
        <v>12</v>
      </c>
      <c r="E13780" t="str">
        <f>"06 - B - 105 - Robyn L Trainer"</f>
        <v>06 - B - 105 - Robyn L Trainer</v>
      </c>
      <c r="F13780" t="str">
        <f>"NC STUDY HALL 1"</f>
        <v>NC STUDY HALL 1</v>
      </c>
      <c r="G13780" t="str">
        <f>"17-1734"</f>
        <v>17-1734</v>
      </c>
      <c r="H13780" t="str">
        <f>"B"</f>
        <v>B</v>
      </c>
    </row>
    <row r="13781" spans="1:8" x14ac:dyDescent="0.2">
      <c r="A13781" t="str">
        <f t="shared" si="4990"/>
        <v>0613098011</v>
      </c>
      <c r="B13781" t="str">
        <f t="shared" si="4991"/>
        <v>ROWYN</v>
      </c>
      <c r="C13781" t="str">
        <f t="shared" si="4988"/>
        <v>PODGORSKI</v>
      </c>
      <c r="D13781">
        <f>12</f>
        <v>12</v>
      </c>
      <c r="E13781" t="str">
        <f>"03 - A - 208 - Marielle A Witting"</f>
        <v>03 - A - 208 - Marielle A Witting</v>
      </c>
      <c r="F13781" t="str">
        <f>"ANAT PHYSIO"</f>
        <v>ANAT PHYSIO</v>
      </c>
      <c r="G13781" t="str">
        <f>"08-805"</f>
        <v>08-805</v>
      </c>
      <c r="H13781" t="str">
        <f>"A"</f>
        <v>A</v>
      </c>
    </row>
    <row r="13782" spans="1:8" x14ac:dyDescent="0.2">
      <c r="A13782" t="str">
        <f t="shared" si="4990"/>
        <v>0613098011</v>
      </c>
      <c r="B13782" t="str">
        <f t="shared" si="4991"/>
        <v>ROWYN</v>
      </c>
      <c r="C13782" t="str">
        <f t="shared" si="4988"/>
        <v>PODGORSKI</v>
      </c>
      <c r="D13782">
        <f>12</f>
        <v>12</v>
      </c>
      <c r="E13782" t="str">
        <f>"02 - A - 107 - Tina M Jaramillo"</f>
        <v>02 - A - 107 - Tina M Jaramillo</v>
      </c>
      <c r="F13782" t="str">
        <f>"AP ENG LIT COMPO"</f>
        <v>AP ENG LIT COMPO</v>
      </c>
      <c r="G13782" t="str">
        <f>"17-1706"</f>
        <v>17-1706</v>
      </c>
      <c r="H13782" t="str">
        <f>"A"</f>
        <v>A</v>
      </c>
    </row>
    <row r="13783" spans="1:8" x14ac:dyDescent="0.2">
      <c r="A13783" t="str">
        <f t="shared" si="4990"/>
        <v>0613098011</v>
      </c>
      <c r="B13783" t="str">
        <f t="shared" si="4991"/>
        <v>ROWYN</v>
      </c>
      <c r="C13783" t="str">
        <f t="shared" si="4988"/>
        <v>PODGORSKI</v>
      </c>
      <c r="D13783">
        <f>12</f>
        <v>12</v>
      </c>
      <c r="E13783" t="str">
        <f>"07 - B - 002 - Rachel M Montrose"</f>
        <v>07 - B - 002 - Rachel M Montrose</v>
      </c>
      <c r="F13783" t="str">
        <f>"JOURN 1 (NP) LH"</f>
        <v>JOURN 1 (NP) LH</v>
      </c>
      <c r="G13783" t="str">
        <f>"05-521"</f>
        <v>05-521</v>
      </c>
      <c r="H13783" t="str">
        <f>"B"</f>
        <v>B</v>
      </c>
    </row>
    <row r="13784" spans="1:8" x14ac:dyDescent="0.2">
      <c r="A13784" t="str">
        <f t="shared" si="4990"/>
        <v>0613098011</v>
      </c>
      <c r="B13784" t="str">
        <f t="shared" si="4991"/>
        <v>ROWYN</v>
      </c>
      <c r="C13784" t="str">
        <f t="shared" si="4988"/>
        <v>PODGORSKI</v>
      </c>
      <c r="D13784">
        <f>12</f>
        <v>12</v>
      </c>
      <c r="E13784" t="str">
        <f>"05 - S1 - B - 102 - Barbara L Segal"</f>
        <v>05 - S1 - B - 102 - Barbara L Segal</v>
      </c>
      <c r="F13784" t="str">
        <f>"US GOVT HON"</f>
        <v>US GOVT HON</v>
      </c>
      <c r="G13784" t="str">
        <f>"17-1742"</f>
        <v>17-1742</v>
      </c>
      <c r="H13784" t="str">
        <f>"B"</f>
        <v>B</v>
      </c>
    </row>
    <row r="13785" spans="1:8" x14ac:dyDescent="0.2">
      <c r="A13785" t="str">
        <f t="shared" si="4990"/>
        <v>0613098011</v>
      </c>
      <c r="B13785" t="str">
        <f t="shared" si="4991"/>
        <v>ROWYN</v>
      </c>
      <c r="C13785" t="str">
        <f t="shared" si="4988"/>
        <v>PODGORSKI</v>
      </c>
      <c r="D13785">
        <f>12</f>
        <v>12</v>
      </c>
      <c r="E13785" t="str">
        <f>"01 - A - 103 - Scott A Dethloff"</f>
        <v>01 - A - 103 - Scott A Dethloff</v>
      </c>
      <c r="F13785" t="str">
        <f>"AICE THINK SKLS 1 AS"</f>
        <v>AICE THINK SKLS 1 AS</v>
      </c>
      <c r="G13785" t="str">
        <f>"08-812"</f>
        <v>08-812</v>
      </c>
      <c r="H13785" t="str">
        <f>"A"</f>
        <v>A</v>
      </c>
    </row>
    <row r="13786" spans="1:8" x14ac:dyDescent="0.2">
      <c r="A13786" t="str">
        <f t="shared" si="4990"/>
        <v>0613098011</v>
      </c>
      <c r="B13786" t="str">
        <f t="shared" si="4991"/>
        <v>ROWYN</v>
      </c>
      <c r="C13786" t="str">
        <f t="shared" si="4988"/>
        <v>PODGORSKI</v>
      </c>
      <c r="D13786">
        <f>12</f>
        <v>12</v>
      </c>
      <c r="E13786" t="str">
        <f>"08 - S1 - B - 104 - Angela S Adeshina-Morrison"</f>
        <v>08 - S1 - B - 104 - Angela S Adeshina-Morrison</v>
      </c>
      <c r="F13786" t="str">
        <f>"PEER COUN 1"</f>
        <v>PEER COUN 1</v>
      </c>
      <c r="G13786" t="str">
        <f>"05-518"</f>
        <v>05-518</v>
      </c>
      <c r="H13786" t="str">
        <f>"B"</f>
        <v>B</v>
      </c>
    </row>
    <row r="13787" spans="1:8" x14ac:dyDescent="0.2">
      <c r="A13787" t="str">
        <f t="shared" ref="A13787:A13794" si="4992">"0615035258"</f>
        <v>0615035258</v>
      </c>
      <c r="B13787" t="str">
        <f t="shared" ref="B13787:B13794" si="4993">"YCHENKA"</f>
        <v>YCHENKA</v>
      </c>
      <c r="C13787" t="str">
        <f t="shared" ref="C13787:C13794" si="4994">"POLIARD"</f>
        <v>POLIARD</v>
      </c>
      <c r="D13787">
        <f>11</f>
        <v>11</v>
      </c>
      <c r="E13787" t="str">
        <f>"04 - A - 103 - Lisa  Quinn"</f>
        <v>04 - A - 103 - Lisa  Quinn</v>
      </c>
      <c r="F13787" t="str">
        <f>"ENG 3"</f>
        <v>ENG 3</v>
      </c>
      <c r="G13787" t="str">
        <f>"17-1725"</f>
        <v>17-1725</v>
      </c>
      <c r="H13787" t="str">
        <f>"A"</f>
        <v>A</v>
      </c>
    </row>
    <row r="13788" spans="1:8" x14ac:dyDescent="0.2">
      <c r="A13788" t="str">
        <f t="shared" si="4992"/>
        <v>0615035258</v>
      </c>
      <c r="B13788" t="str">
        <f t="shared" si="4993"/>
        <v>YCHENKA</v>
      </c>
      <c r="C13788" t="str">
        <f t="shared" si="4994"/>
        <v>POLIARD</v>
      </c>
      <c r="D13788">
        <f>11</f>
        <v>11</v>
      </c>
      <c r="E13788" t="str">
        <f>"06 - B - 103 - Helen A Flores"</f>
        <v>06 - B - 103 - Helen A Flores</v>
      </c>
      <c r="F13788" t="str">
        <f>"ALGEBRA 2"</f>
        <v>ALGEBRA 2</v>
      </c>
      <c r="G13788" t="str">
        <f>"21-2101"</f>
        <v>21-2101</v>
      </c>
      <c r="H13788" t="str">
        <f>"B"</f>
        <v>B</v>
      </c>
    </row>
    <row r="13789" spans="1:8" x14ac:dyDescent="0.2">
      <c r="A13789" t="str">
        <f t="shared" si="4992"/>
        <v>0615035258</v>
      </c>
      <c r="B13789" t="str">
        <f t="shared" si="4993"/>
        <v>YCHENKA</v>
      </c>
      <c r="C13789" t="str">
        <f t="shared" si="4994"/>
        <v>POLIARD</v>
      </c>
      <c r="D13789">
        <f>11</f>
        <v>11</v>
      </c>
      <c r="E13789" t="str">
        <f>"03 - A - 201 - Christa T Parisi"</f>
        <v>03 - A - 201 - Christa T Parisi</v>
      </c>
      <c r="F13789" t="str">
        <f>"DANCE TECHNQS 1"</f>
        <v>DANCE TECHNQS 1</v>
      </c>
      <c r="G13789" t="str">
        <f>"05-503"</f>
        <v>05-503</v>
      </c>
      <c r="H13789" t="str">
        <f>"A"</f>
        <v>A</v>
      </c>
    </row>
    <row r="13790" spans="1:8" x14ac:dyDescent="0.2">
      <c r="A13790" t="str">
        <f t="shared" si="4992"/>
        <v>0615035258</v>
      </c>
      <c r="B13790" t="str">
        <f t="shared" si="4993"/>
        <v>YCHENKA</v>
      </c>
      <c r="C13790" t="str">
        <f t="shared" si="4994"/>
        <v>POLIARD</v>
      </c>
      <c r="D13790">
        <f>11</f>
        <v>11</v>
      </c>
      <c r="E13790" t="str">
        <f>"02 - A - 104 - Dayna M Foster"</f>
        <v>02 - A - 104 - Dayna M Foster</v>
      </c>
      <c r="F13790" t="str">
        <f>"NC STUDY HALL 1"</f>
        <v>NC STUDY HALL 1</v>
      </c>
      <c r="G13790" t="str">
        <f>"21-2109"</f>
        <v>21-2109</v>
      </c>
      <c r="H13790" t="str">
        <f>"A"</f>
        <v>A</v>
      </c>
    </row>
    <row r="13791" spans="1:8" x14ac:dyDescent="0.2">
      <c r="A13791" t="str">
        <f t="shared" si="4992"/>
        <v>0615035258</v>
      </c>
      <c r="B13791" t="str">
        <f t="shared" si="4993"/>
        <v>YCHENKA</v>
      </c>
      <c r="C13791" t="str">
        <f t="shared" si="4994"/>
        <v>POLIARD</v>
      </c>
      <c r="D13791">
        <f>11</f>
        <v>11</v>
      </c>
      <c r="E13791" t="str">
        <f>"07 - B - 108 - Lauren N Logan"</f>
        <v>07 - B - 108 - Lauren N Logan</v>
      </c>
      <c r="F13791" t="str">
        <f>"US HISTORY"</f>
        <v>US HISTORY</v>
      </c>
      <c r="G13791" t="str">
        <f>"17-1745"</f>
        <v>17-1745</v>
      </c>
      <c r="H13791" t="str">
        <f>"B"</f>
        <v>B</v>
      </c>
    </row>
    <row r="13792" spans="1:8" x14ac:dyDescent="0.2">
      <c r="A13792" t="str">
        <f t="shared" si="4992"/>
        <v>0615035258</v>
      </c>
      <c r="B13792" t="str">
        <f t="shared" si="4993"/>
        <v>YCHENKA</v>
      </c>
      <c r="C13792" t="str">
        <f t="shared" si="4994"/>
        <v>POLIARD</v>
      </c>
      <c r="D13792">
        <f>11</f>
        <v>11</v>
      </c>
      <c r="E13792" t="str">
        <f>"05 - B - 204 - Cliffon  Saurel"</f>
        <v>05 - B - 204 - Cliffon  Saurel</v>
      </c>
      <c r="F13792" t="str">
        <f>"PHYSICAL SCI"</f>
        <v>PHYSICAL SCI</v>
      </c>
      <c r="G13792" t="str">
        <f>"05-522"</f>
        <v>05-522</v>
      </c>
      <c r="H13792" t="str">
        <f>"B"</f>
        <v>B</v>
      </c>
    </row>
    <row r="13793" spans="1:8" x14ac:dyDescent="0.2">
      <c r="A13793" t="str">
        <f t="shared" si="4992"/>
        <v>0615035258</v>
      </c>
      <c r="B13793" t="str">
        <f t="shared" si="4993"/>
        <v>YCHENKA</v>
      </c>
      <c r="C13793" t="str">
        <f t="shared" si="4994"/>
        <v>POLIARD</v>
      </c>
      <c r="D13793">
        <f>11</f>
        <v>11</v>
      </c>
      <c r="E13793" t="str">
        <f>"01 - A - 101 - Joe  Kilpatrick Jr"</f>
        <v>01 - A - 101 - Joe  Kilpatrick Jr</v>
      </c>
      <c r="F13793" t="str">
        <f>"PRE-AICE SPAN 1 IG"</f>
        <v>PRE-AICE SPAN 1 IG</v>
      </c>
      <c r="G13793" t="str">
        <f>"09-912"</f>
        <v>09-912</v>
      </c>
      <c r="H13793" t="str">
        <f>"A"</f>
        <v>A</v>
      </c>
    </row>
    <row r="13794" spans="1:8" x14ac:dyDescent="0.2">
      <c r="A13794" t="str">
        <f t="shared" si="4992"/>
        <v>0615035258</v>
      </c>
      <c r="B13794" t="str">
        <f t="shared" si="4993"/>
        <v>YCHENKA</v>
      </c>
      <c r="C13794" t="str">
        <f t="shared" si="4994"/>
        <v>POLIARD</v>
      </c>
      <c r="D13794">
        <f>11</f>
        <v>11</v>
      </c>
      <c r="E13794" t="str">
        <f>"08 - S1 - B - 102 - Nahum  Saint-Preux"</f>
        <v>08 - S1 - B - 102 - Nahum  Saint-Preux</v>
      </c>
      <c r="F13794" t="str">
        <f>"CRIT THINK ST SKLS"</f>
        <v>CRIT THINK ST SKLS</v>
      </c>
      <c r="G13794" t="str">
        <f>"17-1712"</f>
        <v>17-1712</v>
      </c>
      <c r="H13794" t="str">
        <f>"B"</f>
        <v>B</v>
      </c>
    </row>
    <row r="13795" spans="1:8" x14ac:dyDescent="0.2">
      <c r="A13795" t="str">
        <f t="shared" ref="A13795:A13802" si="4995">"0616145587"</f>
        <v>0616145587</v>
      </c>
      <c r="B13795" t="str">
        <f t="shared" ref="B13795:B13802" si="4996">"DAHANA"</f>
        <v>DAHANA</v>
      </c>
      <c r="C13795" t="str">
        <f t="shared" ref="C13795:C13802" si="4997">"POLISME"</f>
        <v>POLISME</v>
      </c>
      <c r="D13795" t="str">
        <f t="shared" ref="D13795:D13802" si="4998">"09"</f>
        <v>09</v>
      </c>
      <c r="E13795" t="str">
        <f>"04 - A - 102 - Josiah I Lacy"</f>
        <v>04 - A - 102 - Josiah I Lacy</v>
      </c>
      <c r="F13795" t="str">
        <f>"PRE-AICE BIO IG"</f>
        <v>PRE-AICE BIO IG</v>
      </c>
      <c r="G13795" t="str">
        <f>"08-801"</f>
        <v>08-801</v>
      </c>
      <c r="H13795" t="str">
        <f>"A"</f>
        <v>A</v>
      </c>
    </row>
    <row r="13796" spans="1:8" x14ac:dyDescent="0.2">
      <c r="A13796" t="str">
        <f t="shared" si="4995"/>
        <v>0616145587</v>
      </c>
      <c r="B13796" t="str">
        <f t="shared" si="4996"/>
        <v>DAHANA</v>
      </c>
      <c r="C13796" t="str">
        <f t="shared" si="4997"/>
        <v>POLISME</v>
      </c>
      <c r="D13796" t="str">
        <f t="shared" si="4998"/>
        <v>09</v>
      </c>
      <c r="E13796" t="str">
        <f>"06 - B - 110 - Krystal Marie  Beruty"</f>
        <v>06 - B - 110 - Krystal Marie  Beruty</v>
      </c>
      <c r="F13796" t="str">
        <f>"AICE GLBL PERSP 1 AS"</f>
        <v>AICE GLBL PERSP 1 AS</v>
      </c>
      <c r="G13796" t="str">
        <f>"17-1721"</f>
        <v>17-1721</v>
      </c>
      <c r="H13796" t="str">
        <f>"B"</f>
        <v>B</v>
      </c>
    </row>
    <row r="13797" spans="1:8" x14ac:dyDescent="0.2">
      <c r="A13797" t="str">
        <f t="shared" si="4995"/>
        <v>0616145587</v>
      </c>
      <c r="B13797" t="str">
        <f t="shared" si="4996"/>
        <v>DAHANA</v>
      </c>
      <c r="C13797" t="str">
        <f t="shared" si="4997"/>
        <v>POLISME</v>
      </c>
      <c r="D13797" t="str">
        <f t="shared" si="4998"/>
        <v>09</v>
      </c>
      <c r="E13797" t="str">
        <f>"03 - A - 001 - Maried P Ramos"</f>
        <v>03 - A - 001 - Maried P Ramos</v>
      </c>
      <c r="F13797" t="str">
        <f>"PRE-AICE MATH 2 IG"</f>
        <v>PRE-AICE MATH 2 IG</v>
      </c>
      <c r="G13797" t="str">
        <f>"21-2159"</f>
        <v>21-2159</v>
      </c>
      <c r="H13797" t="str">
        <f>"A"</f>
        <v>A</v>
      </c>
    </row>
    <row r="13798" spans="1:8" x14ac:dyDescent="0.2">
      <c r="A13798" t="str">
        <f t="shared" si="4995"/>
        <v>0616145587</v>
      </c>
      <c r="B13798" t="str">
        <f t="shared" si="4996"/>
        <v>DAHANA</v>
      </c>
      <c r="C13798" t="str">
        <f t="shared" si="4997"/>
        <v>POLISME</v>
      </c>
      <c r="D13798" t="str">
        <f t="shared" si="4998"/>
        <v>09</v>
      </c>
      <c r="E13798" t="str">
        <f>"02 - A - 109 - Krystal Marie  Beruty"</f>
        <v>02 - A - 109 - Krystal Marie  Beruty</v>
      </c>
      <c r="F13798" t="str">
        <f>"NC STUDY HALL 1"</f>
        <v>NC STUDY HALL 1</v>
      </c>
      <c r="G13798" t="str">
        <f>"17-1721"</f>
        <v>17-1721</v>
      </c>
      <c r="H13798" t="str">
        <f>"A"</f>
        <v>A</v>
      </c>
    </row>
    <row r="13799" spans="1:8" x14ac:dyDescent="0.2">
      <c r="A13799" t="str">
        <f t="shared" si="4995"/>
        <v>0616145587</v>
      </c>
      <c r="B13799" t="str">
        <f t="shared" si="4996"/>
        <v>DAHANA</v>
      </c>
      <c r="C13799" t="str">
        <f t="shared" si="4997"/>
        <v>POLISME</v>
      </c>
      <c r="D13799" t="str">
        <f t="shared" si="4998"/>
        <v>09</v>
      </c>
      <c r="E13799" t="str">
        <f>"07 - B - 003 - Brandy N Zdenek"</f>
        <v>07 - B - 003 - Brandy N Zdenek</v>
      </c>
      <c r="F13799" t="str">
        <f>"AICE ENG GEN PAPER 1"</f>
        <v>AICE ENG GEN PAPER 1</v>
      </c>
      <c r="G13799" t="str">
        <f>"17-1704"</f>
        <v>17-1704</v>
      </c>
      <c r="H13799" t="str">
        <f>"B"</f>
        <v>B</v>
      </c>
    </row>
    <row r="13800" spans="1:8" x14ac:dyDescent="0.2">
      <c r="A13800" t="str">
        <f t="shared" si="4995"/>
        <v>0616145587</v>
      </c>
      <c r="B13800" t="str">
        <f t="shared" si="4996"/>
        <v>DAHANA</v>
      </c>
      <c r="C13800" t="str">
        <f t="shared" si="4997"/>
        <v>POLISME</v>
      </c>
      <c r="D13800" t="str">
        <f t="shared" si="4998"/>
        <v>09</v>
      </c>
      <c r="E13800" t="str">
        <f>"05 - B - 103 - Byron G Montenegro"</f>
        <v>05 - B - 103 - Byron G Montenegro</v>
      </c>
      <c r="F13800" t="str">
        <f>"AICE MARINE SCI 1 AS"</f>
        <v>AICE MARINE SCI 1 AS</v>
      </c>
      <c r="G13800" t="str">
        <f>"21-2144"</f>
        <v>21-2144</v>
      </c>
      <c r="H13800" t="str">
        <f>"B"</f>
        <v>B</v>
      </c>
    </row>
    <row r="13801" spans="1:8" x14ac:dyDescent="0.2">
      <c r="A13801" t="str">
        <f t="shared" si="4995"/>
        <v>0616145587</v>
      </c>
      <c r="B13801" t="str">
        <f t="shared" si="4996"/>
        <v>DAHANA</v>
      </c>
      <c r="C13801" t="str">
        <f t="shared" si="4997"/>
        <v>POLISME</v>
      </c>
      <c r="D13801" t="str">
        <f t="shared" si="4998"/>
        <v>09</v>
      </c>
      <c r="E13801" t="str">
        <f>"01 - A - 101 - Marius D Orsolini"</f>
        <v>01 - A - 101 - Marius D Orsolini</v>
      </c>
      <c r="F13801" t="str">
        <f>"CULINARY ARTS 1"</f>
        <v>CULINARY ARTS 1</v>
      </c>
      <c r="G13801" t="str">
        <f>"21-2115"</f>
        <v>21-2115</v>
      </c>
      <c r="H13801" t="str">
        <f>"A"</f>
        <v>A</v>
      </c>
    </row>
    <row r="13802" spans="1:8" x14ac:dyDescent="0.2">
      <c r="A13802" t="str">
        <f t="shared" si="4995"/>
        <v>0616145587</v>
      </c>
      <c r="B13802" t="str">
        <f t="shared" si="4996"/>
        <v>DAHANA</v>
      </c>
      <c r="C13802" t="str">
        <f t="shared" si="4997"/>
        <v>POLISME</v>
      </c>
      <c r="D13802" t="str">
        <f t="shared" si="4998"/>
        <v>09</v>
      </c>
      <c r="E13802" t="str">
        <f>"08 - B - 101 - Jazmin S Fletcher"</f>
        <v>08 - B - 101 - Jazmin S Fletcher</v>
      </c>
      <c r="F13802" t="str">
        <f>"PRE-AICE DRAMA 1G"</f>
        <v>PRE-AICE DRAMA 1G</v>
      </c>
      <c r="G13802" t="str">
        <f>"09-909"</f>
        <v>09-909</v>
      </c>
      <c r="H13802" t="str">
        <f>"B"</f>
        <v>B</v>
      </c>
    </row>
    <row r="13803" spans="1:8" x14ac:dyDescent="0.2">
      <c r="A13803" t="str">
        <f t="shared" ref="A13803:A13810" si="4999">"0614009708"</f>
        <v>0614009708</v>
      </c>
      <c r="B13803" t="str">
        <f t="shared" ref="B13803:B13810" si="5000">"DANIELLA"</f>
        <v>DANIELLA</v>
      </c>
      <c r="C13803" t="str">
        <f t="shared" ref="C13803:C13810" si="5001">"POLYCARPE"</f>
        <v>POLYCARPE</v>
      </c>
      <c r="D13803">
        <f>11</f>
        <v>11</v>
      </c>
      <c r="E13803" t="str">
        <f>"04 - S1 - A - 103 - Rory T Sponsler"</f>
        <v>04 - S1 - A - 103 - Rory T Sponsler</v>
      </c>
      <c r="F13803" t="str">
        <f>"WOMENS STUDIES LH"</f>
        <v>WOMENS STUDIES LH</v>
      </c>
      <c r="G13803" t="str">
        <f>"17-1740"</f>
        <v>17-1740</v>
      </c>
      <c r="H13803" t="str">
        <f>"A"</f>
        <v>A</v>
      </c>
    </row>
    <row r="13804" spans="1:8" x14ac:dyDescent="0.2">
      <c r="A13804" t="str">
        <f t="shared" si="4999"/>
        <v>0614009708</v>
      </c>
      <c r="B13804" t="str">
        <f t="shared" si="5000"/>
        <v>DANIELLA</v>
      </c>
      <c r="C13804" t="str">
        <f t="shared" si="5001"/>
        <v>POLYCARPE</v>
      </c>
      <c r="D13804">
        <f>11</f>
        <v>11</v>
      </c>
      <c r="E13804" t="str">
        <f>"06 - B - 105 - Elizabeth Ellen  Moran"</f>
        <v>06 - B - 105 - Elizabeth Ellen  Moran</v>
      </c>
      <c r="F13804" t="str">
        <f>"US HISTORY"</f>
        <v>US HISTORY</v>
      </c>
      <c r="G13804" t="str">
        <f>"17-1752"</f>
        <v>17-1752</v>
      </c>
      <c r="H13804" t="str">
        <f>"B"</f>
        <v>B</v>
      </c>
    </row>
    <row r="13805" spans="1:8" x14ac:dyDescent="0.2">
      <c r="A13805" t="str">
        <f t="shared" si="4999"/>
        <v>0614009708</v>
      </c>
      <c r="B13805" t="str">
        <f t="shared" si="5000"/>
        <v>DANIELLA</v>
      </c>
      <c r="C13805" t="str">
        <f t="shared" si="5001"/>
        <v>POLYCARPE</v>
      </c>
      <c r="D13805">
        <f>11</f>
        <v>11</v>
      </c>
      <c r="E13805" t="str">
        <f>"03 - A - 104 - Brook E Goren"</f>
        <v>03 - A - 104 - Brook E Goren</v>
      </c>
      <c r="F13805" t="str">
        <f>"ALGEBRA 2 HON"</f>
        <v>ALGEBRA 2 HON</v>
      </c>
      <c r="G13805" t="str">
        <f>"21-2158"</f>
        <v>21-2158</v>
      </c>
      <c r="H13805" t="str">
        <f>"A"</f>
        <v>A</v>
      </c>
    </row>
    <row r="13806" spans="1:8" x14ac:dyDescent="0.2">
      <c r="A13806" t="str">
        <f t="shared" si="4999"/>
        <v>0614009708</v>
      </c>
      <c r="B13806" t="str">
        <f t="shared" si="5000"/>
        <v>DANIELLA</v>
      </c>
      <c r="C13806" t="str">
        <f t="shared" si="5001"/>
        <v>POLYCARPE</v>
      </c>
      <c r="D13806">
        <f>11</f>
        <v>11</v>
      </c>
      <c r="E13806" t="str">
        <f>"02 - A - 113 - Byron G Montenegro"</f>
        <v>02 - A - 113 - Byron G Montenegro</v>
      </c>
      <c r="F13806" t="str">
        <f>"NC STUDY HALL 1"</f>
        <v>NC STUDY HALL 1</v>
      </c>
      <c r="G13806" t="str">
        <f>"21-2144"</f>
        <v>21-2144</v>
      </c>
      <c r="H13806" t="str">
        <f>"A"</f>
        <v>A</v>
      </c>
    </row>
    <row r="13807" spans="1:8" x14ac:dyDescent="0.2">
      <c r="A13807" t="str">
        <f t="shared" si="4999"/>
        <v>0614009708</v>
      </c>
      <c r="B13807" t="str">
        <f t="shared" si="5000"/>
        <v>DANIELLA</v>
      </c>
      <c r="C13807" t="str">
        <f t="shared" si="5001"/>
        <v>POLYCARPE</v>
      </c>
      <c r="D13807">
        <f>11</f>
        <v>11</v>
      </c>
      <c r="E13807" t="str">
        <f>"07 - B - 104 - Marielle A Witting"</f>
        <v>07 - B - 104 - Marielle A Witting</v>
      </c>
      <c r="F13807" t="str">
        <f>"ANAT PHYSIO"</f>
        <v>ANAT PHYSIO</v>
      </c>
      <c r="G13807" t="str">
        <f>"08-805"</f>
        <v>08-805</v>
      </c>
      <c r="H13807" t="str">
        <f>"B"</f>
        <v>B</v>
      </c>
    </row>
    <row r="13808" spans="1:8" x14ac:dyDescent="0.2">
      <c r="A13808" t="str">
        <f t="shared" si="4999"/>
        <v>0614009708</v>
      </c>
      <c r="B13808" t="str">
        <f t="shared" si="5000"/>
        <v>DANIELLA</v>
      </c>
      <c r="C13808" t="str">
        <f t="shared" si="5001"/>
        <v>POLYCARPE</v>
      </c>
      <c r="D13808">
        <f>11</f>
        <v>11</v>
      </c>
      <c r="E13808" t="str">
        <f>"05 - B - 104 - Daniel S Tyson"</f>
        <v>05 - B - 104 - Daniel S Tyson</v>
      </c>
      <c r="F13808" t="str">
        <f>"JROTC NAVAL SCI 2"</f>
        <v>JROTC NAVAL SCI 2</v>
      </c>
      <c r="G13808" t="str">
        <f>"05-510"</f>
        <v>05-510</v>
      </c>
      <c r="H13808" t="str">
        <f>"B"</f>
        <v>B</v>
      </c>
    </row>
    <row r="13809" spans="1:8" x14ac:dyDescent="0.2">
      <c r="A13809" t="str">
        <f t="shared" si="4999"/>
        <v>0614009708</v>
      </c>
      <c r="B13809" t="str">
        <f t="shared" si="5000"/>
        <v>DANIELLA</v>
      </c>
      <c r="C13809" t="str">
        <f t="shared" si="5001"/>
        <v>POLYCARPE</v>
      </c>
      <c r="D13809">
        <f>11</f>
        <v>11</v>
      </c>
      <c r="E13809" t="str">
        <f>"01 - A - 101 - Heidi M Knopp"</f>
        <v>01 - A - 101 - Heidi M Knopp</v>
      </c>
      <c r="F13809" t="str">
        <f>"ENG HON 3"</f>
        <v>ENG HON 3</v>
      </c>
      <c r="G13809" t="str">
        <f>"17-1752"</f>
        <v>17-1752</v>
      </c>
      <c r="H13809" t="str">
        <f>"A"</f>
        <v>A</v>
      </c>
    </row>
    <row r="13810" spans="1:8" x14ac:dyDescent="0.2">
      <c r="A13810" t="str">
        <f t="shared" si="4999"/>
        <v>0614009708</v>
      </c>
      <c r="B13810" t="str">
        <f t="shared" si="5000"/>
        <v>DANIELLA</v>
      </c>
      <c r="C13810" t="str">
        <f t="shared" si="5001"/>
        <v>POLYCARPE</v>
      </c>
      <c r="D13810">
        <f>11</f>
        <v>11</v>
      </c>
      <c r="E13810" t="str">
        <f>"08 - B - 101 - Samantha L Martinez"</f>
        <v>08 - B - 101 - Samantha L Martinez</v>
      </c>
      <c r="F13810" t="str">
        <f>"VOCAL ENS 3"</f>
        <v>VOCAL ENS 3</v>
      </c>
      <c r="G13810" t="str">
        <f>"05-505"</f>
        <v>05-505</v>
      </c>
      <c r="H13810" t="str">
        <f>"B"</f>
        <v>B</v>
      </c>
    </row>
    <row r="13811" spans="1:8" x14ac:dyDescent="0.2">
      <c r="A13811" t="str">
        <f t="shared" ref="A13811:A13818" si="5002">"0625030694"</f>
        <v>0625030694</v>
      </c>
      <c r="B13811" t="str">
        <f t="shared" ref="B13811:B13818" si="5003">"HADASSA"</f>
        <v>HADASSA</v>
      </c>
      <c r="C13811" t="str">
        <f t="shared" ref="C13811:C13818" si="5004">"POLYNICE"</f>
        <v>POLYNICE</v>
      </c>
      <c r="D13811">
        <f>10</f>
        <v>10</v>
      </c>
      <c r="E13811" t="str">
        <f>"04 - A - 004 - Krystal Marie  Beruty"</f>
        <v>04 - A - 004 - Krystal Marie  Beruty</v>
      </c>
      <c r="F13811" t="str">
        <f>"AICE GLBL PERSP 1 AS"</f>
        <v>AICE GLBL PERSP 1 AS</v>
      </c>
      <c r="G13811" t="str">
        <f>"17-1721"</f>
        <v>17-1721</v>
      </c>
      <c r="H13811" t="str">
        <f>"A"</f>
        <v>A</v>
      </c>
    </row>
    <row r="13812" spans="1:8" x14ac:dyDescent="0.2">
      <c r="A13812" t="str">
        <f t="shared" si="5002"/>
        <v>0625030694</v>
      </c>
      <c r="B13812" t="str">
        <f t="shared" si="5003"/>
        <v>HADASSA</v>
      </c>
      <c r="C13812" t="str">
        <f t="shared" si="5004"/>
        <v>POLYNICE</v>
      </c>
      <c r="D13812">
        <f>10</f>
        <v>10</v>
      </c>
      <c r="E13812" t="str">
        <f>"06 - B - 110 - Jerry S Jiampetti"</f>
        <v>06 - B - 110 - Jerry S Jiampetti</v>
      </c>
      <c r="F13812" t="str">
        <f>"NC STUDY HALL 1"</f>
        <v>NC STUDY HALL 1</v>
      </c>
      <c r="G13812" t="str">
        <f>"17-1751"</f>
        <v>17-1751</v>
      </c>
      <c r="H13812" t="str">
        <f>"B"</f>
        <v>B</v>
      </c>
    </row>
    <row r="13813" spans="1:8" x14ac:dyDescent="0.2">
      <c r="A13813" t="str">
        <f t="shared" si="5002"/>
        <v>0625030694</v>
      </c>
      <c r="B13813" t="str">
        <f t="shared" si="5003"/>
        <v>HADASSA</v>
      </c>
      <c r="C13813" t="str">
        <f t="shared" si="5004"/>
        <v>POLYNICE</v>
      </c>
      <c r="D13813">
        <f>10</f>
        <v>10</v>
      </c>
      <c r="E13813" t="str">
        <f>"03 - A - 202 - Cheryl L Beach"</f>
        <v>03 - A - 202 - Cheryl L Beach</v>
      </c>
      <c r="F13813" t="str">
        <f>"AICE ENV MGMNT AS"</f>
        <v>AICE ENV MGMNT AS</v>
      </c>
      <c r="G13813" t="str">
        <f>"08-811"</f>
        <v>08-811</v>
      </c>
      <c r="H13813" t="str">
        <f>"A"</f>
        <v>A</v>
      </c>
    </row>
    <row r="13814" spans="1:8" x14ac:dyDescent="0.2">
      <c r="A13814" t="str">
        <f t="shared" si="5002"/>
        <v>0625030694</v>
      </c>
      <c r="B13814" t="str">
        <f t="shared" si="5003"/>
        <v>HADASSA</v>
      </c>
      <c r="C13814" t="str">
        <f t="shared" si="5004"/>
        <v>POLYNICE</v>
      </c>
      <c r="D13814">
        <f>10</f>
        <v>10</v>
      </c>
      <c r="E13814" t="str">
        <f>"02 - A - 104 - Joe  Kilpatrick Jr"</f>
        <v>02 - A - 104 - Joe  Kilpatrick Jr</v>
      </c>
      <c r="F13814" t="str">
        <f>"PRE-AICE SPAN 2 IG"</f>
        <v>PRE-AICE SPAN 2 IG</v>
      </c>
      <c r="G13814" t="str">
        <f>"09-912"</f>
        <v>09-912</v>
      </c>
      <c r="H13814" t="str">
        <f>"A"</f>
        <v>A</v>
      </c>
    </row>
    <row r="13815" spans="1:8" x14ac:dyDescent="0.2">
      <c r="A13815" t="str">
        <f t="shared" si="5002"/>
        <v>0625030694</v>
      </c>
      <c r="B13815" t="str">
        <f t="shared" si="5003"/>
        <v>HADASSA</v>
      </c>
      <c r="C13815" t="str">
        <f t="shared" si="5004"/>
        <v>POLYNICE</v>
      </c>
      <c r="D13815">
        <f>10</f>
        <v>10</v>
      </c>
      <c r="E13815" t="str">
        <f>"07 - B - 107 - Marius D Orsolini"</f>
        <v>07 - B - 107 - Marius D Orsolini</v>
      </c>
      <c r="F13815" t="str">
        <f>"CULINARY ARTS 1"</f>
        <v>CULINARY ARTS 1</v>
      </c>
      <c r="G13815" t="str">
        <f>"21-2115"</f>
        <v>21-2115</v>
      </c>
      <c r="H13815" t="str">
        <f>"B"</f>
        <v>B</v>
      </c>
    </row>
    <row r="13816" spans="1:8" x14ac:dyDescent="0.2">
      <c r="A13816" t="str">
        <f t="shared" si="5002"/>
        <v>0625030694</v>
      </c>
      <c r="B13816" t="str">
        <f t="shared" si="5003"/>
        <v>HADASSA</v>
      </c>
      <c r="C13816" t="str">
        <f t="shared" si="5004"/>
        <v>POLYNICE</v>
      </c>
      <c r="D13816">
        <f>10</f>
        <v>10</v>
      </c>
      <c r="E13816" t="str">
        <f>"05 - B - 104 - Lourivaldo  Da Silva"</f>
        <v>05 - B - 104 - Lourivaldo  Da Silva</v>
      </c>
      <c r="F13816" t="str">
        <f>"PRE-CALCULUS HON"</f>
        <v>PRE-CALCULUS HON</v>
      </c>
      <c r="G13816" t="str">
        <f>"20-2079"</f>
        <v>20-2079</v>
      </c>
      <c r="H13816" t="str">
        <f>"B"</f>
        <v>B</v>
      </c>
    </row>
    <row r="13817" spans="1:8" x14ac:dyDescent="0.2">
      <c r="A13817" t="str">
        <f t="shared" si="5002"/>
        <v>0625030694</v>
      </c>
      <c r="B13817" t="str">
        <f t="shared" si="5003"/>
        <v>HADASSA</v>
      </c>
      <c r="C13817" t="str">
        <f t="shared" si="5004"/>
        <v>POLYNICE</v>
      </c>
      <c r="D13817">
        <f>10</f>
        <v>10</v>
      </c>
      <c r="E13817" t="str">
        <f>"01 - A - 201 - Chrystina M Marchionne"</f>
        <v>01 - A - 201 - Chrystina M Marchionne</v>
      </c>
      <c r="F13817" t="str">
        <f>"AICE MEDIASTUDIES AS"</f>
        <v>AICE MEDIASTUDIES AS</v>
      </c>
      <c r="G13817" t="str">
        <f>"05-520"</f>
        <v>05-520</v>
      </c>
      <c r="H13817" t="str">
        <f>"A"</f>
        <v>A</v>
      </c>
    </row>
    <row r="13818" spans="1:8" x14ac:dyDescent="0.2">
      <c r="A13818" t="str">
        <f t="shared" si="5002"/>
        <v>0625030694</v>
      </c>
      <c r="B13818" t="str">
        <f t="shared" si="5003"/>
        <v>HADASSA</v>
      </c>
      <c r="C13818" t="str">
        <f t="shared" si="5004"/>
        <v>POLYNICE</v>
      </c>
      <c r="D13818">
        <f>10</f>
        <v>10</v>
      </c>
      <c r="E13818" t="str">
        <f>"08 - B - 102 - Jacquelyn M Neeson"</f>
        <v>08 - B - 102 - Jacquelyn M Neeson</v>
      </c>
      <c r="F13818" t="str">
        <f>"AICE ENG GEN PAPER 1"</f>
        <v>AICE ENG GEN PAPER 1</v>
      </c>
      <c r="G13818" t="str">
        <f>"17-1715"</f>
        <v>17-1715</v>
      </c>
      <c r="H13818" t="str">
        <f>"B"</f>
        <v>B</v>
      </c>
    </row>
    <row r="13819" spans="1:8" x14ac:dyDescent="0.2">
      <c r="A13819" t="str">
        <f t="shared" ref="A13819:A13826" si="5005">"0617037131"</f>
        <v>0617037131</v>
      </c>
      <c r="B13819" t="str">
        <f t="shared" ref="B13819:B13826" si="5006">"ADAN"</f>
        <v>ADAN</v>
      </c>
      <c r="C13819" t="str">
        <f t="shared" ref="C13819:C13826" si="5007">"PONCE DE LEON"</f>
        <v>PONCE DE LEON</v>
      </c>
      <c r="D13819" t="str">
        <f t="shared" ref="D13819:D13826" si="5008">"09"</f>
        <v>09</v>
      </c>
      <c r="E13819" t="str">
        <f>"04 - A - 004 - Krystal Marie  Beruty"</f>
        <v>04 - A - 004 - Krystal Marie  Beruty</v>
      </c>
      <c r="F13819" t="str">
        <f>"AICE GLBL PERSP 1 AS"</f>
        <v>AICE GLBL PERSP 1 AS</v>
      </c>
      <c r="G13819" t="str">
        <f>"17-1721"</f>
        <v>17-1721</v>
      </c>
      <c r="H13819" t="str">
        <f>"A"</f>
        <v>A</v>
      </c>
    </row>
    <row r="13820" spans="1:8" x14ac:dyDescent="0.2">
      <c r="A13820" t="str">
        <f t="shared" si="5005"/>
        <v>0617037131</v>
      </c>
      <c r="B13820" t="str">
        <f t="shared" si="5006"/>
        <v>ADAN</v>
      </c>
      <c r="C13820" t="str">
        <f t="shared" si="5007"/>
        <v>PONCE DE LEON</v>
      </c>
      <c r="D13820" t="str">
        <f t="shared" si="5008"/>
        <v>09</v>
      </c>
      <c r="E13820" t="str">
        <f>"06 - B - 104 - Byron G Montenegro"</f>
        <v>06 - B - 104 - Byron G Montenegro</v>
      </c>
      <c r="F13820" t="str">
        <f>"AICE MARINE SCI 1 AS"</f>
        <v>AICE MARINE SCI 1 AS</v>
      </c>
      <c r="G13820" t="str">
        <f>"21-2144"</f>
        <v>21-2144</v>
      </c>
      <c r="H13820" t="str">
        <f>"B"</f>
        <v>B</v>
      </c>
    </row>
    <row r="13821" spans="1:8" x14ac:dyDescent="0.2">
      <c r="A13821" t="str">
        <f t="shared" si="5005"/>
        <v>0617037131</v>
      </c>
      <c r="B13821" t="str">
        <f t="shared" si="5006"/>
        <v>ADAN</v>
      </c>
      <c r="C13821" t="str">
        <f t="shared" si="5007"/>
        <v>PONCE DE LEON</v>
      </c>
      <c r="D13821" t="str">
        <f t="shared" si="5008"/>
        <v>09</v>
      </c>
      <c r="E13821" t="str">
        <f>"03 - A - 103 - Adam Marcus  Drucker"</f>
        <v>03 - A - 103 - Adam Marcus  Drucker</v>
      </c>
      <c r="F13821" t="str">
        <f>"HOPE-PE V"</f>
        <v>HOPE-PE V</v>
      </c>
      <c r="G13821" t="str">
        <f>"04-254"</f>
        <v>04-254</v>
      </c>
      <c r="H13821" t="str">
        <f>"A"</f>
        <v>A</v>
      </c>
    </row>
    <row r="13822" spans="1:8" x14ac:dyDescent="0.2">
      <c r="A13822" t="str">
        <f t="shared" si="5005"/>
        <v>0617037131</v>
      </c>
      <c r="B13822" t="str">
        <f t="shared" si="5006"/>
        <v>ADAN</v>
      </c>
      <c r="C13822" t="str">
        <f t="shared" si="5007"/>
        <v>PONCE DE LEON</v>
      </c>
      <c r="D13822" t="str">
        <f t="shared" si="5008"/>
        <v>09</v>
      </c>
      <c r="E13822" t="str">
        <f>"02 - A - 116 - Tina L Lovett"</f>
        <v>02 - A - 116 - Tina L Lovett</v>
      </c>
      <c r="F13822" t="str">
        <f>"NC STUDY HALL 1"</f>
        <v>NC STUDY HALL 1</v>
      </c>
      <c r="G13822" t="str">
        <f>"21-2153"</f>
        <v>21-2153</v>
      </c>
      <c r="H13822" t="str">
        <f>"A"</f>
        <v>A</v>
      </c>
    </row>
    <row r="13823" spans="1:8" x14ac:dyDescent="0.2">
      <c r="A13823" t="str">
        <f t="shared" si="5005"/>
        <v>0617037131</v>
      </c>
      <c r="B13823" t="str">
        <f t="shared" si="5006"/>
        <v>ADAN</v>
      </c>
      <c r="C13823" t="str">
        <f t="shared" si="5007"/>
        <v>PONCE DE LEON</v>
      </c>
      <c r="D13823" t="str">
        <f t="shared" si="5008"/>
        <v>09</v>
      </c>
      <c r="E13823" t="str">
        <f>"07 - B - 002 - Rachel M Montrose"</f>
        <v>07 - B - 002 - Rachel M Montrose</v>
      </c>
      <c r="F13823" t="str">
        <f>"JOURN 1 (NP) LH"</f>
        <v>JOURN 1 (NP) LH</v>
      </c>
      <c r="G13823" t="str">
        <f>"05-521"</f>
        <v>05-521</v>
      </c>
      <c r="H13823" t="str">
        <f>"B"</f>
        <v>B</v>
      </c>
    </row>
    <row r="13824" spans="1:8" x14ac:dyDescent="0.2">
      <c r="A13824" t="str">
        <f t="shared" si="5005"/>
        <v>0617037131</v>
      </c>
      <c r="B13824" t="str">
        <f t="shared" si="5006"/>
        <v>ADAN</v>
      </c>
      <c r="C13824" t="str">
        <f t="shared" si="5007"/>
        <v>PONCE DE LEON</v>
      </c>
      <c r="D13824" t="str">
        <f t="shared" si="5008"/>
        <v>09</v>
      </c>
      <c r="E13824" t="str">
        <f>"05 - B - 101 - Arthur  Kulawik"</f>
        <v>05 - B - 101 - Arthur  Kulawik</v>
      </c>
      <c r="F13824" t="str">
        <f>"DEBATE 2 LH"</f>
        <v>DEBATE 2 LH</v>
      </c>
      <c r="G13824" t="str">
        <f>"05-506"</f>
        <v>05-506</v>
      </c>
      <c r="H13824" t="str">
        <f>"B"</f>
        <v>B</v>
      </c>
    </row>
    <row r="13825" spans="1:8" x14ac:dyDescent="0.2">
      <c r="A13825" t="str">
        <f t="shared" si="5005"/>
        <v>0617037131</v>
      </c>
      <c r="B13825" t="str">
        <f t="shared" si="5006"/>
        <v>ADAN</v>
      </c>
      <c r="C13825" t="str">
        <f t="shared" si="5007"/>
        <v>PONCE DE LEON</v>
      </c>
      <c r="D13825" t="str">
        <f t="shared" si="5008"/>
        <v>09</v>
      </c>
      <c r="E13825" t="str">
        <f>"01 - A - 101 - Elizabeth R Walker"</f>
        <v>01 - A - 101 - Elizabeth R Walker</v>
      </c>
      <c r="F13825" t="str">
        <f>"AICE ENG GEN PAPER 1"</f>
        <v>AICE ENG GEN PAPER 1</v>
      </c>
      <c r="G13825" t="str">
        <f>"17-1703"</f>
        <v>17-1703</v>
      </c>
      <c r="H13825" t="str">
        <f>"A"</f>
        <v>A</v>
      </c>
    </row>
    <row r="13826" spans="1:8" x14ac:dyDescent="0.2">
      <c r="A13826" t="str">
        <f t="shared" si="5005"/>
        <v>0617037131</v>
      </c>
      <c r="B13826" t="str">
        <f t="shared" si="5006"/>
        <v>ADAN</v>
      </c>
      <c r="C13826" t="str">
        <f t="shared" si="5007"/>
        <v>PONCE DE LEON</v>
      </c>
      <c r="D13826" t="str">
        <f t="shared" si="5008"/>
        <v>09</v>
      </c>
      <c r="E13826" t="str">
        <f>"08 - B - 102 - Maried P Ramos"</f>
        <v>08 - B - 102 - Maried P Ramos</v>
      </c>
      <c r="F13826" t="str">
        <f>"ALGEBRA 2 HON"</f>
        <v>ALGEBRA 2 HON</v>
      </c>
      <c r="G13826" t="str">
        <f>"21-2159"</f>
        <v>21-2159</v>
      </c>
      <c r="H13826" t="str">
        <f>"B"</f>
        <v>B</v>
      </c>
    </row>
    <row r="13827" spans="1:8" x14ac:dyDescent="0.2">
      <c r="A13827" t="str">
        <f t="shared" ref="A13827:A13834" si="5009">"0615100787"</f>
        <v>0615100787</v>
      </c>
      <c r="B13827" t="str">
        <f t="shared" ref="B13827:B13834" si="5010">"KRISTINA"</f>
        <v>KRISTINA</v>
      </c>
      <c r="C13827" t="str">
        <f t="shared" ref="C13827:C13834" si="5011">"PONYATOVSKY"</f>
        <v>PONYATOVSKY</v>
      </c>
      <c r="D13827">
        <f>10</f>
        <v>10</v>
      </c>
      <c r="E13827" t="str">
        <f>"04 - A - 102 - Samantha J Headley"</f>
        <v>04 - A - 102 - Samantha J Headley</v>
      </c>
      <c r="F13827" t="str">
        <f>"MARINE SCI 1 HON"</f>
        <v>MARINE SCI 1 HON</v>
      </c>
      <c r="G13827" t="str">
        <f>"21-2134"</f>
        <v>21-2134</v>
      </c>
      <c r="H13827" t="str">
        <f>"A"</f>
        <v>A</v>
      </c>
    </row>
    <row r="13828" spans="1:8" x14ac:dyDescent="0.2">
      <c r="A13828" t="str">
        <f t="shared" si="5009"/>
        <v>0615100787</v>
      </c>
      <c r="B13828" t="str">
        <f t="shared" si="5010"/>
        <v>KRISTINA</v>
      </c>
      <c r="C13828" t="str">
        <f t="shared" si="5011"/>
        <v>PONYATOVSKY</v>
      </c>
      <c r="D13828">
        <f>10</f>
        <v>10</v>
      </c>
      <c r="E13828" t="str">
        <f>"06 - B - 115 - Scott A Dethloff"</f>
        <v>06 - B - 115 - Scott A Dethloff</v>
      </c>
      <c r="F13828" t="str">
        <f>"NC STUDY HALL 1"</f>
        <v>NC STUDY HALL 1</v>
      </c>
      <c r="G13828" t="str">
        <f>"08-812"</f>
        <v>08-812</v>
      </c>
      <c r="H13828" t="str">
        <f>"B"</f>
        <v>B</v>
      </c>
    </row>
    <row r="13829" spans="1:8" x14ac:dyDescent="0.2">
      <c r="A13829" t="str">
        <f t="shared" si="5009"/>
        <v>0615100787</v>
      </c>
      <c r="B13829" t="str">
        <f t="shared" si="5010"/>
        <v>KRISTINA</v>
      </c>
      <c r="C13829" t="str">
        <f t="shared" si="5011"/>
        <v>PONYATOVSKY</v>
      </c>
      <c r="D13829">
        <f>10</f>
        <v>10</v>
      </c>
      <c r="E13829" t="str">
        <f>"03 - A - 002 - Nikiel  Nesbeth"</f>
        <v>03 - A - 002 - Nikiel  Nesbeth</v>
      </c>
      <c r="F13829" t="str">
        <f>"PRE-AICE ENG LIT IG"</f>
        <v>PRE-AICE ENG LIT IG</v>
      </c>
      <c r="G13829" t="str">
        <f>"17-1705"</f>
        <v>17-1705</v>
      </c>
      <c r="H13829" t="str">
        <f>"A"</f>
        <v>A</v>
      </c>
    </row>
    <row r="13830" spans="1:8" x14ac:dyDescent="0.2">
      <c r="A13830" t="str">
        <f t="shared" si="5009"/>
        <v>0615100787</v>
      </c>
      <c r="B13830" t="str">
        <f t="shared" si="5010"/>
        <v>KRISTINA</v>
      </c>
      <c r="C13830" t="str">
        <f t="shared" si="5011"/>
        <v>PONYATOVSKY</v>
      </c>
      <c r="D13830">
        <f>10</f>
        <v>10</v>
      </c>
      <c r="E13830" t="str">
        <f>"02 - A - 101 - Brian M Fitzgerald"</f>
        <v>02 - A - 101 - Brian M Fitzgerald</v>
      </c>
      <c r="F13830" t="str">
        <f>"DRAW 1"</f>
        <v>DRAW 1</v>
      </c>
      <c r="G13830" t="str">
        <f>"09-908"</f>
        <v>09-908</v>
      </c>
      <c r="H13830" t="str">
        <f>"A"</f>
        <v>A</v>
      </c>
    </row>
    <row r="13831" spans="1:8" x14ac:dyDescent="0.2">
      <c r="A13831" t="str">
        <f t="shared" si="5009"/>
        <v>0615100787</v>
      </c>
      <c r="B13831" t="str">
        <f t="shared" si="5010"/>
        <v>KRISTINA</v>
      </c>
      <c r="C13831" t="str">
        <f t="shared" si="5011"/>
        <v>PONYATOVSKY</v>
      </c>
      <c r="D13831">
        <f>10</f>
        <v>10</v>
      </c>
      <c r="E13831" t="str">
        <f>"07 - B - 105 - Joe  Kilpatrick Jr"</f>
        <v>07 - B - 105 - Joe  Kilpatrick Jr</v>
      </c>
      <c r="F13831" t="str">
        <f>"PRE-AICE SPAN 1 IG"</f>
        <v>PRE-AICE SPAN 1 IG</v>
      </c>
      <c r="G13831" t="str">
        <f>"09-912"</f>
        <v>09-912</v>
      </c>
      <c r="H13831" t="str">
        <f>"B"</f>
        <v>B</v>
      </c>
    </row>
    <row r="13832" spans="1:8" x14ac:dyDescent="0.2">
      <c r="A13832" t="str">
        <f t="shared" si="5009"/>
        <v>0615100787</v>
      </c>
      <c r="B13832" t="str">
        <f t="shared" si="5010"/>
        <v>KRISTINA</v>
      </c>
      <c r="C13832" t="str">
        <f t="shared" si="5011"/>
        <v>PONYATOVSKY</v>
      </c>
      <c r="D13832">
        <f>10</f>
        <v>10</v>
      </c>
      <c r="E13832" t="str">
        <f>"05 - B - 103 - Brook E Goren"</f>
        <v>05 - B - 103 - Brook E Goren</v>
      </c>
      <c r="F13832" t="str">
        <f>"PRE-AICE MATH 2 IG"</f>
        <v>PRE-AICE MATH 2 IG</v>
      </c>
      <c r="G13832" t="str">
        <f>"21-2158"</f>
        <v>21-2158</v>
      </c>
      <c r="H13832" t="str">
        <f>"B"</f>
        <v>B</v>
      </c>
    </row>
    <row r="13833" spans="1:8" x14ac:dyDescent="0.2">
      <c r="A13833" t="str">
        <f t="shared" si="5009"/>
        <v>0615100787</v>
      </c>
      <c r="B13833" t="str">
        <f t="shared" si="5010"/>
        <v>KRISTINA</v>
      </c>
      <c r="C13833" t="str">
        <f t="shared" si="5011"/>
        <v>PONYATOVSKY</v>
      </c>
      <c r="D13833">
        <f>10</f>
        <v>10</v>
      </c>
      <c r="E13833" t="str">
        <f>"01 - A - 101 - Adam Marcus  Drucker"</f>
        <v>01 - A - 101 - Adam Marcus  Drucker</v>
      </c>
      <c r="F13833" t="str">
        <f>"HOPE-PE V"</f>
        <v>HOPE-PE V</v>
      </c>
      <c r="G13833" t="str">
        <f>"04-254"</f>
        <v>04-254</v>
      </c>
      <c r="H13833" t="str">
        <f>"A"</f>
        <v>A</v>
      </c>
    </row>
    <row r="13834" spans="1:8" x14ac:dyDescent="0.2">
      <c r="A13834" t="str">
        <f t="shared" si="5009"/>
        <v>0615100787</v>
      </c>
      <c r="B13834" t="str">
        <f t="shared" si="5010"/>
        <v>KRISTINA</v>
      </c>
      <c r="C13834" t="str">
        <f t="shared" si="5011"/>
        <v>PONYATOVSKY</v>
      </c>
      <c r="D13834">
        <f>10</f>
        <v>10</v>
      </c>
      <c r="E13834" t="str">
        <f>"08 - S1 - B - 001 - Carol S Moore"</f>
        <v>08 - S1 - B - 001 - Carol S Moore</v>
      </c>
      <c r="F13834" t="str">
        <f>"PER CAR SCH DEV 1 LH"</f>
        <v>PER CAR SCH DEV 1 LH</v>
      </c>
      <c r="G13834" t="str">
        <f>"17-1733"</f>
        <v>17-1733</v>
      </c>
      <c r="H13834" t="str">
        <f>"B"</f>
        <v>B</v>
      </c>
    </row>
    <row r="13835" spans="1:8" x14ac:dyDescent="0.2">
      <c r="A13835" t="str">
        <f t="shared" ref="A13835:A13842" si="5012">"0622009382"</f>
        <v>0622009382</v>
      </c>
      <c r="B13835" t="str">
        <f t="shared" ref="B13835:B13842" si="5013">"AIDAN"</f>
        <v>AIDAN</v>
      </c>
      <c r="C13835" t="str">
        <f t="shared" ref="C13835:C13842" si="5014">"POOLE"</f>
        <v>POOLE</v>
      </c>
      <c r="D13835">
        <f>12</f>
        <v>12</v>
      </c>
      <c r="E13835" t="str">
        <f>"04 - A - 102 - Daniel S Katz"</f>
        <v>04 - A - 102 - Daniel S Katz</v>
      </c>
      <c r="F13835" t="str">
        <f>"AICE DRAMA 1 AS LEV"</f>
        <v>AICE DRAMA 1 AS LEV</v>
      </c>
      <c r="G13835" t="str">
        <f>"05-521"</f>
        <v>05-521</v>
      </c>
      <c r="H13835" t="str">
        <f>"A"</f>
        <v>A</v>
      </c>
    </row>
    <row r="13836" spans="1:8" x14ac:dyDescent="0.2">
      <c r="A13836" t="str">
        <f t="shared" si="5012"/>
        <v>0622009382</v>
      </c>
      <c r="B13836" t="str">
        <f t="shared" si="5013"/>
        <v>AIDAN</v>
      </c>
      <c r="C13836" t="str">
        <f t="shared" si="5014"/>
        <v>POOLE</v>
      </c>
      <c r="D13836">
        <f>12</f>
        <v>12</v>
      </c>
      <c r="E13836" t="str">
        <f>"06 - B - 110 - Barbara L Segal"</f>
        <v>06 - B - 110 - Barbara L Segal</v>
      </c>
      <c r="F13836" t="str">
        <f>"NC STUDY HALL 1"</f>
        <v>NC STUDY HALL 1</v>
      </c>
      <c r="G13836" t="str">
        <f>"17-1742"</f>
        <v>17-1742</v>
      </c>
      <c r="H13836" t="str">
        <f>"B"</f>
        <v>B</v>
      </c>
    </row>
    <row r="13837" spans="1:8" x14ac:dyDescent="0.2">
      <c r="A13837" t="str">
        <f t="shared" si="5012"/>
        <v>0622009382</v>
      </c>
      <c r="B13837" t="str">
        <f t="shared" si="5013"/>
        <v>AIDAN</v>
      </c>
      <c r="C13837" t="str">
        <f t="shared" si="5014"/>
        <v>POOLE</v>
      </c>
      <c r="D13837">
        <f>12</f>
        <v>12</v>
      </c>
      <c r="E13837" t="str">
        <f>"03 - A - 101 - Lisa J London"</f>
        <v>03 - A - 101 - Lisa J London</v>
      </c>
      <c r="F13837" t="str">
        <f>"AP CAPSTONE RESEARCH"</f>
        <v>AP CAPSTONE RESEARCH</v>
      </c>
      <c r="G13837" t="str">
        <f>"17-1714"</f>
        <v>17-1714</v>
      </c>
      <c r="H13837" t="str">
        <f>"A"</f>
        <v>A</v>
      </c>
    </row>
    <row r="13838" spans="1:8" x14ac:dyDescent="0.2">
      <c r="A13838" t="str">
        <f t="shared" si="5012"/>
        <v>0622009382</v>
      </c>
      <c r="B13838" t="str">
        <f t="shared" si="5013"/>
        <v>AIDAN</v>
      </c>
      <c r="C13838" t="str">
        <f t="shared" si="5014"/>
        <v>POOLE</v>
      </c>
      <c r="D13838">
        <f>12</f>
        <v>12</v>
      </c>
      <c r="E13838" t="str">
        <f>"02 - A - 102 - Marielle A Witting"</f>
        <v>02 - A - 102 - Marielle A Witting</v>
      </c>
      <c r="F13838" t="str">
        <f>"AP BIO"</f>
        <v>AP BIO</v>
      </c>
      <c r="G13838" t="str">
        <f>"08-805"</f>
        <v>08-805</v>
      </c>
      <c r="H13838" t="str">
        <f>"A"</f>
        <v>A</v>
      </c>
    </row>
    <row r="13839" spans="1:8" x14ac:dyDescent="0.2">
      <c r="A13839" t="str">
        <f t="shared" si="5012"/>
        <v>0622009382</v>
      </c>
      <c r="B13839" t="str">
        <f t="shared" si="5013"/>
        <v>AIDAN</v>
      </c>
      <c r="C13839" t="str">
        <f t="shared" si="5014"/>
        <v>POOLE</v>
      </c>
      <c r="D13839">
        <f>12</f>
        <v>12</v>
      </c>
      <c r="E13839" t="str">
        <f>"07 - B - 102 - Courtney E Hambright"</f>
        <v>07 - B - 102 - Courtney E Hambright</v>
      </c>
      <c r="F13839" t="str">
        <f>"AP ENG LIT COMPO"</f>
        <v>AP ENG LIT COMPO</v>
      </c>
      <c r="G13839" t="str">
        <f>"17-1711"</f>
        <v>17-1711</v>
      </c>
      <c r="H13839" t="str">
        <f>"B"</f>
        <v>B</v>
      </c>
    </row>
    <row r="13840" spans="1:8" x14ac:dyDescent="0.2">
      <c r="A13840" t="str">
        <f t="shared" si="5012"/>
        <v>0622009382</v>
      </c>
      <c r="B13840" t="str">
        <f t="shared" si="5013"/>
        <v>AIDAN</v>
      </c>
      <c r="C13840" t="str">
        <f t="shared" si="5014"/>
        <v>POOLE</v>
      </c>
      <c r="D13840">
        <f>12</f>
        <v>12</v>
      </c>
      <c r="E13840" t="str">
        <f>"05 - S1 - B - 103 - Stephen T Ripp"</f>
        <v>05 - S1 - B - 103 - Stephen T Ripp</v>
      </c>
      <c r="F13840" t="str">
        <f>"AP US GOVT/POL"</f>
        <v>AP US GOVT/POL</v>
      </c>
      <c r="G13840" t="str">
        <f>"17-1744"</f>
        <v>17-1744</v>
      </c>
      <c r="H13840" t="str">
        <f>"B"</f>
        <v>B</v>
      </c>
    </row>
    <row r="13841" spans="1:8" x14ac:dyDescent="0.2">
      <c r="A13841" t="str">
        <f t="shared" si="5012"/>
        <v>0622009382</v>
      </c>
      <c r="B13841" t="str">
        <f t="shared" si="5013"/>
        <v>AIDAN</v>
      </c>
      <c r="C13841" t="str">
        <f t="shared" si="5014"/>
        <v>POOLE</v>
      </c>
      <c r="D13841">
        <f>12</f>
        <v>12</v>
      </c>
      <c r="E13841" t="str">
        <f>"01 - A - 201 - Pamela M Corzo"</f>
        <v>01 - A - 201 - Pamela M Corzo</v>
      </c>
      <c r="F13841" t="str">
        <f>"AP CALCULUS BC"</f>
        <v>AP CALCULUS BC</v>
      </c>
      <c r="G13841" t="str">
        <f>"21-2133"</f>
        <v>21-2133</v>
      </c>
      <c r="H13841" t="str">
        <f>"A"</f>
        <v>A</v>
      </c>
    </row>
    <row r="13842" spans="1:8" x14ac:dyDescent="0.2">
      <c r="A13842" t="str">
        <f t="shared" si="5012"/>
        <v>0622009382</v>
      </c>
      <c r="B13842" t="str">
        <f t="shared" si="5013"/>
        <v>AIDAN</v>
      </c>
      <c r="C13842" t="str">
        <f t="shared" si="5014"/>
        <v>POOLE</v>
      </c>
      <c r="D13842">
        <f>12</f>
        <v>12</v>
      </c>
      <c r="E13842" t="str">
        <f>"08 - B - 102 - Pamela M Corzo"</f>
        <v>08 - B - 102 - Pamela M Corzo</v>
      </c>
      <c r="F13842" t="str">
        <f>"AP STAT"</f>
        <v>AP STAT</v>
      </c>
      <c r="G13842" t="str">
        <f>"21-2133"</f>
        <v>21-2133</v>
      </c>
      <c r="H13842" t="str">
        <f>"B"</f>
        <v>B</v>
      </c>
    </row>
    <row r="13843" spans="1:8" x14ac:dyDescent="0.2">
      <c r="A13843" t="str">
        <f t="shared" ref="A13843:A13850" si="5015">"0614004797"</f>
        <v>0614004797</v>
      </c>
      <c r="B13843" t="str">
        <f t="shared" ref="B13843:B13850" si="5016">"ALEK"</f>
        <v>ALEK</v>
      </c>
      <c r="C13843" t="str">
        <f t="shared" ref="C13843:C13850" si="5017">"POPOVITCH"</f>
        <v>POPOVITCH</v>
      </c>
      <c r="D13843">
        <f>12</f>
        <v>12</v>
      </c>
      <c r="E13843" t="str">
        <f>"04 - A - 103 - Lourivaldo  Da Silva"</f>
        <v>04 - A - 103 - Lourivaldo  Da Silva</v>
      </c>
      <c r="F13843" t="str">
        <f>"PRE-CALCULUS HON"</f>
        <v>PRE-CALCULUS HON</v>
      </c>
      <c r="G13843" t="str">
        <f>"20-2079"</f>
        <v>20-2079</v>
      </c>
      <c r="H13843" t="str">
        <f>"A"</f>
        <v>A</v>
      </c>
    </row>
    <row r="13844" spans="1:8" x14ac:dyDescent="0.2">
      <c r="A13844" t="str">
        <f t="shared" si="5015"/>
        <v>0614004797</v>
      </c>
      <c r="B13844" t="str">
        <f t="shared" si="5016"/>
        <v>ALEK</v>
      </c>
      <c r="C13844" t="str">
        <f t="shared" si="5017"/>
        <v>POPOVITCH</v>
      </c>
      <c r="D13844">
        <f>12</f>
        <v>12</v>
      </c>
      <c r="E13844" t="str">
        <f>"06 - B - 114 - Lisa J London"</f>
        <v>06 - B - 114 - Lisa J London</v>
      </c>
      <c r="F13844" t="str">
        <f>"NC STUDY HALL 1"</f>
        <v>NC STUDY HALL 1</v>
      </c>
      <c r="G13844" t="str">
        <f>"17-1714"</f>
        <v>17-1714</v>
      </c>
      <c r="H13844" t="str">
        <f>"B"</f>
        <v>B</v>
      </c>
    </row>
    <row r="13845" spans="1:8" x14ac:dyDescent="0.2">
      <c r="A13845" t="str">
        <f t="shared" si="5015"/>
        <v>0614004797</v>
      </c>
      <c r="B13845" t="str">
        <f t="shared" si="5016"/>
        <v>ALEK</v>
      </c>
      <c r="C13845" t="str">
        <f t="shared" si="5017"/>
        <v>POPOVITCH</v>
      </c>
      <c r="D13845">
        <f>12</f>
        <v>12</v>
      </c>
      <c r="E13845" t="str">
        <f>"03 - S1 - A - 103 - Richard E Dunbar Iii"</f>
        <v>03 - S1 - A - 103 - Richard E Dunbar Iii</v>
      </c>
      <c r="F13845" t="str">
        <f>"WEIGHT TRAIN 3"</f>
        <v>WEIGHT TRAIN 3</v>
      </c>
      <c r="G13845" t="str">
        <f>"05-501"</f>
        <v>05-501</v>
      </c>
      <c r="H13845" t="str">
        <f>"A"</f>
        <v>A</v>
      </c>
    </row>
    <row r="13846" spans="1:8" x14ac:dyDescent="0.2">
      <c r="A13846" t="str">
        <f t="shared" si="5015"/>
        <v>0614004797</v>
      </c>
      <c r="B13846" t="str">
        <f t="shared" si="5016"/>
        <v>ALEK</v>
      </c>
      <c r="C13846" t="str">
        <f t="shared" si="5017"/>
        <v>POPOVITCH</v>
      </c>
      <c r="D13846">
        <f>12</f>
        <v>12</v>
      </c>
      <c r="E13846" t="str">
        <f>"02 - A - 204 - Jacqueline R Morphet"</f>
        <v>02 - A - 204 - Jacqueline R Morphet</v>
      </c>
      <c r="F13846" t="str">
        <f>"PHYSICS 1 HON"</f>
        <v>PHYSICS 1 HON</v>
      </c>
      <c r="G13846" t="str">
        <f>"21-2138"</f>
        <v>21-2138</v>
      </c>
      <c r="H13846" t="str">
        <f>"A"</f>
        <v>A</v>
      </c>
    </row>
    <row r="13847" spans="1:8" x14ac:dyDescent="0.2">
      <c r="A13847" t="str">
        <f t="shared" si="5015"/>
        <v>0614004797</v>
      </c>
      <c r="B13847" t="str">
        <f t="shared" si="5016"/>
        <v>ALEK</v>
      </c>
      <c r="C13847" t="str">
        <f t="shared" si="5017"/>
        <v>POPOVITCH</v>
      </c>
      <c r="D13847">
        <f>12</f>
        <v>12</v>
      </c>
      <c r="E13847" t="str">
        <f>"07 - B - 102 - Chrystina M Marchionne"</f>
        <v>07 - B - 102 - Chrystina M Marchionne</v>
      </c>
      <c r="F13847" t="str">
        <f>"JOURN 2 (YB) LH"</f>
        <v>JOURN 2 (YB) LH</v>
      </c>
      <c r="G13847" t="str">
        <f>"05-520"</f>
        <v>05-520</v>
      </c>
      <c r="H13847" t="str">
        <f>"B"</f>
        <v>B</v>
      </c>
    </row>
    <row r="13848" spans="1:8" x14ac:dyDescent="0.2">
      <c r="A13848" t="str">
        <f t="shared" si="5015"/>
        <v>0614004797</v>
      </c>
      <c r="B13848" t="str">
        <f t="shared" si="5016"/>
        <v>ALEK</v>
      </c>
      <c r="C13848" t="str">
        <f t="shared" si="5017"/>
        <v>POPOVITCH</v>
      </c>
      <c r="D13848">
        <f>12</f>
        <v>12</v>
      </c>
      <c r="E13848" t="str">
        <f>"05 - B - 104 - Jeffrey S Gallagher"</f>
        <v>05 - B - 104 - Jeffrey S Gallagher</v>
      </c>
      <c r="F13848" t="str">
        <f>"ENG HON 4"</f>
        <v>ENG HON 4</v>
      </c>
      <c r="G13848" t="str">
        <f>"17-1724"</f>
        <v>17-1724</v>
      </c>
      <c r="H13848" t="str">
        <f>"B"</f>
        <v>B</v>
      </c>
    </row>
    <row r="13849" spans="1:8" x14ac:dyDescent="0.2">
      <c r="A13849" t="str">
        <f t="shared" si="5015"/>
        <v>0614004797</v>
      </c>
      <c r="B13849" t="str">
        <f t="shared" si="5016"/>
        <v>ALEK</v>
      </c>
      <c r="C13849" t="str">
        <f t="shared" si="5017"/>
        <v>POPOVITCH</v>
      </c>
      <c r="D13849">
        <f>12</f>
        <v>12</v>
      </c>
      <c r="E13849" t="str">
        <f>"01 - A - 101 - Angela S Adeshina-Morrison"</f>
        <v>01 - A - 101 - Angela S Adeshina-Morrison</v>
      </c>
      <c r="F13849" t="str">
        <f>"MARKETING ESSENTIALS"</f>
        <v>MARKETING ESSENTIALS</v>
      </c>
      <c r="G13849" t="str">
        <f>"05-518"</f>
        <v>05-518</v>
      </c>
      <c r="H13849" t="str">
        <f>"A"</f>
        <v>A</v>
      </c>
    </row>
    <row r="13850" spans="1:8" x14ac:dyDescent="0.2">
      <c r="A13850" t="str">
        <f t="shared" si="5015"/>
        <v>0614004797</v>
      </c>
      <c r="B13850" t="str">
        <f t="shared" si="5016"/>
        <v>ALEK</v>
      </c>
      <c r="C13850" t="str">
        <f t="shared" si="5017"/>
        <v>POPOVITCH</v>
      </c>
      <c r="D13850">
        <f>12</f>
        <v>12</v>
      </c>
      <c r="E13850" t="str">
        <f>"08 - S1 - B - 105 - Kelly N Panza"</f>
        <v>08 - S1 - B - 105 - Kelly N Panza</v>
      </c>
      <c r="F13850" t="str">
        <f>"US GOVT HON"</f>
        <v>US GOVT HON</v>
      </c>
      <c r="G13850" t="str">
        <f>"17-1753"</f>
        <v>17-1753</v>
      </c>
      <c r="H13850" t="str">
        <f>"B"</f>
        <v>B</v>
      </c>
    </row>
    <row r="13851" spans="1:8" x14ac:dyDescent="0.2">
      <c r="A13851" t="str">
        <f t="shared" ref="A13851:A13858" si="5018">"0617029447"</f>
        <v>0617029447</v>
      </c>
      <c r="B13851" t="str">
        <f t="shared" ref="B13851:B13858" si="5019">"RYAN"</f>
        <v>RYAN</v>
      </c>
      <c r="C13851" t="str">
        <f t="shared" ref="C13851:C13866" si="5020">"PORCILE"</f>
        <v>PORCILE</v>
      </c>
      <c r="D13851" t="str">
        <f t="shared" ref="D13851:D13858" si="5021">"09"</f>
        <v>09</v>
      </c>
      <c r="E13851" t="str">
        <f>"04 - A - 101 - Jeanne M Bermudez"</f>
        <v>04 - A - 101 - Jeanne M Bermudez</v>
      </c>
      <c r="F13851" t="str">
        <f>"ADVANCED IT HON"</f>
        <v>ADVANCED IT HON</v>
      </c>
      <c r="G13851" t="str">
        <f>"21-2141"</f>
        <v>21-2141</v>
      </c>
      <c r="H13851" t="str">
        <f>"A"</f>
        <v>A</v>
      </c>
    </row>
    <row r="13852" spans="1:8" x14ac:dyDescent="0.2">
      <c r="A13852" t="str">
        <f t="shared" si="5018"/>
        <v>0617029447</v>
      </c>
      <c r="B13852" t="str">
        <f t="shared" si="5019"/>
        <v>RYAN</v>
      </c>
      <c r="C13852" t="str">
        <f t="shared" si="5020"/>
        <v>PORCILE</v>
      </c>
      <c r="D13852" t="str">
        <f t="shared" si="5021"/>
        <v>09</v>
      </c>
      <c r="E13852" t="str">
        <f>"06 - S1 - B - 104 - Leslie J Barton"</f>
        <v>06 - S1 - B - 104 - Leslie J Barton</v>
      </c>
      <c r="F13852" t="str">
        <f>"FIRST AID SAFETY"</f>
        <v>FIRST AID SAFETY</v>
      </c>
      <c r="G13852" t="str">
        <f>"05-521"</f>
        <v>05-521</v>
      </c>
      <c r="H13852" t="str">
        <f>"B"</f>
        <v>B</v>
      </c>
    </row>
    <row r="13853" spans="1:8" x14ac:dyDescent="0.2">
      <c r="A13853" t="str">
        <f t="shared" si="5018"/>
        <v>0617029447</v>
      </c>
      <c r="B13853" t="str">
        <f t="shared" si="5019"/>
        <v>RYAN</v>
      </c>
      <c r="C13853" t="str">
        <f t="shared" si="5020"/>
        <v>PORCILE</v>
      </c>
      <c r="D13853" t="str">
        <f t="shared" si="5021"/>
        <v>09</v>
      </c>
      <c r="E13853" t="str">
        <f>"03 - A - 001 - Maried P Ramos"</f>
        <v>03 - A - 001 - Maried P Ramos</v>
      </c>
      <c r="F13853" t="str">
        <f>"PRE-AICE MATH 2 IG"</f>
        <v>PRE-AICE MATH 2 IG</v>
      </c>
      <c r="G13853" t="str">
        <f>"21-2159"</f>
        <v>21-2159</v>
      </c>
      <c r="H13853" t="str">
        <f>"A"</f>
        <v>A</v>
      </c>
    </row>
    <row r="13854" spans="1:8" x14ac:dyDescent="0.2">
      <c r="A13854" t="str">
        <f t="shared" si="5018"/>
        <v>0617029447</v>
      </c>
      <c r="B13854" t="str">
        <f t="shared" si="5019"/>
        <v>RYAN</v>
      </c>
      <c r="C13854" t="str">
        <f t="shared" si="5020"/>
        <v>PORCILE</v>
      </c>
      <c r="D13854" t="str">
        <f t="shared" si="5021"/>
        <v>09</v>
      </c>
      <c r="E13854" t="str">
        <f>"02 - A - 105 - Elizabeth R Walker"</f>
        <v>02 - A - 105 - Elizabeth R Walker</v>
      </c>
      <c r="F13854" t="str">
        <f>"NC STUDY HALL 1"</f>
        <v>NC STUDY HALL 1</v>
      </c>
      <c r="G13854" t="str">
        <f>"17-1703"</f>
        <v>17-1703</v>
      </c>
      <c r="H13854" t="str">
        <f>"A"</f>
        <v>A</v>
      </c>
    </row>
    <row r="13855" spans="1:8" x14ac:dyDescent="0.2">
      <c r="A13855" t="str">
        <f t="shared" si="5018"/>
        <v>0617029447</v>
      </c>
      <c r="B13855" t="str">
        <f t="shared" si="5019"/>
        <v>RYAN</v>
      </c>
      <c r="C13855" t="str">
        <f t="shared" si="5020"/>
        <v>PORCILE</v>
      </c>
      <c r="D13855" t="str">
        <f t="shared" si="5021"/>
        <v>09</v>
      </c>
      <c r="E13855" t="str">
        <f>"07 - B - 002 - Rachel M Montrose"</f>
        <v>07 - B - 002 - Rachel M Montrose</v>
      </c>
      <c r="F13855" t="str">
        <f>"JOURN 1 (NP) LH"</f>
        <v>JOURN 1 (NP) LH</v>
      </c>
      <c r="G13855" t="str">
        <f>"05-521"</f>
        <v>05-521</v>
      </c>
      <c r="H13855" t="str">
        <f>"B"</f>
        <v>B</v>
      </c>
    </row>
    <row r="13856" spans="1:8" x14ac:dyDescent="0.2">
      <c r="A13856" t="str">
        <f t="shared" si="5018"/>
        <v>0617029447</v>
      </c>
      <c r="B13856" t="str">
        <f t="shared" si="5019"/>
        <v>RYAN</v>
      </c>
      <c r="C13856" t="str">
        <f t="shared" si="5020"/>
        <v>PORCILE</v>
      </c>
      <c r="D13856" t="str">
        <f t="shared" si="5021"/>
        <v>09</v>
      </c>
      <c r="E13856" t="str">
        <f>"05 - B - 001 - Kelly N Panza"</f>
        <v>05 - B - 001 - Kelly N Panza</v>
      </c>
      <c r="F13856" t="str">
        <f>"AICE GLBL PERSP 1 AS"</f>
        <v>AICE GLBL PERSP 1 AS</v>
      </c>
      <c r="G13856" t="str">
        <f>"17-1753"</f>
        <v>17-1753</v>
      </c>
      <c r="H13856" t="str">
        <f>"B"</f>
        <v>B</v>
      </c>
    </row>
    <row r="13857" spans="1:8" x14ac:dyDescent="0.2">
      <c r="A13857" t="str">
        <f t="shared" si="5018"/>
        <v>0617029447</v>
      </c>
      <c r="B13857" t="str">
        <f t="shared" si="5019"/>
        <v>RYAN</v>
      </c>
      <c r="C13857" t="str">
        <f t="shared" si="5020"/>
        <v>PORCILE</v>
      </c>
      <c r="D13857" t="str">
        <f t="shared" si="5021"/>
        <v>09</v>
      </c>
      <c r="E13857" t="str">
        <f>"01 - A - 201 - Cheryl L Beach"</f>
        <v>01 - A - 201 - Cheryl L Beach</v>
      </c>
      <c r="F13857" t="str">
        <f>"AICE ENV MGMNT AS"</f>
        <v>AICE ENV MGMNT AS</v>
      </c>
      <c r="G13857" t="str">
        <f>"08-811"</f>
        <v>08-811</v>
      </c>
      <c r="H13857" t="str">
        <f>"A"</f>
        <v>A</v>
      </c>
    </row>
    <row r="13858" spans="1:8" x14ac:dyDescent="0.2">
      <c r="A13858" t="str">
        <f t="shared" si="5018"/>
        <v>0617029447</v>
      </c>
      <c r="B13858" t="str">
        <f t="shared" si="5019"/>
        <v>RYAN</v>
      </c>
      <c r="C13858" t="str">
        <f t="shared" si="5020"/>
        <v>PORCILE</v>
      </c>
      <c r="D13858" t="str">
        <f t="shared" si="5021"/>
        <v>09</v>
      </c>
      <c r="E13858" t="str">
        <f>"08 - B - 201 - Elizabeth R Walker"</f>
        <v>08 - B - 201 - Elizabeth R Walker</v>
      </c>
      <c r="F13858" t="str">
        <f>"AICE ENG GEN PAPER 1"</f>
        <v>AICE ENG GEN PAPER 1</v>
      </c>
      <c r="G13858" t="str">
        <f>"17-1703"</f>
        <v>17-1703</v>
      </c>
      <c r="H13858" t="str">
        <f>"B"</f>
        <v>B</v>
      </c>
    </row>
    <row r="13859" spans="1:8" x14ac:dyDescent="0.2">
      <c r="A13859" t="str">
        <f t="shared" ref="A13859:A13866" si="5022">"0616045761"</f>
        <v>0616045761</v>
      </c>
      <c r="B13859" t="str">
        <f t="shared" ref="B13859:B13866" si="5023">"SOPHIA"</f>
        <v>SOPHIA</v>
      </c>
      <c r="C13859" t="str">
        <f t="shared" si="5020"/>
        <v>PORCILE</v>
      </c>
      <c r="D13859">
        <f>10</f>
        <v>10</v>
      </c>
      <c r="E13859" t="str">
        <f>"04 - A - 102 - Daniel S Katz"</f>
        <v>04 - A - 102 - Daniel S Katz</v>
      </c>
      <c r="F13859" t="str">
        <f>"AICE DRAMA 1 AS LEV"</f>
        <v>AICE DRAMA 1 AS LEV</v>
      </c>
      <c r="G13859" t="str">
        <f>"05-521"</f>
        <v>05-521</v>
      </c>
      <c r="H13859" t="str">
        <f>"A"</f>
        <v>A</v>
      </c>
    </row>
    <row r="13860" spans="1:8" x14ac:dyDescent="0.2">
      <c r="A13860" t="str">
        <f t="shared" si="5022"/>
        <v>0616045761</v>
      </c>
      <c r="B13860" t="str">
        <f t="shared" si="5023"/>
        <v>SOPHIA</v>
      </c>
      <c r="C13860" t="str">
        <f t="shared" si="5020"/>
        <v>PORCILE</v>
      </c>
      <c r="D13860">
        <f>10</f>
        <v>10</v>
      </c>
      <c r="E13860" t="str">
        <f>"06 - B - 114 - Richard E Dunbar Iii"</f>
        <v>06 - B - 114 - Richard E Dunbar Iii</v>
      </c>
      <c r="F13860" t="str">
        <f>"NC STUDY HALL 1"</f>
        <v>NC STUDY HALL 1</v>
      </c>
      <c r="G13860" t="str">
        <f>"17-1703"</f>
        <v>17-1703</v>
      </c>
      <c r="H13860" t="str">
        <f>"B"</f>
        <v>B</v>
      </c>
    </row>
    <row r="13861" spans="1:8" x14ac:dyDescent="0.2">
      <c r="A13861" t="str">
        <f t="shared" si="5022"/>
        <v>0616045761</v>
      </c>
      <c r="B13861" t="str">
        <f t="shared" si="5023"/>
        <v>SOPHIA</v>
      </c>
      <c r="C13861" t="str">
        <f t="shared" si="5020"/>
        <v>PORCILE</v>
      </c>
      <c r="D13861">
        <f>10</f>
        <v>10</v>
      </c>
      <c r="E13861" t="str">
        <f>"03 - A - 104 - Brook E Goren"</f>
        <v>03 - A - 104 - Brook E Goren</v>
      </c>
      <c r="F13861" t="str">
        <f>"ALGEBRA 2 HON"</f>
        <v>ALGEBRA 2 HON</v>
      </c>
      <c r="G13861" t="str">
        <f>"21-2158"</f>
        <v>21-2158</v>
      </c>
      <c r="H13861" t="str">
        <f>"A"</f>
        <v>A</v>
      </c>
    </row>
    <row r="13862" spans="1:8" x14ac:dyDescent="0.2">
      <c r="A13862" t="str">
        <f t="shared" si="5022"/>
        <v>0616045761</v>
      </c>
      <c r="B13862" t="str">
        <f t="shared" si="5023"/>
        <v>SOPHIA</v>
      </c>
      <c r="C13862" t="str">
        <f t="shared" si="5020"/>
        <v>PORCILE</v>
      </c>
      <c r="D13862">
        <f>10</f>
        <v>10</v>
      </c>
      <c r="E13862" t="str">
        <f>"02 - A - 102 - Chrystina M Marchionne"</f>
        <v>02 - A - 102 - Chrystina M Marchionne</v>
      </c>
      <c r="F13862" t="str">
        <f>"AICE MEDIASTUDIES AS"</f>
        <v>AICE MEDIASTUDIES AS</v>
      </c>
      <c r="G13862" t="str">
        <f>"05-520"</f>
        <v>05-520</v>
      </c>
      <c r="H13862" t="str">
        <f>"A"</f>
        <v>A</v>
      </c>
    </row>
    <row r="13863" spans="1:8" x14ac:dyDescent="0.2">
      <c r="A13863" t="str">
        <f t="shared" si="5022"/>
        <v>0616045761</v>
      </c>
      <c r="B13863" t="str">
        <f t="shared" si="5023"/>
        <v>SOPHIA</v>
      </c>
      <c r="C13863" t="str">
        <f t="shared" si="5020"/>
        <v>PORCILE</v>
      </c>
      <c r="D13863">
        <f>10</f>
        <v>10</v>
      </c>
      <c r="E13863" t="str">
        <f>"07 - B - 002 - Jordana K Hass"</f>
        <v>07 - B - 002 - Jordana K Hass</v>
      </c>
      <c r="F13863" t="str">
        <f>"CHEMISTRY 1 HON"</f>
        <v>CHEMISTRY 1 HON</v>
      </c>
      <c r="G13863" t="str">
        <f>"08-807"</f>
        <v>08-807</v>
      </c>
      <c r="H13863" t="str">
        <f>"B"</f>
        <v>B</v>
      </c>
    </row>
    <row r="13864" spans="1:8" x14ac:dyDescent="0.2">
      <c r="A13864" t="str">
        <f t="shared" si="5022"/>
        <v>0616045761</v>
      </c>
      <c r="B13864" t="str">
        <f t="shared" si="5023"/>
        <v>SOPHIA</v>
      </c>
      <c r="C13864" t="str">
        <f t="shared" si="5020"/>
        <v>PORCILE</v>
      </c>
      <c r="D13864">
        <f>10</f>
        <v>10</v>
      </c>
      <c r="E13864" t="str">
        <f>"05 - B - 106 - Courtney E Hambright"</f>
        <v>05 - B - 106 - Courtney E Hambright</v>
      </c>
      <c r="F13864" t="str">
        <f>"AICE ENG LANG AS"</f>
        <v>AICE ENG LANG AS</v>
      </c>
      <c r="G13864" t="str">
        <f>"17-1711"</f>
        <v>17-1711</v>
      </c>
      <c r="H13864" t="str">
        <f>"B"</f>
        <v>B</v>
      </c>
    </row>
    <row r="13865" spans="1:8" x14ac:dyDescent="0.2">
      <c r="A13865" t="str">
        <f t="shared" si="5022"/>
        <v>0616045761</v>
      </c>
      <c r="B13865" t="str">
        <f t="shared" si="5023"/>
        <v>SOPHIA</v>
      </c>
      <c r="C13865" t="str">
        <f t="shared" si="5020"/>
        <v>PORCILE</v>
      </c>
      <c r="D13865">
        <f>10</f>
        <v>10</v>
      </c>
      <c r="E13865" t="str">
        <f>"01 - A - 101 - Daniel S Katz"</f>
        <v>01 - A - 101 - Daniel S Katz</v>
      </c>
      <c r="F13865" t="str">
        <f>"EXEC INTERN 3 LH"</f>
        <v>EXEC INTERN 3 LH</v>
      </c>
      <c r="G13865" t="str">
        <f>"21-2156"</f>
        <v>21-2156</v>
      </c>
      <c r="H13865" t="str">
        <f>"A"</f>
        <v>A</v>
      </c>
    </row>
    <row r="13866" spans="1:8" x14ac:dyDescent="0.2">
      <c r="A13866" t="str">
        <f t="shared" si="5022"/>
        <v>0616045761</v>
      </c>
      <c r="B13866" t="str">
        <f t="shared" si="5023"/>
        <v>SOPHIA</v>
      </c>
      <c r="C13866" t="str">
        <f t="shared" si="5020"/>
        <v>PORCILE</v>
      </c>
      <c r="D13866">
        <f>10</f>
        <v>10</v>
      </c>
      <c r="E13866" t="str">
        <f>"08 - B - 201 - Lenecy  Nodarse"</f>
        <v>08 - B - 201 - Lenecy  Nodarse</v>
      </c>
      <c r="F13866" t="str">
        <f>"AICE EURO HIST 1 AS"</f>
        <v>AICE EURO HIST 1 AS</v>
      </c>
      <c r="G13866" t="str">
        <f>"17-1741"</f>
        <v>17-1741</v>
      </c>
      <c r="H13866" t="str">
        <f>"B"</f>
        <v>B</v>
      </c>
    </row>
    <row r="13867" spans="1:8" x14ac:dyDescent="0.2">
      <c r="A13867" t="str">
        <f t="shared" ref="A13867:A13874" si="5024">"0615112323"</f>
        <v>0615112323</v>
      </c>
      <c r="B13867" t="str">
        <f t="shared" ref="B13867:B13874" si="5025">"MALIYAH"</f>
        <v>MALIYAH</v>
      </c>
      <c r="C13867" t="str">
        <f t="shared" ref="C13867:C13874" si="5026">"PORTER"</f>
        <v>PORTER</v>
      </c>
      <c r="D13867" t="str">
        <f t="shared" ref="D13867:D13874" si="5027">"09"</f>
        <v>09</v>
      </c>
      <c r="E13867" t="str">
        <f>"04 - A - 105 - Carol S Moore"</f>
        <v>04 - A - 105 - Carol S Moore</v>
      </c>
      <c r="F13867" t="str">
        <f>"PRE-AICE WRLD HST IG"</f>
        <v>PRE-AICE WRLD HST IG</v>
      </c>
      <c r="G13867" t="str">
        <f>"17-1733"</f>
        <v>17-1733</v>
      </c>
      <c r="H13867" t="str">
        <f>"A"</f>
        <v>A</v>
      </c>
    </row>
    <row r="13868" spans="1:8" x14ac:dyDescent="0.2">
      <c r="A13868" t="str">
        <f t="shared" si="5024"/>
        <v>0615112323</v>
      </c>
      <c r="B13868" t="str">
        <f t="shared" si="5025"/>
        <v>MALIYAH</v>
      </c>
      <c r="C13868" t="str">
        <f t="shared" si="5026"/>
        <v>PORTER</v>
      </c>
      <c r="D13868" t="str">
        <f t="shared" si="5027"/>
        <v>09</v>
      </c>
      <c r="E13868" t="str">
        <f>"06 - B - 105 - Dayna M Foster"</f>
        <v>06 - B - 105 - Dayna M Foster</v>
      </c>
      <c r="F13868" t="str">
        <f>"ALGEBRA 1"</f>
        <v>ALGEBRA 1</v>
      </c>
      <c r="G13868" t="str">
        <f>"21-2109"</f>
        <v>21-2109</v>
      </c>
      <c r="H13868" t="str">
        <f>"B"</f>
        <v>B</v>
      </c>
    </row>
    <row r="13869" spans="1:8" x14ac:dyDescent="0.2">
      <c r="A13869" t="str">
        <f t="shared" si="5024"/>
        <v>0615112323</v>
      </c>
      <c r="B13869" t="str">
        <f t="shared" si="5025"/>
        <v>MALIYAH</v>
      </c>
      <c r="C13869" t="str">
        <f t="shared" si="5026"/>
        <v>PORTER</v>
      </c>
      <c r="D13869" t="str">
        <f t="shared" si="5027"/>
        <v>09</v>
      </c>
      <c r="E13869" t="str">
        <f>"03 - A - 101 - Dayna M Foster"</f>
        <v>03 - A - 101 - Dayna M Foster</v>
      </c>
      <c r="F13869" t="str">
        <f>"FDN SKLS MATH 9-12"</f>
        <v>FDN SKLS MATH 9-12</v>
      </c>
      <c r="G13869" t="str">
        <f>"21-2109"</f>
        <v>21-2109</v>
      </c>
      <c r="H13869" t="str">
        <f>"A"</f>
        <v>A</v>
      </c>
    </row>
    <row r="13870" spans="1:8" x14ac:dyDescent="0.2">
      <c r="A13870" t="str">
        <f t="shared" si="5024"/>
        <v>0615112323</v>
      </c>
      <c r="B13870" t="str">
        <f t="shared" si="5025"/>
        <v>MALIYAH</v>
      </c>
      <c r="C13870" t="str">
        <f t="shared" si="5026"/>
        <v>PORTER</v>
      </c>
      <c r="D13870" t="str">
        <f t="shared" si="5027"/>
        <v>09</v>
      </c>
      <c r="E13870" t="str">
        <f>"02 - A - 111 - Cheryl L Beach"</f>
        <v>02 - A - 111 - Cheryl L Beach</v>
      </c>
      <c r="F13870" t="str">
        <f>"NC STUDY HALL 1"</f>
        <v>NC STUDY HALL 1</v>
      </c>
      <c r="G13870" t="str">
        <f>"08-811"</f>
        <v>08-811</v>
      </c>
      <c r="H13870" t="str">
        <f>"A"</f>
        <v>A</v>
      </c>
    </row>
    <row r="13871" spans="1:8" x14ac:dyDescent="0.2">
      <c r="A13871" t="str">
        <f t="shared" si="5024"/>
        <v>0615112323</v>
      </c>
      <c r="B13871" t="str">
        <f t="shared" si="5025"/>
        <v>MALIYAH</v>
      </c>
      <c r="C13871" t="str">
        <f t="shared" si="5026"/>
        <v>PORTER</v>
      </c>
      <c r="D13871" t="str">
        <f t="shared" si="5027"/>
        <v>09</v>
      </c>
      <c r="E13871" t="str">
        <f>"07 - B - 107 - Adam Marcus  Drucker"</f>
        <v>07 - B - 107 - Adam Marcus  Drucker</v>
      </c>
      <c r="F13871" t="str">
        <f>"HOPE-PE V"</f>
        <v>HOPE-PE V</v>
      </c>
      <c r="G13871" t="str">
        <f>"04-254"</f>
        <v>04-254</v>
      </c>
      <c r="H13871" t="str">
        <f>"B"</f>
        <v>B</v>
      </c>
    </row>
    <row r="13872" spans="1:8" x14ac:dyDescent="0.2">
      <c r="A13872" t="str">
        <f t="shared" si="5024"/>
        <v>0615112323</v>
      </c>
      <c r="B13872" t="str">
        <f t="shared" si="5025"/>
        <v>MALIYAH</v>
      </c>
      <c r="C13872" t="str">
        <f t="shared" si="5026"/>
        <v>PORTER</v>
      </c>
      <c r="D13872" t="str">
        <f t="shared" si="5027"/>
        <v>09</v>
      </c>
      <c r="E13872" t="str">
        <f>"05 - B - 103 - Josiah I Lacy"</f>
        <v>05 - B - 103 - Josiah I Lacy</v>
      </c>
      <c r="F13872" t="str">
        <f>"PRE-AICE BIO IG"</f>
        <v>PRE-AICE BIO IG</v>
      </c>
      <c r="G13872" t="str">
        <f>"08-801"</f>
        <v>08-801</v>
      </c>
      <c r="H13872" t="str">
        <f>"B"</f>
        <v>B</v>
      </c>
    </row>
    <row r="13873" spans="1:8" x14ac:dyDescent="0.2">
      <c r="A13873" t="str">
        <f t="shared" si="5024"/>
        <v>0615112323</v>
      </c>
      <c r="B13873" t="str">
        <f t="shared" si="5025"/>
        <v>MALIYAH</v>
      </c>
      <c r="C13873" t="str">
        <f t="shared" si="5026"/>
        <v>PORTER</v>
      </c>
      <c r="D13873" t="str">
        <f t="shared" si="5027"/>
        <v>09</v>
      </c>
      <c r="E13873" t="str">
        <f>"01 - A - 101 - Cheryl Anne  Berman-Schechter"</f>
        <v>01 - A - 101 - Cheryl Anne  Berman-Schechter</v>
      </c>
      <c r="F13873" t="str">
        <f>"PRE-AICE ENG LANG IG"</f>
        <v>PRE-AICE ENG LANG IG</v>
      </c>
      <c r="G13873" t="str">
        <f>"17-1722"</f>
        <v>17-1722</v>
      </c>
      <c r="H13873" t="str">
        <f>"A"</f>
        <v>A</v>
      </c>
    </row>
    <row r="13874" spans="1:8" x14ac:dyDescent="0.2">
      <c r="A13874" t="str">
        <f t="shared" si="5024"/>
        <v>0615112323</v>
      </c>
      <c r="B13874" t="str">
        <f t="shared" si="5025"/>
        <v>MALIYAH</v>
      </c>
      <c r="C13874" t="str">
        <f t="shared" si="5026"/>
        <v>PORTER</v>
      </c>
      <c r="D13874" t="str">
        <f t="shared" si="5027"/>
        <v>09</v>
      </c>
      <c r="E13874" t="str">
        <f>"08 - S1 - B - 104 - Angela S Adeshina-Morrison"</f>
        <v>08 - S1 - B - 104 - Angela S Adeshina-Morrison</v>
      </c>
      <c r="F13874" t="str">
        <f>"PEER COUN 1"</f>
        <v>PEER COUN 1</v>
      </c>
      <c r="G13874" t="str">
        <f>"05-518"</f>
        <v>05-518</v>
      </c>
      <c r="H13874" t="str">
        <f>"B"</f>
        <v>B</v>
      </c>
    </row>
    <row r="13875" spans="1:8" x14ac:dyDescent="0.2">
      <c r="A13875" t="str">
        <f t="shared" ref="A13875:A13882" si="5028">"0611110645"</f>
        <v>0611110645</v>
      </c>
      <c r="B13875" t="str">
        <f t="shared" ref="B13875:B13882" si="5029">"ALYSSA"</f>
        <v>ALYSSA</v>
      </c>
      <c r="C13875" t="str">
        <f t="shared" ref="C13875:C13882" si="5030">"PORTMAN"</f>
        <v>PORTMAN</v>
      </c>
      <c r="D13875">
        <f>12</f>
        <v>12</v>
      </c>
      <c r="E13875" t="str">
        <f>"04 - A - 101 - Stefanie S Scher"</f>
        <v>04 - A - 101 - Stefanie S Scher</v>
      </c>
      <c r="F13875" t="str">
        <f>"AP PSYCH"</f>
        <v>AP PSYCH</v>
      </c>
      <c r="G13875" t="str">
        <f>"17-1735"</f>
        <v>17-1735</v>
      </c>
      <c r="H13875" t="str">
        <f>"A"</f>
        <v>A</v>
      </c>
    </row>
    <row r="13876" spans="1:8" x14ac:dyDescent="0.2">
      <c r="A13876" t="str">
        <f t="shared" si="5028"/>
        <v>0611110645</v>
      </c>
      <c r="B13876" t="str">
        <f t="shared" si="5029"/>
        <v>ALYSSA</v>
      </c>
      <c r="C13876" t="str">
        <f t="shared" si="5030"/>
        <v>PORTMAN</v>
      </c>
      <c r="D13876">
        <f>12</f>
        <v>12</v>
      </c>
      <c r="E13876" t="str">
        <f>"06 - B - 103 - Stefanie S Scher"</f>
        <v>06 - B - 103 - Stefanie S Scher</v>
      </c>
      <c r="F13876" t="str">
        <f>"NC STUDY HALL 1"</f>
        <v>NC STUDY HALL 1</v>
      </c>
      <c r="G13876" t="str">
        <f>"17-1735"</f>
        <v>17-1735</v>
      </c>
      <c r="H13876" t="str">
        <f>"B"</f>
        <v>B</v>
      </c>
    </row>
    <row r="13877" spans="1:8" x14ac:dyDescent="0.2">
      <c r="A13877" t="str">
        <f t="shared" si="5028"/>
        <v>0611110645</v>
      </c>
      <c r="B13877" t="str">
        <f t="shared" si="5029"/>
        <v>ALYSSA</v>
      </c>
      <c r="C13877" t="str">
        <f t="shared" si="5030"/>
        <v>PORTMAN</v>
      </c>
      <c r="D13877">
        <f>12</f>
        <v>12</v>
      </c>
      <c r="E13877" t="str">
        <f>"03 - A - 101 - Lourivaldo  Da Silva"</f>
        <v>03 - A - 101 - Lourivaldo  Da Silva</v>
      </c>
      <c r="F13877" t="str">
        <f>"AP STAT"</f>
        <v>AP STAT</v>
      </c>
      <c r="G13877" t="str">
        <f>"20-2079"</f>
        <v>20-2079</v>
      </c>
      <c r="H13877" t="str">
        <f>"A"</f>
        <v>A</v>
      </c>
    </row>
    <row r="13878" spans="1:8" x14ac:dyDescent="0.2">
      <c r="A13878" t="str">
        <f t="shared" si="5028"/>
        <v>0611110645</v>
      </c>
      <c r="B13878" t="str">
        <f t="shared" si="5029"/>
        <v>ALYSSA</v>
      </c>
      <c r="C13878" t="str">
        <f t="shared" si="5030"/>
        <v>PORTMAN</v>
      </c>
      <c r="D13878">
        <f>12</f>
        <v>12</v>
      </c>
      <c r="E13878" t="str">
        <f>"02 - A - 204 - Jacqueline R Morphet"</f>
        <v>02 - A - 204 - Jacqueline R Morphet</v>
      </c>
      <c r="F13878" t="str">
        <f>"PHYSICS 1 HON"</f>
        <v>PHYSICS 1 HON</v>
      </c>
      <c r="G13878" t="str">
        <f>"21-2138"</f>
        <v>21-2138</v>
      </c>
      <c r="H13878" t="str">
        <f>"A"</f>
        <v>A</v>
      </c>
    </row>
    <row r="13879" spans="1:8" x14ac:dyDescent="0.2">
      <c r="A13879" t="str">
        <f t="shared" si="5028"/>
        <v>0611110645</v>
      </c>
      <c r="B13879" t="str">
        <f t="shared" si="5029"/>
        <v>ALYSSA</v>
      </c>
      <c r="C13879" t="str">
        <f t="shared" si="5030"/>
        <v>PORTMAN</v>
      </c>
      <c r="D13879">
        <f>12</f>
        <v>12</v>
      </c>
      <c r="E13879" t="str">
        <f>"07 - B - 102 - Courtney E Hambright"</f>
        <v>07 - B - 102 - Courtney E Hambright</v>
      </c>
      <c r="F13879" t="str">
        <f>"AP ENG LIT COMPO"</f>
        <v>AP ENG LIT COMPO</v>
      </c>
      <c r="G13879" t="str">
        <f>"17-1711"</f>
        <v>17-1711</v>
      </c>
      <c r="H13879" t="str">
        <f>"B"</f>
        <v>B</v>
      </c>
    </row>
    <row r="13880" spans="1:8" x14ac:dyDescent="0.2">
      <c r="A13880" t="str">
        <f t="shared" si="5028"/>
        <v>0611110645</v>
      </c>
      <c r="B13880" t="str">
        <f t="shared" si="5029"/>
        <v>ALYSSA</v>
      </c>
      <c r="C13880" t="str">
        <f t="shared" si="5030"/>
        <v>PORTMAN</v>
      </c>
      <c r="D13880">
        <f>12</f>
        <v>12</v>
      </c>
      <c r="E13880" t="str">
        <f>"05 - S1 - B - 103 - Stephen T Ripp"</f>
        <v>05 - S1 - B - 103 - Stephen T Ripp</v>
      </c>
      <c r="F13880" t="str">
        <f>"AP US GOVT/POL"</f>
        <v>AP US GOVT/POL</v>
      </c>
      <c r="G13880" t="str">
        <f>"17-1744"</f>
        <v>17-1744</v>
      </c>
      <c r="H13880" t="str">
        <f>"B"</f>
        <v>B</v>
      </c>
    </row>
    <row r="13881" spans="1:8" x14ac:dyDescent="0.2">
      <c r="A13881" t="str">
        <f t="shared" si="5028"/>
        <v>0611110645</v>
      </c>
      <c r="B13881" t="str">
        <f t="shared" si="5029"/>
        <v>ALYSSA</v>
      </c>
      <c r="C13881" t="str">
        <f t="shared" si="5030"/>
        <v>PORTMAN</v>
      </c>
      <c r="D13881">
        <f>12</f>
        <v>12</v>
      </c>
      <c r="E13881" t="str">
        <f>"01 - A - 101 - Norayda D Suarez"</f>
        <v>01 - A - 101 - Norayda D Suarez</v>
      </c>
      <c r="F13881" t="str">
        <f>"RESEARCH 1 LH"</f>
        <v>RESEARCH 1 LH</v>
      </c>
      <c r="G13881">
        <f>2041</f>
        <v>2041</v>
      </c>
      <c r="H13881" t="str">
        <f>"A"</f>
        <v>A</v>
      </c>
    </row>
    <row r="13882" spans="1:8" x14ac:dyDescent="0.2">
      <c r="A13882" t="str">
        <f t="shared" si="5028"/>
        <v>0611110645</v>
      </c>
      <c r="B13882" t="str">
        <f t="shared" si="5029"/>
        <v>ALYSSA</v>
      </c>
      <c r="C13882" t="str">
        <f t="shared" si="5030"/>
        <v>PORTMAN</v>
      </c>
      <c r="D13882">
        <f>12</f>
        <v>12</v>
      </c>
      <c r="E13882" t="str">
        <f>"08 - B - 201 - Stacey A Blecker"</f>
        <v>08 - B - 201 - Stacey A Blecker</v>
      </c>
      <c r="F13882" t="str">
        <f>"AICE SOCIOLOGY 1 AS"</f>
        <v>AICE SOCIOLOGY 1 AS</v>
      </c>
      <c r="G13882" t="str">
        <f>"09-926"</f>
        <v>09-926</v>
      </c>
      <c r="H13882" t="str">
        <f>"B"</f>
        <v>B</v>
      </c>
    </row>
    <row r="13883" spans="1:8" x14ac:dyDescent="0.2">
      <c r="A13883" t="str">
        <f t="shared" ref="A13883:A13890" si="5031">"0626005193"</f>
        <v>0626005193</v>
      </c>
      <c r="B13883" t="str">
        <f t="shared" ref="B13883:B13890" si="5032">"Pedro"</f>
        <v>Pedro</v>
      </c>
      <c r="C13883" t="str">
        <f t="shared" ref="C13883:C13890" si="5033">"Posada"</f>
        <v>Posada</v>
      </c>
      <c r="D13883">
        <f>11</f>
        <v>11</v>
      </c>
      <c r="E13883" t="str">
        <f>"04 - A - 102 - Elizabeth Ellen  Moran"</f>
        <v>04 - A - 102 - Elizabeth Ellen  Moran</v>
      </c>
      <c r="F13883" t="str">
        <f>"US HISTORY"</f>
        <v>US HISTORY</v>
      </c>
      <c r="G13883" t="str">
        <f>"17-1752"</f>
        <v>17-1752</v>
      </c>
      <c r="H13883" t="str">
        <f>"A"</f>
        <v>A</v>
      </c>
    </row>
    <row r="13884" spans="1:8" x14ac:dyDescent="0.2">
      <c r="A13884" t="str">
        <f t="shared" si="5031"/>
        <v>0626005193</v>
      </c>
      <c r="B13884" t="str">
        <f t="shared" si="5032"/>
        <v>Pedro</v>
      </c>
      <c r="C13884" t="str">
        <f t="shared" si="5033"/>
        <v>Posada</v>
      </c>
      <c r="D13884">
        <f>11</f>
        <v>11</v>
      </c>
      <c r="E13884" t="str">
        <f>"06 - B - 108 - Milca  Exantus"</f>
        <v>06 - B - 108 - Milca  Exantus</v>
      </c>
      <c r="F13884" t="str">
        <f>"MATH COLLEGE LIB ART"</f>
        <v>MATH COLLEGE LIB ART</v>
      </c>
      <c r="G13884" t="str">
        <f>"21-2145"</f>
        <v>21-2145</v>
      </c>
      <c r="H13884" t="str">
        <f>"B"</f>
        <v>B</v>
      </c>
    </row>
    <row r="13885" spans="1:8" x14ac:dyDescent="0.2">
      <c r="A13885" t="str">
        <f t="shared" si="5031"/>
        <v>0626005193</v>
      </c>
      <c r="B13885" t="str">
        <f t="shared" si="5032"/>
        <v>Pedro</v>
      </c>
      <c r="C13885" t="str">
        <f t="shared" si="5033"/>
        <v>Posada</v>
      </c>
      <c r="D13885">
        <f>11</f>
        <v>11</v>
      </c>
      <c r="E13885" t="str">
        <f>"03 - S1 - A - 103 - Richard E Dunbar Iii"</f>
        <v>03 - S1 - A - 103 - Richard E Dunbar Iii</v>
      </c>
      <c r="F13885" t="str">
        <f>"WEIGHT TRAIN 1"</f>
        <v>WEIGHT TRAIN 1</v>
      </c>
      <c r="G13885" t="str">
        <f>"05-501"</f>
        <v>05-501</v>
      </c>
      <c r="H13885" t="str">
        <f>"A"</f>
        <v>A</v>
      </c>
    </row>
    <row r="13886" spans="1:8" x14ac:dyDescent="0.2">
      <c r="A13886" t="str">
        <f t="shared" si="5031"/>
        <v>0626005193</v>
      </c>
      <c r="B13886" t="str">
        <f t="shared" si="5032"/>
        <v>Pedro</v>
      </c>
      <c r="C13886" t="str">
        <f t="shared" si="5033"/>
        <v>Posada</v>
      </c>
      <c r="D13886">
        <f>11</f>
        <v>11</v>
      </c>
      <c r="E13886" t="str">
        <f>"02 - A - 114 - Eva T Rimmer"</f>
        <v>02 - A - 114 - Eva T Rimmer</v>
      </c>
      <c r="F13886" t="str">
        <f>"NC STUDY HALL 1"</f>
        <v>NC STUDY HALL 1</v>
      </c>
      <c r="G13886" t="str">
        <f>"05-523"</f>
        <v>05-523</v>
      </c>
      <c r="H13886" t="str">
        <f>"A"</f>
        <v>A</v>
      </c>
    </row>
    <row r="13887" spans="1:8" x14ac:dyDescent="0.2">
      <c r="A13887" t="str">
        <f t="shared" si="5031"/>
        <v>0626005193</v>
      </c>
      <c r="B13887" t="str">
        <f t="shared" si="5032"/>
        <v>Pedro</v>
      </c>
      <c r="C13887" t="str">
        <f t="shared" si="5033"/>
        <v>Posada</v>
      </c>
      <c r="D13887">
        <f>11</f>
        <v>11</v>
      </c>
      <c r="E13887" t="str">
        <f>"07 - B - 105 - Cliffon  Saurel"</f>
        <v>07 - B - 105 - Cliffon  Saurel</v>
      </c>
      <c r="F13887" t="str">
        <f>"PHYSICAL SCI"</f>
        <v>PHYSICAL SCI</v>
      </c>
      <c r="G13887" t="str">
        <f>"05-522"</f>
        <v>05-522</v>
      </c>
      <c r="H13887" t="str">
        <f>"B"</f>
        <v>B</v>
      </c>
    </row>
    <row r="13888" spans="1:8" x14ac:dyDescent="0.2">
      <c r="A13888" t="str">
        <f t="shared" si="5031"/>
        <v>0626005193</v>
      </c>
      <c r="B13888" t="str">
        <f t="shared" si="5032"/>
        <v>Pedro</v>
      </c>
      <c r="C13888" t="str">
        <f t="shared" si="5033"/>
        <v>Posada</v>
      </c>
      <c r="D13888">
        <f>11</f>
        <v>11</v>
      </c>
      <c r="E13888" t="str">
        <f>"05 - B - 103 - Nahum  Saint-Preux"</f>
        <v>05 - B - 103 - Nahum  Saint-Preux</v>
      </c>
      <c r="F13888" t="str">
        <f>"INTENS READ 3"</f>
        <v>INTENS READ 3</v>
      </c>
      <c r="G13888" t="str">
        <f>"17-1712"</f>
        <v>17-1712</v>
      </c>
      <c r="H13888" t="str">
        <f>"B"</f>
        <v>B</v>
      </c>
    </row>
    <row r="13889" spans="1:8" x14ac:dyDescent="0.2">
      <c r="A13889" t="str">
        <f t="shared" si="5031"/>
        <v>0626005193</v>
      </c>
      <c r="B13889" t="str">
        <f t="shared" si="5032"/>
        <v>Pedro</v>
      </c>
      <c r="C13889" t="str">
        <f t="shared" si="5033"/>
        <v>Posada</v>
      </c>
      <c r="D13889">
        <f>11</f>
        <v>11</v>
      </c>
      <c r="E13889" t="str">
        <f>"01 - A - 101 - Lisa  Quinn"</f>
        <v>01 - A - 101 - Lisa  Quinn</v>
      </c>
      <c r="F13889" t="str">
        <f>"ENG 3"</f>
        <v>ENG 3</v>
      </c>
      <c r="G13889" t="str">
        <f>"17-1725"</f>
        <v>17-1725</v>
      </c>
      <c r="H13889" t="str">
        <f>"A"</f>
        <v>A</v>
      </c>
    </row>
    <row r="13890" spans="1:8" x14ac:dyDescent="0.2">
      <c r="A13890" t="str">
        <f t="shared" si="5031"/>
        <v>0626005193</v>
      </c>
      <c r="B13890" t="str">
        <f t="shared" si="5032"/>
        <v>Pedro</v>
      </c>
      <c r="C13890" t="str">
        <f t="shared" si="5033"/>
        <v>Posada</v>
      </c>
      <c r="D13890">
        <f>11</f>
        <v>11</v>
      </c>
      <c r="E13890" t="str">
        <f>"08 - S1 - B - 104 - Angela S Adeshina-Morrison"</f>
        <v>08 - S1 - B - 104 - Angela S Adeshina-Morrison</v>
      </c>
      <c r="F13890" t="str">
        <f>"PEER COUN 1"</f>
        <v>PEER COUN 1</v>
      </c>
      <c r="G13890" t="str">
        <f>"05-518"</f>
        <v>05-518</v>
      </c>
      <c r="H13890" t="str">
        <f>"B"</f>
        <v>B</v>
      </c>
    </row>
    <row r="13891" spans="1:8" x14ac:dyDescent="0.2">
      <c r="A13891" t="str">
        <f t="shared" ref="A13891:A13898" si="5034">"0614107359"</f>
        <v>0614107359</v>
      </c>
      <c r="B13891" t="str">
        <f t="shared" ref="B13891:B13898" si="5035">"TAJ"</f>
        <v>TAJ</v>
      </c>
      <c r="C13891" t="str">
        <f t="shared" ref="C13891:C13898" si="5036">"POSEY"</f>
        <v>POSEY</v>
      </c>
      <c r="D13891">
        <f>11</f>
        <v>11</v>
      </c>
      <c r="E13891" t="str">
        <f>"04 - A - 103 - Lisa  Quinn"</f>
        <v>04 - A - 103 - Lisa  Quinn</v>
      </c>
      <c r="F13891" t="str">
        <f>"ENG 3"</f>
        <v>ENG 3</v>
      </c>
      <c r="G13891" t="str">
        <f>"17-1725"</f>
        <v>17-1725</v>
      </c>
      <c r="H13891" t="str">
        <f>"A"</f>
        <v>A</v>
      </c>
    </row>
    <row r="13892" spans="1:8" x14ac:dyDescent="0.2">
      <c r="A13892" t="str">
        <f t="shared" si="5034"/>
        <v>0614107359</v>
      </c>
      <c r="B13892" t="str">
        <f t="shared" si="5035"/>
        <v>TAJ</v>
      </c>
      <c r="C13892" t="str">
        <f t="shared" si="5036"/>
        <v>POSEY</v>
      </c>
      <c r="D13892">
        <f>11</f>
        <v>11</v>
      </c>
      <c r="E13892" t="str">
        <f>"06 - B - 108 - Milca  Exantus"</f>
        <v>06 - B - 108 - Milca  Exantus</v>
      </c>
      <c r="F13892" t="str">
        <f>"MATH COLLEGE LIB ART"</f>
        <v>MATH COLLEGE LIB ART</v>
      </c>
      <c r="G13892" t="str">
        <f>"21-2145"</f>
        <v>21-2145</v>
      </c>
      <c r="H13892" t="str">
        <f>"B"</f>
        <v>B</v>
      </c>
    </row>
    <row r="13893" spans="1:8" x14ac:dyDescent="0.2">
      <c r="A13893" t="str">
        <f t="shared" si="5034"/>
        <v>0614107359</v>
      </c>
      <c r="B13893" t="str">
        <f t="shared" si="5035"/>
        <v>TAJ</v>
      </c>
      <c r="C13893" t="str">
        <f t="shared" si="5036"/>
        <v>POSEY</v>
      </c>
      <c r="D13893">
        <f>11</f>
        <v>11</v>
      </c>
      <c r="E13893" t="str">
        <f>"03 - A - 101 - Dorothy D Moore"</f>
        <v>03 - A - 101 - Dorothy D Moore</v>
      </c>
      <c r="F13893" t="str">
        <f>"FORC SCI 1 LH"</f>
        <v>FORC SCI 1 LH</v>
      </c>
      <c r="G13893" t="str">
        <f>"08-803"</f>
        <v>08-803</v>
      </c>
      <c r="H13893" t="str">
        <f>"A"</f>
        <v>A</v>
      </c>
    </row>
    <row r="13894" spans="1:8" x14ac:dyDescent="0.2">
      <c r="A13894" t="str">
        <f t="shared" si="5034"/>
        <v>0614107359</v>
      </c>
      <c r="B13894" t="str">
        <f t="shared" si="5035"/>
        <v>TAJ</v>
      </c>
      <c r="C13894" t="str">
        <f t="shared" si="5036"/>
        <v>POSEY</v>
      </c>
      <c r="D13894">
        <f>11</f>
        <v>11</v>
      </c>
      <c r="E13894" t="str">
        <f>"02 - A - 117 - Kyle  Robbins"</f>
        <v>02 - A - 117 - Kyle  Robbins</v>
      </c>
      <c r="F13894" t="str">
        <f>"NC STUDY HALL 1"</f>
        <v>NC STUDY HALL 1</v>
      </c>
      <c r="G13894" t="str">
        <f>"17-1745"</f>
        <v>17-1745</v>
      </c>
      <c r="H13894" t="str">
        <f>"A"</f>
        <v>A</v>
      </c>
    </row>
    <row r="13895" spans="1:8" x14ac:dyDescent="0.2">
      <c r="A13895" t="str">
        <f t="shared" si="5034"/>
        <v>0614107359</v>
      </c>
      <c r="B13895" t="str">
        <f t="shared" si="5035"/>
        <v>TAJ</v>
      </c>
      <c r="C13895" t="str">
        <f t="shared" si="5036"/>
        <v>POSEY</v>
      </c>
      <c r="D13895">
        <f>11</f>
        <v>11</v>
      </c>
      <c r="E13895" t="str">
        <f>"07 - B - 108 - Lauren N Logan"</f>
        <v>07 - B - 108 - Lauren N Logan</v>
      </c>
      <c r="F13895" t="str">
        <f>"US HISTORY"</f>
        <v>US HISTORY</v>
      </c>
      <c r="G13895" t="str">
        <f>"17-1745"</f>
        <v>17-1745</v>
      </c>
      <c r="H13895" t="str">
        <f>"B"</f>
        <v>B</v>
      </c>
    </row>
    <row r="13896" spans="1:8" x14ac:dyDescent="0.2">
      <c r="A13896" t="str">
        <f t="shared" si="5034"/>
        <v>0614107359</v>
      </c>
      <c r="B13896" t="str">
        <f t="shared" si="5035"/>
        <v>TAJ</v>
      </c>
      <c r="C13896" t="str">
        <f t="shared" si="5036"/>
        <v>POSEY</v>
      </c>
      <c r="D13896">
        <f>11</f>
        <v>11</v>
      </c>
      <c r="E13896" t="str">
        <f>"05 - B - 103 - Eva T Rimmer"</f>
        <v>05 - B - 103 - Eva T Rimmer</v>
      </c>
      <c r="F13896" t="str">
        <f>"CRIMINAL JUST OPS 1"</f>
        <v>CRIMINAL JUST OPS 1</v>
      </c>
      <c r="G13896" t="str">
        <f>"05-523"</f>
        <v>05-523</v>
      </c>
      <c r="H13896" t="str">
        <f>"B"</f>
        <v>B</v>
      </c>
    </row>
    <row r="13897" spans="1:8" x14ac:dyDescent="0.2">
      <c r="A13897" t="str">
        <f t="shared" si="5034"/>
        <v>0614107359</v>
      </c>
      <c r="B13897" t="str">
        <f t="shared" si="5035"/>
        <v>TAJ</v>
      </c>
      <c r="C13897" t="str">
        <f t="shared" si="5036"/>
        <v>POSEY</v>
      </c>
      <c r="D13897">
        <f>11</f>
        <v>11</v>
      </c>
      <c r="E13897" t="str">
        <f>"01 - A - 101 - Cliffon  Saurel"</f>
        <v>01 - A - 101 - Cliffon  Saurel</v>
      </c>
      <c r="F13897" t="str">
        <f>"PHYSICAL SCI"</f>
        <v>PHYSICAL SCI</v>
      </c>
      <c r="G13897" t="str">
        <f>"05-522"</f>
        <v>05-522</v>
      </c>
      <c r="H13897" t="str">
        <f>"A"</f>
        <v>A</v>
      </c>
    </row>
    <row r="13898" spans="1:8" x14ac:dyDescent="0.2">
      <c r="A13898" t="str">
        <f t="shared" si="5034"/>
        <v>0614107359</v>
      </c>
      <c r="B13898" t="str">
        <f t="shared" si="5035"/>
        <v>TAJ</v>
      </c>
      <c r="C13898" t="str">
        <f t="shared" si="5036"/>
        <v>POSEY</v>
      </c>
      <c r="D13898">
        <f>11</f>
        <v>11</v>
      </c>
      <c r="E13898" t="str">
        <f>"08 - S1 - B - 104 - Leslie J Barton"</f>
        <v>08 - S1 - B - 104 - Leslie J Barton</v>
      </c>
      <c r="F13898" t="str">
        <f>"TEAM SPORTS 1"</f>
        <v>TEAM SPORTS 1</v>
      </c>
      <c r="G13898" t="str">
        <f>"04-254"</f>
        <v>04-254</v>
      </c>
      <c r="H13898" t="str">
        <f>"B"</f>
        <v>B</v>
      </c>
    </row>
    <row r="13899" spans="1:8" x14ac:dyDescent="0.2">
      <c r="A13899" t="str">
        <f t="shared" ref="A13899:A13906" si="5037">"0614127712"</f>
        <v>0614127712</v>
      </c>
      <c r="B13899" t="str">
        <f t="shared" ref="B13899:B13906" si="5038">"TAYLOR"</f>
        <v>TAYLOR</v>
      </c>
      <c r="C13899" t="str">
        <f t="shared" ref="C13899:C13906" si="5039">"POWELL"</f>
        <v>POWELL</v>
      </c>
      <c r="D13899">
        <f>11</f>
        <v>11</v>
      </c>
      <c r="E13899" t="str">
        <f>"04 - A - 101 - Jerry S Jiampetti"</f>
        <v>04 - A - 101 - Jerry S Jiampetti</v>
      </c>
      <c r="F13899" t="str">
        <f>"AICE U.S. HIST 1 AS"</f>
        <v>AICE U.S. HIST 1 AS</v>
      </c>
      <c r="G13899" t="str">
        <f>"17-1751"</f>
        <v>17-1751</v>
      </c>
      <c r="H13899" t="str">
        <f>"A"</f>
        <v>A</v>
      </c>
    </row>
    <row r="13900" spans="1:8" x14ac:dyDescent="0.2">
      <c r="A13900" t="str">
        <f t="shared" si="5037"/>
        <v>0614127712</v>
      </c>
      <c r="B13900" t="str">
        <f t="shared" si="5038"/>
        <v>TAYLOR</v>
      </c>
      <c r="C13900" t="str">
        <f t="shared" si="5039"/>
        <v>POWELL</v>
      </c>
      <c r="D13900">
        <f>11</f>
        <v>11</v>
      </c>
      <c r="E13900" t="str">
        <f>"06 - B - 101 - Bruce A Evans"</f>
        <v>06 - B - 101 - Bruce A Evans</v>
      </c>
      <c r="F13900" t="str">
        <f>"EMERG MED RESP 3 HON"</f>
        <v>EMERG MED RESP 3 HON</v>
      </c>
      <c r="G13900" t="str">
        <f>"21-2142"</f>
        <v>21-2142</v>
      </c>
      <c r="H13900" t="str">
        <f>"B"</f>
        <v>B</v>
      </c>
    </row>
    <row r="13901" spans="1:8" x14ac:dyDescent="0.2">
      <c r="A13901" t="str">
        <f t="shared" si="5037"/>
        <v>0614127712</v>
      </c>
      <c r="B13901" t="str">
        <f t="shared" si="5038"/>
        <v>TAYLOR</v>
      </c>
      <c r="C13901" t="str">
        <f t="shared" si="5039"/>
        <v>POWELL</v>
      </c>
      <c r="D13901">
        <f>11</f>
        <v>11</v>
      </c>
      <c r="E13901" t="str">
        <f>"03 - A - 104 - Brook E Goren"</f>
        <v>03 - A - 104 - Brook E Goren</v>
      </c>
      <c r="F13901" t="str">
        <f>"ALGEBRA 2 HON"</f>
        <v>ALGEBRA 2 HON</v>
      </c>
      <c r="G13901" t="str">
        <f>"21-2158"</f>
        <v>21-2158</v>
      </c>
      <c r="H13901" t="str">
        <f>"A"</f>
        <v>A</v>
      </c>
    </row>
    <row r="13902" spans="1:8" x14ac:dyDescent="0.2">
      <c r="A13902" t="str">
        <f t="shared" si="5037"/>
        <v>0614127712</v>
      </c>
      <c r="B13902" t="str">
        <f t="shared" si="5038"/>
        <v>TAYLOR</v>
      </c>
      <c r="C13902" t="str">
        <f t="shared" si="5039"/>
        <v>POWELL</v>
      </c>
      <c r="D13902">
        <f>11</f>
        <v>11</v>
      </c>
      <c r="E13902" t="str">
        <f>"02 - A - 108 - Stephen T Ripp"</f>
        <v>02 - A - 108 - Stephen T Ripp</v>
      </c>
      <c r="F13902" t="str">
        <f>"NC STUDY HALL 1"</f>
        <v>NC STUDY HALL 1</v>
      </c>
      <c r="G13902" t="str">
        <f>"17-1744"</f>
        <v>17-1744</v>
      </c>
      <c r="H13902" t="str">
        <f>"A"</f>
        <v>A</v>
      </c>
    </row>
    <row r="13903" spans="1:8" x14ac:dyDescent="0.2">
      <c r="A13903" t="str">
        <f t="shared" si="5037"/>
        <v>0614127712</v>
      </c>
      <c r="B13903" t="str">
        <f t="shared" si="5038"/>
        <v>TAYLOR</v>
      </c>
      <c r="C13903" t="str">
        <f t="shared" si="5039"/>
        <v>POWELL</v>
      </c>
      <c r="D13903">
        <f>11</f>
        <v>11</v>
      </c>
      <c r="E13903" t="str">
        <f>"07 - B - 207 - Krystal Marie  Beruty"</f>
        <v>07 - B - 207 - Krystal Marie  Beruty</v>
      </c>
      <c r="F13903" t="str">
        <f>"AICE GLBL PERSP 1 AS"</f>
        <v>AICE GLBL PERSP 1 AS</v>
      </c>
      <c r="G13903" t="str">
        <f>"17-1721"</f>
        <v>17-1721</v>
      </c>
      <c r="H13903" t="str">
        <f>"B"</f>
        <v>B</v>
      </c>
    </row>
    <row r="13904" spans="1:8" x14ac:dyDescent="0.2">
      <c r="A13904" t="str">
        <f t="shared" si="5037"/>
        <v>0614127712</v>
      </c>
      <c r="B13904" t="str">
        <f t="shared" si="5038"/>
        <v>TAYLOR</v>
      </c>
      <c r="C13904" t="str">
        <f t="shared" si="5039"/>
        <v>POWELL</v>
      </c>
      <c r="D13904">
        <f>11</f>
        <v>11</v>
      </c>
      <c r="E13904" t="str">
        <f>"05 - B - 201 - Bruce A Evans"</f>
        <v>05 - B - 201 - Bruce A Evans</v>
      </c>
      <c r="F13904" t="str">
        <f>"HEALTH SCI FOUND HON"</f>
        <v>HEALTH SCI FOUND HON</v>
      </c>
      <c r="G13904" t="str">
        <f>"21-2142"</f>
        <v>21-2142</v>
      </c>
      <c r="H13904" t="str">
        <f>"B"</f>
        <v>B</v>
      </c>
    </row>
    <row r="13905" spans="1:8" x14ac:dyDescent="0.2">
      <c r="A13905" t="str">
        <f t="shared" si="5037"/>
        <v>0614127712</v>
      </c>
      <c r="B13905" t="str">
        <f t="shared" si="5038"/>
        <v>TAYLOR</v>
      </c>
      <c r="C13905" t="str">
        <f t="shared" si="5039"/>
        <v>POWELL</v>
      </c>
      <c r="D13905">
        <f>11</f>
        <v>11</v>
      </c>
      <c r="E13905" t="str">
        <f>"01 - A - 101 - Jacklyn M James"</f>
        <v>01 - A - 101 - Jacklyn M James</v>
      </c>
      <c r="F13905" t="str">
        <f>"AICE ENG LANG AS"</f>
        <v>AICE ENG LANG AS</v>
      </c>
      <c r="G13905" t="str">
        <f>"17-1731"</f>
        <v>17-1731</v>
      </c>
      <c r="H13905" t="str">
        <f>"A"</f>
        <v>A</v>
      </c>
    </row>
    <row r="13906" spans="1:8" x14ac:dyDescent="0.2">
      <c r="A13906" t="str">
        <f t="shared" si="5037"/>
        <v>0614127712</v>
      </c>
      <c r="B13906" t="str">
        <f t="shared" si="5038"/>
        <v>TAYLOR</v>
      </c>
      <c r="C13906" t="str">
        <f t="shared" si="5039"/>
        <v>POWELL</v>
      </c>
      <c r="D13906">
        <f>11</f>
        <v>11</v>
      </c>
      <c r="E13906" t="str">
        <f>"08 - B - 001 - Scott A Dethloff"</f>
        <v>08 - B - 001 - Scott A Dethloff</v>
      </c>
      <c r="F13906" t="str">
        <f>"CHEMISTRY 1 HON"</f>
        <v>CHEMISTRY 1 HON</v>
      </c>
      <c r="G13906" t="str">
        <f>"08-812"</f>
        <v>08-812</v>
      </c>
      <c r="H13906" t="str">
        <f>"B"</f>
        <v>B</v>
      </c>
    </row>
    <row r="13907" spans="1:8" x14ac:dyDescent="0.2">
      <c r="A13907" t="str">
        <f t="shared" ref="A13907:A13914" si="5040">"0615025975"</f>
        <v>0615025975</v>
      </c>
      <c r="B13907" t="str">
        <f t="shared" ref="B13907:B13914" si="5041">"TA'SHAUNTI"</f>
        <v>TA'SHAUNTI</v>
      </c>
      <c r="C13907" t="str">
        <f t="shared" ref="C13907:C13914" si="5042">"POWER"</f>
        <v>POWER</v>
      </c>
      <c r="D13907">
        <f>10</f>
        <v>10</v>
      </c>
      <c r="E13907" t="str">
        <f>"04 - A - 105 - Jacquelyn M Neeson"</f>
        <v>04 - A - 105 - Jacquelyn M Neeson</v>
      </c>
      <c r="F13907" t="str">
        <f>"ENG 2"</f>
        <v>ENG 2</v>
      </c>
      <c r="G13907" t="str">
        <f>"17-1715"</f>
        <v>17-1715</v>
      </c>
      <c r="H13907" t="str">
        <f>"A"</f>
        <v>A</v>
      </c>
    </row>
    <row r="13908" spans="1:8" x14ac:dyDescent="0.2">
      <c r="A13908" t="str">
        <f t="shared" si="5040"/>
        <v>0615025975</v>
      </c>
      <c r="B13908" t="str">
        <f t="shared" si="5041"/>
        <v>TA'SHAUNTI</v>
      </c>
      <c r="C13908" t="str">
        <f t="shared" si="5042"/>
        <v>POWER</v>
      </c>
      <c r="D13908">
        <f>10</f>
        <v>10</v>
      </c>
      <c r="E13908" t="str">
        <f>"06 - B - 114 - Richard E Dunbar Iii"</f>
        <v>06 - B - 114 - Richard E Dunbar Iii</v>
      </c>
      <c r="F13908" t="str">
        <f>"NC STUDY HALL 1"</f>
        <v>NC STUDY HALL 1</v>
      </c>
      <c r="G13908" t="str">
        <f>"17-1703"</f>
        <v>17-1703</v>
      </c>
      <c r="H13908" t="str">
        <f>"B"</f>
        <v>B</v>
      </c>
    </row>
    <row r="13909" spans="1:8" x14ac:dyDescent="0.2">
      <c r="A13909" t="str">
        <f t="shared" si="5040"/>
        <v>0615025975</v>
      </c>
      <c r="B13909" t="str">
        <f t="shared" si="5041"/>
        <v>TA'SHAUNTI</v>
      </c>
      <c r="C13909" t="str">
        <f t="shared" si="5042"/>
        <v>POWER</v>
      </c>
      <c r="D13909">
        <f>10</f>
        <v>10</v>
      </c>
      <c r="E13909" t="str">
        <f>"03 - A - 101 - Eva T Rimmer"</f>
        <v>03 - A - 101 - Eva T Rimmer</v>
      </c>
      <c r="F13909" t="str">
        <f>"CRIMINAL JUST OPS 1"</f>
        <v>CRIMINAL JUST OPS 1</v>
      </c>
      <c r="G13909" t="str">
        <f>"05-523"</f>
        <v>05-523</v>
      </c>
      <c r="H13909" t="str">
        <f>"A"</f>
        <v>A</v>
      </c>
    </row>
    <row r="13910" spans="1:8" x14ac:dyDescent="0.2">
      <c r="A13910" t="str">
        <f t="shared" si="5040"/>
        <v>0615025975</v>
      </c>
      <c r="B13910" t="str">
        <f t="shared" si="5041"/>
        <v>TA'SHAUNTI</v>
      </c>
      <c r="C13910" t="str">
        <f t="shared" si="5042"/>
        <v>POWER</v>
      </c>
      <c r="D13910">
        <f>10</f>
        <v>10</v>
      </c>
      <c r="E13910" t="str">
        <f>"02 - A - 102 - Taraneh C Abreu"</f>
        <v>02 - A - 102 - Taraneh C Abreu</v>
      </c>
      <c r="F13910" t="str">
        <f>"INTENS READ 2"</f>
        <v>INTENS READ 2</v>
      </c>
      <c r="G13910" t="str">
        <f>"17-1713"</f>
        <v>17-1713</v>
      </c>
      <c r="H13910" t="str">
        <f>"A"</f>
        <v>A</v>
      </c>
    </row>
    <row r="13911" spans="1:8" x14ac:dyDescent="0.2">
      <c r="A13911" t="str">
        <f t="shared" si="5040"/>
        <v>0615025975</v>
      </c>
      <c r="B13911" t="str">
        <f t="shared" si="5041"/>
        <v>TA'SHAUNTI</v>
      </c>
      <c r="C13911" t="str">
        <f t="shared" si="5042"/>
        <v>POWER</v>
      </c>
      <c r="D13911">
        <f>10</f>
        <v>10</v>
      </c>
      <c r="E13911" t="str">
        <f>"07 - B - 107 - Lytrell T Dixon"</f>
        <v>07 - B - 107 - Lytrell T Dixon</v>
      </c>
      <c r="F13911" t="str">
        <f>"BIOLOGY 1"</f>
        <v>BIOLOGY 1</v>
      </c>
      <c r="G13911" t="str">
        <f>"08-808"</f>
        <v>08-808</v>
      </c>
      <c r="H13911" t="str">
        <f>"B"</f>
        <v>B</v>
      </c>
    </row>
    <row r="13912" spans="1:8" x14ac:dyDescent="0.2">
      <c r="A13912" t="str">
        <f t="shared" si="5040"/>
        <v>0615025975</v>
      </c>
      <c r="B13912" t="str">
        <f t="shared" si="5041"/>
        <v>TA'SHAUNTI</v>
      </c>
      <c r="C13912" t="str">
        <f t="shared" si="5042"/>
        <v>POWER</v>
      </c>
      <c r="D13912">
        <f>10</f>
        <v>10</v>
      </c>
      <c r="E13912" t="str">
        <f>"05 - S1 - B - 102 - Carol S Moore"</f>
        <v>05 - S1 - B - 102 - Carol S Moore</v>
      </c>
      <c r="F13912" t="str">
        <f>"PERS FIN &amp; MON MGT H"</f>
        <v>PERS FIN &amp; MON MGT H</v>
      </c>
      <c r="G13912" t="str">
        <f>"17-1733"</f>
        <v>17-1733</v>
      </c>
      <c r="H13912" t="str">
        <f>"B"</f>
        <v>B</v>
      </c>
    </row>
    <row r="13913" spans="1:8" x14ac:dyDescent="0.2">
      <c r="A13913" t="str">
        <f t="shared" si="5040"/>
        <v>0615025975</v>
      </c>
      <c r="B13913" t="str">
        <f t="shared" si="5041"/>
        <v>TA'SHAUNTI</v>
      </c>
      <c r="C13913" t="str">
        <f t="shared" si="5042"/>
        <v>POWER</v>
      </c>
      <c r="D13913">
        <f>10</f>
        <v>10</v>
      </c>
      <c r="E13913" t="str">
        <f>"01 - A - 101 - James H Mccann"</f>
        <v>01 - A - 101 - James H Mccann</v>
      </c>
      <c r="F13913" t="str">
        <f>"ALGEBRA 2"</f>
        <v>ALGEBRA 2</v>
      </c>
      <c r="G13913" t="str">
        <f>"17-1716"</f>
        <v>17-1716</v>
      </c>
      <c r="H13913" t="str">
        <f>"A"</f>
        <v>A</v>
      </c>
    </row>
    <row r="13914" spans="1:8" x14ac:dyDescent="0.2">
      <c r="A13914" t="str">
        <f t="shared" si="5040"/>
        <v>0615025975</v>
      </c>
      <c r="B13914" t="str">
        <f t="shared" si="5041"/>
        <v>TA'SHAUNTI</v>
      </c>
      <c r="C13914" t="str">
        <f t="shared" si="5042"/>
        <v>POWER</v>
      </c>
      <c r="D13914">
        <f>10</f>
        <v>10</v>
      </c>
      <c r="E13914" t="str">
        <f>"08 - S1 - B - 104 - Leslie J Barton"</f>
        <v>08 - S1 - B - 104 - Leslie J Barton</v>
      </c>
      <c r="F13914" t="str">
        <f>"TEAM SPORTS 1"</f>
        <v>TEAM SPORTS 1</v>
      </c>
      <c r="G13914" t="str">
        <f>"04-254"</f>
        <v>04-254</v>
      </c>
      <c r="H13914" t="str">
        <f>"B"</f>
        <v>B</v>
      </c>
    </row>
    <row r="13915" spans="1:8" x14ac:dyDescent="0.2">
      <c r="A13915" t="str">
        <f t="shared" ref="A13915:A13922" si="5043">"0615095911"</f>
        <v>0615095911</v>
      </c>
      <c r="B13915" t="str">
        <f t="shared" ref="B13915:B13922" si="5044">"DAVID"</f>
        <v>DAVID</v>
      </c>
      <c r="C13915" t="str">
        <f t="shared" ref="C13915:C13922" si="5045">"PRADA"</f>
        <v>PRADA</v>
      </c>
      <c r="D13915">
        <f>10</f>
        <v>10</v>
      </c>
      <c r="E13915" t="str">
        <f>"04 - A - 101 - Rosa Elaine  Collado-Duff"</f>
        <v>04 - A - 101 - Rosa Elaine  Collado-Duff</v>
      </c>
      <c r="F13915" t="str">
        <f>"AICE SPAN LANG AS"</f>
        <v>AICE SPAN LANG AS</v>
      </c>
      <c r="G13915" t="str">
        <f>"09-913"</f>
        <v>09-913</v>
      </c>
      <c r="H13915" t="str">
        <f>"A"</f>
        <v>A</v>
      </c>
    </row>
    <row r="13916" spans="1:8" x14ac:dyDescent="0.2">
      <c r="A13916" t="str">
        <f t="shared" si="5043"/>
        <v>0615095911</v>
      </c>
      <c r="B13916" t="str">
        <f t="shared" si="5044"/>
        <v>DAVID</v>
      </c>
      <c r="C13916" t="str">
        <f t="shared" si="5045"/>
        <v>PRADA</v>
      </c>
      <c r="D13916">
        <f>10</f>
        <v>10</v>
      </c>
      <c r="E13916" t="str">
        <f>"06 - B - 107 - Dorothy D Moore"</f>
        <v>06 - B - 107 - Dorothy D Moore</v>
      </c>
      <c r="F13916" t="str">
        <f>"NC STUDY HALL 1"</f>
        <v>NC STUDY HALL 1</v>
      </c>
      <c r="G13916" t="str">
        <f>"08-803"</f>
        <v>08-803</v>
      </c>
      <c r="H13916" t="str">
        <f>"B"</f>
        <v>B</v>
      </c>
    </row>
    <row r="13917" spans="1:8" x14ac:dyDescent="0.2">
      <c r="A13917" t="str">
        <f t="shared" si="5043"/>
        <v>0615095911</v>
      </c>
      <c r="B13917" t="str">
        <f t="shared" si="5044"/>
        <v>DAVID</v>
      </c>
      <c r="C13917" t="str">
        <f t="shared" si="5045"/>
        <v>PRADA</v>
      </c>
      <c r="D13917">
        <f>10</f>
        <v>10</v>
      </c>
      <c r="E13917" t="str">
        <f>"03 - A - 002 - Lenecy  Nodarse"</f>
        <v>03 - A - 002 - Lenecy  Nodarse</v>
      </c>
      <c r="F13917" t="str">
        <f>"AICE EURO HIST 1 AS"</f>
        <v>AICE EURO HIST 1 AS</v>
      </c>
      <c r="G13917" t="str">
        <f>"17-1741"</f>
        <v>17-1741</v>
      </c>
      <c r="H13917" t="str">
        <f>"A"</f>
        <v>A</v>
      </c>
    </row>
    <row r="13918" spans="1:8" x14ac:dyDescent="0.2">
      <c r="A13918" t="str">
        <f t="shared" si="5043"/>
        <v>0615095911</v>
      </c>
      <c r="B13918" t="str">
        <f t="shared" si="5044"/>
        <v>DAVID</v>
      </c>
      <c r="C13918" t="str">
        <f t="shared" si="5045"/>
        <v>PRADA</v>
      </c>
      <c r="D13918">
        <f>10</f>
        <v>10</v>
      </c>
      <c r="E13918" t="str">
        <f>"02 - A - 101 - Brian M Fitzgerald"</f>
        <v>02 - A - 101 - Brian M Fitzgerald</v>
      </c>
      <c r="F13918" t="str">
        <f>"DRAW 1"</f>
        <v>DRAW 1</v>
      </c>
      <c r="G13918" t="str">
        <f>"09-908"</f>
        <v>09-908</v>
      </c>
      <c r="H13918" t="str">
        <f>"A"</f>
        <v>A</v>
      </c>
    </row>
    <row r="13919" spans="1:8" x14ac:dyDescent="0.2">
      <c r="A13919" t="str">
        <f t="shared" si="5043"/>
        <v>0615095911</v>
      </c>
      <c r="B13919" t="str">
        <f t="shared" si="5044"/>
        <v>DAVID</v>
      </c>
      <c r="C13919" t="str">
        <f t="shared" si="5045"/>
        <v>PRADA</v>
      </c>
      <c r="D13919">
        <f>10</f>
        <v>10</v>
      </c>
      <c r="E13919" t="str">
        <f>"07 - B - 101 - Fernando  Vega-Cid"</f>
        <v>07 - B - 101 - Fernando  Vega-Cid</v>
      </c>
      <c r="F13919" t="str">
        <f>"AP PRECALCULUS"</f>
        <v>AP PRECALCULUS</v>
      </c>
      <c r="G13919" t="str">
        <f>"21-2163"</f>
        <v>21-2163</v>
      </c>
      <c r="H13919" t="str">
        <f>"B"</f>
        <v>B</v>
      </c>
    </row>
    <row r="13920" spans="1:8" x14ac:dyDescent="0.2">
      <c r="A13920" t="str">
        <f t="shared" si="5043"/>
        <v>0615095911</v>
      </c>
      <c r="B13920" t="str">
        <f t="shared" si="5044"/>
        <v>DAVID</v>
      </c>
      <c r="C13920" t="str">
        <f t="shared" si="5045"/>
        <v>PRADA</v>
      </c>
      <c r="D13920">
        <f>10</f>
        <v>10</v>
      </c>
      <c r="E13920" t="str">
        <f>"05 - B - 106 - Courtney E Hambright"</f>
        <v>05 - B - 106 - Courtney E Hambright</v>
      </c>
      <c r="F13920" t="str">
        <f>"AICE ENG LANG AS"</f>
        <v>AICE ENG LANG AS</v>
      </c>
      <c r="G13920" t="str">
        <f>"17-1711"</f>
        <v>17-1711</v>
      </c>
      <c r="H13920" t="str">
        <f>"B"</f>
        <v>B</v>
      </c>
    </row>
    <row r="13921" spans="1:8" x14ac:dyDescent="0.2">
      <c r="A13921" t="str">
        <f t="shared" si="5043"/>
        <v>0615095911</v>
      </c>
      <c r="B13921" t="str">
        <f t="shared" si="5044"/>
        <v>DAVID</v>
      </c>
      <c r="C13921" t="str">
        <f t="shared" si="5045"/>
        <v>PRADA</v>
      </c>
      <c r="D13921">
        <f>10</f>
        <v>10</v>
      </c>
      <c r="E13921" t="str">
        <f>"01 - A - 103 - Scott A Dethloff"</f>
        <v>01 - A - 103 - Scott A Dethloff</v>
      </c>
      <c r="F13921" t="str">
        <f>"AICE THINK SKLS 1 AS"</f>
        <v>AICE THINK SKLS 1 AS</v>
      </c>
      <c r="G13921" t="str">
        <f>"08-812"</f>
        <v>08-812</v>
      </c>
      <c r="H13921" t="str">
        <f>"A"</f>
        <v>A</v>
      </c>
    </row>
    <row r="13922" spans="1:8" x14ac:dyDescent="0.2">
      <c r="A13922" t="str">
        <f t="shared" si="5043"/>
        <v>0615095911</v>
      </c>
      <c r="B13922" t="str">
        <f t="shared" si="5044"/>
        <v>DAVID</v>
      </c>
      <c r="C13922" t="str">
        <f t="shared" si="5045"/>
        <v>PRADA</v>
      </c>
      <c r="D13922">
        <f>10</f>
        <v>10</v>
      </c>
      <c r="E13922" t="str">
        <f>"08 - B - 102 - Jacqueline R Morphet"</f>
        <v>08 - B - 102 - Jacqueline R Morphet</v>
      </c>
      <c r="F13922" t="str">
        <f>"AP PHYSICS 1"</f>
        <v>AP PHYSICS 1</v>
      </c>
      <c r="G13922" t="str">
        <f>"21-2138"</f>
        <v>21-2138</v>
      </c>
      <c r="H13922" t="str">
        <f>"B"</f>
        <v>B</v>
      </c>
    </row>
    <row r="13923" spans="1:8" x14ac:dyDescent="0.2">
      <c r="A13923" t="str">
        <f t="shared" ref="A13923:A13930" si="5046">"0618137550"</f>
        <v>0618137550</v>
      </c>
      <c r="B13923" t="str">
        <f t="shared" ref="B13923:B13930" si="5047">"JOVAN"</f>
        <v>JOVAN</v>
      </c>
      <c r="C13923" t="str">
        <f t="shared" ref="C13923:C13930" si="5048">"PREHAY"</f>
        <v>PREHAY</v>
      </c>
      <c r="D13923">
        <f>11</f>
        <v>11</v>
      </c>
      <c r="E13923" t="str">
        <f>"04 - A - 205 - Jacqueline R Morphet"</f>
        <v>04 - A - 205 - Jacqueline R Morphet</v>
      </c>
      <c r="F13923" t="str">
        <f>"PHYSICS 1 HON"</f>
        <v>PHYSICS 1 HON</v>
      </c>
      <c r="G13923" t="str">
        <f>"21-2138"</f>
        <v>21-2138</v>
      </c>
      <c r="H13923" t="str">
        <f>"A"</f>
        <v>A</v>
      </c>
    </row>
    <row r="13924" spans="1:8" x14ac:dyDescent="0.2">
      <c r="A13924" t="str">
        <f t="shared" si="5046"/>
        <v>0618137550</v>
      </c>
      <c r="B13924" t="str">
        <f t="shared" si="5047"/>
        <v>JOVAN</v>
      </c>
      <c r="C13924" t="str">
        <f t="shared" si="5048"/>
        <v>PREHAY</v>
      </c>
      <c r="D13924">
        <f>11</f>
        <v>11</v>
      </c>
      <c r="E13924" t="str">
        <f>"06 - B - 202 - Brian M Fitzgerald"</f>
        <v>06 - B - 202 - Brian M Fitzgerald</v>
      </c>
      <c r="F13924" t="str">
        <f>"DRAW 1"</f>
        <v>DRAW 1</v>
      </c>
      <c r="G13924" t="str">
        <f>"09-908"</f>
        <v>09-908</v>
      </c>
      <c r="H13924" t="str">
        <f>"B"</f>
        <v>B</v>
      </c>
    </row>
    <row r="13925" spans="1:8" x14ac:dyDescent="0.2">
      <c r="A13925" t="str">
        <f t="shared" si="5046"/>
        <v>0618137550</v>
      </c>
      <c r="B13925" t="str">
        <f t="shared" si="5047"/>
        <v>JOVAN</v>
      </c>
      <c r="C13925" t="str">
        <f t="shared" si="5048"/>
        <v>PREHAY</v>
      </c>
      <c r="D13925">
        <f>11</f>
        <v>11</v>
      </c>
      <c r="E13925" t="str">
        <f>"03 - A - 106 - Jerry S Jiampetti"</f>
        <v>03 - A - 106 - Jerry S Jiampetti</v>
      </c>
      <c r="F13925" t="str">
        <f>"US HISTORY HON"</f>
        <v>US HISTORY HON</v>
      </c>
      <c r="G13925" t="str">
        <f>"17-1751"</f>
        <v>17-1751</v>
      </c>
      <c r="H13925" t="str">
        <f>"A"</f>
        <v>A</v>
      </c>
    </row>
    <row r="13926" spans="1:8" x14ac:dyDescent="0.2">
      <c r="A13926" t="str">
        <f t="shared" si="5046"/>
        <v>0618137550</v>
      </c>
      <c r="B13926" t="str">
        <f t="shared" si="5047"/>
        <v>JOVAN</v>
      </c>
      <c r="C13926" t="str">
        <f t="shared" si="5048"/>
        <v>PREHAY</v>
      </c>
      <c r="D13926">
        <f>11</f>
        <v>11</v>
      </c>
      <c r="E13926" t="str">
        <f>"02 - A - 108 - Stephen T Ripp"</f>
        <v>02 - A - 108 - Stephen T Ripp</v>
      </c>
      <c r="F13926" t="str">
        <f>"NC STUDY HALL 1"</f>
        <v>NC STUDY HALL 1</v>
      </c>
      <c r="G13926" t="str">
        <f>"17-1744"</f>
        <v>17-1744</v>
      </c>
      <c r="H13926" t="str">
        <f>"A"</f>
        <v>A</v>
      </c>
    </row>
    <row r="13927" spans="1:8" x14ac:dyDescent="0.2">
      <c r="A13927" t="str">
        <f t="shared" si="5046"/>
        <v>0618137550</v>
      </c>
      <c r="B13927" t="str">
        <f t="shared" si="5047"/>
        <v>JOVAN</v>
      </c>
      <c r="C13927" t="str">
        <f t="shared" si="5048"/>
        <v>PREHAY</v>
      </c>
      <c r="D13927">
        <f>11</f>
        <v>11</v>
      </c>
      <c r="E13927" t="str">
        <f>"07 - B - 106 - James H Mccann"</f>
        <v>07 - B - 106 - James H Mccann</v>
      </c>
      <c r="F13927" t="str">
        <f>"ALGEBRA 2"</f>
        <v>ALGEBRA 2</v>
      </c>
      <c r="G13927" t="str">
        <f>"17-1716"</f>
        <v>17-1716</v>
      </c>
      <c r="H13927" t="str">
        <f>"B"</f>
        <v>B</v>
      </c>
    </row>
    <row r="13928" spans="1:8" x14ac:dyDescent="0.2">
      <c r="A13928" t="str">
        <f t="shared" si="5046"/>
        <v>0618137550</v>
      </c>
      <c r="B13928" t="str">
        <f t="shared" si="5047"/>
        <v>JOVAN</v>
      </c>
      <c r="C13928" t="str">
        <f t="shared" si="5048"/>
        <v>PREHAY</v>
      </c>
      <c r="D13928">
        <f>11</f>
        <v>11</v>
      </c>
      <c r="E13928" t="str">
        <f>"05 - B - 103 - Heidi M Knopp"</f>
        <v>05 - B - 103 - Heidi M Knopp</v>
      </c>
      <c r="F13928" t="str">
        <f>"ENG HON 3"</f>
        <v>ENG HON 3</v>
      </c>
      <c r="G13928" t="str">
        <f>"17-1723"</f>
        <v>17-1723</v>
      </c>
      <c r="H13928" t="str">
        <f>"B"</f>
        <v>B</v>
      </c>
    </row>
    <row r="13929" spans="1:8" x14ac:dyDescent="0.2">
      <c r="A13929" t="str">
        <f t="shared" si="5046"/>
        <v>0618137550</v>
      </c>
      <c r="B13929" t="str">
        <f t="shared" si="5047"/>
        <v>JOVAN</v>
      </c>
      <c r="C13929" t="str">
        <f t="shared" si="5048"/>
        <v>PREHAY</v>
      </c>
      <c r="D13929">
        <f>11</f>
        <v>11</v>
      </c>
      <c r="E13929" t="str">
        <f>"01 - A - 101 - Arthur  Kulawik"</f>
        <v>01 - A - 101 - Arthur  Kulawik</v>
      </c>
      <c r="F13929" t="str">
        <f>"DEBATE 1 LH"</f>
        <v>DEBATE 1 LH</v>
      </c>
      <c r="G13929" t="str">
        <f>"05-506"</f>
        <v>05-506</v>
      </c>
      <c r="H13929" t="str">
        <f>"A"</f>
        <v>A</v>
      </c>
    </row>
    <row r="13930" spans="1:8" x14ac:dyDescent="0.2">
      <c r="A13930" t="str">
        <f t="shared" si="5046"/>
        <v>0618137550</v>
      </c>
      <c r="B13930" t="str">
        <f t="shared" si="5047"/>
        <v>JOVAN</v>
      </c>
      <c r="C13930" t="str">
        <f t="shared" si="5048"/>
        <v>PREHAY</v>
      </c>
      <c r="D13930">
        <f>11</f>
        <v>11</v>
      </c>
      <c r="E13930" t="str">
        <f>"08 - B - 103 - Joe  Kilpatrick Jr"</f>
        <v>08 - B - 103 - Joe  Kilpatrick Jr</v>
      </c>
      <c r="F13930" t="str">
        <f>"PRE-AICE SPAN 2 IG"</f>
        <v>PRE-AICE SPAN 2 IG</v>
      </c>
      <c r="G13930" t="str">
        <f>"09-912"</f>
        <v>09-912</v>
      </c>
      <c r="H13930" t="str">
        <f>"B"</f>
        <v>B</v>
      </c>
    </row>
    <row r="13931" spans="1:8" x14ac:dyDescent="0.2">
      <c r="A13931" t="str">
        <f t="shared" ref="A13931:A13938" si="5049">"0617106097"</f>
        <v>0617106097</v>
      </c>
      <c r="B13931" t="str">
        <f t="shared" ref="B13931:B13938" si="5050">"MIA"</f>
        <v>MIA</v>
      </c>
      <c r="C13931" t="str">
        <f t="shared" ref="C13931:C13938" si="5051">"PRESCIA"</f>
        <v>PRESCIA</v>
      </c>
      <c r="D13931">
        <f>10</f>
        <v>10</v>
      </c>
      <c r="E13931" t="str">
        <f>"04 - A - 105 - Milca  Exantus"</f>
        <v>04 - A - 105 - Milca  Exantus</v>
      </c>
      <c r="F13931" t="str">
        <f>"MATH COLLEGE LIB ART"</f>
        <v>MATH COLLEGE LIB ART</v>
      </c>
      <c r="G13931" t="str">
        <f>"21-2145"</f>
        <v>21-2145</v>
      </c>
      <c r="H13931" t="str">
        <f>"A"</f>
        <v>A</v>
      </c>
    </row>
    <row r="13932" spans="1:8" x14ac:dyDescent="0.2">
      <c r="A13932" t="str">
        <f t="shared" si="5049"/>
        <v>0617106097</v>
      </c>
      <c r="B13932" t="str">
        <f t="shared" si="5050"/>
        <v>MIA</v>
      </c>
      <c r="C13932" t="str">
        <f t="shared" si="5051"/>
        <v>PRESCIA</v>
      </c>
      <c r="D13932">
        <f>10</f>
        <v>10</v>
      </c>
      <c r="E13932" t="str">
        <f>"06 - B - 109 - Semra  Bahadir"</f>
        <v>06 - B - 109 - Semra  Bahadir</v>
      </c>
      <c r="F13932" t="str">
        <f>"NC STUDY HALL 1"</f>
        <v>NC STUDY HALL 1</v>
      </c>
      <c r="G13932" t="str">
        <f>"21-2107"</f>
        <v>21-2107</v>
      </c>
      <c r="H13932" t="str">
        <f>"B"</f>
        <v>B</v>
      </c>
    </row>
    <row r="13933" spans="1:8" x14ac:dyDescent="0.2">
      <c r="A13933" t="str">
        <f t="shared" si="5049"/>
        <v>0617106097</v>
      </c>
      <c r="B13933" t="str">
        <f t="shared" si="5050"/>
        <v>MIA</v>
      </c>
      <c r="C13933" t="str">
        <f t="shared" si="5051"/>
        <v>PRESCIA</v>
      </c>
      <c r="D13933">
        <f>10</f>
        <v>10</v>
      </c>
      <c r="E13933" t="str">
        <f>"03 - A - 208 - Marielle A Witting"</f>
        <v>03 - A - 208 - Marielle A Witting</v>
      </c>
      <c r="F13933" t="str">
        <f>"ANAT PHYSIO"</f>
        <v>ANAT PHYSIO</v>
      </c>
      <c r="G13933" t="str">
        <f>"08-805"</f>
        <v>08-805</v>
      </c>
      <c r="H13933" t="str">
        <f>"A"</f>
        <v>A</v>
      </c>
    </row>
    <row r="13934" spans="1:8" x14ac:dyDescent="0.2">
      <c r="A13934" t="str">
        <f t="shared" si="5049"/>
        <v>0617106097</v>
      </c>
      <c r="B13934" t="str">
        <f t="shared" si="5050"/>
        <v>MIA</v>
      </c>
      <c r="C13934" t="str">
        <f t="shared" si="5051"/>
        <v>PRESCIA</v>
      </c>
      <c r="D13934">
        <f>10</f>
        <v>10</v>
      </c>
      <c r="E13934" t="str">
        <f>"02 - A - 102 - Taraneh C Abreu"</f>
        <v>02 - A - 102 - Taraneh C Abreu</v>
      </c>
      <c r="F13934" t="str">
        <f>"INTENS READ 2"</f>
        <v>INTENS READ 2</v>
      </c>
      <c r="G13934" t="str">
        <f>"17-1713"</f>
        <v>17-1713</v>
      </c>
      <c r="H13934" t="str">
        <f>"A"</f>
        <v>A</v>
      </c>
    </row>
    <row r="13935" spans="1:8" x14ac:dyDescent="0.2">
      <c r="A13935" t="str">
        <f t="shared" si="5049"/>
        <v>0617106097</v>
      </c>
      <c r="B13935" t="str">
        <f t="shared" si="5050"/>
        <v>MIA</v>
      </c>
      <c r="C13935" t="str">
        <f t="shared" si="5051"/>
        <v>PRESCIA</v>
      </c>
      <c r="D13935">
        <f>10</f>
        <v>10</v>
      </c>
      <c r="E13935" t="str">
        <f>"07 - B - 107 - Rosa Elaine  Collado-Duff"</f>
        <v>07 - B - 107 - Rosa Elaine  Collado-Duff</v>
      </c>
      <c r="F13935" t="str">
        <f>"PRE-AICE SPAN 2 IG"</f>
        <v>PRE-AICE SPAN 2 IG</v>
      </c>
      <c r="G13935" t="str">
        <f>"09-913"</f>
        <v>09-913</v>
      </c>
      <c r="H13935" t="str">
        <f>"B"</f>
        <v>B</v>
      </c>
    </row>
    <row r="13936" spans="1:8" x14ac:dyDescent="0.2">
      <c r="A13936" t="str">
        <f t="shared" si="5049"/>
        <v>0617106097</v>
      </c>
      <c r="B13936" t="str">
        <f t="shared" si="5050"/>
        <v>MIA</v>
      </c>
      <c r="C13936" t="str">
        <f t="shared" si="5051"/>
        <v>PRESCIA</v>
      </c>
      <c r="D13936">
        <f>10</f>
        <v>10</v>
      </c>
      <c r="E13936" t="str">
        <f>"05 - S1 - B - 102 - Carol S Moore"</f>
        <v>05 - S1 - B - 102 - Carol S Moore</v>
      </c>
      <c r="F13936" t="str">
        <f>"PERS FIN &amp; MON MGT H"</f>
        <v>PERS FIN &amp; MON MGT H</v>
      </c>
      <c r="G13936" t="str">
        <f>"17-1733"</f>
        <v>17-1733</v>
      </c>
      <c r="H13936" t="str">
        <f>"B"</f>
        <v>B</v>
      </c>
    </row>
    <row r="13937" spans="1:8" x14ac:dyDescent="0.2">
      <c r="A13937" t="str">
        <f t="shared" si="5049"/>
        <v>0617106097</v>
      </c>
      <c r="B13937" t="str">
        <f t="shared" si="5050"/>
        <v>MIA</v>
      </c>
      <c r="C13937" t="str">
        <f t="shared" si="5051"/>
        <v>PRESCIA</v>
      </c>
      <c r="D13937">
        <f>10</f>
        <v>10</v>
      </c>
      <c r="E13937" t="str">
        <f>"01 - A - 101 - Marius D Orsolini"</f>
        <v>01 - A - 101 - Marius D Orsolini</v>
      </c>
      <c r="F13937" t="str">
        <f>"CULINARY ARTS 1"</f>
        <v>CULINARY ARTS 1</v>
      </c>
      <c r="G13937" t="str">
        <f>"21-2115"</f>
        <v>21-2115</v>
      </c>
      <c r="H13937" t="str">
        <f>"A"</f>
        <v>A</v>
      </c>
    </row>
    <row r="13938" spans="1:8" x14ac:dyDescent="0.2">
      <c r="A13938" t="str">
        <f t="shared" si="5049"/>
        <v>0617106097</v>
      </c>
      <c r="B13938" t="str">
        <f t="shared" si="5050"/>
        <v>MIA</v>
      </c>
      <c r="C13938" t="str">
        <f t="shared" si="5051"/>
        <v>PRESCIA</v>
      </c>
      <c r="D13938">
        <f>10</f>
        <v>10</v>
      </c>
      <c r="E13938" t="str">
        <f>"08 - B - 109 - Nikiel  Nesbeth"</f>
        <v>08 - B - 109 - Nikiel  Nesbeth</v>
      </c>
      <c r="F13938" t="str">
        <f>"ENG 2"</f>
        <v>ENG 2</v>
      </c>
      <c r="G13938" t="str">
        <f>"17-1705"</f>
        <v>17-1705</v>
      </c>
      <c r="H13938" t="str">
        <f>"B"</f>
        <v>B</v>
      </c>
    </row>
    <row r="13939" spans="1:8" x14ac:dyDescent="0.2">
      <c r="A13939" t="str">
        <f t="shared" ref="A13939:A13946" si="5052">"0619047761"</f>
        <v>0619047761</v>
      </c>
      <c r="B13939" t="str">
        <f t="shared" ref="B13939:B13946" si="5053">"RODACHCA"</f>
        <v>RODACHCA</v>
      </c>
      <c r="C13939" t="str">
        <f t="shared" ref="C13939:C13946" si="5054">"PRESUME"</f>
        <v>PRESUME</v>
      </c>
      <c r="D13939">
        <f>12</f>
        <v>12</v>
      </c>
      <c r="E13939" t="str">
        <f>"04 - A - 201 - Christa T Parisi"</f>
        <v>04 - A - 201 - Christa T Parisi</v>
      </c>
      <c r="F13939" t="str">
        <f>"DANCE TECHNQS 3 HON"</f>
        <v>DANCE TECHNQS 3 HON</v>
      </c>
      <c r="G13939" t="str">
        <f>"05-503"</f>
        <v>05-503</v>
      </c>
      <c r="H13939" t="str">
        <f>"A"</f>
        <v>A</v>
      </c>
    </row>
    <row r="13940" spans="1:8" x14ac:dyDescent="0.2">
      <c r="A13940" t="str">
        <f t="shared" si="5052"/>
        <v>0619047761</v>
      </c>
      <c r="B13940" t="str">
        <f t="shared" si="5053"/>
        <v>RODACHCA</v>
      </c>
      <c r="C13940" t="str">
        <f t="shared" si="5054"/>
        <v>PRESUME</v>
      </c>
      <c r="D13940">
        <f>12</f>
        <v>12</v>
      </c>
      <c r="E13940" t="str">
        <f>"06 - B - 102 - Rosa Elaine  Collado-Duff"</f>
        <v>06 - B - 102 - Rosa Elaine  Collado-Duff</v>
      </c>
      <c r="F13940" t="str">
        <f>"SPANISH 3 HON"</f>
        <v>SPANISH 3 HON</v>
      </c>
      <c r="G13940" t="str">
        <f>"09-913"</f>
        <v>09-913</v>
      </c>
      <c r="H13940" t="str">
        <f>"B"</f>
        <v>B</v>
      </c>
    </row>
    <row r="13941" spans="1:8" x14ac:dyDescent="0.2">
      <c r="A13941" t="str">
        <f t="shared" si="5052"/>
        <v>0619047761</v>
      </c>
      <c r="B13941" t="str">
        <f t="shared" si="5053"/>
        <v>RODACHCA</v>
      </c>
      <c r="C13941" t="str">
        <f t="shared" si="5054"/>
        <v>PRESUME</v>
      </c>
      <c r="D13941">
        <f>12</f>
        <v>12</v>
      </c>
      <c r="E13941" t="str">
        <f>"03 - A - 106 - Jerry S Jiampetti"</f>
        <v>03 - A - 106 - Jerry S Jiampetti</v>
      </c>
      <c r="F13941" t="str">
        <f>"US HISTORY HON"</f>
        <v>US HISTORY HON</v>
      </c>
      <c r="G13941" t="str">
        <f>"17-1751"</f>
        <v>17-1751</v>
      </c>
      <c r="H13941" t="str">
        <f>"A"</f>
        <v>A</v>
      </c>
    </row>
    <row r="13942" spans="1:8" x14ac:dyDescent="0.2">
      <c r="A13942" t="str">
        <f t="shared" si="5052"/>
        <v>0619047761</v>
      </c>
      <c r="B13942" t="str">
        <f t="shared" si="5053"/>
        <v>RODACHCA</v>
      </c>
      <c r="C13942" t="str">
        <f t="shared" si="5054"/>
        <v>PRESUME</v>
      </c>
      <c r="D13942">
        <f>12</f>
        <v>12</v>
      </c>
      <c r="E13942" t="str">
        <f>"02 - A - 001 - Courtney E Hambright"</f>
        <v>02 - A - 001 - Courtney E Hambright</v>
      </c>
      <c r="F13942" t="str">
        <f>"NC STUDY HALL 1"</f>
        <v>NC STUDY HALL 1</v>
      </c>
      <c r="G13942" t="str">
        <f>"17-1711"</f>
        <v>17-1711</v>
      </c>
      <c r="H13942" t="str">
        <f>"A"</f>
        <v>A</v>
      </c>
    </row>
    <row r="13943" spans="1:8" x14ac:dyDescent="0.2">
      <c r="A13943" t="str">
        <f t="shared" si="5052"/>
        <v>0619047761</v>
      </c>
      <c r="B13943" t="str">
        <f t="shared" si="5053"/>
        <v>RODACHCA</v>
      </c>
      <c r="C13943" t="str">
        <f t="shared" si="5054"/>
        <v>PRESUME</v>
      </c>
      <c r="D13943">
        <f>12</f>
        <v>12</v>
      </c>
      <c r="E13943" t="str">
        <f>"07 - B - 102 - Thomas G Handwerg"</f>
        <v>07 - B - 102 - Thomas G Handwerg</v>
      </c>
      <c r="F13943" t="str">
        <f>"PROB STAT W/APPS HON"</f>
        <v>PROB STAT W/APPS HON</v>
      </c>
      <c r="G13943" t="str">
        <f>"21-2146"</f>
        <v>21-2146</v>
      </c>
      <c r="H13943" t="str">
        <f>"B"</f>
        <v>B</v>
      </c>
    </row>
    <row r="13944" spans="1:8" x14ac:dyDescent="0.2">
      <c r="A13944" t="str">
        <f t="shared" si="5052"/>
        <v>0619047761</v>
      </c>
      <c r="B13944" t="str">
        <f t="shared" si="5053"/>
        <v>RODACHCA</v>
      </c>
      <c r="C13944" t="str">
        <f t="shared" si="5054"/>
        <v>PRESUME</v>
      </c>
      <c r="D13944">
        <f>12</f>
        <v>12</v>
      </c>
      <c r="E13944" t="str">
        <f>"05 - B - 204 - Cliffon  Saurel"</f>
        <v>05 - B - 204 - Cliffon  Saurel</v>
      </c>
      <c r="F13944" t="str">
        <f>"PHYSICAL SCI"</f>
        <v>PHYSICAL SCI</v>
      </c>
      <c r="G13944" t="str">
        <f>"05-522"</f>
        <v>05-522</v>
      </c>
      <c r="H13944" t="str">
        <f>"B"</f>
        <v>B</v>
      </c>
    </row>
    <row r="13945" spans="1:8" x14ac:dyDescent="0.2">
      <c r="A13945" t="str">
        <f t="shared" si="5052"/>
        <v>0619047761</v>
      </c>
      <c r="B13945" t="str">
        <f t="shared" si="5053"/>
        <v>RODACHCA</v>
      </c>
      <c r="C13945" t="str">
        <f t="shared" si="5054"/>
        <v>PRESUME</v>
      </c>
      <c r="D13945">
        <f>12</f>
        <v>12</v>
      </c>
      <c r="E13945" t="str">
        <f>"01 - S1 - A - 101 - Richard E Dunbar Iii"</f>
        <v>01 - S1 - A - 101 - Richard E Dunbar Iii</v>
      </c>
      <c r="F13945" t="str">
        <f>"WEIGHT TRAIN 1"</f>
        <v>WEIGHT TRAIN 1</v>
      </c>
      <c r="G13945" t="str">
        <f>"05-501"</f>
        <v>05-501</v>
      </c>
      <c r="H13945" t="str">
        <f>"A"</f>
        <v>A</v>
      </c>
    </row>
    <row r="13946" spans="1:8" x14ac:dyDescent="0.2">
      <c r="A13946" t="str">
        <f t="shared" si="5052"/>
        <v>0619047761</v>
      </c>
      <c r="B13946" t="str">
        <f t="shared" si="5053"/>
        <v>RODACHCA</v>
      </c>
      <c r="C13946" t="str">
        <f t="shared" si="5054"/>
        <v>PRESUME</v>
      </c>
      <c r="D13946">
        <f>12</f>
        <v>12</v>
      </c>
      <c r="E13946" t="str">
        <f>"08 - B - 105 - Brandy N Zdenek"</f>
        <v>08 - B - 105 - Brandy N Zdenek</v>
      </c>
      <c r="F13946" t="str">
        <f>"AICE ENG LANG 2 AL"</f>
        <v>AICE ENG LANG 2 AL</v>
      </c>
      <c r="G13946" t="str">
        <f>"17-1704"</f>
        <v>17-1704</v>
      </c>
      <c r="H13946" t="str">
        <f>"B"</f>
        <v>B</v>
      </c>
    </row>
    <row r="13947" spans="1:8" x14ac:dyDescent="0.2">
      <c r="A13947" t="str">
        <f t="shared" ref="A13947:A13954" si="5055">"0615056584"</f>
        <v>0615056584</v>
      </c>
      <c r="B13947" t="str">
        <f t="shared" ref="B13947:B13954" si="5056">"KA'NI"</f>
        <v>KA'NI</v>
      </c>
      <c r="C13947" t="str">
        <f t="shared" ref="C13947:C13954" si="5057">"PRIESTER"</f>
        <v>PRIESTER</v>
      </c>
      <c r="D13947" t="str">
        <f t="shared" ref="D13947:D13954" si="5058">"09"</f>
        <v>09</v>
      </c>
      <c r="E13947" t="str">
        <f>"04 - A - 106 - Ferrie J Arostique"</f>
        <v>04 - A - 106 - Ferrie J Arostique</v>
      </c>
      <c r="F13947" t="str">
        <f>"PRE-AICE MATH 2 IG"</f>
        <v>PRE-AICE MATH 2 IG</v>
      </c>
      <c r="G13947" t="str">
        <f>"21-2139"</f>
        <v>21-2139</v>
      </c>
      <c r="H13947" t="str">
        <f>"A"</f>
        <v>A</v>
      </c>
    </row>
    <row r="13948" spans="1:8" x14ac:dyDescent="0.2">
      <c r="A13948" t="str">
        <f t="shared" si="5055"/>
        <v>0615056584</v>
      </c>
      <c r="B13948" t="str">
        <f t="shared" si="5056"/>
        <v>KA'NI</v>
      </c>
      <c r="C13948" t="str">
        <f t="shared" si="5057"/>
        <v>PRIESTER</v>
      </c>
      <c r="D13948" t="str">
        <f t="shared" si="5058"/>
        <v>09</v>
      </c>
      <c r="E13948" t="str">
        <f>"06 - B - 104 - Byron G Montenegro"</f>
        <v>06 - B - 104 - Byron G Montenegro</v>
      </c>
      <c r="F13948" t="str">
        <f>"AICE MARINE SCI 1 AS"</f>
        <v>AICE MARINE SCI 1 AS</v>
      </c>
      <c r="G13948" t="str">
        <f>"21-2144"</f>
        <v>21-2144</v>
      </c>
      <c r="H13948" t="str">
        <f>"B"</f>
        <v>B</v>
      </c>
    </row>
    <row r="13949" spans="1:8" x14ac:dyDescent="0.2">
      <c r="A13949" t="str">
        <f t="shared" si="5055"/>
        <v>0615056584</v>
      </c>
      <c r="B13949" t="str">
        <f t="shared" si="5056"/>
        <v>KA'NI</v>
      </c>
      <c r="C13949" t="str">
        <f t="shared" si="5057"/>
        <v>PRIESTER</v>
      </c>
      <c r="D13949" t="str">
        <f t="shared" si="5058"/>
        <v>09</v>
      </c>
      <c r="E13949" t="str">
        <f>"03 - A - 103 - Kelly N Panza"</f>
        <v>03 - A - 103 - Kelly N Panza</v>
      </c>
      <c r="F13949" t="str">
        <f>"AICE GLBL PERSP 1 AS"</f>
        <v>AICE GLBL PERSP 1 AS</v>
      </c>
      <c r="G13949" t="str">
        <f>"17-1753"</f>
        <v>17-1753</v>
      </c>
      <c r="H13949" t="str">
        <f>"A"</f>
        <v>A</v>
      </c>
    </row>
    <row r="13950" spans="1:8" x14ac:dyDescent="0.2">
      <c r="A13950" t="str">
        <f t="shared" si="5055"/>
        <v>0615056584</v>
      </c>
      <c r="B13950" t="str">
        <f t="shared" si="5056"/>
        <v>KA'NI</v>
      </c>
      <c r="C13950" t="str">
        <f t="shared" si="5057"/>
        <v>PRIESTER</v>
      </c>
      <c r="D13950" t="str">
        <f t="shared" si="5058"/>
        <v>09</v>
      </c>
      <c r="E13950" t="str">
        <f>"02 - A - 111 - Cheryl L Beach"</f>
        <v>02 - A - 111 - Cheryl L Beach</v>
      </c>
      <c r="F13950" t="str">
        <f>"NC STUDY HALL 1"</f>
        <v>NC STUDY HALL 1</v>
      </c>
      <c r="G13950" t="str">
        <f>"08-811"</f>
        <v>08-811</v>
      </c>
      <c r="H13950" t="str">
        <f>"A"</f>
        <v>A</v>
      </c>
    </row>
    <row r="13951" spans="1:8" x14ac:dyDescent="0.2">
      <c r="A13951" t="str">
        <f t="shared" si="5055"/>
        <v>0615056584</v>
      </c>
      <c r="B13951" t="str">
        <f t="shared" si="5056"/>
        <v>KA'NI</v>
      </c>
      <c r="C13951" t="str">
        <f t="shared" si="5057"/>
        <v>PRIESTER</v>
      </c>
      <c r="D13951" t="str">
        <f t="shared" si="5058"/>
        <v>09</v>
      </c>
      <c r="E13951" t="str">
        <f>"07 - B - 107 - Rosa Elaine  Collado-Duff"</f>
        <v>07 - B - 107 - Rosa Elaine  Collado-Duff</v>
      </c>
      <c r="F13951" t="str">
        <f>"PRE-AICE SPAN 2 IG"</f>
        <v>PRE-AICE SPAN 2 IG</v>
      </c>
      <c r="G13951" t="str">
        <f>"09-913"</f>
        <v>09-913</v>
      </c>
      <c r="H13951" t="str">
        <f>"B"</f>
        <v>B</v>
      </c>
    </row>
    <row r="13952" spans="1:8" x14ac:dyDescent="0.2">
      <c r="A13952" t="str">
        <f t="shared" si="5055"/>
        <v>0615056584</v>
      </c>
      <c r="B13952" t="str">
        <f t="shared" si="5056"/>
        <v>KA'NI</v>
      </c>
      <c r="C13952" t="str">
        <f t="shared" si="5057"/>
        <v>PRIESTER</v>
      </c>
      <c r="D13952" t="str">
        <f t="shared" si="5058"/>
        <v>09</v>
      </c>
      <c r="E13952" t="str">
        <f>"05 - B - 002 - Cheryl Anne  Berman-Schechter"</f>
        <v>05 - B - 002 - Cheryl Anne  Berman-Schechter</v>
      </c>
      <c r="F13952" t="str">
        <f>"AICE ENG GEN PAPER 1"</f>
        <v>AICE ENG GEN PAPER 1</v>
      </c>
      <c r="G13952" t="str">
        <f>"17-1722"</f>
        <v>17-1722</v>
      </c>
      <c r="H13952" t="str">
        <f>"B"</f>
        <v>B</v>
      </c>
    </row>
    <row r="13953" spans="1:8" x14ac:dyDescent="0.2">
      <c r="A13953" t="str">
        <f t="shared" si="5055"/>
        <v>0615056584</v>
      </c>
      <c r="B13953" t="str">
        <f t="shared" si="5056"/>
        <v>KA'NI</v>
      </c>
      <c r="C13953" t="str">
        <f t="shared" si="5057"/>
        <v>PRIESTER</v>
      </c>
      <c r="D13953" t="str">
        <f t="shared" si="5058"/>
        <v>09</v>
      </c>
      <c r="E13953" t="str">
        <f>"01 - A - 101 - Josiah I Lacy"</f>
        <v>01 - A - 101 - Josiah I Lacy</v>
      </c>
      <c r="F13953" t="str">
        <f>"PRE-AICE BIO IG"</f>
        <v>PRE-AICE BIO IG</v>
      </c>
      <c r="G13953" t="str">
        <f>"08-801"</f>
        <v>08-801</v>
      </c>
      <c r="H13953" t="str">
        <f>"A"</f>
        <v>A</v>
      </c>
    </row>
    <row r="13954" spans="1:8" x14ac:dyDescent="0.2">
      <c r="A13954" t="str">
        <f t="shared" si="5055"/>
        <v>0615056584</v>
      </c>
      <c r="B13954" t="str">
        <f t="shared" si="5056"/>
        <v>KA'NI</v>
      </c>
      <c r="C13954" t="str">
        <f t="shared" si="5057"/>
        <v>PRIESTER</v>
      </c>
      <c r="D13954" t="str">
        <f t="shared" si="5058"/>
        <v>09</v>
      </c>
      <c r="E13954" t="str">
        <f>"08 - B - 101 - Alejandro  Navarro"</f>
        <v>08 - B - 101 - Alejandro  Navarro</v>
      </c>
      <c r="F13954" t="str">
        <f>"GUITAR 1"</f>
        <v>GUITAR 1</v>
      </c>
      <c r="G13954" t="str">
        <f>"05-504"</f>
        <v>05-504</v>
      </c>
      <c r="H13954" t="str">
        <f>"B"</f>
        <v>B</v>
      </c>
    </row>
    <row r="13955" spans="1:8" x14ac:dyDescent="0.2">
      <c r="A13955" t="str">
        <f t="shared" ref="A13955:A13960" si="5059">"0614008929"</f>
        <v>0614008929</v>
      </c>
      <c r="B13955" t="str">
        <f t="shared" ref="B13955:B13960" si="5060">"ENZO"</f>
        <v>ENZO</v>
      </c>
      <c r="C13955" t="str">
        <f t="shared" ref="C13955:C13960" si="5061">"PRIETO"</f>
        <v>PRIETO</v>
      </c>
      <c r="D13955">
        <f>12</f>
        <v>12</v>
      </c>
      <c r="E13955" t="str">
        <f>"19 - S1 - MTWHF - BCC - Instructor BC"</f>
        <v>19 - S1 - MTWHF - BCC - Instructor BC</v>
      </c>
      <c r="F13955" t="str">
        <f>"GENERAL PSYCHOLOGY"</f>
        <v>GENERAL PSYCHOLOGY</v>
      </c>
      <c r="G13955" t="str">
        <f>"60-DE"</f>
        <v>60-DE</v>
      </c>
      <c r="H13955" t="str">
        <f>"-"</f>
        <v>-</v>
      </c>
    </row>
    <row r="13956" spans="1:8" x14ac:dyDescent="0.2">
      <c r="A13956" t="str">
        <f t="shared" si="5059"/>
        <v>0614008929</v>
      </c>
      <c r="B13956" t="str">
        <f t="shared" si="5060"/>
        <v>ENZO</v>
      </c>
      <c r="C13956" t="str">
        <f t="shared" si="5061"/>
        <v>PRIETO</v>
      </c>
      <c r="D13956">
        <f>12</f>
        <v>12</v>
      </c>
      <c r="E13956" t="str">
        <f>"19 - S1 - MTWHF - BCC - Instructor BC"</f>
        <v>19 - S1 - MTWHF - BCC - Instructor BC</v>
      </c>
      <c r="F13956" t="str">
        <f>"INTRO TO STATISTICS"</f>
        <v>INTRO TO STATISTICS</v>
      </c>
      <c r="G13956" t="str">
        <f>"60-DE"</f>
        <v>60-DE</v>
      </c>
      <c r="H13956" t="str">
        <f>"-"</f>
        <v>-</v>
      </c>
    </row>
    <row r="13957" spans="1:8" x14ac:dyDescent="0.2">
      <c r="A13957" t="str">
        <f t="shared" si="5059"/>
        <v>0614008929</v>
      </c>
      <c r="B13957" t="str">
        <f t="shared" si="5060"/>
        <v>ENZO</v>
      </c>
      <c r="C13957" t="str">
        <f t="shared" si="5061"/>
        <v>PRIETO</v>
      </c>
      <c r="D13957">
        <f>12</f>
        <v>12</v>
      </c>
      <c r="E13957" t="str">
        <f>"06 - B - 107 - Pamela M Corzo"</f>
        <v>06 - B - 107 - Pamela M Corzo</v>
      </c>
      <c r="F13957" t="str">
        <f>"NC STUDY HALL 1"</f>
        <v>NC STUDY HALL 1</v>
      </c>
      <c r="G13957" t="str">
        <f>"21-2133"</f>
        <v>21-2133</v>
      </c>
      <c r="H13957" t="str">
        <f>"B"</f>
        <v>B</v>
      </c>
    </row>
    <row r="13958" spans="1:8" x14ac:dyDescent="0.2">
      <c r="A13958" t="str">
        <f t="shared" si="5059"/>
        <v>0614008929</v>
      </c>
      <c r="B13958" t="str">
        <f t="shared" si="5060"/>
        <v>ENZO</v>
      </c>
      <c r="C13958" t="str">
        <f t="shared" si="5061"/>
        <v>PRIETO</v>
      </c>
      <c r="D13958">
        <f>12</f>
        <v>12</v>
      </c>
      <c r="E13958" t="str">
        <f>"02 - A - 102 - Marielle A Witting"</f>
        <v>02 - A - 102 - Marielle A Witting</v>
      </c>
      <c r="F13958" t="str">
        <f>"AP BIO"</f>
        <v>AP BIO</v>
      </c>
      <c r="G13958" t="str">
        <f>"08-805"</f>
        <v>08-805</v>
      </c>
      <c r="H13958" t="str">
        <f>"A"</f>
        <v>A</v>
      </c>
    </row>
    <row r="13959" spans="1:8" x14ac:dyDescent="0.2">
      <c r="A13959" t="str">
        <f t="shared" si="5059"/>
        <v>0614008929</v>
      </c>
      <c r="B13959" t="str">
        <f t="shared" si="5060"/>
        <v>ENZO</v>
      </c>
      <c r="C13959" t="str">
        <f t="shared" si="5061"/>
        <v>PRIETO</v>
      </c>
      <c r="D13959">
        <f>12</f>
        <v>12</v>
      </c>
      <c r="E13959" t="str">
        <f>"05 - S1 - B - 103 - Stephen T Ripp"</f>
        <v>05 - S1 - B - 103 - Stephen T Ripp</v>
      </c>
      <c r="F13959" t="str">
        <f>"AP US GOVT/POL"</f>
        <v>AP US GOVT/POL</v>
      </c>
      <c r="G13959" t="str">
        <f>"17-1744"</f>
        <v>17-1744</v>
      </c>
      <c r="H13959" t="str">
        <f>"B"</f>
        <v>B</v>
      </c>
    </row>
    <row r="13960" spans="1:8" x14ac:dyDescent="0.2">
      <c r="A13960" t="str">
        <f t="shared" si="5059"/>
        <v>0614008929</v>
      </c>
      <c r="B13960" t="str">
        <f t="shared" si="5060"/>
        <v>ENZO</v>
      </c>
      <c r="C13960" t="str">
        <f t="shared" si="5061"/>
        <v>PRIETO</v>
      </c>
      <c r="D13960">
        <f>12</f>
        <v>12</v>
      </c>
      <c r="E13960" t="str">
        <f>"01 - A - 204 - Tina M Jaramillo"</f>
        <v>01 - A - 204 - Tina M Jaramillo</v>
      </c>
      <c r="F13960" t="str">
        <f>"AP ENG LIT COMPO"</f>
        <v>AP ENG LIT COMPO</v>
      </c>
      <c r="G13960" t="str">
        <f>"17-1706"</f>
        <v>17-1706</v>
      </c>
      <c r="H13960" t="str">
        <f>"A"</f>
        <v>A</v>
      </c>
    </row>
    <row r="13961" spans="1:8" x14ac:dyDescent="0.2">
      <c r="A13961" t="str">
        <f t="shared" ref="A13961:A13968" si="5062">"0625004426"</f>
        <v>0625004426</v>
      </c>
      <c r="B13961" t="str">
        <f t="shared" ref="B13961:B13968" si="5063">"Manuela"</f>
        <v>Manuela</v>
      </c>
      <c r="C13961" t="str">
        <f t="shared" ref="C13961:C13968" si="5064">"Prieto Vega"</f>
        <v>Prieto Vega</v>
      </c>
      <c r="D13961">
        <f>12</f>
        <v>12</v>
      </c>
      <c r="E13961" t="str">
        <f>"04 - A - 101 - Stefanie S Scher"</f>
        <v>04 - A - 101 - Stefanie S Scher</v>
      </c>
      <c r="F13961" t="str">
        <f>"AP PSYCH"</f>
        <v>AP PSYCH</v>
      </c>
      <c r="G13961" t="str">
        <f>"17-1735"</f>
        <v>17-1735</v>
      </c>
      <c r="H13961" t="str">
        <f>"A"</f>
        <v>A</v>
      </c>
    </row>
    <row r="13962" spans="1:8" x14ac:dyDescent="0.2">
      <c r="A13962" t="str">
        <f t="shared" si="5062"/>
        <v>0625004426</v>
      </c>
      <c r="B13962" t="str">
        <f t="shared" si="5063"/>
        <v>Manuela</v>
      </c>
      <c r="C13962" t="str">
        <f t="shared" si="5064"/>
        <v>Prieto Vega</v>
      </c>
      <c r="D13962">
        <f>12</f>
        <v>12</v>
      </c>
      <c r="E13962" t="str">
        <f>"06 - B - 110 - Barbara L Segal"</f>
        <v>06 - B - 110 - Barbara L Segal</v>
      </c>
      <c r="F13962" t="str">
        <f>"NC STUDY HALL 1"</f>
        <v>NC STUDY HALL 1</v>
      </c>
      <c r="G13962" t="str">
        <f>"17-1742"</f>
        <v>17-1742</v>
      </c>
      <c r="H13962" t="str">
        <f>"B"</f>
        <v>B</v>
      </c>
    </row>
    <row r="13963" spans="1:8" x14ac:dyDescent="0.2">
      <c r="A13963" t="str">
        <f t="shared" si="5062"/>
        <v>0625004426</v>
      </c>
      <c r="B13963" t="str">
        <f t="shared" si="5063"/>
        <v>Manuela</v>
      </c>
      <c r="C13963" t="str">
        <f t="shared" si="5064"/>
        <v>Prieto Vega</v>
      </c>
      <c r="D13963">
        <f>12</f>
        <v>12</v>
      </c>
      <c r="E13963" t="str">
        <f>"03 - A - 101 - Jacqueline R Morphet"</f>
        <v>03 - A - 101 - Jacqueline R Morphet</v>
      </c>
      <c r="F13963" t="str">
        <f>"AP PHYSICS 1"</f>
        <v>AP PHYSICS 1</v>
      </c>
      <c r="G13963" t="str">
        <f>"21-2138"</f>
        <v>21-2138</v>
      </c>
      <c r="H13963" t="str">
        <f>"A"</f>
        <v>A</v>
      </c>
    </row>
    <row r="13964" spans="1:8" x14ac:dyDescent="0.2">
      <c r="A13964" t="str">
        <f t="shared" si="5062"/>
        <v>0625004426</v>
      </c>
      <c r="B13964" t="str">
        <f t="shared" si="5063"/>
        <v>Manuela</v>
      </c>
      <c r="C13964" t="str">
        <f t="shared" si="5064"/>
        <v>Prieto Vega</v>
      </c>
      <c r="D13964">
        <f>12</f>
        <v>12</v>
      </c>
      <c r="E13964" t="str">
        <f>"02 - A - 102 - Jeffrey S Gallagher"</f>
        <v>02 - A - 102 - Jeffrey S Gallagher</v>
      </c>
      <c r="F13964" t="str">
        <f>"ENG HON 4"</f>
        <v>ENG HON 4</v>
      </c>
      <c r="G13964" t="str">
        <f>"17-1724"</f>
        <v>17-1724</v>
      </c>
      <c r="H13964" t="str">
        <f>"A"</f>
        <v>A</v>
      </c>
    </row>
    <row r="13965" spans="1:8" x14ac:dyDescent="0.2">
      <c r="A13965" t="str">
        <f t="shared" si="5062"/>
        <v>0625004426</v>
      </c>
      <c r="B13965" t="str">
        <f t="shared" si="5063"/>
        <v>Manuela</v>
      </c>
      <c r="C13965" t="str">
        <f t="shared" si="5064"/>
        <v>Prieto Vega</v>
      </c>
      <c r="D13965">
        <f>12</f>
        <v>12</v>
      </c>
      <c r="E13965" t="str">
        <f>"07 - B - 102 - Pamela M Corzo"</f>
        <v>07 - B - 102 - Pamela M Corzo</v>
      </c>
      <c r="F13965" t="str">
        <f>"AP CALCULUS AB"</f>
        <v>AP CALCULUS AB</v>
      </c>
      <c r="G13965" t="str">
        <f>"21-2133"</f>
        <v>21-2133</v>
      </c>
      <c r="H13965" t="str">
        <f>"B"</f>
        <v>B</v>
      </c>
    </row>
    <row r="13966" spans="1:8" x14ac:dyDescent="0.2">
      <c r="A13966" t="str">
        <f t="shared" si="5062"/>
        <v>0625004426</v>
      </c>
      <c r="B13966" t="str">
        <f t="shared" si="5063"/>
        <v>Manuela</v>
      </c>
      <c r="C13966" t="str">
        <f t="shared" si="5064"/>
        <v>Prieto Vega</v>
      </c>
      <c r="D13966">
        <f>12</f>
        <v>12</v>
      </c>
      <c r="E13966" t="str">
        <f>"05 - B - 102 - Dorothy D Moore"</f>
        <v>05 - B - 102 - Dorothy D Moore</v>
      </c>
      <c r="F13966" t="str">
        <f>"FORC SCI 1 LH"</f>
        <v>FORC SCI 1 LH</v>
      </c>
      <c r="G13966" t="str">
        <f>"08-803"</f>
        <v>08-803</v>
      </c>
      <c r="H13966" t="str">
        <f>"B"</f>
        <v>B</v>
      </c>
    </row>
    <row r="13967" spans="1:8" x14ac:dyDescent="0.2">
      <c r="A13967" t="str">
        <f t="shared" si="5062"/>
        <v>0625004426</v>
      </c>
      <c r="B13967" t="str">
        <f t="shared" si="5063"/>
        <v>Manuela</v>
      </c>
      <c r="C13967" t="str">
        <f t="shared" si="5064"/>
        <v>Prieto Vega</v>
      </c>
      <c r="D13967">
        <f>12</f>
        <v>12</v>
      </c>
      <c r="E13967" t="str">
        <f>"01 - A - 101 - Thomas G Handwerg"</f>
        <v>01 - A - 101 - Thomas G Handwerg</v>
      </c>
      <c r="F13967" t="str">
        <f>"PROB STAT W/APPS HON"</f>
        <v>PROB STAT W/APPS HON</v>
      </c>
      <c r="G13967" t="str">
        <f>"21-2146"</f>
        <v>21-2146</v>
      </c>
      <c r="H13967" t="str">
        <f>"A"</f>
        <v>A</v>
      </c>
    </row>
    <row r="13968" spans="1:8" x14ac:dyDescent="0.2">
      <c r="A13968" t="str">
        <f t="shared" si="5062"/>
        <v>0625004426</v>
      </c>
      <c r="B13968" t="str">
        <f t="shared" si="5063"/>
        <v>Manuela</v>
      </c>
      <c r="C13968" t="str">
        <f t="shared" si="5064"/>
        <v>Prieto Vega</v>
      </c>
      <c r="D13968">
        <f>12</f>
        <v>12</v>
      </c>
      <c r="E13968" t="str">
        <f>"08 - S1 - B - 105 - Kelly N Panza"</f>
        <v>08 - S1 - B - 105 - Kelly N Panza</v>
      </c>
      <c r="F13968" t="str">
        <f>"US GOVT HON"</f>
        <v>US GOVT HON</v>
      </c>
      <c r="G13968" t="str">
        <f>"17-1753"</f>
        <v>17-1753</v>
      </c>
      <c r="H13968" t="str">
        <f>"B"</f>
        <v>B</v>
      </c>
    </row>
    <row r="13969" spans="1:8" x14ac:dyDescent="0.2">
      <c r="A13969" t="str">
        <f t="shared" ref="A13969:A13976" si="5065">"0613122464"</f>
        <v>0613122464</v>
      </c>
      <c r="B13969" t="str">
        <f t="shared" ref="B13969:B13976" si="5066">"JACOB"</f>
        <v>JACOB</v>
      </c>
      <c r="C13969" t="str">
        <f t="shared" ref="C13969:C13976" si="5067">"PRITCHARD"</f>
        <v>PRITCHARD</v>
      </c>
      <c r="D13969">
        <f>12</f>
        <v>12</v>
      </c>
      <c r="E13969" t="str">
        <f>"04 - A - 101 - Brian M Fitzgerald"</f>
        <v>04 - A - 101 - Brian M Fitzgerald</v>
      </c>
      <c r="F13969" t="str">
        <f>"DRAW 2"</f>
        <v>DRAW 2</v>
      </c>
      <c r="G13969" t="str">
        <f>"09-908"</f>
        <v>09-908</v>
      </c>
      <c r="H13969" t="str">
        <f>"A"</f>
        <v>A</v>
      </c>
    </row>
    <row r="13970" spans="1:8" x14ac:dyDescent="0.2">
      <c r="A13970" t="str">
        <f t="shared" si="5065"/>
        <v>0613122464</v>
      </c>
      <c r="B13970" t="str">
        <f t="shared" si="5066"/>
        <v>JACOB</v>
      </c>
      <c r="C13970" t="str">
        <f t="shared" si="5067"/>
        <v>PRITCHARD</v>
      </c>
      <c r="D13970">
        <f>12</f>
        <v>12</v>
      </c>
      <c r="E13970" t="str">
        <f>"06 - B - 110 - Barbara L Segal"</f>
        <v>06 - B - 110 - Barbara L Segal</v>
      </c>
      <c r="F13970" t="str">
        <f>"NC STUDY HALL 1"</f>
        <v>NC STUDY HALL 1</v>
      </c>
      <c r="G13970" t="str">
        <f>"17-1742"</f>
        <v>17-1742</v>
      </c>
      <c r="H13970" t="str">
        <f>"B"</f>
        <v>B</v>
      </c>
    </row>
    <row r="13971" spans="1:8" x14ac:dyDescent="0.2">
      <c r="A13971" t="str">
        <f t="shared" si="5065"/>
        <v>0613122464</v>
      </c>
      <c r="B13971" t="str">
        <f t="shared" si="5066"/>
        <v>JACOB</v>
      </c>
      <c r="C13971" t="str">
        <f t="shared" si="5067"/>
        <v>PRITCHARD</v>
      </c>
      <c r="D13971">
        <f>12</f>
        <v>12</v>
      </c>
      <c r="E13971" t="str">
        <f>"03 - A - 102 - Cliffon  Saurel"</f>
        <v>03 - A - 102 - Cliffon  Saurel</v>
      </c>
      <c r="F13971" t="str">
        <f>"PHYSICAL SCI"</f>
        <v>PHYSICAL SCI</v>
      </c>
      <c r="G13971" t="str">
        <f>"05-522"</f>
        <v>05-522</v>
      </c>
      <c r="H13971" t="str">
        <f>"A"</f>
        <v>A</v>
      </c>
    </row>
    <row r="13972" spans="1:8" x14ac:dyDescent="0.2">
      <c r="A13972" t="str">
        <f t="shared" si="5065"/>
        <v>0613122464</v>
      </c>
      <c r="B13972" t="str">
        <f t="shared" si="5066"/>
        <v>JACOB</v>
      </c>
      <c r="C13972" t="str">
        <f t="shared" si="5067"/>
        <v>PRITCHARD</v>
      </c>
      <c r="D13972">
        <f>12</f>
        <v>12</v>
      </c>
      <c r="E13972" t="str">
        <f>"02 - A - 101 - Robert H Rindner"</f>
        <v>02 - A - 101 - Robert H Rindner</v>
      </c>
      <c r="F13972" t="str">
        <f>"MATH DATA&amp;FIN LIT H"</f>
        <v>MATH DATA&amp;FIN LIT H</v>
      </c>
      <c r="G13972" t="str">
        <f>"21-2160"</f>
        <v>21-2160</v>
      </c>
      <c r="H13972" t="str">
        <f>"A"</f>
        <v>A</v>
      </c>
    </row>
    <row r="13973" spans="1:8" x14ac:dyDescent="0.2">
      <c r="A13973" t="str">
        <f t="shared" si="5065"/>
        <v>0613122464</v>
      </c>
      <c r="B13973" t="str">
        <f t="shared" si="5066"/>
        <v>JACOB</v>
      </c>
      <c r="C13973" t="str">
        <f t="shared" si="5067"/>
        <v>PRITCHARD</v>
      </c>
      <c r="D13973">
        <f>12</f>
        <v>12</v>
      </c>
      <c r="E13973" t="str">
        <f>"07 - B - 104 - Robyn L Trainer"</f>
        <v>07 - B - 104 - Robyn L Trainer</v>
      </c>
      <c r="F13973" t="str">
        <f>"ENG 4"</f>
        <v>ENG 4</v>
      </c>
      <c r="G13973" t="str">
        <f>"17-1734"</f>
        <v>17-1734</v>
      </c>
      <c r="H13973" t="str">
        <f>"B"</f>
        <v>B</v>
      </c>
    </row>
    <row r="13974" spans="1:8" x14ac:dyDescent="0.2">
      <c r="A13974" t="str">
        <f t="shared" si="5065"/>
        <v>0613122464</v>
      </c>
      <c r="B13974" t="str">
        <f t="shared" si="5066"/>
        <v>JACOB</v>
      </c>
      <c r="C13974" t="str">
        <f t="shared" si="5067"/>
        <v>PRITCHARD</v>
      </c>
      <c r="D13974">
        <f>12</f>
        <v>12</v>
      </c>
      <c r="E13974" t="str">
        <f>"05 - S1 - B - 102 - Robert O Burger"</f>
        <v>05 - S1 - B - 102 - Robert O Burger</v>
      </c>
      <c r="F13974" t="str">
        <f>"US GOVT"</f>
        <v>US GOVT</v>
      </c>
      <c r="G13974" t="str">
        <f>"17-1755"</f>
        <v>17-1755</v>
      </c>
      <c r="H13974" t="str">
        <f>"B"</f>
        <v>B</v>
      </c>
    </row>
    <row r="13975" spans="1:8" x14ac:dyDescent="0.2">
      <c r="A13975" t="str">
        <f t="shared" si="5065"/>
        <v>0613122464</v>
      </c>
      <c r="B13975" t="str">
        <f t="shared" si="5066"/>
        <v>JACOB</v>
      </c>
      <c r="C13975" t="str">
        <f t="shared" si="5067"/>
        <v>PRITCHARD</v>
      </c>
      <c r="D13975">
        <f>12</f>
        <v>12</v>
      </c>
      <c r="E13975" t="str">
        <f>"01 - A - 101 - Angela S Adeshina-Morrison"</f>
        <v>01 - A - 101 - Angela S Adeshina-Morrison</v>
      </c>
      <c r="F13975" t="str">
        <f>"MARKETING ESSENTIALS"</f>
        <v>MARKETING ESSENTIALS</v>
      </c>
      <c r="G13975" t="str">
        <f>"05-518"</f>
        <v>05-518</v>
      </c>
      <c r="H13975" t="str">
        <f>"A"</f>
        <v>A</v>
      </c>
    </row>
    <row r="13976" spans="1:8" x14ac:dyDescent="0.2">
      <c r="A13976" t="str">
        <f t="shared" si="5065"/>
        <v>0613122464</v>
      </c>
      <c r="B13976" t="str">
        <f t="shared" si="5066"/>
        <v>JACOB</v>
      </c>
      <c r="C13976" t="str">
        <f t="shared" si="5067"/>
        <v>PRITCHARD</v>
      </c>
      <c r="D13976">
        <f>12</f>
        <v>12</v>
      </c>
      <c r="E13976" t="str">
        <f>"08 - B - 101 - Robert H Rindner"</f>
        <v>08 - B - 101 - Robert H Rindner</v>
      </c>
      <c r="F13976" t="str">
        <f>"TV PRODUCTION TECH 2"</f>
        <v>TV PRODUCTION TECH 2</v>
      </c>
      <c r="G13976" t="str">
        <f>"21-2160"</f>
        <v>21-2160</v>
      </c>
      <c r="H13976" t="str">
        <f>"B"</f>
        <v>B</v>
      </c>
    </row>
    <row r="13977" spans="1:8" x14ac:dyDescent="0.2">
      <c r="A13977" t="str">
        <f t="shared" ref="A13977:A13984" si="5068">"0625033256"</f>
        <v>0625033256</v>
      </c>
      <c r="B13977" t="str">
        <f t="shared" ref="B13977:B13984" si="5069">"Wendell"</f>
        <v>Wendell</v>
      </c>
      <c r="C13977" t="str">
        <f t="shared" ref="C13977:C13984" si="5070">"Prout"</f>
        <v>Prout</v>
      </c>
      <c r="D13977">
        <f>10</f>
        <v>10</v>
      </c>
      <c r="E13977" t="str">
        <f>"04 - A - 102 - Josiah I Lacy"</f>
        <v>04 - A - 102 - Josiah I Lacy</v>
      </c>
      <c r="F13977" t="str">
        <f>"PRE-AICE BIO IG"</f>
        <v>PRE-AICE BIO IG</v>
      </c>
      <c r="G13977" t="str">
        <f>"08-801"</f>
        <v>08-801</v>
      </c>
      <c r="H13977" t="str">
        <f>"A"</f>
        <v>A</v>
      </c>
    </row>
    <row r="13978" spans="1:8" x14ac:dyDescent="0.2">
      <c r="A13978" t="str">
        <f t="shared" si="5068"/>
        <v>0625033256</v>
      </c>
      <c r="B13978" t="str">
        <f t="shared" si="5069"/>
        <v>Wendell</v>
      </c>
      <c r="C13978" t="str">
        <f t="shared" si="5070"/>
        <v>Prout</v>
      </c>
      <c r="D13978">
        <f>10</f>
        <v>10</v>
      </c>
      <c r="E13978" t="str">
        <f>"06 - B - 113 - Joe  Kilpatrick Jr"</f>
        <v>06 - B - 113 - Joe  Kilpatrick Jr</v>
      </c>
      <c r="F13978" t="str">
        <f>"NC STUDY HALL 1"</f>
        <v>NC STUDY HALL 1</v>
      </c>
      <c r="G13978" t="str">
        <f>"09-912"</f>
        <v>09-912</v>
      </c>
      <c r="H13978" t="str">
        <f>"B"</f>
        <v>B</v>
      </c>
    </row>
    <row r="13979" spans="1:8" x14ac:dyDescent="0.2">
      <c r="A13979" t="str">
        <f t="shared" si="5068"/>
        <v>0625033256</v>
      </c>
      <c r="B13979" t="str">
        <f t="shared" si="5069"/>
        <v>Wendell</v>
      </c>
      <c r="C13979" t="str">
        <f t="shared" si="5070"/>
        <v>Prout</v>
      </c>
      <c r="D13979">
        <f>10</f>
        <v>10</v>
      </c>
      <c r="E13979" t="str">
        <f>"03 - A - 101 - Helen A Flores"</f>
        <v>03 - A - 101 - Helen A Flores</v>
      </c>
      <c r="F13979" t="str">
        <f>"PRE-AICE MATH 1 IG"</f>
        <v>PRE-AICE MATH 1 IG</v>
      </c>
      <c r="G13979" t="str">
        <f>"21-2101"</f>
        <v>21-2101</v>
      </c>
      <c r="H13979" t="str">
        <f>"A"</f>
        <v>A</v>
      </c>
    </row>
    <row r="13980" spans="1:8" x14ac:dyDescent="0.2">
      <c r="A13980" t="str">
        <f t="shared" si="5068"/>
        <v>0625033256</v>
      </c>
      <c r="B13980" t="str">
        <f t="shared" si="5069"/>
        <v>Wendell</v>
      </c>
      <c r="C13980" t="str">
        <f t="shared" si="5070"/>
        <v>Prout</v>
      </c>
      <c r="D13980">
        <f>10</f>
        <v>10</v>
      </c>
      <c r="E13980" t="str">
        <f>"02 - S1 - A - 101 - James H Mccann"</f>
        <v>02 - S1 - A - 101 - James H Mccann</v>
      </c>
      <c r="F13980" t="str">
        <f>"PERS FIN &amp; MON MGT H"</f>
        <v>PERS FIN &amp; MON MGT H</v>
      </c>
      <c r="G13980" t="str">
        <f>"17-1716"</f>
        <v>17-1716</v>
      </c>
      <c r="H13980" t="str">
        <f>"A"</f>
        <v>A</v>
      </c>
    </row>
    <row r="13981" spans="1:8" x14ac:dyDescent="0.2">
      <c r="A13981" t="str">
        <f t="shared" si="5068"/>
        <v>0625033256</v>
      </c>
      <c r="B13981" t="str">
        <f t="shared" si="5069"/>
        <v>Wendell</v>
      </c>
      <c r="C13981" t="str">
        <f t="shared" si="5070"/>
        <v>Prout</v>
      </c>
      <c r="D13981">
        <f>10</f>
        <v>10</v>
      </c>
      <c r="E13981" t="str">
        <f>"07 - B - 107 - Marius D Orsolini"</f>
        <v>07 - B - 107 - Marius D Orsolini</v>
      </c>
      <c r="F13981" t="str">
        <f>"CULINARY ARTS 1"</f>
        <v>CULINARY ARTS 1</v>
      </c>
      <c r="G13981" t="str">
        <f>"21-2115"</f>
        <v>21-2115</v>
      </c>
      <c r="H13981" t="str">
        <f>"B"</f>
        <v>B</v>
      </c>
    </row>
    <row r="13982" spans="1:8" x14ac:dyDescent="0.2">
      <c r="A13982" t="str">
        <f t="shared" si="5068"/>
        <v>0625033256</v>
      </c>
      <c r="B13982" t="str">
        <f t="shared" si="5069"/>
        <v>Wendell</v>
      </c>
      <c r="C13982" t="str">
        <f t="shared" si="5070"/>
        <v>Prout</v>
      </c>
      <c r="D13982">
        <f>10</f>
        <v>10</v>
      </c>
      <c r="E13982" t="str">
        <f>"05 - B - 107 - Nikiel  Nesbeth"</f>
        <v>05 - B - 107 - Nikiel  Nesbeth</v>
      </c>
      <c r="F13982" t="str">
        <f>"ENG 2"</f>
        <v>ENG 2</v>
      </c>
      <c r="G13982" t="str">
        <f>"17-1705"</f>
        <v>17-1705</v>
      </c>
      <c r="H13982" t="str">
        <f>"B"</f>
        <v>B</v>
      </c>
    </row>
    <row r="13983" spans="1:8" x14ac:dyDescent="0.2">
      <c r="A13983" t="str">
        <f t="shared" si="5068"/>
        <v>0625033256</v>
      </c>
      <c r="B13983" t="str">
        <f t="shared" si="5069"/>
        <v>Wendell</v>
      </c>
      <c r="C13983" t="str">
        <f t="shared" si="5070"/>
        <v>Prout</v>
      </c>
      <c r="D13983">
        <f>10</f>
        <v>10</v>
      </c>
      <c r="E13983" t="str">
        <f>"01 - A - 107 - Jazmin S Fletcher"</f>
        <v>01 - A - 107 - Jazmin S Fletcher</v>
      </c>
      <c r="F13983" t="str">
        <f>"WORLD HISTORY"</f>
        <v>WORLD HISTORY</v>
      </c>
      <c r="G13983" t="str">
        <f>"09-909"</f>
        <v>09-909</v>
      </c>
      <c r="H13983" t="str">
        <f>"A"</f>
        <v>A</v>
      </c>
    </row>
    <row r="13984" spans="1:8" x14ac:dyDescent="0.2">
      <c r="A13984" t="str">
        <f t="shared" si="5068"/>
        <v>0625033256</v>
      </c>
      <c r="B13984" t="str">
        <f t="shared" si="5069"/>
        <v>Wendell</v>
      </c>
      <c r="C13984" t="str">
        <f t="shared" si="5070"/>
        <v>Prout</v>
      </c>
      <c r="D13984">
        <f>10</f>
        <v>10</v>
      </c>
      <c r="E13984" t="str">
        <f>"08 - B - 108 - Adam Marcus  Drucker"</f>
        <v>08 - B - 108 - Adam Marcus  Drucker</v>
      </c>
      <c r="F13984" t="str">
        <f>"HOPE-PE V"</f>
        <v>HOPE-PE V</v>
      </c>
      <c r="G13984" t="str">
        <f>"04-254"</f>
        <v>04-254</v>
      </c>
      <c r="H13984" t="str">
        <f>"B"</f>
        <v>B</v>
      </c>
    </row>
    <row r="13985" spans="1:8" x14ac:dyDescent="0.2">
      <c r="A13985" t="str">
        <f t="shared" ref="A13985:A13992" si="5071">"0617004595"</f>
        <v>0617004595</v>
      </c>
      <c r="B13985" t="str">
        <f t="shared" ref="B13985:B13992" si="5072">"SHERIANA"</f>
        <v>SHERIANA</v>
      </c>
      <c r="C13985" t="str">
        <f t="shared" ref="C13985:C13992" si="5073">"PRUDHOMME"</f>
        <v>PRUDHOMME</v>
      </c>
      <c r="D13985" t="str">
        <f t="shared" ref="D13985:D14000" si="5074">"09"</f>
        <v>09</v>
      </c>
      <c r="E13985" t="str">
        <f>"04 - A - 105 - Carol S Moore"</f>
        <v>04 - A - 105 - Carol S Moore</v>
      </c>
      <c r="F13985" t="str">
        <f>"PRE-AICE WRLD HST IG"</f>
        <v>PRE-AICE WRLD HST IG</v>
      </c>
      <c r="G13985" t="str">
        <f>"17-1733"</f>
        <v>17-1733</v>
      </c>
      <c r="H13985" t="str">
        <f>"A"</f>
        <v>A</v>
      </c>
    </row>
    <row r="13986" spans="1:8" x14ac:dyDescent="0.2">
      <c r="A13986" t="str">
        <f t="shared" si="5071"/>
        <v>0617004595</v>
      </c>
      <c r="B13986" t="str">
        <f t="shared" si="5072"/>
        <v>SHERIANA</v>
      </c>
      <c r="C13986" t="str">
        <f t="shared" si="5073"/>
        <v>PRUDHOMME</v>
      </c>
      <c r="D13986" t="str">
        <f t="shared" si="5074"/>
        <v>09</v>
      </c>
      <c r="E13986" t="str">
        <f>"06 - B - 102 - Angela S Adeshina-Morrison"</f>
        <v>06 - B - 102 - Angela S Adeshina-Morrison</v>
      </c>
      <c r="F13986" t="str">
        <f>"MARKETING ESSENTIALS"</f>
        <v>MARKETING ESSENTIALS</v>
      </c>
      <c r="G13986" t="str">
        <f>"05-518"</f>
        <v>05-518</v>
      </c>
      <c r="H13986" t="str">
        <f>"B"</f>
        <v>B</v>
      </c>
    </row>
    <row r="13987" spans="1:8" x14ac:dyDescent="0.2">
      <c r="A13987" t="str">
        <f t="shared" si="5071"/>
        <v>0617004595</v>
      </c>
      <c r="B13987" t="str">
        <f t="shared" si="5072"/>
        <v>SHERIANA</v>
      </c>
      <c r="C13987" t="str">
        <f t="shared" si="5073"/>
        <v>PRUDHOMME</v>
      </c>
      <c r="D13987" t="str">
        <f t="shared" si="5074"/>
        <v>09</v>
      </c>
      <c r="E13987" t="str">
        <f>"03 - A - 204 - Norayda D Suarez"</f>
        <v>03 - A - 204 - Norayda D Suarez</v>
      </c>
      <c r="F13987" t="str">
        <f>"ANAT PHYSIO HON"</f>
        <v>ANAT PHYSIO HON</v>
      </c>
      <c r="G13987" t="str">
        <f>"21-2144"</f>
        <v>21-2144</v>
      </c>
      <c r="H13987" t="str">
        <f>"A"</f>
        <v>A</v>
      </c>
    </row>
    <row r="13988" spans="1:8" x14ac:dyDescent="0.2">
      <c r="A13988" t="str">
        <f t="shared" si="5071"/>
        <v>0617004595</v>
      </c>
      <c r="B13988" t="str">
        <f t="shared" si="5072"/>
        <v>SHERIANA</v>
      </c>
      <c r="C13988" t="str">
        <f t="shared" si="5073"/>
        <v>PRUDHOMME</v>
      </c>
      <c r="D13988" t="str">
        <f t="shared" si="5074"/>
        <v>09</v>
      </c>
      <c r="E13988" t="str">
        <f>"02 - A - 115 - Lourivaldo  Da Silva"</f>
        <v>02 - A - 115 - Lourivaldo  Da Silva</v>
      </c>
      <c r="F13988" t="str">
        <f>"NC STUDY HALL 1"</f>
        <v>NC STUDY HALL 1</v>
      </c>
      <c r="G13988" t="str">
        <f>"20-2079"</f>
        <v>20-2079</v>
      </c>
      <c r="H13988" t="str">
        <f>"A"</f>
        <v>A</v>
      </c>
    </row>
    <row r="13989" spans="1:8" x14ac:dyDescent="0.2">
      <c r="A13989" t="str">
        <f t="shared" si="5071"/>
        <v>0617004595</v>
      </c>
      <c r="B13989" t="str">
        <f t="shared" si="5072"/>
        <v>SHERIANA</v>
      </c>
      <c r="C13989" t="str">
        <f t="shared" si="5073"/>
        <v>PRUDHOMME</v>
      </c>
      <c r="D13989" t="str">
        <f t="shared" si="5074"/>
        <v>09</v>
      </c>
      <c r="E13989" t="str">
        <f>"07 - B - 107 - Adam Marcus  Drucker"</f>
        <v>07 - B - 107 - Adam Marcus  Drucker</v>
      </c>
      <c r="F13989" t="str">
        <f>"HOPE-PE V"</f>
        <v>HOPE-PE V</v>
      </c>
      <c r="G13989" t="str">
        <f>"04-254"</f>
        <v>04-254</v>
      </c>
      <c r="H13989" t="str">
        <f>"B"</f>
        <v>B</v>
      </c>
    </row>
    <row r="13990" spans="1:8" x14ac:dyDescent="0.2">
      <c r="A13990" t="str">
        <f t="shared" si="5071"/>
        <v>0617004595</v>
      </c>
      <c r="B13990" t="str">
        <f t="shared" si="5072"/>
        <v>SHERIANA</v>
      </c>
      <c r="C13990" t="str">
        <f t="shared" si="5073"/>
        <v>PRUDHOMME</v>
      </c>
      <c r="D13990" t="str">
        <f t="shared" si="5074"/>
        <v>09</v>
      </c>
      <c r="E13990" t="str">
        <f>"05 - B - 103 - Brook E Goren"</f>
        <v>05 - B - 103 - Brook E Goren</v>
      </c>
      <c r="F13990" t="str">
        <f>"PRE-AICE MATH 2 IG"</f>
        <v>PRE-AICE MATH 2 IG</v>
      </c>
      <c r="G13990" t="str">
        <f>"21-2158"</f>
        <v>21-2158</v>
      </c>
      <c r="H13990" t="str">
        <f>"B"</f>
        <v>B</v>
      </c>
    </row>
    <row r="13991" spans="1:8" x14ac:dyDescent="0.2">
      <c r="A13991" t="str">
        <f t="shared" si="5071"/>
        <v>0617004595</v>
      </c>
      <c r="B13991" t="str">
        <f t="shared" si="5072"/>
        <v>SHERIANA</v>
      </c>
      <c r="C13991" t="str">
        <f t="shared" si="5073"/>
        <v>PRUDHOMME</v>
      </c>
      <c r="D13991" t="str">
        <f t="shared" si="5074"/>
        <v>09</v>
      </c>
      <c r="E13991" t="str">
        <f>"01 - A - 101 - Samantha L Martinez"</f>
        <v>01 - A - 101 - Samantha L Martinez</v>
      </c>
      <c r="F13991" t="str">
        <f>"MUSIC WORLD"</f>
        <v>MUSIC WORLD</v>
      </c>
      <c r="G13991" t="str">
        <f>"05-505"</f>
        <v>05-505</v>
      </c>
      <c r="H13991" t="str">
        <f>"A"</f>
        <v>A</v>
      </c>
    </row>
    <row r="13992" spans="1:8" x14ac:dyDescent="0.2">
      <c r="A13992" t="str">
        <f t="shared" si="5071"/>
        <v>0617004595</v>
      </c>
      <c r="B13992" t="str">
        <f t="shared" si="5072"/>
        <v>SHERIANA</v>
      </c>
      <c r="C13992" t="str">
        <f t="shared" si="5073"/>
        <v>PRUDHOMME</v>
      </c>
      <c r="D13992" t="str">
        <f t="shared" si="5074"/>
        <v>09</v>
      </c>
      <c r="E13992" t="str">
        <f>"08 - B - 004 - Cheryl Anne  Berman-Schechter"</f>
        <v>08 - B - 004 - Cheryl Anne  Berman-Schechter</v>
      </c>
      <c r="F13992" t="str">
        <f>"AICE ENG GEN PAPER 1"</f>
        <v>AICE ENG GEN PAPER 1</v>
      </c>
      <c r="G13992" t="str">
        <f>"17-1722"</f>
        <v>17-1722</v>
      </c>
      <c r="H13992" t="str">
        <f>"B"</f>
        <v>B</v>
      </c>
    </row>
    <row r="13993" spans="1:8" x14ac:dyDescent="0.2">
      <c r="A13993" t="str">
        <f t="shared" ref="A13993:A14000" si="5075">"0623061303"</f>
        <v>0623061303</v>
      </c>
      <c r="B13993" t="str">
        <f t="shared" ref="B13993:B14000" si="5076">"ECKERD"</f>
        <v>ECKERD</v>
      </c>
      <c r="C13993" t="str">
        <f t="shared" ref="C13993:C14016" si="5077">"PUGH"</f>
        <v>PUGH</v>
      </c>
      <c r="D13993" t="str">
        <f t="shared" si="5074"/>
        <v>09</v>
      </c>
      <c r="E13993" t="str">
        <f>"04 - A - 104 - Adam Marcus  Drucker"</f>
        <v>04 - A - 104 - Adam Marcus  Drucker</v>
      </c>
      <c r="F13993" t="str">
        <f>"HOPE-PE V"</f>
        <v>HOPE-PE V</v>
      </c>
      <c r="G13993" t="str">
        <f>"04-254"</f>
        <v>04-254</v>
      </c>
      <c r="H13993" t="str">
        <f>"A"</f>
        <v>A</v>
      </c>
    </row>
    <row r="13994" spans="1:8" x14ac:dyDescent="0.2">
      <c r="A13994" t="str">
        <f t="shared" si="5075"/>
        <v>0623061303</v>
      </c>
      <c r="B13994" t="str">
        <f t="shared" si="5076"/>
        <v>ECKERD</v>
      </c>
      <c r="C13994" t="str">
        <f t="shared" si="5077"/>
        <v>PUGH</v>
      </c>
      <c r="D13994" t="str">
        <f t="shared" si="5074"/>
        <v>09</v>
      </c>
      <c r="E13994" t="str">
        <f>"06 - B - 104 - Laselleda D Shaw"</f>
        <v>06 - B - 104 - Laselleda D Shaw</v>
      </c>
      <c r="F13994" t="str">
        <f>"INTENS READ 1"</f>
        <v>INTENS READ 1</v>
      </c>
      <c r="G13994" t="str">
        <f>"17-1723"</f>
        <v>17-1723</v>
      </c>
      <c r="H13994" t="str">
        <f>"B"</f>
        <v>B</v>
      </c>
    </row>
    <row r="13995" spans="1:8" x14ac:dyDescent="0.2">
      <c r="A13995" t="str">
        <f t="shared" si="5075"/>
        <v>0623061303</v>
      </c>
      <c r="B13995" t="str">
        <f t="shared" si="5076"/>
        <v>ECKERD</v>
      </c>
      <c r="C13995" t="str">
        <f t="shared" si="5077"/>
        <v>PUGH</v>
      </c>
      <c r="D13995" t="str">
        <f t="shared" si="5074"/>
        <v>09</v>
      </c>
      <c r="E13995" t="str">
        <f>"03 - A - 105 - Cheryl Anne  Berman-Schechter"</f>
        <v>03 - A - 105 - Cheryl Anne  Berman-Schechter</v>
      </c>
      <c r="F13995" t="str">
        <f>"ENG 1"</f>
        <v>ENG 1</v>
      </c>
      <c r="G13995" t="str">
        <f>"17-1722"</f>
        <v>17-1722</v>
      </c>
      <c r="H13995" t="str">
        <f>"A"</f>
        <v>A</v>
      </c>
    </row>
    <row r="13996" spans="1:8" x14ac:dyDescent="0.2">
      <c r="A13996" t="str">
        <f t="shared" si="5075"/>
        <v>0623061303</v>
      </c>
      <c r="B13996" t="str">
        <f t="shared" si="5076"/>
        <v>ECKERD</v>
      </c>
      <c r="C13996" t="str">
        <f t="shared" si="5077"/>
        <v>PUGH</v>
      </c>
      <c r="D13996" t="str">
        <f t="shared" si="5074"/>
        <v>09</v>
      </c>
      <c r="E13996" t="str">
        <f>"02 - A - 110 - Maried P Ramos"</f>
        <v>02 - A - 110 - Maried P Ramos</v>
      </c>
      <c r="F13996" t="str">
        <f>"NC STUDY HALL 1"</f>
        <v>NC STUDY HALL 1</v>
      </c>
      <c r="G13996" t="str">
        <f>"21-2159"</f>
        <v>21-2159</v>
      </c>
      <c r="H13996" t="str">
        <f>"A"</f>
        <v>A</v>
      </c>
    </row>
    <row r="13997" spans="1:8" x14ac:dyDescent="0.2">
      <c r="A13997" t="str">
        <f t="shared" si="5075"/>
        <v>0623061303</v>
      </c>
      <c r="B13997" t="str">
        <f t="shared" si="5076"/>
        <v>ECKERD</v>
      </c>
      <c r="C13997" t="str">
        <f t="shared" si="5077"/>
        <v>PUGH</v>
      </c>
      <c r="D13997" t="str">
        <f t="shared" si="5074"/>
        <v>09</v>
      </c>
      <c r="E13997" t="str">
        <f>"07 - B - 106 - Dayna M Foster"</f>
        <v>07 - B - 106 - Dayna M Foster</v>
      </c>
      <c r="F13997" t="str">
        <f>"FDN SKLS MATH 9-12"</f>
        <v>FDN SKLS MATH 9-12</v>
      </c>
      <c r="G13997" t="str">
        <f>"21-2109"</f>
        <v>21-2109</v>
      </c>
      <c r="H13997" t="str">
        <f>"B"</f>
        <v>B</v>
      </c>
    </row>
    <row r="13998" spans="1:8" x14ac:dyDescent="0.2">
      <c r="A13998" t="str">
        <f t="shared" si="5075"/>
        <v>0623061303</v>
      </c>
      <c r="B13998" t="str">
        <f t="shared" si="5076"/>
        <v>ECKERD</v>
      </c>
      <c r="C13998" t="str">
        <f t="shared" si="5077"/>
        <v>PUGH</v>
      </c>
      <c r="D13998" t="str">
        <f t="shared" si="5074"/>
        <v>09</v>
      </c>
      <c r="E13998" t="str">
        <f>"05 - B - 202 - Amy Beth  Broyles"</f>
        <v>05 - B - 202 - Amy Beth  Broyles</v>
      </c>
      <c r="F13998" t="str">
        <f>"ENV SCI"</f>
        <v>ENV SCI</v>
      </c>
      <c r="G13998" t="str">
        <f>"08-802"</f>
        <v>08-802</v>
      </c>
      <c r="H13998" t="str">
        <f>"B"</f>
        <v>B</v>
      </c>
    </row>
    <row r="13999" spans="1:8" x14ac:dyDescent="0.2">
      <c r="A13999" t="str">
        <f t="shared" si="5075"/>
        <v>0623061303</v>
      </c>
      <c r="B13999" t="str">
        <f t="shared" si="5076"/>
        <v>ECKERD</v>
      </c>
      <c r="C13999" t="str">
        <f t="shared" si="5077"/>
        <v>PUGH</v>
      </c>
      <c r="D13999" t="str">
        <f t="shared" si="5074"/>
        <v>09</v>
      </c>
      <c r="E13999" t="str">
        <f>"01 - A - 108 - Dayna M Foster"</f>
        <v>01 - A - 108 - Dayna M Foster</v>
      </c>
      <c r="F13999" t="str">
        <f>"ALGEBRA 1"</f>
        <v>ALGEBRA 1</v>
      </c>
      <c r="G13999" t="str">
        <f>"21-2109"</f>
        <v>21-2109</v>
      </c>
      <c r="H13999" t="str">
        <f>"A"</f>
        <v>A</v>
      </c>
    </row>
    <row r="14000" spans="1:8" x14ac:dyDescent="0.2">
      <c r="A14000" t="str">
        <f t="shared" si="5075"/>
        <v>0623061303</v>
      </c>
      <c r="B14000" t="str">
        <f t="shared" si="5076"/>
        <v>ECKERD</v>
      </c>
      <c r="C14000" t="str">
        <f t="shared" si="5077"/>
        <v>PUGH</v>
      </c>
      <c r="D14000" t="str">
        <f t="shared" si="5074"/>
        <v>09</v>
      </c>
      <c r="E14000" t="str">
        <f>"08 - B - 101 - Elizabeth Ellen  Moran"</f>
        <v>08 - B - 101 - Elizabeth Ellen  Moran</v>
      </c>
      <c r="F14000" t="str">
        <f>"WORLD HISTORY"</f>
        <v>WORLD HISTORY</v>
      </c>
      <c r="G14000" t="str">
        <f>"17-1752"</f>
        <v>17-1752</v>
      </c>
      <c r="H14000" t="str">
        <f>"B"</f>
        <v>B</v>
      </c>
    </row>
    <row r="14001" spans="1:8" x14ac:dyDescent="0.2">
      <c r="A14001" t="str">
        <f t="shared" ref="A14001:A14008" si="5078">"0623066085"</f>
        <v>0623066085</v>
      </c>
      <c r="B14001" t="str">
        <f t="shared" ref="B14001:B14008" si="5079">"JANETTE"</f>
        <v>JANETTE</v>
      </c>
      <c r="C14001" t="str">
        <f t="shared" si="5077"/>
        <v>PUGH</v>
      </c>
      <c r="D14001">
        <f>11</f>
        <v>11</v>
      </c>
      <c r="E14001" t="str">
        <f>"04 - A - 105 - Milca  Exantus"</f>
        <v>04 - A - 105 - Milca  Exantus</v>
      </c>
      <c r="F14001" t="str">
        <f>"MATH COLLEGE LIB ART"</f>
        <v>MATH COLLEGE LIB ART</v>
      </c>
      <c r="G14001" t="str">
        <f>"21-2145"</f>
        <v>21-2145</v>
      </c>
      <c r="H14001" t="str">
        <f>"A"</f>
        <v>A</v>
      </c>
    </row>
    <row r="14002" spans="1:8" x14ac:dyDescent="0.2">
      <c r="A14002" t="str">
        <f t="shared" si="5078"/>
        <v>0623066085</v>
      </c>
      <c r="B14002" t="str">
        <f t="shared" si="5079"/>
        <v>JANETTE</v>
      </c>
      <c r="C14002" t="str">
        <f t="shared" si="5077"/>
        <v>PUGH</v>
      </c>
      <c r="D14002">
        <f>11</f>
        <v>11</v>
      </c>
      <c r="E14002" t="str">
        <f>"06 - B - 001 - Samantha J Headley"</f>
        <v>06 - B - 001 - Samantha J Headley</v>
      </c>
      <c r="F14002" t="str">
        <f>"MARINE SCI 1 HON"</f>
        <v>MARINE SCI 1 HON</v>
      </c>
      <c r="G14002" t="str">
        <f>"21-2134"</f>
        <v>21-2134</v>
      </c>
      <c r="H14002" t="str">
        <f>"B"</f>
        <v>B</v>
      </c>
    </row>
    <row r="14003" spans="1:8" x14ac:dyDescent="0.2">
      <c r="A14003" t="str">
        <f t="shared" si="5078"/>
        <v>0623066085</v>
      </c>
      <c r="B14003" t="str">
        <f t="shared" si="5079"/>
        <v>JANETTE</v>
      </c>
      <c r="C14003" t="str">
        <f t="shared" si="5077"/>
        <v>PUGH</v>
      </c>
      <c r="D14003">
        <f>11</f>
        <v>11</v>
      </c>
      <c r="E14003" t="str">
        <f>"03 - A - 102 - Nahum  Saint-Preux"</f>
        <v>03 - A - 102 - Nahum  Saint-Preux</v>
      </c>
      <c r="F14003" t="str">
        <f>"INTENS READ 3"</f>
        <v>INTENS READ 3</v>
      </c>
      <c r="G14003" t="str">
        <f>"17-1712"</f>
        <v>17-1712</v>
      </c>
      <c r="H14003" t="str">
        <f>"A"</f>
        <v>A</v>
      </c>
    </row>
    <row r="14004" spans="1:8" x14ac:dyDescent="0.2">
      <c r="A14004" t="str">
        <f t="shared" si="5078"/>
        <v>0623066085</v>
      </c>
      <c r="B14004" t="str">
        <f t="shared" si="5079"/>
        <v>JANETTE</v>
      </c>
      <c r="C14004" t="str">
        <f t="shared" si="5077"/>
        <v>PUGH</v>
      </c>
      <c r="D14004">
        <f>11</f>
        <v>11</v>
      </c>
      <c r="E14004" t="str">
        <f>"02 - A - 106 - Heidi M Knopp"</f>
        <v>02 - A - 106 - Heidi M Knopp</v>
      </c>
      <c r="F14004" t="str">
        <f>"NC STUDY HALL 1"</f>
        <v>NC STUDY HALL 1</v>
      </c>
      <c r="G14004" t="str">
        <f>"17-1735"</f>
        <v>17-1735</v>
      </c>
      <c r="H14004" t="str">
        <f>"A"</f>
        <v>A</v>
      </c>
    </row>
    <row r="14005" spans="1:8" x14ac:dyDescent="0.2">
      <c r="A14005" t="str">
        <f t="shared" si="5078"/>
        <v>0623066085</v>
      </c>
      <c r="B14005" t="str">
        <f t="shared" si="5079"/>
        <v>JANETTE</v>
      </c>
      <c r="C14005" t="str">
        <f t="shared" si="5077"/>
        <v>PUGH</v>
      </c>
      <c r="D14005">
        <f>11</f>
        <v>11</v>
      </c>
      <c r="E14005" t="str">
        <f>"07 - B - 202 - Chrystina M Marchionne"</f>
        <v>07 - B - 202 - Chrystina M Marchionne</v>
      </c>
      <c r="F14005" t="str">
        <f>"JOURN 1 (YB) LH"</f>
        <v>JOURN 1 (YB) LH</v>
      </c>
      <c r="G14005" t="str">
        <f>"05-520"</f>
        <v>05-520</v>
      </c>
      <c r="H14005" t="str">
        <f>"B"</f>
        <v>B</v>
      </c>
    </row>
    <row r="14006" spans="1:8" x14ac:dyDescent="0.2">
      <c r="A14006" t="str">
        <f t="shared" si="5078"/>
        <v>0623066085</v>
      </c>
      <c r="B14006" t="str">
        <f t="shared" si="5079"/>
        <v>JANETTE</v>
      </c>
      <c r="C14006" t="str">
        <f t="shared" si="5077"/>
        <v>PUGH</v>
      </c>
      <c r="D14006">
        <f>11</f>
        <v>11</v>
      </c>
      <c r="E14006" t="str">
        <f>"05 - B - 104 - Lisa  Quinn"</f>
        <v>05 - B - 104 - Lisa  Quinn</v>
      </c>
      <c r="F14006" t="str">
        <f>"ENG 3"</f>
        <v>ENG 3</v>
      </c>
      <c r="G14006" t="str">
        <f>"17-1725"</f>
        <v>17-1725</v>
      </c>
      <c r="H14006" t="str">
        <f>"B"</f>
        <v>B</v>
      </c>
    </row>
    <row r="14007" spans="1:8" x14ac:dyDescent="0.2">
      <c r="A14007" t="str">
        <f t="shared" si="5078"/>
        <v>0623066085</v>
      </c>
      <c r="B14007" t="str">
        <f t="shared" si="5079"/>
        <v>JANETTE</v>
      </c>
      <c r="C14007" t="str">
        <f t="shared" si="5077"/>
        <v>PUGH</v>
      </c>
      <c r="D14007">
        <f>11</f>
        <v>11</v>
      </c>
      <c r="E14007" t="str">
        <f>"01 - A - 101 - Kyle  Robbins"</f>
        <v>01 - A - 101 - Kyle  Robbins</v>
      </c>
      <c r="F14007" t="str">
        <f>"US HISTORY"</f>
        <v>US HISTORY</v>
      </c>
      <c r="G14007" t="str">
        <f>"17-1745"</f>
        <v>17-1745</v>
      </c>
      <c r="H14007" t="str">
        <f>"A"</f>
        <v>A</v>
      </c>
    </row>
    <row r="14008" spans="1:8" x14ac:dyDescent="0.2">
      <c r="A14008" t="str">
        <f t="shared" si="5078"/>
        <v>0623066085</v>
      </c>
      <c r="B14008" t="str">
        <f t="shared" si="5079"/>
        <v>JANETTE</v>
      </c>
      <c r="C14008" t="str">
        <f t="shared" si="5077"/>
        <v>PUGH</v>
      </c>
      <c r="D14008">
        <f>11</f>
        <v>11</v>
      </c>
      <c r="E14008" t="str">
        <f>"08 - S1 - B - 105 - James H Mccann"</f>
        <v>08 - S1 - B - 105 - James H Mccann</v>
      </c>
      <c r="F14008" t="str">
        <f>"PERS FIN &amp; MON MGT H"</f>
        <v>PERS FIN &amp; MON MGT H</v>
      </c>
      <c r="G14008" t="str">
        <f>"17-1716"</f>
        <v>17-1716</v>
      </c>
      <c r="H14008" t="str">
        <f>"B"</f>
        <v>B</v>
      </c>
    </row>
    <row r="14009" spans="1:8" x14ac:dyDescent="0.2">
      <c r="A14009" t="str">
        <f t="shared" ref="A14009:A14016" si="5080">"0614050066"</f>
        <v>0614050066</v>
      </c>
      <c r="B14009" t="str">
        <f t="shared" ref="B14009:B14016" si="5081">"SEAN"</f>
        <v>SEAN</v>
      </c>
      <c r="C14009" t="str">
        <f t="shared" si="5077"/>
        <v>PUGH</v>
      </c>
      <c r="D14009">
        <f>12</f>
        <v>12</v>
      </c>
      <c r="E14009" t="str">
        <f>"04 - A - 103 - Lourivaldo  Da Silva"</f>
        <v>04 - A - 103 - Lourivaldo  Da Silva</v>
      </c>
      <c r="F14009" t="str">
        <f>"PRE-CALCULUS HON"</f>
        <v>PRE-CALCULUS HON</v>
      </c>
      <c r="G14009" t="str">
        <f>"20-2079"</f>
        <v>20-2079</v>
      </c>
      <c r="H14009" t="str">
        <f>"A"</f>
        <v>A</v>
      </c>
    </row>
    <row r="14010" spans="1:8" x14ac:dyDescent="0.2">
      <c r="A14010" t="str">
        <f t="shared" si="5080"/>
        <v>0614050066</v>
      </c>
      <c r="B14010" t="str">
        <f t="shared" si="5081"/>
        <v>SEAN</v>
      </c>
      <c r="C14010" t="str">
        <f t="shared" si="5077"/>
        <v>PUGH</v>
      </c>
      <c r="D14010">
        <f>12</f>
        <v>12</v>
      </c>
      <c r="E14010" t="str">
        <f>"06 - B - 108 - Jacquelyn M Neeson"</f>
        <v>06 - B - 108 - Jacquelyn M Neeson</v>
      </c>
      <c r="F14010" t="str">
        <f>"NC STUDY HALL 1"</f>
        <v>NC STUDY HALL 1</v>
      </c>
      <c r="G14010" t="str">
        <f>"17-1715"</f>
        <v>17-1715</v>
      </c>
      <c r="H14010" t="str">
        <f>"B"</f>
        <v>B</v>
      </c>
    </row>
    <row r="14011" spans="1:8" x14ac:dyDescent="0.2">
      <c r="A14011" t="str">
        <f t="shared" si="5080"/>
        <v>0614050066</v>
      </c>
      <c r="B14011" t="str">
        <f t="shared" si="5081"/>
        <v>SEAN</v>
      </c>
      <c r="C14011" t="str">
        <f t="shared" si="5077"/>
        <v>PUGH</v>
      </c>
      <c r="D14011">
        <f>12</f>
        <v>12</v>
      </c>
      <c r="E14011" t="str">
        <f>"03 - A - 203 - Stefanie S Scher"</f>
        <v>03 - A - 203 - Stefanie S Scher</v>
      </c>
      <c r="F14011" t="str">
        <f>"AP PSYCH"</f>
        <v>AP PSYCH</v>
      </c>
      <c r="G14011" t="str">
        <f>"17-1735"</f>
        <v>17-1735</v>
      </c>
      <c r="H14011" t="str">
        <f>"A"</f>
        <v>A</v>
      </c>
    </row>
    <row r="14012" spans="1:8" x14ac:dyDescent="0.2">
      <c r="A14012" t="str">
        <f t="shared" si="5080"/>
        <v>0614050066</v>
      </c>
      <c r="B14012" t="str">
        <f t="shared" si="5081"/>
        <v>SEAN</v>
      </c>
      <c r="C14012" t="str">
        <f t="shared" si="5077"/>
        <v>PUGH</v>
      </c>
      <c r="D14012">
        <f>12</f>
        <v>12</v>
      </c>
      <c r="E14012" t="str">
        <f>"02 - A - 102 - Jeffrey S Gallagher"</f>
        <v>02 - A - 102 - Jeffrey S Gallagher</v>
      </c>
      <c r="F14012" t="str">
        <f>"ENG HON 4"</f>
        <v>ENG HON 4</v>
      </c>
      <c r="G14012" t="str">
        <f>"17-1724"</f>
        <v>17-1724</v>
      </c>
      <c r="H14012" t="str">
        <f>"A"</f>
        <v>A</v>
      </c>
    </row>
    <row r="14013" spans="1:8" x14ac:dyDescent="0.2">
      <c r="A14013" t="str">
        <f t="shared" si="5080"/>
        <v>0614050066</v>
      </c>
      <c r="B14013" t="str">
        <f t="shared" si="5081"/>
        <v>SEAN</v>
      </c>
      <c r="C14013" t="str">
        <f t="shared" si="5077"/>
        <v>PUGH</v>
      </c>
      <c r="D14013">
        <f>12</f>
        <v>12</v>
      </c>
      <c r="E14013" t="str">
        <f>"07 - B - 101 - Samantha L Martinez"</f>
        <v>07 - B - 101 - Samantha L Martinez</v>
      </c>
      <c r="F14013" t="str">
        <f>"KEYBD 1"</f>
        <v>KEYBD 1</v>
      </c>
      <c r="G14013" t="str">
        <f>"05-505"</f>
        <v>05-505</v>
      </c>
      <c r="H14013" t="str">
        <f>"B"</f>
        <v>B</v>
      </c>
    </row>
    <row r="14014" spans="1:8" x14ac:dyDescent="0.2">
      <c r="A14014" t="str">
        <f t="shared" si="5080"/>
        <v>0614050066</v>
      </c>
      <c r="B14014" t="str">
        <f t="shared" si="5081"/>
        <v>SEAN</v>
      </c>
      <c r="C14014" t="str">
        <f t="shared" si="5077"/>
        <v>PUGH</v>
      </c>
      <c r="D14014">
        <f>12</f>
        <v>12</v>
      </c>
      <c r="E14014" t="str">
        <f>"05 - B - 101 - Angela S Adeshina-Morrison"</f>
        <v>05 - B - 101 - Angela S Adeshina-Morrison</v>
      </c>
      <c r="F14014" t="str">
        <f>"MKT APPLCTNS LH"</f>
        <v>MKT APPLCTNS LH</v>
      </c>
      <c r="G14014" t="str">
        <f>"05-518"</f>
        <v>05-518</v>
      </c>
      <c r="H14014" t="str">
        <f>"B"</f>
        <v>B</v>
      </c>
    </row>
    <row r="14015" spans="1:8" x14ac:dyDescent="0.2">
      <c r="A14015" t="str">
        <f t="shared" si="5080"/>
        <v>0614050066</v>
      </c>
      <c r="B14015" t="str">
        <f t="shared" si="5081"/>
        <v>SEAN</v>
      </c>
      <c r="C14015" t="str">
        <f t="shared" si="5077"/>
        <v>PUGH</v>
      </c>
      <c r="D14015">
        <f>12</f>
        <v>12</v>
      </c>
      <c r="E14015" t="str">
        <f>"01 - A - 101 - Cliffon  Saurel"</f>
        <v>01 - A - 101 - Cliffon  Saurel</v>
      </c>
      <c r="F14015" t="str">
        <f>"PHYSICAL SCI"</f>
        <v>PHYSICAL SCI</v>
      </c>
      <c r="G14015" t="str">
        <f>"05-522"</f>
        <v>05-522</v>
      </c>
      <c r="H14015" t="str">
        <f>"A"</f>
        <v>A</v>
      </c>
    </row>
    <row r="14016" spans="1:8" x14ac:dyDescent="0.2">
      <c r="A14016" t="str">
        <f t="shared" si="5080"/>
        <v>0614050066</v>
      </c>
      <c r="B14016" t="str">
        <f t="shared" si="5081"/>
        <v>SEAN</v>
      </c>
      <c r="C14016" t="str">
        <f t="shared" si="5077"/>
        <v>PUGH</v>
      </c>
      <c r="D14016">
        <f>12</f>
        <v>12</v>
      </c>
      <c r="E14016" t="str">
        <f>"08 - S1 - B - 105 - Kelly N Panza"</f>
        <v>08 - S1 - B - 105 - Kelly N Panza</v>
      </c>
      <c r="F14016" t="str">
        <f>"US GOVT HON"</f>
        <v>US GOVT HON</v>
      </c>
      <c r="G14016" t="str">
        <f>"17-1753"</f>
        <v>17-1753</v>
      </c>
      <c r="H14016" t="str">
        <f>"B"</f>
        <v>B</v>
      </c>
    </row>
    <row r="14017" spans="1:8" x14ac:dyDescent="0.2">
      <c r="A14017" t="str">
        <f t="shared" ref="A14017:A14024" si="5082">"0615019870"</f>
        <v>0615019870</v>
      </c>
      <c r="B14017" t="str">
        <f t="shared" ref="B14017:B14024" si="5083">"LAUREN"</f>
        <v>LAUREN</v>
      </c>
      <c r="C14017" t="str">
        <f t="shared" ref="C14017:C14024" si="5084">"PUJOL"</f>
        <v>PUJOL</v>
      </c>
      <c r="D14017">
        <f>11</f>
        <v>11</v>
      </c>
      <c r="E14017" t="str">
        <f>"04 - A - 104 - Dayna M Foster"</f>
        <v>04 - A - 104 - Dayna M Foster</v>
      </c>
      <c r="F14017" t="str">
        <f>"ALGEBRA 2"</f>
        <v>ALGEBRA 2</v>
      </c>
      <c r="G14017" t="str">
        <f>"21-2109"</f>
        <v>21-2109</v>
      </c>
      <c r="H14017" t="str">
        <f>"A"</f>
        <v>A</v>
      </c>
    </row>
    <row r="14018" spans="1:8" x14ac:dyDescent="0.2">
      <c r="A14018" t="str">
        <f t="shared" si="5082"/>
        <v>0615019870</v>
      </c>
      <c r="B14018" t="str">
        <f t="shared" si="5083"/>
        <v>LAUREN</v>
      </c>
      <c r="C14018" t="str">
        <f t="shared" si="5084"/>
        <v>PUJOL</v>
      </c>
      <c r="D14018">
        <f>11</f>
        <v>11</v>
      </c>
      <c r="E14018" t="str">
        <f>"06 - B - 101 - Bruce A Evans"</f>
        <v>06 - B - 101 - Bruce A Evans</v>
      </c>
      <c r="F14018" t="str">
        <f>"EMERG MED RESP 3 HON"</f>
        <v>EMERG MED RESP 3 HON</v>
      </c>
      <c r="G14018" t="str">
        <f>"21-2142"</f>
        <v>21-2142</v>
      </c>
      <c r="H14018" t="str">
        <f>"B"</f>
        <v>B</v>
      </c>
    </row>
    <row r="14019" spans="1:8" x14ac:dyDescent="0.2">
      <c r="A14019" t="str">
        <f t="shared" si="5082"/>
        <v>0615019870</v>
      </c>
      <c r="B14019" t="str">
        <f t="shared" si="5083"/>
        <v>LAUREN</v>
      </c>
      <c r="C14019" t="str">
        <f t="shared" si="5084"/>
        <v>PUJOL</v>
      </c>
      <c r="D14019">
        <f>11</f>
        <v>11</v>
      </c>
      <c r="E14019" t="str">
        <f>"03 - A - 202 - Bruce A Evans"</f>
        <v>03 - A - 202 - Bruce A Evans</v>
      </c>
      <c r="F14019" t="str">
        <f>"HEALTH SCI FOUND HON"</f>
        <v>HEALTH SCI FOUND HON</v>
      </c>
      <c r="G14019" t="str">
        <f>"21-2142"</f>
        <v>21-2142</v>
      </c>
      <c r="H14019" t="str">
        <f>"A"</f>
        <v>A</v>
      </c>
    </row>
    <row r="14020" spans="1:8" x14ac:dyDescent="0.2">
      <c r="A14020" t="str">
        <f t="shared" si="5082"/>
        <v>0615019870</v>
      </c>
      <c r="B14020" t="str">
        <f t="shared" si="5083"/>
        <v>LAUREN</v>
      </c>
      <c r="C14020" t="str">
        <f t="shared" si="5084"/>
        <v>PUJOL</v>
      </c>
      <c r="D14020">
        <f>11</f>
        <v>11</v>
      </c>
      <c r="E14020" t="str">
        <f>"02 - A - 117 - Kyle  Robbins"</f>
        <v>02 - A - 117 - Kyle  Robbins</v>
      </c>
      <c r="F14020" t="str">
        <f>"NC STUDY HALL 1"</f>
        <v>NC STUDY HALL 1</v>
      </c>
      <c r="G14020" t="str">
        <f>"17-1745"</f>
        <v>17-1745</v>
      </c>
      <c r="H14020" t="str">
        <f>"A"</f>
        <v>A</v>
      </c>
    </row>
    <row r="14021" spans="1:8" x14ac:dyDescent="0.2">
      <c r="A14021" t="str">
        <f t="shared" si="5082"/>
        <v>0615019870</v>
      </c>
      <c r="B14021" t="str">
        <f t="shared" si="5083"/>
        <v>LAUREN</v>
      </c>
      <c r="C14021" t="str">
        <f t="shared" si="5084"/>
        <v>PUJOL</v>
      </c>
      <c r="D14021">
        <f>11</f>
        <v>11</v>
      </c>
      <c r="E14021" t="str">
        <f>"07 - B - 108 - Lauren N Logan"</f>
        <v>07 - B - 108 - Lauren N Logan</v>
      </c>
      <c r="F14021" t="str">
        <f>"US HISTORY"</f>
        <v>US HISTORY</v>
      </c>
      <c r="G14021" t="str">
        <f>"17-1745"</f>
        <v>17-1745</v>
      </c>
      <c r="H14021" t="str">
        <f>"B"</f>
        <v>B</v>
      </c>
    </row>
    <row r="14022" spans="1:8" x14ac:dyDescent="0.2">
      <c r="A14022" t="str">
        <f t="shared" si="5082"/>
        <v>0615019870</v>
      </c>
      <c r="B14022" t="str">
        <f t="shared" si="5083"/>
        <v>LAUREN</v>
      </c>
      <c r="C14022" t="str">
        <f t="shared" si="5084"/>
        <v>PUJOL</v>
      </c>
      <c r="D14022">
        <f>11</f>
        <v>11</v>
      </c>
      <c r="E14022" t="str">
        <f>"05 - B - 103 - Nahum  Saint-Preux"</f>
        <v>05 - B - 103 - Nahum  Saint-Preux</v>
      </c>
      <c r="F14022" t="str">
        <f>"INTENS READ 3"</f>
        <v>INTENS READ 3</v>
      </c>
      <c r="G14022" t="str">
        <f>"17-1712"</f>
        <v>17-1712</v>
      </c>
      <c r="H14022" t="str">
        <f>"B"</f>
        <v>B</v>
      </c>
    </row>
    <row r="14023" spans="1:8" x14ac:dyDescent="0.2">
      <c r="A14023" t="str">
        <f t="shared" si="5082"/>
        <v>0615019870</v>
      </c>
      <c r="B14023" t="str">
        <f t="shared" si="5083"/>
        <v>LAUREN</v>
      </c>
      <c r="C14023" t="str">
        <f t="shared" si="5084"/>
        <v>PUJOL</v>
      </c>
      <c r="D14023">
        <f>11</f>
        <v>11</v>
      </c>
      <c r="E14023" t="str">
        <f>"01 - A - 107 - Valerie J Ruwe"</f>
        <v>01 - A - 107 - Valerie J Ruwe</v>
      </c>
      <c r="F14023" t="str">
        <f>"CHEMISTRY 1 HON"</f>
        <v>CHEMISTRY 1 HON</v>
      </c>
      <c r="G14023" t="str">
        <f>"21-2134"</f>
        <v>21-2134</v>
      </c>
      <c r="H14023" t="str">
        <f>"A"</f>
        <v>A</v>
      </c>
    </row>
    <row r="14024" spans="1:8" x14ac:dyDescent="0.2">
      <c r="A14024" t="str">
        <f t="shared" si="5082"/>
        <v>0615019870</v>
      </c>
      <c r="B14024" t="str">
        <f t="shared" si="5083"/>
        <v>LAUREN</v>
      </c>
      <c r="C14024" t="str">
        <f t="shared" si="5084"/>
        <v>PUJOL</v>
      </c>
      <c r="D14024">
        <f>11</f>
        <v>11</v>
      </c>
      <c r="E14024" t="str">
        <f>"08 - B - 106 - Lisa  Quinn"</f>
        <v>08 - B - 106 - Lisa  Quinn</v>
      </c>
      <c r="F14024" t="str">
        <f>"ENG 3"</f>
        <v>ENG 3</v>
      </c>
      <c r="G14024" t="str">
        <f>"17-1725"</f>
        <v>17-1725</v>
      </c>
      <c r="H14024" t="str">
        <f>"B"</f>
        <v>B</v>
      </c>
    </row>
    <row r="14025" spans="1:8" x14ac:dyDescent="0.2">
      <c r="A14025" t="str">
        <f t="shared" ref="A14025:A14032" si="5085">"0620115847"</f>
        <v>0620115847</v>
      </c>
      <c r="B14025" t="str">
        <f t="shared" ref="B14025:B14032" si="5086">"ADDYSON"</f>
        <v>ADDYSON</v>
      </c>
      <c r="C14025" t="str">
        <f t="shared" ref="C14025:C14040" si="5087">"QUEEN"</f>
        <v>QUEEN</v>
      </c>
      <c r="D14025">
        <f>11</f>
        <v>11</v>
      </c>
      <c r="E14025" t="str">
        <f>"04 - A - 101 - Stephen T Ripp"</f>
        <v>04 - A - 101 - Stephen T Ripp</v>
      </c>
      <c r="F14025" t="str">
        <f>"AP U.S. HIST"</f>
        <v>AP U.S. HIST</v>
      </c>
      <c r="G14025" t="str">
        <f>"17-1744"</f>
        <v>17-1744</v>
      </c>
      <c r="H14025" t="str">
        <f>"A"</f>
        <v>A</v>
      </c>
    </row>
    <row r="14026" spans="1:8" x14ac:dyDescent="0.2">
      <c r="A14026" t="str">
        <f t="shared" si="5085"/>
        <v>0620115847</v>
      </c>
      <c r="B14026" t="str">
        <f t="shared" si="5086"/>
        <v>ADDYSON</v>
      </c>
      <c r="C14026" t="str">
        <f t="shared" si="5087"/>
        <v>QUEEN</v>
      </c>
      <c r="D14026">
        <f>11</f>
        <v>11</v>
      </c>
      <c r="E14026" t="str">
        <f>"06 - B - 104 - Brandy N Zdenek"</f>
        <v>06 - B - 104 - Brandy N Zdenek</v>
      </c>
      <c r="F14026" t="str">
        <f>"AICE ENG LANG 2 AL"</f>
        <v>AICE ENG LANG 2 AL</v>
      </c>
      <c r="G14026" t="str">
        <f>"17-1704"</f>
        <v>17-1704</v>
      </c>
      <c r="H14026" t="str">
        <f>"B"</f>
        <v>B</v>
      </c>
    </row>
    <row r="14027" spans="1:8" x14ac:dyDescent="0.2">
      <c r="A14027" t="str">
        <f t="shared" si="5085"/>
        <v>0620115847</v>
      </c>
      <c r="B14027" t="str">
        <f t="shared" si="5086"/>
        <v>ADDYSON</v>
      </c>
      <c r="C14027" t="str">
        <f t="shared" si="5087"/>
        <v>QUEEN</v>
      </c>
      <c r="D14027">
        <f>11</f>
        <v>11</v>
      </c>
      <c r="E14027" t="str">
        <f>"03 - A - 202 - Jeanne M Bermudez"</f>
        <v>03 - A - 202 - Jeanne M Bermudez</v>
      </c>
      <c r="F14027" t="str">
        <f>"PHYSICS 1 HON"</f>
        <v>PHYSICS 1 HON</v>
      </c>
      <c r="G14027" t="str">
        <f>"21-2141"</f>
        <v>21-2141</v>
      </c>
      <c r="H14027" t="str">
        <f>"A"</f>
        <v>A</v>
      </c>
    </row>
    <row r="14028" spans="1:8" x14ac:dyDescent="0.2">
      <c r="A14028" t="str">
        <f t="shared" si="5085"/>
        <v>0620115847</v>
      </c>
      <c r="B14028" t="str">
        <f t="shared" si="5086"/>
        <v>ADDYSON</v>
      </c>
      <c r="C14028" t="str">
        <f t="shared" si="5087"/>
        <v>QUEEN</v>
      </c>
      <c r="D14028">
        <f>11</f>
        <v>11</v>
      </c>
      <c r="E14028" t="str">
        <f>"02 - A - 109 - Daniel S Katz"</f>
        <v>02 - A - 109 - Daniel S Katz</v>
      </c>
      <c r="F14028" t="str">
        <f>"NC STUDY HALL 1"</f>
        <v>NC STUDY HALL 1</v>
      </c>
      <c r="G14028" t="str">
        <f>"21-2156"</f>
        <v>21-2156</v>
      </c>
      <c r="H14028" t="str">
        <f>"A"</f>
        <v>A</v>
      </c>
    </row>
    <row r="14029" spans="1:8" x14ac:dyDescent="0.2">
      <c r="A14029" t="str">
        <f t="shared" si="5085"/>
        <v>0620115847</v>
      </c>
      <c r="B14029" t="str">
        <f t="shared" si="5086"/>
        <v>ADDYSON</v>
      </c>
      <c r="C14029" t="str">
        <f t="shared" si="5087"/>
        <v>QUEEN</v>
      </c>
      <c r="D14029">
        <f>11</f>
        <v>11</v>
      </c>
      <c r="E14029" t="str">
        <f>"07 - B - 101 - Fernando  Vega-Cid"</f>
        <v>07 - B - 101 - Fernando  Vega-Cid</v>
      </c>
      <c r="F14029" t="str">
        <f>"AP PRECALCULUS"</f>
        <v>AP PRECALCULUS</v>
      </c>
      <c r="G14029" t="str">
        <f>"21-2163"</f>
        <v>21-2163</v>
      </c>
      <c r="H14029" t="str">
        <f>"B"</f>
        <v>B</v>
      </c>
    </row>
    <row r="14030" spans="1:8" x14ac:dyDescent="0.2">
      <c r="A14030" t="str">
        <f t="shared" si="5085"/>
        <v>0620115847</v>
      </c>
      <c r="B14030" t="str">
        <f t="shared" si="5086"/>
        <v>ADDYSON</v>
      </c>
      <c r="C14030" t="str">
        <f t="shared" si="5087"/>
        <v>QUEEN</v>
      </c>
      <c r="D14030">
        <f>11</f>
        <v>11</v>
      </c>
      <c r="E14030" t="str">
        <f>"05 - B - 102 - Daniel S Katz"</f>
        <v>05 - B - 102 - Daniel S Katz</v>
      </c>
      <c r="F14030" t="str">
        <f>"EXEC INTERN 4 LH"</f>
        <v>EXEC INTERN 4 LH</v>
      </c>
      <c r="G14030" t="str">
        <f>"21-2156"</f>
        <v>21-2156</v>
      </c>
      <c r="H14030" t="str">
        <f>"B"</f>
        <v>B</v>
      </c>
    </row>
    <row r="14031" spans="1:8" x14ac:dyDescent="0.2">
      <c r="A14031" t="str">
        <f t="shared" si="5085"/>
        <v>0620115847</v>
      </c>
      <c r="B14031" t="str">
        <f t="shared" si="5086"/>
        <v>ADDYSON</v>
      </c>
      <c r="C14031" t="str">
        <f t="shared" si="5087"/>
        <v>QUEEN</v>
      </c>
      <c r="D14031">
        <f>11</f>
        <v>11</v>
      </c>
      <c r="E14031" t="str">
        <f>"01 - A - 101 - Lisa J London"</f>
        <v>01 - A - 101 - Lisa J London</v>
      </c>
      <c r="F14031" t="str">
        <f>"AP CAPSTONE SEMINAR"</f>
        <v>AP CAPSTONE SEMINAR</v>
      </c>
      <c r="G14031" t="str">
        <f>"17-1714"</f>
        <v>17-1714</v>
      </c>
      <c r="H14031" t="str">
        <f>"A"</f>
        <v>A</v>
      </c>
    </row>
    <row r="14032" spans="1:8" x14ac:dyDescent="0.2">
      <c r="A14032" t="str">
        <f t="shared" si="5085"/>
        <v>0620115847</v>
      </c>
      <c r="B14032" t="str">
        <f t="shared" si="5086"/>
        <v>ADDYSON</v>
      </c>
      <c r="C14032" t="str">
        <f t="shared" si="5087"/>
        <v>QUEEN</v>
      </c>
      <c r="D14032">
        <f>11</f>
        <v>11</v>
      </c>
      <c r="E14032" t="str">
        <f>"08 - B - 105 - Daniel S Katz"</f>
        <v>08 - B - 105 - Daniel S Katz</v>
      </c>
      <c r="F14032" t="str">
        <f>"AICE MEDIA STUDIES A"</f>
        <v>AICE MEDIA STUDIES A</v>
      </c>
      <c r="G14032" t="str">
        <f>"05-521"</f>
        <v>05-521</v>
      </c>
      <c r="H14032" t="str">
        <f>"B"</f>
        <v>B</v>
      </c>
    </row>
    <row r="14033" spans="1:8" x14ac:dyDescent="0.2">
      <c r="A14033" t="str">
        <f t="shared" ref="A14033:A14040" si="5088">"0620115844"</f>
        <v>0620115844</v>
      </c>
      <c r="B14033" t="str">
        <f t="shared" ref="B14033:B14040" si="5089">"ANNABELLE"</f>
        <v>ANNABELLE</v>
      </c>
      <c r="C14033" t="str">
        <f t="shared" si="5087"/>
        <v>QUEEN</v>
      </c>
      <c r="D14033" t="str">
        <f t="shared" ref="D14033:D14040" si="5090">"09"</f>
        <v>09</v>
      </c>
      <c r="E14033" t="str">
        <f>"04 - A - 106 - Ferrie J Arostique"</f>
        <v>04 - A - 106 - Ferrie J Arostique</v>
      </c>
      <c r="F14033" t="str">
        <f>"PRE-AICE MATH 2 IG"</f>
        <v>PRE-AICE MATH 2 IG</v>
      </c>
      <c r="G14033" t="str">
        <f>"21-2139"</f>
        <v>21-2139</v>
      </c>
      <c r="H14033" t="str">
        <f>"A"</f>
        <v>A</v>
      </c>
    </row>
    <row r="14034" spans="1:8" x14ac:dyDescent="0.2">
      <c r="A14034" t="str">
        <f t="shared" si="5088"/>
        <v>0620115844</v>
      </c>
      <c r="B14034" t="str">
        <f t="shared" si="5089"/>
        <v>ANNABELLE</v>
      </c>
      <c r="C14034" t="str">
        <f t="shared" si="5087"/>
        <v>QUEEN</v>
      </c>
      <c r="D14034" t="str">
        <f t="shared" si="5090"/>
        <v>09</v>
      </c>
      <c r="E14034" t="str">
        <f>"06 - B - 105 - Cerine S Stewart"</f>
        <v>06 - B - 105 - Cerine S Stewart</v>
      </c>
      <c r="F14034" t="str">
        <f>"AICE ENG GEN PAPER 1"</f>
        <v>AICE ENG GEN PAPER 1</v>
      </c>
      <c r="G14034" t="str">
        <f>"17-1720"</f>
        <v>17-1720</v>
      </c>
      <c r="H14034" t="str">
        <f>"B"</f>
        <v>B</v>
      </c>
    </row>
    <row r="14035" spans="1:8" x14ac:dyDescent="0.2">
      <c r="A14035" t="str">
        <f t="shared" si="5088"/>
        <v>0620115844</v>
      </c>
      <c r="B14035" t="str">
        <f t="shared" si="5089"/>
        <v>ANNABELLE</v>
      </c>
      <c r="C14035" t="str">
        <f t="shared" si="5087"/>
        <v>QUEEN</v>
      </c>
      <c r="D14035" t="str">
        <f t="shared" si="5090"/>
        <v>09</v>
      </c>
      <c r="E14035" t="str">
        <f>"03 - A - 202 - Cheryl L Beach"</f>
        <v>03 - A - 202 - Cheryl L Beach</v>
      </c>
      <c r="F14035" t="str">
        <f>"AICE ENV MGMNT AS"</f>
        <v>AICE ENV MGMNT AS</v>
      </c>
      <c r="G14035" t="str">
        <f>"08-811"</f>
        <v>08-811</v>
      </c>
      <c r="H14035" t="str">
        <f>"A"</f>
        <v>A</v>
      </c>
    </row>
    <row r="14036" spans="1:8" x14ac:dyDescent="0.2">
      <c r="A14036" t="str">
        <f t="shared" si="5088"/>
        <v>0620115844</v>
      </c>
      <c r="B14036" t="str">
        <f t="shared" si="5089"/>
        <v>ANNABELLE</v>
      </c>
      <c r="C14036" t="str">
        <f t="shared" si="5087"/>
        <v>QUEEN</v>
      </c>
      <c r="D14036" t="str">
        <f t="shared" si="5090"/>
        <v>09</v>
      </c>
      <c r="E14036" t="str">
        <f>"02 - A - 115 - Lourivaldo  Da Silva"</f>
        <v>02 - A - 115 - Lourivaldo  Da Silva</v>
      </c>
      <c r="F14036" t="str">
        <f>"NC STUDY HALL 1"</f>
        <v>NC STUDY HALL 1</v>
      </c>
      <c r="G14036" t="str">
        <f>"20-2079"</f>
        <v>20-2079</v>
      </c>
      <c r="H14036" t="str">
        <f>"A"</f>
        <v>A</v>
      </c>
    </row>
    <row r="14037" spans="1:8" x14ac:dyDescent="0.2">
      <c r="A14037" t="str">
        <f t="shared" si="5088"/>
        <v>0620115844</v>
      </c>
      <c r="B14037" t="str">
        <f t="shared" si="5089"/>
        <v>ANNABELLE</v>
      </c>
      <c r="C14037" t="str">
        <f t="shared" si="5087"/>
        <v>QUEEN</v>
      </c>
      <c r="D14037" t="str">
        <f t="shared" si="5090"/>
        <v>09</v>
      </c>
      <c r="E14037" t="str">
        <f>"07 - B - 202 - Chrystina M Marchionne"</f>
        <v>07 - B - 202 - Chrystina M Marchionne</v>
      </c>
      <c r="F14037" t="str">
        <f>"JOURN 1 (YB) LH"</f>
        <v>JOURN 1 (YB) LH</v>
      </c>
      <c r="G14037" t="str">
        <f>"05-520"</f>
        <v>05-520</v>
      </c>
      <c r="H14037" t="str">
        <f>"B"</f>
        <v>B</v>
      </c>
    </row>
    <row r="14038" spans="1:8" x14ac:dyDescent="0.2">
      <c r="A14038" t="str">
        <f t="shared" si="5088"/>
        <v>0620115844</v>
      </c>
      <c r="B14038" t="str">
        <f t="shared" si="5089"/>
        <v>ANNABELLE</v>
      </c>
      <c r="C14038" t="str">
        <f t="shared" si="5087"/>
        <v>QUEEN</v>
      </c>
      <c r="D14038" t="str">
        <f t="shared" si="5090"/>
        <v>09</v>
      </c>
      <c r="E14038" t="str">
        <f>"05 - B - 001 - Kelly N Panza"</f>
        <v>05 - B - 001 - Kelly N Panza</v>
      </c>
      <c r="F14038" t="str">
        <f>"AICE GLBL PERSP 1 AS"</f>
        <v>AICE GLBL PERSP 1 AS</v>
      </c>
      <c r="G14038" t="str">
        <f>"17-1753"</f>
        <v>17-1753</v>
      </c>
      <c r="H14038" t="str">
        <f>"B"</f>
        <v>B</v>
      </c>
    </row>
    <row r="14039" spans="1:8" x14ac:dyDescent="0.2">
      <c r="A14039" t="str">
        <f t="shared" si="5088"/>
        <v>0620115844</v>
      </c>
      <c r="B14039" t="str">
        <f t="shared" si="5089"/>
        <v>ANNABELLE</v>
      </c>
      <c r="C14039" t="str">
        <f t="shared" si="5087"/>
        <v>QUEEN</v>
      </c>
      <c r="D14039" t="str">
        <f t="shared" si="5090"/>
        <v>09</v>
      </c>
      <c r="E14039" t="str">
        <f>"01 - A - 101 - Arthur  Kulawik"</f>
        <v>01 - A - 101 - Arthur  Kulawik</v>
      </c>
      <c r="F14039" t="str">
        <f>"DEBATE 1 LH"</f>
        <v>DEBATE 1 LH</v>
      </c>
      <c r="G14039" t="str">
        <f>"05-506"</f>
        <v>05-506</v>
      </c>
      <c r="H14039" t="str">
        <f>"A"</f>
        <v>A</v>
      </c>
    </row>
    <row r="14040" spans="1:8" x14ac:dyDescent="0.2">
      <c r="A14040" t="str">
        <f t="shared" si="5088"/>
        <v>0620115844</v>
      </c>
      <c r="B14040" t="str">
        <f t="shared" si="5089"/>
        <v>ANNABELLE</v>
      </c>
      <c r="C14040" t="str">
        <f t="shared" si="5087"/>
        <v>QUEEN</v>
      </c>
      <c r="D14040" t="str">
        <f t="shared" si="5090"/>
        <v>09</v>
      </c>
      <c r="E14040" t="str">
        <f>"08 - B - 201 - Tina M Jaramillo"</f>
        <v>08 - B - 201 - Tina M Jaramillo</v>
      </c>
      <c r="F14040" t="str">
        <f>"CREATIVE WRIT 3 HON"</f>
        <v>CREATIVE WRIT 3 HON</v>
      </c>
      <c r="G14040" t="str">
        <f>"17-1706"</f>
        <v>17-1706</v>
      </c>
      <c r="H14040" t="str">
        <f>"B"</f>
        <v>B</v>
      </c>
    </row>
    <row r="14041" spans="1:8" x14ac:dyDescent="0.2">
      <c r="A14041" t="str">
        <f t="shared" ref="A14041:A14048" si="5091">"0615127684"</f>
        <v>0615127684</v>
      </c>
      <c r="B14041" t="str">
        <f t="shared" ref="B14041:B14048" si="5092">"SOPHIA"</f>
        <v>SOPHIA</v>
      </c>
      <c r="C14041" t="str">
        <f t="shared" ref="C14041:C14048" si="5093">"QUESADA"</f>
        <v>QUESADA</v>
      </c>
      <c r="D14041">
        <f>11</f>
        <v>11</v>
      </c>
      <c r="E14041" t="str">
        <f>"04 - A - 102 - Lisa J London"</f>
        <v>04 - A - 102 - Lisa J London</v>
      </c>
      <c r="F14041" t="str">
        <f>"AP CAPSTONE SEMINAR"</f>
        <v>AP CAPSTONE SEMINAR</v>
      </c>
      <c r="G14041" t="str">
        <f>"17-1714"</f>
        <v>17-1714</v>
      </c>
      <c r="H14041" t="str">
        <f>"A"</f>
        <v>A</v>
      </c>
    </row>
    <row r="14042" spans="1:8" x14ac:dyDescent="0.2">
      <c r="A14042" t="str">
        <f t="shared" si="5091"/>
        <v>0615127684</v>
      </c>
      <c r="B14042" t="str">
        <f t="shared" si="5092"/>
        <v>SOPHIA</v>
      </c>
      <c r="C14042" t="str">
        <f t="shared" si="5093"/>
        <v>QUESADA</v>
      </c>
      <c r="D14042">
        <f>11</f>
        <v>11</v>
      </c>
      <c r="E14042" t="str">
        <f>"06 - B - 001 - Lourivaldo  Da Silva"</f>
        <v>06 - B - 001 - Lourivaldo  Da Silva</v>
      </c>
      <c r="F14042" t="str">
        <f>"PRE-CALCULUS HON"</f>
        <v>PRE-CALCULUS HON</v>
      </c>
      <c r="G14042" t="str">
        <f>"20-2079"</f>
        <v>20-2079</v>
      </c>
      <c r="H14042" t="str">
        <f>"B"</f>
        <v>B</v>
      </c>
    </row>
    <row r="14043" spans="1:8" x14ac:dyDescent="0.2">
      <c r="A14043" t="str">
        <f t="shared" si="5091"/>
        <v>0615127684</v>
      </c>
      <c r="B14043" t="str">
        <f t="shared" si="5092"/>
        <v>SOPHIA</v>
      </c>
      <c r="C14043" t="str">
        <f t="shared" si="5093"/>
        <v>QUESADA</v>
      </c>
      <c r="D14043">
        <f>11</f>
        <v>11</v>
      </c>
      <c r="E14043" t="str">
        <f>"03 - A - 203 - Stefanie S Scher"</f>
        <v>03 - A - 203 - Stefanie S Scher</v>
      </c>
      <c r="F14043" t="str">
        <f>"AP PSYCH"</f>
        <v>AP PSYCH</v>
      </c>
      <c r="G14043" t="str">
        <f>"17-1735"</f>
        <v>17-1735</v>
      </c>
      <c r="H14043" t="str">
        <f>"A"</f>
        <v>A</v>
      </c>
    </row>
    <row r="14044" spans="1:8" x14ac:dyDescent="0.2">
      <c r="A14044" t="str">
        <f t="shared" si="5091"/>
        <v>0615127684</v>
      </c>
      <c r="B14044" t="str">
        <f t="shared" si="5092"/>
        <v>SOPHIA</v>
      </c>
      <c r="C14044" t="str">
        <f t="shared" si="5093"/>
        <v>QUESADA</v>
      </c>
      <c r="D14044">
        <f>11</f>
        <v>11</v>
      </c>
      <c r="E14044" t="str">
        <f>"02 - A - 101 - Timothy J Lawrence"</f>
        <v>02 - A - 101 - Timothy J Lawrence</v>
      </c>
      <c r="F14044" t="str">
        <f>"NC STUDY HALL 1"</f>
        <v>NC STUDY HALL 1</v>
      </c>
      <c r="G14044" t="str">
        <f>"05-522"</f>
        <v>05-522</v>
      </c>
      <c r="H14044" t="str">
        <f>"A"</f>
        <v>A</v>
      </c>
    </row>
    <row r="14045" spans="1:8" x14ac:dyDescent="0.2">
      <c r="A14045" t="str">
        <f t="shared" si="5091"/>
        <v>0615127684</v>
      </c>
      <c r="B14045" t="str">
        <f t="shared" si="5092"/>
        <v>SOPHIA</v>
      </c>
      <c r="C14045" t="str">
        <f t="shared" si="5093"/>
        <v>QUESADA</v>
      </c>
      <c r="D14045">
        <f>11</f>
        <v>11</v>
      </c>
      <c r="E14045" t="str">
        <f>"07 - B - 102 - Chrystina M Marchionne"</f>
        <v>07 - B - 102 - Chrystina M Marchionne</v>
      </c>
      <c r="F14045" t="str">
        <f>"JOURN 3 (YB) LH"</f>
        <v>JOURN 3 (YB) LH</v>
      </c>
      <c r="G14045" t="str">
        <f>"05-520"</f>
        <v>05-520</v>
      </c>
      <c r="H14045" t="str">
        <f>"B"</f>
        <v>B</v>
      </c>
    </row>
    <row r="14046" spans="1:8" x14ac:dyDescent="0.2">
      <c r="A14046" t="str">
        <f t="shared" si="5091"/>
        <v>0615127684</v>
      </c>
      <c r="B14046" t="str">
        <f t="shared" si="5092"/>
        <v>SOPHIA</v>
      </c>
      <c r="C14046" t="str">
        <f t="shared" si="5093"/>
        <v>QUESADA</v>
      </c>
      <c r="D14046">
        <f>11</f>
        <v>11</v>
      </c>
      <c r="E14046" t="str">
        <f>"05 - B - 103 - Tina M Jaramillo"</f>
        <v>05 - B - 103 - Tina M Jaramillo</v>
      </c>
      <c r="F14046" t="str">
        <f>"AP ENG COMPO"</f>
        <v>AP ENG COMPO</v>
      </c>
      <c r="G14046" t="str">
        <f>"17-1706"</f>
        <v>17-1706</v>
      </c>
      <c r="H14046" t="str">
        <f>"B"</f>
        <v>B</v>
      </c>
    </row>
    <row r="14047" spans="1:8" x14ac:dyDescent="0.2">
      <c r="A14047" t="str">
        <f t="shared" si="5091"/>
        <v>0615127684</v>
      </c>
      <c r="B14047" t="str">
        <f t="shared" si="5092"/>
        <v>SOPHIA</v>
      </c>
      <c r="C14047" t="str">
        <f t="shared" si="5093"/>
        <v>QUESADA</v>
      </c>
      <c r="D14047">
        <f>11</f>
        <v>11</v>
      </c>
      <c r="E14047" t="str">
        <f>"01 - A - 001 - Stephen T Ripp"</f>
        <v>01 - A - 001 - Stephen T Ripp</v>
      </c>
      <c r="F14047" t="str">
        <f>"AP U.S. HIST"</f>
        <v>AP U.S. HIST</v>
      </c>
      <c r="G14047" t="str">
        <f>"17-1744"</f>
        <v>17-1744</v>
      </c>
      <c r="H14047" t="str">
        <f>"A"</f>
        <v>A</v>
      </c>
    </row>
    <row r="14048" spans="1:8" x14ac:dyDescent="0.2">
      <c r="A14048" t="str">
        <f t="shared" si="5091"/>
        <v>0615127684</v>
      </c>
      <c r="B14048" t="str">
        <f t="shared" si="5092"/>
        <v>SOPHIA</v>
      </c>
      <c r="C14048" t="str">
        <f t="shared" si="5093"/>
        <v>QUESADA</v>
      </c>
      <c r="D14048">
        <f>11</f>
        <v>11</v>
      </c>
      <c r="E14048" t="str">
        <f>"08 - B - 103 - Marielle A Witting"</f>
        <v>08 - B - 103 - Marielle A Witting</v>
      </c>
      <c r="F14048" t="str">
        <f>"AP BIO"</f>
        <v>AP BIO</v>
      </c>
      <c r="G14048" t="str">
        <f>"08-805"</f>
        <v>08-805</v>
      </c>
      <c r="H14048" t="str">
        <f>"B"</f>
        <v>B</v>
      </c>
    </row>
    <row r="14049" spans="1:8" x14ac:dyDescent="0.2">
      <c r="A14049" t="str">
        <f t="shared" ref="A14049:A14056" si="5094">"0617029915"</f>
        <v>0617029915</v>
      </c>
      <c r="B14049" t="str">
        <f t="shared" ref="B14049:B14056" si="5095">"YAHEL"</f>
        <v>YAHEL</v>
      </c>
      <c r="C14049" t="str">
        <f t="shared" ref="C14049:C14056" si="5096">"QUEVEDO URQUILLA"</f>
        <v>QUEVEDO URQUILLA</v>
      </c>
      <c r="D14049" t="str">
        <f t="shared" ref="D14049:D14056" si="5097">"09"</f>
        <v>09</v>
      </c>
      <c r="E14049" t="str">
        <f>"04 - A - 005 - Emmily A Sarmiento"</f>
        <v>04 - A - 005 - Emmily A Sarmiento</v>
      </c>
      <c r="F14049" t="str">
        <f>"AICE GLBL PERSP 1 AS"</f>
        <v>AICE GLBL PERSP 1 AS</v>
      </c>
      <c r="G14049" t="str">
        <f>"17-1743"</f>
        <v>17-1743</v>
      </c>
      <c r="H14049" t="str">
        <f>"A"</f>
        <v>A</v>
      </c>
    </row>
    <row r="14050" spans="1:8" x14ac:dyDescent="0.2">
      <c r="A14050" t="str">
        <f t="shared" si="5094"/>
        <v>0617029915</v>
      </c>
      <c r="B14050" t="str">
        <f t="shared" si="5095"/>
        <v>YAHEL</v>
      </c>
      <c r="C14050" t="str">
        <f t="shared" si="5096"/>
        <v>QUEVEDO URQUILLA</v>
      </c>
      <c r="D14050" t="str">
        <f t="shared" si="5097"/>
        <v>09</v>
      </c>
      <c r="E14050" t="str">
        <f>"06 - B - 105 - Cheryl L Beach"</f>
        <v>06 - B - 105 - Cheryl L Beach</v>
      </c>
      <c r="F14050" t="str">
        <f>"AICE ENV MGMNT AS"</f>
        <v>AICE ENV MGMNT AS</v>
      </c>
      <c r="G14050" t="str">
        <f>"08-811"</f>
        <v>08-811</v>
      </c>
      <c r="H14050" t="str">
        <f>"B"</f>
        <v>B</v>
      </c>
    </row>
    <row r="14051" spans="1:8" x14ac:dyDescent="0.2">
      <c r="A14051" t="str">
        <f t="shared" si="5094"/>
        <v>0617029915</v>
      </c>
      <c r="B14051" t="str">
        <f t="shared" si="5095"/>
        <v>YAHEL</v>
      </c>
      <c r="C14051" t="str">
        <f t="shared" si="5096"/>
        <v>QUEVEDO URQUILLA</v>
      </c>
      <c r="D14051" t="str">
        <f t="shared" si="5097"/>
        <v>09</v>
      </c>
      <c r="E14051" t="str">
        <f>"03 - A - 101 - Rosa Elaine  Collado-Duff"</f>
        <v>03 - A - 101 - Rosa Elaine  Collado-Duff</v>
      </c>
      <c r="F14051" t="str">
        <f>"SPANISH 3 HON"</f>
        <v>SPANISH 3 HON</v>
      </c>
      <c r="G14051" t="str">
        <f>"09-913"</f>
        <v>09-913</v>
      </c>
      <c r="H14051" t="str">
        <f>"A"</f>
        <v>A</v>
      </c>
    </row>
    <row r="14052" spans="1:8" x14ac:dyDescent="0.2">
      <c r="A14052" t="str">
        <f t="shared" si="5094"/>
        <v>0617029915</v>
      </c>
      <c r="B14052" t="str">
        <f t="shared" si="5095"/>
        <v>YAHEL</v>
      </c>
      <c r="C14052" t="str">
        <f t="shared" si="5096"/>
        <v>QUEVEDO URQUILLA</v>
      </c>
      <c r="D14052" t="str">
        <f t="shared" si="5097"/>
        <v>09</v>
      </c>
      <c r="E14052" t="str">
        <f>"02 - A - 113 - Amy Beth  Broyles"</f>
        <v>02 - A - 113 - Amy Beth  Broyles</v>
      </c>
      <c r="F14052" t="str">
        <f>"NC STUDY HALL 1"</f>
        <v>NC STUDY HALL 1</v>
      </c>
      <c r="G14052" t="str">
        <f>"08-802"</f>
        <v>08-802</v>
      </c>
      <c r="H14052" t="str">
        <f>"A"</f>
        <v>A</v>
      </c>
    </row>
    <row r="14053" spans="1:8" x14ac:dyDescent="0.2">
      <c r="A14053" t="str">
        <f t="shared" si="5094"/>
        <v>0617029915</v>
      </c>
      <c r="B14053" t="str">
        <f t="shared" si="5095"/>
        <v>YAHEL</v>
      </c>
      <c r="C14053" t="str">
        <f t="shared" si="5096"/>
        <v>QUEVEDO URQUILLA</v>
      </c>
      <c r="D14053" t="str">
        <f t="shared" si="5097"/>
        <v>09</v>
      </c>
      <c r="E14053" t="str">
        <f>"07 - B - 107 - Adam Marcus  Drucker"</f>
        <v>07 - B - 107 - Adam Marcus  Drucker</v>
      </c>
      <c r="F14053" t="str">
        <f>"HOPE-PE V"</f>
        <v>HOPE-PE V</v>
      </c>
      <c r="G14053" t="str">
        <f>"04-254"</f>
        <v>04-254</v>
      </c>
      <c r="H14053" t="str">
        <f>"B"</f>
        <v>B</v>
      </c>
    </row>
    <row r="14054" spans="1:8" x14ac:dyDescent="0.2">
      <c r="A14054" t="str">
        <f t="shared" si="5094"/>
        <v>0617029915</v>
      </c>
      <c r="B14054" t="str">
        <f t="shared" si="5095"/>
        <v>YAHEL</v>
      </c>
      <c r="C14054" t="str">
        <f t="shared" si="5096"/>
        <v>QUEVEDO URQUILLA</v>
      </c>
      <c r="D14054" t="str">
        <f t="shared" si="5097"/>
        <v>09</v>
      </c>
      <c r="E14054" t="str">
        <f>"05 - B - 002 - Cheryl Anne  Berman-Schechter"</f>
        <v>05 - B - 002 - Cheryl Anne  Berman-Schechter</v>
      </c>
      <c r="F14054" t="str">
        <f>"AICE ENG GEN PAPER 1"</f>
        <v>AICE ENG GEN PAPER 1</v>
      </c>
      <c r="G14054" t="str">
        <f>"17-1722"</f>
        <v>17-1722</v>
      </c>
      <c r="H14054" t="str">
        <f>"B"</f>
        <v>B</v>
      </c>
    </row>
    <row r="14055" spans="1:8" x14ac:dyDescent="0.2">
      <c r="A14055" t="str">
        <f t="shared" si="5094"/>
        <v>0617029915</v>
      </c>
      <c r="B14055" t="str">
        <f t="shared" si="5095"/>
        <v>YAHEL</v>
      </c>
      <c r="C14055" t="str">
        <f t="shared" si="5096"/>
        <v>QUEVEDO URQUILLA</v>
      </c>
      <c r="D14055" t="str">
        <f t="shared" si="5097"/>
        <v>09</v>
      </c>
      <c r="E14055" t="str">
        <f>"01 - A - 102 - Brook E Goren"</f>
        <v>01 - A - 102 - Brook E Goren</v>
      </c>
      <c r="F14055" t="str">
        <f>"PRE-AICE MATH 2 IG"</f>
        <v>PRE-AICE MATH 2 IG</v>
      </c>
      <c r="G14055" t="str">
        <f>"21-2158"</f>
        <v>21-2158</v>
      </c>
      <c r="H14055" t="str">
        <f>"A"</f>
        <v>A</v>
      </c>
    </row>
    <row r="14056" spans="1:8" x14ac:dyDescent="0.2">
      <c r="A14056" t="str">
        <f t="shared" si="5094"/>
        <v>0617029915</v>
      </c>
      <c r="B14056" t="str">
        <f t="shared" si="5095"/>
        <v>YAHEL</v>
      </c>
      <c r="C14056" t="str">
        <f t="shared" si="5096"/>
        <v>QUEVEDO URQUILLA</v>
      </c>
      <c r="D14056" t="str">
        <f t="shared" si="5097"/>
        <v>09</v>
      </c>
      <c r="E14056" t="str">
        <f>"08 - B - 202 - Dorothy D Moore"</f>
        <v>08 - B - 202 - Dorothy D Moore</v>
      </c>
      <c r="F14056" t="str">
        <f>"HEALTH SCI 1/A&amp;P HON"</f>
        <v>HEALTH SCI 1/A&amp;P HON</v>
      </c>
      <c r="G14056" t="str">
        <f>"08-803"</f>
        <v>08-803</v>
      </c>
      <c r="H14056" t="str">
        <f>"B"</f>
        <v>B</v>
      </c>
    </row>
    <row r="14057" spans="1:8" x14ac:dyDescent="0.2">
      <c r="A14057" t="str">
        <f t="shared" ref="A14057:A14064" si="5098">"0615063166"</f>
        <v>0615063166</v>
      </c>
      <c r="B14057" t="str">
        <f t="shared" ref="B14057:B14064" si="5099">"JOHN"</f>
        <v>JOHN</v>
      </c>
      <c r="C14057" t="str">
        <f t="shared" ref="C14057:C14064" si="5100">"QUEVEDO-URQUILLA"</f>
        <v>QUEVEDO-URQUILLA</v>
      </c>
      <c r="D14057">
        <f>11</f>
        <v>11</v>
      </c>
      <c r="E14057" t="str">
        <f>"04 - A - 101 - Jerry S Jiampetti"</f>
        <v>04 - A - 101 - Jerry S Jiampetti</v>
      </c>
      <c r="F14057" t="str">
        <f>"AICE U.S. HIST 1 AS"</f>
        <v>AICE U.S. HIST 1 AS</v>
      </c>
      <c r="G14057" t="str">
        <f>"17-1751"</f>
        <v>17-1751</v>
      </c>
      <c r="H14057" t="str">
        <f>"A"</f>
        <v>A</v>
      </c>
    </row>
    <row r="14058" spans="1:8" x14ac:dyDescent="0.2">
      <c r="A14058" t="str">
        <f t="shared" si="5098"/>
        <v>0615063166</v>
      </c>
      <c r="B14058" t="str">
        <f t="shared" si="5099"/>
        <v>JOHN</v>
      </c>
      <c r="C14058" t="str">
        <f t="shared" si="5100"/>
        <v>QUEVEDO-URQUILLA</v>
      </c>
      <c r="D14058">
        <f>11</f>
        <v>11</v>
      </c>
      <c r="E14058" t="str">
        <f>"06 - B - 105 - Cheryl L Beach"</f>
        <v>06 - B - 105 - Cheryl L Beach</v>
      </c>
      <c r="F14058" t="str">
        <f>"AICE ENV MGMNT AS"</f>
        <v>AICE ENV MGMNT AS</v>
      </c>
      <c r="G14058" t="str">
        <f>"08-811"</f>
        <v>08-811</v>
      </c>
      <c r="H14058" t="str">
        <f>"B"</f>
        <v>B</v>
      </c>
    </row>
    <row r="14059" spans="1:8" x14ac:dyDescent="0.2">
      <c r="A14059" t="str">
        <f t="shared" si="5098"/>
        <v>0615063166</v>
      </c>
      <c r="B14059" t="str">
        <f t="shared" si="5099"/>
        <v>JOHN</v>
      </c>
      <c r="C14059" t="str">
        <f t="shared" si="5100"/>
        <v>QUEVEDO-URQUILLA</v>
      </c>
      <c r="D14059">
        <f>11</f>
        <v>11</v>
      </c>
      <c r="E14059" t="str">
        <f>"03 - A - 102 - Thomas G Handwerg"</f>
        <v>03 - A - 102 - Thomas G Handwerg</v>
      </c>
      <c r="F14059" t="str">
        <f>"MATH COLL ALGEBRA"</f>
        <v>MATH COLL ALGEBRA</v>
      </c>
      <c r="G14059" t="str">
        <f>"21-2146"</f>
        <v>21-2146</v>
      </c>
      <c r="H14059" t="str">
        <f>"A"</f>
        <v>A</v>
      </c>
    </row>
    <row r="14060" spans="1:8" x14ac:dyDescent="0.2">
      <c r="A14060" t="str">
        <f t="shared" si="5098"/>
        <v>0615063166</v>
      </c>
      <c r="B14060" t="str">
        <f t="shared" si="5099"/>
        <v>JOHN</v>
      </c>
      <c r="C14060" t="str">
        <f t="shared" si="5100"/>
        <v>QUEVEDO-URQUILLA</v>
      </c>
      <c r="D14060">
        <f>11</f>
        <v>11</v>
      </c>
      <c r="E14060" t="str">
        <f>"02 - A - 106 - Heidi M Knopp"</f>
        <v>02 - A - 106 - Heidi M Knopp</v>
      </c>
      <c r="F14060" t="str">
        <f>"NC STUDY HALL 1"</f>
        <v>NC STUDY HALL 1</v>
      </c>
      <c r="G14060" t="str">
        <f>"17-1735"</f>
        <v>17-1735</v>
      </c>
      <c r="H14060" t="str">
        <f>"A"</f>
        <v>A</v>
      </c>
    </row>
    <row r="14061" spans="1:8" x14ac:dyDescent="0.2">
      <c r="A14061" t="str">
        <f t="shared" si="5098"/>
        <v>0615063166</v>
      </c>
      <c r="B14061" t="str">
        <f t="shared" si="5099"/>
        <v>JOHN</v>
      </c>
      <c r="C14061" t="str">
        <f t="shared" si="5100"/>
        <v>QUEVEDO-URQUILLA</v>
      </c>
      <c r="D14061">
        <f>11</f>
        <v>11</v>
      </c>
      <c r="E14061" t="str">
        <f>"07 - B - 101 - Bruce A Evans"</f>
        <v>07 - B - 101 - Bruce A Evans</v>
      </c>
      <c r="F14061" t="str">
        <f>"FIREFIGHTING 1 LH"</f>
        <v>FIREFIGHTING 1 LH</v>
      </c>
      <c r="G14061" t="str">
        <f>"21-2142"</f>
        <v>21-2142</v>
      </c>
      <c r="H14061" t="str">
        <f>"B"</f>
        <v>B</v>
      </c>
    </row>
    <row r="14062" spans="1:8" x14ac:dyDescent="0.2">
      <c r="A14062" t="str">
        <f t="shared" si="5098"/>
        <v>0615063166</v>
      </c>
      <c r="B14062" t="str">
        <f t="shared" si="5099"/>
        <v>JOHN</v>
      </c>
      <c r="C14062" t="str">
        <f t="shared" si="5100"/>
        <v>QUEVEDO-URQUILLA</v>
      </c>
      <c r="D14062">
        <f>11</f>
        <v>11</v>
      </c>
      <c r="E14062" t="str">
        <f>"05 - B - 102 - Jacklyn M James"</f>
        <v>05 - B - 102 - Jacklyn M James</v>
      </c>
      <c r="F14062" t="str">
        <f>"AICE ENG LANG AS"</f>
        <v>AICE ENG LANG AS</v>
      </c>
      <c r="G14062" t="str">
        <f>"17-1731"</f>
        <v>17-1731</v>
      </c>
      <c r="H14062" t="str">
        <f>"B"</f>
        <v>B</v>
      </c>
    </row>
    <row r="14063" spans="1:8" x14ac:dyDescent="0.2">
      <c r="A14063" t="str">
        <f t="shared" si="5098"/>
        <v>0615063166</v>
      </c>
      <c r="B14063" t="str">
        <f t="shared" si="5099"/>
        <v>JOHN</v>
      </c>
      <c r="C14063" t="str">
        <f t="shared" si="5100"/>
        <v>QUEVEDO-URQUILLA</v>
      </c>
      <c r="D14063">
        <f>11</f>
        <v>11</v>
      </c>
      <c r="E14063" t="str">
        <f>"01 - S1 - A - 101 - Bruce A Evans"</f>
        <v>01 - S1 - A - 101 - Bruce A Evans</v>
      </c>
      <c r="F14063" t="str">
        <f>"ELECTROCARD TECH 3HN"</f>
        <v>ELECTROCARD TECH 3HN</v>
      </c>
      <c r="G14063" t="str">
        <f>"21-2142"</f>
        <v>21-2142</v>
      </c>
      <c r="H14063" t="str">
        <f>"A"</f>
        <v>A</v>
      </c>
    </row>
    <row r="14064" spans="1:8" x14ac:dyDescent="0.2">
      <c r="A14064" t="str">
        <f t="shared" si="5098"/>
        <v>0615063166</v>
      </c>
      <c r="B14064" t="str">
        <f t="shared" si="5099"/>
        <v>JOHN</v>
      </c>
      <c r="C14064" t="str">
        <f t="shared" si="5100"/>
        <v>QUEVEDO-URQUILLA</v>
      </c>
      <c r="D14064">
        <f>11</f>
        <v>11</v>
      </c>
      <c r="E14064" t="str">
        <f>"08 - B - 101 - Eva T Rimmer"</f>
        <v>08 - B - 101 - Eva T Rimmer</v>
      </c>
      <c r="F14064" t="str">
        <f>"CRIM JUST OPS 3 HON"</f>
        <v>CRIM JUST OPS 3 HON</v>
      </c>
      <c r="G14064" t="str">
        <f>"05-523"</f>
        <v>05-523</v>
      </c>
      <c r="H14064" t="str">
        <f>"B"</f>
        <v>B</v>
      </c>
    </row>
    <row r="14065" spans="1:8" x14ac:dyDescent="0.2">
      <c r="A14065" t="str">
        <f t="shared" ref="A14065:A14072" si="5101">"0614140490"</f>
        <v>0614140490</v>
      </c>
      <c r="B14065" t="str">
        <f t="shared" ref="B14065:B14072" si="5102">"MIGUEL"</f>
        <v>MIGUEL</v>
      </c>
      <c r="C14065" t="str">
        <f t="shared" ref="C14065:C14072" si="5103">"QUEZADA"</f>
        <v>QUEZADA</v>
      </c>
      <c r="D14065">
        <f>11</f>
        <v>11</v>
      </c>
      <c r="E14065" t="str">
        <f>"04 - A - 101 - Rosa Elaine  Collado-Duff"</f>
        <v>04 - A - 101 - Rosa Elaine  Collado-Duff</v>
      </c>
      <c r="F14065" t="str">
        <f>"AICE SPAN LANG AS"</f>
        <v>AICE SPAN LANG AS</v>
      </c>
      <c r="G14065" t="str">
        <f>"09-913"</f>
        <v>09-913</v>
      </c>
      <c r="H14065" t="str">
        <f>"A"</f>
        <v>A</v>
      </c>
    </row>
    <row r="14066" spans="1:8" x14ac:dyDescent="0.2">
      <c r="A14066" t="str">
        <f t="shared" si="5101"/>
        <v>0614140490</v>
      </c>
      <c r="B14066" t="str">
        <f t="shared" si="5102"/>
        <v>MIGUEL</v>
      </c>
      <c r="C14066" t="str">
        <f t="shared" si="5103"/>
        <v>QUEZADA</v>
      </c>
      <c r="D14066">
        <f>11</f>
        <v>11</v>
      </c>
      <c r="E14066" t="str">
        <f>"06 - B - 204 - Chrystina M Marchionne"</f>
        <v>06 - B - 204 - Chrystina M Marchionne</v>
      </c>
      <c r="F14066" t="str">
        <f>"AICE MEDIASTUDIES AS"</f>
        <v>AICE MEDIASTUDIES AS</v>
      </c>
      <c r="G14066" t="str">
        <f>"05-520"</f>
        <v>05-520</v>
      </c>
      <c r="H14066" t="str">
        <f>"B"</f>
        <v>B</v>
      </c>
    </row>
    <row r="14067" spans="1:8" x14ac:dyDescent="0.2">
      <c r="A14067" t="str">
        <f t="shared" si="5101"/>
        <v>0614140490</v>
      </c>
      <c r="B14067" t="str">
        <f t="shared" si="5102"/>
        <v>MIGUEL</v>
      </c>
      <c r="C14067" t="str">
        <f t="shared" si="5103"/>
        <v>QUEZADA</v>
      </c>
      <c r="D14067">
        <f>11</f>
        <v>11</v>
      </c>
      <c r="E14067" t="str">
        <f>"03 - A - 102 - Thomas G Handwerg"</f>
        <v>03 - A - 102 - Thomas G Handwerg</v>
      </c>
      <c r="F14067" t="str">
        <f>"MATH COLL ALGEBRA"</f>
        <v>MATH COLL ALGEBRA</v>
      </c>
      <c r="G14067" t="str">
        <f>"21-2146"</f>
        <v>21-2146</v>
      </c>
      <c r="H14067" t="str">
        <f>"A"</f>
        <v>A</v>
      </c>
    </row>
    <row r="14068" spans="1:8" x14ac:dyDescent="0.2">
      <c r="A14068" t="str">
        <f t="shared" si="5101"/>
        <v>0614140490</v>
      </c>
      <c r="B14068" t="str">
        <f t="shared" si="5102"/>
        <v>MIGUEL</v>
      </c>
      <c r="C14068" t="str">
        <f t="shared" si="5103"/>
        <v>QUEZADA</v>
      </c>
      <c r="D14068">
        <f>11</f>
        <v>11</v>
      </c>
      <c r="E14068" t="str">
        <f>"02 - A - 114 - Eva T Rimmer"</f>
        <v>02 - A - 114 - Eva T Rimmer</v>
      </c>
      <c r="F14068" t="str">
        <f>"NC STUDY HALL 1"</f>
        <v>NC STUDY HALL 1</v>
      </c>
      <c r="G14068" t="str">
        <f>"05-523"</f>
        <v>05-523</v>
      </c>
      <c r="H14068" t="str">
        <f>"A"</f>
        <v>A</v>
      </c>
    </row>
    <row r="14069" spans="1:8" x14ac:dyDescent="0.2">
      <c r="A14069" t="str">
        <f t="shared" si="5101"/>
        <v>0614140490</v>
      </c>
      <c r="B14069" t="str">
        <f t="shared" si="5102"/>
        <v>MIGUEL</v>
      </c>
      <c r="C14069" t="str">
        <f t="shared" si="5103"/>
        <v>QUEZADA</v>
      </c>
      <c r="D14069">
        <f>11</f>
        <v>11</v>
      </c>
      <c r="E14069" t="str">
        <f>"07 - B - 206 - Cheryl L Beach"</f>
        <v>07 - B - 206 - Cheryl L Beach</v>
      </c>
      <c r="F14069" t="str">
        <f>"AICE ENV MGMNT AS"</f>
        <v>AICE ENV MGMNT AS</v>
      </c>
      <c r="G14069" t="str">
        <f>"08-811"</f>
        <v>08-811</v>
      </c>
      <c r="H14069" t="str">
        <f>"B"</f>
        <v>B</v>
      </c>
    </row>
    <row r="14070" spans="1:8" x14ac:dyDescent="0.2">
      <c r="A14070" t="str">
        <f t="shared" si="5101"/>
        <v>0614140490</v>
      </c>
      <c r="B14070" t="str">
        <f t="shared" si="5102"/>
        <v>MIGUEL</v>
      </c>
      <c r="C14070" t="str">
        <f t="shared" si="5103"/>
        <v>QUEZADA</v>
      </c>
      <c r="D14070">
        <f>11</f>
        <v>11</v>
      </c>
      <c r="E14070" t="str">
        <f>"05 - B - 001 - Kyle  Robbins"</f>
        <v>05 - B - 001 - Kyle  Robbins</v>
      </c>
      <c r="F14070" t="str">
        <f>"US HISTORY HON"</f>
        <v>US HISTORY HON</v>
      </c>
      <c r="G14070" t="str">
        <f>"17-1745"</f>
        <v>17-1745</v>
      </c>
      <c r="H14070" t="str">
        <f>"B"</f>
        <v>B</v>
      </c>
    </row>
    <row r="14071" spans="1:8" x14ac:dyDescent="0.2">
      <c r="A14071" t="str">
        <f t="shared" si="5101"/>
        <v>0614140490</v>
      </c>
      <c r="B14071" t="str">
        <f t="shared" si="5102"/>
        <v>MIGUEL</v>
      </c>
      <c r="C14071" t="str">
        <f t="shared" si="5103"/>
        <v>QUEZADA</v>
      </c>
      <c r="D14071">
        <f>11</f>
        <v>11</v>
      </c>
      <c r="E14071" t="str">
        <f>"01 - A - 101 - Heidi M Knopp"</f>
        <v>01 - A - 101 - Heidi M Knopp</v>
      </c>
      <c r="F14071" t="str">
        <f>"ENG HON 3"</f>
        <v>ENG HON 3</v>
      </c>
      <c r="G14071" t="str">
        <f>"17-1752"</f>
        <v>17-1752</v>
      </c>
      <c r="H14071" t="str">
        <f>"A"</f>
        <v>A</v>
      </c>
    </row>
    <row r="14072" spans="1:8" x14ac:dyDescent="0.2">
      <c r="A14072" t="str">
        <f t="shared" si="5101"/>
        <v>0614140490</v>
      </c>
      <c r="B14072" t="str">
        <f t="shared" si="5102"/>
        <v>MIGUEL</v>
      </c>
      <c r="C14072" t="str">
        <f t="shared" si="5103"/>
        <v>QUEZADA</v>
      </c>
      <c r="D14072">
        <f>11</f>
        <v>11</v>
      </c>
      <c r="E14072" t="str">
        <f>"08 - B - 109 - Emmily A Sarmiento"</f>
        <v>08 - B - 109 - Emmily A Sarmiento</v>
      </c>
      <c r="F14072" t="str">
        <f>"AICE GLBL PERSP 1 AS"</f>
        <v>AICE GLBL PERSP 1 AS</v>
      </c>
      <c r="G14072" t="str">
        <f>"17-1743"</f>
        <v>17-1743</v>
      </c>
      <c r="H14072" t="str">
        <f>"B"</f>
        <v>B</v>
      </c>
    </row>
    <row r="14073" spans="1:8" x14ac:dyDescent="0.2">
      <c r="A14073" t="str">
        <f t="shared" ref="A14073:A14080" si="5104">"0625033793"</f>
        <v>0625033793</v>
      </c>
      <c r="B14073" t="str">
        <f t="shared" ref="B14073:B14080" si="5105">"Jhordan"</f>
        <v>Jhordan</v>
      </c>
      <c r="C14073" t="str">
        <f t="shared" ref="C14073:C14080" si="5106">"Quintero"</f>
        <v>Quintero</v>
      </c>
      <c r="D14073">
        <f>12</f>
        <v>12</v>
      </c>
      <c r="E14073" t="str">
        <f>"04 - A - 205 - Robyn L Trainer"</f>
        <v>04 - A - 205 - Robyn L Trainer</v>
      </c>
      <c r="F14073" t="str">
        <f>"ENG 4: FL COLL PREP"</f>
        <v>ENG 4: FL COLL PREP</v>
      </c>
      <c r="G14073" t="str">
        <f>"17-1734"</f>
        <v>17-1734</v>
      </c>
      <c r="H14073" t="str">
        <f>"A"</f>
        <v>A</v>
      </c>
    </row>
    <row r="14074" spans="1:8" x14ac:dyDescent="0.2">
      <c r="A14074" t="str">
        <f t="shared" si="5104"/>
        <v>0625033793</v>
      </c>
      <c r="B14074" t="str">
        <f t="shared" si="5105"/>
        <v>Jhordan</v>
      </c>
      <c r="C14074" t="str">
        <f t="shared" si="5106"/>
        <v>Quintero</v>
      </c>
      <c r="D14074">
        <f>12</f>
        <v>12</v>
      </c>
      <c r="E14074" t="str">
        <f>"06 - B - 113 - Marielle A Witting"</f>
        <v>06 - B - 113 - Marielle A Witting</v>
      </c>
      <c r="F14074" t="str">
        <f>"NC STUDY HALL 1"</f>
        <v>NC STUDY HALL 1</v>
      </c>
      <c r="G14074" t="str">
        <f>"08-805"</f>
        <v>08-805</v>
      </c>
      <c r="H14074" t="str">
        <f>"B"</f>
        <v>B</v>
      </c>
    </row>
    <row r="14075" spans="1:8" x14ac:dyDescent="0.2">
      <c r="A14075" t="str">
        <f t="shared" si="5104"/>
        <v>0625033793</v>
      </c>
      <c r="B14075" t="str">
        <f t="shared" si="5105"/>
        <v>Jhordan</v>
      </c>
      <c r="C14075" t="str">
        <f t="shared" si="5106"/>
        <v>Quintero</v>
      </c>
      <c r="D14075">
        <f>12</f>
        <v>12</v>
      </c>
      <c r="E14075" t="str">
        <f>"03 - A - 104 - Brook E Goren"</f>
        <v>03 - A - 104 - Brook E Goren</v>
      </c>
      <c r="F14075" t="str">
        <f>"ALGEBRA 2 HON"</f>
        <v>ALGEBRA 2 HON</v>
      </c>
      <c r="G14075" t="str">
        <f>"21-2158"</f>
        <v>21-2158</v>
      </c>
      <c r="H14075" t="str">
        <f>"A"</f>
        <v>A</v>
      </c>
    </row>
    <row r="14076" spans="1:8" x14ac:dyDescent="0.2">
      <c r="A14076" t="str">
        <f t="shared" si="5104"/>
        <v>0625033793</v>
      </c>
      <c r="B14076" t="str">
        <f t="shared" si="5105"/>
        <v>Jhordan</v>
      </c>
      <c r="C14076" t="str">
        <f t="shared" si="5106"/>
        <v>Quintero</v>
      </c>
      <c r="D14076">
        <f>12</f>
        <v>12</v>
      </c>
      <c r="E14076" t="str">
        <f>"02 - S1 - A - 101 - Carol S Moore"</f>
        <v>02 - S1 - A - 101 - Carol S Moore</v>
      </c>
      <c r="F14076" t="str">
        <f>"PER CAR SCH DEV 1 LH"</f>
        <v>PER CAR SCH DEV 1 LH</v>
      </c>
      <c r="G14076" t="str">
        <f>"17-1733"</f>
        <v>17-1733</v>
      </c>
      <c r="H14076" t="str">
        <f>"A"</f>
        <v>A</v>
      </c>
    </row>
    <row r="14077" spans="1:8" x14ac:dyDescent="0.2">
      <c r="A14077" t="str">
        <f t="shared" si="5104"/>
        <v>0625033793</v>
      </c>
      <c r="B14077" t="str">
        <f t="shared" si="5105"/>
        <v>Jhordan</v>
      </c>
      <c r="C14077" t="str">
        <f t="shared" si="5106"/>
        <v>Quintero</v>
      </c>
      <c r="D14077">
        <f>12</f>
        <v>12</v>
      </c>
      <c r="E14077" t="str">
        <f>"07 - B - 103 - Nahum  Saint-Preux"</f>
        <v>07 - B - 103 - Nahum  Saint-Preux</v>
      </c>
      <c r="F14077" t="str">
        <f>"INTENS READ 4"</f>
        <v>INTENS READ 4</v>
      </c>
      <c r="G14077" t="str">
        <f>"17-1712"</f>
        <v>17-1712</v>
      </c>
      <c r="H14077" t="str">
        <f>"B"</f>
        <v>B</v>
      </c>
    </row>
    <row r="14078" spans="1:8" x14ac:dyDescent="0.2">
      <c r="A14078" t="str">
        <f t="shared" si="5104"/>
        <v>0625033793</v>
      </c>
      <c r="B14078" t="str">
        <f t="shared" si="5105"/>
        <v>Jhordan</v>
      </c>
      <c r="C14078" t="str">
        <f t="shared" si="5106"/>
        <v>Quintero</v>
      </c>
      <c r="D14078">
        <f>12</f>
        <v>12</v>
      </c>
      <c r="E14078" t="str">
        <f>"05 - B - 107 - Elizabeth Ellen  Moran"</f>
        <v>05 - B - 107 - Elizabeth Ellen  Moran</v>
      </c>
      <c r="F14078" t="str">
        <f>"US HISTORY"</f>
        <v>US HISTORY</v>
      </c>
      <c r="G14078" t="str">
        <f>"17-1752"</f>
        <v>17-1752</v>
      </c>
      <c r="H14078" t="str">
        <f>"B"</f>
        <v>B</v>
      </c>
    </row>
    <row r="14079" spans="1:8" x14ac:dyDescent="0.2">
      <c r="A14079" t="str">
        <f t="shared" si="5104"/>
        <v>0625033793</v>
      </c>
      <c r="B14079" t="str">
        <f t="shared" si="5105"/>
        <v>Jhordan</v>
      </c>
      <c r="C14079" t="str">
        <f t="shared" si="5106"/>
        <v>Quintero</v>
      </c>
      <c r="D14079">
        <f>12</f>
        <v>12</v>
      </c>
      <c r="E14079" t="str">
        <f>"01 - A - 001 - Dorothy D Moore"</f>
        <v>01 - A - 001 - Dorothy D Moore</v>
      </c>
      <c r="F14079" t="str">
        <f>"ANAT PHYSIO HON"</f>
        <v>ANAT PHYSIO HON</v>
      </c>
      <c r="G14079" t="str">
        <f>"08-803"</f>
        <v>08-803</v>
      </c>
      <c r="H14079" t="str">
        <f>"A"</f>
        <v>A</v>
      </c>
    </row>
    <row r="14080" spans="1:8" x14ac:dyDescent="0.2">
      <c r="A14080" t="str">
        <f t="shared" si="5104"/>
        <v>0625033793</v>
      </c>
      <c r="B14080" t="str">
        <f t="shared" si="5105"/>
        <v>Jhordan</v>
      </c>
      <c r="C14080" t="str">
        <f t="shared" si="5106"/>
        <v>Quintero</v>
      </c>
      <c r="D14080">
        <f>12</f>
        <v>12</v>
      </c>
      <c r="E14080" t="str">
        <f>"08 - S1 - B - 105 - Kelly N Panza"</f>
        <v>08 - S1 - B - 105 - Kelly N Panza</v>
      </c>
      <c r="F14080" t="str">
        <f>"US GOVT HON"</f>
        <v>US GOVT HON</v>
      </c>
      <c r="G14080" t="str">
        <f>"17-1753"</f>
        <v>17-1753</v>
      </c>
      <c r="H14080" t="str">
        <f>"B"</f>
        <v>B</v>
      </c>
    </row>
    <row r="14081" spans="1:8" x14ac:dyDescent="0.2">
      <c r="A14081" t="str">
        <f t="shared" ref="A14081:A14089" si="5107">"0616120608"</f>
        <v>0616120608</v>
      </c>
      <c r="B14081" t="str">
        <f t="shared" ref="B14081:B14089" si="5108">"KYLA"</f>
        <v>KYLA</v>
      </c>
      <c r="C14081" t="str">
        <f t="shared" ref="C14081:C14089" si="5109">"QUIROGA POAKEART"</f>
        <v>QUIROGA POAKEART</v>
      </c>
      <c r="D14081">
        <f>10</f>
        <v>10</v>
      </c>
      <c r="E14081" t="str">
        <f>"19 - S1 - MTWHF - BCC - Instructor BC"</f>
        <v>19 - S1 - MTWHF - BCC - Instructor BC</v>
      </c>
      <c r="F14081" t="str">
        <f>"MEDICAL TERMINOLOGY"</f>
        <v>MEDICAL TERMINOLOGY</v>
      </c>
      <c r="G14081" t="str">
        <f>"60-DE"</f>
        <v>60-DE</v>
      </c>
      <c r="H14081" t="str">
        <f>"-"</f>
        <v>-</v>
      </c>
    </row>
    <row r="14082" spans="1:8" x14ac:dyDescent="0.2">
      <c r="A14082" t="str">
        <f t="shared" si="5107"/>
        <v>0616120608</v>
      </c>
      <c r="B14082" t="str">
        <f t="shared" si="5108"/>
        <v>KYLA</v>
      </c>
      <c r="C14082" t="str">
        <f t="shared" si="5109"/>
        <v>QUIROGA POAKEART</v>
      </c>
      <c r="D14082">
        <f>10</f>
        <v>10</v>
      </c>
      <c r="E14082" t="str">
        <f>"04 - A - 103 - Lourivaldo  Da Silva"</f>
        <v>04 - A - 103 - Lourivaldo  Da Silva</v>
      </c>
      <c r="F14082" t="str">
        <f>"PRE-CALCULUS HON"</f>
        <v>PRE-CALCULUS HON</v>
      </c>
      <c r="G14082" t="str">
        <f>"20-2079"</f>
        <v>20-2079</v>
      </c>
      <c r="H14082" t="str">
        <f>"A"</f>
        <v>A</v>
      </c>
    </row>
    <row r="14083" spans="1:8" x14ac:dyDescent="0.2">
      <c r="A14083" t="str">
        <f t="shared" si="5107"/>
        <v>0616120608</v>
      </c>
      <c r="B14083" t="str">
        <f t="shared" si="5108"/>
        <v>KYLA</v>
      </c>
      <c r="C14083" t="str">
        <f t="shared" si="5109"/>
        <v>QUIROGA POAKEART</v>
      </c>
      <c r="D14083">
        <f>10</f>
        <v>10</v>
      </c>
      <c r="E14083" t="str">
        <f>"06 - B - 110 - Jerry S Jiampetti"</f>
        <v>06 - B - 110 - Jerry S Jiampetti</v>
      </c>
      <c r="F14083" t="str">
        <f>"NC STUDY HALL 1"</f>
        <v>NC STUDY HALL 1</v>
      </c>
      <c r="G14083" t="str">
        <f>"17-1751"</f>
        <v>17-1751</v>
      </c>
      <c r="H14083" t="str">
        <f>"B"</f>
        <v>B</v>
      </c>
    </row>
    <row r="14084" spans="1:8" x14ac:dyDescent="0.2">
      <c r="A14084" t="str">
        <f t="shared" si="5107"/>
        <v>0616120608</v>
      </c>
      <c r="B14084" t="str">
        <f t="shared" si="5108"/>
        <v>KYLA</v>
      </c>
      <c r="C14084" t="str">
        <f t="shared" si="5109"/>
        <v>QUIROGA POAKEART</v>
      </c>
      <c r="D14084">
        <f>10</f>
        <v>10</v>
      </c>
      <c r="E14084" t="str">
        <f>"03 - A - 103 - Marius D Orsolini"</f>
        <v>03 - A - 103 - Marius D Orsolini</v>
      </c>
      <c r="F14084" t="str">
        <f>"CULINARY ARTS 1"</f>
        <v>CULINARY ARTS 1</v>
      </c>
      <c r="G14084" t="str">
        <f>"21-2115"</f>
        <v>21-2115</v>
      </c>
      <c r="H14084" t="str">
        <f>"A"</f>
        <v>A</v>
      </c>
    </row>
    <row r="14085" spans="1:8" x14ac:dyDescent="0.2">
      <c r="A14085" t="str">
        <f t="shared" si="5107"/>
        <v>0616120608</v>
      </c>
      <c r="B14085" t="str">
        <f t="shared" si="5108"/>
        <v>KYLA</v>
      </c>
      <c r="C14085" t="str">
        <f t="shared" si="5109"/>
        <v>QUIROGA POAKEART</v>
      </c>
      <c r="D14085">
        <f>10</f>
        <v>10</v>
      </c>
      <c r="E14085" t="str">
        <f>"02 - A - 102 - Jacklyn M James"</f>
        <v>02 - A - 102 - Jacklyn M James</v>
      </c>
      <c r="F14085" t="str">
        <f>"AICE ENG LANG AS"</f>
        <v>AICE ENG LANG AS</v>
      </c>
      <c r="G14085" t="str">
        <f>"17-1731"</f>
        <v>17-1731</v>
      </c>
      <c r="H14085" t="str">
        <f>"A"</f>
        <v>A</v>
      </c>
    </row>
    <row r="14086" spans="1:8" x14ac:dyDescent="0.2">
      <c r="A14086" t="str">
        <f t="shared" si="5107"/>
        <v>0616120608</v>
      </c>
      <c r="B14086" t="str">
        <f t="shared" si="5108"/>
        <v>KYLA</v>
      </c>
      <c r="C14086" t="str">
        <f t="shared" si="5109"/>
        <v>QUIROGA POAKEART</v>
      </c>
      <c r="D14086">
        <f>10</f>
        <v>10</v>
      </c>
      <c r="E14086" t="str">
        <f>"07 - B - 002 - Jordana K Hass"</f>
        <v>07 - B - 002 - Jordana K Hass</v>
      </c>
      <c r="F14086" t="str">
        <f>"CHEMISTRY 1 HON"</f>
        <v>CHEMISTRY 1 HON</v>
      </c>
      <c r="G14086" t="str">
        <f>"08-807"</f>
        <v>08-807</v>
      </c>
      <c r="H14086" t="str">
        <f>"B"</f>
        <v>B</v>
      </c>
    </row>
    <row r="14087" spans="1:8" x14ac:dyDescent="0.2">
      <c r="A14087" t="str">
        <f t="shared" si="5107"/>
        <v>0616120608</v>
      </c>
      <c r="B14087" t="str">
        <f t="shared" si="5108"/>
        <v>KYLA</v>
      </c>
      <c r="C14087" t="str">
        <f t="shared" si="5109"/>
        <v>QUIROGA POAKEART</v>
      </c>
      <c r="D14087">
        <f>10</f>
        <v>10</v>
      </c>
      <c r="E14087" t="str">
        <f>"05 - B - 001 - Stefanie S Scher"</f>
        <v>05 - B - 001 - Stefanie S Scher</v>
      </c>
      <c r="F14087" t="str">
        <f>"AICE PSYCH 1 AS"</f>
        <v>AICE PSYCH 1 AS</v>
      </c>
      <c r="G14087" t="str">
        <f>"17-1735"</f>
        <v>17-1735</v>
      </c>
      <c r="H14087" t="str">
        <f>"B"</f>
        <v>B</v>
      </c>
    </row>
    <row r="14088" spans="1:8" x14ac:dyDescent="0.2">
      <c r="A14088" t="str">
        <f t="shared" si="5107"/>
        <v>0616120608</v>
      </c>
      <c r="B14088" t="str">
        <f t="shared" si="5108"/>
        <v>KYLA</v>
      </c>
      <c r="C14088" t="str">
        <f t="shared" si="5109"/>
        <v>QUIROGA POAKEART</v>
      </c>
      <c r="D14088">
        <f>10</f>
        <v>10</v>
      </c>
      <c r="E14088" t="str">
        <f>"01 - A - 001 - Lenecy  Nodarse"</f>
        <v>01 - A - 001 - Lenecy  Nodarse</v>
      </c>
      <c r="F14088" t="str">
        <f>"AICE EURO HIST 1 AS"</f>
        <v>AICE EURO HIST 1 AS</v>
      </c>
      <c r="G14088" t="str">
        <f>"17-1741"</f>
        <v>17-1741</v>
      </c>
      <c r="H14088" t="str">
        <f>"A"</f>
        <v>A</v>
      </c>
    </row>
    <row r="14089" spans="1:8" x14ac:dyDescent="0.2">
      <c r="A14089" t="str">
        <f t="shared" si="5107"/>
        <v>0616120608</v>
      </c>
      <c r="B14089" t="str">
        <f t="shared" si="5108"/>
        <v>KYLA</v>
      </c>
      <c r="C14089" t="str">
        <f t="shared" si="5109"/>
        <v>QUIROGA POAKEART</v>
      </c>
      <c r="D14089">
        <f>10</f>
        <v>10</v>
      </c>
      <c r="E14089" t="str">
        <f>"08 - B - 206 - Daniel S Katz"</f>
        <v>08 - B - 206 - Daniel S Katz</v>
      </c>
      <c r="F14089" t="str">
        <f>"AICE MEDIASTUDIES AS"</f>
        <v>AICE MEDIASTUDIES AS</v>
      </c>
      <c r="G14089" t="str">
        <f>"05-521"</f>
        <v>05-521</v>
      </c>
      <c r="H14089" t="str">
        <f>"B"</f>
        <v>B</v>
      </c>
    </row>
    <row r="14090" spans="1:8" x14ac:dyDescent="0.2">
      <c r="A14090" t="str">
        <f t="shared" ref="A14090:A14097" si="5110">"0625044237"</f>
        <v>0625044237</v>
      </c>
      <c r="B14090" t="str">
        <f t="shared" ref="B14090:B14097" si="5111">"Simon"</f>
        <v>Simon</v>
      </c>
      <c r="C14090" t="str">
        <f t="shared" ref="C14090:C14097" si="5112">"Rafael"</f>
        <v>Rafael</v>
      </c>
      <c r="D14090" t="str">
        <f t="shared" ref="D14090:D14097" si="5113">"09"</f>
        <v>09</v>
      </c>
      <c r="E14090" t="str">
        <f>"04 - A - 102 - Eva T Rimmer"</f>
        <v>04 - A - 102 - Eva T Rimmer</v>
      </c>
      <c r="F14090" t="str">
        <f>"CRIMINAL JUST OPS 1"</f>
        <v>CRIMINAL JUST OPS 1</v>
      </c>
      <c r="G14090" t="str">
        <f>"05-523"</f>
        <v>05-523</v>
      </c>
      <c r="H14090" t="str">
        <f>"A"</f>
        <v>A</v>
      </c>
    </row>
    <row r="14091" spans="1:8" x14ac:dyDescent="0.2">
      <c r="A14091" t="str">
        <f t="shared" si="5110"/>
        <v>0625044237</v>
      </c>
      <c r="B14091" t="str">
        <f t="shared" si="5111"/>
        <v>Simon</v>
      </c>
      <c r="C14091" t="str">
        <f t="shared" si="5112"/>
        <v>Rafael</v>
      </c>
      <c r="D14091" t="str">
        <f t="shared" si="5113"/>
        <v>09</v>
      </c>
      <c r="E14091" t="str">
        <f>"06 - B - 104 - Lytrell T Dixon"</f>
        <v>06 - B - 104 - Lytrell T Dixon</v>
      </c>
      <c r="F14091" t="str">
        <f>"PRE-AICE BIO IG"</f>
        <v>PRE-AICE BIO IG</v>
      </c>
      <c r="G14091" t="str">
        <f>"08-808"</f>
        <v>08-808</v>
      </c>
      <c r="H14091" t="str">
        <f>"B"</f>
        <v>B</v>
      </c>
    </row>
    <row r="14092" spans="1:8" x14ac:dyDescent="0.2">
      <c r="A14092" t="str">
        <f t="shared" si="5110"/>
        <v>0625044237</v>
      </c>
      <c r="B14092" t="str">
        <f t="shared" si="5111"/>
        <v>Simon</v>
      </c>
      <c r="C14092" t="str">
        <f t="shared" si="5112"/>
        <v>Rafael</v>
      </c>
      <c r="D14092" t="str">
        <f t="shared" si="5113"/>
        <v>09</v>
      </c>
      <c r="E14092" t="str">
        <f>"03 - A - 101 - Samantha L Martinez"</f>
        <v>03 - A - 101 - Samantha L Martinez</v>
      </c>
      <c r="F14092" t="str">
        <f>"VOCAL ENS 1"</f>
        <v>VOCAL ENS 1</v>
      </c>
      <c r="G14092" t="str">
        <f>"05-505"</f>
        <v>05-505</v>
      </c>
      <c r="H14092" t="str">
        <f>"A"</f>
        <v>A</v>
      </c>
    </row>
    <row r="14093" spans="1:8" x14ac:dyDescent="0.2">
      <c r="A14093" t="str">
        <f t="shared" si="5110"/>
        <v>0625044237</v>
      </c>
      <c r="B14093" t="str">
        <f t="shared" si="5111"/>
        <v>Simon</v>
      </c>
      <c r="C14093" t="str">
        <f t="shared" si="5112"/>
        <v>Rafael</v>
      </c>
      <c r="D14093" t="str">
        <f t="shared" si="5113"/>
        <v>09</v>
      </c>
      <c r="E14093" t="str">
        <f>"02 - A - 101 - Josiah I Lacy"</f>
        <v>02 - A - 101 - Josiah I Lacy</v>
      </c>
      <c r="F14093" t="str">
        <f>"NC STUDY HALL 1"</f>
        <v>NC STUDY HALL 1</v>
      </c>
      <c r="G14093" t="str">
        <f>"08-801"</f>
        <v>08-801</v>
      </c>
      <c r="H14093" t="str">
        <f>"A"</f>
        <v>A</v>
      </c>
    </row>
    <row r="14094" spans="1:8" x14ac:dyDescent="0.2">
      <c r="A14094" t="str">
        <f t="shared" si="5110"/>
        <v>0625044237</v>
      </c>
      <c r="B14094" t="str">
        <f t="shared" si="5111"/>
        <v>Simon</v>
      </c>
      <c r="C14094" t="str">
        <f t="shared" si="5112"/>
        <v>Rafael</v>
      </c>
      <c r="D14094" t="str">
        <f t="shared" si="5113"/>
        <v>09</v>
      </c>
      <c r="E14094" t="str">
        <f>"07 - B - 107 - Brook E Goren"</f>
        <v>07 - B - 107 - Brook E Goren</v>
      </c>
      <c r="F14094" t="str">
        <f>"PRE-AICE MATH 2 IG"</f>
        <v>PRE-AICE MATH 2 IG</v>
      </c>
      <c r="G14094" t="str">
        <f>"21-2158"</f>
        <v>21-2158</v>
      </c>
      <c r="H14094" t="str">
        <f>"B"</f>
        <v>B</v>
      </c>
    </row>
    <row r="14095" spans="1:8" x14ac:dyDescent="0.2">
      <c r="A14095" t="str">
        <f t="shared" si="5110"/>
        <v>0625044237</v>
      </c>
      <c r="B14095" t="str">
        <f t="shared" si="5111"/>
        <v>Simon</v>
      </c>
      <c r="C14095" t="str">
        <f t="shared" si="5112"/>
        <v>Rafael</v>
      </c>
      <c r="D14095" t="str">
        <f t="shared" si="5113"/>
        <v>09</v>
      </c>
      <c r="E14095" t="str">
        <f>"05 - S1 - B - 102 - Richard E Dunbar Iii"</f>
        <v>05 - S1 - B - 102 - Richard E Dunbar Iii</v>
      </c>
      <c r="F14095" t="str">
        <f>"TEAM SPORTS 1"</f>
        <v>TEAM SPORTS 1</v>
      </c>
      <c r="G14095" t="str">
        <f>"04-254"</f>
        <v>04-254</v>
      </c>
      <c r="H14095" t="str">
        <f>"B"</f>
        <v>B</v>
      </c>
    </row>
    <row r="14096" spans="1:8" x14ac:dyDescent="0.2">
      <c r="A14096" t="str">
        <f t="shared" si="5110"/>
        <v>0625044237</v>
      </c>
      <c r="B14096" t="str">
        <f t="shared" si="5111"/>
        <v>Simon</v>
      </c>
      <c r="C14096" t="str">
        <f t="shared" si="5112"/>
        <v>Rafael</v>
      </c>
      <c r="D14096" t="str">
        <f t="shared" si="5113"/>
        <v>09</v>
      </c>
      <c r="E14096" t="str">
        <f>"01 - A - 101 - Cheryl Anne  Berman-Schechter"</f>
        <v>01 - A - 101 - Cheryl Anne  Berman-Schechter</v>
      </c>
      <c r="F14096" t="str">
        <f>"PRE-AICE ENG LANG IG"</f>
        <v>PRE-AICE ENG LANG IG</v>
      </c>
      <c r="G14096" t="str">
        <f>"17-1722"</f>
        <v>17-1722</v>
      </c>
      <c r="H14096" t="str">
        <f>"A"</f>
        <v>A</v>
      </c>
    </row>
    <row r="14097" spans="1:8" x14ac:dyDescent="0.2">
      <c r="A14097" t="str">
        <f t="shared" si="5110"/>
        <v>0625044237</v>
      </c>
      <c r="B14097" t="str">
        <f t="shared" si="5111"/>
        <v>Simon</v>
      </c>
      <c r="C14097" t="str">
        <f t="shared" si="5112"/>
        <v>Rafael</v>
      </c>
      <c r="D14097" t="str">
        <f t="shared" si="5113"/>
        <v>09</v>
      </c>
      <c r="E14097" t="str">
        <f>"08 - B - 109 - Rory T Sponsler"</f>
        <v>08 - B - 109 - Rory T Sponsler</v>
      </c>
      <c r="F14097" t="str">
        <f>"PRE-AICE WRLD HST IG"</f>
        <v>PRE-AICE WRLD HST IG</v>
      </c>
      <c r="G14097" t="str">
        <f>"17-1740"</f>
        <v>17-1740</v>
      </c>
      <c r="H14097" t="str">
        <f>"B"</f>
        <v>B</v>
      </c>
    </row>
    <row r="14098" spans="1:8" x14ac:dyDescent="0.2">
      <c r="A14098" t="str">
        <f t="shared" ref="A14098:A14105" si="5114">"0616045833"</f>
        <v>0616045833</v>
      </c>
      <c r="B14098" t="str">
        <f t="shared" ref="B14098:B14105" si="5115">"LENA"</f>
        <v>LENA</v>
      </c>
      <c r="C14098" t="str">
        <f t="shared" ref="C14098:C14105" si="5116">"RAKIC"</f>
        <v>RAKIC</v>
      </c>
      <c r="D14098">
        <f>10</f>
        <v>10</v>
      </c>
      <c r="E14098" t="str">
        <f>"04 - A - 103 - Lourivaldo  Da Silva"</f>
        <v>04 - A - 103 - Lourivaldo  Da Silva</v>
      </c>
      <c r="F14098" t="str">
        <f>"PRE-CALCULUS HON"</f>
        <v>PRE-CALCULUS HON</v>
      </c>
      <c r="G14098" t="str">
        <f>"20-2079"</f>
        <v>20-2079</v>
      </c>
      <c r="H14098" t="str">
        <f>"A"</f>
        <v>A</v>
      </c>
    </row>
    <row r="14099" spans="1:8" x14ac:dyDescent="0.2">
      <c r="A14099" t="str">
        <f t="shared" si="5114"/>
        <v>0616045833</v>
      </c>
      <c r="B14099" t="str">
        <f t="shared" si="5115"/>
        <v>LENA</v>
      </c>
      <c r="C14099" t="str">
        <f t="shared" si="5116"/>
        <v>RAKIC</v>
      </c>
      <c r="D14099">
        <f>10</f>
        <v>10</v>
      </c>
      <c r="E14099" t="str">
        <f>"06 - B - 104 - Robert H Rindner"</f>
        <v>06 - B - 104 - Robert H Rindner</v>
      </c>
      <c r="F14099" t="str">
        <f>"NC STUDY HALL 1"</f>
        <v>NC STUDY HALL 1</v>
      </c>
      <c r="G14099" t="str">
        <f>"21-2160"</f>
        <v>21-2160</v>
      </c>
      <c r="H14099" t="str">
        <f>"B"</f>
        <v>B</v>
      </c>
    </row>
    <row r="14100" spans="1:8" x14ac:dyDescent="0.2">
      <c r="A14100" t="str">
        <f t="shared" si="5114"/>
        <v>0616045833</v>
      </c>
      <c r="B14100" t="str">
        <f t="shared" si="5115"/>
        <v>LENA</v>
      </c>
      <c r="C14100" t="str">
        <f t="shared" si="5116"/>
        <v>RAKIC</v>
      </c>
      <c r="D14100">
        <f>10</f>
        <v>10</v>
      </c>
      <c r="E14100" t="str">
        <f>"03 - A - 101 - Timothy J Lawrence"</f>
        <v>03 - A - 101 - Timothy J Lawrence</v>
      </c>
      <c r="F14100" t="str">
        <f>"AICE PHYS ED 1 AS"</f>
        <v>AICE PHYS ED 1 AS</v>
      </c>
      <c r="G14100" t="str">
        <f>"05-519"</f>
        <v>05-519</v>
      </c>
      <c r="H14100" t="str">
        <f>"A"</f>
        <v>A</v>
      </c>
    </row>
    <row r="14101" spans="1:8" x14ac:dyDescent="0.2">
      <c r="A14101" t="str">
        <f t="shared" si="5114"/>
        <v>0616045833</v>
      </c>
      <c r="B14101" t="str">
        <f t="shared" si="5115"/>
        <v>LENA</v>
      </c>
      <c r="C14101" t="str">
        <f t="shared" si="5116"/>
        <v>RAKIC</v>
      </c>
      <c r="D14101">
        <f>10</f>
        <v>10</v>
      </c>
      <c r="E14101" t="str">
        <f>"02 - A - 102 - Chrystina M Marchionne"</f>
        <v>02 - A - 102 - Chrystina M Marchionne</v>
      </c>
      <c r="F14101" t="str">
        <f>"AICE MEDIASTUDIES AS"</f>
        <v>AICE MEDIASTUDIES AS</v>
      </c>
      <c r="G14101" t="str">
        <f>"05-520"</f>
        <v>05-520</v>
      </c>
      <c r="H14101" t="str">
        <f>"A"</f>
        <v>A</v>
      </c>
    </row>
    <row r="14102" spans="1:8" x14ac:dyDescent="0.2">
      <c r="A14102" t="str">
        <f t="shared" si="5114"/>
        <v>0616045833</v>
      </c>
      <c r="B14102" t="str">
        <f t="shared" si="5115"/>
        <v>LENA</v>
      </c>
      <c r="C14102" t="str">
        <f t="shared" si="5116"/>
        <v>RAKIC</v>
      </c>
      <c r="D14102">
        <f>10</f>
        <v>10</v>
      </c>
      <c r="E14102" t="str">
        <f>"07 - B - 107 - Jacklyn M James"</f>
        <v>07 - B - 107 - Jacklyn M James</v>
      </c>
      <c r="F14102" t="str">
        <f>"AICE ENG LANG AS"</f>
        <v>AICE ENG LANG AS</v>
      </c>
      <c r="G14102" t="str">
        <f>"17-1731"</f>
        <v>17-1731</v>
      </c>
      <c r="H14102" t="str">
        <f>"B"</f>
        <v>B</v>
      </c>
    </row>
    <row r="14103" spans="1:8" x14ac:dyDescent="0.2">
      <c r="A14103" t="str">
        <f t="shared" si="5114"/>
        <v>0616045833</v>
      </c>
      <c r="B14103" t="str">
        <f t="shared" si="5115"/>
        <v>LENA</v>
      </c>
      <c r="C14103" t="str">
        <f t="shared" si="5116"/>
        <v>RAKIC</v>
      </c>
      <c r="D14103">
        <f>10</f>
        <v>10</v>
      </c>
      <c r="E14103" t="str">
        <f>"05 - B - 108 - Valerie J Ruwe"</f>
        <v>05 - B - 108 - Valerie J Ruwe</v>
      </c>
      <c r="F14103" t="str">
        <f>"CHEMISTRY 1 HON"</f>
        <v>CHEMISTRY 1 HON</v>
      </c>
      <c r="G14103" t="str">
        <f>"21-2138"</f>
        <v>21-2138</v>
      </c>
      <c r="H14103" t="str">
        <f>"B"</f>
        <v>B</v>
      </c>
    </row>
    <row r="14104" spans="1:8" x14ac:dyDescent="0.2">
      <c r="A14104" t="str">
        <f t="shared" si="5114"/>
        <v>0616045833</v>
      </c>
      <c r="B14104" t="str">
        <f t="shared" si="5115"/>
        <v>LENA</v>
      </c>
      <c r="C14104" t="str">
        <f t="shared" si="5116"/>
        <v>RAKIC</v>
      </c>
      <c r="D14104">
        <f>10</f>
        <v>10</v>
      </c>
      <c r="E14104" t="str">
        <f>"01 - A - 001 - Lenecy  Nodarse"</f>
        <v>01 - A - 001 - Lenecy  Nodarse</v>
      </c>
      <c r="F14104" t="str">
        <f>"AICE EURO HIST 1 AS"</f>
        <v>AICE EURO HIST 1 AS</v>
      </c>
      <c r="G14104" t="str">
        <f>"17-1741"</f>
        <v>17-1741</v>
      </c>
      <c r="H14104" t="str">
        <f>"A"</f>
        <v>A</v>
      </c>
    </row>
    <row r="14105" spans="1:8" x14ac:dyDescent="0.2">
      <c r="A14105" t="str">
        <f t="shared" si="5114"/>
        <v>0616045833</v>
      </c>
      <c r="B14105" t="str">
        <f t="shared" si="5115"/>
        <v>LENA</v>
      </c>
      <c r="C14105" t="str">
        <f t="shared" si="5116"/>
        <v>RAKIC</v>
      </c>
      <c r="D14105">
        <f>10</f>
        <v>10</v>
      </c>
      <c r="E14105" t="str">
        <f>"08 - B - 103 - Joe  Kilpatrick Jr"</f>
        <v>08 - B - 103 - Joe  Kilpatrick Jr</v>
      </c>
      <c r="F14105" t="str">
        <f>"PRE-AICE SPAN 2 IG"</f>
        <v>PRE-AICE SPAN 2 IG</v>
      </c>
      <c r="G14105" t="str">
        <f>"09-912"</f>
        <v>09-912</v>
      </c>
      <c r="H14105" t="str">
        <f>"B"</f>
        <v>B</v>
      </c>
    </row>
    <row r="14106" spans="1:8" x14ac:dyDescent="0.2">
      <c r="A14106" t="str">
        <f t="shared" ref="A14106:A14113" si="5117">"0622034822"</f>
        <v>0622034822</v>
      </c>
      <c r="B14106" t="str">
        <f t="shared" ref="B14106:B14113" si="5118">"JOSH"</f>
        <v>JOSH</v>
      </c>
      <c r="C14106" t="str">
        <f t="shared" ref="C14106:C14130" si="5119">"RAMIREZ"</f>
        <v>RAMIREZ</v>
      </c>
      <c r="D14106">
        <f>10</f>
        <v>10</v>
      </c>
      <c r="E14106" t="str">
        <f>"04 - S1 - A - 103 - Rory T Sponsler"</f>
        <v>04 - S1 - A - 103 - Rory T Sponsler</v>
      </c>
      <c r="F14106" t="str">
        <f>"WOMENS STUDIES LH"</f>
        <v>WOMENS STUDIES LH</v>
      </c>
      <c r="G14106" t="str">
        <f>"17-1740"</f>
        <v>17-1740</v>
      </c>
      <c r="H14106" t="str">
        <f>"A"</f>
        <v>A</v>
      </c>
    </row>
    <row r="14107" spans="1:8" x14ac:dyDescent="0.2">
      <c r="A14107" t="str">
        <f t="shared" si="5117"/>
        <v>0622034822</v>
      </c>
      <c r="B14107" t="str">
        <f t="shared" si="5118"/>
        <v>JOSH</v>
      </c>
      <c r="C14107" t="str">
        <f t="shared" si="5119"/>
        <v>RAMIREZ</v>
      </c>
      <c r="D14107">
        <f>10</f>
        <v>10</v>
      </c>
      <c r="E14107" t="str">
        <f>"06 - B - 103 - Vanessa J Liburd"</f>
        <v>06 - B - 103 - Vanessa J Liburd</v>
      </c>
      <c r="F14107" t="str">
        <f>"NC STUDY HALL 1"</f>
        <v>NC STUDY HALL 1</v>
      </c>
      <c r="G14107" t="str">
        <f>"05-519"</f>
        <v>05-519</v>
      </c>
      <c r="H14107" t="str">
        <f>"B"</f>
        <v>B</v>
      </c>
    </row>
    <row r="14108" spans="1:8" x14ac:dyDescent="0.2">
      <c r="A14108" t="str">
        <f t="shared" si="5117"/>
        <v>0622034822</v>
      </c>
      <c r="B14108" t="str">
        <f t="shared" si="5118"/>
        <v>JOSH</v>
      </c>
      <c r="C14108" t="str">
        <f t="shared" si="5119"/>
        <v>RAMIREZ</v>
      </c>
      <c r="D14108">
        <f>10</f>
        <v>10</v>
      </c>
      <c r="E14108" t="str">
        <f>"03 - A - 101 - Rosa Elaine  Collado-Duff"</f>
        <v>03 - A - 101 - Rosa Elaine  Collado-Duff</v>
      </c>
      <c r="F14108" t="str">
        <f>"SPANISH 3 HON"</f>
        <v>SPANISH 3 HON</v>
      </c>
      <c r="G14108" t="str">
        <f>"09-913"</f>
        <v>09-913</v>
      </c>
      <c r="H14108" t="str">
        <f>"A"</f>
        <v>A</v>
      </c>
    </row>
    <row r="14109" spans="1:8" x14ac:dyDescent="0.2">
      <c r="A14109" t="str">
        <f t="shared" si="5117"/>
        <v>0622034822</v>
      </c>
      <c r="B14109" t="str">
        <f t="shared" si="5118"/>
        <v>JOSH</v>
      </c>
      <c r="C14109" t="str">
        <f t="shared" si="5119"/>
        <v>RAMIREZ</v>
      </c>
      <c r="D14109">
        <f>10</f>
        <v>10</v>
      </c>
      <c r="E14109" t="str">
        <f>"02 - A - 001 - Alejandro  Navarro"</f>
        <v>02 - A - 001 - Alejandro  Navarro</v>
      </c>
      <c r="F14109" t="str">
        <f>"BAND 1"</f>
        <v>BAND 1</v>
      </c>
      <c r="G14109" t="str">
        <f>"05-504"</f>
        <v>05-504</v>
      </c>
      <c r="H14109" t="str">
        <f>"A"</f>
        <v>A</v>
      </c>
    </row>
    <row r="14110" spans="1:8" x14ac:dyDescent="0.2">
      <c r="A14110" t="str">
        <f t="shared" si="5117"/>
        <v>0622034822</v>
      </c>
      <c r="B14110" t="str">
        <f t="shared" si="5118"/>
        <v>JOSH</v>
      </c>
      <c r="C14110" t="str">
        <f t="shared" si="5119"/>
        <v>RAMIREZ</v>
      </c>
      <c r="D14110">
        <f>10</f>
        <v>10</v>
      </c>
      <c r="E14110" t="str">
        <f>"07 - B - 108 - Jacquelyn M Neeson"</f>
        <v>07 - B - 108 - Jacquelyn M Neeson</v>
      </c>
      <c r="F14110" t="str">
        <f>"ENG 2"</f>
        <v>ENG 2</v>
      </c>
      <c r="G14110" t="str">
        <f>"17-1715"</f>
        <v>17-1715</v>
      </c>
      <c r="H14110" t="str">
        <f>"B"</f>
        <v>B</v>
      </c>
    </row>
    <row r="14111" spans="1:8" x14ac:dyDescent="0.2">
      <c r="A14111" t="str">
        <f t="shared" si="5117"/>
        <v>0622034822</v>
      </c>
      <c r="B14111" t="str">
        <f t="shared" si="5118"/>
        <v>JOSH</v>
      </c>
      <c r="C14111" t="str">
        <f t="shared" si="5119"/>
        <v>RAMIREZ</v>
      </c>
      <c r="D14111">
        <f>10</f>
        <v>10</v>
      </c>
      <c r="E14111" t="str">
        <f>"05 - B - 109 - Ferrie J Arostique"</f>
        <v>05 - B - 109 - Ferrie J Arostique</v>
      </c>
      <c r="F14111" t="str">
        <f>"GEOMETRY"</f>
        <v>GEOMETRY</v>
      </c>
      <c r="G14111" t="str">
        <f>"21-2139"</f>
        <v>21-2139</v>
      </c>
      <c r="H14111" t="str">
        <f>"B"</f>
        <v>B</v>
      </c>
    </row>
    <row r="14112" spans="1:8" x14ac:dyDescent="0.2">
      <c r="A14112" t="str">
        <f t="shared" si="5117"/>
        <v>0622034822</v>
      </c>
      <c r="B14112" t="str">
        <f t="shared" si="5118"/>
        <v>JOSH</v>
      </c>
      <c r="C14112" t="str">
        <f t="shared" si="5119"/>
        <v>RAMIREZ</v>
      </c>
      <c r="D14112">
        <f>10</f>
        <v>10</v>
      </c>
      <c r="E14112" t="str">
        <f>"01 - A - 101 - Vanessa J Pena"</f>
        <v>01 - A - 101 - Vanessa J Pena</v>
      </c>
      <c r="F14112" t="str">
        <f>"DEV LANG ARTS ESOL-R"</f>
        <v>DEV LANG ARTS ESOL-R</v>
      </c>
      <c r="G14112" t="str">
        <f>"09-926"</f>
        <v>09-926</v>
      </c>
      <c r="H14112" t="str">
        <f>"A"</f>
        <v>A</v>
      </c>
    </row>
    <row r="14113" spans="1:8" x14ac:dyDescent="0.2">
      <c r="A14113" t="str">
        <f t="shared" si="5117"/>
        <v>0622034822</v>
      </c>
      <c r="B14113" t="str">
        <f t="shared" si="5118"/>
        <v>JOSH</v>
      </c>
      <c r="C14113" t="str">
        <f t="shared" si="5119"/>
        <v>RAMIREZ</v>
      </c>
      <c r="D14113">
        <f>10</f>
        <v>10</v>
      </c>
      <c r="E14113" t="str">
        <f>"08 - B - 001 - Lytrell T Dixon"</f>
        <v>08 - B - 001 - Lytrell T Dixon</v>
      </c>
      <c r="F14113" t="str">
        <f>"BIOLOGY 1"</f>
        <v>BIOLOGY 1</v>
      </c>
      <c r="G14113" t="str">
        <f>"08-808"</f>
        <v>08-808</v>
      </c>
      <c r="H14113" t="str">
        <f>"B"</f>
        <v>B</v>
      </c>
    </row>
    <row r="14114" spans="1:8" x14ac:dyDescent="0.2">
      <c r="A14114" t="str">
        <f t="shared" ref="A14114:A14121" si="5120">"0611121865"</f>
        <v>0611121865</v>
      </c>
      <c r="B14114" t="str">
        <f t="shared" ref="B14114:B14121" si="5121">"NICOLAS"</f>
        <v>NICOLAS</v>
      </c>
      <c r="C14114" t="str">
        <f t="shared" si="5119"/>
        <v>RAMIREZ</v>
      </c>
      <c r="D14114">
        <f>12</f>
        <v>12</v>
      </c>
      <c r="E14114" t="str">
        <f>"04 - A - 106 - Tina M Jaramillo"</f>
        <v>04 - A - 106 - Tina M Jaramillo</v>
      </c>
      <c r="F14114" t="str">
        <f>"AP ENG LIT COMPO"</f>
        <v>AP ENG LIT COMPO</v>
      </c>
      <c r="G14114" t="str">
        <f>"17-1706"</f>
        <v>17-1706</v>
      </c>
      <c r="H14114" t="str">
        <f>"A"</f>
        <v>A</v>
      </c>
    </row>
    <row r="14115" spans="1:8" x14ac:dyDescent="0.2">
      <c r="A14115" t="str">
        <f t="shared" si="5120"/>
        <v>0611121865</v>
      </c>
      <c r="B14115" t="str">
        <f t="shared" si="5121"/>
        <v>NICOLAS</v>
      </c>
      <c r="C14115" t="str">
        <f t="shared" si="5119"/>
        <v>RAMIREZ</v>
      </c>
      <c r="D14115">
        <f>12</f>
        <v>12</v>
      </c>
      <c r="E14115" t="str">
        <f>"06 - B - 113 - Marielle A Witting"</f>
        <v>06 - B - 113 - Marielle A Witting</v>
      </c>
      <c r="F14115" t="str">
        <f>"NC STUDY HALL 1"</f>
        <v>NC STUDY HALL 1</v>
      </c>
      <c r="G14115" t="str">
        <f>"08-805"</f>
        <v>08-805</v>
      </c>
      <c r="H14115" t="str">
        <f>"B"</f>
        <v>B</v>
      </c>
    </row>
    <row r="14116" spans="1:8" x14ac:dyDescent="0.2">
      <c r="A14116" t="str">
        <f t="shared" si="5120"/>
        <v>0611121865</v>
      </c>
      <c r="B14116" t="str">
        <f t="shared" si="5121"/>
        <v>NICOLAS</v>
      </c>
      <c r="C14116" t="str">
        <f t="shared" si="5119"/>
        <v>RAMIREZ</v>
      </c>
      <c r="D14116">
        <f>12</f>
        <v>12</v>
      </c>
      <c r="E14116" t="str">
        <f>"03 - A - 204 - Norayda D Suarez"</f>
        <v>03 - A - 204 - Norayda D Suarez</v>
      </c>
      <c r="F14116" t="str">
        <f>"ANAT PHYSIO HON"</f>
        <v>ANAT PHYSIO HON</v>
      </c>
      <c r="G14116" t="str">
        <f>"21-2144"</f>
        <v>21-2144</v>
      </c>
      <c r="H14116" t="str">
        <f>"A"</f>
        <v>A</v>
      </c>
    </row>
    <row r="14117" spans="1:8" x14ac:dyDescent="0.2">
      <c r="A14117" t="str">
        <f t="shared" si="5120"/>
        <v>0611121865</v>
      </c>
      <c r="B14117" t="str">
        <f t="shared" si="5121"/>
        <v>NICOLAS</v>
      </c>
      <c r="C14117" t="str">
        <f t="shared" si="5119"/>
        <v>RAMIREZ</v>
      </c>
      <c r="D14117">
        <f>12</f>
        <v>12</v>
      </c>
      <c r="E14117" t="str">
        <f>"02 - A - 102 - Marielle A Witting"</f>
        <v>02 - A - 102 - Marielle A Witting</v>
      </c>
      <c r="F14117" t="str">
        <f>"AP BIO"</f>
        <v>AP BIO</v>
      </c>
      <c r="G14117" t="str">
        <f>"08-805"</f>
        <v>08-805</v>
      </c>
      <c r="H14117" t="str">
        <f>"A"</f>
        <v>A</v>
      </c>
    </row>
    <row r="14118" spans="1:8" x14ac:dyDescent="0.2">
      <c r="A14118" t="str">
        <f t="shared" si="5120"/>
        <v>0611121865</v>
      </c>
      <c r="B14118" t="str">
        <f t="shared" si="5121"/>
        <v>NICOLAS</v>
      </c>
      <c r="C14118" t="str">
        <f t="shared" si="5119"/>
        <v>RAMIREZ</v>
      </c>
      <c r="D14118">
        <f>12</f>
        <v>12</v>
      </c>
      <c r="E14118" t="str">
        <f>"07 - S1 - B - 101 - Daniel S Katz"</f>
        <v>07 - S1 - B - 101 - Daniel S Katz</v>
      </c>
      <c r="F14118" t="str">
        <f>"CRIMINAL LAW"</f>
        <v>CRIMINAL LAW</v>
      </c>
      <c r="G14118" t="str">
        <f>"21-2156"</f>
        <v>21-2156</v>
      </c>
      <c r="H14118" t="str">
        <f>"B"</f>
        <v>B</v>
      </c>
    </row>
    <row r="14119" spans="1:8" x14ac:dyDescent="0.2">
      <c r="A14119" t="str">
        <f t="shared" si="5120"/>
        <v>0611121865</v>
      </c>
      <c r="B14119" t="str">
        <f t="shared" si="5121"/>
        <v>NICOLAS</v>
      </c>
      <c r="C14119" t="str">
        <f t="shared" si="5119"/>
        <v>RAMIREZ</v>
      </c>
      <c r="D14119">
        <f>12</f>
        <v>12</v>
      </c>
      <c r="E14119" t="str">
        <f>"05 - S1 - B - 103 - Stephen T Ripp"</f>
        <v>05 - S1 - B - 103 - Stephen T Ripp</v>
      </c>
      <c r="F14119" t="str">
        <f>"AP US GOVT/POL"</f>
        <v>AP US GOVT/POL</v>
      </c>
      <c r="G14119" t="str">
        <f>"17-1744"</f>
        <v>17-1744</v>
      </c>
      <c r="H14119" t="str">
        <f>"B"</f>
        <v>B</v>
      </c>
    </row>
    <row r="14120" spans="1:8" x14ac:dyDescent="0.2">
      <c r="A14120" t="str">
        <f t="shared" si="5120"/>
        <v>0611121865</v>
      </c>
      <c r="B14120" t="str">
        <f t="shared" si="5121"/>
        <v>NICOLAS</v>
      </c>
      <c r="C14120" t="str">
        <f t="shared" si="5119"/>
        <v>RAMIREZ</v>
      </c>
      <c r="D14120">
        <f>12</f>
        <v>12</v>
      </c>
      <c r="E14120" t="str">
        <f>"01 - S1 - A - 101 - Bruce A Evans"</f>
        <v>01 - S1 - A - 101 - Bruce A Evans</v>
      </c>
      <c r="F14120" t="str">
        <f>"ELECTROCARD TECH 3HN"</f>
        <v>ELECTROCARD TECH 3HN</v>
      </c>
      <c r="G14120" t="str">
        <f>"21-2142"</f>
        <v>21-2142</v>
      </c>
      <c r="H14120" t="str">
        <f>"A"</f>
        <v>A</v>
      </c>
    </row>
    <row r="14121" spans="1:8" x14ac:dyDescent="0.2">
      <c r="A14121" t="str">
        <f t="shared" si="5120"/>
        <v>0611121865</v>
      </c>
      <c r="B14121" t="str">
        <f t="shared" si="5121"/>
        <v>NICOLAS</v>
      </c>
      <c r="C14121" t="str">
        <f t="shared" si="5119"/>
        <v>RAMIREZ</v>
      </c>
      <c r="D14121">
        <f>12</f>
        <v>12</v>
      </c>
      <c r="E14121" t="str">
        <f>"08 - B - 102 - Pamela M Corzo"</f>
        <v>08 - B - 102 - Pamela M Corzo</v>
      </c>
      <c r="F14121" t="str">
        <f>"AP STAT"</f>
        <v>AP STAT</v>
      </c>
      <c r="G14121" t="str">
        <f>"21-2133"</f>
        <v>21-2133</v>
      </c>
      <c r="H14121" t="str">
        <f>"B"</f>
        <v>B</v>
      </c>
    </row>
    <row r="14122" spans="1:8" x14ac:dyDescent="0.2">
      <c r="A14122" t="str">
        <f t="shared" ref="A14122:A14130" si="5122">"0613120066"</f>
        <v>0613120066</v>
      </c>
      <c r="B14122" t="str">
        <f t="shared" ref="B14122:B14130" si="5123">"SOPHIE"</f>
        <v>SOPHIE</v>
      </c>
      <c r="C14122" t="str">
        <f t="shared" si="5119"/>
        <v>RAMIREZ</v>
      </c>
      <c r="D14122">
        <f>11</f>
        <v>11</v>
      </c>
      <c r="E14122" t="str">
        <f>"04 - A - 203 - Daniel S Tyson"</f>
        <v>04 - A - 203 - Daniel S Tyson</v>
      </c>
      <c r="F14122" t="str">
        <f>"JROTC NAVAL SCI 2"</f>
        <v>JROTC NAVAL SCI 2</v>
      </c>
      <c r="G14122" t="str">
        <f>"05-510"</f>
        <v>05-510</v>
      </c>
      <c r="H14122" t="str">
        <f>"A"</f>
        <v>A</v>
      </c>
    </row>
    <row r="14123" spans="1:8" x14ac:dyDescent="0.2">
      <c r="A14123" t="str">
        <f t="shared" si="5122"/>
        <v>0613120066</v>
      </c>
      <c r="B14123" t="str">
        <f t="shared" si="5123"/>
        <v>SOPHIE</v>
      </c>
      <c r="C14123" t="str">
        <f t="shared" si="5119"/>
        <v>RAMIREZ</v>
      </c>
      <c r="D14123">
        <f>11</f>
        <v>11</v>
      </c>
      <c r="E14123" t="str">
        <f>"06 - B - 101 - Staci M Newton"</f>
        <v>06 - B - 101 - Staci M Newton</v>
      </c>
      <c r="F14123" t="str">
        <f>"NC STUDY HALL 1"</f>
        <v>NC STUDY HALL 1</v>
      </c>
      <c r="G14123" t="str">
        <f t="shared" ref="G14123:G14128" si="5124">"21-2103"</f>
        <v>21-2103</v>
      </c>
      <c r="H14123" t="str">
        <f>"B"</f>
        <v>B</v>
      </c>
    </row>
    <row r="14124" spans="1:8" x14ac:dyDescent="0.2">
      <c r="A14124" t="str">
        <f t="shared" si="5122"/>
        <v>0613120066</v>
      </c>
      <c r="B14124" t="str">
        <f t="shared" si="5123"/>
        <v>SOPHIE</v>
      </c>
      <c r="C14124" t="str">
        <f t="shared" si="5119"/>
        <v>RAMIREZ</v>
      </c>
      <c r="D14124">
        <f>11</f>
        <v>11</v>
      </c>
      <c r="E14124" t="str">
        <f>"03 - A - 101 - Staci M Newton"</f>
        <v>03 - A - 101 - Staci M Newton</v>
      </c>
      <c r="F14124" t="str">
        <f>"ACCESS BIOLOGY 1"</f>
        <v>ACCESS BIOLOGY 1</v>
      </c>
      <c r="G14124" t="str">
        <f t="shared" si="5124"/>
        <v>21-2103</v>
      </c>
      <c r="H14124" t="str">
        <f>"A"</f>
        <v>A</v>
      </c>
    </row>
    <row r="14125" spans="1:8" x14ac:dyDescent="0.2">
      <c r="A14125" t="str">
        <f t="shared" si="5122"/>
        <v>0613120066</v>
      </c>
      <c r="B14125" t="str">
        <f t="shared" si="5123"/>
        <v>SOPHIE</v>
      </c>
      <c r="C14125" t="str">
        <f t="shared" si="5119"/>
        <v>RAMIREZ</v>
      </c>
      <c r="D14125">
        <f>11</f>
        <v>11</v>
      </c>
      <c r="E14125" t="str">
        <f>"02 - A - 101 - Staci M Newton"</f>
        <v>02 - A - 101 - Staci M Newton</v>
      </c>
      <c r="F14125" t="str">
        <f>"ACCESS GEOMETRY"</f>
        <v>ACCESS GEOMETRY</v>
      </c>
      <c r="G14125" t="str">
        <f t="shared" si="5124"/>
        <v>21-2103</v>
      </c>
      <c r="H14125" t="str">
        <f>"A"</f>
        <v>A</v>
      </c>
    </row>
    <row r="14126" spans="1:8" x14ac:dyDescent="0.2">
      <c r="A14126" t="str">
        <f t="shared" si="5122"/>
        <v>0613120066</v>
      </c>
      <c r="B14126" t="str">
        <f t="shared" si="5123"/>
        <v>SOPHIE</v>
      </c>
      <c r="C14126" t="str">
        <f t="shared" si="5119"/>
        <v>RAMIREZ</v>
      </c>
      <c r="D14126">
        <f>11</f>
        <v>11</v>
      </c>
      <c r="E14126" t="str">
        <f>"07 - B - 101 - Staci M Newton"</f>
        <v>07 - B - 101 - Staci M Newton</v>
      </c>
      <c r="F14126" t="str">
        <f>"CAREER ED: 9-12"</f>
        <v>CAREER ED: 9-12</v>
      </c>
      <c r="G14126" t="str">
        <f t="shared" si="5124"/>
        <v>21-2103</v>
      </c>
      <c r="H14126" t="str">
        <f>"B"</f>
        <v>B</v>
      </c>
    </row>
    <row r="14127" spans="1:8" x14ac:dyDescent="0.2">
      <c r="A14127" t="str">
        <f t="shared" si="5122"/>
        <v>0613120066</v>
      </c>
      <c r="B14127" t="str">
        <f t="shared" si="5123"/>
        <v>SOPHIE</v>
      </c>
      <c r="C14127" t="str">
        <f t="shared" si="5119"/>
        <v>RAMIREZ</v>
      </c>
      <c r="D14127">
        <f>11</f>
        <v>11</v>
      </c>
      <c r="E14127" t="str">
        <f>"05 - B - 101 - Staci M Newton"</f>
        <v>05 - B - 101 - Staci M Newton</v>
      </c>
      <c r="F14127" t="str">
        <f>"ACCESS US GOVT"</f>
        <v>ACCESS US GOVT</v>
      </c>
      <c r="G14127" t="str">
        <f t="shared" si="5124"/>
        <v>21-2103</v>
      </c>
      <c r="H14127" t="str">
        <f>"B"</f>
        <v>B</v>
      </c>
    </row>
    <row r="14128" spans="1:8" x14ac:dyDescent="0.2">
      <c r="A14128" t="str">
        <f t="shared" si="5122"/>
        <v>0613120066</v>
      </c>
      <c r="B14128" t="str">
        <f t="shared" si="5123"/>
        <v>SOPHIE</v>
      </c>
      <c r="C14128" t="str">
        <f t="shared" si="5119"/>
        <v>RAMIREZ</v>
      </c>
      <c r="D14128">
        <f>11</f>
        <v>11</v>
      </c>
      <c r="E14128" t="str">
        <f>"01 - A - 101 - Staci M Newton"</f>
        <v>01 - A - 101 - Staci M Newton</v>
      </c>
      <c r="F14128" t="str">
        <f>"ACCESS ENGLISH 3"</f>
        <v>ACCESS ENGLISH 3</v>
      </c>
      <c r="G14128" t="str">
        <f t="shared" si="5124"/>
        <v>21-2103</v>
      </c>
      <c r="H14128" t="str">
        <f>"A"</f>
        <v>A</v>
      </c>
    </row>
    <row r="14129" spans="1:8" x14ac:dyDescent="0.2">
      <c r="A14129" t="str">
        <f t="shared" si="5122"/>
        <v>0613120066</v>
      </c>
      <c r="B14129" t="str">
        <f t="shared" si="5123"/>
        <v>SOPHIE</v>
      </c>
      <c r="C14129" t="str">
        <f t="shared" si="5119"/>
        <v>RAMIREZ</v>
      </c>
      <c r="D14129">
        <f>11</f>
        <v>11</v>
      </c>
      <c r="E14129" t="str">
        <f>"01 - A - 101 - Eric  Lopapa"</f>
        <v>01 - A - 101 - Eric  Lopapa</v>
      </c>
      <c r="F14129" t="str">
        <f>"LANG THERAPY"</f>
        <v>LANG THERAPY</v>
      </c>
      <c r="G14129" t="str">
        <f>"21-2110"</f>
        <v>21-2110</v>
      </c>
      <c r="H14129" t="str">
        <f>"A"</f>
        <v>A</v>
      </c>
    </row>
    <row r="14130" spans="1:8" x14ac:dyDescent="0.2">
      <c r="A14130" t="str">
        <f t="shared" si="5122"/>
        <v>0613120066</v>
      </c>
      <c r="B14130" t="str">
        <f t="shared" si="5123"/>
        <v>SOPHIE</v>
      </c>
      <c r="C14130" t="str">
        <f t="shared" si="5119"/>
        <v>RAMIREZ</v>
      </c>
      <c r="D14130">
        <f>11</f>
        <v>11</v>
      </c>
      <c r="E14130" t="str">
        <f>"08 - B - 101 - Jazmin S Fletcher"</f>
        <v>08 - B - 101 - Jazmin S Fletcher</v>
      </c>
      <c r="F14130" t="str">
        <f>"PRE-AICE DRAMA 1G"</f>
        <v>PRE-AICE DRAMA 1G</v>
      </c>
      <c r="G14130" t="str">
        <f>"09-909"</f>
        <v>09-909</v>
      </c>
      <c r="H14130" t="str">
        <f>"B"</f>
        <v>B</v>
      </c>
    </row>
    <row r="14131" spans="1:8" x14ac:dyDescent="0.2">
      <c r="A14131" t="str">
        <f t="shared" ref="A14131:A14138" si="5125">"0611105565"</f>
        <v>0611105565</v>
      </c>
      <c r="B14131" t="str">
        <f t="shared" ref="B14131:B14138" si="5126">"LIZBETH"</f>
        <v>LIZBETH</v>
      </c>
      <c r="C14131" t="str">
        <f t="shared" ref="C14131:C14138" si="5127">"RAMIREZ MEDINA"</f>
        <v>RAMIREZ MEDINA</v>
      </c>
      <c r="D14131">
        <f>10</f>
        <v>10</v>
      </c>
      <c r="E14131" t="str">
        <f>"04 - A - 201 - Norayda D Suarez"</f>
        <v>04 - A - 201 - Norayda D Suarez</v>
      </c>
      <c r="F14131" t="str">
        <f>"ANAT PHYSIO HON"</f>
        <v>ANAT PHYSIO HON</v>
      </c>
      <c r="G14131" t="str">
        <f>"21-2142"</f>
        <v>21-2142</v>
      </c>
      <c r="H14131" t="str">
        <f>"A"</f>
        <v>A</v>
      </c>
    </row>
    <row r="14132" spans="1:8" x14ac:dyDescent="0.2">
      <c r="A14132" t="str">
        <f t="shared" si="5125"/>
        <v>0611105565</v>
      </c>
      <c r="B14132" t="str">
        <f t="shared" si="5126"/>
        <v>LIZBETH</v>
      </c>
      <c r="C14132" t="str">
        <f t="shared" si="5127"/>
        <v>RAMIREZ MEDINA</v>
      </c>
      <c r="D14132">
        <f>10</f>
        <v>10</v>
      </c>
      <c r="E14132" t="str">
        <f>"06 - B - 103 - Thomas G Handwerg"</f>
        <v>06 - B - 103 - Thomas G Handwerg</v>
      </c>
      <c r="F14132" t="str">
        <f>"NC STUDY HALL 1"</f>
        <v>NC STUDY HALL 1</v>
      </c>
      <c r="G14132" t="str">
        <f>"21-2146"</f>
        <v>21-2146</v>
      </c>
      <c r="H14132" t="str">
        <f>"B"</f>
        <v>B</v>
      </c>
    </row>
    <row r="14133" spans="1:8" x14ac:dyDescent="0.2">
      <c r="A14133" t="str">
        <f t="shared" si="5125"/>
        <v>0611105565</v>
      </c>
      <c r="B14133" t="str">
        <f t="shared" si="5126"/>
        <v>LIZBETH</v>
      </c>
      <c r="C14133" t="str">
        <f t="shared" si="5127"/>
        <v>RAMIREZ MEDINA</v>
      </c>
      <c r="D14133">
        <f>10</f>
        <v>10</v>
      </c>
      <c r="E14133" t="str">
        <f>"03 - A - 201 - Joe  Kilpatrick Jr"</f>
        <v>03 - A - 201 - Joe  Kilpatrick Jr</v>
      </c>
      <c r="F14133" t="str">
        <f>"PRE-AICE SPAN 2 IG"</f>
        <v>PRE-AICE SPAN 2 IG</v>
      </c>
      <c r="G14133" t="str">
        <f>"09-912"</f>
        <v>09-912</v>
      </c>
      <c r="H14133" t="str">
        <f>"A"</f>
        <v>A</v>
      </c>
    </row>
    <row r="14134" spans="1:8" x14ac:dyDescent="0.2">
      <c r="A14134" t="str">
        <f t="shared" si="5125"/>
        <v>0611105565</v>
      </c>
      <c r="B14134" t="str">
        <f t="shared" si="5126"/>
        <v>LIZBETH</v>
      </c>
      <c r="C14134" t="str">
        <f t="shared" si="5127"/>
        <v>RAMIREZ MEDINA</v>
      </c>
      <c r="D14134">
        <f>10</f>
        <v>10</v>
      </c>
      <c r="E14134" t="str">
        <f>"02 - A - 105 - Semra  Bahadir"</f>
        <v>02 - A - 105 - Semra  Bahadir</v>
      </c>
      <c r="F14134" t="str">
        <f>"ALGEBRA 2"</f>
        <v>ALGEBRA 2</v>
      </c>
      <c r="G14134" t="str">
        <f>"21-2107"</f>
        <v>21-2107</v>
      </c>
      <c r="H14134" t="str">
        <f>"A"</f>
        <v>A</v>
      </c>
    </row>
    <row r="14135" spans="1:8" x14ac:dyDescent="0.2">
      <c r="A14135" t="str">
        <f t="shared" si="5125"/>
        <v>0611105565</v>
      </c>
      <c r="B14135" t="str">
        <f t="shared" si="5126"/>
        <v>LIZBETH</v>
      </c>
      <c r="C14135" t="str">
        <f t="shared" si="5127"/>
        <v>RAMIREZ MEDINA</v>
      </c>
      <c r="D14135">
        <f>10</f>
        <v>10</v>
      </c>
      <c r="E14135" t="str">
        <f>"07 - B - 102 - Nikiel  Nesbeth"</f>
        <v>07 - B - 102 - Nikiel  Nesbeth</v>
      </c>
      <c r="F14135" t="str">
        <f>"PRE-AICE ENG LIT IG"</f>
        <v>PRE-AICE ENG LIT IG</v>
      </c>
      <c r="G14135" t="str">
        <f>"17-1705"</f>
        <v>17-1705</v>
      </c>
      <c r="H14135" t="str">
        <f>"B"</f>
        <v>B</v>
      </c>
    </row>
    <row r="14136" spans="1:8" x14ac:dyDescent="0.2">
      <c r="A14136" t="str">
        <f t="shared" si="5125"/>
        <v>0611105565</v>
      </c>
      <c r="B14136" t="str">
        <f t="shared" si="5126"/>
        <v>LIZBETH</v>
      </c>
      <c r="C14136" t="str">
        <f t="shared" si="5127"/>
        <v>RAMIREZ MEDINA</v>
      </c>
      <c r="D14136">
        <f>10</f>
        <v>10</v>
      </c>
      <c r="E14136" t="str">
        <f>"05 - S1 - B - 102 - Lissa C Frederique"</f>
        <v>05 - S1 - B - 102 - Lissa C Frederique</v>
      </c>
      <c r="F14136" t="str">
        <f>"PERS FIN &amp; MON MGT H"</f>
        <v>PERS FIN &amp; MON MGT H</v>
      </c>
      <c r="G14136" t="str">
        <f>"17-1754"</f>
        <v>17-1754</v>
      </c>
      <c r="H14136" t="str">
        <f>"B"</f>
        <v>B</v>
      </c>
    </row>
    <row r="14137" spans="1:8" x14ac:dyDescent="0.2">
      <c r="A14137" t="str">
        <f t="shared" si="5125"/>
        <v>0611105565</v>
      </c>
      <c r="B14137" t="str">
        <f t="shared" si="5126"/>
        <v>LIZBETH</v>
      </c>
      <c r="C14137" t="str">
        <f t="shared" si="5127"/>
        <v>RAMIREZ MEDINA</v>
      </c>
      <c r="D14137">
        <f>10</f>
        <v>10</v>
      </c>
      <c r="E14137" t="str">
        <f>"01 - A - 101 - Marius D Orsolini"</f>
        <v>01 - A - 101 - Marius D Orsolini</v>
      </c>
      <c r="F14137" t="str">
        <f>"CULINARY ARTS 1"</f>
        <v>CULINARY ARTS 1</v>
      </c>
      <c r="G14137" t="str">
        <f>"21-2115"</f>
        <v>21-2115</v>
      </c>
      <c r="H14137" t="str">
        <f>"A"</f>
        <v>A</v>
      </c>
    </row>
    <row r="14138" spans="1:8" x14ac:dyDescent="0.2">
      <c r="A14138" t="str">
        <f t="shared" si="5125"/>
        <v>0611105565</v>
      </c>
      <c r="B14138" t="str">
        <f t="shared" si="5126"/>
        <v>LIZBETH</v>
      </c>
      <c r="C14138" t="str">
        <f t="shared" si="5127"/>
        <v>RAMIREZ MEDINA</v>
      </c>
      <c r="D14138">
        <f>10</f>
        <v>10</v>
      </c>
      <c r="E14138" t="str">
        <f>"08 - S1 - B - 104 - Angela S Adeshina-Morrison"</f>
        <v>08 - S1 - B - 104 - Angela S Adeshina-Morrison</v>
      </c>
      <c r="F14138" t="str">
        <f>"PEER COUN 1"</f>
        <v>PEER COUN 1</v>
      </c>
      <c r="G14138" t="str">
        <f>"05-518"</f>
        <v>05-518</v>
      </c>
      <c r="H14138" t="str">
        <f>"B"</f>
        <v>B</v>
      </c>
    </row>
    <row r="14139" spans="1:8" x14ac:dyDescent="0.2">
      <c r="A14139" t="str">
        <f t="shared" ref="A14139:A14146" si="5128">"0613000618"</f>
        <v>0613000618</v>
      </c>
      <c r="B14139" t="str">
        <f t="shared" ref="B14139:B14146" si="5129">"AMANDA"</f>
        <v>AMANDA</v>
      </c>
      <c r="C14139" t="str">
        <f t="shared" ref="C14139:C14146" si="5130">"RAMNARINE"</f>
        <v>RAMNARINE</v>
      </c>
      <c r="D14139">
        <f>11</f>
        <v>11</v>
      </c>
      <c r="E14139" t="str">
        <f>"04 - A - 102 - Lisa J London"</f>
        <v>04 - A - 102 - Lisa J London</v>
      </c>
      <c r="F14139" t="str">
        <f>"AP CAPSTONE SEMINAR"</f>
        <v>AP CAPSTONE SEMINAR</v>
      </c>
      <c r="G14139" t="str">
        <f>"17-1714"</f>
        <v>17-1714</v>
      </c>
      <c r="H14139" t="str">
        <f>"A"</f>
        <v>A</v>
      </c>
    </row>
    <row r="14140" spans="1:8" x14ac:dyDescent="0.2">
      <c r="A14140" t="str">
        <f t="shared" si="5128"/>
        <v>0613000618</v>
      </c>
      <c r="B14140" t="str">
        <f t="shared" si="5129"/>
        <v>AMANDA</v>
      </c>
      <c r="C14140" t="str">
        <f t="shared" si="5130"/>
        <v>RAMNARINE</v>
      </c>
      <c r="D14140">
        <f>11</f>
        <v>11</v>
      </c>
      <c r="E14140" t="str">
        <f>"06 - B - 002 - Kyle  Robbins"</f>
        <v>06 - B - 002 - Kyle  Robbins</v>
      </c>
      <c r="F14140" t="str">
        <f>"US HISTORY HON"</f>
        <v>US HISTORY HON</v>
      </c>
      <c r="G14140" t="str">
        <f>"17-1745"</f>
        <v>17-1745</v>
      </c>
      <c r="H14140" t="str">
        <f>"B"</f>
        <v>B</v>
      </c>
    </row>
    <row r="14141" spans="1:8" x14ac:dyDescent="0.2">
      <c r="A14141" t="str">
        <f t="shared" si="5128"/>
        <v>0613000618</v>
      </c>
      <c r="B14141" t="str">
        <f t="shared" si="5129"/>
        <v>AMANDA</v>
      </c>
      <c r="C14141" t="str">
        <f t="shared" si="5130"/>
        <v>RAMNARINE</v>
      </c>
      <c r="D14141">
        <f>11</f>
        <v>11</v>
      </c>
      <c r="E14141" t="str">
        <f>"03 - A - 102 - Tina M Jaramillo"</f>
        <v>03 - A - 102 - Tina M Jaramillo</v>
      </c>
      <c r="F14141" t="str">
        <f>"AP ENG COMPO"</f>
        <v>AP ENG COMPO</v>
      </c>
      <c r="G14141" t="str">
        <f>"17-1706"</f>
        <v>17-1706</v>
      </c>
      <c r="H14141" t="str">
        <f>"A"</f>
        <v>A</v>
      </c>
    </row>
    <row r="14142" spans="1:8" x14ac:dyDescent="0.2">
      <c r="A14142" t="str">
        <f t="shared" si="5128"/>
        <v>0613000618</v>
      </c>
      <c r="B14142" t="str">
        <f t="shared" si="5129"/>
        <v>AMANDA</v>
      </c>
      <c r="C14142" t="str">
        <f t="shared" si="5130"/>
        <v>RAMNARINE</v>
      </c>
      <c r="D14142">
        <f>11</f>
        <v>11</v>
      </c>
      <c r="E14142" t="str">
        <f>"02 - A - 101 - Milca  Exantus"</f>
        <v>02 - A - 101 - Milca  Exantus</v>
      </c>
      <c r="F14142" t="str">
        <f>"NC STUDY HALL 1"</f>
        <v>NC STUDY HALL 1</v>
      </c>
      <c r="G14142" t="str">
        <f>"21-2145"</f>
        <v>21-2145</v>
      </c>
      <c r="H14142" t="str">
        <f>"A"</f>
        <v>A</v>
      </c>
    </row>
    <row r="14143" spans="1:8" x14ac:dyDescent="0.2">
      <c r="A14143" t="str">
        <f t="shared" si="5128"/>
        <v>0613000618</v>
      </c>
      <c r="B14143" t="str">
        <f t="shared" si="5129"/>
        <v>AMANDA</v>
      </c>
      <c r="C14143" t="str">
        <f t="shared" si="5130"/>
        <v>RAMNARINE</v>
      </c>
      <c r="D14143">
        <f>11</f>
        <v>11</v>
      </c>
      <c r="E14143" t="str">
        <f>"07 - B - 102 - Pamela M Corzo"</f>
        <v>07 - B - 102 - Pamela M Corzo</v>
      </c>
      <c r="F14143" t="str">
        <f>"AP CALCULUS AB"</f>
        <v>AP CALCULUS AB</v>
      </c>
      <c r="G14143" t="str">
        <f>"21-2133"</f>
        <v>21-2133</v>
      </c>
      <c r="H14143" t="str">
        <f>"B"</f>
        <v>B</v>
      </c>
    </row>
    <row r="14144" spans="1:8" x14ac:dyDescent="0.2">
      <c r="A14144" t="str">
        <f t="shared" si="5128"/>
        <v>0613000618</v>
      </c>
      <c r="B14144" t="str">
        <f t="shared" si="5129"/>
        <v>AMANDA</v>
      </c>
      <c r="C14144" t="str">
        <f t="shared" si="5130"/>
        <v>RAMNARINE</v>
      </c>
      <c r="D14144">
        <f>11</f>
        <v>11</v>
      </c>
      <c r="E14144" t="str">
        <f>"05 - B - 101 - Jordana K Hass"</f>
        <v>05 - B - 101 - Jordana K Hass</v>
      </c>
      <c r="F14144" t="str">
        <f>"AP COMP SCI PRIN"</f>
        <v>AP COMP SCI PRIN</v>
      </c>
      <c r="G14144" t="str">
        <f>"08-807"</f>
        <v>08-807</v>
      </c>
      <c r="H14144" t="str">
        <f>"B"</f>
        <v>B</v>
      </c>
    </row>
    <row r="14145" spans="1:8" x14ac:dyDescent="0.2">
      <c r="A14145" t="str">
        <f t="shared" si="5128"/>
        <v>0613000618</v>
      </c>
      <c r="B14145" t="str">
        <f t="shared" si="5129"/>
        <v>AMANDA</v>
      </c>
      <c r="C14145" t="str">
        <f t="shared" si="5130"/>
        <v>RAMNARINE</v>
      </c>
      <c r="D14145">
        <f>11</f>
        <v>11</v>
      </c>
      <c r="E14145" t="str">
        <f>"01 - A - 101 - Marielle A Witting"</f>
        <v>01 - A - 101 - Marielle A Witting</v>
      </c>
      <c r="F14145" t="str">
        <f>"AP BIO"</f>
        <v>AP BIO</v>
      </c>
      <c r="G14145" t="str">
        <f>"08-805"</f>
        <v>08-805</v>
      </c>
      <c r="H14145" t="str">
        <f>"A"</f>
        <v>A</v>
      </c>
    </row>
    <row r="14146" spans="1:8" x14ac:dyDescent="0.2">
      <c r="A14146" t="str">
        <f t="shared" si="5128"/>
        <v>0613000618</v>
      </c>
      <c r="B14146" t="str">
        <f t="shared" si="5129"/>
        <v>AMANDA</v>
      </c>
      <c r="C14146" t="str">
        <f t="shared" si="5130"/>
        <v>RAMNARINE</v>
      </c>
      <c r="D14146">
        <f>11</f>
        <v>11</v>
      </c>
      <c r="E14146" t="str">
        <f>"08 - B - 102 - Jacqueline R Morphet"</f>
        <v>08 - B - 102 - Jacqueline R Morphet</v>
      </c>
      <c r="F14146" t="str">
        <f>"AP PHYSICS 1"</f>
        <v>AP PHYSICS 1</v>
      </c>
      <c r="G14146" t="str">
        <f>"21-2138"</f>
        <v>21-2138</v>
      </c>
      <c r="H14146" t="str">
        <f>"B"</f>
        <v>B</v>
      </c>
    </row>
    <row r="14147" spans="1:8" x14ac:dyDescent="0.2">
      <c r="A14147" t="str">
        <f t="shared" ref="A14147:A14154" si="5131">"0615022266"</f>
        <v>0615022266</v>
      </c>
      <c r="B14147" t="str">
        <f t="shared" ref="B14147:B14154" si="5132">"NICHOLAS"</f>
        <v>NICHOLAS</v>
      </c>
      <c r="C14147" t="str">
        <f t="shared" ref="C14147:C14154" si="5133">"RAMON-FORTUNE"</f>
        <v>RAMON-FORTUNE</v>
      </c>
      <c r="D14147">
        <f>11</f>
        <v>11</v>
      </c>
      <c r="E14147" t="str">
        <f>"04 - A - 101 - Jerry S Jiampetti"</f>
        <v>04 - A - 101 - Jerry S Jiampetti</v>
      </c>
      <c r="F14147" t="str">
        <f>"AICE U.S. HIST 1 AS"</f>
        <v>AICE U.S. HIST 1 AS</v>
      </c>
      <c r="G14147" t="str">
        <f>"17-1751"</f>
        <v>17-1751</v>
      </c>
      <c r="H14147" t="str">
        <f>"A"</f>
        <v>A</v>
      </c>
    </row>
    <row r="14148" spans="1:8" x14ac:dyDescent="0.2">
      <c r="A14148" t="str">
        <f t="shared" si="5131"/>
        <v>0615022266</v>
      </c>
      <c r="B14148" t="str">
        <f t="shared" si="5132"/>
        <v>NICHOLAS</v>
      </c>
      <c r="C14148" t="str">
        <f t="shared" si="5133"/>
        <v>RAMON-FORTUNE</v>
      </c>
      <c r="D14148">
        <f>11</f>
        <v>11</v>
      </c>
      <c r="E14148" t="str">
        <f>"06 - B - 204 - Chrystina M Marchionne"</f>
        <v>06 - B - 204 - Chrystina M Marchionne</v>
      </c>
      <c r="F14148" t="str">
        <f>"AICE MEDIASTUDIES AS"</f>
        <v>AICE MEDIASTUDIES AS</v>
      </c>
      <c r="G14148" t="str">
        <f>"05-520"</f>
        <v>05-520</v>
      </c>
      <c r="H14148" t="str">
        <f>"B"</f>
        <v>B</v>
      </c>
    </row>
    <row r="14149" spans="1:8" x14ac:dyDescent="0.2">
      <c r="A14149" t="str">
        <f t="shared" si="5131"/>
        <v>0615022266</v>
      </c>
      <c r="B14149" t="str">
        <f t="shared" si="5132"/>
        <v>NICHOLAS</v>
      </c>
      <c r="C14149" t="str">
        <f t="shared" si="5133"/>
        <v>RAMON-FORTUNE</v>
      </c>
      <c r="D14149">
        <f>11</f>
        <v>11</v>
      </c>
      <c r="E14149" t="str">
        <f>"03 - A - 106 - Krystal Marie  Beruty"</f>
        <v>03 - A - 106 - Krystal Marie  Beruty</v>
      </c>
      <c r="F14149" t="str">
        <f>"AICE PSYCH 1 AS"</f>
        <v>AICE PSYCH 1 AS</v>
      </c>
      <c r="G14149" t="str">
        <f>"17-1721"</f>
        <v>17-1721</v>
      </c>
      <c r="H14149" t="str">
        <f>"A"</f>
        <v>A</v>
      </c>
    </row>
    <row r="14150" spans="1:8" x14ac:dyDescent="0.2">
      <c r="A14150" t="str">
        <f t="shared" si="5131"/>
        <v>0615022266</v>
      </c>
      <c r="B14150" t="str">
        <f t="shared" si="5132"/>
        <v>NICHOLAS</v>
      </c>
      <c r="C14150" t="str">
        <f t="shared" si="5133"/>
        <v>RAMON-FORTUNE</v>
      </c>
      <c r="D14150">
        <f>11</f>
        <v>11</v>
      </c>
      <c r="E14150" t="str">
        <f>"02 - A - 113 - Byron G Montenegro"</f>
        <v>02 - A - 113 - Byron G Montenegro</v>
      </c>
      <c r="F14150" t="str">
        <f>"NC STUDY HALL 1"</f>
        <v>NC STUDY HALL 1</v>
      </c>
      <c r="G14150" t="str">
        <f>"21-2144"</f>
        <v>21-2144</v>
      </c>
      <c r="H14150" t="str">
        <f>"A"</f>
        <v>A</v>
      </c>
    </row>
    <row r="14151" spans="1:8" x14ac:dyDescent="0.2">
      <c r="A14151" t="str">
        <f t="shared" si="5131"/>
        <v>0615022266</v>
      </c>
      <c r="B14151" t="str">
        <f t="shared" si="5132"/>
        <v>NICHOLAS</v>
      </c>
      <c r="C14151" t="str">
        <f t="shared" si="5133"/>
        <v>RAMON-FORTUNE</v>
      </c>
      <c r="D14151">
        <f>11</f>
        <v>11</v>
      </c>
      <c r="E14151" t="str">
        <f>"07 - B - 002 - Jordana K Hass"</f>
        <v>07 - B - 002 - Jordana K Hass</v>
      </c>
      <c r="F14151" t="str">
        <f>"CHEMISTRY 1 HON"</f>
        <v>CHEMISTRY 1 HON</v>
      </c>
      <c r="G14151" t="str">
        <f>"08-807"</f>
        <v>08-807</v>
      </c>
      <c r="H14151" t="str">
        <f>"B"</f>
        <v>B</v>
      </c>
    </row>
    <row r="14152" spans="1:8" x14ac:dyDescent="0.2">
      <c r="A14152" t="str">
        <f t="shared" si="5131"/>
        <v>0615022266</v>
      </c>
      <c r="B14152" t="str">
        <f t="shared" si="5132"/>
        <v>NICHOLAS</v>
      </c>
      <c r="C14152" t="str">
        <f t="shared" si="5133"/>
        <v>RAMON-FORTUNE</v>
      </c>
      <c r="D14152">
        <f>11</f>
        <v>11</v>
      </c>
      <c r="E14152" t="str">
        <f>"05 - B - 102 - Jacklyn M James"</f>
        <v>05 - B - 102 - Jacklyn M James</v>
      </c>
      <c r="F14152" t="str">
        <f>"AICE ENG LANG AS"</f>
        <v>AICE ENG LANG AS</v>
      </c>
      <c r="G14152" t="str">
        <f>"17-1731"</f>
        <v>17-1731</v>
      </c>
      <c r="H14152" t="str">
        <f>"B"</f>
        <v>B</v>
      </c>
    </row>
    <row r="14153" spans="1:8" x14ac:dyDescent="0.2">
      <c r="A14153" t="str">
        <f t="shared" si="5131"/>
        <v>0615022266</v>
      </c>
      <c r="B14153" t="str">
        <f t="shared" si="5132"/>
        <v>NICHOLAS</v>
      </c>
      <c r="C14153" t="str">
        <f t="shared" si="5133"/>
        <v>RAMON-FORTUNE</v>
      </c>
      <c r="D14153">
        <f>11</f>
        <v>11</v>
      </c>
      <c r="E14153" t="str">
        <f>"01 - A - 101 - James H Mccann"</f>
        <v>01 - A - 101 - James H Mccann</v>
      </c>
      <c r="F14153" t="str">
        <f>"ALGEBRA 2"</f>
        <v>ALGEBRA 2</v>
      </c>
      <c r="G14153" t="str">
        <f>"17-1716"</f>
        <v>17-1716</v>
      </c>
      <c r="H14153" t="str">
        <f>"A"</f>
        <v>A</v>
      </c>
    </row>
    <row r="14154" spans="1:8" x14ac:dyDescent="0.2">
      <c r="A14154" t="str">
        <f t="shared" si="5131"/>
        <v>0615022266</v>
      </c>
      <c r="B14154" t="str">
        <f t="shared" si="5132"/>
        <v>NICHOLAS</v>
      </c>
      <c r="C14154" t="str">
        <f t="shared" si="5133"/>
        <v>RAMON-FORTUNE</v>
      </c>
      <c r="D14154">
        <f>11</f>
        <v>11</v>
      </c>
      <c r="E14154" t="str">
        <f>"08 - B - 202 - Brian M Fitzgerald"</f>
        <v>08 - B - 202 - Brian M Fitzgerald</v>
      </c>
      <c r="F14154" t="str">
        <f>"CERAM/POT 2"</f>
        <v>CERAM/POT 2</v>
      </c>
      <c r="G14154" t="str">
        <f>"09-908"</f>
        <v>09-908</v>
      </c>
      <c r="H14154" t="str">
        <f>"B"</f>
        <v>B</v>
      </c>
    </row>
    <row r="14155" spans="1:8" x14ac:dyDescent="0.2">
      <c r="A14155" t="str">
        <f t="shared" ref="A14155:A14162" si="5134">"0625019242"</f>
        <v>0625019242</v>
      </c>
      <c r="B14155" t="str">
        <f t="shared" ref="B14155:B14162" si="5135">"Nicolas"</f>
        <v>Nicolas</v>
      </c>
      <c r="C14155" t="str">
        <f t="shared" ref="C14155:C14162" si="5136">"Ramos"</f>
        <v>Ramos</v>
      </c>
      <c r="D14155" t="str">
        <f t="shared" ref="D14155:D14170" si="5137">"09"</f>
        <v>09</v>
      </c>
      <c r="E14155" t="str">
        <f>"04 - A - 106 - Lissa C Frederique"</f>
        <v>04 - A - 106 - Lissa C Frederique</v>
      </c>
      <c r="F14155" t="str">
        <f>"WORLD HISTORY"</f>
        <v>WORLD HISTORY</v>
      </c>
      <c r="G14155" t="str">
        <f>"17-1754"</f>
        <v>17-1754</v>
      </c>
      <c r="H14155" t="str">
        <f>"A"</f>
        <v>A</v>
      </c>
    </row>
    <row r="14156" spans="1:8" x14ac:dyDescent="0.2">
      <c r="A14156" t="str">
        <f t="shared" si="5134"/>
        <v>0625019242</v>
      </c>
      <c r="B14156" t="str">
        <f t="shared" si="5135"/>
        <v>Nicolas</v>
      </c>
      <c r="C14156" t="str">
        <f t="shared" si="5136"/>
        <v>Ramos</v>
      </c>
      <c r="D14156" t="str">
        <f t="shared" si="5137"/>
        <v>09</v>
      </c>
      <c r="E14156" t="str">
        <f>"06 - B - 002 - Amy Beth  Broyles"</f>
        <v>06 - B - 002 - Amy Beth  Broyles</v>
      </c>
      <c r="F14156" t="str">
        <f>"ENV SCI"</f>
        <v>ENV SCI</v>
      </c>
      <c r="G14156" t="str">
        <f>"08-802"</f>
        <v>08-802</v>
      </c>
      <c r="H14156" t="str">
        <f>"B"</f>
        <v>B</v>
      </c>
    </row>
    <row r="14157" spans="1:8" x14ac:dyDescent="0.2">
      <c r="A14157" t="str">
        <f t="shared" si="5134"/>
        <v>0625019242</v>
      </c>
      <c r="B14157" t="str">
        <f t="shared" si="5135"/>
        <v>Nicolas</v>
      </c>
      <c r="C14157" t="str">
        <f t="shared" si="5136"/>
        <v>Ramos</v>
      </c>
      <c r="D14157" t="str">
        <f t="shared" si="5137"/>
        <v>09</v>
      </c>
      <c r="E14157" t="str">
        <f>"03 - A - 103 - Adam Marcus  Drucker"</f>
        <v>03 - A - 103 - Adam Marcus  Drucker</v>
      </c>
      <c r="F14157" t="str">
        <f>"HOPE-PE V"</f>
        <v>HOPE-PE V</v>
      </c>
      <c r="G14157" t="str">
        <f>"04-254"</f>
        <v>04-254</v>
      </c>
      <c r="H14157" t="str">
        <f>"A"</f>
        <v>A</v>
      </c>
    </row>
    <row r="14158" spans="1:8" x14ac:dyDescent="0.2">
      <c r="A14158" t="str">
        <f t="shared" si="5134"/>
        <v>0625019242</v>
      </c>
      <c r="B14158" t="str">
        <f t="shared" si="5135"/>
        <v>Nicolas</v>
      </c>
      <c r="C14158" t="str">
        <f t="shared" si="5136"/>
        <v>Ramos</v>
      </c>
      <c r="D14158" t="str">
        <f t="shared" si="5137"/>
        <v>09</v>
      </c>
      <c r="E14158" t="str">
        <f>"02 - A - 102 - Fernando  Vega-Cid"</f>
        <v>02 - A - 102 - Fernando  Vega-Cid</v>
      </c>
      <c r="F14158" t="str">
        <f>"NC STUDY HALL 1"</f>
        <v>NC STUDY HALL 1</v>
      </c>
      <c r="G14158" t="str">
        <f>"21-2163"</f>
        <v>21-2163</v>
      </c>
      <c r="H14158" t="str">
        <f>"A"</f>
        <v>A</v>
      </c>
    </row>
    <row r="14159" spans="1:8" x14ac:dyDescent="0.2">
      <c r="A14159" t="str">
        <f t="shared" si="5134"/>
        <v>0625019242</v>
      </c>
      <c r="B14159" t="str">
        <f t="shared" si="5135"/>
        <v>Nicolas</v>
      </c>
      <c r="C14159" t="str">
        <f t="shared" si="5136"/>
        <v>Ramos</v>
      </c>
      <c r="D14159" t="str">
        <f t="shared" si="5137"/>
        <v>09</v>
      </c>
      <c r="E14159" t="str">
        <f>"07 - B - 107 - Helen A Flores"</f>
        <v>07 - B - 107 - Helen A Flores</v>
      </c>
      <c r="F14159" t="str">
        <f>"ALGEBRA 1"</f>
        <v>ALGEBRA 1</v>
      </c>
      <c r="G14159" t="str">
        <f>"21-2101"</f>
        <v>21-2101</v>
      </c>
      <c r="H14159" t="str">
        <f>"B"</f>
        <v>B</v>
      </c>
    </row>
    <row r="14160" spans="1:8" x14ac:dyDescent="0.2">
      <c r="A14160" t="str">
        <f t="shared" si="5134"/>
        <v>0625019242</v>
      </c>
      <c r="B14160" t="str">
        <f t="shared" si="5135"/>
        <v>Nicolas</v>
      </c>
      <c r="C14160" t="str">
        <f t="shared" si="5136"/>
        <v>Ramos</v>
      </c>
      <c r="D14160" t="str">
        <f t="shared" si="5137"/>
        <v>09</v>
      </c>
      <c r="E14160" t="str">
        <f>"05 - B - 102 - Vanessa J Pena"</f>
        <v>05 - B - 102 - Vanessa J Pena</v>
      </c>
      <c r="F14160" t="str">
        <f>"DEV LANG ARTS ESOL-R"</f>
        <v>DEV LANG ARTS ESOL-R</v>
      </c>
      <c r="G14160" t="str">
        <f>"09-926"</f>
        <v>09-926</v>
      </c>
      <c r="H14160" t="str">
        <f>"B"</f>
        <v>B</v>
      </c>
    </row>
    <row r="14161" spans="1:8" x14ac:dyDescent="0.2">
      <c r="A14161" t="str">
        <f t="shared" si="5134"/>
        <v>0625019242</v>
      </c>
      <c r="B14161" t="str">
        <f t="shared" si="5135"/>
        <v>Nicolas</v>
      </c>
      <c r="C14161" t="str">
        <f t="shared" si="5136"/>
        <v>Ramos</v>
      </c>
      <c r="D14161" t="str">
        <f t="shared" si="5137"/>
        <v>09</v>
      </c>
      <c r="E14161" t="str">
        <f>"01 - A - 102 - Helen A Flores"</f>
        <v>01 - A - 102 - Helen A Flores</v>
      </c>
      <c r="F14161" t="str">
        <f>"FDN SKLS MATH 9-12"</f>
        <v>FDN SKLS MATH 9-12</v>
      </c>
      <c r="G14161" t="str">
        <f>"21-2101"</f>
        <v>21-2101</v>
      </c>
      <c r="H14161" t="str">
        <f>"A"</f>
        <v>A</v>
      </c>
    </row>
    <row r="14162" spans="1:8" x14ac:dyDescent="0.2">
      <c r="A14162" t="str">
        <f t="shared" si="5134"/>
        <v>0625019242</v>
      </c>
      <c r="B14162" t="str">
        <f t="shared" si="5135"/>
        <v>Nicolas</v>
      </c>
      <c r="C14162" t="str">
        <f t="shared" si="5136"/>
        <v>Ramos</v>
      </c>
      <c r="D14162" t="str">
        <f t="shared" si="5137"/>
        <v>09</v>
      </c>
      <c r="E14162" t="str">
        <f>"08 - B - 108 - Cerine S Stewart"</f>
        <v>08 - B - 108 - Cerine S Stewart</v>
      </c>
      <c r="F14162" t="str">
        <f>"ENG 1"</f>
        <v>ENG 1</v>
      </c>
      <c r="G14162" t="str">
        <f>"17-1720"</f>
        <v>17-1720</v>
      </c>
      <c r="H14162" t="str">
        <f>"B"</f>
        <v>B</v>
      </c>
    </row>
    <row r="14163" spans="1:8" x14ac:dyDescent="0.2">
      <c r="A14163" t="str">
        <f t="shared" ref="A14163:A14170" si="5138">"0617019855"</f>
        <v>0617019855</v>
      </c>
      <c r="B14163" t="str">
        <f t="shared" ref="B14163:B14170" si="5139">"CHRISTINA"</f>
        <v>CHRISTINA</v>
      </c>
      <c r="C14163" t="str">
        <f t="shared" ref="C14163:C14178" si="5140">"RAMOS"</f>
        <v>RAMOS</v>
      </c>
      <c r="D14163" t="str">
        <f t="shared" si="5137"/>
        <v>09</v>
      </c>
      <c r="E14163" t="str">
        <f>"04 - A - 201 - Norayda D Suarez"</f>
        <v>04 - A - 201 - Norayda D Suarez</v>
      </c>
      <c r="F14163" t="str">
        <f>"ANAT PHYSIO HON"</f>
        <v>ANAT PHYSIO HON</v>
      </c>
      <c r="G14163" t="str">
        <f>"21-2142"</f>
        <v>21-2142</v>
      </c>
      <c r="H14163" t="str">
        <f>"A"</f>
        <v>A</v>
      </c>
    </row>
    <row r="14164" spans="1:8" x14ac:dyDescent="0.2">
      <c r="A14164" t="str">
        <f t="shared" si="5138"/>
        <v>0617019855</v>
      </c>
      <c r="B14164" t="str">
        <f t="shared" si="5139"/>
        <v>CHRISTINA</v>
      </c>
      <c r="C14164" t="str">
        <f t="shared" si="5140"/>
        <v>RAMOS</v>
      </c>
      <c r="D14164" t="str">
        <f t="shared" si="5137"/>
        <v>09</v>
      </c>
      <c r="E14164" t="str">
        <f>"06 - B - 105 - Cerine S Stewart"</f>
        <v>06 - B - 105 - Cerine S Stewart</v>
      </c>
      <c r="F14164" t="str">
        <f>"AICE ENG GEN PAPER 1"</f>
        <v>AICE ENG GEN PAPER 1</v>
      </c>
      <c r="G14164" t="str">
        <f>"17-1720"</f>
        <v>17-1720</v>
      </c>
      <c r="H14164" t="str">
        <f>"B"</f>
        <v>B</v>
      </c>
    </row>
    <row r="14165" spans="1:8" x14ac:dyDescent="0.2">
      <c r="A14165" t="str">
        <f t="shared" si="5138"/>
        <v>0617019855</v>
      </c>
      <c r="B14165" t="str">
        <f t="shared" si="5139"/>
        <v>CHRISTINA</v>
      </c>
      <c r="C14165" t="str">
        <f t="shared" si="5140"/>
        <v>RAMOS</v>
      </c>
      <c r="D14165" t="str">
        <f t="shared" si="5137"/>
        <v>09</v>
      </c>
      <c r="E14165" t="str">
        <f>"03 - A - 102 - Rory T Sponsler"</f>
        <v>03 - A - 102 - Rory T Sponsler</v>
      </c>
      <c r="F14165" t="str">
        <f>"PRE-AICE WRLD HST IG"</f>
        <v>PRE-AICE WRLD HST IG</v>
      </c>
      <c r="G14165" t="str">
        <f>"17-1740"</f>
        <v>17-1740</v>
      </c>
      <c r="H14165" t="str">
        <f>"A"</f>
        <v>A</v>
      </c>
    </row>
    <row r="14166" spans="1:8" x14ac:dyDescent="0.2">
      <c r="A14166" t="str">
        <f t="shared" si="5138"/>
        <v>0617019855</v>
      </c>
      <c r="B14166" t="str">
        <f t="shared" si="5139"/>
        <v>CHRISTINA</v>
      </c>
      <c r="C14166" t="str">
        <f t="shared" si="5140"/>
        <v>RAMOS</v>
      </c>
      <c r="D14166" t="str">
        <f t="shared" si="5137"/>
        <v>09</v>
      </c>
      <c r="E14166" t="str">
        <f>"02 - A - 104 - Lytrell T Dixon"</f>
        <v>02 - A - 104 - Lytrell T Dixon</v>
      </c>
      <c r="F14166" t="str">
        <f>"NC STUDY HALL 1"</f>
        <v>NC STUDY HALL 1</v>
      </c>
      <c r="G14166" t="str">
        <f>"08-808"</f>
        <v>08-808</v>
      </c>
      <c r="H14166" t="str">
        <f>"A"</f>
        <v>A</v>
      </c>
    </row>
    <row r="14167" spans="1:8" x14ac:dyDescent="0.2">
      <c r="A14167" t="str">
        <f t="shared" si="5138"/>
        <v>0617019855</v>
      </c>
      <c r="B14167" t="str">
        <f t="shared" si="5139"/>
        <v>CHRISTINA</v>
      </c>
      <c r="C14167" t="str">
        <f t="shared" si="5140"/>
        <v>RAMOS</v>
      </c>
      <c r="D14167" t="str">
        <f t="shared" si="5137"/>
        <v>09</v>
      </c>
      <c r="E14167" t="str">
        <f>"07 - S1 - B - 103 - Leslie J Barton"</f>
        <v>07 - S1 - B - 103 - Leslie J Barton</v>
      </c>
      <c r="F14167" t="str">
        <f>"TEAM SPORTS 1"</f>
        <v>TEAM SPORTS 1</v>
      </c>
      <c r="G14167" t="str">
        <f>"04-254"</f>
        <v>04-254</v>
      </c>
      <c r="H14167" t="str">
        <f>"B"</f>
        <v>B</v>
      </c>
    </row>
    <row r="14168" spans="1:8" x14ac:dyDescent="0.2">
      <c r="A14168" t="str">
        <f t="shared" si="5138"/>
        <v>0617019855</v>
      </c>
      <c r="B14168" t="str">
        <f t="shared" si="5139"/>
        <v>CHRISTINA</v>
      </c>
      <c r="C14168" t="str">
        <f t="shared" si="5140"/>
        <v>RAMOS</v>
      </c>
      <c r="D14168" t="str">
        <f t="shared" si="5137"/>
        <v>09</v>
      </c>
      <c r="E14168" t="str">
        <f>"05 - B - 102 - Tina L Lovett"</f>
        <v>05 - B - 102 - Tina L Lovett</v>
      </c>
      <c r="F14168" t="str">
        <f>"PRE-AICE MATH 1 IG"</f>
        <v>PRE-AICE MATH 1 IG</v>
      </c>
      <c r="G14168" t="str">
        <f>"21-2153"</f>
        <v>21-2153</v>
      </c>
      <c r="H14168" t="str">
        <f>"B"</f>
        <v>B</v>
      </c>
    </row>
    <row r="14169" spans="1:8" x14ac:dyDescent="0.2">
      <c r="A14169" t="str">
        <f t="shared" si="5138"/>
        <v>0617019855</v>
      </c>
      <c r="B14169" t="str">
        <f t="shared" si="5139"/>
        <v>CHRISTINA</v>
      </c>
      <c r="C14169" t="str">
        <f t="shared" si="5140"/>
        <v>RAMOS</v>
      </c>
      <c r="D14169" t="str">
        <f t="shared" si="5137"/>
        <v>09</v>
      </c>
      <c r="E14169" t="str">
        <f>"01 - A - 101 - Daniel S Katz"</f>
        <v>01 - A - 101 - Daniel S Katz</v>
      </c>
      <c r="F14169" t="str">
        <f>"EXEC INTERN 3 LH"</f>
        <v>EXEC INTERN 3 LH</v>
      </c>
      <c r="G14169" t="str">
        <f>"21-2156"</f>
        <v>21-2156</v>
      </c>
      <c r="H14169" t="str">
        <f>"A"</f>
        <v>A</v>
      </c>
    </row>
    <row r="14170" spans="1:8" x14ac:dyDescent="0.2">
      <c r="A14170" t="str">
        <f t="shared" si="5138"/>
        <v>0617019855</v>
      </c>
      <c r="B14170" t="str">
        <f t="shared" si="5139"/>
        <v>CHRISTINA</v>
      </c>
      <c r="C14170" t="str">
        <f t="shared" si="5140"/>
        <v>RAMOS</v>
      </c>
      <c r="D14170" t="str">
        <f t="shared" si="5137"/>
        <v>09</v>
      </c>
      <c r="E14170" t="str">
        <f>"08 - B - 201 - Vanessa J Liburd"</f>
        <v>08 - B - 201 - Vanessa J Liburd</v>
      </c>
      <c r="F14170" t="str">
        <f>"FRENCH 3 HON"</f>
        <v>FRENCH 3 HON</v>
      </c>
      <c r="G14170" t="str">
        <f>"05-519"</f>
        <v>05-519</v>
      </c>
      <c r="H14170" t="str">
        <f>"B"</f>
        <v>B</v>
      </c>
    </row>
    <row r="14171" spans="1:8" x14ac:dyDescent="0.2">
      <c r="A14171" t="str">
        <f t="shared" ref="A14171:A14178" si="5141">"0622104302"</f>
        <v>0622104302</v>
      </c>
      <c r="B14171" t="str">
        <f t="shared" ref="B14171:B14178" si="5142">"MARIANA"</f>
        <v>MARIANA</v>
      </c>
      <c r="C14171" t="str">
        <f t="shared" si="5140"/>
        <v>RAMOS</v>
      </c>
      <c r="D14171">
        <f>11</f>
        <v>11</v>
      </c>
      <c r="E14171" t="str">
        <f>"04 - A - 101 - Jerry S Jiampetti"</f>
        <v>04 - A - 101 - Jerry S Jiampetti</v>
      </c>
      <c r="F14171" t="str">
        <f>"AICE U.S. HIST 1 AS"</f>
        <v>AICE U.S. HIST 1 AS</v>
      </c>
      <c r="G14171" t="str">
        <f>"17-1751"</f>
        <v>17-1751</v>
      </c>
      <c r="H14171" t="str">
        <f>"A"</f>
        <v>A</v>
      </c>
    </row>
    <row r="14172" spans="1:8" x14ac:dyDescent="0.2">
      <c r="A14172" t="str">
        <f t="shared" si="5141"/>
        <v>0622104302</v>
      </c>
      <c r="B14172" t="str">
        <f t="shared" si="5142"/>
        <v>MARIANA</v>
      </c>
      <c r="C14172" t="str">
        <f t="shared" si="5140"/>
        <v>RAMOS</v>
      </c>
      <c r="D14172">
        <f>11</f>
        <v>11</v>
      </c>
      <c r="E14172" t="str">
        <f>"06 - B - 101 - Bruce A Evans"</f>
        <v>06 - B - 101 - Bruce A Evans</v>
      </c>
      <c r="F14172" t="str">
        <f>"EMERG MED RESP 3 HON"</f>
        <v>EMERG MED RESP 3 HON</v>
      </c>
      <c r="G14172" t="str">
        <f>"21-2142"</f>
        <v>21-2142</v>
      </c>
      <c r="H14172" t="str">
        <f>"B"</f>
        <v>B</v>
      </c>
    </row>
    <row r="14173" spans="1:8" x14ac:dyDescent="0.2">
      <c r="A14173" t="str">
        <f t="shared" si="5141"/>
        <v>0622104302</v>
      </c>
      <c r="B14173" t="str">
        <f t="shared" si="5142"/>
        <v>MARIANA</v>
      </c>
      <c r="C14173" t="str">
        <f t="shared" si="5140"/>
        <v>RAMOS</v>
      </c>
      <c r="D14173">
        <f>11</f>
        <v>11</v>
      </c>
      <c r="E14173" t="str">
        <f>"03 - A - 202 - Bruce A Evans"</f>
        <v>03 - A - 202 - Bruce A Evans</v>
      </c>
      <c r="F14173" t="str">
        <f>"HEALTH SCI FOUND HON"</f>
        <v>HEALTH SCI FOUND HON</v>
      </c>
      <c r="G14173" t="str">
        <f>"21-2142"</f>
        <v>21-2142</v>
      </c>
      <c r="H14173" t="str">
        <f>"A"</f>
        <v>A</v>
      </c>
    </row>
    <row r="14174" spans="1:8" x14ac:dyDescent="0.2">
      <c r="A14174" t="str">
        <f t="shared" si="5141"/>
        <v>0622104302</v>
      </c>
      <c r="B14174" t="str">
        <f t="shared" si="5142"/>
        <v>MARIANA</v>
      </c>
      <c r="C14174" t="str">
        <f t="shared" si="5140"/>
        <v>RAMOS</v>
      </c>
      <c r="D14174">
        <f>11</f>
        <v>11</v>
      </c>
      <c r="E14174" t="str">
        <f>"02 - A - 104 - Dayna M Foster"</f>
        <v>02 - A - 104 - Dayna M Foster</v>
      </c>
      <c r="F14174" t="str">
        <f>"NC STUDY HALL 1"</f>
        <v>NC STUDY HALL 1</v>
      </c>
      <c r="G14174" t="str">
        <f>"21-2109"</f>
        <v>21-2109</v>
      </c>
      <c r="H14174" t="str">
        <f>"A"</f>
        <v>A</v>
      </c>
    </row>
    <row r="14175" spans="1:8" x14ac:dyDescent="0.2">
      <c r="A14175" t="str">
        <f t="shared" si="5141"/>
        <v>0622104302</v>
      </c>
      <c r="B14175" t="str">
        <f t="shared" si="5142"/>
        <v>MARIANA</v>
      </c>
      <c r="C14175" t="str">
        <f t="shared" si="5140"/>
        <v>RAMOS</v>
      </c>
      <c r="D14175">
        <f>11</f>
        <v>11</v>
      </c>
      <c r="E14175" t="str">
        <f>"07 - B - 102 - Timothy J Lawrence"</f>
        <v>07 - B - 102 - Timothy J Lawrence</v>
      </c>
      <c r="F14175" t="str">
        <f>"AICE PHYS ED 1 AS"</f>
        <v>AICE PHYS ED 1 AS</v>
      </c>
      <c r="G14175" t="str">
        <f>"05-523"</f>
        <v>05-523</v>
      </c>
      <c r="H14175" t="str">
        <f>"B"</f>
        <v>B</v>
      </c>
    </row>
    <row r="14176" spans="1:8" x14ac:dyDescent="0.2">
      <c r="A14176" t="str">
        <f t="shared" si="5141"/>
        <v>0622104302</v>
      </c>
      <c r="B14176" t="str">
        <f t="shared" si="5142"/>
        <v>MARIANA</v>
      </c>
      <c r="C14176" t="str">
        <f t="shared" si="5140"/>
        <v>RAMOS</v>
      </c>
      <c r="D14176">
        <f>11</f>
        <v>11</v>
      </c>
      <c r="E14176" t="str">
        <f>"05 - B - 101 - Pamela M Corzo"</f>
        <v>05 - B - 101 - Pamela M Corzo</v>
      </c>
      <c r="F14176" t="str">
        <f>"AP CALCULUS AB"</f>
        <v>AP CALCULUS AB</v>
      </c>
      <c r="G14176" t="str">
        <f>"21-2133"</f>
        <v>21-2133</v>
      </c>
      <c r="H14176" t="str">
        <f>"B"</f>
        <v>B</v>
      </c>
    </row>
    <row r="14177" spans="1:8" x14ac:dyDescent="0.2">
      <c r="A14177" t="str">
        <f t="shared" si="5141"/>
        <v>0622104302</v>
      </c>
      <c r="B14177" t="str">
        <f t="shared" si="5142"/>
        <v>MARIANA</v>
      </c>
      <c r="C14177" t="str">
        <f t="shared" si="5140"/>
        <v>RAMOS</v>
      </c>
      <c r="D14177">
        <f>11</f>
        <v>11</v>
      </c>
      <c r="E14177" t="str">
        <f>"01 - A - 101 - Jacklyn M James"</f>
        <v>01 - A - 101 - Jacklyn M James</v>
      </c>
      <c r="F14177" t="str">
        <f>"AICE ENG LANG AS"</f>
        <v>AICE ENG LANG AS</v>
      </c>
      <c r="G14177" t="str">
        <f>"17-1731"</f>
        <v>17-1731</v>
      </c>
      <c r="H14177" t="str">
        <f>"A"</f>
        <v>A</v>
      </c>
    </row>
    <row r="14178" spans="1:8" x14ac:dyDescent="0.2">
      <c r="A14178" t="str">
        <f t="shared" si="5141"/>
        <v>0622104302</v>
      </c>
      <c r="B14178" t="str">
        <f t="shared" si="5142"/>
        <v>MARIANA</v>
      </c>
      <c r="C14178" t="str">
        <f t="shared" si="5140"/>
        <v>RAMOS</v>
      </c>
      <c r="D14178">
        <f>11</f>
        <v>11</v>
      </c>
      <c r="E14178" t="str">
        <f>"08 - B - 102 - Jacqueline R Morphet"</f>
        <v>08 - B - 102 - Jacqueline R Morphet</v>
      </c>
      <c r="F14178" t="str">
        <f>"AP PHYSICS 1"</f>
        <v>AP PHYSICS 1</v>
      </c>
      <c r="G14178" t="str">
        <f>"21-2138"</f>
        <v>21-2138</v>
      </c>
      <c r="H14178" t="str">
        <f>"B"</f>
        <v>B</v>
      </c>
    </row>
    <row r="14179" spans="1:8" x14ac:dyDescent="0.2">
      <c r="A14179" t="str">
        <f t="shared" ref="A14179:A14186" si="5143">"0615030257"</f>
        <v>0615030257</v>
      </c>
      <c r="B14179" t="str">
        <f t="shared" ref="B14179:B14186" si="5144">"CINDY"</f>
        <v>CINDY</v>
      </c>
      <c r="C14179" t="str">
        <f t="shared" ref="C14179:C14186" si="5145">"RAMOSCARRILLO"</f>
        <v>RAMOSCARRILLO</v>
      </c>
      <c r="D14179">
        <f>11</f>
        <v>11</v>
      </c>
      <c r="E14179" t="str">
        <f>"04 - A - 101 - Jerry S Jiampetti"</f>
        <v>04 - A - 101 - Jerry S Jiampetti</v>
      </c>
      <c r="F14179" t="str">
        <f>"AICE U.S. HIST 1 AS"</f>
        <v>AICE U.S. HIST 1 AS</v>
      </c>
      <c r="G14179" t="str">
        <f>"17-1751"</f>
        <v>17-1751</v>
      </c>
      <c r="H14179" t="str">
        <f>"A"</f>
        <v>A</v>
      </c>
    </row>
    <row r="14180" spans="1:8" x14ac:dyDescent="0.2">
      <c r="A14180" t="str">
        <f t="shared" si="5143"/>
        <v>0615030257</v>
      </c>
      <c r="B14180" t="str">
        <f t="shared" si="5144"/>
        <v>CINDY</v>
      </c>
      <c r="C14180" t="str">
        <f t="shared" si="5145"/>
        <v>RAMOSCARRILLO</v>
      </c>
      <c r="D14180">
        <f>11</f>
        <v>11</v>
      </c>
      <c r="E14180" t="str">
        <f>"06 - B - 204 - Chrystina M Marchionne"</f>
        <v>06 - B - 204 - Chrystina M Marchionne</v>
      </c>
      <c r="F14180" t="str">
        <f>"AICE MEDIASTUDIES AS"</f>
        <v>AICE MEDIASTUDIES AS</v>
      </c>
      <c r="G14180" t="str">
        <f>"05-520"</f>
        <v>05-520</v>
      </c>
      <c r="H14180" t="str">
        <f>"B"</f>
        <v>B</v>
      </c>
    </row>
    <row r="14181" spans="1:8" x14ac:dyDescent="0.2">
      <c r="A14181" t="str">
        <f t="shared" si="5143"/>
        <v>0615030257</v>
      </c>
      <c r="B14181" t="str">
        <f t="shared" si="5144"/>
        <v>CINDY</v>
      </c>
      <c r="C14181" t="str">
        <f t="shared" si="5145"/>
        <v>RAMOSCARRILLO</v>
      </c>
      <c r="D14181">
        <f>11</f>
        <v>11</v>
      </c>
      <c r="E14181" t="str">
        <f>"03 - A - 106 - Krystal Marie  Beruty"</f>
        <v>03 - A - 106 - Krystal Marie  Beruty</v>
      </c>
      <c r="F14181" t="str">
        <f>"AICE PSYCH 1 AS"</f>
        <v>AICE PSYCH 1 AS</v>
      </c>
      <c r="G14181" t="str">
        <f>"17-1721"</f>
        <v>17-1721</v>
      </c>
      <c r="H14181" t="str">
        <f>"A"</f>
        <v>A</v>
      </c>
    </row>
    <row r="14182" spans="1:8" x14ac:dyDescent="0.2">
      <c r="A14182" t="str">
        <f t="shared" si="5143"/>
        <v>0615030257</v>
      </c>
      <c r="B14182" t="str">
        <f t="shared" si="5144"/>
        <v>CINDY</v>
      </c>
      <c r="C14182" t="str">
        <f t="shared" si="5145"/>
        <v>RAMOSCARRILLO</v>
      </c>
      <c r="D14182">
        <f>11</f>
        <v>11</v>
      </c>
      <c r="E14182" t="str">
        <f>"02 - A - 001 - Courtney E Hambright"</f>
        <v>02 - A - 001 - Courtney E Hambright</v>
      </c>
      <c r="F14182" t="str">
        <f>"NC STUDY HALL 1"</f>
        <v>NC STUDY HALL 1</v>
      </c>
      <c r="G14182" t="str">
        <f>"17-1711"</f>
        <v>17-1711</v>
      </c>
      <c r="H14182" t="str">
        <f>"A"</f>
        <v>A</v>
      </c>
    </row>
    <row r="14183" spans="1:8" x14ac:dyDescent="0.2">
      <c r="A14183" t="str">
        <f t="shared" si="5143"/>
        <v>0615030257</v>
      </c>
      <c r="B14183" t="str">
        <f t="shared" si="5144"/>
        <v>CINDY</v>
      </c>
      <c r="C14183" t="str">
        <f t="shared" si="5145"/>
        <v>RAMOSCARRILLO</v>
      </c>
      <c r="D14183">
        <f>11</f>
        <v>11</v>
      </c>
      <c r="E14183" t="str">
        <f>"07 - B - 002 - Jordana K Hass"</f>
        <v>07 - B - 002 - Jordana K Hass</v>
      </c>
      <c r="F14183" t="str">
        <f>"CHEMISTRY 1 HON"</f>
        <v>CHEMISTRY 1 HON</v>
      </c>
      <c r="G14183" t="str">
        <f>"08-807"</f>
        <v>08-807</v>
      </c>
      <c r="H14183" t="str">
        <f>"B"</f>
        <v>B</v>
      </c>
    </row>
    <row r="14184" spans="1:8" x14ac:dyDescent="0.2">
      <c r="A14184" t="str">
        <f t="shared" si="5143"/>
        <v>0615030257</v>
      </c>
      <c r="B14184" t="str">
        <f t="shared" si="5144"/>
        <v>CINDY</v>
      </c>
      <c r="C14184" t="str">
        <f t="shared" si="5145"/>
        <v>RAMOSCARRILLO</v>
      </c>
      <c r="D14184">
        <f>11</f>
        <v>11</v>
      </c>
      <c r="E14184" t="str">
        <f>"05 - B - 102 - Jacklyn M James"</f>
        <v>05 - B - 102 - Jacklyn M James</v>
      </c>
      <c r="F14184" t="str">
        <f>"AICE ENG LANG AS"</f>
        <v>AICE ENG LANG AS</v>
      </c>
      <c r="G14184" t="str">
        <f>"17-1731"</f>
        <v>17-1731</v>
      </c>
      <c r="H14184" t="str">
        <f>"B"</f>
        <v>B</v>
      </c>
    </row>
    <row r="14185" spans="1:8" x14ac:dyDescent="0.2">
      <c r="A14185" t="str">
        <f t="shared" si="5143"/>
        <v>0615030257</v>
      </c>
      <c r="B14185" t="str">
        <f t="shared" si="5144"/>
        <v>CINDY</v>
      </c>
      <c r="C14185" t="str">
        <f t="shared" si="5145"/>
        <v>RAMOSCARRILLO</v>
      </c>
      <c r="D14185">
        <f>11</f>
        <v>11</v>
      </c>
      <c r="E14185" t="str">
        <f>"01 - A - 101 - Nahum  Saint-Preux"</f>
        <v>01 - A - 101 - Nahum  Saint-Preux</v>
      </c>
      <c r="F14185" t="str">
        <f>"INTENS READ 3"</f>
        <v>INTENS READ 3</v>
      </c>
      <c r="G14185" t="str">
        <f>"17-1712"</f>
        <v>17-1712</v>
      </c>
      <c r="H14185" t="str">
        <f>"A"</f>
        <v>A</v>
      </c>
    </row>
    <row r="14186" spans="1:8" x14ac:dyDescent="0.2">
      <c r="A14186" t="str">
        <f t="shared" si="5143"/>
        <v>0615030257</v>
      </c>
      <c r="B14186" t="str">
        <f t="shared" si="5144"/>
        <v>CINDY</v>
      </c>
      <c r="C14186" t="str">
        <f t="shared" si="5145"/>
        <v>RAMOSCARRILLO</v>
      </c>
      <c r="D14186">
        <f>11</f>
        <v>11</v>
      </c>
      <c r="E14186" t="str">
        <f>"08 - B - 105 - Semra  Bahadir"</f>
        <v>08 - B - 105 - Semra  Bahadir</v>
      </c>
      <c r="F14186" t="str">
        <f>"MATH COLL ALGEBRA"</f>
        <v>MATH COLL ALGEBRA</v>
      </c>
      <c r="G14186" t="str">
        <f>"21-2107"</f>
        <v>21-2107</v>
      </c>
      <c r="H14186" t="str">
        <f>"B"</f>
        <v>B</v>
      </c>
    </row>
    <row r="14187" spans="1:8" x14ac:dyDescent="0.2">
      <c r="A14187" t="str">
        <f t="shared" ref="A14187:A14194" si="5146">"0616035765"</f>
        <v>0616035765</v>
      </c>
      <c r="B14187" t="str">
        <f t="shared" ref="B14187:B14194" si="5147">"ALEJANDRA"</f>
        <v>ALEJANDRA</v>
      </c>
      <c r="C14187" t="str">
        <f t="shared" ref="C14187:C14194" si="5148">"RAMRAJ"</f>
        <v>RAMRAJ</v>
      </c>
      <c r="D14187">
        <f>10</f>
        <v>10</v>
      </c>
      <c r="E14187" t="str">
        <f>"04 - A - 104 - Marius D Orsolini"</f>
        <v>04 - A - 104 - Marius D Orsolini</v>
      </c>
      <c r="F14187" t="str">
        <f>"CULINARY ARTS 1"</f>
        <v>CULINARY ARTS 1</v>
      </c>
      <c r="G14187" t="str">
        <f>"21-2115"</f>
        <v>21-2115</v>
      </c>
      <c r="H14187" t="str">
        <f>"A"</f>
        <v>A</v>
      </c>
    </row>
    <row r="14188" spans="1:8" x14ac:dyDescent="0.2">
      <c r="A14188" t="str">
        <f t="shared" si="5146"/>
        <v>0616035765</v>
      </c>
      <c r="B14188" t="str">
        <f t="shared" si="5147"/>
        <v>ALEJANDRA</v>
      </c>
      <c r="C14188" t="str">
        <f t="shared" si="5148"/>
        <v>RAMRAJ</v>
      </c>
      <c r="D14188">
        <f>10</f>
        <v>10</v>
      </c>
      <c r="E14188" t="str">
        <f>"06 - B - 119 - Nikiel  Nesbeth"</f>
        <v>06 - B - 119 - Nikiel  Nesbeth</v>
      </c>
      <c r="F14188" t="str">
        <f>"NC STUDY HALL 1"</f>
        <v>NC STUDY HALL 1</v>
      </c>
      <c r="G14188" t="str">
        <f>"17-1705"</f>
        <v>17-1705</v>
      </c>
      <c r="H14188" t="str">
        <f>"B"</f>
        <v>B</v>
      </c>
    </row>
    <row r="14189" spans="1:8" x14ac:dyDescent="0.2">
      <c r="A14189" t="str">
        <f t="shared" si="5146"/>
        <v>0616035765</v>
      </c>
      <c r="B14189" t="str">
        <f t="shared" si="5147"/>
        <v>ALEJANDRA</v>
      </c>
      <c r="C14189" t="str">
        <f t="shared" si="5148"/>
        <v>RAMRAJ</v>
      </c>
      <c r="D14189">
        <f>10</f>
        <v>10</v>
      </c>
      <c r="E14189" t="str">
        <f>"03 - A - 103 - Courtney E Hambright"</f>
        <v>03 - A - 103 - Courtney E Hambright</v>
      </c>
      <c r="F14189" t="str">
        <f>"AICE ENG LANG AS"</f>
        <v>AICE ENG LANG AS</v>
      </c>
      <c r="G14189" t="str">
        <f>"17-1711"</f>
        <v>17-1711</v>
      </c>
      <c r="H14189" t="str">
        <f>"A"</f>
        <v>A</v>
      </c>
    </row>
    <row r="14190" spans="1:8" x14ac:dyDescent="0.2">
      <c r="A14190" t="str">
        <f t="shared" si="5146"/>
        <v>0616035765</v>
      </c>
      <c r="B14190" t="str">
        <f t="shared" si="5147"/>
        <v>ALEJANDRA</v>
      </c>
      <c r="C14190" t="str">
        <f t="shared" si="5148"/>
        <v>RAMRAJ</v>
      </c>
      <c r="D14190">
        <f>10</f>
        <v>10</v>
      </c>
      <c r="E14190" t="str">
        <f>"02 - A - 102 - Chrystina M Marchionne"</f>
        <v>02 - A - 102 - Chrystina M Marchionne</v>
      </c>
      <c r="F14190" t="str">
        <f>"AICE MEDIASTUDIES AS"</f>
        <v>AICE MEDIASTUDIES AS</v>
      </c>
      <c r="G14190" t="str">
        <f>"05-520"</f>
        <v>05-520</v>
      </c>
      <c r="H14190" t="str">
        <f>"A"</f>
        <v>A</v>
      </c>
    </row>
    <row r="14191" spans="1:8" x14ac:dyDescent="0.2">
      <c r="A14191" t="str">
        <f t="shared" si="5146"/>
        <v>0616035765</v>
      </c>
      <c r="B14191" t="str">
        <f t="shared" si="5147"/>
        <v>ALEJANDRA</v>
      </c>
      <c r="C14191" t="str">
        <f t="shared" si="5148"/>
        <v>RAMRAJ</v>
      </c>
      <c r="D14191">
        <f>10</f>
        <v>10</v>
      </c>
      <c r="E14191" t="str">
        <f>"07 - B - 102 - Chrystina M Marchionne"</f>
        <v>07 - B - 102 - Chrystina M Marchionne</v>
      </c>
      <c r="F14191" t="str">
        <f>"JOURN 2 (YB) LH"</f>
        <v>JOURN 2 (YB) LH</v>
      </c>
      <c r="G14191" t="str">
        <f>"05-520"</f>
        <v>05-520</v>
      </c>
      <c r="H14191" t="str">
        <f>"B"</f>
        <v>B</v>
      </c>
    </row>
    <row r="14192" spans="1:8" x14ac:dyDescent="0.2">
      <c r="A14192" t="str">
        <f t="shared" si="5146"/>
        <v>0616035765</v>
      </c>
      <c r="B14192" t="str">
        <f t="shared" si="5147"/>
        <v>ALEJANDRA</v>
      </c>
      <c r="C14192" t="str">
        <f t="shared" si="5148"/>
        <v>RAMRAJ</v>
      </c>
      <c r="D14192">
        <f>10</f>
        <v>10</v>
      </c>
      <c r="E14192" t="str">
        <f>"05 - B - 104 - Semra  Bahadir"</f>
        <v>05 - B - 104 - Semra  Bahadir</v>
      </c>
      <c r="F14192" t="str">
        <f>"MATH COLL ALGEBRA"</f>
        <v>MATH COLL ALGEBRA</v>
      </c>
      <c r="G14192" t="str">
        <f>"21-2107"</f>
        <v>21-2107</v>
      </c>
      <c r="H14192" t="str">
        <f>"B"</f>
        <v>B</v>
      </c>
    </row>
    <row r="14193" spans="1:8" x14ac:dyDescent="0.2">
      <c r="A14193" t="str">
        <f t="shared" si="5146"/>
        <v>0616035765</v>
      </c>
      <c r="B14193" t="str">
        <f t="shared" si="5147"/>
        <v>ALEJANDRA</v>
      </c>
      <c r="C14193" t="str">
        <f t="shared" si="5148"/>
        <v>RAMRAJ</v>
      </c>
      <c r="D14193">
        <f>10</f>
        <v>10</v>
      </c>
      <c r="E14193" t="str">
        <f>"01 - A - 001 - Lenecy  Nodarse"</f>
        <v>01 - A - 001 - Lenecy  Nodarse</v>
      </c>
      <c r="F14193" t="str">
        <f>"AICE EURO HIST 1 AS"</f>
        <v>AICE EURO HIST 1 AS</v>
      </c>
      <c r="G14193" t="str">
        <f>"17-1741"</f>
        <v>17-1741</v>
      </c>
      <c r="H14193" t="str">
        <f>"A"</f>
        <v>A</v>
      </c>
    </row>
    <row r="14194" spans="1:8" x14ac:dyDescent="0.2">
      <c r="A14194" t="str">
        <f t="shared" si="5146"/>
        <v>0616035765</v>
      </c>
      <c r="B14194" t="str">
        <f t="shared" si="5147"/>
        <v>ALEJANDRA</v>
      </c>
      <c r="C14194" t="str">
        <f t="shared" si="5148"/>
        <v>RAMRAJ</v>
      </c>
      <c r="D14194">
        <f>10</f>
        <v>10</v>
      </c>
      <c r="E14194" t="str">
        <f>"08 - S1 - B - 105 - Richard E Dunbar Iii"</f>
        <v>08 - S1 - B - 105 - Richard E Dunbar Iii</v>
      </c>
      <c r="F14194" t="str">
        <f>"WEIGHT TRAIN 1"</f>
        <v>WEIGHT TRAIN 1</v>
      </c>
      <c r="G14194" t="str">
        <f>"05-501"</f>
        <v>05-501</v>
      </c>
      <c r="H14194" t="str">
        <f>"B"</f>
        <v>B</v>
      </c>
    </row>
    <row r="14195" spans="1:8" x14ac:dyDescent="0.2">
      <c r="A14195" t="str">
        <f t="shared" ref="A14195:A14202" si="5149">"0616036188"</f>
        <v>0616036188</v>
      </c>
      <c r="B14195" t="str">
        <f t="shared" ref="B14195:B14202" si="5150">"CASSIDY"</f>
        <v>CASSIDY</v>
      </c>
      <c r="C14195" t="str">
        <f t="shared" ref="C14195:C14202" si="5151">"RAMSAY"</f>
        <v>RAMSAY</v>
      </c>
      <c r="D14195">
        <f>10</f>
        <v>10</v>
      </c>
      <c r="E14195" t="str">
        <f>"04 - A - 101 - Chrystina M Marchionne"</f>
        <v>04 - A - 101 - Chrystina M Marchionne</v>
      </c>
      <c r="F14195" t="str">
        <f>"THEA CIN &amp; FILM LH"</f>
        <v>THEA CIN &amp; FILM LH</v>
      </c>
      <c r="G14195" t="str">
        <f>"05-520"</f>
        <v>05-520</v>
      </c>
      <c r="H14195" t="str">
        <f>"A"</f>
        <v>A</v>
      </c>
    </row>
    <row r="14196" spans="1:8" x14ac:dyDescent="0.2">
      <c r="A14196" t="str">
        <f t="shared" si="5149"/>
        <v>0616036188</v>
      </c>
      <c r="B14196" t="str">
        <f t="shared" si="5150"/>
        <v>CASSIDY</v>
      </c>
      <c r="C14196" t="str">
        <f t="shared" si="5151"/>
        <v>RAMSAY</v>
      </c>
      <c r="D14196">
        <f>10</f>
        <v>10</v>
      </c>
      <c r="E14196" t="str">
        <f>"06 - B - 105 - Jeffrey S Gallagher"</f>
        <v>06 - B - 105 - Jeffrey S Gallagher</v>
      </c>
      <c r="F14196" t="str">
        <f>"NC STUDY HALL 1"</f>
        <v>NC STUDY HALL 1</v>
      </c>
      <c r="G14196" t="str">
        <f>"17-1724"</f>
        <v>17-1724</v>
      </c>
      <c r="H14196" t="str">
        <f>"B"</f>
        <v>B</v>
      </c>
    </row>
    <row r="14197" spans="1:8" x14ac:dyDescent="0.2">
      <c r="A14197" t="str">
        <f t="shared" si="5149"/>
        <v>0616036188</v>
      </c>
      <c r="B14197" t="str">
        <f t="shared" si="5150"/>
        <v>CASSIDY</v>
      </c>
      <c r="C14197" t="str">
        <f t="shared" si="5151"/>
        <v>RAMSAY</v>
      </c>
      <c r="D14197">
        <f>10</f>
        <v>10</v>
      </c>
      <c r="E14197" t="str">
        <f>"03 - A - 103 - Taraneh C Abreu"</f>
        <v>03 - A - 103 - Taraneh C Abreu</v>
      </c>
      <c r="F14197" t="str">
        <f>"INTENS READ 2"</f>
        <v>INTENS READ 2</v>
      </c>
      <c r="G14197" t="str">
        <f>"17-1713"</f>
        <v>17-1713</v>
      </c>
      <c r="H14197" t="str">
        <f>"A"</f>
        <v>A</v>
      </c>
    </row>
    <row r="14198" spans="1:8" x14ac:dyDescent="0.2">
      <c r="A14198" t="str">
        <f t="shared" si="5149"/>
        <v>0616036188</v>
      </c>
      <c r="B14198" t="str">
        <f t="shared" si="5150"/>
        <v>CASSIDY</v>
      </c>
      <c r="C14198" t="str">
        <f t="shared" si="5151"/>
        <v>RAMSAY</v>
      </c>
      <c r="D14198">
        <f>10</f>
        <v>10</v>
      </c>
      <c r="E14198" t="str">
        <f>"02 - S1 - A - 101 - James H Mccann"</f>
        <v>02 - S1 - A - 101 - James H Mccann</v>
      </c>
      <c r="F14198" t="str">
        <f>"PERS FIN &amp; MON MGT H"</f>
        <v>PERS FIN &amp; MON MGT H</v>
      </c>
      <c r="G14198" t="str">
        <f>"17-1716"</f>
        <v>17-1716</v>
      </c>
      <c r="H14198" t="str">
        <f>"A"</f>
        <v>A</v>
      </c>
    </row>
    <row r="14199" spans="1:8" x14ac:dyDescent="0.2">
      <c r="A14199" t="str">
        <f t="shared" si="5149"/>
        <v>0616036188</v>
      </c>
      <c r="B14199" t="str">
        <f t="shared" si="5150"/>
        <v>CASSIDY</v>
      </c>
      <c r="C14199" t="str">
        <f t="shared" si="5151"/>
        <v>RAMSAY</v>
      </c>
      <c r="D14199">
        <f>10</f>
        <v>10</v>
      </c>
      <c r="E14199" t="str">
        <f>"07 - S1 - B - 103 - Leslie J Barton"</f>
        <v>07 - S1 - B - 103 - Leslie J Barton</v>
      </c>
      <c r="F14199" t="str">
        <f>"TEAM SPORTS 1"</f>
        <v>TEAM SPORTS 1</v>
      </c>
      <c r="G14199" t="str">
        <f>"04-254"</f>
        <v>04-254</v>
      </c>
      <c r="H14199" t="str">
        <f>"B"</f>
        <v>B</v>
      </c>
    </row>
    <row r="14200" spans="1:8" x14ac:dyDescent="0.2">
      <c r="A14200" t="str">
        <f t="shared" si="5149"/>
        <v>0616036188</v>
      </c>
      <c r="B14200" t="str">
        <f t="shared" si="5150"/>
        <v>CASSIDY</v>
      </c>
      <c r="C14200" t="str">
        <f t="shared" si="5151"/>
        <v>RAMSAY</v>
      </c>
      <c r="D14200">
        <f>10</f>
        <v>10</v>
      </c>
      <c r="E14200" t="str">
        <f>"05 - B - 108 - James H Mccann"</f>
        <v>05 - B - 108 - James H Mccann</v>
      </c>
      <c r="F14200" t="str">
        <f>"ALGEBRA 2"</f>
        <v>ALGEBRA 2</v>
      </c>
      <c r="G14200" t="str">
        <f>"17-1716"</f>
        <v>17-1716</v>
      </c>
      <c r="H14200" t="str">
        <f>"B"</f>
        <v>B</v>
      </c>
    </row>
    <row r="14201" spans="1:8" x14ac:dyDescent="0.2">
      <c r="A14201" t="str">
        <f t="shared" si="5149"/>
        <v>0616036188</v>
      </c>
      <c r="B14201" t="str">
        <f t="shared" si="5150"/>
        <v>CASSIDY</v>
      </c>
      <c r="C14201" t="str">
        <f t="shared" si="5151"/>
        <v>RAMSAY</v>
      </c>
      <c r="D14201">
        <f>10</f>
        <v>10</v>
      </c>
      <c r="E14201" t="str">
        <f>"01 - A - 101 - Jacquelyn M Neeson"</f>
        <v>01 - A - 101 - Jacquelyn M Neeson</v>
      </c>
      <c r="F14201" t="str">
        <f>"AICE ENG GEN PAPER 1"</f>
        <v>AICE ENG GEN PAPER 1</v>
      </c>
      <c r="G14201" t="str">
        <f>"17-1715"</f>
        <v>17-1715</v>
      </c>
      <c r="H14201" t="str">
        <f>"A"</f>
        <v>A</v>
      </c>
    </row>
    <row r="14202" spans="1:8" x14ac:dyDescent="0.2">
      <c r="A14202" t="str">
        <f t="shared" si="5149"/>
        <v>0616036188</v>
      </c>
      <c r="B14202" t="str">
        <f t="shared" si="5150"/>
        <v>CASSIDY</v>
      </c>
      <c r="C14202" t="str">
        <f t="shared" si="5151"/>
        <v>RAMSAY</v>
      </c>
      <c r="D14202">
        <f>10</f>
        <v>10</v>
      </c>
      <c r="E14202" t="str">
        <f>"08 - B - 108 - Paige Lauren  Brochu"</f>
        <v>08 - B - 108 - Paige Lauren  Brochu</v>
      </c>
      <c r="F14202" t="str">
        <f>"BIOLOGY 1"</f>
        <v>BIOLOGY 1</v>
      </c>
      <c r="G14202" t="str">
        <f>"21-2134"</f>
        <v>21-2134</v>
      </c>
      <c r="H14202" t="str">
        <f>"B"</f>
        <v>B</v>
      </c>
    </row>
    <row r="14203" spans="1:8" x14ac:dyDescent="0.2">
      <c r="A14203" t="str">
        <f t="shared" ref="A14203:A14211" si="5152">"0614058838"</f>
        <v>0614058838</v>
      </c>
      <c r="B14203" t="str">
        <f t="shared" ref="B14203:B14211" si="5153">"CAYLIE"</f>
        <v>CAYLIE</v>
      </c>
      <c r="C14203" t="str">
        <f t="shared" ref="C14203:C14211" si="5154">"RAMSEUR"</f>
        <v>RAMSEUR</v>
      </c>
      <c r="D14203">
        <f>12</f>
        <v>12</v>
      </c>
      <c r="E14203" t="str">
        <f>"04 - S1 - A - 105 - Robert O Burger"</f>
        <v>04 - S1 - A - 105 - Robert O Burger</v>
      </c>
      <c r="F14203" t="str">
        <f>"US GOVT"</f>
        <v>US GOVT</v>
      </c>
      <c r="G14203" t="str">
        <f>"17-1755"</f>
        <v>17-1755</v>
      </c>
      <c r="H14203" t="str">
        <f>"A"</f>
        <v>A</v>
      </c>
    </row>
    <row r="14204" spans="1:8" x14ac:dyDescent="0.2">
      <c r="A14204" t="str">
        <f t="shared" si="5152"/>
        <v>0614058838</v>
      </c>
      <c r="B14204" t="str">
        <f t="shared" si="5153"/>
        <v>CAYLIE</v>
      </c>
      <c r="C14204" t="str">
        <f t="shared" si="5154"/>
        <v>RAMSEUR</v>
      </c>
      <c r="D14204">
        <f>12</f>
        <v>12</v>
      </c>
      <c r="E14204" t="str">
        <f>"06 - B - 116 - Karen A Toomer"</f>
        <v>06 - B - 116 - Karen A Toomer</v>
      </c>
      <c r="F14204" t="str">
        <f>"LANG THERAPY"</f>
        <v>LANG THERAPY</v>
      </c>
      <c r="G14204" t="str">
        <f>"21-2110"</f>
        <v>21-2110</v>
      </c>
      <c r="H14204" t="str">
        <f>"B"</f>
        <v>B</v>
      </c>
    </row>
    <row r="14205" spans="1:8" x14ac:dyDescent="0.2">
      <c r="A14205" t="str">
        <f t="shared" si="5152"/>
        <v>0614058838</v>
      </c>
      <c r="B14205" t="str">
        <f t="shared" si="5153"/>
        <v>CAYLIE</v>
      </c>
      <c r="C14205" t="str">
        <f t="shared" si="5154"/>
        <v>RAMSEUR</v>
      </c>
      <c r="D14205">
        <f>12</f>
        <v>12</v>
      </c>
      <c r="E14205" t="str">
        <f>"06 - B - 102 - Andrea A Amison"</f>
        <v>06 - B - 102 - Andrea A Amison</v>
      </c>
      <c r="F14205" t="str">
        <f>"NC STUDY HALL 1"</f>
        <v>NC STUDY HALL 1</v>
      </c>
      <c r="G14205" t="str">
        <f>"09-922C"</f>
        <v>09-922C</v>
      </c>
      <c r="H14205" t="str">
        <f>"B"</f>
        <v>B</v>
      </c>
    </row>
    <row r="14206" spans="1:8" x14ac:dyDescent="0.2">
      <c r="A14206" t="str">
        <f t="shared" si="5152"/>
        <v>0614058838</v>
      </c>
      <c r="B14206" t="str">
        <f t="shared" si="5153"/>
        <v>CAYLIE</v>
      </c>
      <c r="C14206" t="str">
        <f t="shared" si="5154"/>
        <v>RAMSEUR</v>
      </c>
      <c r="D14206">
        <f>12</f>
        <v>12</v>
      </c>
      <c r="E14206" t="str">
        <f>"03 - A - 103 - Jordana K Hass"</f>
        <v>03 - A - 103 - Jordana K Hass</v>
      </c>
      <c r="F14206" t="str">
        <f>"CHEMISTRY 1"</f>
        <v>CHEMISTRY 1</v>
      </c>
      <c r="G14206" t="str">
        <f>"08-807"</f>
        <v>08-807</v>
      </c>
      <c r="H14206" t="str">
        <f>"A"</f>
        <v>A</v>
      </c>
    </row>
    <row r="14207" spans="1:8" x14ac:dyDescent="0.2">
      <c r="A14207" t="str">
        <f t="shared" si="5152"/>
        <v>0614058838</v>
      </c>
      <c r="B14207" t="str">
        <f t="shared" si="5153"/>
        <v>CAYLIE</v>
      </c>
      <c r="C14207" t="str">
        <f t="shared" si="5154"/>
        <v>RAMSEUR</v>
      </c>
      <c r="D14207">
        <f>12</f>
        <v>12</v>
      </c>
      <c r="E14207" t="str">
        <f>"02 - A - 101 - Robyn L Trainer"</f>
        <v>02 - A - 101 - Robyn L Trainer</v>
      </c>
      <c r="F14207" t="str">
        <f>"ENG 4"</f>
        <v>ENG 4</v>
      </c>
      <c r="G14207" t="str">
        <f>"17-1734"</f>
        <v>17-1734</v>
      </c>
      <c r="H14207" t="str">
        <f>"A"</f>
        <v>A</v>
      </c>
    </row>
    <row r="14208" spans="1:8" x14ac:dyDescent="0.2">
      <c r="A14208" t="str">
        <f t="shared" si="5152"/>
        <v>0614058838</v>
      </c>
      <c r="B14208" t="str">
        <f t="shared" si="5153"/>
        <v>CAYLIE</v>
      </c>
      <c r="C14208" t="str">
        <f t="shared" si="5154"/>
        <v>RAMSEUR</v>
      </c>
      <c r="D14208">
        <f>12</f>
        <v>12</v>
      </c>
      <c r="E14208" t="str">
        <f>"07 - B - 102 - Chrystina M Marchionne"</f>
        <v>07 - B - 102 - Chrystina M Marchionne</v>
      </c>
      <c r="F14208" t="str">
        <f>"JOURN 2 (YB) LH"</f>
        <v>JOURN 2 (YB) LH</v>
      </c>
      <c r="G14208" t="str">
        <f>"05-520"</f>
        <v>05-520</v>
      </c>
      <c r="H14208" t="str">
        <f>"B"</f>
        <v>B</v>
      </c>
    </row>
    <row r="14209" spans="1:8" x14ac:dyDescent="0.2">
      <c r="A14209" t="str">
        <f t="shared" si="5152"/>
        <v>0614058838</v>
      </c>
      <c r="B14209" t="str">
        <f t="shared" si="5153"/>
        <v>CAYLIE</v>
      </c>
      <c r="C14209" t="str">
        <f t="shared" si="5154"/>
        <v>RAMSEUR</v>
      </c>
      <c r="D14209">
        <f>12</f>
        <v>12</v>
      </c>
      <c r="E14209" t="str">
        <f>"05 - B - 103 - Eva T Rimmer"</f>
        <v>05 - B - 103 - Eva T Rimmer</v>
      </c>
      <c r="F14209" t="str">
        <f>"CRIMINAL JUST OPS 1"</f>
        <v>CRIMINAL JUST OPS 1</v>
      </c>
      <c r="G14209" t="str">
        <f>"05-523"</f>
        <v>05-523</v>
      </c>
      <c r="H14209" t="str">
        <f>"B"</f>
        <v>B</v>
      </c>
    </row>
    <row r="14210" spans="1:8" x14ac:dyDescent="0.2">
      <c r="A14210" t="str">
        <f t="shared" si="5152"/>
        <v>0614058838</v>
      </c>
      <c r="B14210" t="str">
        <f t="shared" si="5153"/>
        <v>CAYLIE</v>
      </c>
      <c r="C14210" t="str">
        <f t="shared" si="5154"/>
        <v>RAMSEUR</v>
      </c>
      <c r="D14210">
        <f>12</f>
        <v>12</v>
      </c>
      <c r="E14210" t="str">
        <f>"01 - A - 102 - Robert H Rindner"</f>
        <v>01 - A - 102 - Robert H Rindner</v>
      </c>
      <c r="F14210" t="str">
        <f>"MATH DATA&amp;FIN LIT H"</f>
        <v>MATH DATA&amp;FIN LIT H</v>
      </c>
      <c r="G14210" t="str">
        <f>"21-2160"</f>
        <v>21-2160</v>
      </c>
      <c r="H14210" t="str">
        <f>"A"</f>
        <v>A</v>
      </c>
    </row>
    <row r="14211" spans="1:8" x14ac:dyDescent="0.2">
      <c r="A14211" t="str">
        <f t="shared" si="5152"/>
        <v>0614058838</v>
      </c>
      <c r="B14211" t="str">
        <f t="shared" si="5153"/>
        <v>CAYLIE</v>
      </c>
      <c r="C14211" t="str">
        <f t="shared" si="5154"/>
        <v>RAMSEUR</v>
      </c>
      <c r="D14211">
        <f>12</f>
        <v>12</v>
      </c>
      <c r="E14211" t="str">
        <f>"08 - B - 102 - Carleigh R Carmichael"</f>
        <v>08 - B - 102 - Carleigh R Carmichael</v>
      </c>
      <c r="F14211" t="str">
        <f>"LRNG STRATEGIES 9-12"</f>
        <v>LRNG STRATEGIES 9-12</v>
      </c>
      <c r="G14211" t="str">
        <f>"20-2072"</f>
        <v>20-2072</v>
      </c>
      <c r="H14211" t="str">
        <f>"B"</f>
        <v>B</v>
      </c>
    </row>
    <row r="14212" spans="1:8" x14ac:dyDescent="0.2">
      <c r="A14212" t="str">
        <f t="shared" ref="A14212:A14219" si="5155">"0613061195"</f>
        <v>0613061195</v>
      </c>
      <c r="B14212" t="str">
        <f t="shared" ref="B14212:B14219" si="5156">"NICOLE"</f>
        <v>NICOLE</v>
      </c>
      <c r="C14212" t="str">
        <f t="shared" ref="C14212:C14219" si="5157">"RAPANOS"</f>
        <v>RAPANOS</v>
      </c>
      <c r="D14212">
        <f>11</f>
        <v>11</v>
      </c>
      <c r="E14212" t="str">
        <f>"04 - A - 201 - Scott A Dethloff"</f>
        <v>04 - A - 201 - Scott A Dethloff</v>
      </c>
      <c r="F14212" t="str">
        <f>"AICE THINK SKLS 1 AS"</f>
        <v>AICE THINK SKLS 1 AS</v>
      </c>
      <c r="G14212" t="str">
        <f>"08-812"</f>
        <v>08-812</v>
      </c>
      <c r="H14212" t="str">
        <f>"A"</f>
        <v>A</v>
      </c>
    </row>
    <row r="14213" spans="1:8" x14ac:dyDescent="0.2">
      <c r="A14213" t="str">
        <f t="shared" si="5155"/>
        <v>0613061195</v>
      </c>
      <c r="B14213" t="str">
        <f t="shared" si="5156"/>
        <v>NICOLE</v>
      </c>
      <c r="C14213" t="str">
        <f t="shared" si="5157"/>
        <v>RAPANOS</v>
      </c>
      <c r="D14213">
        <f>11</f>
        <v>11</v>
      </c>
      <c r="E14213" t="str">
        <f>"06 - B - 206 - Jacqueline R Morphet"</f>
        <v>06 - B - 206 - Jacqueline R Morphet</v>
      </c>
      <c r="F14213" t="str">
        <f>"PHYSICS 1 HON"</f>
        <v>PHYSICS 1 HON</v>
      </c>
      <c r="G14213" t="str">
        <f>"21-2138"</f>
        <v>21-2138</v>
      </c>
      <c r="H14213" t="str">
        <f>"B"</f>
        <v>B</v>
      </c>
    </row>
    <row r="14214" spans="1:8" x14ac:dyDescent="0.2">
      <c r="A14214" t="str">
        <f t="shared" si="5155"/>
        <v>0613061195</v>
      </c>
      <c r="B14214" t="str">
        <f t="shared" si="5156"/>
        <v>NICOLE</v>
      </c>
      <c r="C14214" t="str">
        <f t="shared" si="5157"/>
        <v>RAPANOS</v>
      </c>
      <c r="D14214">
        <f>11</f>
        <v>11</v>
      </c>
      <c r="E14214" t="str">
        <f>"03 - A - 101 - Samantha L Martinez"</f>
        <v>03 - A - 101 - Samantha L Martinez</v>
      </c>
      <c r="F14214" t="str">
        <f>"VOCAL ENS 1"</f>
        <v>VOCAL ENS 1</v>
      </c>
      <c r="G14214" t="str">
        <f>"05-505"</f>
        <v>05-505</v>
      </c>
      <c r="H14214" t="str">
        <f>"A"</f>
        <v>A</v>
      </c>
    </row>
    <row r="14215" spans="1:8" x14ac:dyDescent="0.2">
      <c r="A14215" t="str">
        <f t="shared" si="5155"/>
        <v>0613061195</v>
      </c>
      <c r="B14215" t="str">
        <f t="shared" si="5156"/>
        <v>NICOLE</v>
      </c>
      <c r="C14215" t="str">
        <f t="shared" si="5157"/>
        <v>RAPANOS</v>
      </c>
      <c r="D14215">
        <f>11</f>
        <v>11</v>
      </c>
      <c r="E14215" t="str">
        <f>"02 - A - 101 - Timothy J Lawrence"</f>
        <v>02 - A - 101 - Timothy J Lawrence</v>
      </c>
      <c r="F14215" t="str">
        <f>"NC STUDY HALL 1"</f>
        <v>NC STUDY HALL 1</v>
      </c>
      <c r="G14215" t="str">
        <f>"05-522"</f>
        <v>05-522</v>
      </c>
      <c r="H14215" t="str">
        <f>"A"</f>
        <v>A</v>
      </c>
    </row>
    <row r="14216" spans="1:8" x14ac:dyDescent="0.2">
      <c r="A14216" t="str">
        <f t="shared" si="5155"/>
        <v>0613061195</v>
      </c>
      <c r="B14216" t="str">
        <f t="shared" si="5156"/>
        <v>NICOLE</v>
      </c>
      <c r="C14216" t="str">
        <f t="shared" si="5157"/>
        <v>RAPANOS</v>
      </c>
      <c r="D14216">
        <f>11</f>
        <v>11</v>
      </c>
      <c r="E14216" t="str">
        <f>"07 - B - 102 - Thomas G Handwerg"</f>
        <v>07 - B - 102 - Thomas G Handwerg</v>
      </c>
      <c r="F14216" t="str">
        <f>"PROB STAT W/APPS HON"</f>
        <v>PROB STAT W/APPS HON</v>
      </c>
      <c r="G14216" t="str">
        <f>"21-2146"</f>
        <v>21-2146</v>
      </c>
      <c r="H14216" t="str">
        <f>"B"</f>
        <v>B</v>
      </c>
    </row>
    <row r="14217" spans="1:8" x14ac:dyDescent="0.2">
      <c r="A14217" t="str">
        <f t="shared" si="5155"/>
        <v>0613061195</v>
      </c>
      <c r="B14217" t="str">
        <f t="shared" si="5156"/>
        <v>NICOLE</v>
      </c>
      <c r="C14217" t="str">
        <f t="shared" si="5157"/>
        <v>RAPANOS</v>
      </c>
      <c r="D14217">
        <f>11</f>
        <v>11</v>
      </c>
      <c r="E14217" t="str">
        <f>"05 - B - 203 - Chrystina M Marchionne"</f>
        <v>05 - B - 203 - Chrystina M Marchionne</v>
      </c>
      <c r="F14217" t="str">
        <f>"AICE MEDIASTUDIES AS"</f>
        <v>AICE MEDIASTUDIES AS</v>
      </c>
      <c r="G14217" t="str">
        <f>"05-520"</f>
        <v>05-520</v>
      </c>
      <c r="H14217" t="str">
        <f>"B"</f>
        <v>B</v>
      </c>
    </row>
    <row r="14218" spans="1:8" x14ac:dyDescent="0.2">
      <c r="A14218" t="str">
        <f t="shared" si="5155"/>
        <v>0613061195</v>
      </c>
      <c r="B14218" t="str">
        <f t="shared" si="5156"/>
        <v>NICOLE</v>
      </c>
      <c r="C14218" t="str">
        <f t="shared" si="5157"/>
        <v>RAPANOS</v>
      </c>
      <c r="D14218">
        <f>11</f>
        <v>11</v>
      </c>
      <c r="E14218" t="str">
        <f>"01 - A - 104 - Jerry S Jiampetti"</f>
        <v>01 - A - 104 - Jerry S Jiampetti</v>
      </c>
      <c r="F14218" t="str">
        <f>"US HISTORY HON"</f>
        <v>US HISTORY HON</v>
      </c>
      <c r="G14218" t="str">
        <f>"17-1751"</f>
        <v>17-1751</v>
      </c>
      <c r="H14218" t="str">
        <f>"A"</f>
        <v>A</v>
      </c>
    </row>
    <row r="14219" spans="1:8" x14ac:dyDescent="0.2">
      <c r="A14219" t="str">
        <f t="shared" si="5155"/>
        <v>0613061195</v>
      </c>
      <c r="B14219" t="str">
        <f t="shared" si="5156"/>
        <v>NICOLE</v>
      </c>
      <c r="C14219" t="str">
        <f t="shared" si="5157"/>
        <v>RAPANOS</v>
      </c>
      <c r="D14219">
        <f>11</f>
        <v>11</v>
      </c>
      <c r="E14219" t="str">
        <f>"08 - B - 105 - Brandy N Zdenek"</f>
        <v>08 - B - 105 - Brandy N Zdenek</v>
      </c>
      <c r="F14219" t="str">
        <f>"AICE ENG LANG 2 AL"</f>
        <v>AICE ENG LANG 2 AL</v>
      </c>
      <c r="G14219" t="str">
        <f>"17-1704"</f>
        <v>17-1704</v>
      </c>
      <c r="H14219" t="str">
        <f>"B"</f>
        <v>B</v>
      </c>
    </row>
    <row r="14220" spans="1:8" x14ac:dyDescent="0.2">
      <c r="A14220" t="str">
        <f t="shared" ref="A14220:A14227" si="5158">"0614042691"</f>
        <v>0614042691</v>
      </c>
      <c r="B14220" t="str">
        <f t="shared" ref="B14220:B14227" si="5159">"MCKAYLA"</f>
        <v>MCKAYLA</v>
      </c>
      <c r="C14220" t="str">
        <f t="shared" ref="C14220:C14227" si="5160">"RATTIGAN"</f>
        <v>RATTIGAN</v>
      </c>
      <c r="D14220">
        <f>12</f>
        <v>12</v>
      </c>
      <c r="E14220" t="str">
        <f>"04 - A - 201 - Vanessa J Liburd"</f>
        <v>04 - A - 201 - Vanessa J Liburd</v>
      </c>
      <c r="F14220" t="str">
        <f>"FRENCH 4 HON"</f>
        <v>FRENCH 4 HON</v>
      </c>
      <c r="G14220" t="str">
        <f>"05-519"</f>
        <v>05-519</v>
      </c>
      <c r="H14220" t="str">
        <f>"A"</f>
        <v>A</v>
      </c>
    </row>
    <row r="14221" spans="1:8" x14ac:dyDescent="0.2">
      <c r="A14221" t="str">
        <f t="shared" si="5158"/>
        <v>0614042691</v>
      </c>
      <c r="B14221" t="str">
        <f t="shared" si="5159"/>
        <v>MCKAYLA</v>
      </c>
      <c r="C14221" t="str">
        <f t="shared" si="5160"/>
        <v>RATTIGAN</v>
      </c>
      <c r="D14221">
        <f>12</f>
        <v>12</v>
      </c>
      <c r="E14221" t="str">
        <f>"06 - B - 111 - James H Mccann"</f>
        <v>06 - B - 111 - James H Mccann</v>
      </c>
      <c r="F14221" t="str">
        <f>"NC STUDY HALL 1"</f>
        <v>NC STUDY HALL 1</v>
      </c>
      <c r="G14221" t="str">
        <f>"17-1716"</f>
        <v>17-1716</v>
      </c>
      <c r="H14221" t="str">
        <f>"B"</f>
        <v>B</v>
      </c>
    </row>
    <row r="14222" spans="1:8" x14ac:dyDescent="0.2">
      <c r="A14222" t="str">
        <f t="shared" si="5158"/>
        <v>0614042691</v>
      </c>
      <c r="B14222" t="str">
        <f t="shared" si="5159"/>
        <v>MCKAYLA</v>
      </c>
      <c r="C14222" t="str">
        <f t="shared" si="5160"/>
        <v>RATTIGAN</v>
      </c>
      <c r="D14222">
        <f>12</f>
        <v>12</v>
      </c>
      <c r="E14222" t="str">
        <f>"03 - A - 101 - Jeffrey S Gallagher"</f>
        <v>03 - A - 101 - Jeffrey S Gallagher</v>
      </c>
      <c r="F14222" t="str">
        <f>"ENG HON 4"</f>
        <v>ENG HON 4</v>
      </c>
      <c r="G14222" t="str">
        <f>"17-1724"</f>
        <v>17-1724</v>
      </c>
      <c r="H14222" t="str">
        <f>"A"</f>
        <v>A</v>
      </c>
    </row>
    <row r="14223" spans="1:8" x14ac:dyDescent="0.2">
      <c r="A14223" t="str">
        <f t="shared" si="5158"/>
        <v>0614042691</v>
      </c>
      <c r="B14223" t="str">
        <f t="shared" si="5159"/>
        <v>MCKAYLA</v>
      </c>
      <c r="C14223" t="str">
        <f t="shared" si="5160"/>
        <v>RATTIGAN</v>
      </c>
      <c r="D14223">
        <f>12</f>
        <v>12</v>
      </c>
      <c r="E14223" t="str">
        <f>"02 - A - 101 - Robert H Rindner"</f>
        <v>02 - A - 101 - Robert H Rindner</v>
      </c>
      <c r="F14223" t="str">
        <f>"MATH DATA&amp;FIN LIT H"</f>
        <v>MATH DATA&amp;FIN LIT H</v>
      </c>
      <c r="G14223" t="str">
        <f>"21-2160"</f>
        <v>21-2160</v>
      </c>
      <c r="H14223" t="str">
        <f>"A"</f>
        <v>A</v>
      </c>
    </row>
    <row r="14224" spans="1:8" x14ac:dyDescent="0.2">
      <c r="A14224" t="str">
        <f t="shared" si="5158"/>
        <v>0614042691</v>
      </c>
      <c r="B14224" t="str">
        <f t="shared" si="5159"/>
        <v>MCKAYLA</v>
      </c>
      <c r="C14224" t="str">
        <f t="shared" si="5160"/>
        <v>RATTIGAN</v>
      </c>
      <c r="D14224">
        <f>12</f>
        <v>12</v>
      </c>
      <c r="E14224" t="str">
        <f>"07 - B - 201 - Angela S Adeshina-Morrison"</f>
        <v>07 - B - 201 - Angela S Adeshina-Morrison</v>
      </c>
      <c r="F14224" t="str">
        <f>"BUSINESS OWNER HON"</f>
        <v>BUSINESS OWNER HON</v>
      </c>
      <c r="G14224" t="str">
        <f>"05-518"</f>
        <v>05-518</v>
      </c>
      <c r="H14224" t="str">
        <f>"B"</f>
        <v>B</v>
      </c>
    </row>
    <row r="14225" spans="1:8" x14ac:dyDescent="0.2">
      <c r="A14225" t="str">
        <f t="shared" si="5158"/>
        <v>0614042691</v>
      </c>
      <c r="B14225" t="str">
        <f t="shared" si="5159"/>
        <v>MCKAYLA</v>
      </c>
      <c r="C14225" t="str">
        <f t="shared" si="5160"/>
        <v>RATTIGAN</v>
      </c>
      <c r="D14225">
        <f>12</f>
        <v>12</v>
      </c>
      <c r="E14225" t="str">
        <f>"05 - B - 102 - Dorothy D Moore"</f>
        <v>05 - B - 102 - Dorothy D Moore</v>
      </c>
      <c r="F14225" t="str">
        <f>"FORC SCI 1 LH"</f>
        <v>FORC SCI 1 LH</v>
      </c>
      <c r="G14225" t="str">
        <f>"08-803"</f>
        <v>08-803</v>
      </c>
      <c r="H14225" t="str">
        <f>"B"</f>
        <v>B</v>
      </c>
    </row>
    <row r="14226" spans="1:8" x14ac:dyDescent="0.2">
      <c r="A14226" t="str">
        <f t="shared" si="5158"/>
        <v>0614042691</v>
      </c>
      <c r="B14226" t="str">
        <f t="shared" si="5159"/>
        <v>MCKAYLA</v>
      </c>
      <c r="C14226" t="str">
        <f t="shared" si="5160"/>
        <v>RATTIGAN</v>
      </c>
      <c r="D14226">
        <f>12</f>
        <v>12</v>
      </c>
      <c r="E14226" t="str">
        <f>"01 - S1 - A - 101 - Barbara L Segal"</f>
        <v>01 - S1 - A - 101 - Barbara L Segal</v>
      </c>
      <c r="F14226" t="str">
        <f>"US GOVT HON"</f>
        <v>US GOVT HON</v>
      </c>
      <c r="G14226" t="str">
        <f>"17-1742"</f>
        <v>17-1742</v>
      </c>
      <c r="H14226" t="str">
        <f>"A"</f>
        <v>A</v>
      </c>
    </row>
    <row r="14227" spans="1:8" x14ac:dyDescent="0.2">
      <c r="A14227" t="str">
        <f t="shared" si="5158"/>
        <v>0614042691</v>
      </c>
      <c r="B14227" t="str">
        <f t="shared" si="5159"/>
        <v>MCKAYLA</v>
      </c>
      <c r="C14227" t="str">
        <f t="shared" si="5160"/>
        <v>RATTIGAN</v>
      </c>
      <c r="D14227">
        <f>12</f>
        <v>12</v>
      </c>
      <c r="E14227" t="str">
        <f>"08 - B - 101 - Jazmin S Fletcher"</f>
        <v>08 - B - 101 - Jazmin S Fletcher</v>
      </c>
      <c r="F14227" t="str">
        <f>"PRE-AICE DRAMA 1G"</f>
        <v>PRE-AICE DRAMA 1G</v>
      </c>
      <c r="G14227" t="str">
        <f>"09-909"</f>
        <v>09-909</v>
      </c>
      <c r="H14227" t="str">
        <f>"B"</f>
        <v>B</v>
      </c>
    </row>
    <row r="14228" spans="1:8" x14ac:dyDescent="0.2">
      <c r="A14228" t="str">
        <f t="shared" ref="A14228:A14235" si="5161">"0612114845"</f>
        <v>0612114845</v>
      </c>
      <c r="B14228" t="str">
        <f t="shared" ref="B14228:B14235" si="5162">"JOHN"</f>
        <v>JOHN</v>
      </c>
      <c r="C14228" t="str">
        <f t="shared" ref="C14228:C14235" si="5163">"REASEE"</f>
        <v>REASEE</v>
      </c>
      <c r="D14228">
        <f>11</f>
        <v>11</v>
      </c>
      <c r="E14228" t="str">
        <f>"04 - A - 101 - Stefanie S Scher"</f>
        <v>04 - A - 101 - Stefanie S Scher</v>
      </c>
      <c r="F14228" t="str">
        <f>"AP PSYCH"</f>
        <v>AP PSYCH</v>
      </c>
      <c r="G14228" t="str">
        <f>"17-1735"</f>
        <v>17-1735</v>
      </c>
      <c r="H14228" t="str">
        <f>"A"</f>
        <v>A</v>
      </c>
    </row>
    <row r="14229" spans="1:8" x14ac:dyDescent="0.2">
      <c r="A14229" t="str">
        <f t="shared" si="5161"/>
        <v>0612114845</v>
      </c>
      <c r="B14229" t="str">
        <f t="shared" si="5162"/>
        <v>JOHN</v>
      </c>
      <c r="C14229" t="str">
        <f t="shared" si="5163"/>
        <v>REASEE</v>
      </c>
      <c r="D14229">
        <f>11</f>
        <v>11</v>
      </c>
      <c r="E14229" t="str">
        <f>"06 - B - 002 - Kyle  Robbins"</f>
        <v>06 - B - 002 - Kyle  Robbins</v>
      </c>
      <c r="F14229" t="str">
        <f>"US HISTORY HON"</f>
        <v>US HISTORY HON</v>
      </c>
      <c r="G14229" t="str">
        <f>"17-1745"</f>
        <v>17-1745</v>
      </c>
      <c r="H14229" t="str">
        <f>"B"</f>
        <v>B</v>
      </c>
    </row>
    <row r="14230" spans="1:8" x14ac:dyDescent="0.2">
      <c r="A14230" t="str">
        <f t="shared" si="5161"/>
        <v>0612114845</v>
      </c>
      <c r="B14230" t="str">
        <f t="shared" si="5162"/>
        <v>JOHN</v>
      </c>
      <c r="C14230" t="str">
        <f t="shared" si="5163"/>
        <v>REASEE</v>
      </c>
      <c r="D14230">
        <f>11</f>
        <v>11</v>
      </c>
      <c r="E14230" t="str">
        <f>"03 - A - 103 - Samantha J Headley"</f>
        <v>03 - A - 103 - Samantha J Headley</v>
      </c>
      <c r="F14230" t="str">
        <f>"MARINE SCI 1 HON"</f>
        <v>MARINE SCI 1 HON</v>
      </c>
      <c r="G14230" t="str">
        <f>"21-2134"</f>
        <v>21-2134</v>
      </c>
      <c r="H14230" t="str">
        <f>"A"</f>
        <v>A</v>
      </c>
    </row>
    <row r="14231" spans="1:8" x14ac:dyDescent="0.2">
      <c r="A14231" t="str">
        <f t="shared" si="5161"/>
        <v>0612114845</v>
      </c>
      <c r="B14231" t="str">
        <f t="shared" si="5162"/>
        <v>JOHN</v>
      </c>
      <c r="C14231" t="str">
        <f t="shared" si="5163"/>
        <v>REASEE</v>
      </c>
      <c r="D14231">
        <f>11</f>
        <v>11</v>
      </c>
      <c r="E14231" t="str">
        <f>"02 - A - 103 - Angela S Adeshina-Morrison"</f>
        <v>02 - A - 103 - Angela S Adeshina-Morrison</v>
      </c>
      <c r="F14231" t="str">
        <f>"NC STUDY HALL 1"</f>
        <v>NC STUDY HALL 1</v>
      </c>
      <c r="G14231" t="str">
        <f>"05-518"</f>
        <v>05-518</v>
      </c>
      <c r="H14231" t="str">
        <f>"A"</f>
        <v>A</v>
      </c>
    </row>
    <row r="14232" spans="1:8" x14ac:dyDescent="0.2">
      <c r="A14232" t="str">
        <f t="shared" si="5161"/>
        <v>0612114845</v>
      </c>
      <c r="B14232" t="str">
        <f t="shared" si="5162"/>
        <v>JOHN</v>
      </c>
      <c r="C14232" t="str">
        <f t="shared" si="5163"/>
        <v>REASEE</v>
      </c>
      <c r="D14232">
        <f>11</f>
        <v>11</v>
      </c>
      <c r="E14232" t="str">
        <f>"07 - B - 107 - Semra  Bahadir"</f>
        <v>07 - B - 107 - Semra  Bahadir</v>
      </c>
      <c r="F14232" t="str">
        <f>"MATH COLL ALGEBRA"</f>
        <v>MATH COLL ALGEBRA</v>
      </c>
      <c r="G14232" t="str">
        <f>"21-2107"</f>
        <v>21-2107</v>
      </c>
      <c r="H14232" t="str">
        <f>"B"</f>
        <v>B</v>
      </c>
    </row>
    <row r="14233" spans="1:8" x14ac:dyDescent="0.2">
      <c r="A14233" t="str">
        <f t="shared" si="5161"/>
        <v>0612114845</v>
      </c>
      <c r="B14233" t="str">
        <f t="shared" si="5162"/>
        <v>JOHN</v>
      </c>
      <c r="C14233" t="str">
        <f t="shared" si="5163"/>
        <v>REASEE</v>
      </c>
      <c r="D14233">
        <f>11</f>
        <v>11</v>
      </c>
      <c r="E14233" t="str">
        <f>"05 - B - 103 - Tina M Jaramillo"</f>
        <v>05 - B - 103 - Tina M Jaramillo</v>
      </c>
      <c r="F14233" t="str">
        <f>"AP ENG COMPO"</f>
        <v>AP ENG COMPO</v>
      </c>
      <c r="G14233" t="str">
        <f>"17-1706"</f>
        <v>17-1706</v>
      </c>
      <c r="H14233" t="str">
        <f>"B"</f>
        <v>B</v>
      </c>
    </row>
    <row r="14234" spans="1:8" x14ac:dyDescent="0.2">
      <c r="A14234" t="str">
        <f t="shared" si="5161"/>
        <v>0612114845</v>
      </c>
      <c r="B14234" t="str">
        <f t="shared" si="5162"/>
        <v>JOHN</v>
      </c>
      <c r="C14234" t="str">
        <f t="shared" si="5163"/>
        <v>REASEE</v>
      </c>
      <c r="D14234">
        <f>11</f>
        <v>11</v>
      </c>
      <c r="E14234" t="str">
        <f>"01 - A - 101 - Eva T Rimmer"</f>
        <v>01 - A - 101 - Eva T Rimmer</v>
      </c>
      <c r="F14234" t="str">
        <f>"CRIMINAL JUST OPS 2"</f>
        <v>CRIMINAL JUST OPS 2</v>
      </c>
      <c r="G14234" t="str">
        <f>"05-523"</f>
        <v>05-523</v>
      </c>
      <c r="H14234" t="str">
        <f>"A"</f>
        <v>A</v>
      </c>
    </row>
    <row r="14235" spans="1:8" x14ac:dyDescent="0.2">
      <c r="A14235" t="str">
        <f t="shared" si="5161"/>
        <v>0612114845</v>
      </c>
      <c r="B14235" t="str">
        <f t="shared" si="5162"/>
        <v>JOHN</v>
      </c>
      <c r="C14235" t="str">
        <f t="shared" si="5163"/>
        <v>REASEE</v>
      </c>
      <c r="D14235">
        <f>11</f>
        <v>11</v>
      </c>
      <c r="E14235" t="str">
        <f>"08 - B - 101 - Staci M Newton"</f>
        <v>08 - B - 101 - Staci M Newton</v>
      </c>
      <c r="F14235" t="str">
        <f>"PEER/PARTNERS LRN LH"</f>
        <v>PEER/PARTNERS LRN LH</v>
      </c>
      <c r="G14235" t="str">
        <f>"21-2103"</f>
        <v>21-2103</v>
      </c>
      <c r="H14235" t="str">
        <f>"B"</f>
        <v>B</v>
      </c>
    </row>
    <row r="14236" spans="1:8" x14ac:dyDescent="0.2">
      <c r="A14236" t="str">
        <f t="shared" ref="A14236:A14243" si="5164">"0617111966"</f>
        <v>0617111966</v>
      </c>
      <c r="B14236" t="str">
        <f t="shared" ref="B14236:B14243" si="5165">"KAMORA"</f>
        <v>KAMORA</v>
      </c>
      <c r="C14236" t="str">
        <f t="shared" ref="C14236:C14243" si="5166">"REED"</f>
        <v>REED</v>
      </c>
      <c r="D14236" t="str">
        <f t="shared" ref="D14236:D14243" si="5167">"09"</f>
        <v>09</v>
      </c>
      <c r="E14236" t="str">
        <f>"04 - A - 102 - Eva T Rimmer"</f>
        <v>04 - A - 102 - Eva T Rimmer</v>
      </c>
      <c r="F14236" t="str">
        <f>"CRIMINAL JUST OPS 1"</f>
        <v>CRIMINAL JUST OPS 1</v>
      </c>
      <c r="G14236" t="str">
        <f>"05-523"</f>
        <v>05-523</v>
      </c>
      <c r="H14236" t="str">
        <f>"A"</f>
        <v>A</v>
      </c>
    </row>
    <row r="14237" spans="1:8" x14ac:dyDescent="0.2">
      <c r="A14237" t="str">
        <f t="shared" si="5164"/>
        <v>0617111966</v>
      </c>
      <c r="B14237" t="str">
        <f t="shared" si="5165"/>
        <v>KAMORA</v>
      </c>
      <c r="C14237" t="str">
        <f t="shared" si="5166"/>
        <v>REED</v>
      </c>
      <c r="D14237" t="str">
        <f t="shared" si="5167"/>
        <v>09</v>
      </c>
      <c r="E14237" t="str">
        <f>"06 - B - 104 - Lytrell T Dixon"</f>
        <v>06 - B - 104 - Lytrell T Dixon</v>
      </c>
      <c r="F14237" t="str">
        <f>"PRE-AICE BIO IG"</f>
        <v>PRE-AICE BIO IG</v>
      </c>
      <c r="G14237" t="str">
        <f>"08-808"</f>
        <v>08-808</v>
      </c>
      <c r="H14237" t="str">
        <f>"B"</f>
        <v>B</v>
      </c>
    </row>
    <row r="14238" spans="1:8" x14ac:dyDescent="0.2">
      <c r="A14238" t="str">
        <f t="shared" si="5164"/>
        <v>0617111966</v>
      </c>
      <c r="B14238" t="str">
        <f t="shared" si="5165"/>
        <v>KAMORA</v>
      </c>
      <c r="C14238" t="str">
        <f t="shared" si="5166"/>
        <v>REED</v>
      </c>
      <c r="D14238" t="str">
        <f t="shared" si="5167"/>
        <v>09</v>
      </c>
      <c r="E14238" t="str">
        <f>"03 - A - 103 - Adam Marcus  Drucker"</f>
        <v>03 - A - 103 - Adam Marcus  Drucker</v>
      </c>
      <c r="F14238" t="str">
        <f>"HOPE-PE V"</f>
        <v>HOPE-PE V</v>
      </c>
      <c r="G14238" t="str">
        <f>"04-254"</f>
        <v>04-254</v>
      </c>
      <c r="H14238" t="str">
        <f>"A"</f>
        <v>A</v>
      </c>
    </row>
    <row r="14239" spans="1:8" x14ac:dyDescent="0.2">
      <c r="A14239" t="str">
        <f t="shared" si="5164"/>
        <v>0617111966</v>
      </c>
      <c r="B14239" t="str">
        <f t="shared" si="5165"/>
        <v>KAMORA</v>
      </c>
      <c r="C14239" t="str">
        <f t="shared" si="5166"/>
        <v>REED</v>
      </c>
      <c r="D14239" t="str">
        <f t="shared" si="5167"/>
        <v>09</v>
      </c>
      <c r="E14239" t="str">
        <f>"02 - A - 108 - Rory T Sponsler"</f>
        <v>02 - A - 108 - Rory T Sponsler</v>
      </c>
      <c r="F14239" t="str">
        <f>"NC STUDY HALL 1"</f>
        <v>NC STUDY HALL 1</v>
      </c>
      <c r="G14239" t="str">
        <f>"17-1740"</f>
        <v>17-1740</v>
      </c>
      <c r="H14239" t="str">
        <f>"A"</f>
        <v>A</v>
      </c>
    </row>
    <row r="14240" spans="1:8" x14ac:dyDescent="0.2">
      <c r="A14240" t="str">
        <f t="shared" si="5164"/>
        <v>0617111966</v>
      </c>
      <c r="B14240" t="str">
        <f t="shared" si="5165"/>
        <v>KAMORA</v>
      </c>
      <c r="C14240" t="str">
        <f t="shared" si="5166"/>
        <v>REED</v>
      </c>
      <c r="D14240" t="str">
        <f t="shared" si="5167"/>
        <v>09</v>
      </c>
      <c r="E14240" t="str">
        <f>"07 - B - 001 - Maried P Ramos"</f>
        <v>07 - B - 001 - Maried P Ramos</v>
      </c>
      <c r="F14240" t="str">
        <f>"GEOMETRY"</f>
        <v>GEOMETRY</v>
      </c>
      <c r="G14240" t="str">
        <f>"21-2159"</f>
        <v>21-2159</v>
      </c>
      <c r="H14240" t="str">
        <f>"B"</f>
        <v>B</v>
      </c>
    </row>
    <row r="14241" spans="1:8" x14ac:dyDescent="0.2">
      <c r="A14241" t="str">
        <f t="shared" si="5164"/>
        <v>0617111966</v>
      </c>
      <c r="B14241" t="str">
        <f t="shared" si="5165"/>
        <v>KAMORA</v>
      </c>
      <c r="C14241" t="str">
        <f t="shared" si="5166"/>
        <v>REED</v>
      </c>
      <c r="D14241" t="str">
        <f t="shared" si="5167"/>
        <v>09</v>
      </c>
      <c r="E14241" t="str">
        <f>"05 - S1 - B - 103 - Leslie J Barton"</f>
        <v>05 - S1 - B - 103 - Leslie J Barton</v>
      </c>
      <c r="F14241" t="str">
        <f>"FIRST AID SAFETY"</f>
        <v>FIRST AID SAFETY</v>
      </c>
      <c r="G14241" t="str">
        <f>"05-521"</f>
        <v>05-521</v>
      </c>
      <c r="H14241" t="str">
        <f>"B"</f>
        <v>B</v>
      </c>
    </row>
    <row r="14242" spans="1:8" x14ac:dyDescent="0.2">
      <c r="A14242" t="str">
        <f t="shared" si="5164"/>
        <v>0617111966</v>
      </c>
      <c r="B14242" t="str">
        <f t="shared" si="5165"/>
        <v>KAMORA</v>
      </c>
      <c r="C14242" t="str">
        <f t="shared" si="5166"/>
        <v>REED</v>
      </c>
      <c r="D14242" t="str">
        <f t="shared" si="5167"/>
        <v>09</v>
      </c>
      <c r="E14242" t="str">
        <f>"01 - A - 504 - Alejandro  Navarro"</f>
        <v>01 - A - 504 - Alejandro  Navarro</v>
      </c>
      <c r="F14242" t="str">
        <f>"BAND 1"</f>
        <v>BAND 1</v>
      </c>
      <c r="G14242" t="str">
        <f>"05-504"</f>
        <v>05-504</v>
      </c>
      <c r="H14242" t="str">
        <f>"A"</f>
        <v>A</v>
      </c>
    </row>
    <row r="14243" spans="1:8" x14ac:dyDescent="0.2">
      <c r="A14243" t="str">
        <f t="shared" si="5164"/>
        <v>0617111966</v>
      </c>
      <c r="B14243" t="str">
        <f t="shared" si="5165"/>
        <v>KAMORA</v>
      </c>
      <c r="C14243" t="str">
        <f t="shared" si="5166"/>
        <v>REED</v>
      </c>
      <c r="D14243" t="str">
        <f t="shared" si="5167"/>
        <v>09</v>
      </c>
      <c r="E14243" t="str">
        <f>"08 - B - 004 - Cheryl Anne  Berman-Schechter"</f>
        <v>08 - B - 004 - Cheryl Anne  Berman-Schechter</v>
      </c>
      <c r="F14243" t="str">
        <f>"AICE ENG GEN PAPER 1"</f>
        <v>AICE ENG GEN PAPER 1</v>
      </c>
      <c r="G14243" t="str">
        <f>"17-1722"</f>
        <v>17-1722</v>
      </c>
      <c r="H14243" t="str">
        <f>"B"</f>
        <v>B</v>
      </c>
    </row>
    <row r="14244" spans="1:8" x14ac:dyDescent="0.2">
      <c r="A14244" t="str">
        <f t="shared" ref="A14244:A14251" si="5168">"0614004818"</f>
        <v>0614004818</v>
      </c>
      <c r="B14244" t="str">
        <f t="shared" ref="B14244:B14251" si="5169">"LYDIA"</f>
        <v>LYDIA</v>
      </c>
      <c r="C14244" t="str">
        <f t="shared" ref="C14244:C14251" si="5170">"REEVE"</f>
        <v>REEVE</v>
      </c>
      <c r="D14244">
        <f>12</f>
        <v>12</v>
      </c>
      <c r="E14244" t="str">
        <f>"04 - A - 101 - Thomas G Handwerg"</f>
        <v>04 - A - 101 - Thomas G Handwerg</v>
      </c>
      <c r="F14244" t="str">
        <f>"MATH COLL ALGEBRA"</f>
        <v>MATH COLL ALGEBRA</v>
      </c>
      <c r="G14244" t="str">
        <f>"21-2146"</f>
        <v>21-2146</v>
      </c>
      <c r="H14244" t="str">
        <f>"A"</f>
        <v>A</v>
      </c>
    </row>
    <row r="14245" spans="1:8" x14ac:dyDescent="0.2">
      <c r="A14245" t="str">
        <f t="shared" si="5168"/>
        <v>0614004818</v>
      </c>
      <c r="B14245" t="str">
        <f t="shared" si="5169"/>
        <v>LYDIA</v>
      </c>
      <c r="C14245" t="str">
        <f t="shared" si="5170"/>
        <v>REEVE</v>
      </c>
      <c r="D14245">
        <f>12</f>
        <v>12</v>
      </c>
      <c r="E14245" t="str">
        <f>"06 - B - 101 - Cliffon  Saurel"</f>
        <v>06 - B - 101 - Cliffon  Saurel</v>
      </c>
      <c r="F14245" t="str">
        <f>"NC STUDY HALL 1"</f>
        <v>NC STUDY HALL 1</v>
      </c>
      <c r="G14245" t="str">
        <f>"05-522"</f>
        <v>05-522</v>
      </c>
      <c r="H14245" t="str">
        <f>"B"</f>
        <v>B</v>
      </c>
    </row>
    <row r="14246" spans="1:8" x14ac:dyDescent="0.2">
      <c r="A14246" t="str">
        <f t="shared" si="5168"/>
        <v>0614004818</v>
      </c>
      <c r="B14246" t="str">
        <f t="shared" si="5169"/>
        <v>LYDIA</v>
      </c>
      <c r="C14246" t="str">
        <f t="shared" si="5170"/>
        <v>REEVE</v>
      </c>
      <c r="D14246">
        <f>12</f>
        <v>12</v>
      </c>
      <c r="E14246" t="str">
        <f>"03 - A - 101 - Dorothy D Moore"</f>
        <v>03 - A - 101 - Dorothy D Moore</v>
      </c>
      <c r="F14246" t="str">
        <f>"FORC SCI 1 LH"</f>
        <v>FORC SCI 1 LH</v>
      </c>
      <c r="G14246" t="str">
        <f>"08-803"</f>
        <v>08-803</v>
      </c>
      <c r="H14246" t="str">
        <f>"A"</f>
        <v>A</v>
      </c>
    </row>
    <row r="14247" spans="1:8" x14ac:dyDescent="0.2">
      <c r="A14247" t="str">
        <f t="shared" si="5168"/>
        <v>0614004818</v>
      </c>
      <c r="B14247" t="str">
        <f t="shared" si="5169"/>
        <v>LYDIA</v>
      </c>
      <c r="C14247" t="str">
        <f t="shared" si="5170"/>
        <v>REEVE</v>
      </c>
      <c r="D14247">
        <f>12</f>
        <v>12</v>
      </c>
      <c r="E14247" t="str">
        <f>"02 - A - 101 - Brian M Fitzgerald"</f>
        <v>02 - A - 101 - Brian M Fitzgerald</v>
      </c>
      <c r="F14247" t="str">
        <f>"DRAW 1"</f>
        <v>DRAW 1</v>
      </c>
      <c r="G14247" t="str">
        <f>"09-908"</f>
        <v>09-908</v>
      </c>
      <c r="H14247" t="str">
        <f>"A"</f>
        <v>A</v>
      </c>
    </row>
    <row r="14248" spans="1:8" x14ac:dyDescent="0.2">
      <c r="A14248" t="str">
        <f t="shared" si="5168"/>
        <v>0614004818</v>
      </c>
      <c r="B14248" t="str">
        <f t="shared" si="5169"/>
        <v>LYDIA</v>
      </c>
      <c r="C14248" t="str">
        <f t="shared" si="5170"/>
        <v>REEVE</v>
      </c>
      <c r="D14248">
        <f>12</f>
        <v>12</v>
      </c>
      <c r="E14248" t="str">
        <f>"07 - B - 002 - Jazmin S Fletcher"</f>
        <v>07 - B - 002 - Jazmin S Fletcher</v>
      </c>
      <c r="F14248" t="str">
        <f>"THEATRE 1"</f>
        <v>THEATRE 1</v>
      </c>
      <c r="G14248" t="str">
        <f>"09-909"</f>
        <v>09-909</v>
      </c>
      <c r="H14248" t="str">
        <f>"B"</f>
        <v>B</v>
      </c>
    </row>
    <row r="14249" spans="1:8" x14ac:dyDescent="0.2">
      <c r="A14249" t="str">
        <f t="shared" si="5168"/>
        <v>0614004818</v>
      </c>
      <c r="B14249" t="str">
        <f t="shared" si="5169"/>
        <v>LYDIA</v>
      </c>
      <c r="C14249" t="str">
        <f t="shared" si="5170"/>
        <v>REEVE</v>
      </c>
      <c r="D14249">
        <f>12</f>
        <v>12</v>
      </c>
      <c r="E14249" t="str">
        <f>"05 - S1 - B - 102 - Robert O Burger"</f>
        <v>05 - S1 - B - 102 - Robert O Burger</v>
      </c>
      <c r="F14249" t="str">
        <f>"US GOVT"</f>
        <v>US GOVT</v>
      </c>
      <c r="G14249" t="str">
        <f>"17-1755"</f>
        <v>17-1755</v>
      </c>
      <c r="H14249" t="str">
        <f>"B"</f>
        <v>B</v>
      </c>
    </row>
    <row r="14250" spans="1:8" x14ac:dyDescent="0.2">
      <c r="A14250" t="str">
        <f t="shared" si="5168"/>
        <v>0614004818</v>
      </c>
      <c r="B14250" t="str">
        <f t="shared" si="5169"/>
        <v>LYDIA</v>
      </c>
      <c r="C14250" t="str">
        <f t="shared" si="5170"/>
        <v>REEVE</v>
      </c>
      <c r="D14250">
        <f>12</f>
        <v>12</v>
      </c>
      <c r="E14250" t="str">
        <f>"01 - A - 103 - Jeffrey S Gallagher"</f>
        <v>01 - A - 103 - Jeffrey S Gallagher</v>
      </c>
      <c r="F14250" t="str">
        <f>"ENG HON 4"</f>
        <v>ENG HON 4</v>
      </c>
      <c r="G14250" t="str">
        <f>"17-1724"</f>
        <v>17-1724</v>
      </c>
      <c r="H14250" t="str">
        <f>"A"</f>
        <v>A</v>
      </c>
    </row>
    <row r="14251" spans="1:8" x14ac:dyDescent="0.2">
      <c r="A14251" t="str">
        <f t="shared" si="5168"/>
        <v>0614004818</v>
      </c>
      <c r="B14251" t="str">
        <f t="shared" si="5169"/>
        <v>LYDIA</v>
      </c>
      <c r="C14251" t="str">
        <f t="shared" si="5170"/>
        <v>REEVE</v>
      </c>
      <c r="D14251">
        <f>12</f>
        <v>12</v>
      </c>
      <c r="E14251" t="str">
        <f>"08 - B - 101 - Eva T Rimmer"</f>
        <v>08 - B - 101 - Eva T Rimmer</v>
      </c>
      <c r="F14251" t="str">
        <f>"CRIM JUST OPS 3 HON"</f>
        <v>CRIM JUST OPS 3 HON</v>
      </c>
      <c r="G14251" t="str">
        <f>"05-523"</f>
        <v>05-523</v>
      </c>
      <c r="H14251" t="str">
        <f>"B"</f>
        <v>B</v>
      </c>
    </row>
    <row r="14252" spans="1:8" x14ac:dyDescent="0.2">
      <c r="A14252" t="str">
        <f t="shared" ref="A14252:A14260" si="5171">"0613096157"</f>
        <v>0613096157</v>
      </c>
      <c r="B14252" t="str">
        <f t="shared" ref="B14252:B14260" si="5172">"AYSIA"</f>
        <v>AYSIA</v>
      </c>
      <c r="C14252" t="str">
        <f t="shared" ref="C14252:C14260" si="5173">"REEVES"</f>
        <v>REEVES</v>
      </c>
      <c r="D14252">
        <f>11</f>
        <v>11</v>
      </c>
      <c r="E14252" t="str">
        <f>"19 - S1 - MTWHF - B18 - Instructor BC"</f>
        <v>19 - S1 - MTWHF - B18 - Instructor BC</v>
      </c>
      <c r="F14252" t="str">
        <f>"HISTORY OF AVIATION"</f>
        <v>HISTORY OF AVIATION</v>
      </c>
      <c r="G14252" t="str">
        <f>"60-DE"</f>
        <v>60-DE</v>
      </c>
      <c r="H14252" t="str">
        <f>"-"</f>
        <v>-</v>
      </c>
    </row>
    <row r="14253" spans="1:8" x14ac:dyDescent="0.2">
      <c r="A14253" t="str">
        <f t="shared" si="5171"/>
        <v>0613096157</v>
      </c>
      <c r="B14253" t="str">
        <f t="shared" si="5172"/>
        <v>AYSIA</v>
      </c>
      <c r="C14253" t="str">
        <f t="shared" si="5173"/>
        <v>REEVES</v>
      </c>
      <c r="D14253">
        <f>11</f>
        <v>11</v>
      </c>
      <c r="E14253" t="str">
        <f>"04 - A - 101 - Christa T Parisi"</f>
        <v>04 - A - 101 - Christa T Parisi</v>
      </c>
      <c r="F14253" t="str">
        <f>"DANCE TECHNQS 2"</f>
        <v>DANCE TECHNQS 2</v>
      </c>
      <c r="G14253" t="str">
        <f>"05-503"</f>
        <v>05-503</v>
      </c>
      <c r="H14253" t="str">
        <f>"A"</f>
        <v>A</v>
      </c>
    </row>
    <row r="14254" spans="1:8" x14ac:dyDescent="0.2">
      <c r="A14254" t="str">
        <f t="shared" si="5171"/>
        <v>0613096157</v>
      </c>
      <c r="B14254" t="str">
        <f t="shared" si="5172"/>
        <v>AYSIA</v>
      </c>
      <c r="C14254" t="str">
        <f t="shared" si="5173"/>
        <v>REEVES</v>
      </c>
      <c r="D14254">
        <f>11</f>
        <v>11</v>
      </c>
      <c r="E14254" t="str">
        <f>"06 - B - 001 - Lourivaldo  Da Silva"</f>
        <v>06 - B - 001 - Lourivaldo  Da Silva</v>
      </c>
      <c r="F14254" t="str">
        <f>"PRE-CALCULUS HON"</f>
        <v>PRE-CALCULUS HON</v>
      </c>
      <c r="G14254" t="str">
        <f>"20-2079"</f>
        <v>20-2079</v>
      </c>
      <c r="H14254" t="str">
        <f>"B"</f>
        <v>B</v>
      </c>
    </row>
    <row r="14255" spans="1:8" x14ac:dyDescent="0.2">
      <c r="A14255" t="str">
        <f t="shared" si="5171"/>
        <v>0613096157</v>
      </c>
      <c r="B14255" t="str">
        <f t="shared" si="5172"/>
        <v>AYSIA</v>
      </c>
      <c r="C14255" t="str">
        <f t="shared" si="5173"/>
        <v>REEVES</v>
      </c>
      <c r="D14255">
        <f>11</f>
        <v>11</v>
      </c>
      <c r="E14255" t="str">
        <f>"03 - A - 101 - Jacqueline R Morphet"</f>
        <v>03 - A - 101 - Jacqueline R Morphet</v>
      </c>
      <c r="F14255" t="str">
        <f>"AP PHYSICS 1"</f>
        <v>AP PHYSICS 1</v>
      </c>
      <c r="G14255" t="str">
        <f>"21-2138"</f>
        <v>21-2138</v>
      </c>
      <c r="H14255" t="str">
        <f>"A"</f>
        <v>A</v>
      </c>
    </row>
    <row r="14256" spans="1:8" x14ac:dyDescent="0.2">
      <c r="A14256" t="str">
        <f t="shared" si="5171"/>
        <v>0613096157</v>
      </c>
      <c r="B14256" t="str">
        <f t="shared" si="5172"/>
        <v>AYSIA</v>
      </c>
      <c r="C14256" t="str">
        <f t="shared" si="5173"/>
        <v>REEVES</v>
      </c>
      <c r="D14256">
        <f>11</f>
        <v>11</v>
      </c>
      <c r="E14256" t="str">
        <f>"02 - A - 103 - Angela S Adeshina-Morrison"</f>
        <v>02 - A - 103 - Angela S Adeshina-Morrison</v>
      </c>
      <c r="F14256" t="str">
        <f>"NC STUDY HALL 1"</f>
        <v>NC STUDY HALL 1</v>
      </c>
      <c r="G14256" t="str">
        <f>"05-518"</f>
        <v>05-518</v>
      </c>
      <c r="H14256" t="str">
        <f>"A"</f>
        <v>A</v>
      </c>
    </row>
    <row r="14257" spans="1:8" x14ac:dyDescent="0.2">
      <c r="A14257" t="str">
        <f t="shared" si="5171"/>
        <v>0613096157</v>
      </c>
      <c r="B14257" t="str">
        <f t="shared" si="5172"/>
        <v>AYSIA</v>
      </c>
      <c r="C14257" t="str">
        <f t="shared" si="5173"/>
        <v>REEVES</v>
      </c>
      <c r="D14257">
        <f>11</f>
        <v>11</v>
      </c>
      <c r="E14257" t="str">
        <f>"07 - B - 101 - Lisa  Quinn"</f>
        <v>07 - B - 101 - Lisa  Quinn</v>
      </c>
      <c r="F14257" t="str">
        <f>"RESEARCH 1"</f>
        <v>RESEARCH 1</v>
      </c>
      <c r="G14257" t="str">
        <f>"17-1725"</f>
        <v>17-1725</v>
      </c>
      <c r="H14257" t="str">
        <f>"B"</f>
        <v>B</v>
      </c>
    </row>
    <row r="14258" spans="1:8" x14ac:dyDescent="0.2">
      <c r="A14258" t="str">
        <f t="shared" si="5171"/>
        <v>0613096157</v>
      </c>
      <c r="B14258" t="str">
        <f t="shared" si="5172"/>
        <v>AYSIA</v>
      </c>
      <c r="C14258" t="str">
        <f t="shared" si="5173"/>
        <v>REEVES</v>
      </c>
      <c r="D14258">
        <f>11</f>
        <v>11</v>
      </c>
      <c r="E14258" t="str">
        <f>"05 - B - 103 - Brandy N Zdenek"</f>
        <v>05 - B - 103 - Brandy N Zdenek</v>
      </c>
      <c r="F14258" t="str">
        <f>"AICE ENG LANG 2 AL"</f>
        <v>AICE ENG LANG 2 AL</v>
      </c>
      <c r="G14258" t="str">
        <f>"17-1704"</f>
        <v>17-1704</v>
      </c>
      <c r="H14258" t="str">
        <f>"B"</f>
        <v>B</v>
      </c>
    </row>
    <row r="14259" spans="1:8" x14ac:dyDescent="0.2">
      <c r="A14259" t="str">
        <f t="shared" si="5171"/>
        <v>0613096157</v>
      </c>
      <c r="B14259" t="str">
        <f t="shared" si="5172"/>
        <v>AYSIA</v>
      </c>
      <c r="C14259" t="str">
        <f t="shared" si="5173"/>
        <v>REEVES</v>
      </c>
      <c r="D14259">
        <f>11</f>
        <v>11</v>
      </c>
      <c r="E14259" t="str">
        <f>"01 - A - 104 - Jerry S Jiampetti"</f>
        <v>01 - A - 104 - Jerry S Jiampetti</v>
      </c>
      <c r="F14259" t="str">
        <f>"US HISTORY HON"</f>
        <v>US HISTORY HON</v>
      </c>
      <c r="G14259" t="str">
        <f>"17-1751"</f>
        <v>17-1751</v>
      </c>
      <c r="H14259" t="str">
        <f>"A"</f>
        <v>A</v>
      </c>
    </row>
    <row r="14260" spans="1:8" x14ac:dyDescent="0.2">
      <c r="A14260" t="str">
        <f t="shared" si="5171"/>
        <v>0613096157</v>
      </c>
      <c r="B14260" t="str">
        <f t="shared" si="5172"/>
        <v>AYSIA</v>
      </c>
      <c r="C14260" t="str">
        <f t="shared" si="5173"/>
        <v>REEVES</v>
      </c>
      <c r="D14260">
        <f>11</f>
        <v>11</v>
      </c>
      <c r="E14260" t="str">
        <f>"08 - B - 101 - Jordana K Hass"</f>
        <v>08 - B - 101 - Jordana K Hass</v>
      </c>
      <c r="F14260" t="str">
        <f>"AICE INFO TECH 1 AS"</f>
        <v>AICE INFO TECH 1 AS</v>
      </c>
      <c r="G14260" t="str">
        <f>"08-807"</f>
        <v>08-807</v>
      </c>
      <c r="H14260" t="str">
        <f>"B"</f>
        <v>B</v>
      </c>
    </row>
    <row r="14261" spans="1:8" x14ac:dyDescent="0.2">
      <c r="A14261" t="str">
        <f t="shared" ref="A14261:A14268" si="5174">"0615041721"</f>
        <v>0615041721</v>
      </c>
      <c r="B14261" t="str">
        <f t="shared" ref="B14261:B14268" si="5175">"JORDYN"</f>
        <v>JORDYN</v>
      </c>
      <c r="C14261" t="str">
        <f t="shared" ref="C14261:C14276" si="5176">"REID"</f>
        <v>REID</v>
      </c>
      <c r="D14261">
        <f>10</f>
        <v>10</v>
      </c>
      <c r="E14261" t="str">
        <f>"04 - A - 105 - Jacklyn M James"</f>
        <v>04 - A - 105 - Jacklyn M James</v>
      </c>
      <c r="F14261" t="str">
        <f>"AICE ENG LANG AS"</f>
        <v>AICE ENG LANG AS</v>
      </c>
      <c r="G14261" t="str">
        <f>"17-1731"</f>
        <v>17-1731</v>
      </c>
      <c r="H14261" t="str">
        <f>"A"</f>
        <v>A</v>
      </c>
    </row>
    <row r="14262" spans="1:8" x14ac:dyDescent="0.2">
      <c r="A14262" t="str">
        <f t="shared" si="5174"/>
        <v>0615041721</v>
      </c>
      <c r="B14262" t="str">
        <f t="shared" si="5175"/>
        <v>JORDYN</v>
      </c>
      <c r="C14262" t="str">
        <f t="shared" si="5176"/>
        <v>REID</v>
      </c>
      <c r="D14262">
        <f>10</f>
        <v>10</v>
      </c>
      <c r="E14262" t="str">
        <f>"06 - B - 109 - Semra  Bahadir"</f>
        <v>06 - B - 109 - Semra  Bahadir</v>
      </c>
      <c r="F14262" t="str">
        <f>"NC STUDY HALL 1"</f>
        <v>NC STUDY HALL 1</v>
      </c>
      <c r="G14262" t="str">
        <f>"21-2107"</f>
        <v>21-2107</v>
      </c>
      <c r="H14262" t="str">
        <f>"B"</f>
        <v>B</v>
      </c>
    </row>
    <row r="14263" spans="1:8" x14ac:dyDescent="0.2">
      <c r="A14263" t="str">
        <f t="shared" si="5174"/>
        <v>0615041721</v>
      </c>
      <c r="B14263" t="str">
        <f t="shared" si="5175"/>
        <v>JORDYN</v>
      </c>
      <c r="C14263" t="str">
        <f t="shared" si="5176"/>
        <v>REID</v>
      </c>
      <c r="D14263">
        <f>10</f>
        <v>10</v>
      </c>
      <c r="E14263" t="str">
        <f>"03 - A - 104 - Brook E Goren"</f>
        <v>03 - A - 104 - Brook E Goren</v>
      </c>
      <c r="F14263" t="str">
        <f>"ALGEBRA 2 HON"</f>
        <v>ALGEBRA 2 HON</v>
      </c>
      <c r="G14263" t="str">
        <f>"21-2158"</f>
        <v>21-2158</v>
      </c>
      <c r="H14263" t="str">
        <f>"A"</f>
        <v>A</v>
      </c>
    </row>
    <row r="14264" spans="1:8" x14ac:dyDescent="0.2">
      <c r="A14264" t="str">
        <f t="shared" si="5174"/>
        <v>0615041721</v>
      </c>
      <c r="B14264" t="str">
        <f t="shared" si="5175"/>
        <v>JORDYN</v>
      </c>
      <c r="C14264" t="str">
        <f t="shared" si="5176"/>
        <v>REID</v>
      </c>
      <c r="D14264">
        <f>10</f>
        <v>10</v>
      </c>
      <c r="E14264" t="str">
        <f>"02 - A - 102 - Marius D Orsolini"</f>
        <v>02 - A - 102 - Marius D Orsolini</v>
      </c>
      <c r="F14264" t="str">
        <f>"CULINARY ARTS 1"</f>
        <v>CULINARY ARTS 1</v>
      </c>
      <c r="G14264" t="str">
        <f>"21-2115"</f>
        <v>21-2115</v>
      </c>
      <c r="H14264" t="str">
        <f>"A"</f>
        <v>A</v>
      </c>
    </row>
    <row r="14265" spans="1:8" x14ac:dyDescent="0.2">
      <c r="A14265" t="str">
        <f t="shared" si="5174"/>
        <v>0615041721</v>
      </c>
      <c r="B14265" t="str">
        <f t="shared" si="5175"/>
        <v>JORDYN</v>
      </c>
      <c r="C14265" t="str">
        <f t="shared" si="5176"/>
        <v>REID</v>
      </c>
      <c r="D14265">
        <f>10</f>
        <v>10</v>
      </c>
      <c r="E14265" t="str">
        <f>"07 - B - 204 - Elizabeth Ellen  Moran"</f>
        <v>07 - B - 204 - Elizabeth Ellen  Moran</v>
      </c>
      <c r="F14265" t="str">
        <f>"AICE EURO HIST 1 AS"</f>
        <v>AICE EURO HIST 1 AS</v>
      </c>
      <c r="G14265" t="str">
        <f>"17-1752"</f>
        <v>17-1752</v>
      </c>
      <c r="H14265" t="str">
        <f>"B"</f>
        <v>B</v>
      </c>
    </row>
    <row r="14266" spans="1:8" x14ac:dyDescent="0.2">
      <c r="A14266" t="str">
        <f t="shared" si="5174"/>
        <v>0615041721</v>
      </c>
      <c r="B14266" t="str">
        <f t="shared" si="5175"/>
        <v>JORDYN</v>
      </c>
      <c r="C14266" t="str">
        <f t="shared" si="5176"/>
        <v>REID</v>
      </c>
      <c r="D14266">
        <f>10</f>
        <v>10</v>
      </c>
      <c r="E14266" t="str">
        <f>"05 - B - 102 - Emmily A Sarmiento"</f>
        <v>05 - B - 102 - Emmily A Sarmiento</v>
      </c>
      <c r="F14266" t="str">
        <f>"LEAD SKLS DEV LH"</f>
        <v>LEAD SKLS DEV LH</v>
      </c>
      <c r="G14266" t="str">
        <f>"17-1743"</f>
        <v>17-1743</v>
      </c>
      <c r="H14266" t="str">
        <f>"B"</f>
        <v>B</v>
      </c>
    </row>
    <row r="14267" spans="1:8" x14ac:dyDescent="0.2">
      <c r="A14267" t="str">
        <f t="shared" si="5174"/>
        <v>0615041721</v>
      </c>
      <c r="B14267" t="str">
        <f t="shared" si="5175"/>
        <v>JORDYN</v>
      </c>
      <c r="C14267" t="str">
        <f t="shared" si="5176"/>
        <v>REID</v>
      </c>
      <c r="D14267">
        <f>10</f>
        <v>10</v>
      </c>
      <c r="E14267" t="str">
        <f>"01 - A - 107 - Valerie J Ruwe"</f>
        <v>01 - A - 107 - Valerie J Ruwe</v>
      </c>
      <c r="F14267" t="str">
        <f>"CHEMISTRY 1 HON"</f>
        <v>CHEMISTRY 1 HON</v>
      </c>
      <c r="G14267" t="str">
        <f>"21-2134"</f>
        <v>21-2134</v>
      </c>
      <c r="H14267" t="str">
        <f>"A"</f>
        <v>A</v>
      </c>
    </row>
    <row r="14268" spans="1:8" x14ac:dyDescent="0.2">
      <c r="A14268" t="str">
        <f t="shared" si="5174"/>
        <v>0615041721</v>
      </c>
      <c r="B14268" t="str">
        <f t="shared" si="5175"/>
        <v>JORDYN</v>
      </c>
      <c r="C14268" t="str">
        <f t="shared" si="5176"/>
        <v>REID</v>
      </c>
      <c r="D14268">
        <f>10</f>
        <v>10</v>
      </c>
      <c r="E14268" t="str">
        <f>"08 - S1 - B - 105 - James H Mccann"</f>
        <v>08 - S1 - B - 105 - James H Mccann</v>
      </c>
      <c r="F14268" t="str">
        <f>"PERS FIN &amp; MON MGT H"</f>
        <v>PERS FIN &amp; MON MGT H</v>
      </c>
      <c r="G14268" t="str">
        <f>"17-1716"</f>
        <v>17-1716</v>
      </c>
      <c r="H14268" t="str">
        <f>"B"</f>
        <v>B</v>
      </c>
    </row>
    <row r="14269" spans="1:8" x14ac:dyDescent="0.2">
      <c r="A14269" t="str">
        <f t="shared" ref="A14269:A14276" si="5177">"0622077446"</f>
        <v>0622077446</v>
      </c>
      <c r="B14269" t="str">
        <f t="shared" ref="B14269:B14276" si="5178">"LASHARA"</f>
        <v>LASHARA</v>
      </c>
      <c r="C14269" t="str">
        <f t="shared" si="5176"/>
        <v>REID</v>
      </c>
      <c r="D14269">
        <f>12</f>
        <v>12</v>
      </c>
      <c r="E14269" t="str">
        <f>"04 - A - 205 - Lytrell T Dixon"</f>
        <v>04 - A - 205 - Lytrell T Dixon</v>
      </c>
      <c r="F14269" t="str">
        <f>"BIOLOGY 1"</f>
        <v>BIOLOGY 1</v>
      </c>
      <c r="G14269" t="str">
        <f>"08-808"</f>
        <v>08-808</v>
      </c>
      <c r="H14269" t="str">
        <f>"A"</f>
        <v>A</v>
      </c>
    </row>
    <row r="14270" spans="1:8" x14ac:dyDescent="0.2">
      <c r="A14270" t="str">
        <f t="shared" si="5177"/>
        <v>0622077446</v>
      </c>
      <c r="B14270" t="str">
        <f t="shared" si="5178"/>
        <v>LASHARA</v>
      </c>
      <c r="C14270" t="str">
        <f t="shared" si="5176"/>
        <v>REID</v>
      </c>
      <c r="D14270">
        <f>12</f>
        <v>12</v>
      </c>
      <c r="E14270" t="str">
        <f>"06 - B - 103 - Stefanie S Scher"</f>
        <v>06 - B - 103 - Stefanie S Scher</v>
      </c>
      <c r="F14270" t="str">
        <f>"NC STUDY HALL 1"</f>
        <v>NC STUDY HALL 1</v>
      </c>
      <c r="G14270" t="str">
        <f>"17-1735"</f>
        <v>17-1735</v>
      </c>
      <c r="H14270" t="str">
        <f>"B"</f>
        <v>B</v>
      </c>
    </row>
    <row r="14271" spans="1:8" x14ac:dyDescent="0.2">
      <c r="A14271" t="str">
        <f t="shared" si="5177"/>
        <v>0622077446</v>
      </c>
      <c r="B14271" t="str">
        <f t="shared" si="5178"/>
        <v>LASHARA</v>
      </c>
      <c r="C14271" t="str">
        <f t="shared" si="5176"/>
        <v>REID</v>
      </c>
      <c r="D14271">
        <f>12</f>
        <v>12</v>
      </c>
      <c r="E14271" t="str">
        <f>"03 - S1 - A - 102 - Angela S Adeshina-Morrison"</f>
        <v>03 - S1 - A - 102 - Angela S Adeshina-Morrison</v>
      </c>
      <c r="F14271" t="str">
        <f>"PEER COUN 1"</f>
        <v>PEER COUN 1</v>
      </c>
      <c r="G14271" t="str">
        <f>"05-518"</f>
        <v>05-518</v>
      </c>
      <c r="H14271" t="str">
        <f>"A"</f>
        <v>A</v>
      </c>
    </row>
    <row r="14272" spans="1:8" x14ac:dyDescent="0.2">
      <c r="A14272" t="str">
        <f t="shared" si="5177"/>
        <v>0622077446</v>
      </c>
      <c r="B14272" t="str">
        <f t="shared" si="5178"/>
        <v>LASHARA</v>
      </c>
      <c r="C14272" t="str">
        <f t="shared" si="5176"/>
        <v>REID</v>
      </c>
      <c r="D14272">
        <f>12</f>
        <v>12</v>
      </c>
      <c r="E14272" t="str">
        <f>"02 - A - 101 - Nahum  Saint-Preux"</f>
        <v>02 - A - 101 - Nahum  Saint-Preux</v>
      </c>
      <c r="F14272" t="str">
        <f>"INTENS READ 4"</f>
        <v>INTENS READ 4</v>
      </c>
      <c r="G14272" t="str">
        <f>"17-1712"</f>
        <v>17-1712</v>
      </c>
      <c r="H14272" t="str">
        <f>"A"</f>
        <v>A</v>
      </c>
    </row>
    <row r="14273" spans="1:8" x14ac:dyDescent="0.2">
      <c r="A14273" t="str">
        <f t="shared" si="5177"/>
        <v>0622077446</v>
      </c>
      <c r="B14273" t="str">
        <f t="shared" si="5178"/>
        <v>LASHARA</v>
      </c>
      <c r="C14273" t="str">
        <f t="shared" si="5176"/>
        <v>REID</v>
      </c>
      <c r="D14273">
        <f>12</f>
        <v>12</v>
      </c>
      <c r="E14273" t="str">
        <f>"07 - B - 102 - Tina L Lovett"</f>
        <v>07 - B - 102 - Tina L Lovett</v>
      </c>
      <c r="F14273" t="str">
        <f>"MATH DATA &amp; FIN LIT"</f>
        <v>MATH DATA &amp; FIN LIT</v>
      </c>
      <c r="G14273" t="str">
        <f>"21-2153"</f>
        <v>21-2153</v>
      </c>
      <c r="H14273" t="str">
        <f>"B"</f>
        <v>B</v>
      </c>
    </row>
    <row r="14274" spans="1:8" x14ac:dyDescent="0.2">
      <c r="A14274" t="str">
        <f t="shared" si="5177"/>
        <v>0622077446</v>
      </c>
      <c r="B14274" t="str">
        <f t="shared" si="5178"/>
        <v>LASHARA</v>
      </c>
      <c r="C14274" t="str">
        <f t="shared" si="5176"/>
        <v>REID</v>
      </c>
      <c r="D14274">
        <f>12</f>
        <v>12</v>
      </c>
      <c r="E14274" t="str">
        <f>"05 - S1 - B - 102 - Richard E Dunbar Iii"</f>
        <v>05 - S1 - B - 102 - Richard E Dunbar Iii</v>
      </c>
      <c r="F14274" t="str">
        <f>"TEAM SPORTS 1"</f>
        <v>TEAM SPORTS 1</v>
      </c>
      <c r="G14274" t="str">
        <f>"04-254"</f>
        <v>04-254</v>
      </c>
      <c r="H14274" t="str">
        <f>"B"</f>
        <v>B</v>
      </c>
    </row>
    <row r="14275" spans="1:8" x14ac:dyDescent="0.2">
      <c r="A14275" t="str">
        <f t="shared" si="5177"/>
        <v>0622077446</v>
      </c>
      <c r="B14275" t="str">
        <f t="shared" si="5178"/>
        <v>LASHARA</v>
      </c>
      <c r="C14275" t="str">
        <f t="shared" si="5176"/>
        <v>REID</v>
      </c>
      <c r="D14275">
        <f>12</f>
        <v>12</v>
      </c>
      <c r="E14275" t="str">
        <f>"01 - S1 - A - 101 - Leslie J Barton"</f>
        <v>01 - S1 - A - 101 - Leslie J Barton</v>
      </c>
      <c r="F14275" t="str">
        <f>"FIRST AID SAFETY"</f>
        <v>FIRST AID SAFETY</v>
      </c>
      <c r="G14275" t="str">
        <f>"05-521"</f>
        <v>05-521</v>
      </c>
      <c r="H14275" t="str">
        <f>"A"</f>
        <v>A</v>
      </c>
    </row>
    <row r="14276" spans="1:8" x14ac:dyDescent="0.2">
      <c r="A14276" t="str">
        <f t="shared" si="5177"/>
        <v>0622077446</v>
      </c>
      <c r="B14276" t="str">
        <f t="shared" si="5178"/>
        <v>LASHARA</v>
      </c>
      <c r="C14276" t="str">
        <f t="shared" si="5176"/>
        <v>REID</v>
      </c>
      <c r="D14276">
        <f>12</f>
        <v>12</v>
      </c>
      <c r="E14276" t="str">
        <f>"08 - B - 206 - Robyn L Trainer"</f>
        <v>08 - B - 206 - Robyn L Trainer</v>
      </c>
      <c r="F14276" t="str">
        <f>"ENG 4: FL COLL PREP"</f>
        <v>ENG 4: FL COLL PREP</v>
      </c>
      <c r="G14276" t="str">
        <f>"17-1734"</f>
        <v>17-1734</v>
      </c>
      <c r="H14276" t="str">
        <f>"B"</f>
        <v>B</v>
      </c>
    </row>
    <row r="14277" spans="1:8" x14ac:dyDescent="0.2">
      <c r="A14277" t="str">
        <f t="shared" ref="A14277:A14284" si="5179">"0615103117"</f>
        <v>0615103117</v>
      </c>
      <c r="B14277" t="str">
        <f t="shared" ref="B14277:B14284" si="5180">"ADRIAN"</f>
        <v>ADRIAN</v>
      </c>
      <c r="C14277" t="str">
        <f t="shared" ref="C14277:C14284" si="5181">"REINA"</f>
        <v>REINA</v>
      </c>
      <c r="D14277">
        <f>10</f>
        <v>10</v>
      </c>
      <c r="E14277" t="str">
        <f>"04 - A - 104 - Courtney E Hambright"</f>
        <v>04 - A - 104 - Courtney E Hambright</v>
      </c>
      <c r="F14277" t="str">
        <f>"AICE ENG LANG AS"</f>
        <v>AICE ENG LANG AS</v>
      </c>
      <c r="G14277" t="str">
        <f>"17-1711"</f>
        <v>17-1711</v>
      </c>
      <c r="H14277" t="str">
        <f>"A"</f>
        <v>A</v>
      </c>
    </row>
    <row r="14278" spans="1:8" x14ac:dyDescent="0.2">
      <c r="A14278" t="str">
        <f t="shared" si="5179"/>
        <v>0615103117</v>
      </c>
      <c r="B14278" t="str">
        <f t="shared" si="5180"/>
        <v>ADRIAN</v>
      </c>
      <c r="C14278" t="str">
        <f t="shared" si="5181"/>
        <v>REINA</v>
      </c>
      <c r="D14278">
        <f>10</f>
        <v>10</v>
      </c>
      <c r="E14278" t="str">
        <f>"06 - B - 115 - Scott A Dethloff"</f>
        <v>06 - B - 115 - Scott A Dethloff</v>
      </c>
      <c r="F14278" t="str">
        <f>"NC STUDY HALL 1"</f>
        <v>NC STUDY HALL 1</v>
      </c>
      <c r="G14278" t="str">
        <f>"08-812"</f>
        <v>08-812</v>
      </c>
      <c r="H14278" t="str">
        <f>"B"</f>
        <v>B</v>
      </c>
    </row>
    <row r="14279" spans="1:8" x14ac:dyDescent="0.2">
      <c r="A14279" t="str">
        <f t="shared" si="5179"/>
        <v>0615103117</v>
      </c>
      <c r="B14279" t="str">
        <f t="shared" si="5180"/>
        <v>ADRIAN</v>
      </c>
      <c r="C14279" t="str">
        <f t="shared" si="5181"/>
        <v>REINA</v>
      </c>
      <c r="D14279">
        <f>10</f>
        <v>10</v>
      </c>
      <c r="E14279" t="str">
        <f>"03 - A - 102 - Semra  Bahadir"</f>
        <v>03 - A - 102 - Semra  Bahadir</v>
      </c>
      <c r="F14279" t="str">
        <f>"ALGEBRA 2"</f>
        <v>ALGEBRA 2</v>
      </c>
      <c r="G14279" t="str">
        <f>"21-2107"</f>
        <v>21-2107</v>
      </c>
      <c r="H14279" t="str">
        <f>"A"</f>
        <v>A</v>
      </c>
    </row>
    <row r="14280" spans="1:8" x14ac:dyDescent="0.2">
      <c r="A14280" t="str">
        <f t="shared" si="5179"/>
        <v>0615103117</v>
      </c>
      <c r="B14280" t="str">
        <f t="shared" si="5180"/>
        <v>ADRIAN</v>
      </c>
      <c r="C14280" t="str">
        <f t="shared" si="5181"/>
        <v>REINA</v>
      </c>
      <c r="D14280">
        <f>10</f>
        <v>10</v>
      </c>
      <c r="E14280" t="str">
        <f>"02 - A - 205 - Emmily A Sarmiento"</f>
        <v>02 - A - 205 - Emmily A Sarmiento</v>
      </c>
      <c r="F14280" t="str">
        <f>"AICE GLBL PERSP 1 AS"</f>
        <v>AICE GLBL PERSP 1 AS</v>
      </c>
      <c r="G14280" t="str">
        <f>"17-1743"</f>
        <v>17-1743</v>
      </c>
      <c r="H14280" t="str">
        <f>"A"</f>
        <v>A</v>
      </c>
    </row>
    <row r="14281" spans="1:8" x14ac:dyDescent="0.2">
      <c r="A14281" t="str">
        <f t="shared" si="5179"/>
        <v>0615103117</v>
      </c>
      <c r="B14281" t="str">
        <f t="shared" si="5180"/>
        <v>ADRIAN</v>
      </c>
      <c r="C14281" t="str">
        <f t="shared" si="5181"/>
        <v>REINA</v>
      </c>
      <c r="D14281">
        <f>10</f>
        <v>10</v>
      </c>
      <c r="E14281" t="str">
        <f>"07 - B - 107 - Marius D Orsolini"</f>
        <v>07 - B - 107 - Marius D Orsolini</v>
      </c>
      <c r="F14281" t="str">
        <f>"CULINARY ARTS 1"</f>
        <v>CULINARY ARTS 1</v>
      </c>
      <c r="G14281" t="str">
        <f>"21-2115"</f>
        <v>21-2115</v>
      </c>
      <c r="H14281" t="str">
        <f>"B"</f>
        <v>B</v>
      </c>
    </row>
    <row r="14282" spans="1:8" x14ac:dyDescent="0.2">
      <c r="A14282" t="str">
        <f t="shared" si="5179"/>
        <v>0615103117</v>
      </c>
      <c r="B14282" t="str">
        <f t="shared" si="5180"/>
        <v>ADRIAN</v>
      </c>
      <c r="C14282" t="str">
        <f t="shared" si="5181"/>
        <v>REINA</v>
      </c>
      <c r="D14282">
        <f>10</f>
        <v>10</v>
      </c>
      <c r="E14282" t="str">
        <f>"05 - B - 204 - Cheryl L Beach"</f>
        <v>05 - B - 204 - Cheryl L Beach</v>
      </c>
      <c r="F14282" t="str">
        <f>"AICE ENV MGMNT AS"</f>
        <v>AICE ENV MGMNT AS</v>
      </c>
      <c r="G14282" t="str">
        <f>"08-811"</f>
        <v>08-811</v>
      </c>
      <c r="H14282" t="str">
        <f>"B"</f>
        <v>B</v>
      </c>
    </row>
    <row r="14283" spans="1:8" x14ac:dyDescent="0.2">
      <c r="A14283" t="str">
        <f t="shared" si="5179"/>
        <v>0615103117</v>
      </c>
      <c r="B14283" t="str">
        <f t="shared" si="5180"/>
        <v>ADRIAN</v>
      </c>
      <c r="C14283" t="str">
        <f t="shared" si="5181"/>
        <v>REINA</v>
      </c>
      <c r="D14283">
        <f>10</f>
        <v>10</v>
      </c>
      <c r="E14283" t="str">
        <f>"01 - A - 101 - Adam Marcus  Drucker"</f>
        <v>01 - A - 101 - Adam Marcus  Drucker</v>
      </c>
      <c r="F14283" t="str">
        <f>"HOPE-PE V"</f>
        <v>HOPE-PE V</v>
      </c>
      <c r="G14283" t="str">
        <f>"04-254"</f>
        <v>04-254</v>
      </c>
      <c r="H14283" t="str">
        <f>"A"</f>
        <v>A</v>
      </c>
    </row>
    <row r="14284" spans="1:8" x14ac:dyDescent="0.2">
      <c r="A14284" t="str">
        <f t="shared" si="5179"/>
        <v>0615103117</v>
      </c>
      <c r="B14284" t="str">
        <f t="shared" si="5180"/>
        <v>ADRIAN</v>
      </c>
      <c r="C14284" t="str">
        <f t="shared" si="5181"/>
        <v>REINA</v>
      </c>
      <c r="D14284">
        <f>10</f>
        <v>10</v>
      </c>
      <c r="E14284" t="str">
        <f>"08 - B - 103 - Chrystina M Marchionne"</f>
        <v>08 - B - 103 - Chrystina M Marchionne</v>
      </c>
      <c r="F14284" t="str">
        <f>"JOURN 2 (YB) LH"</f>
        <v>JOURN 2 (YB) LH</v>
      </c>
      <c r="G14284" t="str">
        <f>"05-520"</f>
        <v>05-520</v>
      </c>
      <c r="H14284" t="str">
        <f>"B"</f>
        <v>B</v>
      </c>
    </row>
    <row r="14285" spans="1:8" x14ac:dyDescent="0.2">
      <c r="A14285" t="str">
        <f t="shared" ref="A14285:A14292" si="5182">"0623047086"</f>
        <v>0623047086</v>
      </c>
      <c r="B14285" t="str">
        <f t="shared" ref="B14285:B14292" si="5183">"FRANKLIN"</f>
        <v>FRANKLIN</v>
      </c>
      <c r="C14285" t="str">
        <f t="shared" ref="C14285:C14292" si="5184">"REJON PAREDES"</f>
        <v>REJON PAREDES</v>
      </c>
      <c r="D14285" t="str">
        <f t="shared" ref="D14285:D14300" si="5185">"09"</f>
        <v>09</v>
      </c>
      <c r="E14285" t="str">
        <f>"04 - A - 106 - Lissa C Frederique"</f>
        <v>04 - A - 106 - Lissa C Frederique</v>
      </c>
      <c r="F14285" t="str">
        <f>"WORLD HISTORY"</f>
        <v>WORLD HISTORY</v>
      </c>
      <c r="G14285" t="str">
        <f>"17-1754"</f>
        <v>17-1754</v>
      </c>
      <c r="H14285" t="str">
        <f>"A"</f>
        <v>A</v>
      </c>
    </row>
    <row r="14286" spans="1:8" x14ac:dyDescent="0.2">
      <c r="A14286" t="str">
        <f t="shared" si="5182"/>
        <v>0623047086</v>
      </c>
      <c r="B14286" t="str">
        <f t="shared" si="5183"/>
        <v>FRANKLIN</v>
      </c>
      <c r="C14286" t="str">
        <f t="shared" si="5184"/>
        <v>REJON PAREDES</v>
      </c>
      <c r="D14286" t="str">
        <f t="shared" si="5185"/>
        <v>09</v>
      </c>
      <c r="E14286" t="str">
        <f>"06 - B - 106 - Adam Marcus  Drucker"</f>
        <v>06 - B - 106 - Adam Marcus  Drucker</v>
      </c>
      <c r="F14286" t="str">
        <f>"HOPE-PE V"</f>
        <v>HOPE-PE V</v>
      </c>
      <c r="G14286" t="str">
        <f>"04-254"</f>
        <v>04-254</v>
      </c>
      <c r="H14286" t="str">
        <f>"B"</f>
        <v>B</v>
      </c>
    </row>
    <row r="14287" spans="1:8" x14ac:dyDescent="0.2">
      <c r="A14287" t="str">
        <f t="shared" si="5182"/>
        <v>0623047086</v>
      </c>
      <c r="B14287" t="str">
        <f t="shared" si="5183"/>
        <v>FRANKLIN</v>
      </c>
      <c r="C14287" t="str">
        <f t="shared" si="5184"/>
        <v>REJON PAREDES</v>
      </c>
      <c r="D14287" t="str">
        <f t="shared" si="5185"/>
        <v>09</v>
      </c>
      <c r="E14287" t="str">
        <f>"03 - A - 101 - Milca  Exantus"</f>
        <v>03 - A - 101 - Milca  Exantus</v>
      </c>
      <c r="F14287" t="str">
        <f>"ALGEBRA 1-A"</f>
        <v>ALGEBRA 1-A</v>
      </c>
      <c r="G14287" t="str">
        <f>"21-2145"</f>
        <v>21-2145</v>
      </c>
      <c r="H14287" t="str">
        <f>"A"</f>
        <v>A</v>
      </c>
    </row>
    <row r="14288" spans="1:8" x14ac:dyDescent="0.2">
      <c r="A14288" t="str">
        <f t="shared" si="5182"/>
        <v>0623047086</v>
      </c>
      <c r="B14288" t="str">
        <f t="shared" si="5183"/>
        <v>FRANKLIN</v>
      </c>
      <c r="C14288" t="str">
        <f t="shared" si="5184"/>
        <v>REJON PAREDES</v>
      </c>
      <c r="D14288" t="str">
        <f t="shared" si="5185"/>
        <v>09</v>
      </c>
      <c r="E14288" t="str">
        <f>"02 - A - 104 - Lytrell T Dixon"</f>
        <v>02 - A - 104 - Lytrell T Dixon</v>
      </c>
      <c r="F14288" t="str">
        <f>"NC STUDY HALL 1"</f>
        <v>NC STUDY HALL 1</v>
      </c>
      <c r="G14288" t="str">
        <f>"08-808"</f>
        <v>08-808</v>
      </c>
      <c r="H14288" t="str">
        <f>"A"</f>
        <v>A</v>
      </c>
    </row>
    <row r="14289" spans="1:8" x14ac:dyDescent="0.2">
      <c r="A14289" t="str">
        <f t="shared" si="5182"/>
        <v>0623047086</v>
      </c>
      <c r="B14289" t="str">
        <f t="shared" si="5183"/>
        <v>FRANKLIN</v>
      </c>
      <c r="C14289" t="str">
        <f t="shared" si="5184"/>
        <v>REJON PAREDES</v>
      </c>
      <c r="D14289" t="str">
        <f t="shared" si="5185"/>
        <v>09</v>
      </c>
      <c r="E14289" t="str">
        <f>"07 - B - 101 - Jeanne M Bermudez"</f>
        <v>07 - B - 101 - Jeanne M Bermudez</v>
      </c>
      <c r="F14289" t="str">
        <f>"FOUND OF PROGRAM HON"</f>
        <v>FOUND OF PROGRAM HON</v>
      </c>
      <c r="G14289" t="str">
        <f>"21-2141"</f>
        <v>21-2141</v>
      </c>
      <c r="H14289" t="str">
        <f>"B"</f>
        <v>B</v>
      </c>
    </row>
    <row r="14290" spans="1:8" x14ac:dyDescent="0.2">
      <c r="A14290" t="str">
        <f t="shared" si="5182"/>
        <v>0623047086</v>
      </c>
      <c r="B14290" t="str">
        <f t="shared" si="5183"/>
        <v>FRANKLIN</v>
      </c>
      <c r="C14290" t="str">
        <f t="shared" si="5184"/>
        <v>REJON PAREDES</v>
      </c>
      <c r="D14290" t="str">
        <f t="shared" si="5185"/>
        <v>09</v>
      </c>
      <c r="E14290" t="str">
        <f>"05 - B - 104 - Cerine S Stewart"</f>
        <v>05 - B - 104 - Cerine S Stewart</v>
      </c>
      <c r="F14290" t="str">
        <f>"ENG 1"</f>
        <v>ENG 1</v>
      </c>
      <c r="G14290" t="str">
        <f>"17-1720"</f>
        <v>17-1720</v>
      </c>
      <c r="H14290" t="str">
        <f>"B"</f>
        <v>B</v>
      </c>
    </row>
    <row r="14291" spans="1:8" x14ac:dyDescent="0.2">
      <c r="A14291" t="str">
        <f t="shared" si="5182"/>
        <v>0623047086</v>
      </c>
      <c r="B14291" t="str">
        <f t="shared" si="5183"/>
        <v>FRANKLIN</v>
      </c>
      <c r="C14291" t="str">
        <f t="shared" si="5184"/>
        <v>REJON PAREDES</v>
      </c>
      <c r="D14291" t="str">
        <f t="shared" si="5185"/>
        <v>09</v>
      </c>
      <c r="E14291" t="str">
        <f>"01 - A - 101 - Samantha L Martinez"</f>
        <v>01 - A - 101 - Samantha L Martinez</v>
      </c>
      <c r="F14291" t="str">
        <f>"MUSIC WORLD"</f>
        <v>MUSIC WORLD</v>
      </c>
      <c r="G14291" t="str">
        <f>"05-505"</f>
        <v>05-505</v>
      </c>
      <c r="H14291" t="str">
        <f>"A"</f>
        <v>A</v>
      </c>
    </row>
    <row r="14292" spans="1:8" x14ac:dyDescent="0.2">
      <c r="A14292" t="str">
        <f t="shared" si="5182"/>
        <v>0623047086</v>
      </c>
      <c r="B14292" t="str">
        <f t="shared" si="5183"/>
        <v>FRANKLIN</v>
      </c>
      <c r="C14292" t="str">
        <f t="shared" si="5184"/>
        <v>REJON PAREDES</v>
      </c>
      <c r="D14292" t="str">
        <f t="shared" si="5185"/>
        <v>09</v>
      </c>
      <c r="E14292" t="str">
        <f>"08 - B - 105 - Samantha J Headley"</f>
        <v>08 - B - 105 - Samantha J Headley</v>
      </c>
      <c r="F14292" t="str">
        <f>"ENV SCI"</f>
        <v>ENV SCI</v>
      </c>
      <c r="G14292" t="str">
        <f>"08-802"</f>
        <v>08-802</v>
      </c>
      <c r="H14292" t="str">
        <f>"B"</f>
        <v>B</v>
      </c>
    </row>
    <row r="14293" spans="1:8" x14ac:dyDescent="0.2">
      <c r="A14293" t="str">
        <f t="shared" ref="A14293:A14300" si="5186">"0616122489"</f>
        <v>0616122489</v>
      </c>
      <c r="B14293" t="str">
        <f t="shared" ref="B14293:B14300" si="5187">"VIOLA"</f>
        <v>VIOLA</v>
      </c>
      <c r="C14293" t="str">
        <f t="shared" ref="C14293:C14300" si="5188">"REMENTERIA"</f>
        <v>REMENTERIA</v>
      </c>
      <c r="D14293" t="str">
        <f t="shared" si="5185"/>
        <v>09</v>
      </c>
      <c r="E14293" t="str">
        <f>"04 - A - 101 - Arthur  Kulawik"</f>
        <v>04 - A - 101 - Arthur  Kulawik</v>
      </c>
      <c r="F14293" t="str">
        <f>"DEBATE 3 HON"</f>
        <v>DEBATE 3 HON</v>
      </c>
      <c r="G14293" t="str">
        <f>"05-506"</f>
        <v>05-506</v>
      </c>
      <c r="H14293" t="str">
        <f>"A"</f>
        <v>A</v>
      </c>
    </row>
    <row r="14294" spans="1:8" x14ac:dyDescent="0.2">
      <c r="A14294" t="str">
        <f t="shared" si="5186"/>
        <v>0616122489</v>
      </c>
      <c r="B14294" t="str">
        <f t="shared" si="5187"/>
        <v>VIOLA</v>
      </c>
      <c r="C14294" t="str">
        <f t="shared" si="5188"/>
        <v>REMENTERIA</v>
      </c>
      <c r="D14294" t="str">
        <f t="shared" si="5185"/>
        <v>09</v>
      </c>
      <c r="E14294" t="str">
        <f>"06 - B - 104 - Byron G Montenegro"</f>
        <v>06 - B - 104 - Byron G Montenegro</v>
      </c>
      <c r="F14294" t="str">
        <f>"AICE MARINE SCI 1 AS"</f>
        <v>AICE MARINE SCI 1 AS</v>
      </c>
      <c r="G14294" t="str">
        <f>"21-2144"</f>
        <v>21-2144</v>
      </c>
      <c r="H14294" t="str">
        <f>"B"</f>
        <v>B</v>
      </c>
    </row>
    <row r="14295" spans="1:8" x14ac:dyDescent="0.2">
      <c r="A14295" t="str">
        <f t="shared" si="5186"/>
        <v>0616122489</v>
      </c>
      <c r="B14295" t="str">
        <f t="shared" si="5187"/>
        <v>VIOLA</v>
      </c>
      <c r="C14295" t="str">
        <f t="shared" si="5188"/>
        <v>REMENTERIA</v>
      </c>
      <c r="D14295" t="str">
        <f t="shared" si="5185"/>
        <v>09</v>
      </c>
      <c r="E14295" t="str">
        <f>"03 - A - 103 - Kelly N Panza"</f>
        <v>03 - A - 103 - Kelly N Panza</v>
      </c>
      <c r="F14295" t="str">
        <f>"AICE GLBL PERSP 1 AS"</f>
        <v>AICE GLBL PERSP 1 AS</v>
      </c>
      <c r="G14295" t="str">
        <f>"17-1753"</f>
        <v>17-1753</v>
      </c>
      <c r="H14295" t="str">
        <f>"A"</f>
        <v>A</v>
      </c>
    </row>
    <row r="14296" spans="1:8" x14ac:dyDescent="0.2">
      <c r="A14296" t="str">
        <f t="shared" si="5186"/>
        <v>0616122489</v>
      </c>
      <c r="B14296" t="str">
        <f t="shared" si="5187"/>
        <v>VIOLA</v>
      </c>
      <c r="C14296" t="str">
        <f t="shared" si="5188"/>
        <v>REMENTERIA</v>
      </c>
      <c r="D14296" t="str">
        <f t="shared" si="5185"/>
        <v>09</v>
      </c>
      <c r="E14296" t="str">
        <f>"02 - A - 112 - Cheryl Anne  Berman-Schechter"</f>
        <v>02 - A - 112 - Cheryl Anne  Berman-Schechter</v>
      </c>
      <c r="F14296" t="str">
        <f>"NC STUDY HALL 1"</f>
        <v>NC STUDY HALL 1</v>
      </c>
      <c r="G14296" t="str">
        <f>"17-1722"</f>
        <v>17-1722</v>
      </c>
      <c r="H14296" t="str">
        <f>"A"</f>
        <v>A</v>
      </c>
    </row>
    <row r="14297" spans="1:8" x14ac:dyDescent="0.2">
      <c r="A14297" t="str">
        <f t="shared" si="5186"/>
        <v>0616122489</v>
      </c>
      <c r="B14297" t="str">
        <f t="shared" si="5187"/>
        <v>VIOLA</v>
      </c>
      <c r="C14297" t="str">
        <f t="shared" si="5188"/>
        <v>REMENTERIA</v>
      </c>
      <c r="D14297" t="str">
        <f t="shared" si="5185"/>
        <v>09</v>
      </c>
      <c r="E14297" t="str">
        <f>"07 - B - 001 - Cheryl Anne  Berman-Schechter"</f>
        <v>07 - B - 001 - Cheryl Anne  Berman-Schechter</v>
      </c>
      <c r="F14297" t="str">
        <f>"AICE ENG GEN PAPER 1"</f>
        <v>AICE ENG GEN PAPER 1</v>
      </c>
      <c r="G14297" t="str">
        <f>"17-1722"</f>
        <v>17-1722</v>
      </c>
      <c r="H14297" t="str">
        <f>"B"</f>
        <v>B</v>
      </c>
    </row>
    <row r="14298" spans="1:8" x14ac:dyDescent="0.2">
      <c r="A14298" t="str">
        <f t="shared" si="5186"/>
        <v>0616122489</v>
      </c>
      <c r="B14298" t="str">
        <f t="shared" si="5187"/>
        <v>VIOLA</v>
      </c>
      <c r="C14298" t="str">
        <f t="shared" si="5188"/>
        <v>REMENTERIA</v>
      </c>
      <c r="D14298" t="str">
        <f t="shared" si="5185"/>
        <v>09</v>
      </c>
      <c r="E14298" t="str">
        <f>"05 - B - 105 - Marius D Orsolini"</f>
        <v>05 - B - 105 - Marius D Orsolini</v>
      </c>
      <c r="F14298" t="str">
        <f>"CULINARY ARTS 1"</f>
        <v>CULINARY ARTS 1</v>
      </c>
      <c r="G14298" t="str">
        <f>"21-2115"</f>
        <v>21-2115</v>
      </c>
      <c r="H14298" t="str">
        <f>"B"</f>
        <v>B</v>
      </c>
    </row>
    <row r="14299" spans="1:8" x14ac:dyDescent="0.2">
      <c r="A14299" t="str">
        <f t="shared" si="5186"/>
        <v>0616122489</v>
      </c>
      <c r="B14299" t="str">
        <f t="shared" si="5187"/>
        <v>VIOLA</v>
      </c>
      <c r="C14299" t="str">
        <f t="shared" si="5188"/>
        <v>REMENTERIA</v>
      </c>
      <c r="D14299" t="str">
        <f t="shared" si="5185"/>
        <v>09</v>
      </c>
      <c r="E14299" t="str">
        <f>"01 - A - 101 - Nikiel  Nesbeth"</f>
        <v>01 - A - 101 - Nikiel  Nesbeth</v>
      </c>
      <c r="F14299" t="str">
        <f>"CONST LAW HON"</f>
        <v>CONST LAW HON</v>
      </c>
      <c r="G14299" t="str">
        <f>"17-1705"</f>
        <v>17-1705</v>
      </c>
      <c r="H14299" t="str">
        <f>"A"</f>
        <v>A</v>
      </c>
    </row>
    <row r="14300" spans="1:8" x14ac:dyDescent="0.2">
      <c r="A14300" t="str">
        <f t="shared" si="5186"/>
        <v>0616122489</v>
      </c>
      <c r="B14300" t="str">
        <f t="shared" si="5187"/>
        <v>VIOLA</v>
      </c>
      <c r="C14300" t="str">
        <f t="shared" si="5188"/>
        <v>REMENTERIA</v>
      </c>
      <c r="D14300" t="str">
        <f t="shared" si="5185"/>
        <v>09</v>
      </c>
      <c r="E14300" t="str">
        <f>"08 - B - 102 - Maried P Ramos"</f>
        <v>08 - B - 102 - Maried P Ramos</v>
      </c>
      <c r="F14300" t="str">
        <f>"ALGEBRA 2 HON"</f>
        <v>ALGEBRA 2 HON</v>
      </c>
      <c r="G14300" t="str">
        <f>"21-2159"</f>
        <v>21-2159</v>
      </c>
      <c r="H14300" t="str">
        <f>"B"</f>
        <v>B</v>
      </c>
    </row>
    <row r="14301" spans="1:8" x14ac:dyDescent="0.2">
      <c r="A14301" t="str">
        <f t="shared" ref="A14301:A14308" si="5189">"0613111693"</f>
        <v>0613111693</v>
      </c>
      <c r="B14301" t="str">
        <f t="shared" ref="B14301:B14308" si="5190">"JOSEPH"</f>
        <v>JOSEPH</v>
      </c>
      <c r="C14301" t="str">
        <f t="shared" ref="C14301:C14308" si="5191">"RENDE"</f>
        <v>RENDE</v>
      </c>
      <c r="D14301">
        <f>11</f>
        <v>11</v>
      </c>
      <c r="E14301" t="str">
        <f>"04 - A - 201 - Scott A Dethloff"</f>
        <v>04 - A - 201 - Scott A Dethloff</v>
      </c>
      <c r="F14301" t="str">
        <f>"AICE THINK SKLS 1 AS"</f>
        <v>AICE THINK SKLS 1 AS</v>
      </c>
      <c r="G14301" t="str">
        <f>"08-812"</f>
        <v>08-812</v>
      </c>
      <c r="H14301" t="str">
        <f>"A"</f>
        <v>A</v>
      </c>
    </row>
    <row r="14302" spans="1:8" x14ac:dyDescent="0.2">
      <c r="A14302" t="str">
        <f t="shared" si="5189"/>
        <v>0613111693</v>
      </c>
      <c r="B14302" t="str">
        <f t="shared" si="5190"/>
        <v>JOSEPH</v>
      </c>
      <c r="C14302" t="str">
        <f t="shared" si="5191"/>
        <v>RENDE</v>
      </c>
      <c r="D14302">
        <f>11</f>
        <v>11</v>
      </c>
      <c r="E14302" t="str">
        <f>"06 - B - 206 - Jacqueline R Morphet"</f>
        <v>06 - B - 206 - Jacqueline R Morphet</v>
      </c>
      <c r="F14302" t="str">
        <f>"PHYSICS 1 HON"</f>
        <v>PHYSICS 1 HON</v>
      </c>
      <c r="G14302" t="str">
        <f>"21-2138"</f>
        <v>21-2138</v>
      </c>
      <c r="H14302" t="str">
        <f>"B"</f>
        <v>B</v>
      </c>
    </row>
    <row r="14303" spans="1:8" x14ac:dyDescent="0.2">
      <c r="A14303" t="str">
        <f t="shared" si="5189"/>
        <v>0613111693</v>
      </c>
      <c r="B14303" t="str">
        <f t="shared" si="5190"/>
        <v>JOSEPH</v>
      </c>
      <c r="C14303" t="str">
        <f t="shared" si="5191"/>
        <v>RENDE</v>
      </c>
      <c r="D14303">
        <f>11</f>
        <v>11</v>
      </c>
      <c r="E14303" t="str">
        <f>"03 - A - 106 - Krystal Marie  Beruty"</f>
        <v>03 - A - 106 - Krystal Marie  Beruty</v>
      </c>
      <c r="F14303" t="str">
        <f>"AICE PSYCH 1 AS"</f>
        <v>AICE PSYCH 1 AS</v>
      </c>
      <c r="G14303" t="str">
        <f>"17-1721"</f>
        <v>17-1721</v>
      </c>
      <c r="H14303" t="str">
        <f>"A"</f>
        <v>A</v>
      </c>
    </row>
    <row r="14304" spans="1:8" x14ac:dyDescent="0.2">
      <c r="A14304" t="str">
        <f t="shared" si="5189"/>
        <v>0613111693</v>
      </c>
      <c r="B14304" t="str">
        <f t="shared" si="5190"/>
        <v>JOSEPH</v>
      </c>
      <c r="C14304" t="str">
        <f t="shared" si="5191"/>
        <v>RENDE</v>
      </c>
      <c r="D14304">
        <f>11</f>
        <v>11</v>
      </c>
      <c r="E14304" t="str">
        <f>"02 - A - 103 - Kelly N Panza"</f>
        <v>02 - A - 103 - Kelly N Panza</v>
      </c>
      <c r="F14304" t="str">
        <f>"NC STUDY HALL 1"</f>
        <v>NC STUDY HALL 1</v>
      </c>
      <c r="G14304" t="str">
        <f>"17-1753"</f>
        <v>17-1753</v>
      </c>
      <c r="H14304" t="str">
        <f>"A"</f>
        <v>A</v>
      </c>
    </row>
    <row r="14305" spans="1:8" x14ac:dyDescent="0.2">
      <c r="A14305" t="str">
        <f t="shared" si="5189"/>
        <v>0613111693</v>
      </c>
      <c r="B14305" t="str">
        <f t="shared" si="5190"/>
        <v>JOSEPH</v>
      </c>
      <c r="C14305" t="str">
        <f t="shared" si="5191"/>
        <v>RENDE</v>
      </c>
      <c r="D14305">
        <f>11</f>
        <v>11</v>
      </c>
      <c r="E14305" t="str">
        <f>"07 - B - 107 - Semra  Bahadir"</f>
        <v>07 - B - 107 - Semra  Bahadir</v>
      </c>
      <c r="F14305" t="str">
        <f>"MATH COLL ALGEBRA"</f>
        <v>MATH COLL ALGEBRA</v>
      </c>
      <c r="G14305" t="str">
        <f>"21-2107"</f>
        <v>21-2107</v>
      </c>
      <c r="H14305" t="str">
        <f>"B"</f>
        <v>B</v>
      </c>
    </row>
    <row r="14306" spans="1:8" x14ac:dyDescent="0.2">
      <c r="A14306" t="str">
        <f t="shared" si="5189"/>
        <v>0613111693</v>
      </c>
      <c r="B14306" t="str">
        <f t="shared" si="5190"/>
        <v>JOSEPH</v>
      </c>
      <c r="C14306" t="str">
        <f t="shared" si="5191"/>
        <v>RENDE</v>
      </c>
      <c r="D14306">
        <f>11</f>
        <v>11</v>
      </c>
      <c r="E14306" t="str">
        <f>"05 - S1 - B - 103 - Leslie J Barton"</f>
        <v>05 - S1 - B - 103 - Leslie J Barton</v>
      </c>
      <c r="F14306" t="str">
        <f>"FIRST AID SAFETY"</f>
        <v>FIRST AID SAFETY</v>
      </c>
      <c r="G14306" t="str">
        <f>"05-521"</f>
        <v>05-521</v>
      </c>
      <c r="H14306" t="str">
        <f>"B"</f>
        <v>B</v>
      </c>
    </row>
    <row r="14307" spans="1:8" x14ac:dyDescent="0.2">
      <c r="A14307" t="str">
        <f t="shared" si="5189"/>
        <v>0613111693</v>
      </c>
      <c r="B14307" t="str">
        <f t="shared" si="5190"/>
        <v>JOSEPH</v>
      </c>
      <c r="C14307" t="str">
        <f t="shared" si="5191"/>
        <v>RENDE</v>
      </c>
      <c r="D14307">
        <f>11</f>
        <v>11</v>
      </c>
      <c r="E14307" t="str">
        <f>"01 - A - 101 - Jacklyn M James"</f>
        <v>01 - A - 101 - Jacklyn M James</v>
      </c>
      <c r="F14307" t="str">
        <f>"AICE ENG LANG AS"</f>
        <v>AICE ENG LANG AS</v>
      </c>
      <c r="G14307" t="str">
        <f>"17-1731"</f>
        <v>17-1731</v>
      </c>
      <c r="H14307" t="str">
        <f>"A"</f>
        <v>A</v>
      </c>
    </row>
    <row r="14308" spans="1:8" x14ac:dyDescent="0.2">
      <c r="A14308" t="str">
        <f t="shared" si="5189"/>
        <v>0613111693</v>
      </c>
      <c r="B14308" t="str">
        <f t="shared" si="5190"/>
        <v>JOSEPH</v>
      </c>
      <c r="C14308" t="str">
        <f t="shared" si="5191"/>
        <v>RENDE</v>
      </c>
      <c r="D14308">
        <f>11</f>
        <v>11</v>
      </c>
      <c r="E14308" t="str">
        <f>"08 - B - 001 - Jerry S Jiampetti"</f>
        <v>08 - B - 001 - Jerry S Jiampetti</v>
      </c>
      <c r="F14308" t="str">
        <f>"AICE U.S. HIST 1 AS"</f>
        <v>AICE U.S. HIST 1 AS</v>
      </c>
      <c r="G14308" t="str">
        <f>"17-1751"</f>
        <v>17-1751</v>
      </c>
      <c r="H14308" t="str">
        <f>"B"</f>
        <v>B</v>
      </c>
    </row>
    <row r="14309" spans="1:8" x14ac:dyDescent="0.2">
      <c r="A14309" t="str">
        <f t="shared" ref="A14309:A14316" si="5192">"0615078056"</f>
        <v>0615078056</v>
      </c>
      <c r="B14309" t="str">
        <f t="shared" ref="B14309:B14316" si="5193">"LEANNE"</f>
        <v>LEANNE</v>
      </c>
      <c r="C14309" t="str">
        <f t="shared" ref="C14309:C14332" si="5194">"RENE"</f>
        <v>RENE</v>
      </c>
      <c r="D14309">
        <f>10</f>
        <v>10</v>
      </c>
      <c r="E14309" t="str">
        <f>"04 - A - 201 - Dorothy D Moore"</f>
        <v>04 - A - 201 - Dorothy D Moore</v>
      </c>
      <c r="F14309" t="str">
        <f>"HEALTH SCI 1/A&amp;P HON"</f>
        <v>HEALTH SCI 1/A&amp;P HON</v>
      </c>
      <c r="G14309" t="str">
        <f>"08-803"</f>
        <v>08-803</v>
      </c>
      <c r="H14309" t="str">
        <f>"A"</f>
        <v>A</v>
      </c>
    </row>
    <row r="14310" spans="1:8" x14ac:dyDescent="0.2">
      <c r="A14310" t="str">
        <f t="shared" si="5192"/>
        <v>0615078056</v>
      </c>
      <c r="B14310" t="str">
        <f t="shared" si="5193"/>
        <v>LEANNE</v>
      </c>
      <c r="C14310" t="str">
        <f t="shared" si="5194"/>
        <v>RENE</v>
      </c>
      <c r="D14310">
        <f>10</f>
        <v>10</v>
      </c>
      <c r="E14310" t="str">
        <f>"06 - B - 105 - Jeffrey S Gallagher"</f>
        <v>06 - B - 105 - Jeffrey S Gallagher</v>
      </c>
      <c r="F14310" t="str">
        <f>"NC STUDY HALL 1"</f>
        <v>NC STUDY HALL 1</v>
      </c>
      <c r="G14310" t="str">
        <f>"17-1724"</f>
        <v>17-1724</v>
      </c>
      <c r="H14310" t="str">
        <f>"B"</f>
        <v>B</v>
      </c>
    </row>
    <row r="14311" spans="1:8" x14ac:dyDescent="0.2">
      <c r="A14311" t="str">
        <f t="shared" si="5192"/>
        <v>0615078056</v>
      </c>
      <c r="B14311" t="str">
        <f t="shared" si="5193"/>
        <v>LEANNE</v>
      </c>
      <c r="C14311" t="str">
        <f t="shared" si="5194"/>
        <v>RENE</v>
      </c>
      <c r="D14311">
        <f>10</f>
        <v>10</v>
      </c>
      <c r="E14311" t="str">
        <f>"03 - A - 103 - Courtney E Hambright"</f>
        <v>03 - A - 103 - Courtney E Hambright</v>
      </c>
      <c r="F14311" t="str">
        <f>"AICE ENG LANG AS"</f>
        <v>AICE ENG LANG AS</v>
      </c>
      <c r="G14311" t="str">
        <f>"17-1711"</f>
        <v>17-1711</v>
      </c>
      <c r="H14311" t="str">
        <f>"A"</f>
        <v>A</v>
      </c>
    </row>
    <row r="14312" spans="1:8" x14ac:dyDescent="0.2">
      <c r="A14312" t="str">
        <f t="shared" si="5192"/>
        <v>0615078056</v>
      </c>
      <c r="B14312" t="str">
        <f t="shared" si="5193"/>
        <v>LEANNE</v>
      </c>
      <c r="C14312" t="str">
        <f t="shared" si="5194"/>
        <v>RENE</v>
      </c>
      <c r="D14312">
        <f>10</f>
        <v>10</v>
      </c>
      <c r="E14312" t="str">
        <f>"02 - A - 104 - Joe  Kilpatrick Jr"</f>
        <v>02 - A - 104 - Joe  Kilpatrick Jr</v>
      </c>
      <c r="F14312" t="str">
        <f>"PRE-AICE SPAN 2 IG"</f>
        <v>PRE-AICE SPAN 2 IG</v>
      </c>
      <c r="G14312" t="str">
        <f>"09-912"</f>
        <v>09-912</v>
      </c>
      <c r="H14312" t="str">
        <f>"A"</f>
        <v>A</v>
      </c>
    </row>
    <row r="14313" spans="1:8" x14ac:dyDescent="0.2">
      <c r="A14313" t="str">
        <f t="shared" si="5192"/>
        <v>0615078056</v>
      </c>
      <c r="B14313" t="str">
        <f t="shared" si="5193"/>
        <v>LEANNE</v>
      </c>
      <c r="C14313" t="str">
        <f t="shared" si="5194"/>
        <v>RENE</v>
      </c>
      <c r="D14313">
        <f>10</f>
        <v>10</v>
      </c>
      <c r="E14313" t="str">
        <f>"07 - B - 102 - Lourivaldo  Da Silva"</f>
        <v>07 - B - 102 - Lourivaldo  Da Silva</v>
      </c>
      <c r="F14313" t="str">
        <f>"ALGEBRA 2 HON"</f>
        <v>ALGEBRA 2 HON</v>
      </c>
      <c r="G14313" t="str">
        <f>"20-2079"</f>
        <v>20-2079</v>
      </c>
      <c r="H14313" t="str">
        <f>"B"</f>
        <v>B</v>
      </c>
    </row>
    <row r="14314" spans="1:8" x14ac:dyDescent="0.2">
      <c r="A14314" t="str">
        <f t="shared" si="5192"/>
        <v>0615078056</v>
      </c>
      <c r="B14314" t="str">
        <f t="shared" si="5193"/>
        <v>LEANNE</v>
      </c>
      <c r="C14314" t="str">
        <f t="shared" si="5194"/>
        <v>RENE</v>
      </c>
      <c r="D14314">
        <f>10</f>
        <v>10</v>
      </c>
      <c r="E14314" t="str">
        <f>"05 - B - 001 - Kelly N Panza"</f>
        <v>05 - B - 001 - Kelly N Panza</v>
      </c>
      <c r="F14314" t="str">
        <f>"AICE GLBL PERSP 1 AS"</f>
        <v>AICE GLBL PERSP 1 AS</v>
      </c>
      <c r="G14314" t="str">
        <f>"17-1753"</f>
        <v>17-1753</v>
      </c>
      <c r="H14314" t="str">
        <f>"B"</f>
        <v>B</v>
      </c>
    </row>
    <row r="14315" spans="1:8" x14ac:dyDescent="0.2">
      <c r="A14315" t="str">
        <f t="shared" si="5192"/>
        <v>0615078056</v>
      </c>
      <c r="B14315" t="str">
        <f t="shared" si="5193"/>
        <v>LEANNE</v>
      </c>
      <c r="C14315" t="str">
        <f t="shared" si="5194"/>
        <v>RENE</v>
      </c>
      <c r="D14315">
        <f>10</f>
        <v>10</v>
      </c>
      <c r="E14315" t="str">
        <f>"01 - A - 201 - Cheryl L Beach"</f>
        <v>01 - A - 201 - Cheryl L Beach</v>
      </c>
      <c r="F14315" t="str">
        <f>"AICE ENV MGMNT AS"</f>
        <v>AICE ENV MGMNT AS</v>
      </c>
      <c r="G14315" t="str">
        <f>"08-811"</f>
        <v>08-811</v>
      </c>
      <c r="H14315" t="str">
        <f>"A"</f>
        <v>A</v>
      </c>
    </row>
    <row r="14316" spans="1:8" x14ac:dyDescent="0.2">
      <c r="A14316" t="str">
        <f t="shared" si="5192"/>
        <v>0615078056</v>
      </c>
      <c r="B14316" t="str">
        <f t="shared" si="5193"/>
        <v>LEANNE</v>
      </c>
      <c r="C14316" t="str">
        <f t="shared" si="5194"/>
        <v>RENE</v>
      </c>
      <c r="D14316">
        <f>10</f>
        <v>10</v>
      </c>
      <c r="E14316" t="str">
        <f>"08 - S1 - B - 001 - Carol S Moore"</f>
        <v>08 - S1 - B - 001 - Carol S Moore</v>
      </c>
      <c r="F14316" t="str">
        <f>"PER CAR SCH DEV 1 LH"</f>
        <v>PER CAR SCH DEV 1 LH</v>
      </c>
      <c r="G14316" t="str">
        <f>"17-1733"</f>
        <v>17-1733</v>
      </c>
      <c r="H14316" t="str">
        <f>"B"</f>
        <v>B</v>
      </c>
    </row>
    <row r="14317" spans="1:8" x14ac:dyDescent="0.2">
      <c r="A14317" t="str">
        <f t="shared" ref="A14317:A14324" si="5195">"0624054687"</f>
        <v>0624054687</v>
      </c>
      <c r="B14317" t="str">
        <f t="shared" ref="B14317:B14324" si="5196">"SHELEN"</f>
        <v>SHELEN</v>
      </c>
      <c r="C14317" t="str">
        <f t="shared" si="5194"/>
        <v>RENE</v>
      </c>
      <c r="D14317">
        <f>11</f>
        <v>11</v>
      </c>
      <c r="E14317" t="str">
        <f>"04 - A - 108 - Maried P Ramos"</f>
        <v>04 - A - 108 - Maried P Ramos</v>
      </c>
      <c r="F14317" t="str">
        <f>"GEOMETRY"</f>
        <v>GEOMETRY</v>
      </c>
      <c r="G14317" t="str">
        <f>"21-2159"</f>
        <v>21-2159</v>
      </c>
      <c r="H14317" t="str">
        <f>"A"</f>
        <v>A</v>
      </c>
    </row>
    <row r="14318" spans="1:8" x14ac:dyDescent="0.2">
      <c r="A14318" t="str">
        <f t="shared" si="5195"/>
        <v>0624054687</v>
      </c>
      <c r="B14318" t="str">
        <f t="shared" si="5196"/>
        <v>SHELEN</v>
      </c>
      <c r="C14318" t="str">
        <f t="shared" si="5194"/>
        <v>RENE</v>
      </c>
      <c r="D14318">
        <f>11</f>
        <v>11</v>
      </c>
      <c r="E14318" t="str">
        <f>"06 - B - 202 - Samantha L Martinez"</f>
        <v>06 - B - 202 - Samantha L Martinez</v>
      </c>
      <c r="F14318" t="str">
        <f>"GUITAR 1"</f>
        <v>GUITAR 1</v>
      </c>
      <c r="G14318" t="str">
        <f>"05-505"</f>
        <v>05-505</v>
      </c>
      <c r="H14318" t="str">
        <f>"B"</f>
        <v>B</v>
      </c>
    </row>
    <row r="14319" spans="1:8" x14ac:dyDescent="0.2">
      <c r="A14319" t="str">
        <f t="shared" si="5195"/>
        <v>0624054687</v>
      </c>
      <c r="B14319" t="str">
        <f t="shared" si="5196"/>
        <v>SHELEN</v>
      </c>
      <c r="C14319" t="str">
        <f t="shared" si="5194"/>
        <v>RENE</v>
      </c>
      <c r="D14319">
        <f>11</f>
        <v>11</v>
      </c>
      <c r="E14319" t="str">
        <f>"03 - A - 102 - Lisa  Quinn"</f>
        <v>03 - A - 102 - Lisa  Quinn</v>
      </c>
      <c r="F14319" t="str">
        <f>"ENG 3"</f>
        <v>ENG 3</v>
      </c>
      <c r="G14319" t="str">
        <f>"17-1725"</f>
        <v>17-1725</v>
      </c>
      <c r="H14319" t="str">
        <f>"A"</f>
        <v>A</v>
      </c>
    </row>
    <row r="14320" spans="1:8" x14ac:dyDescent="0.2">
      <c r="A14320" t="str">
        <f t="shared" si="5195"/>
        <v>0624054687</v>
      </c>
      <c r="B14320" t="str">
        <f t="shared" si="5196"/>
        <v>SHELEN</v>
      </c>
      <c r="C14320" t="str">
        <f t="shared" si="5194"/>
        <v>RENE</v>
      </c>
      <c r="D14320">
        <f>11</f>
        <v>11</v>
      </c>
      <c r="E14320" t="str">
        <f>"02 - A - 102 - Brook E Goren"</f>
        <v>02 - A - 102 - Brook E Goren</v>
      </c>
      <c r="F14320" t="str">
        <f>"NC STUDY HALL 1"</f>
        <v>NC STUDY HALL 1</v>
      </c>
      <c r="G14320" t="str">
        <f>"21-2158"</f>
        <v>21-2158</v>
      </c>
      <c r="H14320" t="str">
        <f>"A"</f>
        <v>A</v>
      </c>
    </row>
    <row r="14321" spans="1:8" x14ac:dyDescent="0.2">
      <c r="A14321" t="str">
        <f t="shared" si="5195"/>
        <v>0624054687</v>
      </c>
      <c r="B14321" t="str">
        <f t="shared" si="5196"/>
        <v>SHELEN</v>
      </c>
      <c r="C14321" t="str">
        <f t="shared" si="5194"/>
        <v>RENE</v>
      </c>
      <c r="D14321">
        <f>11</f>
        <v>11</v>
      </c>
      <c r="E14321" t="str">
        <f>"07 - B - 108 - Lauren N Logan"</f>
        <v>07 - B - 108 - Lauren N Logan</v>
      </c>
      <c r="F14321" t="str">
        <f>"US HISTORY"</f>
        <v>US HISTORY</v>
      </c>
      <c r="G14321" t="str">
        <f>"17-1745"</f>
        <v>17-1745</v>
      </c>
      <c r="H14321" t="str">
        <f>"B"</f>
        <v>B</v>
      </c>
    </row>
    <row r="14322" spans="1:8" x14ac:dyDescent="0.2">
      <c r="A14322" t="str">
        <f t="shared" si="5195"/>
        <v>0624054687</v>
      </c>
      <c r="B14322" t="str">
        <f t="shared" si="5196"/>
        <v>SHELEN</v>
      </c>
      <c r="C14322" t="str">
        <f t="shared" si="5194"/>
        <v>RENE</v>
      </c>
      <c r="D14322">
        <f>11</f>
        <v>11</v>
      </c>
      <c r="E14322" t="str">
        <f>"05 - B - 207 - Marielle A Witting"</f>
        <v>05 - B - 207 - Marielle A Witting</v>
      </c>
      <c r="F14322" t="str">
        <f>"ANAT PHYSIO"</f>
        <v>ANAT PHYSIO</v>
      </c>
      <c r="G14322" t="str">
        <f>"08-805"</f>
        <v>08-805</v>
      </c>
      <c r="H14322" t="str">
        <f>"B"</f>
        <v>B</v>
      </c>
    </row>
    <row r="14323" spans="1:8" x14ac:dyDescent="0.2">
      <c r="A14323" t="str">
        <f t="shared" si="5195"/>
        <v>0624054687</v>
      </c>
      <c r="B14323" t="str">
        <f t="shared" si="5196"/>
        <v>SHELEN</v>
      </c>
      <c r="C14323" t="str">
        <f t="shared" si="5194"/>
        <v>RENE</v>
      </c>
      <c r="D14323">
        <f>11</f>
        <v>11</v>
      </c>
      <c r="E14323" t="str">
        <f>"01 - A - 101 - Nahum  Saint-Preux"</f>
        <v>01 - A - 101 - Nahum  Saint-Preux</v>
      </c>
      <c r="F14323" t="str">
        <f>"INTENS READ 3"</f>
        <v>INTENS READ 3</v>
      </c>
      <c r="G14323" t="str">
        <f>"17-1712"</f>
        <v>17-1712</v>
      </c>
      <c r="H14323" t="str">
        <f>"A"</f>
        <v>A</v>
      </c>
    </row>
    <row r="14324" spans="1:8" x14ac:dyDescent="0.2">
      <c r="A14324" t="str">
        <f t="shared" si="5195"/>
        <v>0624054687</v>
      </c>
      <c r="B14324" t="str">
        <f t="shared" si="5196"/>
        <v>SHELEN</v>
      </c>
      <c r="C14324" t="str">
        <f t="shared" si="5194"/>
        <v>RENE</v>
      </c>
      <c r="D14324">
        <f>11</f>
        <v>11</v>
      </c>
      <c r="E14324" t="str">
        <f>"08 - B - 201 - Vanessa J Liburd"</f>
        <v>08 - B - 201 - Vanessa J Liburd</v>
      </c>
      <c r="F14324" t="str">
        <f>"FRENCH 3 HON"</f>
        <v>FRENCH 3 HON</v>
      </c>
      <c r="G14324" t="str">
        <f>"05-519"</f>
        <v>05-519</v>
      </c>
      <c r="H14324" t="str">
        <f>"B"</f>
        <v>B</v>
      </c>
    </row>
    <row r="14325" spans="1:8" x14ac:dyDescent="0.2">
      <c r="A14325" t="str">
        <f t="shared" ref="A14325:A14332" si="5197">"0624033225"</f>
        <v>0624033225</v>
      </c>
      <c r="B14325" t="str">
        <f t="shared" ref="B14325:B14332" si="5198">"STELENSON"</f>
        <v>STELENSON</v>
      </c>
      <c r="C14325" t="str">
        <f t="shared" si="5194"/>
        <v>RENE</v>
      </c>
      <c r="D14325" t="str">
        <f t="shared" ref="D14325:D14332" si="5199">"09"</f>
        <v>09</v>
      </c>
      <c r="E14325" t="str">
        <f>"04 - A - 107 - Amy Beth  Broyles"</f>
        <v>04 - A - 107 - Amy Beth  Broyles</v>
      </c>
      <c r="F14325" t="str">
        <f>"ENV SCI"</f>
        <v>ENV SCI</v>
      </c>
      <c r="G14325" t="str">
        <f>"08-802"</f>
        <v>08-802</v>
      </c>
      <c r="H14325" t="str">
        <f>"A"</f>
        <v>A</v>
      </c>
    </row>
    <row r="14326" spans="1:8" x14ac:dyDescent="0.2">
      <c r="A14326" t="str">
        <f t="shared" si="5197"/>
        <v>0624033225</v>
      </c>
      <c r="B14326" t="str">
        <f t="shared" si="5198"/>
        <v>STELENSON</v>
      </c>
      <c r="C14326" t="str">
        <f t="shared" si="5194"/>
        <v>RENE</v>
      </c>
      <c r="D14326" t="str">
        <f t="shared" si="5199"/>
        <v>09</v>
      </c>
      <c r="E14326" t="str">
        <f>"06 - S1 - B - 102 - Daniel S Katz"</f>
        <v>06 - S1 - B - 102 - Daniel S Katz</v>
      </c>
      <c r="F14326" t="str">
        <f>"COURT PROCED"</f>
        <v>COURT PROCED</v>
      </c>
      <c r="G14326" t="str">
        <f>"21-2156"</f>
        <v>21-2156</v>
      </c>
      <c r="H14326" t="str">
        <f>"B"</f>
        <v>B</v>
      </c>
    </row>
    <row r="14327" spans="1:8" x14ac:dyDescent="0.2">
      <c r="A14327" t="str">
        <f t="shared" si="5197"/>
        <v>0624033225</v>
      </c>
      <c r="B14327" t="str">
        <f t="shared" si="5198"/>
        <v>STELENSON</v>
      </c>
      <c r="C14327" t="str">
        <f t="shared" si="5194"/>
        <v>RENE</v>
      </c>
      <c r="D14327" t="str">
        <f t="shared" si="5199"/>
        <v>09</v>
      </c>
      <c r="E14327" t="str">
        <f>"03 - A - 105 - Elizabeth Ellen  Moran"</f>
        <v>03 - A - 105 - Elizabeth Ellen  Moran</v>
      </c>
      <c r="F14327" t="str">
        <f>"WORLD HISTORY"</f>
        <v>WORLD HISTORY</v>
      </c>
      <c r="G14327" t="str">
        <f>"17-1752"</f>
        <v>17-1752</v>
      </c>
      <c r="H14327" t="str">
        <f>"A"</f>
        <v>A</v>
      </c>
    </row>
    <row r="14328" spans="1:8" x14ac:dyDescent="0.2">
      <c r="A14328" t="str">
        <f t="shared" si="5197"/>
        <v>0624033225</v>
      </c>
      <c r="B14328" t="str">
        <f t="shared" si="5198"/>
        <v>STELENSON</v>
      </c>
      <c r="C14328" t="str">
        <f t="shared" si="5194"/>
        <v>RENE</v>
      </c>
      <c r="D14328" t="str">
        <f t="shared" si="5199"/>
        <v>09</v>
      </c>
      <c r="E14328" t="str">
        <f>"02 - A - 104 - Jazmin S Fletcher"</f>
        <v>02 - A - 104 - Jazmin S Fletcher</v>
      </c>
      <c r="F14328" t="str">
        <f>"NC STUDY HALL 1"</f>
        <v>NC STUDY HALL 1</v>
      </c>
      <c r="G14328" t="str">
        <f>"09-909"</f>
        <v>09-909</v>
      </c>
      <c r="H14328" t="str">
        <f>"A"</f>
        <v>A</v>
      </c>
    </row>
    <row r="14329" spans="1:8" x14ac:dyDescent="0.2">
      <c r="A14329" t="str">
        <f t="shared" si="5197"/>
        <v>0624033225</v>
      </c>
      <c r="B14329" t="str">
        <f t="shared" si="5198"/>
        <v>STELENSON</v>
      </c>
      <c r="C14329" t="str">
        <f t="shared" si="5194"/>
        <v>RENE</v>
      </c>
      <c r="D14329" t="str">
        <f t="shared" si="5199"/>
        <v>09</v>
      </c>
      <c r="E14329" t="str">
        <f>"07 - B - 107 - Helen A Flores"</f>
        <v>07 - B - 107 - Helen A Flores</v>
      </c>
      <c r="F14329" t="str">
        <f>"ALGEBRA 1"</f>
        <v>ALGEBRA 1</v>
      </c>
      <c r="G14329" t="str">
        <f>"21-2101"</f>
        <v>21-2101</v>
      </c>
      <c r="H14329" t="str">
        <f>"B"</f>
        <v>B</v>
      </c>
    </row>
    <row r="14330" spans="1:8" x14ac:dyDescent="0.2">
      <c r="A14330" t="str">
        <f t="shared" si="5197"/>
        <v>0624033225</v>
      </c>
      <c r="B14330" t="str">
        <f t="shared" si="5198"/>
        <v>STELENSON</v>
      </c>
      <c r="C14330" t="str">
        <f t="shared" si="5194"/>
        <v>RENE</v>
      </c>
      <c r="D14330" t="str">
        <f t="shared" si="5199"/>
        <v>09</v>
      </c>
      <c r="E14330" t="str">
        <f>"05 - B - 105 - Adam Marcus  Drucker"</f>
        <v>05 - B - 105 - Adam Marcus  Drucker</v>
      </c>
      <c r="F14330" t="str">
        <f>"HOPE-PE V"</f>
        <v>HOPE-PE V</v>
      </c>
      <c r="G14330" t="str">
        <f>"04-254"</f>
        <v>04-254</v>
      </c>
      <c r="H14330" t="str">
        <f>"B"</f>
        <v>B</v>
      </c>
    </row>
    <row r="14331" spans="1:8" x14ac:dyDescent="0.2">
      <c r="A14331" t="str">
        <f t="shared" si="5197"/>
        <v>0624033225</v>
      </c>
      <c r="B14331" t="str">
        <f t="shared" si="5198"/>
        <v>STELENSON</v>
      </c>
      <c r="C14331" t="str">
        <f t="shared" si="5194"/>
        <v>RENE</v>
      </c>
      <c r="D14331" t="str">
        <f t="shared" si="5199"/>
        <v>09</v>
      </c>
      <c r="E14331" t="str">
        <f>"01 - A - 102 - Helen A Flores"</f>
        <v>01 - A - 102 - Helen A Flores</v>
      </c>
      <c r="F14331" t="str">
        <f>"FDN SKLS MATH 9-12"</f>
        <v>FDN SKLS MATH 9-12</v>
      </c>
      <c r="G14331" t="str">
        <f>"21-2101"</f>
        <v>21-2101</v>
      </c>
      <c r="H14331" t="str">
        <f>"A"</f>
        <v>A</v>
      </c>
    </row>
    <row r="14332" spans="1:8" x14ac:dyDescent="0.2">
      <c r="A14332" t="str">
        <f t="shared" si="5197"/>
        <v>0624033225</v>
      </c>
      <c r="B14332" t="str">
        <f t="shared" si="5198"/>
        <v>STELENSON</v>
      </c>
      <c r="C14332" t="str">
        <f t="shared" si="5194"/>
        <v>RENE</v>
      </c>
      <c r="D14332" t="str">
        <f t="shared" si="5199"/>
        <v>09</v>
      </c>
      <c r="E14332" t="str">
        <f>"08 - B - 108 - Cerine S Stewart"</f>
        <v>08 - B - 108 - Cerine S Stewart</v>
      </c>
      <c r="F14332" t="str">
        <f>"ENG 1"</f>
        <v>ENG 1</v>
      </c>
      <c r="G14332" t="str">
        <f>"17-1720"</f>
        <v>17-1720</v>
      </c>
      <c r="H14332" t="str">
        <f>"B"</f>
        <v>B</v>
      </c>
    </row>
    <row r="14333" spans="1:8" x14ac:dyDescent="0.2">
      <c r="A14333" t="str">
        <f t="shared" ref="A14333:A14340" si="5200">"0622125439"</f>
        <v>0622125439</v>
      </c>
      <c r="B14333" t="str">
        <f t="shared" ref="B14333:B14340" si="5201">"JUAN"</f>
        <v>JUAN</v>
      </c>
      <c r="C14333" t="str">
        <f t="shared" ref="C14333:C14340" si="5202">"RESTREPO MENDEZ"</f>
        <v>RESTREPO MENDEZ</v>
      </c>
      <c r="D14333">
        <f>12</f>
        <v>12</v>
      </c>
      <c r="E14333" t="str">
        <f>"04 - A - 101 - Stefanie S Scher"</f>
        <v>04 - A - 101 - Stefanie S Scher</v>
      </c>
      <c r="F14333" t="str">
        <f>"AP PSYCH"</f>
        <v>AP PSYCH</v>
      </c>
      <c r="G14333" t="str">
        <f>"17-1735"</f>
        <v>17-1735</v>
      </c>
      <c r="H14333" t="str">
        <f>"A"</f>
        <v>A</v>
      </c>
    </row>
    <row r="14334" spans="1:8" x14ac:dyDescent="0.2">
      <c r="A14334" t="str">
        <f t="shared" si="5200"/>
        <v>0622125439</v>
      </c>
      <c r="B14334" t="str">
        <f t="shared" si="5201"/>
        <v>JUAN</v>
      </c>
      <c r="C14334" t="str">
        <f t="shared" si="5202"/>
        <v>RESTREPO MENDEZ</v>
      </c>
      <c r="D14334">
        <f>12</f>
        <v>12</v>
      </c>
      <c r="E14334" t="str">
        <f>"06 - B - 105 - Robyn L Trainer"</f>
        <v>06 - B - 105 - Robyn L Trainer</v>
      </c>
      <c r="F14334" t="str">
        <f>"NC STUDY HALL 1"</f>
        <v>NC STUDY HALL 1</v>
      </c>
      <c r="G14334" t="str">
        <f>"17-1734"</f>
        <v>17-1734</v>
      </c>
      <c r="H14334" t="str">
        <f>"B"</f>
        <v>B</v>
      </c>
    </row>
    <row r="14335" spans="1:8" x14ac:dyDescent="0.2">
      <c r="A14335" t="str">
        <f t="shared" si="5200"/>
        <v>0622125439</v>
      </c>
      <c r="B14335" t="str">
        <f t="shared" si="5201"/>
        <v>JUAN</v>
      </c>
      <c r="C14335" t="str">
        <f t="shared" si="5202"/>
        <v>RESTREPO MENDEZ</v>
      </c>
      <c r="D14335">
        <f>12</f>
        <v>12</v>
      </c>
      <c r="E14335" t="str">
        <f>"03 - A - 202 - Jeanne M Bermudez"</f>
        <v>03 - A - 202 - Jeanne M Bermudez</v>
      </c>
      <c r="F14335" t="str">
        <f>"PHYSICS 1 HON"</f>
        <v>PHYSICS 1 HON</v>
      </c>
      <c r="G14335" t="str">
        <f>"21-2141"</f>
        <v>21-2141</v>
      </c>
      <c r="H14335" t="str">
        <f>"A"</f>
        <v>A</v>
      </c>
    </row>
    <row r="14336" spans="1:8" x14ac:dyDescent="0.2">
      <c r="A14336" t="str">
        <f t="shared" si="5200"/>
        <v>0622125439</v>
      </c>
      <c r="B14336" t="str">
        <f t="shared" si="5201"/>
        <v>JUAN</v>
      </c>
      <c r="C14336" t="str">
        <f t="shared" si="5202"/>
        <v>RESTREPO MENDEZ</v>
      </c>
      <c r="D14336">
        <f>12</f>
        <v>12</v>
      </c>
      <c r="E14336" t="str">
        <f>"02 - A - 102 - Jeffrey S Gallagher"</f>
        <v>02 - A - 102 - Jeffrey S Gallagher</v>
      </c>
      <c r="F14336" t="str">
        <f>"ENG HON 4"</f>
        <v>ENG HON 4</v>
      </c>
      <c r="G14336" t="str">
        <f>"17-1724"</f>
        <v>17-1724</v>
      </c>
      <c r="H14336" t="str">
        <f>"A"</f>
        <v>A</v>
      </c>
    </row>
    <row r="14337" spans="1:8" x14ac:dyDescent="0.2">
      <c r="A14337" t="str">
        <f t="shared" si="5200"/>
        <v>0622125439</v>
      </c>
      <c r="B14337" t="str">
        <f t="shared" si="5201"/>
        <v>JUAN</v>
      </c>
      <c r="C14337" t="str">
        <f t="shared" si="5202"/>
        <v>RESTREPO MENDEZ</v>
      </c>
      <c r="D14337">
        <f>12</f>
        <v>12</v>
      </c>
      <c r="E14337" t="str">
        <f>"07 - B - 102 - Pamela M Corzo"</f>
        <v>07 - B - 102 - Pamela M Corzo</v>
      </c>
      <c r="F14337" t="str">
        <f>"AP CALCULUS AB"</f>
        <v>AP CALCULUS AB</v>
      </c>
      <c r="G14337" t="str">
        <f>"21-2133"</f>
        <v>21-2133</v>
      </c>
      <c r="H14337" t="str">
        <f>"B"</f>
        <v>B</v>
      </c>
    </row>
    <row r="14338" spans="1:8" x14ac:dyDescent="0.2">
      <c r="A14338" t="str">
        <f t="shared" si="5200"/>
        <v>0622125439</v>
      </c>
      <c r="B14338" t="str">
        <f t="shared" si="5201"/>
        <v>JUAN</v>
      </c>
      <c r="C14338" t="str">
        <f t="shared" si="5202"/>
        <v>RESTREPO MENDEZ</v>
      </c>
      <c r="D14338">
        <f>12</f>
        <v>12</v>
      </c>
      <c r="E14338" t="str">
        <f>"05 - B - 101 - Jordana K Hass"</f>
        <v>05 - B - 101 - Jordana K Hass</v>
      </c>
      <c r="F14338" t="str">
        <f>"AP COMP SCI PRIN"</f>
        <v>AP COMP SCI PRIN</v>
      </c>
      <c r="G14338" t="str">
        <f>"08-807"</f>
        <v>08-807</v>
      </c>
      <c r="H14338" t="str">
        <f>"B"</f>
        <v>B</v>
      </c>
    </row>
    <row r="14339" spans="1:8" x14ac:dyDescent="0.2">
      <c r="A14339" t="str">
        <f t="shared" si="5200"/>
        <v>0622125439</v>
      </c>
      <c r="B14339" t="str">
        <f t="shared" si="5201"/>
        <v>JUAN</v>
      </c>
      <c r="C14339" t="str">
        <f t="shared" si="5202"/>
        <v>RESTREPO MENDEZ</v>
      </c>
      <c r="D14339">
        <f>12</f>
        <v>12</v>
      </c>
      <c r="E14339" t="str">
        <f>"01 - S1 - A - 101 - Barbara L Segal"</f>
        <v>01 - S1 - A - 101 - Barbara L Segal</v>
      </c>
      <c r="F14339" t="str">
        <f>"US GOVT HON"</f>
        <v>US GOVT HON</v>
      </c>
      <c r="G14339" t="str">
        <f>"17-1742"</f>
        <v>17-1742</v>
      </c>
      <c r="H14339" t="str">
        <f>"A"</f>
        <v>A</v>
      </c>
    </row>
    <row r="14340" spans="1:8" x14ac:dyDescent="0.2">
      <c r="A14340" t="str">
        <f t="shared" si="5200"/>
        <v>0622125439</v>
      </c>
      <c r="B14340" t="str">
        <f t="shared" si="5201"/>
        <v>JUAN</v>
      </c>
      <c r="C14340" t="str">
        <f t="shared" si="5202"/>
        <v>RESTREPO MENDEZ</v>
      </c>
      <c r="D14340">
        <f>12</f>
        <v>12</v>
      </c>
      <c r="E14340" t="str">
        <f>"08 - B - 101 - Jordana K Hass"</f>
        <v>08 - B - 101 - Jordana K Hass</v>
      </c>
      <c r="F14340" t="str">
        <f>"AICE INFO TECH 1 AS"</f>
        <v>AICE INFO TECH 1 AS</v>
      </c>
      <c r="G14340" t="str">
        <f>"08-807"</f>
        <v>08-807</v>
      </c>
      <c r="H14340" t="str">
        <f>"B"</f>
        <v>B</v>
      </c>
    </row>
    <row r="14341" spans="1:8" x14ac:dyDescent="0.2">
      <c r="A14341" t="str">
        <f t="shared" ref="A14341:A14348" si="5203">"0614121227"</f>
        <v>0614121227</v>
      </c>
      <c r="B14341" t="str">
        <f t="shared" ref="B14341:B14348" si="5204">"REY"</f>
        <v>REY</v>
      </c>
      <c r="C14341" t="str">
        <f t="shared" ref="C14341:C14348" si="5205">"RETANA"</f>
        <v>RETANA</v>
      </c>
      <c r="D14341">
        <f>11</f>
        <v>11</v>
      </c>
      <c r="E14341" t="str">
        <f>"04 - A - 104 - Adam Marcus  Drucker"</f>
        <v>04 - A - 104 - Adam Marcus  Drucker</v>
      </c>
      <c r="F14341" t="str">
        <f>"HOPE-PE V"</f>
        <v>HOPE-PE V</v>
      </c>
      <c r="G14341" t="str">
        <f>"04-254"</f>
        <v>04-254</v>
      </c>
      <c r="H14341" t="str">
        <f>"A"</f>
        <v>A</v>
      </c>
    </row>
    <row r="14342" spans="1:8" x14ac:dyDescent="0.2">
      <c r="A14342" t="str">
        <f t="shared" si="5203"/>
        <v>0614121227</v>
      </c>
      <c r="B14342" t="str">
        <f t="shared" si="5204"/>
        <v>REY</v>
      </c>
      <c r="C14342" t="str">
        <f t="shared" si="5205"/>
        <v>RETANA</v>
      </c>
      <c r="D14342">
        <f>11</f>
        <v>11</v>
      </c>
      <c r="E14342" t="str">
        <f>"06 - B - 002 - Kyle  Robbins"</f>
        <v>06 - B - 002 - Kyle  Robbins</v>
      </c>
      <c r="F14342" t="str">
        <f>"US HISTORY HON"</f>
        <v>US HISTORY HON</v>
      </c>
      <c r="G14342" t="str">
        <f>"17-1745"</f>
        <v>17-1745</v>
      </c>
      <c r="H14342" t="str">
        <f>"B"</f>
        <v>B</v>
      </c>
    </row>
    <row r="14343" spans="1:8" x14ac:dyDescent="0.2">
      <c r="A14343" t="str">
        <f t="shared" si="5203"/>
        <v>0614121227</v>
      </c>
      <c r="B14343" t="str">
        <f t="shared" si="5204"/>
        <v>REY</v>
      </c>
      <c r="C14343" t="str">
        <f t="shared" si="5205"/>
        <v>RETANA</v>
      </c>
      <c r="D14343">
        <f>11</f>
        <v>11</v>
      </c>
      <c r="E14343" t="str">
        <f>"03 - A - 104 - Fernando  Vega-Cid"</f>
        <v>03 - A - 104 - Fernando  Vega-Cid</v>
      </c>
      <c r="F14343" t="str">
        <f>"GEOMETRY"</f>
        <v>GEOMETRY</v>
      </c>
      <c r="G14343" t="str">
        <f>"21-2163"</f>
        <v>21-2163</v>
      </c>
      <c r="H14343" t="str">
        <f>"A"</f>
        <v>A</v>
      </c>
    </row>
    <row r="14344" spans="1:8" x14ac:dyDescent="0.2">
      <c r="A14344" t="str">
        <f t="shared" si="5203"/>
        <v>0614121227</v>
      </c>
      <c r="B14344" t="str">
        <f t="shared" si="5204"/>
        <v>REY</v>
      </c>
      <c r="C14344" t="str">
        <f t="shared" si="5205"/>
        <v>RETANA</v>
      </c>
      <c r="D14344">
        <f>11</f>
        <v>11</v>
      </c>
      <c r="E14344" t="str">
        <f>"02 - A - 101 - Timothy J Lawrence"</f>
        <v>02 - A - 101 - Timothy J Lawrence</v>
      </c>
      <c r="F14344" t="str">
        <f>"NC STUDY HALL 1"</f>
        <v>NC STUDY HALL 1</v>
      </c>
      <c r="G14344" t="str">
        <f>"05-522"</f>
        <v>05-522</v>
      </c>
      <c r="H14344" t="str">
        <f>"A"</f>
        <v>A</v>
      </c>
    </row>
    <row r="14345" spans="1:8" x14ac:dyDescent="0.2">
      <c r="A14345" t="str">
        <f t="shared" si="5203"/>
        <v>0614121227</v>
      </c>
      <c r="B14345" t="str">
        <f t="shared" si="5204"/>
        <v>REY</v>
      </c>
      <c r="C14345" t="str">
        <f t="shared" si="5205"/>
        <v>RETANA</v>
      </c>
      <c r="D14345">
        <f>11</f>
        <v>11</v>
      </c>
      <c r="E14345" t="str">
        <f>"07 - B - 002 - Rachel M Montrose"</f>
        <v>07 - B - 002 - Rachel M Montrose</v>
      </c>
      <c r="F14345" t="str">
        <f>"JOURN 1 (NP) LH"</f>
        <v>JOURN 1 (NP) LH</v>
      </c>
      <c r="G14345" t="str">
        <f>"05-521"</f>
        <v>05-521</v>
      </c>
      <c r="H14345" t="str">
        <f>"B"</f>
        <v>B</v>
      </c>
    </row>
    <row r="14346" spans="1:8" x14ac:dyDescent="0.2">
      <c r="A14346" t="str">
        <f t="shared" si="5203"/>
        <v>0614121227</v>
      </c>
      <c r="B14346" t="str">
        <f t="shared" si="5204"/>
        <v>REY</v>
      </c>
      <c r="C14346" t="str">
        <f t="shared" si="5205"/>
        <v>RETANA</v>
      </c>
      <c r="D14346">
        <f>11</f>
        <v>11</v>
      </c>
      <c r="E14346" t="str">
        <f>"05 - B - 103 - Heidi M Knopp"</f>
        <v>05 - B - 103 - Heidi M Knopp</v>
      </c>
      <c r="F14346" t="str">
        <f>"ENG HON 3"</f>
        <v>ENG HON 3</v>
      </c>
      <c r="G14346" t="str">
        <f>"17-1723"</f>
        <v>17-1723</v>
      </c>
      <c r="H14346" t="str">
        <f>"B"</f>
        <v>B</v>
      </c>
    </row>
    <row r="14347" spans="1:8" x14ac:dyDescent="0.2">
      <c r="A14347" t="str">
        <f t="shared" si="5203"/>
        <v>0614121227</v>
      </c>
      <c r="B14347" t="str">
        <f t="shared" si="5204"/>
        <v>REY</v>
      </c>
      <c r="C14347" t="str">
        <f t="shared" si="5205"/>
        <v>RETANA</v>
      </c>
      <c r="D14347">
        <f>11</f>
        <v>11</v>
      </c>
      <c r="E14347" t="str">
        <f>"01 - A - 101 - Cliffon  Saurel"</f>
        <v>01 - A - 101 - Cliffon  Saurel</v>
      </c>
      <c r="F14347" t="str">
        <f>"PHYSICAL SCI"</f>
        <v>PHYSICAL SCI</v>
      </c>
      <c r="G14347" t="str">
        <f>"05-522"</f>
        <v>05-522</v>
      </c>
      <c r="H14347" t="str">
        <f>"A"</f>
        <v>A</v>
      </c>
    </row>
    <row r="14348" spans="1:8" x14ac:dyDescent="0.2">
      <c r="A14348" t="str">
        <f t="shared" si="5203"/>
        <v>0614121227</v>
      </c>
      <c r="B14348" t="str">
        <f t="shared" si="5204"/>
        <v>REY</v>
      </c>
      <c r="C14348" t="str">
        <f t="shared" si="5205"/>
        <v>RETANA</v>
      </c>
      <c r="D14348">
        <f>11</f>
        <v>11</v>
      </c>
      <c r="E14348" t="str">
        <f>"08 - B - 102 - Robert H Rindner"</f>
        <v>08 - B - 102 - Robert H Rindner</v>
      </c>
      <c r="F14348" t="str">
        <f>"TV PRODUCTION TECH 1"</f>
        <v>TV PRODUCTION TECH 1</v>
      </c>
      <c r="G14348" t="str">
        <f>"21-2160"</f>
        <v>21-2160</v>
      </c>
      <c r="H14348" t="str">
        <f>"B"</f>
        <v>B</v>
      </c>
    </row>
    <row r="14349" spans="1:8" x14ac:dyDescent="0.2">
      <c r="A14349" t="str">
        <f t="shared" ref="A14349:A14356" si="5206">"0616052922"</f>
        <v>0616052922</v>
      </c>
      <c r="B14349" t="str">
        <f t="shared" ref="B14349:B14356" si="5207">"MAIA"</f>
        <v>MAIA</v>
      </c>
      <c r="C14349" t="str">
        <f t="shared" ref="C14349:C14364" si="5208">"REYES"</f>
        <v>REYES</v>
      </c>
      <c r="D14349">
        <f>10</f>
        <v>10</v>
      </c>
      <c r="E14349" t="str">
        <f>"04 - A - 102 - Daniel S Katz"</f>
        <v>04 - A - 102 - Daniel S Katz</v>
      </c>
      <c r="F14349" t="str">
        <f>"AICE DRAMA 1 AS LEV"</f>
        <v>AICE DRAMA 1 AS LEV</v>
      </c>
      <c r="G14349" t="str">
        <f>"05-521"</f>
        <v>05-521</v>
      </c>
      <c r="H14349" t="str">
        <f>"A"</f>
        <v>A</v>
      </c>
    </row>
    <row r="14350" spans="1:8" x14ac:dyDescent="0.2">
      <c r="A14350" t="str">
        <f t="shared" si="5206"/>
        <v>0616052922</v>
      </c>
      <c r="B14350" t="str">
        <f t="shared" si="5207"/>
        <v>MAIA</v>
      </c>
      <c r="C14350" t="str">
        <f t="shared" si="5208"/>
        <v>REYES</v>
      </c>
      <c r="D14350">
        <f>10</f>
        <v>10</v>
      </c>
      <c r="E14350" t="str">
        <f>"06 - B - 119 - Nikiel  Nesbeth"</f>
        <v>06 - B - 119 - Nikiel  Nesbeth</v>
      </c>
      <c r="F14350" t="str">
        <f>"NC STUDY HALL 1"</f>
        <v>NC STUDY HALL 1</v>
      </c>
      <c r="G14350" t="str">
        <f>"17-1705"</f>
        <v>17-1705</v>
      </c>
      <c r="H14350" t="str">
        <f>"B"</f>
        <v>B</v>
      </c>
    </row>
    <row r="14351" spans="1:8" x14ac:dyDescent="0.2">
      <c r="A14351" t="str">
        <f t="shared" si="5206"/>
        <v>0616052922</v>
      </c>
      <c r="B14351" t="str">
        <f t="shared" si="5207"/>
        <v>MAIA</v>
      </c>
      <c r="C14351" t="str">
        <f t="shared" si="5208"/>
        <v>REYES</v>
      </c>
      <c r="D14351">
        <f>10</f>
        <v>10</v>
      </c>
      <c r="E14351" t="str">
        <f>"03 - A - 103 - Pamela M Corzo"</f>
        <v>03 - A - 103 - Pamela M Corzo</v>
      </c>
      <c r="F14351" t="str">
        <f>"ALGEBRA 2 HON"</f>
        <v>ALGEBRA 2 HON</v>
      </c>
      <c r="G14351" t="str">
        <f>"21-2133"</f>
        <v>21-2133</v>
      </c>
      <c r="H14351" t="str">
        <f>"A"</f>
        <v>A</v>
      </c>
    </row>
    <row r="14352" spans="1:8" x14ac:dyDescent="0.2">
      <c r="A14352" t="str">
        <f t="shared" si="5206"/>
        <v>0616052922</v>
      </c>
      <c r="B14352" t="str">
        <f t="shared" si="5207"/>
        <v>MAIA</v>
      </c>
      <c r="C14352" t="str">
        <f t="shared" si="5208"/>
        <v>REYES</v>
      </c>
      <c r="D14352">
        <f>10</f>
        <v>10</v>
      </c>
      <c r="E14352" t="str">
        <f>"02 - A - 104 - Scott A Dethloff"</f>
        <v>02 - A - 104 - Scott A Dethloff</v>
      </c>
      <c r="F14352" t="str">
        <f>"CHEMISTRY 1 HON"</f>
        <v>CHEMISTRY 1 HON</v>
      </c>
      <c r="G14352" t="str">
        <f>"08-812"</f>
        <v>08-812</v>
      </c>
      <c r="H14352" t="str">
        <f>"A"</f>
        <v>A</v>
      </c>
    </row>
    <row r="14353" spans="1:8" x14ac:dyDescent="0.2">
      <c r="A14353" t="str">
        <f t="shared" si="5206"/>
        <v>0616052922</v>
      </c>
      <c r="B14353" t="str">
        <f t="shared" si="5207"/>
        <v>MAIA</v>
      </c>
      <c r="C14353" t="str">
        <f t="shared" si="5208"/>
        <v>REYES</v>
      </c>
      <c r="D14353">
        <f>10</f>
        <v>10</v>
      </c>
      <c r="E14353" t="str">
        <f>"07 - B - 107 - Rosa Elaine  Collado-Duff"</f>
        <v>07 - B - 107 - Rosa Elaine  Collado-Duff</v>
      </c>
      <c r="F14353" t="str">
        <f>"PRE-AICE SPAN 2 IG"</f>
        <v>PRE-AICE SPAN 2 IG</v>
      </c>
      <c r="G14353" t="str">
        <f>"09-913"</f>
        <v>09-913</v>
      </c>
      <c r="H14353" t="str">
        <f>"B"</f>
        <v>B</v>
      </c>
    </row>
    <row r="14354" spans="1:8" x14ac:dyDescent="0.2">
      <c r="A14354" t="str">
        <f t="shared" si="5206"/>
        <v>0616052922</v>
      </c>
      <c r="B14354" t="str">
        <f t="shared" si="5207"/>
        <v>MAIA</v>
      </c>
      <c r="C14354" t="str">
        <f t="shared" si="5208"/>
        <v>REYES</v>
      </c>
      <c r="D14354">
        <f>10</f>
        <v>10</v>
      </c>
      <c r="E14354" t="str">
        <f>"05 - B - 106 - Courtney E Hambright"</f>
        <v>05 - B - 106 - Courtney E Hambright</v>
      </c>
      <c r="F14354" t="str">
        <f>"AICE ENG LANG AS"</f>
        <v>AICE ENG LANG AS</v>
      </c>
      <c r="G14354" t="str">
        <f>"17-1711"</f>
        <v>17-1711</v>
      </c>
      <c r="H14354" t="str">
        <f>"B"</f>
        <v>B</v>
      </c>
    </row>
    <row r="14355" spans="1:8" x14ac:dyDescent="0.2">
      <c r="A14355" t="str">
        <f t="shared" si="5206"/>
        <v>0616052922</v>
      </c>
      <c r="B14355" t="str">
        <f t="shared" si="5207"/>
        <v>MAIA</v>
      </c>
      <c r="C14355" t="str">
        <f t="shared" si="5208"/>
        <v>REYES</v>
      </c>
      <c r="D14355">
        <f>10</f>
        <v>10</v>
      </c>
      <c r="E14355" t="str">
        <f>"01 - A - 001 - Lenecy  Nodarse"</f>
        <v>01 - A - 001 - Lenecy  Nodarse</v>
      </c>
      <c r="F14355" t="str">
        <f>"AICE EURO HIST 1 AS"</f>
        <v>AICE EURO HIST 1 AS</v>
      </c>
      <c r="G14355" t="str">
        <f>"17-1741"</f>
        <v>17-1741</v>
      </c>
      <c r="H14355" t="str">
        <f>"A"</f>
        <v>A</v>
      </c>
    </row>
    <row r="14356" spans="1:8" x14ac:dyDescent="0.2">
      <c r="A14356" t="str">
        <f t="shared" si="5206"/>
        <v>0616052922</v>
      </c>
      <c r="B14356" t="str">
        <f t="shared" si="5207"/>
        <v>MAIA</v>
      </c>
      <c r="C14356" t="str">
        <f t="shared" si="5208"/>
        <v>REYES</v>
      </c>
      <c r="D14356">
        <f>10</f>
        <v>10</v>
      </c>
      <c r="E14356" t="str">
        <f>"08 - B - 206 - Daniel S Katz"</f>
        <v>08 - B - 206 - Daniel S Katz</v>
      </c>
      <c r="F14356" t="str">
        <f>"AICE MEDIASTUDIES AS"</f>
        <v>AICE MEDIASTUDIES AS</v>
      </c>
      <c r="G14356" t="str">
        <f>"05-521"</f>
        <v>05-521</v>
      </c>
      <c r="H14356" t="str">
        <f>"B"</f>
        <v>B</v>
      </c>
    </row>
    <row r="14357" spans="1:8" x14ac:dyDescent="0.2">
      <c r="A14357" t="str">
        <f t="shared" ref="A14357:A14364" si="5209">"0619035830"</f>
        <v>0619035830</v>
      </c>
      <c r="B14357" t="str">
        <f t="shared" ref="B14357:B14364" si="5210">"SANIYA"</f>
        <v>SANIYA</v>
      </c>
      <c r="C14357" t="str">
        <f t="shared" si="5208"/>
        <v>REYES</v>
      </c>
      <c r="D14357">
        <f>12</f>
        <v>12</v>
      </c>
      <c r="E14357" t="str">
        <f>"04 - A - 104 - Robert H Rindner"</f>
        <v>04 - A - 104 - Robert H Rindner</v>
      </c>
      <c r="F14357" t="str">
        <f>"MATH DATA&amp;FIN LIT H"</f>
        <v>MATH DATA&amp;FIN LIT H</v>
      </c>
      <c r="G14357" t="str">
        <f>"21-2160"</f>
        <v>21-2160</v>
      </c>
      <c r="H14357" t="str">
        <f>"A"</f>
        <v>A</v>
      </c>
    </row>
    <row r="14358" spans="1:8" x14ac:dyDescent="0.2">
      <c r="A14358" t="str">
        <f t="shared" si="5209"/>
        <v>0619035830</v>
      </c>
      <c r="B14358" t="str">
        <f t="shared" si="5210"/>
        <v>SANIYA</v>
      </c>
      <c r="C14358" t="str">
        <f t="shared" si="5208"/>
        <v>REYES</v>
      </c>
      <c r="D14358">
        <f>12</f>
        <v>12</v>
      </c>
      <c r="E14358" t="str">
        <f>"06 - B - 114 - Lisa J London"</f>
        <v>06 - B - 114 - Lisa J London</v>
      </c>
      <c r="F14358" t="str">
        <f>"NC STUDY HALL 1"</f>
        <v>NC STUDY HALL 1</v>
      </c>
      <c r="G14358" t="str">
        <f>"17-1714"</f>
        <v>17-1714</v>
      </c>
      <c r="H14358" t="str">
        <f>"B"</f>
        <v>B</v>
      </c>
    </row>
    <row r="14359" spans="1:8" x14ac:dyDescent="0.2">
      <c r="A14359" t="str">
        <f t="shared" si="5209"/>
        <v>0619035830</v>
      </c>
      <c r="B14359" t="str">
        <f t="shared" si="5210"/>
        <v>SANIYA</v>
      </c>
      <c r="C14359" t="str">
        <f t="shared" si="5208"/>
        <v>REYES</v>
      </c>
      <c r="D14359">
        <f>12</f>
        <v>12</v>
      </c>
      <c r="E14359" t="str">
        <f>"03 - A - 101 - Timothy J Lawrence"</f>
        <v>03 - A - 101 - Timothy J Lawrence</v>
      </c>
      <c r="F14359" t="str">
        <f>"AICE PHYS ED 1 AS"</f>
        <v>AICE PHYS ED 1 AS</v>
      </c>
      <c r="G14359" t="str">
        <f>"05-519"</f>
        <v>05-519</v>
      </c>
      <c r="H14359" t="str">
        <f>"A"</f>
        <v>A</v>
      </c>
    </row>
    <row r="14360" spans="1:8" x14ac:dyDescent="0.2">
      <c r="A14360" t="str">
        <f t="shared" si="5209"/>
        <v>0619035830</v>
      </c>
      <c r="B14360" t="str">
        <f t="shared" si="5210"/>
        <v>SANIYA</v>
      </c>
      <c r="C14360" t="str">
        <f t="shared" si="5208"/>
        <v>REYES</v>
      </c>
      <c r="D14360">
        <f>12</f>
        <v>12</v>
      </c>
      <c r="E14360" t="str">
        <f>"02 - A - 201 - Jordana K Hass"</f>
        <v>02 - A - 201 - Jordana K Hass</v>
      </c>
      <c r="F14360" t="str">
        <f>"CHEMISTRY 1"</f>
        <v>CHEMISTRY 1</v>
      </c>
      <c r="G14360" t="str">
        <f>"08-807"</f>
        <v>08-807</v>
      </c>
      <c r="H14360" t="str">
        <f>"A"</f>
        <v>A</v>
      </c>
    </row>
    <row r="14361" spans="1:8" x14ac:dyDescent="0.2">
      <c r="A14361" t="str">
        <f t="shared" si="5209"/>
        <v>0619035830</v>
      </c>
      <c r="B14361" t="str">
        <f t="shared" si="5210"/>
        <v>SANIYA</v>
      </c>
      <c r="C14361" t="str">
        <f t="shared" si="5208"/>
        <v>REYES</v>
      </c>
      <c r="D14361">
        <f>12</f>
        <v>12</v>
      </c>
      <c r="E14361" t="str">
        <f>"07 - S1 - B - 107 - Kelly N Panza"</f>
        <v>07 - S1 - B - 107 - Kelly N Panza</v>
      </c>
      <c r="F14361" t="str">
        <f>"US GOVT HON"</f>
        <v>US GOVT HON</v>
      </c>
      <c r="G14361" t="str">
        <f>"17-1753"</f>
        <v>17-1753</v>
      </c>
      <c r="H14361" t="str">
        <f>"B"</f>
        <v>B</v>
      </c>
    </row>
    <row r="14362" spans="1:8" x14ac:dyDescent="0.2">
      <c r="A14362" t="str">
        <f t="shared" si="5209"/>
        <v>0619035830</v>
      </c>
      <c r="B14362" t="str">
        <f t="shared" si="5210"/>
        <v>SANIYA</v>
      </c>
      <c r="C14362" t="str">
        <f t="shared" si="5208"/>
        <v>REYES</v>
      </c>
      <c r="D14362">
        <f>12</f>
        <v>12</v>
      </c>
      <c r="E14362" t="str">
        <f>"05 - B - 101 - Brian M Fitzgerald"</f>
        <v>05 - B - 101 - Brian M Fitzgerald</v>
      </c>
      <c r="F14362" t="str">
        <f>"PAINT 1"</f>
        <v>PAINT 1</v>
      </c>
      <c r="G14362" t="str">
        <f>"09-908"</f>
        <v>09-908</v>
      </c>
      <c r="H14362" t="str">
        <f>"B"</f>
        <v>B</v>
      </c>
    </row>
    <row r="14363" spans="1:8" x14ac:dyDescent="0.2">
      <c r="A14363" t="str">
        <f t="shared" si="5209"/>
        <v>0619035830</v>
      </c>
      <c r="B14363" t="str">
        <f t="shared" si="5210"/>
        <v>SANIYA</v>
      </c>
      <c r="C14363" t="str">
        <f t="shared" si="5208"/>
        <v>REYES</v>
      </c>
      <c r="D14363">
        <f>12</f>
        <v>12</v>
      </c>
      <c r="E14363" t="str">
        <f>"01 - A - 101 - Brandy N Zdenek"</f>
        <v>01 - A - 101 - Brandy N Zdenek</v>
      </c>
      <c r="F14363" t="str">
        <f>"AICE ENG LANG 2 AL"</f>
        <v>AICE ENG LANG 2 AL</v>
      </c>
      <c r="G14363" t="str">
        <f>"17-1704"</f>
        <v>17-1704</v>
      </c>
      <c r="H14363" t="str">
        <f>"A"</f>
        <v>A</v>
      </c>
    </row>
    <row r="14364" spans="1:8" x14ac:dyDescent="0.2">
      <c r="A14364" t="str">
        <f t="shared" si="5209"/>
        <v>0619035830</v>
      </c>
      <c r="B14364" t="str">
        <f t="shared" si="5210"/>
        <v>SANIYA</v>
      </c>
      <c r="C14364" t="str">
        <f t="shared" si="5208"/>
        <v>REYES</v>
      </c>
      <c r="D14364">
        <f>12</f>
        <v>12</v>
      </c>
      <c r="E14364" t="str">
        <f>"08 - B - 107 - Taraneh C Abreu"</f>
        <v>08 - B - 107 - Taraneh C Abreu</v>
      </c>
      <c r="F14364" t="str">
        <f>"RESEARCH 1 LH"</f>
        <v>RESEARCH 1 LH</v>
      </c>
      <c r="G14364">
        <f>2041</f>
        <v>2041</v>
      </c>
      <c r="H14364" t="str">
        <f>"B"</f>
        <v>B</v>
      </c>
    </row>
    <row r="14365" spans="1:8" x14ac:dyDescent="0.2">
      <c r="A14365" t="str">
        <f t="shared" ref="A14365:A14372" si="5211">"0615069776"</f>
        <v>0615069776</v>
      </c>
      <c r="B14365" t="str">
        <f t="shared" ref="B14365:B14372" si="5212">"ETHAN"</f>
        <v>ETHAN</v>
      </c>
      <c r="C14365" t="str">
        <f t="shared" ref="C14365:C14372" si="5213">"REYES MORENO"</f>
        <v>REYES MORENO</v>
      </c>
      <c r="D14365" t="str">
        <f t="shared" ref="D14365:D14380" si="5214">"09"</f>
        <v>09</v>
      </c>
      <c r="E14365" t="str">
        <f>"04 - A - 201 - Dorothy D Moore"</f>
        <v>04 - A - 201 - Dorothy D Moore</v>
      </c>
      <c r="F14365" t="str">
        <f>"HEALTH SCI 1/A&amp;P HON"</f>
        <v>HEALTH SCI 1/A&amp;P HON</v>
      </c>
      <c r="G14365" t="str">
        <f>"08-803"</f>
        <v>08-803</v>
      </c>
      <c r="H14365" t="str">
        <f>"A"</f>
        <v>A</v>
      </c>
    </row>
    <row r="14366" spans="1:8" x14ac:dyDescent="0.2">
      <c r="A14366" t="str">
        <f t="shared" si="5211"/>
        <v>0615069776</v>
      </c>
      <c r="B14366" t="str">
        <f t="shared" si="5212"/>
        <v>ETHAN</v>
      </c>
      <c r="C14366" t="str">
        <f t="shared" si="5213"/>
        <v>REYES MORENO</v>
      </c>
      <c r="D14366" t="str">
        <f t="shared" si="5214"/>
        <v>09</v>
      </c>
      <c r="E14366" t="str">
        <f>"06 - B - 105 - Cheryl L Beach"</f>
        <v>06 - B - 105 - Cheryl L Beach</v>
      </c>
      <c r="F14366" t="str">
        <f>"AICE ENV MGMNT AS"</f>
        <v>AICE ENV MGMNT AS</v>
      </c>
      <c r="G14366" t="str">
        <f>"08-811"</f>
        <v>08-811</v>
      </c>
      <c r="H14366" t="str">
        <f>"B"</f>
        <v>B</v>
      </c>
    </row>
    <row r="14367" spans="1:8" x14ac:dyDescent="0.2">
      <c r="A14367" t="str">
        <f t="shared" si="5211"/>
        <v>0615069776</v>
      </c>
      <c r="B14367" t="str">
        <f t="shared" si="5212"/>
        <v>ETHAN</v>
      </c>
      <c r="C14367" t="str">
        <f t="shared" si="5213"/>
        <v>REYES MORENO</v>
      </c>
      <c r="D14367" t="str">
        <f t="shared" si="5214"/>
        <v>09</v>
      </c>
      <c r="E14367" t="str">
        <f>"03 - A - 001 - Maried P Ramos"</f>
        <v>03 - A - 001 - Maried P Ramos</v>
      </c>
      <c r="F14367" t="str">
        <f>"PRE-AICE MATH 2 IG"</f>
        <v>PRE-AICE MATH 2 IG</v>
      </c>
      <c r="G14367" t="str">
        <f>"21-2159"</f>
        <v>21-2159</v>
      </c>
      <c r="H14367" t="str">
        <f>"A"</f>
        <v>A</v>
      </c>
    </row>
    <row r="14368" spans="1:8" x14ac:dyDescent="0.2">
      <c r="A14368" t="str">
        <f t="shared" si="5211"/>
        <v>0615069776</v>
      </c>
      <c r="B14368" t="str">
        <f t="shared" si="5212"/>
        <v>ETHAN</v>
      </c>
      <c r="C14368" t="str">
        <f t="shared" si="5213"/>
        <v>REYES MORENO</v>
      </c>
      <c r="D14368" t="str">
        <f t="shared" si="5214"/>
        <v>09</v>
      </c>
      <c r="E14368" t="str">
        <f>"02 - A - 103 - Arthur  Kulawik"</f>
        <v>02 - A - 103 - Arthur  Kulawik</v>
      </c>
      <c r="F14368" t="str">
        <f>"NC STUDY HALL 1"</f>
        <v>NC STUDY HALL 1</v>
      </c>
      <c r="G14368" t="str">
        <f>"05-506"</f>
        <v>05-506</v>
      </c>
      <c r="H14368" t="str">
        <f>"A"</f>
        <v>A</v>
      </c>
    </row>
    <row r="14369" spans="1:8" x14ac:dyDescent="0.2">
      <c r="A14369" t="str">
        <f t="shared" si="5211"/>
        <v>0615069776</v>
      </c>
      <c r="B14369" t="str">
        <f t="shared" si="5212"/>
        <v>ETHAN</v>
      </c>
      <c r="C14369" t="str">
        <f t="shared" si="5213"/>
        <v>REYES MORENO</v>
      </c>
      <c r="D14369" t="str">
        <f t="shared" si="5214"/>
        <v>09</v>
      </c>
      <c r="E14369" t="str">
        <f>"07 - B - 207 - Krystal Marie  Beruty"</f>
        <v>07 - B - 207 - Krystal Marie  Beruty</v>
      </c>
      <c r="F14369" t="str">
        <f>"AICE GLBL PERSP 1 AS"</f>
        <v>AICE GLBL PERSP 1 AS</v>
      </c>
      <c r="G14369" t="str">
        <f>"17-1721"</f>
        <v>17-1721</v>
      </c>
      <c r="H14369" t="str">
        <f>"B"</f>
        <v>B</v>
      </c>
    </row>
    <row r="14370" spans="1:8" x14ac:dyDescent="0.2">
      <c r="A14370" t="str">
        <f t="shared" si="5211"/>
        <v>0615069776</v>
      </c>
      <c r="B14370" t="str">
        <f t="shared" si="5212"/>
        <v>ETHAN</v>
      </c>
      <c r="C14370" t="str">
        <f t="shared" si="5213"/>
        <v>REYES MORENO</v>
      </c>
      <c r="D14370" t="str">
        <f t="shared" si="5214"/>
        <v>09</v>
      </c>
      <c r="E14370" t="str">
        <f>"05 - B - 204 - Elizabeth R Walker"</f>
        <v>05 - B - 204 - Elizabeth R Walker</v>
      </c>
      <c r="F14370" t="str">
        <f>"AICE ENG GEN PAPER 1"</f>
        <v>AICE ENG GEN PAPER 1</v>
      </c>
      <c r="G14370" t="str">
        <f>"17-1703"</f>
        <v>17-1703</v>
      </c>
      <c r="H14370" t="str">
        <f>"B"</f>
        <v>B</v>
      </c>
    </row>
    <row r="14371" spans="1:8" x14ac:dyDescent="0.2">
      <c r="A14371" t="str">
        <f t="shared" si="5211"/>
        <v>0615069776</v>
      </c>
      <c r="B14371" t="str">
        <f t="shared" si="5212"/>
        <v>ETHAN</v>
      </c>
      <c r="C14371" t="str">
        <f t="shared" si="5213"/>
        <v>REYES MORENO</v>
      </c>
      <c r="D14371" t="str">
        <f t="shared" si="5214"/>
        <v>09</v>
      </c>
      <c r="E14371" t="str">
        <f>"01 - A - 101 - Marius D Orsolini"</f>
        <v>01 - A - 101 - Marius D Orsolini</v>
      </c>
      <c r="F14371" t="str">
        <f>"CULINARY ARTS 1"</f>
        <v>CULINARY ARTS 1</v>
      </c>
      <c r="G14371" t="str">
        <f>"21-2115"</f>
        <v>21-2115</v>
      </c>
      <c r="H14371" t="str">
        <f>"A"</f>
        <v>A</v>
      </c>
    </row>
    <row r="14372" spans="1:8" x14ac:dyDescent="0.2">
      <c r="A14372" t="str">
        <f t="shared" si="5211"/>
        <v>0615069776</v>
      </c>
      <c r="B14372" t="str">
        <f t="shared" si="5212"/>
        <v>ETHAN</v>
      </c>
      <c r="C14372" t="str">
        <f t="shared" si="5213"/>
        <v>REYES MORENO</v>
      </c>
      <c r="D14372" t="str">
        <f t="shared" si="5214"/>
        <v>09</v>
      </c>
      <c r="E14372" t="str">
        <f>"08 - B - 105 - Daniel S Tyson"</f>
        <v>08 - B - 105 - Daniel S Tyson</v>
      </c>
      <c r="F14372" t="str">
        <f>"JROTC NAVAL SCI 1"</f>
        <v>JROTC NAVAL SCI 1</v>
      </c>
      <c r="G14372" t="str">
        <f>"05-510"</f>
        <v>05-510</v>
      </c>
      <c r="H14372" t="str">
        <f>"B"</f>
        <v>B</v>
      </c>
    </row>
    <row r="14373" spans="1:8" x14ac:dyDescent="0.2">
      <c r="A14373" t="str">
        <f t="shared" ref="A14373:A14380" si="5215">"0616051992"</f>
        <v>0616051992</v>
      </c>
      <c r="B14373" t="str">
        <f t="shared" ref="B14373:B14380" si="5216">"KEYLA"</f>
        <v>KEYLA</v>
      </c>
      <c r="C14373" t="str">
        <f t="shared" ref="C14373:C14380" si="5217">"REYESVILLATORO"</f>
        <v>REYESVILLATORO</v>
      </c>
      <c r="D14373" t="str">
        <f t="shared" si="5214"/>
        <v>09</v>
      </c>
      <c r="E14373" t="str">
        <f>"04 - A - 106 - Ferrie J Arostique"</f>
        <v>04 - A - 106 - Ferrie J Arostique</v>
      </c>
      <c r="F14373" t="str">
        <f>"PRE-AICE MATH 2 IG"</f>
        <v>PRE-AICE MATH 2 IG</v>
      </c>
      <c r="G14373" t="str">
        <f>"21-2139"</f>
        <v>21-2139</v>
      </c>
      <c r="H14373" t="str">
        <f>"A"</f>
        <v>A</v>
      </c>
    </row>
    <row r="14374" spans="1:8" x14ac:dyDescent="0.2">
      <c r="A14374" t="str">
        <f t="shared" si="5215"/>
        <v>0616051992</v>
      </c>
      <c r="B14374" t="str">
        <f t="shared" si="5216"/>
        <v>KEYLA</v>
      </c>
      <c r="C14374" t="str">
        <f t="shared" si="5217"/>
        <v>REYESVILLATORO</v>
      </c>
      <c r="D14374" t="str">
        <f t="shared" si="5214"/>
        <v>09</v>
      </c>
      <c r="E14374" t="str">
        <f>"06 - B - 105 - Cerine S Stewart"</f>
        <v>06 - B - 105 - Cerine S Stewart</v>
      </c>
      <c r="F14374" t="str">
        <f>"AICE ENG GEN PAPER 1"</f>
        <v>AICE ENG GEN PAPER 1</v>
      </c>
      <c r="G14374" t="str">
        <f>"17-1720"</f>
        <v>17-1720</v>
      </c>
      <c r="H14374" t="str">
        <f>"B"</f>
        <v>B</v>
      </c>
    </row>
    <row r="14375" spans="1:8" x14ac:dyDescent="0.2">
      <c r="A14375" t="str">
        <f t="shared" si="5215"/>
        <v>0616051992</v>
      </c>
      <c r="B14375" t="str">
        <f t="shared" si="5216"/>
        <v>KEYLA</v>
      </c>
      <c r="C14375" t="str">
        <f t="shared" si="5217"/>
        <v>REYESVILLATORO</v>
      </c>
      <c r="D14375" t="str">
        <f t="shared" si="5214"/>
        <v>09</v>
      </c>
      <c r="E14375" t="str">
        <f>"03 - A - 201 - Emmily A Sarmiento"</f>
        <v>03 - A - 201 - Emmily A Sarmiento</v>
      </c>
      <c r="F14375" t="str">
        <f>"LEAD SKLS DEV LH"</f>
        <v>LEAD SKLS DEV LH</v>
      </c>
      <c r="G14375" t="str">
        <f>"17-1743"</f>
        <v>17-1743</v>
      </c>
      <c r="H14375" t="str">
        <f>"A"</f>
        <v>A</v>
      </c>
    </row>
    <row r="14376" spans="1:8" x14ac:dyDescent="0.2">
      <c r="A14376" t="str">
        <f t="shared" si="5215"/>
        <v>0616051992</v>
      </c>
      <c r="B14376" t="str">
        <f t="shared" si="5216"/>
        <v>KEYLA</v>
      </c>
      <c r="C14376" t="str">
        <f t="shared" si="5217"/>
        <v>REYESVILLATORO</v>
      </c>
      <c r="D14376" t="str">
        <f t="shared" si="5214"/>
        <v>09</v>
      </c>
      <c r="E14376" t="str">
        <f>"02 - A - 103 - Arthur  Kulawik"</f>
        <v>02 - A - 103 - Arthur  Kulawik</v>
      </c>
      <c r="F14376" t="str">
        <f>"NC STUDY HALL 1"</f>
        <v>NC STUDY HALL 1</v>
      </c>
      <c r="G14376" t="str">
        <f>"05-506"</f>
        <v>05-506</v>
      </c>
      <c r="H14376" t="str">
        <f>"A"</f>
        <v>A</v>
      </c>
    </row>
    <row r="14377" spans="1:8" x14ac:dyDescent="0.2">
      <c r="A14377" t="str">
        <f t="shared" si="5215"/>
        <v>0616051992</v>
      </c>
      <c r="B14377" t="str">
        <f t="shared" si="5216"/>
        <v>KEYLA</v>
      </c>
      <c r="C14377" t="str">
        <f t="shared" si="5217"/>
        <v>REYESVILLATORO</v>
      </c>
      <c r="D14377" t="str">
        <f t="shared" si="5214"/>
        <v>09</v>
      </c>
      <c r="E14377" t="str">
        <f>"07 - B - 105 - Joe  Kilpatrick Jr"</f>
        <v>07 - B - 105 - Joe  Kilpatrick Jr</v>
      </c>
      <c r="F14377" t="str">
        <f>"PRE-AICE SPAN 1 IG"</f>
        <v>PRE-AICE SPAN 1 IG</v>
      </c>
      <c r="G14377" t="str">
        <f>"09-912"</f>
        <v>09-912</v>
      </c>
      <c r="H14377" t="str">
        <f>"B"</f>
        <v>B</v>
      </c>
    </row>
    <row r="14378" spans="1:8" x14ac:dyDescent="0.2">
      <c r="A14378" t="str">
        <f t="shared" si="5215"/>
        <v>0616051992</v>
      </c>
      <c r="B14378" t="str">
        <f t="shared" si="5216"/>
        <v>KEYLA</v>
      </c>
      <c r="C14378" t="str">
        <f t="shared" si="5217"/>
        <v>REYESVILLATORO</v>
      </c>
      <c r="D14378" t="str">
        <f t="shared" si="5214"/>
        <v>09</v>
      </c>
      <c r="E14378" t="str">
        <f>"05 - B - 103 - Rory T Sponsler"</f>
        <v>05 - B - 103 - Rory T Sponsler</v>
      </c>
      <c r="F14378" t="str">
        <f>"PRE-AICE WRLD HST IG"</f>
        <v>PRE-AICE WRLD HST IG</v>
      </c>
      <c r="G14378" t="str">
        <f>"17-1740"</f>
        <v>17-1740</v>
      </c>
      <c r="H14378" t="str">
        <f>"B"</f>
        <v>B</v>
      </c>
    </row>
    <row r="14379" spans="1:8" x14ac:dyDescent="0.2">
      <c r="A14379" t="str">
        <f t="shared" si="5215"/>
        <v>0616051992</v>
      </c>
      <c r="B14379" t="str">
        <f t="shared" si="5216"/>
        <v>KEYLA</v>
      </c>
      <c r="C14379" t="str">
        <f t="shared" si="5217"/>
        <v>REYESVILLATORO</v>
      </c>
      <c r="D14379" t="str">
        <f t="shared" si="5214"/>
        <v>09</v>
      </c>
      <c r="E14379" t="str">
        <f>"01 - A - 101 - Adam Marcus  Drucker"</f>
        <v>01 - A - 101 - Adam Marcus  Drucker</v>
      </c>
      <c r="F14379" t="str">
        <f>"HOPE-PE V"</f>
        <v>HOPE-PE V</v>
      </c>
      <c r="G14379" t="str">
        <f>"04-254"</f>
        <v>04-254</v>
      </c>
      <c r="H14379" t="str">
        <f>"A"</f>
        <v>A</v>
      </c>
    </row>
    <row r="14380" spans="1:8" x14ac:dyDescent="0.2">
      <c r="A14380" t="str">
        <f t="shared" si="5215"/>
        <v>0616051992</v>
      </c>
      <c r="B14380" t="str">
        <f t="shared" si="5216"/>
        <v>KEYLA</v>
      </c>
      <c r="C14380" t="str">
        <f t="shared" si="5217"/>
        <v>REYESVILLATORO</v>
      </c>
      <c r="D14380" t="str">
        <f t="shared" si="5214"/>
        <v>09</v>
      </c>
      <c r="E14380" t="str">
        <f>"08 - B - 102 - Josiah I Lacy"</f>
        <v>08 - B - 102 - Josiah I Lacy</v>
      </c>
      <c r="F14380" t="str">
        <f>"ANAT PHYSIO HON"</f>
        <v>ANAT PHYSIO HON</v>
      </c>
      <c r="G14380" t="str">
        <f>"08-801"</f>
        <v>08-801</v>
      </c>
      <c r="H14380" t="str">
        <f>"B"</f>
        <v>B</v>
      </c>
    </row>
    <row r="14381" spans="1:8" x14ac:dyDescent="0.2">
      <c r="A14381" t="str">
        <f t="shared" ref="A14381:A14388" si="5218">"0614019357"</f>
        <v>0614019357</v>
      </c>
      <c r="B14381" t="str">
        <f t="shared" ref="B14381:B14388" si="5219">"RYAN"</f>
        <v>RYAN</v>
      </c>
      <c r="C14381" t="str">
        <f t="shared" ref="C14381:C14396" si="5220">"REYNEN"</f>
        <v>REYNEN</v>
      </c>
      <c r="D14381">
        <f>12</f>
        <v>12</v>
      </c>
      <c r="E14381" t="str">
        <f>"04 - S1 - A - 101 - Barbara L Segal"</f>
        <v>04 - S1 - A - 101 - Barbara L Segal</v>
      </c>
      <c r="F14381" t="str">
        <f>"AP US GOVT/POL"</f>
        <v>AP US GOVT/POL</v>
      </c>
      <c r="G14381" t="str">
        <f>"17-1742"</f>
        <v>17-1742</v>
      </c>
      <c r="H14381" t="str">
        <f>"A"</f>
        <v>A</v>
      </c>
    </row>
    <row r="14382" spans="1:8" x14ac:dyDescent="0.2">
      <c r="A14382" t="str">
        <f t="shared" si="5218"/>
        <v>0614019357</v>
      </c>
      <c r="B14382" t="str">
        <f t="shared" si="5219"/>
        <v>RYAN</v>
      </c>
      <c r="C14382" t="str">
        <f t="shared" si="5220"/>
        <v>REYNEN</v>
      </c>
      <c r="D14382">
        <f>12</f>
        <v>12</v>
      </c>
      <c r="E14382" t="str">
        <f>"06 - B - 112 - Lisa  Quinn"</f>
        <v>06 - B - 112 - Lisa  Quinn</v>
      </c>
      <c r="F14382" t="str">
        <f>"NC STUDY HALL 1"</f>
        <v>NC STUDY HALL 1</v>
      </c>
      <c r="G14382" t="str">
        <f>"17-1725"</f>
        <v>17-1725</v>
      </c>
      <c r="H14382" t="str">
        <f>"B"</f>
        <v>B</v>
      </c>
    </row>
    <row r="14383" spans="1:8" x14ac:dyDescent="0.2">
      <c r="A14383" t="str">
        <f t="shared" si="5218"/>
        <v>0614019357</v>
      </c>
      <c r="B14383" t="str">
        <f t="shared" si="5219"/>
        <v>RYAN</v>
      </c>
      <c r="C14383" t="str">
        <f t="shared" si="5220"/>
        <v>REYNEN</v>
      </c>
      <c r="D14383">
        <f>12</f>
        <v>12</v>
      </c>
      <c r="E14383" t="str">
        <f>"03 - A - 204 - Norayda D Suarez"</f>
        <v>03 - A - 204 - Norayda D Suarez</v>
      </c>
      <c r="F14383" t="str">
        <f>"ANAT PHYSIO HON"</f>
        <v>ANAT PHYSIO HON</v>
      </c>
      <c r="G14383" t="str">
        <f>"21-2144"</f>
        <v>21-2144</v>
      </c>
      <c r="H14383" t="str">
        <f>"A"</f>
        <v>A</v>
      </c>
    </row>
    <row r="14384" spans="1:8" x14ac:dyDescent="0.2">
      <c r="A14384" t="str">
        <f t="shared" si="5218"/>
        <v>0614019357</v>
      </c>
      <c r="B14384" t="str">
        <f t="shared" si="5219"/>
        <v>RYAN</v>
      </c>
      <c r="C14384" t="str">
        <f t="shared" si="5220"/>
        <v>REYNEN</v>
      </c>
      <c r="D14384">
        <f>12</f>
        <v>12</v>
      </c>
      <c r="E14384" t="str">
        <f>"02 - A - 202 - Daniel S Tyson"</f>
        <v>02 - A - 202 - Daniel S Tyson</v>
      </c>
      <c r="F14384" t="str">
        <f>"JROTC NAVAL SCI 2"</f>
        <v>JROTC NAVAL SCI 2</v>
      </c>
      <c r="G14384" t="str">
        <f>"05-510"</f>
        <v>05-510</v>
      </c>
      <c r="H14384" t="str">
        <f>"A"</f>
        <v>A</v>
      </c>
    </row>
    <row r="14385" spans="1:8" x14ac:dyDescent="0.2">
      <c r="A14385" t="str">
        <f t="shared" si="5218"/>
        <v>0614019357</v>
      </c>
      <c r="B14385" t="str">
        <f t="shared" si="5219"/>
        <v>RYAN</v>
      </c>
      <c r="C14385" t="str">
        <f t="shared" si="5220"/>
        <v>REYNEN</v>
      </c>
      <c r="D14385">
        <f>12</f>
        <v>12</v>
      </c>
      <c r="E14385" t="str">
        <f>"07 - B - 201 - Jacqueline R Morphet"</f>
        <v>07 - B - 201 - Jacqueline R Morphet</v>
      </c>
      <c r="F14385" t="str">
        <f>"AP PHYSICS C: ME"</f>
        <v>AP PHYSICS C: ME</v>
      </c>
      <c r="G14385" t="str">
        <f>"21-2138"</f>
        <v>21-2138</v>
      </c>
      <c r="H14385" t="str">
        <f>"B"</f>
        <v>B</v>
      </c>
    </row>
    <row r="14386" spans="1:8" x14ac:dyDescent="0.2">
      <c r="A14386" t="str">
        <f t="shared" si="5218"/>
        <v>0614019357</v>
      </c>
      <c r="B14386" t="str">
        <f t="shared" si="5219"/>
        <v>RYAN</v>
      </c>
      <c r="C14386" t="str">
        <f t="shared" si="5220"/>
        <v>REYNEN</v>
      </c>
      <c r="D14386">
        <f>12</f>
        <v>12</v>
      </c>
      <c r="E14386" t="str">
        <f>"05 - B - 101 - Jordana K Hass"</f>
        <v>05 - B - 101 - Jordana K Hass</v>
      </c>
      <c r="F14386" t="str">
        <f>"AP COMP SCI PRIN"</f>
        <v>AP COMP SCI PRIN</v>
      </c>
      <c r="G14386" t="str">
        <f>"08-807"</f>
        <v>08-807</v>
      </c>
      <c r="H14386" t="str">
        <f>"B"</f>
        <v>B</v>
      </c>
    </row>
    <row r="14387" spans="1:8" x14ac:dyDescent="0.2">
      <c r="A14387" t="str">
        <f t="shared" si="5218"/>
        <v>0614019357</v>
      </c>
      <c r="B14387" t="str">
        <f t="shared" si="5219"/>
        <v>RYAN</v>
      </c>
      <c r="C14387" t="str">
        <f t="shared" si="5220"/>
        <v>REYNEN</v>
      </c>
      <c r="D14387">
        <f>12</f>
        <v>12</v>
      </c>
      <c r="E14387" t="str">
        <f>"01 - A - 201 - Pamela M Corzo"</f>
        <v>01 - A - 201 - Pamela M Corzo</v>
      </c>
      <c r="F14387" t="str">
        <f>"AP CALCULUS BC"</f>
        <v>AP CALCULUS BC</v>
      </c>
      <c r="G14387" t="str">
        <f>"21-2133"</f>
        <v>21-2133</v>
      </c>
      <c r="H14387" t="str">
        <f>"A"</f>
        <v>A</v>
      </c>
    </row>
    <row r="14388" spans="1:8" x14ac:dyDescent="0.2">
      <c r="A14388" t="str">
        <f t="shared" si="5218"/>
        <v>0614019357</v>
      </c>
      <c r="B14388" t="str">
        <f t="shared" si="5219"/>
        <v>RYAN</v>
      </c>
      <c r="C14388" t="str">
        <f t="shared" si="5220"/>
        <v>REYNEN</v>
      </c>
      <c r="D14388">
        <f>12</f>
        <v>12</v>
      </c>
      <c r="E14388" t="str">
        <f>"08 - B - 203 - Courtney E Hambright"</f>
        <v>08 - B - 203 - Courtney E Hambright</v>
      </c>
      <c r="F14388" t="str">
        <f>"AP ENG LIT COMPO"</f>
        <v>AP ENG LIT COMPO</v>
      </c>
      <c r="G14388" t="str">
        <f>"17-1711"</f>
        <v>17-1711</v>
      </c>
      <c r="H14388" t="str">
        <f>"B"</f>
        <v>B</v>
      </c>
    </row>
    <row r="14389" spans="1:8" x14ac:dyDescent="0.2">
      <c r="A14389" t="str">
        <f t="shared" ref="A14389:A14396" si="5221">"0615143490"</f>
        <v>0615143490</v>
      </c>
      <c r="B14389" t="str">
        <f t="shared" ref="B14389:B14396" si="5222">"TYLER"</f>
        <v>TYLER</v>
      </c>
      <c r="C14389" t="str">
        <f t="shared" si="5220"/>
        <v>REYNEN</v>
      </c>
      <c r="D14389">
        <f>10</f>
        <v>10</v>
      </c>
      <c r="E14389" t="str">
        <f>"04 - A - 201 - Scott A Dethloff"</f>
        <v>04 - A - 201 - Scott A Dethloff</v>
      </c>
      <c r="F14389" t="str">
        <f>"AICE THINK SKLS 1 AS"</f>
        <v>AICE THINK SKLS 1 AS</v>
      </c>
      <c r="G14389" t="str">
        <f>"08-812"</f>
        <v>08-812</v>
      </c>
      <c r="H14389" t="str">
        <f>"A"</f>
        <v>A</v>
      </c>
    </row>
    <row r="14390" spans="1:8" x14ac:dyDescent="0.2">
      <c r="A14390" t="str">
        <f t="shared" si="5221"/>
        <v>0615143490</v>
      </c>
      <c r="B14390" t="str">
        <f t="shared" si="5222"/>
        <v>TYLER</v>
      </c>
      <c r="C14390" t="str">
        <f t="shared" si="5220"/>
        <v>REYNEN</v>
      </c>
      <c r="D14390">
        <f>10</f>
        <v>10</v>
      </c>
      <c r="E14390" t="str">
        <f>"06 - B - 118 - Jeanne M Bermudez"</f>
        <v>06 - B - 118 - Jeanne M Bermudez</v>
      </c>
      <c r="F14390" t="str">
        <f>"NC STUDY HALL 1"</f>
        <v>NC STUDY HALL 1</v>
      </c>
      <c r="G14390" t="str">
        <f>"21-2141"</f>
        <v>21-2141</v>
      </c>
      <c r="H14390" t="str">
        <f>"B"</f>
        <v>B</v>
      </c>
    </row>
    <row r="14391" spans="1:8" x14ac:dyDescent="0.2">
      <c r="A14391" t="str">
        <f t="shared" si="5221"/>
        <v>0615143490</v>
      </c>
      <c r="B14391" t="str">
        <f t="shared" si="5222"/>
        <v>TYLER</v>
      </c>
      <c r="C14391" t="str">
        <f t="shared" si="5220"/>
        <v>REYNEN</v>
      </c>
      <c r="D14391">
        <f>10</f>
        <v>10</v>
      </c>
      <c r="E14391" t="str">
        <f>"03 - A - 002 - Lenecy  Nodarse"</f>
        <v>03 - A - 002 - Lenecy  Nodarse</v>
      </c>
      <c r="F14391" t="str">
        <f>"AICE EURO HIST 1 AS"</f>
        <v>AICE EURO HIST 1 AS</v>
      </c>
      <c r="G14391" t="str">
        <f>"17-1741"</f>
        <v>17-1741</v>
      </c>
      <c r="H14391" t="str">
        <f>"A"</f>
        <v>A</v>
      </c>
    </row>
    <row r="14392" spans="1:8" x14ac:dyDescent="0.2">
      <c r="A14392" t="str">
        <f t="shared" si="5221"/>
        <v>0615143490</v>
      </c>
      <c r="B14392" t="str">
        <f t="shared" si="5222"/>
        <v>TYLER</v>
      </c>
      <c r="C14392" t="str">
        <f t="shared" si="5220"/>
        <v>REYNEN</v>
      </c>
      <c r="D14392">
        <f>10</f>
        <v>10</v>
      </c>
      <c r="E14392" t="str">
        <f>"02 - A - 102 - Chrystina M Marchionne"</f>
        <v>02 - A - 102 - Chrystina M Marchionne</v>
      </c>
      <c r="F14392" t="str">
        <f>"AICE MEDIASTUDIES AS"</f>
        <v>AICE MEDIASTUDIES AS</v>
      </c>
      <c r="G14392" t="str">
        <f>"05-520"</f>
        <v>05-520</v>
      </c>
      <c r="H14392" t="str">
        <f>"A"</f>
        <v>A</v>
      </c>
    </row>
    <row r="14393" spans="1:8" x14ac:dyDescent="0.2">
      <c r="A14393" t="str">
        <f t="shared" si="5221"/>
        <v>0615143490</v>
      </c>
      <c r="B14393" t="str">
        <f t="shared" si="5222"/>
        <v>TYLER</v>
      </c>
      <c r="C14393" t="str">
        <f t="shared" si="5220"/>
        <v>REYNEN</v>
      </c>
      <c r="D14393">
        <f>10</f>
        <v>10</v>
      </c>
      <c r="E14393" t="str">
        <f>"07 - B - 107 - Jacklyn M James"</f>
        <v>07 - B - 107 - Jacklyn M James</v>
      </c>
      <c r="F14393" t="str">
        <f>"AICE ENG LANG AS"</f>
        <v>AICE ENG LANG AS</v>
      </c>
      <c r="G14393" t="str">
        <f>"17-1731"</f>
        <v>17-1731</v>
      </c>
      <c r="H14393" t="str">
        <f>"B"</f>
        <v>B</v>
      </c>
    </row>
    <row r="14394" spans="1:8" x14ac:dyDescent="0.2">
      <c r="A14394" t="str">
        <f t="shared" si="5221"/>
        <v>0615143490</v>
      </c>
      <c r="B14394" t="str">
        <f t="shared" si="5222"/>
        <v>TYLER</v>
      </c>
      <c r="C14394" t="str">
        <f t="shared" si="5220"/>
        <v>REYNEN</v>
      </c>
      <c r="D14394">
        <f>10</f>
        <v>10</v>
      </c>
      <c r="E14394" t="str">
        <f>"05 - B - 201 - Scott A Dethloff"</f>
        <v>05 - B - 201 - Scott A Dethloff</v>
      </c>
      <c r="F14394" t="str">
        <f>"AP CHEM"</f>
        <v>AP CHEM</v>
      </c>
      <c r="G14394" t="str">
        <f>"08-812"</f>
        <v>08-812</v>
      </c>
      <c r="H14394" t="str">
        <f>"B"</f>
        <v>B</v>
      </c>
    </row>
    <row r="14395" spans="1:8" x14ac:dyDescent="0.2">
      <c r="A14395" t="str">
        <f t="shared" si="5221"/>
        <v>0615143490</v>
      </c>
      <c r="B14395" t="str">
        <f t="shared" si="5222"/>
        <v>TYLER</v>
      </c>
      <c r="C14395" t="str">
        <f t="shared" si="5220"/>
        <v>REYNEN</v>
      </c>
      <c r="D14395">
        <f>10</f>
        <v>10</v>
      </c>
      <c r="E14395" t="str">
        <f>"01 - A - 201 - Pamela M Corzo"</f>
        <v>01 - A - 201 - Pamela M Corzo</v>
      </c>
      <c r="F14395" t="str">
        <f>"AP CALCULUS BC"</f>
        <v>AP CALCULUS BC</v>
      </c>
      <c r="G14395" t="str">
        <f>"21-2133"</f>
        <v>21-2133</v>
      </c>
      <c r="H14395" t="str">
        <f>"A"</f>
        <v>A</v>
      </c>
    </row>
    <row r="14396" spans="1:8" x14ac:dyDescent="0.2">
      <c r="A14396" t="str">
        <f t="shared" si="5221"/>
        <v>0615143490</v>
      </c>
      <c r="B14396" t="str">
        <f t="shared" si="5222"/>
        <v>TYLER</v>
      </c>
      <c r="C14396" t="str">
        <f t="shared" si="5220"/>
        <v>REYNEN</v>
      </c>
      <c r="D14396">
        <f>10</f>
        <v>10</v>
      </c>
      <c r="E14396" t="str">
        <f>"08 - B - 103 - Joe  Kilpatrick Jr"</f>
        <v>08 - B - 103 - Joe  Kilpatrick Jr</v>
      </c>
      <c r="F14396" t="str">
        <f>"PRE-AICE SPAN 2 IG"</f>
        <v>PRE-AICE SPAN 2 IG</v>
      </c>
      <c r="G14396" t="str">
        <f>"09-912"</f>
        <v>09-912</v>
      </c>
      <c r="H14396" t="str">
        <f>"B"</f>
        <v>B</v>
      </c>
    </row>
    <row r="14397" spans="1:8" x14ac:dyDescent="0.2">
      <c r="A14397" t="str">
        <f t="shared" ref="A14397:A14404" si="5223">"0615151901"</f>
        <v>0615151901</v>
      </c>
      <c r="B14397" t="str">
        <f t="shared" ref="B14397:B14404" si="5224">"ADRIAN"</f>
        <v>ADRIAN</v>
      </c>
      <c r="C14397" t="str">
        <f t="shared" ref="C14397:C14412" si="5225">"REYNOLDS"</f>
        <v>REYNOLDS</v>
      </c>
      <c r="D14397" t="str">
        <f t="shared" ref="D14397:D14412" si="5226">"09"</f>
        <v>09</v>
      </c>
      <c r="E14397" t="str">
        <f>"04 - A - 106 - Lissa C Frederique"</f>
        <v>04 - A - 106 - Lissa C Frederique</v>
      </c>
      <c r="F14397" t="str">
        <f>"WORLD HISTORY"</f>
        <v>WORLD HISTORY</v>
      </c>
      <c r="G14397" t="str">
        <f>"17-1754"</f>
        <v>17-1754</v>
      </c>
      <c r="H14397" t="str">
        <f>"A"</f>
        <v>A</v>
      </c>
    </row>
    <row r="14398" spans="1:8" x14ac:dyDescent="0.2">
      <c r="A14398" t="str">
        <f t="shared" si="5223"/>
        <v>0615151901</v>
      </c>
      <c r="B14398" t="str">
        <f t="shared" si="5224"/>
        <v>ADRIAN</v>
      </c>
      <c r="C14398" t="str">
        <f t="shared" si="5225"/>
        <v>REYNOLDS</v>
      </c>
      <c r="D14398" t="str">
        <f t="shared" si="5226"/>
        <v>09</v>
      </c>
      <c r="E14398" t="str">
        <f>"06 - B - 104 - Laselleda D Shaw"</f>
        <v>06 - B - 104 - Laselleda D Shaw</v>
      </c>
      <c r="F14398" t="str">
        <f>"INTENS READ 1"</f>
        <v>INTENS READ 1</v>
      </c>
      <c r="G14398" t="str">
        <f>"17-1723"</f>
        <v>17-1723</v>
      </c>
      <c r="H14398" t="str">
        <f>"B"</f>
        <v>B</v>
      </c>
    </row>
    <row r="14399" spans="1:8" x14ac:dyDescent="0.2">
      <c r="A14399" t="str">
        <f t="shared" si="5223"/>
        <v>0615151901</v>
      </c>
      <c r="B14399" t="str">
        <f t="shared" si="5224"/>
        <v>ADRIAN</v>
      </c>
      <c r="C14399" t="str">
        <f t="shared" si="5225"/>
        <v>REYNOLDS</v>
      </c>
      <c r="D14399" t="str">
        <f t="shared" si="5226"/>
        <v>09</v>
      </c>
      <c r="E14399" t="str">
        <f>"03 - A - 105 - Cheryl Anne  Berman-Schechter"</f>
        <v>03 - A - 105 - Cheryl Anne  Berman-Schechter</v>
      </c>
      <c r="F14399" t="str">
        <f>"ENG 1"</f>
        <v>ENG 1</v>
      </c>
      <c r="G14399" t="str">
        <f>"17-1722"</f>
        <v>17-1722</v>
      </c>
      <c r="H14399" t="str">
        <f>"A"</f>
        <v>A</v>
      </c>
    </row>
    <row r="14400" spans="1:8" x14ac:dyDescent="0.2">
      <c r="A14400" t="str">
        <f t="shared" si="5223"/>
        <v>0615151901</v>
      </c>
      <c r="B14400" t="str">
        <f t="shared" si="5224"/>
        <v>ADRIAN</v>
      </c>
      <c r="C14400" t="str">
        <f t="shared" si="5225"/>
        <v>REYNOLDS</v>
      </c>
      <c r="D14400" t="str">
        <f t="shared" si="5226"/>
        <v>09</v>
      </c>
      <c r="E14400" t="str">
        <f>"02 - A - 114 - Laselleda D Shaw"</f>
        <v>02 - A - 114 - Laselleda D Shaw</v>
      </c>
      <c r="F14400" t="str">
        <f>"NC STUDY HALL 1"</f>
        <v>NC STUDY HALL 1</v>
      </c>
      <c r="G14400" t="str">
        <f>"17-1723"</f>
        <v>17-1723</v>
      </c>
      <c r="H14400" t="str">
        <f>"A"</f>
        <v>A</v>
      </c>
    </row>
    <row r="14401" spans="1:8" x14ac:dyDescent="0.2">
      <c r="A14401" t="str">
        <f t="shared" si="5223"/>
        <v>0615151901</v>
      </c>
      <c r="B14401" t="str">
        <f t="shared" si="5224"/>
        <v>ADRIAN</v>
      </c>
      <c r="C14401" t="str">
        <f t="shared" si="5225"/>
        <v>REYNOLDS</v>
      </c>
      <c r="D14401" t="str">
        <f t="shared" si="5226"/>
        <v>09</v>
      </c>
      <c r="E14401" t="str">
        <f>"07 - B - 107 - Adam Marcus  Drucker"</f>
        <v>07 - B - 107 - Adam Marcus  Drucker</v>
      </c>
      <c r="F14401" t="str">
        <f>"HOPE-PE V"</f>
        <v>HOPE-PE V</v>
      </c>
      <c r="G14401" t="str">
        <f>"04-254"</f>
        <v>04-254</v>
      </c>
      <c r="H14401" t="str">
        <f>"B"</f>
        <v>B</v>
      </c>
    </row>
    <row r="14402" spans="1:8" x14ac:dyDescent="0.2">
      <c r="A14402" t="str">
        <f t="shared" si="5223"/>
        <v>0615151901</v>
      </c>
      <c r="B14402" t="str">
        <f t="shared" si="5224"/>
        <v>ADRIAN</v>
      </c>
      <c r="C14402" t="str">
        <f t="shared" si="5225"/>
        <v>REYNOLDS</v>
      </c>
      <c r="D14402" t="str">
        <f t="shared" si="5226"/>
        <v>09</v>
      </c>
      <c r="E14402" t="str">
        <f>"05 - B - 104 - Joe  Kilpatrick Jr"</f>
        <v>05 - B - 104 - Joe  Kilpatrick Jr</v>
      </c>
      <c r="F14402" t="str">
        <f>"PRE-AICE SPAN 1 IG"</f>
        <v>PRE-AICE SPAN 1 IG</v>
      </c>
      <c r="G14402" t="str">
        <f>"09-912"</f>
        <v>09-912</v>
      </c>
      <c r="H14402" t="str">
        <f>"B"</f>
        <v>B</v>
      </c>
    </row>
    <row r="14403" spans="1:8" x14ac:dyDescent="0.2">
      <c r="A14403" t="str">
        <f t="shared" si="5223"/>
        <v>0615151901</v>
      </c>
      <c r="B14403" t="str">
        <f t="shared" si="5224"/>
        <v>ADRIAN</v>
      </c>
      <c r="C14403" t="str">
        <f t="shared" si="5225"/>
        <v>REYNOLDS</v>
      </c>
      <c r="D14403" t="str">
        <f t="shared" si="5226"/>
        <v>09</v>
      </c>
      <c r="E14403" t="str">
        <f>"01 - A - 102 - Brook E Goren"</f>
        <v>01 - A - 102 - Brook E Goren</v>
      </c>
      <c r="F14403" t="str">
        <f>"PRE-AICE MATH 2 IG"</f>
        <v>PRE-AICE MATH 2 IG</v>
      </c>
      <c r="G14403" t="str">
        <f>"21-2158"</f>
        <v>21-2158</v>
      </c>
      <c r="H14403" t="str">
        <f>"A"</f>
        <v>A</v>
      </c>
    </row>
    <row r="14404" spans="1:8" x14ac:dyDescent="0.2">
      <c r="A14404" t="str">
        <f t="shared" si="5223"/>
        <v>0615151901</v>
      </c>
      <c r="B14404" t="str">
        <f t="shared" si="5224"/>
        <v>ADRIAN</v>
      </c>
      <c r="C14404" t="str">
        <f t="shared" si="5225"/>
        <v>REYNOLDS</v>
      </c>
      <c r="D14404" t="str">
        <f t="shared" si="5226"/>
        <v>09</v>
      </c>
      <c r="E14404" t="str">
        <f>"08 - B - 102 - Josiah I Lacy"</f>
        <v>08 - B - 102 - Josiah I Lacy</v>
      </c>
      <c r="F14404" t="str">
        <f>"ANAT PHYSIO HON"</f>
        <v>ANAT PHYSIO HON</v>
      </c>
      <c r="G14404" t="str">
        <f>"08-801"</f>
        <v>08-801</v>
      </c>
      <c r="H14404" t="str">
        <f>"B"</f>
        <v>B</v>
      </c>
    </row>
    <row r="14405" spans="1:8" x14ac:dyDescent="0.2">
      <c r="A14405" t="str">
        <f t="shared" ref="A14405:A14412" si="5227">"0621032751"</f>
        <v>0621032751</v>
      </c>
      <c r="B14405" t="str">
        <f t="shared" ref="B14405:B14412" si="5228">"GAVIN"</f>
        <v>GAVIN</v>
      </c>
      <c r="C14405" t="str">
        <f t="shared" si="5225"/>
        <v>REYNOLDS</v>
      </c>
      <c r="D14405" t="str">
        <f t="shared" si="5226"/>
        <v>09</v>
      </c>
      <c r="E14405" t="str">
        <f>"04 - A - 102 - Elizabeth R Walker"</f>
        <v>04 - A - 102 - Elizabeth R Walker</v>
      </c>
      <c r="F14405" t="str">
        <f>"AICE ENG GEN PAPER 1"</f>
        <v>AICE ENG GEN PAPER 1</v>
      </c>
      <c r="G14405" t="str">
        <f>"17-1703"</f>
        <v>17-1703</v>
      </c>
      <c r="H14405" t="str">
        <f>"A"</f>
        <v>A</v>
      </c>
    </row>
    <row r="14406" spans="1:8" x14ac:dyDescent="0.2">
      <c r="A14406" t="str">
        <f t="shared" si="5227"/>
        <v>0621032751</v>
      </c>
      <c r="B14406" t="str">
        <f t="shared" si="5228"/>
        <v>GAVIN</v>
      </c>
      <c r="C14406" t="str">
        <f t="shared" si="5225"/>
        <v>REYNOLDS</v>
      </c>
      <c r="D14406" t="str">
        <f t="shared" si="5226"/>
        <v>09</v>
      </c>
      <c r="E14406" t="str">
        <f>"06 - S1 - B - 102 - Daniel S Katz"</f>
        <v>06 - S1 - B - 102 - Daniel S Katz</v>
      </c>
      <c r="F14406" t="str">
        <f>"COURT PROCED"</f>
        <v>COURT PROCED</v>
      </c>
      <c r="G14406" t="str">
        <f>"21-2156"</f>
        <v>21-2156</v>
      </c>
      <c r="H14406" t="str">
        <f>"B"</f>
        <v>B</v>
      </c>
    </row>
    <row r="14407" spans="1:8" x14ac:dyDescent="0.2">
      <c r="A14407" t="str">
        <f t="shared" si="5227"/>
        <v>0621032751</v>
      </c>
      <c r="B14407" t="str">
        <f t="shared" si="5228"/>
        <v>GAVIN</v>
      </c>
      <c r="C14407" t="str">
        <f t="shared" si="5225"/>
        <v>REYNOLDS</v>
      </c>
      <c r="D14407" t="str">
        <f t="shared" si="5226"/>
        <v>09</v>
      </c>
      <c r="E14407" t="str">
        <f>"03 - A - 103 - Pamela M Corzo"</f>
        <v>03 - A - 103 - Pamela M Corzo</v>
      </c>
      <c r="F14407" t="str">
        <f>"ALGEBRA 2 HON"</f>
        <v>ALGEBRA 2 HON</v>
      </c>
      <c r="G14407" t="str">
        <f>"21-2133"</f>
        <v>21-2133</v>
      </c>
      <c r="H14407" t="str">
        <f>"A"</f>
        <v>A</v>
      </c>
    </row>
    <row r="14408" spans="1:8" x14ac:dyDescent="0.2">
      <c r="A14408" t="str">
        <f t="shared" si="5227"/>
        <v>0621032751</v>
      </c>
      <c r="B14408" t="str">
        <f t="shared" si="5228"/>
        <v>GAVIN</v>
      </c>
      <c r="C14408" t="str">
        <f t="shared" si="5225"/>
        <v>REYNOLDS</v>
      </c>
      <c r="D14408" t="str">
        <f t="shared" si="5226"/>
        <v>09</v>
      </c>
      <c r="E14408" t="str">
        <f>"02 - A - 113 - Amy Beth  Broyles"</f>
        <v>02 - A - 113 - Amy Beth  Broyles</v>
      </c>
      <c r="F14408" t="str">
        <f>"NC STUDY HALL 1"</f>
        <v>NC STUDY HALL 1</v>
      </c>
      <c r="G14408" t="str">
        <f>"08-802"</f>
        <v>08-802</v>
      </c>
      <c r="H14408" t="str">
        <f>"A"</f>
        <v>A</v>
      </c>
    </row>
    <row r="14409" spans="1:8" x14ac:dyDescent="0.2">
      <c r="A14409" t="str">
        <f t="shared" si="5227"/>
        <v>0621032751</v>
      </c>
      <c r="B14409" t="str">
        <f t="shared" si="5228"/>
        <v>GAVIN</v>
      </c>
      <c r="C14409" t="str">
        <f t="shared" si="5225"/>
        <v>REYNOLDS</v>
      </c>
      <c r="D14409" t="str">
        <f t="shared" si="5226"/>
        <v>09</v>
      </c>
      <c r="E14409" t="str">
        <f>"07 - B - 201 - Angela S Adeshina-Morrison"</f>
        <v>07 - B - 201 - Angela S Adeshina-Morrison</v>
      </c>
      <c r="F14409" t="str">
        <f>"BUSINESS OWNER HON"</f>
        <v>BUSINESS OWNER HON</v>
      </c>
      <c r="G14409" t="str">
        <f>"05-518"</f>
        <v>05-518</v>
      </c>
      <c r="H14409" t="str">
        <f>"B"</f>
        <v>B</v>
      </c>
    </row>
    <row r="14410" spans="1:8" x14ac:dyDescent="0.2">
      <c r="A14410" t="str">
        <f t="shared" si="5227"/>
        <v>0621032751</v>
      </c>
      <c r="B14410" t="str">
        <f t="shared" si="5228"/>
        <v>GAVIN</v>
      </c>
      <c r="C14410" t="str">
        <f t="shared" si="5225"/>
        <v>REYNOLDS</v>
      </c>
      <c r="D14410" t="str">
        <f t="shared" si="5226"/>
        <v>09</v>
      </c>
      <c r="E14410" t="str">
        <f>"05 - B - 204 - Cheryl L Beach"</f>
        <v>05 - B - 204 - Cheryl L Beach</v>
      </c>
      <c r="F14410" t="str">
        <f>"AICE ENV MGMNT AS"</f>
        <v>AICE ENV MGMNT AS</v>
      </c>
      <c r="G14410" t="str">
        <f>"08-811"</f>
        <v>08-811</v>
      </c>
      <c r="H14410" t="str">
        <f>"B"</f>
        <v>B</v>
      </c>
    </row>
    <row r="14411" spans="1:8" x14ac:dyDescent="0.2">
      <c r="A14411" t="str">
        <f t="shared" si="5227"/>
        <v>0621032751</v>
      </c>
      <c r="B14411" t="str">
        <f t="shared" si="5228"/>
        <v>GAVIN</v>
      </c>
      <c r="C14411" t="str">
        <f t="shared" si="5225"/>
        <v>REYNOLDS</v>
      </c>
      <c r="D14411" t="str">
        <f t="shared" si="5226"/>
        <v>09</v>
      </c>
      <c r="E14411" t="str">
        <f>"01 - A - 006 - Emmily A Sarmiento"</f>
        <v>01 - A - 006 - Emmily A Sarmiento</v>
      </c>
      <c r="F14411" t="str">
        <f>"AICE GLBL PERSP 1 AS"</f>
        <v>AICE GLBL PERSP 1 AS</v>
      </c>
      <c r="G14411" t="str">
        <f>"17-1743"</f>
        <v>17-1743</v>
      </c>
      <c r="H14411" t="str">
        <f>"A"</f>
        <v>A</v>
      </c>
    </row>
    <row r="14412" spans="1:8" x14ac:dyDescent="0.2">
      <c r="A14412" t="str">
        <f t="shared" si="5227"/>
        <v>0621032751</v>
      </c>
      <c r="B14412" t="str">
        <f t="shared" si="5228"/>
        <v>GAVIN</v>
      </c>
      <c r="C14412" t="str">
        <f t="shared" si="5225"/>
        <v>REYNOLDS</v>
      </c>
      <c r="D14412" t="str">
        <f t="shared" si="5226"/>
        <v>09</v>
      </c>
      <c r="E14412" t="str">
        <f>"08 - B - 105 - Daniel S Tyson"</f>
        <v>08 - B - 105 - Daniel S Tyson</v>
      </c>
      <c r="F14412" t="str">
        <f>"JROTC NAVAL SCI 1"</f>
        <v>JROTC NAVAL SCI 1</v>
      </c>
      <c r="G14412" t="str">
        <f>"05-510"</f>
        <v>05-510</v>
      </c>
      <c r="H14412" t="str">
        <f>"B"</f>
        <v>B</v>
      </c>
    </row>
    <row r="14413" spans="1:8" x14ac:dyDescent="0.2">
      <c r="A14413" t="str">
        <f t="shared" ref="A14413:A14420" si="5229">"0626007551"</f>
        <v>0626007551</v>
      </c>
      <c r="B14413" t="str">
        <f t="shared" ref="B14413:B14420" si="5230">"Maliyah"</f>
        <v>Maliyah</v>
      </c>
      <c r="C14413" t="str">
        <f t="shared" ref="C14413:C14420" si="5231">"Rhodes"</f>
        <v>Rhodes</v>
      </c>
      <c r="D14413">
        <f>12</f>
        <v>12</v>
      </c>
      <c r="E14413" t="str">
        <f>"04 - A - 101 - Christa T Parisi"</f>
        <v>04 - A - 101 - Christa T Parisi</v>
      </c>
      <c r="F14413" t="str">
        <f>"DANCE TECHNQS 2"</f>
        <v>DANCE TECHNQS 2</v>
      </c>
      <c r="G14413" t="str">
        <f>"05-503"</f>
        <v>05-503</v>
      </c>
      <c r="H14413" t="str">
        <f>"A"</f>
        <v>A</v>
      </c>
    </row>
    <row r="14414" spans="1:8" x14ac:dyDescent="0.2">
      <c r="A14414" t="str">
        <f t="shared" si="5229"/>
        <v>0626007551</v>
      </c>
      <c r="B14414" t="str">
        <f t="shared" si="5230"/>
        <v>Maliyah</v>
      </c>
      <c r="C14414" t="str">
        <f t="shared" si="5231"/>
        <v>Rhodes</v>
      </c>
      <c r="D14414">
        <f>12</f>
        <v>12</v>
      </c>
      <c r="E14414" t="str">
        <f>"06 - B - 102 - Andrea A Amison"</f>
        <v>06 - B - 102 - Andrea A Amison</v>
      </c>
      <c r="F14414" t="str">
        <f>"NC STUDY HALL 1"</f>
        <v>NC STUDY HALL 1</v>
      </c>
      <c r="G14414" t="str">
        <f>"09-922C"</f>
        <v>09-922C</v>
      </c>
      <c r="H14414" t="str">
        <f>"B"</f>
        <v>B</v>
      </c>
    </row>
    <row r="14415" spans="1:8" x14ac:dyDescent="0.2">
      <c r="A14415" t="str">
        <f t="shared" si="5229"/>
        <v>0626007551</v>
      </c>
      <c r="B14415" t="str">
        <f t="shared" si="5230"/>
        <v>Maliyah</v>
      </c>
      <c r="C14415" t="str">
        <f t="shared" si="5231"/>
        <v>Rhodes</v>
      </c>
      <c r="D14415">
        <f>12</f>
        <v>12</v>
      </c>
      <c r="E14415" t="str">
        <f>"03 - A - 102 - Cliffon  Saurel"</f>
        <v>03 - A - 102 - Cliffon  Saurel</v>
      </c>
      <c r="F14415" t="str">
        <f>"PHYSICAL SCI"</f>
        <v>PHYSICAL SCI</v>
      </c>
      <c r="G14415" t="str">
        <f>"05-522"</f>
        <v>05-522</v>
      </c>
      <c r="H14415" t="str">
        <f>"A"</f>
        <v>A</v>
      </c>
    </row>
    <row r="14416" spans="1:8" x14ac:dyDescent="0.2">
      <c r="A14416" t="str">
        <f t="shared" si="5229"/>
        <v>0626007551</v>
      </c>
      <c r="B14416" t="str">
        <f t="shared" si="5230"/>
        <v>Maliyah</v>
      </c>
      <c r="C14416" t="str">
        <f t="shared" si="5231"/>
        <v>Rhodes</v>
      </c>
      <c r="D14416">
        <f>12</f>
        <v>12</v>
      </c>
      <c r="E14416" t="str">
        <f>"02 - S1 - A - 101 - James H Mccann"</f>
        <v>02 - S1 - A - 101 - James H Mccann</v>
      </c>
      <c r="F14416" t="str">
        <f>"PERS FIN &amp; MON MGT H"</f>
        <v>PERS FIN &amp; MON MGT H</v>
      </c>
      <c r="G14416" t="str">
        <f>"17-1716"</f>
        <v>17-1716</v>
      </c>
      <c r="H14416" t="str">
        <f>"A"</f>
        <v>A</v>
      </c>
    </row>
    <row r="14417" spans="1:8" x14ac:dyDescent="0.2">
      <c r="A14417" t="str">
        <f t="shared" si="5229"/>
        <v>0626007551</v>
      </c>
      <c r="B14417" t="str">
        <f t="shared" si="5230"/>
        <v>Maliyah</v>
      </c>
      <c r="C14417" t="str">
        <f t="shared" si="5231"/>
        <v>Rhodes</v>
      </c>
      <c r="D14417">
        <f>12</f>
        <v>12</v>
      </c>
      <c r="E14417" t="str">
        <f>"07 - S1 - B - 103 - Robert O Burger"</f>
        <v>07 - S1 - B - 103 - Robert O Burger</v>
      </c>
      <c r="F14417" t="str">
        <f>"US GOVT"</f>
        <v>US GOVT</v>
      </c>
      <c r="G14417" t="str">
        <f>"17-1755"</f>
        <v>17-1755</v>
      </c>
      <c r="H14417" t="str">
        <f>"B"</f>
        <v>B</v>
      </c>
    </row>
    <row r="14418" spans="1:8" x14ac:dyDescent="0.2">
      <c r="A14418" t="str">
        <f t="shared" si="5229"/>
        <v>0626007551</v>
      </c>
      <c r="B14418" t="str">
        <f t="shared" si="5230"/>
        <v>Maliyah</v>
      </c>
      <c r="C14418" t="str">
        <f t="shared" si="5231"/>
        <v>Rhodes</v>
      </c>
      <c r="D14418">
        <f>12</f>
        <v>12</v>
      </c>
      <c r="E14418" t="str">
        <f>"05 - B - 102 - Robyn L Trainer"</f>
        <v>05 - B - 102 - Robyn L Trainer</v>
      </c>
      <c r="F14418" t="str">
        <f>"ENG 4"</f>
        <v>ENG 4</v>
      </c>
      <c r="G14418" t="str">
        <f>"17-1734"</f>
        <v>17-1734</v>
      </c>
      <c r="H14418" t="str">
        <f>"B"</f>
        <v>B</v>
      </c>
    </row>
    <row r="14419" spans="1:8" x14ac:dyDescent="0.2">
      <c r="A14419" t="str">
        <f t="shared" si="5229"/>
        <v>0626007551</v>
      </c>
      <c r="B14419" t="str">
        <f t="shared" si="5230"/>
        <v>Maliyah</v>
      </c>
      <c r="C14419" t="str">
        <f t="shared" si="5231"/>
        <v>Rhodes</v>
      </c>
      <c r="D14419">
        <f>12</f>
        <v>12</v>
      </c>
      <c r="E14419" t="str">
        <f>"01 - A - 102 - Robert H Rindner"</f>
        <v>01 - A - 102 - Robert H Rindner</v>
      </c>
      <c r="F14419" t="str">
        <f>"MATH DATA&amp;FIN LIT H"</f>
        <v>MATH DATA&amp;FIN LIT H</v>
      </c>
      <c r="G14419" t="str">
        <f>"21-2160"</f>
        <v>21-2160</v>
      </c>
      <c r="H14419" t="str">
        <f>"A"</f>
        <v>A</v>
      </c>
    </row>
    <row r="14420" spans="1:8" x14ac:dyDescent="0.2">
      <c r="A14420" t="str">
        <f t="shared" si="5229"/>
        <v>0626007551</v>
      </c>
      <c r="B14420" t="str">
        <f t="shared" si="5230"/>
        <v>Maliyah</v>
      </c>
      <c r="C14420" t="str">
        <f t="shared" si="5231"/>
        <v>Rhodes</v>
      </c>
      <c r="D14420">
        <f>12</f>
        <v>12</v>
      </c>
      <c r="E14420" t="str">
        <f>"08 - B - 101 - Elizabeth Ellen  Moran"</f>
        <v>08 - B - 101 - Elizabeth Ellen  Moran</v>
      </c>
      <c r="F14420" t="str">
        <f>"WORLD HISTORY"</f>
        <v>WORLD HISTORY</v>
      </c>
      <c r="G14420" t="str">
        <f>"17-1752"</f>
        <v>17-1752</v>
      </c>
      <c r="H14420" t="str">
        <f>"B"</f>
        <v>B</v>
      </c>
    </row>
    <row r="14421" spans="1:8" x14ac:dyDescent="0.2">
      <c r="A14421" t="str">
        <f t="shared" ref="A14421:A14428" si="5232">"0623011901"</f>
        <v>0623011901</v>
      </c>
      <c r="B14421" t="str">
        <f t="shared" ref="B14421:B14428" si="5233">"JULIAN"</f>
        <v>JULIAN</v>
      </c>
      <c r="C14421" t="str">
        <f t="shared" ref="C14421:C14428" si="5234">"RICE"</f>
        <v>RICE</v>
      </c>
      <c r="D14421">
        <f>10</f>
        <v>10</v>
      </c>
      <c r="E14421" t="str">
        <f>"04 - A - 203 - Cheryl L Beach"</f>
        <v>04 - A - 203 - Cheryl L Beach</v>
      </c>
      <c r="F14421" t="str">
        <f>"AICE ENV MGMNT AS"</f>
        <v>AICE ENV MGMNT AS</v>
      </c>
      <c r="G14421" t="str">
        <f>"08-811"</f>
        <v>08-811</v>
      </c>
      <c r="H14421" t="str">
        <f>"A"</f>
        <v>A</v>
      </c>
    </row>
    <row r="14422" spans="1:8" x14ac:dyDescent="0.2">
      <c r="A14422" t="str">
        <f t="shared" si="5232"/>
        <v>0623011901</v>
      </c>
      <c r="B14422" t="str">
        <f t="shared" si="5233"/>
        <v>JULIAN</v>
      </c>
      <c r="C14422" t="str">
        <f t="shared" si="5234"/>
        <v>RICE</v>
      </c>
      <c r="D14422">
        <f>10</f>
        <v>10</v>
      </c>
      <c r="E14422" t="str">
        <f>"06 - B - 110 - Jerry S Jiampetti"</f>
        <v>06 - B - 110 - Jerry S Jiampetti</v>
      </c>
      <c r="F14422" t="str">
        <f>"NC STUDY HALL 1"</f>
        <v>NC STUDY HALL 1</v>
      </c>
      <c r="G14422" t="str">
        <f>"17-1751"</f>
        <v>17-1751</v>
      </c>
      <c r="H14422" t="str">
        <f>"B"</f>
        <v>B</v>
      </c>
    </row>
    <row r="14423" spans="1:8" x14ac:dyDescent="0.2">
      <c r="A14423" t="str">
        <f t="shared" si="5232"/>
        <v>0623011901</v>
      </c>
      <c r="B14423" t="str">
        <f t="shared" si="5233"/>
        <v>JULIAN</v>
      </c>
      <c r="C14423" t="str">
        <f t="shared" si="5234"/>
        <v>RICE</v>
      </c>
      <c r="D14423">
        <f>10</f>
        <v>10</v>
      </c>
      <c r="E14423" t="str">
        <f>"03 - A - 002 - Brandy N Zdenek"</f>
        <v>03 - A - 002 - Brandy N Zdenek</v>
      </c>
      <c r="F14423" t="str">
        <f>"AICE ENG LANG AS"</f>
        <v>AICE ENG LANG AS</v>
      </c>
      <c r="G14423" t="str">
        <f>"17-1704"</f>
        <v>17-1704</v>
      </c>
      <c r="H14423" t="str">
        <f>"A"</f>
        <v>A</v>
      </c>
    </row>
    <row r="14424" spans="1:8" x14ac:dyDescent="0.2">
      <c r="A14424" t="str">
        <f t="shared" si="5232"/>
        <v>0623011901</v>
      </c>
      <c r="B14424" t="str">
        <f t="shared" si="5233"/>
        <v>JULIAN</v>
      </c>
      <c r="C14424" t="str">
        <f t="shared" si="5234"/>
        <v>RICE</v>
      </c>
      <c r="D14424">
        <f>10</f>
        <v>10</v>
      </c>
      <c r="E14424" t="str">
        <f>"02 - A - 105 - Semra  Bahadir"</f>
        <v>02 - A - 105 - Semra  Bahadir</v>
      </c>
      <c r="F14424" t="str">
        <f>"ALGEBRA 2"</f>
        <v>ALGEBRA 2</v>
      </c>
      <c r="G14424" t="str">
        <f>"21-2107"</f>
        <v>21-2107</v>
      </c>
      <c r="H14424" t="str">
        <f>"A"</f>
        <v>A</v>
      </c>
    </row>
    <row r="14425" spans="1:8" x14ac:dyDescent="0.2">
      <c r="A14425" t="str">
        <f t="shared" si="5232"/>
        <v>0623011901</v>
      </c>
      <c r="B14425" t="str">
        <f t="shared" si="5233"/>
        <v>JULIAN</v>
      </c>
      <c r="C14425" t="str">
        <f t="shared" si="5234"/>
        <v>RICE</v>
      </c>
      <c r="D14425">
        <f>10</f>
        <v>10</v>
      </c>
      <c r="E14425" t="str">
        <f>"07 - B - 102 - Timothy J Lawrence"</f>
        <v>07 - B - 102 - Timothy J Lawrence</v>
      </c>
      <c r="F14425" t="str">
        <f>"AICE PHYS ED 1 AS"</f>
        <v>AICE PHYS ED 1 AS</v>
      </c>
      <c r="G14425" t="str">
        <f>"05-523"</f>
        <v>05-523</v>
      </c>
      <c r="H14425" t="str">
        <f>"B"</f>
        <v>B</v>
      </c>
    </row>
    <row r="14426" spans="1:8" x14ac:dyDescent="0.2">
      <c r="A14426" t="str">
        <f t="shared" si="5232"/>
        <v>0623011901</v>
      </c>
      <c r="B14426" t="str">
        <f t="shared" si="5233"/>
        <v>JULIAN</v>
      </c>
      <c r="C14426" t="str">
        <f t="shared" si="5234"/>
        <v>RICE</v>
      </c>
      <c r="D14426">
        <f>10</f>
        <v>10</v>
      </c>
      <c r="E14426" t="str">
        <f>"05 - B - 001 - Kelly N Panza"</f>
        <v>05 - B - 001 - Kelly N Panza</v>
      </c>
      <c r="F14426" t="str">
        <f>"AICE GLBL PERSP 1 AS"</f>
        <v>AICE GLBL PERSP 1 AS</v>
      </c>
      <c r="G14426" t="str">
        <f>"17-1753"</f>
        <v>17-1753</v>
      </c>
      <c r="H14426" t="str">
        <f>"B"</f>
        <v>B</v>
      </c>
    </row>
    <row r="14427" spans="1:8" x14ac:dyDescent="0.2">
      <c r="A14427" t="str">
        <f t="shared" si="5232"/>
        <v>0623011901</v>
      </c>
      <c r="B14427" t="str">
        <f t="shared" si="5233"/>
        <v>JULIAN</v>
      </c>
      <c r="C14427" t="str">
        <f t="shared" si="5234"/>
        <v>RICE</v>
      </c>
      <c r="D14427">
        <f>10</f>
        <v>10</v>
      </c>
      <c r="E14427" t="str">
        <f>"01 - A - 101 - Vanessa J Liburd"</f>
        <v>01 - A - 101 - Vanessa J Liburd</v>
      </c>
      <c r="F14427" t="str">
        <f>"PRE-AICE FRENCH 1 IG"</f>
        <v>PRE-AICE FRENCH 1 IG</v>
      </c>
      <c r="G14427" t="str">
        <f>"05-519"</f>
        <v>05-519</v>
      </c>
      <c r="H14427" t="str">
        <f>"A"</f>
        <v>A</v>
      </c>
    </row>
    <row r="14428" spans="1:8" x14ac:dyDescent="0.2">
      <c r="A14428" t="str">
        <f t="shared" si="5232"/>
        <v>0623011901</v>
      </c>
      <c r="B14428" t="str">
        <f t="shared" si="5233"/>
        <v>JULIAN</v>
      </c>
      <c r="C14428" t="str">
        <f t="shared" si="5234"/>
        <v>RICE</v>
      </c>
      <c r="D14428">
        <f>10</f>
        <v>10</v>
      </c>
      <c r="E14428" t="str">
        <f>"08 - B - 103 - Jeanne M Bermudez"</f>
        <v>08 - B - 103 - Jeanne M Bermudez</v>
      </c>
      <c r="F14428" t="str">
        <f>"ADVANCED IT HON"</f>
        <v>ADVANCED IT HON</v>
      </c>
      <c r="G14428" t="str">
        <f>"21-2141"</f>
        <v>21-2141</v>
      </c>
      <c r="H14428" t="str">
        <f>"B"</f>
        <v>B</v>
      </c>
    </row>
    <row r="14429" spans="1:8" x14ac:dyDescent="0.2">
      <c r="A14429" t="str">
        <f t="shared" ref="A14429:A14436" si="5235">"0623107596"</f>
        <v>0623107596</v>
      </c>
      <c r="B14429" t="str">
        <f t="shared" ref="B14429:B14436" si="5236">"MARIAH"</f>
        <v>MARIAH</v>
      </c>
      <c r="C14429" t="str">
        <f t="shared" ref="C14429:C14436" si="5237">"RICHARDS"</f>
        <v>RICHARDS</v>
      </c>
      <c r="D14429">
        <f>11</f>
        <v>11</v>
      </c>
      <c r="E14429" t="str">
        <f>"04 - A - 201 - Brian M Fitzgerald"</f>
        <v>04 - A - 201 - Brian M Fitzgerald</v>
      </c>
      <c r="F14429" t="str">
        <f>"PAINT 2"</f>
        <v>PAINT 2</v>
      </c>
      <c r="G14429" t="str">
        <f>"09-908"</f>
        <v>09-908</v>
      </c>
      <c r="H14429" t="str">
        <f>"A"</f>
        <v>A</v>
      </c>
    </row>
    <row r="14430" spans="1:8" x14ac:dyDescent="0.2">
      <c r="A14430" t="str">
        <f t="shared" si="5235"/>
        <v>0623107596</v>
      </c>
      <c r="B14430" t="str">
        <f t="shared" si="5236"/>
        <v>MARIAH</v>
      </c>
      <c r="C14430" t="str">
        <f t="shared" si="5237"/>
        <v>RICHARDS</v>
      </c>
      <c r="D14430">
        <f>11</f>
        <v>11</v>
      </c>
      <c r="E14430" t="str">
        <f>"06 - B - 105 - Arthur  Kulawik"</f>
        <v>06 - B - 105 - Arthur  Kulawik</v>
      </c>
      <c r="F14430" t="str">
        <f>"ENG 3"</f>
        <v>ENG 3</v>
      </c>
      <c r="G14430" t="str">
        <f>"05-506"</f>
        <v>05-506</v>
      </c>
      <c r="H14430" t="str">
        <f>"B"</f>
        <v>B</v>
      </c>
    </row>
    <row r="14431" spans="1:8" x14ac:dyDescent="0.2">
      <c r="A14431" t="str">
        <f t="shared" si="5235"/>
        <v>0623107596</v>
      </c>
      <c r="B14431" t="str">
        <f t="shared" si="5236"/>
        <v>MARIAH</v>
      </c>
      <c r="C14431" t="str">
        <f t="shared" si="5237"/>
        <v>RICHARDS</v>
      </c>
      <c r="D14431">
        <f>11</f>
        <v>11</v>
      </c>
      <c r="E14431" t="str">
        <f>"03 - A - 104 - Kyle  Robbins"</f>
        <v>03 - A - 104 - Kyle  Robbins</v>
      </c>
      <c r="F14431" t="str">
        <f>"US HISTORY"</f>
        <v>US HISTORY</v>
      </c>
      <c r="G14431" t="str">
        <f>"17-1745"</f>
        <v>17-1745</v>
      </c>
      <c r="H14431" t="str">
        <f>"A"</f>
        <v>A</v>
      </c>
    </row>
    <row r="14432" spans="1:8" x14ac:dyDescent="0.2">
      <c r="A14432" t="str">
        <f t="shared" si="5235"/>
        <v>0623107596</v>
      </c>
      <c r="B14432" t="str">
        <f t="shared" si="5236"/>
        <v>MARIAH</v>
      </c>
      <c r="C14432" t="str">
        <f t="shared" si="5237"/>
        <v>RICHARDS</v>
      </c>
      <c r="D14432">
        <f>11</f>
        <v>11</v>
      </c>
      <c r="E14432" t="str">
        <f>"02 - A - 117 - Kyle  Robbins"</f>
        <v>02 - A - 117 - Kyle  Robbins</v>
      </c>
      <c r="F14432" t="str">
        <f>"NC STUDY HALL 1"</f>
        <v>NC STUDY HALL 1</v>
      </c>
      <c r="G14432" t="str">
        <f>"17-1745"</f>
        <v>17-1745</v>
      </c>
      <c r="H14432" t="str">
        <f>"A"</f>
        <v>A</v>
      </c>
    </row>
    <row r="14433" spans="1:8" x14ac:dyDescent="0.2">
      <c r="A14433" t="str">
        <f t="shared" si="5235"/>
        <v>0623107596</v>
      </c>
      <c r="B14433" t="str">
        <f t="shared" si="5236"/>
        <v>MARIAH</v>
      </c>
      <c r="C14433" t="str">
        <f t="shared" si="5237"/>
        <v>RICHARDS</v>
      </c>
      <c r="D14433">
        <f>11</f>
        <v>11</v>
      </c>
      <c r="E14433" t="str">
        <f>"07 - B - 002 - Jazmin S Fletcher"</f>
        <v>07 - B - 002 - Jazmin S Fletcher</v>
      </c>
      <c r="F14433" t="str">
        <f>"THEATRE 1"</f>
        <v>THEATRE 1</v>
      </c>
      <c r="G14433" t="str">
        <f>"09-909"</f>
        <v>09-909</v>
      </c>
      <c r="H14433" t="str">
        <f>"B"</f>
        <v>B</v>
      </c>
    </row>
    <row r="14434" spans="1:8" x14ac:dyDescent="0.2">
      <c r="A14434" t="str">
        <f t="shared" si="5235"/>
        <v>0623107596</v>
      </c>
      <c r="B14434" t="str">
        <f t="shared" si="5236"/>
        <v>MARIAH</v>
      </c>
      <c r="C14434" t="str">
        <f t="shared" si="5237"/>
        <v>RICHARDS</v>
      </c>
      <c r="D14434">
        <f>11</f>
        <v>11</v>
      </c>
      <c r="E14434" t="str">
        <f>"05 - B - 207 - Marielle A Witting"</f>
        <v>05 - B - 207 - Marielle A Witting</v>
      </c>
      <c r="F14434" t="str">
        <f>"ANAT PHYSIO"</f>
        <v>ANAT PHYSIO</v>
      </c>
      <c r="G14434" t="str">
        <f>"08-805"</f>
        <v>08-805</v>
      </c>
      <c r="H14434" t="str">
        <f>"B"</f>
        <v>B</v>
      </c>
    </row>
    <row r="14435" spans="1:8" x14ac:dyDescent="0.2">
      <c r="A14435" t="str">
        <f t="shared" si="5235"/>
        <v>0623107596</v>
      </c>
      <c r="B14435" t="str">
        <f t="shared" si="5236"/>
        <v>MARIAH</v>
      </c>
      <c r="C14435" t="str">
        <f t="shared" si="5237"/>
        <v>RICHARDS</v>
      </c>
      <c r="D14435">
        <f>11</f>
        <v>11</v>
      </c>
      <c r="E14435" t="str">
        <f>"01 - A - 101 - Nahum  Saint-Preux"</f>
        <v>01 - A - 101 - Nahum  Saint-Preux</v>
      </c>
      <c r="F14435" t="str">
        <f>"INTENS READ 3"</f>
        <v>INTENS READ 3</v>
      </c>
      <c r="G14435" t="str">
        <f>"17-1712"</f>
        <v>17-1712</v>
      </c>
      <c r="H14435" t="str">
        <f>"A"</f>
        <v>A</v>
      </c>
    </row>
    <row r="14436" spans="1:8" x14ac:dyDescent="0.2">
      <c r="A14436" t="str">
        <f t="shared" si="5235"/>
        <v>0623107596</v>
      </c>
      <c r="B14436" t="str">
        <f t="shared" si="5236"/>
        <v>MARIAH</v>
      </c>
      <c r="C14436" t="str">
        <f t="shared" si="5237"/>
        <v>RICHARDS</v>
      </c>
      <c r="D14436">
        <f>11</f>
        <v>11</v>
      </c>
      <c r="E14436" t="str">
        <f>"08 - B - 107 - Brook E Goren"</f>
        <v>08 - B - 107 - Brook E Goren</v>
      </c>
      <c r="F14436" t="str">
        <f>"GEOMETRY"</f>
        <v>GEOMETRY</v>
      </c>
      <c r="G14436" t="str">
        <f>"21-2158"</f>
        <v>21-2158</v>
      </c>
      <c r="H14436" t="str">
        <f>"B"</f>
        <v>B</v>
      </c>
    </row>
    <row r="14437" spans="1:8" x14ac:dyDescent="0.2">
      <c r="A14437" t="str">
        <f t="shared" ref="A14437:A14444" si="5238">"0616017769"</f>
        <v>0616017769</v>
      </c>
      <c r="B14437" t="str">
        <f t="shared" ref="B14437:B14444" si="5239">"JACOBY"</f>
        <v>JACOBY</v>
      </c>
      <c r="C14437" t="str">
        <f t="shared" ref="C14437:C14460" si="5240">"RICHARDSON"</f>
        <v>RICHARDSON</v>
      </c>
      <c r="D14437" t="str">
        <f t="shared" ref="D14437:D14444" si="5241">"09"</f>
        <v>09</v>
      </c>
      <c r="E14437" t="str">
        <f>"04 - A - 102 - Josiah I Lacy"</f>
        <v>04 - A - 102 - Josiah I Lacy</v>
      </c>
      <c r="F14437" t="str">
        <f>"PRE-AICE BIO IG"</f>
        <v>PRE-AICE BIO IG</v>
      </c>
      <c r="G14437" t="str">
        <f>"08-801"</f>
        <v>08-801</v>
      </c>
      <c r="H14437" t="str">
        <f>"A"</f>
        <v>A</v>
      </c>
    </row>
    <row r="14438" spans="1:8" x14ac:dyDescent="0.2">
      <c r="A14438" t="str">
        <f t="shared" si="5238"/>
        <v>0616017769</v>
      </c>
      <c r="B14438" t="str">
        <f t="shared" si="5239"/>
        <v>JACOBY</v>
      </c>
      <c r="C14438" t="str">
        <f t="shared" si="5240"/>
        <v>RICHARDSON</v>
      </c>
      <c r="D14438" t="str">
        <f t="shared" si="5241"/>
        <v>09</v>
      </c>
      <c r="E14438" t="str">
        <f>"06 - B - 104 - Rory T Sponsler"</f>
        <v>06 - B - 104 - Rory T Sponsler</v>
      </c>
      <c r="F14438" t="str">
        <f>"PRE-AICE WRLD HST IG"</f>
        <v>PRE-AICE WRLD HST IG</v>
      </c>
      <c r="G14438" t="str">
        <f>"17-1740"</f>
        <v>17-1740</v>
      </c>
      <c r="H14438" t="str">
        <f>"B"</f>
        <v>B</v>
      </c>
    </row>
    <row r="14439" spans="1:8" x14ac:dyDescent="0.2">
      <c r="A14439" t="str">
        <f t="shared" si="5238"/>
        <v>0616017769</v>
      </c>
      <c r="B14439" t="str">
        <f t="shared" si="5239"/>
        <v>JACOBY</v>
      </c>
      <c r="C14439" t="str">
        <f t="shared" si="5240"/>
        <v>RICHARDSON</v>
      </c>
      <c r="D14439" t="str">
        <f t="shared" si="5241"/>
        <v>09</v>
      </c>
      <c r="E14439" t="str">
        <f>"03 - S1 - A - 102 - Angela S Adeshina-Morrison"</f>
        <v>03 - S1 - A - 102 - Angela S Adeshina-Morrison</v>
      </c>
      <c r="F14439" t="str">
        <f>"PEER COUN 1"</f>
        <v>PEER COUN 1</v>
      </c>
      <c r="G14439" t="str">
        <f>"05-518"</f>
        <v>05-518</v>
      </c>
      <c r="H14439" t="str">
        <f>"A"</f>
        <v>A</v>
      </c>
    </row>
    <row r="14440" spans="1:8" x14ac:dyDescent="0.2">
      <c r="A14440" t="str">
        <f t="shared" si="5238"/>
        <v>0616017769</v>
      </c>
      <c r="B14440" t="str">
        <f t="shared" si="5239"/>
        <v>JACOBY</v>
      </c>
      <c r="C14440" t="str">
        <f t="shared" si="5240"/>
        <v>RICHARDSON</v>
      </c>
      <c r="D14440" t="str">
        <f t="shared" si="5241"/>
        <v>09</v>
      </c>
      <c r="E14440" t="str">
        <f>"02 - A - 111 - Cheryl L Beach"</f>
        <v>02 - A - 111 - Cheryl L Beach</v>
      </c>
      <c r="F14440" t="str">
        <f>"NC STUDY HALL 1"</f>
        <v>NC STUDY HALL 1</v>
      </c>
      <c r="G14440" t="str">
        <f>"08-811"</f>
        <v>08-811</v>
      </c>
      <c r="H14440" t="str">
        <f>"A"</f>
        <v>A</v>
      </c>
    </row>
    <row r="14441" spans="1:8" x14ac:dyDescent="0.2">
      <c r="A14441" t="str">
        <f t="shared" si="5238"/>
        <v>0616017769</v>
      </c>
      <c r="B14441" t="str">
        <f t="shared" si="5239"/>
        <v>JACOBY</v>
      </c>
      <c r="C14441" t="str">
        <f t="shared" si="5240"/>
        <v>RICHARDSON</v>
      </c>
      <c r="D14441" t="str">
        <f t="shared" si="5241"/>
        <v>09</v>
      </c>
      <c r="E14441" t="str">
        <f>"07 - B - 002 - Jazmin S Fletcher"</f>
        <v>07 - B - 002 - Jazmin S Fletcher</v>
      </c>
      <c r="F14441" t="str">
        <f>"THEATRE 1"</f>
        <v>THEATRE 1</v>
      </c>
      <c r="G14441" t="str">
        <f>"09-909"</f>
        <v>09-909</v>
      </c>
      <c r="H14441" t="str">
        <f>"B"</f>
        <v>B</v>
      </c>
    </row>
    <row r="14442" spans="1:8" x14ac:dyDescent="0.2">
      <c r="A14442" t="str">
        <f t="shared" si="5238"/>
        <v>0616017769</v>
      </c>
      <c r="B14442" t="str">
        <f t="shared" si="5239"/>
        <v>JACOBY</v>
      </c>
      <c r="C14442" t="str">
        <f t="shared" si="5240"/>
        <v>RICHARDSON</v>
      </c>
      <c r="D14442" t="str">
        <f t="shared" si="5241"/>
        <v>09</v>
      </c>
      <c r="E14442" t="str">
        <f>"05 - B - 102 - Tina L Lovett"</f>
        <v>05 - B - 102 - Tina L Lovett</v>
      </c>
      <c r="F14442" t="str">
        <f>"PRE-AICE MATH 1 IG"</f>
        <v>PRE-AICE MATH 1 IG</v>
      </c>
      <c r="G14442" t="str">
        <f>"21-2153"</f>
        <v>21-2153</v>
      </c>
      <c r="H14442" t="str">
        <f>"B"</f>
        <v>B</v>
      </c>
    </row>
    <row r="14443" spans="1:8" x14ac:dyDescent="0.2">
      <c r="A14443" t="str">
        <f t="shared" si="5238"/>
        <v>0616017769</v>
      </c>
      <c r="B14443" t="str">
        <f t="shared" si="5239"/>
        <v>JACOBY</v>
      </c>
      <c r="C14443" t="str">
        <f t="shared" si="5240"/>
        <v>RICHARDSON</v>
      </c>
      <c r="D14443" t="str">
        <f t="shared" si="5241"/>
        <v>09</v>
      </c>
      <c r="E14443" t="str">
        <f>"01 - A - 101 - Cheryl Anne  Berman-Schechter"</f>
        <v>01 - A - 101 - Cheryl Anne  Berman-Schechter</v>
      </c>
      <c r="F14443" t="str">
        <f>"PRE-AICE ENG LANG IG"</f>
        <v>PRE-AICE ENG LANG IG</v>
      </c>
      <c r="G14443" t="str">
        <f>"17-1722"</f>
        <v>17-1722</v>
      </c>
      <c r="H14443" t="str">
        <f>"A"</f>
        <v>A</v>
      </c>
    </row>
    <row r="14444" spans="1:8" x14ac:dyDescent="0.2">
      <c r="A14444" t="str">
        <f t="shared" si="5238"/>
        <v>0616017769</v>
      </c>
      <c r="B14444" t="str">
        <f t="shared" si="5239"/>
        <v>JACOBY</v>
      </c>
      <c r="C14444" t="str">
        <f t="shared" si="5240"/>
        <v>RICHARDSON</v>
      </c>
      <c r="D14444" t="str">
        <f t="shared" si="5241"/>
        <v>09</v>
      </c>
      <c r="E14444" t="str">
        <f>"08 - S1 - B - 105 - Richard E Dunbar Iii"</f>
        <v>08 - S1 - B - 105 - Richard E Dunbar Iii</v>
      </c>
      <c r="F14444" t="str">
        <f>"WEIGHT TRAIN 1"</f>
        <v>WEIGHT TRAIN 1</v>
      </c>
      <c r="G14444" t="str">
        <f>"05-501"</f>
        <v>05-501</v>
      </c>
      <c r="H14444" t="str">
        <f>"B"</f>
        <v>B</v>
      </c>
    </row>
    <row r="14445" spans="1:8" x14ac:dyDescent="0.2">
      <c r="A14445" t="str">
        <f t="shared" ref="A14445:A14452" si="5242">"0615092444"</f>
        <v>0615092444</v>
      </c>
      <c r="B14445" t="str">
        <f t="shared" ref="B14445:B14452" si="5243">"JOHNTAVIOUS"</f>
        <v>JOHNTAVIOUS</v>
      </c>
      <c r="C14445" t="str">
        <f t="shared" si="5240"/>
        <v>RICHARDSON</v>
      </c>
      <c r="D14445">
        <f>10</f>
        <v>10</v>
      </c>
      <c r="E14445" t="str">
        <f>"04 - S1 - A - 101 - Leslie J Barton"</f>
        <v>04 - S1 - A - 101 - Leslie J Barton</v>
      </c>
      <c r="F14445" t="str">
        <f>"TEAM SPORTS 1"</f>
        <v>TEAM SPORTS 1</v>
      </c>
      <c r="G14445" t="str">
        <f>"04-254"</f>
        <v>04-254</v>
      </c>
      <c r="H14445" t="str">
        <f>"A"</f>
        <v>A</v>
      </c>
    </row>
    <row r="14446" spans="1:8" x14ac:dyDescent="0.2">
      <c r="A14446" t="str">
        <f t="shared" si="5242"/>
        <v>0615092444</v>
      </c>
      <c r="B14446" t="str">
        <f t="shared" si="5243"/>
        <v>JOHNTAVIOUS</v>
      </c>
      <c r="C14446" t="str">
        <f t="shared" si="5240"/>
        <v>RICHARDSON</v>
      </c>
      <c r="D14446">
        <f>10</f>
        <v>10</v>
      </c>
      <c r="E14446" t="str">
        <f>"06 - B - 110 - Jerry S Jiampetti"</f>
        <v>06 - B - 110 - Jerry S Jiampetti</v>
      </c>
      <c r="F14446" t="str">
        <f>"NC STUDY HALL 1"</f>
        <v>NC STUDY HALL 1</v>
      </c>
      <c r="G14446" t="str">
        <f>"17-1751"</f>
        <v>17-1751</v>
      </c>
      <c r="H14446" t="str">
        <f>"B"</f>
        <v>B</v>
      </c>
    </row>
    <row r="14447" spans="1:8" x14ac:dyDescent="0.2">
      <c r="A14447" t="str">
        <f t="shared" si="5242"/>
        <v>0615092444</v>
      </c>
      <c r="B14447" t="str">
        <f t="shared" si="5243"/>
        <v>JOHNTAVIOUS</v>
      </c>
      <c r="C14447" t="str">
        <f t="shared" si="5240"/>
        <v>RICHARDSON</v>
      </c>
      <c r="D14447">
        <f>10</f>
        <v>10</v>
      </c>
      <c r="E14447" t="str">
        <f>"03 - A - 101 - Eva T Rimmer"</f>
        <v>03 - A - 101 - Eva T Rimmer</v>
      </c>
      <c r="F14447" t="str">
        <f>"CRIMINAL JUST OPS 1"</f>
        <v>CRIMINAL JUST OPS 1</v>
      </c>
      <c r="G14447" t="str">
        <f>"05-523"</f>
        <v>05-523</v>
      </c>
      <c r="H14447" t="str">
        <f>"A"</f>
        <v>A</v>
      </c>
    </row>
    <row r="14448" spans="1:8" x14ac:dyDescent="0.2">
      <c r="A14448" t="str">
        <f t="shared" si="5242"/>
        <v>0615092444</v>
      </c>
      <c r="B14448" t="str">
        <f t="shared" si="5243"/>
        <v>JOHNTAVIOUS</v>
      </c>
      <c r="C14448" t="str">
        <f t="shared" si="5240"/>
        <v>RICHARDSON</v>
      </c>
      <c r="D14448">
        <f>10</f>
        <v>10</v>
      </c>
      <c r="E14448" t="str">
        <f>"02 - A - 201 - Jordana K Hass"</f>
        <v>02 - A - 201 - Jordana K Hass</v>
      </c>
      <c r="F14448" t="str">
        <f>"CHEMISTRY 1"</f>
        <v>CHEMISTRY 1</v>
      </c>
      <c r="G14448" t="str">
        <f>"08-807"</f>
        <v>08-807</v>
      </c>
      <c r="H14448" t="str">
        <f>"A"</f>
        <v>A</v>
      </c>
    </row>
    <row r="14449" spans="1:8" x14ac:dyDescent="0.2">
      <c r="A14449" t="str">
        <f t="shared" si="5242"/>
        <v>0615092444</v>
      </c>
      <c r="B14449" t="str">
        <f t="shared" si="5243"/>
        <v>JOHNTAVIOUS</v>
      </c>
      <c r="C14449" t="str">
        <f t="shared" si="5240"/>
        <v>RICHARDSON</v>
      </c>
      <c r="D14449">
        <f>10</f>
        <v>10</v>
      </c>
      <c r="E14449" t="str">
        <f>"07 - B - 102 - Nikiel  Nesbeth"</f>
        <v>07 - B - 102 - Nikiel  Nesbeth</v>
      </c>
      <c r="F14449" t="str">
        <f>"PRE-AICE ENG LIT IG"</f>
        <v>PRE-AICE ENG LIT IG</v>
      </c>
      <c r="G14449" t="str">
        <f>"17-1705"</f>
        <v>17-1705</v>
      </c>
      <c r="H14449" t="str">
        <f>"B"</f>
        <v>B</v>
      </c>
    </row>
    <row r="14450" spans="1:8" x14ac:dyDescent="0.2">
      <c r="A14450" t="str">
        <f t="shared" si="5242"/>
        <v>0615092444</v>
      </c>
      <c r="B14450" t="str">
        <f t="shared" si="5243"/>
        <v>JOHNTAVIOUS</v>
      </c>
      <c r="C14450" t="str">
        <f t="shared" si="5240"/>
        <v>RICHARDSON</v>
      </c>
      <c r="D14450">
        <f>10</f>
        <v>10</v>
      </c>
      <c r="E14450" t="str">
        <f>"05 - B - 105 - Marius D Orsolini"</f>
        <v>05 - B - 105 - Marius D Orsolini</v>
      </c>
      <c r="F14450" t="str">
        <f>"CULINARY ARTS 1"</f>
        <v>CULINARY ARTS 1</v>
      </c>
      <c r="G14450" t="str">
        <f>"21-2115"</f>
        <v>21-2115</v>
      </c>
      <c r="H14450" t="str">
        <f>"B"</f>
        <v>B</v>
      </c>
    </row>
    <row r="14451" spans="1:8" x14ac:dyDescent="0.2">
      <c r="A14451" t="str">
        <f t="shared" si="5242"/>
        <v>0615092444</v>
      </c>
      <c r="B14451" t="str">
        <f t="shared" si="5243"/>
        <v>JOHNTAVIOUS</v>
      </c>
      <c r="C14451" t="str">
        <f t="shared" si="5240"/>
        <v>RICHARDSON</v>
      </c>
      <c r="D14451">
        <f>10</f>
        <v>10</v>
      </c>
      <c r="E14451" t="str">
        <f>"01 - A - 101 - Maried P Ramos"</f>
        <v>01 - A - 101 - Maried P Ramos</v>
      </c>
      <c r="F14451" t="str">
        <f>"ALGEBRA 2 HON"</f>
        <v>ALGEBRA 2 HON</v>
      </c>
      <c r="G14451" t="str">
        <f>"21-2159"</f>
        <v>21-2159</v>
      </c>
      <c r="H14451" t="str">
        <f>"A"</f>
        <v>A</v>
      </c>
    </row>
    <row r="14452" spans="1:8" x14ac:dyDescent="0.2">
      <c r="A14452" t="str">
        <f t="shared" si="5242"/>
        <v>0615092444</v>
      </c>
      <c r="B14452" t="str">
        <f t="shared" si="5243"/>
        <v>JOHNTAVIOUS</v>
      </c>
      <c r="C14452" t="str">
        <f t="shared" si="5240"/>
        <v>RICHARDSON</v>
      </c>
      <c r="D14452">
        <f>10</f>
        <v>10</v>
      </c>
      <c r="E14452" t="str">
        <f>"08 - S1 - B - 102 - Kyle  Robbins"</f>
        <v>08 - S1 - B - 102 - Kyle  Robbins</v>
      </c>
      <c r="F14452" t="str">
        <f>"PERS FIN &amp; MON MGT H"</f>
        <v>PERS FIN &amp; MON MGT H</v>
      </c>
      <c r="G14452" t="str">
        <f>"17-1745"</f>
        <v>17-1745</v>
      </c>
      <c r="H14452" t="str">
        <f>"B"</f>
        <v>B</v>
      </c>
    </row>
    <row r="14453" spans="1:8" x14ac:dyDescent="0.2">
      <c r="A14453" t="str">
        <f t="shared" ref="A14453:A14460" si="5244">"0614092942"</f>
        <v>0614092942</v>
      </c>
      <c r="B14453" t="str">
        <f t="shared" ref="B14453:B14460" si="5245">"SYNCLAIRE"</f>
        <v>SYNCLAIRE</v>
      </c>
      <c r="C14453" t="str">
        <f t="shared" si="5240"/>
        <v>RICHARDSON</v>
      </c>
      <c r="D14453">
        <f>11</f>
        <v>11</v>
      </c>
      <c r="E14453" t="str">
        <f>"04 - A - 102 - Brandy N Zdenek"</f>
        <v>04 - A - 102 - Brandy N Zdenek</v>
      </c>
      <c r="F14453" t="str">
        <f>"AICE ENG LANG 2 AL"</f>
        <v>AICE ENG LANG 2 AL</v>
      </c>
      <c r="G14453" t="str">
        <f>"17-1704"</f>
        <v>17-1704</v>
      </c>
      <c r="H14453" t="str">
        <f>"A"</f>
        <v>A</v>
      </c>
    </row>
    <row r="14454" spans="1:8" x14ac:dyDescent="0.2">
      <c r="A14454" t="str">
        <f t="shared" si="5244"/>
        <v>0614092942</v>
      </c>
      <c r="B14454" t="str">
        <f t="shared" si="5245"/>
        <v>SYNCLAIRE</v>
      </c>
      <c r="C14454" t="str">
        <f t="shared" si="5240"/>
        <v>RICHARDSON</v>
      </c>
      <c r="D14454">
        <f>11</f>
        <v>11</v>
      </c>
      <c r="E14454" t="str">
        <f>"06 - B - 206 - Jacqueline R Morphet"</f>
        <v>06 - B - 206 - Jacqueline R Morphet</v>
      </c>
      <c r="F14454" t="str">
        <f>"PHYSICS 1 HON"</f>
        <v>PHYSICS 1 HON</v>
      </c>
      <c r="G14454" t="str">
        <f>"21-2138"</f>
        <v>21-2138</v>
      </c>
      <c r="H14454" t="str">
        <f>"B"</f>
        <v>B</v>
      </c>
    </row>
    <row r="14455" spans="1:8" x14ac:dyDescent="0.2">
      <c r="A14455" t="str">
        <f t="shared" si="5244"/>
        <v>0614092942</v>
      </c>
      <c r="B14455" t="str">
        <f t="shared" si="5245"/>
        <v>SYNCLAIRE</v>
      </c>
      <c r="C14455" t="str">
        <f t="shared" si="5240"/>
        <v>RICHARDSON</v>
      </c>
      <c r="D14455">
        <f>11</f>
        <v>11</v>
      </c>
      <c r="E14455" t="str">
        <f>"03 - A - 101 - Brian M Fitzgerald"</f>
        <v>03 - A - 101 - Brian M Fitzgerald</v>
      </c>
      <c r="F14455" t="str">
        <f>"SCULPT 1"</f>
        <v>SCULPT 1</v>
      </c>
      <c r="G14455" t="str">
        <f>"09-908"</f>
        <v>09-908</v>
      </c>
      <c r="H14455" t="str">
        <f>"A"</f>
        <v>A</v>
      </c>
    </row>
    <row r="14456" spans="1:8" x14ac:dyDescent="0.2">
      <c r="A14456" t="str">
        <f t="shared" si="5244"/>
        <v>0614092942</v>
      </c>
      <c r="B14456" t="str">
        <f t="shared" si="5245"/>
        <v>SYNCLAIRE</v>
      </c>
      <c r="C14456" t="str">
        <f t="shared" si="5240"/>
        <v>RICHARDSON</v>
      </c>
      <c r="D14456">
        <f>11</f>
        <v>11</v>
      </c>
      <c r="E14456" t="str">
        <f>"02 - A - 107 - Elizabeth Ellen  Moran"</f>
        <v>02 - A - 107 - Elizabeth Ellen  Moran</v>
      </c>
      <c r="F14456" t="str">
        <f>"NC STUDY HALL 1"</f>
        <v>NC STUDY HALL 1</v>
      </c>
      <c r="G14456" t="str">
        <f>"17-1752"</f>
        <v>17-1752</v>
      </c>
      <c r="H14456" t="str">
        <f>"A"</f>
        <v>A</v>
      </c>
    </row>
    <row r="14457" spans="1:8" x14ac:dyDescent="0.2">
      <c r="A14457" t="str">
        <f t="shared" si="5244"/>
        <v>0614092942</v>
      </c>
      <c r="B14457" t="str">
        <f t="shared" si="5245"/>
        <v>SYNCLAIRE</v>
      </c>
      <c r="C14457" t="str">
        <f t="shared" si="5240"/>
        <v>RICHARDSON</v>
      </c>
      <c r="D14457">
        <f>11</f>
        <v>11</v>
      </c>
      <c r="E14457" t="str">
        <f>"07 - B - 201 - Angela S Adeshina-Morrison"</f>
        <v>07 - B - 201 - Angela S Adeshina-Morrison</v>
      </c>
      <c r="F14457" t="str">
        <f>"BUSINESS OWNER HON"</f>
        <v>BUSINESS OWNER HON</v>
      </c>
      <c r="G14457" t="str">
        <f>"05-518"</f>
        <v>05-518</v>
      </c>
      <c r="H14457" t="str">
        <f>"B"</f>
        <v>B</v>
      </c>
    </row>
    <row r="14458" spans="1:8" x14ac:dyDescent="0.2">
      <c r="A14458" t="str">
        <f t="shared" si="5244"/>
        <v>0614092942</v>
      </c>
      <c r="B14458" t="str">
        <f t="shared" si="5245"/>
        <v>SYNCLAIRE</v>
      </c>
      <c r="C14458" t="str">
        <f t="shared" si="5240"/>
        <v>RICHARDSON</v>
      </c>
      <c r="D14458">
        <f>11</f>
        <v>11</v>
      </c>
      <c r="E14458" t="str">
        <f>"05 - B - 102 - Jerry S Jiampetti"</f>
        <v>05 - B - 102 - Jerry S Jiampetti</v>
      </c>
      <c r="F14458" t="str">
        <f>"AICE U.S. HIST 1 AS"</f>
        <v>AICE U.S. HIST 1 AS</v>
      </c>
      <c r="G14458" t="str">
        <f>"17-1751"</f>
        <v>17-1751</v>
      </c>
      <c r="H14458" t="str">
        <f>"B"</f>
        <v>B</v>
      </c>
    </row>
    <row r="14459" spans="1:8" x14ac:dyDescent="0.2">
      <c r="A14459" t="str">
        <f t="shared" si="5244"/>
        <v>0614092942</v>
      </c>
      <c r="B14459" t="str">
        <f t="shared" si="5245"/>
        <v>SYNCLAIRE</v>
      </c>
      <c r="C14459" t="str">
        <f t="shared" si="5240"/>
        <v>RICHARDSON</v>
      </c>
      <c r="D14459">
        <f>11</f>
        <v>11</v>
      </c>
      <c r="E14459" t="str">
        <f>"01 - A - 101 - Thomas G Handwerg"</f>
        <v>01 - A - 101 - Thomas G Handwerg</v>
      </c>
      <c r="F14459" t="str">
        <f>"PROB STAT W/APPS HON"</f>
        <v>PROB STAT W/APPS HON</v>
      </c>
      <c r="G14459" t="str">
        <f>"21-2146"</f>
        <v>21-2146</v>
      </c>
      <c r="H14459" t="str">
        <f>"A"</f>
        <v>A</v>
      </c>
    </row>
    <row r="14460" spans="1:8" x14ac:dyDescent="0.2">
      <c r="A14460" t="str">
        <f t="shared" si="5244"/>
        <v>0614092942</v>
      </c>
      <c r="B14460" t="str">
        <f t="shared" si="5245"/>
        <v>SYNCLAIRE</v>
      </c>
      <c r="C14460" t="str">
        <f t="shared" si="5240"/>
        <v>RICHARDSON</v>
      </c>
      <c r="D14460">
        <f>11</f>
        <v>11</v>
      </c>
      <c r="E14460" t="str">
        <f>"08 - B - 202 - Krystal Marie  Beruty"</f>
        <v>08 - B - 202 - Krystal Marie  Beruty</v>
      </c>
      <c r="F14460" t="str">
        <f>"AICE PSYCH 1 AS"</f>
        <v>AICE PSYCH 1 AS</v>
      </c>
      <c r="G14460" t="str">
        <f>"17-1721"</f>
        <v>17-1721</v>
      </c>
      <c r="H14460" t="str">
        <f>"B"</f>
        <v>B</v>
      </c>
    </row>
    <row r="14461" spans="1:8" x14ac:dyDescent="0.2">
      <c r="A14461" t="str">
        <f t="shared" ref="A14461:A14469" si="5246">"0616143775"</f>
        <v>0616143775</v>
      </c>
      <c r="B14461" t="str">
        <f t="shared" ref="B14461:B14469" si="5247">"SAWYER"</f>
        <v>SAWYER</v>
      </c>
      <c r="C14461" t="str">
        <f t="shared" ref="C14461:C14469" si="5248">"RIGDON"</f>
        <v>RIGDON</v>
      </c>
      <c r="D14461" t="str">
        <f t="shared" ref="D14461:D14477" si="5249">"09"</f>
        <v>09</v>
      </c>
      <c r="E14461" t="str">
        <f>"04 - A - 104 - Brook E Goren"</f>
        <v>04 - A - 104 - Brook E Goren</v>
      </c>
      <c r="F14461" t="str">
        <f>"ALGEBRA 2 HON"</f>
        <v>ALGEBRA 2 HON</v>
      </c>
      <c r="G14461" t="str">
        <f>"21-2158"</f>
        <v>21-2158</v>
      </c>
      <c r="H14461" t="str">
        <f>"A"</f>
        <v>A</v>
      </c>
    </row>
    <row r="14462" spans="1:8" x14ac:dyDescent="0.2">
      <c r="A14462" t="str">
        <f t="shared" si="5246"/>
        <v>0616143775</v>
      </c>
      <c r="B14462" t="str">
        <f t="shared" si="5247"/>
        <v>SAWYER</v>
      </c>
      <c r="C14462" t="str">
        <f t="shared" si="5248"/>
        <v>RIGDON</v>
      </c>
      <c r="D14462" t="str">
        <f t="shared" si="5249"/>
        <v>09</v>
      </c>
      <c r="E14462" t="str">
        <f>"06 - B - 106 - Adam Marcus  Drucker"</f>
        <v>06 - B - 106 - Adam Marcus  Drucker</v>
      </c>
      <c r="F14462" t="str">
        <f>"HOPE-PE V"</f>
        <v>HOPE-PE V</v>
      </c>
      <c r="G14462" t="str">
        <f>"04-254"</f>
        <v>04-254</v>
      </c>
      <c r="H14462" t="str">
        <f>"B"</f>
        <v>B</v>
      </c>
    </row>
    <row r="14463" spans="1:8" x14ac:dyDescent="0.2">
      <c r="A14463" t="str">
        <f t="shared" si="5246"/>
        <v>0616143775</v>
      </c>
      <c r="B14463" t="str">
        <f t="shared" si="5247"/>
        <v>SAWYER</v>
      </c>
      <c r="C14463" t="str">
        <f t="shared" si="5248"/>
        <v>RIGDON</v>
      </c>
      <c r="D14463" t="str">
        <f t="shared" si="5249"/>
        <v>09</v>
      </c>
      <c r="E14463" t="str">
        <f>"03 - S1 - A - 101 - Daniel S Katz"</f>
        <v>03 - S1 - A - 101 - Daniel S Katz</v>
      </c>
      <c r="F14463" t="str">
        <f>"COURT PROCED"</f>
        <v>COURT PROCED</v>
      </c>
      <c r="G14463" t="str">
        <f>"21-2156"</f>
        <v>21-2156</v>
      </c>
      <c r="H14463" t="str">
        <f>"A"</f>
        <v>A</v>
      </c>
    </row>
    <row r="14464" spans="1:8" x14ac:dyDescent="0.2">
      <c r="A14464" t="str">
        <f t="shared" si="5246"/>
        <v>0616143775</v>
      </c>
      <c r="B14464" t="str">
        <f t="shared" si="5247"/>
        <v>SAWYER</v>
      </c>
      <c r="C14464" t="str">
        <f t="shared" si="5248"/>
        <v>RIGDON</v>
      </c>
      <c r="D14464" t="str">
        <f t="shared" si="5249"/>
        <v>09</v>
      </c>
      <c r="E14464" t="str">
        <f>"02 - A - 111 - Cheryl L Beach"</f>
        <v>02 - A - 111 - Cheryl L Beach</v>
      </c>
      <c r="F14464" t="str">
        <f>"NC STUDY HALL 1"</f>
        <v>NC STUDY HALL 1</v>
      </c>
      <c r="G14464" t="str">
        <f>"08-811"</f>
        <v>08-811</v>
      </c>
      <c r="H14464" t="str">
        <f>"A"</f>
        <v>A</v>
      </c>
    </row>
    <row r="14465" spans="1:8" x14ac:dyDescent="0.2">
      <c r="A14465" t="str">
        <f t="shared" si="5246"/>
        <v>0616143775</v>
      </c>
      <c r="B14465" t="str">
        <f t="shared" si="5247"/>
        <v>SAWYER</v>
      </c>
      <c r="C14465" t="str">
        <f t="shared" si="5248"/>
        <v>RIGDON</v>
      </c>
      <c r="D14465" t="str">
        <f t="shared" si="5249"/>
        <v>09</v>
      </c>
      <c r="E14465" t="str">
        <f>"02 - A - 102 - Eric  Lopapa"</f>
        <v>02 - A - 102 - Eric  Lopapa</v>
      </c>
      <c r="F14465" t="str">
        <f>"SPEECH THRPY"</f>
        <v>SPEECH THRPY</v>
      </c>
      <c r="G14465" t="str">
        <f>"21-2110"</f>
        <v>21-2110</v>
      </c>
      <c r="H14465" t="str">
        <f>"A"</f>
        <v>A</v>
      </c>
    </row>
    <row r="14466" spans="1:8" x14ac:dyDescent="0.2">
      <c r="A14466" t="str">
        <f t="shared" si="5246"/>
        <v>0616143775</v>
      </c>
      <c r="B14466" t="str">
        <f t="shared" si="5247"/>
        <v>SAWYER</v>
      </c>
      <c r="C14466" t="str">
        <f t="shared" si="5248"/>
        <v>RIGDON</v>
      </c>
      <c r="D14466" t="str">
        <f t="shared" si="5249"/>
        <v>09</v>
      </c>
      <c r="E14466" t="str">
        <f>"07 - B - 101 - Jeanne M Bermudez"</f>
        <v>07 - B - 101 - Jeanne M Bermudez</v>
      </c>
      <c r="F14466" t="str">
        <f>"FOUND OF PROGRAM HON"</f>
        <v>FOUND OF PROGRAM HON</v>
      </c>
      <c r="G14466" t="str">
        <f>"21-2141"</f>
        <v>21-2141</v>
      </c>
      <c r="H14466" t="str">
        <f>"B"</f>
        <v>B</v>
      </c>
    </row>
    <row r="14467" spans="1:8" x14ac:dyDescent="0.2">
      <c r="A14467" t="str">
        <f t="shared" si="5246"/>
        <v>0616143775</v>
      </c>
      <c r="B14467" t="str">
        <f t="shared" si="5247"/>
        <v>SAWYER</v>
      </c>
      <c r="C14467" t="str">
        <f t="shared" si="5248"/>
        <v>RIGDON</v>
      </c>
      <c r="D14467" t="str">
        <f t="shared" si="5249"/>
        <v>09</v>
      </c>
      <c r="E14467" t="str">
        <f>"05 - B - 103 - Byron G Montenegro"</f>
        <v>05 - B - 103 - Byron G Montenegro</v>
      </c>
      <c r="F14467" t="str">
        <f>"AICE MARINE SCI 1 AS"</f>
        <v>AICE MARINE SCI 1 AS</v>
      </c>
      <c r="G14467" t="str">
        <f>"21-2144"</f>
        <v>21-2144</v>
      </c>
      <c r="H14467" t="str">
        <f>"B"</f>
        <v>B</v>
      </c>
    </row>
    <row r="14468" spans="1:8" x14ac:dyDescent="0.2">
      <c r="A14468" t="str">
        <f t="shared" si="5246"/>
        <v>0616143775</v>
      </c>
      <c r="B14468" t="str">
        <f t="shared" si="5247"/>
        <v>SAWYER</v>
      </c>
      <c r="C14468" t="str">
        <f t="shared" si="5248"/>
        <v>RIGDON</v>
      </c>
      <c r="D14468" t="str">
        <f t="shared" si="5249"/>
        <v>09</v>
      </c>
      <c r="E14468" t="str">
        <f>"01 - A - 002 - Krystal Marie  Beruty"</f>
        <v>01 - A - 002 - Krystal Marie  Beruty</v>
      </c>
      <c r="F14468" t="str">
        <f>"AICE GLBL PERSP 1 AS"</f>
        <v>AICE GLBL PERSP 1 AS</v>
      </c>
      <c r="G14468" t="str">
        <f>"17-1721"</f>
        <v>17-1721</v>
      </c>
      <c r="H14468" t="str">
        <f>"A"</f>
        <v>A</v>
      </c>
    </row>
    <row r="14469" spans="1:8" x14ac:dyDescent="0.2">
      <c r="A14469" t="str">
        <f t="shared" si="5246"/>
        <v>0616143775</v>
      </c>
      <c r="B14469" t="str">
        <f t="shared" si="5247"/>
        <v>SAWYER</v>
      </c>
      <c r="C14469" t="str">
        <f t="shared" si="5248"/>
        <v>RIGDON</v>
      </c>
      <c r="D14469" t="str">
        <f t="shared" si="5249"/>
        <v>09</v>
      </c>
      <c r="E14469" t="str">
        <f>"08 - B - 004 - Cheryl Anne  Berman-Schechter"</f>
        <v>08 - B - 004 - Cheryl Anne  Berman-Schechter</v>
      </c>
      <c r="F14469" t="str">
        <f>"AICE ENG GEN PAPER 1"</f>
        <v>AICE ENG GEN PAPER 1</v>
      </c>
      <c r="G14469" t="str">
        <f>"17-1722"</f>
        <v>17-1722</v>
      </c>
      <c r="H14469" t="str">
        <f>"B"</f>
        <v>B</v>
      </c>
    </row>
    <row r="14470" spans="1:8" x14ac:dyDescent="0.2">
      <c r="A14470" t="str">
        <f t="shared" ref="A14470:A14477" si="5250">"0622036244"</f>
        <v>0622036244</v>
      </c>
      <c r="B14470" t="str">
        <f t="shared" ref="B14470:B14477" si="5251">"NICHOLAS"</f>
        <v>NICHOLAS</v>
      </c>
      <c r="C14470" t="str">
        <f t="shared" ref="C14470:C14477" si="5252">"RIMANN"</f>
        <v>RIMANN</v>
      </c>
      <c r="D14470" t="str">
        <f t="shared" si="5249"/>
        <v>09</v>
      </c>
      <c r="E14470" t="str">
        <f>"04 - A - 102 - Byron G Montenegro"</f>
        <v>04 - A - 102 - Byron G Montenegro</v>
      </c>
      <c r="F14470" t="str">
        <f>"AICE MARINE SCI 1 AS"</f>
        <v>AICE MARINE SCI 1 AS</v>
      </c>
      <c r="G14470" t="str">
        <f>"21-2144"</f>
        <v>21-2144</v>
      </c>
      <c r="H14470" t="str">
        <f>"A"</f>
        <v>A</v>
      </c>
    </row>
    <row r="14471" spans="1:8" x14ac:dyDescent="0.2">
      <c r="A14471" t="str">
        <f t="shared" si="5250"/>
        <v>0622036244</v>
      </c>
      <c r="B14471" t="str">
        <f t="shared" si="5251"/>
        <v>NICHOLAS</v>
      </c>
      <c r="C14471" t="str">
        <f t="shared" si="5252"/>
        <v>RIMANN</v>
      </c>
      <c r="D14471" t="str">
        <f t="shared" si="5249"/>
        <v>09</v>
      </c>
      <c r="E14471" t="str">
        <f>"06 - B - 102 - Rosa Elaine  Collado-Duff"</f>
        <v>06 - B - 102 - Rosa Elaine  Collado-Duff</v>
      </c>
      <c r="F14471" t="str">
        <f>"SPANISH 3 HON"</f>
        <v>SPANISH 3 HON</v>
      </c>
      <c r="G14471" t="str">
        <f>"09-913"</f>
        <v>09-913</v>
      </c>
      <c r="H14471" t="str">
        <f>"B"</f>
        <v>B</v>
      </c>
    </row>
    <row r="14472" spans="1:8" x14ac:dyDescent="0.2">
      <c r="A14472" t="str">
        <f t="shared" si="5250"/>
        <v>0622036244</v>
      </c>
      <c r="B14472" t="str">
        <f t="shared" si="5251"/>
        <v>NICHOLAS</v>
      </c>
      <c r="C14472" t="str">
        <f t="shared" si="5252"/>
        <v>RIMANN</v>
      </c>
      <c r="D14472" t="str">
        <f t="shared" si="5249"/>
        <v>09</v>
      </c>
      <c r="E14472" t="str">
        <f>"03 - S1 - A - 102 - Leslie J Barton"</f>
        <v>03 - S1 - A - 102 - Leslie J Barton</v>
      </c>
      <c r="F14472" t="str">
        <f>"FIRST AID SAFETY"</f>
        <v>FIRST AID SAFETY</v>
      </c>
      <c r="G14472" t="str">
        <f>"05-521"</f>
        <v>05-521</v>
      </c>
      <c r="H14472" t="str">
        <f>"A"</f>
        <v>A</v>
      </c>
    </row>
    <row r="14473" spans="1:8" x14ac:dyDescent="0.2">
      <c r="A14473" t="str">
        <f t="shared" si="5250"/>
        <v>0622036244</v>
      </c>
      <c r="B14473" t="str">
        <f t="shared" si="5251"/>
        <v>NICHOLAS</v>
      </c>
      <c r="C14473" t="str">
        <f t="shared" si="5252"/>
        <v>RIMANN</v>
      </c>
      <c r="D14473" t="str">
        <f t="shared" si="5249"/>
        <v>09</v>
      </c>
      <c r="E14473" t="str">
        <f>"02 - A - 102 - Samantha J Headley"</f>
        <v>02 - A - 102 - Samantha J Headley</v>
      </c>
      <c r="F14473" t="str">
        <f>"NC STUDY HALL 1"</f>
        <v>NC STUDY HALL 1</v>
      </c>
      <c r="G14473" t="str">
        <f>"21-2134"</f>
        <v>21-2134</v>
      </c>
      <c r="H14473" t="str">
        <f>"A"</f>
        <v>A</v>
      </c>
    </row>
    <row r="14474" spans="1:8" x14ac:dyDescent="0.2">
      <c r="A14474" t="str">
        <f t="shared" si="5250"/>
        <v>0622036244</v>
      </c>
      <c r="B14474" t="str">
        <f t="shared" si="5251"/>
        <v>NICHOLAS</v>
      </c>
      <c r="C14474" t="str">
        <f t="shared" si="5252"/>
        <v>RIMANN</v>
      </c>
      <c r="D14474" t="str">
        <f t="shared" si="5249"/>
        <v>09</v>
      </c>
      <c r="E14474" t="str">
        <f>"07 - B - 106 - James H Mccann"</f>
        <v>07 - B - 106 - James H Mccann</v>
      </c>
      <c r="F14474" t="str">
        <f>"ALGEBRA 2"</f>
        <v>ALGEBRA 2</v>
      </c>
      <c r="G14474" t="str">
        <f>"17-1716"</f>
        <v>17-1716</v>
      </c>
      <c r="H14474" t="str">
        <f>"B"</f>
        <v>B</v>
      </c>
    </row>
    <row r="14475" spans="1:8" x14ac:dyDescent="0.2">
      <c r="A14475" t="str">
        <f t="shared" si="5250"/>
        <v>0622036244</v>
      </c>
      <c r="B14475" t="str">
        <f t="shared" si="5251"/>
        <v>NICHOLAS</v>
      </c>
      <c r="C14475" t="str">
        <f t="shared" si="5252"/>
        <v>RIMANN</v>
      </c>
      <c r="D14475" t="str">
        <f t="shared" si="5249"/>
        <v>09</v>
      </c>
      <c r="E14475" t="str">
        <f>"05 - B - 001 - Kelly N Panza"</f>
        <v>05 - B - 001 - Kelly N Panza</v>
      </c>
      <c r="F14475" t="str">
        <f>"AICE GLBL PERSP 1 AS"</f>
        <v>AICE GLBL PERSP 1 AS</v>
      </c>
      <c r="G14475" t="str">
        <f>"17-1753"</f>
        <v>17-1753</v>
      </c>
      <c r="H14475" t="str">
        <f>"B"</f>
        <v>B</v>
      </c>
    </row>
    <row r="14476" spans="1:8" x14ac:dyDescent="0.2">
      <c r="A14476" t="str">
        <f t="shared" si="5250"/>
        <v>0622036244</v>
      </c>
      <c r="B14476" t="str">
        <f t="shared" si="5251"/>
        <v>NICHOLAS</v>
      </c>
      <c r="C14476" t="str">
        <f t="shared" si="5252"/>
        <v>RIMANN</v>
      </c>
      <c r="D14476" t="str">
        <f t="shared" si="5249"/>
        <v>09</v>
      </c>
      <c r="E14476" t="str">
        <f>"01 - A - 101 - Angela S Adeshina-Morrison"</f>
        <v>01 - A - 101 - Angela S Adeshina-Morrison</v>
      </c>
      <c r="F14476" t="str">
        <f>"MARKETING ESSENTIALS"</f>
        <v>MARKETING ESSENTIALS</v>
      </c>
      <c r="G14476" t="str">
        <f>"05-518"</f>
        <v>05-518</v>
      </c>
      <c r="H14476" t="str">
        <f>"A"</f>
        <v>A</v>
      </c>
    </row>
    <row r="14477" spans="1:8" x14ac:dyDescent="0.2">
      <c r="A14477" t="str">
        <f t="shared" si="5250"/>
        <v>0622036244</v>
      </c>
      <c r="B14477" t="str">
        <f t="shared" si="5251"/>
        <v>NICHOLAS</v>
      </c>
      <c r="C14477" t="str">
        <f t="shared" si="5252"/>
        <v>RIMANN</v>
      </c>
      <c r="D14477" t="str">
        <f t="shared" si="5249"/>
        <v>09</v>
      </c>
      <c r="E14477" t="str">
        <f>"08 - B - 004 - Cheryl Anne  Berman-Schechter"</f>
        <v>08 - B - 004 - Cheryl Anne  Berman-Schechter</v>
      </c>
      <c r="F14477" t="str">
        <f>"AICE ENG GEN PAPER 1"</f>
        <v>AICE ENG GEN PAPER 1</v>
      </c>
      <c r="G14477" t="str">
        <f>"17-1722"</f>
        <v>17-1722</v>
      </c>
      <c r="H14477" t="str">
        <f>"B"</f>
        <v>B</v>
      </c>
    </row>
    <row r="14478" spans="1:8" x14ac:dyDescent="0.2">
      <c r="A14478" t="str">
        <f t="shared" ref="A14478:A14485" si="5253">"0616023218"</f>
        <v>0616023218</v>
      </c>
      <c r="B14478" t="str">
        <f t="shared" ref="B14478:B14485" si="5254">"LILY"</f>
        <v>LILY</v>
      </c>
      <c r="C14478" t="str">
        <f t="shared" ref="C14478:C14493" si="5255">"RIPEPI"</f>
        <v>RIPEPI</v>
      </c>
      <c r="D14478">
        <f>10</f>
        <v>10</v>
      </c>
      <c r="E14478" t="str">
        <f>"04 - A - 102 - Fernando  Vega-Cid"</f>
        <v>04 - A - 102 - Fernando  Vega-Cid</v>
      </c>
      <c r="F14478" t="str">
        <f>"PRE-CALCULUS HON"</f>
        <v>PRE-CALCULUS HON</v>
      </c>
      <c r="G14478" t="str">
        <f>"21-2163"</f>
        <v>21-2163</v>
      </c>
      <c r="H14478" t="str">
        <f>"A"</f>
        <v>A</v>
      </c>
    </row>
    <row r="14479" spans="1:8" x14ac:dyDescent="0.2">
      <c r="A14479" t="str">
        <f t="shared" si="5253"/>
        <v>0616023218</v>
      </c>
      <c r="B14479" t="str">
        <f t="shared" si="5254"/>
        <v>LILY</v>
      </c>
      <c r="C14479" t="str">
        <f t="shared" si="5255"/>
        <v>RIPEPI</v>
      </c>
      <c r="D14479">
        <f>10</f>
        <v>10</v>
      </c>
      <c r="E14479" t="str">
        <f>"06 - B - 108 - Jacklyn M James"</f>
        <v>06 - B - 108 - Jacklyn M James</v>
      </c>
      <c r="F14479" t="str">
        <f>"NC STUDY HALL 1"</f>
        <v>NC STUDY HALL 1</v>
      </c>
      <c r="G14479" t="str">
        <f>"17-1731"</f>
        <v>17-1731</v>
      </c>
      <c r="H14479" t="str">
        <f>"B"</f>
        <v>B</v>
      </c>
    </row>
    <row r="14480" spans="1:8" x14ac:dyDescent="0.2">
      <c r="A14480" t="str">
        <f t="shared" si="5253"/>
        <v>0616023218</v>
      </c>
      <c r="B14480" t="str">
        <f t="shared" si="5254"/>
        <v>LILY</v>
      </c>
      <c r="C14480" t="str">
        <f t="shared" si="5255"/>
        <v>RIPEPI</v>
      </c>
      <c r="D14480">
        <f>10</f>
        <v>10</v>
      </c>
      <c r="E14480" t="str">
        <f>"03 - A - 202 - Bruce A Evans"</f>
        <v>03 - A - 202 - Bruce A Evans</v>
      </c>
      <c r="F14480" t="str">
        <f>"HEALTH SCI FOUND HON"</f>
        <v>HEALTH SCI FOUND HON</v>
      </c>
      <c r="G14480" t="str">
        <f>"21-2142"</f>
        <v>21-2142</v>
      </c>
      <c r="H14480" t="str">
        <f>"A"</f>
        <v>A</v>
      </c>
    </row>
    <row r="14481" spans="1:8" x14ac:dyDescent="0.2">
      <c r="A14481" t="str">
        <f t="shared" si="5253"/>
        <v>0616023218</v>
      </c>
      <c r="B14481" t="str">
        <f t="shared" si="5254"/>
        <v>LILY</v>
      </c>
      <c r="C14481" t="str">
        <f t="shared" si="5255"/>
        <v>RIPEPI</v>
      </c>
      <c r="D14481">
        <f>10</f>
        <v>10</v>
      </c>
      <c r="E14481" t="str">
        <f>"02 - A - 102 - Bruce A Evans"</f>
        <v>02 - A - 102 - Bruce A Evans</v>
      </c>
      <c r="F14481" t="str">
        <f>"EMERG MED RESP 3 HON"</f>
        <v>EMERG MED RESP 3 HON</v>
      </c>
      <c r="G14481" t="str">
        <f>"21-2142"</f>
        <v>21-2142</v>
      </c>
      <c r="H14481" t="str">
        <f>"A"</f>
        <v>A</v>
      </c>
    </row>
    <row r="14482" spans="1:8" x14ac:dyDescent="0.2">
      <c r="A14482" t="str">
        <f t="shared" si="5253"/>
        <v>0616023218</v>
      </c>
      <c r="B14482" t="str">
        <f t="shared" si="5254"/>
        <v>LILY</v>
      </c>
      <c r="C14482" t="str">
        <f t="shared" si="5255"/>
        <v>RIPEPI</v>
      </c>
      <c r="D14482">
        <f>10</f>
        <v>10</v>
      </c>
      <c r="E14482" t="str">
        <f>"07 - B - 204 - Elizabeth Ellen  Moran"</f>
        <v>07 - B - 204 - Elizabeth Ellen  Moran</v>
      </c>
      <c r="F14482" t="str">
        <f>"AICE EURO HIST 1 AS"</f>
        <v>AICE EURO HIST 1 AS</v>
      </c>
      <c r="G14482" t="str">
        <f>"17-1752"</f>
        <v>17-1752</v>
      </c>
      <c r="H14482" t="str">
        <f>"B"</f>
        <v>B</v>
      </c>
    </row>
    <row r="14483" spans="1:8" x14ac:dyDescent="0.2">
      <c r="A14483" t="str">
        <f t="shared" si="5253"/>
        <v>0616023218</v>
      </c>
      <c r="B14483" t="str">
        <f t="shared" si="5254"/>
        <v>LILY</v>
      </c>
      <c r="C14483" t="str">
        <f t="shared" si="5255"/>
        <v>RIPEPI</v>
      </c>
      <c r="D14483">
        <f>10</f>
        <v>10</v>
      </c>
      <c r="E14483" t="str">
        <f>"05 - B - 103 - Vanessa J Liburd"</f>
        <v>05 - B - 103 - Vanessa J Liburd</v>
      </c>
      <c r="F14483" t="str">
        <f>"PRE-AICE FRENCH 2 IG"</f>
        <v>PRE-AICE FRENCH 2 IG</v>
      </c>
      <c r="G14483" t="str">
        <f>"05-519"</f>
        <v>05-519</v>
      </c>
      <c r="H14483" t="str">
        <f>"B"</f>
        <v>B</v>
      </c>
    </row>
    <row r="14484" spans="1:8" x14ac:dyDescent="0.2">
      <c r="A14484" t="str">
        <f t="shared" si="5253"/>
        <v>0616023218</v>
      </c>
      <c r="B14484" t="str">
        <f t="shared" si="5254"/>
        <v>LILY</v>
      </c>
      <c r="C14484" t="str">
        <f t="shared" si="5255"/>
        <v>RIPEPI</v>
      </c>
      <c r="D14484">
        <f>10</f>
        <v>10</v>
      </c>
      <c r="E14484" t="str">
        <f>"01 - A - 101 - Courtney E Hambright"</f>
        <v>01 - A - 101 - Courtney E Hambright</v>
      </c>
      <c r="F14484" t="str">
        <f>"AICE ENG LANG AS"</f>
        <v>AICE ENG LANG AS</v>
      </c>
      <c r="G14484" t="str">
        <f>"17-1711"</f>
        <v>17-1711</v>
      </c>
      <c r="H14484" t="str">
        <f>"A"</f>
        <v>A</v>
      </c>
    </row>
    <row r="14485" spans="1:8" x14ac:dyDescent="0.2">
      <c r="A14485" t="str">
        <f t="shared" si="5253"/>
        <v>0616023218</v>
      </c>
      <c r="B14485" t="str">
        <f t="shared" si="5254"/>
        <v>LILY</v>
      </c>
      <c r="C14485" t="str">
        <f t="shared" si="5255"/>
        <v>RIPEPI</v>
      </c>
      <c r="D14485">
        <f>10</f>
        <v>10</v>
      </c>
      <c r="E14485" t="str">
        <f>"08 - B - 206 - Daniel S Katz"</f>
        <v>08 - B - 206 - Daniel S Katz</v>
      </c>
      <c r="F14485" t="str">
        <f>"AICE MEDIASTUDIES AS"</f>
        <v>AICE MEDIASTUDIES AS</v>
      </c>
      <c r="G14485" t="str">
        <f>"05-521"</f>
        <v>05-521</v>
      </c>
      <c r="H14485" t="str">
        <f>"B"</f>
        <v>B</v>
      </c>
    </row>
    <row r="14486" spans="1:8" x14ac:dyDescent="0.2">
      <c r="A14486" t="str">
        <f t="shared" ref="A14486:A14493" si="5256">"0616156399"</f>
        <v>0616156399</v>
      </c>
      <c r="B14486" t="str">
        <f t="shared" ref="B14486:B14493" si="5257">"TOMMY"</f>
        <v>TOMMY</v>
      </c>
      <c r="C14486" t="str">
        <f t="shared" si="5255"/>
        <v>RIPEPI</v>
      </c>
      <c r="D14486" t="str">
        <f t="shared" ref="D14486:D14493" si="5258">"09"</f>
        <v>09</v>
      </c>
      <c r="E14486" t="str">
        <f>"04 - A - 104 - Marius D Orsolini"</f>
        <v>04 - A - 104 - Marius D Orsolini</v>
      </c>
      <c r="F14486" t="str">
        <f>"CULINARY ARTS 1"</f>
        <v>CULINARY ARTS 1</v>
      </c>
      <c r="G14486" t="str">
        <f>"21-2115"</f>
        <v>21-2115</v>
      </c>
      <c r="H14486" t="str">
        <f>"A"</f>
        <v>A</v>
      </c>
    </row>
    <row r="14487" spans="1:8" x14ac:dyDescent="0.2">
      <c r="A14487" t="str">
        <f t="shared" si="5256"/>
        <v>0616156399</v>
      </c>
      <c r="B14487" t="str">
        <f t="shared" si="5257"/>
        <v>TOMMY</v>
      </c>
      <c r="C14487" t="str">
        <f t="shared" si="5255"/>
        <v>RIPEPI</v>
      </c>
      <c r="D14487" t="str">
        <f t="shared" si="5258"/>
        <v>09</v>
      </c>
      <c r="E14487" t="str">
        <f>"06 - B - 001 - Samantha J Headley"</f>
        <v>06 - B - 001 - Samantha J Headley</v>
      </c>
      <c r="F14487" t="str">
        <f>"MARINE SCI 1 HON"</f>
        <v>MARINE SCI 1 HON</v>
      </c>
      <c r="G14487" t="str">
        <f>"21-2134"</f>
        <v>21-2134</v>
      </c>
      <c r="H14487" t="str">
        <f>"B"</f>
        <v>B</v>
      </c>
    </row>
    <row r="14488" spans="1:8" x14ac:dyDescent="0.2">
      <c r="A14488" t="str">
        <f t="shared" si="5256"/>
        <v>0616156399</v>
      </c>
      <c r="B14488" t="str">
        <f t="shared" si="5257"/>
        <v>TOMMY</v>
      </c>
      <c r="C14488" t="str">
        <f t="shared" si="5255"/>
        <v>RIPEPI</v>
      </c>
      <c r="D14488" t="str">
        <f t="shared" si="5258"/>
        <v>09</v>
      </c>
      <c r="E14488" t="str">
        <f>"03 - A - 001 - Maried P Ramos"</f>
        <v>03 - A - 001 - Maried P Ramos</v>
      </c>
      <c r="F14488" t="str">
        <f>"PRE-AICE MATH 2 IG"</f>
        <v>PRE-AICE MATH 2 IG</v>
      </c>
      <c r="G14488" t="str">
        <f>"21-2159"</f>
        <v>21-2159</v>
      </c>
      <c r="H14488" t="str">
        <f>"A"</f>
        <v>A</v>
      </c>
    </row>
    <row r="14489" spans="1:8" x14ac:dyDescent="0.2">
      <c r="A14489" t="str">
        <f t="shared" si="5256"/>
        <v>0616156399</v>
      </c>
      <c r="B14489" t="str">
        <f t="shared" si="5257"/>
        <v>TOMMY</v>
      </c>
      <c r="C14489" t="str">
        <f t="shared" si="5255"/>
        <v>RIPEPI</v>
      </c>
      <c r="D14489" t="str">
        <f t="shared" si="5258"/>
        <v>09</v>
      </c>
      <c r="E14489" t="str">
        <f>"02 - A - 113 - Amy Beth  Broyles"</f>
        <v>02 - A - 113 - Amy Beth  Broyles</v>
      </c>
      <c r="F14489" t="str">
        <f>"NC STUDY HALL 1"</f>
        <v>NC STUDY HALL 1</v>
      </c>
      <c r="G14489" t="str">
        <f>"08-802"</f>
        <v>08-802</v>
      </c>
      <c r="H14489" t="str">
        <f>"A"</f>
        <v>A</v>
      </c>
    </row>
    <row r="14490" spans="1:8" x14ac:dyDescent="0.2">
      <c r="A14490" t="str">
        <f t="shared" si="5256"/>
        <v>0616156399</v>
      </c>
      <c r="B14490" t="str">
        <f t="shared" si="5257"/>
        <v>TOMMY</v>
      </c>
      <c r="C14490" t="str">
        <f t="shared" si="5255"/>
        <v>RIPEPI</v>
      </c>
      <c r="D14490" t="str">
        <f t="shared" si="5258"/>
        <v>09</v>
      </c>
      <c r="E14490" t="str">
        <f>"07 - B - 103 - Vanessa J Liburd"</f>
        <v>07 - B - 103 - Vanessa J Liburd</v>
      </c>
      <c r="F14490" t="str">
        <f>"PRE-AICE FRENCH 1 IG"</f>
        <v>PRE-AICE FRENCH 1 IG</v>
      </c>
      <c r="G14490" t="str">
        <f>"05-519"</f>
        <v>05-519</v>
      </c>
      <c r="H14490" t="str">
        <f>"B"</f>
        <v>B</v>
      </c>
    </row>
    <row r="14491" spans="1:8" x14ac:dyDescent="0.2">
      <c r="A14491" t="str">
        <f t="shared" si="5256"/>
        <v>0616156399</v>
      </c>
      <c r="B14491" t="str">
        <f t="shared" si="5257"/>
        <v>TOMMY</v>
      </c>
      <c r="C14491" t="str">
        <f t="shared" si="5255"/>
        <v>RIPEPI</v>
      </c>
      <c r="D14491" t="str">
        <f t="shared" si="5258"/>
        <v>09</v>
      </c>
      <c r="E14491" t="str">
        <f>"05 - B - 103 - Rory T Sponsler"</f>
        <v>05 - B - 103 - Rory T Sponsler</v>
      </c>
      <c r="F14491" t="str">
        <f>"PRE-AICE WRLD HST IG"</f>
        <v>PRE-AICE WRLD HST IG</v>
      </c>
      <c r="G14491" t="str">
        <f>"17-1740"</f>
        <v>17-1740</v>
      </c>
      <c r="H14491" t="str">
        <f>"B"</f>
        <v>B</v>
      </c>
    </row>
    <row r="14492" spans="1:8" x14ac:dyDescent="0.2">
      <c r="A14492" t="str">
        <f t="shared" si="5256"/>
        <v>0616156399</v>
      </c>
      <c r="B14492" t="str">
        <f t="shared" si="5257"/>
        <v>TOMMY</v>
      </c>
      <c r="C14492" t="str">
        <f t="shared" si="5255"/>
        <v>RIPEPI</v>
      </c>
      <c r="D14492" t="str">
        <f t="shared" si="5258"/>
        <v>09</v>
      </c>
      <c r="E14492" t="str">
        <f>"01 - A - 101 - Elizabeth R Walker"</f>
        <v>01 - A - 101 - Elizabeth R Walker</v>
      </c>
      <c r="F14492" t="str">
        <f>"AICE ENG GEN PAPER 1"</f>
        <v>AICE ENG GEN PAPER 1</v>
      </c>
      <c r="G14492" t="str">
        <f>"17-1703"</f>
        <v>17-1703</v>
      </c>
      <c r="H14492" t="str">
        <f>"A"</f>
        <v>A</v>
      </c>
    </row>
    <row r="14493" spans="1:8" x14ac:dyDescent="0.2">
      <c r="A14493" t="str">
        <f t="shared" si="5256"/>
        <v>0616156399</v>
      </c>
      <c r="B14493" t="str">
        <f t="shared" si="5257"/>
        <v>TOMMY</v>
      </c>
      <c r="C14493" t="str">
        <f t="shared" si="5255"/>
        <v>RIPEPI</v>
      </c>
      <c r="D14493" t="str">
        <f t="shared" si="5258"/>
        <v>09</v>
      </c>
      <c r="E14493" t="str">
        <f>"08 - B - 001 - Brian M Fitzgerald"</f>
        <v>08 - B - 001 - Brian M Fitzgerald</v>
      </c>
      <c r="F14493" t="str">
        <f>"CERAM/POT 1"</f>
        <v>CERAM/POT 1</v>
      </c>
      <c r="G14493" t="str">
        <f>"09-908"</f>
        <v>09-908</v>
      </c>
      <c r="H14493" t="str">
        <f>"B"</f>
        <v>B</v>
      </c>
    </row>
    <row r="14494" spans="1:8" x14ac:dyDescent="0.2">
      <c r="A14494" t="str">
        <f t="shared" ref="A14494:A14501" si="5259">"0615032055"</f>
        <v>0615032055</v>
      </c>
      <c r="B14494" t="str">
        <f t="shared" ref="B14494:B14501" si="5260">"MYCAH"</f>
        <v>MYCAH</v>
      </c>
      <c r="C14494" t="str">
        <f t="shared" ref="C14494:C14501" si="5261">"RITCHEY"</f>
        <v>RITCHEY</v>
      </c>
      <c r="D14494">
        <f>11</f>
        <v>11</v>
      </c>
      <c r="E14494" t="str">
        <f>"04 - A - 101 - Pamela M Corzo"</f>
        <v>04 - A - 101 - Pamela M Corzo</v>
      </c>
      <c r="F14494" t="str">
        <f>"CALCULUS HON"</f>
        <v>CALCULUS HON</v>
      </c>
      <c r="G14494" t="str">
        <f>"21-2133"</f>
        <v>21-2133</v>
      </c>
      <c r="H14494" t="str">
        <f>"A"</f>
        <v>A</v>
      </c>
    </row>
    <row r="14495" spans="1:8" x14ac:dyDescent="0.2">
      <c r="A14495" t="str">
        <f t="shared" si="5259"/>
        <v>0615032055</v>
      </c>
      <c r="B14495" t="str">
        <f t="shared" si="5260"/>
        <v>MYCAH</v>
      </c>
      <c r="C14495" t="str">
        <f t="shared" si="5261"/>
        <v>RITCHEY</v>
      </c>
      <c r="D14495">
        <f>11</f>
        <v>11</v>
      </c>
      <c r="E14495" t="str">
        <f>"06 - B - 104 - Brandy N Zdenek"</f>
        <v>06 - B - 104 - Brandy N Zdenek</v>
      </c>
      <c r="F14495" t="str">
        <f>"AICE ENG LANG 2 AL"</f>
        <v>AICE ENG LANG 2 AL</v>
      </c>
      <c r="G14495" t="str">
        <f>"17-1704"</f>
        <v>17-1704</v>
      </c>
      <c r="H14495" t="str">
        <f>"B"</f>
        <v>B</v>
      </c>
    </row>
    <row r="14496" spans="1:8" x14ac:dyDescent="0.2">
      <c r="A14496" t="str">
        <f t="shared" si="5259"/>
        <v>0615032055</v>
      </c>
      <c r="B14496" t="str">
        <f t="shared" si="5260"/>
        <v>MYCAH</v>
      </c>
      <c r="C14496" t="str">
        <f t="shared" si="5261"/>
        <v>RITCHEY</v>
      </c>
      <c r="D14496">
        <f>11</f>
        <v>11</v>
      </c>
      <c r="E14496" t="str">
        <f>"03 - A - 202 - Jeanne M Bermudez"</f>
        <v>03 - A - 202 - Jeanne M Bermudez</v>
      </c>
      <c r="F14496" t="str">
        <f>"PHYSICS 1 HON"</f>
        <v>PHYSICS 1 HON</v>
      </c>
      <c r="G14496" t="str">
        <f>"21-2141"</f>
        <v>21-2141</v>
      </c>
      <c r="H14496" t="str">
        <f>"A"</f>
        <v>A</v>
      </c>
    </row>
    <row r="14497" spans="1:8" x14ac:dyDescent="0.2">
      <c r="A14497" t="str">
        <f t="shared" si="5259"/>
        <v>0615032055</v>
      </c>
      <c r="B14497" t="str">
        <f t="shared" si="5260"/>
        <v>MYCAH</v>
      </c>
      <c r="C14497" t="str">
        <f t="shared" si="5261"/>
        <v>RITCHEY</v>
      </c>
      <c r="D14497">
        <f>11</f>
        <v>11</v>
      </c>
      <c r="E14497" t="str">
        <f>"02 - A - 105 - Leslie J Barton"</f>
        <v>02 - A - 105 - Leslie J Barton</v>
      </c>
      <c r="F14497" t="str">
        <f>"NC STUDY HALL 1"</f>
        <v>NC STUDY HALL 1</v>
      </c>
      <c r="G14497" t="str">
        <f>"05-521"</f>
        <v>05-521</v>
      </c>
      <c r="H14497" t="str">
        <f>"A"</f>
        <v>A</v>
      </c>
    </row>
    <row r="14498" spans="1:8" x14ac:dyDescent="0.2">
      <c r="A14498" t="str">
        <f t="shared" si="5259"/>
        <v>0615032055</v>
      </c>
      <c r="B14498" t="str">
        <f t="shared" si="5260"/>
        <v>MYCAH</v>
      </c>
      <c r="C14498" t="str">
        <f t="shared" si="5261"/>
        <v>RITCHEY</v>
      </c>
      <c r="D14498">
        <f>11</f>
        <v>11</v>
      </c>
      <c r="E14498" t="str">
        <f>"07 - B - 204 - Stefanie S Scher"</f>
        <v>07 - B - 204 - Stefanie S Scher</v>
      </c>
      <c r="F14498" t="str">
        <f>"AP PSYCH"</f>
        <v>AP PSYCH</v>
      </c>
      <c r="G14498" t="str">
        <f>"17-1735"</f>
        <v>17-1735</v>
      </c>
      <c r="H14498" t="str">
        <f>"B"</f>
        <v>B</v>
      </c>
    </row>
    <row r="14499" spans="1:8" x14ac:dyDescent="0.2">
      <c r="A14499" t="str">
        <f t="shared" si="5259"/>
        <v>0615032055</v>
      </c>
      <c r="B14499" t="str">
        <f t="shared" si="5260"/>
        <v>MYCAH</v>
      </c>
      <c r="C14499" t="str">
        <f t="shared" si="5261"/>
        <v>RITCHEY</v>
      </c>
      <c r="D14499">
        <f>11</f>
        <v>11</v>
      </c>
      <c r="E14499" t="str">
        <f>"05 - B - 001 - Kyle  Robbins"</f>
        <v>05 - B - 001 - Kyle  Robbins</v>
      </c>
      <c r="F14499" t="str">
        <f>"US HISTORY HON"</f>
        <v>US HISTORY HON</v>
      </c>
      <c r="G14499" t="str">
        <f>"17-1745"</f>
        <v>17-1745</v>
      </c>
      <c r="H14499" t="str">
        <f>"B"</f>
        <v>B</v>
      </c>
    </row>
    <row r="14500" spans="1:8" x14ac:dyDescent="0.2">
      <c r="A14500" t="str">
        <f t="shared" si="5259"/>
        <v>0615032055</v>
      </c>
      <c r="B14500" t="str">
        <f t="shared" si="5260"/>
        <v>MYCAH</v>
      </c>
      <c r="C14500" t="str">
        <f t="shared" si="5261"/>
        <v>RITCHEY</v>
      </c>
      <c r="D14500">
        <f>11</f>
        <v>11</v>
      </c>
      <c r="E14500" t="str">
        <f>"01 - A - 101 - Lisa J London"</f>
        <v>01 - A - 101 - Lisa J London</v>
      </c>
      <c r="F14500" t="str">
        <f>"AP CAPSTONE SEMINAR"</f>
        <v>AP CAPSTONE SEMINAR</v>
      </c>
      <c r="G14500" t="str">
        <f>"17-1714"</f>
        <v>17-1714</v>
      </c>
      <c r="H14500" t="str">
        <f>"A"</f>
        <v>A</v>
      </c>
    </row>
    <row r="14501" spans="1:8" x14ac:dyDescent="0.2">
      <c r="A14501" t="str">
        <f t="shared" si="5259"/>
        <v>0615032055</v>
      </c>
      <c r="B14501" t="str">
        <f t="shared" si="5260"/>
        <v>MYCAH</v>
      </c>
      <c r="C14501" t="str">
        <f t="shared" si="5261"/>
        <v>RITCHEY</v>
      </c>
      <c r="D14501">
        <f>11</f>
        <v>11</v>
      </c>
      <c r="E14501" t="str">
        <f>"08 - B - 101 - Jordana K Hass"</f>
        <v>08 - B - 101 - Jordana K Hass</v>
      </c>
      <c r="F14501" t="str">
        <f>"AICE INFO TECH 1 AS"</f>
        <v>AICE INFO TECH 1 AS</v>
      </c>
      <c r="G14501" t="str">
        <f>"08-807"</f>
        <v>08-807</v>
      </c>
      <c r="H14501" t="str">
        <f>"B"</f>
        <v>B</v>
      </c>
    </row>
    <row r="14502" spans="1:8" x14ac:dyDescent="0.2">
      <c r="A14502" t="str">
        <f t="shared" ref="A14502:A14509" si="5262">"0624091863"</f>
        <v>0624091863</v>
      </c>
      <c r="B14502" t="str">
        <f t="shared" ref="B14502:B14509" si="5263">"MADDOXX"</f>
        <v>MADDOXX</v>
      </c>
      <c r="C14502" t="str">
        <f t="shared" ref="C14502:C14509" si="5264">"RITCHIE"</f>
        <v>RITCHIE</v>
      </c>
      <c r="D14502" t="str">
        <f t="shared" ref="D14502:D14509" si="5265">"09"</f>
        <v>09</v>
      </c>
      <c r="E14502" t="str">
        <f>"04 - A - 106 - Lissa C Frederique"</f>
        <v>04 - A - 106 - Lissa C Frederique</v>
      </c>
      <c r="F14502" t="str">
        <f>"WORLD HISTORY"</f>
        <v>WORLD HISTORY</v>
      </c>
      <c r="G14502" t="str">
        <f>"17-1754"</f>
        <v>17-1754</v>
      </c>
      <c r="H14502" t="str">
        <f>"A"</f>
        <v>A</v>
      </c>
    </row>
    <row r="14503" spans="1:8" x14ac:dyDescent="0.2">
      <c r="A14503" t="str">
        <f t="shared" si="5262"/>
        <v>0624091863</v>
      </c>
      <c r="B14503" t="str">
        <f t="shared" si="5263"/>
        <v>MADDOXX</v>
      </c>
      <c r="C14503" t="str">
        <f t="shared" si="5264"/>
        <v>RITCHIE</v>
      </c>
      <c r="D14503" t="str">
        <f t="shared" si="5265"/>
        <v>09</v>
      </c>
      <c r="E14503" t="str">
        <f>"06 - B - 105 - Tina L Lovett"</f>
        <v>06 - B - 105 - Tina L Lovett</v>
      </c>
      <c r="F14503" t="str">
        <f>"FDN SKLS MATH 9-12"</f>
        <v>FDN SKLS MATH 9-12</v>
      </c>
      <c r="G14503" t="str">
        <f>"21-2153"</f>
        <v>21-2153</v>
      </c>
      <c r="H14503" t="str">
        <f>"B"</f>
        <v>B</v>
      </c>
    </row>
    <row r="14504" spans="1:8" x14ac:dyDescent="0.2">
      <c r="A14504" t="str">
        <f t="shared" si="5262"/>
        <v>0624091863</v>
      </c>
      <c r="B14504" t="str">
        <f t="shared" si="5263"/>
        <v>MADDOXX</v>
      </c>
      <c r="C14504" t="str">
        <f t="shared" si="5264"/>
        <v>RITCHIE</v>
      </c>
      <c r="D14504" t="str">
        <f t="shared" si="5265"/>
        <v>09</v>
      </c>
      <c r="E14504" t="str">
        <f>"03 - A - 105 - Cheryl Anne  Berman-Schechter"</f>
        <v>03 - A - 105 - Cheryl Anne  Berman-Schechter</v>
      </c>
      <c r="F14504" t="str">
        <f>"ENG 1"</f>
        <v>ENG 1</v>
      </c>
      <c r="G14504" t="str">
        <f>"17-1722"</f>
        <v>17-1722</v>
      </c>
      <c r="H14504" t="str">
        <f>"A"</f>
        <v>A</v>
      </c>
    </row>
    <row r="14505" spans="1:8" x14ac:dyDescent="0.2">
      <c r="A14505" t="str">
        <f t="shared" si="5262"/>
        <v>0624091863</v>
      </c>
      <c r="B14505" t="str">
        <f t="shared" si="5263"/>
        <v>MADDOXX</v>
      </c>
      <c r="C14505" t="str">
        <f t="shared" si="5264"/>
        <v>RITCHIE</v>
      </c>
      <c r="D14505" t="str">
        <f t="shared" si="5265"/>
        <v>09</v>
      </c>
      <c r="E14505" t="str">
        <f>"02 - A - 104 - Lytrell T Dixon"</f>
        <v>02 - A - 104 - Lytrell T Dixon</v>
      </c>
      <c r="F14505" t="str">
        <f>"NC STUDY HALL 1"</f>
        <v>NC STUDY HALL 1</v>
      </c>
      <c r="G14505" t="str">
        <f>"08-808"</f>
        <v>08-808</v>
      </c>
      <c r="H14505" t="str">
        <f>"A"</f>
        <v>A</v>
      </c>
    </row>
    <row r="14506" spans="1:8" x14ac:dyDescent="0.2">
      <c r="A14506" t="str">
        <f t="shared" si="5262"/>
        <v>0624091863</v>
      </c>
      <c r="B14506" t="str">
        <f t="shared" si="5263"/>
        <v>MADDOXX</v>
      </c>
      <c r="C14506" t="str">
        <f t="shared" si="5264"/>
        <v>RITCHIE</v>
      </c>
      <c r="D14506" t="str">
        <f t="shared" si="5265"/>
        <v>09</v>
      </c>
      <c r="E14506" t="str">
        <f>"07 - B - 003 - Samantha J Headley"</f>
        <v>07 - B - 003 - Samantha J Headley</v>
      </c>
      <c r="F14506" t="str">
        <f>"ENV SCI"</f>
        <v>ENV SCI</v>
      </c>
      <c r="G14506" t="str">
        <f>"08-802"</f>
        <v>08-802</v>
      </c>
      <c r="H14506" t="str">
        <f>"B"</f>
        <v>B</v>
      </c>
    </row>
    <row r="14507" spans="1:8" x14ac:dyDescent="0.2">
      <c r="A14507" t="str">
        <f t="shared" si="5262"/>
        <v>0624091863</v>
      </c>
      <c r="B14507" t="str">
        <f t="shared" si="5263"/>
        <v>MADDOXX</v>
      </c>
      <c r="C14507" t="str">
        <f t="shared" si="5264"/>
        <v>RITCHIE</v>
      </c>
      <c r="D14507" t="str">
        <f t="shared" si="5265"/>
        <v>09</v>
      </c>
      <c r="E14507" t="str">
        <f>"05 - B - 201 - Jazmin S Fletcher"</f>
        <v>05 - B - 201 - Jazmin S Fletcher</v>
      </c>
      <c r="F14507" t="str">
        <f>"THEATRE 1"</f>
        <v>THEATRE 1</v>
      </c>
      <c r="G14507" t="str">
        <f>"09-909"</f>
        <v>09-909</v>
      </c>
      <c r="H14507" t="str">
        <f>"B"</f>
        <v>B</v>
      </c>
    </row>
    <row r="14508" spans="1:8" x14ac:dyDescent="0.2">
      <c r="A14508" t="str">
        <f t="shared" si="5262"/>
        <v>0624091863</v>
      </c>
      <c r="B14508" t="str">
        <f t="shared" si="5263"/>
        <v>MADDOXX</v>
      </c>
      <c r="C14508" t="str">
        <f t="shared" si="5264"/>
        <v>RITCHIE</v>
      </c>
      <c r="D14508" t="str">
        <f t="shared" si="5265"/>
        <v>09</v>
      </c>
      <c r="E14508" t="str">
        <f>"01 - A - 101 - Tina L Lovett"</f>
        <v>01 - A - 101 - Tina L Lovett</v>
      </c>
      <c r="F14508" t="str">
        <f>"ALGEBRA 1"</f>
        <v>ALGEBRA 1</v>
      </c>
      <c r="G14508" t="str">
        <f>"21-2153"</f>
        <v>21-2153</v>
      </c>
      <c r="H14508" t="str">
        <f>"A"</f>
        <v>A</v>
      </c>
    </row>
    <row r="14509" spans="1:8" x14ac:dyDescent="0.2">
      <c r="A14509" t="str">
        <f t="shared" si="5262"/>
        <v>0624091863</v>
      </c>
      <c r="B14509" t="str">
        <f t="shared" si="5263"/>
        <v>MADDOXX</v>
      </c>
      <c r="C14509" t="str">
        <f t="shared" si="5264"/>
        <v>RITCHIE</v>
      </c>
      <c r="D14509" t="str">
        <f t="shared" si="5265"/>
        <v>09</v>
      </c>
      <c r="E14509" t="str">
        <f>"08 - B - 106 - Laselleda D Shaw"</f>
        <v>08 - B - 106 - Laselleda D Shaw</v>
      </c>
      <c r="F14509" t="str">
        <f>"INTENS READ 1"</f>
        <v>INTENS READ 1</v>
      </c>
      <c r="G14509" t="str">
        <f>"17-1723"</f>
        <v>17-1723</v>
      </c>
      <c r="H14509" t="str">
        <f>"B"</f>
        <v>B</v>
      </c>
    </row>
    <row r="14510" spans="1:8" x14ac:dyDescent="0.2">
      <c r="A14510" t="str">
        <f t="shared" ref="A14510:A14518" si="5266">"0621072198"</f>
        <v>0621072198</v>
      </c>
      <c r="B14510" t="str">
        <f t="shared" ref="B14510:B14518" si="5267">"ISAIAH"</f>
        <v>ISAIAH</v>
      </c>
      <c r="C14510" t="str">
        <f t="shared" ref="C14510:C14518" si="5268">"RIVAS"</f>
        <v>RIVAS</v>
      </c>
      <c r="D14510">
        <f>11</f>
        <v>11</v>
      </c>
      <c r="E14510" t="str">
        <f>"04 - S1 - A - 101 - Kyle  Robbins"</f>
        <v>04 - S1 - A - 101 - Kyle  Robbins</v>
      </c>
      <c r="F14510" t="str">
        <f>"PERS FIN &amp; MON MGT H"</f>
        <v>PERS FIN &amp; MON MGT H</v>
      </c>
      <c r="G14510" t="str">
        <f>"17-1745"</f>
        <v>17-1745</v>
      </c>
      <c r="H14510" t="str">
        <f>"A"</f>
        <v>A</v>
      </c>
    </row>
    <row r="14511" spans="1:8" x14ac:dyDescent="0.2">
      <c r="A14511" t="str">
        <f t="shared" si="5266"/>
        <v>0621072198</v>
      </c>
      <c r="B14511" t="str">
        <f t="shared" si="5267"/>
        <v>ISAIAH</v>
      </c>
      <c r="C14511" t="str">
        <f t="shared" si="5268"/>
        <v>RIVAS</v>
      </c>
      <c r="D14511">
        <f>11</f>
        <v>11</v>
      </c>
      <c r="E14511" t="str">
        <f>"06 - B - 202 - Brian M Fitzgerald"</f>
        <v>06 - B - 202 - Brian M Fitzgerald</v>
      </c>
      <c r="F14511" t="str">
        <f>"DRAW 1"</f>
        <v>DRAW 1</v>
      </c>
      <c r="G14511" t="str">
        <f>"09-908"</f>
        <v>09-908</v>
      </c>
      <c r="H14511" t="str">
        <f>"B"</f>
        <v>B</v>
      </c>
    </row>
    <row r="14512" spans="1:8" x14ac:dyDescent="0.2">
      <c r="A14512" t="str">
        <f t="shared" si="5266"/>
        <v>0621072198</v>
      </c>
      <c r="B14512" t="str">
        <f t="shared" si="5267"/>
        <v>ISAIAH</v>
      </c>
      <c r="C14512" t="str">
        <f t="shared" si="5268"/>
        <v>RIVAS</v>
      </c>
      <c r="D14512">
        <f>11</f>
        <v>11</v>
      </c>
      <c r="E14512" t="str">
        <f>"03 - A - 102 - Lisa  Quinn"</f>
        <v>03 - A - 102 - Lisa  Quinn</v>
      </c>
      <c r="F14512" t="str">
        <f>"ENG 3"</f>
        <v>ENG 3</v>
      </c>
      <c r="G14512" t="str">
        <f>"17-1725"</f>
        <v>17-1725</v>
      </c>
      <c r="H14512" t="str">
        <f>"A"</f>
        <v>A</v>
      </c>
    </row>
    <row r="14513" spans="1:8" x14ac:dyDescent="0.2">
      <c r="A14513" t="str">
        <f t="shared" si="5266"/>
        <v>0621072198</v>
      </c>
      <c r="B14513" t="str">
        <f t="shared" si="5267"/>
        <v>ISAIAH</v>
      </c>
      <c r="C14513" t="str">
        <f t="shared" si="5268"/>
        <v>RIVAS</v>
      </c>
      <c r="D14513">
        <f>11</f>
        <v>11</v>
      </c>
      <c r="E14513" t="str">
        <f>"02 - A - 106 - Heidi M Knopp"</f>
        <v>02 - A - 106 - Heidi M Knopp</v>
      </c>
      <c r="F14513" t="str">
        <f>"NC STUDY HALL 1"</f>
        <v>NC STUDY HALL 1</v>
      </c>
      <c r="G14513" t="str">
        <f>"17-1735"</f>
        <v>17-1735</v>
      </c>
      <c r="H14513" t="str">
        <f>"A"</f>
        <v>A</v>
      </c>
    </row>
    <row r="14514" spans="1:8" x14ac:dyDescent="0.2">
      <c r="A14514" t="str">
        <f t="shared" si="5266"/>
        <v>0621072198</v>
      </c>
      <c r="B14514" t="str">
        <f t="shared" si="5267"/>
        <v>ISAIAH</v>
      </c>
      <c r="C14514" t="str">
        <f t="shared" si="5268"/>
        <v>RIVAS</v>
      </c>
      <c r="D14514">
        <f>11</f>
        <v>11</v>
      </c>
      <c r="E14514" t="str">
        <f>"07 - B - 105 - Cliffon  Saurel"</f>
        <v>07 - B - 105 - Cliffon  Saurel</v>
      </c>
      <c r="F14514" t="str">
        <f>"PHYSICAL SCI"</f>
        <v>PHYSICAL SCI</v>
      </c>
      <c r="G14514" t="str">
        <f>"05-522"</f>
        <v>05-522</v>
      </c>
      <c r="H14514" t="str">
        <f>"B"</f>
        <v>B</v>
      </c>
    </row>
    <row r="14515" spans="1:8" x14ac:dyDescent="0.2">
      <c r="A14515" t="str">
        <f t="shared" si="5266"/>
        <v>0621072198</v>
      </c>
      <c r="B14515" t="str">
        <f t="shared" si="5267"/>
        <v>ISAIAH</v>
      </c>
      <c r="C14515" t="str">
        <f t="shared" si="5268"/>
        <v>RIVAS</v>
      </c>
      <c r="D14515">
        <f>11</f>
        <v>11</v>
      </c>
      <c r="E14515" t="str">
        <f>"05 - B - 106 - Milca  Exantus"</f>
        <v>05 - B - 106 - Milca  Exantus</v>
      </c>
      <c r="F14515" t="str">
        <f>"MATH COLLEGE LIB ART"</f>
        <v>MATH COLLEGE LIB ART</v>
      </c>
      <c r="G14515" t="str">
        <f>"21-2145"</f>
        <v>21-2145</v>
      </c>
      <c r="H14515" t="str">
        <f>"B"</f>
        <v>B</v>
      </c>
    </row>
    <row r="14516" spans="1:8" x14ac:dyDescent="0.2">
      <c r="A14516" t="str">
        <f t="shared" si="5266"/>
        <v>0621072198</v>
      </c>
      <c r="B14516" t="str">
        <f t="shared" si="5267"/>
        <v>ISAIAH</v>
      </c>
      <c r="C14516" t="str">
        <f t="shared" si="5268"/>
        <v>RIVAS</v>
      </c>
      <c r="D14516">
        <f>11</f>
        <v>11</v>
      </c>
      <c r="E14516" t="str">
        <f>"01 - A - 101 - Kyle  Robbins"</f>
        <v>01 - A - 101 - Kyle  Robbins</v>
      </c>
      <c r="F14516" t="str">
        <f>"US HISTORY"</f>
        <v>US HISTORY</v>
      </c>
      <c r="G14516" t="str">
        <f>"17-1745"</f>
        <v>17-1745</v>
      </c>
      <c r="H14516" t="str">
        <f>"A"</f>
        <v>A</v>
      </c>
    </row>
    <row r="14517" spans="1:8" x14ac:dyDescent="0.2">
      <c r="A14517" t="str">
        <f t="shared" si="5266"/>
        <v>0621072198</v>
      </c>
      <c r="B14517" t="str">
        <f t="shared" si="5267"/>
        <v>ISAIAH</v>
      </c>
      <c r="C14517" t="str">
        <f t="shared" si="5268"/>
        <v>RIVAS</v>
      </c>
      <c r="D14517">
        <f>11</f>
        <v>11</v>
      </c>
      <c r="E14517" t="str">
        <f>"08 - B - 118 - Karen A Toomer"</f>
        <v>08 - B - 118 - Karen A Toomer</v>
      </c>
      <c r="F14517" t="str">
        <f>"LANG THERAPY"</f>
        <v>LANG THERAPY</v>
      </c>
      <c r="G14517" t="str">
        <f>"21-2110"</f>
        <v>21-2110</v>
      </c>
      <c r="H14517" t="str">
        <f>"B"</f>
        <v>B</v>
      </c>
    </row>
    <row r="14518" spans="1:8" x14ac:dyDescent="0.2">
      <c r="A14518" t="str">
        <f t="shared" si="5266"/>
        <v>0621072198</v>
      </c>
      <c r="B14518" t="str">
        <f t="shared" si="5267"/>
        <v>ISAIAH</v>
      </c>
      <c r="C14518" t="str">
        <f t="shared" si="5268"/>
        <v>RIVAS</v>
      </c>
      <c r="D14518">
        <f>11</f>
        <v>11</v>
      </c>
      <c r="E14518" t="str">
        <f>"08 - B - 202 - Dorothy D Moore"</f>
        <v>08 - B - 202 - Dorothy D Moore</v>
      </c>
      <c r="F14518" t="str">
        <f>"HEALTH SCI 1/A&amp;P HON"</f>
        <v>HEALTH SCI 1/A&amp;P HON</v>
      </c>
      <c r="G14518" t="str">
        <f>"08-803"</f>
        <v>08-803</v>
      </c>
      <c r="H14518" t="str">
        <f>"B"</f>
        <v>B</v>
      </c>
    </row>
    <row r="14519" spans="1:8" x14ac:dyDescent="0.2">
      <c r="A14519" t="str">
        <f t="shared" ref="A14519:A14526" si="5269">"0614039194"</f>
        <v>0614039194</v>
      </c>
      <c r="B14519" t="str">
        <f t="shared" ref="B14519:B14526" si="5270">"ALEXIS"</f>
        <v>ALEXIS</v>
      </c>
      <c r="C14519" t="str">
        <f t="shared" ref="C14519:C14542" si="5271">"RIVERA"</f>
        <v>RIVERA</v>
      </c>
      <c r="D14519">
        <f>12</f>
        <v>12</v>
      </c>
      <c r="E14519" t="str">
        <f>"04 - A - 101 - Alejandro  Navarro"</f>
        <v>04 - A - 101 - Alejandro  Navarro</v>
      </c>
      <c r="F14519" t="str">
        <f>"BAND 5 HON"</f>
        <v>BAND 5 HON</v>
      </c>
      <c r="G14519" t="str">
        <f>"05-504"</f>
        <v>05-504</v>
      </c>
      <c r="H14519" t="str">
        <f>"A"</f>
        <v>A</v>
      </c>
    </row>
    <row r="14520" spans="1:8" x14ac:dyDescent="0.2">
      <c r="A14520" t="str">
        <f t="shared" si="5269"/>
        <v>0614039194</v>
      </c>
      <c r="B14520" t="str">
        <f t="shared" si="5270"/>
        <v>ALEXIS</v>
      </c>
      <c r="C14520" t="str">
        <f t="shared" si="5271"/>
        <v>RIVERA</v>
      </c>
      <c r="D14520">
        <f>12</f>
        <v>12</v>
      </c>
      <c r="E14520" t="str">
        <f>"06 - B - 101 - Cliffon  Saurel"</f>
        <v>06 - B - 101 - Cliffon  Saurel</v>
      </c>
      <c r="F14520" t="str">
        <f>"NC STUDY HALL 1"</f>
        <v>NC STUDY HALL 1</v>
      </c>
      <c r="G14520" t="str">
        <f>"05-522"</f>
        <v>05-522</v>
      </c>
      <c r="H14520" t="str">
        <f>"B"</f>
        <v>B</v>
      </c>
    </row>
    <row r="14521" spans="1:8" x14ac:dyDescent="0.2">
      <c r="A14521" t="str">
        <f t="shared" si="5269"/>
        <v>0614039194</v>
      </c>
      <c r="B14521" t="str">
        <f t="shared" si="5270"/>
        <v>ALEXIS</v>
      </c>
      <c r="C14521" t="str">
        <f t="shared" si="5271"/>
        <v>RIVERA</v>
      </c>
      <c r="D14521">
        <f>12</f>
        <v>12</v>
      </c>
      <c r="E14521" t="str">
        <f>"03 - S1 - A - 102 - Leslie J Barton"</f>
        <v>03 - S1 - A - 102 - Leslie J Barton</v>
      </c>
      <c r="F14521" t="str">
        <f>"FIRST AID SAFETY"</f>
        <v>FIRST AID SAFETY</v>
      </c>
      <c r="G14521" t="str">
        <f>"05-521"</f>
        <v>05-521</v>
      </c>
      <c r="H14521" t="str">
        <f>"A"</f>
        <v>A</v>
      </c>
    </row>
    <row r="14522" spans="1:8" x14ac:dyDescent="0.2">
      <c r="A14522" t="str">
        <f t="shared" si="5269"/>
        <v>0614039194</v>
      </c>
      <c r="B14522" t="str">
        <f t="shared" si="5270"/>
        <v>ALEXIS</v>
      </c>
      <c r="C14522" t="str">
        <f t="shared" si="5271"/>
        <v>RIVERA</v>
      </c>
      <c r="D14522">
        <f>12</f>
        <v>12</v>
      </c>
      <c r="E14522" t="str">
        <f>"02 - A - 102 - Jeffrey S Gallagher"</f>
        <v>02 - A - 102 - Jeffrey S Gallagher</v>
      </c>
      <c r="F14522" t="str">
        <f>"ENG HON 4"</f>
        <v>ENG HON 4</v>
      </c>
      <c r="G14522" t="str">
        <f>"17-1724"</f>
        <v>17-1724</v>
      </c>
      <c r="H14522" t="str">
        <f>"A"</f>
        <v>A</v>
      </c>
    </row>
    <row r="14523" spans="1:8" x14ac:dyDescent="0.2">
      <c r="A14523" t="str">
        <f t="shared" si="5269"/>
        <v>0614039194</v>
      </c>
      <c r="B14523" t="str">
        <f t="shared" si="5270"/>
        <v>ALEXIS</v>
      </c>
      <c r="C14523" t="str">
        <f t="shared" si="5271"/>
        <v>RIVERA</v>
      </c>
      <c r="D14523">
        <f>12</f>
        <v>12</v>
      </c>
      <c r="E14523" t="str">
        <f>"07 - B - 105 - Robert H Rindner"</f>
        <v>07 - B - 105 - Robert H Rindner</v>
      </c>
      <c r="F14523" t="str">
        <f>"MATH DATA&amp;FIN LIT H"</f>
        <v>MATH DATA&amp;FIN LIT H</v>
      </c>
      <c r="G14523" t="str">
        <f>"21-2160"</f>
        <v>21-2160</v>
      </c>
      <c r="H14523" t="str">
        <f>"B"</f>
        <v>B</v>
      </c>
    </row>
    <row r="14524" spans="1:8" x14ac:dyDescent="0.2">
      <c r="A14524" t="str">
        <f t="shared" si="5269"/>
        <v>0614039194</v>
      </c>
      <c r="B14524" t="str">
        <f t="shared" si="5270"/>
        <v>ALEXIS</v>
      </c>
      <c r="C14524" t="str">
        <f t="shared" si="5271"/>
        <v>RIVERA</v>
      </c>
      <c r="D14524">
        <f>12</f>
        <v>12</v>
      </c>
      <c r="E14524" t="str">
        <f>"05 - S1 - B - 102 - Barbara L Segal"</f>
        <v>05 - S1 - B - 102 - Barbara L Segal</v>
      </c>
      <c r="F14524" t="str">
        <f>"US GOVT HON"</f>
        <v>US GOVT HON</v>
      </c>
      <c r="G14524" t="str">
        <f>"17-1742"</f>
        <v>17-1742</v>
      </c>
      <c r="H14524" t="str">
        <f>"B"</f>
        <v>B</v>
      </c>
    </row>
    <row r="14525" spans="1:8" x14ac:dyDescent="0.2">
      <c r="A14525" t="str">
        <f t="shared" si="5269"/>
        <v>0614039194</v>
      </c>
      <c r="B14525" t="str">
        <f t="shared" si="5270"/>
        <v>ALEXIS</v>
      </c>
      <c r="C14525" t="str">
        <f t="shared" si="5271"/>
        <v>RIVERA</v>
      </c>
      <c r="D14525">
        <f>12</f>
        <v>12</v>
      </c>
      <c r="E14525" t="str">
        <f>"01 - A - 201 - Jeanne M Bermudez"</f>
        <v>01 - A - 201 - Jeanne M Bermudez</v>
      </c>
      <c r="F14525" t="str">
        <f>"PHYSICS 1 HON"</f>
        <v>PHYSICS 1 HON</v>
      </c>
      <c r="G14525" t="str">
        <f>"21-2141"</f>
        <v>21-2141</v>
      </c>
      <c r="H14525" t="str">
        <f>"A"</f>
        <v>A</v>
      </c>
    </row>
    <row r="14526" spans="1:8" x14ac:dyDescent="0.2">
      <c r="A14526" t="str">
        <f t="shared" si="5269"/>
        <v>0614039194</v>
      </c>
      <c r="B14526" t="str">
        <f t="shared" si="5270"/>
        <v>ALEXIS</v>
      </c>
      <c r="C14526" t="str">
        <f t="shared" si="5271"/>
        <v>RIVERA</v>
      </c>
      <c r="D14526">
        <f>12</f>
        <v>12</v>
      </c>
      <c r="E14526" t="str">
        <f>"08 - B - 103 - Joe  Kilpatrick Jr"</f>
        <v>08 - B - 103 - Joe  Kilpatrick Jr</v>
      </c>
      <c r="F14526" t="str">
        <f>"PRE-AICE SPAN 2 IG"</f>
        <v>PRE-AICE SPAN 2 IG</v>
      </c>
      <c r="G14526" t="str">
        <f>"09-912"</f>
        <v>09-912</v>
      </c>
      <c r="H14526" t="str">
        <f>"B"</f>
        <v>B</v>
      </c>
    </row>
    <row r="14527" spans="1:8" x14ac:dyDescent="0.2">
      <c r="A14527" t="str">
        <f t="shared" ref="A14527:A14534" si="5272">"0616106973"</f>
        <v>0616106973</v>
      </c>
      <c r="B14527" t="str">
        <f t="shared" ref="B14527:B14534" si="5273">"KARLYANIZ"</f>
        <v>KARLYANIZ</v>
      </c>
      <c r="C14527" t="str">
        <f t="shared" si="5271"/>
        <v>RIVERA</v>
      </c>
      <c r="D14527" t="str">
        <f t="shared" ref="D14527:D14534" si="5274">"09"</f>
        <v>09</v>
      </c>
      <c r="E14527" t="str">
        <f>"04 - A - 106 - Ferrie J Arostique"</f>
        <v>04 - A - 106 - Ferrie J Arostique</v>
      </c>
      <c r="F14527" t="str">
        <f>"PRE-AICE MATH 2 IG"</f>
        <v>PRE-AICE MATH 2 IG</v>
      </c>
      <c r="G14527" t="str">
        <f>"21-2139"</f>
        <v>21-2139</v>
      </c>
      <c r="H14527" t="str">
        <f>"A"</f>
        <v>A</v>
      </c>
    </row>
    <row r="14528" spans="1:8" x14ac:dyDescent="0.2">
      <c r="A14528" t="str">
        <f t="shared" si="5272"/>
        <v>0616106973</v>
      </c>
      <c r="B14528" t="str">
        <f t="shared" si="5273"/>
        <v>KARLYANIZ</v>
      </c>
      <c r="C14528" t="str">
        <f t="shared" si="5271"/>
        <v>RIVERA</v>
      </c>
      <c r="D14528" t="str">
        <f t="shared" si="5274"/>
        <v>09</v>
      </c>
      <c r="E14528" t="str">
        <f>"06 - S1 - B - 104 - Leslie J Barton"</f>
        <v>06 - S1 - B - 104 - Leslie J Barton</v>
      </c>
      <c r="F14528" t="str">
        <f>"FIRST AID SAFETY"</f>
        <v>FIRST AID SAFETY</v>
      </c>
      <c r="G14528" t="str">
        <f>"05-521"</f>
        <v>05-521</v>
      </c>
      <c r="H14528" t="str">
        <f>"B"</f>
        <v>B</v>
      </c>
    </row>
    <row r="14529" spans="1:8" x14ac:dyDescent="0.2">
      <c r="A14529" t="str">
        <f t="shared" si="5272"/>
        <v>0616106973</v>
      </c>
      <c r="B14529" t="str">
        <f t="shared" si="5273"/>
        <v>KARLYANIZ</v>
      </c>
      <c r="C14529" t="str">
        <f t="shared" si="5271"/>
        <v>RIVERA</v>
      </c>
      <c r="D14529" t="str">
        <f t="shared" si="5274"/>
        <v>09</v>
      </c>
      <c r="E14529" t="str">
        <f>"03 - A - 109 - Lissa C Frederique"</f>
        <v>03 - A - 109 - Lissa C Frederique</v>
      </c>
      <c r="F14529" t="str">
        <f>"WORLD HISTORY"</f>
        <v>WORLD HISTORY</v>
      </c>
      <c r="G14529" t="str">
        <f>"17-1754"</f>
        <v>17-1754</v>
      </c>
      <c r="H14529" t="str">
        <f>"A"</f>
        <v>A</v>
      </c>
    </row>
    <row r="14530" spans="1:8" x14ac:dyDescent="0.2">
      <c r="A14530" t="str">
        <f t="shared" si="5272"/>
        <v>0616106973</v>
      </c>
      <c r="B14530" t="str">
        <f t="shared" si="5273"/>
        <v>KARLYANIZ</v>
      </c>
      <c r="C14530" t="str">
        <f t="shared" si="5271"/>
        <v>RIVERA</v>
      </c>
      <c r="D14530" t="str">
        <f t="shared" si="5274"/>
        <v>09</v>
      </c>
      <c r="E14530" t="str">
        <f>"02 - A - 102 - Samantha J Headley"</f>
        <v>02 - A - 102 - Samantha J Headley</v>
      </c>
      <c r="F14530" t="str">
        <f>"NC STUDY HALL 1"</f>
        <v>NC STUDY HALL 1</v>
      </c>
      <c r="G14530" t="str">
        <f>"21-2134"</f>
        <v>21-2134</v>
      </c>
      <c r="H14530" t="str">
        <f>"A"</f>
        <v>A</v>
      </c>
    </row>
    <row r="14531" spans="1:8" x14ac:dyDescent="0.2">
      <c r="A14531" t="str">
        <f t="shared" si="5272"/>
        <v>0616106973</v>
      </c>
      <c r="B14531" t="str">
        <f t="shared" si="5273"/>
        <v>KARLYANIZ</v>
      </c>
      <c r="C14531" t="str">
        <f t="shared" si="5271"/>
        <v>RIVERA</v>
      </c>
      <c r="D14531" t="str">
        <f t="shared" si="5274"/>
        <v>09</v>
      </c>
      <c r="E14531" t="str">
        <f>"07 - B - 003 - Samantha J Headley"</f>
        <v>07 - B - 003 - Samantha J Headley</v>
      </c>
      <c r="F14531" t="str">
        <f>"ENV SCI"</f>
        <v>ENV SCI</v>
      </c>
      <c r="G14531" t="str">
        <f>"08-802"</f>
        <v>08-802</v>
      </c>
      <c r="H14531" t="str">
        <f>"B"</f>
        <v>B</v>
      </c>
    </row>
    <row r="14532" spans="1:8" x14ac:dyDescent="0.2">
      <c r="A14532" t="str">
        <f t="shared" si="5272"/>
        <v>0616106973</v>
      </c>
      <c r="B14532" t="str">
        <f t="shared" si="5273"/>
        <v>KARLYANIZ</v>
      </c>
      <c r="C14532" t="str">
        <f t="shared" si="5271"/>
        <v>RIVERA</v>
      </c>
      <c r="D14532" t="str">
        <f t="shared" si="5274"/>
        <v>09</v>
      </c>
      <c r="E14532" t="str">
        <f>"05 - B - 001 - Laselleda D Shaw"</f>
        <v>05 - B - 001 - Laselleda D Shaw</v>
      </c>
      <c r="F14532" t="str">
        <f>"INTENS READ 1"</f>
        <v>INTENS READ 1</v>
      </c>
      <c r="G14532" t="str">
        <f>"17-1723"</f>
        <v>17-1723</v>
      </c>
      <c r="H14532" t="str">
        <f>"B"</f>
        <v>B</v>
      </c>
    </row>
    <row r="14533" spans="1:8" x14ac:dyDescent="0.2">
      <c r="A14533" t="str">
        <f t="shared" si="5272"/>
        <v>0616106973</v>
      </c>
      <c r="B14533" t="str">
        <f t="shared" si="5273"/>
        <v>KARLYANIZ</v>
      </c>
      <c r="C14533" t="str">
        <f t="shared" si="5271"/>
        <v>RIVERA</v>
      </c>
      <c r="D14533" t="str">
        <f t="shared" si="5274"/>
        <v>09</v>
      </c>
      <c r="E14533" t="str">
        <f>"01 - A - 101 - Cerine S Stewart"</f>
        <v>01 - A - 101 - Cerine S Stewart</v>
      </c>
      <c r="F14533" t="str">
        <f>"ENG 1"</f>
        <v>ENG 1</v>
      </c>
      <c r="G14533" t="str">
        <f>"17-1720"</f>
        <v>17-1720</v>
      </c>
      <c r="H14533" t="str">
        <f>"A"</f>
        <v>A</v>
      </c>
    </row>
    <row r="14534" spans="1:8" x14ac:dyDescent="0.2">
      <c r="A14534" t="str">
        <f t="shared" si="5272"/>
        <v>0616106973</v>
      </c>
      <c r="B14534" t="str">
        <f t="shared" si="5273"/>
        <v>KARLYANIZ</v>
      </c>
      <c r="C14534" t="str">
        <f t="shared" si="5271"/>
        <v>RIVERA</v>
      </c>
      <c r="D14534" t="str">
        <f t="shared" si="5274"/>
        <v>09</v>
      </c>
      <c r="E14534" t="str">
        <f>"08 - S1 - B - 104 - Angela S Adeshina-Morrison"</f>
        <v>08 - S1 - B - 104 - Angela S Adeshina-Morrison</v>
      </c>
      <c r="F14534" t="str">
        <f>"PEER COUN 1"</f>
        <v>PEER COUN 1</v>
      </c>
      <c r="G14534" t="str">
        <f>"05-518"</f>
        <v>05-518</v>
      </c>
      <c r="H14534" t="str">
        <f>"B"</f>
        <v>B</v>
      </c>
    </row>
    <row r="14535" spans="1:8" x14ac:dyDescent="0.2">
      <c r="A14535" t="str">
        <f t="shared" ref="A14535:A14542" si="5275">"0615107778"</f>
        <v>0615107778</v>
      </c>
      <c r="B14535" t="str">
        <f t="shared" ref="B14535:B14542" si="5276">"NOAH"</f>
        <v>NOAH</v>
      </c>
      <c r="C14535" t="str">
        <f t="shared" si="5271"/>
        <v>RIVERA</v>
      </c>
      <c r="D14535">
        <f>10</f>
        <v>10</v>
      </c>
      <c r="E14535" t="str">
        <f>"04 - A - 205 - Lytrell T Dixon"</f>
        <v>04 - A - 205 - Lytrell T Dixon</v>
      </c>
      <c r="F14535" t="str">
        <f>"BIOLOGY 1"</f>
        <v>BIOLOGY 1</v>
      </c>
      <c r="G14535" t="str">
        <f>"08-808"</f>
        <v>08-808</v>
      </c>
      <c r="H14535" t="str">
        <f>"A"</f>
        <v>A</v>
      </c>
    </row>
    <row r="14536" spans="1:8" x14ac:dyDescent="0.2">
      <c r="A14536" t="str">
        <f t="shared" si="5275"/>
        <v>0615107778</v>
      </c>
      <c r="B14536" t="str">
        <f t="shared" si="5276"/>
        <v>NOAH</v>
      </c>
      <c r="C14536" t="str">
        <f t="shared" si="5271"/>
        <v>RIVERA</v>
      </c>
      <c r="D14536">
        <f>10</f>
        <v>10</v>
      </c>
      <c r="E14536" t="str">
        <f>"06 - B - 114 - Richard E Dunbar Iii"</f>
        <v>06 - B - 114 - Richard E Dunbar Iii</v>
      </c>
      <c r="F14536" t="str">
        <f>"NC STUDY HALL 1"</f>
        <v>NC STUDY HALL 1</v>
      </c>
      <c r="G14536" t="str">
        <f>"17-1703"</f>
        <v>17-1703</v>
      </c>
      <c r="H14536" t="str">
        <f>"B"</f>
        <v>B</v>
      </c>
    </row>
    <row r="14537" spans="1:8" x14ac:dyDescent="0.2">
      <c r="A14537" t="str">
        <f t="shared" si="5275"/>
        <v>0615107778</v>
      </c>
      <c r="B14537" t="str">
        <f t="shared" si="5276"/>
        <v>NOAH</v>
      </c>
      <c r="C14537" t="str">
        <f t="shared" si="5271"/>
        <v>RIVERA</v>
      </c>
      <c r="D14537">
        <f>10</f>
        <v>10</v>
      </c>
      <c r="E14537" t="str">
        <f>"03 - A - 103 - Jacquelyn M Neeson"</f>
        <v>03 - A - 103 - Jacquelyn M Neeson</v>
      </c>
      <c r="F14537" t="str">
        <f>"ENG 2"</f>
        <v>ENG 2</v>
      </c>
      <c r="G14537" t="str">
        <f>"17-1715"</f>
        <v>17-1715</v>
      </c>
      <c r="H14537" t="str">
        <f>"A"</f>
        <v>A</v>
      </c>
    </row>
    <row r="14538" spans="1:8" x14ac:dyDescent="0.2">
      <c r="A14538" t="str">
        <f t="shared" si="5275"/>
        <v>0615107778</v>
      </c>
      <c r="B14538" t="str">
        <f t="shared" si="5276"/>
        <v>NOAH</v>
      </c>
      <c r="C14538" t="str">
        <f t="shared" si="5271"/>
        <v>RIVERA</v>
      </c>
      <c r="D14538">
        <f>10</f>
        <v>10</v>
      </c>
      <c r="E14538" t="str">
        <f>"02 - S1 - A - 101 - Carol S Moore"</f>
        <v>02 - S1 - A - 101 - Carol S Moore</v>
      </c>
      <c r="F14538" t="str">
        <f>"PER CAR SCH DEV 1 LH"</f>
        <v>PER CAR SCH DEV 1 LH</v>
      </c>
      <c r="G14538" t="str">
        <f>"17-1733"</f>
        <v>17-1733</v>
      </c>
      <c r="H14538" t="str">
        <f>"A"</f>
        <v>A</v>
      </c>
    </row>
    <row r="14539" spans="1:8" x14ac:dyDescent="0.2">
      <c r="A14539" t="str">
        <f t="shared" si="5275"/>
        <v>0615107778</v>
      </c>
      <c r="B14539" t="str">
        <f t="shared" si="5276"/>
        <v>NOAH</v>
      </c>
      <c r="C14539" t="str">
        <f t="shared" si="5271"/>
        <v>RIVERA</v>
      </c>
      <c r="D14539">
        <f>10</f>
        <v>10</v>
      </c>
      <c r="E14539" t="str">
        <f>"07 - B - 107 - Adam Marcus  Drucker"</f>
        <v>07 - B - 107 - Adam Marcus  Drucker</v>
      </c>
      <c r="F14539" t="str">
        <f>"HOPE-PE V"</f>
        <v>HOPE-PE V</v>
      </c>
      <c r="G14539" t="str">
        <f>"04-254"</f>
        <v>04-254</v>
      </c>
      <c r="H14539" t="str">
        <f>"B"</f>
        <v>B</v>
      </c>
    </row>
    <row r="14540" spans="1:8" x14ac:dyDescent="0.2">
      <c r="A14540" t="str">
        <f t="shared" si="5275"/>
        <v>0615107778</v>
      </c>
      <c r="B14540" t="str">
        <f t="shared" si="5276"/>
        <v>NOAH</v>
      </c>
      <c r="C14540" t="str">
        <f t="shared" si="5271"/>
        <v>RIVERA</v>
      </c>
      <c r="D14540">
        <f>10</f>
        <v>10</v>
      </c>
      <c r="E14540" t="str">
        <f>"05 - B - 103 - Brook E Goren"</f>
        <v>05 - B - 103 - Brook E Goren</v>
      </c>
      <c r="F14540" t="str">
        <f>"PRE-AICE MATH 2 IG"</f>
        <v>PRE-AICE MATH 2 IG</v>
      </c>
      <c r="G14540" t="str">
        <f>"21-2158"</f>
        <v>21-2158</v>
      </c>
      <c r="H14540" t="str">
        <f>"B"</f>
        <v>B</v>
      </c>
    </row>
    <row r="14541" spans="1:8" x14ac:dyDescent="0.2">
      <c r="A14541" t="str">
        <f t="shared" si="5275"/>
        <v>0615107778</v>
      </c>
      <c r="B14541" t="str">
        <f t="shared" si="5276"/>
        <v>NOAH</v>
      </c>
      <c r="C14541" t="str">
        <f t="shared" si="5271"/>
        <v>RIVERA</v>
      </c>
      <c r="D14541">
        <f>10</f>
        <v>10</v>
      </c>
      <c r="E14541" t="str">
        <f>"01 - A - 101 - Taraneh C Abreu"</f>
        <v>01 - A - 101 - Taraneh C Abreu</v>
      </c>
      <c r="F14541" t="str">
        <f>"INTENS READ 2"</f>
        <v>INTENS READ 2</v>
      </c>
      <c r="G14541" t="str">
        <f>"17-1713"</f>
        <v>17-1713</v>
      </c>
      <c r="H14541" t="str">
        <f>"A"</f>
        <v>A</v>
      </c>
    </row>
    <row r="14542" spans="1:8" x14ac:dyDescent="0.2">
      <c r="A14542" t="str">
        <f t="shared" si="5275"/>
        <v>0615107778</v>
      </c>
      <c r="B14542" t="str">
        <f t="shared" si="5276"/>
        <v>NOAH</v>
      </c>
      <c r="C14542" t="str">
        <f t="shared" si="5271"/>
        <v>RIVERA</v>
      </c>
      <c r="D14542">
        <f>10</f>
        <v>10</v>
      </c>
      <c r="E14542" t="str">
        <f>"08 - B - 202 - Brian M Fitzgerald"</f>
        <v>08 - B - 202 - Brian M Fitzgerald</v>
      </c>
      <c r="F14542" t="str">
        <f>"CERAM/POT 2"</f>
        <v>CERAM/POT 2</v>
      </c>
      <c r="G14542" t="str">
        <f>"09-908"</f>
        <v>09-908</v>
      </c>
      <c r="H14542" t="str">
        <f>"B"</f>
        <v>B</v>
      </c>
    </row>
    <row r="14543" spans="1:8" x14ac:dyDescent="0.2">
      <c r="A14543" t="str">
        <f t="shared" ref="A14543:A14550" si="5277">"0617047379"</f>
        <v>0617047379</v>
      </c>
      <c r="B14543" t="str">
        <f t="shared" ref="B14543:B14550" si="5278">"ANGELINA"</f>
        <v>ANGELINA</v>
      </c>
      <c r="C14543" t="str">
        <f t="shared" ref="C14543:C14550" si="5279">"RIVERA VICENTE"</f>
        <v>RIVERA VICENTE</v>
      </c>
      <c r="D14543" t="str">
        <f t="shared" ref="D14543:D14550" si="5280">"09"</f>
        <v>09</v>
      </c>
      <c r="E14543" t="str">
        <f>"04 - A - 104 - Marius D Orsolini"</f>
        <v>04 - A - 104 - Marius D Orsolini</v>
      </c>
      <c r="F14543" t="str">
        <f>"CULINARY ARTS 1"</f>
        <v>CULINARY ARTS 1</v>
      </c>
      <c r="G14543" t="str">
        <f>"21-2115"</f>
        <v>21-2115</v>
      </c>
      <c r="H14543" t="str">
        <f>"A"</f>
        <v>A</v>
      </c>
    </row>
    <row r="14544" spans="1:8" x14ac:dyDescent="0.2">
      <c r="A14544" t="str">
        <f t="shared" si="5277"/>
        <v>0617047379</v>
      </c>
      <c r="B14544" t="str">
        <f t="shared" si="5278"/>
        <v>ANGELINA</v>
      </c>
      <c r="C14544" t="str">
        <f t="shared" si="5279"/>
        <v>RIVERA VICENTE</v>
      </c>
      <c r="D14544" t="str">
        <f t="shared" si="5280"/>
        <v>09</v>
      </c>
      <c r="E14544" t="str">
        <f>"06 - B - 101 - Fernando  Vega-Cid"</f>
        <v>06 - B - 101 - Fernando  Vega-Cid</v>
      </c>
      <c r="F14544" t="str">
        <f>"PRE-AICE MATH 2 IG"</f>
        <v>PRE-AICE MATH 2 IG</v>
      </c>
      <c r="G14544" t="str">
        <f>"21-2163"</f>
        <v>21-2163</v>
      </c>
      <c r="H14544" t="str">
        <f>"B"</f>
        <v>B</v>
      </c>
    </row>
    <row r="14545" spans="1:8" x14ac:dyDescent="0.2">
      <c r="A14545" t="str">
        <f t="shared" si="5277"/>
        <v>0617047379</v>
      </c>
      <c r="B14545" t="str">
        <f t="shared" si="5278"/>
        <v>ANGELINA</v>
      </c>
      <c r="C14545" t="str">
        <f t="shared" si="5279"/>
        <v>RIVERA VICENTE</v>
      </c>
      <c r="D14545" t="str">
        <f t="shared" si="5280"/>
        <v>09</v>
      </c>
      <c r="E14545" t="str">
        <f>"03 - A - 204 - Norayda D Suarez"</f>
        <v>03 - A - 204 - Norayda D Suarez</v>
      </c>
      <c r="F14545" t="str">
        <f>"ANAT PHYSIO HON"</f>
        <v>ANAT PHYSIO HON</v>
      </c>
      <c r="G14545" t="str">
        <f>"21-2144"</f>
        <v>21-2144</v>
      </c>
      <c r="H14545" t="str">
        <f>"A"</f>
        <v>A</v>
      </c>
    </row>
    <row r="14546" spans="1:8" x14ac:dyDescent="0.2">
      <c r="A14546" t="str">
        <f t="shared" si="5277"/>
        <v>0617047379</v>
      </c>
      <c r="B14546" t="str">
        <f t="shared" si="5278"/>
        <v>ANGELINA</v>
      </c>
      <c r="C14546" t="str">
        <f t="shared" si="5279"/>
        <v>RIVERA VICENTE</v>
      </c>
      <c r="D14546" t="str">
        <f t="shared" si="5280"/>
        <v>09</v>
      </c>
      <c r="E14546" t="str">
        <f>"02 - A - 105 - Elizabeth R Walker"</f>
        <v>02 - A - 105 - Elizabeth R Walker</v>
      </c>
      <c r="F14546" t="str">
        <f>"NC STUDY HALL 1"</f>
        <v>NC STUDY HALL 1</v>
      </c>
      <c r="G14546" t="str">
        <f>"17-1703"</f>
        <v>17-1703</v>
      </c>
      <c r="H14546" t="str">
        <f>"A"</f>
        <v>A</v>
      </c>
    </row>
    <row r="14547" spans="1:8" x14ac:dyDescent="0.2">
      <c r="A14547" t="str">
        <f t="shared" si="5277"/>
        <v>0617047379</v>
      </c>
      <c r="B14547" t="str">
        <f t="shared" si="5278"/>
        <v>ANGELINA</v>
      </c>
      <c r="C14547" t="str">
        <f t="shared" si="5279"/>
        <v>RIVERA VICENTE</v>
      </c>
      <c r="D14547" t="str">
        <f t="shared" si="5280"/>
        <v>09</v>
      </c>
      <c r="E14547" t="str">
        <f>"07 - B - 107 - Adam Marcus  Drucker"</f>
        <v>07 - B - 107 - Adam Marcus  Drucker</v>
      </c>
      <c r="F14547" t="str">
        <f>"HOPE-PE V"</f>
        <v>HOPE-PE V</v>
      </c>
      <c r="G14547" t="str">
        <f>"04-254"</f>
        <v>04-254</v>
      </c>
      <c r="H14547" t="str">
        <f>"B"</f>
        <v>B</v>
      </c>
    </row>
    <row r="14548" spans="1:8" x14ac:dyDescent="0.2">
      <c r="A14548" t="str">
        <f t="shared" si="5277"/>
        <v>0617047379</v>
      </c>
      <c r="B14548" t="str">
        <f t="shared" si="5278"/>
        <v>ANGELINA</v>
      </c>
      <c r="C14548" t="str">
        <f t="shared" si="5279"/>
        <v>RIVERA VICENTE</v>
      </c>
      <c r="D14548" t="str">
        <f t="shared" si="5280"/>
        <v>09</v>
      </c>
      <c r="E14548" t="str">
        <f>"05 - S1 - B - 103 - Leslie J Barton"</f>
        <v>05 - S1 - B - 103 - Leslie J Barton</v>
      </c>
      <c r="F14548" t="str">
        <f>"FIRST AID SAFETY"</f>
        <v>FIRST AID SAFETY</v>
      </c>
      <c r="G14548" t="str">
        <f>"05-521"</f>
        <v>05-521</v>
      </c>
      <c r="H14548" t="str">
        <f>"B"</f>
        <v>B</v>
      </c>
    </row>
    <row r="14549" spans="1:8" x14ac:dyDescent="0.2">
      <c r="A14549" t="str">
        <f t="shared" si="5277"/>
        <v>0617047379</v>
      </c>
      <c r="B14549" t="str">
        <f t="shared" si="5278"/>
        <v>ANGELINA</v>
      </c>
      <c r="C14549" t="str">
        <f t="shared" si="5279"/>
        <v>RIVERA VICENTE</v>
      </c>
      <c r="D14549" t="str">
        <f t="shared" si="5280"/>
        <v>09</v>
      </c>
      <c r="E14549" t="str">
        <f>"01 - A - 101 - Cheryl Anne  Berman-Schechter"</f>
        <v>01 - A - 101 - Cheryl Anne  Berman-Schechter</v>
      </c>
      <c r="F14549" t="str">
        <f>"PRE-AICE ENG LANG IG"</f>
        <v>PRE-AICE ENG LANG IG</v>
      </c>
      <c r="G14549" t="str">
        <f>"17-1722"</f>
        <v>17-1722</v>
      </c>
      <c r="H14549" t="str">
        <f>"A"</f>
        <v>A</v>
      </c>
    </row>
    <row r="14550" spans="1:8" x14ac:dyDescent="0.2">
      <c r="A14550" t="str">
        <f t="shared" si="5277"/>
        <v>0617047379</v>
      </c>
      <c r="B14550" t="str">
        <f t="shared" si="5278"/>
        <v>ANGELINA</v>
      </c>
      <c r="C14550" t="str">
        <f t="shared" si="5279"/>
        <v>RIVERA VICENTE</v>
      </c>
      <c r="D14550" t="str">
        <f t="shared" si="5280"/>
        <v>09</v>
      </c>
      <c r="E14550" t="str">
        <f>"08 - B - 109 - Rory T Sponsler"</f>
        <v>08 - B - 109 - Rory T Sponsler</v>
      </c>
      <c r="F14550" t="str">
        <f>"PRE-AICE WRLD HST IG"</f>
        <v>PRE-AICE WRLD HST IG</v>
      </c>
      <c r="G14550" t="str">
        <f>"17-1740"</f>
        <v>17-1740</v>
      </c>
      <c r="H14550" t="str">
        <f>"B"</f>
        <v>B</v>
      </c>
    </row>
    <row r="14551" spans="1:8" x14ac:dyDescent="0.2">
      <c r="A14551" t="str">
        <f t="shared" ref="A14551:A14558" si="5281">"0614141674"</f>
        <v>0614141674</v>
      </c>
      <c r="B14551" t="str">
        <f t="shared" ref="B14551:B14558" si="5282">"KENNEDE"</f>
        <v>KENNEDE</v>
      </c>
      <c r="C14551" t="str">
        <f t="shared" ref="C14551:C14558" si="5283">"RIVERS"</f>
        <v>RIVERS</v>
      </c>
      <c r="D14551">
        <f>11</f>
        <v>11</v>
      </c>
      <c r="E14551" t="str">
        <f>"04 - S1 - A - 101 - Nahum  Saint-Preux"</f>
        <v>04 - S1 - A - 101 - Nahum  Saint-Preux</v>
      </c>
      <c r="F14551" t="str">
        <f>"CRIT THINK ST SKLS"</f>
        <v>CRIT THINK ST SKLS</v>
      </c>
      <c r="G14551" t="str">
        <f>"17-1712"</f>
        <v>17-1712</v>
      </c>
      <c r="H14551" t="str">
        <f>"A"</f>
        <v>A</v>
      </c>
    </row>
    <row r="14552" spans="1:8" x14ac:dyDescent="0.2">
      <c r="A14552" t="str">
        <f t="shared" si="5281"/>
        <v>0614141674</v>
      </c>
      <c r="B14552" t="str">
        <f t="shared" si="5282"/>
        <v>KENNEDE</v>
      </c>
      <c r="C14552" t="str">
        <f t="shared" si="5283"/>
        <v>RIVERS</v>
      </c>
      <c r="D14552">
        <f>11</f>
        <v>11</v>
      </c>
      <c r="E14552" t="str">
        <f>"06 - B - 002 - Kyle  Robbins"</f>
        <v>06 - B - 002 - Kyle  Robbins</v>
      </c>
      <c r="F14552" t="str">
        <f>"US HISTORY HON"</f>
        <v>US HISTORY HON</v>
      </c>
      <c r="G14552" t="str">
        <f>"17-1745"</f>
        <v>17-1745</v>
      </c>
      <c r="H14552" t="str">
        <f>"B"</f>
        <v>B</v>
      </c>
    </row>
    <row r="14553" spans="1:8" x14ac:dyDescent="0.2">
      <c r="A14553" t="str">
        <f t="shared" si="5281"/>
        <v>0614141674</v>
      </c>
      <c r="B14553" t="str">
        <f t="shared" si="5282"/>
        <v>KENNEDE</v>
      </c>
      <c r="C14553" t="str">
        <f t="shared" si="5283"/>
        <v>RIVERS</v>
      </c>
      <c r="D14553">
        <f>11</f>
        <v>11</v>
      </c>
      <c r="E14553" t="str">
        <f>"03 - A - 204 - Norayda D Suarez"</f>
        <v>03 - A - 204 - Norayda D Suarez</v>
      </c>
      <c r="F14553" t="str">
        <f>"ANAT PHYSIO HON"</f>
        <v>ANAT PHYSIO HON</v>
      </c>
      <c r="G14553" t="str">
        <f>"21-2144"</f>
        <v>21-2144</v>
      </c>
      <c r="H14553" t="str">
        <f>"A"</f>
        <v>A</v>
      </c>
    </row>
    <row r="14554" spans="1:8" x14ac:dyDescent="0.2">
      <c r="A14554" t="str">
        <f t="shared" si="5281"/>
        <v>0614141674</v>
      </c>
      <c r="B14554" t="str">
        <f t="shared" si="5282"/>
        <v>KENNEDE</v>
      </c>
      <c r="C14554" t="str">
        <f t="shared" si="5283"/>
        <v>RIVERS</v>
      </c>
      <c r="D14554">
        <f>11</f>
        <v>11</v>
      </c>
      <c r="E14554" t="str">
        <f>"02 - A - 114 - Eva T Rimmer"</f>
        <v>02 - A - 114 - Eva T Rimmer</v>
      </c>
      <c r="F14554" t="str">
        <f>"NC STUDY HALL 1"</f>
        <v>NC STUDY HALL 1</v>
      </c>
      <c r="G14554" t="str">
        <f>"05-523"</f>
        <v>05-523</v>
      </c>
      <c r="H14554" t="str">
        <f>"A"</f>
        <v>A</v>
      </c>
    </row>
    <row r="14555" spans="1:8" x14ac:dyDescent="0.2">
      <c r="A14555" t="str">
        <f t="shared" si="5281"/>
        <v>0614141674</v>
      </c>
      <c r="B14555" t="str">
        <f t="shared" si="5282"/>
        <v>KENNEDE</v>
      </c>
      <c r="C14555" t="str">
        <f t="shared" si="5283"/>
        <v>RIVERS</v>
      </c>
      <c r="D14555">
        <f>11</f>
        <v>11</v>
      </c>
      <c r="E14555" t="str">
        <f>"07 - B - 110 - Ferrie J Arostique"</f>
        <v>07 - B - 110 - Ferrie J Arostique</v>
      </c>
      <c r="F14555" t="str">
        <f>"GEOMETRY"</f>
        <v>GEOMETRY</v>
      </c>
      <c r="G14555" t="str">
        <f>"21-2139"</f>
        <v>21-2139</v>
      </c>
      <c r="H14555" t="str">
        <f>"B"</f>
        <v>B</v>
      </c>
    </row>
    <row r="14556" spans="1:8" x14ac:dyDescent="0.2">
      <c r="A14556" t="str">
        <f t="shared" si="5281"/>
        <v>0614141674</v>
      </c>
      <c r="B14556" t="str">
        <f t="shared" si="5282"/>
        <v>KENNEDE</v>
      </c>
      <c r="C14556" t="str">
        <f t="shared" si="5283"/>
        <v>RIVERS</v>
      </c>
      <c r="D14556">
        <f>11</f>
        <v>11</v>
      </c>
      <c r="E14556" t="str">
        <f>"05 - B - 103 - Heidi M Knopp"</f>
        <v>05 - B - 103 - Heidi M Knopp</v>
      </c>
      <c r="F14556" t="str">
        <f>"ENG HON 3"</f>
        <v>ENG HON 3</v>
      </c>
      <c r="G14556" t="str">
        <f>"17-1723"</f>
        <v>17-1723</v>
      </c>
      <c r="H14556" t="str">
        <f>"B"</f>
        <v>B</v>
      </c>
    </row>
    <row r="14557" spans="1:8" x14ac:dyDescent="0.2">
      <c r="A14557" t="str">
        <f t="shared" si="5281"/>
        <v>0614141674</v>
      </c>
      <c r="B14557" t="str">
        <f t="shared" si="5282"/>
        <v>KENNEDE</v>
      </c>
      <c r="C14557" t="str">
        <f t="shared" si="5283"/>
        <v>RIVERS</v>
      </c>
      <c r="D14557">
        <f>11</f>
        <v>11</v>
      </c>
      <c r="E14557" t="str">
        <f>"01 - S1 - A - 101 - Jordana K Hass"</f>
        <v>01 - S1 - A - 101 - Jordana K Hass</v>
      </c>
      <c r="F14557" t="str">
        <f>"PRIN OF AERO SCI"</f>
        <v>PRIN OF AERO SCI</v>
      </c>
      <c r="G14557" t="str">
        <f>"08-807"</f>
        <v>08-807</v>
      </c>
      <c r="H14557" t="str">
        <f>"A"</f>
        <v>A</v>
      </c>
    </row>
    <row r="14558" spans="1:8" x14ac:dyDescent="0.2">
      <c r="A14558" t="str">
        <f t="shared" si="5281"/>
        <v>0614141674</v>
      </c>
      <c r="B14558" t="str">
        <f t="shared" si="5282"/>
        <v>KENNEDE</v>
      </c>
      <c r="C14558" t="str">
        <f t="shared" si="5283"/>
        <v>RIVERS</v>
      </c>
      <c r="D14558">
        <f>11</f>
        <v>11</v>
      </c>
      <c r="E14558" t="str">
        <f>"08 - B - 001 - Samantha L Martinez"</f>
        <v>08 - B - 001 - Samantha L Martinez</v>
      </c>
      <c r="F14558" t="str">
        <f>"VOCAL ENS 2"</f>
        <v>VOCAL ENS 2</v>
      </c>
      <c r="G14558" t="str">
        <f>"05-505"</f>
        <v>05-505</v>
      </c>
      <c r="H14558" t="str">
        <f>"B"</f>
        <v>B</v>
      </c>
    </row>
    <row r="14559" spans="1:8" x14ac:dyDescent="0.2">
      <c r="A14559" t="str">
        <f t="shared" ref="A14559:A14566" si="5284">"0617027374"</f>
        <v>0617027374</v>
      </c>
      <c r="B14559" t="str">
        <f t="shared" ref="B14559:B14566" si="5285">"JUAN"</f>
        <v>JUAN</v>
      </c>
      <c r="C14559" t="str">
        <f t="shared" ref="C14559:C14566" si="5286">"ROA"</f>
        <v>ROA</v>
      </c>
      <c r="D14559">
        <f>12</f>
        <v>12</v>
      </c>
      <c r="E14559" t="str">
        <f>"04 - A - 101 - Rosa Elaine  Collado-Duff"</f>
        <v>04 - A - 101 - Rosa Elaine  Collado-Duff</v>
      </c>
      <c r="F14559" t="str">
        <f>"AICE SPAN LANG AS"</f>
        <v>AICE SPAN LANG AS</v>
      </c>
      <c r="G14559" t="str">
        <f>"09-913"</f>
        <v>09-913</v>
      </c>
      <c r="H14559" t="str">
        <f>"A"</f>
        <v>A</v>
      </c>
    </row>
    <row r="14560" spans="1:8" x14ac:dyDescent="0.2">
      <c r="A14560" t="str">
        <f t="shared" si="5284"/>
        <v>0617027374</v>
      </c>
      <c r="B14560" t="str">
        <f t="shared" si="5285"/>
        <v>JUAN</v>
      </c>
      <c r="C14560" t="str">
        <f t="shared" si="5286"/>
        <v>ROA</v>
      </c>
      <c r="D14560">
        <f>12</f>
        <v>12</v>
      </c>
      <c r="E14560" t="str">
        <f>"06 - B - 103 - Stefanie S Scher"</f>
        <v>06 - B - 103 - Stefanie S Scher</v>
      </c>
      <c r="F14560" t="str">
        <f>"NC STUDY HALL 1"</f>
        <v>NC STUDY HALL 1</v>
      </c>
      <c r="G14560" t="str">
        <f>"17-1735"</f>
        <v>17-1735</v>
      </c>
      <c r="H14560" t="str">
        <f>"B"</f>
        <v>B</v>
      </c>
    </row>
    <row r="14561" spans="1:8" x14ac:dyDescent="0.2">
      <c r="A14561" t="str">
        <f t="shared" si="5284"/>
        <v>0617027374</v>
      </c>
      <c r="B14561" t="str">
        <f t="shared" si="5285"/>
        <v>JUAN</v>
      </c>
      <c r="C14561" t="str">
        <f t="shared" si="5286"/>
        <v>ROA</v>
      </c>
      <c r="D14561">
        <f>12</f>
        <v>12</v>
      </c>
      <c r="E14561" t="str">
        <f>"03 - A - 201 - Emmily A Sarmiento"</f>
        <v>03 - A - 201 - Emmily A Sarmiento</v>
      </c>
      <c r="F14561" t="str">
        <f>"LEAD SKLS DEV LH"</f>
        <v>LEAD SKLS DEV LH</v>
      </c>
      <c r="G14561" t="str">
        <f>"17-1743"</f>
        <v>17-1743</v>
      </c>
      <c r="H14561" t="str">
        <f>"A"</f>
        <v>A</v>
      </c>
    </row>
    <row r="14562" spans="1:8" x14ac:dyDescent="0.2">
      <c r="A14562" t="str">
        <f t="shared" si="5284"/>
        <v>0617027374</v>
      </c>
      <c r="B14562" t="str">
        <f t="shared" si="5285"/>
        <v>JUAN</v>
      </c>
      <c r="C14562" t="str">
        <f t="shared" si="5286"/>
        <v>ROA</v>
      </c>
      <c r="D14562">
        <f>12</f>
        <v>12</v>
      </c>
      <c r="E14562" t="str">
        <f>"02 - A - 101 - Robyn L Trainer"</f>
        <v>02 - A - 101 - Robyn L Trainer</v>
      </c>
      <c r="F14562" t="str">
        <f>"ENG 4"</f>
        <v>ENG 4</v>
      </c>
      <c r="G14562" t="str">
        <f>"17-1734"</f>
        <v>17-1734</v>
      </c>
      <c r="H14562" t="str">
        <f>"A"</f>
        <v>A</v>
      </c>
    </row>
    <row r="14563" spans="1:8" x14ac:dyDescent="0.2">
      <c r="A14563" t="str">
        <f t="shared" si="5284"/>
        <v>0617027374</v>
      </c>
      <c r="B14563" t="str">
        <f t="shared" si="5285"/>
        <v>JUAN</v>
      </c>
      <c r="C14563" t="str">
        <f t="shared" si="5286"/>
        <v>ROA</v>
      </c>
      <c r="D14563">
        <f>12</f>
        <v>12</v>
      </c>
      <c r="E14563" t="str">
        <f>"07 - B - 105 - Cliffon  Saurel"</f>
        <v>07 - B - 105 - Cliffon  Saurel</v>
      </c>
      <c r="F14563" t="str">
        <f>"PHYSICAL SCI"</f>
        <v>PHYSICAL SCI</v>
      </c>
      <c r="G14563" t="str">
        <f>"05-522"</f>
        <v>05-522</v>
      </c>
      <c r="H14563" t="str">
        <f>"B"</f>
        <v>B</v>
      </c>
    </row>
    <row r="14564" spans="1:8" x14ac:dyDescent="0.2">
      <c r="A14564" t="str">
        <f t="shared" si="5284"/>
        <v>0617027374</v>
      </c>
      <c r="B14564" t="str">
        <f t="shared" si="5285"/>
        <v>JUAN</v>
      </c>
      <c r="C14564" t="str">
        <f t="shared" si="5286"/>
        <v>ROA</v>
      </c>
      <c r="D14564">
        <f>12</f>
        <v>12</v>
      </c>
      <c r="E14564" t="str">
        <f>"05 - B - 101 - Pamela M Corzo"</f>
        <v>05 - B - 101 - Pamela M Corzo</v>
      </c>
      <c r="F14564" t="str">
        <f>"AP CALCULUS AB"</f>
        <v>AP CALCULUS AB</v>
      </c>
      <c r="G14564" t="str">
        <f>"21-2133"</f>
        <v>21-2133</v>
      </c>
      <c r="H14564" t="str">
        <f>"B"</f>
        <v>B</v>
      </c>
    </row>
    <row r="14565" spans="1:8" x14ac:dyDescent="0.2">
      <c r="A14565" t="str">
        <f t="shared" si="5284"/>
        <v>0617027374</v>
      </c>
      <c r="B14565" t="str">
        <f t="shared" si="5285"/>
        <v>JUAN</v>
      </c>
      <c r="C14565" t="str">
        <f t="shared" si="5286"/>
        <v>ROA</v>
      </c>
      <c r="D14565">
        <f>12</f>
        <v>12</v>
      </c>
      <c r="E14565" t="str">
        <f>"01 - A - 201 - Stefanie S Scher"</f>
        <v>01 - A - 201 - Stefanie S Scher</v>
      </c>
      <c r="F14565" t="str">
        <f>"AICE PSYCH 1 AS"</f>
        <v>AICE PSYCH 1 AS</v>
      </c>
      <c r="G14565" t="str">
        <f>"17-1735"</f>
        <v>17-1735</v>
      </c>
      <c r="H14565" t="str">
        <f>"A"</f>
        <v>A</v>
      </c>
    </row>
    <row r="14566" spans="1:8" x14ac:dyDescent="0.2">
      <c r="A14566" t="str">
        <f t="shared" si="5284"/>
        <v>0617027374</v>
      </c>
      <c r="B14566" t="str">
        <f t="shared" si="5285"/>
        <v>JUAN</v>
      </c>
      <c r="C14566" t="str">
        <f t="shared" si="5286"/>
        <v>ROA</v>
      </c>
      <c r="D14566">
        <f>12</f>
        <v>12</v>
      </c>
      <c r="E14566" t="str">
        <f>"08 - S1 - B - 105 - Kelly N Panza"</f>
        <v>08 - S1 - B - 105 - Kelly N Panza</v>
      </c>
      <c r="F14566" t="str">
        <f>"US GOVT HON"</f>
        <v>US GOVT HON</v>
      </c>
      <c r="G14566" t="str">
        <f>"17-1753"</f>
        <v>17-1753</v>
      </c>
      <c r="H14566" t="str">
        <f>"B"</f>
        <v>B</v>
      </c>
    </row>
    <row r="14567" spans="1:8" x14ac:dyDescent="0.2">
      <c r="A14567" t="str">
        <f t="shared" ref="A14567:A14574" si="5287">"0622069670"</f>
        <v>0622069670</v>
      </c>
      <c r="B14567" t="str">
        <f t="shared" ref="B14567:B14574" si="5288">"MARIA"</f>
        <v>MARIA</v>
      </c>
      <c r="C14567" t="str">
        <f t="shared" ref="C14567:C14574" si="5289">"ROA CARRILLO"</f>
        <v>ROA CARRILLO</v>
      </c>
      <c r="D14567">
        <f>11</f>
        <v>11</v>
      </c>
      <c r="E14567" t="str">
        <f>"04 - A - 205 - Jacqueline R Morphet"</f>
        <v>04 - A - 205 - Jacqueline R Morphet</v>
      </c>
      <c r="F14567" t="str">
        <f>"PHYSICS 1 HON"</f>
        <v>PHYSICS 1 HON</v>
      </c>
      <c r="G14567" t="str">
        <f>"21-2138"</f>
        <v>21-2138</v>
      </c>
      <c r="H14567" t="str">
        <f>"A"</f>
        <v>A</v>
      </c>
    </row>
    <row r="14568" spans="1:8" x14ac:dyDescent="0.2">
      <c r="A14568" t="str">
        <f t="shared" si="5287"/>
        <v>0622069670</v>
      </c>
      <c r="B14568" t="str">
        <f t="shared" si="5288"/>
        <v>MARIA</v>
      </c>
      <c r="C14568" t="str">
        <f t="shared" si="5289"/>
        <v>ROA CARRILLO</v>
      </c>
      <c r="D14568">
        <f>11</f>
        <v>11</v>
      </c>
      <c r="E14568" t="str">
        <f>"06 - B - 002 - Kyle  Robbins"</f>
        <v>06 - B - 002 - Kyle  Robbins</v>
      </c>
      <c r="F14568" t="str">
        <f>"US HISTORY HON"</f>
        <v>US HISTORY HON</v>
      </c>
      <c r="G14568" t="str">
        <f>"17-1745"</f>
        <v>17-1745</v>
      </c>
      <c r="H14568" t="str">
        <f>"B"</f>
        <v>B</v>
      </c>
    </row>
    <row r="14569" spans="1:8" x14ac:dyDescent="0.2">
      <c r="A14569" t="str">
        <f t="shared" si="5287"/>
        <v>0622069670</v>
      </c>
      <c r="B14569" t="str">
        <f t="shared" si="5288"/>
        <v>MARIA</v>
      </c>
      <c r="C14569" t="str">
        <f t="shared" si="5289"/>
        <v>ROA CARRILLO</v>
      </c>
      <c r="D14569">
        <f>11</f>
        <v>11</v>
      </c>
      <c r="E14569" t="str">
        <f>"03 - A - 103 - Jordana K Hass"</f>
        <v>03 - A - 103 - Jordana K Hass</v>
      </c>
      <c r="F14569" t="str">
        <f>"CHEMISTRY 1"</f>
        <v>CHEMISTRY 1</v>
      </c>
      <c r="G14569" t="str">
        <f>"08-807"</f>
        <v>08-807</v>
      </c>
      <c r="H14569" t="str">
        <f>"A"</f>
        <v>A</v>
      </c>
    </row>
    <row r="14570" spans="1:8" x14ac:dyDescent="0.2">
      <c r="A14570" t="str">
        <f t="shared" si="5287"/>
        <v>0622069670</v>
      </c>
      <c r="B14570" t="str">
        <f t="shared" si="5288"/>
        <v>MARIA</v>
      </c>
      <c r="C14570" t="str">
        <f t="shared" si="5289"/>
        <v>ROA CARRILLO</v>
      </c>
      <c r="D14570">
        <f>11</f>
        <v>11</v>
      </c>
      <c r="E14570" t="str">
        <f>"02 - A - 112 - Brandy N Zdenek"</f>
        <v>02 - A - 112 - Brandy N Zdenek</v>
      </c>
      <c r="F14570" t="str">
        <f>"NC STUDY HALL 1"</f>
        <v>NC STUDY HALL 1</v>
      </c>
      <c r="G14570" t="str">
        <f>"17-1704"</f>
        <v>17-1704</v>
      </c>
      <c r="H14570" t="str">
        <f>"A"</f>
        <v>A</v>
      </c>
    </row>
    <row r="14571" spans="1:8" x14ac:dyDescent="0.2">
      <c r="A14571" t="str">
        <f t="shared" si="5287"/>
        <v>0622069670</v>
      </c>
      <c r="B14571" t="str">
        <f t="shared" si="5288"/>
        <v>MARIA</v>
      </c>
      <c r="C14571" t="str">
        <f t="shared" si="5289"/>
        <v>ROA CARRILLO</v>
      </c>
      <c r="D14571">
        <f>11</f>
        <v>11</v>
      </c>
      <c r="E14571" t="str">
        <f>"07 - B - 106 - James H Mccann"</f>
        <v>07 - B - 106 - James H Mccann</v>
      </c>
      <c r="F14571" t="str">
        <f>"ALGEBRA 2"</f>
        <v>ALGEBRA 2</v>
      </c>
      <c r="G14571" t="str">
        <f>"17-1716"</f>
        <v>17-1716</v>
      </c>
      <c r="H14571" t="str">
        <f>"B"</f>
        <v>B</v>
      </c>
    </row>
    <row r="14572" spans="1:8" x14ac:dyDescent="0.2">
      <c r="A14572" t="str">
        <f t="shared" si="5287"/>
        <v>0622069670</v>
      </c>
      <c r="B14572" t="str">
        <f t="shared" si="5288"/>
        <v>MARIA</v>
      </c>
      <c r="C14572" t="str">
        <f t="shared" si="5289"/>
        <v>ROA CARRILLO</v>
      </c>
      <c r="D14572">
        <f>11</f>
        <v>11</v>
      </c>
      <c r="E14572" t="str">
        <f>"05 - B - 103 - Heidi M Knopp"</f>
        <v>05 - B - 103 - Heidi M Knopp</v>
      </c>
      <c r="F14572" t="str">
        <f>"ENG HON 3"</f>
        <v>ENG HON 3</v>
      </c>
      <c r="G14572" t="str">
        <f>"17-1723"</f>
        <v>17-1723</v>
      </c>
      <c r="H14572" t="str">
        <f>"B"</f>
        <v>B</v>
      </c>
    </row>
    <row r="14573" spans="1:8" x14ac:dyDescent="0.2">
      <c r="A14573" t="str">
        <f t="shared" si="5287"/>
        <v>0622069670</v>
      </c>
      <c r="B14573" t="str">
        <f t="shared" si="5288"/>
        <v>MARIA</v>
      </c>
      <c r="C14573" t="str">
        <f t="shared" si="5289"/>
        <v>ROA CARRILLO</v>
      </c>
      <c r="D14573">
        <f>11</f>
        <v>11</v>
      </c>
      <c r="E14573" t="str">
        <f>"01 - S1 - A - 101 - Jordana K Hass"</f>
        <v>01 - S1 - A - 101 - Jordana K Hass</v>
      </c>
      <c r="F14573" t="str">
        <f>"PRIN OF AERO SCI"</f>
        <v>PRIN OF AERO SCI</v>
      </c>
      <c r="G14573" t="str">
        <f>"08-807"</f>
        <v>08-807</v>
      </c>
      <c r="H14573" t="str">
        <f>"A"</f>
        <v>A</v>
      </c>
    </row>
    <row r="14574" spans="1:8" x14ac:dyDescent="0.2">
      <c r="A14574" t="str">
        <f t="shared" si="5287"/>
        <v>0622069670</v>
      </c>
      <c r="B14574" t="str">
        <f t="shared" si="5288"/>
        <v>MARIA</v>
      </c>
      <c r="C14574" t="str">
        <f t="shared" si="5289"/>
        <v>ROA CARRILLO</v>
      </c>
      <c r="D14574">
        <f>11</f>
        <v>11</v>
      </c>
      <c r="E14574" t="str">
        <f>"08 - B - 205 - Daniel S Tyson"</f>
        <v>08 - B - 205 - Daniel S Tyson</v>
      </c>
      <c r="F14574" t="str">
        <f>"JROTC NAVAL SCI 3"</f>
        <v>JROTC NAVAL SCI 3</v>
      </c>
      <c r="G14574" t="str">
        <f>"05-510"</f>
        <v>05-510</v>
      </c>
      <c r="H14574" t="str">
        <f>"B"</f>
        <v>B</v>
      </c>
    </row>
    <row r="14575" spans="1:8" x14ac:dyDescent="0.2">
      <c r="A14575" t="str">
        <f t="shared" ref="A14575:A14582" si="5290">"0617063037"</f>
        <v>0617063037</v>
      </c>
      <c r="B14575" t="str">
        <f t="shared" ref="B14575:B14582" si="5291">"MARIAH"</f>
        <v>MARIAH</v>
      </c>
      <c r="C14575" t="str">
        <f t="shared" ref="C14575:C14582" si="5292">"ROBERTS"</f>
        <v>ROBERTS</v>
      </c>
      <c r="D14575" t="str">
        <f t="shared" ref="D14575:D14582" si="5293">"09"</f>
        <v>09</v>
      </c>
      <c r="E14575" t="str">
        <f>"04 - A - 201 - Dorothy D Moore"</f>
        <v>04 - A - 201 - Dorothy D Moore</v>
      </c>
      <c r="F14575" t="str">
        <f>"HEALTH SCI 1/A&amp;P HON"</f>
        <v>HEALTH SCI 1/A&amp;P HON</v>
      </c>
      <c r="G14575" t="str">
        <f>"08-803"</f>
        <v>08-803</v>
      </c>
      <c r="H14575" t="str">
        <f>"A"</f>
        <v>A</v>
      </c>
    </row>
    <row r="14576" spans="1:8" x14ac:dyDescent="0.2">
      <c r="A14576" t="str">
        <f t="shared" si="5290"/>
        <v>0617063037</v>
      </c>
      <c r="B14576" t="str">
        <f t="shared" si="5291"/>
        <v>MARIAH</v>
      </c>
      <c r="C14576" t="str">
        <f t="shared" si="5292"/>
        <v>ROBERTS</v>
      </c>
      <c r="D14576" t="str">
        <f t="shared" si="5293"/>
        <v>09</v>
      </c>
      <c r="E14576" t="str">
        <f>"06 - B - 104 - Rory T Sponsler"</f>
        <v>06 - B - 104 - Rory T Sponsler</v>
      </c>
      <c r="F14576" t="str">
        <f>"PRE-AICE WRLD HST IG"</f>
        <v>PRE-AICE WRLD HST IG</v>
      </c>
      <c r="G14576" t="str">
        <f>"17-1740"</f>
        <v>17-1740</v>
      </c>
      <c r="H14576" t="str">
        <f>"B"</f>
        <v>B</v>
      </c>
    </row>
    <row r="14577" spans="1:8" x14ac:dyDescent="0.2">
      <c r="A14577" t="str">
        <f t="shared" si="5290"/>
        <v>0617063037</v>
      </c>
      <c r="B14577" t="str">
        <f t="shared" si="5291"/>
        <v>MARIAH</v>
      </c>
      <c r="C14577" t="str">
        <f t="shared" si="5292"/>
        <v>ROBERTS</v>
      </c>
      <c r="D14577" t="str">
        <f t="shared" si="5293"/>
        <v>09</v>
      </c>
      <c r="E14577" t="str">
        <f>"03 - A - 101 - Rosa Elaine  Collado-Duff"</f>
        <v>03 - A - 101 - Rosa Elaine  Collado-Duff</v>
      </c>
      <c r="F14577" t="str">
        <f>"SPANISH 3 HON"</f>
        <v>SPANISH 3 HON</v>
      </c>
      <c r="G14577" t="str">
        <f>"09-913"</f>
        <v>09-913</v>
      </c>
      <c r="H14577" t="str">
        <f>"A"</f>
        <v>A</v>
      </c>
    </row>
    <row r="14578" spans="1:8" x14ac:dyDescent="0.2">
      <c r="A14578" t="str">
        <f t="shared" si="5290"/>
        <v>0617063037</v>
      </c>
      <c r="B14578" t="str">
        <f t="shared" si="5291"/>
        <v>MARIAH</v>
      </c>
      <c r="C14578" t="str">
        <f t="shared" si="5292"/>
        <v>ROBERTS</v>
      </c>
      <c r="D14578" t="str">
        <f t="shared" si="5293"/>
        <v>09</v>
      </c>
      <c r="E14578" t="str">
        <f>"02 - A - 115 - Lourivaldo  Da Silva"</f>
        <v>02 - A - 115 - Lourivaldo  Da Silva</v>
      </c>
      <c r="F14578" t="str">
        <f>"NC STUDY HALL 1"</f>
        <v>NC STUDY HALL 1</v>
      </c>
      <c r="G14578" t="str">
        <f>"20-2079"</f>
        <v>20-2079</v>
      </c>
      <c r="H14578" t="str">
        <f>"A"</f>
        <v>A</v>
      </c>
    </row>
    <row r="14579" spans="1:8" x14ac:dyDescent="0.2">
      <c r="A14579" t="str">
        <f t="shared" si="5290"/>
        <v>0617063037</v>
      </c>
      <c r="B14579" t="str">
        <f t="shared" si="5291"/>
        <v>MARIAH</v>
      </c>
      <c r="C14579" t="str">
        <f t="shared" si="5292"/>
        <v>ROBERTS</v>
      </c>
      <c r="D14579" t="str">
        <f t="shared" si="5293"/>
        <v>09</v>
      </c>
      <c r="E14579" t="str">
        <f>"07 - B - 001 - Maried P Ramos"</f>
        <v>07 - B - 001 - Maried P Ramos</v>
      </c>
      <c r="F14579" t="str">
        <f>"GEOMETRY"</f>
        <v>GEOMETRY</v>
      </c>
      <c r="G14579" t="str">
        <f>"21-2159"</f>
        <v>21-2159</v>
      </c>
      <c r="H14579" t="str">
        <f>"B"</f>
        <v>B</v>
      </c>
    </row>
    <row r="14580" spans="1:8" x14ac:dyDescent="0.2">
      <c r="A14580" t="str">
        <f t="shared" si="5290"/>
        <v>0617063037</v>
      </c>
      <c r="B14580" t="str">
        <f t="shared" si="5291"/>
        <v>MARIAH</v>
      </c>
      <c r="C14580" t="str">
        <f t="shared" si="5292"/>
        <v>ROBERTS</v>
      </c>
      <c r="D14580" t="str">
        <f t="shared" si="5293"/>
        <v>09</v>
      </c>
      <c r="E14580" t="str">
        <f>"05 - B - 102 - Emmily A Sarmiento"</f>
        <v>05 - B - 102 - Emmily A Sarmiento</v>
      </c>
      <c r="F14580" t="str">
        <f>"LEAD SKLS DEV LH"</f>
        <v>LEAD SKLS DEV LH</v>
      </c>
      <c r="G14580" t="str">
        <f>"17-1743"</f>
        <v>17-1743</v>
      </c>
      <c r="H14580" t="str">
        <f>"B"</f>
        <v>B</v>
      </c>
    </row>
    <row r="14581" spans="1:8" x14ac:dyDescent="0.2">
      <c r="A14581" t="str">
        <f t="shared" si="5290"/>
        <v>0617063037</v>
      </c>
      <c r="B14581" t="str">
        <f t="shared" si="5291"/>
        <v>MARIAH</v>
      </c>
      <c r="C14581" t="str">
        <f t="shared" si="5292"/>
        <v>ROBERTS</v>
      </c>
      <c r="D14581" t="str">
        <f t="shared" si="5293"/>
        <v>09</v>
      </c>
      <c r="E14581" t="str">
        <f>"01 - S1 - A - 101 - Leslie J Barton"</f>
        <v>01 - S1 - A - 101 - Leslie J Barton</v>
      </c>
      <c r="F14581" t="str">
        <f>"FIRST AID SAFETY"</f>
        <v>FIRST AID SAFETY</v>
      </c>
      <c r="G14581" t="str">
        <f>"05-521"</f>
        <v>05-521</v>
      </c>
      <c r="H14581" t="str">
        <f>"A"</f>
        <v>A</v>
      </c>
    </row>
    <row r="14582" spans="1:8" x14ac:dyDescent="0.2">
      <c r="A14582" t="str">
        <f t="shared" si="5290"/>
        <v>0617063037</v>
      </c>
      <c r="B14582" t="str">
        <f t="shared" si="5291"/>
        <v>MARIAH</v>
      </c>
      <c r="C14582" t="str">
        <f t="shared" si="5292"/>
        <v>ROBERTS</v>
      </c>
      <c r="D14582" t="str">
        <f t="shared" si="5293"/>
        <v>09</v>
      </c>
      <c r="E14582" t="str">
        <f>"08 - B - 201 - Elizabeth R Walker"</f>
        <v>08 - B - 201 - Elizabeth R Walker</v>
      </c>
      <c r="F14582" t="str">
        <f>"AICE ENG GEN PAPER 1"</f>
        <v>AICE ENG GEN PAPER 1</v>
      </c>
      <c r="G14582" t="str">
        <f>"17-1703"</f>
        <v>17-1703</v>
      </c>
      <c r="H14582" t="str">
        <f>"B"</f>
        <v>B</v>
      </c>
    </row>
    <row r="14583" spans="1:8" x14ac:dyDescent="0.2">
      <c r="A14583" t="str">
        <f t="shared" ref="A14583:A14590" si="5294">"0615026107"</f>
        <v>0615026107</v>
      </c>
      <c r="B14583" t="str">
        <f t="shared" ref="B14583:B14590" si="5295">"BRANICIA"</f>
        <v>BRANICIA</v>
      </c>
      <c r="C14583" t="str">
        <f t="shared" ref="C14583:C14622" si="5296">"ROBINSON"</f>
        <v>ROBINSON</v>
      </c>
      <c r="D14583">
        <f>10</f>
        <v>10</v>
      </c>
      <c r="E14583" t="str">
        <f>"04 - A - 105 - Jacquelyn M Neeson"</f>
        <v>04 - A - 105 - Jacquelyn M Neeson</v>
      </c>
      <c r="F14583" t="str">
        <f>"ENG 2"</f>
        <v>ENG 2</v>
      </c>
      <c r="G14583" t="str">
        <f>"17-1715"</f>
        <v>17-1715</v>
      </c>
      <c r="H14583" t="str">
        <f>"A"</f>
        <v>A</v>
      </c>
    </row>
    <row r="14584" spans="1:8" x14ac:dyDescent="0.2">
      <c r="A14584" t="str">
        <f t="shared" si="5294"/>
        <v>0615026107</v>
      </c>
      <c r="B14584" t="str">
        <f t="shared" si="5295"/>
        <v>BRANICIA</v>
      </c>
      <c r="C14584" t="str">
        <f t="shared" si="5296"/>
        <v>ROBINSON</v>
      </c>
      <c r="D14584">
        <f>10</f>
        <v>10</v>
      </c>
      <c r="E14584" t="str">
        <f>"06 - B - 105 - Jeffrey S Gallagher"</f>
        <v>06 - B - 105 - Jeffrey S Gallagher</v>
      </c>
      <c r="F14584" t="str">
        <f>"NC STUDY HALL 1"</f>
        <v>NC STUDY HALL 1</v>
      </c>
      <c r="G14584" t="str">
        <f>"17-1724"</f>
        <v>17-1724</v>
      </c>
      <c r="H14584" t="str">
        <f>"B"</f>
        <v>B</v>
      </c>
    </row>
    <row r="14585" spans="1:8" x14ac:dyDescent="0.2">
      <c r="A14585" t="str">
        <f t="shared" si="5294"/>
        <v>0615026107</v>
      </c>
      <c r="B14585" t="str">
        <f t="shared" si="5295"/>
        <v>BRANICIA</v>
      </c>
      <c r="C14585" t="str">
        <f t="shared" si="5296"/>
        <v>ROBINSON</v>
      </c>
      <c r="D14585">
        <f>10</f>
        <v>10</v>
      </c>
      <c r="E14585" t="str">
        <f>"03 - A - 109 - Lissa C Frederique"</f>
        <v>03 - A - 109 - Lissa C Frederique</v>
      </c>
      <c r="F14585" t="str">
        <f>"WORLD HISTORY"</f>
        <v>WORLD HISTORY</v>
      </c>
      <c r="G14585" t="str">
        <f>"17-1754"</f>
        <v>17-1754</v>
      </c>
      <c r="H14585" t="str">
        <f>"A"</f>
        <v>A</v>
      </c>
    </row>
    <row r="14586" spans="1:8" x14ac:dyDescent="0.2">
      <c r="A14586" t="str">
        <f t="shared" si="5294"/>
        <v>0615026107</v>
      </c>
      <c r="B14586" t="str">
        <f t="shared" si="5295"/>
        <v>BRANICIA</v>
      </c>
      <c r="C14586" t="str">
        <f t="shared" si="5296"/>
        <v>ROBINSON</v>
      </c>
      <c r="D14586">
        <f>10</f>
        <v>10</v>
      </c>
      <c r="E14586" t="str">
        <f>"02 - A - 102 - Marius D Orsolini"</f>
        <v>02 - A - 102 - Marius D Orsolini</v>
      </c>
      <c r="F14586" t="str">
        <f>"CULINARY ARTS 1"</f>
        <v>CULINARY ARTS 1</v>
      </c>
      <c r="G14586" t="str">
        <f>"21-2115"</f>
        <v>21-2115</v>
      </c>
      <c r="H14586" t="str">
        <f>"A"</f>
        <v>A</v>
      </c>
    </row>
    <row r="14587" spans="1:8" x14ac:dyDescent="0.2">
      <c r="A14587" t="str">
        <f t="shared" si="5294"/>
        <v>0615026107</v>
      </c>
      <c r="B14587" t="str">
        <f t="shared" si="5295"/>
        <v>BRANICIA</v>
      </c>
      <c r="C14587" t="str">
        <f t="shared" si="5296"/>
        <v>ROBINSON</v>
      </c>
      <c r="D14587">
        <f>10</f>
        <v>10</v>
      </c>
      <c r="E14587" t="str">
        <f>"07 - B - 107 - Milca  Exantus"</f>
        <v>07 - B - 107 - Milca  Exantus</v>
      </c>
      <c r="F14587" t="str">
        <f>"MATH COLLEGE LIB ART"</f>
        <v>MATH COLLEGE LIB ART</v>
      </c>
      <c r="G14587" t="str">
        <f>"21-2145"</f>
        <v>21-2145</v>
      </c>
      <c r="H14587" t="str">
        <f>"B"</f>
        <v>B</v>
      </c>
    </row>
    <row r="14588" spans="1:8" x14ac:dyDescent="0.2">
      <c r="A14588" t="str">
        <f t="shared" si="5294"/>
        <v>0615026107</v>
      </c>
      <c r="B14588" t="str">
        <f t="shared" si="5295"/>
        <v>BRANICIA</v>
      </c>
      <c r="C14588" t="str">
        <f t="shared" si="5296"/>
        <v>ROBINSON</v>
      </c>
      <c r="D14588">
        <f>10</f>
        <v>10</v>
      </c>
      <c r="E14588" t="str">
        <f>"05 - B - 103 - Eva T Rimmer"</f>
        <v>05 - B - 103 - Eva T Rimmer</v>
      </c>
      <c r="F14588" t="str">
        <f>"CRIMINAL JUST OPS 1"</f>
        <v>CRIMINAL JUST OPS 1</v>
      </c>
      <c r="G14588" t="str">
        <f>"05-523"</f>
        <v>05-523</v>
      </c>
      <c r="H14588" t="str">
        <f>"B"</f>
        <v>B</v>
      </c>
    </row>
    <row r="14589" spans="1:8" x14ac:dyDescent="0.2">
      <c r="A14589" t="str">
        <f t="shared" si="5294"/>
        <v>0615026107</v>
      </c>
      <c r="B14589" t="str">
        <f t="shared" si="5295"/>
        <v>BRANICIA</v>
      </c>
      <c r="C14589" t="str">
        <f t="shared" si="5296"/>
        <v>ROBINSON</v>
      </c>
      <c r="D14589">
        <f>10</f>
        <v>10</v>
      </c>
      <c r="E14589" t="str">
        <f>"01 - S1 - A - 101 - Richard E Dunbar Iii"</f>
        <v>01 - S1 - A - 101 - Richard E Dunbar Iii</v>
      </c>
      <c r="F14589" t="str">
        <f>"WEIGHT TRAIN 1"</f>
        <v>WEIGHT TRAIN 1</v>
      </c>
      <c r="G14589" t="str">
        <f>"05-501"</f>
        <v>05-501</v>
      </c>
      <c r="H14589" t="str">
        <f>"A"</f>
        <v>A</v>
      </c>
    </row>
    <row r="14590" spans="1:8" x14ac:dyDescent="0.2">
      <c r="A14590" t="str">
        <f t="shared" si="5294"/>
        <v>0615026107</v>
      </c>
      <c r="B14590" t="str">
        <f t="shared" si="5295"/>
        <v>BRANICIA</v>
      </c>
      <c r="C14590" t="str">
        <f t="shared" si="5296"/>
        <v>ROBINSON</v>
      </c>
      <c r="D14590">
        <f>10</f>
        <v>10</v>
      </c>
      <c r="E14590" t="str">
        <f>"08 - B - 108 - Paige Lauren  Brochu"</f>
        <v>08 - B - 108 - Paige Lauren  Brochu</v>
      </c>
      <c r="F14590" t="str">
        <f>"BIOLOGY 1"</f>
        <v>BIOLOGY 1</v>
      </c>
      <c r="G14590" t="str">
        <f>"21-2134"</f>
        <v>21-2134</v>
      </c>
      <c r="H14590" t="str">
        <f>"B"</f>
        <v>B</v>
      </c>
    </row>
    <row r="14591" spans="1:8" x14ac:dyDescent="0.2">
      <c r="A14591" t="str">
        <f t="shared" ref="A14591:A14598" si="5297">"0616105211"</f>
        <v>0616105211</v>
      </c>
      <c r="B14591" t="str">
        <f t="shared" ref="B14591:B14598" si="5298">"JAYLA"</f>
        <v>JAYLA</v>
      </c>
      <c r="C14591" t="str">
        <f t="shared" si="5296"/>
        <v>ROBINSON</v>
      </c>
      <c r="D14591" t="str">
        <f t="shared" ref="D14591:D14598" si="5299">"09"</f>
        <v>09</v>
      </c>
      <c r="E14591" t="str">
        <f>"04 - A - 103 - Lenecy  Nodarse"</f>
        <v>04 - A - 103 - Lenecy  Nodarse</v>
      </c>
      <c r="F14591" t="str">
        <f>"WORLD HISTORY"</f>
        <v>WORLD HISTORY</v>
      </c>
      <c r="G14591" t="str">
        <f>"17-1741"</f>
        <v>17-1741</v>
      </c>
      <c r="H14591" t="str">
        <f>"A"</f>
        <v>A</v>
      </c>
    </row>
    <row r="14592" spans="1:8" x14ac:dyDescent="0.2">
      <c r="A14592" t="str">
        <f t="shared" si="5297"/>
        <v>0616105211</v>
      </c>
      <c r="B14592" t="str">
        <f t="shared" si="5298"/>
        <v>JAYLA</v>
      </c>
      <c r="C14592" t="str">
        <f t="shared" si="5296"/>
        <v>ROBINSON</v>
      </c>
      <c r="D14592" t="str">
        <f t="shared" si="5299"/>
        <v>09</v>
      </c>
      <c r="E14592" t="str">
        <f>"06 - B - 002 - Amy Beth  Broyles"</f>
        <v>06 - B - 002 - Amy Beth  Broyles</v>
      </c>
      <c r="F14592" t="str">
        <f>"ENV SCI"</f>
        <v>ENV SCI</v>
      </c>
      <c r="G14592" t="str">
        <f>"08-802"</f>
        <v>08-802</v>
      </c>
      <c r="H14592" t="str">
        <f>"B"</f>
        <v>B</v>
      </c>
    </row>
    <row r="14593" spans="1:8" x14ac:dyDescent="0.2">
      <c r="A14593" t="str">
        <f t="shared" si="5297"/>
        <v>0616105211</v>
      </c>
      <c r="B14593" t="str">
        <f t="shared" si="5298"/>
        <v>JAYLA</v>
      </c>
      <c r="C14593" t="str">
        <f t="shared" si="5296"/>
        <v>ROBINSON</v>
      </c>
      <c r="D14593" t="str">
        <f t="shared" si="5299"/>
        <v>09</v>
      </c>
      <c r="E14593" t="str">
        <f>"03 - A - 101 - Milca  Exantus"</f>
        <v>03 - A - 101 - Milca  Exantus</v>
      </c>
      <c r="F14593" t="str">
        <f>"ALGEBRA 1-A"</f>
        <v>ALGEBRA 1-A</v>
      </c>
      <c r="G14593" t="str">
        <f>"21-2145"</f>
        <v>21-2145</v>
      </c>
      <c r="H14593" t="str">
        <f>"A"</f>
        <v>A</v>
      </c>
    </row>
    <row r="14594" spans="1:8" x14ac:dyDescent="0.2">
      <c r="A14594" t="str">
        <f t="shared" si="5297"/>
        <v>0616105211</v>
      </c>
      <c r="B14594" t="str">
        <f t="shared" si="5298"/>
        <v>JAYLA</v>
      </c>
      <c r="C14594" t="str">
        <f t="shared" si="5296"/>
        <v>ROBINSON</v>
      </c>
      <c r="D14594" t="str">
        <f t="shared" si="5299"/>
        <v>09</v>
      </c>
      <c r="E14594" t="str">
        <f>"02 - A - 111 - Cheryl L Beach"</f>
        <v>02 - A - 111 - Cheryl L Beach</v>
      </c>
      <c r="F14594" t="str">
        <f>"NC STUDY HALL 1"</f>
        <v>NC STUDY HALL 1</v>
      </c>
      <c r="G14594" t="str">
        <f>"08-811"</f>
        <v>08-811</v>
      </c>
      <c r="H14594" t="str">
        <f>"A"</f>
        <v>A</v>
      </c>
    </row>
    <row r="14595" spans="1:8" x14ac:dyDescent="0.2">
      <c r="A14595" t="str">
        <f t="shared" si="5297"/>
        <v>0616105211</v>
      </c>
      <c r="B14595" t="str">
        <f t="shared" si="5298"/>
        <v>JAYLA</v>
      </c>
      <c r="C14595" t="str">
        <f t="shared" si="5296"/>
        <v>ROBINSON</v>
      </c>
      <c r="D14595" t="str">
        <f t="shared" si="5299"/>
        <v>09</v>
      </c>
      <c r="E14595" t="str">
        <f>"07 - B - 105 - Laselleda D Shaw"</f>
        <v>07 - B - 105 - Laselleda D Shaw</v>
      </c>
      <c r="F14595" t="str">
        <f>"INTENS READ 1"</f>
        <v>INTENS READ 1</v>
      </c>
      <c r="G14595" t="str">
        <f>"17-1723"</f>
        <v>17-1723</v>
      </c>
      <c r="H14595" t="str">
        <f>"B"</f>
        <v>B</v>
      </c>
    </row>
    <row r="14596" spans="1:8" x14ac:dyDescent="0.2">
      <c r="A14596" t="str">
        <f t="shared" si="5297"/>
        <v>0616105211</v>
      </c>
      <c r="B14596" t="str">
        <f t="shared" si="5298"/>
        <v>JAYLA</v>
      </c>
      <c r="C14596" t="str">
        <f t="shared" si="5296"/>
        <v>ROBINSON</v>
      </c>
      <c r="D14596" t="str">
        <f t="shared" si="5299"/>
        <v>09</v>
      </c>
      <c r="E14596" t="str">
        <f>"05 - B - 104 - Cerine S Stewart"</f>
        <v>05 - B - 104 - Cerine S Stewart</v>
      </c>
      <c r="F14596" t="str">
        <f>"ENG 1"</f>
        <v>ENG 1</v>
      </c>
      <c r="G14596" t="str">
        <f>"17-1720"</f>
        <v>17-1720</v>
      </c>
      <c r="H14596" t="str">
        <f>"B"</f>
        <v>B</v>
      </c>
    </row>
    <row r="14597" spans="1:8" x14ac:dyDescent="0.2">
      <c r="A14597" t="str">
        <f t="shared" si="5297"/>
        <v>0616105211</v>
      </c>
      <c r="B14597" t="str">
        <f t="shared" si="5298"/>
        <v>JAYLA</v>
      </c>
      <c r="C14597" t="str">
        <f t="shared" si="5296"/>
        <v>ROBINSON</v>
      </c>
      <c r="D14597" t="str">
        <f t="shared" si="5299"/>
        <v>09</v>
      </c>
      <c r="E14597" t="str">
        <f>"01 - A - 101 - Samantha L Martinez"</f>
        <v>01 - A - 101 - Samantha L Martinez</v>
      </c>
      <c r="F14597" t="str">
        <f>"MUSIC WORLD"</f>
        <v>MUSIC WORLD</v>
      </c>
      <c r="G14597" t="str">
        <f>"05-505"</f>
        <v>05-505</v>
      </c>
      <c r="H14597" t="str">
        <f>"A"</f>
        <v>A</v>
      </c>
    </row>
    <row r="14598" spans="1:8" x14ac:dyDescent="0.2">
      <c r="A14598" t="str">
        <f t="shared" si="5297"/>
        <v>0616105211</v>
      </c>
      <c r="B14598" t="str">
        <f t="shared" si="5298"/>
        <v>JAYLA</v>
      </c>
      <c r="C14598" t="str">
        <f t="shared" si="5296"/>
        <v>ROBINSON</v>
      </c>
      <c r="D14598" t="str">
        <f t="shared" si="5299"/>
        <v>09</v>
      </c>
      <c r="E14598" t="str">
        <f>"08 - S1 - B - 104 - Angela S Adeshina-Morrison"</f>
        <v>08 - S1 - B - 104 - Angela S Adeshina-Morrison</v>
      </c>
      <c r="F14598" t="str">
        <f>"PEER COUN 1"</f>
        <v>PEER COUN 1</v>
      </c>
      <c r="G14598" t="str">
        <f>"05-518"</f>
        <v>05-518</v>
      </c>
      <c r="H14598" t="str">
        <f>"B"</f>
        <v>B</v>
      </c>
    </row>
    <row r="14599" spans="1:8" x14ac:dyDescent="0.2">
      <c r="A14599" t="str">
        <f t="shared" ref="A14599:A14606" si="5300">"0615014213"</f>
        <v>0615014213</v>
      </c>
      <c r="B14599" t="str">
        <f t="shared" ref="B14599:B14606" si="5301">"JENESE"</f>
        <v>JENESE</v>
      </c>
      <c r="C14599" t="str">
        <f t="shared" si="5296"/>
        <v>ROBINSON</v>
      </c>
      <c r="D14599">
        <f>10</f>
        <v>10</v>
      </c>
      <c r="E14599" t="str">
        <f>"04 - A - 102 - Daniel S Katz"</f>
        <v>04 - A - 102 - Daniel S Katz</v>
      </c>
      <c r="F14599" t="str">
        <f>"AICE DRAMA 1 AS LEV"</f>
        <v>AICE DRAMA 1 AS LEV</v>
      </c>
      <c r="G14599" t="str">
        <f>"05-521"</f>
        <v>05-521</v>
      </c>
      <c r="H14599" t="str">
        <f>"A"</f>
        <v>A</v>
      </c>
    </row>
    <row r="14600" spans="1:8" x14ac:dyDescent="0.2">
      <c r="A14600" t="str">
        <f t="shared" si="5300"/>
        <v>0615014213</v>
      </c>
      <c r="B14600" t="str">
        <f t="shared" si="5301"/>
        <v>JENESE</v>
      </c>
      <c r="C14600" t="str">
        <f t="shared" si="5296"/>
        <v>ROBINSON</v>
      </c>
      <c r="D14600">
        <f>10</f>
        <v>10</v>
      </c>
      <c r="E14600" t="str">
        <f>"06 - B - 109 - Semra  Bahadir"</f>
        <v>06 - B - 109 - Semra  Bahadir</v>
      </c>
      <c r="F14600" t="str">
        <f>"NC STUDY HALL 1"</f>
        <v>NC STUDY HALL 1</v>
      </c>
      <c r="G14600" t="str">
        <f>"21-2107"</f>
        <v>21-2107</v>
      </c>
      <c r="H14600" t="str">
        <f>"B"</f>
        <v>B</v>
      </c>
    </row>
    <row r="14601" spans="1:8" x14ac:dyDescent="0.2">
      <c r="A14601" t="str">
        <f t="shared" si="5300"/>
        <v>0615014213</v>
      </c>
      <c r="B14601" t="str">
        <f t="shared" si="5301"/>
        <v>JENESE</v>
      </c>
      <c r="C14601" t="str">
        <f t="shared" si="5296"/>
        <v>ROBINSON</v>
      </c>
      <c r="D14601">
        <f>10</f>
        <v>10</v>
      </c>
      <c r="E14601" t="str">
        <f>"03 - A - 202 - Cheryl L Beach"</f>
        <v>03 - A - 202 - Cheryl L Beach</v>
      </c>
      <c r="F14601" t="str">
        <f>"AICE ENV MGMNT AS"</f>
        <v>AICE ENV MGMNT AS</v>
      </c>
      <c r="G14601" t="str">
        <f>"08-811"</f>
        <v>08-811</v>
      </c>
      <c r="H14601" t="str">
        <f>"A"</f>
        <v>A</v>
      </c>
    </row>
    <row r="14602" spans="1:8" x14ac:dyDescent="0.2">
      <c r="A14602" t="str">
        <f t="shared" si="5300"/>
        <v>0615014213</v>
      </c>
      <c r="B14602" t="str">
        <f t="shared" si="5301"/>
        <v>JENESE</v>
      </c>
      <c r="C14602" t="str">
        <f t="shared" si="5296"/>
        <v>ROBINSON</v>
      </c>
      <c r="D14602">
        <f>10</f>
        <v>10</v>
      </c>
      <c r="E14602" t="str">
        <f>"02 - A - 102 - Taraneh C Abreu"</f>
        <v>02 - A - 102 - Taraneh C Abreu</v>
      </c>
      <c r="F14602" t="str">
        <f>"INTENS READ 2"</f>
        <v>INTENS READ 2</v>
      </c>
      <c r="G14602" t="str">
        <f>"17-1713"</f>
        <v>17-1713</v>
      </c>
      <c r="H14602" t="str">
        <f>"A"</f>
        <v>A</v>
      </c>
    </row>
    <row r="14603" spans="1:8" x14ac:dyDescent="0.2">
      <c r="A14603" t="str">
        <f t="shared" si="5300"/>
        <v>0615014213</v>
      </c>
      <c r="B14603" t="str">
        <f t="shared" si="5301"/>
        <v>JENESE</v>
      </c>
      <c r="C14603" t="str">
        <f t="shared" si="5296"/>
        <v>ROBINSON</v>
      </c>
      <c r="D14603">
        <f>10</f>
        <v>10</v>
      </c>
      <c r="E14603" t="str">
        <f>"07 - B - 207 - Krystal Marie  Beruty"</f>
        <v>07 - B - 207 - Krystal Marie  Beruty</v>
      </c>
      <c r="F14603" t="str">
        <f>"AICE GLBL PERSP 1 AS"</f>
        <v>AICE GLBL PERSP 1 AS</v>
      </c>
      <c r="G14603" t="str">
        <f>"17-1721"</f>
        <v>17-1721</v>
      </c>
      <c r="H14603" t="str">
        <f>"B"</f>
        <v>B</v>
      </c>
    </row>
    <row r="14604" spans="1:8" x14ac:dyDescent="0.2">
      <c r="A14604" t="str">
        <f t="shared" si="5300"/>
        <v>0615014213</v>
      </c>
      <c r="B14604" t="str">
        <f t="shared" si="5301"/>
        <v>JENESE</v>
      </c>
      <c r="C14604" t="str">
        <f t="shared" si="5296"/>
        <v>ROBINSON</v>
      </c>
      <c r="D14604">
        <f>10</f>
        <v>10</v>
      </c>
      <c r="E14604" t="str">
        <f>"05 - S1 - B - 102 - Lissa C Frederique"</f>
        <v>05 - S1 - B - 102 - Lissa C Frederique</v>
      </c>
      <c r="F14604" t="str">
        <f>"PERS FIN &amp; MON MGT H"</f>
        <v>PERS FIN &amp; MON MGT H</v>
      </c>
      <c r="G14604" t="str">
        <f>"17-1754"</f>
        <v>17-1754</v>
      </c>
      <c r="H14604" t="str">
        <f>"B"</f>
        <v>B</v>
      </c>
    </row>
    <row r="14605" spans="1:8" x14ac:dyDescent="0.2">
      <c r="A14605" t="str">
        <f t="shared" si="5300"/>
        <v>0615014213</v>
      </c>
      <c r="B14605" t="str">
        <f t="shared" si="5301"/>
        <v>JENESE</v>
      </c>
      <c r="C14605" t="str">
        <f t="shared" si="5296"/>
        <v>ROBINSON</v>
      </c>
      <c r="D14605">
        <f>10</f>
        <v>10</v>
      </c>
      <c r="E14605" t="str">
        <f>"01 - A - 101 - Courtney E Hambright"</f>
        <v>01 - A - 101 - Courtney E Hambright</v>
      </c>
      <c r="F14605" t="str">
        <f>"AICE ENG LANG AS"</f>
        <v>AICE ENG LANG AS</v>
      </c>
      <c r="G14605" t="str">
        <f>"17-1711"</f>
        <v>17-1711</v>
      </c>
      <c r="H14605" t="str">
        <f>"A"</f>
        <v>A</v>
      </c>
    </row>
    <row r="14606" spans="1:8" x14ac:dyDescent="0.2">
      <c r="A14606" t="str">
        <f t="shared" si="5300"/>
        <v>0615014213</v>
      </c>
      <c r="B14606" t="str">
        <f t="shared" si="5301"/>
        <v>JENESE</v>
      </c>
      <c r="C14606" t="str">
        <f t="shared" si="5296"/>
        <v>ROBINSON</v>
      </c>
      <c r="D14606">
        <f>10</f>
        <v>10</v>
      </c>
      <c r="E14606" t="str">
        <f>"08 - B - 107 - Dayna M Foster"</f>
        <v>08 - B - 107 - Dayna M Foster</v>
      </c>
      <c r="F14606" t="str">
        <f>"ALGEBRA 2"</f>
        <v>ALGEBRA 2</v>
      </c>
      <c r="G14606" t="str">
        <f>"21-2109"</f>
        <v>21-2109</v>
      </c>
      <c r="H14606" t="str">
        <f>"B"</f>
        <v>B</v>
      </c>
    </row>
    <row r="14607" spans="1:8" x14ac:dyDescent="0.2">
      <c r="A14607" t="str">
        <f t="shared" ref="A14607:A14614" si="5302">"0616008808"</f>
        <v>0616008808</v>
      </c>
      <c r="B14607" t="str">
        <f t="shared" ref="B14607:B14614" si="5303">"MIA"</f>
        <v>MIA</v>
      </c>
      <c r="C14607" t="str">
        <f t="shared" si="5296"/>
        <v>ROBINSON</v>
      </c>
      <c r="D14607">
        <f>10</f>
        <v>10</v>
      </c>
      <c r="E14607" t="str">
        <f>"04 - A - 203 - Cheryl L Beach"</f>
        <v>04 - A - 203 - Cheryl L Beach</v>
      </c>
      <c r="F14607" t="str">
        <f>"AICE ENV MGMNT AS"</f>
        <v>AICE ENV MGMNT AS</v>
      </c>
      <c r="G14607" t="str">
        <f>"08-811"</f>
        <v>08-811</v>
      </c>
      <c r="H14607" t="str">
        <f>"A"</f>
        <v>A</v>
      </c>
    </row>
    <row r="14608" spans="1:8" x14ac:dyDescent="0.2">
      <c r="A14608" t="str">
        <f t="shared" si="5302"/>
        <v>0616008808</v>
      </c>
      <c r="B14608" t="str">
        <f t="shared" si="5303"/>
        <v>MIA</v>
      </c>
      <c r="C14608" t="str">
        <f t="shared" si="5296"/>
        <v>ROBINSON</v>
      </c>
      <c r="D14608">
        <f>10</f>
        <v>10</v>
      </c>
      <c r="E14608" t="str">
        <f>"06 - B - 118 - Jeanne M Bermudez"</f>
        <v>06 - B - 118 - Jeanne M Bermudez</v>
      </c>
      <c r="F14608" t="str">
        <f>"NC STUDY HALL 1"</f>
        <v>NC STUDY HALL 1</v>
      </c>
      <c r="G14608" t="str">
        <f>"21-2141"</f>
        <v>21-2141</v>
      </c>
      <c r="H14608" t="str">
        <f>"B"</f>
        <v>B</v>
      </c>
    </row>
    <row r="14609" spans="1:8" x14ac:dyDescent="0.2">
      <c r="A14609" t="str">
        <f t="shared" si="5302"/>
        <v>0616008808</v>
      </c>
      <c r="B14609" t="str">
        <f t="shared" si="5303"/>
        <v>MIA</v>
      </c>
      <c r="C14609" t="str">
        <f t="shared" si="5296"/>
        <v>ROBINSON</v>
      </c>
      <c r="D14609">
        <f>10</f>
        <v>10</v>
      </c>
      <c r="E14609" t="str">
        <f>"03 - A - 103 - Marius D Orsolini"</f>
        <v>03 - A - 103 - Marius D Orsolini</v>
      </c>
      <c r="F14609" t="str">
        <f>"CULINARY ARTS 1"</f>
        <v>CULINARY ARTS 1</v>
      </c>
      <c r="G14609" t="str">
        <f>"21-2115"</f>
        <v>21-2115</v>
      </c>
      <c r="H14609" t="str">
        <f>"A"</f>
        <v>A</v>
      </c>
    </row>
    <row r="14610" spans="1:8" x14ac:dyDescent="0.2">
      <c r="A14610" t="str">
        <f t="shared" si="5302"/>
        <v>0616008808</v>
      </c>
      <c r="B14610" t="str">
        <f t="shared" si="5303"/>
        <v>MIA</v>
      </c>
      <c r="C14610" t="str">
        <f t="shared" si="5296"/>
        <v>ROBINSON</v>
      </c>
      <c r="D14610">
        <f>10</f>
        <v>10</v>
      </c>
      <c r="E14610" t="str">
        <f>"02 - A - 104 - Joe  Kilpatrick Jr"</f>
        <v>02 - A - 104 - Joe  Kilpatrick Jr</v>
      </c>
      <c r="F14610" t="str">
        <f>"PRE-AICE SPAN 2 IG"</f>
        <v>PRE-AICE SPAN 2 IG</v>
      </c>
      <c r="G14610" t="str">
        <f>"09-912"</f>
        <v>09-912</v>
      </c>
      <c r="H14610" t="str">
        <f>"A"</f>
        <v>A</v>
      </c>
    </row>
    <row r="14611" spans="1:8" x14ac:dyDescent="0.2">
      <c r="A14611" t="str">
        <f t="shared" si="5302"/>
        <v>0616008808</v>
      </c>
      <c r="B14611" t="str">
        <f t="shared" si="5303"/>
        <v>MIA</v>
      </c>
      <c r="C14611" t="str">
        <f t="shared" si="5296"/>
        <v>ROBINSON</v>
      </c>
      <c r="D14611">
        <f>10</f>
        <v>10</v>
      </c>
      <c r="E14611" t="str">
        <f>"07 - S1 - B - 105 - Richard E Dunbar Iii"</f>
        <v>07 - S1 - B - 105 - Richard E Dunbar Iii</v>
      </c>
      <c r="F14611" t="str">
        <f>"WEIGHT TRAIN 3"</f>
        <v>WEIGHT TRAIN 3</v>
      </c>
      <c r="G14611" t="str">
        <f>"05-501"</f>
        <v>05-501</v>
      </c>
      <c r="H14611" t="str">
        <f>"B"</f>
        <v>B</v>
      </c>
    </row>
    <row r="14612" spans="1:8" x14ac:dyDescent="0.2">
      <c r="A14612" t="str">
        <f t="shared" si="5302"/>
        <v>0616008808</v>
      </c>
      <c r="B14612" t="str">
        <f t="shared" si="5303"/>
        <v>MIA</v>
      </c>
      <c r="C14612" t="str">
        <f t="shared" si="5296"/>
        <v>ROBINSON</v>
      </c>
      <c r="D14612">
        <f>10</f>
        <v>10</v>
      </c>
      <c r="E14612" t="str">
        <f>"05 - B - 106 - Thomas G Handwerg"</f>
        <v>05 - B - 106 - Thomas G Handwerg</v>
      </c>
      <c r="F14612" t="str">
        <f>"MATH COLL ALGEBRA"</f>
        <v>MATH COLL ALGEBRA</v>
      </c>
      <c r="G14612" t="str">
        <f>"21-2146"</f>
        <v>21-2146</v>
      </c>
      <c r="H14612" t="str">
        <f>"B"</f>
        <v>B</v>
      </c>
    </row>
    <row r="14613" spans="1:8" x14ac:dyDescent="0.2">
      <c r="A14613" t="str">
        <f t="shared" si="5302"/>
        <v>0616008808</v>
      </c>
      <c r="B14613" t="str">
        <f t="shared" si="5303"/>
        <v>MIA</v>
      </c>
      <c r="C14613" t="str">
        <f t="shared" si="5296"/>
        <v>ROBINSON</v>
      </c>
      <c r="D14613">
        <f>10</f>
        <v>10</v>
      </c>
      <c r="E14613" t="str">
        <f>"01 - A - 006 - Emmily A Sarmiento"</f>
        <v>01 - A - 006 - Emmily A Sarmiento</v>
      </c>
      <c r="F14613" t="str">
        <f>"AICE GLBL PERSP 1 AS"</f>
        <v>AICE GLBL PERSP 1 AS</v>
      </c>
      <c r="G14613" t="str">
        <f>"17-1743"</f>
        <v>17-1743</v>
      </c>
      <c r="H14613" t="str">
        <f>"A"</f>
        <v>A</v>
      </c>
    </row>
    <row r="14614" spans="1:8" x14ac:dyDescent="0.2">
      <c r="A14614" t="str">
        <f t="shared" si="5302"/>
        <v>0616008808</v>
      </c>
      <c r="B14614" t="str">
        <f t="shared" si="5303"/>
        <v>MIA</v>
      </c>
      <c r="C14614" t="str">
        <f t="shared" si="5296"/>
        <v>ROBINSON</v>
      </c>
      <c r="D14614">
        <f>10</f>
        <v>10</v>
      </c>
      <c r="E14614" t="str">
        <f>"08 - B - 001 - Jacklyn M James"</f>
        <v>08 - B - 001 - Jacklyn M James</v>
      </c>
      <c r="F14614" t="str">
        <f>"AICE ENG LANG AS"</f>
        <v>AICE ENG LANG AS</v>
      </c>
      <c r="G14614" t="str">
        <f>"17-1731"</f>
        <v>17-1731</v>
      </c>
      <c r="H14614" t="str">
        <f>"B"</f>
        <v>B</v>
      </c>
    </row>
    <row r="14615" spans="1:8" x14ac:dyDescent="0.2">
      <c r="A14615" t="str">
        <f t="shared" ref="A14615:A14622" si="5304">"0614001781"</f>
        <v>0614001781</v>
      </c>
      <c r="B14615" t="str">
        <f t="shared" ref="B14615:B14622" si="5305">"SADE'"</f>
        <v>SADE'</v>
      </c>
      <c r="C14615" t="str">
        <f t="shared" si="5296"/>
        <v>ROBINSON</v>
      </c>
      <c r="D14615">
        <f>12</f>
        <v>12</v>
      </c>
      <c r="E14615" t="str">
        <f>"04 - A - 101 - Alejandro  Navarro"</f>
        <v>04 - A - 101 - Alejandro  Navarro</v>
      </c>
      <c r="F14615" t="str">
        <f>"BAND 6 HON"</f>
        <v>BAND 6 HON</v>
      </c>
      <c r="G14615" t="str">
        <f>"05-504"</f>
        <v>05-504</v>
      </c>
      <c r="H14615" t="str">
        <f>"A"</f>
        <v>A</v>
      </c>
    </row>
    <row r="14616" spans="1:8" x14ac:dyDescent="0.2">
      <c r="A14616" t="str">
        <f t="shared" si="5304"/>
        <v>0614001781</v>
      </c>
      <c r="B14616" t="str">
        <f t="shared" si="5305"/>
        <v>SADE'</v>
      </c>
      <c r="C14616" t="str">
        <f t="shared" si="5296"/>
        <v>ROBINSON</v>
      </c>
      <c r="D14616">
        <f>12</f>
        <v>12</v>
      </c>
      <c r="E14616" t="str">
        <f>"06 - B - 107 - Pamela M Corzo"</f>
        <v>06 - B - 107 - Pamela M Corzo</v>
      </c>
      <c r="F14616" t="str">
        <f>"NC STUDY HALL 1"</f>
        <v>NC STUDY HALL 1</v>
      </c>
      <c r="G14616" t="str">
        <f>"21-2133"</f>
        <v>21-2133</v>
      </c>
      <c r="H14616" t="str">
        <f>"B"</f>
        <v>B</v>
      </c>
    </row>
    <row r="14617" spans="1:8" x14ac:dyDescent="0.2">
      <c r="A14617" t="str">
        <f t="shared" si="5304"/>
        <v>0614001781</v>
      </c>
      <c r="B14617" t="str">
        <f t="shared" si="5305"/>
        <v>SADE'</v>
      </c>
      <c r="C14617" t="str">
        <f t="shared" si="5296"/>
        <v>ROBINSON</v>
      </c>
      <c r="D14617">
        <f>12</f>
        <v>12</v>
      </c>
      <c r="E14617" t="str">
        <f>"03 - A - 101 - Jeffrey S Gallagher"</f>
        <v>03 - A - 101 - Jeffrey S Gallagher</v>
      </c>
      <c r="F14617" t="str">
        <f>"ENG HON 4"</f>
        <v>ENG HON 4</v>
      </c>
      <c r="G14617" t="str">
        <f>"17-1724"</f>
        <v>17-1724</v>
      </c>
      <c r="H14617" t="str">
        <f>"A"</f>
        <v>A</v>
      </c>
    </row>
    <row r="14618" spans="1:8" x14ac:dyDescent="0.2">
      <c r="A14618" t="str">
        <f t="shared" si="5304"/>
        <v>0614001781</v>
      </c>
      <c r="B14618" t="str">
        <f t="shared" si="5305"/>
        <v>SADE'</v>
      </c>
      <c r="C14618" t="str">
        <f t="shared" si="5296"/>
        <v>ROBINSON</v>
      </c>
      <c r="D14618">
        <f>12</f>
        <v>12</v>
      </c>
      <c r="E14618" t="str">
        <f>"02 - A - 201 - Jeanne M Bermudez"</f>
        <v>02 - A - 201 - Jeanne M Bermudez</v>
      </c>
      <c r="F14618" t="str">
        <f>"AP ENV SCI"</f>
        <v>AP ENV SCI</v>
      </c>
      <c r="G14618" t="str">
        <f>"21-2141"</f>
        <v>21-2141</v>
      </c>
      <c r="H14618" t="str">
        <f>"A"</f>
        <v>A</v>
      </c>
    </row>
    <row r="14619" spans="1:8" x14ac:dyDescent="0.2">
      <c r="A14619" t="str">
        <f t="shared" si="5304"/>
        <v>0614001781</v>
      </c>
      <c r="B14619" t="str">
        <f t="shared" si="5305"/>
        <v>SADE'</v>
      </c>
      <c r="C14619" t="str">
        <f t="shared" si="5296"/>
        <v>ROBINSON</v>
      </c>
      <c r="D14619">
        <f>12</f>
        <v>12</v>
      </c>
      <c r="E14619" t="str">
        <f>"07 - B - 102 - Thomas G Handwerg"</f>
        <v>07 - B - 102 - Thomas G Handwerg</v>
      </c>
      <c r="F14619" t="str">
        <f>"PROB STAT W/APPS HON"</f>
        <v>PROB STAT W/APPS HON</v>
      </c>
      <c r="G14619" t="str">
        <f>"21-2146"</f>
        <v>21-2146</v>
      </c>
      <c r="H14619" t="str">
        <f>"B"</f>
        <v>B</v>
      </c>
    </row>
    <row r="14620" spans="1:8" x14ac:dyDescent="0.2">
      <c r="A14620" t="str">
        <f t="shared" si="5304"/>
        <v>0614001781</v>
      </c>
      <c r="B14620" t="str">
        <f t="shared" si="5305"/>
        <v>SADE'</v>
      </c>
      <c r="C14620" t="str">
        <f t="shared" si="5296"/>
        <v>ROBINSON</v>
      </c>
      <c r="D14620">
        <f>12</f>
        <v>12</v>
      </c>
      <c r="E14620" t="str">
        <f>"05 - B - 101 - Alejandro  Navarro"</f>
        <v>05 - B - 101 - Alejandro  Navarro</v>
      </c>
      <c r="F14620" t="str">
        <f>"JAZZ ENS 1"</f>
        <v>JAZZ ENS 1</v>
      </c>
      <c r="G14620" t="str">
        <f>"05-504"</f>
        <v>05-504</v>
      </c>
      <c r="H14620" t="str">
        <f>"B"</f>
        <v>B</v>
      </c>
    </row>
    <row r="14621" spans="1:8" x14ac:dyDescent="0.2">
      <c r="A14621" t="str">
        <f t="shared" si="5304"/>
        <v>0614001781</v>
      </c>
      <c r="B14621" t="str">
        <f t="shared" si="5305"/>
        <v>SADE'</v>
      </c>
      <c r="C14621" t="str">
        <f t="shared" si="5296"/>
        <v>ROBINSON</v>
      </c>
      <c r="D14621">
        <f>12</f>
        <v>12</v>
      </c>
      <c r="E14621" t="str">
        <f>"01 - S1 - A - 101 - Leslie J Barton"</f>
        <v>01 - S1 - A - 101 - Leslie J Barton</v>
      </c>
      <c r="F14621" t="str">
        <f>"FIRST AID SAFETY"</f>
        <v>FIRST AID SAFETY</v>
      </c>
      <c r="G14621" t="str">
        <f>"05-521"</f>
        <v>05-521</v>
      </c>
      <c r="H14621" t="str">
        <f>"A"</f>
        <v>A</v>
      </c>
    </row>
    <row r="14622" spans="1:8" x14ac:dyDescent="0.2">
      <c r="A14622" t="str">
        <f t="shared" si="5304"/>
        <v>0614001781</v>
      </c>
      <c r="B14622" t="str">
        <f t="shared" si="5305"/>
        <v>SADE'</v>
      </c>
      <c r="C14622" t="str">
        <f t="shared" si="5296"/>
        <v>ROBINSON</v>
      </c>
      <c r="D14622">
        <f>12</f>
        <v>12</v>
      </c>
      <c r="E14622" t="str">
        <f>"08 - S1 - B - 102 - Stephen T Ripp"</f>
        <v>08 - S1 - B - 102 - Stephen T Ripp</v>
      </c>
      <c r="F14622" t="str">
        <f>"AP US GOVT/POL"</f>
        <v>AP US GOVT/POL</v>
      </c>
      <c r="G14622" t="str">
        <f>"17-1744"</f>
        <v>17-1744</v>
      </c>
      <c r="H14622" t="str">
        <f>"B"</f>
        <v>B</v>
      </c>
    </row>
    <row r="14623" spans="1:8" x14ac:dyDescent="0.2">
      <c r="A14623" t="str">
        <f t="shared" ref="A14623:A14630" si="5306">"0614000810"</f>
        <v>0614000810</v>
      </c>
      <c r="B14623" t="str">
        <f t="shared" ref="B14623:B14630" si="5307">"MARYANNE"</f>
        <v>MARYANNE</v>
      </c>
      <c r="C14623" t="str">
        <f t="shared" ref="C14623:C14630" si="5308">"ROBITAILLE"</f>
        <v>ROBITAILLE</v>
      </c>
      <c r="D14623">
        <f>12</f>
        <v>12</v>
      </c>
      <c r="E14623" t="str">
        <f>"04 - S1 - A - 105 - Robert O Burger"</f>
        <v>04 - S1 - A - 105 - Robert O Burger</v>
      </c>
      <c r="F14623" t="str">
        <f>"US GOVT"</f>
        <v>US GOVT</v>
      </c>
      <c r="G14623" t="str">
        <f>"17-1755"</f>
        <v>17-1755</v>
      </c>
      <c r="H14623" t="str">
        <f>"A"</f>
        <v>A</v>
      </c>
    </row>
    <row r="14624" spans="1:8" x14ac:dyDescent="0.2">
      <c r="A14624" t="str">
        <f t="shared" si="5306"/>
        <v>0614000810</v>
      </c>
      <c r="B14624" t="str">
        <f t="shared" si="5307"/>
        <v>MARYANNE</v>
      </c>
      <c r="C14624" t="str">
        <f t="shared" si="5308"/>
        <v>ROBITAILLE</v>
      </c>
      <c r="D14624">
        <f>12</f>
        <v>12</v>
      </c>
      <c r="E14624" t="str">
        <f>"06 - B - 110 - Barbara L Segal"</f>
        <v>06 - B - 110 - Barbara L Segal</v>
      </c>
      <c r="F14624" t="str">
        <f>"NC STUDY HALL 1"</f>
        <v>NC STUDY HALL 1</v>
      </c>
      <c r="G14624" t="str">
        <f>"17-1742"</f>
        <v>17-1742</v>
      </c>
      <c r="H14624" t="str">
        <f>"B"</f>
        <v>B</v>
      </c>
    </row>
    <row r="14625" spans="1:8" x14ac:dyDescent="0.2">
      <c r="A14625" t="str">
        <f t="shared" si="5306"/>
        <v>0614000810</v>
      </c>
      <c r="B14625" t="str">
        <f t="shared" si="5307"/>
        <v>MARYANNE</v>
      </c>
      <c r="C14625" t="str">
        <f t="shared" si="5308"/>
        <v>ROBITAILLE</v>
      </c>
      <c r="D14625">
        <f>12</f>
        <v>12</v>
      </c>
      <c r="E14625" t="str">
        <f>"03 - A - 101 - Brian M Fitzgerald"</f>
        <v>03 - A - 101 - Brian M Fitzgerald</v>
      </c>
      <c r="F14625" t="str">
        <f>"SCULPT 1"</f>
        <v>SCULPT 1</v>
      </c>
      <c r="G14625" t="str">
        <f>"09-908"</f>
        <v>09-908</v>
      </c>
      <c r="H14625" t="str">
        <f>"A"</f>
        <v>A</v>
      </c>
    </row>
    <row r="14626" spans="1:8" x14ac:dyDescent="0.2">
      <c r="A14626" t="str">
        <f t="shared" si="5306"/>
        <v>0614000810</v>
      </c>
      <c r="B14626" t="str">
        <f t="shared" si="5307"/>
        <v>MARYANNE</v>
      </c>
      <c r="C14626" t="str">
        <f t="shared" si="5308"/>
        <v>ROBITAILLE</v>
      </c>
      <c r="D14626">
        <f>12</f>
        <v>12</v>
      </c>
      <c r="E14626" t="str">
        <f>"02 - A - 101 - Brian M Fitzgerald"</f>
        <v>02 - A - 101 - Brian M Fitzgerald</v>
      </c>
      <c r="F14626" t="str">
        <f>"DRAW 1"</f>
        <v>DRAW 1</v>
      </c>
      <c r="G14626" t="str">
        <f>"09-908"</f>
        <v>09-908</v>
      </c>
      <c r="H14626" t="str">
        <f>"A"</f>
        <v>A</v>
      </c>
    </row>
    <row r="14627" spans="1:8" x14ac:dyDescent="0.2">
      <c r="A14627" t="str">
        <f t="shared" si="5306"/>
        <v>0614000810</v>
      </c>
      <c r="B14627" t="str">
        <f t="shared" si="5307"/>
        <v>MARYANNE</v>
      </c>
      <c r="C14627" t="str">
        <f t="shared" si="5308"/>
        <v>ROBITAILLE</v>
      </c>
      <c r="D14627">
        <f>12</f>
        <v>12</v>
      </c>
      <c r="E14627" t="str">
        <f>"07 - B - 104 - Robyn L Trainer"</f>
        <v>07 - B - 104 - Robyn L Trainer</v>
      </c>
      <c r="F14627" t="str">
        <f>"ENG 4"</f>
        <v>ENG 4</v>
      </c>
      <c r="G14627" t="str">
        <f>"17-1734"</f>
        <v>17-1734</v>
      </c>
      <c r="H14627" t="str">
        <f>"B"</f>
        <v>B</v>
      </c>
    </row>
    <row r="14628" spans="1:8" x14ac:dyDescent="0.2">
      <c r="A14628" t="str">
        <f t="shared" si="5306"/>
        <v>0614000810</v>
      </c>
      <c r="B14628" t="str">
        <f t="shared" si="5307"/>
        <v>MARYANNE</v>
      </c>
      <c r="C14628" t="str">
        <f t="shared" si="5308"/>
        <v>ROBITAILLE</v>
      </c>
      <c r="D14628">
        <f>12</f>
        <v>12</v>
      </c>
      <c r="E14628" t="str">
        <f>"05 - B - 102 - Dorothy D Moore"</f>
        <v>05 - B - 102 - Dorothy D Moore</v>
      </c>
      <c r="F14628" t="str">
        <f>"FORC SCI 1 LH"</f>
        <v>FORC SCI 1 LH</v>
      </c>
      <c r="G14628" t="str">
        <f>"08-803"</f>
        <v>08-803</v>
      </c>
      <c r="H14628" t="str">
        <f>"B"</f>
        <v>B</v>
      </c>
    </row>
    <row r="14629" spans="1:8" x14ac:dyDescent="0.2">
      <c r="A14629" t="str">
        <f t="shared" si="5306"/>
        <v>0614000810</v>
      </c>
      <c r="B14629" t="str">
        <f t="shared" si="5307"/>
        <v>MARYANNE</v>
      </c>
      <c r="C14629" t="str">
        <f t="shared" si="5308"/>
        <v>ROBITAILLE</v>
      </c>
      <c r="D14629">
        <f>12</f>
        <v>12</v>
      </c>
      <c r="E14629" t="str">
        <f>"01 - A - 102 - Robert H Rindner"</f>
        <v>01 - A - 102 - Robert H Rindner</v>
      </c>
      <c r="F14629" t="str">
        <f>"MATH DATA&amp;FIN LIT H"</f>
        <v>MATH DATA&amp;FIN LIT H</v>
      </c>
      <c r="G14629" t="str">
        <f>"21-2160"</f>
        <v>21-2160</v>
      </c>
      <c r="H14629" t="str">
        <f>"A"</f>
        <v>A</v>
      </c>
    </row>
    <row r="14630" spans="1:8" x14ac:dyDescent="0.2">
      <c r="A14630" t="str">
        <f t="shared" si="5306"/>
        <v>0614000810</v>
      </c>
      <c r="B14630" t="str">
        <f t="shared" si="5307"/>
        <v>MARYANNE</v>
      </c>
      <c r="C14630" t="str">
        <f t="shared" si="5308"/>
        <v>ROBITAILLE</v>
      </c>
      <c r="D14630">
        <f>12</f>
        <v>12</v>
      </c>
      <c r="E14630" t="str">
        <f>"08 - B - 101 - Alejandro  Navarro"</f>
        <v>08 - B - 101 - Alejandro  Navarro</v>
      </c>
      <c r="F14630" t="str">
        <f>"GUITAR 1"</f>
        <v>GUITAR 1</v>
      </c>
      <c r="G14630" t="str">
        <f>"05-504"</f>
        <v>05-504</v>
      </c>
      <c r="H14630" t="str">
        <f>"B"</f>
        <v>B</v>
      </c>
    </row>
    <row r="14631" spans="1:8" x14ac:dyDescent="0.2">
      <c r="A14631" t="str">
        <f t="shared" ref="A14631:A14638" si="5309">"0614044370"</f>
        <v>0614044370</v>
      </c>
      <c r="B14631" t="str">
        <f t="shared" ref="B14631:B14638" si="5310">"ALEXANDER"</f>
        <v>ALEXANDER</v>
      </c>
      <c r="C14631" t="str">
        <f t="shared" ref="C14631:C14638" si="5311">"RODAS"</f>
        <v>RODAS</v>
      </c>
      <c r="D14631">
        <f>12</f>
        <v>12</v>
      </c>
      <c r="E14631" t="str">
        <f>"04 - S1 - A - 105 - Robert O Burger"</f>
        <v>04 - S1 - A - 105 - Robert O Burger</v>
      </c>
      <c r="F14631" t="str">
        <f>"US GOVT"</f>
        <v>US GOVT</v>
      </c>
      <c r="G14631" t="str">
        <f>"17-1755"</f>
        <v>17-1755</v>
      </c>
      <c r="H14631" t="str">
        <f>"A"</f>
        <v>A</v>
      </c>
    </row>
    <row r="14632" spans="1:8" x14ac:dyDescent="0.2">
      <c r="A14632" t="str">
        <f t="shared" si="5309"/>
        <v>0614044370</v>
      </c>
      <c r="B14632" t="str">
        <f t="shared" si="5310"/>
        <v>ALEXANDER</v>
      </c>
      <c r="C14632" t="str">
        <f t="shared" si="5311"/>
        <v>RODAS</v>
      </c>
      <c r="D14632">
        <f>12</f>
        <v>12</v>
      </c>
      <c r="E14632" t="str">
        <f>"06 - B - 104 - Lissa C Frederique"</f>
        <v>06 - B - 104 - Lissa C Frederique</v>
      </c>
      <c r="F14632" t="str">
        <f>"NC STUDY HALL 1"</f>
        <v>NC STUDY HALL 1</v>
      </c>
      <c r="G14632" t="str">
        <f>"17-1754"</f>
        <v>17-1754</v>
      </c>
      <c r="H14632" t="str">
        <f>"B"</f>
        <v>B</v>
      </c>
    </row>
    <row r="14633" spans="1:8" x14ac:dyDescent="0.2">
      <c r="A14633" t="str">
        <f t="shared" si="5309"/>
        <v>0614044370</v>
      </c>
      <c r="B14633" t="str">
        <f t="shared" si="5310"/>
        <v>ALEXANDER</v>
      </c>
      <c r="C14633" t="str">
        <f t="shared" si="5311"/>
        <v>RODAS</v>
      </c>
      <c r="D14633">
        <f>12</f>
        <v>12</v>
      </c>
      <c r="E14633" t="str">
        <f>"03 - A - 103 - Samantha J Headley"</f>
        <v>03 - A - 103 - Samantha J Headley</v>
      </c>
      <c r="F14633" t="str">
        <f>"MARINE SCI 1 HON"</f>
        <v>MARINE SCI 1 HON</v>
      </c>
      <c r="G14633" t="str">
        <f>"21-2134"</f>
        <v>21-2134</v>
      </c>
      <c r="H14633" t="str">
        <f>"A"</f>
        <v>A</v>
      </c>
    </row>
    <row r="14634" spans="1:8" x14ac:dyDescent="0.2">
      <c r="A14634" t="str">
        <f t="shared" si="5309"/>
        <v>0614044370</v>
      </c>
      <c r="B14634" t="str">
        <f t="shared" si="5310"/>
        <v>ALEXANDER</v>
      </c>
      <c r="C14634" t="str">
        <f t="shared" si="5311"/>
        <v>RODAS</v>
      </c>
      <c r="D14634">
        <f>12</f>
        <v>12</v>
      </c>
      <c r="E14634" t="str">
        <f>"02 - A - 101 - Robert H Rindner"</f>
        <v>02 - A - 101 - Robert H Rindner</v>
      </c>
      <c r="F14634" t="str">
        <f>"MATH DATA&amp;FIN LIT H"</f>
        <v>MATH DATA&amp;FIN LIT H</v>
      </c>
      <c r="G14634" t="str">
        <f>"21-2160"</f>
        <v>21-2160</v>
      </c>
      <c r="H14634" t="str">
        <f>"A"</f>
        <v>A</v>
      </c>
    </row>
    <row r="14635" spans="1:8" x14ac:dyDescent="0.2">
      <c r="A14635" t="str">
        <f t="shared" si="5309"/>
        <v>0614044370</v>
      </c>
      <c r="B14635" t="str">
        <f t="shared" si="5310"/>
        <v>ALEXANDER</v>
      </c>
      <c r="C14635" t="str">
        <f t="shared" si="5311"/>
        <v>RODAS</v>
      </c>
      <c r="D14635">
        <f>12</f>
        <v>12</v>
      </c>
      <c r="E14635" t="str">
        <f>"07 - B - 101 - Bruce A Evans"</f>
        <v>07 - B - 101 - Bruce A Evans</v>
      </c>
      <c r="F14635" t="str">
        <f>"FIREFIGHTING 1 LH"</f>
        <v>FIREFIGHTING 1 LH</v>
      </c>
      <c r="G14635" t="str">
        <f>"21-2142"</f>
        <v>21-2142</v>
      </c>
      <c r="H14635" t="str">
        <f>"B"</f>
        <v>B</v>
      </c>
    </row>
    <row r="14636" spans="1:8" x14ac:dyDescent="0.2">
      <c r="A14636" t="str">
        <f t="shared" si="5309"/>
        <v>0614044370</v>
      </c>
      <c r="B14636" t="str">
        <f t="shared" si="5310"/>
        <v>ALEXANDER</v>
      </c>
      <c r="C14636" t="str">
        <f t="shared" si="5311"/>
        <v>RODAS</v>
      </c>
      <c r="D14636">
        <f>12</f>
        <v>12</v>
      </c>
      <c r="E14636" t="str">
        <f>"05 - B - 102 - Robyn L Trainer"</f>
        <v>05 - B - 102 - Robyn L Trainer</v>
      </c>
      <c r="F14636" t="str">
        <f>"ENG 4"</f>
        <v>ENG 4</v>
      </c>
      <c r="G14636" t="str">
        <f>"17-1734"</f>
        <v>17-1734</v>
      </c>
      <c r="H14636" t="str">
        <f>"B"</f>
        <v>B</v>
      </c>
    </row>
    <row r="14637" spans="1:8" x14ac:dyDescent="0.2">
      <c r="A14637" t="str">
        <f t="shared" si="5309"/>
        <v>0614044370</v>
      </c>
      <c r="B14637" t="str">
        <f t="shared" si="5310"/>
        <v>ALEXANDER</v>
      </c>
      <c r="C14637" t="str">
        <f t="shared" si="5311"/>
        <v>RODAS</v>
      </c>
      <c r="D14637">
        <f>12</f>
        <v>12</v>
      </c>
      <c r="E14637" t="str">
        <f>"01 - A - 101 - Angela S Adeshina-Morrison"</f>
        <v>01 - A - 101 - Angela S Adeshina-Morrison</v>
      </c>
      <c r="F14637" t="str">
        <f>"MARKETING ESSENTIALS"</f>
        <v>MARKETING ESSENTIALS</v>
      </c>
      <c r="G14637" t="str">
        <f>"05-518"</f>
        <v>05-518</v>
      </c>
      <c r="H14637" t="str">
        <f>"A"</f>
        <v>A</v>
      </c>
    </row>
    <row r="14638" spans="1:8" x14ac:dyDescent="0.2">
      <c r="A14638" t="str">
        <f t="shared" si="5309"/>
        <v>0614044370</v>
      </c>
      <c r="B14638" t="str">
        <f t="shared" si="5310"/>
        <v>ALEXANDER</v>
      </c>
      <c r="C14638" t="str">
        <f t="shared" si="5311"/>
        <v>RODAS</v>
      </c>
      <c r="D14638">
        <f>12</f>
        <v>12</v>
      </c>
      <c r="E14638" t="str">
        <f>"08 - S1 - B - 104 - Leslie J Barton"</f>
        <v>08 - S1 - B - 104 - Leslie J Barton</v>
      </c>
      <c r="F14638" t="str">
        <f>"TEAM SPORTS 1"</f>
        <v>TEAM SPORTS 1</v>
      </c>
      <c r="G14638" t="str">
        <f>"04-254"</f>
        <v>04-254</v>
      </c>
      <c r="H14638" t="str">
        <f>"B"</f>
        <v>B</v>
      </c>
    </row>
    <row r="14639" spans="1:8" x14ac:dyDescent="0.2">
      <c r="A14639" t="str">
        <f t="shared" ref="A14639:A14646" si="5312">"0615127221"</f>
        <v>0615127221</v>
      </c>
      <c r="B14639" t="str">
        <f t="shared" ref="B14639:B14646" si="5313">"LINCOLN"</f>
        <v>LINCOLN</v>
      </c>
      <c r="C14639" t="str">
        <f t="shared" ref="C14639:C14646" si="5314">"RODGERS"</f>
        <v>RODGERS</v>
      </c>
      <c r="D14639">
        <f>10</f>
        <v>10</v>
      </c>
      <c r="E14639" t="str">
        <f>"04 - A - 201 - Scott A Dethloff"</f>
        <v>04 - A - 201 - Scott A Dethloff</v>
      </c>
      <c r="F14639" t="str">
        <f>"AICE THINK SKLS 1 AS"</f>
        <v>AICE THINK SKLS 1 AS</v>
      </c>
      <c r="G14639" t="str">
        <f>"08-812"</f>
        <v>08-812</v>
      </c>
      <c r="H14639" t="str">
        <f>"A"</f>
        <v>A</v>
      </c>
    </row>
    <row r="14640" spans="1:8" x14ac:dyDescent="0.2">
      <c r="A14640" t="str">
        <f t="shared" si="5312"/>
        <v>0615127221</v>
      </c>
      <c r="B14640" t="str">
        <f t="shared" si="5313"/>
        <v>LINCOLN</v>
      </c>
      <c r="C14640" t="str">
        <f t="shared" si="5314"/>
        <v>RODGERS</v>
      </c>
      <c r="D14640">
        <f>10</f>
        <v>10</v>
      </c>
      <c r="E14640" t="str">
        <f>"06 - B - 110 - Jerry S Jiampetti"</f>
        <v>06 - B - 110 - Jerry S Jiampetti</v>
      </c>
      <c r="F14640" t="str">
        <f>"NC STUDY HALL 1"</f>
        <v>NC STUDY HALL 1</v>
      </c>
      <c r="G14640" t="str">
        <f>"17-1751"</f>
        <v>17-1751</v>
      </c>
      <c r="H14640" t="str">
        <f>"B"</f>
        <v>B</v>
      </c>
    </row>
    <row r="14641" spans="1:8" x14ac:dyDescent="0.2">
      <c r="A14641" t="str">
        <f t="shared" si="5312"/>
        <v>0615127221</v>
      </c>
      <c r="B14641" t="str">
        <f t="shared" si="5313"/>
        <v>LINCOLN</v>
      </c>
      <c r="C14641" t="str">
        <f t="shared" si="5314"/>
        <v>RODGERS</v>
      </c>
      <c r="D14641">
        <f>10</f>
        <v>10</v>
      </c>
      <c r="E14641" t="str">
        <f>"03 - A - 101 - Scott A Dethloff"</f>
        <v>03 - A - 101 - Scott A Dethloff</v>
      </c>
      <c r="F14641" t="str">
        <f>"CHEMISTRY 1 HON"</f>
        <v>CHEMISTRY 1 HON</v>
      </c>
      <c r="G14641" t="str">
        <f>"08-812"</f>
        <v>08-812</v>
      </c>
      <c r="H14641" t="str">
        <f>"A"</f>
        <v>A</v>
      </c>
    </row>
    <row r="14642" spans="1:8" x14ac:dyDescent="0.2">
      <c r="A14642" t="str">
        <f t="shared" si="5312"/>
        <v>0615127221</v>
      </c>
      <c r="B14642" t="str">
        <f t="shared" si="5313"/>
        <v>LINCOLN</v>
      </c>
      <c r="C14642" t="str">
        <f t="shared" si="5314"/>
        <v>RODGERS</v>
      </c>
      <c r="D14642">
        <f>10</f>
        <v>10</v>
      </c>
      <c r="E14642" t="str">
        <f>"02 - A - 103 - Lenecy  Nodarse"</f>
        <v>02 - A - 103 - Lenecy  Nodarse</v>
      </c>
      <c r="F14642" t="str">
        <f>"AICE EURO HIST 1 AS"</f>
        <v>AICE EURO HIST 1 AS</v>
      </c>
      <c r="G14642" t="str">
        <f>"17-1741"</f>
        <v>17-1741</v>
      </c>
      <c r="H14642" t="str">
        <f>"A"</f>
        <v>A</v>
      </c>
    </row>
    <row r="14643" spans="1:8" x14ac:dyDescent="0.2">
      <c r="A14643" t="str">
        <f t="shared" si="5312"/>
        <v>0615127221</v>
      </c>
      <c r="B14643" t="str">
        <f t="shared" si="5313"/>
        <v>LINCOLN</v>
      </c>
      <c r="C14643" t="str">
        <f t="shared" si="5314"/>
        <v>RODGERS</v>
      </c>
      <c r="D14643">
        <f>10</f>
        <v>10</v>
      </c>
      <c r="E14643" t="str">
        <f>"07 - B - 101 - Fernando  Vega-Cid"</f>
        <v>07 - B - 101 - Fernando  Vega-Cid</v>
      </c>
      <c r="F14643" t="str">
        <f>"AP PRECALCULUS"</f>
        <v>AP PRECALCULUS</v>
      </c>
      <c r="G14643" t="str">
        <f>"21-2163"</f>
        <v>21-2163</v>
      </c>
      <c r="H14643" t="str">
        <f>"B"</f>
        <v>B</v>
      </c>
    </row>
    <row r="14644" spans="1:8" x14ac:dyDescent="0.2">
      <c r="A14644" t="str">
        <f t="shared" si="5312"/>
        <v>0615127221</v>
      </c>
      <c r="B14644" t="str">
        <f t="shared" si="5313"/>
        <v>LINCOLN</v>
      </c>
      <c r="C14644" t="str">
        <f t="shared" si="5314"/>
        <v>RODGERS</v>
      </c>
      <c r="D14644">
        <f>10</f>
        <v>10</v>
      </c>
      <c r="E14644" t="str">
        <f>"05 - B - 203 - Chrystina M Marchionne"</f>
        <v>05 - B - 203 - Chrystina M Marchionne</v>
      </c>
      <c r="F14644" t="str">
        <f>"AICE MEDIASTUDIES AS"</f>
        <v>AICE MEDIASTUDIES AS</v>
      </c>
      <c r="G14644" t="str">
        <f>"05-520"</f>
        <v>05-520</v>
      </c>
      <c r="H14644" t="str">
        <f>"B"</f>
        <v>B</v>
      </c>
    </row>
    <row r="14645" spans="1:8" x14ac:dyDescent="0.2">
      <c r="A14645" t="str">
        <f t="shared" si="5312"/>
        <v>0615127221</v>
      </c>
      <c r="B14645" t="str">
        <f t="shared" si="5313"/>
        <v>LINCOLN</v>
      </c>
      <c r="C14645" t="str">
        <f t="shared" si="5314"/>
        <v>RODGERS</v>
      </c>
      <c r="D14645">
        <f>10</f>
        <v>10</v>
      </c>
      <c r="E14645" t="str">
        <f>"01 - A - 101 - Kelly N Panza"</f>
        <v>01 - A - 101 - Kelly N Panza</v>
      </c>
      <c r="F14645" t="str">
        <f>"AP HUMAN GEOG"</f>
        <v>AP HUMAN GEOG</v>
      </c>
      <c r="G14645" t="str">
        <f>"17-1753"</f>
        <v>17-1753</v>
      </c>
      <c r="H14645" t="str">
        <f>"A"</f>
        <v>A</v>
      </c>
    </row>
    <row r="14646" spans="1:8" x14ac:dyDescent="0.2">
      <c r="A14646" t="str">
        <f t="shared" si="5312"/>
        <v>0615127221</v>
      </c>
      <c r="B14646" t="str">
        <f t="shared" si="5313"/>
        <v>LINCOLN</v>
      </c>
      <c r="C14646" t="str">
        <f t="shared" si="5314"/>
        <v>RODGERS</v>
      </c>
      <c r="D14646">
        <f>10</f>
        <v>10</v>
      </c>
      <c r="E14646" t="str">
        <f>"08 - B - 001 - Jacklyn M James"</f>
        <v>08 - B - 001 - Jacklyn M James</v>
      </c>
      <c r="F14646" t="str">
        <f>"AICE ENG LANG AS"</f>
        <v>AICE ENG LANG AS</v>
      </c>
      <c r="G14646" t="str">
        <f>"17-1731"</f>
        <v>17-1731</v>
      </c>
      <c r="H14646" t="str">
        <f>"B"</f>
        <v>B</v>
      </c>
    </row>
    <row r="14647" spans="1:8" x14ac:dyDescent="0.2">
      <c r="A14647" t="str">
        <f t="shared" ref="A14647:A14654" si="5315">"0625010367"</f>
        <v>0625010367</v>
      </c>
      <c r="B14647" t="str">
        <f t="shared" ref="B14647:B14654" si="5316">"Andres"</f>
        <v>Andres</v>
      </c>
      <c r="C14647" t="str">
        <f t="shared" ref="C14647:C14654" si="5317">"Rodriguez"</f>
        <v>Rodriguez</v>
      </c>
      <c r="D14647">
        <f>11</f>
        <v>11</v>
      </c>
      <c r="E14647" t="str">
        <f>"04 - A - 108 - Maried P Ramos"</f>
        <v>04 - A - 108 - Maried P Ramos</v>
      </c>
      <c r="F14647" t="str">
        <f>"GEOMETRY"</f>
        <v>GEOMETRY</v>
      </c>
      <c r="G14647" t="str">
        <f>"21-2159"</f>
        <v>21-2159</v>
      </c>
      <c r="H14647" t="str">
        <f>"A"</f>
        <v>A</v>
      </c>
    </row>
    <row r="14648" spans="1:8" x14ac:dyDescent="0.2">
      <c r="A14648" t="str">
        <f t="shared" si="5315"/>
        <v>0625010367</v>
      </c>
      <c r="B14648" t="str">
        <f t="shared" si="5316"/>
        <v>Andres</v>
      </c>
      <c r="C14648" t="str">
        <f t="shared" si="5317"/>
        <v>Rodriguez</v>
      </c>
      <c r="D14648">
        <f>11</f>
        <v>11</v>
      </c>
      <c r="E14648" t="str">
        <f>"06 - B - 202 - Brian M Fitzgerald"</f>
        <v>06 - B - 202 - Brian M Fitzgerald</v>
      </c>
      <c r="F14648" t="str">
        <f>"DRAW 1"</f>
        <v>DRAW 1</v>
      </c>
      <c r="G14648" t="str">
        <f>"09-908"</f>
        <v>09-908</v>
      </c>
      <c r="H14648" t="str">
        <f>"B"</f>
        <v>B</v>
      </c>
    </row>
    <row r="14649" spans="1:8" x14ac:dyDescent="0.2">
      <c r="A14649" t="str">
        <f t="shared" si="5315"/>
        <v>0625010367</v>
      </c>
      <c r="B14649" t="str">
        <f t="shared" si="5316"/>
        <v>Andres</v>
      </c>
      <c r="C14649" t="str">
        <f t="shared" si="5317"/>
        <v>Rodriguez</v>
      </c>
      <c r="D14649">
        <f>11</f>
        <v>11</v>
      </c>
      <c r="E14649" t="str">
        <f>"03 - A - 102 - Nahum  Saint-Preux"</f>
        <v>03 - A - 102 - Nahum  Saint-Preux</v>
      </c>
      <c r="F14649" t="str">
        <f>"INTENS READ 3"</f>
        <v>INTENS READ 3</v>
      </c>
      <c r="G14649" t="str">
        <f>"17-1712"</f>
        <v>17-1712</v>
      </c>
      <c r="H14649" t="str">
        <f>"A"</f>
        <v>A</v>
      </c>
    </row>
    <row r="14650" spans="1:8" x14ac:dyDescent="0.2">
      <c r="A14650" t="str">
        <f t="shared" si="5315"/>
        <v>0625010367</v>
      </c>
      <c r="B14650" t="str">
        <f t="shared" si="5316"/>
        <v>Andres</v>
      </c>
      <c r="C14650" t="str">
        <f t="shared" si="5317"/>
        <v>Rodriguez</v>
      </c>
      <c r="D14650">
        <f>11</f>
        <v>11</v>
      </c>
      <c r="E14650" t="str">
        <f>"02 - A - 113 - Byron G Montenegro"</f>
        <v>02 - A - 113 - Byron G Montenegro</v>
      </c>
      <c r="F14650" t="str">
        <f>"NC STUDY HALL 1"</f>
        <v>NC STUDY HALL 1</v>
      </c>
      <c r="G14650" t="str">
        <f>"21-2144"</f>
        <v>21-2144</v>
      </c>
      <c r="H14650" t="str">
        <f>"A"</f>
        <v>A</v>
      </c>
    </row>
    <row r="14651" spans="1:8" x14ac:dyDescent="0.2">
      <c r="A14651" t="str">
        <f t="shared" si="5315"/>
        <v>0625010367</v>
      </c>
      <c r="B14651" t="str">
        <f t="shared" si="5316"/>
        <v>Andres</v>
      </c>
      <c r="C14651" t="str">
        <f t="shared" si="5317"/>
        <v>Rodriguez</v>
      </c>
      <c r="D14651">
        <f>11</f>
        <v>11</v>
      </c>
      <c r="E14651" t="str">
        <f>"07 - B - 105 - Cliffon  Saurel"</f>
        <v>07 - B - 105 - Cliffon  Saurel</v>
      </c>
      <c r="F14651" t="str">
        <f>"PHYSICAL SCI"</f>
        <v>PHYSICAL SCI</v>
      </c>
      <c r="G14651" t="str">
        <f>"05-522"</f>
        <v>05-522</v>
      </c>
      <c r="H14651" t="str">
        <f>"B"</f>
        <v>B</v>
      </c>
    </row>
    <row r="14652" spans="1:8" x14ac:dyDescent="0.2">
      <c r="A14652" t="str">
        <f t="shared" si="5315"/>
        <v>0625010367</v>
      </c>
      <c r="B14652" t="str">
        <f t="shared" si="5316"/>
        <v>Andres</v>
      </c>
      <c r="C14652" t="str">
        <f t="shared" si="5317"/>
        <v>Rodriguez</v>
      </c>
      <c r="D14652">
        <f>11</f>
        <v>11</v>
      </c>
      <c r="E14652" t="str">
        <f>"05 - B - 107 - Elizabeth Ellen  Moran"</f>
        <v>05 - B - 107 - Elizabeth Ellen  Moran</v>
      </c>
      <c r="F14652" t="str">
        <f>"US HISTORY"</f>
        <v>US HISTORY</v>
      </c>
      <c r="G14652" t="str">
        <f>"17-1752"</f>
        <v>17-1752</v>
      </c>
      <c r="H14652" t="str">
        <f>"B"</f>
        <v>B</v>
      </c>
    </row>
    <row r="14653" spans="1:8" x14ac:dyDescent="0.2">
      <c r="A14653" t="str">
        <f t="shared" si="5315"/>
        <v>0625010367</v>
      </c>
      <c r="B14653" t="str">
        <f t="shared" si="5316"/>
        <v>Andres</v>
      </c>
      <c r="C14653" t="str">
        <f t="shared" si="5317"/>
        <v>Rodriguez</v>
      </c>
      <c r="D14653">
        <f>11</f>
        <v>11</v>
      </c>
      <c r="E14653" t="str">
        <f>"01 - A - 101 - Lisa  Quinn"</f>
        <v>01 - A - 101 - Lisa  Quinn</v>
      </c>
      <c r="F14653" t="str">
        <f>"ENG 3"</f>
        <v>ENG 3</v>
      </c>
      <c r="G14653" t="str">
        <f>"17-1725"</f>
        <v>17-1725</v>
      </c>
      <c r="H14653" t="str">
        <f>"A"</f>
        <v>A</v>
      </c>
    </row>
    <row r="14654" spans="1:8" x14ac:dyDescent="0.2">
      <c r="A14654" t="str">
        <f t="shared" si="5315"/>
        <v>0625010367</v>
      </c>
      <c r="B14654" t="str">
        <f t="shared" si="5316"/>
        <v>Andres</v>
      </c>
      <c r="C14654" t="str">
        <f t="shared" si="5317"/>
        <v>Rodriguez</v>
      </c>
      <c r="D14654">
        <f>11</f>
        <v>11</v>
      </c>
      <c r="E14654" t="str">
        <f>"08 - S1 - B - 105 - James H Mccann"</f>
        <v>08 - S1 - B - 105 - James H Mccann</v>
      </c>
      <c r="F14654" t="str">
        <f>"PERS FIN &amp; MON MGT H"</f>
        <v>PERS FIN &amp; MON MGT H</v>
      </c>
      <c r="G14654" t="str">
        <f>"17-1716"</f>
        <v>17-1716</v>
      </c>
      <c r="H14654" t="str">
        <f>"B"</f>
        <v>B</v>
      </c>
    </row>
    <row r="14655" spans="1:8" x14ac:dyDescent="0.2">
      <c r="A14655" t="str">
        <f t="shared" ref="A14655:A14662" si="5318">"0615113415"</f>
        <v>0615113415</v>
      </c>
      <c r="B14655" t="str">
        <f t="shared" ref="B14655:B14662" si="5319">"ADRIAN"</f>
        <v>ADRIAN</v>
      </c>
      <c r="C14655" t="str">
        <f t="shared" ref="C14655:C14686" si="5320">"RODRIGUEZ"</f>
        <v>RODRIGUEZ</v>
      </c>
      <c r="D14655">
        <f>10</f>
        <v>10</v>
      </c>
      <c r="E14655" t="str">
        <f>"04 - A - 102 - Fernando  Vega-Cid"</f>
        <v>04 - A - 102 - Fernando  Vega-Cid</v>
      </c>
      <c r="F14655" t="str">
        <f>"PRE-CALCULUS HON"</f>
        <v>PRE-CALCULUS HON</v>
      </c>
      <c r="G14655" t="str">
        <f>"21-2163"</f>
        <v>21-2163</v>
      </c>
      <c r="H14655" t="str">
        <f>"A"</f>
        <v>A</v>
      </c>
    </row>
    <row r="14656" spans="1:8" x14ac:dyDescent="0.2">
      <c r="A14656" t="str">
        <f t="shared" si="5318"/>
        <v>0615113415</v>
      </c>
      <c r="B14656" t="str">
        <f t="shared" si="5319"/>
        <v>ADRIAN</v>
      </c>
      <c r="C14656" t="str">
        <f t="shared" si="5320"/>
        <v>RODRIGUEZ</v>
      </c>
      <c r="D14656">
        <f>10</f>
        <v>10</v>
      </c>
      <c r="E14656" t="str">
        <f>"06 - B - 113 - Joe  Kilpatrick Jr"</f>
        <v>06 - B - 113 - Joe  Kilpatrick Jr</v>
      </c>
      <c r="F14656" t="str">
        <f>"NC STUDY HALL 1"</f>
        <v>NC STUDY HALL 1</v>
      </c>
      <c r="G14656" t="str">
        <f>"09-912"</f>
        <v>09-912</v>
      </c>
      <c r="H14656" t="str">
        <f>"B"</f>
        <v>B</v>
      </c>
    </row>
    <row r="14657" spans="1:8" x14ac:dyDescent="0.2">
      <c r="A14657" t="str">
        <f t="shared" si="5318"/>
        <v>0615113415</v>
      </c>
      <c r="B14657" t="str">
        <f t="shared" si="5319"/>
        <v>ADRIAN</v>
      </c>
      <c r="C14657" t="str">
        <f t="shared" si="5320"/>
        <v>RODRIGUEZ</v>
      </c>
      <c r="D14657">
        <f>10</f>
        <v>10</v>
      </c>
      <c r="E14657" t="str">
        <f>"03 - A - 101 - Rosa Elaine  Collado-Duff"</f>
        <v>03 - A - 101 - Rosa Elaine  Collado-Duff</v>
      </c>
      <c r="F14657" t="str">
        <f>"SPANISH 3 HON"</f>
        <v>SPANISH 3 HON</v>
      </c>
      <c r="G14657" t="str">
        <f>"09-913"</f>
        <v>09-913</v>
      </c>
      <c r="H14657" t="str">
        <f>"A"</f>
        <v>A</v>
      </c>
    </row>
    <row r="14658" spans="1:8" x14ac:dyDescent="0.2">
      <c r="A14658" t="str">
        <f t="shared" si="5318"/>
        <v>0615113415</v>
      </c>
      <c r="B14658" t="str">
        <f t="shared" si="5319"/>
        <v>ADRIAN</v>
      </c>
      <c r="C14658" t="str">
        <f t="shared" si="5320"/>
        <v>RODRIGUEZ</v>
      </c>
      <c r="D14658">
        <f>10</f>
        <v>10</v>
      </c>
      <c r="E14658" t="str">
        <f>"02 - A - 205 - Emmily A Sarmiento"</f>
        <v>02 - A - 205 - Emmily A Sarmiento</v>
      </c>
      <c r="F14658" t="str">
        <f>"AICE GLBL PERSP 1 AS"</f>
        <v>AICE GLBL PERSP 1 AS</v>
      </c>
      <c r="G14658" t="str">
        <f>"17-1743"</f>
        <v>17-1743</v>
      </c>
      <c r="H14658" t="str">
        <f>"A"</f>
        <v>A</v>
      </c>
    </row>
    <row r="14659" spans="1:8" x14ac:dyDescent="0.2">
      <c r="A14659" t="str">
        <f t="shared" si="5318"/>
        <v>0615113415</v>
      </c>
      <c r="B14659" t="str">
        <f t="shared" si="5319"/>
        <v>ADRIAN</v>
      </c>
      <c r="C14659" t="str">
        <f t="shared" si="5320"/>
        <v>RODRIGUEZ</v>
      </c>
      <c r="D14659">
        <f>10</f>
        <v>10</v>
      </c>
      <c r="E14659" t="str">
        <f>"07 - B - 105 - Byron G Montenegro"</f>
        <v>07 - B - 105 - Byron G Montenegro</v>
      </c>
      <c r="F14659" t="str">
        <f>"AICE MARINE SCI 1 AS"</f>
        <v>AICE MARINE SCI 1 AS</v>
      </c>
      <c r="G14659" t="str">
        <f>"21-2144"</f>
        <v>21-2144</v>
      </c>
      <c r="H14659" t="str">
        <f>"B"</f>
        <v>B</v>
      </c>
    </row>
    <row r="14660" spans="1:8" x14ac:dyDescent="0.2">
      <c r="A14660" t="str">
        <f t="shared" si="5318"/>
        <v>0615113415</v>
      </c>
      <c r="B14660" t="str">
        <f t="shared" si="5319"/>
        <v>ADRIAN</v>
      </c>
      <c r="C14660" t="str">
        <f t="shared" si="5320"/>
        <v>RODRIGUEZ</v>
      </c>
      <c r="D14660">
        <f>10</f>
        <v>10</v>
      </c>
      <c r="E14660" t="str">
        <f>"05 - B - 101 - Angela S Adeshina-Morrison"</f>
        <v>05 - B - 101 - Angela S Adeshina-Morrison</v>
      </c>
      <c r="F14660" t="str">
        <f>"MKT MANAGEMENT LH"</f>
        <v>MKT MANAGEMENT LH</v>
      </c>
      <c r="G14660" t="str">
        <f>"05-518"</f>
        <v>05-518</v>
      </c>
      <c r="H14660" t="str">
        <f>"B"</f>
        <v>B</v>
      </c>
    </row>
    <row r="14661" spans="1:8" x14ac:dyDescent="0.2">
      <c r="A14661" t="str">
        <f t="shared" si="5318"/>
        <v>0615113415</v>
      </c>
      <c r="B14661" t="str">
        <f t="shared" si="5319"/>
        <v>ADRIAN</v>
      </c>
      <c r="C14661" t="str">
        <f t="shared" si="5320"/>
        <v>RODRIGUEZ</v>
      </c>
      <c r="D14661">
        <f>10</f>
        <v>10</v>
      </c>
      <c r="E14661" t="str">
        <f>"01 - A - 101 - Jacquelyn M Neeson"</f>
        <v>01 - A - 101 - Jacquelyn M Neeson</v>
      </c>
      <c r="F14661" t="str">
        <f>"AICE ENG GEN PAPER 1"</f>
        <v>AICE ENG GEN PAPER 1</v>
      </c>
      <c r="G14661" t="str">
        <f>"17-1715"</f>
        <v>17-1715</v>
      </c>
      <c r="H14661" t="str">
        <f>"A"</f>
        <v>A</v>
      </c>
    </row>
    <row r="14662" spans="1:8" x14ac:dyDescent="0.2">
      <c r="A14662" t="str">
        <f t="shared" si="5318"/>
        <v>0615113415</v>
      </c>
      <c r="B14662" t="str">
        <f t="shared" si="5319"/>
        <v>ADRIAN</v>
      </c>
      <c r="C14662" t="str">
        <f t="shared" si="5320"/>
        <v>RODRIGUEZ</v>
      </c>
      <c r="D14662">
        <f>10</f>
        <v>10</v>
      </c>
      <c r="E14662" t="str">
        <f>"08 - S1 - B - 104 - Leslie J Barton"</f>
        <v>08 - S1 - B - 104 - Leslie J Barton</v>
      </c>
      <c r="F14662" t="str">
        <f>"TEAM SPORTS 1"</f>
        <v>TEAM SPORTS 1</v>
      </c>
      <c r="G14662" t="str">
        <f>"04-254"</f>
        <v>04-254</v>
      </c>
      <c r="H14662" t="str">
        <f>"B"</f>
        <v>B</v>
      </c>
    </row>
    <row r="14663" spans="1:8" x14ac:dyDescent="0.2">
      <c r="A14663" t="str">
        <f t="shared" ref="A14663:A14670" si="5321">"0614142019"</f>
        <v>0614142019</v>
      </c>
      <c r="B14663" t="str">
        <f t="shared" ref="B14663:B14670" si="5322">"ANDREA"</f>
        <v>ANDREA</v>
      </c>
      <c r="C14663" t="str">
        <f t="shared" si="5320"/>
        <v>RODRIGUEZ</v>
      </c>
      <c r="D14663">
        <f>11</f>
        <v>11</v>
      </c>
      <c r="E14663" t="str">
        <f>"04 - A - 101 - Alejandro  Navarro"</f>
        <v>04 - A - 101 - Alejandro  Navarro</v>
      </c>
      <c r="F14663" t="str">
        <f>"BAND 5 HON"</f>
        <v>BAND 5 HON</v>
      </c>
      <c r="G14663" t="str">
        <f>"05-504"</f>
        <v>05-504</v>
      </c>
      <c r="H14663" t="str">
        <f>"A"</f>
        <v>A</v>
      </c>
    </row>
    <row r="14664" spans="1:8" x14ac:dyDescent="0.2">
      <c r="A14664" t="str">
        <f t="shared" si="5321"/>
        <v>0614142019</v>
      </c>
      <c r="B14664" t="str">
        <f t="shared" si="5322"/>
        <v>ANDREA</v>
      </c>
      <c r="C14664" t="str">
        <f t="shared" si="5320"/>
        <v>RODRIGUEZ</v>
      </c>
      <c r="D14664">
        <f>11</f>
        <v>11</v>
      </c>
      <c r="E14664" t="str">
        <f>"06 - B - 104 - Brandy N Zdenek"</f>
        <v>06 - B - 104 - Brandy N Zdenek</v>
      </c>
      <c r="F14664" t="str">
        <f>"AICE ENG LANG 2 AL"</f>
        <v>AICE ENG LANG 2 AL</v>
      </c>
      <c r="G14664" t="str">
        <f>"17-1704"</f>
        <v>17-1704</v>
      </c>
      <c r="H14664" t="str">
        <f>"B"</f>
        <v>B</v>
      </c>
    </row>
    <row r="14665" spans="1:8" x14ac:dyDescent="0.2">
      <c r="A14665" t="str">
        <f t="shared" si="5321"/>
        <v>0614142019</v>
      </c>
      <c r="B14665" t="str">
        <f t="shared" si="5322"/>
        <v>ANDREA</v>
      </c>
      <c r="C14665" t="str">
        <f t="shared" si="5320"/>
        <v>RODRIGUEZ</v>
      </c>
      <c r="D14665">
        <f>11</f>
        <v>11</v>
      </c>
      <c r="E14665" t="str">
        <f>"03 - A - 204 - Norayda D Suarez"</f>
        <v>03 - A - 204 - Norayda D Suarez</v>
      </c>
      <c r="F14665" t="str">
        <f>"ANAT PHYSIO HON"</f>
        <v>ANAT PHYSIO HON</v>
      </c>
      <c r="G14665" t="str">
        <f>"21-2144"</f>
        <v>21-2144</v>
      </c>
      <c r="H14665" t="str">
        <f>"A"</f>
        <v>A</v>
      </c>
    </row>
    <row r="14666" spans="1:8" x14ac:dyDescent="0.2">
      <c r="A14666" t="str">
        <f t="shared" si="5321"/>
        <v>0614142019</v>
      </c>
      <c r="B14666" t="str">
        <f t="shared" si="5322"/>
        <v>ANDREA</v>
      </c>
      <c r="C14666" t="str">
        <f t="shared" si="5320"/>
        <v>RODRIGUEZ</v>
      </c>
      <c r="D14666">
        <f>11</f>
        <v>11</v>
      </c>
      <c r="E14666" t="str">
        <f>"02 - A - 104 - Dayna M Foster"</f>
        <v>02 - A - 104 - Dayna M Foster</v>
      </c>
      <c r="F14666" t="str">
        <f>"NC STUDY HALL 1"</f>
        <v>NC STUDY HALL 1</v>
      </c>
      <c r="G14666" t="str">
        <f>"21-2109"</f>
        <v>21-2109</v>
      </c>
      <c r="H14666" t="str">
        <f>"A"</f>
        <v>A</v>
      </c>
    </row>
    <row r="14667" spans="1:8" x14ac:dyDescent="0.2">
      <c r="A14667" t="str">
        <f t="shared" si="5321"/>
        <v>0614142019</v>
      </c>
      <c r="B14667" t="str">
        <f t="shared" si="5322"/>
        <v>ANDREA</v>
      </c>
      <c r="C14667" t="str">
        <f t="shared" si="5320"/>
        <v>RODRIGUEZ</v>
      </c>
      <c r="D14667">
        <f>11</f>
        <v>11</v>
      </c>
      <c r="E14667" t="str">
        <f>"07 - B - 102 - Thomas G Handwerg"</f>
        <v>07 - B - 102 - Thomas G Handwerg</v>
      </c>
      <c r="F14667" t="str">
        <f>"PROB STAT W/APPS HON"</f>
        <v>PROB STAT W/APPS HON</v>
      </c>
      <c r="G14667" t="str">
        <f>"21-2146"</f>
        <v>21-2146</v>
      </c>
      <c r="H14667" t="str">
        <f>"B"</f>
        <v>B</v>
      </c>
    </row>
    <row r="14668" spans="1:8" x14ac:dyDescent="0.2">
      <c r="A14668" t="str">
        <f t="shared" si="5321"/>
        <v>0614142019</v>
      </c>
      <c r="B14668" t="str">
        <f t="shared" si="5322"/>
        <v>ANDREA</v>
      </c>
      <c r="C14668" t="str">
        <f t="shared" si="5320"/>
        <v>RODRIGUEZ</v>
      </c>
      <c r="D14668">
        <f>11</f>
        <v>11</v>
      </c>
      <c r="E14668" t="str">
        <f>"05 - B - 102 - Jerry S Jiampetti"</f>
        <v>05 - B - 102 - Jerry S Jiampetti</v>
      </c>
      <c r="F14668" t="str">
        <f>"AICE U.S. HIST 1 AS"</f>
        <v>AICE U.S. HIST 1 AS</v>
      </c>
      <c r="G14668" t="str">
        <f>"17-1751"</f>
        <v>17-1751</v>
      </c>
      <c r="H14668" t="str">
        <f>"B"</f>
        <v>B</v>
      </c>
    </row>
    <row r="14669" spans="1:8" x14ac:dyDescent="0.2">
      <c r="A14669" t="str">
        <f t="shared" si="5321"/>
        <v>0614142019</v>
      </c>
      <c r="B14669" t="str">
        <f t="shared" si="5322"/>
        <v>ANDREA</v>
      </c>
      <c r="C14669" t="str">
        <f t="shared" si="5320"/>
        <v>RODRIGUEZ</v>
      </c>
      <c r="D14669">
        <f>11</f>
        <v>11</v>
      </c>
      <c r="E14669" t="str">
        <f>"01 - A - 101 - Daniel S Katz"</f>
        <v>01 - A - 101 - Daniel S Katz</v>
      </c>
      <c r="F14669" t="str">
        <f>"EXEC INTERN 3 LH"</f>
        <v>EXEC INTERN 3 LH</v>
      </c>
      <c r="G14669" t="str">
        <f>"21-2156"</f>
        <v>21-2156</v>
      </c>
      <c r="H14669" t="str">
        <f>"A"</f>
        <v>A</v>
      </c>
    </row>
    <row r="14670" spans="1:8" x14ac:dyDescent="0.2">
      <c r="A14670" t="str">
        <f t="shared" si="5321"/>
        <v>0614142019</v>
      </c>
      <c r="B14670" t="str">
        <f t="shared" si="5322"/>
        <v>ANDREA</v>
      </c>
      <c r="C14670" t="str">
        <f t="shared" si="5320"/>
        <v>RODRIGUEZ</v>
      </c>
      <c r="D14670">
        <f>11</f>
        <v>11</v>
      </c>
      <c r="E14670" t="str">
        <f>"08 - B - 201 - Stacey A Blecker"</f>
        <v>08 - B - 201 - Stacey A Blecker</v>
      </c>
      <c r="F14670" t="str">
        <f>"AICE SOCIOLOGY 1 AS"</f>
        <v>AICE SOCIOLOGY 1 AS</v>
      </c>
      <c r="G14670" t="str">
        <f>"09-926"</f>
        <v>09-926</v>
      </c>
      <c r="H14670" t="str">
        <f>"B"</f>
        <v>B</v>
      </c>
    </row>
    <row r="14671" spans="1:8" x14ac:dyDescent="0.2">
      <c r="A14671" t="str">
        <f t="shared" ref="A14671:A14678" si="5323">"0616063545"</f>
        <v>0616063545</v>
      </c>
      <c r="B14671" t="str">
        <f t="shared" ref="B14671:B14678" si="5324">"ANIYAH"</f>
        <v>ANIYAH</v>
      </c>
      <c r="C14671" t="str">
        <f t="shared" si="5320"/>
        <v>RODRIGUEZ</v>
      </c>
      <c r="D14671" t="str">
        <f t="shared" ref="D14671:D14678" si="5325">"09"</f>
        <v>09</v>
      </c>
      <c r="E14671" t="str">
        <f>"04 - A - 106 - Ferrie J Arostique"</f>
        <v>04 - A - 106 - Ferrie J Arostique</v>
      </c>
      <c r="F14671" t="str">
        <f>"PRE-AICE MATH 2 IG"</f>
        <v>PRE-AICE MATH 2 IG</v>
      </c>
      <c r="G14671" t="str">
        <f>"21-2139"</f>
        <v>21-2139</v>
      </c>
      <c r="H14671" t="str">
        <f>"A"</f>
        <v>A</v>
      </c>
    </row>
    <row r="14672" spans="1:8" x14ac:dyDescent="0.2">
      <c r="A14672" t="str">
        <f t="shared" si="5323"/>
        <v>0616063545</v>
      </c>
      <c r="B14672" t="str">
        <f t="shared" si="5324"/>
        <v>ANIYAH</v>
      </c>
      <c r="C14672" t="str">
        <f t="shared" si="5320"/>
        <v>RODRIGUEZ</v>
      </c>
      <c r="D14672" t="str">
        <f t="shared" si="5325"/>
        <v>09</v>
      </c>
      <c r="E14672" t="str">
        <f>"06 - B - 104 - Rory T Sponsler"</f>
        <v>06 - B - 104 - Rory T Sponsler</v>
      </c>
      <c r="F14672" t="str">
        <f>"PRE-AICE WRLD HST IG"</f>
        <v>PRE-AICE WRLD HST IG</v>
      </c>
      <c r="G14672" t="str">
        <f>"17-1740"</f>
        <v>17-1740</v>
      </c>
      <c r="H14672" t="str">
        <f>"B"</f>
        <v>B</v>
      </c>
    </row>
    <row r="14673" spans="1:8" x14ac:dyDescent="0.2">
      <c r="A14673" t="str">
        <f t="shared" si="5323"/>
        <v>0616063545</v>
      </c>
      <c r="B14673" t="str">
        <f t="shared" si="5324"/>
        <v>ANIYAH</v>
      </c>
      <c r="C14673" t="str">
        <f t="shared" si="5320"/>
        <v>RODRIGUEZ</v>
      </c>
      <c r="D14673" t="str">
        <f t="shared" si="5325"/>
        <v>09</v>
      </c>
      <c r="E14673" t="str">
        <f>"03 - A - 103 - Adam Marcus  Drucker"</f>
        <v>03 - A - 103 - Adam Marcus  Drucker</v>
      </c>
      <c r="F14673" t="str">
        <f>"HOPE-PE V"</f>
        <v>HOPE-PE V</v>
      </c>
      <c r="G14673" t="str">
        <f>"04-254"</f>
        <v>04-254</v>
      </c>
      <c r="H14673" t="str">
        <f>"A"</f>
        <v>A</v>
      </c>
    </row>
    <row r="14674" spans="1:8" x14ac:dyDescent="0.2">
      <c r="A14674" t="str">
        <f t="shared" si="5323"/>
        <v>0616063545</v>
      </c>
      <c r="B14674" t="str">
        <f t="shared" si="5324"/>
        <v>ANIYAH</v>
      </c>
      <c r="C14674" t="str">
        <f t="shared" si="5320"/>
        <v>RODRIGUEZ</v>
      </c>
      <c r="D14674" t="str">
        <f t="shared" si="5325"/>
        <v>09</v>
      </c>
      <c r="E14674" t="str">
        <f>"02 - A - 112 - Cheryl Anne  Berman-Schechter"</f>
        <v>02 - A - 112 - Cheryl Anne  Berman-Schechter</v>
      </c>
      <c r="F14674" t="str">
        <f>"NC STUDY HALL 1"</f>
        <v>NC STUDY HALL 1</v>
      </c>
      <c r="G14674" t="str">
        <f>"17-1722"</f>
        <v>17-1722</v>
      </c>
      <c r="H14674" t="str">
        <f>"A"</f>
        <v>A</v>
      </c>
    </row>
    <row r="14675" spans="1:8" x14ac:dyDescent="0.2">
      <c r="A14675" t="str">
        <f t="shared" si="5323"/>
        <v>0616063545</v>
      </c>
      <c r="B14675" t="str">
        <f t="shared" si="5324"/>
        <v>ANIYAH</v>
      </c>
      <c r="C14675" t="str">
        <f t="shared" si="5320"/>
        <v>RODRIGUEZ</v>
      </c>
      <c r="D14675" t="str">
        <f t="shared" si="5325"/>
        <v>09</v>
      </c>
      <c r="E14675" t="str">
        <f>"07 - B - 001 - Cheryl Anne  Berman-Schechter"</f>
        <v>07 - B - 001 - Cheryl Anne  Berman-Schechter</v>
      </c>
      <c r="F14675" t="str">
        <f>"AICE ENG GEN PAPER 1"</f>
        <v>AICE ENG GEN PAPER 1</v>
      </c>
      <c r="G14675" t="str">
        <f>"17-1722"</f>
        <v>17-1722</v>
      </c>
      <c r="H14675" t="str">
        <f>"B"</f>
        <v>B</v>
      </c>
    </row>
    <row r="14676" spans="1:8" x14ac:dyDescent="0.2">
      <c r="A14676" t="str">
        <f t="shared" si="5323"/>
        <v>0616063545</v>
      </c>
      <c r="B14676" t="str">
        <f t="shared" si="5324"/>
        <v>ANIYAH</v>
      </c>
      <c r="C14676" t="str">
        <f t="shared" si="5320"/>
        <v>RODRIGUEZ</v>
      </c>
      <c r="D14676" t="str">
        <f t="shared" si="5325"/>
        <v>09</v>
      </c>
      <c r="E14676" t="str">
        <f>"05 - B - 201 - Lisa J London"</f>
        <v>05 - B - 201 - Lisa J London</v>
      </c>
      <c r="F14676" t="str">
        <f>"COMPRE LAW HON"</f>
        <v>COMPRE LAW HON</v>
      </c>
      <c r="G14676" t="str">
        <f>"17-1714"</f>
        <v>17-1714</v>
      </c>
      <c r="H14676" t="str">
        <f>"B"</f>
        <v>B</v>
      </c>
    </row>
    <row r="14677" spans="1:8" x14ac:dyDescent="0.2">
      <c r="A14677" t="str">
        <f t="shared" si="5323"/>
        <v>0616063545</v>
      </c>
      <c r="B14677" t="str">
        <f t="shared" si="5324"/>
        <v>ANIYAH</v>
      </c>
      <c r="C14677" t="str">
        <f t="shared" si="5320"/>
        <v>RODRIGUEZ</v>
      </c>
      <c r="D14677" t="str">
        <f t="shared" si="5325"/>
        <v>09</v>
      </c>
      <c r="E14677" t="str">
        <f>"01 - A - 101 - Josiah I Lacy"</f>
        <v>01 - A - 101 - Josiah I Lacy</v>
      </c>
      <c r="F14677" t="str">
        <f>"PRE-AICE BIO IG"</f>
        <v>PRE-AICE BIO IG</v>
      </c>
      <c r="G14677" t="str">
        <f>"08-801"</f>
        <v>08-801</v>
      </c>
      <c r="H14677" t="str">
        <f>"A"</f>
        <v>A</v>
      </c>
    </row>
    <row r="14678" spans="1:8" x14ac:dyDescent="0.2">
      <c r="A14678" t="str">
        <f t="shared" si="5323"/>
        <v>0616063545</v>
      </c>
      <c r="B14678" t="str">
        <f t="shared" si="5324"/>
        <v>ANIYAH</v>
      </c>
      <c r="C14678" t="str">
        <f t="shared" si="5320"/>
        <v>RODRIGUEZ</v>
      </c>
      <c r="D14678" t="str">
        <f t="shared" si="5325"/>
        <v>09</v>
      </c>
      <c r="E14678" t="str">
        <f>"08 - B - 201 - Tina M Jaramillo"</f>
        <v>08 - B - 201 - Tina M Jaramillo</v>
      </c>
      <c r="F14678" t="str">
        <f>"CREATIVE WRIT 3 HON"</f>
        <v>CREATIVE WRIT 3 HON</v>
      </c>
      <c r="G14678" t="str">
        <f>"17-1706"</f>
        <v>17-1706</v>
      </c>
      <c r="H14678" t="str">
        <f>"B"</f>
        <v>B</v>
      </c>
    </row>
    <row r="14679" spans="1:8" x14ac:dyDescent="0.2">
      <c r="A14679" t="str">
        <f t="shared" ref="A14679:A14686" si="5326">"0619131382"</f>
        <v>0619131382</v>
      </c>
      <c r="B14679" t="str">
        <f t="shared" ref="B14679:B14686" si="5327">"DALIANNY"</f>
        <v>DALIANNY</v>
      </c>
      <c r="C14679" t="str">
        <f t="shared" si="5320"/>
        <v>RODRIGUEZ</v>
      </c>
      <c r="D14679">
        <f>10</f>
        <v>10</v>
      </c>
      <c r="E14679" t="str">
        <f>"04 - S1 - A - 103 - Rory T Sponsler"</f>
        <v>04 - S1 - A - 103 - Rory T Sponsler</v>
      </c>
      <c r="F14679" t="str">
        <f>"WOMENS STUDIES LH"</f>
        <v>WOMENS STUDIES LH</v>
      </c>
      <c r="G14679" t="str">
        <f>"17-1740"</f>
        <v>17-1740</v>
      </c>
      <c r="H14679" t="str">
        <f>"A"</f>
        <v>A</v>
      </c>
    </row>
    <row r="14680" spans="1:8" x14ac:dyDescent="0.2">
      <c r="A14680" t="str">
        <f t="shared" si="5326"/>
        <v>0619131382</v>
      </c>
      <c r="B14680" t="str">
        <f t="shared" si="5327"/>
        <v>DALIANNY</v>
      </c>
      <c r="C14680" t="str">
        <f t="shared" si="5320"/>
        <v>RODRIGUEZ</v>
      </c>
      <c r="D14680">
        <f>10</f>
        <v>10</v>
      </c>
      <c r="E14680" t="str">
        <f>"06 - B - 109 - Semra  Bahadir"</f>
        <v>06 - B - 109 - Semra  Bahadir</v>
      </c>
      <c r="F14680" t="str">
        <f>"NC STUDY HALL 1"</f>
        <v>NC STUDY HALL 1</v>
      </c>
      <c r="G14680" t="str">
        <f>"21-2107"</f>
        <v>21-2107</v>
      </c>
      <c r="H14680" t="str">
        <f>"B"</f>
        <v>B</v>
      </c>
    </row>
    <row r="14681" spans="1:8" x14ac:dyDescent="0.2">
      <c r="A14681" t="str">
        <f t="shared" si="5326"/>
        <v>0619131382</v>
      </c>
      <c r="B14681" t="str">
        <f t="shared" si="5327"/>
        <v>DALIANNY</v>
      </c>
      <c r="C14681" t="str">
        <f t="shared" si="5320"/>
        <v>RODRIGUEZ</v>
      </c>
      <c r="D14681">
        <f>10</f>
        <v>10</v>
      </c>
      <c r="E14681" t="str">
        <f>"03 - A - 206 - Josiah I Lacy"</f>
        <v>03 - A - 206 - Josiah I Lacy</v>
      </c>
      <c r="F14681" t="str">
        <f>"BIOLOGY 1"</f>
        <v>BIOLOGY 1</v>
      </c>
      <c r="G14681" t="str">
        <f>"08-801"</f>
        <v>08-801</v>
      </c>
      <c r="H14681" t="str">
        <f>"A"</f>
        <v>A</v>
      </c>
    </row>
    <row r="14682" spans="1:8" x14ac:dyDescent="0.2">
      <c r="A14682" t="str">
        <f t="shared" si="5326"/>
        <v>0619131382</v>
      </c>
      <c r="B14682" t="str">
        <f t="shared" si="5327"/>
        <v>DALIANNY</v>
      </c>
      <c r="C14682" t="str">
        <f t="shared" si="5320"/>
        <v>RODRIGUEZ</v>
      </c>
      <c r="D14682">
        <f>10</f>
        <v>10</v>
      </c>
      <c r="E14682" t="str">
        <f>"02 - A - 102 - Nikiel  Nesbeth"</f>
        <v>02 - A - 102 - Nikiel  Nesbeth</v>
      </c>
      <c r="F14682" t="str">
        <f>"ENG 2"</f>
        <v>ENG 2</v>
      </c>
      <c r="G14682" t="str">
        <f>"17-1705"</f>
        <v>17-1705</v>
      </c>
      <c r="H14682" t="str">
        <f>"A"</f>
        <v>A</v>
      </c>
    </row>
    <row r="14683" spans="1:8" x14ac:dyDescent="0.2">
      <c r="A14683" t="str">
        <f t="shared" si="5326"/>
        <v>0619131382</v>
      </c>
      <c r="B14683" t="str">
        <f t="shared" si="5327"/>
        <v>DALIANNY</v>
      </c>
      <c r="C14683" t="str">
        <f t="shared" si="5320"/>
        <v>RODRIGUEZ</v>
      </c>
      <c r="D14683">
        <f>10</f>
        <v>10</v>
      </c>
      <c r="E14683" t="str">
        <f>"07 - B - 107 - Milca  Exantus"</f>
        <v>07 - B - 107 - Milca  Exantus</v>
      </c>
      <c r="F14683" t="str">
        <f>"MATH COLLEGE LIB ART"</f>
        <v>MATH COLLEGE LIB ART</v>
      </c>
      <c r="G14683" t="str">
        <f>"21-2145"</f>
        <v>21-2145</v>
      </c>
      <c r="H14683" t="str">
        <f>"B"</f>
        <v>B</v>
      </c>
    </row>
    <row r="14684" spans="1:8" x14ac:dyDescent="0.2">
      <c r="A14684" t="str">
        <f t="shared" si="5326"/>
        <v>0619131382</v>
      </c>
      <c r="B14684" t="str">
        <f t="shared" si="5327"/>
        <v>DALIANNY</v>
      </c>
      <c r="C14684" t="str">
        <f t="shared" si="5320"/>
        <v>RODRIGUEZ</v>
      </c>
      <c r="D14684">
        <f>10</f>
        <v>10</v>
      </c>
      <c r="E14684" t="str">
        <f>"05 - B - 105 - Taraneh C Abreu"</f>
        <v>05 - B - 105 - Taraneh C Abreu</v>
      </c>
      <c r="F14684" t="str">
        <f>"INTENS READ 2"</f>
        <v>INTENS READ 2</v>
      </c>
      <c r="G14684" t="str">
        <f>"17-1713"</f>
        <v>17-1713</v>
      </c>
      <c r="H14684" t="str">
        <f>"B"</f>
        <v>B</v>
      </c>
    </row>
    <row r="14685" spans="1:8" x14ac:dyDescent="0.2">
      <c r="A14685" t="str">
        <f t="shared" si="5326"/>
        <v>0619131382</v>
      </c>
      <c r="B14685" t="str">
        <f t="shared" si="5327"/>
        <v>DALIANNY</v>
      </c>
      <c r="C14685" t="str">
        <f t="shared" si="5320"/>
        <v>RODRIGUEZ</v>
      </c>
      <c r="D14685">
        <f>10</f>
        <v>10</v>
      </c>
      <c r="E14685" t="str">
        <f>"01 - S1 - A - 101 - Leslie J Barton"</f>
        <v>01 - S1 - A - 101 - Leslie J Barton</v>
      </c>
      <c r="F14685" t="str">
        <f>"FIRST AID SAFETY"</f>
        <v>FIRST AID SAFETY</v>
      </c>
      <c r="G14685" t="str">
        <f>"05-521"</f>
        <v>05-521</v>
      </c>
      <c r="H14685" t="str">
        <f>"A"</f>
        <v>A</v>
      </c>
    </row>
    <row r="14686" spans="1:8" x14ac:dyDescent="0.2">
      <c r="A14686" t="str">
        <f t="shared" si="5326"/>
        <v>0619131382</v>
      </c>
      <c r="B14686" t="str">
        <f t="shared" si="5327"/>
        <v>DALIANNY</v>
      </c>
      <c r="C14686" t="str">
        <f t="shared" si="5320"/>
        <v>RODRIGUEZ</v>
      </c>
      <c r="D14686">
        <f>10</f>
        <v>10</v>
      </c>
      <c r="E14686" t="str">
        <f>"08 - B - 101 - Elizabeth Ellen  Moran"</f>
        <v>08 - B - 101 - Elizabeth Ellen  Moran</v>
      </c>
      <c r="F14686" t="str">
        <f>"WORLD HISTORY"</f>
        <v>WORLD HISTORY</v>
      </c>
      <c r="G14686" t="str">
        <f>"17-1752"</f>
        <v>17-1752</v>
      </c>
      <c r="H14686" t="str">
        <f>"B"</f>
        <v>B</v>
      </c>
    </row>
    <row r="14687" spans="1:8" x14ac:dyDescent="0.2">
      <c r="A14687" t="str">
        <f t="shared" ref="A14687:A14694" si="5328">"0617061246"</f>
        <v>0617061246</v>
      </c>
      <c r="B14687" t="str">
        <f t="shared" ref="B14687:B14694" si="5329">"DARIO"</f>
        <v>DARIO</v>
      </c>
      <c r="C14687" t="str">
        <f t="shared" ref="C14687:C14718" si="5330">"RODRIGUEZ"</f>
        <v>RODRIGUEZ</v>
      </c>
      <c r="D14687" t="str">
        <f t="shared" ref="D14687:D14694" si="5331">"09"</f>
        <v>09</v>
      </c>
      <c r="E14687" t="str">
        <f>"04 - S1 - A - 103 - Rory T Sponsler"</f>
        <v>04 - S1 - A - 103 - Rory T Sponsler</v>
      </c>
      <c r="F14687" t="str">
        <f>"WOMENS STUDIES LH"</f>
        <v>WOMENS STUDIES LH</v>
      </c>
      <c r="G14687" t="str">
        <f>"17-1740"</f>
        <v>17-1740</v>
      </c>
      <c r="H14687" t="str">
        <f>"A"</f>
        <v>A</v>
      </c>
    </row>
    <row r="14688" spans="1:8" x14ac:dyDescent="0.2">
      <c r="A14688" t="str">
        <f t="shared" si="5328"/>
        <v>0617061246</v>
      </c>
      <c r="B14688" t="str">
        <f t="shared" si="5329"/>
        <v>DARIO</v>
      </c>
      <c r="C14688" t="str">
        <f t="shared" si="5330"/>
        <v>RODRIGUEZ</v>
      </c>
      <c r="D14688" t="str">
        <f t="shared" si="5331"/>
        <v>09</v>
      </c>
      <c r="E14688" t="str">
        <f>"06 - B - 104 - Laselleda D Shaw"</f>
        <v>06 - B - 104 - Laselleda D Shaw</v>
      </c>
      <c r="F14688" t="str">
        <f>"INTENS READ 1"</f>
        <v>INTENS READ 1</v>
      </c>
      <c r="G14688" t="str">
        <f>"17-1723"</f>
        <v>17-1723</v>
      </c>
      <c r="H14688" t="str">
        <f>"B"</f>
        <v>B</v>
      </c>
    </row>
    <row r="14689" spans="1:8" x14ac:dyDescent="0.2">
      <c r="A14689" t="str">
        <f t="shared" si="5328"/>
        <v>0617061246</v>
      </c>
      <c r="B14689" t="str">
        <f t="shared" si="5329"/>
        <v>DARIO</v>
      </c>
      <c r="C14689" t="str">
        <f t="shared" si="5330"/>
        <v>RODRIGUEZ</v>
      </c>
      <c r="D14689" t="str">
        <f t="shared" si="5331"/>
        <v>09</v>
      </c>
      <c r="E14689" t="str">
        <f>"03 - A - 105 - Cheryl Anne  Berman-Schechter"</f>
        <v>03 - A - 105 - Cheryl Anne  Berman-Schechter</v>
      </c>
      <c r="F14689" t="str">
        <f>"ENG 1"</f>
        <v>ENG 1</v>
      </c>
      <c r="G14689" t="str">
        <f>"17-1722"</f>
        <v>17-1722</v>
      </c>
      <c r="H14689" t="str">
        <f>"A"</f>
        <v>A</v>
      </c>
    </row>
    <row r="14690" spans="1:8" x14ac:dyDescent="0.2">
      <c r="A14690" t="str">
        <f t="shared" si="5328"/>
        <v>0617061246</v>
      </c>
      <c r="B14690" t="str">
        <f t="shared" si="5329"/>
        <v>DARIO</v>
      </c>
      <c r="C14690" t="str">
        <f t="shared" si="5330"/>
        <v>RODRIGUEZ</v>
      </c>
      <c r="D14690" t="str">
        <f t="shared" si="5331"/>
        <v>09</v>
      </c>
      <c r="E14690" t="str">
        <f>"02 - A - 103 - Arthur  Kulawik"</f>
        <v>02 - A - 103 - Arthur  Kulawik</v>
      </c>
      <c r="F14690" t="str">
        <f>"NC STUDY HALL 1"</f>
        <v>NC STUDY HALL 1</v>
      </c>
      <c r="G14690" t="str">
        <f>"05-506"</f>
        <v>05-506</v>
      </c>
      <c r="H14690" t="str">
        <f>"A"</f>
        <v>A</v>
      </c>
    </row>
    <row r="14691" spans="1:8" x14ac:dyDescent="0.2">
      <c r="A14691" t="str">
        <f t="shared" si="5328"/>
        <v>0617061246</v>
      </c>
      <c r="B14691" t="str">
        <f t="shared" si="5329"/>
        <v>DARIO</v>
      </c>
      <c r="C14691" t="str">
        <f t="shared" si="5330"/>
        <v>RODRIGUEZ</v>
      </c>
      <c r="D14691" t="str">
        <f t="shared" si="5331"/>
        <v>09</v>
      </c>
      <c r="E14691" t="str">
        <f>"07 - B - 104 - Lissa C Frederique"</f>
        <v>07 - B - 104 - Lissa C Frederique</v>
      </c>
      <c r="F14691" t="str">
        <f>"WORLD HISTORY"</f>
        <v>WORLD HISTORY</v>
      </c>
      <c r="G14691" t="str">
        <f>"17-1754"</f>
        <v>17-1754</v>
      </c>
      <c r="H14691" t="str">
        <f>"B"</f>
        <v>B</v>
      </c>
    </row>
    <row r="14692" spans="1:8" x14ac:dyDescent="0.2">
      <c r="A14692" t="str">
        <f t="shared" si="5328"/>
        <v>0617061246</v>
      </c>
      <c r="B14692" t="str">
        <f t="shared" si="5329"/>
        <v>DARIO</v>
      </c>
      <c r="C14692" t="str">
        <f t="shared" si="5330"/>
        <v>RODRIGUEZ</v>
      </c>
      <c r="D14692" t="str">
        <f t="shared" si="5331"/>
        <v>09</v>
      </c>
      <c r="E14692" t="str">
        <f>"05 - B - 102 - Tina L Lovett"</f>
        <v>05 - B - 102 - Tina L Lovett</v>
      </c>
      <c r="F14692" t="str">
        <f>"PRE-AICE MATH 1 IG"</f>
        <v>PRE-AICE MATH 1 IG</v>
      </c>
      <c r="G14692" t="str">
        <f>"21-2153"</f>
        <v>21-2153</v>
      </c>
      <c r="H14692" t="str">
        <f>"B"</f>
        <v>B</v>
      </c>
    </row>
    <row r="14693" spans="1:8" x14ac:dyDescent="0.2">
      <c r="A14693" t="str">
        <f t="shared" si="5328"/>
        <v>0617061246</v>
      </c>
      <c r="B14693" t="str">
        <f t="shared" si="5329"/>
        <v>DARIO</v>
      </c>
      <c r="C14693" t="str">
        <f t="shared" si="5330"/>
        <v>RODRIGUEZ</v>
      </c>
      <c r="D14693" t="str">
        <f t="shared" si="5331"/>
        <v>09</v>
      </c>
      <c r="E14693" t="str">
        <f>"01 - A - 103 - Amy Beth  Broyles"</f>
        <v>01 - A - 103 - Amy Beth  Broyles</v>
      </c>
      <c r="F14693" t="str">
        <f>"ENV SCI"</f>
        <v>ENV SCI</v>
      </c>
      <c r="G14693" t="str">
        <f>"08-802"</f>
        <v>08-802</v>
      </c>
      <c r="H14693" t="str">
        <f>"A"</f>
        <v>A</v>
      </c>
    </row>
    <row r="14694" spans="1:8" x14ac:dyDescent="0.2">
      <c r="A14694" t="str">
        <f t="shared" si="5328"/>
        <v>0617061246</v>
      </c>
      <c r="B14694" t="str">
        <f t="shared" si="5329"/>
        <v>DARIO</v>
      </c>
      <c r="C14694" t="str">
        <f t="shared" si="5330"/>
        <v>RODRIGUEZ</v>
      </c>
      <c r="D14694" t="str">
        <f t="shared" si="5331"/>
        <v>09</v>
      </c>
      <c r="E14694" t="str">
        <f>"08 - S1 - B - 104 - Leslie J Barton"</f>
        <v>08 - S1 - B - 104 - Leslie J Barton</v>
      </c>
      <c r="F14694" t="str">
        <f>"TEAM SPORTS 1"</f>
        <v>TEAM SPORTS 1</v>
      </c>
      <c r="G14694" t="str">
        <f>"04-254"</f>
        <v>04-254</v>
      </c>
      <c r="H14694" t="str">
        <f>"B"</f>
        <v>B</v>
      </c>
    </row>
    <row r="14695" spans="1:8" x14ac:dyDescent="0.2">
      <c r="A14695" t="str">
        <f t="shared" ref="A14695:A14702" si="5332">"0613109854"</f>
        <v>0613109854</v>
      </c>
      <c r="B14695" t="str">
        <f t="shared" ref="B14695:B14702" si="5333">"GABRIEL"</f>
        <v>GABRIEL</v>
      </c>
      <c r="C14695" t="str">
        <f t="shared" si="5330"/>
        <v>RODRIGUEZ</v>
      </c>
      <c r="D14695">
        <f>12</f>
        <v>12</v>
      </c>
      <c r="E14695" t="str">
        <f>"04 - A - 101 - Jeanne M Bermudez"</f>
        <v>04 - A - 101 - Jeanne M Bermudez</v>
      </c>
      <c r="F14695" t="str">
        <f>"ADVANCED IT HON"</f>
        <v>ADVANCED IT HON</v>
      </c>
      <c r="G14695" t="str">
        <f>"21-2141"</f>
        <v>21-2141</v>
      </c>
      <c r="H14695" t="str">
        <f>"A"</f>
        <v>A</v>
      </c>
    </row>
    <row r="14696" spans="1:8" x14ac:dyDescent="0.2">
      <c r="A14696" t="str">
        <f t="shared" si="5332"/>
        <v>0613109854</v>
      </c>
      <c r="B14696" t="str">
        <f t="shared" si="5333"/>
        <v>GABRIEL</v>
      </c>
      <c r="C14696" t="str">
        <f t="shared" si="5330"/>
        <v>RODRIGUEZ</v>
      </c>
      <c r="D14696">
        <f>12</f>
        <v>12</v>
      </c>
      <c r="E14696" t="str">
        <f>"06 - B - 108 - Jacquelyn M Neeson"</f>
        <v>06 - B - 108 - Jacquelyn M Neeson</v>
      </c>
      <c r="F14696" t="str">
        <f>"NC STUDY HALL 1"</f>
        <v>NC STUDY HALL 1</v>
      </c>
      <c r="G14696" t="str">
        <f>"17-1715"</f>
        <v>17-1715</v>
      </c>
      <c r="H14696" t="str">
        <f>"B"</f>
        <v>B</v>
      </c>
    </row>
    <row r="14697" spans="1:8" x14ac:dyDescent="0.2">
      <c r="A14697" t="str">
        <f t="shared" si="5332"/>
        <v>0613109854</v>
      </c>
      <c r="B14697" t="str">
        <f t="shared" si="5333"/>
        <v>GABRIEL</v>
      </c>
      <c r="C14697" t="str">
        <f t="shared" si="5330"/>
        <v>RODRIGUEZ</v>
      </c>
      <c r="D14697">
        <f>12</f>
        <v>12</v>
      </c>
      <c r="E14697" t="str">
        <f>"03 - S1 - A - 103 - Richard E Dunbar Iii"</f>
        <v>03 - S1 - A - 103 - Richard E Dunbar Iii</v>
      </c>
      <c r="F14697" t="str">
        <f>"WEIGHT TRAIN 1"</f>
        <v>WEIGHT TRAIN 1</v>
      </c>
      <c r="G14697" t="str">
        <f>"05-501"</f>
        <v>05-501</v>
      </c>
      <c r="H14697" t="str">
        <f>"A"</f>
        <v>A</v>
      </c>
    </row>
    <row r="14698" spans="1:8" x14ac:dyDescent="0.2">
      <c r="A14698" t="str">
        <f t="shared" si="5332"/>
        <v>0613109854</v>
      </c>
      <c r="B14698" t="str">
        <f t="shared" si="5333"/>
        <v>GABRIEL</v>
      </c>
      <c r="C14698" t="str">
        <f t="shared" si="5330"/>
        <v>RODRIGUEZ</v>
      </c>
      <c r="D14698">
        <f>12</f>
        <v>12</v>
      </c>
      <c r="E14698" t="str">
        <f>"02 - A - 107 - Tina M Jaramillo"</f>
        <v>02 - A - 107 - Tina M Jaramillo</v>
      </c>
      <c r="F14698" t="str">
        <f>"AP ENG LIT COMPO"</f>
        <v>AP ENG LIT COMPO</v>
      </c>
      <c r="G14698" t="str">
        <f>"17-1706"</f>
        <v>17-1706</v>
      </c>
      <c r="H14698" t="str">
        <f>"A"</f>
        <v>A</v>
      </c>
    </row>
    <row r="14699" spans="1:8" x14ac:dyDescent="0.2">
      <c r="A14699" t="str">
        <f t="shared" si="5332"/>
        <v>0613109854</v>
      </c>
      <c r="B14699" t="str">
        <f t="shared" si="5333"/>
        <v>GABRIEL</v>
      </c>
      <c r="C14699" t="str">
        <f t="shared" si="5330"/>
        <v>RODRIGUEZ</v>
      </c>
      <c r="D14699">
        <f>12</f>
        <v>12</v>
      </c>
      <c r="E14699" t="str">
        <f>"07 - B - 201 - Angela S Adeshina-Morrison"</f>
        <v>07 - B - 201 - Angela S Adeshina-Morrison</v>
      </c>
      <c r="F14699" t="str">
        <f>"BUSINESS OWNER HON"</f>
        <v>BUSINESS OWNER HON</v>
      </c>
      <c r="G14699" t="str">
        <f>"05-518"</f>
        <v>05-518</v>
      </c>
      <c r="H14699" t="str">
        <f>"B"</f>
        <v>B</v>
      </c>
    </row>
    <row r="14700" spans="1:8" x14ac:dyDescent="0.2">
      <c r="A14700" t="str">
        <f t="shared" si="5332"/>
        <v>0613109854</v>
      </c>
      <c r="B14700" t="str">
        <f t="shared" si="5333"/>
        <v>GABRIEL</v>
      </c>
      <c r="C14700" t="str">
        <f t="shared" si="5330"/>
        <v>RODRIGUEZ</v>
      </c>
      <c r="D14700">
        <f>12</f>
        <v>12</v>
      </c>
      <c r="E14700" t="str">
        <f>"05 - B - 101 - Pamela M Corzo"</f>
        <v>05 - B - 101 - Pamela M Corzo</v>
      </c>
      <c r="F14700" t="str">
        <f>"AP CALCULUS AB"</f>
        <v>AP CALCULUS AB</v>
      </c>
      <c r="G14700" t="str">
        <f>"21-2133"</f>
        <v>21-2133</v>
      </c>
      <c r="H14700" t="str">
        <f>"B"</f>
        <v>B</v>
      </c>
    </row>
    <row r="14701" spans="1:8" x14ac:dyDescent="0.2">
      <c r="A14701" t="str">
        <f t="shared" si="5332"/>
        <v>0613109854</v>
      </c>
      <c r="B14701" t="str">
        <f t="shared" si="5333"/>
        <v>GABRIEL</v>
      </c>
      <c r="C14701" t="str">
        <f t="shared" si="5330"/>
        <v>RODRIGUEZ</v>
      </c>
      <c r="D14701">
        <f>12</f>
        <v>12</v>
      </c>
      <c r="E14701" t="str">
        <f>"01 - A - 001 - Dorothy D Moore"</f>
        <v>01 - A - 001 - Dorothy D Moore</v>
      </c>
      <c r="F14701" t="str">
        <f>"ANAT PHYSIO HON"</f>
        <v>ANAT PHYSIO HON</v>
      </c>
      <c r="G14701" t="str">
        <f>"08-803"</f>
        <v>08-803</v>
      </c>
      <c r="H14701" t="str">
        <f>"A"</f>
        <v>A</v>
      </c>
    </row>
    <row r="14702" spans="1:8" x14ac:dyDescent="0.2">
      <c r="A14702" t="str">
        <f t="shared" si="5332"/>
        <v>0613109854</v>
      </c>
      <c r="B14702" t="str">
        <f t="shared" si="5333"/>
        <v>GABRIEL</v>
      </c>
      <c r="C14702" t="str">
        <f t="shared" si="5330"/>
        <v>RODRIGUEZ</v>
      </c>
      <c r="D14702">
        <f>12</f>
        <v>12</v>
      </c>
      <c r="E14702" t="str">
        <f>"08 - S1 - B - 105 - Kelly N Panza"</f>
        <v>08 - S1 - B - 105 - Kelly N Panza</v>
      </c>
      <c r="F14702" t="str">
        <f>"US GOVT HON"</f>
        <v>US GOVT HON</v>
      </c>
      <c r="G14702" t="str">
        <f>"17-1753"</f>
        <v>17-1753</v>
      </c>
      <c r="H14702" t="str">
        <f>"B"</f>
        <v>B</v>
      </c>
    </row>
    <row r="14703" spans="1:8" x14ac:dyDescent="0.2">
      <c r="A14703" t="str">
        <f t="shared" ref="A14703:A14710" si="5334">"0615001976"</f>
        <v>0615001976</v>
      </c>
      <c r="B14703" t="str">
        <f t="shared" ref="B14703:B14710" si="5335">"HARLEM"</f>
        <v>HARLEM</v>
      </c>
      <c r="C14703" t="str">
        <f t="shared" si="5330"/>
        <v>RODRIGUEZ</v>
      </c>
      <c r="D14703">
        <f>10</f>
        <v>10</v>
      </c>
      <c r="E14703" t="str">
        <f>"04 - A - 203 - Cheryl L Beach"</f>
        <v>04 - A - 203 - Cheryl L Beach</v>
      </c>
      <c r="F14703" t="str">
        <f>"AICE ENV MGMNT AS"</f>
        <v>AICE ENV MGMNT AS</v>
      </c>
      <c r="G14703" t="str">
        <f>"08-811"</f>
        <v>08-811</v>
      </c>
      <c r="H14703" t="str">
        <f>"A"</f>
        <v>A</v>
      </c>
    </row>
    <row r="14704" spans="1:8" x14ac:dyDescent="0.2">
      <c r="A14704" t="str">
        <f t="shared" si="5334"/>
        <v>0615001976</v>
      </c>
      <c r="B14704" t="str">
        <f t="shared" si="5335"/>
        <v>HARLEM</v>
      </c>
      <c r="C14704" t="str">
        <f t="shared" si="5330"/>
        <v>RODRIGUEZ</v>
      </c>
      <c r="D14704">
        <f>10</f>
        <v>10</v>
      </c>
      <c r="E14704" t="str">
        <f>"06 - B - 104 - Robert H Rindner"</f>
        <v>06 - B - 104 - Robert H Rindner</v>
      </c>
      <c r="F14704" t="str">
        <f>"NC STUDY HALL 1"</f>
        <v>NC STUDY HALL 1</v>
      </c>
      <c r="G14704" t="str">
        <f>"21-2160"</f>
        <v>21-2160</v>
      </c>
      <c r="H14704" t="str">
        <f>"B"</f>
        <v>B</v>
      </c>
    </row>
    <row r="14705" spans="1:8" x14ac:dyDescent="0.2">
      <c r="A14705" t="str">
        <f t="shared" si="5334"/>
        <v>0615001976</v>
      </c>
      <c r="B14705" t="str">
        <f t="shared" si="5335"/>
        <v>HARLEM</v>
      </c>
      <c r="C14705" t="str">
        <f t="shared" si="5330"/>
        <v>RODRIGUEZ</v>
      </c>
      <c r="D14705">
        <f>10</f>
        <v>10</v>
      </c>
      <c r="E14705" t="str">
        <f>"03 - A - 002 - Ferrie J Arostique"</f>
        <v>03 - A - 002 - Ferrie J Arostique</v>
      </c>
      <c r="F14705" t="str">
        <f>"GEOMETRY"</f>
        <v>GEOMETRY</v>
      </c>
      <c r="G14705" t="str">
        <f>"21-2139"</f>
        <v>21-2139</v>
      </c>
      <c r="H14705" t="str">
        <f>"A"</f>
        <v>A</v>
      </c>
    </row>
    <row r="14706" spans="1:8" x14ac:dyDescent="0.2">
      <c r="A14706" t="str">
        <f t="shared" si="5334"/>
        <v>0615001976</v>
      </c>
      <c r="B14706" t="str">
        <f t="shared" si="5335"/>
        <v>HARLEM</v>
      </c>
      <c r="C14706" t="str">
        <f t="shared" si="5330"/>
        <v>RODRIGUEZ</v>
      </c>
      <c r="D14706">
        <f>10</f>
        <v>10</v>
      </c>
      <c r="E14706" t="str">
        <f>"02 - A - 102 - Daniel S Tyson"</f>
        <v>02 - A - 102 - Daniel S Tyson</v>
      </c>
      <c r="F14706" t="str">
        <f>"JROTC NAVAL SCI 1"</f>
        <v>JROTC NAVAL SCI 1</v>
      </c>
      <c r="G14706" t="str">
        <f>"05-510"</f>
        <v>05-510</v>
      </c>
      <c r="H14706" t="str">
        <f>"A"</f>
        <v>A</v>
      </c>
    </row>
    <row r="14707" spans="1:8" x14ac:dyDescent="0.2">
      <c r="A14707" t="str">
        <f t="shared" si="5334"/>
        <v>0615001976</v>
      </c>
      <c r="B14707" t="str">
        <f t="shared" si="5335"/>
        <v>HARLEM</v>
      </c>
      <c r="C14707" t="str">
        <f t="shared" si="5330"/>
        <v>RODRIGUEZ</v>
      </c>
      <c r="D14707">
        <f>10</f>
        <v>10</v>
      </c>
      <c r="E14707" t="str">
        <f>"07 - B - 002 - Jazmin S Fletcher"</f>
        <v>07 - B - 002 - Jazmin S Fletcher</v>
      </c>
      <c r="F14707" t="str">
        <f>"THEATRE 1"</f>
        <v>THEATRE 1</v>
      </c>
      <c r="G14707" t="str">
        <f>"09-909"</f>
        <v>09-909</v>
      </c>
      <c r="H14707" t="str">
        <f>"B"</f>
        <v>B</v>
      </c>
    </row>
    <row r="14708" spans="1:8" x14ac:dyDescent="0.2">
      <c r="A14708" t="str">
        <f t="shared" si="5334"/>
        <v>0615001976</v>
      </c>
      <c r="B14708" t="str">
        <f t="shared" si="5335"/>
        <v>HARLEM</v>
      </c>
      <c r="C14708" t="str">
        <f t="shared" si="5330"/>
        <v>RODRIGUEZ</v>
      </c>
      <c r="D14708">
        <f>10</f>
        <v>10</v>
      </c>
      <c r="E14708" t="str">
        <f>"05 - B - 201 - Lisa J London"</f>
        <v>05 - B - 201 - Lisa J London</v>
      </c>
      <c r="F14708" t="str">
        <f>"COMPRE LAW HON"</f>
        <v>COMPRE LAW HON</v>
      </c>
      <c r="G14708" t="str">
        <f>"17-1714"</f>
        <v>17-1714</v>
      </c>
      <c r="H14708" t="str">
        <f>"B"</f>
        <v>B</v>
      </c>
    </row>
    <row r="14709" spans="1:8" x14ac:dyDescent="0.2">
      <c r="A14709" t="str">
        <f t="shared" si="5334"/>
        <v>0615001976</v>
      </c>
      <c r="B14709" t="str">
        <f t="shared" si="5335"/>
        <v>HARLEM</v>
      </c>
      <c r="C14709" t="str">
        <f t="shared" si="5330"/>
        <v>RODRIGUEZ</v>
      </c>
      <c r="D14709">
        <f>10</f>
        <v>10</v>
      </c>
      <c r="E14709" t="str">
        <f>"01 - A - 002 - Krystal Marie  Beruty"</f>
        <v>01 - A - 002 - Krystal Marie  Beruty</v>
      </c>
      <c r="F14709" t="str">
        <f>"AICE GLBL PERSP 1 AS"</f>
        <v>AICE GLBL PERSP 1 AS</v>
      </c>
      <c r="G14709" t="str">
        <f>"17-1721"</f>
        <v>17-1721</v>
      </c>
      <c r="H14709" t="str">
        <f>"A"</f>
        <v>A</v>
      </c>
    </row>
    <row r="14710" spans="1:8" x14ac:dyDescent="0.2">
      <c r="A14710" t="str">
        <f t="shared" si="5334"/>
        <v>0615001976</v>
      </c>
      <c r="B14710" t="str">
        <f t="shared" si="5335"/>
        <v>HARLEM</v>
      </c>
      <c r="C14710" t="str">
        <f t="shared" si="5330"/>
        <v>RODRIGUEZ</v>
      </c>
      <c r="D14710">
        <f>10</f>
        <v>10</v>
      </c>
      <c r="E14710" t="str">
        <f>"08 - B - 102 - Jacquelyn M Neeson"</f>
        <v>08 - B - 102 - Jacquelyn M Neeson</v>
      </c>
      <c r="F14710" t="str">
        <f>"AICE ENG GEN PAPER 1"</f>
        <v>AICE ENG GEN PAPER 1</v>
      </c>
      <c r="G14710" t="str">
        <f>"17-1715"</f>
        <v>17-1715</v>
      </c>
      <c r="H14710" t="str">
        <f>"B"</f>
        <v>B</v>
      </c>
    </row>
    <row r="14711" spans="1:8" x14ac:dyDescent="0.2">
      <c r="A14711" t="str">
        <f t="shared" ref="A14711:A14718" si="5336">"0618127972"</f>
        <v>0618127972</v>
      </c>
      <c r="B14711" t="str">
        <f t="shared" ref="B14711:B14718" si="5337">"HILLARY"</f>
        <v>HILLARY</v>
      </c>
      <c r="C14711" t="str">
        <f t="shared" si="5330"/>
        <v>RODRIGUEZ</v>
      </c>
      <c r="D14711">
        <f>10</f>
        <v>10</v>
      </c>
      <c r="E14711" t="str">
        <f>"04 - A - 104 - Laselleda D Shaw"</f>
        <v>04 - A - 104 - Laselleda D Shaw</v>
      </c>
      <c r="F14711" t="str">
        <f>"INTENS READ 2"</f>
        <v>INTENS READ 2</v>
      </c>
      <c r="G14711" t="str">
        <f>"17-1723"</f>
        <v>17-1723</v>
      </c>
      <c r="H14711" t="str">
        <f>"A"</f>
        <v>A</v>
      </c>
    </row>
    <row r="14712" spans="1:8" x14ac:dyDescent="0.2">
      <c r="A14712" t="str">
        <f t="shared" si="5336"/>
        <v>0618127972</v>
      </c>
      <c r="B14712" t="str">
        <f t="shared" si="5337"/>
        <v>HILLARY</v>
      </c>
      <c r="C14712" t="str">
        <f t="shared" si="5330"/>
        <v>RODRIGUEZ</v>
      </c>
      <c r="D14712">
        <f>10</f>
        <v>10</v>
      </c>
      <c r="E14712" t="str">
        <f>"06 - B - 116 - Jordana K Hass"</f>
        <v>06 - B - 116 - Jordana K Hass</v>
      </c>
      <c r="F14712" t="str">
        <f>"NC STUDY HALL 1"</f>
        <v>NC STUDY HALL 1</v>
      </c>
      <c r="G14712" t="str">
        <f>"08-807"</f>
        <v>08-807</v>
      </c>
      <c r="H14712" t="str">
        <f>"B"</f>
        <v>B</v>
      </c>
    </row>
    <row r="14713" spans="1:8" x14ac:dyDescent="0.2">
      <c r="A14713" t="str">
        <f t="shared" si="5336"/>
        <v>0618127972</v>
      </c>
      <c r="B14713" t="str">
        <f t="shared" si="5337"/>
        <v>HILLARY</v>
      </c>
      <c r="C14713" t="str">
        <f t="shared" si="5330"/>
        <v>RODRIGUEZ</v>
      </c>
      <c r="D14713">
        <f>10</f>
        <v>10</v>
      </c>
      <c r="E14713" t="str">
        <f>"03 - A - 106 - Krystal Marie  Beruty"</f>
        <v>03 - A - 106 - Krystal Marie  Beruty</v>
      </c>
      <c r="F14713" t="str">
        <f>"AICE PSYCH 1 AS"</f>
        <v>AICE PSYCH 1 AS</v>
      </c>
      <c r="G14713" t="str">
        <f>"17-1721"</f>
        <v>17-1721</v>
      </c>
      <c r="H14713" t="str">
        <f>"A"</f>
        <v>A</v>
      </c>
    </row>
    <row r="14714" spans="1:8" x14ac:dyDescent="0.2">
      <c r="A14714" t="str">
        <f t="shared" si="5336"/>
        <v>0618127972</v>
      </c>
      <c r="B14714" t="str">
        <f t="shared" si="5337"/>
        <v>HILLARY</v>
      </c>
      <c r="C14714" t="str">
        <f t="shared" si="5330"/>
        <v>RODRIGUEZ</v>
      </c>
      <c r="D14714">
        <f>10</f>
        <v>10</v>
      </c>
      <c r="E14714" t="str">
        <f>"02 - A - 103 - Dorothy D Moore"</f>
        <v>02 - A - 103 - Dorothy D Moore</v>
      </c>
      <c r="F14714" t="str">
        <f>"ANAT PHYSIO HON"</f>
        <v>ANAT PHYSIO HON</v>
      </c>
      <c r="G14714" t="str">
        <f>"08-803"</f>
        <v>08-803</v>
      </c>
      <c r="H14714" t="str">
        <f>"A"</f>
        <v>A</v>
      </c>
    </row>
    <row r="14715" spans="1:8" x14ac:dyDescent="0.2">
      <c r="A14715" t="str">
        <f t="shared" si="5336"/>
        <v>0618127972</v>
      </c>
      <c r="B14715" t="str">
        <f t="shared" si="5337"/>
        <v>HILLARY</v>
      </c>
      <c r="C14715" t="str">
        <f t="shared" si="5330"/>
        <v>RODRIGUEZ</v>
      </c>
      <c r="D14715">
        <f>10</f>
        <v>10</v>
      </c>
      <c r="E14715" t="str">
        <f>"07 - B - 207 - Krystal Marie  Beruty"</f>
        <v>07 - B - 207 - Krystal Marie  Beruty</v>
      </c>
      <c r="F14715" t="str">
        <f>"AICE GLBL PERSP 1 AS"</f>
        <v>AICE GLBL PERSP 1 AS</v>
      </c>
      <c r="G14715" t="str">
        <f>"17-1721"</f>
        <v>17-1721</v>
      </c>
      <c r="H14715" t="str">
        <f>"B"</f>
        <v>B</v>
      </c>
    </row>
    <row r="14716" spans="1:8" x14ac:dyDescent="0.2">
      <c r="A14716" t="str">
        <f t="shared" si="5336"/>
        <v>0618127972</v>
      </c>
      <c r="B14716" t="str">
        <f t="shared" si="5337"/>
        <v>HILLARY</v>
      </c>
      <c r="C14716" t="str">
        <f t="shared" si="5330"/>
        <v>RODRIGUEZ</v>
      </c>
      <c r="D14716">
        <f>10</f>
        <v>10</v>
      </c>
      <c r="E14716" t="str">
        <f>"05 - S1 - B - 102 - Lissa C Frederique"</f>
        <v>05 - S1 - B - 102 - Lissa C Frederique</v>
      </c>
      <c r="F14716" t="str">
        <f>"PERS FIN &amp; MON MGT H"</f>
        <v>PERS FIN &amp; MON MGT H</v>
      </c>
      <c r="G14716" t="str">
        <f>"17-1754"</f>
        <v>17-1754</v>
      </c>
      <c r="H14716" t="str">
        <f>"B"</f>
        <v>B</v>
      </c>
    </row>
    <row r="14717" spans="1:8" x14ac:dyDescent="0.2">
      <c r="A14717" t="str">
        <f t="shared" si="5336"/>
        <v>0618127972</v>
      </c>
      <c r="B14717" t="str">
        <f t="shared" si="5337"/>
        <v>HILLARY</v>
      </c>
      <c r="C14717" t="str">
        <f t="shared" si="5330"/>
        <v>RODRIGUEZ</v>
      </c>
      <c r="D14717">
        <f>10</f>
        <v>10</v>
      </c>
      <c r="E14717" t="str">
        <f>"01 - A - 101 - Courtney E Hambright"</f>
        <v>01 - A - 101 - Courtney E Hambright</v>
      </c>
      <c r="F14717" t="str">
        <f>"AICE ENG LANG AS"</f>
        <v>AICE ENG LANG AS</v>
      </c>
      <c r="G14717" t="str">
        <f>"17-1711"</f>
        <v>17-1711</v>
      </c>
      <c r="H14717" t="str">
        <f>"A"</f>
        <v>A</v>
      </c>
    </row>
    <row r="14718" spans="1:8" x14ac:dyDescent="0.2">
      <c r="A14718" t="str">
        <f t="shared" si="5336"/>
        <v>0618127972</v>
      </c>
      <c r="B14718" t="str">
        <f t="shared" si="5337"/>
        <v>HILLARY</v>
      </c>
      <c r="C14718" t="str">
        <f t="shared" si="5330"/>
        <v>RODRIGUEZ</v>
      </c>
      <c r="D14718">
        <f>10</f>
        <v>10</v>
      </c>
      <c r="E14718" t="str">
        <f>"08 - B - 107 - Brook E Goren"</f>
        <v>08 - B - 107 - Brook E Goren</v>
      </c>
      <c r="F14718" t="str">
        <f>"GEOMETRY"</f>
        <v>GEOMETRY</v>
      </c>
      <c r="G14718" t="str">
        <f>"21-2158"</f>
        <v>21-2158</v>
      </c>
      <c r="H14718" t="str">
        <f>"B"</f>
        <v>B</v>
      </c>
    </row>
    <row r="14719" spans="1:8" x14ac:dyDescent="0.2">
      <c r="A14719" t="str">
        <f t="shared" ref="A14719:A14726" si="5338">"0617059509"</f>
        <v>0617059509</v>
      </c>
      <c r="B14719" t="str">
        <f t="shared" ref="B14719:B14726" si="5339">"LAURA"</f>
        <v>LAURA</v>
      </c>
      <c r="C14719" t="str">
        <f t="shared" ref="C14719:C14751" si="5340">"RODRIGUEZ"</f>
        <v>RODRIGUEZ</v>
      </c>
      <c r="D14719" t="str">
        <f t="shared" ref="D14719:D14726" si="5341">"09"</f>
        <v>09</v>
      </c>
      <c r="E14719" t="str">
        <f>"04 - A - 104 - Brook E Goren"</f>
        <v>04 - A - 104 - Brook E Goren</v>
      </c>
      <c r="F14719" t="str">
        <f>"ALGEBRA 2 HON"</f>
        <v>ALGEBRA 2 HON</v>
      </c>
      <c r="G14719" t="str">
        <f>"21-2158"</f>
        <v>21-2158</v>
      </c>
      <c r="H14719" t="str">
        <f>"A"</f>
        <v>A</v>
      </c>
    </row>
    <row r="14720" spans="1:8" x14ac:dyDescent="0.2">
      <c r="A14720" t="str">
        <f t="shared" si="5338"/>
        <v>0617059509</v>
      </c>
      <c r="B14720" t="str">
        <f t="shared" si="5339"/>
        <v>LAURA</v>
      </c>
      <c r="C14720" t="str">
        <f t="shared" si="5340"/>
        <v>RODRIGUEZ</v>
      </c>
      <c r="D14720" t="str">
        <f t="shared" si="5341"/>
        <v>09</v>
      </c>
      <c r="E14720" t="str">
        <f>"06 - B - 105 - Cerine S Stewart"</f>
        <v>06 - B - 105 - Cerine S Stewart</v>
      </c>
      <c r="F14720" t="str">
        <f>"AICE ENG GEN PAPER 1"</f>
        <v>AICE ENG GEN PAPER 1</v>
      </c>
      <c r="G14720" t="str">
        <f>"17-1720"</f>
        <v>17-1720</v>
      </c>
      <c r="H14720" t="str">
        <f>"B"</f>
        <v>B</v>
      </c>
    </row>
    <row r="14721" spans="1:8" x14ac:dyDescent="0.2">
      <c r="A14721" t="str">
        <f t="shared" si="5338"/>
        <v>0617059509</v>
      </c>
      <c r="B14721" t="str">
        <f t="shared" si="5339"/>
        <v>LAURA</v>
      </c>
      <c r="C14721" t="str">
        <f t="shared" si="5340"/>
        <v>RODRIGUEZ</v>
      </c>
      <c r="D14721" t="str">
        <f t="shared" si="5341"/>
        <v>09</v>
      </c>
      <c r="E14721" t="str">
        <f>"03 - A - 204 - Norayda D Suarez"</f>
        <v>03 - A - 204 - Norayda D Suarez</v>
      </c>
      <c r="F14721" t="str">
        <f>"ANAT PHYSIO HON"</f>
        <v>ANAT PHYSIO HON</v>
      </c>
      <c r="G14721" t="str">
        <f>"21-2144"</f>
        <v>21-2144</v>
      </c>
      <c r="H14721" t="str">
        <f>"A"</f>
        <v>A</v>
      </c>
    </row>
    <row r="14722" spans="1:8" x14ac:dyDescent="0.2">
      <c r="A14722" t="str">
        <f t="shared" si="5338"/>
        <v>0617059509</v>
      </c>
      <c r="B14722" t="str">
        <f t="shared" si="5339"/>
        <v>LAURA</v>
      </c>
      <c r="C14722" t="str">
        <f t="shared" si="5340"/>
        <v>RODRIGUEZ</v>
      </c>
      <c r="D14722" t="str">
        <f t="shared" si="5341"/>
        <v>09</v>
      </c>
      <c r="E14722" t="str">
        <f>"02 - A - 104 - Lytrell T Dixon"</f>
        <v>02 - A - 104 - Lytrell T Dixon</v>
      </c>
      <c r="F14722" t="str">
        <f>"NC STUDY HALL 1"</f>
        <v>NC STUDY HALL 1</v>
      </c>
      <c r="G14722" t="str">
        <f>"08-808"</f>
        <v>08-808</v>
      </c>
      <c r="H14722" t="str">
        <f>"A"</f>
        <v>A</v>
      </c>
    </row>
    <row r="14723" spans="1:8" x14ac:dyDescent="0.2">
      <c r="A14723" t="str">
        <f t="shared" si="5338"/>
        <v>0617059509</v>
      </c>
      <c r="B14723" t="str">
        <f t="shared" si="5339"/>
        <v>LAURA</v>
      </c>
      <c r="C14723" t="str">
        <f t="shared" si="5340"/>
        <v>RODRIGUEZ</v>
      </c>
      <c r="D14723" t="str">
        <f t="shared" si="5341"/>
        <v>09</v>
      </c>
      <c r="E14723" t="str">
        <f>"07 - B - 002 - Rachel M Montrose"</f>
        <v>07 - B - 002 - Rachel M Montrose</v>
      </c>
      <c r="F14723" t="str">
        <f>"JOURN 1 (NP) LH"</f>
        <v>JOURN 1 (NP) LH</v>
      </c>
      <c r="G14723" t="str">
        <f>"05-521"</f>
        <v>05-521</v>
      </c>
      <c r="H14723" t="str">
        <f>"B"</f>
        <v>B</v>
      </c>
    </row>
    <row r="14724" spans="1:8" x14ac:dyDescent="0.2">
      <c r="A14724" t="str">
        <f t="shared" si="5338"/>
        <v>0617059509</v>
      </c>
      <c r="B14724" t="str">
        <f t="shared" si="5339"/>
        <v>LAURA</v>
      </c>
      <c r="C14724" t="str">
        <f t="shared" si="5340"/>
        <v>RODRIGUEZ</v>
      </c>
      <c r="D14724" t="str">
        <f t="shared" si="5341"/>
        <v>09</v>
      </c>
      <c r="E14724" t="str">
        <f>"05 - B - 103 - Rory T Sponsler"</f>
        <v>05 - B - 103 - Rory T Sponsler</v>
      </c>
      <c r="F14724" t="str">
        <f>"PRE-AICE WRLD HST IG"</f>
        <v>PRE-AICE WRLD HST IG</v>
      </c>
      <c r="G14724" t="str">
        <f>"17-1740"</f>
        <v>17-1740</v>
      </c>
      <c r="H14724" t="str">
        <f>"B"</f>
        <v>B</v>
      </c>
    </row>
    <row r="14725" spans="1:8" x14ac:dyDescent="0.2">
      <c r="A14725" t="str">
        <f t="shared" si="5338"/>
        <v>0617059509</v>
      </c>
      <c r="B14725" t="str">
        <f t="shared" si="5339"/>
        <v>LAURA</v>
      </c>
      <c r="C14725" t="str">
        <f t="shared" si="5340"/>
        <v>RODRIGUEZ</v>
      </c>
      <c r="D14725" t="str">
        <f t="shared" si="5341"/>
        <v>09</v>
      </c>
      <c r="E14725" t="str">
        <f>"01 - A - 101 - Samantha L Martinez"</f>
        <v>01 - A - 101 - Samantha L Martinez</v>
      </c>
      <c r="F14725" t="str">
        <f>"MUSIC WORLD"</f>
        <v>MUSIC WORLD</v>
      </c>
      <c r="G14725" t="str">
        <f>"05-505"</f>
        <v>05-505</v>
      </c>
      <c r="H14725" t="str">
        <f>"A"</f>
        <v>A</v>
      </c>
    </row>
    <row r="14726" spans="1:8" x14ac:dyDescent="0.2">
      <c r="A14726" t="str">
        <f t="shared" si="5338"/>
        <v>0617059509</v>
      </c>
      <c r="B14726" t="str">
        <f t="shared" si="5339"/>
        <v>LAURA</v>
      </c>
      <c r="C14726" t="str">
        <f t="shared" si="5340"/>
        <v>RODRIGUEZ</v>
      </c>
      <c r="D14726" t="str">
        <f t="shared" si="5341"/>
        <v>09</v>
      </c>
      <c r="E14726" t="str">
        <f>"08 - B - 108 - Adam Marcus  Drucker"</f>
        <v>08 - B - 108 - Adam Marcus  Drucker</v>
      </c>
      <c r="F14726" t="str">
        <f>"HOPE-PE V"</f>
        <v>HOPE-PE V</v>
      </c>
      <c r="G14726" t="str">
        <f>"04-254"</f>
        <v>04-254</v>
      </c>
      <c r="H14726" t="str">
        <f>"B"</f>
        <v>B</v>
      </c>
    </row>
    <row r="14727" spans="1:8" x14ac:dyDescent="0.2">
      <c r="A14727" t="str">
        <f t="shared" ref="A14727:A14735" si="5342">"0614141528"</f>
        <v>0614141528</v>
      </c>
      <c r="B14727" t="str">
        <f t="shared" ref="B14727:B14735" si="5343">"LUCAS"</f>
        <v>LUCAS</v>
      </c>
      <c r="C14727" t="str">
        <f t="shared" si="5340"/>
        <v>RODRIGUEZ</v>
      </c>
      <c r="D14727">
        <f>11</f>
        <v>11</v>
      </c>
      <c r="E14727" t="str">
        <f>"19 - S1 - MTWHF - B18 - Instructor BC"</f>
        <v>19 - S1 - MTWHF - B18 - Instructor BC</v>
      </c>
      <c r="F14727" t="str">
        <f>"AVIATION MATH"</f>
        <v>AVIATION MATH</v>
      </c>
      <c r="G14727" t="str">
        <f>"60-DE"</f>
        <v>60-DE</v>
      </c>
      <c r="H14727" t="str">
        <f>"-"</f>
        <v>-</v>
      </c>
    </row>
    <row r="14728" spans="1:8" x14ac:dyDescent="0.2">
      <c r="A14728" t="str">
        <f t="shared" si="5342"/>
        <v>0614141528</v>
      </c>
      <c r="B14728" t="str">
        <f t="shared" si="5343"/>
        <v>LUCAS</v>
      </c>
      <c r="C14728" t="str">
        <f t="shared" si="5340"/>
        <v>RODRIGUEZ</v>
      </c>
      <c r="D14728">
        <f>11</f>
        <v>11</v>
      </c>
      <c r="E14728" t="str">
        <f>"19 - S1 - MTWHF - B18 - Instructor BC"</f>
        <v>19 - S1 - MTWHF - B18 - Instructor BC</v>
      </c>
      <c r="F14728" t="str">
        <f>"CLN CORRSION"</f>
        <v>CLN CORRSION</v>
      </c>
      <c r="G14728" t="str">
        <f>"60-DE"</f>
        <v>60-DE</v>
      </c>
      <c r="H14728" t="str">
        <f>"-"</f>
        <v>-</v>
      </c>
    </row>
    <row r="14729" spans="1:8" x14ac:dyDescent="0.2">
      <c r="A14729" t="str">
        <f t="shared" si="5342"/>
        <v>0614141528</v>
      </c>
      <c r="B14729" t="str">
        <f t="shared" si="5343"/>
        <v>LUCAS</v>
      </c>
      <c r="C14729" t="str">
        <f t="shared" si="5340"/>
        <v>RODRIGUEZ</v>
      </c>
      <c r="D14729">
        <f>11</f>
        <v>11</v>
      </c>
      <c r="E14729" t="str">
        <f>"19 - S1 - MTWHF - B18 - Instructor BC"</f>
        <v>19 - S1 - MTWHF - B18 - Instructor BC</v>
      </c>
      <c r="F14729" t="str">
        <f>"FAR/FORM/PRIV/HUMVAC"</f>
        <v>FAR/FORM/PRIV/HUMVAC</v>
      </c>
      <c r="G14729" t="str">
        <f>"60-DE"</f>
        <v>60-DE</v>
      </c>
      <c r="H14729" t="str">
        <f>"-"</f>
        <v>-</v>
      </c>
    </row>
    <row r="14730" spans="1:8" x14ac:dyDescent="0.2">
      <c r="A14730" t="str">
        <f t="shared" si="5342"/>
        <v>0614141528</v>
      </c>
      <c r="B14730" t="str">
        <f t="shared" si="5343"/>
        <v>LUCAS</v>
      </c>
      <c r="C14730" t="str">
        <f t="shared" si="5340"/>
        <v>RODRIGUEZ</v>
      </c>
      <c r="D14730">
        <f>11</f>
        <v>11</v>
      </c>
      <c r="E14730" t="str">
        <f>"19 - S1 - MTWHF - B18 - Instructor BC"</f>
        <v>19 - S1 - MTWHF - B18 - Instructor BC</v>
      </c>
      <c r="F14730" t="str">
        <f>"FLUID LN &amp; FT"</f>
        <v>FLUID LN &amp; FT</v>
      </c>
      <c r="G14730" t="str">
        <f>"60-DE"</f>
        <v>60-DE</v>
      </c>
      <c r="H14730" t="str">
        <f>"-"</f>
        <v>-</v>
      </c>
    </row>
    <row r="14731" spans="1:8" x14ac:dyDescent="0.2">
      <c r="A14731" t="str">
        <f t="shared" si="5342"/>
        <v>0614141528</v>
      </c>
      <c r="B14731" t="str">
        <f t="shared" si="5343"/>
        <v>LUCAS</v>
      </c>
      <c r="C14731" t="str">
        <f t="shared" si="5340"/>
        <v>RODRIGUEZ</v>
      </c>
      <c r="D14731">
        <f>11</f>
        <v>11</v>
      </c>
      <c r="E14731" t="str">
        <f>"19 - S1 - MTWHF - B18 - Instructor BC"</f>
        <v>19 - S1 - MTWHF - B18 - Instructor BC</v>
      </c>
      <c r="F14731" t="str">
        <f>"MAT'L &amp; PROCES"</f>
        <v>MAT'L &amp; PROCES</v>
      </c>
      <c r="G14731" t="str">
        <f>"60-DE"</f>
        <v>60-DE</v>
      </c>
      <c r="H14731" t="str">
        <f>"-"</f>
        <v>-</v>
      </c>
    </row>
    <row r="14732" spans="1:8" x14ac:dyDescent="0.2">
      <c r="A14732" t="str">
        <f t="shared" si="5342"/>
        <v>0614141528</v>
      </c>
      <c r="B14732" t="str">
        <f t="shared" si="5343"/>
        <v>LUCAS</v>
      </c>
      <c r="C14732" t="str">
        <f t="shared" si="5340"/>
        <v>RODRIGUEZ</v>
      </c>
      <c r="D14732">
        <f>11</f>
        <v>11</v>
      </c>
      <c r="E14732" t="str">
        <f>"06 - B - 104 - Nahum  Saint-Preux"</f>
        <v>06 - B - 104 - Nahum  Saint-Preux</v>
      </c>
      <c r="F14732" t="str">
        <f>"INTENS READ 3"</f>
        <v>INTENS READ 3</v>
      </c>
      <c r="G14732" t="str">
        <f>"17-1712"</f>
        <v>17-1712</v>
      </c>
      <c r="H14732" t="str">
        <f>"B"</f>
        <v>B</v>
      </c>
    </row>
    <row r="14733" spans="1:8" x14ac:dyDescent="0.2">
      <c r="A14733" t="str">
        <f t="shared" si="5342"/>
        <v>0614141528</v>
      </c>
      <c r="B14733" t="str">
        <f t="shared" si="5343"/>
        <v>LUCAS</v>
      </c>
      <c r="C14733" t="str">
        <f t="shared" si="5340"/>
        <v>RODRIGUEZ</v>
      </c>
      <c r="D14733">
        <f>11</f>
        <v>11</v>
      </c>
      <c r="E14733" t="str">
        <f>"02 - A - 001 - Courtney E Hambright"</f>
        <v>02 - A - 001 - Courtney E Hambright</v>
      </c>
      <c r="F14733" t="str">
        <f>"NC STUDY HALL 1"</f>
        <v>NC STUDY HALL 1</v>
      </c>
      <c r="G14733" t="str">
        <f>"17-1711"</f>
        <v>17-1711</v>
      </c>
      <c r="H14733" t="str">
        <f>"A"</f>
        <v>A</v>
      </c>
    </row>
    <row r="14734" spans="1:8" x14ac:dyDescent="0.2">
      <c r="A14734" t="str">
        <f t="shared" si="5342"/>
        <v>0614141528</v>
      </c>
      <c r="B14734" t="str">
        <f t="shared" si="5343"/>
        <v>LUCAS</v>
      </c>
      <c r="C14734" t="str">
        <f t="shared" si="5340"/>
        <v>RODRIGUEZ</v>
      </c>
      <c r="D14734">
        <f>11</f>
        <v>11</v>
      </c>
      <c r="E14734" t="str">
        <f>"05 - B - 104 - Lisa  Quinn"</f>
        <v>05 - B - 104 - Lisa  Quinn</v>
      </c>
      <c r="F14734" t="str">
        <f>"ENG 3"</f>
        <v>ENG 3</v>
      </c>
      <c r="G14734" t="str">
        <f>"17-1725"</f>
        <v>17-1725</v>
      </c>
      <c r="H14734" t="str">
        <f>"B"</f>
        <v>B</v>
      </c>
    </row>
    <row r="14735" spans="1:8" x14ac:dyDescent="0.2">
      <c r="A14735" t="str">
        <f t="shared" si="5342"/>
        <v>0614141528</v>
      </c>
      <c r="B14735" t="str">
        <f t="shared" si="5343"/>
        <v>LUCAS</v>
      </c>
      <c r="C14735" t="str">
        <f t="shared" si="5340"/>
        <v>RODRIGUEZ</v>
      </c>
      <c r="D14735">
        <f>11</f>
        <v>11</v>
      </c>
      <c r="E14735" t="str">
        <f>"01 - S1 - A - 101 - Jordana K Hass"</f>
        <v>01 - S1 - A - 101 - Jordana K Hass</v>
      </c>
      <c r="F14735" t="str">
        <f>"PRIN OF AERO SCI"</f>
        <v>PRIN OF AERO SCI</v>
      </c>
      <c r="G14735" t="str">
        <f>"08-807"</f>
        <v>08-807</v>
      </c>
      <c r="H14735" t="str">
        <f>"A"</f>
        <v>A</v>
      </c>
    </row>
    <row r="14736" spans="1:8" x14ac:dyDescent="0.2">
      <c r="A14736" t="str">
        <f t="shared" ref="A14736:A14743" si="5344">"0613120184"</f>
        <v>0613120184</v>
      </c>
      <c r="B14736" t="str">
        <f t="shared" ref="B14736:B14743" si="5345">"MADELINE"</f>
        <v>MADELINE</v>
      </c>
      <c r="C14736" t="str">
        <f t="shared" si="5340"/>
        <v>RODRIGUEZ</v>
      </c>
      <c r="D14736">
        <f>10</f>
        <v>10</v>
      </c>
      <c r="E14736" t="str">
        <f>"04 - A - 205 - Jacqueline R Morphet"</f>
        <v>04 - A - 205 - Jacqueline R Morphet</v>
      </c>
      <c r="F14736" t="str">
        <f>"PHYSICS 1 HON"</f>
        <v>PHYSICS 1 HON</v>
      </c>
      <c r="G14736" t="str">
        <f>"21-2138"</f>
        <v>21-2138</v>
      </c>
      <c r="H14736" t="str">
        <f>"A"</f>
        <v>A</v>
      </c>
    </row>
    <row r="14737" spans="1:8" x14ac:dyDescent="0.2">
      <c r="A14737" t="str">
        <f t="shared" si="5344"/>
        <v>0613120184</v>
      </c>
      <c r="B14737" t="str">
        <f t="shared" si="5345"/>
        <v>MADELINE</v>
      </c>
      <c r="C14737" t="str">
        <f t="shared" si="5340"/>
        <v>RODRIGUEZ</v>
      </c>
      <c r="D14737">
        <f>10</f>
        <v>10</v>
      </c>
      <c r="E14737" t="str">
        <f>"06 - B - 107 - Dorothy D Moore"</f>
        <v>06 - B - 107 - Dorothy D Moore</v>
      </c>
      <c r="F14737" t="str">
        <f>"NC STUDY HALL 1"</f>
        <v>NC STUDY HALL 1</v>
      </c>
      <c r="G14737" t="str">
        <f>"08-803"</f>
        <v>08-803</v>
      </c>
      <c r="H14737" t="str">
        <f>"B"</f>
        <v>B</v>
      </c>
    </row>
    <row r="14738" spans="1:8" x14ac:dyDescent="0.2">
      <c r="A14738" t="str">
        <f t="shared" si="5344"/>
        <v>0613120184</v>
      </c>
      <c r="B14738" t="str">
        <f t="shared" si="5345"/>
        <v>MADELINE</v>
      </c>
      <c r="C14738" t="str">
        <f t="shared" si="5340"/>
        <v>RODRIGUEZ</v>
      </c>
      <c r="D14738">
        <f>10</f>
        <v>10</v>
      </c>
      <c r="E14738" t="str">
        <f>"03 - A - 106 - Krystal Marie  Beruty"</f>
        <v>03 - A - 106 - Krystal Marie  Beruty</v>
      </c>
      <c r="F14738" t="str">
        <f>"AICE PSYCH 1 AS"</f>
        <v>AICE PSYCH 1 AS</v>
      </c>
      <c r="G14738" t="str">
        <f>"17-1721"</f>
        <v>17-1721</v>
      </c>
      <c r="H14738" t="str">
        <f>"A"</f>
        <v>A</v>
      </c>
    </row>
    <row r="14739" spans="1:8" x14ac:dyDescent="0.2">
      <c r="A14739" t="str">
        <f t="shared" si="5344"/>
        <v>0613120184</v>
      </c>
      <c r="B14739" t="str">
        <f t="shared" si="5345"/>
        <v>MADELINE</v>
      </c>
      <c r="C14739" t="str">
        <f t="shared" si="5340"/>
        <v>RODRIGUEZ</v>
      </c>
      <c r="D14739">
        <f>10</f>
        <v>10</v>
      </c>
      <c r="E14739" t="str">
        <f>"02 - A - 101 - Brian M Fitzgerald"</f>
        <v>02 - A - 101 - Brian M Fitzgerald</v>
      </c>
      <c r="F14739" t="str">
        <f>"DRAW 1"</f>
        <v>DRAW 1</v>
      </c>
      <c r="G14739" t="str">
        <f>"09-908"</f>
        <v>09-908</v>
      </c>
      <c r="H14739" t="str">
        <f>"A"</f>
        <v>A</v>
      </c>
    </row>
    <row r="14740" spans="1:8" x14ac:dyDescent="0.2">
      <c r="A14740" t="str">
        <f t="shared" si="5344"/>
        <v>0613120184</v>
      </c>
      <c r="B14740" t="str">
        <f t="shared" si="5345"/>
        <v>MADELINE</v>
      </c>
      <c r="C14740" t="str">
        <f t="shared" si="5340"/>
        <v>RODRIGUEZ</v>
      </c>
      <c r="D14740">
        <f>10</f>
        <v>10</v>
      </c>
      <c r="E14740" t="str">
        <f>"07 - B - 002 - Rachel M Montrose"</f>
        <v>07 - B - 002 - Rachel M Montrose</v>
      </c>
      <c r="F14740" t="str">
        <f>"JOURN 1 (NP) LH"</f>
        <v>JOURN 1 (NP) LH</v>
      </c>
      <c r="G14740" t="str">
        <f>"05-521"</f>
        <v>05-521</v>
      </c>
      <c r="H14740" t="str">
        <f>"B"</f>
        <v>B</v>
      </c>
    </row>
    <row r="14741" spans="1:8" x14ac:dyDescent="0.2">
      <c r="A14741" t="str">
        <f t="shared" si="5344"/>
        <v>0613120184</v>
      </c>
      <c r="B14741" t="str">
        <f t="shared" si="5345"/>
        <v>MADELINE</v>
      </c>
      <c r="C14741" t="str">
        <f t="shared" si="5340"/>
        <v>RODRIGUEZ</v>
      </c>
      <c r="D14741">
        <f>10</f>
        <v>10</v>
      </c>
      <c r="E14741" t="str">
        <f>"05 - B - 104 - Semra  Bahadir"</f>
        <v>05 - B - 104 - Semra  Bahadir</v>
      </c>
      <c r="F14741" t="str">
        <f>"MATH COLL ALGEBRA"</f>
        <v>MATH COLL ALGEBRA</v>
      </c>
      <c r="G14741" t="str">
        <f>"21-2107"</f>
        <v>21-2107</v>
      </c>
      <c r="H14741" t="str">
        <f>"B"</f>
        <v>B</v>
      </c>
    </row>
    <row r="14742" spans="1:8" x14ac:dyDescent="0.2">
      <c r="A14742" t="str">
        <f t="shared" si="5344"/>
        <v>0613120184</v>
      </c>
      <c r="B14742" t="str">
        <f t="shared" si="5345"/>
        <v>MADELINE</v>
      </c>
      <c r="C14742" t="str">
        <f t="shared" si="5340"/>
        <v>RODRIGUEZ</v>
      </c>
      <c r="D14742">
        <f>10</f>
        <v>10</v>
      </c>
      <c r="E14742" t="str">
        <f>"01 - A - 101 - Courtney E Hambright"</f>
        <v>01 - A - 101 - Courtney E Hambright</v>
      </c>
      <c r="F14742" t="str">
        <f>"AICE ENG LANG AS"</f>
        <v>AICE ENG LANG AS</v>
      </c>
      <c r="G14742" t="str">
        <f>"17-1711"</f>
        <v>17-1711</v>
      </c>
      <c r="H14742" t="str">
        <f>"A"</f>
        <v>A</v>
      </c>
    </row>
    <row r="14743" spans="1:8" x14ac:dyDescent="0.2">
      <c r="A14743" t="str">
        <f t="shared" si="5344"/>
        <v>0613120184</v>
      </c>
      <c r="B14743" t="str">
        <f t="shared" si="5345"/>
        <v>MADELINE</v>
      </c>
      <c r="C14743" t="str">
        <f t="shared" si="5340"/>
        <v>RODRIGUEZ</v>
      </c>
      <c r="D14743">
        <f>10</f>
        <v>10</v>
      </c>
      <c r="E14743" t="str">
        <f>"08 - B - 201 - Lenecy  Nodarse"</f>
        <v>08 - B - 201 - Lenecy  Nodarse</v>
      </c>
      <c r="F14743" t="str">
        <f>"AICE EURO HIST 1 AS"</f>
        <v>AICE EURO HIST 1 AS</v>
      </c>
      <c r="G14743" t="str">
        <f>"17-1741"</f>
        <v>17-1741</v>
      </c>
      <c r="H14743" t="str">
        <f>"B"</f>
        <v>B</v>
      </c>
    </row>
    <row r="14744" spans="1:8" x14ac:dyDescent="0.2">
      <c r="A14744" t="str">
        <f t="shared" ref="A14744:A14751" si="5346">"0618127966"</f>
        <v>0618127966</v>
      </c>
      <c r="B14744" t="str">
        <f t="shared" ref="B14744:B14751" si="5347">"ROSELYN"</f>
        <v>ROSELYN</v>
      </c>
      <c r="C14744" t="str">
        <f t="shared" si="5340"/>
        <v>RODRIGUEZ</v>
      </c>
      <c r="D14744">
        <f>12</f>
        <v>12</v>
      </c>
      <c r="E14744" t="str">
        <f>"04 - A - 103 - Lourivaldo  Da Silva"</f>
        <v>04 - A - 103 - Lourivaldo  Da Silva</v>
      </c>
      <c r="F14744" t="str">
        <f>"PRE-CALCULUS HON"</f>
        <v>PRE-CALCULUS HON</v>
      </c>
      <c r="G14744" t="str">
        <f>"20-2079"</f>
        <v>20-2079</v>
      </c>
      <c r="H14744" t="str">
        <f>"A"</f>
        <v>A</v>
      </c>
    </row>
    <row r="14745" spans="1:8" x14ac:dyDescent="0.2">
      <c r="A14745" t="str">
        <f t="shared" si="5346"/>
        <v>0618127966</v>
      </c>
      <c r="B14745" t="str">
        <f t="shared" si="5347"/>
        <v>ROSELYN</v>
      </c>
      <c r="C14745" t="str">
        <f t="shared" si="5340"/>
        <v>RODRIGUEZ</v>
      </c>
      <c r="D14745">
        <f>12</f>
        <v>12</v>
      </c>
      <c r="E14745" t="str">
        <f>"06 - B - 114 - Lisa J London"</f>
        <v>06 - B - 114 - Lisa J London</v>
      </c>
      <c r="F14745" t="str">
        <f>"NC STUDY HALL 1"</f>
        <v>NC STUDY HALL 1</v>
      </c>
      <c r="G14745" t="str">
        <f>"17-1714"</f>
        <v>17-1714</v>
      </c>
      <c r="H14745" t="str">
        <f>"B"</f>
        <v>B</v>
      </c>
    </row>
    <row r="14746" spans="1:8" x14ac:dyDescent="0.2">
      <c r="A14746" t="str">
        <f t="shared" si="5346"/>
        <v>0618127966</v>
      </c>
      <c r="B14746" t="str">
        <f t="shared" si="5347"/>
        <v>ROSELYN</v>
      </c>
      <c r="C14746" t="str">
        <f t="shared" si="5340"/>
        <v>RODRIGUEZ</v>
      </c>
      <c r="D14746">
        <f>12</f>
        <v>12</v>
      </c>
      <c r="E14746" t="str">
        <f>"03 - A - 203 - Stefanie S Scher"</f>
        <v>03 - A - 203 - Stefanie S Scher</v>
      </c>
      <c r="F14746" t="str">
        <f>"AP PSYCH"</f>
        <v>AP PSYCH</v>
      </c>
      <c r="G14746" t="str">
        <f>"17-1735"</f>
        <v>17-1735</v>
      </c>
      <c r="H14746" t="str">
        <f>"A"</f>
        <v>A</v>
      </c>
    </row>
    <row r="14747" spans="1:8" x14ac:dyDescent="0.2">
      <c r="A14747" t="str">
        <f t="shared" si="5346"/>
        <v>0618127966</v>
      </c>
      <c r="B14747" t="str">
        <f t="shared" si="5347"/>
        <v>ROSELYN</v>
      </c>
      <c r="C14747" t="str">
        <f t="shared" si="5340"/>
        <v>RODRIGUEZ</v>
      </c>
      <c r="D14747">
        <f>12</f>
        <v>12</v>
      </c>
      <c r="E14747" t="str">
        <f>"02 - A - 103 - Dorothy D Moore"</f>
        <v>02 - A - 103 - Dorothy D Moore</v>
      </c>
      <c r="F14747" t="str">
        <f>"ANAT PHYSIO HON"</f>
        <v>ANAT PHYSIO HON</v>
      </c>
      <c r="G14747" t="str">
        <f>"08-803"</f>
        <v>08-803</v>
      </c>
      <c r="H14747" t="str">
        <f>"A"</f>
        <v>A</v>
      </c>
    </row>
    <row r="14748" spans="1:8" x14ac:dyDescent="0.2">
      <c r="A14748" t="str">
        <f t="shared" si="5346"/>
        <v>0618127966</v>
      </c>
      <c r="B14748" t="str">
        <f t="shared" si="5347"/>
        <v>ROSELYN</v>
      </c>
      <c r="C14748" t="str">
        <f t="shared" si="5340"/>
        <v>RODRIGUEZ</v>
      </c>
      <c r="D14748">
        <f>12</f>
        <v>12</v>
      </c>
      <c r="E14748" t="str">
        <f>"07 - S1 - B - 101 - Stephen T Ripp"</f>
        <v>07 - S1 - B - 101 - Stephen T Ripp</v>
      </c>
      <c r="F14748" t="str">
        <f>"AP US GOVT/POL"</f>
        <v>AP US GOVT/POL</v>
      </c>
      <c r="G14748" t="str">
        <f>"17-1744"</f>
        <v>17-1744</v>
      </c>
      <c r="H14748" t="str">
        <f>"B"</f>
        <v>B</v>
      </c>
    </row>
    <row r="14749" spans="1:8" x14ac:dyDescent="0.2">
      <c r="A14749" t="str">
        <f t="shared" si="5346"/>
        <v>0618127966</v>
      </c>
      <c r="B14749" t="str">
        <f t="shared" si="5347"/>
        <v>ROSELYN</v>
      </c>
      <c r="C14749" t="str">
        <f t="shared" si="5340"/>
        <v>RODRIGUEZ</v>
      </c>
      <c r="D14749">
        <f>12</f>
        <v>12</v>
      </c>
      <c r="E14749" t="str">
        <f>"05 - B - 101 - Jordana K Hass"</f>
        <v>05 - B - 101 - Jordana K Hass</v>
      </c>
      <c r="F14749" t="str">
        <f>"AP COMP SCI PRIN"</f>
        <v>AP COMP SCI PRIN</v>
      </c>
      <c r="G14749" t="str">
        <f>"08-807"</f>
        <v>08-807</v>
      </c>
      <c r="H14749" t="str">
        <f>"B"</f>
        <v>B</v>
      </c>
    </row>
    <row r="14750" spans="1:8" x14ac:dyDescent="0.2">
      <c r="A14750" t="str">
        <f t="shared" si="5346"/>
        <v>0618127966</v>
      </c>
      <c r="B14750" t="str">
        <f t="shared" si="5347"/>
        <v>ROSELYN</v>
      </c>
      <c r="C14750" t="str">
        <f t="shared" si="5340"/>
        <v>RODRIGUEZ</v>
      </c>
      <c r="D14750">
        <f>12</f>
        <v>12</v>
      </c>
      <c r="E14750" t="str">
        <f>"01 - A - 204 - Tina M Jaramillo"</f>
        <v>01 - A - 204 - Tina M Jaramillo</v>
      </c>
      <c r="F14750" t="str">
        <f>"AP ENG LIT COMPO"</f>
        <v>AP ENG LIT COMPO</v>
      </c>
      <c r="G14750" t="str">
        <f>"17-1706"</f>
        <v>17-1706</v>
      </c>
      <c r="H14750" t="str">
        <f>"A"</f>
        <v>A</v>
      </c>
    </row>
    <row r="14751" spans="1:8" x14ac:dyDescent="0.2">
      <c r="A14751" t="str">
        <f t="shared" si="5346"/>
        <v>0618127966</v>
      </c>
      <c r="B14751" t="str">
        <f t="shared" si="5347"/>
        <v>ROSELYN</v>
      </c>
      <c r="C14751" t="str">
        <f t="shared" si="5340"/>
        <v>RODRIGUEZ</v>
      </c>
      <c r="D14751">
        <f>12</f>
        <v>12</v>
      </c>
      <c r="E14751" t="str">
        <f>"08 - B - 102 - Lisa J London"</f>
        <v>08 - B - 102 - Lisa J London</v>
      </c>
      <c r="F14751" t="str">
        <f>"AP CAPSTONE RESEARCH"</f>
        <v>AP CAPSTONE RESEARCH</v>
      </c>
      <c r="G14751" t="str">
        <f>"17-1714"</f>
        <v>17-1714</v>
      </c>
      <c r="H14751" t="str">
        <f>"B"</f>
        <v>B</v>
      </c>
    </row>
    <row r="14752" spans="1:8" x14ac:dyDescent="0.2">
      <c r="A14752" t="str">
        <f t="shared" ref="A14752:A14759" si="5348">"0618072364"</f>
        <v>0618072364</v>
      </c>
      <c r="B14752" t="str">
        <f t="shared" ref="B14752:B14759" si="5349">"ANTOINE"</f>
        <v>ANTOINE</v>
      </c>
      <c r="C14752" t="str">
        <f t="shared" ref="C14752:C14759" si="5350">"RODRIGUEZBRITO"</f>
        <v>RODRIGUEZBRITO</v>
      </c>
      <c r="D14752" t="str">
        <f t="shared" ref="D14752:D14767" si="5351">"09"</f>
        <v>09</v>
      </c>
      <c r="E14752" t="str">
        <f>"04 - A - 102 - Eva T Rimmer"</f>
        <v>04 - A - 102 - Eva T Rimmer</v>
      </c>
      <c r="F14752" t="str">
        <f>"CRIMINAL JUST OPS 1"</f>
        <v>CRIMINAL JUST OPS 1</v>
      </c>
      <c r="G14752" t="str">
        <f>"05-523"</f>
        <v>05-523</v>
      </c>
      <c r="H14752" t="str">
        <f>"A"</f>
        <v>A</v>
      </c>
    </row>
    <row r="14753" spans="1:8" x14ac:dyDescent="0.2">
      <c r="A14753" t="str">
        <f t="shared" si="5348"/>
        <v>0618072364</v>
      </c>
      <c r="B14753" t="str">
        <f t="shared" si="5349"/>
        <v>ANTOINE</v>
      </c>
      <c r="C14753" t="str">
        <f t="shared" si="5350"/>
        <v>RODRIGUEZBRITO</v>
      </c>
      <c r="D14753" t="str">
        <f t="shared" si="5351"/>
        <v>09</v>
      </c>
      <c r="E14753" t="str">
        <f>"06 - B - 106 - Marius D Orsolini"</f>
        <v>06 - B - 106 - Marius D Orsolini</v>
      </c>
      <c r="F14753" t="str">
        <f>"CULINARY ARTS 1"</f>
        <v>CULINARY ARTS 1</v>
      </c>
      <c r="G14753" t="str">
        <f>"21-2115"</f>
        <v>21-2115</v>
      </c>
      <c r="H14753" t="str">
        <f>"B"</f>
        <v>B</v>
      </c>
    </row>
    <row r="14754" spans="1:8" x14ac:dyDescent="0.2">
      <c r="A14754" t="str">
        <f t="shared" si="5348"/>
        <v>0618072364</v>
      </c>
      <c r="B14754" t="str">
        <f t="shared" si="5349"/>
        <v>ANTOINE</v>
      </c>
      <c r="C14754" t="str">
        <f t="shared" si="5350"/>
        <v>RODRIGUEZBRITO</v>
      </c>
      <c r="D14754" t="str">
        <f t="shared" si="5351"/>
        <v>09</v>
      </c>
      <c r="E14754" t="str">
        <f>"03 - A - 001 - Maried P Ramos"</f>
        <v>03 - A - 001 - Maried P Ramos</v>
      </c>
      <c r="F14754" t="str">
        <f>"PRE-AICE MATH 2 IG"</f>
        <v>PRE-AICE MATH 2 IG</v>
      </c>
      <c r="G14754" t="str">
        <f>"21-2159"</f>
        <v>21-2159</v>
      </c>
      <c r="H14754" t="str">
        <f>"A"</f>
        <v>A</v>
      </c>
    </row>
    <row r="14755" spans="1:8" x14ac:dyDescent="0.2">
      <c r="A14755" t="str">
        <f t="shared" si="5348"/>
        <v>0618072364</v>
      </c>
      <c r="B14755" t="str">
        <f t="shared" si="5349"/>
        <v>ANTOINE</v>
      </c>
      <c r="C14755" t="str">
        <f t="shared" si="5350"/>
        <v>RODRIGUEZBRITO</v>
      </c>
      <c r="D14755" t="str">
        <f t="shared" si="5351"/>
        <v>09</v>
      </c>
      <c r="E14755" t="str">
        <f>"02 - A - 107 - Cerine S Stewart"</f>
        <v>02 - A - 107 - Cerine S Stewart</v>
      </c>
      <c r="F14755" t="str">
        <f>"NC STUDY HALL 1"</f>
        <v>NC STUDY HALL 1</v>
      </c>
      <c r="G14755" t="str">
        <f>"17-1720"</f>
        <v>17-1720</v>
      </c>
      <c r="H14755" t="str">
        <f>"A"</f>
        <v>A</v>
      </c>
    </row>
    <row r="14756" spans="1:8" x14ac:dyDescent="0.2">
      <c r="A14756" t="str">
        <f t="shared" si="5348"/>
        <v>0618072364</v>
      </c>
      <c r="B14756" t="str">
        <f t="shared" si="5349"/>
        <v>ANTOINE</v>
      </c>
      <c r="C14756" t="str">
        <f t="shared" si="5350"/>
        <v>RODRIGUEZBRITO</v>
      </c>
      <c r="D14756" t="str">
        <f t="shared" si="5351"/>
        <v>09</v>
      </c>
      <c r="E14756" t="str">
        <f>"07 - B - 107 - Adam Marcus  Drucker"</f>
        <v>07 - B - 107 - Adam Marcus  Drucker</v>
      </c>
      <c r="F14756" t="str">
        <f>"HOPE-PE V"</f>
        <v>HOPE-PE V</v>
      </c>
      <c r="G14756" t="str">
        <f>"04-254"</f>
        <v>04-254</v>
      </c>
      <c r="H14756" t="str">
        <f>"B"</f>
        <v>B</v>
      </c>
    </row>
    <row r="14757" spans="1:8" x14ac:dyDescent="0.2">
      <c r="A14757" t="str">
        <f t="shared" si="5348"/>
        <v>0618072364</v>
      </c>
      <c r="B14757" t="str">
        <f t="shared" si="5349"/>
        <v>ANTOINE</v>
      </c>
      <c r="C14757" t="str">
        <f t="shared" si="5350"/>
        <v>RODRIGUEZBRITO</v>
      </c>
      <c r="D14757" t="str">
        <f t="shared" si="5351"/>
        <v>09</v>
      </c>
      <c r="E14757" t="str">
        <f>"05 - B - 103 - Rory T Sponsler"</f>
        <v>05 - B - 103 - Rory T Sponsler</v>
      </c>
      <c r="F14757" t="str">
        <f>"PRE-AICE WRLD HST IG"</f>
        <v>PRE-AICE WRLD HST IG</v>
      </c>
      <c r="G14757" t="str">
        <f>"17-1740"</f>
        <v>17-1740</v>
      </c>
      <c r="H14757" t="str">
        <f>"B"</f>
        <v>B</v>
      </c>
    </row>
    <row r="14758" spans="1:8" x14ac:dyDescent="0.2">
      <c r="A14758" t="str">
        <f t="shared" si="5348"/>
        <v>0618072364</v>
      </c>
      <c r="B14758" t="str">
        <f t="shared" si="5349"/>
        <v>ANTOINE</v>
      </c>
      <c r="C14758" t="str">
        <f t="shared" si="5350"/>
        <v>RODRIGUEZBRITO</v>
      </c>
      <c r="D14758" t="str">
        <f t="shared" si="5351"/>
        <v>09</v>
      </c>
      <c r="E14758" t="str">
        <f>"01 - A - 001 - Dorothy D Moore"</f>
        <v>01 - A - 001 - Dorothy D Moore</v>
      </c>
      <c r="F14758" t="str">
        <f>"ANAT PHYSIO HON"</f>
        <v>ANAT PHYSIO HON</v>
      </c>
      <c r="G14758" t="str">
        <f>"08-803"</f>
        <v>08-803</v>
      </c>
      <c r="H14758" t="str">
        <f>"A"</f>
        <v>A</v>
      </c>
    </row>
    <row r="14759" spans="1:8" x14ac:dyDescent="0.2">
      <c r="A14759" t="str">
        <f t="shared" si="5348"/>
        <v>0618072364</v>
      </c>
      <c r="B14759" t="str">
        <f t="shared" si="5349"/>
        <v>ANTOINE</v>
      </c>
      <c r="C14759" t="str">
        <f t="shared" si="5350"/>
        <v>RODRIGUEZBRITO</v>
      </c>
      <c r="D14759" t="str">
        <f t="shared" si="5351"/>
        <v>09</v>
      </c>
      <c r="E14759" t="str">
        <f>"08 - B - 201 - Elizabeth R Walker"</f>
        <v>08 - B - 201 - Elizabeth R Walker</v>
      </c>
      <c r="F14759" t="str">
        <f>"AICE ENG GEN PAPER 1"</f>
        <v>AICE ENG GEN PAPER 1</v>
      </c>
      <c r="G14759" t="str">
        <f>"17-1703"</f>
        <v>17-1703</v>
      </c>
      <c r="H14759" t="str">
        <f>"B"</f>
        <v>B</v>
      </c>
    </row>
    <row r="14760" spans="1:8" x14ac:dyDescent="0.2">
      <c r="A14760" t="str">
        <f t="shared" ref="A14760:A14767" si="5352">"0623101929"</f>
        <v>0623101929</v>
      </c>
      <c r="B14760" t="str">
        <f t="shared" ref="B14760:B14767" si="5353">"YUNIER"</f>
        <v>YUNIER</v>
      </c>
      <c r="C14760" t="str">
        <f t="shared" ref="C14760:C14767" si="5354">"RODRIGUEZ MEDINA"</f>
        <v>RODRIGUEZ MEDINA</v>
      </c>
      <c r="D14760" t="str">
        <f t="shared" si="5351"/>
        <v>09</v>
      </c>
      <c r="E14760" t="str">
        <f>"04 - A - 106 - Lissa C Frederique"</f>
        <v>04 - A - 106 - Lissa C Frederique</v>
      </c>
      <c r="F14760" t="str">
        <f>"WORLD HISTORY"</f>
        <v>WORLD HISTORY</v>
      </c>
      <c r="G14760" t="str">
        <f>"17-1754"</f>
        <v>17-1754</v>
      </c>
      <c r="H14760" t="str">
        <f>"A"</f>
        <v>A</v>
      </c>
    </row>
    <row r="14761" spans="1:8" x14ac:dyDescent="0.2">
      <c r="A14761" t="str">
        <f t="shared" si="5352"/>
        <v>0623101929</v>
      </c>
      <c r="B14761" t="str">
        <f t="shared" si="5353"/>
        <v>YUNIER</v>
      </c>
      <c r="C14761" t="str">
        <f t="shared" si="5354"/>
        <v>RODRIGUEZ MEDINA</v>
      </c>
      <c r="D14761" t="str">
        <f t="shared" si="5351"/>
        <v>09</v>
      </c>
      <c r="E14761" t="str">
        <f>"06 - B - 106 - Marius D Orsolini"</f>
        <v>06 - B - 106 - Marius D Orsolini</v>
      </c>
      <c r="F14761" t="str">
        <f>"CULINARY ARTS 1"</f>
        <v>CULINARY ARTS 1</v>
      </c>
      <c r="G14761" t="str">
        <f>"21-2115"</f>
        <v>21-2115</v>
      </c>
      <c r="H14761" t="str">
        <f>"B"</f>
        <v>B</v>
      </c>
    </row>
    <row r="14762" spans="1:8" x14ac:dyDescent="0.2">
      <c r="A14762" t="str">
        <f t="shared" si="5352"/>
        <v>0623101929</v>
      </c>
      <c r="B14762" t="str">
        <f t="shared" si="5353"/>
        <v>YUNIER</v>
      </c>
      <c r="C14762" t="str">
        <f t="shared" si="5354"/>
        <v>RODRIGUEZ MEDINA</v>
      </c>
      <c r="D14762" t="str">
        <f t="shared" si="5351"/>
        <v>09</v>
      </c>
      <c r="E14762" t="str">
        <f>"03 - A - 101 - Milca  Exantus"</f>
        <v>03 - A - 101 - Milca  Exantus</v>
      </c>
      <c r="F14762" t="str">
        <f>"ALGEBRA 1-A"</f>
        <v>ALGEBRA 1-A</v>
      </c>
      <c r="G14762" t="str">
        <f>"21-2145"</f>
        <v>21-2145</v>
      </c>
      <c r="H14762" t="str">
        <f>"A"</f>
        <v>A</v>
      </c>
    </row>
    <row r="14763" spans="1:8" x14ac:dyDescent="0.2">
      <c r="A14763" t="str">
        <f t="shared" si="5352"/>
        <v>0623101929</v>
      </c>
      <c r="B14763" t="str">
        <f t="shared" si="5353"/>
        <v>YUNIER</v>
      </c>
      <c r="C14763" t="str">
        <f t="shared" si="5354"/>
        <v>RODRIGUEZ MEDINA</v>
      </c>
      <c r="D14763" t="str">
        <f t="shared" si="5351"/>
        <v>09</v>
      </c>
      <c r="E14763" t="str">
        <f>"02 - A - 102 - Samantha J Headley"</f>
        <v>02 - A - 102 - Samantha J Headley</v>
      </c>
      <c r="F14763" t="str">
        <f>"NC STUDY HALL 1"</f>
        <v>NC STUDY HALL 1</v>
      </c>
      <c r="G14763" t="str">
        <f>"21-2134"</f>
        <v>21-2134</v>
      </c>
      <c r="H14763" t="str">
        <f>"A"</f>
        <v>A</v>
      </c>
    </row>
    <row r="14764" spans="1:8" x14ac:dyDescent="0.2">
      <c r="A14764" t="str">
        <f t="shared" si="5352"/>
        <v>0623101929</v>
      </c>
      <c r="B14764" t="str">
        <f t="shared" si="5353"/>
        <v>YUNIER</v>
      </c>
      <c r="C14764" t="str">
        <f t="shared" si="5354"/>
        <v>RODRIGUEZ MEDINA</v>
      </c>
      <c r="D14764" t="str">
        <f t="shared" si="5351"/>
        <v>09</v>
      </c>
      <c r="E14764" t="str">
        <f>"07 - B - 107 - Cerine S Stewart"</f>
        <v>07 - B - 107 - Cerine S Stewart</v>
      </c>
      <c r="F14764" t="str">
        <f>"ENG 1"</f>
        <v>ENG 1</v>
      </c>
      <c r="G14764" t="str">
        <f>"17-1720"</f>
        <v>17-1720</v>
      </c>
      <c r="H14764" t="str">
        <f>"B"</f>
        <v>B</v>
      </c>
    </row>
    <row r="14765" spans="1:8" x14ac:dyDescent="0.2">
      <c r="A14765" t="str">
        <f t="shared" si="5352"/>
        <v>0623101929</v>
      </c>
      <c r="B14765" t="str">
        <f t="shared" si="5353"/>
        <v>YUNIER</v>
      </c>
      <c r="C14765" t="str">
        <f t="shared" si="5354"/>
        <v>RODRIGUEZ MEDINA</v>
      </c>
      <c r="D14765" t="str">
        <f t="shared" si="5351"/>
        <v>09</v>
      </c>
      <c r="E14765" t="str">
        <f>"05 - B - 102 - Vanessa J Pena"</f>
        <v>05 - B - 102 - Vanessa J Pena</v>
      </c>
      <c r="F14765" t="str">
        <f>"DEV LANG ARTS ESOL-R"</f>
        <v>DEV LANG ARTS ESOL-R</v>
      </c>
      <c r="G14765" t="str">
        <f>"09-926"</f>
        <v>09-926</v>
      </c>
      <c r="H14765" t="str">
        <f>"B"</f>
        <v>B</v>
      </c>
    </row>
    <row r="14766" spans="1:8" x14ac:dyDescent="0.2">
      <c r="A14766" t="str">
        <f t="shared" si="5352"/>
        <v>0623101929</v>
      </c>
      <c r="B14766" t="str">
        <f t="shared" si="5353"/>
        <v>YUNIER</v>
      </c>
      <c r="C14766" t="str">
        <f t="shared" si="5354"/>
        <v>RODRIGUEZ MEDINA</v>
      </c>
      <c r="D14766" t="str">
        <f t="shared" si="5351"/>
        <v>09</v>
      </c>
      <c r="E14766" t="str">
        <f>"01 - A - 103 - Amy Beth  Broyles"</f>
        <v>01 - A - 103 - Amy Beth  Broyles</v>
      </c>
      <c r="F14766" t="str">
        <f>"ENV SCI"</f>
        <v>ENV SCI</v>
      </c>
      <c r="G14766" t="str">
        <f>"08-802"</f>
        <v>08-802</v>
      </c>
      <c r="H14766" t="str">
        <f>"A"</f>
        <v>A</v>
      </c>
    </row>
    <row r="14767" spans="1:8" x14ac:dyDescent="0.2">
      <c r="A14767" t="str">
        <f t="shared" si="5352"/>
        <v>0623101929</v>
      </c>
      <c r="B14767" t="str">
        <f t="shared" si="5353"/>
        <v>YUNIER</v>
      </c>
      <c r="C14767" t="str">
        <f t="shared" si="5354"/>
        <v>RODRIGUEZ MEDINA</v>
      </c>
      <c r="D14767" t="str">
        <f t="shared" si="5351"/>
        <v>09</v>
      </c>
      <c r="E14767" t="str">
        <f>"08 - B - 106 - Laselleda D Shaw"</f>
        <v>08 - B - 106 - Laselleda D Shaw</v>
      </c>
      <c r="F14767" t="str">
        <f>"INTENS READ 1"</f>
        <v>INTENS READ 1</v>
      </c>
      <c r="G14767" t="str">
        <f>"17-1723"</f>
        <v>17-1723</v>
      </c>
      <c r="H14767" t="str">
        <f>"B"</f>
        <v>B</v>
      </c>
    </row>
    <row r="14768" spans="1:8" x14ac:dyDescent="0.2">
      <c r="A14768" t="str">
        <f t="shared" ref="A14768:A14775" si="5355">"0617005102"</f>
        <v>0617005102</v>
      </c>
      <c r="B14768" t="str">
        <f t="shared" ref="B14768:B14775" si="5356">"JOSE"</f>
        <v>JOSE</v>
      </c>
      <c r="C14768" t="str">
        <f t="shared" ref="C14768:C14775" si="5357">"RODRIGUEZ-PEREZ"</f>
        <v>RODRIGUEZ-PEREZ</v>
      </c>
      <c r="D14768">
        <f>10</f>
        <v>10</v>
      </c>
      <c r="E14768" t="str">
        <f>"04 - A - 101 - Rosa Elaine  Collado-Duff"</f>
        <v>04 - A - 101 - Rosa Elaine  Collado-Duff</v>
      </c>
      <c r="F14768" t="str">
        <f>"AICE SPAN LANG AS"</f>
        <v>AICE SPAN LANG AS</v>
      </c>
      <c r="G14768" t="str">
        <f>"09-913"</f>
        <v>09-913</v>
      </c>
      <c r="H14768" t="str">
        <f>"A"</f>
        <v>A</v>
      </c>
    </row>
    <row r="14769" spans="1:8" x14ac:dyDescent="0.2">
      <c r="A14769" t="str">
        <f t="shared" si="5355"/>
        <v>0617005102</v>
      </c>
      <c r="B14769" t="str">
        <f t="shared" si="5356"/>
        <v>JOSE</v>
      </c>
      <c r="C14769" t="str">
        <f t="shared" si="5357"/>
        <v>RODRIGUEZ-PEREZ</v>
      </c>
      <c r="D14769">
        <f>10</f>
        <v>10</v>
      </c>
      <c r="E14769" t="str">
        <f>"06 - B - 109 - Semra  Bahadir"</f>
        <v>06 - B - 109 - Semra  Bahadir</v>
      </c>
      <c r="F14769" t="str">
        <f>"NC STUDY HALL 1"</f>
        <v>NC STUDY HALL 1</v>
      </c>
      <c r="G14769" t="str">
        <f>"21-2107"</f>
        <v>21-2107</v>
      </c>
      <c r="H14769" t="str">
        <f>"B"</f>
        <v>B</v>
      </c>
    </row>
    <row r="14770" spans="1:8" x14ac:dyDescent="0.2">
      <c r="A14770" t="str">
        <f t="shared" si="5355"/>
        <v>0617005102</v>
      </c>
      <c r="B14770" t="str">
        <f t="shared" si="5356"/>
        <v>JOSE</v>
      </c>
      <c r="C14770" t="str">
        <f t="shared" si="5357"/>
        <v>RODRIGUEZ-PEREZ</v>
      </c>
      <c r="D14770">
        <f>10</f>
        <v>10</v>
      </c>
      <c r="E14770" t="str">
        <f>"03 - A - 103 - Pamela M Corzo"</f>
        <v>03 - A - 103 - Pamela M Corzo</v>
      </c>
      <c r="F14770" t="str">
        <f>"ALGEBRA 2 HON"</f>
        <v>ALGEBRA 2 HON</v>
      </c>
      <c r="G14770" t="str">
        <f>"21-2133"</f>
        <v>21-2133</v>
      </c>
      <c r="H14770" t="str">
        <f>"A"</f>
        <v>A</v>
      </c>
    </row>
    <row r="14771" spans="1:8" x14ac:dyDescent="0.2">
      <c r="A14771" t="str">
        <f t="shared" si="5355"/>
        <v>0617005102</v>
      </c>
      <c r="B14771" t="str">
        <f t="shared" si="5356"/>
        <v>JOSE</v>
      </c>
      <c r="C14771" t="str">
        <f t="shared" si="5357"/>
        <v>RODRIGUEZ-PEREZ</v>
      </c>
      <c r="D14771">
        <f>10</f>
        <v>10</v>
      </c>
      <c r="E14771" t="str">
        <f>"02 - A - 104 - Scott A Dethloff"</f>
        <v>02 - A - 104 - Scott A Dethloff</v>
      </c>
      <c r="F14771" t="str">
        <f>"CHEMISTRY 1 HON"</f>
        <v>CHEMISTRY 1 HON</v>
      </c>
      <c r="G14771" t="str">
        <f>"08-812"</f>
        <v>08-812</v>
      </c>
      <c r="H14771" t="str">
        <f>"A"</f>
        <v>A</v>
      </c>
    </row>
    <row r="14772" spans="1:8" x14ac:dyDescent="0.2">
      <c r="A14772" t="str">
        <f t="shared" si="5355"/>
        <v>0617005102</v>
      </c>
      <c r="B14772" t="str">
        <f t="shared" si="5356"/>
        <v>JOSE</v>
      </c>
      <c r="C14772" t="str">
        <f t="shared" si="5357"/>
        <v>RODRIGUEZ-PEREZ</v>
      </c>
      <c r="D14772">
        <f>10</f>
        <v>10</v>
      </c>
      <c r="E14772" t="str">
        <f>"07 - B - 201 - Angela S Adeshina-Morrison"</f>
        <v>07 - B - 201 - Angela S Adeshina-Morrison</v>
      </c>
      <c r="F14772" t="str">
        <f>"BUSINESS OWNER HON"</f>
        <v>BUSINESS OWNER HON</v>
      </c>
      <c r="G14772" t="str">
        <f>"05-518"</f>
        <v>05-518</v>
      </c>
      <c r="H14772" t="str">
        <f>"B"</f>
        <v>B</v>
      </c>
    </row>
    <row r="14773" spans="1:8" x14ac:dyDescent="0.2">
      <c r="A14773" t="str">
        <f t="shared" si="5355"/>
        <v>0617005102</v>
      </c>
      <c r="B14773" t="str">
        <f t="shared" si="5356"/>
        <v>JOSE</v>
      </c>
      <c r="C14773" t="str">
        <f t="shared" si="5357"/>
        <v>RODRIGUEZ-PEREZ</v>
      </c>
      <c r="D14773">
        <f>10</f>
        <v>10</v>
      </c>
      <c r="E14773" t="str">
        <f>"05 - B - 101 - Alejandro  Navarro"</f>
        <v>05 - B - 101 - Alejandro  Navarro</v>
      </c>
      <c r="F14773" t="str">
        <f>"JAZZ ENS 1"</f>
        <v>JAZZ ENS 1</v>
      </c>
      <c r="G14773" t="str">
        <f>"05-504"</f>
        <v>05-504</v>
      </c>
      <c r="H14773" t="str">
        <f>"B"</f>
        <v>B</v>
      </c>
    </row>
    <row r="14774" spans="1:8" x14ac:dyDescent="0.2">
      <c r="A14774" t="str">
        <f t="shared" si="5355"/>
        <v>0617005102</v>
      </c>
      <c r="B14774" t="str">
        <f t="shared" si="5356"/>
        <v>JOSE</v>
      </c>
      <c r="C14774" t="str">
        <f t="shared" si="5357"/>
        <v>RODRIGUEZ-PEREZ</v>
      </c>
      <c r="D14774">
        <f>10</f>
        <v>10</v>
      </c>
      <c r="E14774" t="str">
        <f>"01 - A - 101 - Courtney E Hambright"</f>
        <v>01 - A - 101 - Courtney E Hambright</v>
      </c>
      <c r="F14774" t="str">
        <f>"AICE ENG LANG AS"</f>
        <v>AICE ENG LANG AS</v>
      </c>
      <c r="G14774" t="str">
        <f>"17-1711"</f>
        <v>17-1711</v>
      </c>
      <c r="H14774" t="str">
        <f>"A"</f>
        <v>A</v>
      </c>
    </row>
    <row r="14775" spans="1:8" x14ac:dyDescent="0.2">
      <c r="A14775" t="str">
        <f t="shared" si="5355"/>
        <v>0617005102</v>
      </c>
      <c r="B14775" t="str">
        <f t="shared" si="5356"/>
        <v>JOSE</v>
      </c>
      <c r="C14775" t="str">
        <f t="shared" si="5357"/>
        <v>RODRIGUEZ-PEREZ</v>
      </c>
      <c r="D14775">
        <f>10</f>
        <v>10</v>
      </c>
      <c r="E14775" t="str">
        <f>"08 - B - 201 - Lenecy  Nodarse"</f>
        <v>08 - B - 201 - Lenecy  Nodarse</v>
      </c>
      <c r="F14775" t="str">
        <f>"AICE EURO HIST 1 AS"</f>
        <v>AICE EURO HIST 1 AS</v>
      </c>
      <c r="G14775" t="str">
        <f>"17-1741"</f>
        <v>17-1741</v>
      </c>
      <c r="H14775" t="str">
        <f>"B"</f>
        <v>B</v>
      </c>
    </row>
    <row r="14776" spans="1:8" x14ac:dyDescent="0.2">
      <c r="A14776" t="str">
        <f t="shared" ref="A14776:A14783" si="5358">"0616058949"</f>
        <v>0616058949</v>
      </c>
      <c r="B14776" t="str">
        <f t="shared" ref="B14776:B14783" si="5359">"DANIELA"</f>
        <v>DANIELA</v>
      </c>
      <c r="C14776" t="str">
        <f t="shared" ref="C14776:C14783" si="5360">"ROJAS HERNANDEZ"</f>
        <v>ROJAS HERNANDEZ</v>
      </c>
      <c r="D14776">
        <f>11</f>
        <v>11</v>
      </c>
      <c r="E14776" t="str">
        <f>"04 - A - 102 - Jordana K Hass"</f>
        <v>04 - A - 102 - Jordana K Hass</v>
      </c>
      <c r="F14776" t="str">
        <f>"CHEMISTRY 1"</f>
        <v>CHEMISTRY 1</v>
      </c>
      <c r="G14776" t="str">
        <f>"08-807"</f>
        <v>08-807</v>
      </c>
      <c r="H14776" t="str">
        <f>"A"</f>
        <v>A</v>
      </c>
    </row>
    <row r="14777" spans="1:8" x14ac:dyDescent="0.2">
      <c r="A14777" t="str">
        <f t="shared" si="5358"/>
        <v>0616058949</v>
      </c>
      <c r="B14777" t="str">
        <f t="shared" si="5359"/>
        <v>DANIELA</v>
      </c>
      <c r="C14777" t="str">
        <f t="shared" si="5360"/>
        <v>ROJAS HERNANDEZ</v>
      </c>
      <c r="D14777">
        <f>11</f>
        <v>11</v>
      </c>
      <c r="E14777" t="str">
        <f>"06 - B - 104 - Brandy N Zdenek"</f>
        <v>06 - B - 104 - Brandy N Zdenek</v>
      </c>
      <c r="F14777" t="str">
        <f>"AICE ENG LANG 2 AL"</f>
        <v>AICE ENG LANG 2 AL</v>
      </c>
      <c r="G14777" t="str">
        <f>"17-1704"</f>
        <v>17-1704</v>
      </c>
      <c r="H14777" t="str">
        <f>"B"</f>
        <v>B</v>
      </c>
    </row>
    <row r="14778" spans="1:8" x14ac:dyDescent="0.2">
      <c r="A14778" t="str">
        <f t="shared" si="5358"/>
        <v>0616058949</v>
      </c>
      <c r="B14778" t="str">
        <f t="shared" si="5359"/>
        <v>DANIELA</v>
      </c>
      <c r="C14778" t="str">
        <f t="shared" si="5360"/>
        <v>ROJAS HERNANDEZ</v>
      </c>
      <c r="D14778">
        <f>11</f>
        <v>11</v>
      </c>
      <c r="E14778" t="str">
        <f>"03 - A - 202 - Cheryl L Beach"</f>
        <v>03 - A - 202 - Cheryl L Beach</v>
      </c>
      <c r="F14778" t="str">
        <f>"AICE ENV MGMNT AS"</f>
        <v>AICE ENV MGMNT AS</v>
      </c>
      <c r="G14778" t="str">
        <f>"08-811"</f>
        <v>08-811</v>
      </c>
      <c r="H14778" t="str">
        <f>"A"</f>
        <v>A</v>
      </c>
    </row>
    <row r="14779" spans="1:8" x14ac:dyDescent="0.2">
      <c r="A14779" t="str">
        <f t="shared" si="5358"/>
        <v>0616058949</v>
      </c>
      <c r="B14779" t="str">
        <f t="shared" si="5359"/>
        <v>DANIELA</v>
      </c>
      <c r="C14779" t="str">
        <f t="shared" si="5360"/>
        <v>ROJAS HERNANDEZ</v>
      </c>
      <c r="D14779">
        <f>11</f>
        <v>11</v>
      </c>
      <c r="E14779" t="str">
        <f>"02 - A - 117 - Kyle  Robbins"</f>
        <v>02 - A - 117 - Kyle  Robbins</v>
      </c>
      <c r="F14779" t="str">
        <f>"NC STUDY HALL 1"</f>
        <v>NC STUDY HALL 1</v>
      </c>
      <c r="G14779" t="str">
        <f>"17-1745"</f>
        <v>17-1745</v>
      </c>
      <c r="H14779" t="str">
        <f>"A"</f>
        <v>A</v>
      </c>
    </row>
    <row r="14780" spans="1:8" x14ac:dyDescent="0.2">
      <c r="A14780" t="str">
        <f t="shared" si="5358"/>
        <v>0616058949</v>
      </c>
      <c r="B14780" t="str">
        <f t="shared" si="5359"/>
        <v>DANIELA</v>
      </c>
      <c r="C14780" t="str">
        <f t="shared" si="5360"/>
        <v>ROJAS HERNANDEZ</v>
      </c>
      <c r="D14780">
        <f>11</f>
        <v>11</v>
      </c>
      <c r="E14780" t="str">
        <f>"07 - B - 106 - James H Mccann"</f>
        <v>07 - B - 106 - James H Mccann</v>
      </c>
      <c r="F14780" t="str">
        <f>"ALGEBRA 2"</f>
        <v>ALGEBRA 2</v>
      </c>
      <c r="G14780" t="str">
        <f>"17-1716"</f>
        <v>17-1716</v>
      </c>
      <c r="H14780" t="str">
        <f>"B"</f>
        <v>B</v>
      </c>
    </row>
    <row r="14781" spans="1:8" x14ac:dyDescent="0.2">
      <c r="A14781" t="str">
        <f t="shared" si="5358"/>
        <v>0616058949</v>
      </c>
      <c r="B14781" t="str">
        <f t="shared" si="5359"/>
        <v>DANIELA</v>
      </c>
      <c r="C14781" t="str">
        <f t="shared" si="5360"/>
        <v>ROJAS HERNANDEZ</v>
      </c>
      <c r="D14781">
        <f>11</f>
        <v>11</v>
      </c>
      <c r="E14781" t="str">
        <f>"05 - B - 001 - Kyle  Robbins"</f>
        <v>05 - B - 001 - Kyle  Robbins</v>
      </c>
      <c r="F14781" t="str">
        <f>"US HISTORY HON"</f>
        <v>US HISTORY HON</v>
      </c>
      <c r="G14781" t="str">
        <f>"17-1745"</f>
        <v>17-1745</v>
      </c>
      <c r="H14781" t="str">
        <f>"B"</f>
        <v>B</v>
      </c>
    </row>
    <row r="14782" spans="1:8" x14ac:dyDescent="0.2">
      <c r="A14782" t="str">
        <f t="shared" si="5358"/>
        <v>0616058949</v>
      </c>
      <c r="B14782" t="str">
        <f t="shared" si="5359"/>
        <v>DANIELA</v>
      </c>
      <c r="C14782" t="str">
        <f t="shared" si="5360"/>
        <v>ROJAS HERNANDEZ</v>
      </c>
      <c r="D14782">
        <f>11</f>
        <v>11</v>
      </c>
      <c r="E14782" t="str">
        <f>"01 - A - 201 - Stefanie S Scher"</f>
        <v>01 - A - 201 - Stefanie S Scher</v>
      </c>
      <c r="F14782" t="str">
        <f>"AICE PSYCH 1 AS"</f>
        <v>AICE PSYCH 1 AS</v>
      </c>
      <c r="G14782" t="str">
        <f>"17-1735"</f>
        <v>17-1735</v>
      </c>
      <c r="H14782" t="str">
        <f>"A"</f>
        <v>A</v>
      </c>
    </row>
    <row r="14783" spans="1:8" x14ac:dyDescent="0.2">
      <c r="A14783" t="str">
        <f t="shared" si="5358"/>
        <v>0616058949</v>
      </c>
      <c r="B14783" t="str">
        <f t="shared" si="5359"/>
        <v>DANIELA</v>
      </c>
      <c r="C14783" t="str">
        <f t="shared" si="5360"/>
        <v>ROJAS HERNANDEZ</v>
      </c>
      <c r="D14783">
        <f>11</f>
        <v>11</v>
      </c>
      <c r="E14783" t="str">
        <f>"08 - B - 001 - Chrystina M Marchionne"</f>
        <v>08 - B - 001 - Chrystina M Marchionne</v>
      </c>
      <c r="F14783" t="str">
        <f>"JOURN 1 (YB) LH"</f>
        <v>JOURN 1 (YB) LH</v>
      </c>
      <c r="G14783" t="str">
        <f>"05-520"</f>
        <v>05-520</v>
      </c>
      <c r="H14783" t="str">
        <f>"B"</f>
        <v>B</v>
      </c>
    </row>
    <row r="14784" spans="1:8" x14ac:dyDescent="0.2">
      <c r="A14784" t="str">
        <f t="shared" ref="A14784:A14791" si="5361">"0618095952"</f>
        <v>0618095952</v>
      </c>
      <c r="B14784" t="str">
        <f t="shared" ref="B14784:B14791" si="5362">"ALANA"</f>
        <v>ALANA</v>
      </c>
      <c r="C14784" t="str">
        <f t="shared" ref="C14784:C14808" si="5363">"ROLLE"</f>
        <v>ROLLE</v>
      </c>
      <c r="D14784" t="str">
        <f t="shared" ref="D14784:D14799" si="5364">"09"</f>
        <v>09</v>
      </c>
      <c r="E14784" t="str">
        <f>"04 - A - 201 - Dorothy D Moore"</f>
        <v>04 - A - 201 - Dorothy D Moore</v>
      </c>
      <c r="F14784" t="str">
        <f>"HEALTH SCI 1/A&amp;P HON"</f>
        <v>HEALTH SCI 1/A&amp;P HON</v>
      </c>
      <c r="G14784" t="str">
        <f>"08-803"</f>
        <v>08-803</v>
      </c>
      <c r="H14784" t="str">
        <f>"A"</f>
        <v>A</v>
      </c>
    </row>
    <row r="14785" spans="1:8" x14ac:dyDescent="0.2">
      <c r="A14785" t="str">
        <f t="shared" si="5361"/>
        <v>0618095952</v>
      </c>
      <c r="B14785" t="str">
        <f t="shared" si="5362"/>
        <v>ALANA</v>
      </c>
      <c r="C14785" t="str">
        <f t="shared" si="5363"/>
        <v>ROLLE</v>
      </c>
      <c r="D14785" t="str">
        <f t="shared" si="5364"/>
        <v>09</v>
      </c>
      <c r="E14785" t="str">
        <f>"06 - B - 104 - Lytrell T Dixon"</f>
        <v>06 - B - 104 - Lytrell T Dixon</v>
      </c>
      <c r="F14785" t="str">
        <f>"PRE-AICE BIO IG"</f>
        <v>PRE-AICE BIO IG</v>
      </c>
      <c r="G14785" t="str">
        <f>"08-808"</f>
        <v>08-808</v>
      </c>
      <c r="H14785" t="str">
        <f>"B"</f>
        <v>B</v>
      </c>
    </row>
    <row r="14786" spans="1:8" x14ac:dyDescent="0.2">
      <c r="A14786" t="str">
        <f t="shared" si="5361"/>
        <v>0618095952</v>
      </c>
      <c r="B14786" t="str">
        <f t="shared" si="5362"/>
        <v>ALANA</v>
      </c>
      <c r="C14786" t="str">
        <f t="shared" si="5363"/>
        <v>ROLLE</v>
      </c>
      <c r="D14786" t="str">
        <f t="shared" si="5364"/>
        <v>09</v>
      </c>
      <c r="E14786" t="str">
        <f>"03 - A - 202 - Cheryl L Beach"</f>
        <v>03 - A - 202 - Cheryl L Beach</v>
      </c>
      <c r="F14786" t="str">
        <f>"AICE ENV MGMNT AS"</f>
        <v>AICE ENV MGMNT AS</v>
      </c>
      <c r="G14786" t="str">
        <f>"08-811"</f>
        <v>08-811</v>
      </c>
      <c r="H14786" t="str">
        <f>"A"</f>
        <v>A</v>
      </c>
    </row>
    <row r="14787" spans="1:8" x14ac:dyDescent="0.2">
      <c r="A14787" t="str">
        <f t="shared" si="5361"/>
        <v>0618095952</v>
      </c>
      <c r="B14787" t="str">
        <f t="shared" si="5362"/>
        <v>ALANA</v>
      </c>
      <c r="C14787" t="str">
        <f t="shared" si="5363"/>
        <v>ROLLE</v>
      </c>
      <c r="D14787" t="str">
        <f t="shared" si="5364"/>
        <v>09</v>
      </c>
      <c r="E14787" t="str">
        <f>"02 - A - 108 - Rory T Sponsler"</f>
        <v>02 - A - 108 - Rory T Sponsler</v>
      </c>
      <c r="F14787" t="str">
        <f>"NC STUDY HALL 1"</f>
        <v>NC STUDY HALL 1</v>
      </c>
      <c r="G14787" t="str">
        <f>"17-1740"</f>
        <v>17-1740</v>
      </c>
      <c r="H14787" t="str">
        <f>"A"</f>
        <v>A</v>
      </c>
    </row>
    <row r="14788" spans="1:8" x14ac:dyDescent="0.2">
      <c r="A14788" t="str">
        <f t="shared" si="5361"/>
        <v>0618095952</v>
      </c>
      <c r="B14788" t="str">
        <f t="shared" si="5362"/>
        <v>ALANA</v>
      </c>
      <c r="C14788" t="str">
        <f t="shared" si="5363"/>
        <v>ROLLE</v>
      </c>
      <c r="D14788" t="str">
        <f t="shared" si="5364"/>
        <v>09</v>
      </c>
      <c r="E14788" t="str">
        <f>"07 - B - 101 - Alejandro  Navarro"</f>
        <v>07 - B - 101 - Alejandro  Navarro</v>
      </c>
      <c r="F14788" t="str">
        <f>"EURHY 1"</f>
        <v>EURHY 1</v>
      </c>
      <c r="G14788" t="str">
        <f>"05-504"</f>
        <v>05-504</v>
      </c>
      <c r="H14788" t="str">
        <f>"B"</f>
        <v>B</v>
      </c>
    </row>
    <row r="14789" spans="1:8" x14ac:dyDescent="0.2">
      <c r="A14789" t="str">
        <f t="shared" si="5361"/>
        <v>0618095952</v>
      </c>
      <c r="B14789" t="str">
        <f t="shared" si="5362"/>
        <v>ALANA</v>
      </c>
      <c r="C14789" t="str">
        <f t="shared" si="5363"/>
        <v>ROLLE</v>
      </c>
      <c r="D14789" t="str">
        <f t="shared" si="5364"/>
        <v>09</v>
      </c>
      <c r="E14789" t="str">
        <f>"05 - B - 003 - Krystal Marie  Beruty"</f>
        <v>05 - B - 003 - Krystal Marie  Beruty</v>
      </c>
      <c r="F14789" t="str">
        <f>"AICE GLBL PERSP 1 AS"</f>
        <v>AICE GLBL PERSP 1 AS</v>
      </c>
      <c r="G14789" t="str">
        <f>"17-1721"</f>
        <v>17-1721</v>
      </c>
      <c r="H14789" t="str">
        <f>"B"</f>
        <v>B</v>
      </c>
    </row>
    <row r="14790" spans="1:8" x14ac:dyDescent="0.2">
      <c r="A14790" t="str">
        <f t="shared" si="5361"/>
        <v>0618095952</v>
      </c>
      <c r="B14790" t="str">
        <f t="shared" si="5362"/>
        <v>ALANA</v>
      </c>
      <c r="C14790" t="str">
        <f t="shared" si="5363"/>
        <v>ROLLE</v>
      </c>
      <c r="D14790" t="str">
        <f t="shared" si="5364"/>
        <v>09</v>
      </c>
      <c r="E14790" t="str">
        <f>"01 - A - 101 - Maried P Ramos"</f>
        <v>01 - A - 101 - Maried P Ramos</v>
      </c>
      <c r="F14790" t="str">
        <f>"ALGEBRA 2 HON"</f>
        <v>ALGEBRA 2 HON</v>
      </c>
      <c r="G14790" t="str">
        <f>"21-2159"</f>
        <v>21-2159</v>
      </c>
      <c r="H14790" t="str">
        <f>"A"</f>
        <v>A</v>
      </c>
    </row>
    <row r="14791" spans="1:8" x14ac:dyDescent="0.2">
      <c r="A14791" t="str">
        <f t="shared" si="5361"/>
        <v>0618095952</v>
      </c>
      <c r="B14791" t="str">
        <f t="shared" si="5362"/>
        <v>ALANA</v>
      </c>
      <c r="C14791" t="str">
        <f t="shared" si="5363"/>
        <v>ROLLE</v>
      </c>
      <c r="D14791" t="str">
        <f t="shared" si="5364"/>
        <v>09</v>
      </c>
      <c r="E14791" t="str">
        <f>"08 - B - 201 - Elizabeth R Walker"</f>
        <v>08 - B - 201 - Elizabeth R Walker</v>
      </c>
      <c r="F14791" t="str">
        <f>"AICE ENG GEN PAPER 1"</f>
        <v>AICE ENG GEN PAPER 1</v>
      </c>
      <c r="G14791" t="str">
        <f>"17-1703"</f>
        <v>17-1703</v>
      </c>
      <c r="H14791" t="str">
        <f>"B"</f>
        <v>B</v>
      </c>
    </row>
    <row r="14792" spans="1:8" x14ac:dyDescent="0.2">
      <c r="A14792" t="str">
        <f t="shared" ref="A14792:A14799" si="5365">"0620082424"</f>
        <v>0620082424</v>
      </c>
      <c r="B14792" t="str">
        <f t="shared" ref="B14792:B14799" si="5366">"CODEE"</f>
        <v>CODEE</v>
      </c>
      <c r="C14792" t="str">
        <f t="shared" si="5363"/>
        <v>ROLLE</v>
      </c>
      <c r="D14792" t="str">
        <f t="shared" si="5364"/>
        <v>09</v>
      </c>
      <c r="E14792" t="str">
        <f>"04 - A - 101 - Reggie L Nixon"</f>
        <v>04 - A - 101 - Reggie L Nixon</v>
      </c>
      <c r="F14792" t="str">
        <f>"ACCESS WORLD HISTORY"</f>
        <v>ACCESS WORLD HISTORY</v>
      </c>
      <c r="G14792" t="str">
        <f>"21-2119"</f>
        <v>21-2119</v>
      </c>
      <c r="H14792" t="str">
        <f>"A"</f>
        <v>A</v>
      </c>
    </row>
    <row r="14793" spans="1:8" x14ac:dyDescent="0.2">
      <c r="A14793" t="str">
        <f t="shared" si="5365"/>
        <v>0620082424</v>
      </c>
      <c r="B14793" t="str">
        <f t="shared" si="5366"/>
        <v>CODEE</v>
      </c>
      <c r="C14793" t="str">
        <f t="shared" si="5363"/>
        <v>ROLLE</v>
      </c>
      <c r="D14793" t="str">
        <f t="shared" si="5364"/>
        <v>09</v>
      </c>
      <c r="E14793" t="str">
        <f>"06 - B - 106 - Adam Marcus  Drucker"</f>
        <v>06 - B - 106 - Adam Marcus  Drucker</v>
      </c>
      <c r="F14793" t="str">
        <f>"HOPE-PE V"</f>
        <v>HOPE-PE V</v>
      </c>
      <c r="G14793" t="str">
        <f>"04-254"</f>
        <v>04-254</v>
      </c>
      <c r="H14793" t="str">
        <f>"B"</f>
        <v>B</v>
      </c>
    </row>
    <row r="14794" spans="1:8" x14ac:dyDescent="0.2">
      <c r="A14794" t="str">
        <f t="shared" si="5365"/>
        <v>0620082424</v>
      </c>
      <c r="B14794" t="str">
        <f t="shared" si="5366"/>
        <v>CODEE</v>
      </c>
      <c r="C14794" t="str">
        <f t="shared" si="5363"/>
        <v>ROLLE</v>
      </c>
      <c r="D14794" t="str">
        <f t="shared" si="5364"/>
        <v>09</v>
      </c>
      <c r="E14794" t="str">
        <f>"03 - A - 101 - Reggie L Nixon"</f>
        <v>03 - A - 101 - Reggie L Nixon</v>
      </c>
      <c r="F14794" t="str">
        <f>"ACCESS BIOLOGY 1"</f>
        <v>ACCESS BIOLOGY 1</v>
      </c>
      <c r="G14794" t="str">
        <f t="shared" ref="G14794:G14799" si="5367">"21-2119"</f>
        <v>21-2119</v>
      </c>
      <c r="H14794" t="str">
        <f>"A"</f>
        <v>A</v>
      </c>
    </row>
    <row r="14795" spans="1:8" x14ac:dyDescent="0.2">
      <c r="A14795" t="str">
        <f t="shared" si="5365"/>
        <v>0620082424</v>
      </c>
      <c r="B14795" t="str">
        <f t="shared" si="5366"/>
        <v>CODEE</v>
      </c>
      <c r="C14795" t="str">
        <f t="shared" si="5363"/>
        <v>ROLLE</v>
      </c>
      <c r="D14795" t="str">
        <f t="shared" si="5364"/>
        <v>09</v>
      </c>
      <c r="E14795" t="str">
        <f>"02 - A - 101 - Reggie L Nixon"</f>
        <v>02 - A - 101 - Reggie L Nixon</v>
      </c>
      <c r="F14795" t="str">
        <f>"NC STUDY HALL 4"</f>
        <v>NC STUDY HALL 4</v>
      </c>
      <c r="G14795" t="str">
        <f t="shared" si="5367"/>
        <v>21-2119</v>
      </c>
      <c r="H14795" t="str">
        <f>"A"</f>
        <v>A</v>
      </c>
    </row>
    <row r="14796" spans="1:8" x14ac:dyDescent="0.2">
      <c r="A14796" t="str">
        <f t="shared" si="5365"/>
        <v>0620082424</v>
      </c>
      <c r="B14796" t="str">
        <f t="shared" si="5366"/>
        <v>CODEE</v>
      </c>
      <c r="C14796" t="str">
        <f t="shared" si="5363"/>
        <v>ROLLE</v>
      </c>
      <c r="D14796" t="str">
        <f t="shared" si="5364"/>
        <v>09</v>
      </c>
      <c r="E14796" t="str">
        <f>"07 - B - 101 - Reggie L Nixon"</f>
        <v>07 - B - 101 - Reggie L Nixon</v>
      </c>
      <c r="F14796" t="str">
        <f>"CAREER ED: 9-12"</f>
        <v>CAREER ED: 9-12</v>
      </c>
      <c r="G14796" t="str">
        <f t="shared" si="5367"/>
        <v>21-2119</v>
      </c>
      <c r="H14796" t="str">
        <f>"B"</f>
        <v>B</v>
      </c>
    </row>
    <row r="14797" spans="1:8" x14ac:dyDescent="0.2">
      <c r="A14797" t="str">
        <f t="shared" si="5365"/>
        <v>0620082424</v>
      </c>
      <c r="B14797" t="str">
        <f t="shared" si="5366"/>
        <v>CODEE</v>
      </c>
      <c r="C14797" t="str">
        <f t="shared" si="5363"/>
        <v>ROLLE</v>
      </c>
      <c r="D14797" t="str">
        <f t="shared" si="5364"/>
        <v>09</v>
      </c>
      <c r="E14797" t="str">
        <f>"05 - B - 001 - Reggie L Nixon"</f>
        <v>05 - B - 001 - Reggie L Nixon</v>
      </c>
      <c r="F14797" t="str">
        <f>"U SKLS: 9-12"</f>
        <v>U SKLS: 9-12</v>
      </c>
      <c r="G14797" t="str">
        <f t="shared" si="5367"/>
        <v>21-2119</v>
      </c>
      <c r="H14797" t="str">
        <f>"B"</f>
        <v>B</v>
      </c>
    </row>
    <row r="14798" spans="1:8" x14ac:dyDescent="0.2">
      <c r="A14798" t="str">
        <f t="shared" si="5365"/>
        <v>0620082424</v>
      </c>
      <c r="B14798" t="str">
        <f t="shared" si="5366"/>
        <v>CODEE</v>
      </c>
      <c r="C14798" t="str">
        <f t="shared" si="5363"/>
        <v>ROLLE</v>
      </c>
      <c r="D14798" t="str">
        <f t="shared" si="5364"/>
        <v>09</v>
      </c>
      <c r="E14798" t="str">
        <f>"01 - A - 101 - Reggie L Nixon"</f>
        <v>01 - A - 101 - Reggie L Nixon</v>
      </c>
      <c r="F14798" t="str">
        <f>"ACCESS ENGLISH 1"</f>
        <v>ACCESS ENGLISH 1</v>
      </c>
      <c r="G14798" t="str">
        <f t="shared" si="5367"/>
        <v>21-2119</v>
      </c>
      <c r="H14798" t="str">
        <f>"A"</f>
        <v>A</v>
      </c>
    </row>
    <row r="14799" spans="1:8" x14ac:dyDescent="0.2">
      <c r="A14799" t="str">
        <f t="shared" si="5365"/>
        <v>0620082424</v>
      </c>
      <c r="B14799" t="str">
        <f t="shared" si="5366"/>
        <v>CODEE</v>
      </c>
      <c r="C14799" t="str">
        <f t="shared" si="5363"/>
        <v>ROLLE</v>
      </c>
      <c r="D14799" t="str">
        <f t="shared" si="5364"/>
        <v>09</v>
      </c>
      <c r="E14799" t="str">
        <f>"08 - B - 101 - Reggie L Nixon"</f>
        <v>08 - B - 101 - Reggie L Nixon</v>
      </c>
      <c r="F14799" t="str">
        <f>"ACCESS ALGEBRA 1A"</f>
        <v>ACCESS ALGEBRA 1A</v>
      </c>
      <c r="G14799" t="str">
        <f t="shared" si="5367"/>
        <v>21-2119</v>
      </c>
      <c r="H14799" t="str">
        <f>"B"</f>
        <v>B</v>
      </c>
    </row>
    <row r="14800" spans="1:8" x14ac:dyDescent="0.2">
      <c r="A14800" t="str">
        <f t="shared" ref="A14800:A14808" si="5368">"0617106217"</f>
        <v>0617106217</v>
      </c>
      <c r="B14800" t="str">
        <f t="shared" ref="B14800:B14808" si="5369">"KRISTIAN"</f>
        <v>KRISTIAN</v>
      </c>
      <c r="C14800" t="str">
        <f t="shared" si="5363"/>
        <v>ROLLE</v>
      </c>
      <c r="D14800">
        <f>11</f>
        <v>11</v>
      </c>
      <c r="E14800" t="str">
        <f>"19 - S1 - MTWHF - BCC - Instructor BC"</f>
        <v>19 - S1 - MTWHF - BCC - Instructor BC</v>
      </c>
      <c r="F14800" t="str">
        <f>"INTRO TO BUSINESS"</f>
        <v>INTRO TO BUSINESS</v>
      </c>
      <c r="G14800" t="str">
        <f>"60-DE"</f>
        <v>60-DE</v>
      </c>
      <c r="H14800" t="str">
        <f>"-"</f>
        <v>-</v>
      </c>
    </row>
    <row r="14801" spans="1:8" x14ac:dyDescent="0.2">
      <c r="A14801" t="str">
        <f t="shared" si="5368"/>
        <v>0617106217</v>
      </c>
      <c r="B14801" t="str">
        <f t="shared" si="5369"/>
        <v>KRISTIAN</v>
      </c>
      <c r="C14801" t="str">
        <f t="shared" si="5363"/>
        <v>ROLLE</v>
      </c>
      <c r="D14801">
        <f>11</f>
        <v>11</v>
      </c>
      <c r="E14801" t="str">
        <f>"04 - A - 102 - Lisa J London"</f>
        <v>04 - A - 102 - Lisa J London</v>
      </c>
      <c r="F14801" t="str">
        <f>"AP CAPSTONE SEMINAR"</f>
        <v>AP CAPSTONE SEMINAR</v>
      </c>
      <c r="G14801" t="str">
        <f>"17-1714"</f>
        <v>17-1714</v>
      </c>
      <c r="H14801" t="str">
        <f>"A"</f>
        <v>A</v>
      </c>
    </row>
    <row r="14802" spans="1:8" x14ac:dyDescent="0.2">
      <c r="A14802" t="str">
        <f t="shared" si="5368"/>
        <v>0617106217</v>
      </c>
      <c r="B14802" t="str">
        <f t="shared" si="5369"/>
        <v>KRISTIAN</v>
      </c>
      <c r="C14802" t="str">
        <f t="shared" si="5363"/>
        <v>ROLLE</v>
      </c>
      <c r="D14802">
        <f>11</f>
        <v>11</v>
      </c>
      <c r="E14802" t="str">
        <f>"06 - B - 104 - Brandy N Zdenek"</f>
        <v>06 - B - 104 - Brandy N Zdenek</v>
      </c>
      <c r="F14802" t="str">
        <f>"AICE ENG LANG 2 AL"</f>
        <v>AICE ENG LANG 2 AL</v>
      </c>
      <c r="G14802" t="str">
        <f>"17-1704"</f>
        <v>17-1704</v>
      </c>
      <c r="H14802" t="str">
        <f>"B"</f>
        <v>B</v>
      </c>
    </row>
    <row r="14803" spans="1:8" x14ac:dyDescent="0.2">
      <c r="A14803" t="str">
        <f t="shared" si="5368"/>
        <v>0617106217</v>
      </c>
      <c r="B14803" t="str">
        <f t="shared" si="5369"/>
        <v>KRISTIAN</v>
      </c>
      <c r="C14803" t="str">
        <f t="shared" si="5363"/>
        <v>ROLLE</v>
      </c>
      <c r="D14803">
        <f>11</f>
        <v>11</v>
      </c>
      <c r="E14803" t="str">
        <f>"03 - A - 101 - Lourivaldo  Da Silva"</f>
        <v>03 - A - 101 - Lourivaldo  Da Silva</v>
      </c>
      <c r="F14803" t="str">
        <f>"AP STAT"</f>
        <v>AP STAT</v>
      </c>
      <c r="G14803" t="str">
        <f>"20-2079"</f>
        <v>20-2079</v>
      </c>
      <c r="H14803" t="str">
        <f>"A"</f>
        <v>A</v>
      </c>
    </row>
    <row r="14804" spans="1:8" x14ac:dyDescent="0.2">
      <c r="A14804" t="str">
        <f t="shared" si="5368"/>
        <v>0617106217</v>
      </c>
      <c r="B14804" t="str">
        <f t="shared" si="5369"/>
        <v>KRISTIAN</v>
      </c>
      <c r="C14804" t="str">
        <f t="shared" si="5363"/>
        <v>ROLLE</v>
      </c>
      <c r="D14804">
        <f>11</f>
        <v>11</v>
      </c>
      <c r="E14804" t="str">
        <f>"02 - A - 102 - Brook E Goren"</f>
        <v>02 - A - 102 - Brook E Goren</v>
      </c>
      <c r="F14804" t="str">
        <f>"NC STUDY HALL 1"</f>
        <v>NC STUDY HALL 1</v>
      </c>
      <c r="G14804" t="str">
        <f>"21-2158"</f>
        <v>21-2158</v>
      </c>
      <c r="H14804" t="str">
        <f>"A"</f>
        <v>A</v>
      </c>
    </row>
    <row r="14805" spans="1:8" x14ac:dyDescent="0.2">
      <c r="A14805" t="str">
        <f t="shared" si="5368"/>
        <v>0617106217</v>
      </c>
      <c r="B14805" t="str">
        <f t="shared" si="5369"/>
        <v>KRISTIAN</v>
      </c>
      <c r="C14805" t="str">
        <f t="shared" si="5363"/>
        <v>ROLLE</v>
      </c>
      <c r="D14805">
        <f>11</f>
        <v>11</v>
      </c>
      <c r="E14805" t="str">
        <f>"07 - B - 104 - Jerry S Jiampetti"</f>
        <v>07 - B - 104 - Jerry S Jiampetti</v>
      </c>
      <c r="F14805" t="str">
        <f>"AICE U.S. HIST 1 AS"</f>
        <v>AICE U.S. HIST 1 AS</v>
      </c>
      <c r="G14805" t="str">
        <f>"17-1751"</f>
        <v>17-1751</v>
      </c>
      <c r="H14805" t="str">
        <f>"B"</f>
        <v>B</v>
      </c>
    </row>
    <row r="14806" spans="1:8" x14ac:dyDescent="0.2">
      <c r="A14806" t="str">
        <f t="shared" si="5368"/>
        <v>0617106217</v>
      </c>
      <c r="B14806" t="str">
        <f t="shared" si="5369"/>
        <v>KRISTIAN</v>
      </c>
      <c r="C14806" t="str">
        <f t="shared" si="5363"/>
        <v>ROLLE</v>
      </c>
      <c r="D14806">
        <f>11</f>
        <v>11</v>
      </c>
      <c r="E14806" t="str">
        <f>"05 - B - 101 - Angela S Adeshina-Morrison"</f>
        <v>05 - B - 101 - Angela S Adeshina-Morrison</v>
      </c>
      <c r="F14806" t="str">
        <f>"MKT MANAGEMENT LH"</f>
        <v>MKT MANAGEMENT LH</v>
      </c>
      <c r="G14806" t="str">
        <f>"05-518"</f>
        <v>05-518</v>
      </c>
      <c r="H14806" t="str">
        <f>"B"</f>
        <v>B</v>
      </c>
    </row>
    <row r="14807" spans="1:8" x14ac:dyDescent="0.2">
      <c r="A14807" t="str">
        <f t="shared" si="5368"/>
        <v>0617106217</v>
      </c>
      <c r="B14807" t="str">
        <f t="shared" si="5369"/>
        <v>KRISTIAN</v>
      </c>
      <c r="C14807" t="str">
        <f t="shared" si="5363"/>
        <v>ROLLE</v>
      </c>
      <c r="D14807">
        <f>11</f>
        <v>11</v>
      </c>
      <c r="E14807" t="str">
        <f>"01 - A - 101 - Marielle A Witting"</f>
        <v>01 - A - 101 - Marielle A Witting</v>
      </c>
      <c r="F14807" t="str">
        <f>"AP BIO"</f>
        <v>AP BIO</v>
      </c>
      <c r="G14807" t="str">
        <f>"08-805"</f>
        <v>08-805</v>
      </c>
      <c r="H14807" t="str">
        <f>"A"</f>
        <v>A</v>
      </c>
    </row>
    <row r="14808" spans="1:8" x14ac:dyDescent="0.2">
      <c r="A14808" t="str">
        <f t="shared" si="5368"/>
        <v>0617106217</v>
      </c>
      <c r="B14808" t="str">
        <f t="shared" si="5369"/>
        <v>KRISTIAN</v>
      </c>
      <c r="C14808" t="str">
        <f t="shared" si="5363"/>
        <v>ROLLE</v>
      </c>
      <c r="D14808">
        <f>11</f>
        <v>11</v>
      </c>
      <c r="E14808" t="str">
        <f>"08 - B - 101 - Jordana K Hass"</f>
        <v>08 - B - 101 - Jordana K Hass</v>
      </c>
      <c r="F14808" t="str">
        <f>"AICE INFO TECH 1 AS"</f>
        <v>AICE INFO TECH 1 AS</v>
      </c>
      <c r="G14808" t="str">
        <f>"08-807"</f>
        <v>08-807</v>
      </c>
      <c r="H14808" t="str">
        <f>"B"</f>
        <v>B</v>
      </c>
    </row>
    <row r="14809" spans="1:8" x14ac:dyDescent="0.2">
      <c r="A14809" t="str">
        <f t="shared" ref="A14809:A14816" si="5370">"0616123038"</f>
        <v>0616123038</v>
      </c>
      <c r="B14809" t="str">
        <f t="shared" ref="B14809:B14816" si="5371">"AIDEN"</f>
        <v>AIDEN</v>
      </c>
      <c r="C14809" t="str">
        <f t="shared" ref="C14809:C14816" si="5372">"ROMAN"</f>
        <v>ROMAN</v>
      </c>
      <c r="D14809" t="str">
        <f t="shared" ref="D14809:D14816" si="5373">"09"</f>
        <v>09</v>
      </c>
      <c r="E14809" t="str">
        <f>"04 - A - 103 - Cerine S Stewart"</f>
        <v>04 - A - 103 - Cerine S Stewart</v>
      </c>
      <c r="F14809" t="str">
        <f>"ENG 1"</f>
        <v>ENG 1</v>
      </c>
      <c r="G14809" t="str">
        <f>"17-1720"</f>
        <v>17-1720</v>
      </c>
      <c r="H14809" t="str">
        <f>"A"</f>
        <v>A</v>
      </c>
    </row>
    <row r="14810" spans="1:8" x14ac:dyDescent="0.2">
      <c r="A14810" t="str">
        <f t="shared" si="5370"/>
        <v>0616123038</v>
      </c>
      <c r="B14810" t="str">
        <f t="shared" si="5371"/>
        <v>AIDEN</v>
      </c>
      <c r="C14810" t="str">
        <f t="shared" si="5372"/>
        <v>ROMAN</v>
      </c>
      <c r="D14810" t="str">
        <f t="shared" si="5373"/>
        <v>09</v>
      </c>
      <c r="E14810" t="str">
        <f>"06 - B - 202 - Alejandro  Navarro"</f>
        <v>06 - B - 202 - Alejandro  Navarro</v>
      </c>
      <c r="F14810" t="str">
        <f>"BAND 1"</f>
        <v>BAND 1</v>
      </c>
      <c r="G14810" t="str">
        <f>"05-504"</f>
        <v>05-504</v>
      </c>
      <c r="H14810" t="str">
        <f>"B"</f>
        <v>B</v>
      </c>
    </row>
    <row r="14811" spans="1:8" x14ac:dyDescent="0.2">
      <c r="A14811" t="str">
        <f t="shared" si="5370"/>
        <v>0616123038</v>
      </c>
      <c r="B14811" t="str">
        <f t="shared" si="5371"/>
        <v>AIDEN</v>
      </c>
      <c r="C14811" t="str">
        <f t="shared" si="5372"/>
        <v>ROMAN</v>
      </c>
      <c r="D14811" t="str">
        <f t="shared" si="5373"/>
        <v>09</v>
      </c>
      <c r="E14811" t="str">
        <f>"03 - A - 103 - Samantha J Headley"</f>
        <v>03 - A - 103 - Samantha J Headley</v>
      </c>
      <c r="F14811" t="str">
        <f>"MARINE SCI 1 HON"</f>
        <v>MARINE SCI 1 HON</v>
      </c>
      <c r="G14811" t="str">
        <f>"21-2134"</f>
        <v>21-2134</v>
      </c>
      <c r="H14811" t="str">
        <f>"A"</f>
        <v>A</v>
      </c>
    </row>
    <row r="14812" spans="1:8" x14ac:dyDescent="0.2">
      <c r="A14812" t="str">
        <f t="shared" si="5370"/>
        <v>0616123038</v>
      </c>
      <c r="B14812" t="str">
        <f t="shared" si="5371"/>
        <v>AIDEN</v>
      </c>
      <c r="C14812" t="str">
        <f t="shared" si="5372"/>
        <v>ROMAN</v>
      </c>
      <c r="D14812" t="str">
        <f t="shared" si="5373"/>
        <v>09</v>
      </c>
      <c r="E14812" t="str">
        <f>"02 - A - 103 - Angela S Adeshina-Morrison"</f>
        <v>02 - A - 103 - Angela S Adeshina-Morrison</v>
      </c>
      <c r="F14812" t="str">
        <f>"NC STUDY HALL 1"</f>
        <v>NC STUDY HALL 1</v>
      </c>
      <c r="G14812" t="str">
        <f>"05-518"</f>
        <v>05-518</v>
      </c>
      <c r="H14812" t="str">
        <f>"A"</f>
        <v>A</v>
      </c>
    </row>
    <row r="14813" spans="1:8" x14ac:dyDescent="0.2">
      <c r="A14813" t="str">
        <f t="shared" si="5370"/>
        <v>0616123038</v>
      </c>
      <c r="B14813" t="str">
        <f t="shared" si="5371"/>
        <v>AIDEN</v>
      </c>
      <c r="C14813" t="str">
        <f t="shared" si="5372"/>
        <v>ROMAN</v>
      </c>
      <c r="D14813" t="str">
        <f t="shared" si="5373"/>
        <v>09</v>
      </c>
      <c r="E14813" t="str">
        <f>"07 - B - 106 - Dayna M Foster"</f>
        <v>07 - B - 106 - Dayna M Foster</v>
      </c>
      <c r="F14813" t="str">
        <f>"FDN SKLS MATH 9-12"</f>
        <v>FDN SKLS MATH 9-12</v>
      </c>
      <c r="G14813" t="str">
        <f>"21-2109"</f>
        <v>21-2109</v>
      </c>
      <c r="H14813" t="str">
        <f>"B"</f>
        <v>B</v>
      </c>
    </row>
    <row r="14814" spans="1:8" x14ac:dyDescent="0.2">
      <c r="A14814" t="str">
        <f t="shared" si="5370"/>
        <v>0616123038</v>
      </c>
      <c r="B14814" t="str">
        <f t="shared" si="5371"/>
        <v>AIDEN</v>
      </c>
      <c r="C14814" t="str">
        <f t="shared" si="5372"/>
        <v>ROMAN</v>
      </c>
      <c r="D14814" t="str">
        <f t="shared" si="5373"/>
        <v>09</v>
      </c>
      <c r="E14814" t="str">
        <f>"05 - B - 205 - Lenecy  Nodarse"</f>
        <v>05 - B - 205 - Lenecy  Nodarse</v>
      </c>
      <c r="F14814" t="str">
        <f>"WORLD HISTORY"</f>
        <v>WORLD HISTORY</v>
      </c>
      <c r="G14814" t="str">
        <f>"17-1741"</f>
        <v>17-1741</v>
      </c>
      <c r="H14814" t="str">
        <f>"B"</f>
        <v>B</v>
      </c>
    </row>
    <row r="14815" spans="1:8" x14ac:dyDescent="0.2">
      <c r="A14815" t="str">
        <f t="shared" si="5370"/>
        <v>0616123038</v>
      </c>
      <c r="B14815" t="str">
        <f t="shared" si="5371"/>
        <v>AIDEN</v>
      </c>
      <c r="C14815" t="str">
        <f t="shared" si="5372"/>
        <v>ROMAN</v>
      </c>
      <c r="D14815" t="str">
        <f t="shared" si="5373"/>
        <v>09</v>
      </c>
      <c r="E14815" t="str">
        <f>"01 - A - 108 - Dayna M Foster"</f>
        <v>01 - A - 108 - Dayna M Foster</v>
      </c>
      <c r="F14815" t="str">
        <f>"ALGEBRA 1"</f>
        <v>ALGEBRA 1</v>
      </c>
      <c r="G14815" t="str">
        <f>"21-2109"</f>
        <v>21-2109</v>
      </c>
      <c r="H14815" t="str">
        <f>"A"</f>
        <v>A</v>
      </c>
    </row>
    <row r="14816" spans="1:8" x14ac:dyDescent="0.2">
      <c r="A14816" t="str">
        <f t="shared" si="5370"/>
        <v>0616123038</v>
      </c>
      <c r="B14816" t="str">
        <f t="shared" si="5371"/>
        <v>AIDEN</v>
      </c>
      <c r="C14816" t="str">
        <f t="shared" si="5372"/>
        <v>ROMAN</v>
      </c>
      <c r="D14816" t="str">
        <f t="shared" si="5373"/>
        <v>09</v>
      </c>
      <c r="E14816" t="str">
        <f>"08 - B - 101 - Alejandro  Navarro"</f>
        <v>08 - B - 101 - Alejandro  Navarro</v>
      </c>
      <c r="F14816" t="str">
        <f>"GUITAR 1"</f>
        <v>GUITAR 1</v>
      </c>
      <c r="G14816" t="str">
        <f>"05-504"</f>
        <v>05-504</v>
      </c>
      <c r="H14816" t="str">
        <f>"B"</f>
        <v>B</v>
      </c>
    </row>
    <row r="14817" spans="1:8" x14ac:dyDescent="0.2">
      <c r="A14817" t="str">
        <f t="shared" ref="A14817:A14826" si="5374">"0622031015"</f>
        <v>0622031015</v>
      </c>
      <c r="B14817" t="str">
        <f t="shared" ref="B14817:B14826" si="5375">"CHRISTOPHER"</f>
        <v>CHRISTOPHER</v>
      </c>
      <c r="C14817" t="str">
        <f t="shared" ref="C14817:C14842" si="5376">"ROMERO"</f>
        <v>ROMERO</v>
      </c>
      <c r="D14817">
        <f>12</f>
        <v>12</v>
      </c>
      <c r="E14817" t="str">
        <f>"19 - S1 - MTWHF - BCC - Instructor BC"</f>
        <v>19 - S1 - MTWHF - BCC - Instructor BC</v>
      </c>
      <c r="F14817" t="str">
        <f>"MUSIC APPRECIATION"</f>
        <v>MUSIC APPRECIATION</v>
      </c>
      <c r="G14817" t="str">
        <f>"60-DE"</f>
        <v>60-DE</v>
      </c>
      <c r="H14817" t="str">
        <f>"-"</f>
        <v>-</v>
      </c>
    </row>
    <row r="14818" spans="1:8" x14ac:dyDescent="0.2">
      <c r="A14818" t="str">
        <f t="shared" si="5374"/>
        <v>0622031015</v>
      </c>
      <c r="B14818" t="str">
        <f t="shared" si="5375"/>
        <v>CHRISTOPHER</v>
      </c>
      <c r="C14818" t="str">
        <f t="shared" si="5376"/>
        <v>ROMERO</v>
      </c>
      <c r="D14818">
        <f>12</f>
        <v>12</v>
      </c>
      <c r="E14818" t="str">
        <f>"19 - S1 - MTWHF - B18 - Instructor BC"</f>
        <v>19 - S1 - MTWHF - B18 - Instructor BC</v>
      </c>
      <c r="F14818" t="str">
        <f>"APPREC OF THEATER"</f>
        <v>APPREC OF THEATER</v>
      </c>
      <c r="G14818" t="str">
        <f>"60-DE"</f>
        <v>60-DE</v>
      </c>
      <c r="H14818" t="str">
        <f>"-"</f>
        <v>-</v>
      </c>
    </row>
    <row r="14819" spans="1:8" x14ac:dyDescent="0.2">
      <c r="A14819" t="str">
        <f t="shared" si="5374"/>
        <v>0622031015</v>
      </c>
      <c r="B14819" t="str">
        <f t="shared" si="5375"/>
        <v>CHRISTOPHER</v>
      </c>
      <c r="C14819" t="str">
        <f t="shared" si="5376"/>
        <v>ROMERO</v>
      </c>
      <c r="D14819">
        <f>12</f>
        <v>12</v>
      </c>
      <c r="E14819" t="str">
        <f>"04 - A - 106 - Tina M Jaramillo"</f>
        <v>04 - A - 106 - Tina M Jaramillo</v>
      </c>
      <c r="F14819" t="str">
        <f>"AP ENG LIT COMPO"</f>
        <v>AP ENG LIT COMPO</v>
      </c>
      <c r="G14819" t="str">
        <f>"17-1706"</f>
        <v>17-1706</v>
      </c>
      <c r="H14819" t="str">
        <f>"A"</f>
        <v>A</v>
      </c>
    </row>
    <row r="14820" spans="1:8" x14ac:dyDescent="0.2">
      <c r="A14820" t="str">
        <f t="shared" si="5374"/>
        <v>0622031015</v>
      </c>
      <c r="B14820" t="str">
        <f t="shared" si="5375"/>
        <v>CHRISTOPHER</v>
      </c>
      <c r="C14820" t="str">
        <f t="shared" si="5376"/>
        <v>ROMERO</v>
      </c>
      <c r="D14820">
        <f>12</f>
        <v>12</v>
      </c>
      <c r="E14820" t="str">
        <f>"06 - B - 113 - Marielle A Witting"</f>
        <v>06 - B - 113 - Marielle A Witting</v>
      </c>
      <c r="F14820" t="str">
        <f>"NC STUDY HALL 1"</f>
        <v>NC STUDY HALL 1</v>
      </c>
      <c r="G14820" t="str">
        <f>"08-805"</f>
        <v>08-805</v>
      </c>
      <c r="H14820" t="str">
        <f>"B"</f>
        <v>B</v>
      </c>
    </row>
    <row r="14821" spans="1:8" x14ac:dyDescent="0.2">
      <c r="A14821" t="str">
        <f t="shared" si="5374"/>
        <v>0622031015</v>
      </c>
      <c r="B14821" t="str">
        <f t="shared" si="5375"/>
        <v>CHRISTOPHER</v>
      </c>
      <c r="C14821" t="str">
        <f t="shared" si="5376"/>
        <v>ROMERO</v>
      </c>
      <c r="D14821">
        <f>12</f>
        <v>12</v>
      </c>
      <c r="E14821" t="str">
        <f>"03 - A - 101 - Lisa J London"</f>
        <v>03 - A - 101 - Lisa J London</v>
      </c>
      <c r="F14821" t="str">
        <f>"AP CAPSTONE RESEARCH"</f>
        <v>AP CAPSTONE RESEARCH</v>
      </c>
      <c r="G14821" t="str">
        <f>"17-1714"</f>
        <v>17-1714</v>
      </c>
      <c r="H14821" t="str">
        <f>"A"</f>
        <v>A</v>
      </c>
    </row>
    <row r="14822" spans="1:8" x14ac:dyDescent="0.2">
      <c r="A14822" t="str">
        <f t="shared" si="5374"/>
        <v>0622031015</v>
      </c>
      <c r="B14822" t="str">
        <f t="shared" si="5375"/>
        <v>CHRISTOPHER</v>
      </c>
      <c r="C14822" t="str">
        <f t="shared" si="5376"/>
        <v>ROMERO</v>
      </c>
      <c r="D14822">
        <f>12</f>
        <v>12</v>
      </c>
      <c r="E14822" t="str">
        <f>"02 - A - 102 - Chrystina M Marchionne"</f>
        <v>02 - A - 102 - Chrystina M Marchionne</v>
      </c>
      <c r="F14822" t="str">
        <f>"AICE MEDIASTUDIES AS"</f>
        <v>AICE MEDIASTUDIES AS</v>
      </c>
      <c r="G14822" t="str">
        <f>"05-520"</f>
        <v>05-520</v>
      </c>
      <c r="H14822" t="str">
        <f>"A"</f>
        <v>A</v>
      </c>
    </row>
    <row r="14823" spans="1:8" x14ac:dyDescent="0.2">
      <c r="A14823" t="str">
        <f t="shared" si="5374"/>
        <v>0622031015</v>
      </c>
      <c r="B14823" t="str">
        <f t="shared" si="5375"/>
        <v>CHRISTOPHER</v>
      </c>
      <c r="C14823" t="str">
        <f t="shared" si="5376"/>
        <v>ROMERO</v>
      </c>
      <c r="D14823">
        <f>12</f>
        <v>12</v>
      </c>
      <c r="E14823" t="str">
        <f>"07 - B - 102 - Pamela M Corzo"</f>
        <v>07 - B - 102 - Pamela M Corzo</v>
      </c>
      <c r="F14823" t="str">
        <f>"AP CALCULUS AB"</f>
        <v>AP CALCULUS AB</v>
      </c>
      <c r="G14823" t="str">
        <f>"21-2133"</f>
        <v>21-2133</v>
      </c>
      <c r="H14823" t="str">
        <f>"B"</f>
        <v>B</v>
      </c>
    </row>
    <row r="14824" spans="1:8" x14ac:dyDescent="0.2">
      <c r="A14824" t="str">
        <f t="shared" si="5374"/>
        <v>0622031015</v>
      </c>
      <c r="B14824" t="str">
        <f t="shared" si="5375"/>
        <v>CHRISTOPHER</v>
      </c>
      <c r="C14824" t="str">
        <f t="shared" si="5376"/>
        <v>ROMERO</v>
      </c>
      <c r="D14824">
        <f>12</f>
        <v>12</v>
      </c>
      <c r="E14824" t="str">
        <f>"05 - S1 - B - 103 - Stephen T Ripp"</f>
        <v>05 - S1 - B - 103 - Stephen T Ripp</v>
      </c>
      <c r="F14824" t="str">
        <f>"AP US GOVT/POL"</f>
        <v>AP US GOVT/POL</v>
      </c>
      <c r="G14824" t="str">
        <f>"17-1744"</f>
        <v>17-1744</v>
      </c>
      <c r="H14824" t="str">
        <f>"B"</f>
        <v>B</v>
      </c>
    </row>
    <row r="14825" spans="1:8" x14ac:dyDescent="0.2">
      <c r="A14825" t="str">
        <f t="shared" si="5374"/>
        <v>0622031015</v>
      </c>
      <c r="B14825" t="str">
        <f t="shared" si="5375"/>
        <v>CHRISTOPHER</v>
      </c>
      <c r="C14825" t="str">
        <f t="shared" si="5376"/>
        <v>ROMERO</v>
      </c>
      <c r="D14825">
        <f>12</f>
        <v>12</v>
      </c>
      <c r="E14825" t="str">
        <f>"01 - S1 - A - 101 - Jordana K Hass"</f>
        <v>01 - S1 - A - 101 - Jordana K Hass</v>
      </c>
      <c r="F14825" t="str">
        <f>"PRIN OF AERO SCI"</f>
        <v>PRIN OF AERO SCI</v>
      </c>
      <c r="G14825" t="str">
        <f>"08-807"</f>
        <v>08-807</v>
      </c>
      <c r="H14825" t="str">
        <f>"A"</f>
        <v>A</v>
      </c>
    </row>
    <row r="14826" spans="1:8" x14ac:dyDescent="0.2">
      <c r="A14826" t="str">
        <f t="shared" si="5374"/>
        <v>0622031015</v>
      </c>
      <c r="B14826" t="str">
        <f t="shared" si="5375"/>
        <v>CHRISTOPHER</v>
      </c>
      <c r="C14826" t="str">
        <f t="shared" si="5376"/>
        <v>ROMERO</v>
      </c>
      <c r="D14826">
        <f>12</f>
        <v>12</v>
      </c>
      <c r="E14826" t="str">
        <f>"08 - B - 103 - Marielle A Witting"</f>
        <v>08 - B - 103 - Marielle A Witting</v>
      </c>
      <c r="F14826" t="str">
        <f>"AP BIO"</f>
        <v>AP BIO</v>
      </c>
      <c r="G14826" t="str">
        <f>"08-805"</f>
        <v>08-805</v>
      </c>
      <c r="H14826" t="str">
        <f>"B"</f>
        <v>B</v>
      </c>
    </row>
    <row r="14827" spans="1:8" x14ac:dyDescent="0.2">
      <c r="A14827" t="str">
        <f t="shared" ref="A14827:A14834" si="5377">"0618099393"</f>
        <v>0618099393</v>
      </c>
      <c r="B14827" t="str">
        <f t="shared" ref="B14827:B14834" si="5378">"SIMARA"</f>
        <v>SIMARA</v>
      </c>
      <c r="C14827" t="str">
        <f t="shared" si="5376"/>
        <v>ROMERO</v>
      </c>
      <c r="D14827">
        <f>11</f>
        <v>11</v>
      </c>
      <c r="E14827" t="str">
        <f>"04 - A - 102 - Brandy N Zdenek"</f>
        <v>04 - A - 102 - Brandy N Zdenek</v>
      </c>
      <c r="F14827" t="str">
        <f>"AICE ENG LANG 2 AL"</f>
        <v>AICE ENG LANG 2 AL</v>
      </c>
      <c r="G14827" t="str">
        <f>"17-1704"</f>
        <v>17-1704</v>
      </c>
      <c r="H14827" t="str">
        <f>"A"</f>
        <v>A</v>
      </c>
    </row>
    <row r="14828" spans="1:8" x14ac:dyDescent="0.2">
      <c r="A14828" t="str">
        <f t="shared" si="5377"/>
        <v>0618099393</v>
      </c>
      <c r="B14828" t="str">
        <f t="shared" si="5378"/>
        <v>SIMARA</v>
      </c>
      <c r="C14828" t="str">
        <f t="shared" si="5376"/>
        <v>ROMERO</v>
      </c>
      <c r="D14828">
        <f>11</f>
        <v>11</v>
      </c>
      <c r="E14828" t="str">
        <f>"06 - B - 206 - Jacqueline R Morphet"</f>
        <v>06 - B - 206 - Jacqueline R Morphet</v>
      </c>
      <c r="F14828" t="str">
        <f>"PHYSICS 1 HON"</f>
        <v>PHYSICS 1 HON</v>
      </c>
      <c r="G14828" t="str">
        <f>"21-2138"</f>
        <v>21-2138</v>
      </c>
      <c r="H14828" t="str">
        <f>"B"</f>
        <v>B</v>
      </c>
    </row>
    <row r="14829" spans="1:8" x14ac:dyDescent="0.2">
      <c r="A14829" t="str">
        <f t="shared" si="5377"/>
        <v>0618099393</v>
      </c>
      <c r="B14829" t="str">
        <f t="shared" si="5378"/>
        <v>SIMARA</v>
      </c>
      <c r="C14829" t="str">
        <f t="shared" si="5376"/>
        <v>ROMERO</v>
      </c>
      <c r="D14829">
        <f>11</f>
        <v>11</v>
      </c>
      <c r="E14829" t="str">
        <f>"03 - A - 101 - Timothy J Lawrence"</f>
        <v>03 - A - 101 - Timothy J Lawrence</v>
      </c>
      <c r="F14829" t="str">
        <f>"AICE PHYS ED 1 AS"</f>
        <v>AICE PHYS ED 1 AS</v>
      </c>
      <c r="G14829" t="str">
        <f>"05-519"</f>
        <v>05-519</v>
      </c>
      <c r="H14829" t="str">
        <f>"A"</f>
        <v>A</v>
      </c>
    </row>
    <row r="14830" spans="1:8" x14ac:dyDescent="0.2">
      <c r="A14830" t="str">
        <f t="shared" si="5377"/>
        <v>0618099393</v>
      </c>
      <c r="B14830" t="str">
        <f t="shared" si="5378"/>
        <v>SIMARA</v>
      </c>
      <c r="C14830" t="str">
        <f t="shared" si="5376"/>
        <v>ROMERO</v>
      </c>
      <c r="D14830">
        <f>11</f>
        <v>11</v>
      </c>
      <c r="E14830" t="str">
        <f>"02 - A - 108 - Stephen T Ripp"</f>
        <v>02 - A - 108 - Stephen T Ripp</v>
      </c>
      <c r="F14830" t="str">
        <f>"NC STUDY HALL 1"</f>
        <v>NC STUDY HALL 1</v>
      </c>
      <c r="G14830" t="str">
        <f>"17-1744"</f>
        <v>17-1744</v>
      </c>
      <c r="H14830" t="str">
        <f>"A"</f>
        <v>A</v>
      </c>
    </row>
    <row r="14831" spans="1:8" x14ac:dyDescent="0.2">
      <c r="A14831" t="str">
        <f t="shared" si="5377"/>
        <v>0618099393</v>
      </c>
      <c r="B14831" t="str">
        <f t="shared" si="5378"/>
        <v>SIMARA</v>
      </c>
      <c r="C14831" t="str">
        <f t="shared" si="5376"/>
        <v>ROMERO</v>
      </c>
      <c r="D14831">
        <f>11</f>
        <v>11</v>
      </c>
      <c r="E14831" t="str">
        <f>"07 - B - 104 - Jerry S Jiampetti"</f>
        <v>07 - B - 104 - Jerry S Jiampetti</v>
      </c>
      <c r="F14831" t="str">
        <f>"AICE U.S. HIST 1 AS"</f>
        <v>AICE U.S. HIST 1 AS</v>
      </c>
      <c r="G14831" t="str">
        <f>"17-1751"</f>
        <v>17-1751</v>
      </c>
      <c r="H14831" t="str">
        <f>"B"</f>
        <v>B</v>
      </c>
    </row>
    <row r="14832" spans="1:8" x14ac:dyDescent="0.2">
      <c r="A14832" t="str">
        <f t="shared" si="5377"/>
        <v>0618099393</v>
      </c>
      <c r="B14832" t="str">
        <f t="shared" si="5378"/>
        <v>SIMARA</v>
      </c>
      <c r="C14832" t="str">
        <f t="shared" si="5376"/>
        <v>ROMERO</v>
      </c>
      <c r="D14832">
        <f>11</f>
        <v>11</v>
      </c>
      <c r="E14832" t="str">
        <f>"05 - B - 205 - Rosa Elaine  Collado-Duff"</f>
        <v>05 - B - 205 - Rosa Elaine  Collado-Duff</v>
      </c>
      <c r="F14832" t="str">
        <f>"PRE-AICE SPAN 2 IG"</f>
        <v>PRE-AICE SPAN 2 IG</v>
      </c>
      <c r="G14832" t="str">
        <f>"09-913"</f>
        <v>09-913</v>
      </c>
      <c r="H14832" t="str">
        <f>"B"</f>
        <v>B</v>
      </c>
    </row>
    <row r="14833" spans="1:8" x14ac:dyDescent="0.2">
      <c r="A14833" t="str">
        <f t="shared" si="5377"/>
        <v>0618099393</v>
      </c>
      <c r="B14833" t="str">
        <f t="shared" si="5378"/>
        <v>SIMARA</v>
      </c>
      <c r="C14833" t="str">
        <f t="shared" si="5376"/>
        <v>ROMERO</v>
      </c>
      <c r="D14833">
        <f>11</f>
        <v>11</v>
      </c>
      <c r="E14833" t="str">
        <f>"01 - A - 101 - James H Mccann"</f>
        <v>01 - A - 101 - James H Mccann</v>
      </c>
      <c r="F14833" t="str">
        <f>"ALGEBRA 2"</f>
        <v>ALGEBRA 2</v>
      </c>
      <c r="G14833" t="str">
        <f>"17-1716"</f>
        <v>17-1716</v>
      </c>
      <c r="H14833" t="str">
        <f>"A"</f>
        <v>A</v>
      </c>
    </row>
    <row r="14834" spans="1:8" x14ac:dyDescent="0.2">
      <c r="A14834" t="str">
        <f t="shared" si="5377"/>
        <v>0618099393</v>
      </c>
      <c r="B14834" t="str">
        <f t="shared" si="5378"/>
        <v>SIMARA</v>
      </c>
      <c r="C14834" t="str">
        <f t="shared" si="5376"/>
        <v>ROMERO</v>
      </c>
      <c r="D14834">
        <f>11</f>
        <v>11</v>
      </c>
      <c r="E14834" t="str">
        <f>"08 - B - 101 - Eva T Rimmer"</f>
        <v>08 - B - 101 - Eva T Rimmer</v>
      </c>
      <c r="F14834" t="str">
        <f>"CRIM JUST OPS 3 HON"</f>
        <v>CRIM JUST OPS 3 HON</v>
      </c>
      <c r="G14834" t="str">
        <f>"05-523"</f>
        <v>05-523</v>
      </c>
      <c r="H14834" t="str">
        <f>"B"</f>
        <v>B</v>
      </c>
    </row>
    <row r="14835" spans="1:8" x14ac:dyDescent="0.2">
      <c r="A14835" t="str">
        <f t="shared" ref="A14835:A14842" si="5379">"0622100828"</f>
        <v>0622100828</v>
      </c>
      <c r="B14835" t="str">
        <f t="shared" ref="B14835:B14842" si="5380">"VERONICA"</f>
        <v>VERONICA</v>
      </c>
      <c r="C14835" t="str">
        <f t="shared" si="5376"/>
        <v>ROMERO</v>
      </c>
      <c r="D14835">
        <f>10</f>
        <v>10</v>
      </c>
      <c r="E14835" t="str">
        <f>"04 - A - 104 - Courtney E Hambright"</f>
        <v>04 - A - 104 - Courtney E Hambright</v>
      </c>
      <c r="F14835" t="str">
        <f>"AICE ENG LANG AS"</f>
        <v>AICE ENG LANG AS</v>
      </c>
      <c r="G14835" t="str">
        <f>"17-1711"</f>
        <v>17-1711</v>
      </c>
      <c r="H14835" t="str">
        <f>"A"</f>
        <v>A</v>
      </c>
    </row>
    <row r="14836" spans="1:8" x14ac:dyDescent="0.2">
      <c r="A14836" t="str">
        <f t="shared" si="5379"/>
        <v>0622100828</v>
      </c>
      <c r="B14836" t="str">
        <f t="shared" si="5380"/>
        <v>VERONICA</v>
      </c>
      <c r="C14836" t="str">
        <f t="shared" si="5376"/>
        <v>ROMERO</v>
      </c>
      <c r="D14836">
        <f>10</f>
        <v>10</v>
      </c>
      <c r="E14836" t="str">
        <f>"06 - B - 116 - Jordana K Hass"</f>
        <v>06 - B - 116 - Jordana K Hass</v>
      </c>
      <c r="F14836" t="str">
        <f>"NC STUDY HALL 1"</f>
        <v>NC STUDY HALL 1</v>
      </c>
      <c r="G14836" t="str">
        <f>"08-807"</f>
        <v>08-807</v>
      </c>
      <c r="H14836" t="str">
        <f>"B"</f>
        <v>B</v>
      </c>
    </row>
    <row r="14837" spans="1:8" x14ac:dyDescent="0.2">
      <c r="A14837" t="str">
        <f t="shared" si="5379"/>
        <v>0622100828</v>
      </c>
      <c r="B14837" t="str">
        <f t="shared" si="5380"/>
        <v>VERONICA</v>
      </c>
      <c r="C14837" t="str">
        <f t="shared" si="5376"/>
        <v>ROMERO</v>
      </c>
      <c r="D14837">
        <f>10</f>
        <v>10</v>
      </c>
      <c r="E14837" t="str">
        <f>"03 - A - 101 - Timothy J Lawrence"</f>
        <v>03 - A - 101 - Timothy J Lawrence</v>
      </c>
      <c r="F14837" t="str">
        <f>"AICE PHYS ED 1 AS"</f>
        <v>AICE PHYS ED 1 AS</v>
      </c>
      <c r="G14837" t="str">
        <f>"05-519"</f>
        <v>05-519</v>
      </c>
      <c r="H14837" t="str">
        <f>"A"</f>
        <v>A</v>
      </c>
    </row>
    <row r="14838" spans="1:8" x14ac:dyDescent="0.2">
      <c r="A14838" t="str">
        <f t="shared" si="5379"/>
        <v>0622100828</v>
      </c>
      <c r="B14838" t="str">
        <f t="shared" si="5380"/>
        <v>VERONICA</v>
      </c>
      <c r="C14838" t="str">
        <f t="shared" si="5376"/>
        <v>ROMERO</v>
      </c>
      <c r="D14838">
        <f>10</f>
        <v>10</v>
      </c>
      <c r="E14838" t="str">
        <f>"02 - A - 102 - Vanessa J Liburd"</f>
        <v>02 - A - 102 - Vanessa J Liburd</v>
      </c>
      <c r="F14838" t="str">
        <f>"PRE-AICE FRENCH 2 IG"</f>
        <v>PRE-AICE FRENCH 2 IG</v>
      </c>
      <c r="G14838" t="str">
        <f>"05-519"</f>
        <v>05-519</v>
      </c>
      <c r="H14838" t="str">
        <f>"A"</f>
        <v>A</v>
      </c>
    </row>
    <row r="14839" spans="1:8" x14ac:dyDescent="0.2">
      <c r="A14839" t="str">
        <f t="shared" si="5379"/>
        <v>0622100828</v>
      </c>
      <c r="B14839" t="str">
        <f t="shared" si="5380"/>
        <v>VERONICA</v>
      </c>
      <c r="C14839" t="str">
        <f t="shared" si="5376"/>
        <v>ROMERO</v>
      </c>
      <c r="D14839">
        <f>10</f>
        <v>10</v>
      </c>
      <c r="E14839" t="str">
        <f>"07 - B - 101 - Fernando  Vega-Cid"</f>
        <v>07 - B - 101 - Fernando  Vega-Cid</v>
      </c>
      <c r="F14839" t="str">
        <f>"AP PRECALCULUS"</f>
        <v>AP PRECALCULUS</v>
      </c>
      <c r="G14839" t="str">
        <f>"21-2163"</f>
        <v>21-2163</v>
      </c>
      <c r="H14839" t="str">
        <f>"B"</f>
        <v>B</v>
      </c>
    </row>
    <row r="14840" spans="1:8" x14ac:dyDescent="0.2">
      <c r="A14840" t="str">
        <f t="shared" si="5379"/>
        <v>0622100828</v>
      </c>
      <c r="B14840" t="str">
        <f t="shared" si="5380"/>
        <v>VERONICA</v>
      </c>
      <c r="C14840" t="str">
        <f t="shared" si="5376"/>
        <v>ROMERO</v>
      </c>
      <c r="D14840">
        <f>10</f>
        <v>10</v>
      </c>
      <c r="E14840" t="str">
        <f>"05 - B - 203 - Chrystina M Marchionne"</f>
        <v>05 - B - 203 - Chrystina M Marchionne</v>
      </c>
      <c r="F14840" t="str">
        <f>"AICE MEDIASTUDIES AS"</f>
        <v>AICE MEDIASTUDIES AS</v>
      </c>
      <c r="G14840" t="str">
        <f>"05-520"</f>
        <v>05-520</v>
      </c>
      <c r="H14840" t="str">
        <f>"B"</f>
        <v>B</v>
      </c>
    </row>
    <row r="14841" spans="1:8" x14ac:dyDescent="0.2">
      <c r="A14841" t="str">
        <f t="shared" si="5379"/>
        <v>0622100828</v>
      </c>
      <c r="B14841" t="str">
        <f t="shared" si="5380"/>
        <v>VERONICA</v>
      </c>
      <c r="C14841" t="str">
        <f t="shared" si="5376"/>
        <v>ROMERO</v>
      </c>
      <c r="D14841">
        <f>10</f>
        <v>10</v>
      </c>
      <c r="E14841" t="str">
        <f>"01 - A - 001 - Lenecy  Nodarse"</f>
        <v>01 - A - 001 - Lenecy  Nodarse</v>
      </c>
      <c r="F14841" t="str">
        <f>"AICE EURO HIST 1 AS"</f>
        <v>AICE EURO HIST 1 AS</v>
      </c>
      <c r="G14841" t="str">
        <f>"17-1741"</f>
        <v>17-1741</v>
      </c>
      <c r="H14841" t="str">
        <f>"A"</f>
        <v>A</v>
      </c>
    </row>
    <row r="14842" spans="1:8" x14ac:dyDescent="0.2">
      <c r="A14842" t="str">
        <f t="shared" si="5379"/>
        <v>0622100828</v>
      </c>
      <c r="B14842" t="str">
        <f t="shared" si="5380"/>
        <v>VERONICA</v>
      </c>
      <c r="C14842" t="str">
        <f t="shared" si="5376"/>
        <v>ROMERO</v>
      </c>
      <c r="D14842">
        <f>10</f>
        <v>10</v>
      </c>
      <c r="E14842" t="str">
        <f>"08 - B - 102 - Jacqueline R Morphet"</f>
        <v>08 - B - 102 - Jacqueline R Morphet</v>
      </c>
      <c r="F14842" t="str">
        <f>"AP PHYSICS 1"</f>
        <v>AP PHYSICS 1</v>
      </c>
      <c r="G14842" t="str">
        <f>"21-2138"</f>
        <v>21-2138</v>
      </c>
      <c r="H14842" t="str">
        <f>"B"</f>
        <v>B</v>
      </c>
    </row>
    <row r="14843" spans="1:8" x14ac:dyDescent="0.2">
      <c r="A14843" t="str">
        <f t="shared" ref="A14843:A14850" si="5381">"0614076671"</f>
        <v>0614076671</v>
      </c>
      <c r="B14843" t="str">
        <f t="shared" ref="B14843:B14850" si="5382">"LORENA"</f>
        <v>LORENA</v>
      </c>
      <c r="C14843" t="str">
        <f t="shared" ref="C14843:C14850" si="5383">"RONDON"</f>
        <v>RONDON</v>
      </c>
      <c r="D14843">
        <f>11</f>
        <v>11</v>
      </c>
      <c r="E14843" t="str">
        <f>"04 - A - 101 - Pamela M Corzo"</f>
        <v>04 - A - 101 - Pamela M Corzo</v>
      </c>
      <c r="F14843" t="str">
        <f>"CALCULUS HON"</f>
        <v>CALCULUS HON</v>
      </c>
      <c r="G14843" t="str">
        <f>"21-2133"</f>
        <v>21-2133</v>
      </c>
      <c r="H14843" t="str">
        <f>"A"</f>
        <v>A</v>
      </c>
    </row>
    <row r="14844" spans="1:8" x14ac:dyDescent="0.2">
      <c r="A14844" t="str">
        <f t="shared" si="5381"/>
        <v>0614076671</v>
      </c>
      <c r="B14844" t="str">
        <f t="shared" si="5382"/>
        <v>LORENA</v>
      </c>
      <c r="C14844" t="str">
        <f t="shared" si="5383"/>
        <v>RONDON</v>
      </c>
      <c r="D14844">
        <f>11</f>
        <v>11</v>
      </c>
      <c r="E14844" t="str">
        <f>"06 - B - 206 - Jacqueline R Morphet"</f>
        <v>06 - B - 206 - Jacqueline R Morphet</v>
      </c>
      <c r="F14844" t="str">
        <f>"PHYSICS 1 HON"</f>
        <v>PHYSICS 1 HON</v>
      </c>
      <c r="G14844" t="str">
        <f>"21-2138"</f>
        <v>21-2138</v>
      </c>
      <c r="H14844" t="str">
        <f>"B"</f>
        <v>B</v>
      </c>
    </row>
    <row r="14845" spans="1:8" x14ac:dyDescent="0.2">
      <c r="A14845" t="str">
        <f t="shared" si="5381"/>
        <v>0614076671</v>
      </c>
      <c r="B14845" t="str">
        <f t="shared" si="5382"/>
        <v>LORENA</v>
      </c>
      <c r="C14845" t="str">
        <f t="shared" si="5383"/>
        <v>RONDON</v>
      </c>
      <c r="D14845">
        <f>11</f>
        <v>11</v>
      </c>
      <c r="E14845" t="str">
        <f>"03 - A - 106 - Jerry S Jiampetti"</f>
        <v>03 - A - 106 - Jerry S Jiampetti</v>
      </c>
      <c r="F14845" t="str">
        <f>"US HISTORY HON"</f>
        <v>US HISTORY HON</v>
      </c>
      <c r="G14845" t="str">
        <f>"17-1751"</f>
        <v>17-1751</v>
      </c>
      <c r="H14845" t="str">
        <f>"A"</f>
        <v>A</v>
      </c>
    </row>
    <row r="14846" spans="1:8" x14ac:dyDescent="0.2">
      <c r="A14846" t="str">
        <f t="shared" si="5381"/>
        <v>0614076671</v>
      </c>
      <c r="B14846" t="str">
        <f t="shared" si="5382"/>
        <v>LORENA</v>
      </c>
      <c r="C14846" t="str">
        <f t="shared" si="5383"/>
        <v>RONDON</v>
      </c>
      <c r="D14846">
        <f>11</f>
        <v>11</v>
      </c>
      <c r="E14846" t="str">
        <f>"02 - A - 107 - Elizabeth Ellen  Moran"</f>
        <v>02 - A - 107 - Elizabeth Ellen  Moran</v>
      </c>
      <c r="F14846" t="str">
        <f>"NC STUDY HALL 1"</f>
        <v>NC STUDY HALL 1</v>
      </c>
      <c r="G14846" t="str">
        <f>"17-1752"</f>
        <v>17-1752</v>
      </c>
      <c r="H14846" t="str">
        <f>"A"</f>
        <v>A</v>
      </c>
    </row>
    <row r="14847" spans="1:8" x14ac:dyDescent="0.2">
      <c r="A14847" t="str">
        <f t="shared" si="5381"/>
        <v>0614076671</v>
      </c>
      <c r="B14847" t="str">
        <f t="shared" si="5382"/>
        <v>LORENA</v>
      </c>
      <c r="C14847" t="str">
        <f t="shared" si="5383"/>
        <v>RONDON</v>
      </c>
      <c r="D14847">
        <f>11</f>
        <v>11</v>
      </c>
      <c r="E14847" t="str">
        <f>"07 - B - 204 - Stefanie S Scher"</f>
        <v>07 - B - 204 - Stefanie S Scher</v>
      </c>
      <c r="F14847" t="str">
        <f>"AP PSYCH"</f>
        <v>AP PSYCH</v>
      </c>
      <c r="G14847" t="str">
        <f>"17-1735"</f>
        <v>17-1735</v>
      </c>
      <c r="H14847" t="str">
        <f>"B"</f>
        <v>B</v>
      </c>
    </row>
    <row r="14848" spans="1:8" x14ac:dyDescent="0.2">
      <c r="A14848" t="str">
        <f t="shared" si="5381"/>
        <v>0614076671</v>
      </c>
      <c r="B14848" t="str">
        <f t="shared" si="5382"/>
        <v>LORENA</v>
      </c>
      <c r="C14848" t="str">
        <f t="shared" si="5383"/>
        <v>RONDON</v>
      </c>
      <c r="D14848">
        <f>11</f>
        <v>11</v>
      </c>
      <c r="E14848" t="str">
        <f>"05 - B - 103 - Brandy N Zdenek"</f>
        <v>05 - B - 103 - Brandy N Zdenek</v>
      </c>
      <c r="F14848" t="str">
        <f>"AICE ENG LANG 2 AL"</f>
        <v>AICE ENG LANG 2 AL</v>
      </c>
      <c r="G14848" t="str">
        <f>"17-1704"</f>
        <v>17-1704</v>
      </c>
      <c r="H14848" t="str">
        <f>"B"</f>
        <v>B</v>
      </c>
    </row>
    <row r="14849" spans="1:8" x14ac:dyDescent="0.2">
      <c r="A14849" t="str">
        <f t="shared" si="5381"/>
        <v>0614076671</v>
      </c>
      <c r="B14849" t="str">
        <f t="shared" si="5382"/>
        <v>LORENA</v>
      </c>
      <c r="C14849" t="str">
        <f t="shared" si="5383"/>
        <v>RONDON</v>
      </c>
      <c r="D14849">
        <f>11</f>
        <v>11</v>
      </c>
      <c r="E14849" t="str">
        <f>"01 - A - 101 - Chrystina M Marchionne"</f>
        <v>01 - A - 101 - Chrystina M Marchionne</v>
      </c>
      <c r="F14849" t="str">
        <f>"AICE MEDIA STUDIES A"</f>
        <v>AICE MEDIA STUDIES A</v>
      </c>
      <c r="G14849" t="str">
        <f>"05-520"</f>
        <v>05-520</v>
      </c>
      <c r="H14849" t="str">
        <f>"A"</f>
        <v>A</v>
      </c>
    </row>
    <row r="14850" spans="1:8" x14ac:dyDescent="0.2">
      <c r="A14850" t="str">
        <f t="shared" si="5381"/>
        <v>0614076671</v>
      </c>
      <c r="B14850" t="str">
        <f t="shared" si="5382"/>
        <v>LORENA</v>
      </c>
      <c r="C14850" t="str">
        <f t="shared" si="5383"/>
        <v>RONDON</v>
      </c>
      <c r="D14850">
        <f>11</f>
        <v>11</v>
      </c>
      <c r="E14850" t="str">
        <f>"08 - B - 103 - Marielle A Witting"</f>
        <v>08 - B - 103 - Marielle A Witting</v>
      </c>
      <c r="F14850" t="str">
        <f>"AP BIO"</f>
        <v>AP BIO</v>
      </c>
      <c r="G14850" t="str">
        <f>"08-805"</f>
        <v>08-805</v>
      </c>
      <c r="H14850" t="str">
        <f>"B"</f>
        <v>B</v>
      </c>
    </row>
    <row r="14851" spans="1:8" x14ac:dyDescent="0.2">
      <c r="A14851" t="str">
        <f t="shared" ref="A14851:A14858" si="5384">"0614052546"</f>
        <v>0614052546</v>
      </c>
      <c r="B14851" t="str">
        <f t="shared" ref="B14851:B14858" si="5385">"ATTICUS"</f>
        <v>ATTICUS</v>
      </c>
      <c r="C14851" t="str">
        <f t="shared" ref="C14851:C14858" si="5386">"ROSA"</f>
        <v>ROSA</v>
      </c>
      <c r="D14851">
        <f>12</f>
        <v>12</v>
      </c>
      <c r="E14851" t="str">
        <f>"04 - A - 103 - Daniel S Tyson"</f>
        <v>04 - A - 103 - Daniel S Tyson</v>
      </c>
      <c r="F14851" t="str">
        <f>"JROTC NAVAL SCI 4"</f>
        <v>JROTC NAVAL SCI 4</v>
      </c>
      <c r="G14851" t="str">
        <f>"05-510"</f>
        <v>05-510</v>
      </c>
      <c r="H14851" t="str">
        <f>"A"</f>
        <v>A</v>
      </c>
    </row>
    <row r="14852" spans="1:8" x14ac:dyDescent="0.2">
      <c r="A14852" t="str">
        <f t="shared" si="5384"/>
        <v>0614052546</v>
      </c>
      <c r="B14852" t="str">
        <f t="shared" si="5385"/>
        <v>ATTICUS</v>
      </c>
      <c r="C14852" t="str">
        <f t="shared" si="5386"/>
        <v>ROSA</v>
      </c>
      <c r="D14852">
        <f>12</f>
        <v>12</v>
      </c>
      <c r="E14852" t="str">
        <f>"06 - B - 110 - Barbara L Segal"</f>
        <v>06 - B - 110 - Barbara L Segal</v>
      </c>
      <c r="F14852" t="str">
        <f>"NC STUDY HALL 1"</f>
        <v>NC STUDY HALL 1</v>
      </c>
      <c r="G14852" t="str">
        <f>"17-1742"</f>
        <v>17-1742</v>
      </c>
      <c r="H14852" t="str">
        <f>"B"</f>
        <v>B</v>
      </c>
    </row>
    <row r="14853" spans="1:8" x14ac:dyDescent="0.2">
      <c r="A14853" t="str">
        <f t="shared" si="5384"/>
        <v>0614052546</v>
      </c>
      <c r="B14853" t="str">
        <f t="shared" si="5385"/>
        <v>ATTICUS</v>
      </c>
      <c r="C14853" t="str">
        <f t="shared" si="5386"/>
        <v>ROSA</v>
      </c>
      <c r="D14853">
        <f>12</f>
        <v>12</v>
      </c>
      <c r="E14853" t="str">
        <f>"03 - S1 - A - 103 - Richard E Dunbar Iii"</f>
        <v>03 - S1 - A - 103 - Richard E Dunbar Iii</v>
      </c>
      <c r="F14853" t="str">
        <f>"WEIGHT TRAIN 1"</f>
        <v>WEIGHT TRAIN 1</v>
      </c>
      <c r="G14853" t="str">
        <f>"05-501"</f>
        <v>05-501</v>
      </c>
      <c r="H14853" t="str">
        <f>"A"</f>
        <v>A</v>
      </c>
    </row>
    <row r="14854" spans="1:8" x14ac:dyDescent="0.2">
      <c r="A14854" t="str">
        <f t="shared" si="5384"/>
        <v>0614052546</v>
      </c>
      <c r="B14854" t="str">
        <f t="shared" si="5385"/>
        <v>ATTICUS</v>
      </c>
      <c r="C14854" t="str">
        <f t="shared" si="5386"/>
        <v>ROSA</v>
      </c>
      <c r="D14854">
        <f>12</f>
        <v>12</v>
      </c>
      <c r="E14854" t="str">
        <f>"02 - A - 101 - Timothy J Lawrence"</f>
        <v>02 - A - 101 - Timothy J Lawrence</v>
      </c>
      <c r="F14854" t="str">
        <f>"NC STUDY HALL 1"</f>
        <v>NC STUDY HALL 1</v>
      </c>
      <c r="G14854" t="str">
        <f>"05-522"</f>
        <v>05-522</v>
      </c>
      <c r="H14854" t="str">
        <f>"A"</f>
        <v>A</v>
      </c>
    </row>
    <row r="14855" spans="1:8" x14ac:dyDescent="0.2">
      <c r="A14855" t="str">
        <f t="shared" si="5384"/>
        <v>0614052546</v>
      </c>
      <c r="B14855" t="str">
        <f t="shared" si="5385"/>
        <v>ATTICUS</v>
      </c>
      <c r="C14855" t="str">
        <f t="shared" si="5386"/>
        <v>ROSA</v>
      </c>
      <c r="D14855">
        <f>12</f>
        <v>12</v>
      </c>
      <c r="E14855" t="str">
        <f>"07 - B - 105 - Robert H Rindner"</f>
        <v>07 - B - 105 - Robert H Rindner</v>
      </c>
      <c r="F14855" t="str">
        <f>"MATH DATA&amp;FIN LIT H"</f>
        <v>MATH DATA&amp;FIN LIT H</v>
      </c>
      <c r="G14855" t="str">
        <f>"21-2160"</f>
        <v>21-2160</v>
      </c>
      <c r="H14855" t="str">
        <f>"B"</f>
        <v>B</v>
      </c>
    </row>
    <row r="14856" spans="1:8" x14ac:dyDescent="0.2">
      <c r="A14856" t="str">
        <f t="shared" si="5384"/>
        <v>0614052546</v>
      </c>
      <c r="B14856" t="str">
        <f t="shared" si="5385"/>
        <v>ATTICUS</v>
      </c>
      <c r="C14856" t="str">
        <f t="shared" si="5386"/>
        <v>ROSA</v>
      </c>
      <c r="D14856">
        <f>12</f>
        <v>12</v>
      </c>
      <c r="E14856" t="str">
        <f>"05 - B - 104 - Daniel S Tyson"</f>
        <v>05 - B - 104 - Daniel S Tyson</v>
      </c>
      <c r="F14856" t="str">
        <f>"JROTC NAVAL SCI 3"</f>
        <v>JROTC NAVAL SCI 3</v>
      </c>
      <c r="G14856" t="str">
        <f>"05-510"</f>
        <v>05-510</v>
      </c>
      <c r="H14856" t="str">
        <f>"B"</f>
        <v>B</v>
      </c>
    </row>
    <row r="14857" spans="1:8" x14ac:dyDescent="0.2">
      <c r="A14857" t="str">
        <f t="shared" si="5384"/>
        <v>0614052546</v>
      </c>
      <c r="B14857" t="str">
        <f t="shared" si="5385"/>
        <v>ATTICUS</v>
      </c>
      <c r="C14857" t="str">
        <f t="shared" si="5386"/>
        <v>ROSA</v>
      </c>
      <c r="D14857">
        <f>12</f>
        <v>12</v>
      </c>
      <c r="E14857" t="str">
        <f>"01 - S1 - A - 101 - Barbara L Segal"</f>
        <v>01 - S1 - A - 101 - Barbara L Segal</v>
      </c>
      <c r="F14857" t="str">
        <f>"US GOVT HON"</f>
        <v>US GOVT HON</v>
      </c>
      <c r="G14857" t="str">
        <f>"17-1742"</f>
        <v>17-1742</v>
      </c>
      <c r="H14857" t="str">
        <f>"A"</f>
        <v>A</v>
      </c>
    </row>
    <row r="14858" spans="1:8" x14ac:dyDescent="0.2">
      <c r="A14858" t="str">
        <f t="shared" si="5384"/>
        <v>0614052546</v>
      </c>
      <c r="B14858" t="str">
        <f t="shared" si="5385"/>
        <v>ATTICUS</v>
      </c>
      <c r="C14858" t="str">
        <f t="shared" si="5386"/>
        <v>ROSA</v>
      </c>
      <c r="D14858">
        <f>12</f>
        <v>12</v>
      </c>
      <c r="E14858" t="str">
        <f>"08 - B - 001 - Chrystina M Marchionne"</f>
        <v>08 - B - 001 - Chrystina M Marchionne</v>
      </c>
      <c r="F14858" t="str">
        <f>"JOURN 1 (YB) LH"</f>
        <v>JOURN 1 (YB) LH</v>
      </c>
      <c r="G14858" t="str">
        <f>"05-520"</f>
        <v>05-520</v>
      </c>
      <c r="H14858" t="str">
        <f>"B"</f>
        <v>B</v>
      </c>
    </row>
    <row r="14859" spans="1:8" x14ac:dyDescent="0.2">
      <c r="A14859" t="str">
        <f t="shared" ref="A14859:A14866" si="5387">"0616008403"</f>
        <v>0616008403</v>
      </c>
      <c r="B14859" t="str">
        <f t="shared" ref="B14859:B14866" si="5388">"JISELLE"</f>
        <v>JISELLE</v>
      </c>
      <c r="C14859" t="str">
        <f t="shared" ref="C14859:C14866" si="5389">"ROSALES"</f>
        <v>ROSALES</v>
      </c>
      <c r="D14859">
        <f>10</f>
        <v>10</v>
      </c>
      <c r="E14859" t="str">
        <f>"04 - A - 102 - Eva T Rimmer"</f>
        <v>04 - A - 102 - Eva T Rimmer</v>
      </c>
      <c r="F14859" t="str">
        <f>"CRIMINAL JUST OPS 1"</f>
        <v>CRIMINAL JUST OPS 1</v>
      </c>
      <c r="G14859" t="str">
        <f>"05-523"</f>
        <v>05-523</v>
      </c>
      <c r="H14859" t="str">
        <f>"A"</f>
        <v>A</v>
      </c>
    </row>
    <row r="14860" spans="1:8" x14ac:dyDescent="0.2">
      <c r="A14860" t="str">
        <f t="shared" si="5387"/>
        <v>0616008403</v>
      </c>
      <c r="B14860" t="str">
        <f t="shared" si="5388"/>
        <v>JISELLE</v>
      </c>
      <c r="C14860" t="str">
        <f t="shared" si="5389"/>
        <v>ROSALES</v>
      </c>
      <c r="D14860">
        <f>10</f>
        <v>10</v>
      </c>
      <c r="E14860" t="str">
        <f>"06 - B - 113 - Joe  Kilpatrick Jr"</f>
        <v>06 - B - 113 - Joe  Kilpatrick Jr</v>
      </c>
      <c r="F14860" t="str">
        <f>"NC STUDY HALL 1"</f>
        <v>NC STUDY HALL 1</v>
      </c>
      <c r="G14860" t="str">
        <f>"09-912"</f>
        <v>09-912</v>
      </c>
      <c r="H14860" t="str">
        <f>"B"</f>
        <v>B</v>
      </c>
    </row>
    <row r="14861" spans="1:8" x14ac:dyDescent="0.2">
      <c r="A14861" t="str">
        <f t="shared" si="5387"/>
        <v>0616008403</v>
      </c>
      <c r="B14861" t="str">
        <f t="shared" si="5388"/>
        <v>JISELLE</v>
      </c>
      <c r="C14861" t="str">
        <f t="shared" si="5389"/>
        <v>ROSALES</v>
      </c>
      <c r="D14861">
        <f>10</f>
        <v>10</v>
      </c>
      <c r="E14861" t="str">
        <f>"03 - S1 - A - 101 - Daniel S Katz"</f>
        <v>03 - S1 - A - 101 - Daniel S Katz</v>
      </c>
      <c r="F14861" t="str">
        <f>"COURT PROCED"</f>
        <v>COURT PROCED</v>
      </c>
      <c r="G14861" t="str">
        <f>"21-2156"</f>
        <v>21-2156</v>
      </c>
      <c r="H14861" t="str">
        <f>"A"</f>
        <v>A</v>
      </c>
    </row>
    <row r="14862" spans="1:8" x14ac:dyDescent="0.2">
      <c r="A14862" t="str">
        <f t="shared" si="5387"/>
        <v>0616008403</v>
      </c>
      <c r="B14862" t="str">
        <f t="shared" si="5388"/>
        <v>JISELLE</v>
      </c>
      <c r="C14862" t="str">
        <f t="shared" si="5389"/>
        <v>ROSALES</v>
      </c>
      <c r="D14862">
        <f>10</f>
        <v>10</v>
      </c>
      <c r="E14862" t="str">
        <f>"02 - A - 205 - Emmily A Sarmiento"</f>
        <v>02 - A - 205 - Emmily A Sarmiento</v>
      </c>
      <c r="F14862" t="str">
        <f>"AICE GLBL PERSP 1 AS"</f>
        <v>AICE GLBL PERSP 1 AS</v>
      </c>
      <c r="G14862" t="str">
        <f>"17-1743"</f>
        <v>17-1743</v>
      </c>
      <c r="H14862" t="str">
        <f>"A"</f>
        <v>A</v>
      </c>
    </row>
    <row r="14863" spans="1:8" x14ac:dyDescent="0.2">
      <c r="A14863" t="str">
        <f t="shared" si="5387"/>
        <v>0616008403</v>
      </c>
      <c r="B14863" t="str">
        <f t="shared" si="5388"/>
        <v>JISELLE</v>
      </c>
      <c r="C14863" t="str">
        <f t="shared" si="5389"/>
        <v>ROSALES</v>
      </c>
      <c r="D14863">
        <f>10</f>
        <v>10</v>
      </c>
      <c r="E14863" t="str">
        <f>"07 - B - 102 - Lourivaldo  Da Silva"</f>
        <v>07 - B - 102 - Lourivaldo  Da Silva</v>
      </c>
      <c r="F14863" t="str">
        <f>"ALGEBRA 2 HON"</f>
        <v>ALGEBRA 2 HON</v>
      </c>
      <c r="G14863" t="str">
        <f>"20-2079"</f>
        <v>20-2079</v>
      </c>
      <c r="H14863" t="str">
        <f>"B"</f>
        <v>B</v>
      </c>
    </row>
    <row r="14864" spans="1:8" x14ac:dyDescent="0.2">
      <c r="A14864" t="str">
        <f t="shared" si="5387"/>
        <v>0616008403</v>
      </c>
      <c r="B14864" t="str">
        <f t="shared" si="5388"/>
        <v>JISELLE</v>
      </c>
      <c r="C14864" t="str">
        <f t="shared" si="5389"/>
        <v>ROSALES</v>
      </c>
      <c r="D14864">
        <f>10</f>
        <v>10</v>
      </c>
      <c r="E14864" t="str">
        <f>"05 - B - 103 - Byron G Montenegro"</f>
        <v>05 - B - 103 - Byron G Montenegro</v>
      </c>
      <c r="F14864" t="str">
        <f>"AICE MARINE SCI 1 AS"</f>
        <v>AICE MARINE SCI 1 AS</v>
      </c>
      <c r="G14864" t="str">
        <f>"21-2144"</f>
        <v>21-2144</v>
      </c>
      <c r="H14864" t="str">
        <f>"B"</f>
        <v>B</v>
      </c>
    </row>
    <row r="14865" spans="1:8" x14ac:dyDescent="0.2">
      <c r="A14865" t="str">
        <f t="shared" si="5387"/>
        <v>0616008403</v>
      </c>
      <c r="B14865" t="str">
        <f t="shared" si="5388"/>
        <v>JISELLE</v>
      </c>
      <c r="C14865" t="str">
        <f t="shared" si="5389"/>
        <v>ROSALES</v>
      </c>
      <c r="D14865">
        <f>10</f>
        <v>10</v>
      </c>
      <c r="E14865" t="str">
        <f>"01 - A - 101 - Arthur  Kulawik"</f>
        <v>01 - A - 101 - Arthur  Kulawik</v>
      </c>
      <c r="F14865" t="str">
        <f>"DEBATE 1 LH"</f>
        <v>DEBATE 1 LH</v>
      </c>
      <c r="G14865" t="str">
        <f>"05-506"</f>
        <v>05-506</v>
      </c>
      <c r="H14865" t="str">
        <f>"A"</f>
        <v>A</v>
      </c>
    </row>
    <row r="14866" spans="1:8" x14ac:dyDescent="0.2">
      <c r="A14866" t="str">
        <f t="shared" si="5387"/>
        <v>0616008403</v>
      </c>
      <c r="B14866" t="str">
        <f t="shared" si="5388"/>
        <v>JISELLE</v>
      </c>
      <c r="C14866" t="str">
        <f t="shared" si="5389"/>
        <v>ROSALES</v>
      </c>
      <c r="D14866">
        <f>10</f>
        <v>10</v>
      </c>
      <c r="E14866" t="str">
        <f>"08 - B - 102 - Jacquelyn M Neeson"</f>
        <v>08 - B - 102 - Jacquelyn M Neeson</v>
      </c>
      <c r="F14866" t="str">
        <f>"AICE ENG GEN PAPER 1"</f>
        <v>AICE ENG GEN PAPER 1</v>
      </c>
      <c r="G14866" t="str">
        <f>"17-1715"</f>
        <v>17-1715</v>
      </c>
      <c r="H14866" t="str">
        <f>"B"</f>
        <v>B</v>
      </c>
    </row>
    <row r="14867" spans="1:8" x14ac:dyDescent="0.2">
      <c r="A14867" t="str">
        <f t="shared" ref="A14867:A14874" si="5390">"0616025153"</f>
        <v>0616025153</v>
      </c>
      <c r="B14867" t="str">
        <f t="shared" ref="B14867:B14874" si="5391">"BEATRIZ"</f>
        <v>BEATRIZ</v>
      </c>
      <c r="C14867" t="str">
        <f t="shared" ref="C14867:C14874" si="5392">"ROSALES-PEREZ"</f>
        <v>ROSALES-PEREZ</v>
      </c>
      <c r="D14867">
        <f>10</f>
        <v>10</v>
      </c>
      <c r="E14867" t="str">
        <f>"04 - A - 102 - Jordana K Hass"</f>
        <v>04 - A - 102 - Jordana K Hass</v>
      </c>
      <c r="F14867" t="str">
        <f>"CHEMISTRY 1"</f>
        <v>CHEMISTRY 1</v>
      </c>
      <c r="G14867" t="str">
        <f>"08-807"</f>
        <v>08-807</v>
      </c>
      <c r="H14867" t="str">
        <f>"A"</f>
        <v>A</v>
      </c>
    </row>
    <row r="14868" spans="1:8" x14ac:dyDescent="0.2">
      <c r="A14868" t="str">
        <f t="shared" si="5390"/>
        <v>0616025153</v>
      </c>
      <c r="B14868" t="str">
        <f t="shared" si="5391"/>
        <v>BEATRIZ</v>
      </c>
      <c r="C14868" t="str">
        <f t="shared" si="5392"/>
        <v>ROSALES-PEREZ</v>
      </c>
      <c r="D14868">
        <f>10</f>
        <v>10</v>
      </c>
      <c r="E14868" t="str">
        <f>"06 - B - 109 - Semra  Bahadir"</f>
        <v>06 - B - 109 - Semra  Bahadir</v>
      </c>
      <c r="F14868" t="str">
        <f>"NC STUDY HALL 1"</f>
        <v>NC STUDY HALL 1</v>
      </c>
      <c r="G14868" t="str">
        <f>"21-2107"</f>
        <v>21-2107</v>
      </c>
      <c r="H14868" t="str">
        <f>"B"</f>
        <v>B</v>
      </c>
    </row>
    <row r="14869" spans="1:8" x14ac:dyDescent="0.2">
      <c r="A14869" t="str">
        <f t="shared" si="5390"/>
        <v>0616025153</v>
      </c>
      <c r="B14869" t="str">
        <f t="shared" si="5391"/>
        <v>BEATRIZ</v>
      </c>
      <c r="C14869" t="str">
        <f t="shared" si="5392"/>
        <v>ROSALES-PEREZ</v>
      </c>
      <c r="D14869">
        <f>10</f>
        <v>10</v>
      </c>
      <c r="E14869" t="str">
        <f>"03 - S1 - A - 102 - Leslie J Barton"</f>
        <v>03 - S1 - A - 102 - Leslie J Barton</v>
      </c>
      <c r="F14869" t="str">
        <f>"FIRST AID SAFETY"</f>
        <v>FIRST AID SAFETY</v>
      </c>
      <c r="G14869" t="str">
        <f>"05-521"</f>
        <v>05-521</v>
      </c>
      <c r="H14869" t="str">
        <f>"A"</f>
        <v>A</v>
      </c>
    </row>
    <row r="14870" spans="1:8" x14ac:dyDescent="0.2">
      <c r="A14870" t="str">
        <f t="shared" si="5390"/>
        <v>0616025153</v>
      </c>
      <c r="B14870" t="str">
        <f t="shared" si="5391"/>
        <v>BEATRIZ</v>
      </c>
      <c r="C14870" t="str">
        <f t="shared" si="5392"/>
        <v>ROSALES-PEREZ</v>
      </c>
      <c r="D14870">
        <f>10</f>
        <v>10</v>
      </c>
      <c r="E14870" t="str">
        <f>"02 - A - 102 - Chrystina M Marchionne"</f>
        <v>02 - A - 102 - Chrystina M Marchionne</v>
      </c>
      <c r="F14870" t="str">
        <f>"AICE MEDIASTUDIES AS"</f>
        <v>AICE MEDIASTUDIES AS</v>
      </c>
      <c r="G14870" t="str">
        <f>"05-520"</f>
        <v>05-520</v>
      </c>
      <c r="H14870" t="str">
        <f>"A"</f>
        <v>A</v>
      </c>
    </row>
    <row r="14871" spans="1:8" x14ac:dyDescent="0.2">
      <c r="A14871" t="str">
        <f t="shared" si="5390"/>
        <v>0616025153</v>
      </c>
      <c r="B14871" t="str">
        <f t="shared" si="5391"/>
        <v>BEATRIZ</v>
      </c>
      <c r="C14871" t="str">
        <f t="shared" si="5392"/>
        <v>ROSALES-PEREZ</v>
      </c>
      <c r="D14871">
        <f>10</f>
        <v>10</v>
      </c>
      <c r="E14871" t="str">
        <f>"07 - B - 107 - Jacklyn M James"</f>
        <v>07 - B - 107 - Jacklyn M James</v>
      </c>
      <c r="F14871" t="str">
        <f>"AICE ENG LANG AS"</f>
        <v>AICE ENG LANG AS</v>
      </c>
      <c r="G14871" t="str">
        <f>"17-1731"</f>
        <v>17-1731</v>
      </c>
      <c r="H14871" t="str">
        <f>"B"</f>
        <v>B</v>
      </c>
    </row>
    <row r="14872" spans="1:8" x14ac:dyDescent="0.2">
      <c r="A14872" t="str">
        <f t="shared" si="5390"/>
        <v>0616025153</v>
      </c>
      <c r="B14872" t="str">
        <f t="shared" si="5391"/>
        <v>BEATRIZ</v>
      </c>
      <c r="C14872" t="str">
        <f t="shared" si="5392"/>
        <v>ROSALES-PEREZ</v>
      </c>
      <c r="D14872">
        <f>10</f>
        <v>10</v>
      </c>
      <c r="E14872" t="str">
        <f>"05 - B - 106 - Thomas G Handwerg"</f>
        <v>05 - B - 106 - Thomas G Handwerg</v>
      </c>
      <c r="F14872" t="str">
        <f>"MATH COLL ALGEBRA"</f>
        <v>MATH COLL ALGEBRA</v>
      </c>
      <c r="G14872" t="str">
        <f>"21-2146"</f>
        <v>21-2146</v>
      </c>
      <c r="H14872" t="str">
        <f>"B"</f>
        <v>B</v>
      </c>
    </row>
    <row r="14873" spans="1:8" x14ac:dyDescent="0.2">
      <c r="A14873" t="str">
        <f t="shared" si="5390"/>
        <v>0616025153</v>
      </c>
      <c r="B14873" t="str">
        <f t="shared" si="5391"/>
        <v>BEATRIZ</v>
      </c>
      <c r="C14873" t="str">
        <f t="shared" si="5392"/>
        <v>ROSALES-PEREZ</v>
      </c>
      <c r="D14873">
        <f>10</f>
        <v>10</v>
      </c>
      <c r="E14873" t="str">
        <f>"01 - A - 001 - Lenecy  Nodarse"</f>
        <v>01 - A - 001 - Lenecy  Nodarse</v>
      </c>
      <c r="F14873" t="str">
        <f>"AICE EURO HIST 1 AS"</f>
        <v>AICE EURO HIST 1 AS</v>
      </c>
      <c r="G14873" t="str">
        <f>"17-1741"</f>
        <v>17-1741</v>
      </c>
      <c r="H14873" t="str">
        <f>"A"</f>
        <v>A</v>
      </c>
    </row>
    <row r="14874" spans="1:8" x14ac:dyDescent="0.2">
      <c r="A14874" t="str">
        <f t="shared" si="5390"/>
        <v>0616025153</v>
      </c>
      <c r="B14874" t="str">
        <f t="shared" si="5391"/>
        <v>BEATRIZ</v>
      </c>
      <c r="C14874" t="str">
        <f t="shared" si="5392"/>
        <v>ROSALES-PEREZ</v>
      </c>
      <c r="D14874">
        <f>10</f>
        <v>10</v>
      </c>
      <c r="E14874" t="str">
        <f>"08 - B - 102 - Robert H Rindner"</f>
        <v>08 - B - 102 - Robert H Rindner</v>
      </c>
      <c r="F14874" t="str">
        <f>"TV PRODUCTION TECH 1"</f>
        <v>TV PRODUCTION TECH 1</v>
      </c>
      <c r="G14874" t="str">
        <f>"21-2160"</f>
        <v>21-2160</v>
      </c>
      <c r="H14874" t="str">
        <f>"B"</f>
        <v>B</v>
      </c>
    </row>
    <row r="14875" spans="1:8" x14ac:dyDescent="0.2">
      <c r="A14875" t="str">
        <f t="shared" ref="A14875:A14882" si="5393">"0618105958"</f>
        <v>0618105958</v>
      </c>
      <c r="B14875" t="str">
        <f t="shared" ref="B14875:B14882" si="5394">"KHILA"</f>
        <v>KHILA</v>
      </c>
      <c r="C14875" t="str">
        <f t="shared" ref="C14875:C14882" si="5395">"ROSARIO"</f>
        <v>ROSARIO</v>
      </c>
      <c r="D14875">
        <f>12</f>
        <v>12</v>
      </c>
      <c r="E14875" t="str">
        <f>"04 - A - 101 - Stefanie S Scher"</f>
        <v>04 - A - 101 - Stefanie S Scher</v>
      </c>
      <c r="F14875" t="str">
        <f>"AP PSYCH"</f>
        <v>AP PSYCH</v>
      </c>
      <c r="G14875" t="str">
        <f>"17-1735"</f>
        <v>17-1735</v>
      </c>
      <c r="H14875" t="str">
        <f>"A"</f>
        <v>A</v>
      </c>
    </row>
    <row r="14876" spans="1:8" x14ac:dyDescent="0.2">
      <c r="A14876" t="str">
        <f t="shared" si="5393"/>
        <v>0618105958</v>
      </c>
      <c r="B14876" t="str">
        <f t="shared" si="5394"/>
        <v>KHILA</v>
      </c>
      <c r="C14876" t="str">
        <f t="shared" si="5395"/>
        <v>ROSARIO</v>
      </c>
      <c r="D14876">
        <f>12</f>
        <v>12</v>
      </c>
      <c r="E14876" t="str">
        <f>"06 - B - 109 - Carol S Moore"</f>
        <v>06 - B - 109 - Carol S Moore</v>
      </c>
      <c r="F14876" t="str">
        <f>"NC STUDY HALL 1"</f>
        <v>NC STUDY HALL 1</v>
      </c>
      <c r="G14876" t="str">
        <f>"17-1733"</f>
        <v>17-1733</v>
      </c>
      <c r="H14876" t="str">
        <f>"B"</f>
        <v>B</v>
      </c>
    </row>
    <row r="14877" spans="1:8" x14ac:dyDescent="0.2">
      <c r="A14877" t="str">
        <f t="shared" si="5393"/>
        <v>0618105958</v>
      </c>
      <c r="B14877" t="str">
        <f t="shared" si="5394"/>
        <v>KHILA</v>
      </c>
      <c r="C14877" t="str">
        <f t="shared" si="5395"/>
        <v>ROSARIO</v>
      </c>
      <c r="D14877">
        <f>12</f>
        <v>12</v>
      </c>
      <c r="E14877" t="str">
        <f>"03 - A - 103 - Norayda D Suarez"</f>
        <v>03 - A - 103 - Norayda D Suarez</v>
      </c>
      <c r="F14877" t="str">
        <f>"RESEARCH 1 LH"</f>
        <v>RESEARCH 1 LH</v>
      </c>
      <c r="G14877">
        <f>2041</f>
        <v>2041</v>
      </c>
      <c r="H14877" t="str">
        <f>"A"</f>
        <v>A</v>
      </c>
    </row>
    <row r="14878" spans="1:8" x14ac:dyDescent="0.2">
      <c r="A14878" t="str">
        <f t="shared" si="5393"/>
        <v>0618105958</v>
      </c>
      <c r="B14878" t="str">
        <f t="shared" si="5394"/>
        <v>KHILA</v>
      </c>
      <c r="C14878" t="str">
        <f t="shared" si="5395"/>
        <v>ROSARIO</v>
      </c>
      <c r="D14878">
        <f>12</f>
        <v>12</v>
      </c>
      <c r="E14878" t="str">
        <f>"02 - A - 104 - Scott A Dethloff"</f>
        <v>02 - A - 104 - Scott A Dethloff</v>
      </c>
      <c r="F14878" t="str">
        <f>"CHEMISTRY 1 HON"</f>
        <v>CHEMISTRY 1 HON</v>
      </c>
      <c r="G14878" t="str">
        <f>"08-812"</f>
        <v>08-812</v>
      </c>
      <c r="H14878" t="str">
        <f>"A"</f>
        <v>A</v>
      </c>
    </row>
    <row r="14879" spans="1:8" x14ac:dyDescent="0.2">
      <c r="A14879" t="str">
        <f t="shared" si="5393"/>
        <v>0618105958</v>
      </c>
      <c r="B14879" t="str">
        <f t="shared" si="5394"/>
        <v>KHILA</v>
      </c>
      <c r="C14879" t="str">
        <f t="shared" si="5395"/>
        <v>ROSARIO</v>
      </c>
      <c r="D14879">
        <f>12</f>
        <v>12</v>
      </c>
      <c r="E14879" t="str">
        <f>"07 - S1 - B - 102 - Barbara L Segal"</f>
        <v>07 - S1 - B - 102 - Barbara L Segal</v>
      </c>
      <c r="F14879" t="str">
        <f>"AP US GOVT/POL"</f>
        <v>AP US GOVT/POL</v>
      </c>
      <c r="G14879" t="str">
        <f>"17-1742"</f>
        <v>17-1742</v>
      </c>
      <c r="H14879" t="str">
        <f>"B"</f>
        <v>B</v>
      </c>
    </row>
    <row r="14880" spans="1:8" x14ac:dyDescent="0.2">
      <c r="A14880" t="str">
        <f t="shared" si="5393"/>
        <v>0618105958</v>
      </c>
      <c r="B14880" t="str">
        <f t="shared" si="5394"/>
        <v>KHILA</v>
      </c>
      <c r="C14880" t="str">
        <f t="shared" si="5395"/>
        <v>ROSARIO</v>
      </c>
      <c r="D14880">
        <f>12</f>
        <v>12</v>
      </c>
      <c r="E14880" t="str">
        <f>"05 - B - 103 - Brandy N Zdenek"</f>
        <v>05 - B - 103 - Brandy N Zdenek</v>
      </c>
      <c r="F14880" t="str">
        <f>"AICE ENG LANG 2 AL"</f>
        <v>AICE ENG LANG 2 AL</v>
      </c>
      <c r="G14880" t="str">
        <f>"17-1704"</f>
        <v>17-1704</v>
      </c>
      <c r="H14880" t="str">
        <f>"B"</f>
        <v>B</v>
      </c>
    </row>
    <row r="14881" spans="1:8" x14ac:dyDescent="0.2">
      <c r="A14881" t="str">
        <f t="shared" si="5393"/>
        <v>0618105958</v>
      </c>
      <c r="B14881" t="str">
        <f t="shared" si="5394"/>
        <v>KHILA</v>
      </c>
      <c r="C14881" t="str">
        <f t="shared" si="5395"/>
        <v>ROSARIO</v>
      </c>
      <c r="D14881">
        <f>12</f>
        <v>12</v>
      </c>
      <c r="E14881" t="str">
        <f>"01 - A - 101 - Thomas G Handwerg"</f>
        <v>01 - A - 101 - Thomas G Handwerg</v>
      </c>
      <c r="F14881" t="str">
        <f>"PROB STAT W/APPS HON"</f>
        <v>PROB STAT W/APPS HON</v>
      </c>
      <c r="G14881" t="str">
        <f>"21-2146"</f>
        <v>21-2146</v>
      </c>
      <c r="H14881" t="str">
        <f>"A"</f>
        <v>A</v>
      </c>
    </row>
    <row r="14882" spans="1:8" x14ac:dyDescent="0.2">
      <c r="A14882" t="str">
        <f t="shared" si="5393"/>
        <v>0618105958</v>
      </c>
      <c r="B14882" t="str">
        <f t="shared" si="5394"/>
        <v>KHILA</v>
      </c>
      <c r="C14882" t="str">
        <f t="shared" si="5395"/>
        <v>ROSARIO</v>
      </c>
      <c r="D14882">
        <f>12</f>
        <v>12</v>
      </c>
      <c r="E14882" t="str">
        <f>"08 - B - 201 - Vanessa J Liburd"</f>
        <v>08 - B - 201 - Vanessa J Liburd</v>
      </c>
      <c r="F14882" t="str">
        <f>"FRENCH 3 HON"</f>
        <v>FRENCH 3 HON</v>
      </c>
      <c r="G14882" t="str">
        <f>"05-519"</f>
        <v>05-519</v>
      </c>
      <c r="H14882" t="str">
        <f>"B"</f>
        <v>B</v>
      </c>
    </row>
    <row r="14883" spans="1:8" x14ac:dyDescent="0.2">
      <c r="A14883" t="str">
        <f t="shared" ref="A14883:A14890" si="5396">"0616009501"</f>
        <v>0616009501</v>
      </c>
      <c r="B14883" t="str">
        <f t="shared" ref="B14883:B14890" si="5397">"NATHAN"</f>
        <v>NATHAN</v>
      </c>
      <c r="C14883" t="str">
        <f t="shared" ref="C14883:C14890" si="5398">"ROSE"</f>
        <v>ROSE</v>
      </c>
      <c r="D14883">
        <f>10</f>
        <v>10</v>
      </c>
      <c r="E14883" t="str">
        <f>"04 - A - 101 - Arthur  Kulawik"</f>
        <v>04 - A - 101 - Arthur  Kulawik</v>
      </c>
      <c r="F14883" t="str">
        <f>"DEBATE 3 HON"</f>
        <v>DEBATE 3 HON</v>
      </c>
      <c r="G14883" t="str">
        <f>"05-506"</f>
        <v>05-506</v>
      </c>
      <c r="H14883" t="str">
        <f>"A"</f>
        <v>A</v>
      </c>
    </row>
    <row r="14884" spans="1:8" x14ac:dyDescent="0.2">
      <c r="A14884" t="str">
        <f t="shared" si="5396"/>
        <v>0616009501</v>
      </c>
      <c r="B14884" t="str">
        <f t="shared" si="5397"/>
        <v>NATHAN</v>
      </c>
      <c r="C14884" t="str">
        <f t="shared" si="5398"/>
        <v>ROSE</v>
      </c>
      <c r="D14884">
        <f>10</f>
        <v>10</v>
      </c>
      <c r="E14884" t="str">
        <f>"06 - B - 119 - Nikiel  Nesbeth"</f>
        <v>06 - B - 119 - Nikiel  Nesbeth</v>
      </c>
      <c r="F14884" t="str">
        <f>"NC STUDY HALL 1"</f>
        <v>NC STUDY HALL 1</v>
      </c>
      <c r="G14884" t="str">
        <f>"17-1705"</f>
        <v>17-1705</v>
      </c>
      <c r="H14884" t="str">
        <f>"B"</f>
        <v>B</v>
      </c>
    </row>
    <row r="14885" spans="1:8" x14ac:dyDescent="0.2">
      <c r="A14885" t="str">
        <f t="shared" si="5396"/>
        <v>0616009501</v>
      </c>
      <c r="B14885" t="str">
        <f t="shared" si="5397"/>
        <v>NATHAN</v>
      </c>
      <c r="C14885" t="str">
        <f t="shared" si="5398"/>
        <v>ROSE</v>
      </c>
      <c r="D14885">
        <f>10</f>
        <v>10</v>
      </c>
      <c r="E14885" t="str">
        <f>"03 - A - 101 - Brian M Fitzgerald"</f>
        <v>03 - A - 101 - Brian M Fitzgerald</v>
      </c>
      <c r="F14885" t="str">
        <f>"SCULPT 1"</f>
        <v>SCULPT 1</v>
      </c>
      <c r="G14885" t="str">
        <f>"09-908"</f>
        <v>09-908</v>
      </c>
      <c r="H14885" t="str">
        <f>"A"</f>
        <v>A</v>
      </c>
    </row>
    <row r="14886" spans="1:8" x14ac:dyDescent="0.2">
      <c r="A14886" t="str">
        <f t="shared" si="5396"/>
        <v>0616009501</v>
      </c>
      <c r="B14886" t="str">
        <f t="shared" si="5397"/>
        <v>NATHAN</v>
      </c>
      <c r="C14886" t="str">
        <f t="shared" si="5398"/>
        <v>ROSE</v>
      </c>
      <c r="D14886">
        <f>10</f>
        <v>10</v>
      </c>
      <c r="E14886" t="str">
        <f>"02 - S1 - A - 101 - James H Mccann"</f>
        <v>02 - S1 - A - 101 - James H Mccann</v>
      </c>
      <c r="F14886" t="str">
        <f>"PERS FIN &amp; MON MGT H"</f>
        <v>PERS FIN &amp; MON MGT H</v>
      </c>
      <c r="G14886" t="str">
        <f>"17-1716"</f>
        <v>17-1716</v>
      </c>
      <c r="H14886" t="str">
        <f>"A"</f>
        <v>A</v>
      </c>
    </row>
    <row r="14887" spans="1:8" x14ac:dyDescent="0.2">
      <c r="A14887" t="str">
        <f t="shared" si="5396"/>
        <v>0616009501</v>
      </c>
      <c r="B14887" t="str">
        <f t="shared" si="5397"/>
        <v>NATHAN</v>
      </c>
      <c r="C14887" t="str">
        <f t="shared" si="5398"/>
        <v>ROSE</v>
      </c>
      <c r="D14887">
        <f>10</f>
        <v>10</v>
      </c>
      <c r="E14887" t="str">
        <f>"07 - B - 206 - Cheryl L Beach"</f>
        <v>07 - B - 206 - Cheryl L Beach</v>
      </c>
      <c r="F14887" t="str">
        <f>"AICE ENV MGMNT AS"</f>
        <v>AICE ENV MGMNT AS</v>
      </c>
      <c r="G14887" t="str">
        <f>"08-811"</f>
        <v>08-811</v>
      </c>
      <c r="H14887" t="str">
        <f>"B"</f>
        <v>B</v>
      </c>
    </row>
    <row r="14888" spans="1:8" x14ac:dyDescent="0.2">
      <c r="A14888" t="str">
        <f t="shared" si="5396"/>
        <v>0616009501</v>
      </c>
      <c r="B14888" t="str">
        <f t="shared" si="5397"/>
        <v>NATHAN</v>
      </c>
      <c r="C14888" t="str">
        <f t="shared" si="5398"/>
        <v>ROSE</v>
      </c>
      <c r="D14888">
        <f>10</f>
        <v>10</v>
      </c>
      <c r="E14888" t="str">
        <f>"05 - B - 003 - Krystal Marie  Beruty"</f>
        <v>05 - B - 003 - Krystal Marie  Beruty</v>
      </c>
      <c r="F14888" t="str">
        <f>"AICE GLBL PERSP 1 AS"</f>
        <v>AICE GLBL PERSP 1 AS</v>
      </c>
      <c r="G14888" t="str">
        <f>"17-1721"</f>
        <v>17-1721</v>
      </c>
      <c r="H14888" t="str">
        <f>"B"</f>
        <v>B</v>
      </c>
    </row>
    <row r="14889" spans="1:8" x14ac:dyDescent="0.2">
      <c r="A14889" t="str">
        <f t="shared" si="5396"/>
        <v>0616009501</v>
      </c>
      <c r="B14889" t="str">
        <f t="shared" si="5397"/>
        <v>NATHAN</v>
      </c>
      <c r="C14889" t="str">
        <f t="shared" si="5398"/>
        <v>ROSE</v>
      </c>
      <c r="D14889">
        <f>10</f>
        <v>10</v>
      </c>
      <c r="E14889" t="str">
        <f>"01 - A - 101 - Jacquelyn M Neeson"</f>
        <v>01 - A - 101 - Jacquelyn M Neeson</v>
      </c>
      <c r="F14889" t="str">
        <f>"AICE ENG GEN PAPER 1"</f>
        <v>AICE ENG GEN PAPER 1</v>
      </c>
      <c r="G14889" t="str">
        <f>"17-1715"</f>
        <v>17-1715</v>
      </c>
      <c r="H14889" t="str">
        <f>"A"</f>
        <v>A</v>
      </c>
    </row>
    <row r="14890" spans="1:8" x14ac:dyDescent="0.2">
      <c r="A14890" t="str">
        <f t="shared" si="5396"/>
        <v>0616009501</v>
      </c>
      <c r="B14890" t="str">
        <f t="shared" si="5397"/>
        <v>NATHAN</v>
      </c>
      <c r="C14890" t="str">
        <f t="shared" si="5398"/>
        <v>ROSE</v>
      </c>
      <c r="D14890">
        <f>10</f>
        <v>10</v>
      </c>
      <c r="E14890" t="str">
        <f>"08 - B - 105 - Ferrie J Arostique"</f>
        <v>08 - B - 105 - Ferrie J Arostique</v>
      </c>
      <c r="F14890" t="str">
        <f>"PRE-AICE MATH 2 IG"</f>
        <v>PRE-AICE MATH 2 IG</v>
      </c>
      <c r="G14890" t="str">
        <f>"21-2139"</f>
        <v>21-2139</v>
      </c>
      <c r="H14890" t="str">
        <f>"B"</f>
        <v>B</v>
      </c>
    </row>
    <row r="14891" spans="1:8" x14ac:dyDescent="0.2">
      <c r="A14891" t="str">
        <f t="shared" ref="A14891:A14898" si="5399">"0616108969"</f>
        <v>0616108969</v>
      </c>
      <c r="B14891" t="str">
        <f t="shared" ref="B14891:B14898" si="5400">"ANDREW"</f>
        <v>ANDREW</v>
      </c>
      <c r="C14891" t="str">
        <f t="shared" ref="C14891:C14898" si="5401">"ROSENBLUM"</f>
        <v>ROSENBLUM</v>
      </c>
      <c r="D14891">
        <f>10</f>
        <v>10</v>
      </c>
      <c r="E14891" t="str">
        <f>"04 - A - 005 - Emmily A Sarmiento"</f>
        <v>04 - A - 005 - Emmily A Sarmiento</v>
      </c>
      <c r="F14891" t="str">
        <f>"AICE GLBL PERSP 1 AS"</f>
        <v>AICE GLBL PERSP 1 AS</v>
      </c>
      <c r="G14891" t="str">
        <f>"17-1743"</f>
        <v>17-1743</v>
      </c>
      <c r="H14891" t="str">
        <f>"A"</f>
        <v>A</v>
      </c>
    </row>
    <row r="14892" spans="1:8" x14ac:dyDescent="0.2">
      <c r="A14892" t="str">
        <f t="shared" si="5399"/>
        <v>0616108969</v>
      </c>
      <c r="B14892" t="str">
        <f t="shared" si="5400"/>
        <v>ANDREW</v>
      </c>
      <c r="C14892" t="str">
        <f t="shared" si="5401"/>
        <v>ROSENBLUM</v>
      </c>
      <c r="D14892">
        <f>10</f>
        <v>10</v>
      </c>
      <c r="E14892" t="str">
        <f>"06 - B - 115 - Scott A Dethloff"</f>
        <v>06 - B - 115 - Scott A Dethloff</v>
      </c>
      <c r="F14892" t="str">
        <f>"NC STUDY HALL 1"</f>
        <v>NC STUDY HALL 1</v>
      </c>
      <c r="G14892" t="str">
        <f>"08-812"</f>
        <v>08-812</v>
      </c>
      <c r="H14892" t="str">
        <f>"B"</f>
        <v>B</v>
      </c>
    </row>
    <row r="14893" spans="1:8" x14ac:dyDescent="0.2">
      <c r="A14893" t="str">
        <f t="shared" si="5399"/>
        <v>0616108969</v>
      </c>
      <c r="B14893" t="str">
        <f t="shared" si="5400"/>
        <v>ANDREW</v>
      </c>
      <c r="C14893" t="str">
        <f t="shared" si="5401"/>
        <v>ROSENBLUM</v>
      </c>
      <c r="D14893">
        <f>10</f>
        <v>10</v>
      </c>
      <c r="E14893" t="str">
        <f>"03 - A - 104 - Brook E Goren"</f>
        <v>03 - A - 104 - Brook E Goren</v>
      </c>
      <c r="F14893" t="str">
        <f>"ALGEBRA 2 HON"</f>
        <v>ALGEBRA 2 HON</v>
      </c>
      <c r="G14893" t="str">
        <f>"21-2158"</f>
        <v>21-2158</v>
      </c>
      <c r="H14893" t="str">
        <f>"A"</f>
        <v>A</v>
      </c>
    </row>
    <row r="14894" spans="1:8" x14ac:dyDescent="0.2">
      <c r="A14894" t="str">
        <f t="shared" si="5399"/>
        <v>0616108969</v>
      </c>
      <c r="B14894" t="str">
        <f t="shared" si="5400"/>
        <v>ANDREW</v>
      </c>
      <c r="C14894" t="str">
        <f t="shared" si="5401"/>
        <v>ROSENBLUM</v>
      </c>
      <c r="D14894">
        <f>10</f>
        <v>10</v>
      </c>
      <c r="E14894" t="str">
        <f>"02 - A - 102 - Bruce A Evans"</f>
        <v>02 - A - 102 - Bruce A Evans</v>
      </c>
      <c r="F14894" t="str">
        <f>"EMERG MED RESP 3 HON"</f>
        <v>EMERG MED RESP 3 HON</v>
      </c>
      <c r="G14894" t="str">
        <f>"21-2142"</f>
        <v>21-2142</v>
      </c>
      <c r="H14894" t="str">
        <f>"A"</f>
        <v>A</v>
      </c>
    </row>
    <row r="14895" spans="1:8" x14ac:dyDescent="0.2">
      <c r="A14895" t="str">
        <f t="shared" si="5399"/>
        <v>0616108969</v>
      </c>
      <c r="B14895" t="str">
        <f t="shared" si="5400"/>
        <v>ANDREW</v>
      </c>
      <c r="C14895" t="str">
        <f t="shared" si="5401"/>
        <v>ROSENBLUM</v>
      </c>
      <c r="D14895">
        <f>10</f>
        <v>10</v>
      </c>
      <c r="E14895" t="str">
        <f>"07 - B - 107 - Rosa Elaine  Collado-Duff"</f>
        <v>07 - B - 107 - Rosa Elaine  Collado-Duff</v>
      </c>
      <c r="F14895" t="str">
        <f>"PRE-AICE SPAN 2 IG"</f>
        <v>PRE-AICE SPAN 2 IG</v>
      </c>
      <c r="G14895" t="str">
        <f>"09-913"</f>
        <v>09-913</v>
      </c>
      <c r="H14895" t="str">
        <f>"B"</f>
        <v>B</v>
      </c>
    </row>
    <row r="14896" spans="1:8" x14ac:dyDescent="0.2">
      <c r="A14896" t="str">
        <f t="shared" si="5399"/>
        <v>0616108969</v>
      </c>
      <c r="B14896" t="str">
        <f t="shared" si="5400"/>
        <v>ANDREW</v>
      </c>
      <c r="C14896" t="str">
        <f t="shared" si="5401"/>
        <v>ROSENBLUM</v>
      </c>
      <c r="D14896">
        <f>10</f>
        <v>10</v>
      </c>
      <c r="E14896" t="str">
        <f>"05 - B - 201 - Bruce A Evans"</f>
        <v>05 - B - 201 - Bruce A Evans</v>
      </c>
      <c r="F14896" t="str">
        <f>"HEALTH SCI FOUND HON"</f>
        <v>HEALTH SCI FOUND HON</v>
      </c>
      <c r="G14896" t="str">
        <f>"21-2142"</f>
        <v>21-2142</v>
      </c>
      <c r="H14896" t="str">
        <f>"B"</f>
        <v>B</v>
      </c>
    </row>
    <row r="14897" spans="1:8" x14ac:dyDescent="0.2">
      <c r="A14897" t="str">
        <f t="shared" si="5399"/>
        <v>0616108969</v>
      </c>
      <c r="B14897" t="str">
        <f t="shared" si="5400"/>
        <v>ANDREW</v>
      </c>
      <c r="C14897" t="str">
        <f t="shared" si="5401"/>
        <v>ROSENBLUM</v>
      </c>
      <c r="D14897">
        <f>10</f>
        <v>10</v>
      </c>
      <c r="E14897" t="str">
        <f>"01 - A - 201 - Cheryl L Beach"</f>
        <v>01 - A - 201 - Cheryl L Beach</v>
      </c>
      <c r="F14897" t="str">
        <f>"AICE ENV MGMNT AS"</f>
        <v>AICE ENV MGMNT AS</v>
      </c>
      <c r="G14897" t="str">
        <f>"08-811"</f>
        <v>08-811</v>
      </c>
      <c r="H14897" t="str">
        <f>"A"</f>
        <v>A</v>
      </c>
    </row>
    <row r="14898" spans="1:8" x14ac:dyDescent="0.2">
      <c r="A14898" t="str">
        <f t="shared" si="5399"/>
        <v>0616108969</v>
      </c>
      <c r="B14898" t="str">
        <f t="shared" si="5400"/>
        <v>ANDREW</v>
      </c>
      <c r="C14898" t="str">
        <f t="shared" si="5401"/>
        <v>ROSENBLUM</v>
      </c>
      <c r="D14898">
        <f>10</f>
        <v>10</v>
      </c>
      <c r="E14898" t="str">
        <f>"08 - B - 001 - Jacklyn M James"</f>
        <v>08 - B - 001 - Jacklyn M James</v>
      </c>
      <c r="F14898" t="str">
        <f>"AICE ENG LANG AS"</f>
        <v>AICE ENG LANG AS</v>
      </c>
      <c r="G14898" t="str">
        <f>"17-1731"</f>
        <v>17-1731</v>
      </c>
      <c r="H14898" t="str">
        <f>"B"</f>
        <v>B</v>
      </c>
    </row>
    <row r="14899" spans="1:8" x14ac:dyDescent="0.2">
      <c r="A14899" t="str">
        <f t="shared" ref="A14899:A14906" si="5402">"0622071665"</f>
        <v>0622071665</v>
      </c>
      <c r="B14899" t="str">
        <f t="shared" ref="B14899:B14906" si="5403">"NICOLE"</f>
        <v>NICOLE</v>
      </c>
      <c r="C14899" t="str">
        <f t="shared" ref="C14899:C14906" si="5404">"ROVAINA RUEDA"</f>
        <v>ROVAINA RUEDA</v>
      </c>
      <c r="D14899">
        <f>11</f>
        <v>11</v>
      </c>
      <c r="E14899" t="str">
        <f>"04 - A - 103 - Lisa  Quinn"</f>
        <v>04 - A - 103 - Lisa  Quinn</v>
      </c>
      <c r="F14899" t="str">
        <f>"ENG 3"</f>
        <v>ENG 3</v>
      </c>
      <c r="G14899" t="str">
        <f>"17-1725"</f>
        <v>17-1725</v>
      </c>
      <c r="H14899" t="str">
        <f>"A"</f>
        <v>A</v>
      </c>
    </row>
    <row r="14900" spans="1:8" x14ac:dyDescent="0.2">
      <c r="A14900" t="str">
        <f t="shared" si="5402"/>
        <v>0622071665</v>
      </c>
      <c r="B14900" t="str">
        <f t="shared" si="5403"/>
        <v>NICOLE</v>
      </c>
      <c r="C14900" t="str">
        <f t="shared" si="5404"/>
        <v>ROVAINA RUEDA</v>
      </c>
      <c r="D14900">
        <f>11</f>
        <v>11</v>
      </c>
      <c r="E14900" t="str">
        <f>"06 - B - 105 - Elizabeth Ellen  Moran"</f>
        <v>06 - B - 105 - Elizabeth Ellen  Moran</v>
      </c>
      <c r="F14900" t="str">
        <f>"US HISTORY"</f>
        <v>US HISTORY</v>
      </c>
      <c r="G14900" t="str">
        <f>"17-1752"</f>
        <v>17-1752</v>
      </c>
      <c r="H14900" t="str">
        <f>"B"</f>
        <v>B</v>
      </c>
    </row>
    <row r="14901" spans="1:8" x14ac:dyDescent="0.2">
      <c r="A14901" t="str">
        <f t="shared" si="5402"/>
        <v>0622071665</v>
      </c>
      <c r="B14901" t="str">
        <f t="shared" si="5403"/>
        <v>NICOLE</v>
      </c>
      <c r="C14901" t="str">
        <f t="shared" si="5404"/>
        <v>ROVAINA RUEDA</v>
      </c>
      <c r="D14901">
        <f>11</f>
        <v>11</v>
      </c>
      <c r="E14901" t="str">
        <f>"03 - A - 201 - Emmily A Sarmiento"</f>
        <v>03 - A - 201 - Emmily A Sarmiento</v>
      </c>
      <c r="F14901" t="str">
        <f>"LEAD SKLS DEV LH"</f>
        <v>LEAD SKLS DEV LH</v>
      </c>
      <c r="G14901" t="str">
        <f>"17-1743"</f>
        <v>17-1743</v>
      </c>
      <c r="H14901" t="str">
        <f>"A"</f>
        <v>A</v>
      </c>
    </row>
    <row r="14902" spans="1:8" x14ac:dyDescent="0.2">
      <c r="A14902" t="str">
        <f t="shared" si="5402"/>
        <v>0622071665</v>
      </c>
      <c r="B14902" t="str">
        <f t="shared" si="5403"/>
        <v>NICOLE</v>
      </c>
      <c r="C14902" t="str">
        <f t="shared" si="5404"/>
        <v>ROVAINA RUEDA</v>
      </c>
      <c r="D14902">
        <f>11</f>
        <v>11</v>
      </c>
      <c r="E14902" t="str">
        <f>"02 - A - 117 - Kyle  Robbins"</f>
        <v>02 - A - 117 - Kyle  Robbins</v>
      </c>
      <c r="F14902" t="str">
        <f>"NC STUDY HALL 1"</f>
        <v>NC STUDY HALL 1</v>
      </c>
      <c r="G14902" t="str">
        <f>"17-1745"</f>
        <v>17-1745</v>
      </c>
      <c r="H14902" t="str">
        <f>"A"</f>
        <v>A</v>
      </c>
    </row>
    <row r="14903" spans="1:8" x14ac:dyDescent="0.2">
      <c r="A14903" t="str">
        <f t="shared" si="5402"/>
        <v>0622071665</v>
      </c>
      <c r="B14903" t="str">
        <f t="shared" si="5403"/>
        <v>NICOLE</v>
      </c>
      <c r="C14903" t="str">
        <f t="shared" si="5404"/>
        <v>ROVAINA RUEDA</v>
      </c>
      <c r="D14903">
        <f>11</f>
        <v>11</v>
      </c>
      <c r="E14903" t="str">
        <f>"07 - B - 104 - Marielle A Witting"</f>
        <v>07 - B - 104 - Marielle A Witting</v>
      </c>
      <c r="F14903" t="str">
        <f>"ANAT PHYSIO"</f>
        <v>ANAT PHYSIO</v>
      </c>
      <c r="G14903" t="str">
        <f>"08-805"</f>
        <v>08-805</v>
      </c>
      <c r="H14903" t="str">
        <f>"B"</f>
        <v>B</v>
      </c>
    </row>
    <row r="14904" spans="1:8" x14ac:dyDescent="0.2">
      <c r="A14904" t="str">
        <f t="shared" si="5402"/>
        <v>0622071665</v>
      </c>
      <c r="B14904" t="str">
        <f t="shared" si="5403"/>
        <v>NICOLE</v>
      </c>
      <c r="C14904" t="str">
        <f t="shared" si="5404"/>
        <v>ROVAINA RUEDA</v>
      </c>
      <c r="D14904">
        <f>11</f>
        <v>11</v>
      </c>
      <c r="E14904" t="str">
        <f>"05 - B - 109 - Ferrie J Arostique"</f>
        <v>05 - B - 109 - Ferrie J Arostique</v>
      </c>
      <c r="F14904" t="str">
        <f>"GEOMETRY"</f>
        <v>GEOMETRY</v>
      </c>
      <c r="G14904" t="str">
        <f>"21-2139"</f>
        <v>21-2139</v>
      </c>
      <c r="H14904" t="str">
        <f>"B"</f>
        <v>B</v>
      </c>
    </row>
    <row r="14905" spans="1:8" x14ac:dyDescent="0.2">
      <c r="A14905" t="str">
        <f t="shared" si="5402"/>
        <v>0622071665</v>
      </c>
      <c r="B14905" t="str">
        <f t="shared" si="5403"/>
        <v>NICOLE</v>
      </c>
      <c r="C14905" t="str">
        <f t="shared" si="5404"/>
        <v>ROVAINA RUEDA</v>
      </c>
      <c r="D14905">
        <f>11</f>
        <v>11</v>
      </c>
      <c r="E14905" t="str">
        <f>"01 - A - 101 - Nahum  Saint-Preux"</f>
        <v>01 - A - 101 - Nahum  Saint-Preux</v>
      </c>
      <c r="F14905" t="str">
        <f>"INTENS READ 3"</f>
        <v>INTENS READ 3</v>
      </c>
      <c r="G14905" t="str">
        <f>"17-1712"</f>
        <v>17-1712</v>
      </c>
      <c r="H14905" t="str">
        <f>"A"</f>
        <v>A</v>
      </c>
    </row>
    <row r="14906" spans="1:8" x14ac:dyDescent="0.2">
      <c r="A14906" t="str">
        <f t="shared" si="5402"/>
        <v>0622071665</v>
      </c>
      <c r="B14906" t="str">
        <f t="shared" si="5403"/>
        <v>NICOLE</v>
      </c>
      <c r="C14906" t="str">
        <f t="shared" si="5404"/>
        <v>ROVAINA RUEDA</v>
      </c>
      <c r="D14906">
        <f>11</f>
        <v>11</v>
      </c>
      <c r="E14906" t="str">
        <f>"08 - B - 102 - Robert H Rindner"</f>
        <v>08 - B - 102 - Robert H Rindner</v>
      </c>
      <c r="F14906" t="str">
        <f>"TV PRODUCTION TECH 1"</f>
        <v>TV PRODUCTION TECH 1</v>
      </c>
      <c r="G14906" t="str">
        <f>"21-2160"</f>
        <v>21-2160</v>
      </c>
      <c r="H14906" t="str">
        <f>"B"</f>
        <v>B</v>
      </c>
    </row>
    <row r="14907" spans="1:8" x14ac:dyDescent="0.2">
      <c r="A14907" t="str">
        <f t="shared" ref="A14907:A14914" si="5405">"0616016680"</f>
        <v>0616016680</v>
      </c>
      <c r="B14907" t="str">
        <f t="shared" ref="B14907:B14914" si="5406">"LANDON"</f>
        <v>LANDON</v>
      </c>
      <c r="C14907" t="str">
        <f t="shared" ref="C14907:C14922" si="5407">"ROWE"</f>
        <v>ROWE</v>
      </c>
      <c r="D14907" t="str">
        <f t="shared" ref="D14907:D14922" si="5408">"09"</f>
        <v>09</v>
      </c>
      <c r="E14907" t="str">
        <f>"04 - A - 107 - Amy Beth  Broyles"</f>
        <v>04 - A - 107 - Amy Beth  Broyles</v>
      </c>
      <c r="F14907" t="str">
        <f>"ENV SCI"</f>
        <v>ENV SCI</v>
      </c>
      <c r="G14907" t="str">
        <f>"08-802"</f>
        <v>08-802</v>
      </c>
      <c r="H14907" t="str">
        <f>"A"</f>
        <v>A</v>
      </c>
    </row>
    <row r="14908" spans="1:8" x14ac:dyDescent="0.2">
      <c r="A14908" t="str">
        <f t="shared" si="5405"/>
        <v>0616016680</v>
      </c>
      <c r="B14908" t="str">
        <f t="shared" si="5406"/>
        <v>LANDON</v>
      </c>
      <c r="C14908" t="str">
        <f t="shared" si="5407"/>
        <v>ROWE</v>
      </c>
      <c r="D14908" t="str">
        <f t="shared" si="5408"/>
        <v>09</v>
      </c>
      <c r="E14908" t="str">
        <f>"06 - B - 102 - Angela S Adeshina-Morrison"</f>
        <v>06 - B - 102 - Angela S Adeshina-Morrison</v>
      </c>
      <c r="F14908" t="str">
        <f>"MARKETING ESSENTIALS"</f>
        <v>MARKETING ESSENTIALS</v>
      </c>
      <c r="G14908" t="str">
        <f>"05-518"</f>
        <v>05-518</v>
      </c>
      <c r="H14908" t="str">
        <f>"B"</f>
        <v>B</v>
      </c>
    </row>
    <row r="14909" spans="1:8" x14ac:dyDescent="0.2">
      <c r="A14909" t="str">
        <f t="shared" si="5405"/>
        <v>0616016680</v>
      </c>
      <c r="B14909" t="str">
        <f t="shared" si="5406"/>
        <v>LANDON</v>
      </c>
      <c r="C14909" t="str">
        <f t="shared" si="5407"/>
        <v>ROWE</v>
      </c>
      <c r="D14909" t="str">
        <f t="shared" si="5408"/>
        <v>09</v>
      </c>
      <c r="E14909" t="str">
        <f>"03 - S1 - A - 102 - Angela S Adeshina-Morrison"</f>
        <v>03 - S1 - A - 102 - Angela S Adeshina-Morrison</v>
      </c>
      <c r="F14909" t="str">
        <f>"PEER COUN 1"</f>
        <v>PEER COUN 1</v>
      </c>
      <c r="G14909" t="str">
        <f>"05-518"</f>
        <v>05-518</v>
      </c>
      <c r="H14909" t="str">
        <f>"A"</f>
        <v>A</v>
      </c>
    </row>
    <row r="14910" spans="1:8" x14ac:dyDescent="0.2">
      <c r="A14910" t="str">
        <f t="shared" si="5405"/>
        <v>0616016680</v>
      </c>
      <c r="B14910" t="str">
        <f t="shared" si="5406"/>
        <v>LANDON</v>
      </c>
      <c r="C14910" t="str">
        <f t="shared" si="5407"/>
        <v>ROWE</v>
      </c>
      <c r="D14910" t="str">
        <f t="shared" si="5408"/>
        <v>09</v>
      </c>
      <c r="E14910" t="str">
        <f>"02 - A - 109 - Krystal Marie  Beruty"</f>
        <v>02 - A - 109 - Krystal Marie  Beruty</v>
      </c>
      <c r="F14910" t="str">
        <f>"NC STUDY HALL 1"</f>
        <v>NC STUDY HALL 1</v>
      </c>
      <c r="G14910" t="str">
        <f>"17-1721"</f>
        <v>17-1721</v>
      </c>
      <c r="H14910" t="str">
        <f>"A"</f>
        <v>A</v>
      </c>
    </row>
    <row r="14911" spans="1:8" x14ac:dyDescent="0.2">
      <c r="A14911" t="str">
        <f t="shared" si="5405"/>
        <v>0616016680</v>
      </c>
      <c r="B14911" t="str">
        <f t="shared" si="5406"/>
        <v>LANDON</v>
      </c>
      <c r="C14911" t="str">
        <f t="shared" si="5407"/>
        <v>ROWE</v>
      </c>
      <c r="D14911" t="str">
        <f t="shared" si="5408"/>
        <v>09</v>
      </c>
      <c r="E14911" t="str">
        <f>"07 - B - 106 - Dayna M Foster"</f>
        <v>07 - B - 106 - Dayna M Foster</v>
      </c>
      <c r="F14911" t="str">
        <f>"FDN SKLS MATH 9-12"</f>
        <v>FDN SKLS MATH 9-12</v>
      </c>
      <c r="G14911" t="str">
        <f>"21-2109"</f>
        <v>21-2109</v>
      </c>
      <c r="H14911" t="str">
        <f>"B"</f>
        <v>B</v>
      </c>
    </row>
    <row r="14912" spans="1:8" x14ac:dyDescent="0.2">
      <c r="A14912" t="str">
        <f t="shared" si="5405"/>
        <v>0616016680</v>
      </c>
      <c r="B14912" t="str">
        <f t="shared" si="5406"/>
        <v>LANDON</v>
      </c>
      <c r="C14912" t="str">
        <f t="shared" si="5407"/>
        <v>ROWE</v>
      </c>
      <c r="D14912" t="str">
        <f t="shared" si="5408"/>
        <v>09</v>
      </c>
      <c r="E14912" t="str">
        <f>"05 - B - 105 - Adam Marcus  Drucker"</f>
        <v>05 - B - 105 - Adam Marcus  Drucker</v>
      </c>
      <c r="F14912" t="str">
        <f>"HOPE-PE V"</f>
        <v>HOPE-PE V</v>
      </c>
      <c r="G14912" t="str">
        <f>"04-254"</f>
        <v>04-254</v>
      </c>
      <c r="H14912" t="str">
        <f>"B"</f>
        <v>B</v>
      </c>
    </row>
    <row r="14913" spans="1:8" x14ac:dyDescent="0.2">
      <c r="A14913" t="str">
        <f t="shared" si="5405"/>
        <v>0616016680</v>
      </c>
      <c r="B14913" t="str">
        <f t="shared" si="5406"/>
        <v>LANDON</v>
      </c>
      <c r="C14913" t="str">
        <f t="shared" si="5407"/>
        <v>ROWE</v>
      </c>
      <c r="D14913" t="str">
        <f t="shared" si="5408"/>
        <v>09</v>
      </c>
      <c r="E14913" t="str">
        <f>"01 - A - 108 - Dayna M Foster"</f>
        <v>01 - A - 108 - Dayna M Foster</v>
      </c>
      <c r="F14913" t="str">
        <f>"ALGEBRA 1"</f>
        <v>ALGEBRA 1</v>
      </c>
      <c r="G14913" t="str">
        <f>"21-2109"</f>
        <v>21-2109</v>
      </c>
      <c r="H14913" t="str">
        <f>"A"</f>
        <v>A</v>
      </c>
    </row>
    <row r="14914" spans="1:8" x14ac:dyDescent="0.2">
      <c r="A14914" t="str">
        <f t="shared" si="5405"/>
        <v>0616016680</v>
      </c>
      <c r="B14914" t="str">
        <f t="shared" si="5406"/>
        <v>LANDON</v>
      </c>
      <c r="C14914" t="str">
        <f t="shared" si="5407"/>
        <v>ROWE</v>
      </c>
      <c r="D14914" t="str">
        <f t="shared" si="5408"/>
        <v>09</v>
      </c>
      <c r="E14914" t="str">
        <f>"08 - B - 108 - Cerine S Stewart"</f>
        <v>08 - B - 108 - Cerine S Stewart</v>
      </c>
      <c r="F14914" t="str">
        <f>"ENG 1"</f>
        <v>ENG 1</v>
      </c>
      <c r="G14914" t="str">
        <f>"17-1720"</f>
        <v>17-1720</v>
      </c>
      <c r="H14914" t="str">
        <f>"B"</f>
        <v>B</v>
      </c>
    </row>
    <row r="14915" spans="1:8" x14ac:dyDescent="0.2">
      <c r="A14915" t="str">
        <f t="shared" ref="A14915:A14922" si="5409">"0616047186"</f>
        <v>0616047186</v>
      </c>
      <c r="B14915" t="str">
        <f t="shared" ref="B14915:B14922" si="5410">"LUIS"</f>
        <v>LUIS</v>
      </c>
      <c r="C14915" t="str">
        <f t="shared" si="5407"/>
        <v>ROWE</v>
      </c>
      <c r="D14915" t="str">
        <f t="shared" si="5408"/>
        <v>09</v>
      </c>
      <c r="E14915" t="str">
        <f>"04 - A - 101 - Jeanne M Bermudez"</f>
        <v>04 - A - 101 - Jeanne M Bermudez</v>
      </c>
      <c r="F14915" t="str">
        <f>"ADVANCED IT HON"</f>
        <v>ADVANCED IT HON</v>
      </c>
      <c r="G14915" t="str">
        <f>"21-2141"</f>
        <v>21-2141</v>
      </c>
      <c r="H14915" t="str">
        <f>"A"</f>
        <v>A</v>
      </c>
    </row>
    <row r="14916" spans="1:8" x14ac:dyDescent="0.2">
      <c r="A14916" t="str">
        <f t="shared" si="5409"/>
        <v>0616047186</v>
      </c>
      <c r="B14916" t="str">
        <f t="shared" si="5410"/>
        <v>LUIS</v>
      </c>
      <c r="C14916" t="str">
        <f t="shared" si="5407"/>
        <v>ROWE</v>
      </c>
      <c r="D14916" t="str">
        <f t="shared" si="5408"/>
        <v>09</v>
      </c>
      <c r="E14916" t="str">
        <f>"06 - B - 105 - Tina L Lovett"</f>
        <v>06 - B - 105 - Tina L Lovett</v>
      </c>
      <c r="F14916" t="str">
        <f>"FDN SKLS MATH 9-12"</f>
        <v>FDN SKLS MATH 9-12</v>
      </c>
      <c r="G14916" t="str">
        <f>"21-2153"</f>
        <v>21-2153</v>
      </c>
      <c r="H14916" t="str">
        <f>"B"</f>
        <v>B</v>
      </c>
    </row>
    <row r="14917" spans="1:8" x14ac:dyDescent="0.2">
      <c r="A14917" t="str">
        <f t="shared" si="5409"/>
        <v>0616047186</v>
      </c>
      <c r="B14917" t="str">
        <f t="shared" si="5410"/>
        <v>LUIS</v>
      </c>
      <c r="C14917" t="str">
        <f t="shared" si="5407"/>
        <v>ROWE</v>
      </c>
      <c r="D14917" t="str">
        <f t="shared" si="5408"/>
        <v>09</v>
      </c>
      <c r="E14917" t="str">
        <f>"03 - A - 105 - Elizabeth Ellen  Moran"</f>
        <v>03 - A - 105 - Elizabeth Ellen  Moran</v>
      </c>
      <c r="F14917" t="str">
        <f>"WORLD HISTORY"</f>
        <v>WORLD HISTORY</v>
      </c>
      <c r="G14917" t="str">
        <f>"17-1752"</f>
        <v>17-1752</v>
      </c>
      <c r="H14917" t="str">
        <f>"A"</f>
        <v>A</v>
      </c>
    </row>
    <row r="14918" spans="1:8" x14ac:dyDescent="0.2">
      <c r="A14918" t="str">
        <f t="shared" si="5409"/>
        <v>0616047186</v>
      </c>
      <c r="B14918" t="str">
        <f t="shared" si="5410"/>
        <v>LUIS</v>
      </c>
      <c r="C14918" t="str">
        <f t="shared" si="5407"/>
        <v>ROWE</v>
      </c>
      <c r="D14918" t="str">
        <f t="shared" si="5408"/>
        <v>09</v>
      </c>
      <c r="E14918" t="str">
        <f>"02 - A - 106 - Helen A Flores"</f>
        <v>02 - A - 106 - Helen A Flores</v>
      </c>
      <c r="F14918" t="str">
        <f>"NC STUDY HALL 1"</f>
        <v>NC STUDY HALL 1</v>
      </c>
      <c r="G14918" t="str">
        <f>"21-2101"</f>
        <v>21-2101</v>
      </c>
      <c r="H14918" t="str">
        <f>"A"</f>
        <v>A</v>
      </c>
    </row>
    <row r="14919" spans="1:8" x14ac:dyDescent="0.2">
      <c r="A14919" t="str">
        <f t="shared" si="5409"/>
        <v>0616047186</v>
      </c>
      <c r="B14919" t="str">
        <f t="shared" si="5410"/>
        <v>LUIS</v>
      </c>
      <c r="C14919" t="str">
        <f t="shared" si="5407"/>
        <v>ROWE</v>
      </c>
      <c r="D14919" t="str">
        <f t="shared" si="5408"/>
        <v>09</v>
      </c>
      <c r="E14919" t="str">
        <f>"07 - B - 107 - Cerine S Stewart"</f>
        <v>07 - B - 107 - Cerine S Stewart</v>
      </c>
      <c r="F14919" t="str">
        <f>"ENG 1"</f>
        <v>ENG 1</v>
      </c>
      <c r="G14919" t="str">
        <f>"17-1720"</f>
        <v>17-1720</v>
      </c>
      <c r="H14919" t="str">
        <f>"B"</f>
        <v>B</v>
      </c>
    </row>
    <row r="14920" spans="1:8" x14ac:dyDescent="0.2">
      <c r="A14920" t="str">
        <f t="shared" si="5409"/>
        <v>0616047186</v>
      </c>
      <c r="B14920" t="str">
        <f t="shared" si="5410"/>
        <v>LUIS</v>
      </c>
      <c r="C14920" t="str">
        <f t="shared" si="5407"/>
        <v>ROWE</v>
      </c>
      <c r="D14920" t="str">
        <f t="shared" si="5408"/>
        <v>09</v>
      </c>
      <c r="E14920" t="str">
        <f>"05 - S1 - B - 102 - Richard E Dunbar Iii"</f>
        <v>05 - S1 - B - 102 - Richard E Dunbar Iii</v>
      </c>
      <c r="F14920" t="str">
        <f>"TEAM SPORTS 1"</f>
        <v>TEAM SPORTS 1</v>
      </c>
      <c r="G14920" t="str">
        <f>"04-254"</f>
        <v>04-254</v>
      </c>
      <c r="H14920" t="str">
        <f>"B"</f>
        <v>B</v>
      </c>
    </row>
    <row r="14921" spans="1:8" x14ac:dyDescent="0.2">
      <c r="A14921" t="str">
        <f t="shared" si="5409"/>
        <v>0616047186</v>
      </c>
      <c r="B14921" t="str">
        <f t="shared" si="5410"/>
        <v>LUIS</v>
      </c>
      <c r="C14921" t="str">
        <f t="shared" si="5407"/>
        <v>ROWE</v>
      </c>
      <c r="D14921" t="str">
        <f t="shared" si="5408"/>
        <v>09</v>
      </c>
      <c r="E14921" t="str">
        <f>"01 - A - 101 - Tina L Lovett"</f>
        <v>01 - A - 101 - Tina L Lovett</v>
      </c>
      <c r="F14921" t="str">
        <f>"ALGEBRA 1"</f>
        <v>ALGEBRA 1</v>
      </c>
      <c r="G14921" t="str">
        <f>"21-2153"</f>
        <v>21-2153</v>
      </c>
      <c r="H14921" t="str">
        <f>"A"</f>
        <v>A</v>
      </c>
    </row>
    <row r="14922" spans="1:8" x14ac:dyDescent="0.2">
      <c r="A14922" t="str">
        <f t="shared" si="5409"/>
        <v>0616047186</v>
      </c>
      <c r="B14922" t="str">
        <f t="shared" si="5410"/>
        <v>LUIS</v>
      </c>
      <c r="C14922" t="str">
        <f t="shared" si="5407"/>
        <v>ROWE</v>
      </c>
      <c r="D14922" t="str">
        <f t="shared" si="5408"/>
        <v>09</v>
      </c>
      <c r="E14922" t="str">
        <f>"08 - B - 105 - Samantha J Headley"</f>
        <v>08 - B - 105 - Samantha J Headley</v>
      </c>
      <c r="F14922" t="str">
        <f>"ENV SCI"</f>
        <v>ENV SCI</v>
      </c>
      <c r="G14922" t="str">
        <f>"08-802"</f>
        <v>08-802</v>
      </c>
      <c r="H14922" t="str">
        <f>"B"</f>
        <v>B</v>
      </c>
    </row>
    <row r="14923" spans="1:8" x14ac:dyDescent="0.2">
      <c r="A14923" t="str">
        <f t="shared" ref="A14923:A14930" si="5411">"0614045886"</f>
        <v>0614045886</v>
      </c>
      <c r="B14923" t="str">
        <f t="shared" ref="B14923:B14930" si="5412">"ADRIANNA"</f>
        <v>ADRIANNA</v>
      </c>
      <c r="C14923" t="str">
        <f t="shared" ref="C14923:C14930" si="5413">"ROWEN"</f>
        <v>ROWEN</v>
      </c>
      <c r="D14923">
        <f>12</f>
        <v>12</v>
      </c>
      <c r="E14923" t="str">
        <f>"04 - A - 201 - Brian M Fitzgerald"</f>
        <v>04 - A - 201 - Brian M Fitzgerald</v>
      </c>
      <c r="F14923" t="str">
        <f>"AP 3-D ART &amp; DESIGN"</f>
        <v>AP 3-D ART &amp; DESIGN</v>
      </c>
      <c r="G14923" t="str">
        <f>"09-908"</f>
        <v>09-908</v>
      </c>
      <c r="H14923" t="str">
        <f>"A"</f>
        <v>A</v>
      </c>
    </row>
    <row r="14924" spans="1:8" x14ac:dyDescent="0.2">
      <c r="A14924" t="str">
        <f t="shared" si="5411"/>
        <v>0614045886</v>
      </c>
      <c r="B14924" t="str">
        <f t="shared" si="5412"/>
        <v>ADRIANNA</v>
      </c>
      <c r="C14924" t="str">
        <f t="shared" si="5413"/>
        <v>ROWEN</v>
      </c>
      <c r="D14924">
        <f>12</f>
        <v>12</v>
      </c>
      <c r="E14924" t="str">
        <f>"06 - B - 111 - James H Mccann"</f>
        <v>06 - B - 111 - James H Mccann</v>
      </c>
      <c r="F14924" t="str">
        <f>"NC STUDY HALL 1"</f>
        <v>NC STUDY HALL 1</v>
      </c>
      <c r="G14924" t="str">
        <f>"17-1716"</f>
        <v>17-1716</v>
      </c>
      <c r="H14924" t="str">
        <f>"B"</f>
        <v>B</v>
      </c>
    </row>
    <row r="14925" spans="1:8" x14ac:dyDescent="0.2">
      <c r="A14925" t="str">
        <f t="shared" si="5411"/>
        <v>0614045886</v>
      </c>
      <c r="B14925" t="str">
        <f t="shared" si="5412"/>
        <v>ADRIANNA</v>
      </c>
      <c r="C14925" t="str">
        <f t="shared" si="5413"/>
        <v>ROWEN</v>
      </c>
      <c r="D14925">
        <f>12</f>
        <v>12</v>
      </c>
      <c r="E14925" t="str">
        <f>"03 - A - 202 - Jeanne M Bermudez"</f>
        <v>03 - A - 202 - Jeanne M Bermudez</v>
      </c>
      <c r="F14925" t="str">
        <f>"PHYSICS 1 HON"</f>
        <v>PHYSICS 1 HON</v>
      </c>
      <c r="G14925" t="str">
        <f>"21-2141"</f>
        <v>21-2141</v>
      </c>
      <c r="H14925" t="str">
        <f>"A"</f>
        <v>A</v>
      </c>
    </row>
    <row r="14926" spans="1:8" x14ac:dyDescent="0.2">
      <c r="A14926" t="str">
        <f t="shared" si="5411"/>
        <v>0614045886</v>
      </c>
      <c r="B14926" t="str">
        <f t="shared" si="5412"/>
        <v>ADRIANNA</v>
      </c>
      <c r="C14926" t="str">
        <f t="shared" si="5413"/>
        <v>ROWEN</v>
      </c>
      <c r="D14926">
        <f>12</f>
        <v>12</v>
      </c>
      <c r="E14926" t="str">
        <f>"02 - A - 202 - Daniel S Tyson"</f>
        <v>02 - A - 202 - Daniel S Tyson</v>
      </c>
      <c r="F14926" t="str">
        <f>"JROTC NAVAL SCI 2"</f>
        <v>JROTC NAVAL SCI 2</v>
      </c>
      <c r="G14926" t="str">
        <f>"05-510"</f>
        <v>05-510</v>
      </c>
      <c r="H14926" t="str">
        <f>"A"</f>
        <v>A</v>
      </c>
    </row>
    <row r="14927" spans="1:8" x14ac:dyDescent="0.2">
      <c r="A14927" t="str">
        <f t="shared" si="5411"/>
        <v>0614045886</v>
      </c>
      <c r="B14927" t="str">
        <f t="shared" si="5412"/>
        <v>ADRIANNA</v>
      </c>
      <c r="C14927" t="str">
        <f t="shared" si="5413"/>
        <v>ROWEN</v>
      </c>
      <c r="D14927">
        <f>12</f>
        <v>12</v>
      </c>
      <c r="E14927" t="str">
        <f>"07 - S1 - B - 107 - Kelly N Panza"</f>
        <v>07 - S1 - B - 107 - Kelly N Panza</v>
      </c>
      <c r="F14927" t="str">
        <f>"US GOVT HON"</f>
        <v>US GOVT HON</v>
      </c>
      <c r="G14927" t="str">
        <f>"17-1753"</f>
        <v>17-1753</v>
      </c>
      <c r="H14927" t="str">
        <f>"B"</f>
        <v>B</v>
      </c>
    </row>
    <row r="14928" spans="1:8" x14ac:dyDescent="0.2">
      <c r="A14928" t="str">
        <f t="shared" si="5411"/>
        <v>0614045886</v>
      </c>
      <c r="B14928" t="str">
        <f t="shared" si="5412"/>
        <v>ADRIANNA</v>
      </c>
      <c r="C14928" t="str">
        <f t="shared" si="5413"/>
        <v>ROWEN</v>
      </c>
      <c r="D14928">
        <f>12</f>
        <v>12</v>
      </c>
      <c r="E14928" t="str">
        <f>"05 - B - 104 - Lourivaldo  Da Silva"</f>
        <v>05 - B - 104 - Lourivaldo  Da Silva</v>
      </c>
      <c r="F14928" t="str">
        <f>"PRE-CALCULUS HON"</f>
        <v>PRE-CALCULUS HON</v>
      </c>
      <c r="G14928" t="str">
        <f>"20-2079"</f>
        <v>20-2079</v>
      </c>
      <c r="H14928" t="str">
        <f>"B"</f>
        <v>B</v>
      </c>
    </row>
    <row r="14929" spans="1:8" x14ac:dyDescent="0.2">
      <c r="A14929" t="str">
        <f t="shared" si="5411"/>
        <v>0614045886</v>
      </c>
      <c r="B14929" t="str">
        <f t="shared" si="5412"/>
        <v>ADRIANNA</v>
      </c>
      <c r="C14929" t="str">
        <f t="shared" si="5413"/>
        <v>ROWEN</v>
      </c>
      <c r="D14929">
        <f>12</f>
        <v>12</v>
      </c>
      <c r="E14929" t="str">
        <f>"01 - S1 - A - 101 - Jordana K Hass"</f>
        <v>01 - S1 - A - 101 - Jordana K Hass</v>
      </c>
      <c r="F14929" t="str">
        <f>"PRIN OF AERO SCI"</f>
        <v>PRIN OF AERO SCI</v>
      </c>
      <c r="G14929" t="str">
        <f>"08-807"</f>
        <v>08-807</v>
      </c>
      <c r="H14929" t="str">
        <f>"A"</f>
        <v>A</v>
      </c>
    </row>
    <row r="14930" spans="1:8" x14ac:dyDescent="0.2">
      <c r="A14930" t="str">
        <f t="shared" si="5411"/>
        <v>0614045886</v>
      </c>
      <c r="B14930" t="str">
        <f t="shared" si="5412"/>
        <v>ADRIANNA</v>
      </c>
      <c r="C14930" t="str">
        <f t="shared" si="5413"/>
        <v>ROWEN</v>
      </c>
      <c r="D14930">
        <f>12</f>
        <v>12</v>
      </c>
      <c r="E14930" t="str">
        <f>"08 - B - 105 - Jeffrey S Gallagher"</f>
        <v>08 - B - 105 - Jeffrey S Gallagher</v>
      </c>
      <c r="F14930" t="str">
        <f>"ENG HON 4"</f>
        <v>ENG HON 4</v>
      </c>
      <c r="G14930" t="str">
        <f>"17-1724"</f>
        <v>17-1724</v>
      </c>
      <c r="H14930" t="str">
        <f>"B"</f>
        <v>B</v>
      </c>
    </row>
    <row r="14931" spans="1:8" x14ac:dyDescent="0.2">
      <c r="A14931" t="str">
        <f t="shared" ref="A14931:A14938" si="5414">"0611132039"</f>
        <v>0611132039</v>
      </c>
      <c r="B14931" t="str">
        <f t="shared" ref="B14931:B14938" si="5415">"ANDREW"</f>
        <v>ANDREW</v>
      </c>
      <c r="C14931" t="str">
        <f t="shared" ref="C14931:C14938" si="5416">"ROZMAN"</f>
        <v>ROZMAN</v>
      </c>
      <c r="D14931">
        <f>12</f>
        <v>12</v>
      </c>
      <c r="E14931" t="str">
        <f>"04 - A - 102 - Samantha J Headley"</f>
        <v>04 - A - 102 - Samantha J Headley</v>
      </c>
      <c r="F14931" t="str">
        <f>"MARINE SCI 1 HON"</f>
        <v>MARINE SCI 1 HON</v>
      </c>
      <c r="G14931" t="str">
        <f>"21-2134"</f>
        <v>21-2134</v>
      </c>
      <c r="H14931" t="str">
        <f>"A"</f>
        <v>A</v>
      </c>
    </row>
    <row r="14932" spans="1:8" x14ac:dyDescent="0.2">
      <c r="A14932" t="str">
        <f t="shared" si="5414"/>
        <v>0611132039</v>
      </c>
      <c r="B14932" t="str">
        <f t="shared" si="5415"/>
        <v>ANDREW</v>
      </c>
      <c r="C14932" t="str">
        <f t="shared" si="5416"/>
        <v>ROZMAN</v>
      </c>
      <c r="D14932">
        <f>12</f>
        <v>12</v>
      </c>
      <c r="E14932" t="str">
        <f>"06 - B - 109 - Carol S Moore"</f>
        <v>06 - B - 109 - Carol S Moore</v>
      </c>
      <c r="F14932" t="str">
        <f>"NC STUDY HALL 1"</f>
        <v>NC STUDY HALL 1</v>
      </c>
      <c r="G14932" t="str">
        <f>"17-1733"</f>
        <v>17-1733</v>
      </c>
      <c r="H14932" t="str">
        <f>"B"</f>
        <v>B</v>
      </c>
    </row>
    <row r="14933" spans="1:8" x14ac:dyDescent="0.2">
      <c r="A14933" t="str">
        <f t="shared" si="5414"/>
        <v>0611132039</v>
      </c>
      <c r="B14933" t="str">
        <f t="shared" si="5415"/>
        <v>ANDREW</v>
      </c>
      <c r="C14933" t="str">
        <f t="shared" si="5416"/>
        <v>ROZMAN</v>
      </c>
      <c r="D14933">
        <f>12</f>
        <v>12</v>
      </c>
      <c r="E14933" t="str">
        <f>"03 - A - 103 - Adam Marcus  Drucker"</f>
        <v>03 - A - 103 - Adam Marcus  Drucker</v>
      </c>
      <c r="F14933" t="str">
        <f>"HOPE-PE V"</f>
        <v>HOPE-PE V</v>
      </c>
      <c r="G14933" t="str">
        <f>"04-254"</f>
        <v>04-254</v>
      </c>
      <c r="H14933" t="str">
        <f>"A"</f>
        <v>A</v>
      </c>
    </row>
    <row r="14934" spans="1:8" x14ac:dyDescent="0.2">
      <c r="A14934" t="str">
        <f t="shared" si="5414"/>
        <v>0611132039</v>
      </c>
      <c r="B14934" t="str">
        <f t="shared" si="5415"/>
        <v>ANDREW</v>
      </c>
      <c r="C14934" t="str">
        <f t="shared" si="5416"/>
        <v>ROZMAN</v>
      </c>
      <c r="D14934">
        <f>12</f>
        <v>12</v>
      </c>
      <c r="E14934" t="str">
        <f>"02 - A - 102 - Chrystina M Marchionne"</f>
        <v>02 - A - 102 - Chrystina M Marchionne</v>
      </c>
      <c r="F14934" t="str">
        <f>"AICE MEDIASTUDIES AS"</f>
        <v>AICE MEDIASTUDIES AS</v>
      </c>
      <c r="G14934" t="str">
        <f>"05-520"</f>
        <v>05-520</v>
      </c>
      <c r="H14934" t="str">
        <f>"A"</f>
        <v>A</v>
      </c>
    </row>
    <row r="14935" spans="1:8" x14ac:dyDescent="0.2">
      <c r="A14935" t="str">
        <f t="shared" si="5414"/>
        <v>0611132039</v>
      </c>
      <c r="B14935" t="str">
        <f t="shared" si="5415"/>
        <v>ANDREW</v>
      </c>
      <c r="C14935" t="str">
        <f t="shared" si="5416"/>
        <v>ROZMAN</v>
      </c>
      <c r="D14935">
        <f>12</f>
        <v>12</v>
      </c>
      <c r="E14935" t="str">
        <f>"07 - B - 202 - Chrystina M Marchionne"</f>
        <v>07 - B - 202 - Chrystina M Marchionne</v>
      </c>
      <c r="F14935" t="str">
        <f>"JOURN 1 (YB) LH"</f>
        <v>JOURN 1 (YB) LH</v>
      </c>
      <c r="G14935" t="str">
        <f>"05-520"</f>
        <v>05-520</v>
      </c>
      <c r="H14935" t="str">
        <f>"B"</f>
        <v>B</v>
      </c>
    </row>
    <row r="14936" spans="1:8" x14ac:dyDescent="0.2">
      <c r="A14936" t="str">
        <f t="shared" si="5414"/>
        <v>0611132039</v>
      </c>
      <c r="B14936" t="str">
        <f t="shared" si="5415"/>
        <v>ANDREW</v>
      </c>
      <c r="C14936" t="str">
        <f t="shared" si="5416"/>
        <v>ROZMAN</v>
      </c>
      <c r="D14936">
        <f>12</f>
        <v>12</v>
      </c>
      <c r="E14936" t="str">
        <f>"05 - S1 - B - 102 - Robert O Burger"</f>
        <v>05 - S1 - B - 102 - Robert O Burger</v>
      </c>
      <c r="F14936" t="str">
        <f>"US GOVT"</f>
        <v>US GOVT</v>
      </c>
      <c r="G14936" t="str">
        <f>"17-1755"</f>
        <v>17-1755</v>
      </c>
      <c r="H14936" t="str">
        <f>"B"</f>
        <v>B</v>
      </c>
    </row>
    <row r="14937" spans="1:8" x14ac:dyDescent="0.2">
      <c r="A14937" t="str">
        <f t="shared" si="5414"/>
        <v>0611132039</v>
      </c>
      <c r="B14937" t="str">
        <f t="shared" si="5415"/>
        <v>ANDREW</v>
      </c>
      <c r="C14937" t="str">
        <f t="shared" si="5416"/>
        <v>ROZMAN</v>
      </c>
      <c r="D14937">
        <f>12</f>
        <v>12</v>
      </c>
      <c r="E14937" t="str">
        <f>"01 - A - 102 - Robert H Rindner"</f>
        <v>01 - A - 102 - Robert H Rindner</v>
      </c>
      <c r="F14937" t="str">
        <f>"MATH DATA&amp;FIN LIT H"</f>
        <v>MATH DATA&amp;FIN LIT H</v>
      </c>
      <c r="G14937" t="str">
        <f>"21-2160"</f>
        <v>21-2160</v>
      </c>
      <c r="H14937" t="str">
        <f>"A"</f>
        <v>A</v>
      </c>
    </row>
    <row r="14938" spans="1:8" x14ac:dyDescent="0.2">
      <c r="A14938" t="str">
        <f t="shared" si="5414"/>
        <v>0611132039</v>
      </c>
      <c r="B14938" t="str">
        <f t="shared" si="5415"/>
        <v>ANDREW</v>
      </c>
      <c r="C14938" t="str">
        <f t="shared" si="5416"/>
        <v>ROZMAN</v>
      </c>
      <c r="D14938">
        <f>12</f>
        <v>12</v>
      </c>
      <c r="E14938" t="str">
        <f>"08 - B - 105 - Brandy N Zdenek"</f>
        <v>08 - B - 105 - Brandy N Zdenek</v>
      </c>
      <c r="F14938" t="str">
        <f>"AICE ENG LANG 2 AL"</f>
        <v>AICE ENG LANG 2 AL</v>
      </c>
      <c r="G14938" t="str">
        <f>"17-1704"</f>
        <v>17-1704</v>
      </c>
      <c r="H14938" t="str">
        <f>"B"</f>
        <v>B</v>
      </c>
    </row>
    <row r="14939" spans="1:8" x14ac:dyDescent="0.2">
      <c r="A14939" t="str">
        <f t="shared" ref="A14939:A14947" si="5417">"0610065605"</f>
        <v>0610065605</v>
      </c>
      <c r="B14939" t="str">
        <f t="shared" ref="B14939:B14947" si="5418">"YANDEL"</f>
        <v>YANDEL</v>
      </c>
      <c r="C14939" t="str">
        <f t="shared" ref="C14939:C14947" si="5419">"RUBIO"</f>
        <v>RUBIO</v>
      </c>
      <c r="D14939">
        <f>12</f>
        <v>12</v>
      </c>
      <c r="E14939" t="str">
        <f>"04 - A - 101 - Staci M Newton"</f>
        <v>04 - A - 101 - Staci M Newton</v>
      </c>
      <c r="F14939" t="str">
        <f>"ACCESS HEALTH/SAFETY"</f>
        <v>ACCESS HEALTH/SAFETY</v>
      </c>
      <c r="G14939" t="str">
        <f>"21-2103"</f>
        <v>21-2103</v>
      </c>
      <c r="H14939" t="str">
        <f>"A"</f>
        <v>A</v>
      </c>
    </row>
    <row r="14940" spans="1:8" x14ac:dyDescent="0.2">
      <c r="A14940" t="str">
        <f t="shared" si="5417"/>
        <v>0610065605</v>
      </c>
      <c r="B14940" t="str">
        <f t="shared" si="5418"/>
        <v>YANDEL</v>
      </c>
      <c r="C14940" t="str">
        <f t="shared" si="5419"/>
        <v>RUBIO</v>
      </c>
      <c r="D14940">
        <f>12</f>
        <v>12</v>
      </c>
      <c r="E14940" t="str">
        <f>"06 - B - 101 - Justin D Willard"</f>
        <v>06 - B - 101 - Justin D Willard</v>
      </c>
      <c r="F14940" t="str">
        <f>"CAR EXERIENCES: 9-12"</f>
        <v>CAR EXERIENCES: 9-12</v>
      </c>
      <c r="G14940" t="str">
        <f>"21-2111"</f>
        <v>21-2111</v>
      </c>
      <c r="H14940" t="str">
        <f>"B"</f>
        <v>B</v>
      </c>
    </row>
    <row r="14941" spans="1:8" x14ac:dyDescent="0.2">
      <c r="A14941" t="str">
        <f t="shared" si="5417"/>
        <v>0610065605</v>
      </c>
      <c r="B14941" t="str">
        <f t="shared" si="5418"/>
        <v>YANDEL</v>
      </c>
      <c r="C14941" t="str">
        <f t="shared" si="5419"/>
        <v>RUBIO</v>
      </c>
      <c r="D14941">
        <f>12</f>
        <v>12</v>
      </c>
      <c r="E14941" t="str">
        <f>"03 - S1 - A - 101 - Staci M Newton"</f>
        <v>03 - S1 - A - 101 - Staci M Newton</v>
      </c>
      <c r="F14941" t="str">
        <f>"ACCESS ECON FIN LIT"</f>
        <v>ACCESS ECON FIN LIT</v>
      </c>
      <c r="G14941" t="str">
        <f>"21-2103"</f>
        <v>21-2103</v>
      </c>
      <c r="H14941" t="str">
        <f>"A"</f>
        <v>A</v>
      </c>
    </row>
    <row r="14942" spans="1:8" x14ac:dyDescent="0.2">
      <c r="A14942" t="str">
        <f t="shared" si="5417"/>
        <v>0610065605</v>
      </c>
      <c r="B14942" t="str">
        <f t="shared" si="5418"/>
        <v>YANDEL</v>
      </c>
      <c r="C14942" t="str">
        <f t="shared" si="5419"/>
        <v>RUBIO</v>
      </c>
      <c r="D14942">
        <f>12</f>
        <v>12</v>
      </c>
      <c r="E14942" t="str">
        <f>"02 - A - 101 - Staci M Newton"</f>
        <v>02 - A - 101 - Staci M Newton</v>
      </c>
      <c r="F14942" t="str">
        <f>"ACCESS LIB ARTS MATH"</f>
        <v>ACCESS LIB ARTS MATH</v>
      </c>
      <c r="G14942" t="str">
        <f>"21-2103"</f>
        <v>21-2103</v>
      </c>
      <c r="H14942" t="str">
        <f>"A"</f>
        <v>A</v>
      </c>
    </row>
    <row r="14943" spans="1:8" x14ac:dyDescent="0.2">
      <c r="A14943" t="str">
        <f t="shared" si="5417"/>
        <v>0610065605</v>
      </c>
      <c r="B14943" t="str">
        <f t="shared" si="5418"/>
        <v>YANDEL</v>
      </c>
      <c r="C14943" t="str">
        <f t="shared" si="5419"/>
        <v>RUBIO</v>
      </c>
      <c r="D14943">
        <f>12</f>
        <v>12</v>
      </c>
      <c r="E14943" t="str">
        <f>"07 - B - 101 - Justin D Willard"</f>
        <v>07 - B - 101 - Justin D Willard</v>
      </c>
      <c r="F14943" t="str">
        <f>"CAR PLACEMENT: 9-12"</f>
        <v>CAR PLACEMENT: 9-12</v>
      </c>
      <c r="G14943" t="str">
        <f>"21-2111"</f>
        <v>21-2111</v>
      </c>
      <c r="H14943" t="str">
        <f>"B"</f>
        <v>B</v>
      </c>
    </row>
    <row r="14944" spans="1:8" x14ac:dyDescent="0.2">
      <c r="A14944" t="str">
        <f t="shared" si="5417"/>
        <v>0610065605</v>
      </c>
      <c r="B14944" t="str">
        <f t="shared" si="5418"/>
        <v>YANDEL</v>
      </c>
      <c r="C14944" t="str">
        <f t="shared" si="5419"/>
        <v>RUBIO</v>
      </c>
      <c r="D14944">
        <f>12</f>
        <v>12</v>
      </c>
      <c r="E14944" t="str">
        <f>"05 - B - 103 - Justin D Willard"</f>
        <v>05 - B - 103 - Justin D Willard</v>
      </c>
      <c r="F14944" t="str">
        <f>"U SKLS: 9-12"</f>
        <v>U SKLS: 9-12</v>
      </c>
      <c r="G14944" t="str">
        <f>"21-2111"</f>
        <v>21-2111</v>
      </c>
      <c r="H14944" t="str">
        <f>"B"</f>
        <v>B</v>
      </c>
    </row>
    <row r="14945" spans="1:8" x14ac:dyDescent="0.2">
      <c r="A14945" t="str">
        <f t="shared" si="5417"/>
        <v>0610065605</v>
      </c>
      <c r="B14945" t="str">
        <f t="shared" si="5418"/>
        <v>YANDEL</v>
      </c>
      <c r="C14945" t="str">
        <f t="shared" si="5419"/>
        <v>RUBIO</v>
      </c>
      <c r="D14945">
        <f>12</f>
        <v>12</v>
      </c>
      <c r="E14945" t="str">
        <f>"01 - A - 101 - Staci M Newton"</f>
        <v>01 - A - 101 - Staci M Newton</v>
      </c>
      <c r="F14945" t="str">
        <f>"ACCESS ENGLISH 4"</f>
        <v>ACCESS ENGLISH 4</v>
      </c>
      <c r="G14945" t="str">
        <f>"21-2103"</f>
        <v>21-2103</v>
      </c>
      <c r="H14945" t="str">
        <f>"A"</f>
        <v>A</v>
      </c>
    </row>
    <row r="14946" spans="1:8" x14ac:dyDescent="0.2">
      <c r="A14946" t="str">
        <f t="shared" si="5417"/>
        <v>0610065605</v>
      </c>
      <c r="B14946" t="str">
        <f t="shared" si="5418"/>
        <v>YANDEL</v>
      </c>
      <c r="C14946" t="str">
        <f t="shared" si="5419"/>
        <v>RUBIO</v>
      </c>
      <c r="D14946">
        <f>12</f>
        <v>12</v>
      </c>
      <c r="E14946" t="str">
        <f>"01 - A - 101 - Eric  Lopapa"</f>
        <v>01 - A - 101 - Eric  Lopapa</v>
      </c>
      <c r="F14946" t="str">
        <f>"LANG THERAPY"</f>
        <v>LANG THERAPY</v>
      </c>
      <c r="G14946" t="str">
        <f>"21-2110"</f>
        <v>21-2110</v>
      </c>
      <c r="H14946" t="str">
        <f>"A"</f>
        <v>A</v>
      </c>
    </row>
    <row r="14947" spans="1:8" x14ac:dyDescent="0.2">
      <c r="A14947" t="str">
        <f t="shared" si="5417"/>
        <v>0610065605</v>
      </c>
      <c r="B14947" t="str">
        <f t="shared" si="5418"/>
        <v>YANDEL</v>
      </c>
      <c r="C14947" t="str">
        <f t="shared" si="5419"/>
        <v>RUBIO</v>
      </c>
      <c r="D14947">
        <f>12</f>
        <v>12</v>
      </c>
      <c r="E14947" t="str">
        <f>"08 - B - 101 - Justin D Willard"</f>
        <v>08 - B - 101 - Justin D Willard</v>
      </c>
      <c r="F14947" t="str">
        <f>"U SKLS: SOC&amp;EMO 9-12"</f>
        <v>U SKLS: SOC&amp;EMO 9-12</v>
      </c>
      <c r="G14947" t="str">
        <f>"21-2111"</f>
        <v>21-2111</v>
      </c>
      <c r="H14947" t="str">
        <f>"B"</f>
        <v>B</v>
      </c>
    </row>
    <row r="14948" spans="1:8" x14ac:dyDescent="0.2">
      <c r="A14948" t="str">
        <f t="shared" ref="A14948:A14955" si="5420">"0616108573"</f>
        <v>0616108573</v>
      </c>
      <c r="B14948" t="str">
        <f t="shared" ref="B14948:B14955" si="5421">"EYLIN"</f>
        <v>EYLIN</v>
      </c>
      <c r="C14948" t="str">
        <f t="shared" ref="C14948:C14955" si="5422">"RUBIO GRANADOS"</f>
        <v>RUBIO GRANADOS</v>
      </c>
      <c r="D14948">
        <f>10</f>
        <v>10</v>
      </c>
      <c r="E14948" t="str">
        <f>"04 - S1 - A - 103 - James H Mccann"</f>
        <v>04 - S1 - A - 103 - James H Mccann</v>
      </c>
      <c r="F14948" t="str">
        <f>"PERS FIN &amp; MON MGT H"</f>
        <v>PERS FIN &amp; MON MGT H</v>
      </c>
      <c r="G14948" t="str">
        <f>"17-1716"</f>
        <v>17-1716</v>
      </c>
      <c r="H14948" t="str">
        <f>"A"</f>
        <v>A</v>
      </c>
    </row>
    <row r="14949" spans="1:8" x14ac:dyDescent="0.2">
      <c r="A14949" t="str">
        <f t="shared" si="5420"/>
        <v>0616108573</v>
      </c>
      <c r="B14949" t="str">
        <f t="shared" si="5421"/>
        <v>EYLIN</v>
      </c>
      <c r="C14949" t="str">
        <f t="shared" si="5422"/>
        <v>RUBIO GRANADOS</v>
      </c>
      <c r="D14949">
        <f>10</f>
        <v>10</v>
      </c>
      <c r="E14949" t="str">
        <f>"06 - B - 119 - Nikiel  Nesbeth"</f>
        <v>06 - B - 119 - Nikiel  Nesbeth</v>
      </c>
      <c r="F14949" t="str">
        <f>"NC STUDY HALL 1"</f>
        <v>NC STUDY HALL 1</v>
      </c>
      <c r="G14949" t="str">
        <f>"17-1705"</f>
        <v>17-1705</v>
      </c>
      <c r="H14949" t="str">
        <f>"B"</f>
        <v>B</v>
      </c>
    </row>
    <row r="14950" spans="1:8" x14ac:dyDescent="0.2">
      <c r="A14950" t="str">
        <f t="shared" si="5420"/>
        <v>0616108573</v>
      </c>
      <c r="B14950" t="str">
        <f t="shared" si="5421"/>
        <v>EYLIN</v>
      </c>
      <c r="C14950" t="str">
        <f t="shared" si="5422"/>
        <v>RUBIO GRANADOS</v>
      </c>
      <c r="D14950">
        <f>10</f>
        <v>10</v>
      </c>
      <c r="E14950" t="str">
        <f>"03 - A - 101 - Timothy J Lawrence"</f>
        <v>03 - A - 101 - Timothy J Lawrence</v>
      </c>
      <c r="F14950" t="str">
        <f>"AICE PHYS ED 1 AS"</f>
        <v>AICE PHYS ED 1 AS</v>
      </c>
      <c r="G14950" t="str">
        <f>"05-519"</f>
        <v>05-519</v>
      </c>
      <c r="H14950" t="str">
        <f>"A"</f>
        <v>A</v>
      </c>
    </row>
    <row r="14951" spans="1:8" x14ac:dyDescent="0.2">
      <c r="A14951" t="str">
        <f t="shared" si="5420"/>
        <v>0616108573</v>
      </c>
      <c r="B14951" t="str">
        <f t="shared" si="5421"/>
        <v>EYLIN</v>
      </c>
      <c r="C14951" t="str">
        <f t="shared" si="5422"/>
        <v>RUBIO GRANADOS</v>
      </c>
      <c r="D14951">
        <f>10</f>
        <v>10</v>
      </c>
      <c r="E14951" t="str">
        <f>"02 - A - 102 - Jacklyn M James"</f>
        <v>02 - A - 102 - Jacklyn M James</v>
      </c>
      <c r="F14951" t="str">
        <f>"AICE ENG LANG AS"</f>
        <v>AICE ENG LANG AS</v>
      </c>
      <c r="G14951" t="str">
        <f>"17-1731"</f>
        <v>17-1731</v>
      </c>
      <c r="H14951" t="str">
        <f>"A"</f>
        <v>A</v>
      </c>
    </row>
    <row r="14952" spans="1:8" x14ac:dyDescent="0.2">
      <c r="A14952" t="str">
        <f t="shared" si="5420"/>
        <v>0616108573</v>
      </c>
      <c r="B14952" t="str">
        <f t="shared" si="5421"/>
        <v>EYLIN</v>
      </c>
      <c r="C14952" t="str">
        <f t="shared" si="5422"/>
        <v>RUBIO GRANADOS</v>
      </c>
      <c r="D14952">
        <f>10</f>
        <v>10</v>
      </c>
      <c r="E14952" t="str">
        <f>"07 - B - 204 - Elizabeth Ellen  Moran"</f>
        <v>07 - B - 204 - Elizabeth Ellen  Moran</v>
      </c>
      <c r="F14952" t="str">
        <f>"AICE EURO HIST 1 AS"</f>
        <v>AICE EURO HIST 1 AS</v>
      </c>
      <c r="G14952" t="str">
        <f>"17-1752"</f>
        <v>17-1752</v>
      </c>
      <c r="H14952" t="str">
        <f>"B"</f>
        <v>B</v>
      </c>
    </row>
    <row r="14953" spans="1:8" x14ac:dyDescent="0.2">
      <c r="A14953" t="str">
        <f t="shared" si="5420"/>
        <v>0616108573</v>
      </c>
      <c r="B14953" t="str">
        <f t="shared" si="5421"/>
        <v>EYLIN</v>
      </c>
      <c r="C14953" t="str">
        <f t="shared" si="5422"/>
        <v>RUBIO GRANADOS</v>
      </c>
      <c r="D14953">
        <f>10</f>
        <v>10</v>
      </c>
      <c r="E14953" t="str">
        <f>"05 - B - 103 - Vanessa J Liburd"</f>
        <v>05 - B - 103 - Vanessa J Liburd</v>
      </c>
      <c r="F14953" t="str">
        <f>"PRE-AICE FRENCH 2 IG"</f>
        <v>PRE-AICE FRENCH 2 IG</v>
      </c>
      <c r="G14953" t="str">
        <f>"05-519"</f>
        <v>05-519</v>
      </c>
      <c r="H14953" t="str">
        <f>"B"</f>
        <v>B</v>
      </c>
    </row>
    <row r="14954" spans="1:8" x14ac:dyDescent="0.2">
      <c r="A14954" t="str">
        <f t="shared" si="5420"/>
        <v>0616108573</v>
      </c>
      <c r="B14954" t="str">
        <f t="shared" si="5421"/>
        <v>EYLIN</v>
      </c>
      <c r="C14954" t="str">
        <f t="shared" si="5422"/>
        <v>RUBIO GRANADOS</v>
      </c>
      <c r="D14954">
        <f>10</f>
        <v>10</v>
      </c>
      <c r="E14954" t="str">
        <f>"01 - A - 001 - Dorothy D Moore"</f>
        <v>01 - A - 001 - Dorothy D Moore</v>
      </c>
      <c r="F14954" t="str">
        <f>"ANAT PHYSIO HON"</f>
        <v>ANAT PHYSIO HON</v>
      </c>
      <c r="G14954" t="str">
        <f>"08-803"</f>
        <v>08-803</v>
      </c>
      <c r="H14954" t="str">
        <f>"A"</f>
        <v>A</v>
      </c>
    </row>
    <row r="14955" spans="1:8" x14ac:dyDescent="0.2">
      <c r="A14955" t="str">
        <f t="shared" si="5420"/>
        <v>0616108573</v>
      </c>
      <c r="B14955" t="str">
        <f t="shared" si="5421"/>
        <v>EYLIN</v>
      </c>
      <c r="C14955" t="str">
        <f t="shared" si="5422"/>
        <v>RUBIO GRANADOS</v>
      </c>
      <c r="D14955">
        <f>10</f>
        <v>10</v>
      </c>
      <c r="E14955" t="str">
        <f>"08 - B - 107 - Dayna M Foster"</f>
        <v>08 - B - 107 - Dayna M Foster</v>
      </c>
      <c r="F14955" t="str">
        <f>"ALGEBRA 2"</f>
        <v>ALGEBRA 2</v>
      </c>
      <c r="G14955" t="str">
        <f>"21-2109"</f>
        <v>21-2109</v>
      </c>
      <c r="H14955" t="str">
        <f>"B"</f>
        <v>B</v>
      </c>
    </row>
    <row r="14956" spans="1:8" x14ac:dyDescent="0.2">
      <c r="A14956" t="str">
        <f t="shared" ref="A14956:A14963" si="5423">"0625021483"</f>
        <v>0625021483</v>
      </c>
      <c r="B14956" t="str">
        <f t="shared" ref="B14956:B14963" si="5424">"Jackson"</f>
        <v>Jackson</v>
      </c>
      <c r="C14956" t="str">
        <f t="shared" ref="C14956:C14963" si="5425">"Rudis"</f>
        <v>Rudis</v>
      </c>
      <c r="D14956">
        <f>12</f>
        <v>12</v>
      </c>
      <c r="E14956" t="str">
        <f>"04 - A - 205 - Jacqueline R Morphet"</f>
        <v>04 - A - 205 - Jacqueline R Morphet</v>
      </c>
      <c r="F14956" t="str">
        <f>"PHYSICS 1 HON"</f>
        <v>PHYSICS 1 HON</v>
      </c>
      <c r="G14956" t="str">
        <f>"21-2138"</f>
        <v>21-2138</v>
      </c>
      <c r="H14956" t="str">
        <f>"A"</f>
        <v>A</v>
      </c>
    </row>
    <row r="14957" spans="1:8" x14ac:dyDescent="0.2">
      <c r="A14957" t="str">
        <f t="shared" si="5423"/>
        <v>0625021483</v>
      </c>
      <c r="B14957" t="str">
        <f t="shared" si="5424"/>
        <v>Jackson</v>
      </c>
      <c r="C14957" t="str">
        <f t="shared" si="5425"/>
        <v>Rudis</v>
      </c>
      <c r="D14957">
        <f>12</f>
        <v>12</v>
      </c>
      <c r="E14957" t="str">
        <f>"06 - B - 105 - Robyn L Trainer"</f>
        <v>06 - B - 105 - Robyn L Trainer</v>
      </c>
      <c r="F14957" t="str">
        <f>"NC STUDY HALL 1"</f>
        <v>NC STUDY HALL 1</v>
      </c>
      <c r="G14957" t="str">
        <f>"17-1734"</f>
        <v>17-1734</v>
      </c>
      <c r="H14957" t="str">
        <f>"B"</f>
        <v>B</v>
      </c>
    </row>
    <row r="14958" spans="1:8" x14ac:dyDescent="0.2">
      <c r="A14958" t="str">
        <f t="shared" si="5423"/>
        <v>0625021483</v>
      </c>
      <c r="B14958" t="str">
        <f t="shared" si="5424"/>
        <v>Jackson</v>
      </c>
      <c r="C14958" t="str">
        <f t="shared" si="5425"/>
        <v>Rudis</v>
      </c>
      <c r="D14958">
        <f>12</f>
        <v>12</v>
      </c>
      <c r="E14958" t="str">
        <f>"03 - A - 203 - Stefanie S Scher"</f>
        <v>03 - A - 203 - Stefanie S Scher</v>
      </c>
      <c r="F14958" t="str">
        <f>"AP PSYCH"</f>
        <v>AP PSYCH</v>
      </c>
      <c r="G14958" t="str">
        <f>"17-1735"</f>
        <v>17-1735</v>
      </c>
      <c r="H14958" t="str">
        <f>"A"</f>
        <v>A</v>
      </c>
    </row>
    <row r="14959" spans="1:8" x14ac:dyDescent="0.2">
      <c r="A14959" t="str">
        <f t="shared" si="5423"/>
        <v>0625021483</v>
      </c>
      <c r="B14959" t="str">
        <f t="shared" si="5424"/>
        <v>Jackson</v>
      </c>
      <c r="C14959" t="str">
        <f t="shared" si="5425"/>
        <v>Rudis</v>
      </c>
      <c r="D14959">
        <f>12</f>
        <v>12</v>
      </c>
      <c r="E14959" t="str">
        <f>"02 - A - 101 - Brian M Fitzgerald"</f>
        <v>02 - A - 101 - Brian M Fitzgerald</v>
      </c>
      <c r="F14959" t="str">
        <f>"DRAW 1"</f>
        <v>DRAW 1</v>
      </c>
      <c r="G14959" t="str">
        <f>"09-908"</f>
        <v>09-908</v>
      </c>
      <c r="H14959" t="str">
        <f>"A"</f>
        <v>A</v>
      </c>
    </row>
    <row r="14960" spans="1:8" x14ac:dyDescent="0.2">
      <c r="A14960" t="str">
        <f t="shared" si="5423"/>
        <v>0625021483</v>
      </c>
      <c r="B14960" t="str">
        <f t="shared" si="5424"/>
        <v>Jackson</v>
      </c>
      <c r="C14960" t="str">
        <f t="shared" si="5425"/>
        <v>Rudis</v>
      </c>
      <c r="D14960">
        <f>12</f>
        <v>12</v>
      </c>
      <c r="E14960" t="str">
        <f>"07 - S1 - B - 107 - Kelly N Panza"</f>
        <v>07 - S1 - B - 107 - Kelly N Panza</v>
      </c>
      <c r="F14960" t="str">
        <f>"US GOVT HON"</f>
        <v>US GOVT HON</v>
      </c>
      <c r="G14960" t="str">
        <f>"17-1753"</f>
        <v>17-1753</v>
      </c>
      <c r="H14960" t="str">
        <f>"B"</f>
        <v>B</v>
      </c>
    </row>
    <row r="14961" spans="1:8" x14ac:dyDescent="0.2">
      <c r="A14961" t="str">
        <f t="shared" si="5423"/>
        <v>0625021483</v>
      </c>
      <c r="B14961" t="str">
        <f t="shared" si="5424"/>
        <v>Jackson</v>
      </c>
      <c r="C14961" t="str">
        <f t="shared" si="5425"/>
        <v>Rudis</v>
      </c>
      <c r="D14961">
        <f>12</f>
        <v>12</v>
      </c>
      <c r="E14961" t="str">
        <f>"05 - B - 104 - Lourivaldo  Da Silva"</f>
        <v>05 - B - 104 - Lourivaldo  Da Silva</v>
      </c>
      <c r="F14961" t="str">
        <f>"PRE-CALCULUS HON"</f>
        <v>PRE-CALCULUS HON</v>
      </c>
      <c r="G14961" t="str">
        <f>"20-2079"</f>
        <v>20-2079</v>
      </c>
      <c r="H14961" t="str">
        <f>"B"</f>
        <v>B</v>
      </c>
    </row>
    <row r="14962" spans="1:8" x14ac:dyDescent="0.2">
      <c r="A14962" t="str">
        <f t="shared" si="5423"/>
        <v>0625021483</v>
      </c>
      <c r="B14962" t="str">
        <f t="shared" si="5424"/>
        <v>Jackson</v>
      </c>
      <c r="C14962" t="str">
        <f t="shared" si="5425"/>
        <v>Rudis</v>
      </c>
      <c r="D14962">
        <f>12</f>
        <v>12</v>
      </c>
      <c r="E14962" t="str">
        <f>"01 - S1 - A - 101 - Jordana K Hass"</f>
        <v>01 - S1 - A - 101 - Jordana K Hass</v>
      </c>
      <c r="F14962" t="str">
        <f>"PRIN OF AERO SCI"</f>
        <v>PRIN OF AERO SCI</v>
      </c>
      <c r="G14962" t="str">
        <f>"08-807"</f>
        <v>08-807</v>
      </c>
      <c r="H14962" t="str">
        <f>"A"</f>
        <v>A</v>
      </c>
    </row>
    <row r="14963" spans="1:8" x14ac:dyDescent="0.2">
      <c r="A14963" t="str">
        <f t="shared" si="5423"/>
        <v>0625021483</v>
      </c>
      <c r="B14963" t="str">
        <f t="shared" si="5424"/>
        <v>Jackson</v>
      </c>
      <c r="C14963" t="str">
        <f t="shared" si="5425"/>
        <v>Rudis</v>
      </c>
      <c r="D14963">
        <f>12</f>
        <v>12</v>
      </c>
      <c r="E14963" t="str">
        <f>"08 - B - 105 - Jeffrey S Gallagher"</f>
        <v>08 - B - 105 - Jeffrey S Gallagher</v>
      </c>
      <c r="F14963" t="str">
        <f>"ENG HON 4"</f>
        <v>ENG HON 4</v>
      </c>
      <c r="G14963" t="str">
        <f>"17-1724"</f>
        <v>17-1724</v>
      </c>
      <c r="H14963" t="str">
        <f>"B"</f>
        <v>B</v>
      </c>
    </row>
    <row r="14964" spans="1:8" x14ac:dyDescent="0.2">
      <c r="A14964" t="str">
        <f t="shared" ref="A14964:A14971" si="5426">"0623098482"</f>
        <v>0623098482</v>
      </c>
      <c r="B14964" t="str">
        <f t="shared" ref="B14964:B14971" si="5427">"MARIA"</f>
        <v>MARIA</v>
      </c>
      <c r="C14964" t="str">
        <f t="shared" ref="C14964:C14971" si="5428">"RUIZ-VILLARREAL"</f>
        <v>RUIZ-VILLARREAL</v>
      </c>
      <c r="D14964" t="str">
        <f t="shared" ref="D14964:D14971" si="5429">"09"</f>
        <v>09</v>
      </c>
      <c r="E14964" t="str">
        <f>"04 - A - 102 - Josiah I Lacy"</f>
        <v>04 - A - 102 - Josiah I Lacy</v>
      </c>
      <c r="F14964" t="str">
        <f>"PRE-AICE BIO IG"</f>
        <v>PRE-AICE BIO IG</v>
      </c>
      <c r="G14964" t="str">
        <f>"08-801"</f>
        <v>08-801</v>
      </c>
      <c r="H14964" t="str">
        <f>"A"</f>
        <v>A</v>
      </c>
    </row>
    <row r="14965" spans="1:8" x14ac:dyDescent="0.2">
      <c r="A14965" t="str">
        <f t="shared" si="5426"/>
        <v>0623098482</v>
      </c>
      <c r="B14965" t="str">
        <f t="shared" si="5427"/>
        <v>MARIA</v>
      </c>
      <c r="C14965" t="str">
        <f t="shared" si="5428"/>
        <v>RUIZ-VILLARREAL</v>
      </c>
      <c r="D14965" t="str">
        <f t="shared" si="5429"/>
        <v>09</v>
      </c>
      <c r="E14965" t="str">
        <f>"06 - B - 110 - Krystal Marie  Beruty"</f>
        <v>06 - B - 110 - Krystal Marie  Beruty</v>
      </c>
      <c r="F14965" t="str">
        <f>"AICE GLBL PERSP 1 AS"</f>
        <v>AICE GLBL PERSP 1 AS</v>
      </c>
      <c r="G14965" t="str">
        <f>"17-1721"</f>
        <v>17-1721</v>
      </c>
      <c r="H14965" t="str">
        <f>"B"</f>
        <v>B</v>
      </c>
    </row>
    <row r="14966" spans="1:8" x14ac:dyDescent="0.2">
      <c r="A14966" t="str">
        <f t="shared" si="5426"/>
        <v>0623098482</v>
      </c>
      <c r="B14966" t="str">
        <f t="shared" si="5427"/>
        <v>MARIA</v>
      </c>
      <c r="C14966" t="str">
        <f t="shared" si="5428"/>
        <v>RUIZ-VILLARREAL</v>
      </c>
      <c r="D14966" t="str">
        <f t="shared" si="5429"/>
        <v>09</v>
      </c>
      <c r="E14966" t="str">
        <f>"03 - A - 005 - Cerine S Stewart"</f>
        <v>03 - A - 005 - Cerine S Stewart</v>
      </c>
      <c r="F14966" t="str">
        <f>"AICE ENG GEN PAPER 1"</f>
        <v>AICE ENG GEN PAPER 1</v>
      </c>
      <c r="G14966" t="str">
        <f>"17-1720"</f>
        <v>17-1720</v>
      </c>
      <c r="H14966" t="str">
        <f>"A"</f>
        <v>A</v>
      </c>
    </row>
    <row r="14967" spans="1:8" x14ac:dyDescent="0.2">
      <c r="A14967" t="str">
        <f t="shared" si="5426"/>
        <v>0623098482</v>
      </c>
      <c r="B14967" t="str">
        <f t="shared" si="5427"/>
        <v>MARIA</v>
      </c>
      <c r="C14967" t="str">
        <f t="shared" si="5428"/>
        <v>RUIZ-VILLARREAL</v>
      </c>
      <c r="D14967" t="str">
        <f t="shared" si="5429"/>
        <v>09</v>
      </c>
      <c r="E14967" t="str">
        <f>"02 - A - 101 - Josiah I Lacy"</f>
        <v>02 - A - 101 - Josiah I Lacy</v>
      </c>
      <c r="F14967" t="str">
        <f>"NC STUDY HALL 1"</f>
        <v>NC STUDY HALL 1</v>
      </c>
      <c r="G14967" t="str">
        <f>"08-801"</f>
        <v>08-801</v>
      </c>
      <c r="H14967" t="str">
        <f>"A"</f>
        <v>A</v>
      </c>
    </row>
    <row r="14968" spans="1:8" x14ac:dyDescent="0.2">
      <c r="A14968" t="str">
        <f t="shared" si="5426"/>
        <v>0623098482</v>
      </c>
      <c r="B14968" t="str">
        <f t="shared" si="5427"/>
        <v>MARIA</v>
      </c>
      <c r="C14968" t="str">
        <f t="shared" si="5428"/>
        <v>RUIZ-VILLARREAL</v>
      </c>
      <c r="D14968" t="str">
        <f t="shared" si="5429"/>
        <v>09</v>
      </c>
      <c r="E14968" t="str">
        <f>"07 - B - 105 - Byron G Montenegro"</f>
        <v>07 - B - 105 - Byron G Montenegro</v>
      </c>
      <c r="F14968" t="str">
        <f>"AICE MARINE SCI 1 AS"</f>
        <v>AICE MARINE SCI 1 AS</v>
      </c>
      <c r="G14968" t="str">
        <f>"21-2144"</f>
        <v>21-2144</v>
      </c>
      <c r="H14968" t="str">
        <f>"B"</f>
        <v>B</v>
      </c>
    </row>
    <row r="14969" spans="1:8" x14ac:dyDescent="0.2">
      <c r="A14969" t="str">
        <f t="shared" si="5426"/>
        <v>0623098482</v>
      </c>
      <c r="B14969" t="str">
        <f t="shared" si="5427"/>
        <v>MARIA</v>
      </c>
      <c r="C14969" t="str">
        <f t="shared" si="5428"/>
        <v>RUIZ-VILLARREAL</v>
      </c>
      <c r="D14969" t="str">
        <f t="shared" si="5429"/>
        <v>09</v>
      </c>
      <c r="E14969" t="str">
        <f>"05 - B - 104 - Joe  Kilpatrick Jr"</f>
        <v>05 - B - 104 - Joe  Kilpatrick Jr</v>
      </c>
      <c r="F14969" t="str">
        <f>"PRE-AICE SPAN 1 IG"</f>
        <v>PRE-AICE SPAN 1 IG</v>
      </c>
      <c r="G14969" t="str">
        <f>"09-912"</f>
        <v>09-912</v>
      </c>
      <c r="H14969" t="str">
        <f>"B"</f>
        <v>B</v>
      </c>
    </row>
    <row r="14970" spans="1:8" x14ac:dyDescent="0.2">
      <c r="A14970" t="str">
        <f t="shared" si="5426"/>
        <v>0623098482</v>
      </c>
      <c r="B14970" t="str">
        <f t="shared" si="5427"/>
        <v>MARIA</v>
      </c>
      <c r="C14970" t="str">
        <f t="shared" si="5428"/>
        <v>RUIZ-VILLARREAL</v>
      </c>
      <c r="D14970" t="str">
        <f t="shared" si="5429"/>
        <v>09</v>
      </c>
      <c r="E14970" t="str">
        <f>"01 - A - 102 - Brook E Goren"</f>
        <v>01 - A - 102 - Brook E Goren</v>
      </c>
      <c r="F14970" t="str">
        <f>"PRE-AICE MATH 2 IG"</f>
        <v>PRE-AICE MATH 2 IG</v>
      </c>
      <c r="G14970" t="str">
        <f>"21-2158"</f>
        <v>21-2158</v>
      </c>
      <c r="H14970" t="str">
        <f>"A"</f>
        <v>A</v>
      </c>
    </row>
    <row r="14971" spans="1:8" x14ac:dyDescent="0.2">
      <c r="A14971" t="str">
        <f t="shared" si="5426"/>
        <v>0623098482</v>
      </c>
      <c r="B14971" t="str">
        <f t="shared" si="5427"/>
        <v>MARIA</v>
      </c>
      <c r="C14971" t="str">
        <f t="shared" si="5428"/>
        <v>RUIZ-VILLARREAL</v>
      </c>
      <c r="D14971" t="str">
        <f t="shared" si="5429"/>
        <v>09</v>
      </c>
      <c r="E14971" t="str">
        <f>"08 - B - 105 - Daniel S Tyson"</f>
        <v>08 - B - 105 - Daniel S Tyson</v>
      </c>
      <c r="F14971" t="str">
        <f>"JROTC NAVAL SCI 1"</f>
        <v>JROTC NAVAL SCI 1</v>
      </c>
      <c r="G14971" t="str">
        <f>"05-510"</f>
        <v>05-510</v>
      </c>
      <c r="H14971" t="str">
        <f>"B"</f>
        <v>B</v>
      </c>
    </row>
    <row r="14972" spans="1:8" x14ac:dyDescent="0.2">
      <c r="A14972" t="str">
        <f t="shared" ref="A14972:A14979" si="5430">"0620053334"</f>
        <v>0620053334</v>
      </c>
      <c r="B14972" t="str">
        <f t="shared" ref="B14972:B14979" si="5431">"EMILY"</f>
        <v>EMILY</v>
      </c>
      <c r="C14972" t="str">
        <f t="shared" ref="C14972:C14979" si="5432">"RUPPERT"</f>
        <v>RUPPERT</v>
      </c>
      <c r="D14972">
        <f>10</f>
        <v>10</v>
      </c>
      <c r="E14972" t="str">
        <f>"04 - A - 205 - Jacqueline R Morphet"</f>
        <v>04 - A - 205 - Jacqueline R Morphet</v>
      </c>
      <c r="F14972" t="str">
        <f>"PHYSICS 1 HON"</f>
        <v>PHYSICS 1 HON</v>
      </c>
      <c r="G14972" t="str">
        <f>"21-2138"</f>
        <v>21-2138</v>
      </c>
      <c r="H14972" t="str">
        <f>"A"</f>
        <v>A</v>
      </c>
    </row>
    <row r="14973" spans="1:8" x14ac:dyDescent="0.2">
      <c r="A14973" t="str">
        <f t="shared" si="5430"/>
        <v>0620053334</v>
      </c>
      <c r="B14973" t="str">
        <f t="shared" si="5431"/>
        <v>EMILY</v>
      </c>
      <c r="C14973" t="str">
        <f t="shared" si="5432"/>
        <v>RUPPERT</v>
      </c>
      <c r="D14973">
        <f>10</f>
        <v>10</v>
      </c>
      <c r="E14973" t="str">
        <f>"06 - B - 118 - Jeanne M Bermudez"</f>
        <v>06 - B - 118 - Jeanne M Bermudez</v>
      </c>
      <c r="F14973" t="str">
        <f>"NC STUDY HALL 1"</f>
        <v>NC STUDY HALL 1</v>
      </c>
      <c r="G14973" t="str">
        <f>"21-2141"</f>
        <v>21-2141</v>
      </c>
      <c r="H14973" t="str">
        <f>"B"</f>
        <v>B</v>
      </c>
    </row>
    <row r="14974" spans="1:8" x14ac:dyDescent="0.2">
      <c r="A14974" t="str">
        <f t="shared" si="5430"/>
        <v>0620053334</v>
      </c>
      <c r="B14974" t="str">
        <f t="shared" si="5431"/>
        <v>EMILY</v>
      </c>
      <c r="C14974" t="str">
        <f t="shared" si="5432"/>
        <v>RUPPERT</v>
      </c>
      <c r="D14974">
        <f>10</f>
        <v>10</v>
      </c>
      <c r="E14974" t="str">
        <f>"03 - A - 103 - Pamela M Corzo"</f>
        <v>03 - A - 103 - Pamela M Corzo</v>
      </c>
      <c r="F14974" t="str">
        <f>"ALGEBRA 2 HON"</f>
        <v>ALGEBRA 2 HON</v>
      </c>
      <c r="G14974" t="str">
        <f>"21-2133"</f>
        <v>21-2133</v>
      </c>
      <c r="H14974" t="str">
        <f>"A"</f>
        <v>A</v>
      </c>
    </row>
    <row r="14975" spans="1:8" x14ac:dyDescent="0.2">
      <c r="A14975" t="str">
        <f t="shared" si="5430"/>
        <v>0620053334</v>
      </c>
      <c r="B14975" t="str">
        <f t="shared" si="5431"/>
        <v>EMILY</v>
      </c>
      <c r="C14975" t="str">
        <f t="shared" si="5432"/>
        <v>RUPPERT</v>
      </c>
      <c r="D14975">
        <f>10</f>
        <v>10</v>
      </c>
      <c r="E14975" t="str">
        <f>"02 - A - 102 - Jacklyn M James"</f>
        <v>02 - A - 102 - Jacklyn M James</v>
      </c>
      <c r="F14975" t="str">
        <f>"AICE ENG LANG AS"</f>
        <v>AICE ENG LANG AS</v>
      </c>
      <c r="G14975" t="str">
        <f>"17-1731"</f>
        <v>17-1731</v>
      </c>
      <c r="H14975" t="str">
        <f>"A"</f>
        <v>A</v>
      </c>
    </row>
    <row r="14976" spans="1:8" x14ac:dyDescent="0.2">
      <c r="A14976" t="str">
        <f t="shared" si="5430"/>
        <v>0620053334</v>
      </c>
      <c r="B14976" t="str">
        <f t="shared" si="5431"/>
        <v>EMILY</v>
      </c>
      <c r="C14976" t="str">
        <f t="shared" si="5432"/>
        <v>RUPPERT</v>
      </c>
      <c r="D14976">
        <f>10</f>
        <v>10</v>
      </c>
      <c r="E14976" t="str">
        <f>"07 - B - 107 - Marius D Orsolini"</f>
        <v>07 - B - 107 - Marius D Orsolini</v>
      </c>
      <c r="F14976" t="str">
        <f>"CULINARY ARTS 1"</f>
        <v>CULINARY ARTS 1</v>
      </c>
      <c r="G14976" t="str">
        <f>"21-2115"</f>
        <v>21-2115</v>
      </c>
      <c r="H14976" t="str">
        <f>"B"</f>
        <v>B</v>
      </c>
    </row>
    <row r="14977" spans="1:8" x14ac:dyDescent="0.2">
      <c r="A14977" t="str">
        <f t="shared" si="5430"/>
        <v>0620053334</v>
      </c>
      <c r="B14977" t="str">
        <f t="shared" si="5431"/>
        <v>EMILY</v>
      </c>
      <c r="C14977" t="str">
        <f t="shared" si="5432"/>
        <v>RUPPERT</v>
      </c>
      <c r="D14977">
        <f>10</f>
        <v>10</v>
      </c>
      <c r="E14977" t="str">
        <f>"05 - B - 203 - Chrystina M Marchionne"</f>
        <v>05 - B - 203 - Chrystina M Marchionne</v>
      </c>
      <c r="F14977" t="str">
        <f>"AICE MEDIASTUDIES AS"</f>
        <v>AICE MEDIASTUDIES AS</v>
      </c>
      <c r="G14977" t="str">
        <f>"05-520"</f>
        <v>05-520</v>
      </c>
      <c r="H14977" t="str">
        <f>"B"</f>
        <v>B</v>
      </c>
    </row>
    <row r="14978" spans="1:8" x14ac:dyDescent="0.2">
      <c r="A14978" t="str">
        <f t="shared" si="5430"/>
        <v>0620053334</v>
      </c>
      <c r="B14978" t="str">
        <f t="shared" si="5431"/>
        <v>EMILY</v>
      </c>
      <c r="C14978" t="str">
        <f t="shared" si="5432"/>
        <v>RUPPERT</v>
      </c>
      <c r="D14978">
        <f>10</f>
        <v>10</v>
      </c>
      <c r="E14978" t="str">
        <f>"01 - A - 201 - Daniel S Tyson"</f>
        <v>01 - A - 201 - Daniel S Tyson</v>
      </c>
      <c r="F14978" t="str">
        <f>"JROTC NAVAL SCI 1"</f>
        <v>JROTC NAVAL SCI 1</v>
      </c>
      <c r="G14978" t="str">
        <f>"05-510"</f>
        <v>05-510</v>
      </c>
      <c r="H14978" t="str">
        <f>"A"</f>
        <v>A</v>
      </c>
    </row>
    <row r="14979" spans="1:8" x14ac:dyDescent="0.2">
      <c r="A14979" t="str">
        <f t="shared" si="5430"/>
        <v>0620053334</v>
      </c>
      <c r="B14979" t="str">
        <f t="shared" si="5431"/>
        <v>EMILY</v>
      </c>
      <c r="C14979" t="str">
        <f t="shared" si="5432"/>
        <v>RUPPERT</v>
      </c>
      <c r="D14979">
        <f>10</f>
        <v>10</v>
      </c>
      <c r="E14979" t="str">
        <f>"08 - B - 201 - Lenecy  Nodarse"</f>
        <v>08 - B - 201 - Lenecy  Nodarse</v>
      </c>
      <c r="F14979" t="str">
        <f>"AICE EURO HIST 1 AS"</f>
        <v>AICE EURO HIST 1 AS</v>
      </c>
      <c r="G14979" t="str">
        <f>"17-1741"</f>
        <v>17-1741</v>
      </c>
      <c r="H14979" t="str">
        <f>"B"</f>
        <v>B</v>
      </c>
    </row>
    <row r="14980" spans="1:8" x14ac:dyDescent="0.2">
      <c r="A14980" t="str">
        <f t="shared" ref="A14980:A14988" si="5433">"0617132203"</f>
        <v>0617132203</v>
      </c>
      <c r="B14980" t="str">
        <f t="shared" ref="B14980:B14988" si="5434">"MICHAEL"</f>
        <v>MICHAEL</v>
      </c>
      <c r="C14980" t="str">
        <f t="shared" ref="C14980:C14996" si="5435">"RUSH"</f>
        <v>RUSH</v>
      </c>
      <c r="D14980">
        <f>10</f>
        <v>10</v>
      </c>
      <c r="E14980" t="str">
        <f>"04 - S1 - A - 103 - Rory T Sponsler"</f>
        <v>04 - S1 - A - 103 - Rory T Sponsler</v>
      </c>
      <c r="F14980" t="str">
        <f>"WOMENS STUDIES LH"</f>
        <v>WOMENS STUDIES LH</v>
      </c>
      <c r="G14980" t="str">
        <f>"17-1740"</f>
        <v>17-1740</v>
      </c>
      <c r="H14980" t="str">
        <f>"A"</f>
        <v>A</v>
      </c>
    </row>
    <row r="14981" spans="1:8" x14ac:dyDescent="0.2">
      <c r="A14981" t="str">
        <f t="shared" si="5433"/>
        <v>0617132203</v>
      </c>
      <c r="B14981" t="str">
        <f t="shared" si="5434"/>
        <v>MICHAEL</v>
      </c>
      <c r="C14981" t="str">
        <f t="shared" si="5435"/>
        <v>RUSH</v>
      </c>
      <c r="D14981">
        <f>10</f>
        <v>10</v>
      </c>
      <c r="E14981" t="str">
        <f>"06 - B - 004 - Robert O Burger"</f>
        <v>06 - B - 004 - Robert O Burger</v>
      </c>
      <c r="F14981" t="str">
        <f>"NC STUDY HALL 1"</f>
        <v>NC STUDY HALL 1</v>
      </c>
      <c r="G14981" t="str">
        <f>"17-1755"</f>
        <v>17-1755</v>
      </c>
      <c r="H14981" t="str">
        <f>"B"</f>
        <v>B</v>
      </c>
    </row>
    <row r="14982" spans="1:8" x14ac:dyDescent="0.2">
      <c r="A14982" t="str">
        <f t="shared" si="5433"/>
        <v>0617132203</v>
      </c>
      <c r="B14982" t="str">
        <f t="shared" si="5434"/>
        <v>MICHAEL</v>
      </c>
      <c r="C14982" t="str">
        <f t="shared" si="5435"/>
        <v>RUSH</v>
      </c>
      <c r="D14982">
        <f>10</f>
        <v>10</v>
      </c>
      <c r="E14982" t="str">
        <f>"06 - B - 116 - Karen A Toomer"</f>
        <v>06 - B - 116 - Karen A Toomer</v>
      </c>
      <c r="F14982" t="str">
        <f>"SPEECH THRPY"</f>
        <v>SPEECH THRPY</v>
      </c>
      <c r="G14982" t="str">
        <f>"21-2110"</f>
        <v>21-2110</v>
      </c>
      <c r="H14982" t="str">
        <f>"B"</f>
        <v>B</v>
      </c>
    </row>
    <row r="14983" spans="1:8" x14ac:dyDescent="0.2">
      <c r="A14983" t="str">
        <f t="shared" si="5433"/>
        <v>0617132203</v>
      </c>
      <c r="B14983" t="str">
        <f t="shared" si="5434"/>
        <v>MICHAEL</v>
      </c>
      <c r="C14983" t="str">
        <f t="shared" si="5435"/>
        <v>RUSH</v>
      </c>
      <c r="D14983">
        <f>10</f>
        <v>10</v>
      </c>
      <c r="E14983" t="str">
        <f>"03 - A - 002 - Ferrie J Arostique"</f>
        <v>03 - A - 002 - Ferrie J Arostique</v>
      </c>
      <c r="F14983" t="str">
        <f>"GEOMETRY"</f>
        <v>GEOMETRY</v>
      </c>
      <c r="G14983" t="str">
        <f>"21-2139"</f>
        <v>21-2139</v>
      </c>
      <c r="H14983" t="str">
        <f>"A"</f>
        <v>A</v>
      </c>
    </row>
    <row r="14984" spans="1:8" x14ac:dyDescent="0.2">
      <c r="A14984" t="str">
        <f t="shared" si="5433"/>
        <v>0617132203</v>
      </c>
      <c r="B14984" t="str">
        <f t="shared" si="5434"/>
        <v>MICHAEL</v>
      </c>
      <c r="C14984" t="str">
        <f t="shared" si="5435"/>
        <v>RUSH</v>
      </c>
      <c r="D14984">
        <f>10</f>
        <v>10</v>
      </c>
      <c r="E14984" t="str">
        <f>"02 - A - 102 - Daniel S Tyson"</f>
        <v>02 - A - 102 - Daniel S Tyson</v>
      </c>
      <c r="F14984" t="str">
        <f>"JROTC NAVAL SCI 1"</f>
        <v>JROTC NAVAL SCI 1</v>
      </c>
      <c r="G14984" t="str">
        <f>"05-510"</f>
        <v>05-510</v>
      </c>
      <c r="H14984" t="str">
        <f>"A"</f>
        <v>A</v>
      </c>
    </row>
    <row r="14985" spans="1:8" x14ac:dyDescent="0.2">
      <c r="A14985" t="str">
        <f t="shared" si="5433"/>
        <v>0617132203</v>
      </c>
      <c r="B14985" t="str">
        <f t="shared" si="5434"/>
        <v>MICHAEL</v>
      </c>
      <c r="C14985" t="str">
        <f t="shared" si="5435"/>
        <v>RUSH</v>
      </c>
      <c r="D14985">
        <f>10</f>
        <v>10</v>
      </c>
      <c r="E14985" t="str">
        <f>"07 - B - 107 - Lytrell T Dixon"</f>
        <v>07 - B - 107 - Lytrell T Dixon</v>
      </c>
      <c r="F14985" t="str">
        <f>"BIOLOGY 1"</f>
        <v>BIOLOGY 1</v>
      </c>
      <c r="G14985" t="str">
        <f>"08-808"</f>
        <v>08-808</v>
      </c>
      <c r="H14985" t="str">
        <f>"B"</f>
        <v>B</v>
      </c>
    </row>
    <row r="14986" spans="1:8" x14ac:dyDescent="0.2">
      <c r="A14986" t="str">
        <f t="shared" si="5433"/>
        <v>0617132203</v>
      </c>
      <c r="B14986" t="str">
        <f t="shared" si="5434"/>
        <v>MICHAEL</v>
      </c>
      <c r="C14986" t="str">
        <f t="shared" si="5435"/>
        <v>RUSH</v>
      </c>
      <c r="D14986">
        <f>10</f>
        <v>10</v>
      </c>
      <c r="E14986" t="str">
        <f>"05 - B - 106 - Jacquelyn M Neeson"</f>
        <v>05 - B - 106 - Jacquelyn M Neeson</v>
      </c>
      <c r="F14986" t="str">
        <f>"ENG 2"</f>
        <v>ENG 2</v>
      </c>
      <c r="G14986" t="str">
        <f>"17-1715"</f>
        <v>17-1715</v>
      </c>
      <c r="H14986" t="str">
        <f>"B"</f>
        <v>B</v>
      </c>
    </row>
    <row r="14987" spans="1:8" x14ac:dyDescent="0.2">
      <c r="A14987" t="str">
        <f t="shared" si="5433"/>
        <v>0617132203</v>
      </c>
      <c r="B14987" t="str">
        <f t="shared" si="5434"/>
        <v>MICHAEL</v>
      </c>
      <c r="C14987" t="str">
        <f t="shared" si="5435"/>
        <v>RUSH</v>
      </c>
      <c r="D14987">
        <f>10</f>
        <v>10</v>
      </c>
      <c r="E14987" t="str">
        <f>"01 - A - 101 - Taraneh C Abreu"</f>
        <v>01 - A - 101 - Taraneh C Abreu</v>
      </c>
      <c r="F14987" t="str">
        <f>"INTENS READ 2"</f>
        <v>INTENS READ 2</v>
      </c>
      <c r="G14987" t="str">
        <f>"17-1713"</f>
        <v>17-1713</v>
      </c>
      <c r="H14987" t="str">
        <f>"A"</f>
        <v>A</v>
      </c>
    </row>
    <row r="14988" spans="1:8" x14ac:dyDescent="0.2">
      <c r="A14988" t="str">
        <f t="shared" si="5433"/>
        <v>0617132203</v>
      </c>
      <c r="B14988" t="str">
        <f t="shared" si="5434"/>
        <v>MICHAEL</v>
      </c>
      <c r="C14988" t="str">
        <f t="shared" si="5435"/>
        <v>RUSH</v>
      </c>
      <c r="D14988">
        <f>10</f>
        <v>10</v>
      </c>
      <c r="E14988" t="str">
        <f>"08 - B - 108 - Adam Marcus  Drucker"</f>
        <v>08 - B - 108 - Adam Marcus  Drucker</v>
      </c>
      <c r="F14988" t="str">
        <f>"HOPE-PE V"</f>
        <v>HOPE-PE V</v>
      </c>
      <c r="G14988" t="str">
        <f>"04-254"</f>
        <v>04-254</v>
      </c>
      <c r="H14988" t="str">
        <f>"B"</f>
        <v>B</v>
      </c>
    </row>
    <row r="14989" spans="1:8" x14ac:dyDescent="0.2">
      <c r="A14989" t="str">
        <f t="shared" ref="A14989:A14996" si="5436">"0615105515"</f>
        <v>0615105515</v>
      </c>
      <c r="B14989" t="str">
        <f t="shared" ref="B14989:B14996" si="5437">"TYLER"</f>
        <v>TYLER</v>
      </c>
      <c r="C14989" t="str">
        <f t="shared" si="5435"/>
        <v>RUSH</v>
      </c>
      <c r="D14989">
        <f>10</f>
        <v>10</v>
      </c>
      <c r="E14989" t="str">
        <f>"04 - S1 - A - 103 - James H Mccann"</f>
        <v>04 - S1 - A - 103 - James H Mccann</v>
      </c>
      <c r="F14989" t="str">
        <f>"PERS FIN &amp; MON MGT H"</f>
        <v>PERS FIN &amp; MON MGT H</v>
      </c>
      <c r="G14989" t="str">
        <f>"17-1716"</f>
        <v>17-1716</v>
      </c>
      <c r="H14989" t="str">
        <f>"A"</f>
        <v>A</v>
      </c>
    </row>
    <row r="14990" spans="1:8" x14ac:dyDescent="0.2">
      <c r="A14990" t="str">
        <f t="shared" si="5436"/>
        <v>0615105515</v>
      </c>
      <c r="B14990" t="str">
        <f t="shared" si="5437"/>
        <v>TYLER</v>
      </c>
      <c r="C14990" t="str">
        <f t="shared" si="5435"/>
        <v>RUSH</v>
      </c>
      <c r="D14990">
        <f>10</f>
        <v>10</v>
      </c>
      <c r="E14990" t="str">
        <f>"06 - B - 108 - Jacklyn M James"</f>
        <v>06 - B - 108 - Jacklyn M James</v>
      </c>
      <c r="F14990" t="str">
        <f>"NC STUDY HALL 1"</f>
        <v>NC STUDY HALL 1</v>
      </c>
      <c r="G14990" t="str">
        <f>"17-1731"</f>
        <v>17-1731</v>
      </c>
      <c r="H14990" t="str">
        <f>"B"</f>
        <v>B</v>
      </c>
    </row>
    <row r="14991" spans="1:8" x14ac:dyDescent="0.2">
      <c r="A14991" t="str">
        <f t="shared" si="5436"/>
        <v>0615105515</v>
      </c>
      <c r="B14991" t="str">
        <f t="shared" si="5437"/>
        <v>TYLER</v>
      </c>
      <c r="C14991" t="str">
        <f t="shared" si="5435"/>
        <v>RUSH</v>
      </c>
      <c r="D14991">
        <f>10</f>
        <v>10</v>
      </c>
      <c r="E14991" t="str">
        <f>"03 - A - 002 - Lenecy  Nodarse"</f>
        <v>03 - A - 002 - Lenecy  Nodarse</v>
      </c>
      <c r="F14991" t="str">
        <f>"AICE EURO HIST 1 AS"</f>
        <v>AICE EURO HIST 1 AS</v>
      </c>
      <c r="G14991" t="str">
        <f>"17-1741"</f>
        <v>17-1741</v>
      </c>
      <c r="H14991" t="str">
        <f>"A"</f>
        <v>A</v>
      </c>
    </row>
    <row r="14992" spans="1:8" x14ac:dyDescent="0.2">
      <c r="A14992" t="str">
        <f t="shared" si="5436"/>
        <v>0615105515</v>
      </c>
      <c r="B14992" t="str">
        <f t="shared" si="5437"/>
        <v>TYLER</v>
      </c>
      <c r="C14992" t="str">
        <f t="shared" si="5435"/>
        <v>RUSH</v>
      </c>
      <c r="D14992">
        <f>10</f>
        <v>10</v>
      </c>
      <c r="E14992" t="str">
        <f>"02 - A - 102 - Chrystina M Marchionne"</f>
        <v>02 - A - 102 - Chrystina M Marchionne</v>
      </c>
      <c r="F14992" t="str">
        <f>"AICE MEDIASTUDIES AS"</f>
        <v>AICE MEDIASTUDIES AS</v>
      </c>
      <c r="G14992" t="str">
        <f>"05-520"</f>
        <v>05-520</v>
      </c>
      <c r="H14992" t="str">
        <f>"A"</f>
        <v>A</v>
      </c>
    </row>
    <row r="14993" spans="1:8" x14ac:dyDescent="0.2">
      <c r="A14993" t="str">
        <f t="shared" si="5436"/>
        <v>0615105515</v>
      </c>
      <c r="B14993" t="str">
        <f t="shared" si="5437"/>
        <v>TYLER</v>
      </c>
      <c r="C14993" t="str">
        <f t="shared" si="5435"/>
        <v>RUSH</v>
      </c>
      <c r="D14993">
        <f>10</f>
        <v>10</v>
      </c>
      <c r="E14993" t="str">
        <f>"07 - B - 107 - Jacklyn M James"</f>
        <v>07 - B - 107 - Jacklyn M James</v>
      </c>
      <c r="F14993" t="str">
        <f>"AICE ENG LANG AS"</f>
        <v>AICE ENG LANG AS</v>
      </c>
      <c r="G14993" t="str">
        <f>"17-1731"</f>
        <v>17-1731</v>
      </c>
      <c r="H14993" t="str">
        <f>"B"</f>
        <v>B</v>
      </c>
    </row>
    <row r="14994" spans="1:8" x14ac:dyDescent="0.2">
      <c r="A14994" t="str">
        <f t="shared" si="5436"/>
        <v>0615105515</v>
      </c>
      <c r="B14994" t="str">
        <f t="shared" si="5437"/>
        <v>TYLER</v>
      </c>
      <c r="C14994" t="str">
        <f t="shared" si="5435"/>
        <v>RUSH</v>
      </c>
      <c r="D14994">
        <f>10</f>
        <v>10</v>
      </c>
      <c r="E14994" t="str">
        <f>"05 - B - 104 - Semra  Bahadir"</f>
        <v>05 - B - 104 - Semra  Bahadir</v>
      </c>
      <c r="F14994" t="str">
        <f>"MATH COLL ALGEBRA"</f>
        <v>MATH COLL ALGEBRA</v>
      </c>
      <c r="G14994" t="str">
        <f>"21-2107"</f>
        <v>21-2107</v>
      </c>
      <c r="H14994" t="str">
        <f>"B"</f>
        <v>B</v>
      </c>
    </row>
    <row r="14995" spans="1:8" x14ac:dyDescent="0.2">
      <c r="A14995" t="str">
        <f t="shared" si="5436"/>
        <v>0615105515</v>
      </c>
      <c r="B14995" t="str">
        <f t="shared" si="5437"/>
        <v>TYLER</v>
      </c>
      <c r="C14995" t="str">
        <f t="shared" si="5435"/>
        <v>RUSH</v>
      </c>
      <c r="D14995">
        <f>10</f>
        <v>10</v>
      </c>
      <c r="E14995" t="str">
        <f>"01 - A - 103 - Scott A Dethloff"</f>
        <v>01 - A - 103 - Scott A Dethloff</v>
      </c>
      <c r="F14995" t="str">
        <f>"AICE THINK SKLS 1 AS"</f>
        <v>AICE THINK SKLS 1 AS</v>
      </c>
      <c r="G14995" t="str">
        <f>"08-812"</f>
        <v>08-812</v>
      </c>
      <c r="H14995" t="str">
        <f>"A"</f>
        <v>A</v>
      </c>
    </row>
    <row r="14996" spans="1:8" x14ac:dyDescent="0.2">
      <c r="A14996" t="str">
        <f t="shared" si="5436"/>
        <v>0615105515</v>
      </c>
      <c r="B14996" t="str">
        <f t="shared" si="5437"/>
        <v>TYLER</v>
      </c>
      <c r="C14996" t="str">
        <f t="shared" si="5435"/>
        <v>RUSH</v>
      </c>
      <c r="D14996">
        <f>10</f>
        <v>10</v>
      </c>
      <c r="E14996" t="str">
        <f>"08 - B - 001 - Scott A Dethloff"</f>
        <v>08 - B - 001 - Scott A Dethloff</v>
      </c>
      <c r="F14996" t="str">
        <f>"CHEMISTRY 1 HON"</f>
        <v>CHEMISTRY 1 HON</v>
      </c>
      <c r="G14996" t="str">
        <f>"08-812"</f>
        <v>08-812</v>
      </c>
      <c r="H14996" t="str">
        <f>"B"</f>
        <v>B</v>
      </c>
    </row>
    <row r="14997" spans="1:8" x14ac:dyDescent="0.2">
      <c r="A14997" t="str">
        <f t="shared" ref="A14997:A15004" si="5438">"0613050233"</f>
        <v>0613050233</v>
      </c>
      <c r="B14997" t="str">
        <f t="shared" ref="B14997:B15004" si="5439">"MARIAH"</f>
        <v>MARIAH</v>
      </c>
      <c r="C14997" t="str">
        <f t="shared" ref="C14997:C15012" si="5440">"RUSS"</f>
        <v>RUSS</v>
      </c>
      <c r="D14997">
        <f>12</f>
        <v>12</v>
      </c>
      <c r="E14997" t="str">
        <f>"04 - A - 106 - Marielle A Witting"</f>
        <v>04 - A - 106 - Marielle A Witting</v>
      </c>
      <c r="F14997" t="str">
        <f>"ANAT PHYSIO"</f>
        <v>ANAT PHYSIO</v>
      </c>
      <c r="G14997" t="str">
        <f>"08-805"</f>
        <v>08-805</v>
      </c>
      <c r="H14997" t="str">
        <f>"A"</f>
        <v>A</v>
      </c>
    </row>
    <row r="14998" spans="1:8" x14ac:dyDescent="0.2">
      <c r="A14998" t="str">
        <f t="shared" si="5438"/>
        <v>0613050233</v>
      </c>
      <c r="B14998" t="str">
        <f t="shared" si="5439"/>
        <v>MARIAH</v>
      </c>
      <c r="C14998" t="str">
        <f t="shared" si="5440"/>
        <v>RUSS</v>
      </c>
      <c r="D14998">
        <f>12</f>
        <v>12</v>
      </c>
      <c r="E14998" t="str">
        <f>"06 - B - 114 - Lisa J London"</f>
        <v>06 - B - 114 - Lisa J London</v>
      </c>
      <c r="F14998" t="str">
        <f>"NC STUDY HALL 1"</f>
        <v>NC STUDY HALL 1</v>
      </c>
      <c r="G14998" t="str">
        <f>"17-1714"</f>
        <v>17-1714</v>
      </c>
      <c r="H14998" t="str">
        <f>"B"</f>
        <v>B</v>
      </c>
    </row>
    <row r="14999" spans="1:8" x14ac:dyDescent="0.2">
      <c r="A14999" t="str">
        <f t="shared" si="5438"/>
        <v>0613050233</v>
      </c>
      <c r="B14999" t="str">
        <f t="shared" si="5439"/>
        <v>MARIAH</v>
      </c>
      <c r="C14999" t="str">
        <f t="shared" si="5440"/>
        <v>RUSS</v>
      </c>
      <c r="D14999">
        <f>12</f>
        <v>12</v>
      </c>
      <c r="E14999" t="str">
        <f>"03 - A - 103 - Jazmin S Fletcher"</f>
        <v>03 - A - 103 - Jazmin S Fletcher</v>
      </c>
      <c r="F14999" t="str">
        <f>"THEATRE 2"</f>
        <v>THEATRE 2</v>
      </c>
      <c r="G14999" t="str">
        <f>"09-909"</f>
        <v>09-909</v>
      </c>
      <c r="H14999" t="str">
        <f>"A"</f>
        <v>A</v>
      </c>
    </row>
    <row r="15000" spans="1:8" x14ac:dyDescent="0.2">
      <c r="A15000" t="str">
        <f t="shared" si="5438"/>
        <v>0613050233</v>
      </c>
      <c r="B15000" t="str">
        <f t="shared" si="5439"/>
        <v>MARIAH</v>
      </c>
      <c r="C15000" t="str">
        <f t="shared" si="5440"/>
        <v>RUSS</v>
      </c>
      <c r="D15000">
        <f>12</f>
        <v>12</v>
      </c>
      <c r="E15000" t="str">
        <f>"02 - A - 101 - Nahum  Saint-Preux"</f>
        <v>02 - A - 101 - Nahum  Saint-Preux</v>
      </c>
      <c r="F15000" t="str">
        <f>"INTENS READ 4"</f>
        <v>INTENS READ 4</v>
      </c>
      <c r="G15000" t="str">
        <f>"17-1712"</f>
        <v>17-1712</v>
      </c>
      <c r="H15000" t="str">
        <f>"A"</f>
        <v>A</v>
      </c>
    </row>
    <row r="15001" spans="1:8" x14ac:dyDescent="0.2">
      <c r="A15001" t="str">
        <f t="shared" si="5438"/>
        <v>0613050233</v>
      </c>
      <c r="B15001" t="str">
        <f t="shared" si="5439"/>
        <v>MARIAH</v>
      </c>
      <c r="C15001" t="str">
        <f t="shared" si="5440"/>
        <v>RUSS</v>
      </c>
      <c r="D15001">
        <f>12</f>
        <v>12</v>
      </c>
      <c r="E15001" t="str">
        <f>"07 - B - 102 - Tina L Lovett"</f>
        <v>07 - B - 102 - Tina L Lovett</v>
      </c>
      <c r="F15001" t="str">
        <f>"MATH DATA &amp; FIN LIT"</f>
        <v>MATH DATA &amp; FIN LIT</v>
      </c>
      <c r="G15001" t="str">
        <f>"21-2153"</f>
        <v>21-2153</v>
      </c>
      <c r="H15001" t="str">
        <f>"B"</f>
        <v>B</v>
      </c>
    </row>
    <row r="15002" spans="1:8" x14ac:dyDescent="0.2">
      <c r="A15002" t="str">
        <f t="shared" si="5438"/>
        <v>0613050233</v>
      </c>
      <c r="B15002" t="str">
        <f t="shared" si="5439"/>
        <v>MARIAH</v>
      </c>
      <c r="C15002" t="str">
        <f t="shared" si="5440"/>
        <v>RUSS</v>
      </c>
      <c r="D15002">
        <f>12</f>
        <v>12</v>
      </c>
      <c r="E15002" t="str">
        <f>"05 - S1 - B - 102 - Robert O Burger"</f>
        <v>05 - S1 - B - 102 - Robert O Burger</v>
      </c>
      <c r="F15002" t="str">
        <f>"US GOVT"</f>
        <v>US GOVT</v>
      </c>
      <c r="G15002" t="str">
        <f>"17-1755"</f>
        <v>17-1755</v>
      </c>
      <c r="H15002" t="str">
        <f>"B"</f>
        <v>B</v>
      </c>
    </row>
    <row r="15003" spans="1:8" x14ac:dyDescent="0.2">
      <c r="A15003" t="str">
        <f t="shared" si="5438"/>
        <v>0613050233</v>
      </c>
      <c r="B15003" t="str">
        <f t="shared" si="5439"/>
        <v>MARIAH</v>
      </c>
      <c r="C15003" t="str">
        <f t="shared" si="5440"/>
        <v>RUSS</v>
      </c>
      <c r="D15003">
        <f>12</f>
        <v>12</v>
      </c>
      <c r="E15003" t="str">
        <f>"01 - S1 - A - 101 - Richard E Dunbar Iii"</f>
        <v>01 - S1 - A - 101 - Richard E Dunbar Iii</v>
      </c>
      <c r="F15003" t="str">
        <f>"WEIGHT TRAIN 1"</f>
        <v>WEIGHT TRAIN 1</v>
      </c>
      <c r="G15003" t="str">
        <f>"05-501"</f>
        <v>05-501</v>
      </c>
      <c r="H15003" t="str">
        <f>"A"</f>
        <v>A</v>
      </c>
    </row>
    <row r="15004" spans="1:8" x14ac:dyDescent="0.2">
      <c r="A15004" t="str">
        <f t="shared" si="5438"/>
        <v>0613050233</v>
      </c>
      <c r="B15004" t="str">
        <f t="shared" si="5439"/>
        <v>MARIAH</v>
      </c>
      <c r="C15004" t="str">
        <f t="shared" si="5440"/>
        <v>RUSS</v>
      </c>
      <c r="D15004">
        <f>12</f>
        <v>12</v>
      </c>
      <c r="E15004" t="str">
        <f>"08 - B - 206 - Robyn L Trainer"</f>
        <v>08 - B - 206 - Robyn L Trainer</v>
      </c>
      <c r="F15004" t="str">
        <f>"ENG 4: FL COLL PREP"</f>
        <v>ENG 4: FL COLL PREP</v>
      </c>
      <c r="G15004" t="str">
        <f>"17-1734"</f>
        <v>17-1734</v>
      </c>
      <c r="H15004" t="str">
        <f>"B"</f>
        <v>B</v>
      </c>
    </row>
    <row r="15005" spans="1:8" x14ac:dyDescent="0.2">
      <c r="A15005" t="str">
        <f t="shared" ref="A15005:A15012" si="5441">"0615062673"</f>
        <v>0615062673</v>
      </c>
      <c r="B15005" t="str">
        <f t="shared" ref="B15005:B15012" si="5442">"MARQUISE"</f>
        <v>MARQUISE</v>
      </c>
      <c r="C15005" t="str">
        <f t="shared" si="5440"/>
        <v>RUSS</v>
      </c>
      <c r="D15005">
        <f>11</f>
        <v>11</v>
      </c>
      <c r="E15005" t="str">
        <f>"04 - A - 106 - Marielle A Witting"</f>
        <v>04 - A - 106 - Marielle A Witting</v>
      </c>
      <c r="F15005" t="str">
        <f>"ANAT PHYSIO"</f>
        <v>ANAT PHYSIO</v>
      </c>
      <c r="G15005" t="str">
        <f>"08-805"</f>
        <v>08-805</v>
      </c>
      <c r="H15005" t="str">
        <f>"A"</f>
        <v>A</v>
      </c>
    </row>
    <row r="15006" spans="1:8" x14ac:dyDescent="0.2">
      <c r="A15006" t="str">
        <f t="shared" si="5441"/>
        <v>0615062673</v>
      </c>
      <c r="B15006" t="str">
        <f t="shared" si="5442"/>
        <v>MARQUISE</v>
      </c>
      <c r="C15006" t="str">
        <f t="shared" si="5440"/>
        <v>RUSS</v>
      </c>
      <c r="D15006">
        <f>11</f>
        <v>11</v>
      </c>
      <c r="E15006" t="str">
        <f>"06 - B - 002 - Kyle  Robbins"</f>
        <v>06 - B - 002 - Kyle  Robbins</v>
      </c>
      <c r="F15006" t="str">
        <f>"US HISTORY HON"</f>
        <v>US HISTORY HON</v>
      </c>
      <c r="G15006" t="str">
        <f>"17-1745"</f>
        <v>17-1745</v>
      </c>
      <c r="H15006" t="str">
        <f>"B"</f>
        <v>B</v>
      </c>
    </row>
    <row r="15007" spans="1:8" x14ac:dyDescent="0.2">
      <c r="A15007" t="str">
        <f t="shared" si="5441"/>
        <v>0615062673</v>
      </c>
      <c r="B15007" t="str">
        <f t="shared" si="5442"/>
        <v>MARQUISE</v>
      </c>
      <c r="C15007" t="str">
        <f t="shared" si="5440"/>
        <v>RUSS</v>
      </c>
      <c r="D15007">
        <f>11</f>
        <v>11</v>
      </c>
      <c r="E15007" t="str">
        <f>"03 - A - 104 - Fernando  Vega-Cid"</f>
        <v>03 - A - 104 - Fernando  Vega-Cid</v>
      </c>
      <c r="F15007" t="str">
        <f>"GEOMETRY"</f>
        <v>GEOMETRY</v>
      </c>
      <c r="G15007" t="str">
        <f>"21-2163"</f>
        <v>21-2163</v>
      </c>
      <c r="H15007" t="str">
        <f>"A"</f>
        <v>A</v>
      </c>
    </row>
    <row r="15008" spans="1:8" x14ac:dyDescent="0.2">
      <c r="A15008" t="str">
        <f t="shared" si="5441"/>
        <v>0615062673</v>
      </c>
      <c r="B15008" t="str">
        <f t="shared" si="5442"/>
        <v>MARQUISE</v>
      </c>
      <c r="C15008" t="str">
        <f t="shared" si="5440"/>
        <v>RUSS</v>
      </c>
      <c r="D15008">
        <f>11</f>
        <v>11</v>
      </c>
      <c r="E15008" t="str">
        <f>"02 - A - 105 - Leslie J Barton"</f>
        <v>02 - A - 105 - Leslie J Barton</v>
      </c>
      <c r="F15008" t="str">
        <f>"NC STUDY HALL 1"</f>
        <v>NC STUDY HALL 1</v>
      </c>
      <c r="G15008" t="str">
        <f>"05-521"</f>
        <v>05-521</v>
      </c>
      <c r="H15008" t="str">
        <f>"A"</f>
        <v>A</v>
      </c>
    </row>
    <row r="15009" spans="1:8" x14ac:dyDescent="0.2">
      <c r="A15009" t="str">
        <f t="shared" si="5441"/>
        <v>0615062673</v>
      </c>
      <c r="B15009" t="str">
        <f t="shared" si="5442"/>
        <v>MARQUISE</v>
      </c>
      <c r="C15009" t="str">
        <f t="shared" si="5440"/>
        <v>RUSS</v>
      </c>
      <c r="D15009">
        <f>11</f>
        <v>11</v>
      </c>
      <c r="E15009" t="str">
        <f>"07 - B - 201 - Angela S Adeshina-Morrison"</f>
        <v>07 - B - 201 - Angela S Adeshina-Morrison</v>
      </c>
      <c r="F15009" t="str">
        <f>"BUSINESS OWNER HON"</f>
        <v>BUSINESS OWNER HON</v>
      </c>
      <c r="G15009" t="str">
        <f>"05-518"</f>
        <v>05-518</v>
      </c>
      <c r="H15009" t="str">
        <f>"B"</f>
        <v>B</v>
      </c>
    </row>
    <row r="15010" spans="1:8" x14ac:dyDescent="0.2">
      <c r="A15010" t="str">
        <f t="shared" si="5441"/>
        <v>0615062673</v>
      </c>
      <c r="B15010" t="str">
        <f t="shared" si="5442"/>
        <v>MARQUISE</v>
      </c>
      <c r="C15010" t="str">
        <f t="shared" si="5440"/>
        <v>RUSS</v>
      </c>
      <c r="D15010">
        <f>11</f>
        <v>11</v>
      </c>
      <c r="E15010" t="str">
        <f>"05 - B - 104 - Joe  Kilpatrick Jr"</f>
        <v>05 - B - 104 - Joe  Kilpatrick Jr</v>
      </c>
      <c r="F15010" t="str">
        <f>"PRE-AICE SPAN 1 IG"</f>
        <v>PRE-AICE SPAN 1 IG</v>
      </c>
      <c r="G15010" t="str">
        <f>"09-912"</f>
        <v>09-912</v>
      </c>
      <c r="H15010" t="str">
        <f>"B"</f>
        <v>B</v>
      </c>
    </row>
    <row r="15011" spans="1:8" x14ac:dyDescent="0.2">
      <c r="A15011" t="str">
        <f t="shared" si="5441"/>
        <v>0615062673</v>
      </c>
      <c r="B15011" t="str">
        <f t="shared" si="5442"/>
        <v>MARQUISE</v>
      </c>
      <c r="C15011" t="str">
        <f t="shared" si="5440"/>
        <v>RUSS</v>
      </c>
      <c r="D15011">
        <f>11</f>
        <v>11</v>
      </c>
      <c r="E15011" t="str">
        <f>"01 - A - 101 - Heidi M Knopp"</f>
        <v>01 - A - 101 - Heidi M Knopp</v>
      </c>
      <c r="F15011" t="str">
        <f>"ENG HON 3"</f>
        <v>ENG HON 3</v>
      </c>
      <c r="G15011" t="str">
        <f>"17-1752"</f>
        <v>17-1752</v>
      </c>
      <c r="H15011" t="str">
        <f>"A"</f>
        <v>A</v>
      </c>
    </row>
    <row r="15012" spans="1:8" x14ac:dyDescent="0.2">
      <c r="A15012" t="str">
        <f t="shared" si="5441"/>
        <v>0615062673</v>
      </c>
      <c r="B15012" t="str">
        <f t="shared" si="5442"/>
        <v>MARQUISE</v>
      </c>
      <c r="C15012" t="str">
        <f t="shared" si="5440"/>
        <v>RUSS</v>
      </c>
      <c r="D15012">
        <f>11</f>
        <v>11</v>
      </c>
      <c r="E15012" t="str">
        <f>"08 - B - 103 - Jeanne M Bermudez"</f>
        <v>08 - B - 103 - Jeanne M Bermudez</v>
      </c>
      <c r="F15012" t="str">
        <f>"ADVANCED IT HON"</f>
        <v>ADVANCED IT HON</v>
      </c>
      <c r="G15012" t="str">
        <f>"21-2141"</f>
        <v>21-2141</v>
      </c>
      <c r="H15012" t="str">
        <f>"B"</f>
        <v>B</v>
      </c>
    </row>
    <row r="15013" spans="1:8" x14ac:dyDescent="0.2">
      <c r="A15013" t="str">
        <f t="shared" ref="A15013:A15020" si="5443">"0617012358"</f>
        <v>0617012358</v>
      </c>
      <c r="B15013" t="str">
        <f t="shared" ref="B15013:B15020" si="5444">"JULIAN"</f>
        <v>JULIAN</v>
      </c>
      <c r="C15013" t="str">
        <f t="shared" ref="C15013:C15029" si="5445">"RUSSELL"</f>
        <v>RUSSELL</v>
      </c>
      <c r="D15013" t="str">
        <f t="shared" ref="D15013:D15020" si="5446">"09"</f>
        <v>09</v>
      </c>
      <c r="E15013" t="str">
        <f>"04 - A - 004 - Krystal Marie  Beruty"</f>
        <v>04 - A - 004 - Krystal Marie  Beruty</v>
      </c>
      <c r="F15013" t="str">
        <f>"AICE GLBL PERSP 1 AS"</f>
        <v>AICE GLBL PERSP 1 AS</v>
      </c>
      <c r="G15013" t="str">
        <f>"17-1721"</f>
        <v>17-1721</v>
      </c>
      <c r="H15013" t="str">
        <f>"A"</f>
        <v>A</v>
      </c>
    </row>
    <row r="15014" spans="1:8" x14ac:dyDescent="0.2">
      <c r="A15014" t="str">
        <f t="shared" si="5443"/>
        <v>0617012358</v>
      </c>
      <c r="B15014" t="str">
        <f t="shared" si="5444"/>
        <v>JULIAN</v>
      </c>
      <c r="C15014" t="str">
        <f t="shared" si="5445"/>
        <v>RUSSELL</v>
      </c>
      <c r="D15014" t="str">
        <f t="shared" si="5446"/>
        <v>09</v>
      </c>
      <c r="E15014" t="str">
        <f>"06 - S1 - B - 104 - Leslie J Barton"</f>
        <v>06 - S1 - B - 104 - Leslie J Barton</v>
      </c>
      <c r="F15014" t="str">
        <f>"FIRST AID SAFETY"</f>
        <v>FIRST AID SAFETY</v>
      </c>
      <c r="G15014" t="str">
        <f>"05-521"</f>
        <v>05-521</v>
      </c>
      <c r="H15014" t="str">
        <f>"B"</f>
        <v>B</v>
      </c>
    </row>
    <row r="15015" spans="1:8" x14ac:dyDescent="0.2">
      <c r="A15015" t="str">
        <f t="shared" si="5443"/>
        <v>0617012358</v>
      </c>
      <c r="B15015" t="str">
        <f t="shared" si="5444"/>
        <v>JULIAN</v>
      </c>
      <c r="C15015" t="str">
        <f t="shared" si="5445"/>
        <v>RUSSELL</v>
      </c>
      <c r="D15015" t="str">
        <f t="shared" si="5446"/>
        <v>09</v>
      </c>
      <c r="E15015" t="str">
        <f>"03 - A - 005 - Cerine S Stewart"</f>
        <v>03 - A - 005 - Cerine S Stewart</v>
      </c>
      <c r="F15015" t="str">
        <f>"AICE ENG GEN PAPER 1"</f>
        <v>AICE ENG GEN PAPER 1</v>
      </c>
      <c r="G15015" t="str">
        <f>"17-1720"</f>
        <v>17-1720</v>
      </c>
      <c r="H15015" t="str">
        <f>"A"</f>
        <v>A</v>
      </c>
    </row>
    <row r="15016" spans="1:8" x14ac:dyDescent="0.2">
      <c r="A15016" t="str">
        <f t="shared" si="5443"/>
        <v>0617012358</v>
      </c>
      <c r="B15016" t="str">
        <f t="shared" si="5444"/>
        <v>JULIAN</v>
      </c>
      <c r="C15016" t="str">
        <f t="shared" si="5445"/>
        <v>RUSSELL</v>
      </c>
      <c r="D15016" t="str">
        <f t="shared" si="5446"/>
        <v>09</v>
      </c>
      <c r="E15016" t="str">
        <f>"02 - A - 109 - Krystal Marie  Beruty"</f>
        <v>02 - A - 109 - Krystal Marie  Beruty</v>
      </c>
      <c r="F15016" t="str">
        <f>"NC STUDY HALL 1"</f>
        <v>NC STUDY HALL 1</v>
      </c>
      <c r="G15016" t="str">
        <f>"17-1721"</f>
        <v>17-1721</v>
      </c>
      <c r="H15016" t="str">
        <f>"A"</f>
        <v>A</v>
      </c>
    </row>
    <row r="15017" spans="1:8" x14ac:dyDescent="0.2">
      <c r="A15017" t="str">
        <f t="shared" si="5443"/>
        <v>0617012358</v>
      </c>
      <c r="B15017" t="str">
        <f t="shared" si="5444"/>
        <v>JULIAN</v>
      </c>
      <c r="C15017" t="str">
        <f t="shared" si="5445"/>
        <v>RUSSELL</v>
      </c>
      <c r="D15017" t="str">
        <f t="shared" si="5446"/>
        <v>09</v>
      </c>
      <c r="E15017" t="str">
        <f>"07 - B - 206 - Cheryl L Beach"</f>
        <v>07 - B - 206 - Cheryl L Beach</v>
      </c>
      <c r="F15017" t="str">
        <f>"AICE ENV MGMNT AS"</f>
        <v>AICE ENV MGMNT AS</v>
      </c>
      <c r="G15017" t="str">
        <f>"08-811"</f>
        <v>08-811</v>
      </c>
      <c r="H15017" t="str">
        <f>"B"</f>
        <v>B</v>
      </c>
    </row>
    <row r="15018" spans="1:8" x14ac:dyDescent="0.2">
      <c r="A15018" t="str">
        <f t="shared" si="5443"/>
        <v>0617012358</v>
      </c>
      <c r="B15018" t="str">
        <f t="shared" si="5444"/>
        <v>JULIAN</v>
      </c>
      <c r="C15018" t="str">
        <f t="shared" si="5445"/>
        <v>RUSSELL</v>
      </c>
      <c r="D15018" t="str">
        <f t="shared" si="5446"/>
        <v>09</v>
      </c>
      <c r="E15018" t="str">
        <f>"05 - B - 105 - Adam Marcus  Drucker"</f>
        <v>05 - B - 105 - Adam Marcus  Drucker</v>
      </c>
      <c r="F15018" t="str">
        <f>"HOPE-PE V"</f>
        <v>HOPE-PE V</v>
      </c>
      <c r="G15018" t="str">
        <f>"04-254"</f>
        <v>04-254</v>
      </c>
      <c r="H15018" t="str">
        <f>"B"</f>
        <v>B</v>
      </c>
    </row>
    <row r="15019" spans="1:8" x14ac:dyDescent="0.2">
      <c r="A15019" t="str">
        <f t="shared" si="5443"/>
        <v>0617012358</v>
      </c>
      <c r="B15019" t="str">
        <f t="shared" si="5444"/>
        <v>JULIAN</v>
      </c>
      <c r="C15019" t="str">
        <f t="shared" si="5445"/>
        <v>RUSSELL</v>
      </c>
      <c r="D15019" t="str">
        <f t="shared" si="5446"/>
        <v>09</v>
      </c>
      <c r="E15019" t="str">
        <f>"01 - A - 102 - Brook E Goren"</f>
        <v>01 - A - 102 - Brook E Goren</v>
      </c>
      <c r="F15019" t="str">
        <f>"PRE-AICE MATH 2 IG"</f>
        <v>PRE-AICE MATH 2 IG</v>
      </c>
      <c r="G15019" t="str">
        <f>"21-2158"</f>
        <v>21-2158</v>
      </c>
      <c r="H15019" t="str">
        <f>"A"</f>
        <v>A</v>
      </c>
    </row>
    <row r="15020" spans="1:8" x14ac:dyDescent="0.2">
      <c r="A15020" t="str">
        <f t="shared" si="5443"/>
        <v>0617012358</v>
      </c>
      <c r="B15020" t="str">
        <f t="shared" si="5444"/>
        <v>JULIAN</v>
      </c>
      <c r="C15020" t="str">
        <f t="shared" si="5445"/>
        <v>RUSSELL</v>
      </c>
      <c r="D15020" t="str">
        <f t="shared" si="5446"/>
        <v>09</v>
      </c>
      <c r="E15020" t="str">
        <f>"08 - B - 101 - Alejandro  Navarro"</f>
        <v>08 - B - 101 - Alejandro  Navarro</v>
      </c>
      <c r="F15020" t="str">
        <f>"GUITAR 1"</f>
        <v>GUITAR 1</v>
      </c>
      <c r="G15020" t="str">
        <f>"05-504"</f>
        <v>05-504</v>
      </c>
      <c r="H15020" t="str">
        <f>"B"</f>
        <v>B</v>
      </c>
    </row>
    <row r="15021" spans="1:8" x14ac:dyDescent="0.2">
      <c r="A15021" t="str">
        <f t="shared" ref="A15021:A15029" si="5447">"0613111705"</f>
        <v>0613111705</v>
      </c>
      <c r="B15021" t="str">
        <f t="shared" ref="B15021:B15029" si="5448">"KADEN"</f>
        <v>KADEN</v>
      </c>
      <c r="C15021" t="str">
        <f t="shared" si="5445"/>
        <v>RUSSELL</v>
      </c>
      <c r="D15021">
        <f>10</f>
        <v>10</v>
      </c>
      <c r="E15021" t="str">
        <f>"04 - A - 104 - Laselleda D Shaw"</f>
        <v>04 - A - 104 - Laselleda D Shaw</v>
      </c>
      <c r="F15021" t="str">
        <f>"INTENS READ 2"</f>
        <v>INTENS READ 2</v>
      </c>
      <c r="G15021" t="str">
        <f>"17-1723"</f>
        <v>17-1723</v>
      </c>
      <c r="H15021" t="str">
        <f>"A"</f>
        <v>A</v>
      </c>
    </row>
    <row r="15022" spans="1:8" x14ac:dyDescent="0.2">
      <c r="A15022" t="str">
        <f t="shared" si="5447"/>
        <v>0613111705</v>
      </c>
      <c r="B15022" t="str">
        <f t="shared" si="5448"/>
        <v>KADEN</v>
      </c>
      <c r="C15022" t="str">
        <f t="shared" si="5445"/>
        <v>RUSSELL</v>
      </c>
      <c r="D15022">
        <f>10</f>
        <v>10</v>
      </c>
      <c r="E15022" t="str">
        <f>"06 - B - 003 - Emmily A Sarmiento"</f>
        <v>06 - B - 003 - Emmily A Sarmiento</v>
      </c>
      <c r="F15022" t="str">
        <f>"NC STUDY HALL 1"</f>
        <v>NC STUDY HALL 1</v>
      </c>
      <c r="G15022" t="str">
        <f>"17-1743"</f>
        <v>17-1743</v>
      </c>
      <c r="H15022" t="str">
        <f>"B"</f>
        <v>B</v>
      </c>
    </row>
    <row r="15023" spans="1:8" x14ac:dyDescent="0.2">
      <c r="A15023" t="str">
        <f t="shared" si="5447"/>
        <v>0613111705</v>
      </c>
      <c r="B15023" t="str">
        <f t="shared" si="5448"/>
        <v>KADEN</v>
      </c>
      <c r="C15023" t="str">
        <f t="shared" si="5445"/>
        <v>RUSSELL</v>
      </c>
      <c r="D15023">
        <f>10</f>
        <v>10</v>
      </c>
      <c r="E15023" t="str">
        <f>"06 - B - 106 - Eric  Lopapa"</f>
        <v>06 - B - 106 - Eric  Lopapa</v>
      </c>
      <c r="F15023" t="str">
        <f>"LANG THERAPY"</f>
        <v>LANG THERAPY</v>
      </c>
      <c r="G15023" t="str">
        <f>"21-2110"</f>
        <v>21-2110</v>
      </c>
      <c r="H15023" t="str">
        <f>"B"</f>
        <v>B</v>
      </c>
    </row>
    <row r="15024" spans="1:8" x14ac:dyDescent="0.2">
      <c r="A15024" t="str">
        <f t="shared" si="5447"/>
        <v>0613111705</v>
      </c>
      <c r="B15024" t="str">
        <f t="shared" si="5448"/>
        <v>KADEN</v>
      </c>
      <c r="C15024" t="str">
        <f t="shared" si="5445"/>
        <v>RUSSELL</v>
      </c>
      <c r="D15024">
        <f>10</f>
        <v>10</v>
      </c>
      <c r="E15024" t="str">
        <f>"03 - A - 103 - Jacquelyn M Neeson"</f>
        <v>03 - A - 103 - Jacquelyn M Neeson</v>
      </c>
      <c r="F15024" t="str">
        <f>"ENG 2"</f>
        <v>ENG 2</v>
      </c>
      <c r="G15024" t="str">
        <f>"17-1715"</f>
        <v>17-1715</v>
      </c>
      <c r="H15024" t="str">
        <f>"A"</f>
        <v>A</v>
      </c>
    </row>
    <row r="15025" spans="1:8" x14ac:dyDescent="0.2">
      <c r="A15025" t="str">
        <f t="shared" si="5447"/>
        <v>0613111705</v>
      </c>
      <c r="B15025" t="str">
        <f t="shared" si="5448"/>
        <v>KADEN</v>
      </c>
      <c r="C15025" t="str">
        <f t="shared" si="5445"/>
        <v>RUSSELL</v>
      </c>
      <c r="D15025">
        <f>10</f>
        <v>10</v>
      </c>
      <c r="E15025" t="str">
        <f>"02 - A - 101 - Christa T Parisi"</f>
        <v>02 - A - 101 - Christa T Parisi</v>
      </c>
      <c r="F15025" t="str">
        <f>"LRNG STRATEGIES 9-12"</f>
        <v>LRNG STRATEGIES 9-12</v>
      </c>
      <c r="G15025" t="str">
        <f>"20-2072"</f>
        <v>20-2072</v>
      </c>
      <c r="H15025" t="str">
        <f>"A"</f>
        <v>A</v>
      </c>
    </row>
    <row r="15026" spans="1:8" x14ac:dyDescent="0.2">
      <c r="A15026" t="str">
        <f t="shared" si="5447"/>
        <v>0613111705</v>
      </c>
      <c r="B15026" t="str">
        <f t="shared" si="5448"/>
        <v>KADEN</v>
      </c>
      <c r="C15026" t="str">
        <f t="shared" si="5445"/>
        <v>RUSSELL</v>
      </c>
      <c r="D15026">
        <f>10</f>
        <v>10</v>
      </c>
      <c r="E15026" t="str">
        <f>"07 - B - 107 - Milca  Exantus"</f>
        <v>07 - B - 107 - Milca  Exantus</v>
      </c>
      <c r="F15026" t="str">
        <f>"MATH COLLEGE LIB ART"</f>
        <v>MATH COLLEGE LIB ART</v>
      </c>
      <c r="G15026" t="str">
        <f>"21-2145"</f>
        <v>21-2145</v>
      </c>
      <c r="H15026" t="str">
        <f>"B"</f>
        <v>B</v>
      </c>
    </row>
    <row r="15027" spans="1:8" x14ac:dyDescent="0.2">
      <c r="A15027" t="str">
        <f t="shared" si="5447"/>
        <v>0613111705</v>
      </c>
      <c r="B15027" t="str">
        <f t="shared" si="5448"/>
        <v>KADEN</v>
      </c>
      <c r="C15027" t="str">
        <f t="shared" si="5445"/>
        <v>RUSSELL</v>
      </c>
      <c r="D15027">
        <f>10</f>
        <v>10</v>
      </c>
      <c r="E15027" t="str">
        <f>"05 - B - 205 - Lenecy  Nodarse"</f>
        <v>05 - B - 205 - Lenecy  Nodarse</v>
      </c>
      <c r="F15027" t="str">
        <f>"WORLD HISTORY"</f>
        <v>WORLD HISTORY</v>
      </c>
      <c r="G15027" t="str">
        <f>"17-1741"</f>
        <v>17-1741</v>
      </c>
      <c r="H15027" t="str">
        <f>"B"</f>
        <v>B</v>
      </c>
    </row>
    <row r="15028" spans="1:8" x14ac:dyDescent="0.2">
      <c r="A15028" t="str">
        <f t="shared" si="5447"/>
        <v>0613111705</v>
      </c>
      <c r="B15028" t="str">
        <f t="shared" si="5448"/>
        <v>KADEN</v>
      </c>
      <c r="C15028" t="str">
        <f t="shared" si="5445"/>
        <v>RUSSELL</v>
      </c>
      <c r="D15028">
        <f>10</f>
        <v>10</v>
      </c>
      <c r="E15028" t="str">
        <f>"01 - A - 102 - Lytrell T Dixon"</f>
        <v>01 - A - 102 - Lytrell T Dixon</v>
      </c>
      <c r="F15028" t="str">
        <f>"BIOLOGY 1"</f>
        <v>BIOLOGY 1</v>
      </c>
      <c r="G15028" t="str">
        <f>"08-808"</f>
        <v>08-808</v>
      </c>
      <c r="H15028" t="str">
        <f>"A"</f>
        <v>A</v>
      </c>
    </row>
    <row r="15029" spans="1:8" x14ac:dyDescent="0.2">
      <c r="A15029" t="str">
        <f t="shared" si="5447"/>
        <v>0613111705</v>
      </c>
      <c r="B15029" t="str">
        <f t="shared" si="5448"/>
        <v>KADEN</v>
      </c>
      <c r="C15029" t="str">
        <f t="shared" si="5445"/>
        <v>RUSSELL</v>
      </c>
      <c r="D15029">
        <f>10</f>
        <v>10</v>
      </c>
      <c r="E15029" t="str">
        <f>"08 - B - 105 - Daniel S Tyson"</f>
        <v>08 - B - 105 - Daniel S Tyson</v>
      </c>
      <c r="F15029" t="str">
        <f>"JROTC NAVAL SCI 1"</f>
        <v>JROTC NAVAL SCI 1</v>
      </c>
      <c r="G15029" t="str">
        <f>"05-510"</f>
        <v>05-510</v>
      </c>
      <c r="H15029" t="str">
        <f>"B"</f>
        <v>B</v>
      </c>
    </row>
    <row r="15030" spans="1:8" x14ac:dyDescent="0.2">
      <c r="A15030" t="str">
        <f t="shared" ref="A15030:A15037" si="5449">"0624051243"</f>
        <v>0624051243</v>
      </c>
      <c r="B15030" t="str">
        <f t="shared" ref="B15030:B15037" si="5450">"ASLAN"</f>
        <v>ASLAN</v>
      </c>
      <c r="C15030" t="str">
        <f t="shared" ref="C15030:C15037" si="5451">"RUSTAMOV"</f>
        <v>RUSTAMOV</v>
      </c>
      <c r="D15030">
        <f>11</f>
        <v>11</v>
      </c>
      <c r="E15030" t="str">
        <f>"04 - A - 101 - Thomas G Handwerg"</f>
        <v>04 - A - 101 - Thomas G Handwerg</v>
      </c>
      <c r="F15030" t="str">
        <f>"MATH COLL ALGEBRA"</f>
        <v>MATH COLL ALGEBRA</v>
      </c>
      <c r="G15030" t="str">
        <f>"21-2146"</f>
        <v>21-2146</v>
      </c>
      <c r="H15030" t="str">
        <f>"A"</f>
        <v>A</v>
      </c>
    </row>
    <row r="15031" spans="1:8" x14ac:dyDescent="0.2">
      <c r="A15031" t="str">
        <f t="shared" si="5449"/>
        <v>0624051243</v>
      </c>
      <c r="B15031" t="str">
        <f t="shared" si="5450"/>
        <v>ASLAN</v>
      </c>
      <c r="C15031" t="str">
        <f t="shared" si="5451"/>
        <v>RUSTAMOV</v>
      </c>
      <c r="D15031">
        <f>11</f>
        <v>11</v>
      </c>
      <c r="E15031" t="str">
        <f>"06 - B - 206 - Jacqueline R Morphet"</f>
        <v>06 - B - 206 - Jacqueline R Morphet</v>
      </c>
      <c r="F15031" t="str">
        <f>"PHYSICS 1 HON"</f>
        <v>PHYSICS 1 HON</v>
      </c>
      <c r="G15031" t="str">
        <f>"21-2138"</f>
        <v>21-2138</v>
      </c>
      <c r="H15031" t="str">
        <f>"B"</f>
        <v>B</v>
      </c>
    </row>
    <row r="15032" spans="1:8" x14ac:dyDescent="0.2">
      <c r="A15032" t="str">
        <f t="shared" si="5449"/>
        <v>0624051243</v>
      </c>
      <c r="B15032" t="str">
        <f t="shared" si="5450"/>
        <v>ASLAN</v>
      </c>
      <c r="C15032" t="str">
        <f t="shared" si="5451"/>
        <v>RUSTAMOV</v>
      </c>
      <c r="D15032">
        <f>11</f>
        <v>11</v>
      </c>
      <c r="E15032" t="str">
        <f>"03 - A - 201 - Joe  Kilpatrick Jr"</f>
        <v>03 - A - 201 - Joe  Kilpatrick Jr</v>
      </c>
      <c r="F15032" t="str">
        <f>"PRE-AICE SPAN 2 IG"</f>
        <v>PRE-AICE SPAN 2 IG</v>
      </c>
      <c r="G15032" t="str">
        <f>"09-912"</f>
        <v>09-912</v>
      </c>
      <c r="H15032" t="str">
        <f>"A"</f>
        <v>A</v>
      </c>
    </row>
    <row r="15033" spans="1:8" x14ac:dyDescent="0.2">
      <c r="A15033" t="str">
        <f t="shared" si="5449"/>
        <v>0624051243</v>
      </c>
      <c r="B15033" t="str">
        <f t="shared" si="5450"/>
        <v>ASLAN</v>
      </c>
      <c r="C15033" t="str">
        <f t="shared" si="5451"/>
        <v>RUSTAMOV</v>
      </c>
      <c r="D15033">
        <f>11</f>
        <v>11</v>
      </c>
      <c r="E15033" t="str">
        <f>"02 - A - 117 - Kyle  Robbins"</f>
        <v>02 - A - 117 - Kyle  Robbins</v>
      </c>
      <c r="F15033" t="str">
        <f>"NC STUDY HALL 1"</f>
        <v>NC STUDY HALL 1</v>
      </c>
      <c r="G15033" t="str">
        <f>"17-1745"</f>
        <v>17-1745</v>
      </c>
      <c r="H15033" t="str">
        <f>"A"</f>
        <v>A</v>
      </c>
    </row>
    <row r="15034" spans="1:8" x14ac:dyDescent="0.2">
      <c r="A15034" t="str">
        <f t="shared" si="5449"/>
        <v>0624051243</v>
      </c>
      <c r="B15034" t="str">
        <f t="shared" si="5450"/>
        <v>ASLAN</v>
      </c>
      <c r="C15034" t="str">
        <f t="shared" si="5451"/>
        <v>RUSTAMOV</v>
      </c>
      <c r="D15034">
        <f>11</f>
        <v>11</v>
      </c>
      <c r="E15034" t="str">
        <f>"07 - B - 201 - Angela S Adeshina-Morrison"</f>
        <v>07 - B - 201 - Angela S Adeshina-Morrison</v>
      </c>
      <c r="F15034" t="str">
        <f>"BUSINESS OWNER HON"</f>
        <v>BUSINESS OWNER HON</v>
      </c>
      <c r="G15034" t="str">
        <f>"05-518"</f>
        <v>05-518</v>
      </c>
      <c r="H15034" t="str">
        <f>"B"</f>
        <v>B</v>
      </c>
    </row>
    <row r="15035" spans="1:8" x14ac:dyDescent="0.2">
      <c r="A15035" t="str">
        <f t="shared" si="5449"/>
        <v>0624051243</v>
      </c>
      <c r="B15035" t="str">
        <f t="shared" si="5450"/>
        <v>ASLAN</v>
      </c>
      <c r="C15035" t="str">
        <f t="shared" si="5451"/>
        <v>RUSTAMOV</v>
      </c>
      <c r="D15035">
        <f>11</f>
        <v>11</v>
      </c>
      <c r="E15035" t="str">
        <f>"05 - B - 102 - Jacklyn M James"</f>
        <v>05 - B - 102 - Jacklyn M James</v>
      </c>
      <c r="F15035" t="str">
        <f>"AICE ENG LANG AS"</f>
        <v>AICE ENG LANG AS</v>
      </c>
      <c r="G15035" t="str">
        <f>"17-1731"</f>
        <v>17-1731</v>
      </c>
      <c r="H15035" t="str">
        <f>"B"</f>
        <v>B</v>
      </c>
    </row>
    <row r="15036" spans="1:8" x14ac:dyDescent="0.2">
      <c r="A15036" t="str">
        <f t="shared" si="5449"/>
        <v>0624051243</v>
      </c>
      <c r="B15036" t="str">
        <f t="shared" si="5450"/>
        <v>ASLAN</v>
      </c>
      <c r="C15036" t="str">
        <f t="shared" si="5451"/>
        <v>RUSTAMOV</v>
      </c>
      <c r="D15036">
        <f>11</f>
        <v>11</v>
      </c>
      <c r="E15036" t="str">
        <f>"01 - A - 201 - Stefanie S Scher"</f>
        <v>01 - A - 201 - Stefanie S Scher</v>
      </c>
      <c r="F15036" t="str">
        <f>"AICE PSYCH 1 AS"</f>
        <v>AICE PSYCH 1 AS</v>
      </c>
      <c r="G15036" t="str">
        <f>"17-1735"</f>
        <v>17-1735</v>
      </c>
      <c r="H15036" t="str">
        <f>"A"</f>
        <v>A</v>
      </c>
    </row>
    <row r="15037" spans="1:8" x14ac:dyDescent="0.2">
      <c r="A15037" t="str">
        <f t="shared" si="5449"/>
        <v>0624051243</v>
      </c>
      <c r="B15037" t="str">
        <f t="shared" si="5450"/>
        <v>ASLAN</v>
      </c>
      <c r="C15037" t="str">
        <f t="shared" si="5451"/>
        <v>RUSTAMOV</v>
      </c>
      <c r="D15037">
        <f>11</f>
        <v>11</v>
      </c>
      <c r="E15037" t="str">
        <f>"08 - B - 001 - Jerry S Jiampetti"</f>
        <v>08 - B - 001 - Jerry S Jiampetti</v>
      </c>
      <c r="F15037" t="str">
        <f>"AICE U.S. HIST 1 AS"</f>
        <v>AICE U.S. HIST 1 AS</v>
      </c>
      <c r="G15037" t="str">
        <f>"17-1751"</f>
        <v>17-1751</v>
      </c>
      <c r="H15037" t="str">
        <f>"B"</f>
        <v>B</v>
      </c>
    </row>
    <row r="15038" spans="1:8" x14ac:dyDescent="0.2">
      <c r="A15038" t="str">
        <f t="shared" ref="A15038:A15045" si="5452">"0624051273"</f>
        <v>0624051273</v>
      </c>
      <c r="B15038" t="str">
        <f t="shared" ref="B15038:B15045" si="5453">"SAMIRA"</f>
        <v>SAMIRA</v>
      </c>
      <c r="C15038" t="str">
        <f t="shared" ref="C15038:C15045" si="5454">"RUSTAMOVA"</f>
        <v>RUSTAMOVA</v>
      </c>
      <c r="D15038">
        <f>12</f>
        <v>12</v>
      </c>
      <c r="E15038" t="str">
        <f>"04 - A - 101 - Brian M Fitzgerald"</f>
        <v>04 - A - 101 - Brian M Fitzgerald</v>
      </c>
      <c r="F15038" t="str">
        <f>"DRAW 2"</f>
        <v>DRAW 2</v>
      </c>
      <c r="G15038" t="str">
        <f>"09-908"</f>
        <v>09-908</v>
      </c>
      <c r="H15038" t="str">
        <f>"A"</f>
        <v>A</v>
      </c>
    </row>
    <row r="15039" spans="1:8" x14ac:dyDescent="0.2">
      <c r="A15039" t="str">
        <f t="shared" si="5452"/>
        <v>0624051273</v>
      </c>
      <c r="B15039" t="str">
        <f t="shared" si="5453"/>
        <v>SAMIRA</v>
      </c>
      <c r="C15039" t="str">
        <f t="shared" si="5454"/>
        <v>RUSTAMOVA</v>
      </c>
      <c r="D15039">
        <f>12</f>
        <v>12</v>
      </c>
      <c r="E15039" t="str">
        <f>"06 - B - 106 - Taraneh C Abreu"</f>
        <v>06 - B - 106 - Taraneh C Abreu</v>
      </c>
      <c r="F15039" t="str">
        <f>"NC STUDY HALL 1"</f>
        <v>NC STUDY HALL 1</v>
      </c>
      <c r="G15039" t="str">
        <f>"17-1713"</f>
        <v>17-1713</v>
      </c>
      <c r="H15039" t="str">
        <f>"B"</f>
        <v>B</v>
      </c>
    </row>
    <row r="15040" spans="1:8" x14ac:dyDescent="0.2">
      <c r="A15040" t="str">
        <f t="shared" si="5452"/>
        <v>0624051273</v>
      </c>
      <c r="B15040" t="str">
        <f t="shared" si="5453"/>
        <v>SAMIRA</v>
      </c>
      <c r="C15040" t="str">
        <f t="shared" si="5454"/>
        <v>RUSTAMOVA</v>
      </c>
      <c r="D15040">
        <f>12</f>
        <v>12</v>
      </c>
      <c r="E15040" t="str">
        <f>"03 - A - 101 - Dorothy D Moore"</f>
        <v>03 - A - 101 - Dorothy D Moore</v>
      </c>
      <c r="F15040" t="str">
        <f>"FORC SCI 1 LH"</f>
        <v>FORC SCI 1 LH</v>
      </c>
      <c r="G15040" t="str">
        <f>"08-803"</f>
        <v>08-803</v>
      </c>
      <c r="H15040" t="str">
        <f>"A"</f>
        <v>A</v>
      </c>
    </row>
    <row r="15041" spans="1:8" x14ac:dyDescent="0.2">
      <c r="A15041" t="str">
        <f t="shared" si="5452"/>
        <v>0624051273</v>
      </c>
      <c r="B15041" t="str">
        <f t="shared" si="5453"/>
        <v>SAMIRA</v>
      </c>
      <c r="C15041" t="str">
        <f t="shared" si="5454"/>
        <v>RUSTAMOVA</v>
      </c>
      <c r="D15041">
        <f>12</f>
        <v>12</v>
      </c>
      <c r="E15041" t="str">
        <f>"02 - A - 102 - Jeffrey S Gallagher"</f>
        <v>02 - A - 102 - Jeffrey S Gallagher</v>
      </c>
      <c r="F15041" t="str">
        <f>"ENG HON 4"</f>
        <v>ENG HON 4</v>
      </c>
      <c r="G15041" t="str">
        <f>"17-1724"</f>
        <v>17-1724</v>
      </c>
      <c r="H15041" t="str">
        <f>"A"</f>
        <v>A</v>
      </c>
    </row>
    <row r="15042" spans="1:8" x14ac:dyDescent="0.2">
      <c r="A15042" t="str">
        <f t="shared" si="5452"/>
        <v>0624051273</v>
      </c>
      <c r="B15042" t="str">
        <f t="shared" si="5453"/>
        <v>SAMIRA</v>
      </c>
      <c r="C15042" t="str">
        <f t="shared" si="5454"/>
        <v>RUSTAMOVA</v>
      </c>
      <c r="D15042">
        <f>12</f>
        <v>12</v>
      </c>
      <c r="E15042" t="str">
        <f>"07 - S1 - B - 101 - Stephen T Ripp"</f>
        <v>07 - S1 - B - 101 - Stephen T Ripp</v>
      </c>
      <c r="F15042" t="str">
        <f>"AP US GOVT/POL"</f>
        <v>AP US GOVT/POL</v>
      </c>
      <c r="G15042" t="str">
        <f>"17-1744"</f>
        <v>17-1744</v>
      </c>
      <c r="H15042" t="str">
        <f>"B"</f>
        <v>B</v>
      </c>
    </row>
    <row r="15043" spans="1:8" x14ac:dyDescent="0.2">
      <c r="A15043" t="str">
        <f t="shared" si="5452"/>
        <v>0624051273</v>
      </c>
      <c r="B15043" t="str">
        <f t="shared" si="5453"/>
        <v>SAMIRA</v>
      </c>
      <c r="C15043" t="str">
        <f t="shared" si="5454"/>
        <v>RUSTAMOVA</v>
      </c>
      <c r="D15043">
        <f>12</f>
        <v>12</v>
      </c>
      <c r="E15043" t="str">
        <f>"05 - B - 101 - Angela S Adeshina-Morrison"</f>
        <v>05 - B - 101 - Angela S Adeshina-Morrison</v>
      </c>
      <c r="F15043" t="str">
        <f>"MKT MANAGEMENT LH"</f>
        <v>MKT MANAGEMENT LH</v>
      </c>
      <c r="G15043" t="str">
        <f>"05-518"</f>
        <v>05-518</v>
      </c>
      <c r="H15043" t="str">
        <f>"B"</f>
        <v>B</v>
      </c>
    </row>
    <row r="15044" spans="1:8" x14ac:dyDescent="0.2">
      <c r="A15044" t="str">
        <f t="shared" si="5452"/>
        <v>0624051273</v>
      </c>
      <c r="B15044" t="str">
        <f t="shared" si="5453"/>
        <v>SAMIRA</v>
      </c>
      <c r="C15044" t="str">
        <f t="shared" si="5454"/>
        <v>RUSTAMOVA</v>
      </c>
      <c r="D15044">
        <f>12</f>
        <v>12</v>
      </c>
      <c r="E15044" t="str">
        <f>"01 - A - 101 - Norayda D Suarez"</f>
        <v>01 - A - 101 - Norayda D Suarez</v>
      </c>
      <c r="F15044" t="str">
        <f>"RESEARCH 1 LH"</f>
        <v>RESEARCH 1 LH</v>
      </c>
      <c r="G15044">
        <f>2041</f>
        <v>2041</v>
      </c>
      <c r="H15044" t="str">
        <f>"A"</f>
        <v>A</v>
      </c>
    </row>
    <row r="15045" spans="1:8" x14ac:dyDescent="0.2">
      <c r="A15045" t="str">
        <f t="shared" si="5452"/>
        <v>0624051273</v>
      </c>
      <c r="B15045" t="str">
        <f t="shared" si="5453"/>
        <v>SAMIRA</v>
      </c>
      <c r="C15045" t="str">
        <f t="shared" si="5454"/>
        <v>RUSTAMOVA</v>
      </c>
      <c r="D15045">
        <f>12</f>
        <v>12</v>
      </c>
      <c r="E15045" t="str">
        <f>"08 - B - 102 - Pamela M Corzo"</f>
        <v>08 - B - 102 - Pamela M Corzo</v>
      </c>
      <c r="F15045" t="str">
        <f>"AP STAT"</f>
        <v>AP STAT</v>
      </c>
      <c r="G15045" t="str">
        <f>"21-2133"</f>
        <v>21-2133</v>
      </c>
      <c r="H15045" t="str">
        <f>"B"</f>
        <v>B</v>
      </c>
    </row>
    <row r="15046" spans="1:8" x14ac:dyDescent="0.2">
      <c r="A15046" t="str">
        <f t="shared" ref="A15046:A15053" si="5455">"0616115689"</f>
        <v>0616115689</v>
      </c>
      <c r="B15046" t="str">
        <f t="shared" ref="B15046:B15053" si="5456">"INEZA"</f>
        <v>INEZA</v>
      </c>
      <c r="C15046" t="str">
        <f t="shared" ref="C15046:C15053" si="5457">"RUTAYISIRE"</f>
        <v>RUTAYISIRE</v>
      </c>
      <c r="D15046" t="str">
        <f t="shared" ref="D15046:D15061" si="5458">"09"</f>
        <v>09</v>
      </c>
      <c r="E15046" t="str">
        <f>"04 - A - 201 - Dorothy D Moore"</f>
        <v>04 - A - 201 - Dorothy D Moore</v>
      </c>
      <c r="F15046" t="str">
        <f>"HEALTH SCI 1/A&amp;P HON"</f>
        <v>HEALTH SCI 1/A&amp;P HON</v>
      </c>
      <c r="G15046" t="str">
        <f>"08-803"</f>
        <v>08-803</v>
      </c>
      <c r="H15046" t="str">
        <f>"A"</f>
        <v>A</v>
      </c>
    </row>
    <row r="15047" spans="1:8" x14ac:dyDescent="0.2">
      <c r="A15047" t="str">
        <f t="shared" si="5455"/>
        <v>0616115689</v>
      </c>
      <c r="B15047" t="str">
        <f t="shared" si="5456"/>
        <v>INEZA</v>
      </c>
      <c r="C15047" t="str">
        <f t="shared" si="5457"/>
        <v>RUTAYISIRE</v>
      </c>
      <c r="D15047" t="str">
        <f t="shared" si="5458"/>
        <v>09</v>
      </c>
      <c r="E15047" t="str">
        <f>"06 - B - 202 - Brian M Fitzgerald"</f>
        <v>06 - B - 202 - Brian M Fitzgerald</v>
      </c>
      <c r="F15047" t="str">
        <f>"DRAW 1"</f>
        <v>DRAW 1</v>
      </c>
      <c r="G15047" t="str">
        <f>"09-908"</f>
        <v>09-908</v>
      </c>
      <c r="H15047" t="str">
        <f>"B"</f>
        <v>B</v>
      </c>
    </row>
    <row r="15048" spans="1:8" x14ac:dyDescent="0.2">
      <c r="A15048" t="str">
        <f t="shared" si="5455"/>
        <v>0616115689</v>
      </c>
      <c r="B15048" t="str">
        <f t="shared" si="5456"/>
        <v>INEZA</v>
      </c>
      <c r="C15048" t="str">
        <f t="shared" si="5457"/>
        <v>RUTAYISIRE</v>
      </c>
      <c r="D15048" t="str">
        <f t="shared" si="5458"/>
        <v>09</v>
      </c>
      <c r="E15048" t="str">
        <f>"03 - A - 203 - Elizabeth R Walker"</f>
        <v>03 - A - 203 - Elizabeth R Walker</v>
      </c>
      <c r="F15048" t="str">
        <f>"AICE ENG GEN PAPER 1"</f>
        <v>AICE ENG GEN PAPER 1</v>
      </c>
      <c r="G15048" t="str">
        <f>"17-1703"</f>
        <v>17-1703</v>
      </c>
      <c r="H15048" t="str">
        <f>"A"</f>
        <v>A</v>
      </c>
    </row>
    <row r="15049" spans="1:8" x14ac:dyDescent="0.2">
      <c r="A15049" t="str">
        <f t="shared" si="5455"/>
        <v>0616115689</v>
      </c>
      <c r="B15049" t="str">
        <f t="shared" si="5456"/>
        <v>INEZA</v>
      </c>
      <c r="C15049" t="str">
        <f t="shared" si="5457"/>
        <v>RUTAYISIRE</v>
      </c>
      <c r="D15049" t="str">
        <f t="shared" si="5458"/>
        <v>09</v>
      </c>
      <c r="E15049" t="str">
        <f>"02 - A - 107 - Cerine S Stewart"</f>
        <v>02 - A - 107 - Cerine S Stewart</v>
      </c>
      <c r="F15049" t="str">
        <f>"NC STUDY HALL 1"</f>
        <v>NC STUDY HALL 1</v>
      </c>
      <c r="G15049" t="str">
        <f>"17-1720"</f>
        <v>17-1720</v>
      </c>
      <c r="H15049" t="str">
        <f>"A"</f>
        <v>A</v>
      </c>
    </row>
    <row r="15050" spans="1:8" x14ac:dyDescent="0.2">
      <c r="A15050" t="str">
        <f t="shared" si="5455"/>
        <v>0616115689</v>
      </c>
      <c r="B15050" t="str">
        <f t="shared" si="5456"/>
        <v>INEZA</v>
      </c>
      <c r="C15050" t="str">
        <f t="shared" si="5457"/>
        <v>RUTAYISIRE</v>
      </c>
      <c r="D15050" t="str">
        <f t="shared" si="5458"/>
        <v>09</v>
      </c>
      <c r="E15050" t="str">
        <f>"07 - B - 207 - Krystal Marie  Beruty"</f>
        <v>07 - B - 207 - Krystal Marie  Beruty</v>
      </c>
      <c r="F15050" t="str">
        <f>"AICE GLBL PERSP 1 AS"</f>
        <v>AICE GLBL PERSP 1 AS</v>
      </c>
      <c r="G15050" t="str">
        <f>"17-1721"</f>
        <v>17-1721</v>
      </c>
      <c r="H15050" t="str">
        <f>"B"</f>
        <v>B</v>
      </c>
    </row>
    <row r="15051" spans="1:8" x14ac:dyDescent="0.2">
      <c r="A15051" t="str">
        <f t="shared" si="5455"/>
        <v>0616115689</v>
      </c>
      <c r="B15051" t="str">
        <f t="shared" si="5456"/>
        <v>INEZA</v>
      </c>
      <c r="C15051" t="str">
        <f t="shared" si="5457"/>
        <v>RUTAYISIRE</v>
      </c>
      <c r="D15051" t="str">
        <f t="shared" si="5458"/>
        <v>09</v>
      </c>
      <c r="E15051" t="str">
        <f>"05 - B - 204 - Cheryl L Beach"</f>
        <v>05 - B - 204 - Cheryl L Beach</v>
      </c>
      <c r="F15051" t="str">
        <f>"AICE ENV MGMNT AS"</f>
        <v>AICE ENV MGMNT AS</v>
      </c>
      <c r="G15051" t="str">
        <f>"08-811"</f>
        <v>08-811</v>
      </c>
      <c r="H15051" t="str">
        <f>"B"</f>
        <v>B</v>
      </c>
    </row>
    <row r="15052" spans="1:8" x14ac:dyDescent="0.2">
      <c r="A15052" t="str">
        <f t="shared" si="5455"/>
        <v>0616115689</v>
      </c>
      <c r="B15052" t="str">
        <f t="shared" si="5456"/>
        <v>INEZA</v>
      </c>
      <c r="C15052" t="str">
        <f t="shared" si="5457"/>
        <v>RUTAYISIRE</v>
      </c>
      <c r="D15052" t="str">
        <f t="shared" si="5458"/>
        <v>09</v>
      </c>
      <c r="E15052" t="str">
        <f>"01 - A - 101 - Maried P Ramos"</f>
        <v>01 - A - 101 - Maried P Ramos</v>
      </c>
      <c r="F15052" t="str">
        <f>"ALGEBRA 2 HON"</f>
        <v>ALGEBRA 2 HON</v>
      </c>
      <c r="G15052" t="str">
        <f>"21-2159"</f>
        <v>21-2159</v>
      </c>
      <c r="H15052" t="str">
        <f>"A"</f>
        <v>A</v>
      </c>
    </row>
    <row r="15053" spans="1:8" x14ac:dyDescent="0.2">
      <c r="A15053" t="str">
        <f t="shared" si="5455"/>
        <v>0616115689</v>
      </c>
      <c r="B15053" t="str">
        <f t="shared" si="5456"/>
        <v>INEZA</v>
      </c>
      <c r="C15053" t="str">
        <f t="shared" si="5457"/>
        <v>RUTAYISIRE</v>
      </c>
      <c r="D15053" t="str">
        <f t="shared" si="5458"/>
        <v>09</v>
      </c>
      <c r="E15053" t="str">
        <f>"08 - B - 201 - Tina M Jaramillo"</f>
        <v>08 - B - 201 - Tina M Jaramillo</v>
      </c>
      <c r="F15053" t="str">
        <f>"CREATIVE WRIT 3 HON"</f>
        <v>CREATIVE WRIT 3 HON</v>
      </c>
      <c r="G15053" t="str">
        <f>"17-1706"</f>
        <v>17-1706</v>
      </c>
      <c r="H15053" t="str">
        <f>"B"</f>
        <v>B</v>
      </c>
    </row>
    <row r="15054" spans="1:8" x14ac:dyDescent="0.2">
      <c r="A15054" t="str">
        <f t="shared" ref="A15054:A15061" si="5459">"0616104179"</f>
        <v>0616104179</v>
      </c>
      <c r="B15054" t="str">
        <f t="shared" ref="B15054:B15061" si="5460">"SOPHIA"</f>
        <v>SOPHIA</v>
      </c>
      <c r="C15054" t="str">
        <f t="shared" ref="C15054:C15061" si="5461">"RUWE"</f>
        <v>RUWE</v>
      </c>
      <c r="D15054" t="str">
        <f t="shared" si="5458"/>
        <v>09</v>
      </c>
      <c r="E15054" t="str">
        <f>"04 - A - 104 - Brook E Goren"</f>
        <v>04 - A - 104 - Brook E Goren</v>
      </c>
      <c r="F15054" t="str">
        <f>"ALGEBRA 2 HON"</f>
        <v>ALGEBRA 2 HON</v>
      </c>
      <c r="G15054" t="str">
        <f>"21-2158"</f>
        <v>21-2158</v>
      </c>
      <c r="H15054" t="str">
        <f>"A"</f>
        <v>A</v>
      </c>
    </row>
    <row r="15055" spans="1:8" x14ac:dyDescent="0.2">
      <c r="A15055" t="str">
        <f t="shared" si="5459"/>
        <v>0616104179</v>
      </c>
      <c r="B15055" t="str">
        <f t="shared" si="5460"/>
        <v>SOPHIA</v>
      </c>
      <c r="C15055" t="str">
        <f t="shared" si="5461"/>
        <v>RUWE</v>
      </c>
      <c r="D15055" t="str">
        <f t="shared" si="5458"/>
        <v>09</v>
      </c>
      <c r="E15055" t="str">
        <f>"06 - B - 105 - Cheryl L Beach"</f>
        <v>06 - B - 105 - Cheryl L Beach</v>
      </c>
      <c r="F15055" t="str">
        <f>"AICE ENV MGMNT AS"</f>
        <v>AICE ENV MGMNT AS</v>
      </c>
      <c r="G15055" t="str">
        <f>"08-811"</f>
        <v>08-811</v>
      </c>
      <c r="H15055" t="str">
        <f>"B"</f>
        <v>B</v>
      </c>
    </row>
    <row r="15056" spans="1:8" x14ac:dyDescent="0.2">
      <c r="A15056" t="str">
        <f t="shared" si="5459"/>
        <v>0616104179</v>
      </c>
      <c r="B15056" t="str">
        <f t="shared" si="5460"/>
        <v>SOPHIA</v>
      </c>
      <c r="C15056" t="str">
        <f t="shared" si="5461"/>
        <v>RUWE</v>
      </c>
      <c r="D15056" t="str">
        <f t="shared" si="5458"/>
        <v>09</v>
      </c>
      <c r="E15056" t="str">
        <f>"03 - A - 103 - Marius D Orsolini"</f>
        <v>03 - A - 103 - Marius D Orsolini</v>
      </c>
      <c r="F15056" t="str">
        <f>"CULINARY ARTS 1"</f>
        <v>CULINARY ARTS 1</v>
      </c>
      <c r="G15056" t="str">
        <f>"21-2115"</f>
        <v>21-2115</v>
      </c>
      <c r="H15056" t="str">
        <f>"A"</f>
        <v>A</v>
      </c>
    </row>
    <row r="15057" spans="1:8" x14ac:dyDescent="0.2">
      <c r="A15057" t="str">
        <f t="shared" si="5459"/>
        <v>0616104179</v>
      </c>
      <c r="B15057" t="str">
        <f t="shared" si="5460"/>
        <v>SOPHIA</v>
      </c>
      <c r="C15057" t="str">
        <f t="shared" si="5461"/>
        <v>RUWE</v>
      </c>
      <c r="D15057" t="str">
        <f t="shared" si="5458"/>
        <v>09</v>
      </c>
      <c r="E15057" t="str">
        <f>"02 - A - 101 - Josiah I Lacy"</f>
        <v>02 - A - 101 - Josiah I Lacy</v>
      </c>
      <c r="F15057" t="str">
        <f>"NC STUDY HALL 1"</f>
        <v>NC STUDY HALL 1</v>
      </c>
      <c r="G15057" t="str">
        <f>"08-801"</f>
        <v>08-801</v>
      </c>
      <c r="H15057" t="str">
        <f>"A"</f>
        <v>A</v>
      </c>
    </row>
    <row r="15058" spans="1:8" x14ac:dyDescent="0.2">
      <c r="A15058" t="str">
        <f t="shared" si="5459"/>
        <v>0616104179</v>
      </c>
      <c r="B15058" t="str">
        <f t="shared" si="5460"/>
        <v>SOPHIA</v>
      </c>
      <c r="C15058" t="str">
        <f t="shared" si="5461"/>
        <v>RUWE</v>
      </c>
      <c r="D15058" t="str">
        <f t="shared" si="5458"/>
        <v>09</v>
      </c>
      <c r="E15058" t="str">
        <f>"07 - B - 102 - Carleigh R Carmichael"</f>
        <v>07 - B - 102 - Carleigh R Carmichael</v>
      </c>
      <c r="F15058" t="str">
        <f>"LEAD SKLS DEV LH"</f>
        <v>LEAD SKLS DEV LH</v>
      </c>
      <c r="G15058" t="str">
        <f>"20-2072"</f>
        <v>20-2072</v>
      </c>
      <c r="H15058" t="str">
        <f>"B"</f>
        <v>B</v>
      </c>
    </row>
    <row r="15059" spans="1:8" x14ac:dyDescent="0.2">
      <c r="A15059" t="str">
        <f t="shared" si="5459"/>
        <v>0616104179</v>
      </c>
      <c r="B15059" t="str">
        <f t="shared" si="5460"/>
        <v>SOPHIA</v>
      </c>
      <c r="C15059" t="str">
        <f t="shared" si="5461"/>
        <v>RUWE</v>
      </c>
      <c r="D15059" t="str">
        <f t="shared" si="5458"/>
        <v>09</v>
      </c>
      <c r="E15059" t="str">
        <f>"05 - B - 002 - Cheryl Anne  Berman-Schechter"</f>
        <v>05 - B - 002 - Cheryl Anne  Berman-Schechter</v>
      </c>
      <c r="F15059" t="str">
        <f>"AICE ENG GEN PAPER 1"</f>
        <v>AICE ENG GEN PAPER 1</v>
      </c>
      <c r="G15059" t="str">
        <f>"17-1722"</f>
        <v>17-1722</v>
      </c>
      <c r="H15059" t="str">
        <f>"B"</f>
        <v>B</v>
      </c>
    </row>
    <row r="15060" spans="1:8" x14ac:dyDescent="0.2">
      <c r="A15060" t="str">
        <f t="shared" si="5459"/>
        <v>0616104179</v>
      </c>
      <c r="B15060" t="str">
        <f t="shared" si="5460"/>
        <v>SOPHIA</v>
      </c>
      <c r="C15060" t="str">
        <f t="shared" si="5461"/>
        <v>RUWE</v>
      </c>
      <c r="D15060" t="str">
        <f t="shared" si="5458"/>
        <v>09</v>
      </c>
      <c r="E15060" t="str">
        <f>"01 - A - 006 - Emmily A Sarmiento"</f>
        <v>01 - A - 006 - Emmily A Sarmiento</v>
      </c>
      <c r="F15060" t="str">
        <f>"AICE GLBL PERSP 1 AS"</f>
        <v>AICE GLBL PERSP 1 AS</v>
      </c>
      <c r="G15060" t="str">
        <f>"17-1743"</f>
        <v>17-1743</v>
      </c>
      <c r="H15060" t="str">
        <f>"A"</f>
        <v>A</v>
      </c>
    </row>
    <row r="15061" spans="1:8" x14ac:dyDescent="0.2">
      <c r="A15061" t="str">
        <f t="shared" si="5459"/>
        <v>0616104179</v>
      </c>
      <c r="B15061" t="str">
        <f t="shared" si="5460"/>
        <v>SOPHIA</v>
      </c>
      <c r="C15061" t="str">
        <f t="shared" si="5461"/>
        <v>RUWE</v>
      </c>
      <c r="D15061" t="str">
        <f t="shared" si="5458"/>
        <v>09</v>
      </c>
      <c r="E15061" t="str">
        <f>"08 - B - 202 - Dorothy D Moore"</f>
        <v>08 - B - 202 - Dorothy D Moore</v>
      </c>
      <c r="F15061" t="str">
        <f>"HEALTH SCI 1/A&amp;P HON"</f>
        <v>HEALTH SCI 1/A&amp;P HON</v>
      </c>
      <c r="G15061" t="str">
        <f>"08-803"</f>
        <v>08-803</v>
      </c>
      <c r="H15061" t="str">
        <f>"B"</f>
        <v>B</v>
      </c>
    </row>
    <row r="15062" spans="1:8" x14ac:dyDescent="0.2">
      <c r="A15062" t="str">
        <f t="shared" ref="A15062:A15069" si="5462">"0613103871"</f>
        <v>0613103871</v>
      </c>
      <c r="B15062" t="str">
        <f t="shared" ref="B15062:B15069" si="5463">"COLIN"</f>
        <v>COLIN</v>
      </c>
      <c r="C15062" t="str">
        <f t="shared" ref="C15062:C15069" si="5464">"RYAN"</f>
        <v>RYAN</v>
      </c>
      <c r="D15062">
        <f>10</f>
        <v>10</v>
      </c>
      <c r="E15062" t="str">
        <f>"04 - A - 104 - Marius D Orsolini"</f>
        <v>04 - A - 104 - Marius D Orsolini</v>
      </c>
      <c r="F15062" t="str">
        <f>"CULINARY ARTS 1"</f>
        <v>CULINARY ARTS 1</v>
      </c>
      <c r="G15062" t="str">
        <f>"21-2115"</f>
        <v>21-2115</v>
      </c>
      <c r="H15062" t="str">
        <f>"A"</f>
        <v>A</v>
      </c>
    </row>
    <row r="15063" spans="1:8" x14ac:dyDescent="0.2">
      <c r="A15063" t="str">
        <f t="shared" si="5462"/>
        <v>0613103871</v>
      </c>
      <c r="B15063" t="str">
        <f t="shared" si="5463"/>
        <v>COLIN</v>
      </c>
      <c r="C15063" t="str">
        <f t="shared" si="5464"/>
        <v>RYAN</v>
      </c>
      <c r="D15063">
        <f>10</f>
        <v>10</v>
      </c>
      <c r="E15063" t="str">
        <f>"06 - B - 114 - Richard E Dunbar Iii"</f>
        <v>06 - B - 114 - Richard E Dunbar Iii</v>
      </c>
      <c r="F15063" t="str">
        <f>"NC STUDY HALL 1"</f>
        <v>NC STUDY HALL 1</v>
      </c>
      <c r="G15063" t="str">
        <f>"17-1703"</f>
        <v>17-1703</v>
      </c>
      <c r="H15063" t="str">
        <f>"B"</f>
        <v>B</v>
      </c>
    </row>
    <row r="15064" spans="1:8" x14ac:dyDescent="0.2">
      <c r="A15064" t="str">
        <f t="shared" si="5462"/>
        <v>0613103871</v>
      </c>
      <c r="B15064" t="str">
        <f t="shared" si="5463"/>
        <v>COLIN</v>
      </c>
      <c r="C15064" t="str">
        <f t="shared" si="5464"/>
        <v>RYAN</v>
      </c>
      <c r="D15064">
        <f>10</f>
        <v>10</v>
      </c>
      <c r="E15064" t="str">
        <f>"03 - A - 104 - Brook E Goren"</f>
        <v>03 - A - 104 - Brook E Goren</v>
      </c>
      <c r="F15064" t="str">
        <f>"ALGEBRA 2 HON"</f>
        <v>ALGEBRA 2 HON</v>
      </c>
      <c r="G15064" t="str">
        <f>"21-2158"</f>
        <v>21-2158</v>
      </c>
      <c r="H15064" t="str">
        <f>"A"</f>
        <v>A</v>
      </c>
    </row>
    <row r="15065" spans="1:8" x14ac:dyDescent="0.2">
      <c r="A15065" t="str">
        <f t="shared" si="5462"/>
        <v>0613103871</v>
      </c>
      <c r="B15065" t="str">
        <f t="shared" si="5463"/>
        <v>COLIN</v>
      </c>
      <c r="C15065" t="str">
        <f t="shared" si="5464"/>
        <v>RYAN</v>
      </c>
      <c r="D15065">
        <f>10</f>
        <v>10</v>
      </c>
      <c r="E15065" t="str">
        <f>"02 - A - 102 - Bruce A Evans"</f>
        <v>02 - A - 102 - Bruce A Evans</v>
      </c>
      <c r="F15065" t="str">
        <f>"EMERG MED RESP 3 HON"</f>
        <v>EMERG MED RESP 3 HON</v>
      </c>
      <c r="G15065" t="str">
        <f>"21-2142"</f>
        <v>21-2142</v>
      </c>
      <c r="H15065" t="str">
        <f>"A"</f>
        <v>A</v>
      </c>
    </row>
    <row r="15066" spans="1:8" x14ac:dyDescent="0.2">
      <c r="A15066" t="str">
        <f t="shared" si="5462"/>
        <v>0613103871</v>
      </c>
      <c r="B15066" t="str">
        <f t="shared" si="5463"/>
        <v>COLIN</v>
      </c>
      <c r="C15066" t="str">
        <f t="shared" si="5464"/>
        <v>RYAN</v>
      </c>
      <c r="D15066">
        <f>10</f>
        <v>10</v>
      </c>
      <c r="E15066" t="str">
        <f>"07 - B - 206 - Cheryl L Beach"</f>
        <v>07 - B - 206 - Cheryl L Beach</v>
      </c>
      <c r="F15066" t="str">
        <f>"AICE ENV MGMNT AS"</f>
        <v>AICE ENV MGMNT AS</v>
      </c>
      <c r="G15066" t="str">
        <f>"08-811"</f>
        <v>08-811</v>
      </c>
      <c r="H15066" t="str">
        <f>"B"</f>
        <v>B</v>
      </c>
    </row>
    <row r="15067" spans="1:8" x14ac:dyDescent="0.2">
      <c r="A15067" t="str">
        <f t="shared" si="5462"/>
        <v>0613103871</v>
      </c>
      <c r="B15067" t="str">
        <f t="shared" si="5463"/>
        <v>COLIN</v>
      </c>
      <c r="C15067" t="str">
        <f t="shared" si="5464"/>
        <v>RYAN</v>
      </c>
      <c r="D15067">
        <f>10</f>
        <v>10</v>
      </c>
      <c r="E15067" t="str">
        <f>"05 - B - 201 - Bruce A Evans"</f>
        <v>05 - B - 201 - Bruce A Evans</v>
      </c>
      <c r="F15067" t="str">
        <f>"HEALTH SCI FOUND HON"</f>
        <v>HEALTH SCI FOUND HON</v>
      </c>
      <c r="G15067" t="str">
        <f>"21-2142"</f>
        <v>21-2142</v>
      </c>
      <c r="H15067" t="str">
        <f>"B"</f>
        <v>B</v>
      </c>
    </row>
    <row r="15068" spans="1:8" x14ac:dyDescent="0.2">
      <c r="A15068" t="str">
        <f t="shared" si="5462"/>
        <v>0613103871</v>
      </c>
      <c r="B15068" t="str">
        <f t="shared" si="5463"/>
        <v>COLIN</v>
      </c>
      <c r="C15068" t="str">
        <f t="shared" si="5464"/>
        <v>RYAN</v>
      </c>
      <c r="D15068">
        <f>10</f>
        <v>10</v>
      </c>
      <c r="E15068" t="str">
        <f>"01 - A - 006 - Emmily A Sarmiento"</f>
        <v>01 - A - 006 - Emmily A Sarmiento</v>
      </c>
      <c r="F15068" t="str">
        <f>"AICE GLBL PERSP 1 AS"</f>
        <v>AICE GLBL PERSP 1 AS</v>
      </c>
      <c r="G15068" t="str">
        <f>"17-1743"</f>
        <v>17-1743</v>
      </c>
      <c r="H15068" t="str">
        <f>"A"</f>
        <v>A</v>
      </c>
    </row>
    <row r="15069" spans="1:8" x14ac:dyDescent="0.2">
      <c r="A15069" t="str">
        <f t="shared" si="5462"/>
        <v>0613103871</v>
      </c>
      <c r="B15069" t="str">
        <f t="shared" si="5463"/>
        <v>COLIN</v>
      </c>
      <c r="C15069" t="str">
        <f t="shared" si="5464"/>
        <v>RYAN</v>
      </c>
      <c r="D15069">
        <f>10</f>
        <v>10</v>
      </c>
      <c r="E15069" t="str">
        <f>"08 - B - 001 - Jacklyn M James"</f>
        <v>08 - B - 001 - Jacklyn M James</v>
      </c>
      <c r="F15069" t="str">
        <f>"AICE ENG LANG AS"</f>
        <v>AICE ENG LANG AS</v>
      </c>
      <c r="G15069" t="str">
        <f>"17-1731"</f>
        <v>17-1731</v>
      </c>
      <c r="H15069" t="str">
        <f>"B"</f>
        <v>B</v>
      </c>
    </row>
    <row r="15070" spans="1:8" x14ac:dyDescent="0.2">
      <c r="A15070" t="str">
        <f t="shared" ref="A15070:A15077" si="5465">"0612121570"</f>
        <v>0612121570</v>
      </c>
      <c r="B15070" t="str">
        <f t="shared" ref="B15070:B15077" si="5466">"KASEY"</f>
        <v>KASEY</v>
      </c>
      <c r="C15070" t="str">
        <f t="shared" ref="C15070:C15077" si="5467">"SABRIN"</f>
        <v>SABRIN</v>
      </c>
      <c r="D15070">
        <f>11</f>
        <v>11</v>
      </c>
      <c r="E15070" t="str">
        <f>"04 - A - 101 - Stephen T Ripp"</f>
        <v>04 - A - 101 - Stephen T Ripp</v>
      </c>
      <c r="F15070" t="str">
        <f>"AP U.S. HIST"</f>
        <v>AP U.S. HIST</v>
      </c>
      <c r="G15070" t="str">
        <f>"17-1744"</f>
        <v>17-1744</v>
      </c>
      <c r="H15070" t="str">
        <f>"A"</f>
        <v>A</v>
      </c>
    </row>
    <row r="15071" spans="1:8" x14ac:dyDescent="0.2">
      <c r="A15071" t="str">
        <f t="shared" si="5465"/>
        <v>0612121570</v>
      </c>
      <c r="B15071" t="str">
        <f t="shared" si="5466"/>
        <v>KASEY</v>
      </c>
      <c r="C15071" t="str">
        <f t="shared" si="5467"/>
        <v>SABRIN</v>
      </c>
      <c r="D15071">
        <f>11</f>
        <v>11</v>
      </c>
      <c r="E15071" t="str">
        <f>"06 - B - 102 - Rosa Elaine  Collado-Duff"</f>
        <v>06 - B - 102 - Rosa Elaine  Collado-Duff</v>
      </c>
      <c r="F15071" t="str">
        <f>"SPANISH 3 HON"</f>
        <v>SPANISH 3 HON</v>
      </c>
      <c r="G15071" t="str">
        <f>"09-913"</f>
        <v>09-913</v>
      </c>
      <c r="H15071" t="str">
        <f>"B"</f>
        <v>B</v>
      </c>
    </row>
    <row r="15072" spans="1:8" x14ac:dyDescent="0.2">
      <c r="A15072" t="str">
        <f t="shared" si="5465"/>
        <v>0612121570</v>
      </c>
      <c r="B15072" t="str">
        <f t="shared" si="5466"/>
        <v>KASEY</v>
      </c>
      <c r="C15072" t="str">
        <f t="shared" si="5467"/>
        <v>SABRIN</v>
      </c>
      <c r="D15072">
        <f>11</f>
        <v>11</v>
      </c>
      <c r="E15072" t="str">
        <f>"03 - A - 101 - Jacqueline R Morphet"</f>
        <v>03 - A - 101 - Jacqueline R Morphet</v>
      </c>
      <c r="F15072" t="str">
        <f>"AP PHYSICS 1"</f>
        <v>AP PHYSICS 1</v>
      </c>
      <c r="G15072" t="str">
        <f>"21-2138"</f>
        <v>21-2138</v>
      </c>
      <c r="H15072" t="str">
        <f>"A"</f>
        <v>A</v>
      </c>
    </row>
    <row r="15073" spans="1:8" x14ac:dyDescent="0.2">
      <c r="A15073" t="str">
        <f t="shared" si="5465"/>
        <v>0612121570</v>
      </c>
      <c r="B15073" t="str">
        <f t="shared" si="5466"/>
        <v>KASEY</v>
      </c>
      <c r="C15073" t="str">
        <f t="shared" si="5467"/>
        <v>SABRIN</v>
      </c>
      <c r="D15073">
        <f>11</f>
        <v>11</v>
      </c>
      <c r="E15073" t="str">
        <f>"02 - A - 109 - Daniel S Katz"</f>
        <v>02 - A - 109 - Daniel S Katz</v>
      </c>
      <c r="F15073" t="str">
        <f>"NC STUDY HALL 1"</f>
        <v>NC STUDY HALL 1</v>
      </c>
      <c r="G15073" t="str">
        <f>"21-2156"</f>
        <v>21-2156</v>
      </c>
      <c r="H15073" t="str">
        <f>"A"</f>
        <v>A</v>
      </c>
    </row>
    <row r="15074" spans="1:8" x14ac:dyDescent="0.2">
      <c r="A15074" t="str">
        <f t="shared" si="5465"/>
        <v>0612121570</v>
      </c>
      <c r="B15074" t="str">
        <f t="shared" si="5466"/>
        <v>KASEY</v>
      </c>
      <c r="C15074" t="str">
        <f t="shared" si="5467"/>
        <v>SABRIN</v>
      </c>
      <c r="D15074">
        <f>11</f>
        <v>11</v>
      </c>
      <c r="E15074" t="str">
        <f>"07 - B - 102 - Pamela M Corzo"</f>
        <v>07 - B - 102 - Pamela M Corzo</v>
      </c>
      <c r="F15074" t="str">
        <f>"AP CALCULUS AB"</f>
        <v>AP CALCULUS AB</v>
      </c>
      <c r="G15074" t="str">
        <f>"21-2133"</f>
        <v>21-2133</v>
      </c>
      <c r="H15074" t="str">
        <f>"B"</f>
        <v>B</v>
      </c>
    </row>
    <row r="15075" spans="1:8" x14ac:dyDescent="0.2">
      <c r="A15075" t="str">
        <f t="shared" si="5465"/>
        <v>0612121570</v>
      </c>
      <c r="B15075" t="str">
        <f t="shared" si="5466"/>
        <v>KASEY</v>
      </c>
      <c r="C15075" t="str">
        <f t="shared" si="5467"/>
        <v>SABRIN</v>
      </c>
      <c r="D15075">
        <f>11</f>
        <v>11</v>
      </c>
      <c r="E15075" t="str">
        <f>"05 - B - 102 - Daniel S Katz"</f>
        <v>05 - B - 102 - Daniel S Katz</v>
      </c>
      <c r="F15075" t="str">
        <f>"EXEC INTERN 4 LH"</f>
        <v>EXEC INTERN 4 LH</v>
      </c>
      <c r="G15075" t="str">
        <f>"21-2156"</f>
        <v>21-2156</v>
      </c>
      <c r="H15075" t="str">
        <f>"B"</f>
        <v>B</v>
      </c>
    </row>
    <row r="15076" spans="1:8" x14ac:dyDescent="0.2">
      <c r="A15076" t="str">
        <f t="shared" si="5465"/>
        <v>0612121570</v>
      </c>
      <c r="B15076" t="str">
        <f t="shared" si="5466"/>
        <v>KASEY</v>
      </c>
      <c r="C15076" t="str">
        <f t="shared" si="5467"/>
        <v>SABRIN</v>
      </c>
      <c r="D15076">
        <f>11</f>
        <v>11</v>
      </c>
      <c r="E15076" t="str">
        <f>"01 - A - 101 - Lisa J London"</f>
        <v>01 - A - 101 - Lisa J London</v>
      </c>
      <c r="F15076" t="str">
        <f>"AP CAPSTONE SEMINAR"</f>
        <v>AP CAPSTONE SEMINAR</v>
      </c>
      <c r="G15076" t="str">
        <f>"17-1714"</f>
        <v>17-1714</v>
      </c>
      <c r="H15076" t="str">
        <f>"A"</f>
        <v>A</v>
      </c>
    </row>
    <row r="15077" spans="1:8" x14ac:dyDescent="0.2">
      <c r="A15077" t="str">
        <f t="shared" si="5465"/>
        <v>0612121570</v>
      </c>
      <c r="B15077" t="str">
        <f t="shared" si="5466"/>
        <v>KASEY</v>
      </c>
      <c r="C15077" t="str">
        <f t="shared" si="5467"/>
        <v>SABRIN</v>
      </c>
      <c r="D15077">
        <f>11</f>
        <v>11</v>
      </c>
      <c r="E15077" t="str">
        <f>"08 - B - 105 - Brandy N Zdenek"</f>
        <v>08 - B - 105 - Brandy N Zdenek</v>
      </c>
      <c r="F15077" t="str">
        <f>"AICE ENG LANG 2 AL"</f>
        <v>AICE ENG LANG 2 AL</v>
      </c>
      <c r="G15077" t="str">
        <f>"17-1704"</f>
        <v>17-1704</v>
      </c>
      <c r="H15077" t="str">
        <f>"B"</f>
        <v>B</v>
      </c>
    </row>
    <row r="15078" spans="1:8" x14ac:dyDescent="0.2">
      <c r="A15078" t="str">
        <f t="shared" ref="A15078:A15085" si="5468">"0616151742"</f>
        <v>0616151742</v>
      </c>
      <c r="B15078" t="str">
        <f t="shared" ref="B15078:B15085" si="5469">"NEYMAR"</f>
        <v>NEYMAR</v>
      </c>
      <c r="C15078" t="str">
        <f t="shared" ref="C15078:C15085" si="5470">"SAGAHON-HERNANDEZ"</f>
        <v>SAGAHON-HERNANDEZ</v>
      </c>
      <c r="D15078" t="str">
        <f t="shared" ref="D15078:D15085" si="5471">"09"</f>
        <v>09</v>
      </c>
      <c r="E15078" t="str">
        <f>"04 - A - 203 - Cheryl L Beach"</f>
        <v>04 - A - 203 - Cheryl L Beach</v>
      </c>
      <c r="F15078" t="str">
        <f>"AICE ENV MGMNT AS"</f>
        <v>AICE ENV MGMNT AS</v>
      </c>
      <c r="G15078" t="str">
        <f>"08-811"</f>
        <v>08-811</v>
      </c>
      <c r="H15078" t="str">
        <f>"A"</f>
        <v>A</v>
      </c>
    </row>
    <row r="15079" spans="1:8" x14ac:dyDescent="0.2">
      <c r="A15079" t="str">
        <f t="shared" si="5468"/>
        <v>0616151742</v>
      </c>
      <c r="B15079" t="str">
        <f t="shared" si="5469"/>
        <v>NEYMAR</v>
      </c>
      <c r="C15079" t="str">
        <f t="shared" si="5470"/>
        <v>SAGAHON-HERNANDEZ</v>
      </c>
      <c r="D15079" t="str">
        <f t="shared" si="5471"/>
        <v>09</v>
      </c>
      <c r="E15079" t="str">
        <f>"06 - B - 110 - Krystal Marie  Beruty"</f>
        <v>06 - B - 110 - Krystal Marie  Beruty</v>
      </c>
      <c r="F15079" t="str">
        <f>"AICE GLBL PERSP 1 AS"</f>
        <v>AICE GLBL PERSP 1 AS</v>
      </c>
      <c r="G15079" t="str">
        <f>"17-1721"</f>
        <v>17-1721</v>
      </c>
      <c r="H15079" t="str">
        <f>"B"</f>
        <v>B</v>
      </c>
    </row>
    <row r="15080" spans="1:8" x14ac:dyDescent="0.2">
      <c r="A15080" t="str">
        <f t="shared" si="5468"/>
        <v>0616151742</v>
      </c>
      <c r="B15080" t="str">
        <f t="shared" si="5469"/>
        <v>NEYMAR</v>
      </c>
      <c r="C15080" t="str">
        <f t="shared" si="5470"/>
        <v>SAGAHON-HERNANDEZ</v>
      </c>
      <c r="D15080" t="str">
        <f t="shared" si="5471"/>
        <v>09</v>
      </c>
      <c r="E15080" t="str">
        <f>"03 - A - 203 - Elizabeth R Walker"</f>
        <v>03 - A - 203 - Elizabeth R Walker</v>
      </c>
      <c r="F15080" t="str">
        <f>"AICE ENG GEN PAPER 1"</f>
        <v>AICE ENG GEN PAPER 1</v>
      </c>
      <c r="G15080" t="str">
        <f>"17-1703"</f>
        <v>17-1703</v>
      </c>
      <c r="H15080" t="str">
        <f>"A"</f>
        <v>A</v>
      </c>
    </row>
    <row r="15081" spans="1:8" x14ac:dyDescent="0.2">
      <c r="A15081" t="str">
        <f t="shared" si="5468"/>
        <v>0616151742</v>
      </c>
      <c r="B15081" t="str">
        <f t="shared" si="5469"/>
        <v>NEYMAR</v>
      </c>
      <c r="C15081" t="str">
        <f t="shared" si="5470"/>
        <v>SAGAHON-HERNANDEZ</v>
      </c>
      <c r="D15081" t="str">
        <f t="shared" si="5471"/>
        <v>09</v>
      </c>
      <c r="E15081" t="str">
        <f>"02 - A - 116 - Tina L Lovett"</f>
        <v>02 - A - 116 - Tina L Lovett</v>
      </c>
      <c r="F15081" t="str">
        <f>"NC STUDY HALL 1"</f>
        <v>NC STUDY HALL 1</v>
      </c>
      <c r="G15081" t="str">
        <f>"21-2153"</f>
        <v>21-2153</v>
      </c>
      <c r="H15081" t="str">
        <f>"A"</f>
        <v>A</v>
      </c>
    </row>
    <row r="15082" spans="1:8" x14ac:dyDescent="0.2">
      <c r="A15082" t="str">
        <f t="shared" si="5468"/>
        <v>0616151742</v>
      </c>
      <c r="B15082" t="str">
        <f t="shared" si="5469"/>
        <v>NEYMAR</v>
      </c>
      <c r="C15082" t="str">
        <f t="shared" si="5470"/>
        <v>SAGAHON-HERNANDEZ</v>
      </c>
      <c r="D15082" t="str">
        <f t="shared" si="5471"/>
        <v>09</v>
      </c>
      <c r="E15082" t="str">
        <f>"07 - B - 105 - Joe  Kilpatrick Jr"</f>
        <v>07 - B - 105 - Joe  Kilpatrick Jr</v>
      </c>
      <c r="F15082" t="str">
        <f>"PRE-AICE SPAN 1 IG"</f>
        <v>PRE-AICE SPAN 1 IG</v>
      </c>
      <c r="G15082" t="str">
        <f>"09-912"</f>
        <v>09-912</v>
      </c>
      <c r="H15082" t="str">
        <f>"B"</f>
        <v>B</v>
      </c>
    </row>
    <row r="15083" spans="1:8" x14ac:dyDescent="0.2">
      <c r="A15083" t="str">
        <f t="shared" si="5468"/>
        <v>0616151742</v>
      </c>
      <c r="B15083" t="str">
        <f t="shared" si="5469"/>
        <v>NEYMAR</v>
      </c>
      <c r="C15083" t="str">
        <f t="shared" si="5470"/>
        <v>SAGAHON-HERNANDEZ</v>
      </c>
      <c r="D15083" t="str">
        <f t="shared" si="5471"/>
        <v>09</v>
      </c>
      <c r="E15083" t="str">
        <f>"05 - B - 102 - Jeanne M Bermudez"</f>
        <v>05 - B - 102 - Jeanne M Bermudez</v>
      </c>
      <c r="F15083" t="str">
        <f>"ADVANCED IT HON"</f>
        <v>ADVANCED IT HON</v>
      </c>
      <c r="G15083" t="str">
        <f>"21-2141"</f>
        <v>21-2141</v>
      </c>
      <c r="H15083" t="str">
        <f>"B"</f>
        <v>B</v>
      </c>
    </row>
    <row r="15084" spans="1:8" x14ac:dyDescent="0.2">
      <c r="A15084" t="str">
        <f t="shared" si="5468"/>
        <v>0616151742</v>
      </c>
      <c r="B15084" t="str">
        <f t="shared" si="5469"/>
        <v>NEYMAR</v>
      </c>
      <c r="C15084" t="str">
        <f t="shared" si="5470"/>
        <v>SAGAHON-HERNANDEZ</v>
      </c>
      <c r="D15084" t="str">
        <f t="shared" si="5471"/>
        <v>09</v>
      </c>
      <c r="E15084" t="str">
        <f>"01 - A - 101 - Angela S Adeshina-Morrison"</f>
        <v>01 - A - 101 - Angela S Adeshina-Morrison</v>
      </c>
      <c r="F15084" t="str">
        <f>"MARKETING ESSENTIALS"</f>
        <v>MARKETING ESSENTIALS</v>
      </c>
      <c r="G15084" t="str">
        <f>"05-518"</f>
        <v>05-518</v>
      </c>
      <c r="H15084" t="str">
        <f>"A"</f>
        <v>A</v>
      </c>
    </row>
    <row r="15085" spans="1:8" x14ac:dyDescent="0.2">
      <c r="A15085" t="str">
        <f t="shared" si="5468"/>
        <v>0616151742</v>
      </c>
      <c r="B15085" t="str">
        <f t="shared" si="5469"/>
        <v>NEYMAR</v>
      </c>
      <c r="C15085" t="str">
        <f t="shared" si="5470"/>
        <v>SAGAHON-HERNANDEZ</v>
      </c>
      <c r="D15085" t="str">
        <f t="shared" si="5471"/>
        <v>09</v>
      </c>
      <c r="E15085" t="str">
        <f>"08 - B - 102 - Maried P Ramos"</f>
        <v>08 - B - 102 - Maried P Ramos</v>
      </c>
      <c r="F15085" t="str">
        <f>"ALGEBRA 2 HON"</f>
        <v>ALGEBRA 2 HON</v>
      </c>
      <c r="G15085" t="str">
        <f>"21-2159"</f>
        <v>21-2159</v>
      </c>
      <c r="H15085" t="str">
        <f>"B"</f>
        <v>B</v>
      </c>
    </row>
    <row r="15086" spans="1:8" x14ac:dyDescent="0.2">
      <c r="A15086" t="str">
        <f t="shared" ref="A15086:A15093" si="5472">"0623090913"</f>
        <v>0623090913</v>
      </c>
      <c r="B15086" t="str">
        <f t="shared" ref="B15086:B15093" si="5473">"ADRIENN"</f>
        <v>ADRIENN</v>
      </c>
      <c r="C15086" t="str">
        <f t="shared" ref="C15086:C15093" si="5474">"SAGI-RODRIGUEZ"</f>
        <v>SAGI-RODRIGUEZ</v>
      </c>
      <c r="D15086">
        <f>11</f>
        <v>11</v>
      </c>
      <c r="E15086" t="str">
        <f>"04 - A - 102 - Jordana K Hass"</f>
        <v>04 - A - 102 - Jordana K Hass</v>
      </c>
      <c r="F15086" t="str">
        <f>"CHEMISTRY 1"</f>
        <v>CHEMISTRY 1</v>
      </c>
      <c r="G15086" t="str">
        <f>"08-807"</f>
        <v>08-807</v>
      </c>
      <c r="H15086" t="str">
        <f>"A"</f>
        <v>A</v>
      </c>
    </row>
    <row r="15087" spans="1:8" x14ac:dyDescent="0.2">
      <c r="A15087" t="str">
        <f t="shared" si="5472"/>
        <v>0623090913</v>
      </c>
      <c r="B15087" t="str">
        <f t="shared" si="5473"/>
        <v>ADRIENN</v>
      </c>
      <c r="C15087" t="str">
        <f t="shared" si="5474"/>
        <v>SAGI-RODRIGUEZ</v>
      </c>
      <c r="D15087">
        <f>11</f>
        <v>11</v>
      </c>
      <c r="E15087" t="str">
        <f>"06 - B - 106 - Adam Marcus  Drucker"</f>
        <v>06 - B - 106 - Adam Marcus  Drucker</v>
      </c>
      <c r="F15087" t="str">
        <f>"HOPE-PE V"</f>
        <v>HOPE-PE V</v>
      </c>
      <c r="G15087" t="str">
        <f>"04-254"</f>
        <v>04-254</v>
      </c>
      <c r="H15087" t="str">
        <f>"B"</f>
        <v>B</v>
      </c>
    </row>
    <row r="15088" spans="1:8" x14ac:dyDescent="0.2">
      <c r="A15088" t="str">
        <f t="shared" si="5472"/>
        <v>0623090913</v>
      </c>
      <c r="B15088" t="str">
        <f t="shared" si="5473"/>
        <v>ADRIENN</v>
      </c>
      <c r="C15088" t="str">
        <f t="shared" si="5474"/>
        <v>SAGI-RODRIGUEZ</v>
      </c>
      <c r="D15088">
        <f>11</f>
        <v>11</v>
      </c>
      <c r="E15088" t="str">
        <f>"03 - A - 106 - Jerry S Jiampetti"</f>
        <v>03 - A - 106 - Jerry S Jiampetti</v>
      </c>
      <c r="F15088" t="str">
        <f>"US HISTORY HON"</f>
        <v>US HISTORY HON</v>
      </c>
      <c r="G15088" t="str">
        <f>"17-1751"</f>
        <v>17-1751</v>
      </c>
      <c r="H15088" t="str">
        <f>"A"</f>
        <v>A</v>
      </c>
    </row>
    <row r="15089" spans="1:8" x14ac:dyDescent="0.2">
      <c r="A15089" t="str">
        <f t="shared" si="5472"/>
        <v>0623090913</v>
      </c>
      <c r="B15089" t="str">
        <f t="shared" si="5473"/>
        <v>ADRIENN</v>
      </c>
      <c r="C15089" t="str">
        <f t="shared" si="5474"/>
        <v>SAGI-RODRIGUEZ</v>
      </c>
      <c r="D15089">
        <f>11</f>
        <v>11</v>
      </c>
      <c r="E15089" t="str">
        <f>"02 - A - 105 - Leslie J Barton"</f>
        <v>02 - A - 105 - Leslie J Barton</v>
      </c>
      <c r="F15089" t="str">
        <f>"NC STUDY HALL 1"</f>
        <v>NC STUDY HALL 1</v>
      </c>
      <c r="G15089" t="str">
        <f>"05-521"</f>
        <v>05-521</v>
      </c>
      <c r="H15089" t="str">
        <f>"A"</f>
        <v>A</v>
      </c>
    </row>
    <row r="15090" spans="1:8" x14ac:dyDescent="0.2">
      <c r="A15090" t="str">
        <f t="shared" si="5472"/>
        <v>0623090913</v>
      </c>
      <c r="B15090" t="str">
        <f t="shared" si="5473"/>
        <v>ADRIENN</v>
      </c>
      <c r="C15090" t="str">
        <f t="shared" si="5474"/>
        <v>SAGI-RODRIGUEZ</v>
      </c>
      <c r="D15090">
        <f>11</f>
        <v>11</v>
      </c>
      <c r="E15090" t="str">
        <f>"07 - B - 110 - Ferrie J Arostique"</f>
        <v>07 - B - 110 - Ferrie J Arostique</v>
      </c>
      <c r="F15090" t="str">
        <f>"GEOMETRY"</f>
        <v>GEOMETRY</v>
      </c>
      <c r="G15090" t="str">
        <f>"21-2139"</f>
        <v>21-2139</v>
      </c>
      <c r="H15090" t="str">
        <f>"B"</f>
        <v>B</v>
      </c>
    </row>
    <row r="15091" spans="1:8" x14ac:dyDescent="0.2">
      <c r="A15091" t="str">
        <f t="shared" si="5472"/>
        <v>0623090913</v>
      </c>
      <c r="B15091" t="str">
        <f t="shared" si="5473"/>
        <v>ADRIENN</v>
      </c>
      <c r="C15091" t="str">
        <f t="shared" si="5474"/>
        <v>SAGI-RODRIGUEZ</v>
      </c>
      <c r="D15091">
        <f>11</f>
        <v>11</v>
      </c>
      <c r="E15091" t="str">
        <f>"05 - B - 102 - Jacklyn M James"</f>
        <v>05 - B - 102 - Jacklyn M James</v>
      </c>
      <c r="F15091" t="str">
        <f>"AICE ENG LANG AS"</f>
        <v>AICE ENG LANG AS</v>
      </c>
      <c r="G15091" t="str">
        <f>"17-1731"</f>
        <v>17-1731</v>
      </c>
      <c r="H15091" t="str">
        <f>"B"</f>
        <v>B</v>
      </c>
    </row>
    <row r="15092" spans="1:8" x14ac:dyDescent="0.2">
      <c r="A15092" t="str">
        <f t="shared" si="5472"/>
        <v>0623090913</v>
      </c>
      <c r="B15092" t="str">
        <f t="shared" si="5473"/>
        <v>ADRIENN</v>
      </c>
      <c r="C15092" t="str">
        <f t="shared" si="5474"/>
        <v>SAGI-RODRIGUEZ</v>
      </c>
      <c r="D15092">
        <f>11</f>
        <v>11</v>
      </c>
      <c r="E15092" t="str">
        <f>"01 - S1 - A - 101 - Bruce A Evans"</f>
        <v>01 - S1 - A - 101 - Bruce A Evans</v>
      </c>
      <c r="F15092" t="str">
        <f>"ELECTROCARD TECH 3HN"</f>
        <v>ELECTROCARD TECH 3HN</v>
      </c>
      <c r="G15092" t="str">
        <f>"21-2142"</f>
        <v>21-2142</v>
      </c>
      <c r="H15092" t="str">
        <f>"A"</f>
        <v>A</v>
      </c>
    </row>
    <row r="15093" spans="1:8" x14ac:dyDescent="0.2">
      <c r="A15093" t="str">
        <f t="shared" si="5472"/>
        <v>0623090913</v>
      </c>
      <c r="B15093" t="str">
        <f t="shared" si="5473"/>
        <v>ADRIENN</v>
      </c>
      <c r="C15093" t="str">
        <f t="shared" si="5474"/>
        <v>SAGI-RODRIGUEZ</v>
      </c>
      <c r="D15093">
        <f>11</f>
        <v>11</v>
      </c>
      <c r="E15093" t="str">
        <f>"08 - B - 202 - Krystal Marie  Beruty"</f>
        <v>08 - B - 202 - Krystal Marie  Beruty</v>
      </c>
      <c r="F15093" t="str">
        <f>"AICE PSYCH 1 AS"</f>
        <v>AICE PSYCH 1 AS</v>
      </c>
      <c r="G15093" t="str">
        <f>"17-1721"</f>
        <v>17-1721</v>
      </c>
      <c r="H15093" t="str">
        <f>"B"</f>
        <v>B</v>
      </c>
    </row>
    <row r="15094" spans="1:8" x14ac:dyDescent="0.2">
      <c r="A15094" t="str">
        <f t="shared" ref="A15094:A15101" si="5475">"0617056965"</f>
        <v>0617056965</v>
      </c>
      <c r="B15094" t="str">
        <f t="shared" ref="B15094:B15101" si="5476">"JADA"</f>
        <v>JADA</v>
      </c>
      <c r="C15094" t="str">
        <f t="shared" ref="C15094:C15101" si="5477">"SAHATOO"</f>
        <v>SAHATOO</v>
      </c>
      <c r="D15094" t="str">
        <f t="shared" ref="D15094:D15101" si="5478">"09"</f>
        <v>09</v>
      </c>
      <c r="E15094" t="str">
        <f>"04 - A - 102 - Josiah I Lacy"</f>
        <v>04 - A - 102 - Josiah I Lacy</v>
      </c>
      <c r="F15094" t="str">
        <f>"PRE-AICE BIO IG"</f>
        <v>PRE-AICE BIO IG</v>
      </c>
      <c r="G15094" t="str">
        <f>"08-801"</f>
        <v>08-801</v>
      </c>
      <c r="H15094" t="str">
        <f>"A"</f>
        <v>A</v>
      </c>
    </row>
    <row r="15095" spans="1:8" x14ac:dyDescent="0.2">
      <c r="A15095" t="str">
        <f t="shared" si="5475"/>
        <v>0617056965</v>
      </c>
      <c r="B15095" t="str">
        <f t="shared" si="5476"/>
        <v>JADA</v>
      </c>
      <c r="C15095" t="str">
        <f t="shared" si="5477"/>
        <v>SAHATOO</v>
      </c>
      <c r="D15095" t="str">
        <f t="shared" si="5478"/>
        <v>09</v>
      </c>
      <c r="E15095" t="str">
        <f>"06 - B - 110 - Krystal Marie  Beruty"</f>
        <v>06 - B - 110 - Krystal Marie  Beruty</v>
      </c>
      <c r="F15095" t="str">
        <f>"AICE GLBL PERSP 1 AS"</f>
        <v>AICE GLBL PERSP 1 AS</v>
      </c>
      <c r="G15095" t="str">
        <f>"17-1721"</f>
        <v>17-1721</v>
      </c>
      <c r="H15095" t="str">
        <f>"B"</f>
        <v>B</v>
      </c>
    </row>
    <row r="15096" spans="1:8" x14ac:dyDescent="0.2">
      <c r="A15096" t="str">
        <f t="shared" si="5475"/>
        <v>0617056965</v>
      </c>
      <c r="B15096" t="str">
        <f t="shared" si="5476"/>
        <v>JADA</v>
      </c>
      <c r="C15096" t="str">
        <f t="shared" si="5477"/>
        <v>SAHATOO</v>
      </c>
      <c r="D15096" t="str">
        <f t="shared" si="5478"/>
        <v>09</v>
      </c>
      <c r="E15096" t="str">
        <f>"03 - A - 202 - Cheryl L Beach"</f>
        <v>03 - A - 202 - Cheryl L Beach</v>
      </c>
      <c r="F15096" t="str">
        <f>"AICE ENV MGMNT AS"</f>
        <v>AICE ENV MGMNT AS</v>
      </c>
      <c r="G15096" t="str">
        <f>"08-811"</f>
        <v>08-811</v>
      </c>
      <c r="H15096" t="str">
        <f>"A"</f>
        <v>A</v>
      </c>
    </row>
    <row r="15097" spans="1:8" x14ac:dyDescent="0.2">
      <c r="A15097" t="str">
        <f t="shared" si="5475"/>
        <v>0617056965</v>
      </c>
      <c r="B15097" t="str">
        <f t="shared" si="5476"/>
        <v>JADA</v>
      </c>
      <c r="C15097" t="str">
        <f t="shared" si="5477"/>
        <v>SAHATOO</v>
      </c>
      <c r="D15097" t="str">
        <f t="shared" si="5478"/>
        <v>09</v>
      </c>
      <c r="E15097" t="str">
        <f>"02 - A - 109 - Krystal Marie  Beruty"</f>
        <v>02 - A - 109 - Krystal Marie  Beruty</v>
      </c>
      <c r="F15097" t="str">
        <f>"NC STUDY HALL 1"</f>
        <v>NC STUDY HALL 1</v>
      </c>
      <c r="G15097" t="str">
        <f>"17-1721"</f>
        <v>17-1721</v>
      </c>
      <c r="H15097" t="str">
        <f>"A"</f>
        <v>A</v>
      </c>
    </row>
    <row r="15098" spans="1:8" x14ac:dyDescent="0.2">
      <c r="A15098" t="str">
        <f t="shared" si="5475"/>
        <v>0617056965</v>
      </c>
      <c r="B15098" t="str">
        <f t="shared" si="5476"/>
        <v>JADA</v>
      </c>
      <c r="C15098" t="str">
        <f t="shared" si="5477"/>
        <v>SAHATOO</v>
      </c>
      <c r="D15098" t="str">
        <f t="shared" si="5478"/>
        <v>09</v>
      </c>
      <c r="E15098" t="str">
        <f>"07 - B - 103 - Vanessa J Liburd"</f>
        <v>07 - B - 103 - Vanessa J Liburd</v>
      </c>
      <c r="F15098" t="str">
        <f>"PRE-AICE FRENCH 1 IG"</f>
        <v>PRE-AICE FRENCH 1 IG</v>
      </c>
      <c r="G15098" t="str">
        <f>"05-519"</f>
        <v>05-519</v>
      </c>
      <c r="H15098" t="str">
        <f>"B"</f>
        <v>B</v>
      </c>
    </row>
    <row r="15099" spans="1:8" x14ac:dyDescent="0.2">
      <c r="A15099" t="str">
        <f t="shared" si="5475"/>
        <v>0617056965</v>
      </c>
      <c r="B15099" t="str">
        <f t="shared" si="5476"/>
        <v>JADA</v>
      </c>
      <c r="C15099" t="str">
        <f t="shared" si="5477"/>
        <v>SAHATOO</v>
      </c>
      <c r="D15099" t="str">
        <f t="shared" si="5478"/>
        <v>09</v>
      </c>
      <c r="E15099" t="str">
        <f>"05 - B - 002 - Cheryl Anne  Berman-Schechter"</f>
        <v>05 - B - 002 - Cheryl Anne  Berman-Schechter</v>
      </c>
      <c r="F15099" t="str">
        <f>"AICE ENG GEN PAPER 1"</f>
        <v>AICE ENG GEN PAPER 1</v>
      </c>
      <c r="G15099" t="str">
        <f>"17-1722"</f>
        <v>17-1722</v>
      </c>
      <c r="H15099" t="str">
        <f>"B"</f>
        <v>B</v>
      </c>
    </row>
    <row r="15100" spans="1:8" x14ac:dyDescent="0.2">
      <c r="A15100" t="str">
        <f t="shared" si="5475"/>
        <v>0617056965</v>
      </c>
      <c r="B15100" t="str">
        <f t="shared" si="5476"/>
        <v>JADA</v>
      </c>
      <c r="C15100" t="str">
        <f t="shared" si="5477"/>
        <v>SAHATOO</v>
      </c>
      <c r="D15100" t="str">
        <f t="shared" si="5478"/>
        <v>09</v>
      </c>
      <c r="E15100" t="str">
        <f>"01 - A - 101 - Angela S Adeshina-Morrison"</f>
        <v>01 - A - 101 - Angela S Adeshina-Morrison</v>
      </c>
      <c r="F15100" t="str">
        <f>"MARKETING ESSENTIALS"</f>
        <v>MARKETING ESSENTIALS</v>
      </c>
      <c r="G15100" t="str">
        <f>"05-518"</f>
        <v>05-518</v>
      </c>
      <c r="H15100" t="str">
        <f>"A"</f>
        <v>A</v>
      </c>
    </row>
    <row r="15101" spans="1:8" x14ac:dyDescent="0.2">
      <c r="A15101" t="str">
        <f t="shared" si="5475"/>
        <v>0617056965</v>
      </c>
      <c r="B15101" t="str">
        <f t="shared" si="5476"/>
        <v>JADA</v>
      </c>
      <c r="C15101" t="str">
        <f t="shared" si="5477"/>
        <v>SAHATOO</v>
      </c>
      <c r="D15101" t="str">
        <f t="shared" si="5478"/>
        <v>09</v>
      </c>
      <c r="E15101" t="str">
        <f>"08 - B - 105 - Ferrie J Arostique"</f>
        <v>08 - B - 105 - Ferrie J Arostique</v>
      </c>
      <c r="F15101" t="str">
        <f>"PRE-AICE MATH 2 IG"</f>
        <v>PRE-AICE MATH 2 IG</v>
      </c>
      <c r="G15101" t="str">
        <f>"21-2139"</f>
        <v>21-2139</v>
      </c>
      <c r="H15101" t="str">
        <f>"B"</f>
        <v>B</v>
      </c>
    </row>
    <row r="15102" spans="1:8" x14ac:dyDescent="0.2">
      <c r="A15102" t="str">
        <f t="shared" ref="A15102:A15109" si="5479">"0614040907"</f>
        <v>0614040907</v>
      </c>
      <c r="B15102" t="str">
        <f t="shared" ref="B15102:B15109" si="5480">"KESTER"</f>
        <v>KESTER</v>
      </c>
      <c r="C15102" t="str">
        <f t="shared" ref="C15102:C15109" si="5481">"SAINBRE"</f>
        <v>SAINBRE</v>
      </c>
      <c r="D15102">
        <f>12</f>
        <v>12</v>
      </c>
      <c r="E15102" t="str">
        <f>"04 - A - 103 - Cliffon  Saurel"</f>
        <v>04 - A - 103 - Cliffon  Saurel</v>
      </c>
      <c r="F15102" t="str">
        <f>"PHYSICAL SCI"</f>
        <v>PHYSICAL SCI</v>
      </c>
      <c r="G15102" t="str">
        <f>"05-522"</f>
        <v>05-522</v>
      </c>
      <c r="H15102" t="str">
        <f>"A"</f>
        <v>A</v>
      </c>
    </row>
    <row r="15103" spans="1:8" x14ac:dyDescent="0.2">
      <c r="A15103" t="str">
        <f t="shared" si="5479"/>
        <v>0614040907</v>
      </c>
      <c r="B15103" t="str">
        <f t="shared" si="5480"/>
        <v>KESTER</v>
      </c>
      <c r="C15103" t="str">
        <f t="shared" si="5481"/>
        <v>SAINBRE</v>
      </c>
      <c r="D15103">
        <f>12</f>
        <v>12</v>
      </c>
      <c r="E15103" t="str">
        <f>"06 - B - 101 - Cliffon  Saurel"</f>
        <v>06 - B - 101 - Cliffon  Saurel</v>
      </c>
      <c r="F15103" t="str">
        <f>"NC STUDY HALL 1"</f>
        <v>NC STUDY HALL 1</v>
      </c>
      <c r="G15103" t="str">
        <f>"05-522"</f>
        <v>05-522</v>
      </c>
      <c r="H15103" t="str">
        <f>"B"</f>
        <v>B</v>
      </c>
    </row>
    <row r="15104" spans="1:8" x14ac:dyDescent="0.2">
      <c r="A15104" t="str">
        <f t="shared" si="5479"/>
        <v>0614040907</v>
      </c>
      <c r="B15104" t="str">
        <f t="shared" si="5480"/>
        <v>KESTER</v>
      </c>
      <c r="C15104" t="str">
        <f t="shared" si="5481"/>
        <v>SAINBRE</v>
      </c>
      <c r="D15104">
        <f>12</f>
        <v>12</v>
      </c>
      <c r="E15104" t="str">
        <f>"03 - S1 - A - 002 - Barbara L Segal"</f>
        <v>03 - S1 - A - 002 - Barbara L Segal</v>
      </c>
      <c r="F15104" t="str">
        <f>"US GOVT"</f>
        <v>US GOVT</v>
      </c>
      <c r="G15104" t="str">
        <f>"17-1742"</f>
        <v>17-1742</v>
      </c>
      <c r="H15104" t="str">
        <f>"A"</f>
        <v>A</v>
      </c>
    </row>
    <row r="15105" spans="1:8" x14ac:dyDescent="0.2">
      <c r="A15105" t="str">
        <f t="shared" si="5479"/>
        <v>0614040907</v>
      </c>
      <c r="B15105" t="str">
        <f t="shared" si="5480"/>
        <v>KESTER</v>
      </c>
      <c r="C15105" t="str">
        <f t="shared" si="5481"/>
        <v>SAINBRE</v>
      </c>
      <c r="D15105">
        <f>12</f>
        <v>12</v>
      </c>
      <c r="E15105" t="str">
        <f>"02 - A - 102 - Jeffrey S Gallagher"</f>
        <v>02 - A - 102 - Jeffrey S Gallagher</v>
      </c>
      <c r="F15105" t="str">
        <f>"ENG HON 4"</f>
        <v>ENG HON 4</v>
      </c>
      <c r="G15105" t="str">
        <f>"17-1724"</f>
        <v>17-1724</v>
      </c>
      <c r="H15105" t="str">
        <f>"A"</f>
        <v>A</v>
      </c>
    </row>
    <row r="15106" spans="1:8" x14ac:dyDescent="0.2">
      <c r="A15106" t="str">
        <f t="shared" si="5479"/>
        <v>0614040907</v>
      </c>
      <c r="B15106" t="str">
        <f t="shared" si="5480"/>
        <v>KESTER</v>
      </c>
      <c r="C15106" t="str">
        <f t="shared" si="5481"/>
        <v>SAINBRE</v>
      </c>
      <c r="D15106">
        <f>12</f>
        <v>12</v>
      </c>
      <c r="E15106" t="str">
        <f>"07 - S1 - B - 103 - Leslie J Barton"</f>
        <v>07 - S1 - B - 103 - Leslie J Barton</v>
      </c>
      <c r="F15106" t="str">
        <f>"TEAM SPORTS 1"</f>
        <v>TEAM SPORTS 1</v>
      </c>
      <c r="G15106" t="str">
        <f>"04-254"</f>
        <v>04-254</v>
      </c>
      <c r="H15106" t="str">
        <f>"B"</f>
        <v>B</v>
      </c>
    </row>
    <row r="15107" spans="1:8" x14ac:dyDescent="0.2">
      <c r="A15107" t="str">
        <f t="shared" si="5479"/>
        <v>0614040907</v>
      </c>
      <c r="B15107" t="str">
        <f t="shared" si="5480"/>
        <v>KESTER</v>
      </c>
      <c r="C15107" t="str">
        <f t="shared" si="5481"/>
        <v>SAINBRE</v>
      </c>
      <c r="D15107">
        <f>12</f>
        <v>12</v>
      </c>
      <c r="E15107" t="str">
        <f>"05 - B - 101 - Brian M Fitzgerald"</f>
        <v>05 - B - 101 - Brian M Fitzgerald</v>
      </c>
      <c r="F15107" t="str">
        <f>"PAINT 1"</f>
        <v>PAINT 1</v>
      </c>
      <c r="G15107" t="str">
        <f>"09-908"</f>
        <v>09-908</v>
      </c>
      <c r="H15107" t="str">
        <f>"B"</f>
        <v>B</v>
      </c>
    </row>
    <row r="15108" spans="1:8" x14ac:dyDescent="0.2">
      <c r="A15108" t="str">
        <f t="shared" si="5479"/>
        <v>0614040907</v>
      </c>
      <c r="B15108" t="str">
        <f t="shared" si="5480"/>
        <v>KESTER</v>
      </c>
      <c r="C15108" t="str">
        <f t="shared" si="5481"/>
        <v>SAINBRE</v>
      </c>
      <c r="D15108">
        <f>12</f>
        <v>12</v>
      </c>
      <c r="E15108" t="str">
        <f>"01 - A - 103 - Semra  Bahadir"</f>
        <v>01 - A - 103 - Semra  Bahadir</v>
      </c>
      <c r="F15108" t="str">
        <f>"MATH COLL ALGEBRA"</f>
        <v>MATH COLL ALGEBRA</v>
      </c>
      <c r="G15108" t="str">
        <f>"21-2107"</f>
        <v>21-2107</v>
      </c>
      <c r="H15108" t="str">
        <f>"A"</f>
        <v>A</v>
      </c>
    </row>
    <row r="15109" spans="1:8" x14ac:dyDescent="0.2">
      <c r="A15109" t="str">
        <f t="shared" si="5479"/>
        <v>0614040907</v>
      </c>
      <c r="B15109" t="str">
        <f t="shared" si="5480"/>
        <v>KESTER</v>
      </c>
      <c r="C15109" t="str">
        <f t="shared" si="5481"/>
        <v>SAINBRE</v>
      </c>
      <c r="D15109">
        <f>12</f>
        <v>12</v>
      </c>
      <c r="E15109" t="str">
        <f>"08 - B - 103 - Jeanne M Bermudez"</f>
        <v>08 - B - 103 - Jeanne M Bermudez</v>
      </c>
      <c r="F15109" t="str">
        <f>"ADVANCED IT HON"</f>
        <v>ADVANCED IT HON</v>
      </c>
      <c r="G15109" t="str">
        <f>"21-2141"</f>
        <v>21-2141</v>
      </c>
      <c r="H15109" t="str">
        <f>"B"</f>
        <v>B</v>
      </c>
    </row>
    <row r="15110" spans="1:8" x14ac:dyDescent="0.2">
      <c r="A15110" t="str">
        <f t="shared" ref="A15110:A15117" si="5482">"0617068788"</f>
        <v>0617068788</v>
      </c>
      <c r="B15110" t="str">
        <f t="shared" ref="B15110:B15117" si="5483">"MAHALEE"</f>
        <v>MAHALEE</v>
      </c>
      <c r="C15110" t="str">
        <f t="shared" ref="C15110:C15125" si="5484">"SAINTANGE"</f>
        <v>SAINTANGE</v>
      </c>
      <c r="D15110" t="str">
        <f t="shared" ref="D15110:D15117" si="5485">"09"</f>
        <v>09</v>
      </c>
      <c r="E15110" t="str">
        <f>"04 - A - 106 - Lissa C Frederique"</f>
        <v>04 - A - 106 - Lissa C Frederique</v>
      </c>
      <c r="F15110" t="str">
        <f>"WORLD HISTORY"</f>
        <v>WORLD HISTORY</v>
      </c>
      <c r="G15110" t="str">
        <f>"17-1754"</f>
        <v>17-1754</v>
      </c>
      <c r="H15110" t="str">
        <f>"A"</f>
        <v>A</v>
      </c>
    </row>
    <row r="15111" spans="1:8" x14ac:dyDescent="0.2">
      <c r="A15111" t="str">
        <f t="shared" si="5482"/>
        <v>0617068788</v>
      </c>
      <c r="B15111" t="str">
        <f t="shared" si="5483"/>
        <v>MAHALEE</v>
      </c>
      <c r="C15111" t="str">
        <f t="shared" si="5484"/>
        <v>SAINTANGE</v>
      </c>
      <c r="D15111" t="str">
        <f t="shared" si="5485"/>
        <v>09</v>
      </c>
      <c r="E15111" t="str">
        <f>"06 - B - 104 - Laselleda D Shaw"</f>
        <v>06 - B - 104 - Laselleda D Shaw</v>
      </c>
      <c r="F15111" t="str">
        <f>"INTENS READ 1"</f>
        <v>INTENS READ 1</v>
      </c>
      <c r="G15111" t="str">
        <f>"17-1723"</f>
        <v>17-1723</v>
      </c>
      <c r="H15111" t="str">
        <f>"B"</f>
        <v>B</v>
      </c>
    </row>
    <row r="15112" spans="1:8" x14ac:dyDescent="0.2">
      <c r="A15112" t="str">
        <f t="shared" si="5482"/>
        <v>0617068788</v>
      </c>
      <c r="B15112" t="str">
        <f t="shared" si="5483"/>
        <v>MAHALEE</v>
      </c>
      <c r="C15112" t="str">
        <f t="shared" si="5484"/>
        <v>SAINTANGE</v>
      </c>
      <c r="D15112" t="str">
        <f t="shared" si="5485"/>
        <v>09</v>
      </c>
      <c r="E15112" t="str">
        <f>"03 - A - 002 - Ferrie J Arostique"</f>
        <v>03 - A - 002 - Ferrie J Arostique</v>
      </c>
      <c r="F15112" t="str">
        <f>"GEOMETRY"</f>
        <v>GEOMETRY</v>
      </c>
      <c r="G15112" t="str">
        <f>"21-2139"</f>
        <v>21-2139</v>
      </c>
      <c r="H15112" t="str">
        <f>"A"</f>
        <v>A</v>
      </c>
    </row>
    <row r="15113" spans="1:8" x14ac:dyDescent="0.2">
      <c r="A15113" t="str">
        <f t="shared" si="5482"/>
        <v>0617068788</v>
      </c>
      <c r="B15113" t="str">
        <f t="shared" si="5483"/>
        <v>MAHALEE</v>
      </c>
      <c r="C15113" t="str">
        <f t="shared" si="5484"/>
        <v>SAINTANGE</v>
      </c>
      <c r="D15113" t="str">
        <f t="shared" si="5485"/>
        <v>09</v>
      </c>
      <c r="E15113" t="str">
        <f>"02 - A - 102 - Samantha J Headley"</f>
        <v>02 - A - 102 - Samantha J Headley</v>
      </c>
      <c r="F15113" t="str">
        <f>"NC STUDY HALL 1"</f>
        <v>NC STUDY HALL 1</v>
      </c>
      <c r="G15113" t="str">
        <f>"21-2134"</f>
        <v>21-2134</v>
      </c>
      <c r="H15113" t="str">
        <f>"A"</f>
        <v>A</v>
      </c>
    </row>
    <row r="15114" spans="1:8" x14ac:dyDescent="0.2">
      <c r="A15114" t="str">
        <f t="shared" si="5482"/>
        <v>0617068788</v>
      </c>
      <c r="B15114" t="str">
        <f t="shared" si="5483"/>
        <v>MAHALEE</v>
      </c>
      <c r="C15114" t="str">
        <f t="shared" si="5484"/>
        <v>SAINTANGE</v>
      </c>
      <c r="D15114" t="str">
        <f t="shared" si="5485"/>
        <v>09</v>
      </c>
      <c r="E15114" t="str">
        <f>"07 - B - 101 - Alejandro  Navarro"</f>
        <v>07 - B - 101 - Alejandro  Navarro</v>
      </c>
      <c r="F15114" t="str">
        <f>"EURHY 1"</f>
        <v>EURHY 1</v>
      </c>
      <c r="G15114" t="str">
        <f>"05-504"</f>
        <v>05-504</v>
      </c>
      <c r="H15114" t="str">
        <f>"B"</f>
        <v>B</v>
      </c>
    </row>
    <row r="15115" spans="1:8" x14ac:dyDescent="0.2">
      <c r="A15115" t="str">
        <f t="shared" si="5482"/>
        <v>0617068788</v>
      </c>
      <c r="B15115" t="str">
        <f t="shared" si="5483"/>
        <v>MAHALEE</v>
      </c>
      <c r="C15115" t="str">
        <f t="shared" si="5484"/>
        <v>SAINTANGE</v>
      </c>
      <c r="D15115" t="str">
        <f t="shared" si="5485"/>
        <v>09</v>
      </c>
      <c r="E15115" t="str">
        <f>"05 - B - 207 - Marielle A Witting"</f>
        <v>05 - B - 207 - Marielle A Witting</v>
      </c>
      <c r="F15115" t="str">
        <f>"ANAT PHYSIO"</f>
        <v>ANAT PHYSIO</v>
      </c>
      <c r="G15115" t="str">
        <f>"08-805"</f>
        <v>08-805</v>
      </c>
      <c r="H15115" t="str">
        <f>"B"</f>
        <v>B</v>
      </c>
    </row>
    <row r="15116" spans="1:8" x14ac:dyDescent="0.2">
      <c r="A15116" t="str">
        <f t="shared" si="5482"/>
        <v>0617068788</v>
      </c>
      <c r="B15116" t="str">
        <f t="shared" si="5483"/>
        <v>MAHALEE</v>
      </c>
      <c r="C15116" t="str">
        <f t="shared" si="5484"/>
        <v>SAINTANGE</v>
      </c>
      <c r="D15116" t="str">
        <f t="shared" si="5485"/>
        <v>09</v>
      </c>
      <c r="E15116" t="str">
        <f>"01 - A - 101 - Vanessa J Liburd"</f>
        <v>01 - A - 101 - Vanessa J Liburd</v>
      </c>
      <c r="F15116" t="str">
        <f>"PRE-AICE FRENCH 1 IG"</f>
        <v>PRE-AICE FRENCH 1 IG</v>
      </c>
      <c r="G15116" t="str">
        <f>"05-519"</f>
        <v>05-519</v>
      </c>
      <c r="H15116" t="str">
        <f>"A"</f>
        <v>A</v>
      </c>
    </row>
    <row r="15117" spans="1:8" x14ac:dyDescent="0.2">
      <c r="A15117" t="str">
        <f t="shared" si="5482"/>
        <v>0617068788</v>
      </c>
      <c r="B15117" t="str">
        <f t="shared" si="5483"/>
        <v>MAHALEE</v>
      </c>
      <c r="C15117" t="str">
        <f t="shared" si="5484"/>
        <v>SAINTANGE</v>
      </c>
      <c r="D15117" t="str">
        <f t="shared" si="5485"/>
        <v>09</v>
      </c>
      <c r="E15117" t="str">
        <f>"08 - B - 108 - Cerine S Stewart"</f>
        <v>08 - B - 108 - Cerine S Stewart</v>
      </c>
      <c r="F15117" t="str">
        <f>"ENG 1"</f>
        <v>ENG 1</v>
      </c>
      <c r="G15117" t="str">
        <f>"17-1720"</f>
        <v>17-1720</v>
      </c>
      <c r="H15117" t="str">
        <f>"B"</f>
        <v>B</v>
      </c>
    </row>
    <row r="15118" spans="1:8" x14ac:dyDescent="0.2">
      <c r="A15118" t="str">
        <f t="shared" ref="A15118:A15125" si="5486">"0616083965"</f>
        <v>0616083965</v>
      </c>
      <c r="B15118" t="str">
        <f t="shared" ref="B15118:B15125" si="5487">"ZION"</f>
        <v>ZION</v>
      </c>
      <c r="C15118" t="str">
        <f t="shared" si="5484"/>
        <v>SAINTANGE</v>
      </c>
      <c r="D15118">
        <f>10</f>
        <v>10</v>
      </c>
      <c r="E15118" t="str">
        <f>"04 - A - 105 - Milca  Exantus"</f>
        <v>04 - A - 105 - Milca  Exantus</v>
      </c>
      <c r="F15118" t="str">
        <f>"MATH COLLEGE LIB ART"</f>
        <v>MATH COLLEGE LIB ART</v>
      </c>
      <c r="G15118" t="str">
        <f>"21-2145"</f>
        <v>21-2145</v>
      </c>
      <c r="H15118" t="str">
        <f>"A"</f>
        <v>A</v>
      </c>
    </row>
    <row r="15119" spans="1:8" x14ac:dyDescent="0.2">
      <c r="A15119" t="str">
        <f t="shared" si="5486"/>
        <v>0616083965</v>
      </c>
      <c r="B15119" t="str">
        <f t="shared" si="5487"/>
        <v>ZION</v>
      </c>
      <c r="C15119" t="str">
        <f t="shared" si="5484"/>
        <v>SAINTANGE</v>
      </c>
      <c r="D15119">
        <f>10</f>
        <v>10</v>
      </c>
      <c r="E15119" t="str">
        <f>"06 - B - 105 - Jeffrey S Gallagher"</f>
        <v>06 - B - 105 - Jeffrey S Gallagher</v>
      </c>
      <c r="F15119" t="str">
        <f>"NC STUDY HALL 1"</f>
        <v>NC STUDY HALL 1</v>
      </c>
      <c r="G15119" t="str">
        <f>"17-1724"</f>
        <v>17-1724</v>
      </c>
      <c r="H15119" t="str">
        <f>"B"</f>
        <v>B</v>
      </c>
    </row>
    <row r="15120" spans="1:8" x14ac:dyDescent="0.2">
      <c r="A15120" t="str">
        <f t="shared" si="5486"/>
        <v>0616083965</v>
      </c>
      <c r="B15120" t="str">
        <f t="shared" si="5487"/>
        <v>ZION</v>
      </c>
      <c r="C15120" t="str">
        <f t="shared" si="5484"/>
        <v>SAINTANGE</v>
      </c>
      <c r="D15120">
        <f>10</f>
        <v>10</v>
      </c>
      <c r="E15120" t="str">
        <f>"03 - A - 103 - Courtney E Hambright"</f>
        <v>03 - A - 103 - Courtney E Hambright</v>
      </c>
      <c r="F15120" t="str">
        <f>"AICE ENG LANG AS"</f>
        <v>AICE ENG LANG AS</v>
      </c>
      <c r="G15120" t="str">
        <f>"17-1711"</f>
        <v>17-1711</v>
      </c>
      <c r="H15120" t="str">
        <f>"A"</f>
        <v>A</v>
      </c>
    </row>
    <row r="15121" spans="1:8" x14ac:dyDescent="0.2">
      <c r="A15121" t="str">
        <f t="shared" si="5486"/>
        <v>0616083965</v>
      </c>
      <c r="B15121" t="str">
        <f t="shared" si="5487"/>
        <v>ZION</v>
      </c>
      <c r="C15121" t="str">
        <f t="shared" si="5484"/>
        <v>SAINTANGE</v>
      </c>
      <c r="D15121">
        <f>10</f>
        <v>10</v>
      </c>
      <c r="E15121" t="str">
        <f>"02 - A - 001 - Alejandro  Navarro"</f>
        <v>02 - A - 001 - Alejandro  Navarro</v>
      </c>
      <c r="F15121" t="str">
        <f>"BAND 1"</f>
        <v>BAND 1</v>
      </c>
      <c r="G15121" t="str">
        <f>"05-504"</f>
        <v>05-504</v>
      </c>
      <c r="H15121" t="str">
        <f>"A"</f>
        <v>A</v>
      </c>
    </row>
    <row r="15122" spans="1:8" x14ac:dyDescent="0.2">
      <c r="A15122" t="str">
        <f t="shared" si="5486"/>
        <v>0616083965</v>
      </c>
      <c r="B15122" t="str">
        <f t="shared" si="5487"/>
        <v>ZION</v>
      </c>
      <c r="C15122" t="str">
        <f t="shared" si="5484"/>
        <v>SAINTANGE</v>
      </c>
      <c r="D15122">
        <f>10</f>
        <v>10</v>
      </c>
      <c r="E15122" t="str">
        <f>"07 - B - 101 - Alejandro  Navarro"</f>
        <v>07 - B - 101 - Alejandro  Navarro</v>
      </c>
      <c r="F15122" t="str">
        <f>"EURHY 1"</f>
        <v>EURHY 1</v>
      </c>
      <c r="G15122" t="str">
        <f>"05-504"</f>
        <v>05-504</v>
      </c>
      <c r="H15122" t="str">
        <f>"B"</f>
        <v>B</v>
      </c>
    </row>
    <row r="15123" spans="1:8" x14ac:dyDescent="0.2">
      <c r="A15123" t="str">
        <f t="shared" si="5486"/>
        <v>0616083965</v>
      </c>
      <c r="B15123" t="str">
        <f t="shared" si="5487"/>
        <v>ZION</v>
      </c>
      <c r="C15123" t="str">
        <f t="shared" si="5484"/>
        <v>SAINTANGE</v>
      </c>
      <c r="D15123">
        <f>10</f>
        <v>10</v>
      </c>
      <c r="E15123" t="str">
        <f>"05 - B - 001 - Kelly N Panza"</f>
        <v>05 - B - 001 - Kelly N Panza</v>
      </c>
      <c r="F15123" t="str">
        <f>"AICE GLBL PERSP 1 AS"</f>
        <v>AICE GLBL PERSP 1 AS</v>
      </c>
      <c r="G15123" t="str">
        <f>"17-1753"</f>
        <v>17-1753</v>
      </c>
      <c r="H15123" t="str">
        <f>"B"</f>
        <v>B</v>
      </c>
    </row>
    <row r="15124" spans="1:8" x14ac:dyDescent="0.2">
      <c r="A15124" t="str">
        <f t="shared" si="5486"/>
        <v>0616083965</v>
      </c>
      <c r="B15124" t="str">
        <f t="shared" si="5487"/>
        <v>ZION</v>
      </c>
      <c r="C15124" t="str">
        <f t="shared" si="5484"/>
        <v>SAINTANGE</v>
      </c>
      <c r="D15124">
        <f>10</f>
        <v>10</v>
      </c>
      <c r="E15124" t="str">
        <f>"01 - A - 201 - Cheryl L Beach"</f>
        <v>01 - A - 201 - Cheryl L Beach</v>
      </c>
      <c r="F15124" t="str">
        <f>"AICE ENV MGMNT AS"</f>
        <v>AICE ENV MGMNT AS</v>
      </c>
      <c r="G15124" t="str">
        <f>"08-811"</f>
        <v>08-811</v>
      </c>
      <c r="H15124" t="str">
        <f>"A"</f>
        <v>A</v>
      </c>
    </row>
    <row r="15125" spans="1:8" x14ac:dyDescent="0.2">
      <c r="A15125" t="str">
        <f t="shared" si="5486"/>
        <v>0616083965</v>
      </c>
      <c r="B15125" t="str">
        <f t="shared" si="5487"/>
        <v>ZION</v>
      </c>
      <c r="C15125" t="str">
        <f t="shared" si="5484"/>
        <v>SAINTANGE</v>
      </c>
      <c r="D15125">
        <f>10</f>
        <v>10</v>
      </c>
      <c r="E15125" t="str">
        <f>"08 - S1 - B - 102 - Kyle  Robbins"</f>
        <v>08 - S1 - B - 102 - Kyle  Robbins</v>
      </c>
      <c r="F15125" t="str">
        <f>"PERS FIN &amp; MON MGT H"</f>
        <v>PERS FIN &amp; MON MGT H</v>
      </c>
      <c r="G15125" t="str">
        <f>"17-1745"</f>
        <v>17-1745</v>
      </c>
      <c r="H15125" t="str">
        <f>"B"</f>
        <v>B</v>
      </c>
    </row>
    <row r="15126" spans="1:8" x14ac:dyDescent="0.2">
      <c r="A15126" t="str">
        <f t="shared" ref="A15126:A15133" si="5488">"0613081272"</f>
        <v>0613081272</v>
      </c>
      <c r="B15126" t="str">
        <f t="shared" ref="B15126:B15133" si="5489">"BETSIE"</f>
        <v>BETSIE</v>
      </c>
      <c r="C15126" t="str">
        <f t="shared" ref="C15126:C15141" si="5490">"SAINT FLEUR"</f>
        <v>SAINT FLEUR</v>
      </c>
      <c r="D15126">
        <f>10</f>
        <v>10</v>
      </c>
      <c r="E15126" t="str">
        <f>"04 - A - 104 - Dayna M Foster"</f>
        <v>04 - A - 104 - Dayna M Foster</v>
      </c>
      <c r="F15126" t="str">
        <f>"ALGEBRA 2"</f>
        <v>ALGEBRA 2</v>
      </c>
      <c r="G15126" t="str">
        <f>"21-2109"</f>
        <v>21-2109</v>
      </c>
      <c r="H15126" t="str">
        <f>"A"</f>
        <v>A</v>
      </c>
    </row>
    <row r="15127" spans="1:8" x14ac:dyDescent="0.2">
      <c r="A15127" t="str">
        <f t="shared" si="5488"/>
        <v>0613081272</v>
      </c>
      <c r="B15127" t="str">
        <f t="shared" si="5489"/>
        <v>BETSIE</v>
      </c>
      <c r="C15127" t="str">
        <f t="shared" si="5490"/>
        <v>SAINT FLEUR</v>
      </c>
      <c r="D15127">
        <f>10</f>
        <v>10</v>
      </c>
      <c r="E15127" t="str">
        <f>"06 - B - 119 - Nikiel  Nesbeth"</f>
        <v>06 - B - 119 - Nikiel  Nesbeth</v>
      </c>
      <c r="F15127" t="str">
        <f>"NC STUDY HALL 1"</f>
        <v>NC STUDY HALL 1</v>
      </c>
      <c r="G15127" t="str">
        <f>"17-1705"</f>
        <v>17-1705</v>
      </c>
      <c r="H15127" t="str">
        <f>"B"</f>
        <v>B</v>
      </c>
    </row>
    <row r="15128" spans="1:8" x14ac:dyDescent="0.2">
      <c r="A15128" t="str">
        <f t="shared" si="5488"/>
        <v>0613081272</v>
      </c>
      <c r="B15128" t="str">
        <f t="shared" si="5489"/>
        <v>BETSIE</v>
      </c>
      <c r="C15128" t="str">
        <f t="shared" si="5490"/>
        <v>SAINT FLEUR</v>
      </c>
      <c r="D15128">
        <f>10</f>
        <v>10</v>
      </c>
      <c r="E15128" t="str">
        <f>"03 - A - 002 - Brandy N Zdenek"</f>
        <v>03 - A - 002 - Brandy N Zdenek</v>
      </c>
      <c r="F15128" t="str">
        <f>"AICE ENG LANG AS"</f>
        <v>AICE ENG LANG AS</v>
      </c>
      <c r="G15128" t="str">
        <f>"17-1704"</f>
        <v>17-1704</v>
      </c>
      <c r="H15128" t="str">
        <f>"A"</f>
        <v>A</v>
      </c>
    </row>
    <row r="15129" spans="1:8" x14ac:dyDescent="0.2">
      <c r="A15129" t="str">
        <f t="shared" si="5488"/>
        <v>0613081272</v>
      </c>
      <c r="B15129" t="str">
        <f t="shared" si="5489"/>
        <v>BETSIE</v>
      </c>
      <c r="C15129" t="str">
        <f t="shared" si="5490"/>
        <v>SAINT FLEUR</v>
      </c>
      <c r="D15129">
        <f>10</f>
        <v>10</v>
      </c>
      <c r="E15129" t="str">
        <f>"02 - A - 102 - Chrystina M Marchionne"</f>
        <v>02 - A - 102 - Chrystina M Marchionne</v>
      </c>
      <c r="F15129" t="str">
        <f>"AICE MEDIASTUDIES AS"</f>
        <v>AICE MEDIASTUDIES AS</v>
      </c>
      <c r="G15129" t="str">
        <f>"05-520"</f>
        <v>05-520</v>
      </c>
      <c r="H15129" t="str">
        <f>"A"</f>
        <v>A</v>
      </c>
    </row>
    <row r="15130" spans="1:8" x14ac:dyDescent="0.2">
      <c r="A15130" t="str">
        <f t="shared" si="5488"/>
        <v>0613081272</v>
      </c>
      <c r="B15130" t="str">
        <f t="shared" si="5489"/>
        <v>BETSIE</v>
      </c>
      <c r="C15130" t="str">
        <f t="shared" si="5490"/>
        <v>SAINT FLEUR</v>
      </c>
      <c r="D15130">
        <f>10</f>
        <v>10</v>
      </c>
      <c r="E15130" t="str">
        <f>"07 - B - 107 - Marius D Orsolini"</f>
        <v>07 - B - 107 - Marius D Orsolini</v>
      </c>
      <c r="F15130" t="str">
        <f>"CULINARY ARTS 1"</f>
        <v>CULINARY ARTS 1</v>
      </c>
      <c r="G15130" t="str">
        <f>"21-2115"</f>
        <v>21-2115</v>
      </c>
      <c r="H15130" t="str">
        <f>"B"</f>
        <v>B</v>
      </c>
    </row>
    <row r="15131" spans="1:8" x14ac:dyDescent="0.2">
      <c r="A15131" t="str">
        <f t="shared" si="5488"/>
        <v>0613081272</v>
      </c>
      <c r="B15131" t="str">
        <f t="shared" si="5489"/>
        <v>BETSIE</v>
      </c>
      <c r="C15131" t="str">
        <f t="shared" si="5490"/>
        <v>SAINT FLEUR</v>
      </c>
      <c r="D15131">
        <f>10</f>
        <v>10</v>
      </c>
      <c r="E15131" t="str">
        <f>"05 - B - 204 - Cheryl L Beach"</f>
        <v>05 - B - 204 - Cheryl L Beach</v>
      </c>
      <c r="F15131" t="str">
        <f>"AICE ENV MGMNT AS"</f>
        <v>AICE ENV MGMNT AS</v>
      </c>
      <c r="G15131" t="str">
        <f>"08-811"</f>
        <v>08-811</v>
      </c>
      <c r="H15131" t="str">
        <f>"B"</f>
        <v>B</v>
      </c>
    </row>
    <row r="15132" spans="1:8" x14ac:dyDescent="0.2">
      <c r="A15132" t="str">
        <f t="shared" si="5488"/>
        <v>0613081272</v>
      </c>
      <c r="B15132" t="str">
        <f t="shared" si="5489"/>
        <v>BETSIE</v>
      </c>
      <c r="C15132" t="str">
        <f t="shared" si="5490"/>
        <v>SAINT FLEUR</v>
      </c>
      <c r="D15132">
        <f>10</f>
        <v>10</v>
      </c>
      <c r="E15132" t="str">
        <f>"01 - A - 002 - Krystal Marie  Beruty"</f>
        <v>01 - A - 002 - Krystal Marie  Beruty</v>
      </c>
      <c r="F15132" t="str">
        <f>"AICE GLBL PERSP 1 AS"</f>
        <v>AICE GLBL PERSP 1 AS</v>
      </c>
      <c r="G15132" t="str">
        <f>"17-1721"</f>
        <v>17-1721</v>
      </c>
      <c r="H15132" t="str">
        <f>"A"</f>
        <v>A</v>
      </c>
    </row>
    <row r="15133" spans="1:8" x14ac:dyDescent="0.2">
      <c r="A15133" t="str">
        <f t="shared" si="5488"/>
        <v>0613081272</v>
      </c>
      <c r="B15133" t="str">
        <f t="shared" si="5489"/>
        <v>BETSIE</v>
      </c>
      <c r="C15133" t="str">
        <f t="shared" si="5490"/>
        <v>SAINT FLEUR</v>
      </c>
      <c r="D15133">
        <f>10</f>
        <v>10</v>
      </c>
      <c r="E15133" t="str">
        <f>"08 - S1 - B - 001 - Carol S Moore"</f>
        <v>08 - S1 - B - 001 - Carol S Moore</v>
      </c>
      <c r="F15133" t="str">
        <f>"PER CAR SCH DEV 1 LH"</f>
        <v>PER CAR SCH DEV 1 LH</v>
      </c>
      <c r="G15133" t="str">
        <f>"17-1733"</f>
        <v>17-1733</v>
      </c>
      <c r="H15133" t="str">
        <f>"B"</f>
        <v>B</v>
      </c>
    </row>
    <row r="15134" spans="1:8" x14ac:dyDescent="0.2">
      <c r="A15134" t="str">
        <f t="shared" ref="A15134:A15141" si="5491">"0614104626"</f>
        <v>0614104626</v>
      </c>
      <c r="B15134" t="str">
        <f t="shared" ref="B15134:B15141" si="5492">"SAMUEL"</f>
        <v>SAMUEL</v>
      </c>
      <c r="C15134" t="str">
        <f t="shared" si="5490"/>
        <v>SAINT FLEUR</v>
      </c>
      <c r="D15134" t="str">
        <f t="shared" ref="D15134:D15141" si="5493">"09"</f>
        <v>09</v>
      </c>
      <c r="E15134" t="str">
        <f>"04 - A - 102 - Samantha L Martinez"</f>
        <v>04 - A - 102 - Samantha L Martinez</v>
      </c>
      <c r="F15134" t="str">
        <f>"KEYBD 1"</f>
        <v>KEYBD 1</v>
      </c>
      <c r="G15134" t="str">
        <f>"05-505"</f>
        <v>05-505</v>
      </c>
      <c r="H15134" t="str">
        <f>"A"</f>
        <v>A</v>
      </c>
    </row>
    <row r="15135" spans="1:8" x14ac:dyDescent="0.2">
      <c r="A15135" t="str">
        <f t="shared" si="5491"/>
        <v>0614104626</v>
      </c>
      <c r="B15135" t="str">
        <f t="shared" si="5492"/>
        <v>SAMUEL</v>
      </c>
      <c r="C15135" t="str">
        <f t="shared" si="5490"/>
        <v>SAINT FLEUR</v>
      </c>
      <c r="D15135" t="str">
        <f t="shared" si="5493"/>
        <v>09</v>
      </c>
      <c r="E15135" t="str">
        <f>"06 - B - 102 - Angela S Adeshina-Morrison"</f>
        <v>06 - B - 102 - Angela S Adeshina-Morrison</v>
      </c>
      <c r="F15135" t="str">
        <f>"MARKETING ESSENTIALS"</f>
        <v>MARKETING ESSENTIALS</v>
      </c>
      <c r="G15135" t="str">
        <f>"05-518"</f>
        <v>05-518</v>
      </c>
      <c r="H15135" t="str">
        <f>"B"</f>
        <v>B</v>
      </c>
    </row>
    <row r="15136" spans="1:8" x14ac:dyDescent="0.2">
      <c r="A15136" t="str">
        <f t="shared" si="5491"/>
        <v>0614104626</v>
      </c>
      <c r="B15136" t="str">
        <f t="shared" si="5492"/>
        <v>SAMUEL</v>
      </c>
      <c r="C15136" t="str">
        <f t="shared" si="5490"/>
        <v>SAINT FLEUR</v>
      </c>
      <c r="D15136" t="str">
        <f t="shared" si="5493"/>
        <v>09</v>
      </c>
      <c r="E15136" t="str">
        <f>"03 - A - 103 - Adam Marcus  Drucker"</f>
        <v>03 - A - 103 - Adam Marcus  Drucker</v>
      </c>
      <c r="F15136" t="str">
        <f>"HOPE-PE V"</f>
        <v>HOPE-PE V</v>
      </c>
      <c r="G15136" t="str">
        <f>"04-254"</f>
        <v>04-254</v>
      </c>
      <c r="H15136" t="str">
        <f>"A"</f>
        <v>A</v>
      </c>
    </row>
    <row r="15137" spans="1:8" x14ac:dyDescent="0.2">
      <c r="A15137" t="str">
        <f t="shared" si="5491"/>
        <v>0614104626</v>
      </c>
      <c r="B15137" t="str">
        <f t="shared" si="5492"/>
        <v>SAMUEL</v>
      </c>
      <c r="C15137" t="str">
        <f t="shared" si="5490"/>
        <v>SAINT FLEUR</v>
      </c>
      <c r="D15137" t="str">
        <f t="shared" si="5493"/>
        <v>09</v>
      </c>
      <c r="E15137" t="str">
        <f>"02 - A - 109 - Krystal Marie  Beruty"</f>
        <v>02 - A - 109 - Krystal Marie  Beruty</v>
      </c>
      <c r="F15137" t="str">
        <f>"NC STUDY HALL 1"</f>
        <v>NC STUDY HALL 1</v>
      </c>
      <c r="G15137" t="str">
        <f>"17-1721"</f>
        <v>17-1721</v>
      </c>
      <c r="H15137" t="str">
        <f>"A"</f>
        <v>A</v>
      </c>
    </row>
    <row r="15138" spans="1:8" x14ac:dyDescent="0.2">
      <c r="A15138" t="str">
        <f t="shared" si="5491"/>
        <v>0614104626</v>
      </c>
      <c r="B15138" t="str">
        <f t="shared" si="5492"/>
        <v>SAMUEL</v>
      </c>
      <c r="C15138" t="str">
        <f t="shared" si="5490"/>
        <v>SAINT FLEUR</v>
      </c>
      <c r="D15138" t="str">
        <f t="shared" si="5493"/>
        <v>09</v>
      </c>
      <c r="E15138" t="str">
        <f>"07 - B - 206 - Cheryl L Beach"</f>
        <v>07 - B - 206 - Cheryl L Beach</v>
      </c>
      <c r="F15138" t="str">
        <f>"AICE ENV MGMNT AS"</f>
        <v>AICE ENV MGMNT AS</v>
      </c>
      <c r="G15138" t="str">
        <f>"08-811"</f>
        <v>08-811</v>
      </c>
      <c r="H15138" t="str">
        <f>"B"</f>
        <v>B</v>
      </c>
    </row>
    <row r="15139" spans="1:8" x14ac:dyDescent="0.2">
      <c r="A15139" t="str">
        <f t="shared" si="5491"/>
        <v>0614104626</v>
      </c>
      <c r="B15139" t="str">
        <f t="shared" si="5492"/>
        <v>SAMUEL</v>
      </c>
      <c r="C15139" t="str">
        <f t="shared" si="5490"/>
        <v>SAINT FLEUR</v>
      </c>
      <c r="D15139" t="str">
        <f t="shared" si="5493"/>
        <v>09</v>
      </c>
      <c r="E15139" t="str">
        <f>"05 - B - 104 - Maried P Ramos"</f>
        <v>05 - B - 104 - Maried P Ramos</v>
      </c>
      <c r="F15139" t="str">
        <f>"PRE-AICE MATH 2 IG"</f>
        <v>PRE-AICE MATH 2 IG</v>
      </c>
      <c r="G15139" t="str">
        <f>"21-2159"</f>
        <v>21-2159</v>
      </c>
      <c r="H15139" t="str">
        <f>"B"</f>
        <v>B</v>
      </c>
    </row>
    <row r="15140" spans="1:8" x14ac:dyDescent="0.2">
      <c r="A15140" t="str">
        <f t="shared" si="5491"/>
        <v>0614104626</v>
      </c>
      <c r="B15140" t="str">
        <f t="shared" si="5492"/>
        <v>SAMUEL</v>
      </c>
      <c r="C15140" t="str">
        <f t="shared" si="5490"/>
        <v>SAINT FLEUR</v>
      </c>
      <c r="D15140" t="str">
        <f t="shared" si="5493"/>
        <v>09</v>
      </c>
      <c r="E15140" t="str">
        <f>"01 - A - 006 - Emmily A Sarmiento"</f>
        <v>01 - A - 006 - Emmily A Sarmiento</v>
      </c>
      <c r="F15140" t="str">
        <f>"AICE GLBL PERSP 1 AS"</f>
        <v>AICE GLBL PERSP 1 AS</v>
      </c>
      <c r="G15140" t="str">
        <f>"17-1743"</f>
        <v>17-1743</v>
      </c>
      <c r="H15140" t="str">
        <f>"A"</f>
        <v>A</v>
      </c>
    </row>
    <row r="15141" spans="1:8" x14ac:dyDescent="0.2">
      <c r="A15141" t="str">
        <f t="shared" si="5491"/>
        <v>0614104626</v>
      </c>
      <c r="B15141" t="str">
        <f t="shared" si="5492"/>
        <v>SAMUEL</v>
      </c>
      <c r="C15141" t="str">
        <f t="shared" si="5490"/>
        <v>SAINT FLEUR</v>
      </c>
      <c r="D15141" t="str">
        <f t="shared" si="5493"/>
        <v>09</v>
      </c>
      <c r="E15141" t="str">
        <f>"08 - B - 004 - Cheryl Anne  Berman-Schechter"</f>
        <v>08 - B - 004 - Cheryl Anne  Berman-Schechter</v>
      </c>
      <c r="F15141" t="str">
        <f>"AICE ENG GEN PAPER 1"</f>
        <v>AICE ENG GEN PAPER 1</v>
      </c>
      <c r="G15141" t="str">
        <f>"17-1722"</f>
        <v>17-1722</v>
      </c>
      <c r="H15141" t="str">
        <f>"B"</f>
        <v>B</v>
      </c>
    </row>
    <row r="15142" spans="1:8" x14ac:dyDescent="0.2">
      <c r="A15142" t="str">
        <f t="shared" ref="A15142:A15149" si="5494">"0616084580"</f>
        <v>0616084580</v>
      </c>
      <c r="B15142" t="str">
        <f t="shared" ref="B15142:B15149" si="5495">"RAPHNEY"</f>
        <v>RAPHNEY</v>
      </c>
      <c r="C15142" t="str">
        <f t="shared" ref="C15142:C15149" si="5496">"SAINTIL"</f>
        <v>SAINTIL</v>
      </c>
      <c r="D15142">
        <f>10</f>
        <v>10</v>
      </c>
      <c r="E15142" t="str">
        <f>"04 - A - 104 - Laselleda D Shaw"</f>
        <v>04 - A - 104 - Laselleda D Shaw</v>
      </c>
      <c r="F15142" t="str">
        <f>"INTENS READ 2"</f>
        <v>INTENS READ 2</v>
      </c>
      <c r="G15142" t="str">
        <f>"17-1723"</f>
        <v>17-1723</v>
      </c>
      <c r="H15142" t="str">
        <f>"A"</f>
        <v>A</v>
      </c>
    </row>
    <row r="15143" spans="1:8" x14ac:dyDescent="0.2">
      <c r="A15143" t="str">
        <f t="shared" si="5494"/>
        <v>0616084580</v>
      </c>
      <c r="B15143" t="str">
        <f t="shared" si="5495"/>
        <v>RAPHNEY</v>
      </c>
      <c r="C15143" t="str">
        <f t="shared" si="5496"/>
        <v>SAINTIL</v>
      </c>
      <c r="D15143">
        <f>10</f>
        <v>10</v>
      </c>
      <c r="E15143" t="str">
        <f>"06 - B - 112 - Tina M Jaramillo"</f>
        <v>06 - B - 112 - Tina M Jaramillo</v>
      </c>
      <c r="F15143" t="str">
        <f>"NC STUDY HALL 1"</f>
        <v>NC STUDY HALL 1</v>
      </c>
      <c r="G15143" t="str">
        <f>"17-1706"</f>
        <v>17-1706</v>
      </c>
      <c r="H15143" t="str">
        <f>"B"</f>
        <v>B</v>
      </c>
    </row>
    <row r="15144" spans="1:8" x14ac:dyDescent="0.2">
      <c r="A15144" t="str">
        <f t="shared" si="5494"/>
        <v>0616084580</v>
      </c>
      <c r="B15144" t="str">
        <f t="shared" si="5495"/>
        <v>RAPHNEY</v>
      </c>
      <c r="C15144" t="str">
        <f t="shared" si="5496"/>
        <v>SAINTIL</v>
      </c>
      <c r="D15144">
        <f>10</f>
        <v>10</v>
      </c>
      <c r="E15144" t="str">
        <f>"03 - A - 103 - Pamela M Corzo"</f>
        <v>03 - A - 103 - Pamela M Corzo</v>
      </c>
      <c r="F15144" t="str">
        <f>"ALGEBRA 2 HON"</f>
        <v>ALGEBRA 2 HON</v>
      </c>
      <c r="G15144" t="str">
        <f>"21-2133"</f>
        <v>21-2133</v>
      </c>
      <c r="H15144" t="str">
        <f>"A"</f>
        <v>A</v>
      </c>
    </row>
    <row r="15145" spans="1:8" x14ac:dyDescent="0.2">
      <c r="A15145" t="str">
        <f t="shared" si="5494"/>
        <v>0616084580</v>
      </c>
      <c r="B15145" t="str">
        <f t="shared" si="5495"/>
        <v>RAPHNEY</v>
      </c>
      <c r="C15145" t="str">
        <f t="shared" si="5496"/>
        <v>SAINTIL</v>
      </c>
      <c r="D15145">
        <f>10</f>
        <v>10</v>
      </c>
      <c r="E15145" t="str">
        <f>"02 - A - 102 - Adam Marcus  Drucker"</f>
        <v>02 - A - 102 - Adam Marcus  Drucker</v>
      </c>
      <c r="F15145" t="str">
        <f>"HOPE-PE V"</f>
        <v>HOPE-PE V</v>
      </c>
      <c r="G15145" t="str">
        <f>"04-254"</f>
        <v>04-254</v>
      </c>
      <c r="H15145" t="str">
        <f>"A"</f>
        <v>A</v>
      </c>
    </row>
    <row r="15146" spans="1:8" x14ac:dyDescent="0.2">
      <c r="A15146" t="str">
        <f t="shared" si="5494"/>
        <v>0616084580</v>
      </c>
      <c r="B15146" t="str">
        <f t="shared" si="5495"/>
        <v>RAPHNEY</v>
      </c>
      <c r="C15146" t="str">
        <f t="shared" si="5496"/>
        <v>SAINTIL</v>
      </c>
      <c r="D15146">
        <f>10</f>
        <v>10</v>
      </c>
      <c r="E15146" t="str">
        <f>"07 - B - 107 - Lytrell T Dixon"</f>
        <v>07 - B - 107 - Lytrell T Dixon</v>
      </c>
      <c r="F15146" t="str">
        <f>"BIOLOGY 1"</f>
        <v>BIOLOGY 1</v>
      </c>
      <c r="G15146" t="str">
        <f>"08-808"</f>
        <v>08-808</v>
      </c>
      <c r="H15146" t="str">
        <f>"B"</f>
        <v>B</v>
      </c>
    </row>
    <row r="15147" spans="1:8" x14ac:dyDescent="0.2">
      <c r="A15147" t="str">
        <f t="shared" si="5494"/>
        <v>0616084580</v>
      </c>
      <c r="B15147" t="str">
        <f t="shared" si="5495"/>
        <v>RAPHNEY</v>
      </c>
      <c r="C15147" t="str">
        <f t="shared" si="5496"/>
        <v>SAINTIL</v>
      </c>
      <c r="D15147">
        <f>10</f>
        <v>10</v>
      </c>
      <c r="E15147" t="str">
        <f>"05 - B - 107 - Nikiel  Nesbeth"</f>
        <v>05 - B - 107 - Nikiel  Nesbeth</v>
      </c>
      <c r="F15147" t="str">
        <f>"ENG 2"</f>
        <v>ENG 2</v>
      </c>
      <c r="G15147" t="str">
        <f>"17-1705"</f>
        <v>17-1705</v>
      </c>
      <c r="H15147" t="str">
        <f>"B"</f>
        <v>B</v>
      </c>
    </row>
    <row r="15148" spans="1:8" x14ac:dyDescent="0.2">
      <c r="A15148" t="str">
        <f t="shared" si="5494"/>
        <v>0616084580</v>
      </c>
      <c r="B15148" t="str">
        <f t="shared" si="5495"/>
        <v>RAPHNEY</v>
      </c>
      <c r="C15148" t="str">
        <f t="shared" si="5496"/>
        <v>SAINTIL</v>
      </c>
      <c r="D15148">
        <f>10</f>
        <v>10</v>
      </c>
      <c r="E15148" t="str">
        <f>"01 - S1 - A - 101 - Leslie J Barton"</f>
        <v>01 - S1 - A - 101 - Leslie J Barton</v>
      </c>
      <c r="F15148" t="str">
        <f>"FIRST AID SAFETY"</f>
        <v>FIRST AID SAFETY</v>
      </c>
      <c r="G15148" t="str">
        <f>"05-521"</f>
        <v>05-521</v>
      </c>
      <c r="H15148" t="str">
        <f>"A"</f>
        <v>A</v>
      </c>
    </row>
    <row r="15149" spans="1:8" x14ac:dyDescent="0.2">
      <c r="A15149" t="str">
        <f t="shared" si="5494"/>
        <v>0616084580</v>
      </c>
      <c r="B15149" t="str">
        <f t="shared" si="5495"/>
        <v>RAPHNEY</v>
      </c>
      <c r="C15149" t="str">
        <f t="shared" si="5496"/>
        <v>SAINTIL</v>
      </c>
      <c r="D15149">
        <f>10</f>
        <v>10</v>
      </c>
      <c r="E15149" t="str">
        <f>"08 - S1 - B - 105 - James H Mccann"</f>
        <v>08 - S1 - B - 105 - James H Mccann</v>
      </c>
      <c r="F15149" t="str">
        <f>"PERS FIN &amp; MON MGT H"</f>
        <v>PERS FIN &amp; MON MGT H</v>
      </c>
      <c r="G15149" t="str">
        <f>"17-1716"</f>
        <v>17-1716</v>
      </c>
      <c r="H15149" t="str">
        <f>"B"</f>
        <v>B</v>
      </c>
    </row>
    <row r="15150" spans="1:8" x14ac:dyDescent="0.2">
      <c r="A15150" t="str">
        <f t="shared" ref="A15150:A15157" si="5497">"0614051236"</f>
        <v>0614051236</v>
      </c>
      <c r="B15150" t="str">
        <f t="shared" ref="B15150:B15157" si="5498">"WILSON"</f>
        <v>WILSON</v>
      </c>
      <c r="C15150" t="str">
        <f t="shared" ref="C15150:C15157" si="5499">"SAINTILUS"</f>
        <v>SAINTILUS</v>
      </c>
      <c r="D15150">
        <f>11</f>
        <v>11</v>
      </c>
      <c r="E15150" t="str">
        <f>"04 - A - 103 - Lisa  Quinn"</f>
        <v>04 - A - 103 - Lisa  Quinn</v>
      </c>
      <c r="F15150" t="str">
        <f>"ENG 3"</f>
        <v>ENG 3</v>
      </c>
      <c r="G15150" t="str">
        <f>"17-1725"</f>
        <v>17-1725</v>
      </c>
      <c r="H15150" t="str">
        <f>"A"</f>
        <v>A</v>
      </c>
    </row>
    <row r="15151" spans="1:8" x14ac:dyDescent="0.2">
      <c r="A15151" t="str">
        <f t="shared" si="5497"/>
        <v>0614051236</v>
      </c>
      <c r="B15151" t="str">
        <f t="shared" si="5498"/>
        <v>WILSON</v>
      </c>
      <c r="C15151" t="str">
        <f t="shared" si="5499"/>
        <v>SAINTILUS</v>
      </c>
      <c r="D15151">
        <f>11</f>
        <v>11</v>
      </c>
      <c r="E15151" t="str">
        <f>"06 - B - 001 - Samantha J Headley"</f>
        <v>06 - B - 001 - Samantha J Headley</v>
      </c>
      <c r="F15151" t="str">
        <f>"MARINE SCI 1 HON"</f>
        <v>MARINE SCI 1 HON</v>
      </c>
      <c r="G15151" t="str">
        <f>"21-2134"</f>
        <v>21-2134</v>
      </c>
      <c r="H15151" t="str">
        <f>"B"</f>
        <v>B</v>
      </c>
    </row>
    <row r="15152" spans="1:8" x14ac:dyDescent="0.2">
      <c r="A15152" t="str">
        <f t="shared" si="5497"/>
        <v>0614051236</v>
      </c>
      <c r="B15152" t="str">
        <f t="shared" si="5498"/>
        <v>WILSON</v>
      </c>
      <c r="C15152" t="str">
        <f t="shared" si="5499"/>
        <v>SAINTILUS</v>
      </c>
      <c r="D15152">
        <f>11</f>
        <v>11</v>
      </c>
      <c r="E15152" t="str">
        <f>"03 - A - 102 - Nahum  Saint-Preux"</f>
        <v>03 - A - 102 - Nahum  Saint-Preux</v>
      </c>
      <c r="F15152" t="str">
        <f>"INTENS READ 3"</f>
        <v>INTENS READ 3</v>
      </c>
      <c r="G15152" t="str">
        <f>"17-1712"</f>
        <v>17-1712</v>
      </c>
      <c r="H15152" t="str">
        <f>"A"</f>
        <v>A</v>
      </c>
    </row>
    <row r="15153" spans="1:8" x14ac:dyDescent="0.2">
      <c r="A15153" t="str">
        <f t="shared" si="5497"/>
        <v>0614051236</v>
      </c>
      <c r="B15153" t="str">
        <f t="shared" si="5498"/>
        <v>WILSON</v>
      </c>
      <c r="C15153" t="str">
        <f t="shared" si="5499"/>
        <v>SAINTILUS</v>
      </c>
      <c r="D15153">
        <f>11</f>
        <v>11</v>
      </c>
      <c r="E15153" t="str">
        <f>"02 - A - 106 - Heidi M Knopp"</f>
        <v>02 - A - 106 - Heidi M Knopp</v>
      </c>
      <c r="F15153" t="str">
        <f>"NC STUDY HALL 1"</f>
        <v>NC STUDY HALL 1</v>
      </c>
      <c r="G15153" t="str">
        <f>"17-1735"</f>
        <v>17-1735</v>
      </c>
      <c r="H15153" t="str">
        <f>"A"</f>
        <v>A</v>
      </c>
    </row>
    <row r="15154" spans="1:8" x14ac:dyDescent="0.2">
      <c r="A15154" t="str">
        <f t="shared" si="5497"/>
        <v>0614051236</v>
      </c>
      <c r="B15154" t="str">
        <f t="shared" si="5498"/>
        <v>WILSON</v>
      </c>
      <c r="C15154" t="str">
        <f t="shared" si="5499"/>
        <v>SAINTILUS</v>
      </c>
      <c r="D15154">
        <f>11</f>
        <v>11</v>
      </c>
      <c r="E15154" t="str">
        <f>"07 - S1 - B - 105 - Richard E Dunbar Iii"</f>
        <v>07 - S1 - B - 105 - Richard E Dunbar Iii</v>
      </c>
      <c r="F15154" t="str">
        <f>"WEIGHT TRAIN 3"</f>
        <v>WEIGHT TRAIN 3</v>
      </c>
      <c r="G15154" t="str">
        <f>"05-501"</f>
        <v>05-501</v>
      </c>
      <c r="H15154" t="str">
        <f>"B"</f>
        <v>B</v>
      </c>
    </row>
    <row r="15155" spans="1:8" x14ac:dyDescent="0.2">
      <c r="A15155" t="str">
        <f t="shared" si="5497"/>
        <v>0614051236</v>
      </c>
      <c r="B15155" t="str">
        <f t="shared" si="5498"/>
        <v>WILSON</v>
      </c>
      <c r="C15155" t="str">
        <f t="shared" si="5499"/>
        <v>SAINTILUS</v>
      </c>
      <c r="D15155">
        <f>11</f>
        <v>11</v>
      </c>
      <c r="E15155" t="str">
        <f>"05 - B - 107 - Elizabeth Ellen  Moran"</f>
        <v>05 - B - 107 - Elizabeth Ellen  Moran</v>
      </c>
      <c r="F15155" t="str">
        <f>"US HISTORY"</f>
        <v>US HISTORY</v>
      </c>
      <c r="G15155" t="str">
        <f>"17-1752"</f>
        <v>17-1752</v>
      </c>
      <c r="H15155" t="str">
        <f>"B"</f>
        <v>B</v>
      </c>
    </row>
    <row r="15156" spans="1:8" x14ac:dyDescent="0.2">
      <c r="A15156" t="str">
        <f t="shared" si="5497"/>
        <v>0614051236</v>
      </c>
      <c r="B15156" t="str">
        <f t="shared" si="5498"/>
        <v>WILSON</v>
      </c>
      <c r="C15156" t="str">
        <f t="shared" si="5499"/>
        <v>SAINTILUS</v>
      </c>
      <c r="D15156">
        <f>11</f>
        <v>11</v>
      </c>
      <c r="E15156" t="str">
        <f>"01 - A - 104 - Milca  Exantus"</f>
        <v>01 - A - 104 - Milca  Exantus</v>
      </c>
      <c r="F15156" t="str">
        <f>"MATH COLLEGE LIB ART"</f>
        <v>MATH COLLEGE LIB ART</v>
      </c>
      <c r="G15156" t="str">
        <f>"21-2145"</f>
        <v>21-2145</v>
      </c>
      <c r="H15156" t="str">
        <f>"A"</f>
        <v>A</v>
      </c>
    </row>
    <row r="15157" spans="1:8" x14ac:dyDescent="0.2">
      <c r="A15157" t="str">
        <f t="shared" si="5497"/>
        <v>0614051236</v>
      </c>
      <c r="B15157" t="str">
        <f t="shared" si="5498"/>
        <v>WILSON</v>
      </c>
      <c r="C15157" t="str">
        <f t="shared" si="5499"/>
        <v>SAINTILUS</v>
      </c>
      <c r="D15157">
        <f>11</f>
        <v>11</v>
      </c>
      <c r="E15157" t="str">
        <f>"08 - B - 105 - Daniel S Tyson"</f>
        <v>08 - B - 105 - Daniel S Tyson</v>
      </c>
      <c r="F15157" t="str">
        <f>"JROTC NAVAL SCI 1"</f>
        <v>JROTC NAVAL SCI 1</v>
      </c>
      <c r="G15157" t="str">
        <f>"05-510"</f>
        <v>05-510</v>
      </c>
      <c r="H15157" t="str">
        <f>"B"</f>
        <v>B</v>
      </c>
    </row>
    <row r="15158" spans="1:8" x14ac:dyDescent="0.2">
      <c r="A15158" t="str">
        <f t="shared" ref="A15158:A15165" si="5500">"0625017847"</f>
        <v>0625017847</v>
      </c>
      <c r="B15158" t="str">
        <f t="shared" ref="B15158:B15165" si="5501">"STERLIN"</f>
        <v>STERLIN</v>
      </c>
      <c r="C15158" t="str">
        <f t="shared" ref="C15158:C15165" si="5502">"SAINT-JEAN"</f>
        <v>SAINT-JEAN</v>
      </c>
      <c r="D15158" t="str">
        <f t="shared" ref="D15158:D15173" si="5503">"09"</f>
        <v>09</v>
      </c>
      <c r="E15158" t="str">
        <f>"04 - A - 103 - Lenecy  Nodarse"</f>
        <v>04 - A - 103 - Lenecy  Nodarse</v>
      </c>
      <c r="F15158" t="str">
        <f>"WORLD HISTORY"</f>
        <v>WORLD HISTORY</v>
      </c>
      <c r="G15158" t="str">
        <f>"17-1741"</f>
        <v>17-1741</v>
      </c>
      <c r="H15158" t="str">
        <f>"A"</f>
        <v>A</v>
      </c>
    </row>
    <row r="15159" spans="1:8" x14ac:dyDescent="0.2">
      <c r="A15159" t="str">
        <f t="shared" si="5500"/>
        <v>0625017847</v>
      </c>
      <c r="B15159" t="str">
        <f t="shared" si="5501"/>
        <v>STERLIN</v>
      </c>
      <c r="C15159" t="str">
        <f t="shared" si="5502"/>
        <v>SAINT-JEAN</v>
      </c>
      <c r="D15159" t="str">
        <f t="shared" si="5503"/>
        <v>09</v>
      </c>
      <c r="E15159" t="str">
        <f>"06 - B - 105 - Dayna M Foster"</f>
        <v>06 - B - 105 - Dayna M Foster</v>
      </c>
      <c r="F15159" t="str">
        <f>"ALGEBRA 1"</f>
        <v>ALGEBRA 1</v>
      </c>
      <c r="G15159" t="str">
        <f>"21-2109"</f>
        <v>21-2109</v>
      </c>
      <c r="H15159" t="str">
        <f>"B"</f>
        <v>B</v>
      </c>
    </row>
    <row r="15160" spans="1:8" x14ac:dyDescent="0.2">
      <c r="A15160" t="str">
        <f t="shared" si="5500"/>
        <v>0625017847</v>
      </c>
      <c r="B15160" t="str">
        <f t="shared" si="5501"/>
        <v>STERLIN</v>
      </c>
      <c r="C15160" t="str">
        <f t="shared" si="5502"/>
        <v>SAINT-JEAN</v>
      </c>
      <c r="D15160" t="str">
        <f t="shared" si="5503"/>
        <v>09</v>
      </c>
      <c r="E15160" t="str">
        <f>"03 - A - 101 - Dayna M Foster"</f>
        <v>03 - A - 101 - Dayna M Foster</v>
      </c>
      <c r="F15160" t="str">
        <f>"FDN SKLS MATH 9-12"</f>
        <v>FDN SKLS MATH 9-12</v>
      </c>
      <c r="G15160" t="str">
        <f>"21-2109"</f>
        <v>21-2109</v>
      </c>
      <c r="H15160" t="str">
        <f>"A"</f>
        <v>A</v>
      </c>
    </row>
    <row r="15161" spans="1:8" x14ac:dyDescent="0.2">
      <c r="A15161" t="str">
        <f t="shared" si="5500"/>
        <v>0625017847</v>
      </c>
      <c r="B15161" t="str">
        <f t="shared" si="5501"/>
        <v>STERLIN</v>
      </c>
      <c r="C15161" t="str">
        <f t="shared" si="5502"/>
        <v>SAINT-JEAN</v>
      </c>
      <c r="D15161" t="str">
        <f t="shared" si="5503"/>
        <v>09</v>
      </c>
      <c r="E15161" t="str">
        <f>"02 - A - 102 - Fernando  Vega-Cid"</f>
        <v>02 - A - 102 - Fernando  Vega-Cid</v>
      </c>
      <c r="F15161" t="str">
        <f>"NC STUDY HALL 1"</f>
        <v>NC STUDY HALL 1</v>
      </c>
      <c r="G15161" t="str">
        <f>"21-2163"</f>
        <v>21-2163</v>
      </c>
      <c r="H15161" t="str">
        <f>"A"</f>
        <v>A</v>
      </c>
    </row>
    <row r="15162" spans="1:8" x14ac:dyDescent="0.2">
      <c r="A15162" t="str">
        <f t="shared" si="5500"/>
        <v>0625017847</v>
      </c>
      <c r="B15162" t="str">
        <f t="shared" si="5501"/>
        <v>STERLIN</v>
      </c>
      <c r="C15162" t="str">
        <f t="shared" si="5502"/>
        <v>SAINT-JEAN</v>
      </c>
      <c r="D15162" t="str">
        <f t="shared" si="5503"/>
        <v>09</v>
      </c>
      <c r="E15162" t="str">
        <f>"07 - B - 107 - Cerine S Stewart"</f>
        <v>07 - B - 107 - Cerine S Stewart</v>
      </c>
      <c r="F15162" t="str">
        <f>"ENG 1"</f>
        <v>ENG 1</v>
      </c>
      <c r="G15162" t="str">
        <f>"17-1720"</f>
        <v>17-1720</v>
      </c>
      <c r="H15162" t="str">
        <f>"B"</f>
        <v>B</v>
      </c>
    </row>
    <row r="15163" spans="1:8" x14ac:dyDescent="0.2">
      <c r="A15163" t="str">
        <f t="shared" si="5500"/>
        <v>0625017847</v>
      </c>
      <c r="B15163" t="str">
        <f t="shared" si="5501"/>
        <v>STERLIN</v>
      </c>
      <c r="C15163" t="str">
        <f t="shared" si="5502"/>
        <v>SAINT-JEAN</v>
      </c>
      <c r="D15163" t="str">
        <f t="shared" si="5503"/>
        <v>09</v>
      </c>
      <c r="E15163" t="str">
        <f>"05 - B - 202 - Amy Beth  Broyles"</f>
        <v>05 - B - 202 - Amy Beth  Broyles</v>
      </c>
      <c r="F15163" t="str">
        <f>"ENV SCI"</f>
        <v>ENV SCI</v>
      </c>
      <c r="G15163" t="str">
        <f>"08-802"</f>
        <v>08-802</v>
      </c>
      <c r="H15163" t="str">
        <f>"B"</f>
        <v>B</v>
      </c>
    </row>
    <row r="15164" spans="1:8" x14ac:dyDescent="0.2">
      <c r="A15164" t="str">
        <f t="shared" si="5500"/>
        <v>0625017847</v>
      </c>
      <c r="B15164" t="str">
        <f t="shared" si="5501"/>
        <v>STERLIN</v>
      </c>
      <c r="C15164" t="str">
        <f t="shared" si="5502"/>
        <v>SAINT-JEAN</v>
      </c>
      <c r="D15164" t="str">
        <f t="shared" si="5503"/>
        <v>09</v>
      </c>
      <c r="E15164" t="str">
        <f>"01 - A - 101 - Vanessa J Liburd"</f>
        <v>01 - A - 101 - Vanessa J Liburd</v>
      </c>
      <c r="F15164" t="str">
        <f>"PRE-AICE FRENCH 1 IG"</f>
        <v>PRE-AICE FRENCH 1 IG</v>
      </c>
      <c r="G15164" t="str">
        <f>"05-519"</f>
        <v>05-519</v>
      </c>
      <c r="H15164" t="str">
        <f>"A"</f>
        <v>A</v>
      </c>
    </row>
    <row r="15165" spans="1:8" x14ac:dyDescent="0.2">
      <c r="A15165" t="str">
        <f t="shared" si="5500"/>
        <v>0625017847</v>
      </c>
      <c r="B15165" t="str">
        <f t="shared" si="5501"/>
        <v>STERLIN</v>
      </c>
      <c r="C15165" t="str">
        <f t="shared" si="5502"/>
        <v>SAINT-JEAN</v>
      </c>
      <c r="D15165" t="str">
        <f t="shared" si="5503"/>
        <v>09</v>
      </c>
      <c r="E15165" t="str">
        <f>"08 - B - 106 - Laselleda D Shaw"</f>
        <v>08 - B - 106 - Laselleda D Shaw</v>
      </c>
      <c r="F15165" t="str">
        <f>"INTENS READ 1"</f>
        <v>INTENS READ 1</v>
      </c>
      <c r="G15165" t="str">
        <f>"17-1723"</f>
        <v>17-1723</v>
      </c>
      <c r="H15165" t="str">
        <f>"B"</f>
        <v>B</v>
      </c>
    </row>
    <row r="15166" spans="1:8" x14ac:dyDescent="0.2">
      <c r="A15166" t="str">
        <f t="shared" ref="A15166:A15173" si="5504">"0616089139"</f>
        <v>0616089139</v>
      </c>
      <c r="B15166" t="str">
        <f t="shared" ref="B15166:B15173" si="5505">"SAMUEL"</f>
        <v>SAMUEL</v>
      </c>
      <c r="C15166" t="str">
        <f t="shared" ref="C15166:C15173" si="5506">"SAINTLOUIS"</f>
        <v>SAINTLOUIS</v>
      </c>
      <c r="D15166" t="str">
        <f t="shared" si="5503"/>
        <v>09</v>
      </c>
      <c r="E15166" t="str">
        <f>"04 - A - 104 - Adam Marcus  Drucker"</f>
        <v>04 - A - 104 - Adam Marcus  Drucker</v>
      </c>
      <c r="F15166" t="str">
        <f>"HOPE-PE V"</f>
        <v>HOPE-PE V</v>
      </c>
      <c r="G15166" t="str">
        <f>"04-254"</f>
        <v>04-254</v>
      </c>
      <c r="H15166" t="str">
        <f>"A"</f>
        <v>A</v>
      </c>
    </row>
    <row r="15167" spans="1:8" x14ac:dyDescent="0.2">
      <c r="A15167" t="str">
        <f t="shared" si="5504"/>
        <v>0616089139</v>
      </c>
      <c r="B15167" t="str">
        <f t="shared" si="5505"/>
        <v>SAMUEL</v>
      </c>
      <c r="C15167" t="str">
        <f t="shared" si="5506"/>
        <v>SAINTLOUIS</v>
      </c>
      <c r="D15167" t="str">
        <f t="shared" si="5503"/>
        <v>09</v>
      </c>
      <c r="E15167" t="str">
        <f>"06 - B - 104 - Rory T Sponsler"</f>
        <v>06 - B - 104 - Rory T Sponsler</v>
      </c>
      <c r="F15167" t="str">
        <f>"PRE-AICE WRLD HST IG"</f>
        <v>PRE-AICE WRLD HST IG</v>
      </c>
      <c r="G15167" t="str">
        <f>"17-1740"</f>
        <v>17-1740</v>
      </c>
      <c r="H15167" t="str">
        <f>"B"</f>
        <v>B</v>
      </c>
    </row>
    <row r="15168" spans="1:8" x14ac:dyDescent="0.2">
      <c r="A15168" t="str">
        <f t="shared" si="5504"/>
        <v>0616089139</v>
      </c>
      <c r="B15168" t="str">
        <f t="shared" si="5505"/>
        <v>SAMUEL</v>
      </c>
      <c r="C15168" t="str">
        <f t="shared" si="5506"/>
        <v>SAINTLOUIS</v>
      </c>
      <c r="D15168" t="str">
        <f t="shared" si="5503"/>
        <v>09</v>
      </c>
      <c r="E15168" t="str">
        <f>"03 - A - 104 - Fernando  Vega-Cid"</f>
        <v>03 - A - 104 - Fernando  Vega-Cid</v>
      </c>
      <c r="F15168" t="str">
        <f>"GEOMETRY"</f>
        <v>GEOMETRY</v>
      </c>
      <c r="G15168" t="str">
        <f>"21-2163"</f>
        <v>21-2163</v>
      </c>
      <c r="H15168" t="str">
        <f>"A"</f>
        <v>A</v>
      </c>
    </row>
    <row r="15169" spans="1:8" x14ac:dyDescent="0.2">
      <c r="A15169" t="str">
        <f t="shared" si="5504"/>
        <v>0616089139</v>
      </c>
      <c r="B15169" t="str">
        <f t="shared" si="5505"/>
        <v>SAMUEL</v>
      </c>
      <c r="C15169" t="str">
        <f t="shared" si="5506"/>
        <v>SAINTLOUIS</v>
      </c>
      <c r="D15169" t="str">
        <f t="shared" si="5503"/>
        <v>09</v>
      </c>
      <c r="E15169" t="str">
        <f>"02 - A - 102 - Samantha J Headley"</f>
        <v>02 - A - 102 - Samantha J Headley</v>
      </c>
      <c r="F15169" t="str">
        <f>"NC STUDY HALL 1"</f>
        <v>NC STUDY HALL 1</v>
      </c>
      <c r="G15169" t="str">
        <f>"21-2134"</f>
        <v>21-2134</v>
      </c>
      <c r="H15169" t="str">
        <f>"A"</f>
        <v>A</v>
      </c>
    </row>
    <row r="15170" spans="1:8" x14ac:dyDescent="0.2">
      <c r="A15170" t="str">
        <f t="shared" si="5504"/>
        <v>0616089139</v>
      </c>
      <c r="B15170" t="str">
        <f t="shared" si="5505"/>
        <v>SAMUEL</v>
      </c>
      <c r="C15170" t="str">
        <f t="shared" si="5506"/>
        <v>SAINTLOUIS</v>
      </c>
      <c r="D15170" t="str">
        <f t="shared" si="5503"/>
        <v>09</v>
      </c>
      <c r="E15170" t="str">
        <f>"07 - B - 103 - Vanessa J Liburd"</f>
        <v>07 - B - 103 - Vanessa J Liburd</v>
      </c>
      <c r="F15170" t="str">
        <f>"PRE-AICE FRENCH 1 IG"</f>
        <v>PRE-AICE FRENCH 1 IG</v>
      </c>
      <c r="G15170" t="str">
        <f>"05-519"</f>
        <v>05-519</v>
      </c>
      <c r="H15170" t="str">
        <f>"B"</f>
        <v>B</v>
      </c>
    </row>
    <row r="15171" spans="1:8" x14ac:dyDescent="0.2">
      <c r="A15171" t="str">
        <f t="shared" si="5504"/>
        <v>0616089139</v>
      </c>
      <c r="B15171" t="str">
        <f t="shared" si="5505"/>
        <v>SAMUEL</v>
      </c>
      <c r="C15171" t="str">
        <f t="shared" si="5506"/>
        <v>SAINTLOUIS</v>
      </c>
      <c r="D15171" t="str">
        <f t="shared" si="5503"/>
        <v>09</v>
      </c>
      <c r="E15171" t="str">
        <f>"05 - B - 204 - Elizabeth R Walker"</f>
        <v>05 - B - 204 - Elizabeth R Walker</v>
      </c>
      <c r="F15171" t="str">
        <f>"AICE ENG GEN PAPER 1"</f>
        <v>AICE ENG GEN PAPER 1</v>
      </c>
      <c r="G15171" t="str">
        <f>"17-1703"</f>
        <v>17-1703</v>
      </c>
      <c r="H15171" t="str">
        <f>"B"</f>
        <v>B</v>
      </c>
    </row>
    <row r="15172" spans="1:8" x14ac:dyDescent="0.2">
      <c r="A15172" t="str">
        <f t="shared" si="5504"/>
        <v>0616089139</v>
      </c>
      <c r="B15172" t="str">
        <f t="shared" si="5505"/>
        <v>SAMUEL</v>
      </c>
      <c r="C15172" t="str">
        <f t="shared" si="5506"/>
        <v>SAINTLOUIS</v>
      </c>
      <c r="D15172" t="str">
        <f t="shared" si="5503"/>
        <v>09</v>
      </c>
      <c r="E15172" t="str">
        <f>"01 - A - 101 - Marius D Orsolini"</f>
        <v>01 - A - 101 - Marius D Orsolini</v>
      </c>
      <c r="F15172" t="str">
        <f>"CULINARY ARTS 1"</f>
        <v>CULINARY ARTS 1</v>
      </c>
      <c r="G15172" t="str">
        <f>"21-2115"</f>
        <v>21-2115</v>
      </c>
      <c r="H15172" t="str">
        <f>"A"</f>
        <v>A</v>
      </c>
    </row>
    <row r="15173" spans="1:8" x14ac:dyDescent="0.2">
      <c r="A15173" t="str">
        <f t="shared" si="5504"/>
        <v>0616089139</v>
      </c>
      <c r="B15173" t="str">
        <f t="shared" si="5505"/>
        <v>SAMUEL</v>
      </c>
      <c r="C15173" t="str">
        <f t="shared" si="5506"/>
        <v>SAINTLOUIS</v>
      </c>
      <c r="D15173" t="str">
        <f t="shared" si="5503"/>
        <v>09</v>
      </c>
      <c r="E15173" t="str">
        <f>"08 - B - 102 - Josiah I Lacy"</f>
        <v>08 - B - 102 - Josiah I Lacy</v>
      </c>
      <c r="F15173" t="str">
        <f>"ANAT PHYSIO HON"</f>
        <v>ANAT PHYSIO HON</v>
      </c>
      <c r="G15173" t="str">
        <f>"08-801"</f>
        <v>08-801</v>
      </c>
      <c r="H15173" t="str">
        <f>"B"</f>
        <v>B</v>
      </c>
    </row>
    <row r="15174" spans="1:8" x14ac:dyDescent="0.2">
      <c r="A15174" t="str">
        <f t="shared" ref="A15174:A15182" si="5507">"0614027381"</f>
        <v>0614027381</v>
      </c>
      <c r="B15174" t="str">
        <f t="shared" ref="B15174:B15182" si="5508">"DANIEL"</f>
        <v>DANIEL</v>
      </c>
      <c r="C15174" t="str">
        <f t="shared" ref="C15174:C15199" si="5509">"SAINT LOUIS"</f>
        <v>SAINT LOUIS</v>
      </c>
      <c r="D15174">
        <f>12</f>
        <v>12</v>
      </c>
      <c r="E15174" t="str">
        <f>"04 - A - 101 - Jeanne M Bermudez"</f>
        <v>04 - A - 101 - Jeanne M Bermudez</v>
      </c>
      <c r="F15174" t="str">
        <f>"ADVANCED IT HON"</f>
        <v>ADVANCED IT HON</v>
      </c>
      <c r="G15174" t="str">
        <f>"21-2141"</f>
        <v>21-2141</v>
      </c>
      <c r="H15174" t="str">
        <f>"A"</f>
        <v>A</v>
      </c>
    </row>
    <row r="15175" spans="1:8" x14ac:dyDescent="0.2">
      <c r="A15175" t="str">
        <f t="shared" si="5507"/>
        <v>0614027381</v>
      </c>
      <c r="B15175" t="str">
        <f t="shared" si="5508"/>
        <v>DANIEL</v>
      </c>
      <c r="C15175" t="str">
        <f t="shared" si="5509"/>
        <v>SAINT LOUIS</v>
      </c>
      <c r="D15175">
        <f>12</f>
        <v>12</v>
      </c>
      <c r="E15175" t="str">
        <f>"06 - B - 107 - Pamela M Corzo"</f>
        <v>06 - B - 107 - Pamela M Corzo</v>
      </c>
      <c r="F15175" t="str">
        <f>"NC STUDY HALL 1"</f>
        <v>NC STUDY HALL 1</v>
      </c>
      <c r="G15175" t="str">
        <f>"21-2133"</f>
        <v>21-2133</v>
      </c>
      <c r="H15175" t="str">
        <f>"B"</f>
        <v>B</v>
      </c>
    </row>
    <row r="15176" spans="1:8" x14ac:dyDescent="0.2">
      <c r="A15176" t="str">
        <f t="shared" si="5507"/>
        <v>0614027381</v>
      </c>
      <c r="B15176" t="str">
        <f t="shared" si="5508"/>
        <v>DANIEL</v>
      </c>
      <c r="C15176" t="str">
        <f t="shared" si="5509"/>
        <v>SAINT LOUIS</v>
      </c>
      <c r="D15176">
        <f>12</f>
        <v>12</v>
      </c>
      <c r="E15176" t="str">
        <f>"06 - B - 116 - Karen A Toomer"</f>
        <v>06 - B - 116 - Karen A Toomer</v>
      </c>
      <c r="F15176" t="str">
        <f>"LANG THERAPY"</f>
        <v>LANG THERAPY</v>
      </c>
      <c r="G15176" t="str">
        <f>"21-2110"</f>
        <v>21-2110</v>
      </c>
      <c r="H15176" t="str">
        <f>"B"</f>
        <v>B</v>
      </c>
    </row>
    <row r="15177" spans="1:8" x14ac:dyDescent="0.2">
      <c r="A15177" t="str">
        <f t="shared" si="5507"/>
        <v>0614027381</v>
      </c>
      <c r="B15177" t="str">
        <f t="shared" si="5508"/>
        <v>DANIEL</v>
      </c>
      <c r="C15177" t="str">
        <f t="shared" si="5509"/>
        <v>SAINT LOUIS</v>
      </c>
      <c r="D15177">
        <f>12</f>
        <v>12</v>
      </c>
      <c r="E15177" t="str">
        <f>"03 - A - 201 - Joe  Kilpatrick Jr"</f>
        <v>03 - A - 201 - Joe  Kilpatrick Jr</v>
      </c>
      <c r="F15177" t="str">
        <f>"PRE-AICE SPAN 2 IG"</f>
        <v>PRE-AICE SPAN 2 IG</v>
      </c>
      <c r="G15177" t="str">
        <f>"09-912"</f>
        <v>09-912</v>
      </c>
      <c r="H15177" t="str">
        <f>"A"</f>
        <v>A</v>
      </c>
    </row>
    <row r="15178" spans="1:8" x14ac:dyDescent="0.2">
      <c r="A15178" t="str">
        <f t="shared" si="5507"/>
        <v>0614027381</v>
      </c>
      <c r="B15178" t="str">
        <f t="shared" si="5508"/>
        <v>DANIEL</v>
      </c>
      <c r="C15178" t="str">
        <f t="shared" si="5509"/>
        <v>SAINT LOUIS</v>
      </c>
      <c r="D15178">
        <f>12</f>
        <v>12</v>
      </c>
      <c r="E15178" t="str">
        <f>"02 - A - 103 - Dorothy D Moore"</f>
        <v>02 - A - 103 - Dorothy D Moore</v>
      </c>
      <c r="F15178" t="str">
        <f>"ANAT PHYSIO HON"</f>
        <v>ANAT PHYSIO HON</v>
      </c>
      <c r="G15178" t="str">
        <f>"08-803"</f>
        <v>08-803</v>
      </c>
      <c r="H15178" t="str">
        <f>"A"</f>
        <v>A</v>
      </c>
    </row>
    <row r="15179" spans="1:8" x14ac:dyDescent="0.2">
      <c r="A15179" t="str">
        <f t="shared" si="5507"/>
        <v>0614027381</v>
      </c>
      <c r="B15179" t="str">
        <f t="shared" si="5508"/>
        <v>DANIEL</v>
      </c>
      <c r="C15179" t="str">
        <f t="shared" si="5509"/>
        <v>SAINT LOUIS</v>
      </c>
      <c r="D15179">
        <f>12</f>
        <v>12</v>
      </c>
      <c r="E15179" t="str">
        <f>"07 - B - 107 - Semra  Bahadir"</f>
        <v>07 - B - 107 - Semra  Bahadir</v>
      </c>
      <c r="F15179" t="str">
        <f>"MATH COLL ALGEBRA"</f>
        <v>MATH COLL ALGEBRA</v>
      </c>
      <c r="G15179" t="str">
        <f>"21-2107"</f>
        <v>21-2107</v>
      </c>
      <c r="H15179" t="str">
        <f>"B"</f>
        <v>B</v>
      </c>
    </row>
    <row r="15180" spans="1:8" x14ac:dyDescent="0.2">
      <c r="A15180" t="str">
        <f t="shared" si="5507"/>
        <v>0614027381</v>
      </c>
      <c r="B15180" t="str">
        <f t="shared" si="5508"/>
        <v>DANIEL</v>
      </c>
      <c r="C15180" t="str">
        <f t="shared" si="5509"/>
        <v>SAINT LOUIS</v>
      </c>
      <c r="D15180">
        <f>12</f>
        <v>12</v>
      </c>
      <c r="E15180" t="str">
        <f>"05 - B - 101 - Angela S Adeshina-Morrison"</f>
        <v>05 - B - 101 - Angela S Adeshina-Morrison</v>
      </c>
      <c r="F15180" t="str">
        <f>"MKT MANAGEMENT LH"</f>
        <v>MKT MANAGEMENT LH</v>
      </c>
      <c r="G15180" t="str">
        <f>"05-518"</f>
        <v>05-518</v>
      </c>
      <c r="H15180" t="str">
        <f>"B"</f>
        <v>B</v>
      </c>
    </row>
    <row r="15181" spans="1:8" x14ac:dyDescent="0.2">
      <c r="A15181" t="str">
        <f t="shared" si="5507"/>
        <v>0614027381</v>
      </c>
      <c r="B15181" t="str">
        <f t="shared" si="5508"/>
        <v>DANIEL</v>
      </c>
      <c r="C15181" t="str">
        <f t="shared" si="5509"/>
        <v>SAINT LOUIS</v>
      </c>
      <c r="D15181">
        <f>12</f>
        <v>12</v>
      </c>
      <c r="E15181" t="str">
        <f>"01 - S1 - A - 101 - Barbara L Segal"</f>
        <v>01 - S1 - A - 101 - Barbara L Segal</v>
      </c>
      <c r="F15181" t="str">
        <f>"US GOVT HON"</f>
        <v>US GOVT HON</v>
      </c>
      <c r="G15181" t="str">
        <f>"17-1742"</f>
        <v>17-1742</v>
      </c>
      <c r="H15181" t="str">
        <f>"A"</f>
        <v>A</v>
      </c>
    </row>
    <row r="15182" spans="1:8" x14ac:dyDescent="0.2">
      <c r="A15182" t="str">
        <f t="shared" si="5507"/>
        <v>0614027381</v>
      </c>
      <c r="B15182" t="str">
        <f t="shared" si="5508"/>
        <v>DANIEL</v>
      </c>
      <c r="C15182" t="str">
        <f t="shared" si="5509"/>
        <v>SAINT LOUIS</v>
      </c>
      <c r="D15182">
        <f>12</f>
        <v>12</v>
      </c>
      <c r="E15182" t="str">
        <f>"08 - B - 105 - Jeffrey S Gallagher"</f>
        <v>08 - B - 105 - Jeffrey S Gallagher</v>
      </c>
      <c r="F15182" t="str">
        <f>"ENG HON 4"</f>
        <v>ENG HON 4</v>
      </c>
      <c r="G15182" t="str">
        <f>"17-1724"</f>
        <v>17-1724</v>
      </c>
      <c r="H15182" t="str">
        <f>"B"</f>
        <v>B</v>
      </c>
    </row>
    <row r="15183" spans="1:8" x14ac:dyDescent="0.2">
      <c r="A15183" t="str">
        <f t="shared" ref="A15183:A15190" si="5510">"0622120844"</f>
        <v>0622120844</v>
      </c>
      <c r="B15183" t="str">
        <f t="shared" ref="B15183:B15190" si="5511">"DAVID"</f>
        <v>DAVID</v>
      </c>
      <c r="C15183" t="str">
        <f t="shared" si="5509"/>
        <v>SAINT LOUIS</v>
      </c>
      <c r="D15183">
        <f>12</f>
        <v>12</v>
      </c>
      <c r="E15183" t="str">
        <f>"04 - S1 - A - 105 - Robert O Burger"</f>
        <v>04 - S1 - A - 105 - Robert O Burger</v>
      </c>
      <c r="F15183" t="str">
        <f>"US GOVT"</f>
        <v>US GOVT</v>
      </c>
      <c r="G15183" t="str">
        <f>"17-1755"</f>
        <v>17-1755</v>
      </c>
      <c r="H15183" t="str">
        <f>"A"</f>
        <v>A</v>
      </c>
    </row>
    <row r="15184" spans="1:8" x14ac:dyDescent="0.2">
      <c r="A15184" t="str">
        <f t="shared" si="5510"/>
        <v>0622120844</v>
      </c>
      <c r="B15184" t="str">
        <f t="shared" si="5511"/>
        <v>DAVID</v>
      </c>
      <c r="C15184" t="str">
        <f t="shared" si="5509"/>
        <v>SAINT LOUIS</v>
      </c>
      <c r="D15184">
        <f>12</f>
        <v>12</v>
      </c>
      <c r="E15184" t="str">
        <f>"06 - B - 107 - Pamela M Corzo"</f>
        <v>06 - B - 107 - Pamela M Corzo</v>
      </c>
      <c r="F15184" t="str">
        <f>"NC STUDY HALL 1"</f>
        <v>NC STUDY HALL 1</v>
      </c>
      <c r="G15184" t="str">
        <f>"21-2133"</f>
        <v>21-2133</v>
      </c>
      <c r="H15184" t="str">
        <f>"B"</f>
        <v>B</v>
      </c>
    </row>
    <row r="15185" spans="1:8" x14ac:dyDescent="0.2">
      <c r="A15185" t="str">
        <f t="shared" si="5510"/>
        <v>0622120844</v>
      </c>
      <c r="B15185" t="str">
        <f t="shared" si="5511"/>
        <v>DAVID</v>
      </c>
      <c r="C15185" t="str">
        <f t="shared" si="5509"/>
        <v>SAINT LOUIS</v>
      </c>
      <c r="D15185">
        <f>12</f>
        <v>12</v>
      </c>
      <c r="E15185" t="str">
        <f>"03 - A - 208 - Marielle A Witting"</f>
        <v>03 - A - 208 - Marielle A Witting</v>
      </c>
      <c r="F15185" t="str">
        <f>"ANAT PHYSIO"</f>
        <v>ANAT PHYSIO</v>
      </c>
      <c r="G15185" t="str">
        <f>"08-805"</f>
        <v>08-805</v>
      </c>
      <c r="H15185" t="str">
        <f>"A"</f>
        <v>A</v>
      </c>
    </row>
    <row r="15186" spans="1:8" x14ac:dyDescent="0.2">
      <c r="A15186" t="str">
        <f t="shared" si="5510"/>
        <v>0622120844</v>
      </c>
      <c r="B15186" t="str">
        <f t="shared" si="5511"/>
        <v>DAVID</v>
      </c>
      <c r="C15186" t="str">
        <f t="shared" si="5509"/>
        <v>SAINT LOUIS</v>
      </c>
      <c r="D15186">
        <f>12</f>
        <v>12</v>
      </c>
      <c r="E15186" t="str">
        <f>"02 - S1 - A - 102 - Richard E Dunbar Iii"</f>
        <v>02 - S1 - A - 102 - Richard E Dunbar Iii</v>
      </c>
      <c r="F15186" t="str">
        <f>"WEIGHT TRAIN 1"</f>
        <v>WEIGHT TRAIN 1</v>
      </c>
      <c r="G15186" t="str">
        <f>"05-501"</f>
        <v>05-501</v>
      </c>
      <c r="H15186" t="str">
        <f>"A"</f>
        <v>A</v>
      </c>
    </row>
    <row r="15187" spans="1:8" x14ac:dyDescent="0.2">
      <c r="A15187" t="str">
        <f t="shared" si="5510"/>
        <v>0622120844</v>
      </c>
      <c r="B15187" t="str">
        <f t="shared" si="5511"/>
        <v>DAVID</v>
      </c>
      <c r="C15187" t="str">
        <f t="shared" si="5509"/>
        <v>SAINT LOUIS</v>
      </c>
      <c r="D15187">
        <f>12</f>
        <v>12</v>
      </c>
      <c r="E15187" t="str">
        <f>"07 - B - 107 - Rosa Elaine  Collado-Duff"</f>
        <v>07 - B - 107 - Rosa Elaine  Collado-Duff</v>
      </c>
      <c r="F15187" t="str">
        <f>"PRE-AICE SPAN 2 IG"</f>
        <v>PRE-AICE SPAN 2 IG</v>
      </c>
      <c r="G15187" t="str">
        <f>"09-913"</f>
        <v>09-913</v>
      </c>
      <c r="H15187" t="str">
        <f>"B"</f>
        <v>B</v>
      </c>
    </row>
    <row r="15188" spans="1:8" x14ac:dyDescent="0.2">
      <c r="A15188" t="str">
        <f t="shared" si="5510"/>
        <v>0622120844</v>
      </c>
      <c r="B15188" t="str">
        <f t="shared" si="5511"/>
        <v>DAVID</v>
      </c>
      <c r="C15188" t="str">
        <f t="shared" si="5509"/>
        <v>SAINT LOUIS</v>
      </c>
      <c r="D15188">
        <f>12</f>
        <v>12</v>
      </c>
      <c r="E15188" t="str">
        <f>"05 - B - 102 - Robyn L Trainer"</f>
        <v>05 - B - 102 - Robyn L Trainer</v>
      </c>
      <c r="F15188" t="str">
        <f>"ENG 4"</f>
        <v>ENG 4</v>
      </c>
      <c r="G15188" t="str">
        <f>"17-1734"</f>
        <v>17-1734</v>
      </c>
      <c r="H15188" t="str">
        <f>"B"</f>
        <v>B</v>
      </c>
    </row>
    <row r="15189" spans="1:8" x14ac:dyDescent="0.2">
      <c r="A15189" t="str">
        <f t="shared" si="5510"/>
        <v>0622120844</v>
      </c>
      <c r="B15189" t="str">
        <f t="shared" si="5511"/>
        <v>DAVID</v>
      </c>
      <c r="C15189" t="str">
        <f t="shared" si="5509"/>
        <v>SAINT LOUIS</v>
      </c>
      <c r="D15189">
        <f>12</f>
        <v>12</v>
      </c>
      <c r="E15189" t="str">
        <f>"01 - A - 504 - Alejandro  Navarro"</f>
        <v>01 - A - 504 - Alejandro  Navarro</v>
      </c>
      <c r="F15189" t="str">
        <f>"BAND 1"</f>
        <v>BAND 1</v>
      </c>
      <c r="G15189" t="str">
        <f>"05-504"</f>
        <v>05-504</v>
      </c>
      <c r="H15189" t="str">
        <f>"A"</f>
        <v>A</v>
      </c>
    </row>
    <row r="15190" spans="1:8" x14ac:dyDescent="0.2">
      <c r="A15190" t="str">
        <f t="shared" si="5510"/>
        <v>0622120844</v>
      </c>
      <c r="B15190" t="str">
        <f t="shared" si="5511"/>
        <v>DAVID</v>
      </c>
      <c r="C15190" t="str">
        <f t="shared" si="5509"/>
        <v>SAINT LOUIS</v>
      </c>
      <c r="D15190">
        <f>12</f>
        <v>12</v>
      </c>
      <c r="E15190" t="str">
        <f>"08 - B - 107 - Dayna M Foster"</f>
        <v>08 - B - 107 - Dayna M Foster</v>
      </c>
      <c r="F15190" t="str">
        <f>"ALGEBRA 2"</f>
        <v>ALGEBRA 2</v>
      </c>
      <c r="G15190" t="str">
        <f>"21-2109"</f>
        <v>21-2109</v>
      </c>
      <c r="H15190" t="str">
        <f>"B"</f>
        <v>B</v>
      </c>
    </row>
    <row r="15191" spans="1:8" x14ac:dyDescent="0.2">
      <c r="A15191" t="str">
        <f t="shared" ref="A15191:A15199" si="5512">"0614027390"</f>
        <v>0614027390</v>
      </c>
      <c r="B15191" t="str">
        <f t="shared" ref="B15191:B15199" si="5513">"MARC"</f>
        <v>MARC</v>
      </c>
      <c r="C15191" t="str">
        <f t="shared" si="5509"/>
        <v>SAINT LOUIS</v>
      </c>
      <c r="D15191">
        <f>11</f>
        <v>11</v>
      </c>
      <c r="E15191" t="str">
        <f>"04 - A - 101 - Jeanne M Bermudez"</f>
        <v>04 - A - 101 - Jeanne M Bermudez</v>
      </c>
      <c r="F15191" t="str">
        <f>"ADVANCED IT HON"</f>
        <v>ADVANCED IT HON</v>
      </c>
      <c r="G15191" t="str">
        <f>"21-2141"</f>
        <v>21-2141</v>
      </c>
      <c r="H15191" t="str">
        <f>"A"</f>
        <v>A</v>
      </c>
    </row>
    <row r="15192" spans="1:8" x14ac:dyDescent="0.2">
      <c r="A15192" t="str">
        <f t="shared" si="5512"/>
        <v>0614027390</v>
      </c>
      <c r="B15192" t="str">
        <f t="shared" si="5513"/>
        <v>MARC</v>
      </c>
      <c r="C15192" t="str">
        <f t="shared" si="5509"/>
        <v>SAINT LOUIS</v>
      </c>
      <c r="D15192">
        <f>11</f>
        <v>11</v>
      </c>
      <c r="E15192" t="str">
        <f>"06 - B - 105 - Arthur  Kulawik"</f>
        <v>06 - B - 105 - Arthur  Kulawik</v>
      </c>
      <c r="F15192" t="str">
        <f>"ENG 3"</f>
        <v>ENG 3</v>
      </c>
      <c r="G15192" t="str">
        <f>"05-506"</f>
        <v>05-506</v>
      </c>
      <c r="H15192" t="str">
        <f>"B"</f>
        <v>B</v>
      </c>
    </row>
    <row r="15193" spans="1:8" x14ac:dyDescent="0.2">
      <c r="A15193" t="str">
        <f t="shared" si="5512"/>
        <v>0614027390</v>
      </c>
      <c r="B15193" t="str">
        <f t="shared" si="5513"/>
        <v>MARC</v>
      </c>
      <c r="C15193" t="str">
        <f t="shared" si="5509"/>
        <v>SAINT LOUIS</v>
      </c>
      <c r="D15193">
        <f>11</f>
        <v>11</v>
      </c>
      <c r="E15193" t="str">
        <f>"03 - A - 104 - Kyle  Robbins"</f>
        <v>03 - A - 104 - Kyle  Robbins</v>
      </c>
      <c r="F15193" t="str">
        <f>"US HISTORY"</f>
        <v>US HISTORY</v>
      </c>
      <c r="G15193" t="str">
        <f>"17-1745"</f>
        <v>17-1745</v>
      </c>
      <c r="H15193" t="str">
        <f>"A"</f>
        <v>A</v>
      </c>
    </row>
    <row r="15194" spans="1:8" x14ac:dyDescent="0.2">
      <c r="A15194" t="str">
        <f t="shared" si="5512"/>
        <v>0614027390</v>
      </c>
      <c r="B15194" t="str">
        <f t="shared" si="5513"/>
        <v>MARC</v>
      </c>
      <c r="C15194" t="str">
        <f t="shared" si="5509"/>
        <v>SAINT LOUIS</v>
      </c>
      <c r="D15194">
        <f>11</f>
        <v>11</v>
      </c>
      <c r="E15194" t="str">
        <f>"02 - A - 106 - Heidi M Knopp"</f>
        <v>02 - A - 106 - Heidi M Knopp</v>
      </c>
      <c r="F15194" t="str">
        <f>"NC STUDY HALL 1"</f>
        <v>NC STUDY HALL 1</v>
      </c>
      <c r="G15194" t="str">
        <f>"17-1735"</f>
        <v>17-1735</v>
      </c>
      <c r="H15194" t="str">
        <f>"A"</f>
        <v>A</v>
      </c>
    </row>
    <row r="15195" spans="1:8" x14ac:dyDescent="0.2">
      <c r="A15195" t="str">
        <f t="shared" si="5512"/>
        <v>0614027390</v>
      </c>
      <c r="B15195" t="str">
        <f t="shared" si="5513"/>
        <v>MARC</v>
      </c>
      <c r="C15195" t="str">
        <f t="shared" si="5509"/>
        <v>SAINT LOUIS</v>
      </c>
      <c r="D15195">
        <f>11</f>
        <v>11</v>
      </c>
      <c r="E15195" t="str">
        <f>"02 - A - 112 - Karen A Toomer"</f>
        <v>02 - A - 112 - Karen A Toomer</v>
      </c>
      <c r="F15195" t="str">
        <f>"LANG THERAPY"</f>
        <v>LANG THERAPY</v>
      </c>
      <c r="G15195" t="str">
        <f>"21-2110"</f>
        <v>21-2110</v>
      </c>
      <c r="H15195" t="str">
        <f>"A"</f>
        <v>A</v>
      </c>
    </row>
    <row r="15196" spans="1:8" x14ac:dyDescent="0.2">
      <c r="A15196" t="str">
        <f t="shared" si="5512"/>
        <v>0614027390</v>
      </c>
      <c r="B15196" t="str">
        <f t="shared" si="5513"/>
        <v>MARC</v>
      </c>
      <c r="C15196" t="str">
        <f t="shared" si="5509"/>
        <v>SAINT LOUIS</v>
      </c>
      <c r="D15196">
        <f>11</f>
        <v>11</v>
      </c>
      <c r="E15196" t="str">
        <f>"07 - B - 104 - Marielle A Witting"</f>
        <v>07 - B - 104 - Marielle A Witting</v>
      </c>
      <c r="F15196" t="str">
        <f>"ANAT PHYSIO"</f>
        <v>ANAT PHYSIO</v>
      </c>
      <c r="G15196" t="str">
        <f>"08-805"</f>
        <v>08-805</v>
      </c>
      <c r="H15196" t="str">
        <f>"B"</f>
        <v>B</v>
      </c>
    </row>
    <row r="15197" spans="1:8" x14ac:dyDescent="0.2">
      <c r="A15197" t="str">
        <f t="shared" si="5512"/>
        <v>0614027390</v>
      </c>
      <c r="B15197" t="str">
        <f t="shared" si="5513"/>
        <v>MARC</v>
      </c>
      <c r="C15197" t="str">
        <f t="shared" si="5509"/>
        <v>SAINT LOUIS</v>
      </c>
      <c r="D15197">
        <f>11</f>
        <v>11</v>
      </c>
      <c r="E15197" t="str">
        <f>"05 - B - 109 - Ferrie J Arostique"</f>
        <v>05 - B - 109 - Ferrie J Arostique</v>
      </c>
      <c r="F15197" t="str">
        <f>"GEOMETRY"</f>
        <v>GEOMETRY</v>
      </c>
      <c r="G15197" t="str">
        <f>"21-2139"</f>
        <v>21-2139</v>
      </c>
      <c r="H15197" t="str">
        <f>"B"</f>
        <v>B</v>
      </c>
    </row>
    <row r="15198" spans="1:8" x14ac:dyDescent="0.2">
      <c r="A15198" t="str">
        <f t="shared" si="5512"/>
        <v>0614027390</v>
      </c>
      <c r="B15198" t="str">
        <f t="shared" si="5513"/>
        <v>MARC</v>
      </c>
      <c r="C15198" t="str">
        <f t="shared" si="5509"/>
        <v>SAINT LOUIS</v>
      </c>
      <c r="D15198">
        <f>11</f>
        <v>11</v>
      </c>
      <c r="E15198" t="str">
        <f>"01 - S1 - A - 101 - Richard E Dunbar Iii"</f>
        <v>01 - S1 - A - 101 - Richard E Dunbar Iii</v>
      </c>
      <c r="F15198" t="str">
        <f>"WEIGHT TRAIN 1"</f>
        <v>WEIGHT TRAIN 1</v>
      </c>
      <c r="G15198" t="str">
        <f>"05-501"</f>
        <v>05-501</v>
      </c>
      <c r="H15198" t="str">
        <f>"A"</f>
        <v>A</v>
      </c>
    </row>
    <row r="15199" spans="1:8" x14ac:dyDescent="0.2">
      <c r="A15199" t="str">
        <f t="shared" si="5512"/>
        <v>0614027390</v>
      </c>
      <c r="B15199" t="str">
        <f t="shared" si="5513"/>
        <v>MARC</v>
      </c>
      <c r="C15199" t="str">
        <f t="shared" si="5509"/>
        <v>SAINT LOUIS</v>
      </c>
      <c r="D15199">
        <f>11</f>
        <v>11</v>
      </c>
      <c r="E15199" t="str">
        <f>"08 - B - 102 - Carleigh R Carmichael"</f>
        <v>08 - B - 102 - Carleigh R Carmichael</v>
      </c>
      <c r="F15199" t="str">
        <f>"LRNG STRATEGIES 9-12"</f>
        <v>LRNG STRATEGIES 9-12</v>
      </c>
      <c r="G15199" t="str">
        <f>"20-2072"</f>
        <v>20-2072</v>
      </c>
      <c r="H15199" t="str">
        <f>"B"</f>
        <v>B</v>
      </c>
    </row>
    <row r="15200" spans="1:8" x14ac:dyDescent="0.2">
      <c r="A15200" t="str">
        <f t="shared" ref="A15200:A15208" si="5514">"0614138291"</f>
        <v>0614138291</v>
      </c>
      <c r="B15200" t="str">
        <f t="shared" ref="B15200:B15208" si="5515">"FRANCESCA"</f>
        <v>FRANCESCA</v>
      </c>
      <c r="C15200" t="str">
        <f t="shared" ref="C15200:C15208" si="5516">"SAINT-PREUX"</f>
        <v>SAINT-PREUX</v>
      </c>
      <c r="D15200">
        <f>11</f>
        <v>11</v>
      </c>
      <c r="E15200" t="str">
        <f>"19 - S1 - MTWHF - BCC - Instructor BC"</f>
        <v>19 - S1 - MTWHF - BCC - Instructor BC</v>
      </c>
      <c r="F15200" t="str">
        <f>"STRAT FOR SUCCESS"</f>
        <v>STRAT FOR SUCCESS</v>
      </c>
      <c r="G15200" t="str">
        <f>"60-DE"</f>
        <v>60-DE</v>
      </c>
      <c r="H15200" t="str">
        <f>"-"</f>
        <v>-</v>
      </c>
    </row>
    <row r="15201" spans="1:8" x14ac:dyDescent="0.2">
      <c r="A15201" t="str">
        <f t="shared" si="5514"/>
        <v>0614138291</v>
      </c>
      <c r="B15201" t="str">
        <f t="shared" si="5515"/>
        <v>FRANCESCA</v>
      </c>
      <c r="C15201" t="str">
        <f t="shared" si="5516"/>
        <v>SAINT-PREUX</v>
      </c>
      <c r="D15201">
        <f>11</f>
        <v>11</v>
      </c>
      <c r="E15201" t="str">
        <f>"04 - A - 202 - Daniel S Katz"</f>
        <v>04 - A - 202 - Daniel S Katz</v>
      </c>
      <c r="F15201" t="str">
        <f>"AICE DRAMA 2 A LEVEL"</f>
        <v>AICE DRAMA 2 A LEVEL</v>
      </c>
      <c r="G15201" t="str">
        <f>"05-521"</f>
        <v>05-521</v>
      </c>
      <c r="H15201" t="str">
        <f>"A"</f>
        <v>A</v>
      </c>
    </row>
    <row r="15202" spans="1:8" x14ac:dyDescent="0.2">
      <c r="A15202" t="str">
        <f t="shared" si="5514"/>
        <v>0614138291</v>
      </c>
      <c r="B15202" t="str">
        <f t="shared" si="5515"/>
        <v>FRANCESCA</v>
      </c>
      <c r="C15202" t="str">
        <f t="shared" si="5516"/>
        <v>SAINT-PREUX</v>
      </c>
      <c r="D15202">
        <f>11</f>
        <v>11</v>
      </c>
      <c r="E15202" t="str">
        <f>"06 - B - 102 - Stephen T Ripp"</f>
        <v>06 - B - 102 - Stephen T Ripp</v>
      </c>
      <c r="F15202" t="str">
        <f>"AP U.S. HIST"</f>
        <v>AP U.S. HIST</v>
      </c>
      <c r="G15202" t="str">
        <f>"17-1744"</f>
        <v>17-1744</v>
      </c>
      <c r="H15202" t="str">
        <f>"B"</f>
        <v>B</v>
      </c>
    </row>
    <row r="15203" spans="1:8" x14ac:dyDescent="0.2">
      <c r="A15203" t="str">
        <f t="shared" si="5514"/>
        <v>0614138291</v>
      </c>
      <c r="B15203" t="str">
        <f t="shared" si="5515"/>
        <v>FRANCESCA</v>
      </c>
      <c r="C15203" t="str">
        <f t="shared" si="5516"/>
        <v>SAINT-PREUX</v>
      </c>
      <c r="D15203">
        <f>11</f>
        <v>11</v>
      </c>
      <c r="E15203" t="str">
        <f>"03 - A - 102 - Semra  Bahadir"</f>
        <v>03 - A - 102 - Semra  Bahadir</v>
      </c>
      <c r="F15203" t="str">
        <f>"ALGEBRA 2"</f>
        <v>ALGEBRA 2</v>
      </c>
      <c r="G15203" t="str">
        <f>"21-2107"</f>
        <v>21-2107</v>
      </c>
      <c r="H15203" t="str">
        <f>"A"</f>
        <v>A</v>
      </c>
    </row>
    <row r="15204" spans="1:8" x14ac:dyDescent="0.2">
      <c r="A15204" t="str">
        <f t="shared" si="5514"/>
        <v>0614138291</v>
      </c>
      <c r="B15204" t="str">
        <f t="shared" si="5515"/>
        <v>FRANCESCA</v>
      </c>
      <c r="C15204" t="str">
        <f t="shared" si="5516"/>
        <v>SAINT-PREUX</v>
      </c>
      <c r="D15204">
        <f>11</f>
        <v>11</v>
      </c>
      <c r="E15204" t="str">
        <f>"02 - A - 114 - Eva T Rimmer"</f>
        <v>02 - A - 114 - Eva T Rimmer</v>
      </c>
      <c r="F15204" t="str">
        <f>"NC STUDY HALL 1"</f>
        <v>NC STUDY HALL 1</v>
      </c>
      <c r="G15204" t="str">
        <f>"05-523"</f>
        <v>05-523</v>
      </c>
      <c r="H15204" t="str">
        <f>"A"</f>
        <v>A</v>
      </c>
    </row>
    <row r="15205" spans="1:8" x14ac:dyDescent="0.2">
      <c r="A15205" t="str">
        <f t="shared" si="5514"/>
        <v>0614138291</v>
      </c>
      <c r="B15205" t="str">
        <f t="shared" si="5515"/>
        <v>FRANCESCA</v>
      </c>
      <c r="C15205" t="str">
        <f t="shared" si="5516"/>
        <v>SAINT-PREUX</v>
      </c>
      <c r="D15205">
        <f>11</f>
        <v>11</v>
      </c>
      <c r="E15205" t="str">
        <f>"07 - B - 103 - Lisa J London"</f>
        <v>07 - B - 103 - Lisa J London</v>
      </c>
      <c r="F15205" t="str">
        <f>"AP CAPSTONE SEMINAR"</f>
        <v>AP CAPSTONE SEMINAR</v>
      </c>
      <c r="G15205" t="str">
        <f>"17-1714"</f>
        <v>17-1714</v>
      </c>
      <c r="H15205" t="str">
        <f>"B"</f>
        <v>B</v>
      </c>
    </row>
    <row r="15206" spans="1:8" x14ac:dyDescent="0.2">
      <c r="A15206" t="str">
        <f t="shared" si="5514"/>
        <v>0614138291</v>
      </c>
      <c r="B15206" t="str">
        <f t="shared" si="5515"/>
        <v>FRANCESCA</v>
      </c>
      <c r="C15206" t="str">
        <f t="shared" si="5516"/>
        <v>SAINT-PREUX</v>
      </c>
      <c r="D15206">
        <f>11</f>
        <v>11</v>
      </c>
      <c r="E15206" t="str">
        <f>"05 - B - 102 - Daniel S Katz"</f>
        <v>05 - B - 102 - Daniel S Katz</v>
      </c>
      <c r="F15206" t="str">
        <f>"EXEC INTERN 4 LH"</f>
        <v>EXEC INTERN 4 LH</v>
      </c>
      <c r="G15206" t="str">
        <f>"21-2156"</f>
        <v>21-2156</v>
      </c>
      <c r="H15206" t="str">
        <f>"B"</f>
        <v>B</v>
      </c>
    </row>
    <row r="15207" spans="1:8" x14ac:dyDescent="0.2">
      <c r="A15207" t="str">
        <f t="shared" si="5514"/>
        <v>0614138291</v>
      </c>
      <c r="B15207" t="str">
        <f t="shared" si="5515"/>
        <v>FRANCESCA</v>
      </c>
      <c r="C15207" t="str">
        <f t="shared" si="5516"/>
        <v>SAINT-PREUX</v>
      </c>
      <c r="D15207">
        <f>11</f>
        <v>11</v>
      </c>
      <c r="E15207" t="str">
        <f>"01 - A - 101 - Brandy N Zdenek"</f>
        <v>01 - A - 101 - Brandy N Zdenek</v>
      </c>
      <c r="F15207" t="str">
        <f>"AICE ENG LANG 2 AL"</f>
        <v>AICE ENG LANG 2 AL</v>
      </c>
      <c r="G15207" t="str">
        <f>"17-1704"</f>
        <v>17-1704</v>
      </c>
      <c r="H15207" t="str">
        <f>"A"</f>
        <v>A</v>
      </c>
    </row>
    <row r="15208" spans="1:8" x14ac:dyDescent="0.2">
      <c r="A15208" t="str">
        <f t="shared" si="5514"/>
        <v>0614138291</v>
      </c>
      <c r="B15208" t="str">
        <f t="shared" si="5515"/>
        <v>FRANCESCA</v>
      </c>
      <c r="C15208" t="str">
        <f t="shared" si="5516"/>
        <v>SAINT-PREUX</v>
      </c>
      <c r="D15208">
        <f>11</f>
        <v>11</v>
      </c>
      <c r="E15208" t="str">
        <f>"08 - B - 103 - Marielle A Witting"</f>
        <v>08 - B - 103 - Marielle A Witting</v>
      </c>
      <c r="F15208" t="str">
        <f>"AP BIO"</f>
        <v>AP BIO</v>
      </c>
      <c r="G15208" t="str">
        <f>"08-805"</f>
        <v>08-805</v>
      </c>
      <c r="H15208" t="str">
        <f>"B"</f>
        <v>B</v>
      </c>
    </row>
    <row r="15209" spans="1:8" x14ac:dyDescent="0.2">
      <c r="A15209" t="str">
        <f t="shared" ref="A15209:A15217" si="5517">"0614132456"</f>
        <v>0614132456</v>
      </c>
      <c r="B15209" t="str">
        <f t="shared" ref="B15209:B15217" si="5518">"ANABELLE"</f>
        <v>ANABELLE</v>
      </c>
      <c r="C15209" t="str">
        <f t="shared" ref="C15209:C15217" si="5519">"SAINVAL"</f>
        <v>SAINVAL</v>
      </c>
      <c r="D15209">
        <f>11</f>
        <v>11</v>
      </c>
      <c r="E15209" t="str">
        <f>"19 - S1 - MTWHF - B18 - Instructor BC"</f>
        <v>19 - S1 - MTWHF - B18 - Instructor BC</v>
      </c>
      <c r="F15209" t="str">
        <f>"ART APPRECIATION"</f>
        <v>ART APPRECIATION</v>
      </c>
      <c r="G15209" t="str">
        <f>"60-DE"</f>
        <v>60-DE</v>
      </c>
      <c r="H15209" t="str">
        <f>"-"</f>
        <v>-</v>
      </c>
    </row>
    <row r="15210" spans="1:8" x14ac:dyDescent="0.2">
      <c r="A15210" t="str">
        <f t="shared" si="5517"/>
        <v>0614132456</v>
      </c>
      <c r="B15210" t="str">
        <f t="shared" si="5518"/>
        <v>ANABELLE</v>
      </c>
      <c r="C15210" t="str">
        <f t="shared" si="5519"/>
        <v>SAINVAL</v>
      </c>
      <c r="D15210">
        <f>11</f>
        <v>11</v>
      </c>
      <c r="E15210" t="str">
        <f>"04 - A - 102 - Lisa J London"</f>
        <v>04 - A - 102 - Lisa J London</v>
      </c>
      <c r="F15210" t="str">
        <f>"AP CAPSTONE SEMINAR"</f>
        <v>AP CAPSTONE SEMINAR</v>
      </c>
      <c r="G15210" t="str">
        <f>"17-1714"</f>
        <v>17-1714</v>
      </c>
      <c r="H15210" t="str">
        <f>"A"</f>
        <v>A</v>
      </c>
    </row>
    <row r="15211" spans="1:8" x14ac:dyDescent="0.2">
      <c r="A15211" t="str">
        <f t="shared" si="5517"/>
        <v>0614132456</v>
      </c>
      <c r="B15211" t="str">
        <f t="shared" si="5518"/>
        <v>ANABELLE</v>
      </c>
      <c r="C15211" t="str">
        <f t="shared" si="5519"/>
        <v>SAINVAL</v>
      </c>
      <c r="D15211">
        <f>11</f>
        <v>11</v>
      </c>
      <c r="E15211" t="str">
        <f>"06 - B - 204 - Chrystina M Marchionne"</f>
        <v>06 - B - 204 - Chrystina M Marchionne</v>
      </c>
      <c r="F15211" t="str">
        <f>"AICE MEDIASTUDIES AS"</f>
        <v>AICE MEDIASTUDIES AS</v>
      </c>
      <c r="G15211" t="str">
        <f>"05-520"</f>
        <v>05-520</v>
      </c>
      <c r="H15211" t="str">
        <f>"B"</f>
        <v>B</v>
      </c>
    </row>
    <row r="15212" spans="1:8" x14ac:dyDescent="0.2">
      <c r="A15212" t="str">
        <f t="shared" si="5517"/>
        <v>0614132456</v>
      </c>
      <c r="B15212" t="str">
        <f t="shared" si="5518"/>
        <v>ANABELLE</v>
      </c>
      <c r="C15212" t="str">
        <f t="shared" si="5519"/>
        <v>SAINVAL</v>
      </c>
      <c r="D15212">
        <f>11</f>
        <v>11</v>
      </c>
      <c r="E15212" t="str">
        <f>"03 - A - 202 - Jeanne M Bermudez"</f>
        <v>03 - A - 202 - Jeanne M Bermudez</v>
      </c>
      <c r="F15212" t="str">
        <f>"PHYSICS 1 HON"</f>
        <v>PHYSICS 1 HON</v>
      </c>
      <c r="G15212" t="str">
        <f>"21-2141"</f>
        <v>21-2141</v>
      </c>
      <c r="H15212" t="str">
        <f>"A"</f>
        <v>A</v>
      </c>
    </row>
    <row r="15213" spans="1:8" x14ac:dyDescent="0.2">
      <c r="A15213" t="str">
        <f t="shared" si="5517"/>
        <v>0614132456</v>
      </c>
      <c r="B15213" t="str">
        <f t="shared" si="5518"/>
        <v>ANABELLE</v>
      </c>
      <c r="C15213" t="str">
        <f t="shared" si="5519"/>
        <v>SAINVAL</v>
      </c>
      <c r="D15213">
        <f>11</f>
        <v>11</v>
      </c>
      <c r="E15213" t="str">
        <f>"02 - A - 001 - Jazmin S Fletcher"</f>
        <v>02 - A - 001 - Jazmin S Fletcher</v>
      </c>
      <c r="F15213" t="str">
        <f>"NC STUDY HALL 1"</f>
        <v>NC STUDY HALL 1</v>
      </c>
      <c r="G15213" t="str">
        <f>"09-909"</f>
        <v>09-909</v>
      </c>
      <c r="H15213" t="str">
        <f>"A"</f>
        <v>A</v>
      </c>
    </row>
    <row r="15214" spans="1:8" x14ac:dyDescent="0.2">
      <c r="A15214" t="str">
        <f t="shared" si="5517"/>
        <v>0614132456</v>
      </c>
      <c r="B15214" t="str">
        <f t="shared" si="5518"/>
        <v>ANABELLE</v>
      </c>
      <c r="C15214" t="str">
        <f t="shared" si="5519"/>
        <v>SAINVAL</v>
      </c>
      <c r="D15214">
        <f>11</f>
        <v>11</v>
      </c>
      <c r="E15214" t="str">
        <f>"07 - B - 101 - Fernando  Vega-Cid"</f>
        <v>07 - B - 101 - Fernando  Vega-Cid</v>
      </c>
      <c r="F15214" t="str">
        <f>"AP PRECALCULUS"</f>
        <v>AP PRECALCULUS</v>
      </c>
      <c r="G15214" t="str">
        <f>"21-2163"</f>
        <v>21-2163</v>
      </c>
      <c r="H15214" t="str">
        <f>"B"</f>
        <v>B</v>
      </c>
    </row>
    <row r="15215" spans="1:8" x14ac:dyDescent="0.2">
      <c r="A15215" t="str">
        <f t="shared" si="5517"/>
        <v>0614132456</v>
      </c>
      <c r="B15215" t="str">
        <f t="shared" si="5518"/>
        <v>ANABELLE</v>
      </c>
      <c r="C15215" t="str">
        <f t="shared" si="5519"/>
        <v>SAINVAL</v>
      </c>
      <c r="D15215">
        <f>11</f>
        <v>11</v>
      </c>
      <c r="E15215" t="str">
        <f>"05 - B - 103 - Tina M Jaramillo"</f>
        <v>05 - B - 103 - Tina M Jaramillo</v>
      </c>
      <c r="F15215" t="str">
        <f>"AP ENG COMPO"</f>
        <v>AP ENG COMPO</v>
      </c>
      <c r="G15215" t="str">
        <f>"17-1706"</f>
        <v>17-1706</v>
      </c>
      <c r="H15215" t="str">
        <f>"B"</f>
        <v>B</v>
      </c>
    </row>
    <row r="15216" spans="1:8" x14ac:dyDescent="0.2">
      <c r="A15216" t="str">
        <f t="shared" si="5517"/>
        <v>0614132456</v>
      </c>
      <c r="B15216" t="str">
        <f t="shared" si="5518"/>
        <v>ANABELLE</v>
      </c>
      <c r="C15216" t="str">
        <f t="shared" si="5519"/>
        <v>SAINVAL</v>
      </c>
      <c r="D15216">
        <f>11</f>
        <v>11</v>
      </c>
      <c r="E15216" t="str">
        <f>"01 - S1 - A - 101 - Bruce A Evans"</f>
        <v>01 - S1 - A - 101 - Bruce A Evans</v>
      </c>
      <c r="F15216" t="str">
        <f>"ELECTROCARD TECH 3HN"</f>
        <v>ELECTROCARD TECH 3HN</v>
      </c>
      <c r="G15216" t="str">
        <f>"21-2142"</f>
        <v>21-2142</v>
      </c>
      <c r="H15216" t="str">
        <f>"A"</f>
        <v>A</v>
      </c>
    </row>
    <row r="15217" spans="1:8" x14ac:dyDescent="0.2">
      <c r="A15217" t="str">
        <f t="shared" si="5517"/>
        <v>0614132456</v>
      </c>
      <c r="B15217" t="str">
        <f t="shared" si="5518"/>
        <v>ANABELLE</v>
      </c>
      <c r="C15217" t="str">
        <f t="shared" si="5519"/>
        <v>SAINVAL</v>
      </c>
      <c r="D15217">
        <f>11</f>
        <v>11</v>
      </c>
      <c r="E15217" t="str">
        <f>"08 - B - 001 - Jerry S Jiampetti"</f>
        <v>08 - B - 001 - Jerry S Jiampetti</v>
      </c>
      <c r="F15217" t="str">
        <f>"AICE U.S. HIST 1 AS"</f>
        <v>AICE U.S. HIST 1 AS</v>
      </c>
      <c r="G15217" t="str">
        <f>"17-1751"</f>
        <v>17-1751</v>
      </c>
      <c r="H15217" t="str">
        <f>"B"</f>
        <v>B</v>
      </c>
    </row>
    <row r="15218" spans="1:8" x14ac:dyDescent="0.2">
      <c r="A15218" t="str">
        <f t="shared" ref="A15218:A15225" si="5520">"0615049145"</f>
        <v>0615049145</v>
      </c>
      <c r="B15218" t="str">
        <f t="shared" ref="B15218:B15225" si="5521">"KAYLA"</f>
        <v>KAYLA</v>
      </c>
      <c r="C15218" t="str">
        <f t="shared" ref="C15218:C15233" si="5522">"SAINVIL"</f>
        <v>SAINVIL</v>
      </c>
      <c r="D15218">
        <f>11</f>
        <v>11</v>
      </c>
      <c r="E15218" t="str">
        <f>"04 - A - 201 - Scott A Dethloff"</f>
        <v>04 - A - 201 - Scott A Dethloff</v>
      </c>
      <c r="F15218" t="str">
        <f>"AICE THINK SKLS 1 AS"</f>
        <v>AICE THINK SKLS 1 AS</v>
      </c>
      <c r="G15218" t="str">
        <f>"08-812"</f>
        <v>08-812</v>
      </c>
      <c r="H15218" t="str">
        <f>"A"</f>
        <v>A</v>
      </c>
    </row>
    <row r="15219" spans="1:8" x14ac:dyDescent="0.2">
      <c r="A15219" t="str">
        <f t="shared" si="5520"/>
        <v>0615049145</v>
      </c>
      <c r="B15219" t="str">
        <f t="shared" si="5521"/>
        <v>KAYLA</v>
      </c>
      <c r="C15219" t="str">
        <f t="shared" si="5522"/>
        <v>SAINVIL</v>
      </c>
      <c r="D15219">
        <f>11</f>
        <v>11</v>
      </c>
      <c r="E15219" t="str">
        <f>"06 - B - 001 - Lourivaldo  Da Silva"</f>
        <v>06 - B - 001 - Lourivaldo  Da Silva</v>
      </c>
      <c r="F15219" t="str">
        <f>"PRE-CALCULUS HON"</f>
        <v>PRE-CALCULUS HON</v>
      </c>
      <c r="G15219" t="str">
        <f>"20-2079"</f>
        <v>20-2079</v>
      </c>
      <c r="H15219" t="str">
        <f>"B"</f>
        <v>B</v>
      </c>
    </row>
    <row r="15220" spans="1:8" x14ac:dyDescent="0.2">
      <c r="A15220" t="str">
        <f t="shared" si="5520"/>
        <v>0615049145</v>
      </c>
      <c r="B15220" t="str">
        <f t="shared" si="5521"/>
        <v>KAYLA</v>
      </c>
      <c r="C15220" t="str">
        <f t="shared" si="5522"/>
        <v>SAINVIL</v>
      </c>
      <c r="D15220">
        <f>11</f>
        <v>11</v>
      </c>
      <c r="E15220" t="str">
        <f>"03 - A - 202 - Jeanne M Bermudez"</f>
        <v>03 - A - 202 - Jeanne M Bermudez</v>
      </c>
      <c r="F15220" t="str">
        <f>"PHYSICS 1 HON"</f>
        <v>PHYSICS 1 HON</v>
      </c>
      <c r="G15220" t="str">
        <f>"21-2141"</f>
        <v>21-2141</v>
      </c>
      <c r="H15220" t="str">
        <f>"A"</f>
        <v>A</v>
      </c>
    </row>
    <row r="15221" spans="1:8" x14ac:dyDescent="0.2">
      <c r="A15221" t="str">
        <f t="shared" si="5520"/>
        <v>0615049145</v>
      </c>
      <c r="B15221" t="str">
        <f t="shared" si="5521"/>
        <v>KAYLA</v>
      </c>
      <c r="C15221" t="str">
        <f t="shared" si="5522"/>
        <v>SAINVIL</v>
      </c>
      <c r="D15221">
        <f>11</f>
        <v>11</v>
      </c>
      <c r="E15221" t="str">
        <f>"02 - A - 113 - Byron G Montenegro"</f>
        <v>02 - A - 113 - Byron G Montenegro</v>
      </c>
      <c r="F15221" t="str">
        <f>"NC STUDY HALL 1"</f>
        <v>NC STUDY HALL 1</v>
      </c>
      <c r="G15221" t="str">
        <f>"21-2144"</f>
        <v>21-2144</v>
      </c>
      <c r="H15221" t="str">
        <f>"A"</f>
        <v>A</v>
      </c>
    </row>
    <row r="15222" spans="1:8" x14ac:dyDescent="0.2">
      <c r="A15222" t="str">
        <f t="shared" si="5520"/>
        <v>0615049145</v>
      </c>
      <c r="B15222" t="str">
        <f t="shared" si="5521"/>
        <v>KAYLA</v>
      </c>
      <c r="C15222" t="str">
        <f t="shared" si="5522"/>
        <v>SAINVIL</v>
      </c>
      <c r="D15222">
        <f>11</f>
        <v>11</v>
      </c>
      <c r="E15222" t="str">
        <f>"07 - B - 101 - Carleigh R Carmichael"</f>
        <v>07 - B - 101 - Carleigh R Carmichael</v>
      </c>
      <c r="F15222" t="str">
        <f>"LEADER STRATS HONORS"</f>
        <v>LEADER STRATS HONORS</v>
      </c>
      <c r="G15222" t="str">
        <f>"20-2072"</f>
        <v>20-2072</v>
      </c>
      <c r="H15222" t="str">
        <f>"B"</f>
        <v>B</v>
      </c>
    </row>
    <row r="15223" spans="1:8" x14ac:dyDescent="0.2">
      <c r="A15223" t="str">
        <f t="shared" si="5520"/>
        <v>0615049145</v>
      </c>
      <c r="B15223" t="str">
        <f t="shared" si="5521"/>
        <v>KAYLA</v>
      </c>
      <c r="C15223" t="str">
        <f t="shared" si="5522"/>
        <v>SAINVIL</v>
      </c>
      <c r="D15223">
        <f>11</f>
        <v>11</v>
      </c>
      <c r="E15223" t="str">
        <f>"05 - B - 102 - Jacklyn M James"</f>
        <v>05 - B - 102 - Jacklyn M James</v>
      </c>
      <c r="F15223" t="str">
        <f>"AICE ENG LANG AS"</f>
        <v>AICE ENG LANG AS</v>
      </c>
      <c r="G15223" t="str">
        <f>"17-1731"</f>
        <v>17-1731</v>
      </c>
      <c r="H15223" t="str">
        <f>"B"</f>
        <v>B</v>
      </c>
    </row>
    <row r="15224" spans="1:8" x14ac:dyDescent="0.2">
      <c r="A15224" t="str">
        <f t="shared" si="5520"/>
        <v>0615049145</v>
      </c>
      <c r="B15224" t="str">
        <f t="shared" si="5521"/>
        <v>KAYLA</v>
      </c>
      <c r="C15224" t="str">
        <f t="shared" si="5522"/>
        <v>SAINVIL</v>
      </c>
      <c r="D15224">
        <f>11</f>
        <v>11</v>
      </c>
      <c r="E15224" t="str">
        <f>"01 - A - 201 - Stefanie S Scher"</f>
        <v>01 - A - 201 - Stefanie S Scher</v>
      </c>
      <c r="F15224" t="str">
        <f>"AICE PSYCH 1 AS"</f>
        <v>AICE PSYCH 1 AS</v>
      </c>
      <c r="G15224" t="str">
        <f>"17-1735"</f>
        <v>17-1735</v>
      </c>
      <c r="H15224" t="str">
        <f>"A"</f>
        <v>A</v>
      </c>
    </row>
    <row r="15225" spans="1:8" x14ac:dyDescent="0.2">
      <c r="A15225" t="str">
        <f t="shared" si="5520"/>
        <v>0615049145</v>
      </c>
      <c r="B15225" t="str">
        <f t="shared" si="5521"/>
        <v>KAYLA</v>
      </c>
      <c r="C15225" t="str">
        <f t="shared" si="5522"/>
        <v>SAINVIL</v>
      </c>
      <c r="D15225">
        <f>11</f>
        <v>11</v>
      </c>
      <c r="E15225" t="str">
        <f>"08 - B - 001 - Jerry S Jiampetti"</f>
        <v>08 - B - 001 - Jerry S Jiampetti</v>
      </c>
      <c r="F15225" t="str">
        <f>"AICE U.S. HIST 1 AS"</f>
        <v>AICE U.S. HIST 1 AS</v>
      </c>
      <c r="G15225" t="str">
        <f>"17-1751"</f>
        <v>17-1751</v>
      </c>
      <c r="H15225" t="str">
        <f>"B"</f>
        <v>B</v>
      </c>
    </row>
    <row r="15226" spans="1:8" x14ac:dyDescent="0.2">
      <c r="A15226" t="str">
        <f t="shared" ref="A15226:A15233" si="5523">"0613068262"</f>
        <v>0613068262</v>
      </c>
      <c r="B15226" t="str">
        <f t="shared" ref="B15226:B15233" si="5524">"KIANA-MARIE"</f>
        <v>KIANA-MARIE</v>
      </c>
      <c r="C15226" t="str">
        <f t="shared" si="5522"/>
        <v>SAINVIL</v>
      </c>
      <c r="D15226">
        <f>12</f>
        <v>12</v>
      </c>
      <c r="E15226" t="str">
        <f>"04 - S1 - A - 107 - Richard E Dunbar Iii"</f>
        <v>04 - S1 - A - 107 - Richard E Dunbar Iii</v>
      </c>
      <c r="F15226" t="str">
        <f>"WEIGHT TRAIN 3"</f>
        <v>WEIGHT TRAIN 3</v>
      </c>
      <c r="G15226" t="str">
        <f>"05-501"</f>
        <v>05-501</v>
      </c>
      <c r="H15226" t="str">
        <f>"A"</f>
        <v>A</v>
      </c>
    </row>
    <row r="15227" spans="1:8" x14ac:dyDescent="0.2">
      <c r="A15227" t="str">
        <f t="shared" si="5523"/>
        <v>0613068262</v>
      </c>
      <c r="B15227" t="str">
        <f t="shared" si="5524"/>
        <v>KIANA-MARIE</v>
      </c>
      <c r="C15227" t="str">
        <f t="shared" si="5522"/>
        <v>SAINVIL</v>
      </c>
      <c r="D15227">
        <f>12</f>
        <v>12</v>
      </c>
      <c r="E15227" t="str">
        <f>"06 - B - 104 - Lissa C Frederique"</f>
        <v>06 - B - 104 - Lissa C Frederique</v>
      </c>
      <c r="F15227" t="str">
        <f>"NC STUDY HALL 1"</f>
        <v>NC STUDY HALL 1</v>
      </c>
      <c r="G15227" t="str">
        <f>"17-1754"</f>
        <v>17-1754</v>
      </c>
      <c r="H15227" t="str">
        <f>"B"</f>
        <v>B</v>
      </c>
    </row>
    <row r="15228" spans="1:8" x14ac:dyDescent="0.2">
      <c r="A15228" t="str">
        <f t="shared" si="5523"/>
        <v>0613068262</v>
      </c>
      <c r="B15228" t="str">
        <f t="shared" si="5524"/>
        <v>KIANA-MARIE</v>
      </c>
      <c r="C15228" t="str">
        <f t="shared" si="5522"/>
        <v>SAINVIL</v>
      </c>
      <c r="D15228">
        <f>12</f>
        <v>12</v>
      </c>
      <c r="E15228" t="str">
        <f>"03 - S1 - A - 002 - Barbara L Segal"</f>
        <v>03 - S1 - A - 002 - Barbara L Segal</v>
      </c>
      <c r="F15228" t="str">
        <f>"US GOVT"</f>
        <v>US GOVT</v>
      </c>
      <c r="G15228" t="str">
        <f>"17-1742"</f>
        <v>17-1742</v>
      </c>
      <c r="H15228" t="str">
        <f>"A"</f>
        <v>A</v>
      </c>
    </row>
    <row r="15229" spans="1:8" x14ac:dyDescent="0.2">
      <c r="A15229" t="str">
        <f t="shared" si="5523"/>
        <v>0613068262</v>
      </c>
      <c r="B15229" t="str">
        <f t="shared" si="5524"/>
        <v>KIANA-MARIE</v>
      </c>
      <c r="C15229" t="str">
        <f t="shared" si="5522"/>
        <v>SAINVIL</v>
      </c>
      <c r="D15229">
        <f>12</f>
        <v>12</v>
      </c>
      <c r="E15229" t="str">
        <f>"02 - A - 101 - Nahum  Saint-Preux"</f>
        <v>02 - A - 101 - Nahum  Saint-Preux</v>
      </c>
      <c r="F15229" t="str">
        <f>"INTENS READ 4"</f>
        <v>INTENS READ 4</v>
      </c>
      <c r="G15229" t="str">
        <f>"17-1712"</f>
        <v>17-1712</v>
      </c>
      <c r="H15229" t="str">
        <f>"A"</f>
        <v>A</v>
      </c>
    </row>
    <row r="15230" spans="1:8" x14ac:dyDescent="0.2">
      <c r="A15230" t="str">
        <f t="shared" si="5523"/>
        <v>0613068262</v>
      </c>
      <c r="B15230" t="str">
        <f t="shared" si="5524"/>
        <v>KIANA-MARIE</v>
      </c>
      <c r="C15230" t="str">
        <f t="shared" si="5522"/>
        <v>SAINVIL</v>
      </c>
      <c r="D15230">
        <f>12</f>
        <v>12</v>
      </c>
      <c r="E15230" t="str">
        <f>"07 - B - 105 - Robert H Rindner"</f>
        <v>07 - B - 105 - Robert H Rindner</v>
      </c>
      <c r="F15230" t="str">
        <f>"MATH DATA&amp;FIN LIT H"</f>
        <v>MATH DATA&amp;FIN LIT H</v>
      </c>
      <c r="G15230" t="str">
        <f>"21-2160"</f>
        <v>21-2160</v>
      </c>
      <c r="H15230" t="str">
        <f>"B"</f>
        <v>B</v>
      </c>
    </row>
    <row r="15231" spans="1:8" x14ac:dyDescent="0.2">
      <c r="A15231" t="str">
        <f t="shared" si="5523"/>
        <v>0613068262</v>
      </c>
      <c r="B15231" t="str">
        <f t="shared" si="5524"/>
        <v>KIANA-MARIE</v>
      </c>
      <c r="C15231" t="str">
        <f t="shared" si="5522"/>
        <v>SAINVIL</v>
      </c>
      <c r="D15231">
        <f>12</f>
        <v>12</v>
      </c>
      <c r="E15231" t="str">
        <f>"05 - B - 207 - Marielle A Witting"</f>
        <v>05 - B - 207 - Marielle A Witting</v>
      </c>
      <c r="F15231" t="str">
        <f>"ANAT PHYSIO"</f>
        <v>ANAT PHYSIO</v>
      </c>
      <c r="G15231" t="str">
        <f>"08-805"</f>
        <v>08-805</v>
      </c>
      <c r="H15231" t="str">
        <f>"B"</f>
        <v>B</v>
      </c>
    </row>
    <row r="15232" spans="1:8" x14ac:dyDescent="0.2">
      <c r="A15232" t="str">
        <f t="shared" si="5523"/>
        <v>0613068262</v>
      </c>
      <c r="B15232" t="str">
        <f t="shared" si="5524"/>
        <v>KIANA-MARIE</v>
      </c>
      <c r="C15232" t="str">
        <f t="shared" si="5522"/>
        <v>SAINVIL</v>
      </c>
      <c r="D15232">
        <f>12</f>
        <v>12</v>
      </c>
      <c r="E15232" t="str">
        <f>"01 - A - 101 - Brian M Fitzgerald"</f>
        <v>01 - A - 101 - Brian M Fitzgerald</v>
      </c>
      <c r="F15232" t="str">
        <f>"CERAM/POT 1"</f>
        <v>CERAM/POT 1</v>
      </c>
      <c r="G15232" t="str">
        <f>"09-908"</f>
        <v>09-908</v>
      </c>
      <c r="H15232" t="str">
        <f>"A"</f>
        <v>A</v>
      </c>
    </row>
    <row r="15233" spans="1:8" x14ac:dyDescent="0.2">
      <c r="A15233" t="str">
        <f t="shared" si="5523"/>
        <v>0613068262</v>
      </c>
      <c r="B15233" t="str">
        <f t="shared" si="5524"/>
        <v>KIANA-MARIE</v>
      </c>
      <c r="C15233" t="str">
        <f t="shared" si="5522"/>
        <v>SAINVIL</v>
      </c>
      <c r="D15233">
        <f>12</f>
        <v>12</v>
      </c>
      <c r="E15233" t="str">
        <f>"08 - B - 206 - Robyn L Trainer"</f>
        <v>08 - B - 206 - Robyn L Trainer</v>
      </c>
      <c r="F15233" t="str">
        <f>"ENG 4: FL COLL PREP"</f>
        <v>ENG 4: FL COLL PREP</v>
      </c>
      <c r="G15233" t="str">
        <f>"17-1734"</f>
        <v>17-1734</v>
      </c>
      <c r="H15233" t="str">
        <f>"B"</f>
        <v>B</v>
      </c>
    </row>
    <row r="15234" spans="1:8" x14ac:dyDescent="0.2">
      <c r="A15234" t="str">
        <f t="shared" ref="A15234:A15241" si="5525">"0613086918"</f>
        <v>0613086918</v>
      </c>
      <c r="B15234" t="str">
        <f t="shared" ref="B15234:B15241" si="5526">"SOFIA"</f>
        <v>SOFIA</v>
      </c>
      <c r="C15234" t="str">
        <f t="shared" ref="C15234:C15241" si="5527">"SALAMY"</f>
        <v>SALAMY</v>
      </c>
      <c r="D15234">
        <f>12</f>
        <v>12</v>
      </c>
      <c r="E15234" t="str">
        <f>"04 - S1 - A - 101 - Barbara L Segal"</f>
        <v>04 - S1 - A - 101 - Barbara L Segal</v>
      </c>
      <c r="F15234" t="str">
        <f>"AP US GOVT/POL"</f>
        <v>AP US GOVT/POL</v>
      </c>
      <c r="G15234" t="str">
        <f>"17-1742"</f>
        <v>17-1742</v>
      </c>
      <c r="H15234" t="str">
        <f>"A"</f>
        <v>A</v>
      </c>
    </row>
    <row r="15235" spans="1:8" x14ac:dyDescent="0.2">
      <c r="A15235" t="str">
        <f t="shared" si="5525"/>
        <v>0613086918</v>
      </c>
      <c r="B15235" t="str">
        <f t="shared" si="5526"/>
        <v>SOFIA</v>
      </c>
      <c r="C15235" t="str">
        <f t="shared" si="5527"/>
        <v>SALAMY</v>
      </c>
      <c r="D15235">
        <f>12</f>
        <v>12</v>
      </c>
      <c r="E15235" t="str">
        <f>"06 - B - 110 - Barbara L Segal"</f>
        <v>06 - B - 110 - Barbara L Segal</v>
      </c>
      <c r="F15235" t="str">
        <f>"NC STUDY HALL 1"</f>
        <v>NC STUDY HALL 1</v>
      </c>
      <c r="G15235" t="str">
        <f>"17-1742"</f>
        <v>17-1742</v>
      </c>
      <c r="H15235" t="str">
        <f>"B"</f>
        <v>B</v>
      </c>
    </row>
    <row r="15236" spans="1:8" x14ac:dyDescent="0.2">
      <c r="A15236" t="str">
        <f t="shared" si="5525"/>
        <v>0613086918</v>
      </c>
      <c r="B15236" t="str">
        <f t="shared" si="5526"/>
        <v>SOFIA</v>
      </c>
      <c r="C15236" t="str">
        <f t="shared" si="5527"/>
        <v>SALAMY</v>
      </c>
      <c r="D15236">
        <f>12</f>
        <v>12</v>
      </c>
      <c r="E15236" t="str">
        <f>"03 - S1 - A - 102 - Angela S Adeshina-Morrison"</f>
        <v>03 - S1 - A - 102 - Angela S Adeshina-Morrison</v>
      </c>
      <c r="F15236" t="str">
        <f>"PEER COUN 1"</f>
        <v>PEER COUN 1</v>
      </c>
      <c r="G15236" t="str">
        <f>"05-518"</f>
        <v>05-518</v>
      </c>
      <c r="H15236" t="str">
        <f>"A"</f>
        <v>A</v>
      </c>
    </row>
    <row r="15237" spans="1:8" x14ac:dyDescent="0.2">
      <c r="A15237" t="str">
        <f t="shared" si="5525"/>
        <v>0613086918</v>
      </c>
      <c r="B15237" t="str">
        <f t="shared" si="5526"/>
        <v>SOFIA</v>
      </c>
      <c r="C15237" t="str">
        <f t="shared" si="5527"/>
        <v>SALAMY</v>
      </c>
      <c r="D15237">
        <f>12</f>
        <v>12</v>
      </c>
      <c r="E15237" t="str">
        <f>"02 - A - 101 - Robert H Rindner"</f>
        <v>02 - A - 101 - Robert H Rindner</v>
      </c>
      <c r="F15237" t="str">
        <f>"MATH DATA&amp;FIN LIT H"</f>
        <v>MATH DATA&amp;FIN LIT H</v>
      </c>
      <c r="G15237" t="str">
        <f>"21-2160"</f>
        <v>21-2160</v>
      </c>
      <c r="H15237" t="str">
        <f>"A"</f>
        <v>A</v>
      </c>
    </row>
    <row r="15238" spans="1:8" x14ac:dyDescent="0.2">
      <c r="A15238" t="str">
        <f t="shared" si="5525"/>
        <v>0613086918</v>
      </c>
      <c r="B15238" t="str">
        <f t="shared" si="5526"/>
        <v>SOFIA</v>
      </c>
      <c r="C15238" t="str">
        <f t="shared" si="5527"/>
        <v>SALAMY</v>
      </c>
      <c r="D15238">
        <f>12</f>
        <v>12</v>
      </c>
      <c r="E15238" t="str">
        <f>"07 - B - 101 - Bruce A Evans"</f>
        <v>07 - B - 101 - Bruce A Evans</v>
      </c>
      <c r="F15238" t="str">
        <f>"FIREFIGHTING 1 LH"</f>
        <v>FIREFIGHTING 1 LH</v>
      </c>
      <c r="G15238" t="str">
        <f>"21-2142"</f>
        <v>21-2142</v>
      </c>
      <c r="H15238" t="str">
        <f>"B"</f>
        <v>B</v>
      </c>
    </row>
    <row r="15239" spans="1:8" x14ac:dyDescent="0.2">
      <c r="A15239" t="str">
        <f t="shared" si="5525"/>
        <v>0613086918</v>
      </c>
      <c r="B15239" t="str">
        <f t="shared" si="5526"/>
        <v>SOFIA</v>
      </c>
      <c r="C15239" t="str">
        <f t="shared" si="5527"/>
        <v>SALAMY</v>
      </c>
      <c r="D15239">
        <f>12</f>
        <v>12</v>
      </c>
      <c r="E15239" t="str">
        <f>"05 - S1 - B - 102 - Lissa C Frederique"</f>
        <v>05 - S1 - B - 102 - Lissa C Frederique</v>
      </c>
      <c r="F15239" t="str">
        <f>"PERS FIN &amp; MON MGT H"</f>
        <v>PERS FIN &amp; MON MGT H</v>
      </c>
      <c r="G15239" t="str">
        <f>"17-1754"</f>
        <v>17-1754</v>
      </c>
      <c r="H15239" t="str">
        <f>"B"</f>
        <v>B</v>
      </c>
    </row>
    <row r="15240" spans="1:8" x14ac:dyDescent="0.2">
      <c r="A15240" t="str">
        <f t="shared" si="5525"/>
        <v>0613086918</v>
      </c>
      <c r="B15240" t="str">
        <f t="shared" si="5526"/>
        <v>SOFIA</v>
      </c>
      <c r="C15240" t="str">
        <f t="shared" si="5527"/>
        <v>SALAMY</v>
      </c>
      <c r="D15240">
        <f>12</f>
        <v>12</v>
      </c>
      <c r="E15240" t="str">
        <f>"01 - A - 101 - Marielle A Witting"</f>
        <v>01 - A - 101 - Marielle A Witting</v>
      </c>
      <c r="F15240" t="str">
        <f>"AP BIO"</f>
        <v>AP BIO</v>
      </c>
      <c r="G15240" t="str">
        <f>"08-805"</f>
        <v>08-805</v>
      </c>
      <c r="H15240" t="str">
        <f>"A"</f>
        <v>A</v>
      </c>
    </row>
    <row r="15241" spans="1:8" x14ac:dyDescent="0.2">
      <c r="A15241" t="str">
        <f t="shared" si="5525"/>
        <v>0613086918</v>
      </c>
      <c r="B15241" t="str">
        <f t="shared" si="5526"/>
        <v>SOFIA</v>
      </c>
      <c r="C15241" t="str">
        <f t="shared" si="5527"/>
        <v>SALAMY</v>
      </c>
      <c r="D15241">
        <f>12</f>
        <v>12</v>
      </c>
      <c r="E15241" t="str">
        <f>"08 - B - 203 - Courtney E Hambright"</f>
        <v>08 - B - 203 - Courtney E Hambright</v>
      </c>
      <c r="F15241" t="str">
        <f>"AP ENG LIT COMPO"</f>
        <v>AP ENG LIT COMPO</v>
      </c>
      <c r="G15241" t="str">
        <f>"17-1711"</f>
        <v>17-1711</v>
      </c>
      <c r="H15241" t="str">
        <f>"B"</f>
        <v>B</v>
      </c>
    </row>
    <row r="15242" spans="1:8" x14ac:dyDescent="0.2">
      <c r="A15242" t="str">
        <f t="shared" ref="A15242:A15249" si="5528">"0624105009"</f>
        <v>0624105009</v>
      </c>
      <c r="B15242" t="str">
        <f t="shared" ref="B15242:B15249" si="5529">"MATIAS"</f>
        <v>MATIAS</v>
      </c>
      <c r="C15242" t="str">
        <f t="shared" ref="C15242:C15249" si="5530">"SALAZAR DE SOUSA"</f>
        <v>SALAZAR DE SOUSA</v>
      </c>
      <c r="D15242" t="str">
        <f t="shared" ref="D15242:D15249" si="5531">"09"</f>
        <v>09</v>
      </c>
      <c r="E15242" t="str">
        <f>"04 - A - 106 - Ferrie J Arostique"</f>
        <v>04 - A - 106 - Ferrie J Arostique</v>
      </c>
      <c r="F15242" t="str">
        <f>"PRE-AICE MATH 2 IG"</f>
        <v>PRE-AICE MATH 2 IG</v>
      </c>
      <c r="G15242" t="str">
        <f>"21-2139"</f>
        <v>21-2139</v>
      </c>
      <c r="H15242" t="str">
        <f>"A"</f>
        <v>A</v>
      </c>
    </row>
    <row r="15243" spans="1:8" x14ac:dyDescent="0.2">
      <c r="A15243" t="str">
        <f t="shared" si="5528"/>
        <v>0624105009</v>
      </c>
      <c r="B15243" t="str">
        <f t="shared" si="5529"/>
        <v>MATIAS</v>
      </c>
      <c r="C15243" t="str">
        <f t="shared" si="5530"/>
        <v>SALAZAR DE SOUSA</v>
      </c>
      <c r="D15243" t="str">
        <f t="shared" si="5531"/>
        <v>09</v>
      </c>
      <c r="E15243" t="str">
        <f>"06 - B - 104 - Lytrell T Dixon"</f>
        <v>06 - B - 104 - Lytrell T Dixon</v>
      </c>
      <c r="F15243" t="str">
        <f>"PRE-AICE BIO IG"</f>
        <v>PRE-AICE BIO IG</v>
      </c>
      <c r="G15243" t="str">
        <f>"08-808"</f>
        <v>08-808</v>
      </c>
      <c r="H15243" t="str">
        <f>"B"</f>
        <v>B</v>
      </c>
    </row>
    <row r="15244" spans="1:8" x14ac:dyDescent="0.2">
      <c r="A15244" t="str">
        <f t="shared" si="5528"/>
        <v>0624105009</v>
      </c>
      <c r="B15244" t="str">
        <f t="shared" si="5529"/>
        <v>MATIAS</v>
      </c>
      <c r="C15244" t="str">
        <f t="shared" si="5530"/>
        <v>SALAZAR DE SOUSA</v>
      </c>
      <c r="D15244" t="str">
        <f t="shared" si="5531"/>
        <v>09</v>
      </c>
      <c r="E15244" t="str">
        <f>"03 - A - 102 - Rory T Sponsler"</f>
        <v>03 - A - 102 - Rory T Sponsler</v>
      </c>
      <c r="F15244" t="str">
        <f>"PRE-AICE WRLD HST IG"</f>
        <v>PRE-AICE WRLD HST IG</v>
      </c>
      <c r="G15244" t="str">
        <f>"17-1740"</f>
        <v>17-1740</v>
      </c>
      <c r="H15244" t="str">
        <f>"A"</f>
        <v>A</v>
      </c>
    </row>
    <row r="15245" spans="1:8" x14ac:dyDescent="0.2">
      <c r="A15245" t="str">
        <f t="shared" si="5528"/>
        <v>0624105009</v>
      </c>
      <c r="B15245" t="str">
        <f t="shared" si="5529"/>
        <v>MATIAS</v>
      </c>
      <c r="C15245" t="str">
        <f t="shared" si="5530"/>
        <v>SALAZAR DE SOUSA</v>
      </c>
      <c r="D15245" t="str">
        <f t="shared" si="5531"/>
        <v>09</v>
      </c>
      <c r="E15245" t="str">
        <f>"02 - A - 107 - Cerine S Stewart"</f>
        <v>02 - A - 107 - Cerine S Stewart</v>
      </c>
      <c r="F15245" t="str">
        <f>"NC STUDY HALL 1"</f>
        <v>NC STUDY HALL 1</v>
      </c>
      <c r="G15245" t="str">
        <f>"17-1720"</f>
        <v>17-1720</v>
      </c>
      <c r="H15245" t="str">
        <f>"A"</f>
        <v>A</v>
      </c>
    </row>
    <row r="15246" spans="1:8" x14ac:dyDescent="0.2">
      <c r="A15246" t="str">
        <f t="shared" si="5528"/>
        <v>0624105009</v>
      </c>
      <c r="B15246" t="str">
        <f t="shared" si="5529"/>
        <v>MATIAS</v>
      </c>
      <c r="C15246" t="str">
        <f t="shared" si="5530"/>
        <v>SALAZAR DE SOUSA</v>
      </c>
      <c r="D15246" t="str">
        <f t="shared" si="5531"/>
        <v>09</v>
      </c>
      <c r="E15246" t="str">
        <f>"07 - B - 107 - Adam Marcus  Drucker"</f>
        <v>07 - B - 107 - Adam Marcus  Drucker</v>
      </c>
      <c r="F15246" t="str">
        <f>"HOPE-PE V"</f>
        <v>HOPE-PE V</v>
      </c>
      <c r="G15246" t="str">
        <f>"04-254"</f>
        <v>04-254</v>
      </c>
      <c r="H15246" t="str">
        <f>"B"</f>
        <v>B</v>
      </c>
    </row>
    <row r="15247" spans="1:8" x14ac:dyDescent="0.2">
      <c r="A15247" t="str">
        <f t="shared" si="5528"/>
        <v>0624105009</v>
      </c>
      <c r="B15247" t="str">
        <f t="shared" si="5529"/>
        <v>MATIAS</v>
      </c>
      <c r="C15247" t="str">
        <f t="shared" si="5530"/>
        <v>SALAZAR DE SOUSA</v>
      </c>
      <c r="D15247" t="str">
        <f t="shared" si="5531"/>
        <v>09</v>
      </c>
      <c r="E15247" t="str">
        <f>"05 - S1 - B - 102 - Carol S Moore"</f>
        <v>05 - S1 - B - 102 - Carol S Moore</v>
      </c>
      <c r="F15247" t="str">
        <f>"PERS FIN &amp; MON MGT H"</f>
        <v>PERS FIN &amp; MON MGT H</v>
      </c>
      <c r="G15247" t="str">
        <f>"17-1733"</f>
        <v>17-1733</v>
      </c>
      <c r="H15247" t="str">
        <f>"B"</f>
        <v>B</v>
      </c>
    </row>
    <row r="15248" spans="1:8" x14ac:dyDescent="0.2">
      <c r="A15248" t="str">
        <f t="shared" si="5528"/>
        <v>0624105009</v>
      </c>
      <c r="B15248" t="str">
        <f t="shared" si="5529"/>
        <v>MATIAS</v>
      </c>
      <c r="C15248" t="str">
        <f t="shared" si="5530"/>
        <v>SALAZAR DE SOUSA</v>
      </c>
      <c r="D15248" t="str">
        <f t="shared" si="5531"/>
        <v>09</v>
      </c>
      <c r="E15248" t="str">
        <f>"01 - A - 101 - Cheryl Anne  Berman-Schechter"</f>
        <v>01 - A - 101 - Cheryl Anne  Berman-Schechter</v>
      </c>
      <c r="F15248" t="str">
        <f>"PRE-AICE ENG LANG IG"</f>
        <v>PRE-AICE ENG LANG IG</v>
      </c>
      <c r="G15248" t="str">
        <f>"17-1722"</f>
        <v>17-1722</v>
      </c>
      <c r="H15248" t="str">
        <f>"A"</f>
        <v>A</v>
      </c>
    </row>
    <row r="15249" spans="1:8" x14ac:dyDescent="0.2">
      <c r="A15249" t="str">
        <f t="shared" si="5528"/>
        <v>0624105009</v>
      </c>
      <c r="B15249" t="str">
        <f t="shared" si="5529"/>
        <v>MATIAS</v>
      </c>
      <c r="C15249" t="str">
        <f t="shared" si="5530"/>
        <v>SALAZAR DE SOUSA</v>
      </c>
      <c r="D15249" t="str">
        <f t="shared" si="5531"/>
        <v>09</v>
      </c>
      <c r="E15249" t="str">
        <f>"08 - B - 202 - Dorothy D Moore"</f>
        <v>08 - B - 202 - Dorothy D Moore</v>
      </c>
      <c r="F15249" t="str">
        <f>"HEALTH SCI 1/A&amp;P HON"</f>
        <v>HEALTH SCI 1/A&amp;P HON</v>
      </c>
      <c r="G15249" t="str">
        <f>"08-803"</f>
        <v>08-803</v>
      </c>
      <c r="H15249" t="str">
        <f>"B"</f>
        <v>B</v>
      </c>
    </row>
    <row r="15250" spans="1:8" x14ac:dyDescent="0.2">
      <c r="A15250" t="str">
        <f t="shared" ref="A15250:A15257" si="5532">"0625031285"</f>
        <v>0625031285</v>
      </c>
      <c r="B15250" t="str">
        <f t="shared" ref="B15250:B15257" si="5533">"Sebastian"</f>
        <v>Sebastian</v>
      </c>
      <c r="C15250" t="str">
        <f t="shared" ref="C15250:C15257" si="5534">"Salcedo Ortiz"</f>
        <v>Salcedo Ortiz</v>
      </c>
      <c r="D15250">
        <f>11</f>
        <v>11</v>
      </c>
      <c r="E15250" t="str">
        <f>"04 - A - 108 - Maried P Ramos"</f>
        <v>04 - A - 108 - Maried P Ramos</v>
      </c>
      <c r="F15250" t="str">
        <f>"GEOMETRY"</f>
        <v>GEOMETRY</v>
      </c>
      <c r="G15250" t="str">
        <f>"21-2159"</f>
        <v>21-2159</v>
      </c>
      <c r="H15250" t="str">
        <f>"A"</f>
        <v>A</v>
      </c>
    </row>
    <row r="15251" spans="1:8" x14ac:dyDescent="0.2">
      <c r="A15251" t="str">
        <f t="shared" si="5532"/>
        <v>0625031285</v>
      </c>
      <c r="B15251" t="str">
        <f t="shared" si="5533"/>
        <v>Sebastian</v>
      </c>
      <c r="C15251" t="str">
        <f t="shared" si="5534"/>
        <v>Salcedo Ortiz</v>
      </c>
      <c r="D15251">
        <f>11</f>
        <v>11</v>
      </c>
      <c r="E15251" t="str">
        <f>"06 - B - 105 - Arthur  Kulawik"</f>
        <v>06 - B - 105 - Arthur  Kulawik</v>
      </c>
      <c r="F15251" t="str">
        <f>"ENG 3"</f>
        <v>ENG 3</v>
      </c>
      <c r="G15251" t="str">
        <f>"05-506"</f>
        <v>05-506</v>
      </c>
      <c r="H15251" t="str">
        <f>"B"</f>
        <v>B</v>
      </c>
    </row>
    <row r="15252" spans="1:8" x14ac:dyDescent="0.2">
      <c r="A15252" t="str">
        <f t="shared" si="5532"/>
        <v>0625031285</v>
      </c>
      <c r="B15252" t="str">
        <f t="shared" si="5533"/>
        <v>Sebastian</v>
      </c>
      <c r="C15252" t="str">
        <f t="shared" si="5534"/>
        <v>Salcedo Ortiz</v>
      </c>
      <c r="D15252">
        <f>11</f>
        <v>11</v>
      </c>
      <c r="E15252" t="str">
        <f>"03 - A - 208 - Marielle A Witting"</f>
        <v>03 - A - 208 - Marielle A Witting</v>
      </c>
      <c r="F15252" t="str">
        <f>"ANAT PHYSIO"</f>
        <v>ANAT PHYSIO</v>
      </c>
      <c r="G15252" t="str">
        <f>"08-805"</f>
        <v>08-805</v>
      </c>
      <c r="H15252" t="str">
        <f>"A"</f>
        <v>A</v>
      </c>
    </row>
    <row r="15253" spans="1:8" x14ac:dyDescent="0.2">
      <c r="A15253" t="str">
        <f t="shared" si="5532"/>
        <v>0625031285</v>
      </c>
      <c r="B15253" t="str">
        <f t="shared" si="5533"/>
        <v>Sebastian</v>
      </c>
      <c r="C15253" t="str">
        <f t="shared" si="5534"/>
        <v>Salcedo Ortiz</v>
      </c>
      <c r="D15253">
        <f>11</f>
        <v>11</v>
      </c>
      <c r="E15253" t="str">
        <f>"02 - A - 104 - Dayna M Foster"</f>
        <v>02 - A - 104 - Dayna M Foster</v>
      </c>
      <c r="F15253" t="str">
        <f>"NC STUDY HALL 1"</f>
        <v>NC STUDY HALL 1</v>
      </c>
      <c r="G15253" t="str">
        <f>"21-2109"</f>
        <v>21-2109</v>
      </c>
      <c r="H15253" t="str">
        <f>"A"</f>
        <v>A</v>
      </c>
    </row>
    <row r="15254" spans="1:8" x14ac:dyDescent="0.2">
      <c r="A15254" t="str">
        <f t="shared" si="5532"/>
        <v>0625031285</v>
      </c>
      <c r="B15254" t="str">
        <f t="shared" si="5533"/>
        <v>Sebastian</v>
      </c>
      <c r="C15254" t="str">
        <f t="shared" si="5534"/>
        <v>Salcedo Ortiz</v>
      </c>
      <c r="D15254">
        <f>11</f>
        <v>11</v>
      </c>
      <c r="E15254" t="str">
        <f>"07 - B - 108 - Lauren N Logan"</f>
        <v>07 - B - 108 - Lauren N Logan</v>
      </c>
      <c r="F15254" t="str">
        <f>"US HISTORY"</f>
        <v>US HISTORY</v>
      </c>
      <c r="G15254" t="str">
        <f>"17-1745"</f>
        <v>17-1745</v>
      </c>
      <c r="H15254" t="str">
        <f>"B"</f>
        <v>B</v>
      </c>
    </row>
    <row r="15255" spans="1:8" x14ac:dyDescent="0.2">
      <c r="A15255" t="str">
        <f t="shared" si="5532"/>
        <v>0625031285</v>
      </c>
      <c r="B15255" t="str">
        <f t="shared" si="5533"/>
        <v>Sebastian</v>
      </c>
      <c r="C15255" t="str">
        <f t="shared" si="5534"/>
        <v>Salcedo Ortiz</v>
      </c>
      <c r="D15255">
        <f>11</f>
        <v>11</v>
      </c>
      <c r="E15255" t="str">
        <f>"05 - B - 103 - Nahum  Saint-Preux"</f>
        <v>05 - B - 103 - Nahum  Saint-Preux</v>
      </c>
      <c r="F15255" t="str">
        <f>"INTENS READ 3"</f>
        <v>INTENS READ 3</v>
      </c>
      <c r="G15255" t="str">
        <f>"17-1712"</f>
        <v>17-1712</v>
      </c>
      <c r="H15255" t="str">
        <f>"B"</f>
        <v>B</v>
      </c>
    </row>
    <row r="15256" spans="1:8" x14ac:dyDescent="0.2">
      <c r="A15256" t="str">
        <f t="shared" si="5532"/>
        <v>0625031285</v>
      </c>
      <c r="B15256" t="str">
        <f t="shared" si="5533"/>
        <v>Sebastian</v>
      </c>
      <c r="C15256" t="str">
        <f t="shared" si="5534"/>
        <v>Salcedo Ortiz</v>
      </c>
      <c r="D15256">
        <f>11</f>
        <v>11</v>
      </c>
      <c r="E15256" t="str">
        <f>"01 - A - 101 - Vanessa J Pena"</f>
        <v>01 - A - 101 - Vanessa J Pena</v>
      </c>
      <c r="F15256" t="str">
        <f>"DEV LANG ARTS ESOL-R"</f>
        <v>DEV LANG ARTS ESOL-R</v>
      </c>
      <c r="G15256" t="str">
        <f>"09-926"</f>
        <v>09-926</v>
      </c>
      <c r="H15256" t="str">
        <f>"A"</f>
        <v>A</v>
      </c>
    </row>
    <row r="15257" spans="1:8" x14ac:dyDescent="0.2">
      <c r="A15257" t="str">
        <f t="shared" si="5532"/>
        <v>0625031285</v>
      </c>
      <c r="B15257" t="str">
        <f t="shared" si="5533"/>
        <v>Sebastian</v>
      </c>
      <c r="C15257" t="str">
        <f t="shared" si="5534"/>
        <v>Salcedo Ortiz</v>
      </c>
      <c r="D15257">
        <f>11</f>
        <v>11</v>
      </c>
      <c r="E15257" t="str">
        <f>"08 - B - 101 - Elizabeth Ellen  Moran"</f>
        <v>08 - B - 101 - Elizabeth Ellen  Moran</v>
      </c>
      <c r="F15257" t="str">
        <f>"WORLD HISTORY"</f>
        <v>WORLD HISTORY</v>
      </c>
      <c r="G15257" t="str">
        <f>"17-1752"</f>
        <v>17-1752</v>
      </c>
      <c r="H15257" t="str">
        <f>"B"</f>
        <v>B</v>
      </c>
    </row>
    <row r="15258" spans="1:8" x14ac:dyDescent="0.2">
      <c r="A15258" t="str">
        <f t="shared" ref="A15258:A15265" si="5535">"0616107504"</f>
        <v>0616107504</v>
      </c>
      <c r="B15258" t="str">
        <f t="shared" ref="B15258:B15265" si="5536">"SABRINE"</f>
        <v>SABRINE</v>
      </c>
      <c r="C15258" t="str">
        <f t="shared" ref="C15258:C15265" si="5537">"SALEM"</f>
        <v>SALEM</v>
      </c>
      <c r="D15258" t="str">
        <f t="shared" ref="D15258:D15265" si="5538">"09"</f>
        <v>09</v>
      </c>
      <c r="E15258" t="str">
        <f>"04 - A - 102 - Elizabeth R Walker"</f>
        <v>04 - A - 102 - Elizabeth R Walker</v>
      </c>
      <c r="F15258" t="str">
        <f>"AICE ENG GEN PAPER 1"</f>
        <v>AICE ENG GEN PAPER 1</v>
      </c>
      <c r="G15258" t="str">
        <f>"17-1703"</f>
        <v>17-1703</v>
      </c>
      <c r="H15258" t="str">
        <f>"A"</f>
        <v>A</v>
      </c>
    </row>
    <row r="15259" spans="1:8" x14ac:dyDescent="0.2">
      <c r="A15259" t="str">
        <f t="shared" si="5535"/>
        <v>0616107504</v>
      </c>
      <c r="B15259" t="str">
        <f t="shared" si="5536"/>
        <v>SABRINE</v>
      </c>
      <c r="C15259" t="str">
        <f t="shared" si="5537"/>
        <v>SALEM</v>
      </c>
      <c r="D15259" t="str">
        <f t="shared" si="5538"/>
        <v>09</v>
      </c>
      <c r="E15259" t="str">
        <f>"06 - B - 104 - Byron G Montenegro"</f>
        <v>06 - B - 104 - Byron G Montenegro</v>
      </c>
      <c r="F15259" t="str">
        <f>"AICE MARINE SCI 1 AS"</f>
        <v>AICE MARINE SCI 1 AS</v>
      </c>
      <c r="G15259" t="str">
        <f>"21-2144"</f>
        <v>21-2144</v>
      </c>
      <c r="H15259" t="str">
        <f>"B"</f>
        <v>B</v>
      </c>
    </row>
    <row r="15260" spans="1:8" x14ac:dyDescent="0.2">
      <c r="A15260" t="str">
        <f t="shared" si="5535"/>
        <v>0616107504</v>
      </c>
      <c r="B15260" t="str">
        <f t="shared" si="5536"/>
        <v>SABRINE</v>
      </c>
      <c r="C15260" t="str">
        <f t="shared" si="5537"/>
        <v>SALEM</v>
      </c>
      <c r="D15260" t="str">
        <f t="shared" si="5538"/>
        <v>09</v>
      </c>
      <c r="E15260" t="str">
        <f>"03 - A - 103 - Kelly N Panza"</f>
        <v>03 - A - 103 - Kelly N Panza</v>
      </c>
      <c r="F15260" t="str">
        <f>"AICE GLBL PERSP 1 AS"</f>
        <v>AICE GLBL PERSP 1 AS</v>
      </c>
      <c r="G15260" t="str">
        <f>"17-1753"</f>
        <v>17-1753</v>
      </c>
      <c r="H15260" t="str">
        <f>"A"</f>
        <v>A</v>
      </c>
    </row>
    <row r="15261" spans="1:8" x14ac:dyDescent="0.2">
      <c r="A15261" t="str">
        <f t="shared" si="5535"/>
        <v>0616107504</v>
      </c>
      <c r="B15261" t="str">
        <f t="shared" si="5536"/>
        <v>SABRINE</v>
      </c>
      <c r="C15261" t="str">
        <f t="shared" si="5537"/>
        <v>SALEM</v>
      </c>
      <c r="D15261" t="str">
        <f t="shared" si="5538"/>
        <v>09</v>
      </c>
      <c r="E15261" t="str">
        <f>"02 - A - 105 - Elizabeth R Walker"</f>
        <v>02 - A - 105 - Elizabeth R Walker</v>
      </c>
      <c r="F15261" t="str">
        <f>"NC STUDY HALL 1"</f>
        <v>NC STUDY HALL 1</v>
      </c>
      <c r="G15261" t="str">
        <f>"17-1703"</f>
        <v>17-1703</v>
      </c>
      <c r="H15261" t="str">
        <f>"A"</f>
        <v>A</v>
      </c>
    </row>
    <row r="15262" spans="1:8" x14ac:dyDescent="0.2">
      <c r="A15262" t="str">
        <f t="shared" si="5535"/>
        <v>0616107504</v>
      </c>
      <c r="B15262" t="str">
        <f t="shared" si="5536"/>
        <v>SABRINE</v>
      </c>
      <c r="C15262" t="str">
        <f t="shared" si="5537"/>
        <v>SALEM</v>
      </c>
      <c r="D15262" t="str">
        <f t="shared" si="5538"/>
        <v>09</v>
      </c>
      <c r="E15262" t="str">
        <f>"07 - B - 002 - Rachel M Montrose"</f>
        <v>07 - B - 002 - Rachel M Montrose</v>
      </c>
      <c r="F15262" t="str">
        <f>"JOURN 1 (NP) LH"</f>
        <v>JOURN 1 (NP) LH</v>
      </c>
      <c r="G15262" t="str">
        <f>"05-521"</f>
        <v>05-521</v>
      </c>
      <c r="H15262" t="str">
        <f>"B"</f>
        <v>B</v>
      </c>
    </row>
    <row r="15263" spans="1:8" x14ac:dyDescent="0.2">
      <c r="A15263" t="str">
        <f t="shared" si="5535"/>
        <v>0616107504</v>
      </c>
      <c r="B15263" t="str">
        <f t="shared" si="5536"/>
        <v>SABRINE</v>
      </c>
      <c r="C15263" t="str">
        <f t="shared" si="5537"/>
        <v>SALEM</v>
      </c>
      <c r="D15263" t="str">
        <f t="shared" si="5538"/>
        <v>09</v>
      </c>
      <c r="E15263" t="str">
        <f>"05 - B - 104 - Joe  Kilpatrick Jr"</f>
        <v>05 - B - 104 - Joe  Kilpatrick Jr</v>
      </c>
      <c r="F15263" t="str">
        <f>"PRE-AICE SPAN 1 IG"</f>
        <v>PRE-AICE SPAN 1 IG</v>
      </c>
      <c r="G15263" t="str">
        <f>"09-912"</f>
        <v>09-912</v>
      </c>
      <c r="H15263" t="str">
        <f>"B"</f>
        <v>B</v>
      </c>
    </row>
    <row r="15264" spans="1:8" x14ac:dyDescent="0.2">
      <c r="A15264" t="str">
        <f t="shared" si="5535"/>
        <v>0616107504</v>
      </c>
      <c r="B15264" t="str">
        <f t="shared" si="5536"/>
        <v>SABRINE</v>
      </c>
      <c r="C15264" t="str">
        <f t="shared" si="5537"/>
        <v>SALEM</v>
      </c>
      <c r="D15264" t="str">
        <f t="shared" si="5538"/>
        <v>09</v>
      </c>
      <c r="E15264" t="str">
        <f>"01 - A - 101 - Maried P Ramos"</f>
        <v>01 - A - 101 - Maried P Ramos</v>
      </c>
      <c r="F15264" t="str">
        <f>"ALGEBRA 2 HON"</f>
        <v>ALGEBRA 2 HON</v>
      </c>
      <c r="G15264" t="str">
        <f>"21-2159"</f>
        <v>21-2159</v>
      </c>
      <c r="H15264" t="str">
        <f>"A"</f>
        <v>A</v>
      </c>
    </row>
    <row r="15265" spans="1:8" x14ac:dyDescent="0.2">
      <c r="A15265" t="str">
        <f t="shared" si="5535"/>
        <v>0616107504</v>
      </c>
      <c r="B15265" t="str">
        <f t="shared" si="5536"/>
        <v>SABRINE</v>
      </c>
      <c r="C15265" t="str">
        <f t="shared" si="5537"/>
        <v>SALEM</v>
      </c>
      <c r="D15265" t="str">
        <f t="shared" si="5538"/>
        <v>09</v>
      </c>
      <c r="E15265" t="str">
        <f>"08 - B - 001 - Brian M Fitzgerald"</f>
        <v>08 - B - 001 - Brian M Fitzgerald</v>
      </c>
      <c r="F15265" t="str">
        <f>"CERAM/POT 1"</f>
        <v>CERAM/POT 1</v>
      </c>
      <c r="G15265" t="str">
        <f>"09-908"</f>
        <v>09-908</v>
      </c>
      <c r="H15265" t="str">
        <f>"B"</f>
        <v>B</v>
      </c>
    </row>
    <row r="15266" spans="1:8" x14ac:dyDescent="0.2">
      <c r="A15266" t="str">
        <f t="shared" ref="A15266:A15273" si="5539">"0625018093"</f>
        <v>0625018093</v>
      </c>
      <c r="B15266" t="str">
        <f t="shared" ref="B15266:B15273" si="5540">"Aurora"</f>
        <v>Aurora</v>
      </c>
      <c r="C15266" t="str">
        <f t="shared" ref="C15266:C15273" si="5541">"Salmeron"</f>
        <v>Salmeron</v>
      </c>
      <c r="D15266">
        <f>12</f>
        <v>12</v>
      </c>
      <c r="E15266" t="str">
        <f>"04 - S1 - A - 101 - Nahum  Saint-Preux"</f>
        <v>04 - S1 - A - 101 - Nahum  Saint-Preux</v>
      </c>
      <c r="F15266" t="str">
        <f>"CRIT THINK ST SKLS"</f>
        <v>CRIT THINK ST SKLS</v>
      </c>
      <c r="G15266" t="str">
        <f>"17-1712"</f>
        <v>17-1712</v>
      </c>
      <c r="H15266" t="str">
        <f>"A"</f>
        <v>A</v>
      </c>
    </row>
    <row r="15267" spans="1:8" x14ac:dyDescent="0.2">
      <c r="A15267" t="str">
        <f t="shared" si="5539"/>
        <v>0625018093</v>
      </c>
      <c r="B15267" t="str">
        <f t="shared" si="5540"/>
        <v>Aurora</v>
      </c>
      <c r="C15267" t="str">
        <f t="shared" si="5541"/>
        <v>Salmeron</v>
      </c>
      <c r="D15267">
        <f>12</f>
        <v>12</v>
      </c>
      <c r="E15267" t="str">
        <f>"06 - B - 102 - Andrea A Amison"</f>
        <v>06 - B - 102 - Andrea A Amison</v>
      </c>
      <c r="F15267" t="str">
        <f>"NC STUDY HALL 1"</f>
        <v>NC STUDY HALL 1</v>
      </c>
      <c r="G15267" t="str">
        <f>"09-922C"</f>
        <v>09-922C</v>
      </c>
      <c r="H15267" t="str">
        <f>"B"</f>
        <v>B</v>
      </c>
    </row>
    <row r="15268" spans="1:8" x14ac:dyDescent="0.2">
      <c r="A15268" t="str">
        <f t="shared" si="5539"/>
        <v>0625018093</v>
      </c>
      <c r="B15268" t="str">
        <f t="shared" si="5540"/>
        <v>Aurora</v>
      </c>
      <c r="C15268" t="str">
        <f t="shared" si="5541"/>
        <v>Salmeron</v>
      </c>
      <c r="D15268">
        <f>12</f>
        <v>12</v>
      </c>
      <c r="E15268" t="str">
        <f>"03 - A - 101 - Tina L Lovett"</f>
        <v>03 - A - 101 - Tina L Lovett</v>
      </c>
      <c r="F15268" t="str">
        <f>"MATH DATA &amp; FIN LIT"</f>
        <v>MATH DATA &amp; FIN LIT</v>
      </c>
      <c r="G15268" t="str">
        <f>"21-2153"</f>
        <v>21-2153</v>
      </c>
      <c r="H15268" t="str">
        <f>"A"</f>
        <v>A</v>
      </c>
    </row>
    <row r="15269" spans="1:8" x14ac:dyDescent="0.2">
      <c r="A15269" t="str">
        <f t="shared" si="5539"/>
        <v>0625018093</v>
      </c>
      <c r="B15269" t="str">
        <f t="shared" si="5540"/>
        <v>Aurora</v>
      </c>
      <c r="C15269" t="str">
        <f t="shared" si="5541"/>
        <v>Salmeron</v>
      </c>
      <c r="D15269">
        <f>12</f>
        <v>12</v>
      </c>
      <c r="E15269" t="str">
        <f>"02 - S1 - A - 104 - Robert O Burger"</f>
        <v>02 - S1 - A - 104 - Robert O Burger</v>
      </c>
      <c r="F15269" t="str">
        <f>"US GOVT"</f>
        <v>US GOVT</v>
      </c>
      <c r="G15269" t="str">
        <f>"17-1755"</f>
        <v>17-1755</v>
      </c>
      <c r="H15269" t="str">
        <f>"A"</f>
        <v>A</v>
      </c>
    </row>
    <row r="15270" spans="1:8" x14ac:dyDescent="0.2">
      <c r="A15270" t="str">
        <f t="shared" si="5539"/>
        <v>0625018093</v>
      </c>
      <c r="B15270" t="str">
        <f t="shared" si="5540"/>
        <v>Aurora</v>
      </c>
      <c r="C15270" t="str">
        <f t="shared" si="5541"/>
        <v>Salmeron</v>
      </c>
      <c r="D15270">
        <f>12</f>
        <v>12</v>
      </c>
      <c r="E15270" t="str">
        <f>"07 - B - 104 - Marielle A Witting"</f>
        <v>07 - B - 104 - Marielle A Witting</v>
      </c>
      <c r="F15270" t="str">
        <f>"ANAT PHYSIO"</f>
        <v>ANAT PHYSIO</v>
      </c>
      <c r="G15270" t="str">
        <f>"08-805"</f>
        <v>08-805</v>
      </c>
      <c r="H15270" t="str">
        <f>"B"</f>
        <v>B</v>
      </c>
    </row>
    <row r="15271" spans="1:8" x14ac:dyDescent="0.2">
      <c r="A15271" t="str">
        <f t="shared" si="5539"/>
        <v>0625018093</v>
      </c>
      <c r="B15271" t="str">
        <f t="shared" si="5540"/>
        <v>Aurora</v>
      </c>
      <c r="C15271" t="str">
        <f t="shared" si="5541"/>
        <v>Salmeron</v>
      </c>
      <c r="D15271">
        <f>12</f>
        <v>12</v>
      </c>
      <c r="E15271" t="str">
        <f>"05 - B - 102 - Jeanne M Bermudez"</f>
        <v>05 - B - 102 - Jeanne M Bermudez</v>
      </c>
      <c r="F15271" t="str">
        <f>"ADVANCED IT HON"</f>
        <v>ADVANCED IT HON</v>
      </c>
      <c r="G15271" t="str">
        <f>"21-2141"</f>
        <v>21-2141</v>
      </c>
      <c r="H15271" t="str">
        <f>"B"</f>
        <v>B</v>
      </c>
    </row>
    <row r="15272" spans="1:8" x14ac:dyDescent="0.2">
      <c r="A15272" t="str">
        <f t="shared" si="5539"/>
        <v>0625018093</v>
      </c>
      <c r="B15272" t="str">
        <f t="shared" si="5540"/>
        <v>Aurora</v>
      </c>
      <c r="C15272" t="str">
        <f t="shared" si="5541"/>
        <v>Salmeron</v>
      </c>
      <c r="D15272">
        <f>12</f>
        <v>12</v>
      </c>
      <c r="E15272" t="str">
        <f>"01 - A - 101 - Vanessa J Pena"</f>
        <v>01 - A - 101 - Vanessa J Pena</v>
      </c>
      <c r="F15272" t="str">
        <f>"DEV LANG ARTS ESOL-R"</f>
        <v>DEV LANG ARTS ESOL-R</v>
      </c>
      <c r="G15272" t="str">
        <f>"09-926"</f>
        <v>09-926</v>
      </c>
      <c r="H15272" t="str">
        <f>"A"</f>
        <v>A</v>
      </c>
    </row>
    <row r="15273" spans="1:8" x14ac:dyDescent="0.2">
      <c r="A15273" t="str">
        <f t="shared" si="5539"/>
        <v>0625018093</v>
      </c>
      <c r="B15273" t="str">
        <f t="shared" si="5540"/>
        <v>Aurora</v>
      </c>
      <c r="C15273" t="str">
        <f t="shared" si="5541"/>
        <v>Salmeron</v>
      </c>
      <c r="D15273">
        <f>12</f>
        <v>12</v>
      </c>
      <c r="E15273" t="str">
        <f>"08 - B - 206 - Robyn L Trainer"</f>
        <v>08 - B - 206 - Robyn L Trainer</v>
      </c>
      <c r="F15273" t="str">
        <f>"ENG 4: FL COLL PREP"</f>
        <v>ENG 4: FL COLL PREP</v>
      </c>
      <c r="G15273" t="str">
        <f>"17-1734"</f>
        <v>17-1734</v>
      </c>
      <c r="H15273" t="str">
        <f>"B"</f>
        <v>B</v>
      </c>
    </row>
    <row r="15274" spans="1:8" x14ac:dyDescent="0.2">
      <c r="A15274" t="str">
        <f t="shared" ref="A15274:A15281" si="5542">"0620091545"</f>
        <v>0620091545</v>
      </c>
      <c r="B15274" t="str">
        <f t="shared" ref="B15274:B15281" si="5543">"ELIAS"</f>
        <v>ELIAS</v>
      </c>
      <c r="C15274" t="str">
        <f t="shared" ref="C15274:C15281" si="5544">"SALMERON"</f>
        <v>SALMERON</v>
      </c>
      <c r="D15274">
        <f>10</f>
        <v>10</v>
      </c>
      <c r="E15274" t="str">
        <f>"04 - A - 203 - Cheryl L Beach"</f>
        <v>04 - A - 203 - Cheryl L Beach</v>
      </c>
      <c r="F15274" t="str">
        <f>"AICE ENV MGMNT AS"</f>
        <v>AICE ENV MGMNT AS</v>
      </c>
      <c r="G15274" t="str">
        <f>"08-811"</f>
        <v>08-811</v>
      </c>
      <c r="H15274" t="str">
        <f>"A"</f>
        <v>A</v>
      </c>
    </row>
    <row r="15275" spans="1:8" x14ac:dyDescent="0.2">
      <c r="A15275" t="str">
        <f t="shared" si="5542"/>
        <v>0620091545</v>
      </c>
      <c r="B15275" t="str">
        <f t="shared" si="5543"/>
        <v>ELIAS</v>
      </c>
      <c r="C15275" t="str">
        <f t="shared" si="5544"/>
        <v>SALMERON</v>
      </c>
      <c r="D15275">
        <f>10</f>
        <v>10</v>
      </c>
      <c r="E15275" t="str">
        <f>"06 - B - 110 - Jerry S Jiampetti"</f>
        <v>06 - B - 110 - Jerry S Jiampetti</v>
      </c>
      <c r="F15275" t="str">
        <f>"NC STUDY HALL 1"</f>
        <v>NC STUDY HALL 1</v>
      </c>
      <c r="G15275" t="str">
        <f>"17-1751"</f>
        <v>17-1751</v>
      </c>
      <c r="H15275" t="str">
        <f>"B"</f>
        <v>B</v>
      </c>
    </row>
    <row r="15276" spans="1:8" x14ac:dyDescent="0.2">
      <c r="A15276" t="str">
        <f t="shared" si="5542"/>
        <v>0620091545</v>
      </c>
      <c r="B15276" t="str">
        <f t="shared" si="5543"/>
        <v>ELIAS</v>
      </c>
      <c r="C15276" t="str">
        <f t="shared" si="5544"/>
        <v>SALMERON</v>
      </c>
      <c r="D15276">
        <f>10</f>
        <v>10</v>
      </c>
      <c r="E15276" t="str">
        <f>"03 - A - 103 - Courtney E Hambright"</f>
        <v>03 - A - 103 - Courtney E Hambright</v>
      </c>
      <c r="F15276" t="str">
        <f>"AICE ENG LANG AS"</f>
        <v>AICE ENG LANG AS</v>
      </c>
      <c r="G15276" t="str">
        <f>"17-1711"</f>
        <v>17-1711</v>
      </c>
      <c r="H15276" t="str">
        <f>"A"</f>
        <v>A</v>
      </c>
    </row>
    <row r="15277" spans="1:8" x14ac:dyDescent="0.2">
      <c r="A15277" t="str">
        <f t="shared" si="5542"/>
        <v>0620091545</v>
      </c>
      <c r="B15277" t="str">
        <f t="shared" si="5543"/>
        <v>ELIAS</v>
      </c>
      <c r="C15277" t="str">
        <f t="shared" si="5544"/>
        <v>SALMERON</v>
      </c>
      <c r="D15277">
        <f>10</f>
        <v>10</v>
      </c>
      <c r="E15277" t="str">
        <f>"02 - A - 102 - Marius D Orsolini"</f>
        <v>02 - A - 102 - Marius D Orsolini</v>
      </c>
      <c r="F15277" t="str">
        <f>"CULINARY ARTS 1"</f>
        <v>CULINARY ARTS 1</v>
      </c>
      <c r="G15277" t="str">
        <f>"21-2115"</f>
        <v>21-2115</v>
      </c>
      <c r="H15277" t="str">
        <f>"A"</f>
        <v>A</v>
      </c>
    </row>
    <row r="15278" spans="1:8" x14ac:dyDescent="0.2">
      <c r="A15278" t="str">
        <f t="shared" si="5542"/>
        <v>0620091545</v>
      </c>
      <c r="B15278" t="str">
        <f t="shared" si="5543"/>
        <v>ELIAS</v>
      </c>
      <c r="C15278" t="str">
        <f t="shared" si="5544"/>
        <v>SALMERON</v>
      </c>
      <c r="D15278">
        <f>10</f>
        <v>10</v>
      </c>
      <c r="E15278" t="str">
        <f>"07 - S1 - B - 102 - Arthur  Kulawik"</f>
        <v>07 - S1 - B - 102 - Arthur  Kulawik</v>
      </c>
      <c r="F15278" t="str">
        <f>"PERS FIN &amp; MON MGT H"</f>
        <v>PERS FIN &amp; MON MGT H</v>
      </c>
      <c r="G15278" t="str">
        <f>"05-506"</f>
        <v>05-506</v>
      </c>
      <c r="H15278" t="str">
        <f>"B"</f>
        <v>B</v>
      </c>
    </row>
    <row r="15279" spans="1:8" x14ac:dyDescent="0.2">
      <c r="A15279" t="str">
        <f t="shared" si="5542"/>
        <v>0620091545</v>
      </c>
      <c r="B15279" t="str">
        <f t="shared" si="5543"/>
        <v>ELIAS</v>
      </c>
      <c r="C15279" t="str">
        <f t="shared" si="5544"/>
        <v>SALMERON</v>
      </c>
      <c r="D15279">
        <f>10</f>
        <v>10</v>
      </c>
      <c r="E15279" t="str">
        <f>"05 - B - 106 - Fernando  Vega-Cid"</f>
        <v>05 - B - 106 - Fernando  Vega-Cid</v>
      </c>
      <c r="F15279" t="str">
        <f>"GEOMETRY"</f>
        <v>GEOMETRY</v>
      </c>
      <c r="G15279" t="str">
        <f>"21-2163"</f>
        <v>21-2163</v>
      </c>
      <c r="H15279" t="str">
        <f>"B"</f>
        <v>B</v>
      </c>
    </row>
    <row r="15280" spans="1:8" x14ac:dyDescent="0.2">
      <c r="A15280" t="str">
        <f t="shared" si="5542"/>
        <v>0620091545</v>
      </c>
      <c r="B15280" t="str">
        <f t="shared" si="5543"/>
        <v>ELIAS</v>
      </c>
      <c r="C15280" t="str">
        <f t="shared" si="5544"/>
        <v>SALMERON</v>
      </c>
      <c r="D15280">
        <f>10</f>
        <v>10</v>
      </c>
      <c r="E15280" t="str">
        <f>"01 - A - 002 - Krystal Marie  Beruty"</f>
        <v>01 - A - 002 - Krystal Marie  Beruty</v>
      </c>
      <c r="F15280" t="str">
        <f>"AICE GLBL PERSP 1 AS"</f>
        <v>AICE GLBL PERSP 1 AS</v>
      </c>
      <c r="G15280" t="str">
        <f>"17-1721"</f>
        <v>17-1721</v>
      </c>
      <c r="H15280" t="str">
        <f>"A"</f>
        <v>A</v>
      </c>
    </row>
    <row r="15281" spans="1:8" x14ac:dyDescent="0.2">
      <c r="A15281" t="str">
        <f t="shared" si="5542"/>
        <v>0620091545</v>
      </c>
      <c r="B15281" t="str">
        <f t="shared" si="5543"/>
        <v>ELIAS</v>
      </c>
      <c r="C15281" t="str">
        <f t="shared" si="5544"/>
        <v>SALMERON</v>
      </c>
      <c r="D15281">
        <f>10</f>
        <v>10</v>
      </c>
      <c r="E15281" t="str">
        <f>"08 - B - 108 - Adam Marcus  Drucker"</f>
        <v>08 - B - 108 - Adam Marcus  Drucker</v>
      </c>
      <c r="F15281" t="str">
        <f>"HOPE-PE V"</f>
        <v>HOPE-PE V</v>
      </c>
      <c r="G15281" t="str">
        <f>"04-254"</f>
        <v>04-254</v>
      </c>
      <c r="H15281" t="str">
        <f>"B"</f>
        <v>B</v>
      </c>
    </row>
    <row r="15282" spans="1:8" x14ac:dyDescent="0.2">
      <c r="A15282" t="str">
        <f t="shared" ref="A15282:A15289" si="5545">"0616052799"</f>
        <v>0616052799</v>
      </c>
      <c r="B15282" t="str">
        <f t="shared" ref="B15282:B15289" si="5546">"LILA"</f>
        <v>LILA</v>
      </c>
      <c r="C15282" t="str">
        <f t="shared" ref="C15282:C15289" si="5547">"SALUM-WALLACE"</f>
        <v>SALUM-WALLACE</v>
      </c>
      <c r="D15282">
        <f>10</f>
        <v>10</v>
      </c>
      <c r="E15282" t="str">
        <f>"04 - A - 104 - Courtney E Hambright"</f>
        <v>04 - A - 104 - Courtney E Hambright</v>
      </c>
      <c r="F15282" t="str">
        <f>"AICE ENG LANG AS"</f>
        <v>AICE ENG LANG AS</v>
      </c>
      <c r="G15282" t="str">
        <f>"17-1711"</f>
        <v>17-1711</v>
      </c>
      <c r="H15282" t="str">
        <f>"A"</f>
        <v>A</v>
      </c>
    </row>
    <row r="15283" spans="1:8" x14ac:dyDescent="0.2">
      <c r="A15283" t="str">
        <f t="shared" si="5545"/>
        <v>0616052799</v>
      </c>
      <c r="B15283" t="str">
        <f t="shared" si="5546"/>
        <v>LILA</v>
      </c>
      <c r="C15283" t="str">
        <f t="shared" si="5547"/>
        <v>SALUM-WALLACE</v>
      </c>
      <c r="D15283">
        <f>10</f>
        <v>10</v>
      </c>
      <c r="E15283" t="str">
        <f>"06 - B - 104 - Robert H Rindner"</f>
        <v>06 - B - 104 - Robert H Rindner</v>
      </c>
      <c r="F15283" t="str">
        <f>"NC STUDY HALL 1"</f>
        <v>NC STUDY HALL 1</v>
      </c>
      <c r="G15283" t="str">
        <f>"21-2160"</f>
        <v>21-2160</v>
      </c>
      <c r="H15283" t="str">
        <f>"B"</f>
        <v>B</v>
      </c>
    </row>
    <row r="15284" spans="1:8" x14ac:dyDescent="0.2">
      <c r="A15284" t="str">
        <f t="shared" si="5545"/>
        <v>0616052799</v>
      </c>
      <c r="B15284" t="str">
        <f t="shared" si="5546"/>
        <v>LILA</v>
      </c>
      <c r="C15284" t="str">
        <f t="shared" si="5547"/>
        <v>SALUM-WALLACE</v>
      </c>
      <c r="D15284">
        <f>10</f>
        <v>10</v>
      </c>
      <c r="E15284" t="str">
        <f>"03 - A - 002 - Lenecy  Nodarse"</f>
        <v>03 - A - 002 - Lenecy  Nodarse</v>
      </c>
      <c r="F15284" t="str">
        <f>"AICE EURO HIST 1 AS"</f>
        <v>AICE EURO HIST 1 AS</v>
      </c>
      <c r="G15284" t="str">
        <f>"17-1741"</f>
        <v>17-1741</v>
      </c>
      <c r="H15284" t="str">
        <f>"A"</f>
        <v>A</v>
      </c>
    </row>
    <row r="15285" spans="1:8" x14ac:dyDescent="0.2">
      <c r="A15285" t="str">
        <f t="shared" si="5545"/>
        <v>0616052799</v>
      </c>
      <c r="B15285" t="str">
        <f t="shared" si="5546"/>
        <v>LILA</v>
      </c>
      <c r="C15285" t="str">
        <f t="shared" si="5547"/>
        <v>SALUM-WALLACE</v>
      </c>
      <c r="D15285">
        <f>10</f>
        <v>10</v>
      </c>
      <c r="E15285" t="str">
        <f>"02 - A - 104 - Scott A Dethloff"</f>
        <v>02 - A - 104 - Scott A Dethloff</v>
      </c>
      <c r="F15285" t="str">
        <f>"CHEMISTRY 1 HON"</f>
        <v>CHEMISTRY 1 HON</v>
      </c>
      <c r="G15285" t="str">
        <f>"08-812"</f>
        <v>08-812</v>
      </c>
      <c r="H15285" t="str">
        <f>"A"</f>
        <v>A</v>
      </c>
    </row>
    <row r="15286" spans="1:8" x14ac:dyDescent="0.2">
      <c r="A15286" t="str">
        <f t="shared" si="5545"/>
        <v>0616052799</v>
      </c>
      <c r="B15286" t="str">
        <f t="shared" si="5546"/>
        <v>LILA</v>
      </c>
      <c r="C15286" t="str">
        <f t="shared" si="5547"/>
        <v>SALUM-WALLACE</v>
      </c>
      <c r="D15286">
        <f>10</f>
        <v>10</v>
      </c>
      <c r="E15286" t="str">
        <f>"07 - B - 101 - Fernando  Vega-Cid"</f>
        <v>07 - B - 101 - Fernando  Vega-Cid</v>
      </c>
      <c r="F15286" t="str">
        <f>"AP PRECALCULUS"</f>
        <v>AP PRECALCULUS</v>
      </c>
      <c r="G15286" t="str">
        <f>"21-2163"</f>
        <v>21-2163</v>
      </c>
      <c r="H15286" t="str">
        <f>"B"</f>
        <v>B</v>
      </c>
    </row>
    <row r="15287" spans="1:8" x14ac:dyDescent="0.2">
      <c r="A15287" t="str">
        <f t="shared" si="5545"/>
        <v>0616052799</v>
      </c>
      <c r="B15287" t="str">
        <f t="shared" si="5546"/>
        <v>LILA</v>
      </c>
      <c r="C15287" t="str">
        <f t="shared" si="5547"/>
        <v>SALUM-WALLACE</v>
      </c>
      <c r="D15287">
        <f>10</f>
        <v>10</v>
      </c>
      <c r="E15287" t="str">
        <f>"05 - B - 001 - Stefanie S Scher"</f>
        <v>05 - B - 001 - Stefanie S Scher</v>
      </c>
      <c r="F15287" t="str">
        <f>"AICE PSYCH 1 AS"</f>
        <v>AICE PSYCH 1 AS</v>
      </c>
      <c r="G15287" t="str">
        <f>"17-1735"</f>
        <v>17-1735</v>
      </c>
      <c r="H15287" t="str">
        <f>"B"</f>
        <v>B</v>
      </c>
    </row>
    <row r="15288" spans="1:8" x14ac:dyDescent="0.2">
      <c r="A15288" t="str">
        <f t="shared" si="5545"/>
        <v>0616052799</v>
      </c>
      <c r="B15288" t="str">
        <f t="shared" si="5546"/>
        <v>LILA</v>
      </c>
      <c r="C15288" t="str">
        <f t="shared" si="5547"/>
        <v>SALUM-WALLACE</v>
      </c>
      <c r="D15288">
        <f>10</f>
        <v>10</v>
      </c>
      <c r="E15288" t="str">
        <f>"01 - A - 101 - Eva T Rimmer"</f>
        <v>01 - A - 101 - Eva T Rimmer</v>
      </c>
      <c r="F15288" t="str">
        <f>"CRIMINAL JUST OPS 2"</f>
        <v>CRIMINAL JUST OPS 2</v>
      </c>
      <c r="G15288" t="str">
        <f>"05-523"</f>
        <v>05-523</v>
      </c>
      <c r="H15288" t="str">
        <f>"A"</f>
        <v>A</v>
      </c>
    </row>
    <row r="15289" spans="1:8" x14ac:dyDescent="0.2">
      <c r="A15289" t="str">
        <f t="shared" si="5545"/>
        <v>0616052799</v>
      </c>
      <c r="B15289" t="str">
        <f t="shared" si="5546"/>
        <v>LILA</v>
      </c>
      <c r="C15289" t="str">
        <f t="shared" si="5547"/>
        <v>SALUM-WALLACE</v>
      </c>
      <c r="D15289">
        <f>10</f>
        <v>10</v>
      </c>
      <c r="E15289" t="str">
        <f>"08 - B - 001 - Samantha L Martinez"</f>
        <v>08 - B - 001 - Samantha L Martinez</v>
      </c>
      <c r="F15289" t="str">
        <f>"VOCAL ENS 2"</f>
        <v>VOCAL ENS 2</v>
      </c>
      <c r="G15289" t="str">
        <f>"05-505"</f>
        <v>05-505</v>
      </c>
      <c r="H15289" t="str">
        <f>"B"</f>
        <v>B</v>
      </c>
    </row>
    <row r="15290" spans="1:8" x14ac:dyDescent="0.2">
      <c r="A15290" t="str">
        <f t="shared" ref="A15290:A15297" si="5548">"0617111765"</f>
        <v>0617111765</v>
      </c>
      <c r="B15290" t="str">
        <f t="shared" ref="B15290:B15297" si="5549">"DAYRIN"</f>
        <v>DAYRIN</v>
      </c>
      <c r="C15290" t="str">
        <f t="shared" ref="C15290:C15297" si="5550">"SAMAYOA OSORIO"</f>
        <v>SAMAYOA OSORIO</v>
      </c>
      <c r="D15290" t="str">
        <f t="shared" ref="D15290:D15305" si="5551">"09"</f>
        <v>09</v>
      </c>
      <c r="E15290" t="str">
        <f>"04 - A - 005 - Emmily A Sarmiento"</f>
        <v>04 - A - 005 - Emmily A Sarmiento</v>
      </c>
      <c r="F15290" t="str">
        <f>"AICE GLBL PERSP 1 AS"</f>
        <v>AICE GLBL PERSP 1 AS</v>
      </c>
      <c r="G15290" t="str">
        <f>"17-1743"</f>
        <v>17-1743</v>
      </c>
      <c r="H15290" t="str">
        <f>"A"</f>
        <v>A</v>
      </c>
    </row>
    <row r="15291" spans="1:8" x14ac:dyDescent="0.2">
      <c r="A15291" t="str">
        <f t="shared" si="5548"/>
        <v>0617111765</v>
      </c>
      <c r="B15291" t="str">
        <f t="shared" si="5549"/>
        <v>DAYRIN</v>
      </c>
      <c r="C15291" t="str">
        <f t="shared" si="5550"/>
        <v>SAMAYOA OSORIO</v>
      </c>
      <c r="D15291" t="str">
        <f t="shared" si="5551"/>
        <v>09</v>
      </c>
      <c r="E15291" t="str">
        <f>"06 - B - 102 - Rosa Elaine  Collado-Duff"</f>
        <v>06 - B - 102 - Rosa Elaine  Collado-Duff</v>
      </c>
      <c r="F15291" t="str">
        <f>"SPANISH 3 HON"</f>
        <v>SPANISH 3 HON</v>
      </c>
      <c r="G15291" t="str">
        <f>"09-913"</f>
        <v>09-913</v>
      </c>
      <c r="H15291" t="str">
        <f>"B"</f>
        <v>B</v>
      </c>
    </row>
    <row r="15292" spans="1:8" x14ac:dyDescent="0.2">
      <c r="A15292" t="str">
        <f t="shared" si="5548"/>
        <v>0617111765</v>
      </c>
      <c r="B15292" t="str">
        <f t="shared" si="5549"/>
        <v>DAYRIN</v>
      </c>
      <c r="C15292" t="str">
        <f t="shared" si="5550"/>
        <v>SAMAYOA OSORIO</v>
      </c>
      <c r="D15292" t="str">
        <f t="shared" si="5551"/>
        <v>09</v>
      </c>
      <c r="E15292" t="str">
        <f>"03 - A - 103 - Adam Marcus  Drucker"</f>
        <v>03 - A - 103 - Adam Marcus  Drucker</v>
      </c>
      <c r="F15292" t="str">
        <f>"HOPE-PE V"</f>
        <v>HOPE-PE V</v>
      </c>
      <c r="G15292" t="str">
        <f>"04-254"</f>
        <v>04-254</v>
      </c>
      <c r="H15292" t="str">
        <f>"A"</f>
        <v>A</v>
      </c>
    </row>
    <row r="15293" spans="1:8" x14ac:dyDescent="0.2">
      <c r="A15293" t="str">
        <f t="shared" si="5548"/>
        <v>0617111765</v>
      </c>
      <c r="B15293" t="str">
        <f t="shared" si="5549"/>
        <v>DAYRIN</v>
      </c>
      <c r="C15293" t="str">
        <f t="shared" si="5550"/>
        <v>SAMAYOA OSORIO</v>
      </c>
      <c r="D15293" t="str">
        <f t="shared" si="5551"/>
        <v>09</v>
      </c>
      <c r="E15293" t="str">
        <f>"02 - A - 111 - Cheryl L Beach"</f>
        <v>02 - A - 111 - Cheryl L Beach</v>
      </c>
      <c r="F15293" t="str">
        <f>"NC STUDY HALL 1"</f>
        <v>NC STUDY HALL 1</v>
      </c>
      <c r="G15293" t="str">
        <f>"08-811"</f>
        <v>08-811</v>
      </c>
      <c r="H15293" t="str">
        <f>"A"</f>
        <v>A</v>
      </c>
    </row>
    <row r="15294" spans="1:8" x14ac:dyDescent="0.2">
      <c r="A15294" t="str">
        <f t="shared" si="5548"/>
        <v>0617111765</v>
      </c>
      <c r="B15294" t="str">
        <f t="shared" si="5549"/>
        <v>DAYRIN</v>
      </c>
      <c r="C15294" t="str">
        <f t="shared" si="5550"/>
        <v>SAMAYOA OSORIO</v>
      </c>
      <c r="D15294" t="str">
        <f t="shared" si="5551"/>
        <v>09</v>
      </c>
      <c r="E15294" t="str">
        <f>"07 - B - 105 - Byron G Montenegro"</f>
        <v>07 - B - 105 - Byron G Montenegro</v>
      </c>
      <c r="F15294" t="str">
        <f>"AICE MARINE SCI 1 AS"</f>
        <v>AICE MARINE SCI 1 AS</v>
      </c>
      <c r="G15294" t="str">
        <f>"21-2144"</f>
        <v>21-2144</v>
      </c>
      <c r="H15294" t="str">
        <f>"B"</f>
        <v>B</v>
      </c>
    </row>
    <row r="15295" spans="1:8" x14ac:dyDescent="0.2">
      <c r="A15295" t="str">
        <f t="shared" si="5548"/>
        <v>0617111765</v>
      </c>
      <c r="B15295" t="str">
        <f t="shared" si="5549"/>
        <v>DAYRIN</v>
      </c>
      <c r="C15295" t="str">
        <f t="shared" si="5550"/>
        <v>SAMAYOA OSORIO</v>
      </c>
      <c r="D15295" t="str">
        <f t="shared" si="5551"/>
        <v>09</v>
      </c>
      <c r="E15295" t="str">
        <f>"05 - B - 104 - Maried P Ramos"</f>
        <v>05 - B - 104 - Maried P Ramos</v>
      </c>
      <c r="F15295" t="str">
        <f>"PRE-AICE MATH 2 IG"</f>
        <v>PRE-AICE MATH 2 IG</v>
      </c>
      <c r="G15295" t="str">
        <f>"21-2159"</f>
        <v>21-2159</v>
      </c>
      <c r="H15295" t="str">
        <f>"B"</f>
        <v>B</v>
      </c>
    </row>
    <row r="15296" spans="1:8" x14ac:dyDescent="0.2">
      <c r="A15296" t="str">
        <f t="shared" si="5548"/>
        <v>0617111765</v>
      </c>
      <c r="B15296" t="str">
        <f t="shared" si="5549"/>
        <v>DAYRIN</v>
      </c>
      <c r="C15296" t="str">
        <f t="shared" si="5550"/>
        <v>SAMAYOA OSORIO</v>
      </c>
      <c r="D15296" t="str">
        <f t="shared" si="5551"/>
        <v>09</v>
      </c>
      <c r="E15296" t="str">
        <f>"01 - A - 101 - Elizabeth R Walker"</f>
        <v>01 - A - 101 - Elizabeth R Walker</v>
      </c>
      <c r="F15296" t="str">
        <f>"AICE ENG GEN PAPER 1"</f>
        <v>AICE ENG GEN PAPER 1</v>
      </c>
      <c r="G15296" t="str">
        <f>"17-1703"</f>
        <v>17-1703</v>
      </c>
      <c r="H15296" t="str">
        <f>"A"</f>
        <v>A</v>
      </c>
    </row>
    <row r="15297" spans="1:8" x14ac:dyDescent="0.2">
      <c r="A15297" t="str">
        <f t="shared" si="5548"/>
        <v>0617111765</v>
      </c>
      <c r="B15297" t="str">
        <f t="shared" si="5549"/>
        <v>DAYRIN</v>
      </c>
      <c r="C15297" t="str">
        <f t="shared" si="5550"/>
        <v>SAMAYOA OSORIO</v>
      </c>
      <c r="D15297" t="str">
        <f t="shared" si="5551"/>
        <v>09</v>
      </c>
      <c r="E15297" t="str">
        <f>"08 - B - 201 - Tina M Jaramillo"</f>
        <v>08 - B - 201 - Tina M Jaramillo</v>
      </c>
      <c r="F15297" t="str">
        <f>"CREATIVE WRIT 3 HON"</f>
        <v>CREATIVE WRIT 3 HON</v>
      </c>
      <c r="G15297" t="str">
        <f>"17-1706"</f>
        <v>17-1706</v>
      </c>
      <c r="H15297" t="str">
        <f>"B"</f>
        <v>B</v>
      </c>
    </row>
    <row r="15298" spans="1:8" x14ac:dyDescent="0.2">
      <c r="A15298" t="str">
        <f t="shared" ref="A15298:A15305" si="5552">"0626006578"</f>
        <v>0626006578</v>
      </c>
      <c r="B15298" t="str">
        <f t="shared" ref="B15298:B15305" si="5553">"Lowe"</f>
        <v>Lowe</v>
      </c>
      <c r="C15298" t="str">
        <f t="shared" ref="C15298:C15313" si="5554">"Sampson"</f>
        <v>Sampson</v>
      </c>
      <c r="D15298" t="str">
        <f t="shared" si="5551"/>
        <v>09</v>
      </c>
      <c r="E15298" t="str">
        <f>"04 - A - 102 - Tina L Lovett"</f>
        <v>04 - A - 102 - Tina L Lovett</v>
      </c>
      <c r="F15298" t="str">
        <f>"ALGEBRA 1"</f>
        <v>ALGEBRA 1</v>
      </c>
      <c r="G15298" t="str">
        <f>"21-2153"</f>
        <v>21-2153</v>
      </c>
      <c r="H15298" t="str">
        <f>"A"</f>
        <v>A</v>
      </c>
    </row>
    <row r="15299" spans="1:8" x14ac:dyDescent="0.2">
      <c r="A15299" t="str">
        <f t="shared" si="5552"/>
        <v>0626006578</v>
      </c>
      <c r="B15299" t="str">
        <f t="shared" si="5553"/>
        <v>Lowe</v>
      </c>
      <c r="C15299" t="str">
        <f t="shared" si="5554"/>
        <v>Sampson</v>
      </c>
      <c r="D15299" t="str">
        <f t="shared" si="5551"/>
        <v>09</v>
      </c>
      <c r="E15299" t="str">
        <f>"06 - B - 002 - Amy Beth  Broyles"</f>
        <v>06 - B - 002 - Amy Beth  Broyles</v>
      </c>
      <c r="F15299" t="str">
        <f>"ENV SCI"</f>
        <v>ENV SCI</v>
      </c>
      <c r="G15299" t="str">
        <f>"08-802"</f>
        <v>08-802</v>
      </c>
      <c r="H15299" t="str">
        <f>"B"</f>
        <v>B</v>
      </c>
    </row>
    <row r="15300" spans="1:8" x14ac:dyDescent="0.2">
      <c r="A15300" t="str">
        <f t="shared" si="5552"/>
        <v>0626006578</v>
      </c>
      <c r="B15300" t="str">
        <f t="shared" si="5553"/>
        <v>Lowe</v>
      </c>
      <c r="C15300" t="str">
        <f t="shared" si="5554"/>
        <v>Sampson</v>
      </c>
      <c r="D15300" t="str">
        <f t="shared" si="5551"/>
        <v>09</v>
      </c>
      <c r="E15300" t="str">
        <f>"03 - A - 102 - Laselleda D Shaw"</f>
        <v>03 - A - 102 - Laselleda D Shaw</v>
      </c>
      <c r="F15300" t="str">
        <f>"INTENS READ 1"</f>
        <v>INTENS READ 1</v>
      </c>
      <c r="G15300" t="str">
        <f>"17-1723"</f>
        <v>17-1723</v>
      </c>
      <c r="H15300" t="str">
        <f>"A"</f>
        <v>A</v>
      </c>
    </row>
    <row r="15301" spans="1:8" x14ac:dyDescent="0.2">
      <c r="A15301" t="str">
        <f t="shared" si="5552"/>
        <v>0626006578</v>
      </c>
      <c r="B15301" t="str">
        <f t="shared" si="5553"/>
        <v>Lowe</v>
      </c>
      <c r="C15301" t="str">
        <f t="shared" si="5554"/>
        <v>Sampson</v>
      </c>
      <c r="D15301" t="str">
        <f t="shared" si="5551"/>
        <v>09</v>
      </c>
      <c r="E15301" t="str">
        <f>"02 - A - 109 - Krystal Marie  Beruty"</f>
        <v>02 - A - 109 - Krystal Marie  Beruty</v>
      </c>
      <c r="F15301" t="str">
        <f>"NC STUDY HALL 1"</f>
        <v>NC STUDY HALL 1</v>
      </c>
      <c r="G15301" t="str">
        <f>"17-1721"</f>
        <v>17-1721</v>
      </c>
      <c r="H15301" t="str">
        <f>"A"</f>
        <v>A</v>
      </c>
    </row>
    <row r="15302" spans="1:8" x14ac:dyDescent="0.2">
      <c r="A15302" t="str">
        <f t="shared" si="5552"/>
        <v>0626006578</v>
      </c>
      <c r="B15302" t="str">
        <f t="shared" si="5553"/>
        <v>Lowe</v>
      </c>
      <c r="C15302" t="str">
        <f t="shared" si="5554"/>
        <v>Sampson</v>
      </c>
      <c r="D15302" t="str">
        <f t="shared" si="5551"/>
        <v>09</v>
      </c>
      <c r="E15302" t="str">
        <f>"07 - B - 107 - Adam Marcus  Drucker"</f>
        <v>07 - B - 107 - Adam Marcus  Drucker</v>
      </c>
      <c r="F15302" t="str">
        <f>"HOPE-PE V"</f>
        <v>HOPE-PE V</v>
      </c>
      <c r="G15302" t="str">
        <f>"04-254"</f>
        <v>04-254</v>
      </c>
      <c r="H15302" t="str">
        <f>"B"</f>
        <v>B</v>
      </c>
    </row>
    <row r="15303" spans="1:8" x14ac:dyDescent="0.2">
      <c r="A15303" t="str">
        <f t="shared" si="5552"/>
        <v>0626006578</v>
      </c>
      <c r="B15303" t="str">
        <f t="shared" si="5553"/>
        <v>Lowe</v>
      </c>
      <c r="C15303" t="str">
        <f t="shared" si="5554"/>
        <v>Sampson</v>
      </c>
      <c r="D15303" t="str">
        <f t="shared" si="5551"/>
        <v>09</v>
      </c>
      <c r="E15303" t="str">
        <f>"05 - B - 104 - Cerine S Stewart"</f>
        <v>05 - B - 104 - Cerine S Stewart</v>
      </c>
      <c r="F15303" t="str">
        <f>"ENG 1"</f>
        <v>ENG 1</v>
      </c>
      <c r="G15303" t="str">
        <f>"17-1720"</f>
        <v>17-1720</v>
      </c>
      <c r="H15303" t="str">
        <f>"B"</f>
        <v>B</v>
      </c>
    </row>
    <row r="15304" spans="1:8" x14ac:dyDescent="0.2">
      <c r="A15304" t="str">
        <f t="shared" si="5552"/>
        <v>0626006578</v>
      </c>
      <c r="B15304" t="str">
        <f t="shared" si="5553"/>
        <v>Lowe</v>
      </c>
      <c r="C15304" t="str">
        <f t="shared" si="5554"/>
        <v>Sampson</v>
      </c>
      <c r="D15304" t="str">
        <f t="shared" si="5551"/>
        <v>09</v>
      </c>
      <c r="E15304" t="str">
        <f>"01 - A - 107 - Jazmin S Fletcher"</f>
        <v>01 - A - 107 - Jazmin S Fletcher</v>
      </c>
      <c r="F15304" t="str">
        <f>"WORLD HISTORY"</f>
        <v>WORLD HISTORY</v>
      </c>
      <c r="G15304" t="str">
        <f>"09-909"</f>
        <v>09-909</v>
      </c>
      <c r="H15304" t="str">
        <f>"A"</f>
        <v>A</v>
      </c>
    </row>
    <row r="15305" spans="1:8" x14ac:dyDescent="0.2">
      <c r="A15305" t="str">
        <f t="shared" si="5552"/>
        <v>0626006578</v>
      </c>
      <c r="B15305" t="str">
        <f t="shared" si="5553"/>
        <v>Lowe</v>
      </c>
      <c r="C15305" t="str">
        <f t="shared" si="5554"/>
        <v>Sampson</v>
      </c>
      <c r="D15305" t="str">
        <f t="shared" si="5551"/>
        <v>09</v>
      </c>
      <c r="E15305" t="str">
        <f>"08 - B - 108 - Tina L Lovett"</f>
        <v>08 - B - 108 - Tina L Lovett</v>
      </c>
      <c r="F15305" t="str">
        <f>"FDN SKLS MATH 9-12"</f>
        <v>FDN SKLS MATH 9-12</v>
      </c>
      <c r="G15305" t="str">
        <f>"21-2153"</f>
        <v>21-2153</v>
      </c>
      <c r="H15305" t="str">
        <f>"B"</f>
        <v>B</v>
      </c>
    </row>
    <row r="15306" spans="1:8" x14ac:dyDescent="0.2">
      <c r="A15306" t="str">
        <f t="shared" ref="A15306:A15313" si="5555">"0626006619"</f>
        <v>0626006619</v>
      </c>
      <c r="B15306" t="str">
        <f t="shared" ref="B15306:B15313" si="5556">"Nea"</f>
        <v>Nea</v>
      </c>
      <c r="C15306" t="str">
        <f t="shared" si="5554"/>
        <v>Sampson</v>
      </c>
      <c r="D15306">
        <f>10</f>
        <v>10</v>
      </c>
      <c r="E15306" t="str">
        <f>"04 - A - 106 - Marielle A Witting"</f>
        <v>04 - A - 106 - Marielle A Witting</v>
      </c>
      <c r="F15306" t="str">
        <f>"ANAT PHYSIO"</f>
        <v>ANAT PHYSIO</v>
      </c>
      <c r="G15306" t="str">
        <f>"08-805"</f>
        <v>08-805</v>
      </c>
      <c r="H15306" t="str">
        <f>"A"</f>
        <v>A</v>
      </c>
    </row>
    <row r="15307" spans="1:8" x14ac:dyDescent="0.2">
      <c r="A15307" t="str">
        <f t="shared" si="5555"/>
        <v>0626006619</v>
      </c>
      <c r="B15307" t="str">
        <f t="shared" si="5556"/>
        <v>Nea</v>
      </c>
      <c r="C15307" t="str">
        <f t="shared" si="5554"/>
        <v>Sampson</v>
      </c>
      <c r="D15307">
        <f>10</f>
        <v>10</v>
      </c>
      <c r="E15307" t="str">
        <f>"06 - B - 117 - Daniel S Tyson"</f>
        <v>06 - B - 117 - Daniel S Tyson</v>
      </c>
      <c r="F15307" t="str">
        <f>"NC STUDY HALL 1"</f>
        <v>NC STUDY HALL 1</v>
      </c>
      <c r="G15307" t="str">
        <f>"05-510"</f>
        <v>05-510</v>
      </c>
      <c r="H15307" t="str">
        <f>"B"</f>
        <v>B</v>
      </c>
    </row>
    <row r="15308" spans="1:8" x14ac:dyDescent="0.2">
      <c r="A15308" t="str">
        <f t="shared" si="5555"/>
        <v>0626006619</v>
      </c>
      <c r="B15308" t="str">
        <f t="shared" si="5556"/>
        <v>Nea</v>
      </c>
      <c r="C15308" t="str">
        <f t="shared" si="5554"/>
        <v>Sampson</v>
      </c>
      <c r="D15308">
        <f>10</f>
        <v>10</v>
      </c>
      <c r="E15308" t="str">
        <f>"03 - S1 - A - 102 - Angela S Adeshina-Morrison"</f>
        <v>03 - S1 - A - 102 - Angela S Adeshina-Morrison</v>
      </c>
      <c r="F15308" t="str">
        <f>"PEER COUN 1"</f>
        <v>PEER COUN 1</v>
      </c>
      <c r="G15308" t="str">
        <f>"05-518"</f>
        <v>05-518</v>
      </c>
      <c r="H15308" t="str">
        <f>"A"</f>
        <v>A</v>
      </c>
    </row>
    <row r="15309" spans="1:8" x14ac:dyDescent="0.2">
      <c r="A15309" t="str">
        <f t="shared" si="5555"/>
        <v>0626006619</v>
      </c>
      <c r="B15309" t="str">
        <f t="shared" si="5556"/>
        <v>Nea</v>
      </c>
      <c r="C15309" t="str">
        <f t="shared" si="5554"/>
        <v>Sampson</v>
      </c>
      <c r="D15309">
        <f>10</f>
        <v>10</v>
      </c>
      <c r="E15309" t="str">
        <f>"02 - S1 - A - 101 - James H Mccann"</f>
        <v>02 - S1 - A - 101 - James H Mccann</v>
      </c>
      <c r="F15309" t="str">
        <f>"PERS FIN &amp; MON MGT H"</f>
        <v>PERS FIN &amp; MON MGT H</v>
      </c>
      <c r="G15309" t="str">
        <f>"17-1716"</f>
        <v>17-1716</v>
      </c>
      <c r="H15309" t="str">
        <f>"A"</f>
        <v>A</v>
      </c>
    </row>
    <row r="15310" spans="1:8" x14ac:dyDescent="0.2">
      <c r="A15310" t="str">
        <f t="shared" si="5555"/>
        <v>0626006619</v>
      </c>
      <c r="B15310" t="str">
        <f t="shared" si="5556"/>
        <v>Nea</v>
      </c>
      <c r="C15310" t="str">
        <f t="shared" si="5554"/>
        <v>Sampson</v>
      </c>
      <c r="D15310">
        <f>10</f>
        <v>10</v>
      </c>
      <c r="E15310" t="str">
        <f>"07 - B - 110 - Ferrie J Arostique"</f>
        <v>07 - B - 110 - Ferrie J Arostique</v>
      </c>
      <c r="F15310" t="str">
        <f>"GEOMETRY"</f>
        <v>GEOMETRY</v>
      </c>
      <c r="G15310" t="str">
        <f>"21-2139"</f>
        <v>21-2139</v>
      </c>
      <c r="H15310" t="str">
        <f>"B"</f>
        <v>B</v>
      </c>
    </row>
    <row r="15311" spans="1:8" x14ac:dyDescent="0.2">
      <c r="A15311" t="str">
        <f t="shared" si="5555"/>
        <v>0626006619</v>
      </c>
      <c r="B15311" t="str">
        <f t="shared" si="5556"/>
        <v>Nea</v>
      </c>
      <c r="C15311" t="str">
        <f t="shared" si="5554"/>
        <v>Sampson</v>
      </c>
      <c r="D15311">
        <f>10</f>
        <v>10</v>
      </c>
      <c r="E15311" t="str">
        <f>"05 - B - 107 - Nikiel  Nesbeth"</f>
        <v>05 - B - 107 - Nikiel  Nesbeth</v>
      </c>
      <c r="F15311" t="str">
        <f>"ENG 2"</f>
        <v>ENG 2</v>
      </c>
      <c r="G15311" t="str">
        <f>"17-1705"</f>
        <v>17-1705</v>
      </c>
      <c r="H15311" t="str">
        <f>"B"</f>
        <v>B</v>
      </c>
    </row>
    <row r="15312" spans="1:8" x14ac:dyDescent="0.2">
      <c r="A15312" t="str">
        <f t="shared" si="5555"/>
        <v>0626006619</v>
      </c>
      <c r="B15312" t="str">
        <f t="shared" si="5556"/>
        <v>Nea</v>
      </c>
      <c r="C15312" t="str">
        <f t="shared" si="5554"/>
        <v>Sampson</v>
      </c>
      <c r="D15312">
        <f>10</f>
        <v>10</v>
      </c>
      <c r="E15312" t="str">
        <f>"01 - A - 107 - Jazmin S Fletcher"</f>
        <v>01 - A - 107 - Jazmin S Fletcher</v>
      </c>
      <c r="F15312" t="str">
        <f>"WORLD HISTORY"</f>
        <v>WORLD HISTORY</v>
      </c>
      <c r="G15312" t="str">
        <f>"09-909"</f>
        <v>09-909</v>
      </c>
      <c r="H15312" t="str">
        <f>"A"</f>
        <v>A</v>
      </c>
    </row>
    <row r="15313" spans="1:8" x14ac:dyDescent="0.2">
      <c r="A15313" t="str">
        <f t="shared" si="5555"/>
        <v>0626006619</v>
      </c>
      <c r="B15313" t="str">
        <f t="shared" si="5556"/>
        <v>Nea</v>
      </c>
      <c r="C15313" t="str">
        <f t="shared" si="5554"/>
        <v>Sampson</v>
      </c>
      <c r="D15313">
        <f>10</f>
        <v>10</v>
      </c>
      <c r="E15313" t="str">
        <f>"08 - B - 001 - Chrystina M Marchionne"</f>
        <v>08 - B - 001 - Chrystina M Marchionne</v>
      </c>
      <c r="F15313" t="str">
        <f>"JOURN 1 (YB) LH"</f>
        <v>JOURN 1 (YB) LH</v>
      </c>
      <c r="G15313" t="str">
        <f>"05-520"</f>
        <v>05-520</v>
      </c>
      <c r="H15313" t="str">
        <f>"B"</f>
        <v>B</v>
      </c>
    </row>
    <row r="15314" spans="1:8" x14ac:dyDescent="0.2">
      <c r="A15314" t="str">
        <f t="shared" ref="A15314:A15321" si="5557">"0613126398"</f>
        <v>0613126398</v>
      </c>
      <c r="B15314" t="str">
        <f t="shared" ref="B15314:B15321" si="5558">"OMARIO"</f>
        <v>OMARIO</v>
      </c>
      <c r="C15314" t="str">
        <f t="shared" ref="C15314:C15329" si="5559">"SAMUELS"</f>
        <v>SAMUELS</v>
      </c>
      <c r="D15314">
        <f>12</f>
        <v>12</v>
      </c>
      <c r="E15314" t="str">
        <f>"04 - S1 - A - 106 - Kelly N Panza"</f>
        <v>04 - S1 - A - 106 - Kelly N Panza</v>
      </c>
      <c r="F15314" t="str">
        <f>"US GOVT HON"</f>
        <v>US GOVT HON</v>
      </c>
      <c r="G15314" t="str">
        <f>"17-1753"</f>
        <v>17-1753</v>
      </c>
      <c r="H15314" t="str">
        <f>"A"</f>
        <v>A</v>
      </c>
    </row>
    <row r="15315" spans="1:8" x14ac:dyDescent="0.2">
      <c r="A15315" t="str">
        <f t="shared" si="5557"/>
        <v>0613126398</v>
      </c>
      <c r="B15315" t="str">
        <f t="shared" si="5558"/>
        <v>OMARIO</v>
      </c>
      <c r="C15315" t="str">
        <f t="shared" si="5559"/>
        <v>SAMUELS</v>
      </c>
      <c r="D15315">
        <f>12</f>
        <v>12</v>
      </c>
      <c r="E15315" t="str">
        <f>"06 - B - 108 - Jacquelyn M Neeson"</f>
        <v>06 - B - 108 - Jacquelyn M Neeson</v>
      </c>
      <c r="F15315" t="str">
        <f>"NC STUDY HALL 1"</f>
        <v>NC STUDY HALL 1</v>
      </c>
      <c r="G15315" t="str">
        <f>"17-1715"</f>
        <v>17-1715</v>
      </c>
      <c r="H15315" t="str">
        <f>"B"</f>
        <v>B</v>
      </c>
    </row>
    <row r="15316" spans="1:8" x14ac:dyDescent="0.2">
      <c r="A15316" t="str">
        <f t="shared" si="5557"/>
        <v>0613126398</v>
      </c>
      <c r="B15316" t="str">
        <f t="shared" si="5558"/>
        <v>OMARIO</v>
      </c>
      <c r="C15316" t="str">
        <f t="shared" si="5559"/>
        <v>SAMUELS</v>
      </c>
      <c r="D15316">
        <f>12</f>
        <v>12</v>
      </c>
      <c r="E15316" t="str">
        <f>"03 - A - 204 - Norayda D Suarez"</f>
        <v>03 - A - 204 - Norayda D Suarez</v>
      </c>
      <c r="F15316" t="str">
        <f>"ANAT PHYSIO HON"</f>
        <v>ANAT PHYSIO HON</v>
      </c>
      <c r="G15316" t="str">
        <f>"21-2144"</f>
        <v>21-2144</v>
      </c>
      <c r="H15316" t="str">
        <f>"A"</f>
        <v>A</v>
      </c>
    </row>
    <row r="15317" spans="1:8" x14ac:dyDescent="0.2">
      <c r="A15317" t="str">
        <f t="shared" si="5557"/>
        <v>0613126398</v>
      </c>
      <c r="B15317" t="str">
        <f t="shared" si="5558"/>
        <v>OMARIO</v>
      </c>
      <c r="C15317" t="str">
        <f t="shared" si="5559"/>
        <v>SAMUELS</v>
      </c>
      <c r="D15317">
        <f>12</f>
        <v>12</v>
      </c>
      <c r="E15317" t="str">
        <f>"02 - A - 107 - Tina M Jaramillo"</f>
        <v>02 - A - 107 - Tina M Jaramillo</v>
      </c>
      <c r="F15317" t="str">
        <f>"AP ENG LIT COMPO"</f>
        <v>AP ENG LIT COMPO</v>
      </c>
      <c r="G15317" t="str">
        <f>"17-1706"</f>
        <v>17-1706</v>
      </c>
      <c r="H15317" t="str">
        <f>"A"</f>
        <v>A</v>
      </c>
    </row>
    <row r="15318" spans="1:8" x14ac:dyDescent="0.2">
      <c r="A15318" t="str">
        <f t="shared" si="5557"/>
        <v>0613126398</v>
      </c>
      <c r="B15318" t="str">
        <f t="shared" si="5558"/>
        <v>OMARIO</v>
      </c>
      <c r="C15318" t="str">
        <f t="shared" si="5559"/>
        <v>SAMUELS</v>
      </c>
      <c r="D15318">
        <f>12</f>
        <v>12</v>
      </c>
      <c r="E15318" t="str">
        <f>"07 - S1 - B - 103 - Leslie J Barton"</f>
        <v>07 - S1 - B - 103 - Leslie J Barton</v>
      </c>
      <c r="F15318" t="str">
        <f>"TEAM SPORTS 1"</f>
        <v>TEAM SPORTS 1</v>
      </c>
      <c r="G15318" t="str">
        <f>"04-254"</f>
        <v>04-254</v>
      </c>
      <c r="H15318" t="str">
        <f>"B"</f>
        <v>B</v>
      </c>
    </row>
    <row r="15319" spans="1:8" x14ac:dyDescent="0.2">
      <c r="A15319" t="str">
        <f t="shared" si="5557"/>
        <v>0613126398</v>
      </c>
      <c r="B15319" t="str">
        <f t="shared" si="5558"/>
        <v>OMARIO</v>
      </c>
      <c r="C15319" t="str">
        <f t="shared" si="5559"/>
        <v>SAMUELS</v>
      </c>
      <c r="D15319">
        <f>12</f>
        <v>12</v>
      </c>
      <c r="E15319" t="str">
        <f>"05 - S1 - B - 103 - Leslie J Barton"</f>
        <v>05 - S1 - B - 103 - Leslie J Barton</v>
      </c>
      <c r="F15319" t="str">
        <f>"FIRST AID SAFETY"</f>
        <v>FIRST AID SAFETY</v>
      </c>
      <c r="G15319" t="str">
        <f>"05-521"</f>
        <v>05-521</v>
      </c>
      <c r="H15319" t="str">
        <f>"B"</f>
        <v>B</v>
      </c>
    </row>
    <row r="15320" spans="1:8" x14ac:dyDescent="0.2">
      <c r="A15320" t="str">
        <f t="shared" si="5557"/>
        <v>0613126398</v>
      </c>
      <c r="B15320" t="str">
        <f t="shared" si="5558"/>
        <v>OMARIO</v>
      </c>
      <c r="C15320" t="str">
        <f t="shared" si="5559"/>
        <v>SAMUELS</v>
      </c>
      <c r="D15320">
        <f>12</f>
        <v>12</v>
      </c>
      <c r="E15320" t="str">
        <f>"01 - A - 102 - Robert H Rindner"</f>
        <v>01 - A - 102 - Robert H Rindner</v>
      </c>
      <c r="F15320" t="str">
        <f>"MATH DATA&amp;FIN LIT H"</f>
        <v>MATH DATA&amp;FIN LIT H</v>
      </c>
      <c r="G15320" t="str">
        <f>"21-2160"</f>
        <v>21-2160</v>
      </c>
      <c r="H15320" t="str">
        <f>"A"</f>
        <v>A</v>
      </c>
    </row>
    <row r="15321" spans="1:8" x14ac:dyDescent="0.2">
      <c r="A15321" t="str">
        <f t="shared" si="5557"/>
        <v>0613126398</v>
      </c>
      <c r="B15321" t="str">
        <f t="shared" si="5558"/>
        <v>OMARIO</v>
      </c>
      <c r="C15321" t="str">
        <f t="shared" si="5559"/>
        <v>SAMUELS</v>
      </c>
      <c r="D15321">
        <f>12</f>
        <v>12</v>
      </c>
      <c r="E15321" t="str">
        <f>"08 - B - 201 - Vanessa J Liburd"</f>
        <v>08 - B - 201 - Vanessa J Liburd</v>
      </c>
      <c r="F15321" t="str">
        <f>"FRENCH 3 HON"</f>
        <v>FRENCH 3 HON</v>
      </c>
      <c r="G15321" t="str">
        <f>"05-519"</f>
        <v>05-519</v>
      </c>
      <c r="H15321" t="str">
        <f>"B"</f>
        <v>B</v>
      </c>
    </row>
    <row r="15322" spans="1:8" x14ac:dyDescent="0.2">
      <c r="A15322" t="str">
        <f t="shared" ref="A15322:A15329" si="5560">"0617044520"</f>
        <v>0617044520</v>
      </c>
      <c r="B15322" t="str">
        <f t="shared" ref="B15322:B15329" si="5561">"RAHNIYA"</f>
        <v>RAHNIYA</v>
      </c>
      <c r="C15322" t="str">
        <f t="shared" si="5559"/>
        <v>SAMUELS</v>
      </c>
      <c r="D15322">
        <f>10</f>
        <v>10</v>
      </c>
      <c r="E15322" t="str">
        <f>"04 - A - 104 - Adam Marcus  Drucker"</f>
        <v>04 - A - 104 - Adam Marcus  Drucker</v>
      </c>
      <c r="F15322" t="str">
        <f>"HOPE-PE V"</f>
        <v>HOPE-PE V</v>
      </c>
      <c r="G15322" t="str">
        <f>"04-254"</f>
        <v>04-254</v>
      </c>
      <c r="H15322" t="str">
        <f>"A"</f>
        <v>A</v>
      </c>
    </row>
    <row r="15323" spans="1:8" x14ac:dyDescent="0.2">
      <c r="A15323" t="str">
        <f t="shared" si="5560"/>
        <v>0617044520</v>
      </c>
      <c r="B15323" t="str">
        <f t="shared" si="5561"/>
        <v>RAHNIYA</v>
      </c>
      <c r="C15323" t="str">
        <f t="shared" si="5559"/>
        <v>SAMUELS</v>
      </c>
      <c r="D15323">
        <f>10</f>
        <v>10</v>
      </c>
      <c r="E15323" t="str">
        <f>"06 - B - 103 - Thomas G Handwerg"</f>
        <v>06 - B - 103 - Thomas G Handwerg</v>
      </c>
      <c r="F15323" t="str">
        <f>"NC STUDY HALL 1"</f>
        <v>NC STUDY HALL 1</v>
      </c>
      <c r="G15323" t="str">
        <f>"21-2146"</f>
        <v>21-2146</v>
      </c>
      <c r="H15323" t="str">
        <f>"B"</f>
        <v>B</v>
      </c>
    </row>
    <row r="15324" spans="1:8" x14ac:dyDescent="0.2">
      <c r="A15324" t="str">
        <f t="shared" si="5560"/>
        <v>0617044520</v>
      </c>
      <c r="B15324" t="str">
        <f t="shared" si="5561"/>
        <v>RAHNIYA</v>
      </c>
      <c r="C15324" t="str">
        <f t="shared" si="5559"/>
        <v>SAMUELS</v>
      </c>
      <c r="D15324">
        <f>10</f>
        <v>10</v>
      </c>
      <c r="E15324" t="str">
        <f>"03 - A - 103 - Courtney E Hambright"</f>
        <v>03 - A - 103 - Courtney E Hambright</v>
      </c>
      <c r="F15324" t="str">
        <f>"AICE ENG LANG AS"</f>
        <v>AICE ENG LANG AS</v>
      </c>
      <c r="G15324" t="str">
        <f>"17-1711"</f>
        <v>17-1711</v>
      </c>
      <c r="H15324" t="str">
        <f>"A"</f>
        <v>A</v>
      </c>
    </row>
    <row r="15325" spans="1:8" x14ac:dyDescent="0.2">
      <c r="A15325" t="str">
        <f t="shared" si="5560"/>
        <v>0617044520</v>
      </c>
      <c r="B15325" t="str">
        <f t="shared" si="5561"/>
        <v>RAHNIYA</v>
      </c>
      <c r="C15325" t="str">
        <f t="shared" si="5559"/>
        <v>SAMUELS</v>
      </c>
      <c r="D15325">
        <f>10</f>
        <v>10</v>
      </c>
      <c r="E15325" t="str">
        <f>"02 - A - 103 - Dorothy D Moore"</f>
        <v>02 - A - 103 - Dorothy D Moore</v>
      </c>
      <c r="F15325" t="str">
        <f>"ANAT PHYSIO HON"</f>
        <v>ANAT PHYSIO HON</v>
      </c>
      <c r="G15325" t="str">
        <f>"08-803"</f>
        <v>08-803</v>
      </c>
      <c r="H15325" t="str">
        <f>"A"</f>
        <v>A</v>
      </c>
    </row>
    <row r="15326" spans="1:8" x14ac:dyDescent="0.2">
      <c r="A15326" t="str">
        <f t="shared" si="5560"/>
        <v>0617044520</v>
      </c>
      <c r="B15326" t="str">
        <f t="shared" si="5561"/>
        <v>RAHNIYA</v>
      </c>
      <c r="C15326" t="str">
        <f t="shared" si="5559"/>
        <v>SAMUELS</v>
      </c>
      <c r="D15326">
        <f>10</f>
        <v>10</v>
      </c>
      <c r="E15326" t="str">
        <f>"07 - B - 204 - Elizabeth Ellen  Moran"</f>
        <v>07 - B - 204 - Elizabeth Ellen  Moran</v>
      </c>
      <c r="F15326" t="str">
        <f>"AICE EURO HIST 1 AS"</f>
        <v>AICE EURO HIST 1 AS</v>
      </c>
      <c r="G15326" t="str">
        <f>"17-1752"</f>
        <v>17-1752</v>
      </c>
      <c r="H15326" t="str">
        <f>"B"</f>
        <v>B</v>
      </c>
    </row>
    <row r="15327" spans="1:8" x14ac:dyDescent="0.2">
      <c r="A15327" t="str">
        <f t="shared" si="5560"/>
        <v>0617044520</v>
      </c>
      <c r="B15327" t="str">
        <f t="shared" si="5561"/>
        <v>RAHNIYA</v>
      </c>
      <c r="C15327" t="str">
        <f t="shared" si="5559"/>
        <v>SAMUELS</v>
      </c>
      <c r="D15327">
        <f>10</f>
        <v>10</v>
      </c>
      <c r="E15327" t="str">
        <f>"05 - B - 103 - Brook E Goren"</f>
        <v>05 - B - 103 - Brook E Goren</v>
      </c>
      <c r="F15327" t="str">
        <f>"PRE-AICE MATH 2 IG"</f>
        <v>PRE-AICE MATH 2 IG</v>
      </c>
      <c r="G15327" t="str">
        <f>"21-2158"</f>
        <v>21-2158</v>
      </c>
      <c r="H15327" t="str">
        <f>"B"</f>
        <v>B</v>
      </c>
    </row>
    <row r="15328" spans="1:8" x14ac:dyDescent="0.2">
      <c r="A15328" t="str">
        <f t="shared" si="5560"/>
        <v>0617044520</v>
      </c>
      <c r="B15328" t="str">
        <f t="shared" si="5561"/>
        <v>RAHNIYA</v>
      </c>
      <c r="C15328" t="str">
        <f t="shared" si="5559"/>
        <v>SAMUELS</v>
      </c>
      <c r="D15328">
        <f>10</f>
        <v>10</v>
      </c>
      <c r="E15328" t="str">
        <f>"01 - S1 - A - 101 - Lissa C Frederique"</f>
        <v>01 - S1 - A - 101 - Lissa C Frederique</v>
      </c>
      <c r="F15328" t="str">
        <f>"PERS FIN &amp; MON MGT H"</f>
        <v>PERS FIN &amp; MON MGT H</v>
      </c>
      <c r="G15328" t="str">
        <f>"17-1754"</f>
        <v>17-1754</v>
      </c>
      <c r="H15328" t="str">
        <f>"A"</f>
        <v>A</v>
      </c>
    </row>
    <row r="15329" spans="1:8" x14ac:dyDescent="0.2">
      <c r="A15329" t="str">
        <f t="shared" si="5560"/>
        <v>0617044520</v>
      </c>
      <c r="B15329" t="str">
        <f t="shared" si="5561"/>
        <v>RAHNIYA</v>
      </c>
      <c r="C15329" t="str">
        <f t="shared" si="5559"/>
        <v>SAMUELS</v>
      </c>
      <c r="D15329">
        <f>10</f>
        <v>10</v>
      </c>
      <c r="E15329" t="str">
        <f>"08 - B - 206 - Daniel S Katz"</f>
        <v>08 - B - 206 - Daniel S Katz</v>
      </c>
      <c r="F15329" t="str">
        <f>"AICE MEDIASTUDIES AS"</f>
        <v>AICE MEDIASTUDIES AS</v>
      </c>
      <c r="G15329" t="str">
        <f>"05-521"</f>
        <v>05-521</v>
      </c>
      <c r="H15329" t="str">
        <f>"B"</f>
        <v>B</v>
      </c>
    </row>
    <row r="15330" spans="1:8" x14ac:dyDescent="0.2">
      <c r="A15330" t="str">
        <f t="shared" ref="A15330:A15337" si="5562">"0625018749"</f>
        <v>0625018749</v>
      </c>
      <c r="B15330" t="str">
        <f t="shared" ref="B15330:B15337" si="5563">"Christina"</f>
        <v>Christina</v>
      </c>
      <c r="C15330" t="str">
        <f t="shared" ref="C15330:C15345" si="5564">"Sanabria"</f>
        <v>Sanabria</v>
      </c>
      <c r="D15330">
        <f>11</f>
        <v>11</v>
      </c>
      <c r="E15330" t="str">
        <f>"04 - S1 - A - 101 - Nahum  Saint-Preux"</f>
        <v>04 - S1 - A - 101 - Nahum  Saint-Preux</v>
      </c>
      <c r="F15330" t="str">
        <f>"CRIT THINK ST SKLS"</f>
        <v>CRIT THINK ST SKLS</v>
      </c>
      <c r="G15330" t="str">
        <f>"17-1712"</f>
        <v>17-1712</v>
      </c>
      <c r="H15330" t="str">
        <f>"A"</f>
        <v>A</v>
      </c>
    </row>
    <row r="15331" spans="1:8" x14ac:dyDescent="0.2">
      <c r="A15331" t="str">
        <f t="shared" si="5562"/>
        <v>0625018749</v>
      </c>
      <c r="B15331" t="str">
        <f t="shared" si="5563"/>
        <v>Christina</v>
      </c>
      <c r="C15331" t="str">
        <f t="shared" si="5564"/>
        <v>Sanabria</v>
      </c>
      <c r="D15331">
        <f>11</f>
        <v>11</v>
      </c>
      <c r="E15331" t="str">
        <f>"06 - B - 105 - Arthur  Kulawik"</f>
        <v>06 - B - 105 - Arthur  Kulawik</v>
      </c>
      <c r="F15331" t="str">
        <f>"ENG 3"</f>
        <v>ENG 3</v>
      </c>
      <c r="G15331" t="str">
        <f>"05-506"</f>
        <v>05-506</v>
      </c>
      <c r="H15331" t="str">
        <f>"B"</f>
        <v>B</v>
      </c>
    </row>
    <row r="15332" spans="1:8" x14ac:dyDescent="0.2">
      <c r="A15332" t="str">
        <f t="shared" si="5562"/>
        <v>0625018749</v>
      </c>
      <c r="B15332" t="str">
        <f t="shared" si="5563"/>
        <v>Christina</v>
      </c>
      <c r="C15332" t="str">
        <f t="shared" si="5564"/>
        <v>Sanabria</v>
      </c>
      <c r="D15332">
        <f>11</f>
        <v>11</v>
      </c>
      <c r="E15332" t="str">
        <f>"03 - A - 103 - Samantha J Headley"</f>
        <v>03 - A - 103 - Samantha J Headley</v>
      </c>
      <c r="F15332" t="str">
        <f>"MARINE SCI 1 HON"</f>
        <v>MARINE SCI 1 HON</v>
      </c>
      <c r="G15332" t="str">
        <f>"21-2134"</f>
        <v>21-2134</v>
      </c>
      <c r="H15332" t="str">
        <f>"A"</f>
        <v>A</v>
      </c>
    </row>
    <row r="15333" spans="1:8" x14ac:dyDescent="0.2">
      <c r="A15333" t="str">
        <f t="shared" si="5562"/>
        <v>0625018749</v>
      </c>
      <c r="B15333" t="str">
        <f t="shared" si="5563"/>
        <v>Christina</v>
      </c>
      <c r="C15333" t="str">
        <f t="shared" si="5564"/>
        <v>Sanabria</v>
      </c>
      <c r="D15333">
        <f>11</f>
        <v>11</v>
      </c>
      <c r="E15333" t="str">
        <f>"02 - A - 001 - Courtney E Hambright"</f>
        <v>02 - A - 001 - Courtney E Hambright</v>
      </c>
      <c r="F15333" t="str">
        <f>"NC STUDY HALL 1"</f>
        <v>NC STUDY HALL 1</v>
      </c>
      <c r="G15333" t="str">
        <f>"17-1711"</f>
        <v>17-1711</v>
      </c>
      <c r="H15333" t="str">
        <f>"A"</f>
        <v>A</v>
      </c>
    </row>
    <row r="15334" spans="1:8" x14ac:dyDescent="0.2">
      <c r="A15334" t="str">
        <f t="shared" si="5562"/>
        <v>0625018749</v>
      </c>
      <c r="B15334" t="str">
        <f t="shared" si="5563"/>
        <v>Christina</v>
      </c>
      <c r="C15334" t="str">
        <f t="shared" si="5564"/>
        <v>Sanabria</v>
      </c>
      <c r="D15334">
        <f>11</f>
        <v>11</v>
      </c>
      <c r="E15334" t="str">
        <f>"07 - B - 107 - Rosa Elaine  Collado-Duff"</f>
        <v>07 - B - 107 - Rosa Elaine  Collado-Duff</v>
      </c>
      <c r="F15334" t="str">
        <f>"PRE-AICE SPAN 2 IG"</f>
        <v>PRE-AICE SPAN 2 IG</v>
      </c>
      <c r="G15334" t="str">
        <f>"09-913"</f>
        <v>09-913</v>
      </c>
      <c r="H15334" t="str">
        <f>"B"</f>
        <v>B</v>
      </c>
    </row>
    <row r="15335" spans="1:8" x14ac:dyDescent="0.2">
      <c r="A15335" t="str">
        <f t="shared" si="5562"/>
        <v>0625018749</v>
      </c>
      <c r="B15335" t="str">
        <f t="shared" si="5563"/>
        <v>Christina</v>
      </c>
      <c r="C15335" t="str">
        <f t="shared" si="5564"/>
        <v>Sanabria</v>
      </c>
      <c r="D15335">
        <f>11</f>
        <v>11</v>
      </c>
      <c r="E15335" t="str">
        <f>"05 - B - 107 - Elizabeth Ellen  Moran"</f>
        <v>05 - B - 107 - Elizabeth Ellen  Moran</v>
      </c>
      <c r="F15335" t="str">
        <f>"US HISTORY"</f>
        <v>US HISTORY</v>
      </c>
      <c r="G15335" t="str">
        <f>"17-1752"</f>
        <v>17-1752</v>
      </c>
      <c r="H15335" t="str">
        <f>"B"</f>
        <v>B</v>
      </c>
    </row>
    <row r="15336" spans="1:8" x14ac:dyDescent="0.2">
      <c r="A15336" t="str">
        <f t="shared" si="5562"/>
        <v>0625018749</v>
      </c>
      <c r="B15336" t="str">
        <f t="shared" si="5563"/>
        <v>Christina</v>
      </c>
      <c r="C15336" t="str">
        <f t="shared" si="5564"/>
        <v>Sanabria</v>
      </c>
      <c r="D15336">
        <f>11</f>
        <v>11</v>
      </c>
      <c r="E15336" t="str">
        <f>"01 - A - 101 - Nahum  Saint-Preux"</f>
        <v>01 - A - 101 - Nahum  Saint-Preux</v>
      </c>
      <c r="F15336" t="str">
        <f>"INTENS READ 3"</f>
        <v>INTENS READ 3</v>
      </c>
      <c r="G15336" t="str">
        <f>"17-1712"</f>
        <v>17-1712</v>
      </c>
      <c r="H15336" t="str">
        <f>"A"</f>
        <v>A</v>
      </c>
    </row>
    <row r="15337" spans="1:8" x14ac:dyDescent="0.2">
      <c r="A15337" t="str">
        <f t="shared" si="5562"/>
        <v>0625018749</v>
      </c>
      <c r="B15337" t="str">
        <f t="shared" si="5563"/>
        <v>Christina</v>
      </c>
      <c r="C15337" t="str">
        <f t="shared" si="5564"/>
        <v>Sanabria</v>
      </c>
      <c r="D15337">
        <f>11</f>
        <v>11</v>
      </c>
      <c r="E15337" t="str">
        <f>"08 - B - 107 - Dayna M Foster"</f>
        <v>08 - B - 107 - Dayna M Foster</v>
      </c>
      <c r="F15337" t="str">
        <f>"ALGEBRA 2"</f>
        <v>ALGEBRA 2</v>
      </c>
      <c r="G15337" t="str">
        <f>"21-2109"</f>
        <v>21-2109</v>
      </c>
      <c r="H15337" t="str">
        <f>"B"</f>
        <v>B</v>
      </c>
    </row>
    <row r="15338" spans="1:8" x14ac:dyDescent="0.2">
      <c r="A15338" t="str">
        <f t="shared" ref="A15338:A15345" si="5565">"0625019484"</f>
        <v>0625019484</v>
      </c>
      <c r="B15338" t="str">
        <f t="shared" ref="B15338:B15345" si="5566">"Londen"</f>
        <v>Londen</v>
      </c>
      <c r="C15338" t="str">
        <f t="shared" si="5564"/>
        <v>Sanabria</v>
      </c>
      <c r="D15338">
        <f>11</f>
        <v>11</v>
      </c>
      <c r="E15338" t="str">
        <f>"04 - A - 106 - Marielle A Witting"</f>
        <v>04 - A - 106 - Marielle A Witting</v>
      </c>
      <c r="F15338" t="str">
        <f>"ANAT PHYSIO"</f>
        <v>ANAT PHYSIO</v>
      </c>
      <c r="G15338" t="str">
        <f>"08-805"</f>
        <v>08-805</v>
      </c>
      <c r="H15338" t="str">
        <f>"A"</f>
        <v>A</v>
      </c>
    </row>
    <row r="15339" spans="1:8" x14ac:dyDescent="0.2">
      <c r="A15339" t="str">
        <f t="shared" si="5565"/>
        <v>0625019484</v>
      </c>
      <c r="B15339" t="str">
        <f t="shared" si="5566"/>
        <v>Londen</v>
      </c>
      <c r="C15339" t="str">
        <f t="shared" si="5564"/>
        <v>Sanabria</v>
      </c>
      <c r="D15339">
        <f>11</f>
        <v>11</v>
      </c>
      <c r="E15339" t="str">
        <f>"06 - B - 108 - Milca  Exantus"</f>
        <v>06 - B - 108 - Milca  Exantus</v>
      </c>
      <c r="F15339" t="str">
        <f>"MATH COLLEGE LIB ART"</f>
        <v>MATH COLLEGE LIB ART</v>
      </c>
      <c r="G15339" t="str">
        <f>"21-2145"</f>
        <v>21-2145</v>
      </c>
      <c r="H15339" t="str">
        <f>"B"</f>
        <v>B</v>
      </c>
    </row>
    <row r="15340" spans="1:8" x14ac:dyDescent="0.2">
      <c r="A15340" t="str">
        <f t="shared" si="5565"/>
        <v>0625019484</v>
      </c>
      <c r="B15340" t="str">
        <f t="shared" si="5566"/>
        <v>Londen</v>
      </c>
      <c r="C15340" t="str">
        <f t="shared" si="5564"/>
        <v>Sanabria</v>
      </c>
      <c r="D15340">
        <f>11</f>
        <v>11</v>
      </c>
      <c r="E15340" t="str">
        <f>"03 - A - 104 - Kyle  Robbins"</f>
        <v>03 - A - 104 - Kyle  Robbins</v>
      </c>
      <c r="F15340" t="str">
        <f>"US HISTORY"</f>
        <v>US HISTORY</v>
      </c>
      <c r="G15340" t="str">
        <f>"17-1745"</f>
        <v>17-1745</v>
      </c>
      <c r="H15340" t="str">
        <f>"A"</f>
        <v>A</v>
      </c>
    </row>
    <row r="15341" spans="1:8" x14ac:dyDescent="0.2">
      <c r="A15341" t="str">
        <f t="shared" si="5565"/>
        <v>0625019484</v>
      </c>
      <c r="B15341" t="str">
        <f t="shared" si="5566"/>
        <v>Londen</v>
      </c>
      <c r="C15341" t="str">
        <f t="shared" si="5564"/>
        <v>Sanabria</v>
      </c>
      <c r="D15341">
        <f>11</f>
        <v>11</v>
      </c>
      <c r="E15341" t="str">
        <f>"02 - A - 101 - Timothy J Lawrence"</f>
        <v>02 - A - 101 - Timothy J Lawrence</v>
      </c>
      <c r="F15341" t="str">
        <f>"NC STUDY HALL 1"</f>
        <v>NC STUDY HALL 1</v>
      </c>
      <c r="G15341" t="str">
        <f>"05-522"</f>
        <v>05-522</v>
      </c>
      <c r="H15341" t="str">
        <f>"A"</f>
        <v>A</v>
      </c>
    </row>
    <row r="15342" spans="1:8" x14ac:dyDescent="0.2">
      <c r="A15342" t="str">
        <f t="shared" si="5565"/>
        <v>0625019484</v>
      </c>
      <c r="B15342" t="str">
        <f t="shared" si="5566"/>
        <v>Londen</v>
      </c>
      <c r="C15342" t="str">
        <f t="shared" si="5564"/>
        <v>Sanabria</v>
      </c>
      <c r="D15342">
        <f>11</f>
        <v>11</v>
      </c>
      <c r="E15342" t="str">
        <f>"07 - B - 107 - Rosa Elaine  Collado-Duff"</f>
        <v>07 - B - 107 - Rosa Elaine  Collado-Duff</v>
      </c>
      <c r="F15342" t="str">
        <f>"PRE-AICE SPAN 2 IG"</f>
        <v>PRE-AICE SPAN 2 IG</v>
      </c>
      <c r="G15342" t="str">
        <f>"09-913"</f>
        <v>09-913</v>
      </c>
      <c r="H15342" t="str">
        <f>"B"</f>
        <v>B</v>
      </c>
    </row>
    <row r="15343" spans="1:8" x14ac:dyDescent="0.2">
      <c r="A15343" t="str">
        <f t="shared" si="5565"/>
        <v>0625019484</v>
      </c>
      <c r="B15343" t="str">
        <f t="shared" si="5566"/>
        <v>Londen</v>
      </c>
      <c r="C15343" t="str">
        <f t="shared" si="5564"/>
        <v>Sanabria</v>
      </c>
      <c r="D15343">
        <f>11</f>
        <v>11</v>
      </c>
      <c r="E15343" t="str">
        <f>"05 - B - 103 - Nahum  Saint-Preux"</f>
        <v>05 - B - 103 - Nahum  Saint-Preux</v>
      </c>
      <c r="F15343" t="str">
        <f>"INTENS READ 3"</f>
        <v>INTENS READ 3</v>
      </c>
      <c r="G15343" t="str">
        <f>"17-1712"</f>
        <v>17-1712</v>
      </c>
      <c r="H15343" t="str">
        <f>"B"</f>
        <v>B</v>
      </c>
    </row>
    <row r="15344" spans="1:8" x14ac:dyDescent="0.2">
      <c r="A15344" t="str">
        <f t="shared" si="5565"/>
        <v>0625019484</v>
      </c>
      <c r="B15344" t="str">
        <f t="shared" si="5566"/>
        <v>Londen</v>
      </c>
      <c r="C15344" t="str">
        <f t="shared" si="5564"/>
        <v>Sanabria</v>
      </c>
      <c r="D15344">
        <f>11</f>
        <v>11</v>
      </c>
      <c r="E15344" t="str">
        <f>"01 - A - 101 - Lisa  Quinn"</f>
        <v>01 - A - 101 - Lisa  Quinn</v>
      </c>
      <c r="F15344" t="str">
        <f>"ENG 3"</f>
        <v>ENG 3</v>
      </c>
      <c r="G15344" t="str">
        <f>"17-1725"</f>
        <v>17-1725</v>
      </c>
      <c r="H15344" t="str">
        <f>"A"</f>
        <v>A</v>
      </c>
    </row>
    <row r="15345" spans="1:8" x14ac:dyDescent="0.2">
      <c r="A15345" t="str">
        <f t="shared" si="5565"/>
        <v>0625019484</v>
      </c>
      <c r="B15345" t="str">
        <f t="shared" si="5566"/>
        <v>Londen</v>
      </c>
      <c r="C15345" t="str">
        <f t="shared" si="5564"/>
        <v>Sanabria</v>
      </c>
      <c r="D15345">
        <f>11</f>
        <v>11</v>
      </c>
      <c r="E15345" t="str">
        <f>"08 - B - 202 - Brian M Fitzgerald"</f>
        <v>08 - B - 202 - Brian M Fitzgerald</v>
      </c>
      <c r="F15345" t="str">
        <f>"CERAM/POT 2"</f>
        <v>CERAM/POT 2</v>
      </c>
      <c r="G15345" t="str">
        <f>"09-908"</f>
        <v>09-908</v>
      </c>
      <c r="H15345" t="str">
        <f>"B"</f>
        <v>B</v>
      </c>
    </row>
    <row r="15346" spans="1:8" x14ac:dyDescent="0.2">
      <c r="A15346" t="str">
        <f t="shared" ref="A15346:A15353" si="5567">"0613134570"</f>
        <v>0613134570</v>
      </c>
      <c r="B15346" t="str">
        <f t="shared" ref="B15346:B15353" si="5568">"KARINA"</f>
        <v>KARINA</v>
      </c>
      <c r="C15346" t="str">
        <f t="shared" ref="C15346:C15377" si="5569">"SANCHEZ"</f>
        <v>SANCHEZ</v>
      </c>
      <c r="D15346">
        <f>12</f>
        <v>12</v>
      </c>
      <c r="E15346" t="str">
        <f>"04 - S1 - A - 106 - Kelly N Panza"</f>
        <v>04 - S1 - A - 106 - Kelly N Panza</v>
      </c>
      <c r="F15346" t="str">
        <f>"US GOVT HON"</f>
        <v>US GOVT HON</v>
      </c>
      <c r="G15346" t="str">
        <f>"17-1753"</f>
        <v>17-1753</v>
      </c>
      <c r="H15346" t="str">
        <f>"A"</f>
        <v>A</v>
      </c>
    </row>
    <row r="15347" spans="1:8" x14ac:dyDescent="0.2">
      <c r="A15347" t="str">
        <f t="shared" si="5567"/>
        <v>0613134570</v>
      </c>
      <c r="B15347" t="str">
        <f t="shared" si="5568"/>
        <v>KARINA</v>
      </c>
      <c r="C15347" t="str">
        <f t="shared" si="5569"/>
        <v>SANCHEZ</v>
      </c>
      <c r="D15347">
        <f>12</f>
        <v>12</v>
      </c>
      <c r="E15347" t="str">
        <f>"06 - B - 111 - James H Mccann"</f>
        <v>06 - B - 111 - James H Mccann</v>
      </c>
      <c r="F15347" t="str">
        <f>"NC STUDY HALL 1"</f>
        <v>NC STUDY HALL 1</v>
      </c>
      <c r="G15347" t="str">
        <f>"17-1716"</f>
        <v>17-1716</v>
      </c>
      <c r="H15347" t="str">
        <f>"B"</f>
        <v>B</v>
      </c>
    </row>
    <row r="15348" spans="1:8" x14ac:dyDescent="0.2">
      <c r="A15348" t="str">
        <f t="shared" si="5567"/>
        <v>0613134570</v>
      </c>
      <c r="B15348" t="str">
        <f t="shared" si="5568"/>
        <v>KARINA</v>
      </c>
      <c r="C15348" t="str">
        <f t="shared" si="5569"/>
        <v>SANCHEZ</v>
      </c>
      <c r="D15348">
        <f>12</f>
        <v>12</v>
      </c>
      <c r="E15348" t="str">
        <f>"03 - A - 203 - Stefanie S Scher"</f>
        <v>03 - A - 203 - Stefanie S Scher</v>
      </c>
      <c r="F15348" t="str">
        <f>"AP PSYCH"</f>
        <v>AP PSYCH</v>
      </c>
      <c r="G15348" t="str">
        <f>"17-1735"</f>
        <v>17-1735</v>
      </c>
      <c r="H15348" t="str">
        <f>"A"</f>
        <v>A</v>
      </c>
    </row>
    <row r="15349" spans="1:8" x14ac:dyDescent="0.2">
      <c r="A15349" t="str">
        <f t="shared" si="5567"/>
        <v>0613134570</v>
      </c>
      <c r="B15349" t="str">
        <f t="shared" si="5568"/>
        <v>KARINA</v>
      </c>
      <c r="C15349" t="str">
        <f t="shared" si="5569"/>
        <v>SANCHEZ</v>
      </c>
      <c r="D15349">
        <f>12</f>
        <v>12</v>
      </c>
      <c r="E15349" t="str">
        <f>"02 - A - 102 - Marielle A Witting"</f>
        <v>02 - A - 102 - Marielle A Witting</v>
      </c>
      <c r="F15349" t="str">
        <f>"AP BIO"</f>
        <v>AP BIO</v>
      </c>
      <c r="G15349" t="str">
        <f>"08-805"</f>
        <v>08-805</v>
      </c>
      <c r="H15349" t="str">
        <f>"A"</f>
        <v>A</v>
      </c>
    </row>
    <row r="15350" spans="1:8" x14ac:dyDescent="0.2">
      <c r="A15350" t="str">
        <f t="shared" si="5567"/>
        <v>0613134570</v>
      </c>
      <c r="B15350" t="str">
        <f t="shared" si="5568"/>
        <v>KARINA</v>
      </c>
      <c r="C15350" t="str">
        <f t="shared" si="5569"/>
        <v>SANCHEZ</v>
      </c>
      <c r="D15350">
        <f>12</f>
        <v>12</v>
      </c>
      <c r="E15350" t="str">
        <f>"07 - B - 102 - Carleigh R Carmichael"</f>
        <v>07 - B - 102 - Carleigh R Carmichael</v>
      </c>
      <c r="F15350" t="str">
        <f>"LEAD SKLS DEV LH"</f>
        <v>LEAD SKLS DEV LH</v>
      </c>
      <c r="G15350" t="str">
        <f>"20-2072"</f>
        <v>20-2072</v>
      </c>
      <c r="H15350" t="str">
        <f>"B"</f>
        <v>B</v>
      </c>
    </row>
    <row r="15351" spans="1:8" x14ac:dyDescent="0.2">
      <c r="A15351" t="str">
        <f t="shared" si="5567"/>
        <v>0613134570</v>
      </c>
      <c r="B15351" t="str">
        <f t="shared" si="5568"/>
        <v>KARINA</v>
      </c>
      <c r="C15351" t="str">
        <f t="shared" si="5569"/>
        <v>SANCHEZ</v>
      </c>
      <c r="D15351">
        <f>12</f>
        <v>12</v>
      </c>
      <c r="E15351" t="str">
        <f>"05 - B - 101 - Pamela M Corzo"</f>
        <v>05 - B - 101 - Pamela M Corzo</v>
      </c>
      <c r="F15351" t="str">
        <f>"AP CALCULUS AB"</f>
        <v>AP CALCULUS AB</v>
      </c>
      <c r="G15351" t="str">
        <f>"21-2133"</f>
        <v>21-2133</v>
      </c>
      <c r="H15351" t="str">
        <f>"B"</f>
        <v>B</v>
      </c>
    </row>
    <row r="15352" spans="1:8" x14ac:dyDescent="0.2">
      <c r="A15352" t="str">
        <f t="shared" si="5567"/>
        <v>0613134570</v>
      </c>
      <c r="B15352" t="str">
        <f t="shared" si="5568"/>
        <v>KARINA</v>
      </c>
      <c r="C15352" t="str">
        <f t="shared" si="5569"/>
        <v>SANCHEZ</v>
      </c>
      <c r="D15352">
        <f>12</f>
        <v>12</v>
      </c>
      <c r="E15352" t="str">
        <f>"01 - A - 201 - Jeanne M Bermudez"</f>
        <v>01 - A - 201 - Jeanne M Bermudez</v>
      </c>
      <c r="F15352" t="str">
        <f>"PHYSICS 1 HON"</f>
        <v>PHYSICS 1 HON</v>
      </c>
      <c r="G15352" t="str">
        <f>"21-2141"</f>
        <v>21-2141</v>
      </c>
      <c r="H15352" t="str">
        <f>"A"</f>
        <v>A</v>
      </c>
    </row>
    <row r="15353" spans="1:8" x14ac:dyDescent="0.2">
      <c r="A15353" t="str">
        <f t="shared" si="5567"/>
        <v>0613134570</v>
      </c>
      <c r="B15353" t="str">
        <f t="shared" si="5568"/>
        <v>KARINA</v>
      </c>
      <c r="C15353" t="str">
        <f t="shared" si="5569"/>
        <v>SANCHEZ</v>
      </c>
      <c r="D15353">
        <f>12</f>
        <v>12</v>
      </c>
      <c r="E15353" t="str">
        <f>"08 - B - 203 - Courtney E Hambright"</f>
        <v>08 - B - 203 - Courtney E Hambright</v>
      </c>
      <c r="F15353" t="str">
        <f>"AP ENG LIT COMPO"</f>
        <v>AP ENG LIT COMPO</v>
      </c>
      <c r="G15353" t="str">
        <f>"17-1711"</f>
        <v>17-1711</v>
      </c>
      <c r="H15353" t="str">
        <f>"B"</f>
        <v>B</v>
      </c>
    </row>
    <row r="15354" spans="1:8" x14ac:dyDescent="0.2">
      <c r="A15354" t="str">
        <f t="shared" ref="A15354:A15361" si="5570">"0623089119"</f>
        <v>0623089119</v>
      </c>
      <c r="B15354" t="str">
        <f t="shared" ref="B15354:B15361" si="5571">"LEONELA"</f>
        <v>LEONELA</v>
      </c>
      <c r="C15354" t="str">
        <f t="shared" si="5569"/>
        <v>SANCHEZ</v>
      </c>
      <c r="D15354">
        <f>10</f>
        <v>10</v>
      </c>
      <c r="E15354" t="str">
        <f>"04 - A - 104 - Helen A Flores"</f>
        <v>04 - A - 104 - Helen A Flores</v>
      </c>
      <c r="F15354" t="str">
        <f>"FDN SKLS MATH 9-12"</f>
        <v>FDN SKLS MATH 9-12</v>
      </c>
      <c r="G15354" t="str">
        <f>"21-2101"</f>
        <v>21-2101</v>
      </c>
      <c r="H15354" t="str">
        <f>"A"</f>
        <v>A</v>
      </c>
    </row>
    <row r="15355" spans="1:8" x14ac:dyDescent="0.2">
      <c r="A15355" t="str">
        <f t="shared" si="5570"/>
        <v>0623089119</v>
      </c>
      <c r="B15355" t="str">
        <f t="shared" si="5571"/>
        <v>LEONELA</v>
      </c>
      <c r="C15355" t="str">
        <f t="shared" si="5569"/>
        <v>SANCHEZ</v>
      </c>
      <c r="D15355">
        <f>10</f>
        <v>10</v>
      </c>
      <c r="E15355" t="str">
        <f>"06 - B - 103 - Vanessa J Liburd"</f>
        <v>06 - B - 103 - Vanessa J Liburd</v>
      </c>
      <c r="F15355" t="str">
        <f>"NC STUDY HALL 1"</f>
        <v>NC STUDY HALL 1</v>
      </c>
      <c r="G15355" t="str">
        <f>"05-519"</f>
        <v>05-519</v>
      </c>
      <c r="H15355" t="str">
        <f>"B"</f>
        <v>B</v>
      </c>
    </row>
    <row r="15356" spans="1:8" x14ac:dyDescent="0.2">
      <c r="A15356" t="str">
        <f t="shared" si="5570"/>
        <v>0623089119</v>
      </c>
      <c r="B15356" t="str">
        <f t="shared" si="5571"/>
        <v>LEONELA</v>
      </c>
      <c r="C15356" t="str">
        <f t="shared" si="5569"/>
        <v>SANCHEZ</v>
      </c>
      <c r="D15356">
        <f>10</f>
        <v>10</v>
      </c>
      <c r="E15356" t="str">
        <f>"03 - A - 103 - Jacquelyn M Neeson"</f>
        <v>03 - A - 103 - Jacquelyn M Neeson</v>
      </c>
      <c r="F15356" t="str">
        <f>"ENG 2"</f>
        <v>ENG 2</v>
      </c>
      <c r="G15356" t="str">
        <f>"17-1715"</f>
        <v>17-1715</v>
      </c>
      <c r="H15356" t="str">
        <f>"A"</f>
        <v>A</v>
      </c>
    </row>
    <row r="15357" spans="1:8" x14ac:dyDescent="0.2">
      <c r="A15357" t="str">
        <f t="shared" si="5570"/>
        <v>0623089119</v>
      </c>
      <c r="B15357" t="str">
        <f t="shared" si="5571"/>
        <v>LEONELA</v>
      </c>
      <c r="C15357" t="str">
        <f t="shared" si="5569"/>
        <v>SANCHEZ</v>
      </c>
      <c r="D15357">
        <f>10</f>
        <v>10</v>
      </c>
      <c r="E15357" t="str">
        <f>"02 - A - 102 - Adam Marcus  Drucker"</f>
        <v>02 - A - 102 - Adam Marcus  Drucker</v>
      </c>
      <c r="F15357" t="str">
        <f>"HOPE-PE V"</f>
        <v>HOPE-PE V</v>
      </c>
      <c r="G15357" t="str">
        <f>"04-254"</f>
        <v>04-254</v>
      </c>
      <c r="H15357" t="str">
        <f>"A"</f>
        <v>A</v>
      </c>
    </row>
    <row r="15358" spans="1:8" x14ac:dyDescent="0.2">
      <c r="A15358" t="str">
        <f t="shared" si="5570"/>
        <v>0623089119</v>
      </c>
      <c r="B15358" t="str">
        <f t="shared" si="5571"/>
        <v>LEONELA</v>
      </c>
      <c r="C15358" t="str">
        <f t="shared" si="5569"/>
        <v>SANCHEZ</v>
      </c>
      <c r="D15358">
        <f>10</f>
        <v>10</v>
      </c>
      <c r="E15358" t="str">
        <f>"07 - B - 107 - Lytrell T Dixon"</f>
        <v>07 - B - 107 - Lytrell T Dixon</v>
      </c>
      <c r="F15358" t="str">
        <f>"BIOLOGY 1"</f>
        <v>BIOLOGY 1</v>
      </c>
      <c r="G15358" t="str">
        <f>"08-808"</f>
        <v>08-808</v>
      </c>
      <c r="H15358" t="str">
        <f>"B"</f>
        <v>B</v>
      </c>
    </row>
    <row r="15359" spans="1:8" x14ac:dyDescent="0.2">
      <c r="A15359" t="str">
        <f t="shared" si="5570"/>
        <v>0623089119</v>
      </c>
      <c r="B15359" t="str">
        <f t="shared" si="5571"/>
        <v>LEONELA</v>
      </c>
      <c r="C15359" t="str">
        <f t="shared" si="5569"/>
        <v>SANCHEZ</v>
      </c>
      <c r="D15359">
        <f>10</f>
        <v>10</v>
      </c>
      <c r="E15359" t="str">
        <f>"05 - S1 - B - 102 - Carol S Moore"</f>
        <v>05 - S1 - B - 102 - Carol S Moore</v>
      </c>
      <c r="F15359" t="str">
        <f>"PERS FIN &amp; MON MGT H"</f>
        <v>PERS FIN &amp; MON MGT H</v>
      </c>
      <c r="G15359" t="str">
        <f>"17-1733"</f>
        <v>17-1733</v>
      </c>
      <c r="H15359" t="str">
        <f>"B"</f>
        <v>B</v>
      </c>
    </row>
    <row r="15360" spans="1:8" x14ac:dyDescent="0.2">
      <c r="A15360" t="str">
        <f t="shared" si="5570"/>
        <v>0623089119</v>
      </c>
      <c r="B15360" t="str">
        <f t="shared" si="5571"/>
        <v>LEONELA</v>
      </c>
      <c r="C15360" t="str">
        <f t="shared" si="5569"/>
        <v>SANCHEZ</v>
      </c>
      <c r="D15360">
        <f>10</f>
        <v>10</v>
      </c>
      <c r="E15360" t="str">
        <f>"01 - A - 101 - Taraneh C Abreu"</f>
        <v>01 - A - 101 - Taraneh C Abreu</v>
      </c>
      <c r="F15360" t="str">
        <f>"INTENS READ 2"</f>
        <v>INTENS READ 2</v>
      </c>
      <c r="G15360" t="str">
        <f>"17-1713"</f>
        <v>17-1713</v>
      </c>
      <c r="H15360" t="str">
        <f>"A"</f>
        <v>A</v>
      </c>
    </row>
    <row r="15361" spans="1:8" x14ac:dyDescent="0.2">
      <c r="A15361" t="str">
        <f t="shared" si="5570"/>
        <v>0623089119</v>
      </c>
      <c r="B15361" t="str">
        <f t="shared" si="5571"/>
        <v>LEONELA</v>
      </c>
      <c r="C15361" t="str">
        <f t="shared" si="5569"/>
        <v>SANCHEZ</v>
      </c>
      <c r="D15361">
        <f>10</f>
        <v>10</v>
      </c>
      <c r="E15361" t="str">
        <f>"08 - B - 106 - Helen A Flores"</f>
        <v>08 - B - 106 - Helen A Flores</v>
      </c>
      <c r="F15361" t="str">
        <f>"ALGEBRA 1"</f>
        <v>ALGEBRA 1</v>
      </c>
      <c r="G15361" t="str">
        <f>"21-2101"</f>
        <v>21-2101</v>
      </c>
      <c r="H15361" t="str">
        <f>"B"</f>
        <v>B</v>
      </c>
    </row>
    <row r="15362" spans="1:8" x14ac:dyDescent="0.2">
      <c r="A15362" t="str">
        <f t="shared" ref="A15362:A15369" si="5572">"0614137067"</f>
        <v>0614137067</v>
      </c>
      <c r="B15362" t="str">
        <f t="shared" ref="B15362:B15369" si="5573">"LUCAS"</f>
        <v>LUCAS</v>
      </c>
      <c r="C15362" t="str">
        <f t="shared" si="5569"/>
        <v>SANCHEZ</v>
      </c>
      <c r="D15362">
        <f>11</f>
        <v>11</v>
      </c>
      <c r="E15362" t="str">
        <f>"04 - A - 102 - Fernando  Vega-Cid"</f>
        <v>04 - A - 102 - Fernando  Vega-Cid</v>
      </c>
      <c r="F15362" t="str">
        <f>"PRE-CALCULUS HON"</f>
        <v>PRE-CALCULUS HON</v>
      </c>
      <c r="G15362" t="str">
        <f>"21-2163"</f>
        <v>21-2163</v>
      </c>
      <c r="H15362" t="str">
        <f>"A"</f>
        <v>A</v>
      </c>
    </row>
    <row r="15363" spans="1:8" x14ac:dyDescent="0.2">
      <c r="A15363" t="str">
        <f t="shared" si="5572"/>
        <v>0614137067</v>
      </c>
      <c r="B15363" t="str">
        <f t="shared" si="5573"/>
        <v>LUCAS</v>
      </c>
      <c r="C15363" t="str">
        <f t="shared" si="5569"/>
        <v>SANCHEZ</v>
      </c>
      <c r="D15363">
        <f>11</f>
        <v>11</v>
      </c>
      <c r="E15363" t="str">
        <f>"06 - B - 104 - Chrystina M Marchionne"</f>
        <v>06 - B - 104 - Chrystina M Marchionne</v>
      </c>
      <c r="F15363" t="str">
        <f>"AICE MEDIA STUDIES A"</f>
        <v>AICE MEDIA STUDIES A</v>
      </c>
      <c r="G15363" t="str">
        <f>"05-520"</f>
        <v>05-520</v>
      </c>
      <c r="H15363" t="str">
        <f>"B"</f>
        <v>B</v>
      </c>
    </row>
    <row r="15364" spans="1:8" x14ac:dyDescent="0.2">
      <c r="A15364" t="str">
        <f t="shared" si="5572"/>
        <v>0614137067</v>
      </c>
      <c r="B15364" t="str">
        <f t="shared" si="5573"/>
        <v>LUCAS</v>
      </c>
      <c r="C15364" t="str">
        <f t="shared" si="5569"/>
        <v>SANCHEZ</v>
      </c>
      <c r="D15364">
        <f>11</f>
        <v>11</v>
      </c>
      <c r="E15364" t="str">
        <f>"03 - S1 - A - 103 - Richard E Dunbar Iii"</f>
        <v>03 - S1 - A - 103 - Richard E Dunbar Iii</v>
      </c>
      <c r="F15364" t="str">
        <f>"WEIGHT TRAIN 3"</f>
        <v>WEIGHT TRAIN 3</v>
      </c>
      <c r="G15364" t="str">
        <f>"05-501"</f>
        <v>05-501</v>
      </c>
      <c r="H15364" t="str">
        <f>"A"</f>
        <v>A</v>
      </c>
    </row>
    <row r="15365" spans="1:8" x14ac:dyDescent="0.2">
      <c r="A15365" t="str">
        <f t="shared" si="5572"/>
        <v>0614137067</v>
      </c>
      <c r="B15365" t="str">
        <f t="shared" si="5573"/>
        <v>LUCAS</v>
      </c>
      <c r="C15365" t="str">
        <f t="shared" si="5569"/>
        <v>SANCHEZ</v>
      </c>
      <c r="D15365">
        <f>11</f>
        <v>11</v>
      </c>
      <c r="E15365" t="str">
        <f>"02 - A - 103 - Kelly N Panza"</f>
        <v>02 - A - 103 - Kelly N Panza</v>
      </c>
      <c r="F15365" t="str">
        <f>"NC STUDY HALL 1"</f>
        <v>NC STUDY HALL 1</v>
      </c>
      <c r="G15365" t="str">
        <f>"17-1753"</f>
        <v>17-1753</v>
      </c>
      <c r="H15365" t="str">
        <f>"A"</f>
        <v>A</v>
      </c>
    </row>
    <row r="15366" spans="1:8" x14ac:dyDescent="0.2">
      <c r="A15366" t="str">
        <f t="shared" si="5572"/>
        <v>0614137067</v>
      </c>
      <c r="B15366" t="str">
        <f t="shared" si="5573"/>
        <v>LUCAS</v>
      </c>
      <c r="C15366" t="str">
        <f t="shared" si="5569"/>
        <v>SANCHEZ</v>
      </c>
      <c r="D15366">
        <f>11</f>
        <v>11</v>
      </c>
      <c r="E15366" t="str">
        <f>"07 - B - 101 - Samantha L Martinez"</f>
        <v>07 - B - 101 - Samantha L Martinez</v>
      </c>
      <c r="F15366" t="str">
        <f>"KEYBD 1"</f>
        <v>KEYBD 1</v>
      </c>
      <c r="G15366" t="str">
        <f>"05-505"</f>
        <v>05-505</v>
      </c>
      <c r="H15366" t="str">
        <f>"B"</f>
        <v>B</v>
      </c>
    </row>
    <row r="15367" spans="1:8" x14ac:dyDescent="0.2">
      <c r="A15367" t="str">
        <f t="shared" si="5572"/>
        <v>0614137067</v>
      </c>
      <c r="B15367" t="str">
        <f t="shared" si="5573"/>
        <v>LUCAS</v>
      </c>
      <c r="C15367" t="str">
        <f t="shared" si="5569"/>
        <v>SANCHEZ</v>
      </c>
      <c r="D15367">
        <f>11</f>
        <v>11</v>
      </c>
      <c r="E15367" t="str">
        <f>"05 - B - 103 - Brandy N Zdenek"</f>
        <v>05 - B - 103 - Brandy N Zdenek</v>
      </c>
      <c r="F15367" t="str">
        <f>"AICE ENG LANG 2 AL"</f>
        <v>AICE ENG LANG 2 AL</v>
      </c>
      <c r="G15367" t="str">
        <f>"17-1704"</f>
        <v>17-1704</v>
      </c>
      <c r="H15367" t="str">
        <f>"B"</f>
        <v>B</v>
      </c>
    </row>
    <row r="15368" spans="1:8" x14ac:dyDescent="0.2">
      <c r="A15368" t="str">
        <f t="shared" si="5572"/>
        <v>0614137067</v>
      </c>
      <c r="B15368" t="str">
        <f t="shared" si="5573"/>
        <v>LUCAS</v>
      </c>
      <c r="C15368" t="str">
        <f t="shared" si="5569"/>
        <v>SANCHEZ</v>
      </c>
      <c r="D15368">
        <f>11</f>
        <v>11</v>
      </c>
      <c r="E15368" t="str">
        <f>"01 - A - 001 - Stephen T Ripp"</f>
        <v>01 - A - 001 - Stephen T Ripp</v>
      </c>
      <c r="F15368" t="str">
        <f>"AP U.S. HIST"</f>
        <v>AP U.S. HIST</v>
      </c>
      <c r="G15368" t="str">
        <f>"17-1744"</f>
        <v>17-1744</v>
      </c>
      <c r="H15368" t="str">
        <f>"A"</f>
        <v>A</v>
      </c>
    </row>
    <row r="15369" spans="1:8" x14ac:dyDescent="0.2">
      <c r="A15369" t="str">
        <f t="shared" si="5572"/>
        <v>0614137067</v>
      </c>
      <c r="B15369" t="str">
        <f t="shared" si="5573"/>
        <v>LUCAS</v>
      </c>
      <c r="C15369" t="str">
        <f t="shared" si="5569"/>
        <v>SANCHEZ</v>
      </c>
      <c r="D15369">
        <f>11</f>
        <v>11</v>
      </c>
      <c r="E15369" t="str">
        <f>"08 - B - 103 - Marielle A Witting"</f>
        <v>08 - B - 103 - Marielle A Witting</v>
      </c>
      <c r="F15369" t="str">
        <f>"AP BIO"</f>
        <v>AP BIO</v>
      </c>
      <c r="G15369" t="str">
        <f>"08-805"</f>
        <v>08-805</v>
      </c>
      <c r="H15369" t="str">
        <f>"B"</f>
        <v>B</v>
      </c>
    </row>
    <row r="15370" spans="1:8" x14ac:dyDescent="0.2">
      <c r="A15370" t="str">
        <f t="shared" ref="A15370:A15377" si="5574">"0614137092"</f>
        <v>0614137092</v>
      </c>
      <c r="B15370" t="str">
        <f t="shared" ref="B15370:B15377" si="5575">"NICOLAS"</f>
        <v>NICOLAS</v>
      </c>
      <c r="C15370" t="str">
        <f t="shared" si="5569"/>
        <v>SANCHEZ</v>
      </c>
      <c r="D15370">
        <f>11</f>
        <v>11</v>
      </c>
      <c r="E15370" t="str">
        <f>"04 - A - 102 - Brandy N Zdenek"</f>
        <v>04 - A - 102 - Brandy N Zdenek</v>
      </c>
      <c r="F15370" t="str">
        <f>"AICE ENG LANG 2 AL"</f>
        <v>AICE ENG LANG 2 AL</v>
      </c>
      <c r="G15370" t="str">
        <f>"17-1704"</f>
        <v>17-1704</v>
      </c>
      <c r="H15370" t="str">
        <f>"A"</f>
        <v>A</v>
      </c>
    </row>
    <row r="15371" spans="1:8" x14ac:dyDescent="0.2">
      <c r="A15371" t="str">
        <f t="shared" si="5574"/>
        <v>0614137092</v>
      </c>
      <c r="B15371" t="str">
        <f t="shared" si="5575"/>
        <v>NICOLAS</v>
      </c>
      <c r="C15371" t="str">
        <f t="shared" si="5569"/>
        <v>SANCHEZ</v>
      </c>
      <c r="D15371">
        <f>11</f>
        <v>11</v>
      </c>
      <c r="E15371" t="str">
        <f>"06 - B - 002 - Kyle  Robbins"</f>
        <v>06 - B - 002 - Kyle  Robbins</v>
      </c>
      <c r="F15371" t="str">
        <f>"US HISTORY HON"</f>
        <v>US HISTORY HON</v>
      </c>
      <c r="G15371" t="str">
        <f>"17-1745"</f>
        <v>17-1745</v>
      </c>
      <c r="H15371" t="str">
        <f>"B"</f>
        <v>B</v>
      </c>
    </row>
    <row r="15372" spans="1:8" x14ac:dyDescent="0.2">
      <c r="A15372" t="str">
        <f t="shared" si="5574"/>
        <v>0614137092</v>
      </c>
      <c r="B15372" t="str">
        <f t="shared" si="5575"/>
        <v>NICOLAS</v>
      </c>
      <c r="C15372" t="str">
        <f t="shared" si="5569"/>
        <v>SANCHEZ</v>
      </c>
      <c r="D15372">
        <f>11</f>
        <v>11</v>
      </c>
      <c r="E15372" t="str">
        <f>"03 - A - 208 - Marielle A Witting"</f>
        <v>03 - A - 208 - Marielle A Witting</v>
      </c>
      <c r="F15372" t="str">
        <f>"ANAT PHYSIO"</f>
        <v>ANAT PHYSIO</v>
      </c>
      <c r="G15372" t="str">
        <f>"08-805"</f>
        <v>08-805</v>
      </c>
      <c r="H15372" t="str">
        <f>"A"</f>
        <v>A</v>
      </c>
    </row>
    <row r="15373" spans="1:8" x14ac:dyDescent="0.2">
      <c r="A15373" t="str">
        <f t="shared" si="5574"/>
        <v>0614137092</v>
      </c>
      <c r="B15373" t="str">
        <f t="shared" si="5575"/>
        <v>NICOLAS</v>
      </c>
      <c r="C15373" t="str">
        <f t="shared" si="5569"/>
        <v>SANCHEZ</v>
      </c>
      <c r="D15373">
        <f>11</f>
        <v>11</v>
      </c>
      <c r="E15373" t="str">
        <f>"02 - A - 108 - Stephen T Ripp"</f>
        <v>02 - A - 108 - Stephen T Ripp</v>
      </c>
      <c r="F15373" t="str">
        <f>"NC STUDY HALL 1"</f>
        <v>NC STUDY HALL 1</v>
      </c>
      <c r="G15373" t="str">
        <f>"17-1744"</f>
        <v>17-1744</v>
      </c>
      <c r="H15373" t="str">
        <f>"A"</f>
        <v>A</v>
      </c>
    </row>
    <row r="15374" spans="1:8" x14ac:dyDescent="0.2">
      <c r="A15374" t="str">
        <f t="shared" si="5574"/>
        <v>0614137092</v>
      </c>
      <c r="B15374" t="str">
        <f t="shared" si="5575"/>
        <v>NICOLAS</v>
      </c>
      <c r="C15374" t="str">
        <f t="shared" si="5569"/>
        <v>SANCHEZ</v>
      </c>
      <c r="D15374">
        <f>11</f>
        <v>11</v>
      </c>
      <c r="E15374" t="str">
        <f>"07 - S1 - B - 103 - Leslie J Barton"</f>
        <v>07 - S1 - B - 103 - Leslie J Barton</v>
      </c>
      <c r="F15374" t="str">
        <f>"TEAM SPORTS 1"</f>
        <v>TEAM SPORTS 1</v>
      </c>
      <c r="G15374" t="str">
        <f>"04-254"</f>
        <v>04-254</v>
      </c>
      <c r="H15374" t="str">
        <f>"B"</f>
        <v>B</v>
      </c>
    </row>
    <row r="15375" spans="1:8" x14ac:dyDescent="0.2">
      <c r="A15375" t="str">
        <f t="shared" si="5574"/>
        <v>0614137092</v>
      </c>
      <c r="B15375" t="str">
        <f t="shared" si="5575"/>
        <v>NICOLAS</v>
      </c>
      <c r="C15375" t="str">
        <f t="shared" si="5569"/>
        <v>SANCHEZ</v>
      </c>
      <c r="D15375">
        <f>11</f>
        <v>11</v>
      </c>
      <c r="E15375" t="str">
        <f>"05 - B - 203 - Chrystina M Marchionne"</f>
        <v>05 - B - 203 - Chrystina M Marchionne</v>
      </c>
      <c r="F15375" t="str">
        <f>"AICE MEDIASTUDIES AS"</f>
        <v>AICE MEDIASTUDIES AS</v>
      </c>
      <c r="G15375" t="str">
        <f>"05-520"</f>
        <v>05-520</v>
      </c>
      <c r="H15375" t="str">
        <f>"B"</f>
        <v>B</v>
      </c>
    </row>
    <row r="15376" spans="1:8" x14ac:dyDescent="0.2">
      <c r="A15376" t="str">
        <f t="shared" si="5574"/>
        <v>0614137092</v>
      </c>
      <c r="B15376" t="str">
        <f t="shared" si="5575"/>
        <v>NICOLAS</v>
      </c>
      <c r="C15376" t="str">
        <f t="shared" si="5569"/>
        <v>SANCHEZ</v>
      </c>
      <c r="D15376">
        <f>11</f>
        <v>11</v>
      </c>
      <c r="E15376" t="str">
        <f>"01 - S1 - A - 101 - Jordana K Hass"</f>
        <v>01 - S1 - A - 101 - Jordana K Hass</v>
      </c>
      <c r="F15376" t="str">
        <f>"PRIN OF AERO SCI"</f>
        <v>PRIN OF AERO SCI</v>
      </c>
      <c r="G15376" t="str">
        <f>"08-807"</f>
        <v>08-807</v>
      </c>
      <c r="H15376" t="str">
        <f>"A"</f>
        <v>A</v>
      </c>
    </row>
    <row r="15377" spans="1:8" x14ac:dyDescent="0.2">
      <c r="A15377" t="str">
        <f t="shared" si="5574"/>
        <v>0614137092</v>
      </c>
      <c r="B15377" t="str">
        <f t="shared" si="5575"/>
        <v>NICOLAS</v>
      </c>
      <c r="C15377" t="str">
        <f t="shared" si="5569"/>
        <v>SANCHEZ</v>
      </c>
      <c r="D15377">
        <f>11</f>
        <v>11</v>
      </c>
      <c r="E15377" t="str">
        <f>"08 - B - 105 - Semra  Bahadir"</f>
        <v>08 - B - 105 - Semra  Bahadir</v>
      </c>
      <c r="F15377" t="str">
        <f>"MATH COLL ALGEBRA"</f>
        <v>MATH COLL ALGEBRA</v>
      </c>
      <c r="G15377" t="str">
        <f>"21-2107"</f>
        <v>21-2107</v>
      </c>
      <c r="H15377" t="str">
        <f>"B"</f>
        <v>B</v>
      </c>
    </row>
    <row r="15378" spans="1:8" x14ac:dyDescent="0.2">
      <c r="A15378" t="str">
        <f t="shared" ref="A15378:A15385" si="5576">"0614092230"</f>
        <v>0614092230</v>
      </c>
      <c r="B15378" t="str">
        <f t="shared" ref="B15378:B15385" si="5577">"ANASTASIA"</f>
        <v>ANASTASIA</v>
      </c>
      <c r="C15378" t="str">
        <f t="shared" ref="C15378:C15401" si="5578">"SANDERS"</f>
        <v>SANDERS</v>
      </c>
      <c r="D15378">
        <f>11</f>
        <v>11</v>
      </c>
      <c r="E15378" t="str">
        <f>"04 - A - 105 - Milca  Exantus"</f>
        <v>04 - A - 105 - Milca  Exantus</v>
      </c>
      <c r="F15378" t="str">
        <f>"MATH COLLEGE LIB ART"</f>
        <v>MATH COLLEGE LIB ART</v>
      </c>
      <c r="G15378" t="str">
        <f>"21-2145"</f>
        <v>21-2145</v>
      </c>
      <c r="H15378" t="str">
        <f>"A"</f>
        <v>A</v>
      </c>
    </row>
    <row r="15379" spans="1:8" x14ac:dyDescent="0.2">
      <c r="A15379" t="str">
        <f t="shared" si="5576"/>
        <v>0614092230</v>
      </c>
      <c r="B15379" t="str">
        <f t="shared" si="5577"/>
        <v>ANASTASIA</v>
      </c>
      <c r="C15379" t="str">
        <f t="shared" si="5578"/>
        <v>SANDERS</v>
      </c>
      <c r="D15379">
        <f>11</f>
        <v>11</v>
      </c>
      <c r="E15379" t="str">
        <f>"06 - B - 102 - Angela S Adeshina-Morrison"</f>
        <v>06 - B - 102 - Angela S Adeshina-Morrison</v>
      </c>
      <c r="F15379" t="str">
        <f>"MARKETING ESSENTIALS"</f>
        <v>MARKETING ESSENTIALS</v>
      </c>
      <c r="G15379" t="str">
        <f>"05-518"</f>
        <v>05-518</v>
      </c>
      <c r="H15379" t="str">
        <f>"B"</f>
        <v>B</v>
      </c>
    </row>
    <row r="15380" spans="1:8" x14ac:dyDescent="0.2">
      <c r="A15380" t="str">
        <f t="shared" si="5576"/>
        <v>0614092230</v>
      </c>
      <c r="B15380" t="str">
        <f t="shared" si="5577"/>
        <v>ANASTASIA</v>
      </c>
      <c r="C15380" t="str">
        <f t="shared" si="5578"/>
        <v>SANDERS</v>
      </c>
      <c r="D15380">
        <f>11</f>
        <v>11</v>
      </c>
      <c r="E15380" t="str">
        <f>"03 - A - 106 - Krystal Marie  Beruty"</f>
        <v>03 - A - 106 - Krystal Marie  Beruty</v>
      </c>
      <c r="F15380" t="str">
        <f>"AICE PSYCH 1 AS"</f>
        <v>AICE PSYCH 1 AS</v>
      </c>
      <c r="G15380" t="str">
        <f>"17-1721"</f>
        <v>17-1721</v>
      </c>
      <c r="H15380" t="str">
        <f>"A"</f>
        <v>A</v>
      </c>
    </row>
    <row r="15381" spans="1:8" x14ac:dyDescent="0.2">
      <c r="A15381" t="str">
        <f t="shared" si="5576"/>
        <v>0614092230</v>
      </c>
      <c r="B15381" t="str">
        <f t="shared" si="5577"/>
        <v>ANASTASIA</v>
      </c>
      <c r="C15381" t="str">
        <f t="shared" si="5578"/>
        <v>SANDERS</v>
      </c>
      <c r="D15381">
        <f>11</f>
        <v>11</v>
      </c>
      <c r="E15381" t="str">
        <f>"02 - A - 103 - Kelly N Panza"</f>
        <v>02 - A - 103 - Kelly N Panza</v>
      </c>
      <c r="F15381" t="str">
        <f>"NC STUDY HALL 1"</f>
        <v>NC STUDY HALL 1</v>
      </c>
      <c r="G15381" t="str">
        <f>"17-1753"</f>
        <v>17-1753</v>
      </c>
      <c r="H15381" t="str">
        <f>"A"</f>
        <v>A</v>
      </c>
    </row>
    <row r="15382" spans="1:8" x14ac:dyDescent="0.2">
      <c r="A15382" t="str">
        <f t="shared" si="5576"/>
        <v>0614092230</v>
      </c>
      <c r="B15382" t="str">
        <f t="shared" si="5577"/>
        <v>ANASTASIA</v>
      </c>
      <c r="C15382" t="str">
        <f t="shared" si="5578"/>
        <v>SANDERS</v>
      </c>
      <c r="D15382">
        <f>11</f>
        <v>11</v>
      </c>
      <c r="E15382" t="str">
        <f>"07 - B - 104 - Jerry S Jiampetti"</f>
        <v>07 - B - 104 - Jerry S Jiampetti</v>
      </c>
      <c r="F15382" t="str">
        <f>"AICE U.S. HIST 1 AS"</f>
        <v>AICE U.S. HIST 1 AS</v>
      </c>
      <c r="G15382" t="str">
        <f>"17-1751"</f>
        <v>17-1751</v>
      </c>
      <c r="H15382" t="str">
        <f>"B"</f>
        <v>B</v>
      </c>
    </row>
    <row r="15383" spans="1:8" x14ac:dyDescent="0.2">
      <c r="A15383" t="str">
        <f t="shared" si="5576"/>
        <v>0614092230</v>
      </c>
      <c r="B15383" t="str">
        <f t="shared" si="5577"/>
        <v>ANASTASIA</v>
      </c>
      <c r="C15383" t="str">
        <f t="shared" si="5578"/>
        <v>SANDERS</v>
      </c>
      <c r="D15383">
        <f>11</f>
        <v>11</v>
      </c>
      <c r="E15383" t="str">
        <f>"05 - B - 102 - Jacklyn M James"</f>
        <v>05 - B - 102 - Jacklyn M James</v>
      </c>
      <c r="F15383" t="str">
        <f>"AICE ENG LANG AS"</f>
        <v>AICE ENG LANG AS</v>
      </c>
      <c r="G15383" t="str">
        <f>"17-1731"</f>
        <v>17-1731</v>
      </c>
      <c r="H15383" t="str">
        <f>"B"</f>
        <v>B</v>
      </c>
    </row>
    <row r="15384" spans="1:8" x14ac:dyDescent="0.2">
      <c r="A15384" t="str">
        <f t="shared" si="5576"/>
        <v>0614092230</v>
      </c>
      <c r="B15384" t="str">
        <f t="shared" si="5577"/>
        <v>ANASTASIA</v>
      </c>
      <c r="C15384" t="str">
        <f t="shared" si="5578"/>
        <v>SANDERS</v>
      </c>
      <c r="D15384">
        <f>11</f>
        <v>11</v>
      </c>
      <c r="E15384" t="str">
        <f>"01 - A - 101 - Eva T Rimmer"</f>
        <v>01 - A - 101 - Eva T Rimmer</v>
      </c>
      <c r="F15384" t="str">
        <f>"CRIMINAL JUST OPS 2"</f>
        <v>CRIMINAL JUST OPS 2</v>
      </c>
      <c r="G15384" t="str">
        <f>"05-523"</f>
        <v>05-523</v>
      </c>
      <c r="H15384" t="str">
        <f>"A"</f>
        <v>A</v>
      </c>
    </row>
    <row r="15385" spans="1:8" x14ac:dyDescent="0.2">
      <c r="A15385" t="str">
        <f t="shared" si="5576"/>
        <v>0614092230</v>
      </c>
      <c r="B15385" t="str">
        <f t="shared" si="5577"/>
        <v>ANASTASIA</v>
      </c>
      <c r="C15385" t="str">
        <f t="shared" si="5578"/>
        <v>SANDERS</v>
      </c>
      <c r="D15385">
        <f>11</f>
        <v>11</v>
      </c>
      <c r="E15385" t="str">
        <f>"08 - S1 - B - 104 - Leslie J Barton"</f>
        <v>08 - S1 - B - 104 - Leslie J Barton</v>
      </c>
      <c r="F15385" t="str">
        <f>"TEAM SPORTS 1"</f>
        <v>TEAM SPORTS 1</v>
      </c>
      <c r="G15385" t="str">
        <f>"04-254"</f>
        <v>04-254</v>
      </c>
      <c r="H15385" t="str">
        <f>"B"</f>
        <v>B</v>
      </c>
    </row>
    <row r="15386" spans="1:8" x14ac:dyDescent="0.2">
      <c r="A15386" t="str">
        <f t="shared" ref="A15386:A15393" si="5579">"0621056661"</f>
        <v>0621056661</v>
      </c>
      <c r="B15386" t="str">
        <f t="shared" ref="B15386:B15393" si="5580">"LIAM"</f>
        <v>LIAM</v>
      </c>
      <c r="C15386" t="str">
        <f t="shared" si="5578"/>
        <v>SANDERS</v>
      </c>
      <c r="D15386">
        <f>10</f>
        <v>10</v>
      </c>
      <c r="E15386" t="str">
        <f>"04 - S1 - A - 103 - Rory T Sponsler"</f>
        <v>04 - S1 - A - 103 - Rory T Sponsler</v>
      </c>
      <c r="F15386" t="str">
        <f>"WOMENS STUDIES LH"</f>
        <v>WOMENS STUDIES LH</v>
      </c>
      <c r="G15386" t="str">
        <f>"17-1740"</f>
        <v>17-1740</v>
      </c>
      <c r="H15386" t="str">
        <f>"A"</f>
        <v>A</v>
      </c>
    </row>
    <row r="15387" spans="1:8" x14ac:dyDescent="0.2">
      <c r="A15387" t="str">
        <f t="shared" si="5579"/>
        <v>0621056661</v>
      </c>
      <c r="B15387" t="str">
        <f t="shared" si="5580"/>
        <v>LIAM</v>
      </c>
      <c r="C15387" t="str">
        <f t="shared" si="5578"/>
        <v>SANDERS</v>
      </c>
      <c r="D15387">
        <f>10</f>
        <v>10</v>
      </c>
      <c r="E15387" t="str">
        <f>"06 - B - 112 - Tina M Jaramillo"</f>
        <v>06 - B - 112 - Tina M Jaramillo</v>
      </c>
      <c r="F15387" t="str">
        <f>"NC STUDY HALL 1"</f>
        <v>NC STUDY HALL 1</v>
      </c>
      <c r="G15387" t="str">
        <f>"17-1706"</f>
        <v>17-1706</v>
      </c>
      <c r="H15387" t="str">
        <f>"B"</f>
        <v>B</v>
      </c>
    </row>
    <row r="15388" spans="1:8" x14ac:dyDescent="0.2">
      <c r="A15388" t="str">
        <f t="shared" si="5579"/>
        <v>0621056661</v>
      </c>
      <c r="B15388" t="str">
        <f t="shared" si="5580"/>
        <v>LIAM</v>
      </c>
      <c r="C15388" t="str">
        <f t="shared" si="5578"/>
        <v>SANDERS</v>
      </c>
      <c r="D15388">
        <f>10</f>
        <v>10</v>
      </c>
      <c r="E15388" t="str">
        <f>"03 - S1 - A - 103 - Richard E Dunbar Iii"</f>
        <v>03 - S1 - A - 103 - Richard E Dunbar Iii</v>
      </c>
      <c r="F15388" t="str">
        <f>"WEIGHT TRAIN 3"</f>
        <v>WEIGHT TRAIN 3</v>
      </c>
      <c r="G15388" t="str">
        <f>"05-501"</f>
        <v>05-501</v>
      </c>
      <c r="H15388" t="str">
        <f>"A"</f>
        <v>A</v>
      </c>
    </row>
    <row r="15389" spans="1:8" x14ac:dyDescent="0.2">
      <c r="A15389" t="str">
        <f t="shared" si="5579"/>
        <v>0621056661</v>
      </c>
      <c r="B15389" t="str">
        <f t="shared" si="5580"/>
        <v>LIAM</v>
      </c>
      <c r="C15389" t="str">
        <f t="shared" si="5578"/>
        <v>SANDERS</v>
      </c>
      <c r="D15389">
        <f>10</f>
        <v>10</v>
      </c>
      <c r="E15389" t="str">
        <f>"02 - A - 205 - Emmily A Sarmiento"</f>
        <v>02 - A - 205 - Emmily A Sarmiento</v>
      </c>
      <c r="F15389" t="str">
        <f>"AICE GLBL PERSP 1 AS"</f>
        <v>AICE GLBL PERSP 1 AS</v>
      </c>
      <c r="G15389" t="str">
        <f>"17-1743"</f>
        <v>17-1743</v>
      </c>
      <c r="H15389" t="str">
        <f>"A"</f>
        <v>A</v>
      </c>
    </row>
    <row r="15390" spans="1:8" x14ac:dyDescent="0.2">
      <c r="A15390" t="str">
        <f t="shared" si="5579"/>
        <v>0621056661</v>
      </c>
      <c r="B15390" t="str">
        <f t="shared" si="5580"/>
        <v>LIAM</v>
      </c>
      <c r="C15390" t="str">
        <f t="shared" si="5578"/>
        <v>SANDERS</v>
      </c>
      <c r="D15390">
        <f>10</f>
        <v>10</v>
      </c>
      <c r="E15390" t="str">
        <f>"07 - B - 107 - Semra  Bahadir"</f>
        <v>07 - B - 107 - Semra  Bahadir</v>
      </c>
      <c r="F15390" t="str">
        <f>"MATH COLL ALGEBRA"</f>
        <v>MATH COLL ALGEBRA</v>
      </c>
      <c r="G15390" t="str">
        <f>"21-2107"</f>
        <v>21-2107</v>
      </c>
      <c r="H15390" t="str">
        <f>"B"</f>
        <v>B</v>
      </c>
    </row>
    <row r="15391" spans="1:8" x14ac:dyDescent="0.2">
      <c r="A15391" t="str">
        <f t="shared" si="5579"/>
        <v>0621056661</v>
      </c>
      <c r="B15391" t="str">
        <f t="shared" si="5580"/>
        <v>LIAM</v>
      </c>
      <c r="C15391" t="str">
        <f t="shared" si="5578"/>
        <v>SANDERS</v>
      </c>
      <c r="D15391">
        <f>10</f>
        <v>10</v>
      </c>
      <c r="E15391" t="str">
        <f>"05 - B - 104 - Daniel S Tyson"</f>
        <v>05 - B - 104 - Daniel S Tyson</v>
      </c>
      <c r="F15391" t="str">
        <f>"JROTC NAVAL SCI 2"</f>
        <v>JROTC NAVAL SCI 2</v>
      </c>
      <c r="G15391" t="str">
        <f>"05-510"</f>
        <v>05-510</v>
      </c>
      <c r="H15391" t="str">
        <f>"B"</f>
        <v>B</v>
      </c>
    </row>
    <row r="15392" spans="1:8" x14ac:dyDescent="0.2">
      <c r="A15392" t="str">
        <f t="shared" si="5579"/>
        <v>0621056661</v>
      </c>
      <c r="B15392" t="str">
        <f t="shared" si="5580"/>
        <v>LIAM</v>
      </c>
      <c r="C15392" t="str">
        <f t="shared" si="5578"/>
        <v>SANDERS</v>
      </c>
      <c r="D15392">
        <f>10</f>
        <v>10</v>
      </c>
      <c r="E15392" t="str">
        <f>"01 - A - 201 - Cheryl L Beach"</f>
        <v>01 - A - 201 - Cheryl L Beach</v>
      </c>
      <c r="F15392" t="str">
        <f>"AICE ENV MGMNT AS"</f>
        <v>AICE ENV MGMNT AS</v>
      </c>
      <c r="G15392" t="str">
        <f>"08-811"</f>
        <v>08-811</v>
      </c>
      <c r="H15392" t="str">
        <f>"A"</f>
        <v>A</v>
      </c>
    </row>
    <row r="15393" spans="1:8" x14ac:dyDescent="0.2">
      <c r="A15393" t="str">
        <f t="shared" si="5579"/>
        <v>0621056661</v>
      </c>
      <c r="B15393" t="str">
        <f t="shared" si="5580"/>
        <v>LIAM</v>
      </c>
      <c r="C15393" t="str">
        <f t="shared" si="5578"/>
        <v>SANDERS</v>
      </c>
      <c r="D15393">
        <f>10</f>
        <v>10</v>
      </c>
      <c r="E15393" t="str">
        <f>"08 - B - 102 - Jacquelyn M Neeson"</f>
        <v>08 - B - 102 - Jacquelyn M Neeson</v>
      </c>
      <c r="F15393" t="str">
        <f>"AICE ENG GEN PAPER 1"</f>
        <v>AICE ENG GEN PAPER 1</v>
      </c>
      <c r="G15393" t="str">
        <f>"17-1715"</f>
        <v>17-1715</v>
      </c>
      <c r="H15393" t="str">
        <f>"B"</f>
        <v>B</v>
      </c>
    </row>
    <row r="15394" spans="1:8" x14ac:dyDescent="0.2">
      <c r="A15394" t="str">
        <f t="shared" ref="A15394:A15401" si="5581">"0621056670"</f>
        <v>0621056670</v>
      </c>
      <c r="B15394" t="str">
        <f t="shared" ref="B15394:B15401" si="5582">"TEAGAN"</f>
        <v>TEAGAN</v>
      </c>
      <c r="C15394" t="str">
        <f t="shared" si="5578"/>
        <v>SANDERS</v>
      </c>
      <c r="D15394" t="str">
        <f t="shared" ref="D15394:D15401" si="5583">"09"</f>
        <v>09</v>
      </c>
      <c r="E15394" t="str">
        <f>"04 - A - 101 - Chrystina M Marchionne"</f>
        <v>04 - A - 101 - Chrystina M Marchionne</v>
      </c>
      <c r="F15394" t="str">
        <f>"THEA CIN &amp; FILM LH"</f>
        <v>THEA CIN &amp; FILM LH</v>
      </c>
      <c r="G15394" t="str">
        <f>"05-520"</f>
        <v>05-520</v>
      </c>
      <c r="H15394" t="str">
        <f>"A"</f>
        <v>A</v>
      </c>
    </row>
    <row r="15395" spans="1:8" x14ac:dyDescent="0.2">
      <c r="A15395" t="str">
        <f t="shared" si="5581"/>
        <v>0621056670</v>
      </c>
      <c r="B15395" t="str">
        <f t="shared" si="5582"/>
        <v>TEAGAN</v>
      </c>
      <c r="C15395" t="str">
        <f t="shared" si="5578"/>
        <v>SANDERS</v>
      </c>
      <c r="D15395" t="str">
        <f t="shared" si="5583"/>
        <v>09</v>
      </c>
      <c r="E15395" t="str">
        <f>"06 - B - 110 - Krystal Marie  Beruty"</f>
        <v>06 - B - 110 - Krystal Marie  Beruty</v>
      </c>
      <c r="F15395" t="str">
        <f>"AICE GLBL PERSP 1 AS"</f>
        <v>AICE GLBL PERSP 1 AS</v>
      </c>
      <c r="G15395" t="str">
        <f>"17-1721"</f>
        <v>17-1721</v>
      </c>
      <c r="H15395" t="str">
        <f>"B"</f>
        <v>B</v>
      </c>
    </row>
    <row r="15396" spans="1:8" x14ac:dyDescent="0.2">
      <c r="A15396" t="str">
        <f t="shared" si="5581"/>
        <v>0621056670</v>
      </c>
      <c r="B15396" t="str">
        <f t="shared" si="5582"/>
        <v>TEAGAN</v>
      </c>
      <c r="C15396" t="str">
        <f t="shared" si="5578"/>
        <v>SANDERS</v>
      </c>
      <c r="D15396" t="str">
        <f t="shared" si="5583"/>
        <v>09</v>
      </c>
      <c r="E15396" t="str">
        <f>"03 - A - 101 - Samantha L Martinez"</f>
        <v>03 - A - 101 - Samantha L Martinez</v>
      </c>
      <c r="F15396" t="str">
        <f>"VOCAL ENS 1"</f>
        <v>VOCAL ENS 1</v>
      </c>
      <c r="G15396" t="str">
        <f>"05-505"</f>
        <v>05-505</v>
      </c>
      <c r="H15396" t="str">
        <f>"A"</f>
        <v>A</v>
      </c>
    </row>
    <row r="15397" spans="1:8" x14ac:dyDescent="0.2">
      <c r="A15397" t="str">
        <f t="shared" si="5581"/>
        <v>0621056670</v>
      </c>
      <c r="B15397" t="str">
        <f t="shared" si="5582"/>
        <v>TEAGAN</v>
      </c>
      <c r="C15397" t="str">
        <f t="shared" si="5578"/>
        <v>SANDERS</v>
      </c>
      <c r="D15397" t="str">
        <f t="shared" si="5583"/>
        <v>09</v>
      </c>
      <c r="E15397" t="str">
        <f>"02 - A - 104 - Lytrell T Dixon"</f>
        <v>02 - A - 104 - Lytrell T Dixon</v>
      </c>
      <c r="F15397" t="str">
        <f>"NC STUDY HALL 1"</f>
        <v>NC STUDY HALL 1</v>
      </c>
      <c r="G15397" t="str">
        <f>"08-808"</f>
        <v>08-808</v>
      </c>
      <c r="H15397" t="str">
        <f>"A"</f>
        <v>A</v>
      </c>
    </row>
    <row r="15398" spans="1:8" x14ac:dyDescent="0.2">
      <c r="A15398" t="str">
        <f t="shared" si="5581"/>
        <v>0621056670</v>
      </c>
      <c r="B15398" t="str">
        <f t="shared" si="5582"/>
        <v>TEAGAN</v>
      </c>
      <c r="C15398" t="str">
        <f t="shared" si="5578"/>
        <v>SANDERS</v>
      </c>
      <c r="D15398" t="str">
        <f t="shared" si="5583"/>
        <v>09</v>
      </c>
      <c r="E15398" t="str">
        <f>"07 - B - 003 - Brandy N Zdenek"</f>
        <v>07 - B - 003 - Brandy N Zdenek</v>
      </c>
      <c r="F15398" t="str">
        <f>"AICE ENG GEN PAPER 1"</f>
        <v>AICE ENG GEN PAPER 1</v>
      </c>
      <c r="G15398" t="str">
        <f>"17-1704"</f>
        <v>17-1704</v>
      </c>
      <c r="H15398" t="str">
        <f>"B"</f>
        <v>B</v>
      </c>
    </row>
    <row r="15399" spans="1:8" x14ac:dyDescent="0.2">
      <c r="A15399" t="str">
        <f t="shared" si="5581"/>
        <v>0621056670</v>
      </c>
      <c r="B15399" t="str">
        <f t="shared" si="5582"/>
        <v>TEAGAN</v>
      </c>
      <c r="C15399" t="str">
        <f t="shared" si="5578"/>
        <v>SANDERS</v>
      </c>
      <c r="D15399" t="str">
        <f t="shared" si="5583"/>
        <v>09</v>
      </c>
      <c r="E15399" t="str">
        <f>"05 - B - 103 - Byron G Montenegro"</f>
        <v>05 - B - 103 - Byron G Montenegro</v>
      </c>
      <c r="F15399" t="str">
        <f>"AICE MARINE SCI 1 AS"</f>
        <v>AICE MARINE SCI 1 AS</v>
      </c>
      <c r="G15399" t="str">
        <f>"21-2144"</f>
        <v>21-2144</v>
      </c>
      <c r="H15399" t="str">
        <f>"B"</f>
        <v>B</v>
      </c>
    </row>
    <row r="15400" spans="1:8" x14ac:dyDescent="0.2">
      <c r="A15400" t="str">
        <f t="shared" si="5581"/>
        <v>0621056670</v>
      </c>
      <c r="B15400" t="str">
        <f t="shared" si="5582"/>
        <v>TEAGAN</v>
      </c>
      <c r="C15400" t="str">
        <f t="shared" si="5578"/>
        <v>SANDERS</v>
      </c>
      <c r="D15400" t="str">
        <f t="shared" si="5583"/>
        <v>09</v>
      </c>
      <c r="E15400" t="str">
        <f>"01 - A - 504 - Alejandro  Navarro"</f>
        <v>01 - A - 504 - Alejandro  Navarro</v>
      </c>
      <c r="F15400" t="str">
        <f>"BAND 1"</f>
        <v>BAND 1</v>
      </c>
      <c r="G15400" t="str">
        <f>"05-504"</f>
        <v>05-504</v>
      </c>
      <c r="H15400" t="str">
        <f>"A"</f>
        <v>A</v>
      </c>
    </row>
    <row r="15401" spans="1:8" x14ac:dyDescent="0.2">
      <c r="A15401" t="str">
        <f t="shared" si="5581"/>
        <v>0621056670</v>
      </c>
      <c r="B15401" t="str">
        <f t="shared" si="5582"/>
        <v>TEAGAN</v>
      </c>
      <c r="C15401" t="str">
        <f t="shared" si="5578"/>
        <v>SANDERS</v>
      </c>
      <c r="D15401" t="str">
        <f t="shared" si="5583"/>
        <v>09</v>
      </c>
      <c r="E15401" t="str">
        <f>"08 - B - 102 - Maried P Ramos"</f>
        <v>08 - B - 102 - Maried P Ramos</v>
      </c>
      <c r="F15401" t="str">
        <f>"ALGEBRA 2 HON"</f>
        <v>ALGEBRA 2 HON</v>
      </c>
      <c r="G15401" t="str">
        <f>"21-2159"</f>
        <v>21-2159</v>
      </c>
      <c r="H15401" t="str">
        <f>"B"</f>
        <v>B</v>
      </c>
    </row>
    <row r="15402" spans="1:8" x14ac:dyDescent="0.2">
      <c r="A15402" t="str">
        <f t="shared" ref="A15402:A15409" si="5584">"0625021661"</f>
        <v>0625021661</v>
      </c>
      <c r="B15402" t="str">
        <f t="shared" ref="B15402:B15409" si="5585">"Rolfred"</f>
        <v>Rolfred</v>
      </c>
      <c r="C15402" t="str">
        <f t="shared" ref="C15402:C15409" si="5586">"Sanon"</f>
        <v>Sanon</v>
      </c>
      <c r="D15402">
        <f>11</f>
        <v>11</v>
      </c>
      <c r="E15402" t="str">
        <f>"04 - S1 - A - 103 - Rory T Sponsler"</f>
        <v>04 - S1 - A - 103 - Rory T Sponsler</v>
      </c>
      <c r="F15402" t="str">
        <f>"WOMENS STUDIES LH"</f>
        <v>WOMENS STUDIES LH</v>
      </c>
      <c r="G15402" t="str">
        <f>"17-1740"</f>
        <v>17-1740</v>
      </c>
      <c r="H15402" t="str">
        <f>"A"</f>
        <v>A</v>
      </c>
    </row>
    <row r="15403" spans="1:8" x14ac:dyDescent="0.2">
      <c r="A15403" t="str">
        <f t="shared" si="5584"/>
        <v>0625021661</v>
      </c>
      <c r="B15403" t="str">
        <f t="shared" si="5585"/>
        <v>Rolfred</v>
      </c>
      <c r="C15403" t="str">
        <f t="shared" si="5586"/>
        <v>Sanon</v>
      </c>
      <c r="D15403">
        <f>11</f>
        <v>11</v>
      </c>
      <c r="E15403" t="str">
        <f>"06 - B - 106 - Adam Marcus  Drucker"</f>
        <v>06 - B - 106 - Adam Marcus  Drucker</v>
      </c>
      <c r="F15403" t="str">
        <f>"HOPE-PE V"</f>
        <v>HOPE-PE V</v>
      </c>
      <c r="G15403" t="str">
        <f>"04-254"</f>
        <v>04-254</v>
      </c>
      <c r="H15403" t="str">
        <f>"B"</f>
        <v>B</v>
      </c>
    </row>
    <row r="15404" spans="1:8" x14ac:dyDescent="0.2">
      <c r="A15404" t="str">
        <f t="shared" si="5584"/>
        <v>0625021661</v>
      </c>
      <c r="B15404" t="str">
        <f t="shared" si="5585"/>
        <v>Rolfred</v>
      </c>
      <c r="C15404" t="str">
        <f t="shared" si="5586"/>
        <v>Sanon</v>
      </c>
      <c r="D15404">
        <f>11</f>
        <v>11</v>
      </c>
      <c r="E15404" t="str">
        <f>"03 - A - 102 - Lisa  Quinn"</f>
        <v>03 - A - 102 - Lisa  Quinn</v>
      </c>
      <c r="F15404" t="str">
        <f>"ENG 3"</f>
        <v>ENG 3</v>
      </c>
      <c r="G15404" t="str">
        <f>"17-1725"</f>
        <v>17-1725</v>
      </c>
      <c r="H15404" t="str">
        <f>"A"</f>
        <v>A</v>
      </c>
    </row>
    <row r="15405" spans="1:8" x14ac:dyDescent="0.2">
      <c r="A15405" t="str">
        <f t="shared" si="5584"/>
        <v>0625021661</v>
      </c>
      <c r="B15405" t="str">
        <f t="shared" si="5585"/>
        <v>Rolfred</v>
      </c>
      <c r="C15405" t="str">
        <f t="shared" si="5586"/>
        <v>Sanon</v>
      </c>
      <c r="D15405">
        <f>11</f>
        <v>11</v>
      </c>
      <c r="E15405" t="str">
        <f>"02 - A - 102 - Brook E Goren"</f>
        <v>02 - A - 102 - Brook E Goren</v>
      </c>
      <c r="F15405" t="str">
        <f>"NC STUDY HALL 1"</f>
        <v>NC STUDY HALL 1</v>
      </c>
      <c r="G15405" t="str">
        <f>"21-2158"</f>
        <v>21-2158</v>
      </c>
      <c r="H15405" t="str">
        <f>"A"</f>
        <v>A</v>
      </c>
    </row>
    <row r="15406" spans="1:8" x14ac:dyDescent="0.2">
      <c r="A15406" t="str">
        <f t="shared" si="5584"/>
        <v>0625021661</v>
      </c>
      <c r="B15406" t="str">
        <f t="shared" si="5585"/>
        <v>Rolfred</v>
      </c>
      <c r="C15406" t="str">
        <f t="shared" si="5586"/>
        <v>Sanon</v>
      </c>
      <c r="D15406">
        <f>11</f>
        <v>11</v>
      </c>
      <c r="E15406" t="str">
        <f>"07 - B - 110 - Ferrie J Arostique"</f>
        <v>07 - B - 110 - Ferrie J Arostique</v>
      </c>
      <c r="F15406" t="str">
        <f>"GEOMETRY"</f>
        <v>GEOMETRY</v>
      </c>
      <c r="G15406" t="str">
        <f>"21-2139"</f>
        <v>21-2139</v>
      </c>
      <c r="H15406" t="str">
        <f>"B"</f>
        <v>B</v>
      </c>
    </row>
    <row r="15407" spans="1:8" x14ac:dyDescent="0.2">
      <c r="A15407" t="str">
        <f t="shared" si="5584"/>
        <v>0625021661</v>
      </c>
      <c r="B15407" t="str">
        <f t="shared" si="5585"/>
        <v>Rolfred</v>
      </c>
      <c r="C15407" t="str">
        <f t="shared" si="5586"/>
        <v>Sanon</v>
      </c>
      <c r="D15407">
        <f>11</f>
        <v>11</v>
      </c>
      <c r="E15407" t="str">
        <f>"05 - B - 204 - Cliffon  Saurel"</f>
        <v>05 - B - 204 - Cliffon  Saurel</v>
      </c>
      <c r="F15407" t="str">
        <f>"PHYSICAL SCI"</f>
        <v>PHYSICAL SCI</v>
      </c>
      <c r="G15407" t="str">
        <f>"05-522"</f>
        <v>05-522</v>
      </c>
      <c r="H15407" t="str">
        <f>"B"</f>
        <v>B</v>
      </c>
    </row>
    <row r="15408" spans="1:8" x14ac:dyDescent="0.2">
      <c r="A15408" t="str">
        <f t="shared" si="5584"/>
        <v>0625021661</v>
      </c>
      <c r="B15408" t="str">
        <f t="shared" si="5585"/>
        <v>Rolfred</v>
      </c>
      <c r="C15408" t="str">
        <f t="shared" si="5586"/>
        <v>Sanon</v>
      </c>
      <c r="D15408">
        <f>11</f>
        <v>11</v>
      </c>
      <c r="E15408" t="str">
        <f>"01 - A - 101 - Vanessa J Pena"</f>
        <v>01 - A - 101 - Vanessa J Pena</v>
      </c>
      <c r="F15408" t="str">
        <f>"DEV LANG ARTS ESOL-R"</f>
        <v>DEV LANG ARTS ESOL-R</v>
      </c>
      <c r="G15408" t="str">
        <f>"09-926"</f>
        <v>09-926</v>
      </c>
      <c r="H15408" t="str">
        <f>"A"</f>
        <v>A</v>
      </c>
    </row>
    <row r="15409" spans="1:8" x14ac:dyDescent="0.2">
      <c r="A15409" t="str">
        <f t="shared" si="5584"/>
        <v>0625021661</v>
      </c>
      <c r="B15409" t="str">
        <f t="shared" si="5585"/>
        <v>Rolfred</v>
      </c>
      <c r="C15409" t="str">
        <f t="shared" si="5586"/>
        <v>Sanon</v>
      </c>
      <c r="D15409">
        <f>11</f>
        <v>11</v>
      </c>
      <c r="E15409" t="str">
        <f>"08 - B - 109 - Lauren N Logan"</f>
        <v>08 - B - 109 - Lauren N Logan</v>
      </c>
      <c r="F15409" t="str">
        <f>"US HISTORY"</f>
        <v>US HISTORY</v>
      </c>
      <c r="G15409" t="str">
        <f>"17-1754"</f>
        <v>17-1754</v>
      </c>
      <c r="H15409" t="str">
        <f>"B"</f>
        <v>B</v>
      </c>
    </row>
    <row r="15410" spans="1:8" x14ac:dyDescent="0.2">
      <c r="A15410" t="str">
        <f t="shared" ref="A15410:A15417" si="5587">"0617032706"</f>
        <v>0617032706</v>
      </c>
      <c r="B15410" t="str">
        <f t="shared" ref="B15410:B15417" si="5588">"AISHAH"</f>
        <v>AISHAH</v>
      </c>
      <c r="C15410" t="str">
        <f t="shared" ref="C15410:C15417" si="5589">"SANTERRE"</f>
        <v>SANTERRE</v>
      </c>
      <c r="D15410">
        <f>10</f>
        <v>10</v>
      </c>
      <c r="E15410" t="str">
        <f>"04 - A - 105 - Jacklyn M James"</f>
        <v>04 - A - 105 - Jacklyn M James</v>
      </c>
      <c r="F15410" t="str">
        <f>"AICE ENG LANG AS"</f>
        <v>AICE ENG LANG AS</v>
      </c>
      <c r="G15410" t="str">
        <f>"17-1731"</f>
        <v>17-1731</v>
      </c>
      <c r="H15410" t="str">
        <f>"A"</f>
        <v>A</v>
      </c>
    </row>
    <row r="15411" spans="1:8" x14ac:dyDescent="0.2">
      <c r="A15411" t="str">
        <f t="shared" si="5587"/>
        <v>0617032706</v>
      </c>
      <c r="B15411" t="str">
        <f t="shared" si="5588"/>
        <v>AISHAH</v>
      </c>
      <c r="C15411" t="str">
        <f t="shared" si="5589"/>
        <v>SANTERRE</v>
      </c>
      <c r="D15411">
        <f>10</f>
        <v>10</v>
      </c>
      <c r="E15411" t="str">
        <f>"06 - B - 104 - Robert H Rindner"</f>
        <v>06 - B - 104 - Robert H Rindner</v>
      </c>
      <c r="F15411" t="str">
        <f>"NC STUDY HALL 1"</f>
        <v>NC STUDY HALL 1</v>
      </c>
      <c r="G15411" t="str">
        <f>"21-2160"</f>
        <v>21-2160</v>
      </c>
      <c r="H15411" t="str">
        <f>"B"</f>
        <v>B</v>
      </c>
    </row>
    <row r="15412" spans="1:8" x14ac:dyDescent="0.2">
      <c r="A15412" t="str">
        <f t="shared" si="5587"/>
        <v>0617032706</v>
      </c>
      <c r="B15412" t="str">
        <f t="shared" si="5588"/>
        <v>AISHAH</v>
      </c>
      <c r="C15412" t="str">
        <f t="shared" si="5589"/>
        <v>SANTERRE</v>
      </c>
      <c r="D15412">
        <f>10</f>
        <v>10</v>
      </c>
      <c r="E15412" t="str">
        <f>"03 - A - 103 - Jordana K Hass"</f>
        <v>03 - A - 103 - Jordana K Hass</v>
      </c>
      <c r="F15412" t="str">
        <f>"CHEMISTRY 1"</f>
        <v>CHEMISTRY 1</v>
      </c>
      <c r="G15412" t="str">
        <f>"08-807"</f>
        <v>08-807</v>
      </c>
      <c r="H15412" t="str">
        <f>"A"</f>
        <v>A</v>
      </c>
    </row>
    <row r="15413" spans="1:8" x14ac:dyDescent="0.2">
      <c r="A15413" t="str">
        <f t="shared" si="5587"/>
        <v>0617032706</v>
      </c>
      <c r="B15413" t="str">
        <f t="shared" si="5588"/>
        <v>AISHAH</v>
      </c>
      <c r="C15413" t="str">
        <f t="shared" si="5589"/>
        <v>SANTERRE</v>
      </c>
      <c r="D15413">
        <f>10</f>
        <v>10</v>
      </c>
      <c r="E15413" t="str">
        <f>"02 - A - 102 - Vanessa J Liburd"</f>
        <v>02 - A - 102 - Vanessa J Liburd</v>
      </c>
      <c r="F15413" t="str">
        <f>"PRE-AICE FRENCH 2 IG"</f>
        <v>PRE-AICE FRENCH 2 IG</v>
      </c>
      <c r="G15413" t="str">
        <f>"05-519"</f>
        <v>05-519</v>
      </c>
      <c r="H15413" t="str">
        <f>"A"</f>
        <v>A</v>
      </c>
    </row>
    <row r="15414" spans="1:8" x14ac:dyDescent="0.2">
      <c r="A15414" t="str">
        <f t="shared" si="5587"/>
        <v>0617032706</v>
      </c>
      <c r="B15414" t="str">
        <f t="shared" si="5588"/>
        <v>AISHAH</v>
      </c>
      <c r="C15414" t="str">
        <f t="shared" si="5589"/>
        <v>SANTERRE</v>
      </c>
      <c r="D15414">
        <f>10</f>
        <v>10</v>
      </c>
      <c r="E15414" t="str">
        <f>"07 - B - 204 - Elizabeth Ellen  Moran"</f>
        <v>07 - B - 204 - Elizabeth Ellen  Moran</v>
      </c>
      <c r="F15414" t="str">
        <f>"AICE EURO HIST 1 AS"</f>
        <v>AICE EURO HIST 1 AS</v>
      </c>
      <c r="G15414" t="str">
        <f>"17-1752"</f>
        <v>17-1752</v>
      </c>
      <c r="H15414" t="str">
        <f>"B"</f>
        <v>B</v>
      </c>
    </row>
    <row r="15415" spans="1:8" x14ac:dyDescent="0.2">
      <c r="A15415" t="str">
        <f t="shared" si="5587"/>
        <v>0617032706</v>
      </c>
      <c r="B15415" t="str">
        <f t="shared" si="5588"/>
        <v>AISHAH</v>
      </c>
      <c r="C15415" t="str">
        <f t="shared" si="5589"/>
        <v>SANTERRE</v>
      </c>
      <c r="D15415">
        <f>10</f>
        <v>10</v>
      </c>
      <c r="E15415" t="str">
        <f>"05 - B - 101 - Brian M Fitzgerald"</f>
        <v>05 - B - 101 - Brian M Fitzgerald</v>
      </c>
      <c r="F15415" t="str">
        <f>"PAINT 1"</f>
        <v>PAINT 1</v>
      </c>
      <c r="G15415" t="str">
        <f>"09-908"</f>
        <v>09-908</v>
      </c>
      <c r="H15415" t="str">
        <f>"B"</f>
        <v>B</v>
      </c>
    </row>
    <row r="15416" spans="1:8" x14ac:dyDescent="0.2">
      <c r="A15416" t="str">
        <f t="shared" si="5587"/>
        <v>0617032706</v>
      </c>
      <c r="B15416" t="str">
        <f t="shared" si="5588"/>
        <v>AISHAH</v>
      </c>
      <c r="C15416" t="str">
        <f t="shared" si="5589"/>
        <v>SANTERRE</v>
      </c>
      <c r="D15416">
        <f>10</f>
        <v>10</v>
      </c>
      <c r="E15416" t="str">
        <f>"01 - A - 101 - Lourivaldo  Da Silva"</f>
        <v>01 - A - 101 - Lourivaldo  Da Silva</v>
      </c>
      <c r="F15416" t="str">
        <f>"ALGEBRA 2 HON"</f>
        <v>ALGEBRA 2 HON</v>
      </c>
      <c r="G15416" t="str">
        <f>"20-2079"</f>
        <v>20-2079</v>
      </c>
      <c r="H15416" t="str">
        <f>"A"</f>
        <v>A</v>
      </c>
    </row>
    <row r="15417" spans="1:8" x14ac:dyDescent="0.2">
      <c r="A15417" t="str">
        <f t="shared" si="5587"/>
        <v>0617032706</v>
      </c>
      <c r="B15417" t="str">
        <f t="shared" si="5588"/>
        <v>AISHAH</v>
      </c>
      <c r="C15417" t="str">
        <f t="shared" si="5589"/>
        <v>SANTERRE</v>
      </c>
      <c r="D15417">
        <f>10</f>
        <v>10</v>
      </c>
      <c r="E15417" t="str">
        <f>"08 - S1 - B - 105 - James H Mccann"</f>
        <v>08 - S1 - B - 105 - James H Mccann</v>
      </c>
      <c r="F15417" t="str">
        <f>"PERS FIN &amp; MON MGT H"</f>
        <v>PERS FIN &amp; MON MGT H</v>
      </c>
      <c r="G15417" t="str">
        <f>"17-1716"</f>
        <v>17-1716</v>
      </c>
      <c r="H15417" t="str">
        <f>"B"</f>
        <v>B</v>
      </c>
    </row>
    <row r="15418" spans="1:8" x14ac:dyDescent="0.2">
      <c r="A15418" t="str">
        <f t="shared" ref="A15418:A15425" si="5590">"0617012256"</f>
        <v>0617012256</v>
      </c>
      <c r="B15418" t="str">
        <f t="shared" ref="B15418:B15425" si="5591">"MIA"</f>
        <v>MIA</v>
      </c>
      <c r="C15418" t="str">
        <f t="shared" ref="C15418:C15433" si="5592">"SANTIAGO"</f>
        <v>SANTIAGO</v>
      </c>
      <c r="D15418" t="str">
        <f t="shared" ref="D15418:D15425" si="5593">"09"</f>
        <v>09</v>
      </c>
      <c r="E15418" t="str">
        <f>"04 - A - 101 - Chrystina M Marchionne"</f>
        <v>04 - A - 101 - Chrystina M Marchionne</v>
      </c>
      <c r="F15418" t="str">
        <f>"THEA CIN &amp; FILM LH"</f>
        <v>THEA CIN &amp; FILM LH</v>
      </c>
      <c r="G15418" t="str">
        <f>"05-520"</f>
        <v>05-520</v>
      </c>
      <c r="H15418" t="str">
        <f>"A"</f>
        <v>A</v>
      </c>
    </row>
    <row r="15419" spans="1:8" x14ac:dyDescent="0.2">
      <c r="A15419" t="str">
        <f t="shared" si="5590"/>
        <v>0617012256</v>
      </c>
      <c r="B15419" t="str">
        <f t="shared" si="5591"/>
        <v>MIA</v>
      </c>
      <c r="C15419" t="str">
        <f t="shared" si="5592"/>
        <v>SANTIAGO</v>
      </c>
      <c r="D15419" t="str">
        <f t="shared" si="5593"/>
        <v>09</v>
      </c>
      <c r="E15419" t="str">
        <f>"06 - B - 110 - Krystal Marie  Beruty"</f>
        <v>06 - B - 110 - Krystal Marie  Beruty</v>
      </c>
      <c r="F15419" t="str">
        <f>"AICE GLBL PERSP 1 AS"</f>
        <v>AICE GLBL PERSP 1 AS</v>
      </c>
      <c r="G15419" t="str">
        <f>"17-1721"</f>
        <v>17-1721</v>
      </c>
      <c r="H15419" t="str">
        <f>"B"</f>
        <v>B</v>
      </c>
    </row>
    <row r="15420" spans="1:8" x14ac:dyDescent="0.2">
      <c r="A15420" t="str">
        <f t="shared" si="5590"/>
        <v>0617012256</v>
      </c>
      <c r="B15420" t="str">
        <f t="shared" si="5591"/>
        <v>MIA</v>
      </c>
      <c r="C15420" t="str">
        <f t="shared" si="5592"/>
        <v>SANTIAGO</v>
      </c>
      <c r="D15420" t="str">
        <f t="shared" si="5593"/>
        <v>09</v>
      </c>
      <c r="E15420" t="str">
        <f>"03 - A - 101 - Rosa Elaine  Collado-Duff"</f>
        <v>03 - A - 101 - Rosa Elaine  Collado-Duff</v>
      </c>
      <c r="F15420" t="str">
        <f>"SPANISH 3 HON"</f>
        <v>SPANISH 3 HON</v>
      </c>
      <c r="G15420" t="str">
        <f>"09-913"</f>
        <v>09-913</v>
      </c>
      <c r="H15420" t="str">
        <f>"A"</f>
        <v>A</v>
      </c>
    </row>
    <row r="15421" spans="1:8" x14ac:dyDescent="0.2">
      <c r="A15421" t="str">
        <f t="shared" si="5590"/>
        <v>0617012256</v>
      </c>
      <c r="B15421" t="str">
        <f t="shared" si="5591"/>
        <v>MIA</v>
      </c>
      <c r="C15421" t="str">
        <f t="shared" si="5592"/>
        <v>SANTIAGO</v>
      </c>
      <c r="D15421" t="str">
        <f t="shared" si="5593"/>
        <v>09</v>
      </c>
      <c r="E15421" t="str">
        <f>"02 - A - 108 - Rory T Sponsler"</f>
        <v>02 - A - 108 - Rory T Sponsler</v>
      </c>
      <c r="F15421" t="str">
        <f>"NC STUDY HALL 1"</f>
        <v>NC STUDY HALL 1</v>
      </c>
      <c r="G15421" t="str">
        <f>"17-1740"</f>
        <v>17-1740</v>
      </c>
      <c r="H15421" t="str">
        <f>"A"</f>
        <v>A</v>
      </c>
    </row>
    <row r="15422" spans="1:8" x14ac:dyDescent="0.2">
      <c r="A15422" t="str">
        <f t="shared" si="5590"/>
        <v>0617012256</v>
      </c>
      <c r="B15422" t="str">
        <f t="shared" si="5591"/>
        <v>MIA</v>
      </c>
      <c r="C15422" t="str">
        <f t="shared" si="5592"/>
        <v>SANTIAGO</v>
      </c>
      <c r="D15422" t="str">
        <f t="shared" si="5593"/>
        <v>09</v>
      </c>
      <c r="E15422" t="str">
        <f>"07 - B - 105 - Byron G Montenegro"</f>
        <v>07 - B - 105 - Byron G Montenegro</v>
      </c>
      <c r="F15422" t="str">
        <f>"AICE MARINE SCI 1 AS"</f>
        <v>AICE MARINE SCI 1 AS</v>
      </c>
      <c r="G15422" t="str">
        <f>"21-2144"</f>
        <v>21-2144</v>
      </c>
      <c r="H15422" t="str">
        <f>"B"</f>
        <v>B</v>
      </c>
    </row>
    <row r="15423" spans="1:8" x14ac:dyDescent="0.2">
      <c r="A15423" t="str">
        <f t="shared" si="5590"/>
        <v>0617012256</v>
      </c>
      <c r="B15423" t="str">
        <f t="shared" si="5591"/>
        <v>MIA</v>
      </c>
      <c r="C15423" t="str">
        <f t="shared" si="5592"/>
        <v>SANTIAGO</v>
      </c>
      <c r="D15423" t="str">
        <f t="shared" si="5593"/>
        <v>09</v>
      </c>
      <c r="E15423" t="str">
        <f>"05 - B - 204 - Elizabeth R Walker"</f>
        <v>05 - B - 204 - Elizabeth R Walker</v>
      </c>
      <c r="F15423" t="str">
        <f>"AICE ENG GEN PAPER 1"</f>
        <v>AICE ENG GEN PAPER 1</v>
      </c>
      <c r="G15423" t="str">
        <f>"17-1703"</f>
        <v>17-1703</v>
      </c>
      <c r="H15423" t="str">
        <f>"B"</f>
        <v>B</v>
      </c>
    </row>
    <row r="15424" spans="1:8" x14ac:dyDescent="0.2">
      <c r="A15424" t="str">
        <f t="shared" si="5590"/>
        <v>0617012256</v>
      </c>
      <c r="B15424" t="str">
        <f t="shared" si="5591"/>
        <v>MIA</v>
      </c>
      <c r="C15424" t="str">
        <f t="shared" si="5592"/>
        <v>SANTIAGO</v>
      </c>
      <c r="D15424" t="str">
        <f t="shared" si="5593"/>
        <v>09</v>
      </c>
      <c r="E15424" t="str">
        <f>"01 - A - 101 - Brian M Fitzgerald"</f>
        <v>01 - A - 101 - Brian M Fitzgerald</v>
      </c>
      <c r="F15424" t="str">
        <f>"CERAM/POT 1"</f>
        <v>CERAM/POT 1</v>
      </c>
      <c r="G15424" t="str">
        <f>"09-908"</f>
        <v>09-908</v>
      </c>
      <c r="H15424" t="str">
        <f>"A"</f>
        <v>A</v>
      </c>
    </row>
    <row r="15425" spans="1:8" x14ac:dyDescent="0.2">
      <c r="A15425" t="str">
        <f t="shared" si="5590"/>
        <v>0617012256</v>
      </c>
      <c r="B15425" t="str">
        <f t="shared" si="5591"/>
        <v>MIA</v>
      </c>
      <c r="C15425" t="str">
        <f t="shared" si="5592"/>
        <v>SANTIAGO</v>
      </c>
      <c r="D15425" t="str">
        <f t="shared" si="5593"/>
        <v>09</v>
      </c>
      <c r="E15425" t="str">
        <f>"08 - B - 102 - Maried P Ramos"</f>
        <v>08 - B - 102 - Maried P Ramos</v>
      </c>
      <c r="F15425" t="str">
        <f>"ALGEBRA 2 HON"</f>
        <v>ALGEBRA 2 HON</v>
      </c>
      <c r="G15425" t="str">
        <f>"21-2159"</f>
        <v>21-2159</v>
      </c>
      <c r="H15425" t="str">
        <f>"B"</f>
        <v>B</v>
      </c>
    </row>
    <row r="15426" spans="1:8" x14ac:dyDescent="0.2">
      <c r="A15426" t="str">
        <f t="shared" ref="A15426:A15433" si="5594">"0623068068"</f>
        <v>0623068068</v>
      </c>
      <c r="B15426" t="str">
        <f t="shared" ref="B15426:B15433" si="5595">"SOPHIA"</f>
        <v>SOPHIA</v>
      </c>
      <c r="C15426" t="str">
        <f t="shared" si="5592"/>
        <v>SANTIAGO</v>
      </c>
      <c r="D15426">
        <f>11</f>
        <v>11</v>
      </c>
      <c r="E15426" t="str">
        <f>"04 - A - 205 - Jacqueline R Morphet"</f>
        <v>04 - A - 205 - Jacqueline R Morphet</v>
      </c>
      <c r="F15426" t="str">
        <f>"PHYSICS 1 HON"</f>
        <v>PHYSICS 1 HON</v>
      </c>
      <c r="G15426" t="str">
        <f>"21-2138"</f>
        <v>21-2138</v>
      </c>
      <c r="H15426" t="str">
        <f>"A"</f>
        <v>A</v>
      </c>
    </row>
    <row r="15427" spans="1:8" x14ac:dyDescent="0.2">
      <c r="A15427" t="str">
        <f t="shared" si="5594"/>
        <v>0623068068</v>
      </c>
      <c r="B15427" t="str">
        <f t="shared" si="5595"/>
        <v>SOPHIA</v>
      </c>
      <c r="C15427" t="str">
        <f t="shared" si="5592"/>
        <v>SANTIAGO</v>
      </c>
      <c r="D15427">
        <f>11</f>
        <v>11</v>
      </c>
      <c r="E15427" t="str">
        <f>"06 - B - 204 - Chrystina M Marchionne"</f>
        <v>06 - B - 204 - Chrystina M Marchionne</v>
      </c>
      <c r="F15427" t="str">
        <f>"AICE MEDIASTUDIES AS"</f>
        <v>AICE MEDIASTUDIES AS</v>
      </c>
      <c r="G15427" t="str">
        <f>"05-520"</f>
        <v>05-520</v>
      </c>
      <c r="H15427" t="str">
        <f>"B"</f>
        <v>B</v>
      </c>
    </row>
    <row r="15428" spans="1:8" x14ac:dyDescent="0.2">
      <c r="A15428" t="str">
        <f t="shared" si="5594"/>
        <v>0623068068</v>
      </c>
      <c r="B15428" t="str">
        <f t="shared" si="5595"/>
        <v>SOPHIA</v>
      </c>
      <c r="C15428" t="str">
        <f t="shared" si="5592"/>
        <v>SANTIAGO</v>
      </c>
      <c r="D15428">
        <f>11</f>
        <v>11</v>
      </c>
      <c r="E15428" t="str">
        <f>"03 - A - 104 - Brook E Goren"</f>
        <v>03 - A - 104 - Brook E Goren</v>
      </c>
      <c r="F15428" t="str">
        <f>"ALGEBRA 2 HON"</f>
        <v>ALGEBRA 2 HON</v>
      </c>
      <c r="G15428" t="str">
        <f>"21-2158"</f>
        <v>21-2158</v>
      </c>
      <c r="H15428" t="str">
        <f>"A"</f>
        <v>A</v>
      </c>
    </row>
    <row r="15429" spans="1:8" x14ac:dyDescent="0.2">
      <c r="A15429" t="str">
        <f t="shared" si="5594"/>
        <v>0623068068</v>
      </c>
      <c r="B15429" t="str">
        <f t="shared" si="5595"/>
        <v>SOPHIA</v>
      </c>
      <c r="C15429" t="str">
        <f t="shared" si="5592"/>
        <v>SANTIAGO</v>
      </c>
      <c r="D15429">
        <f>11</f>
        <v>11</v>
      </c>
      <c r="E15429" t="str">
        <f>"02 - A - 101 - Milca  Exantus"</f>
        <v>02 - A - 101 - Milca  Exantus</v>
      </c>
      <c r="F15429" t="str">
        <f>"NC STUDY HALL 1"</f>
        <v>NC STUDY HALL 1</v>
      </c>
      <c r="G15429" t="str">
        <f>"21-2145"</f>
        <v>21-2145</v>
      </c>
      <c r="H15429" t="str">
        <f>"A"</f>
        <v>A</v>
      </c>
    </row>
    <row r="15430" spans="1:8" x14ac:dyDescent="0.2">
      <c r="A15430" t="str">
        <f t="shared" si="5594"/>
        <v>0623068068</v>
      </c>
      <c r="B15430" t="str">
        <f t="shared" si="5595"/>
        <v>SOPHIA</v>
      </c>
      <c r="C15430" t="str">
        <f t="shared" si="5592"/>
        <v>SANTIAGO</v>
      </c>
      <c r="D15430">
        <f>11</f>
        <v>11</v>
      </c>
      <c r="E15430" t="str">
        <f>"07 - B - 102 - Timothy J Lawrence"</f>
        <v>07 - B - 102 - Timothy J Lawrence</v>
      </c>
      <c r="F15430" t="str">
        <f>"AICE PHYS ED 1 AS"</f>
        <v>AICE PHYS ED 1 AS</v>
      </c>
      <c r="G15430" t="str">
        <f>"05-523"</f>
        <v>05-523</v>
      </c>
      <c r="H15430" t="str">
        <f>"B"</f>
        <v>B</v>
      </c>
    </row>
    <row r="15431" spans="1:8" x14ac:dyDescent="0.2">
      <c r="A15431" t="str">
        <f t="shared" si="5594"/>
        <v>0623068068</v>
      </c>
      <c r="B15431" t="str">
        <f t="shared" si="5595"/>
        <v>SOPHIA</v>
      </c>
      <c r="C15431" t="str">
        <f t="shared" si="5592"/>
        <v>SANTIAGO</v>
      </c>
      <c r="D15431">
        <f>11</f>
        <v>11</v>
      </c>
      <c r="E15431" t="str">
        <f>"05 - B - 102 - Jacklyn M James"</f>
        <v>05 - B - 102 - Jacklyn M James</v>
      </c>
      <c r="F15431" t="str">
        <f>"AICE ENG LANG AS"</f>
        <v>AICE ENG LANG AS</v>
      </c>
      <c r="G15431" t="str">
        <f>"17-1731"</f>
        <v>17-1731</v>
      </c>
      <c r="H15431" t="str">
        <f>"B"</f>
        <v>B</v>
      </c>
    </row>
    <row r="15432" spans="1:8" x14ac:dyDescent="0.2">
      <c r="A15432" t="str">
        <f t="shared" si="5594"/>
        <v>0623068068</v>
      </c>
      <c r="B15432" t="str">
        <f t="shared" si="5595"/>
        <v>SOPHIA</v>
      </c>
      <c r="C15432" t="str">
        <f t="shared" si="5592"/>
        <v>SANTIAGO</v>
      </c>
      <c r="D15432">
        <f>11</f>
        <v>11</v>
      </c>
      <c r="E15432" t="str">
        <f>"01 - A - 103 - Scott A Dethloff"</f>
        <v>01 - A - 103 - Scott A Dethloff</v>
      </c>
      <c r="F15432" t="str">
        <f>"AICE THINK SKLS 1 AS"</f>
        <v>AICE THINK SKLS 1 AS</v>
      </c>
      <c r="G15432" t="str">
        <f>"08-812"</f>
        <v>08-812</v>
      </c>
      <c r="H15432" t="str">
        <f>"A"</f>
        <v>A</v>
      </c>
    </row>
    <row r="15433" spans="1:8" x14ac:dyDescent="0.2">
      <c r="A15433" t="str">
        <f t="shared" si="5594"/>
        <v>0623068068</v>
      </c>
      <c r="B15433" t="str">
        <f t="shared" si="5595"/>
        <v>SOPHIA</v>
      </c>
      <c r="C15433" t="str">
        <f t="shared" si="5592"/>
        <v>SANTIAGO</v>
      </c>
      <c r="D15433">
        <f>11</f>
        <v>11</v>
      </c>
      <c r="E15433" t="str">
        <f>"08 - B - 001 - Jerry S Jiampetti"</f>
        <v>08 - B - 001 - Jerry S Jiampetti</v>
      </c>
      <c r="F15433" t="str">
        <f>"AICE U.S. HIST 1 AS"</f>
        <v>AICE U.S. HIST 1 AS</v>
      </c>
      <c r="G15433" t="str">
        <f>"17-1751"</f>
        <v>17-1751</v>
      </c>
      <c r="H15433" t="str">
        <f>"B"</f>
        <v>B</v>
      </c>
    </row>
    <row r="15434" spans="1:8" x14ac:dyDescent="0.2">
      <c r="A15434" t="str">
        <f t="shared" ref="A15434:A15441" si="5596">"0615074679"</f>
        <v>0615074679</v>
      </c>
      <c r="B15434" t="str">
        <f t="shared" ref="B15434:B15441" si="5597">"DYAN"</f>
        <v>DYAN</v>
      </c>
      <c r="C15434" t="str">
        <f t="shared" ref="C15434:C15441" si="5598">"SANTIAGO-TORRES"</f>
        <v>SANTIAGO-TORRES</v>
      </c>
      <c r="D15434" t="str">
        <f t="shared" ref="D15434:D15441" si="5599">"09"</f>
        <v>09</v>
      </c>
      <c r="E15434" t="str">
        <f>"04 - A - 104 - Brook E Goren"</f>
        <v>04 - A - 104 - Brook E Goren</v>
      </c>
      <c r="F15434" t="str">
        <f>"ALGEBRA 2 HON"</f>
        <v>ALGEBRA 2 HON</v>
      </c>
      <c r="G15434" t="str">
        <f>"21-2158"</f>
        <v>21-2158</v>
      </c>
      <c r="H15434" t="str">
        <f>"A"</f>
        <v>A</v>
      </c>
    </row>
    <row r="15435" spans="1:8" x14ac:dyDescent="0.2">
      <c r="A15435" t="str">
        <f t="shared" si="5596"/>
        <v>0615074679</v>
      </c>
      <c r="B15435" t="str">
        <f t="shared" si="5597"/>
        <v>DYAN</v>
      </c>
      <c r="C15435" t="str">
        <f t="shared" si="5598"/>
        <v>SANTIAGO-TORRES</v>
      </c>
      <c r="D15435" t="str">
        <f t="shared" si="5599"/>
        <v>09</v>
      </c>
      <c r="E15435" t="str">
        <f>"06 - B - 106 - Adam Marcus  Drucker"</f>
        <v>06 - B - 106 - Adam Marcus  Drucker</v>
      </c>
      <c r="F15435" t="str">
        <f>"HOPE-PE V"</f>
        <v>HOPE-PE V</v>
      </c>
      <c r="G15435" t="str">
        <f>"04-254"</f>
        <v>04-254</v>
      </c>
      <c r="H15435" t="str">
        <f>"B"</f>
        <v>B</v>
      </c>
    </row>
    <row r="15436" spans="1:8" x14ac:dyDescent="0.2">
      <c r="A15436" t="str">
        <f t="shared" si="5596"/>
        <v>0615074679</v>
      </c>
      <c r="B15436" t="str">
        <f t="shared" si="5597"/>
        <v>DYAN</v>
      </c>
      <c r="C15436" t="str">
        <f t="shared" si="5598"/>
        <v>SANTIAGO-TORRES</v>
      </c>
      <c r="D15436" t="str">
        <f t="shared" si="5599"/>
        <v>09</v>
      </c>
      <c r="E15436" t="str">
        <f>"03 - A - 005 - Cerine S Stewart"</f>
        <v>03 - A - 005 - Cerine S Stewart</v>
      </c>
      <c r="F15436" t="str">
        <f>"AICE ENG GEN PAPER 1"</f>
        <v>AICE ENG GEN PAPER 1</v>
      </c>
      <c r="G15436" t="str">
        <f>"17-1720"</f>
        <v>17-1720</v>
      </c>
      <c r="H15436" t="str">
        <f>"A"</f>
        <v>A</v>
      </c>
    </row>
    <row r="15437" spans="1:8" x14ac:dyDescent="0.2">
      <c r="A15437" t="str">
        <f t="shared" si="5596"/>
        <v>0615074679</v>
      </c>
      <c r="B15437" t="str">
        <f t="shared" si="5597"/>
        <v>DYAN</v>
      </c>
      <c r="C15437" t="str">
        <f t="shared" si="5598"/>
        <v>SANTIAGO-TORRES</v>
      </c>
      <c r="D15437" t="str">
        <f t="shared" si="5599"/>
        <v>09</v>
      </c>
      <c r="E15437" t="str">
        <f>"02 - A - 105 - Elizabeth R Walker"</f>
        <v>02 - A - 105 - Elizabeth R Walker</v>
      </c>
      <c r="F15437" t="str">
        <f>"NC STUDY HALL 1"</f>
        <v>NC STUDY HALL 1</v>
      </c>
      <c r="G15437" t="str">
        <f>"17-1703"</f>
        <v>17-1703</v>
      </c>
      <c r="H15437" t="str">
        <f>"A"</f>
        <v>A</v>
      </c>
    </row>
    <row r="15438" spans="1:8" x14ac:dyDescent="0.2">
      <c r="A15438" t="str">
        <f t="shared" si="5596"/>
        <v>0615074679</v>
      </c>
      <c r="B15438" t="str">
        <f t="shared" si="5597"/>
        <v>DYAN</v>
      </c>
      <c r="C15438" t="str">
        <f t="shared" si="5598"/>
        <v>SANTIAGO-TORRES</v>
      </c>
      <c r="D15438" t="str">
        <f t="shared" si="5599"/>
        <v>09</v>
      </c>
      <c r="E15438" t="str">
        <f>"07 - B - 206 - Cheryl L Beach"</f>
        <v>07 - B - 206 - Cheryl L Beach</v>
      </c>
      <c r="F15438" t="str">
        <f>"AICE ENV MGMNT AS"</f>
        <v>AICE ENV MGMNT AS</v>
      </c>
      <c r="G15438" t="str">
        <f>"08-811"</f>
        <v>08-811</v>
      </c>
      <c r="H15438" t="str">
        <f>"B"</f>
        <v>B</v>
      </c>
    </row>
    <row r="15439" spans="1:8" x14ac:dyDescent="0.2">
      <c r="A15439" t="str">
        <f t="shared" si="5596"/>
        <v>0615074679</v>
      </c>
      <c r="B15439" t="str">
        <f t="shared" si="5597"/>
        <v>DYAN</v>
      </c>
      <c r="C15439" t="str">
        <f t="shared" si="5598"/>
        <v>SANTIAGO-TORRES</v>
      </c>
      <c r="D15439" t="str">
        <f t="shared" si="5599"/>
        <v>09</v>
      </c>
      <c r="E15439" t="str">
        <f>"05 - B - 104 - Joe  Kilpatrick Jr"</f>
        <v>05 - B - 104 - Joe  Kilpatrick Jr</v>
      </c>
      <c r="F15439" t="str">
        <f>"PRE-AICE SPAN 1 IG"</f>
        <v>PRE-AICE SPAN 1 IG</v>
      </c>
      <c r="G15439" t="str">
        <f>"09-912"</f>
        <v>09-912</v>
      </c>
      <c r="H15439" t="str">
        <f>"B"</f>
        <v>B</v>
      </c>
    </row>
    <row r="15440" spans="1:8" x14ac:dyDescent="0.2">
      <c r="A15440" t="str">
        <f t="shared" si="5596"/>
        <v>0615074679</v>
      </c>
      <c r="B15440" t="str">
        <f t="shared" si="5597"/>
        <v>DYAN</v>
      </c>
      <c r="C15440" t="str">
        <f t="shared" si="5598"/>
        <v>SANTIAGO-TORRES</v>
      </c>
      <c r="D15440" t="str">
        <f t="shared" si="5599"/>
        <v>09</v>
      </c>
      <c r="E15440" t="str">
        <f>"01 - A - 006 - Emmily A Sarmiento"</f>
        <v>01 - A - 006 - Emmily A Sarmiento</v>
      </c>
      <c r="F15440" t="str">
        <f>"AICE GLBL PERSP 1 AS"</f>
        <v>AICE GLBL PERSP 1 AS</v>
      </c>
      <c r="G15440" t="str">
        <f>"17-1743"</f>
        <v>17-1743</v>
      </c>
      <c r="H15440" t="str">
        <f>"A"</f>
        <v>A</v>
      </c>
    </row>
    <row r="15441" spans="1:8" x14ac:dyDescent="0.2">
      <c r="A15441" t="str">
        <f t="shared" si="5596"/>
        <v>0615074679</v>
      </c>
      <c r="B15441" t="str">
        <f t="shared" si="5597"/>
        <v>DYAN</v>
      </c>
      <c r="C15441" t="str">
        <f t="shared" si="5598"/>
        <v>SANTIAGO-TORRES</v>
      </c>
      <c r="D15441" t="str">
        <f t="shared" si="5599"/>
        <v>09</v>
      </c>
      <c r="E15441" t="str">
        <f>"08 - B - 103 - Jeanne M Bermudez"</f>
        <v>08 - B - 103 - Jeanne M Bermudez</v>
      </c>
      <c r="F15441" t="str">
        <f>"ADVANCED IT HON"</f>
        <v>ADVANCED IT HON</v>
      </c>
      <c r="G15441" t="str">
        <f>"21-2141"</f>
        <v>21-2141</v>
      </c>
      <c r="H15441" t="str">
        <f>"B"</f>
        <v>B</v>
      </c>
    </row>
    <row r="15442" spans="1:8" x14ac:dyDescent="0.2">
      <c r="A15442" t="str">
        <f t="shared" ref="A15442:A15449" si="5600">"0624048180"</f>
        <v>0624048180</v>
      </c>
      <c r="B15442" t="str">
        <f t="shared" ref="B15442:B15449" si="5601">"MARCELA"</f>
        <v>MARCELA</v>
      </c>
      <c r="C15442" t="str">
        <f t="shared" ref="C15442:C15449" si="5602">"SANTOS"</f>
        <v>SANTOS</v>
      </c>
      <c r="D15442">
        <f>10</f>
        <v>10</v>
      </c>
      <c r="E15442" t="str">
        <f>"04 - A - 102 - Jordana K Hass"</f>
        <v>04 - A - 102 - Jordana K Hass</v>
      </c>
      <c r="F15442" t="str">
        <f>"CHEMISTRY 1"</f>
        <v>CHEMISTRY 1</v>
      </c>
      <c r="G15442" t="str">
        <f>"08-807"</f>
        <v>08-807</v>
      </c>
      <c r="H15442" t="str">
        <f>"A"</f>
        <v>A</v>
      </c>
    </row>
    <row r="15443" spans="1:8" x14ac:dyDescent="0.2">
      <c r="A15443" t="str">
        <f t="shared" si="5600"/>
        <v>0624048180</v>
      </c>
      <c r="B15443" t="str">
        <f t="shared" si="5601"/>
        <v>MARCELA</v>
      </c>
      <c r="C15443" t="str">
        <f t="shared" si="5602"/>
        <v>SANTOS</v>
      </c>
      <c r="D15443">
        <f>10</f>
        <v>10</v>
      </c>
      <c r="E15443" t="str">
        <f>"06 - B - 109 - Semra  Bahadir"</f>
        <v>06 - B - 109 - Semra  Bahadir</v>
      </c>
      <c r="F15443" t="str">
        <f>"NC STUDY HALL 1"</f>
        <v>NC STUDY HALL 1</v>
      </c>
      <c r="G15443" t="str">
        <f>"21-2107"</f>
        <v>21-2107</v>
      </c>
      <c r="H15443" t="str">
        <f>"B"</f>
        <v>B</v>
      </c>
    </row>
    <row r="15444" spans="1:8" x14ac:dyDescent="0.2">
      <c r="A15444" t="str">
        <f t="shared" si="5600"/>
        <v>0624048180</v>
      </c>
      <c r="B15444" t="str">
        <f t="shared" si="5601"/>
        <v>MARCELA</v>
      </c>
      <c r="C15444" t="str">
        <f t="shared" si="5602"/>
        <v>SANTOS</v>
      </c>
      <c r="D15444">
        <f>10</f>
        <v>10</v>
      </c>
      <c r="E15444" t="str">
        <f>"03 - A - 101 - Eva T Rimmer"</f>
        <v>03 - A - 101 - Eva T Rimmer</v>
      </c>
      <c r="F15444" t="str">
        <f>"CRIMINAL JUST OPS 1"</f>
        <v>CRIMINAL JUST OPS 1</v>
      </c>
      <c r="G15444" t="str">
        <f>"05-523"</f>
        <v>05-523</v>
      </c>
      <c r="H15444" t="str">
        <f>"A"</f>
        <v>A</v>
      </c>
    </row>
    <row r="15445" spans="1:8" x14ac:dyDescent="0.2">
      <c r="A15445" t="str">
        <f t="shared" si="5600"/>
        <v>0624048180</v>
      </c>
      <c r="B15445" t="str">
        <f t="shared" si="5601"/>
        <v>MARCELA</v>
      </c>
      <c r="C15445" t="str">
        <f t="shared" si="5602"/>
        <v>SANTOS</v>
      </c>
      <c r="D15445">
        <f>10</f>
        <v>10</v>
      </c>
      <c r="E15445" t="str">
        <f>"02 - S1 - A - 101 - Carol S Moore"</f>
        <v>02 - S1 - A - 101 - Carol S Moore</v>
      </c>
      <c r="F15445" t="str">
        <f>"PER CAR SCH DEV 1 LH"</f>
        <v>PER CAR SCH DEV 1 LH</v>
      </c>
      <c r="G15445" t="str">
        <f>"17-1733"</f>
        <v>17-1733</v>
      </c>
      <c r="H15445" t="str">
        <f>"A"</f>
        <v>A</v>
      </c>
    </row>
    <row r="15446" spans="1:8" x14ac:dyDescent="0.2">
      <c r="A15446" t="str">
        <f t="shared" si="5600"/>
        <v>0624048180</v>
      </c>
      <c r="B15446" t="str">
        <f t="shared" si="5601"/>
        <v>MARCELA</v>
      </c>
      <c r="C15446" t="str">
        <f t="shared" si="5602"/>
        <v>SANTOS</v>
      </c>
      <c r="D15446">
        <f>10</f>
        <v>10</v>
      </c>
      <c r="E15446" t="str">
        <f>"07 - B - 204 - Elizabeth Ellen  Moran"</f>
        <v>07 - B - 204 - Elizabeth Ellen  Moran</v>
      </c>
      <c r="F15446" t="str">
        <f>"AICE EURO HIST 1 AS"</f>
        <v>AICE EURO HIST 1 AS</v>
      </c>
      <c r="G15446" t="str">
        <f>"17-1752"</f>
        <v>17-1752</v>
      </c>
      <c r="H15446" t="str">
        <f>"B"</f>
        <v>B</v>
      </c>
    </row>
    <row r="15447" spans="1:8" x14ac:dyDescent="0.2">
      <c r="A15447" t="str">
        <f t="shared" si="5600"/>
        <v>0624048180</v>
      </c>
      <c r="B15447" t="str">
        <f t="shared" si="5601"/>
        <v>MARCELA</v>
      </c>
      <c r="C15447" t="str">
        <f t="shared" si="5602"/>
        <v>SANTOS</v>
      </c>
      <c r="D15447">
        <f>10</f>
        <v>10</v>
      </c>
      <c r="E15447" t="str">
        <f>"05 - B - 101 - Brian M Fitzgerald"</f>
        <v>05 - B - 101 - Brian M Fitzgerald</v>
      </c>
      <c r="F15447" t="str">
        <f>"PAINT 1"</f>
        <v>PAINT 1</v>
      </c>
      <c r="G15447" t="str">
        <f>"09-908"</f>
        <v>09-908</v>
      </c>
      <c r="H15447" t="str">
        <f>"B"</f>
        <v>B</v>
      </c>
    </row>
    <row r="15448" spans="1:8" x14ac:dyDescent="0.2">
      <c r="A15448" t="str">
        <f t="shared" si="5600"/>
        <v>0624048180</v>
      </c>
      <c r="B15448" t="str">
        <f t="shared" si="5601"/>
        <v>MARCELA</v>
      </c>
      <c r="C15448" t="str">
        <f t="shared" si="5602"/>
        <v>SANTOS</v>
      </c>
      <c r="D15448">
        <f>10</f>
        <v>10</v>
      </c>
      <c r="E15448" t="str">
        <f>"01 - A - 102 - Brook E Goren"</f>
        <v>01 - A - 102 - Brook E Goren</v>
      </c>
      <c r="F15448" t="str">
        <f>"PRE-AICE MATH 2 IG"</f>
        <v>PRE-AICE MATH 2 IG</v>
      </c>
      <c r="G15448" t="str">
        <f>"21-2158"</f>
        <v>21-2158</v>
      </c>
      <c r="H15448" t="str">
        <f>"A"</f>
        <v>A</v>
      </c>
    </row>
    <row r="15449" spans="1:8" x14ac:dyDescent="0.2">
      <c r="A15449" t="str">
        <f t="shared" si="5600"/>
        <v>0624048180</v>
      </c>
      <c r="B15449" t="str">
        <f t="shared" si="5601"/>
        <v>MARCELA</v>
      </c>
      <c r="C15449" t="str">
        <f t="shared" si="5602"/>
        <v>SANTOS</v>
      </c>
      <c r="D15449">
        <f>10</f>
        <v>10</v>
      </c>
      <c r="E15449" t="str">
        <f>"08 - B - 001 - Jacklyn M James"</f>
        <v>08 - B - 001 - Jacklyn M James</v>
      </c>
      <c r="F15449" t="str">
        <f>"AICE ENG LANG AS"</f>
        <v>AICE ENG LANG AS</v>
      </c>
      <c r="G15449" t="str">
        <f>"17-1731"</f>
        <v>17-1731</v>
      </c>
      <c r="H15449" t="str">
        <f>"B"</f>
        <v>B</v>
      </c>
    </row>
    <row r="15450" spans="1:8" x14ac:dyDescent="0.2">
      <c r="A15450" t="str">
        <f t="shared" ref="A15450:A15457" si="5603">"0617051084"</f>
        <v>0617051084</v>
      </c>
      <c r="B15450" t="str">
        <f t="shared" ref="B15450:B15457" si="5604">"SARAI"</f>
        <v>SARAI</v>
      </c>
      <c r="C15450" t="str">
        <f t="shared" ref="C15450:C15457" si="5605">"SARAVIA"</f>
        <v>SARAVIA</v>
      </c>
      <c r="D15450" t="str">
        <f t="shared" ref="D15450:D15457" si="5606">"09"</f>
        <v>09</v>
      </c>
      <c r="E15450" t="str">
        <f>"04 - A - 004 - Krystal Marie  Beruty"</f>
        <v>04 - A - 004 - Krystal Marie  Beruty</v>
      </c>
      <c r="F15450" t="str">
        <f>"AICE GLBL PERSP 1 AS"</f>
        <v>AICE GLBL PERSP 1 AS</v>
      </c>
      <c r="G15450" t="str">
        <f>"17-1721"</f>
        <v>17-1721</v>
      </c>
      <c r="H15450" t="str">
        <f>"A"</f>
        <v>A</v>
      </c>
    </row>
    <row r="15451" spans="1:8" x14ac:dyDescent="0.2">
      <c r="A15451" t="str">
        <f t="shared" si="5603"/>
        <v>0617051084</v>
      </c>
      <c r="B15451" t="str">
        <f t="shared" si="5604"/>
        <v>SARAI</v>
      </c>
      <c r="C15451" t="str">
        <f t="shared" si="5605"/>
        <v>SARAVIA</v>
      </c>
      <c r="D15451" t="str">
        <f t="shared" si="5606"/>
        <v>09</v>
      </c>
      <c r="E15451" t="str">
        <f>"06 - B - 202 - Alejandro  Navarro"</f>
        <v>06 - B - 202 - Alejandro  Navarro</v>
      </c>
      <c r="F15451" t="str">
        <f>"BAND 1"</f>
        <v>BAND 1</v>
      </c>
      <c r="G15451" t="str">
        <f>"05-504"</f>
        <v>05-504</v>
      </c>
      <c r="H15451" t="str">
        <f>"B"</f>
        <v>B</v>
      </c>
    </row>
    <row r="15452" spans="1:8" x14ac:dyDescent="0.2">
      <c r="A15452" t="str">
        <f t="shared" si="5603"/>
        <v>0617051084</v>
      </c>
      <c r="B15452" t="str">
        <f t="shared" si="5604"/>
        <v>SARAI</v>
      </c>
      <c r="C15452" t="str">
        <f t="shared" si="5605"/>
        <v>SARAVIA</v>
      </c>
      <c r="D15452" t="str">
        <f t="shared" si="5606"/>
        <v>09</v>
      </c>
      <c r="E15452" t="str">
        <f>"03 - A - 005 - Cerine S Stewart"</f>
        <v>03 - A - 005 - Cerine S Stewart</v>
      </c>
      <c r="F15452" t="str">
        <f>"AICE ENG GEN PAPER 1"</f>
        <v>AICE ENG GEN PAPER 1</v>
      </c>
      <c r="G15452" t="str">
        <f>"17-1720"</f>
        <v>17-1720</v>
      </c>
      <c r="H15452" t="str">
        <f>"A"</f>
        <v>A</v>
      </c>
    </row>
    <row r="15453" spans="1:8" x14ac:dyDescent="0.2">
      <c r="A15453" t="str">
        <f t="shared" si="5603"/>
        <v>0617051084</v>
      </c>
      <c r="B15453" t="str">
        <f t="shared" si="5604"/>
        <v>SARAI</v>
      </c>
      <c r="C15453" t="str">
        <f t="shared" si="5605"/>
        <v>SARAVIA</v>
      </c>
      <c r="D15453" t="str">
        <f t="shared" si="5606"/>
        <v>09</v>
      </c>
      <c r="E15453" t="str">
        <f>"02 - A - 114 - Laselleda D Shaw"</f>
        <v>02 - A - 114 - Laselleda D Shaw</v>
      </c>
      <c r="F15453" t="str">
        <f>"NC STUDY HALL 1"</f>
        <v>NC STUDY HALL 1</v>
      </c>
      <c r="G15453" t="str">
        <f>"17-1723"</f>
        <v>17-1723</v>
      </c>
      <c r="H15453" t="str">
        <f>"A"</f>
        <v>A</v>
      </c>
    </row>
    <row r="15454" spans="1:8" x14ac:dyDescent="0.2">
      <c r="A15454" t="str">
        <f t="shared" si="5603"/>
        <v>0617051084</v>
      </c>
      <c r="B15454" t="str">
        <f t="shared" si="5604"/>
        <v>SARAI</v>
      </c>
      <c r="C15454" t="str">
        <f t="shared" si="5605"/>
        <v>SARAVIA</v>
      </c>
      <c r="D15454" t="str">
        <f t="shared" si="5606"/>
        <v>09</v>
      </c>
      <c r="E15454" t="str">
        <f>"07 - B - 202 - Chrystina M Marchionne"</f>
        <v>07 - B - 202 - Chrystina M Marchionne</v>
      </c>
      <c r="F15454" t="str">
        <f>"JOURN 1 (YB) LH"</f>
        <v>JOURN 1 (YB) LH</v>
      </c>
      <c r="G15454" t="str">
        <f>"05-520"</f>
        <v>05-520</v>
      </c>
      <c r="H15454" t="str">
        <f>"B"</f>
        <v>B</v>
      </c>
    </row>
    <row r="15455" spans="1:8" x14ac:dyDescent="0.2">
      <c r="A15455" t="str">
        <f t="shared" si="5603"/>
        <v>0617051084</v>
      </c>
      <c r="B15455" t="str">
        <f t="shared" si="5604"/>
        <v>SARAI</v>
      </c>
      <c r="C15455" t="str">
        <f t="shared" si="5605"/>
        <v>SARAVIA</v>
      </c>
      <c r="D15455" t="str">
        <f t="shared" si="5606"/>
        <v>09</v>
      </c>
      <c r="E15455" t="str">
        <f>"05 - B - 103 - Brook E Goren"</f>
        <v>05 - B - 103 - Brook E Goren</v>
      </c>
      <c r="F15455" t="str">
        <f>"PRE-AICE MATH 2 IG"</f>
        <v>PRE-AICE MATH 2 IG</v>
      </c>
      <c r="G15455" t="str">
        <f>"21-2158"</f>
        <v>21-2158</v>
      </c>
      <c r="H15455" t="str">
        <f>"B"</f>
        <v>B</v>
      </c>
    </row>
    <row r="15456" spans="1:8" x14ac:dyDescent="0.2">
      <c r="A15456" t="str">
        <f t="shared" si="5603"/>
        <v>0617051084</v>
      </c>
      <c r="B15456" t="str">
        <f t="shared" si="5604"/>
        <v>SARAI</v>
      </c>
      <c r="C15456" t="str">
        <f t="shared" si="5605"/>
        <v>SARAVIA</v>
      </c>
      <c r="D15456" t="str">
        <f t="shared" si="5606"/>
        <v>09</v>
      </c>
      <c r="E15456" t="str">
        <f>"01 - A - 201 - Cheryl L Beach"</f>
        <v>01 - A - 201 - Cheryl L Beach</v>
      </c>
      <c r="F15456" t="str">
        <f>"AICE ENV MGMNT AS"</f>
        <v>AICE ENV MGMNT AS</v>
      </c>
      <c r="G15456" t="str">
        <f>"08-811"</f>
        <v>08-811</v>
      </c>
      <c r="H15456" t="str">
        <f>"A"</f>
        <v>A</v>
      </c>
    </row>
    <row r="15457" spans="1:8" x14ac:dyDescent="0.2">
      <c r="A15457" t="str">
        <f t="shared" si="5603"/>
        <v>0617051084</v>
      </c>
      <c r="B15457" t="str">
        <f t="shared" si="5604"/>
        <v>SARAI</v>
      </c>
      <c r="C15457" t="str">
        <f t="shared" si="5605"/>
        <v>SARAVIA</v>
      </c>
      <c r="D15457" t="str">
        <f t="shared" si="5606"/>
        <v>09</v>
      </c>
      <c r="E15457" t="str">
        <f>"08 - B - 001 - Brian M Fitzgerald"</f>
        <v>08 - B - 001 - Brian M Fitzgerald</v>
      </c>
      <c r="F15457" t="str">
        <f>"CERAM/POT 1"</f>
        <v>CERAM/POT 1</v>
      </c>
      <c r="G15457" t="str">
        <f>"09-908"</f>
        <v>09-908</v>
      </c>
      <c r="H15457" t="str">
        <f>"B"</f>
        <v>B</v>
      </c>
    </row>
    <row r="15458" spans="1:8" x14ac:dyDescent="0.2">
      <c r="A15458" t="str">
        <f t="shared" ref="A15458:A15465" si="5607">"0623098467"</f>
        <v>0623098467</v>
      </c>
      <c r="B15458" t="str">
        <f t="shared" ref="B15458:B15465" si="5608">"NATALIA"</f>
        <v>NATALIA</v>
      </c>
      <c r="C15458" t="str">
        <f t="shared" ref="C15458:C15465" si="5609">"SARAVIA-NORABUENA"</f>
        <v>SARAVIA-NORABUENA</v>
      </c>
      <c r="D15458">
        <f>11</f>
        <v>11</v>
      </c>
      <c r="E15458" t="str">
        <f>"04 - S1 - A - 103 - Rory T Sponsler"</f>
        <v>04 - S1 - A - 103 - Rory T Sponsler</v>
      </c>
      <c r="F15458" t="str">
        <f>"WOMENS STUDIES LH"</f>
        <v>WOMENS STUDIES LH</v>
      </c>
      <c r="G15458" t="str">
        <f>"17-1740"</f>
        <v>17-1740</v>
      </c>
      <c r="H15458" t="str">
        <f>"A"</f>
        <v>A</v>
      </c>
    </row>
    <row r="15459" spans="1:8" x14ac:dyDescent="0.2">
      <c r="A15459" t="str">
        <f t="shared" si="5607"/>
        <v>0623098467</v>
      </c>
      <c r="B15459" t="str">
        <f t="shared" si="5608"/>
        <v>NATALIA</v>
      </c>
      <c r="C15459" t="str">
        <f t="shared" si="5609"/>
        <v>SARAVIA-NORABUENA</v>
      </c>
      <c r="D15459">
        <f>11</f>
        <v>11</v>
      </c>
      <c r="E15459" t="str">
        <f>"06 - B - 105 - Arthur  Kulawik"</f>
        <v>06 - B - 105 - Arthur  Kulawik</v>
      </c>
      <c r="F15459" t="str">
        <f>"ENG 3"</f>
        <v>ENG 3</v>
      </c>
      <c r="G15459" t="str">
        <f>"05-506"</f>
        <v>05-506</v>
      </c>
      <c r="H15459" t="str">
        <f>"B"</f>
        <v>B</v>
      </c>
    </row>
    <row r="15460" spans="1:8" x14ac:dyDescent="0.2">
      <c r="A15460" t="str">
        <f t="shared" si="5607"/>
        <v>0623098467</v>
      </c>
      <c r="B15460" t="str">
        <f t="shared" si="5608"/>
        <v>NATALIA</v>
      </c>
      <c r="C15460" t="str">
        <f t="shared" si="5609"/>
        <v>SARAVIA-NORABUENA</v>
      </c>
      <c r="D15460">
        <f>11</f>
        <v>11</v>
      </c>
      <c r="E15460" t="str">
        <f>"03 - A - 102 - Nahum  Saint-Preux"</f>
        <v>03 - A - 102 - Nahum  Saint-Preux</v>
      </c>
      <c r="F15460" t="str">
        <f>"INTENS READ 3"</f>
        <v>INTENS READ 3</v>
      </c>
      <c r="G15460" t="str">
        <f>"17-1712"</f>
        <v>17-1712</v>
      </c>
      <c r="H15460" t="str">
        <f>"A"</f>
        <v>A</v>
      </c>
    </row>
    <row r="15461" spans="1:8" x14ac:dyDescent="0.2">
      <c r="A15461" t="str">
        <f t="shared" si="5607"/>
        <v>0623098467</v>
      </c>
      <c r="B15461" t="str">
        <f t="shared" si="5608"/>
        <v>NATALIA</v>
      </c>
      <c r="C15461" t="str">
        <f t="shared" si="5609"/>
        <v>SARAVIA-NORABUENA</v>
      </c>
      <c r="D15461">
        <f>11</f>
        <v>11</v>
      </c>
      <c r="E15461" t="str">
        <f>"02 - A - 113 - Byron G Montenegro"</f>
        <v>02 - A - 113 - Byron G Montenegro</v>
      </c>
      <c r="F15461" t="str">
        <f>"NC STUDY HALL 1"</f>
        <v>NC STUDY HALL 1</v>
      </c>
      <c r="G15461" t="str">
        <f>"21-2144"</f>
        <v>21-2144</v>
      </c>
      <c r="H15461" t="str">
        <f>"A"</f>
        <v>A</v>
      </c>
    </row>
    <row r="15462" spans="1:8" x14ac:dyDescent="0.2">
      <c r="A15462" t="str">
        <f t="shared" si="5607"/>
        <v>0623098467</v>
      </c>
      <c r="B15462" t="str">
        <f t="shared" si="5608"/>
        <v>NATALIA</v>
      </c>
      <c r="C15462" t="str">
        <f t="shared" si="5609"/>
        <v>SARAVIA-NORABUENA</v>
      </c>
      <c r="D15462">
        <f>11</f>
        <v>11</v>
      </c>
      <c r="E15462" t="str">
        <f>"07 - B - 101 - Samantha L Martinez"</f>
        <v>07 - B - 101 - Samantha L Martinez</v>
      </c>
      <c r="F15462" t="str">
        <f>"KEYBD 1"</f>
        <v>KEYBD 1</v>
      </c>
      <c r="G15462" t="str">
        <f>"05-505"</f>
        <v>05-505</v>
      </c>
      <c r="H15462" t="str">
        <f>"B"</f>
        <v>B</v>
      </c>
    </row>
    <row r="15463" spans="1:8" x14ac:dyDescent="0.2">
      <c r="A15463" t="str">
        <f t="shared" si="5607"/>
        <v>0623098467</v>
      </c>
      <c r="B15463" t="str">
        <f t="shared" si="5608"/>
        <v>NATALIA</v>
      </c>
      <c r="C15463" t="str">
        <f t="shared" si="5609"/>
        <v>SARAVIA-NORABUENA</v>
      </c>
      <c r="D15463">
        <f>11</f>
        <v>11</v>
      </c>
      <c r="E15463" t="str">
        <f>"05 - B - 205 - Lenecy  Nodarse"</f>
        <v>05 - B - 205 - Lenecy  Nodarse</v>
      </c>
      <c r="F15463" t="str">
        <f>"WORLD HISTORY"</f>
        <v>WORLD HISTORY</v>
      </c>
      <c r="G15463" t="str">
        <f>"17-1741"</f>
        <v>17-1741</v>
      </c>
      <c r="H15463" t="str">
        <f>"B"</f>
        <v>B</v>
      </c>
    </row>
    <row r="15464" spans="1:8" x14ac:dyDescent="0.2">
      <c r="A15464" t="str">
        <f t="shared" si="5607"/>
        <v>0623098467</v>
      </c>
      <c r="B15464" t="str">
        <f t="shared" si="5608"/>
        <v>NATALIA</v>
      </c>
      <c r="C15464" t="str">
        <f t="shared" si="5609"/>
        <v>SARAVIA-NORABUENA</v>
      </c>
      <c r="D15464">
        <f>11</f>
        <v>11</v>
      </c>
      <c r="E15464" t="str">
        <f>"01 - A - 102 - Fernando  Vega-Cid"</f>
        <v>01 - A - 102 - Fernando  Vega-Cid</v>
      </c>
      <c r="F15464" t="str">
        <f>"GEOMETRY"</f>
        <v>GEOMETRY</v>
      </c>
      <c r="G15464" t="str">
        <f>"21-2163"</f>
        <v>21-2163</v>
      </c>
      <c r="H15464" t="str">
        <f>"A"</f>
        <v>A</v>
      </c>
    </row>
    <row r="15465" spans="1:8" x14ac:dyDescent="0.2">
      <c r="A15465" t="str">
        <f t="shared" si="5607"/>
        <v>0623098467</v>
      </c>
      <c r="B15465" t="str">
        <f t="shared" si="5608"/>
        <v>NATALIA</v>
      </c>
      <c r="C15465" t="str">
        <f t="shared" si="5609"/>
        <v>SARAVIA-NORABUENA</v>
      </c>
      <c r="D15465">
        <f>11</f>
        <v>11</v>
      </c>
      <c r="E15465" t="str">
        <f>"08 - B - 001 - Lytrell T Dixon"</f>
        <v>08 - B - 001 - Lytrell T Dixon</v>
      </c>
      <c r="F15465" t="str">
        <f>"BIOLOGY 1"</f>
        <v>BIOLOGY 1</v>
      </c>
      <c r="G15465" t="str">
        <f>"08-808"</f>
        <v>08-808</v>
      </c>
      <c r="H15465" t="str">
        <f>"B"</f>
        <v>B</v>
      </c>
    </row>
    <row r="15466" spans="1:8" x14ac:dyDescent="0.2">
      <c r="A15466" t="str">
        <f t="shared" ref="A15466:A15473" si="5610">"0617050598"</f>
        <v>0617050598</v>
      </c>
      <c r="B15466" t="str">
        <f t="shared" ref="B15466:B15473" si="5611">"JAHDAE"</f>
        <v>JAHDAE</v>
      </c>
      <c r="C15466" t="str">
        <f t="shared" ref="C15466:C15473" si="5612">"SATINE"</f>
        <v>SATINE</v>
      </c>
      <c r="D15466">
        <f>12</f>
        <v>12</v>
      </c>
      <c r="E15466" t="str">
        <f>"04 - A - 201 - Vanessa J Liburd"</f>
        <v>04 - A - 201 - Vanessa J Liburd</v>
      </c>
      <c r="F15466" t="str">
        <f>"FRENCH 4 HON"</f>
        <v>FRENCH 4 HON</v>
      </c>
      <c r="G15466" t="str">
        <f>"05-519"</f>
        <v>05-519</v>
      </c>
      <c r="H15466" t="str">
        <f>"A"</f>
        <v>A</v>
      </c>
    </row>
    <row r="15467" spans="1:8" x14ac:dyDescent="0.2">
      <c r="A15467" t="str">
        <f t="shared" si="5610"/>
        <v>0617050598</v>
      </c>
      <c r="B15467" t="str">
        <f t="shared" si="5611"/>
        <v>JAHDAE</v>
      </c>
      <c r="C15467" t="str">
        <f t="shared" si="5612"/>
        <v>SATINE</v>
      </c>
      <c r="D15467">
        <f>12</f>
        <v>12</v>
      </c>
      <c r="E15467" t="str">
        <f>"06 - B - 111 - James H Mccann"</f>
        <v>06 - B - 111 - James H Mccann</v>
      </c>
      <c r="F15467" t="str">
        <f>"NC STUDY HALL 1"</f>
        <v>NC STUDY HALL 1</v>
      </c>
      <c r="G15467" t="str">
        <f>"17-1716"</f>
        <v>17-1716</v>
      </c>
      <c r="H15467" t="str">
        <f>"B"</f>
        <v>B</v>
      </c>
    </row>
    <row r="15468" spans="1:8" x14ac:dyDescent="0.2">
      <c r="A15468" t="str">
        <f t="shared" si="5610"/>
        <v>0617050598</v>
      </c>
      <c r="B15468" t="str">
        <f t="shared" si="5611"/>
        <v>JAHDAE</v>
      </c>
      <c r="C15468" t="str">
        <f t="shared" si="5612"/>
        <v>SATINE</v>
      </c>
      <c r="D15468">
        <f>12</f>
        <v>12</v>
      </c>
      <c r="E15468" t="str">
        <f>"03 - A - 101 - Jeffrey S Gallagher"</f>
        <v>03 - A - 101 - Jeffrey S Gallagher</v>
      </c>
      <c r="F15468" t="str">
        <f>"ENG HON 4"</f>
        <v>ENG HON 4</v>
      </c>
      <c r="G15468" t="str">
        <f>"17-1724"</f>
        <v>17-1724</v>
      </c>
      <c r="H15468" t="str">
        <f>"A"</f>
        <v>A</v>
      </c>
    </row>
    <row r="15469" spans="1:8" x14ac:dyDescent="0.2">
      <c r="A15469" t="str">
        <f t="shared" si="5610"/>
        <v>0617050598</v>
      </c>
      <c r="B15469" t="str">
        <f t="shared" si="5611"/>
        <v>JAHDAE</v>
      </c>
      <c r="C15469" t="str">
        <f t="shared" si="5612"/>
        <v>SATINE</v>
      </c>
      <c r="D15469">
        <f>12</f>
        <v>12</v>
      </c>
      <c r="E15469" t="str">
        <f>"02 - A - 102 - Daniel S Tyson"</f>
        <v>02 - A - 102 - Daniel S Tyson</v>
      </c>
      <c r="F15469" t="str">
        <f>"JROTC NAVAL SCI 4"</f>
        <v>JROTC NAVAL SCI 4</v>
      </c>
      <c r="G15469" t="str">
        <f>"05-510"</f>
        <v>05-510</v>
      </c>
      <c r="H15469" t="str">
        <f>"A"</f>
        <v>A</v>
      </c>
    </row>
    <row r="15470" spans="1:8" x14ac:dyDescent="0.2">
      <c r="A15470" t="str">
        <f t="shared" si="5610"/>
        <v>0617050598</v>
      </c>
      <c r="B15470" t="str">
        <f t="shared" si="5611"/>
        <v>JAHDAE</v>
      </c>
      <c r="C15470" t="str">
        <f t="shared" si="5612"/>
        <v>SATINE</v>
      </c>
      <c r="D15470">
        <f>12</f>
        <v>12</v>
      </c>
      <c r="E15470" t="str">
        <f>"07 - B - 107 - Semra  Bahadir"</f>
        <v>07 - B - 107 - Semra  Bahadir</v>
      </c>
      <c r="F15470" t="str">
        <f>"MATH COLL ALGEBRA"</f>
        <v>MATH COLL ALGEBRA</v>
      </c>
      <c r="G15470" t="str">
        <f>"21-2107"</f>
        <v>21-2107</v>
      </c>
      <c r="H15470" t="str">
        <f>"B"</f>
        <v>B</v>
      </c>
    </row>
    <row r="15471" spans="1:8" x14ac:dyDescent="0.2">
      <c r="A15471" t="str">
        <f t="shared" si="5610"/>
        <v>0617050598</v>
      </c>
      <c r="B15471" t="str">
        <f t="shared" si="5611"/>
        <v>JAHDAE</v>
      </c>
      <c r="C15471" t="str">
        <f t="shared" si="5612"/>
        <v>SATINE</v>
      </c>
      <c r="D15471">
        <f>12</f>
        <v>12</v>
      </c>
      <c r="E15471" t="str">
        <f>"05 - S1 - B - 102 - Barbara L Segal"</f>
        <v>05 - S1 - B - 102 - Barbara L Segal</v>
      </c>
      <c r="F15471" t="str">
        <f>"US GOVT HON"</f>
        <v>US GOVT HON</v>
      </c>
      <c r="G15471" t="str">
        <f>"17-1742"</f>
        <v>17-1742</v>
      </c>
      <c r="H15471" t="str">
        <f>"B"</f>
        <v>B</v>
      </c>
    </row>
    <row r="15472" spans="1:8" x14ac:dyDescent="0.2">
      <c r="A15472" t="str">
        <f t="shared" si="5610"/>
        <v>0617050598</v>
      </c>
      <c r="B15472" t="str">
        <f t="shared" si="5611"/>
        <v>JAHDAE</v>
      </c>
      <c r="C15472" t="str">
        <f t="shared" si="5612"/>
        <v>SATINE</v>
      </c>
      <c r="D15472">
        <f>12</f>
        <v>12</v>
      </c>
      <c r="E15472" t="str">
        <f>"01 - A - 201 - Jeanne M Bermudez"</f>
        <v>01 - A - 201 - Jeanne M Bermudez</v>
      </c>
      <c r="F15472" t="str">
        <f>"PHYSICS 1 HON"</f>
        <v>PHYSICS 1 HON</v>
      </c>
      <c r="G15472" t="str">
        <f>"21-2141"</f>
        <v>21-2141</v>
      </c>
      <c r="H15472" t="str">
        <f>"A"</f>
        <v>A</v>
      </c>
    </row>
    <row r="15473" spans="1:8" x14ac:dyDescent="0.2">
      <c r="A15473" t="str">
        <f t="shared" si="5610"/>
        <v>0617050598</v>
      </c>
      <c r="B15473" t="str">
        <f t="shared" si="5611"/>
        <v>JAHDAE</v>
      </c>
      <c r="C15473" t="str">
        <f t="shared" si="5612"/>
        <v>SATINE</v>
      </c>
      <c r="D15473">
        <f>12</f>
        <v>12</v>
      </c>
      <c r="E15473" t="str">
        <f>"08 - S1 - B - 101 - Amy Beth  Broyles"</f>
        <v>08 - S1 - B - 101 - Amy Beth  Broyles</v>
      </c>
      <c r="F15473" t="str">
        <f>"PEER COUN 3"</f>
        <v>PEER COUN 3</v>
      </c>
      <c r="G15473" t="str">
        <f>"17-1713"</f>
        <v>17-1713</v>
      </c>
      <c r="H15473" t="str">
        <f>"B"</f>
        <v>B</v>
      </c>
    </row>
    <row r="15474" spans="1:8" x14ac:dyDescent="0.2">
      <c r="A15474" t="str">
        <f t="shared" ref="A15474:A15481" si="5613">"0612036497"</f>
        <v>0612036497</v>
      </c>
      <c r="B15474" t="str">
        <f t="shared" ref="B15474:B15481" si="5614">"LEEYAH"</f>
        <v>LEEYAH</v>
      </c>
      <c r="C15474" t="str">
        <f t="shared" ref="C15474:C15481" si="5615">"SAUNDERS"</f>
        <v>SAUNDERS</v>
      </c>
      <c r="D15474">
        <f>12</f>
        <v>12</v>
      </c>
      <c r="E15474" t="str">
        <f>"04 - A - 102 - Samantha J Headley"</f>
        <v>04 - A - 102 - Samantha J Headley</v>
      </c>
      <c r="F15474" t="str">
        <f>"MARINE SCI 1 HON"</f>
        <v>MARINE SCI 1 HON</v>
      </c>
      <c r="G15474" t="str">
        <f>"21-2134"</f>
        <v>21-2134</v>
      </c>
      <c r="H15474" t="str">
        <f>"A"</f>
        <v>A</v>
      </c>
    </row>
    <row r="15475" spans="1:8" x14ac:dyDescent="0.2">
      <c r="A15475" t="str">
        <f t="shared" si="5613"/>
        <v>0612036497</v>
      </c>
      <c r="B15475" t="str">
        <f t="shared" si="5614"/>
        <v>LEEYAH</v>
      </c>
      <c r="C15475" t="str">
        <f t="shared" si="5615"/>
        <v>SAUNDERS</v>
      </c>
      <c r="D15475">
        <f>12</f>
        <v>12</v>
      </c>
      <c r="E15475" t="str">
        <f>"06 - B - 105 - Robyn L Trainer"</f>
        <v>06 - B - 105 - Robyn L Trainer</v>
      </c>
      <c r="F15475" t="str">
        <f>"NC STUDY HALL 1"</f>
        <v>NC STUDY HALL 1</v>
      </c>
      <c r="G15475" t="str">
        <f>"17-1734"</f>
        <v>17-1734</v>
      </c>
      <c r="H15475" t="str">
        <f>"B"</f>
        <v>B</v>
      </c>
    </row>
    <row r="15476" spans="1:8" x14ac:dyDescent="0.2">
      <c r="A15476" t="str">
        <f t="shared" si="5613"/>
        <v>0612036497</v>
      </c>
      <c r="B15476" t="str">
        <f t="shared" si="5614"/>
        <v>LEEYAH</v>
      </c>
      <c r="C15476" t="str">
        <f t="shared" si="5615"/>
        <v>SAUNDERS</v>
      </c>
      <c r="D15476">
        <f>12</f>
        <v>12</v>
      </c>
      <c r="E15476" t="str">
        <f>"03 - A - 101 - Alejandro  Navarro"</f>
        <v>03 - A - 101 - Alejandro  Navarro</v>
      </c>
      <c r="F15476" t="str">
        <f>"BAND 3"</f>
        <v>BAND 3</v>
      </c>
      <c r="G15476" t="str">
        <f>"05-504"</f>
        <v>05-504</v>
      </c>
      <c r="H15476" t="str">
        <f>"A"</f>
        <v>A</v>
      </c>
    </row>
    <row r="15477" spans="1:8" x14ac:dyDescent="0.2">
      <c r="A15477" t="str">
        <f t="shared" si="5613"/>
        <v>0612036497</v>
      </c>
      <c r="B15477" t="str">
        <f t="shared" si="5614"/>
        <v>LEEYAH</v>
      </c>
      <c r="C15477" t="str">
        <f t="shared" si="5615"/>
        <v>SAUNDERS</v>
      </c>
      <c r="D15477">
        <f>12</f>
        <v>12</v>
      </c>
      <c r="E15477" t="str">
        <f>"02 - S1 - A - 102 - Richard E Dunbar Iii"</f>
        <v>02 - S1 - A - 102 - Richard E Dunbar Iii</v>
      </c>
      <c r="F15477" t="str">
        <f>"WEIGHT TRAIN 1"</f>
        <v>WEIGHT TRAIN 1</v>
      </c>
      <c r="G15477" t="str">
        <f>"05-501"</f>
        <v>05-501</v>
      </c>
      <c r="H15477" t="str">
        <f>"A"</f>
        <v>A</v>
      </c>
    </row>
    <row r="15478" spans="1:8" x14ac:dyDescent="0.2">
      <c r="A15478" t="str">
        <f t="shared" si="5613"/>
        <v>0612036497</v>
      </c>
      <c r="B15478" t="str">
        <f t="shared" si="5614"/>
        <v>LEEYAH</v>
      </c>
      <c r="C15478" t="str">
        <f t="shared" si="5615"/>
        <v>SAUNDERS</v>
      </c>
      <c r="D15478">
        <f>12</f>
        <v>12</v>
      </c>
      <c r="E15478" t="str">
        <f>"07 - B - 103 - Nahum  Saint-Preux"</f>
        <v>07 - B - 103 - Nahum  Saint-Preux</v>
      </c>
      <c r="F15478" t="str">
        <f>"INTENS READ 4"</f>
        <v>INTENS READ 4</v>
      </c>
      <c r="G15478" t="str">
        <f>"17-1712"</f>
        <v>17-1712</v>
      </c>
      <c r="H15478" t="str">
        <f>"B"</f>
        <v>B</v>
      </c>
    </row>
    <row r="15479" spans="1:8" x14ac:dyDescent="0.2">
      <c r="A15479" t="str">
        <f t="shared" si="5613"/>
        <v>0612036497</v>
      </c>
      <c r="B15479" t="str">
        <f t="shared" si="5614"/>
        <v>LEEYAH</v>
      </c>
      <c r="C15479" t="str">
        <f t="shared" si="5615"/>
        <v>SAUNDERS</v>
      </c>
      <c r="D15479">
        <f>12</f>
        <v>12</v>
      </c>
      <c r="E15479" t="str">
        <f>"05 - B - 108 - James H Mccann"</f>
        <v>05 - B - 108 - James H Mccann</v>
      </c>
      <c r="F15479" t="str">
        <f>"ALGEBRA 2"</f>
        <v>ALGEBRA 2</v>
      </c>
      <c r="G15479" t="str">
        <f>"17-1716"</f>
        <v>17-1716</v>
      </c>
      <c r="H15479" t="str">
        <f>"B"</f>
        <v>B</v>
      </c>
    </row>
    <row r="15480" spans="1:8" x14ac:dyDescent="0.2">
      <c r="A15480" t="str">
        <f t="shared" si="5613"/>
        <v>0612036497</v>
      </c>
      <c r="B15480" t="str">
        <f t="shared" si="5614"/>
        <v>LEEYAH</v>
      </c>
      <c r="C15480" t="str">
        <f t="shared" si="5615"/>
        <v>SAUNDERS</v>
      </c>
      <c r="D15480">
        <f>12</f>
        <v>12</v>
      </c>
      <c r="E15480" t="str">
        <f>"01 - S1 - A - 101 - Robert O Burger"</f>
        <v>01 - S1 - A - 101 - Robert O Burger</v>
      </c>
      <c r="F15480" t="str">
        <f>"US GOVT"</f>
        <v>US GOVT</v>
      </c>
      <c r="G15480" t="str">
        <f>"17-1755"</f>
        <v>17-1755</v>
      </c>
      <c r="H15480" t="str">
        <f>"A"</f>
        <v>A</v>
      </c>
    </row>
    <row r="15481" spans="1:8" x14ac:dyDescent="0.2">
      <c r="A15481" t="str">
        <f t="shared" si="5613"/>
        <v>0612036497</v>
      </c>
      <c r="B15481" t="str">
        <f t="shared" si="5614"/>
        <v>LEEYAH</v>
      </c>
      <c r="C15481" t="str">
        <f t="shared" si="5615"/>
        <v>SAUNDERS</v>
      </c>
      <c r="D15481">
        <f>12</f>
        <v>12</v>
      </c>
      <c r="E15481" t="str">
        <f>"08 - B - 206 - Robyn L Trainer"</f>
        <v>08 - B - 206 - Robyn L Trainer</v>
      </c>
      <c r="F15481" t="str">
        <f>"ENG 4: FL COLL PREP"</f>
        <v>ENG 4: FL COLL PREP</v>
      </c>
      <c r="G15481" t="str">
        <f>"17-1734"</f>
        <v>17-1734</v>
      </c>
      <c r="H15481" t="str">
        <f>"B"</f>
        <v>B</v>
      </c>
    </row>
    <row r="15482" spans="1:8" x14ac:dyDescent="0.2">
      <c r="A15482" t="str">
        <f t="shared" ref="A15482:A15489" si="5616">"0616126525"</f>
        <v>0616126525</v>
      </c>
      <c r="B15482" t="str">
        <f t="shared" ref="B15482:B15489" si="5617">"JEFFRY"</f>
        <v>JEFFRY</v>
      </c>
      <c r="C15482" t="str">
        <f t="shared" ref="C15482:C15489" si="5618">"SAVOIS"</f>
        <v>SAVOIS</v>
      </c>
      <c r="D15482" t="str">
        <f t="shared" ref="D15482:D15489" si="5619">"09"</f>
        <v>09</v>
      </c>
      <c r="E15482" t="str">
        <f>"04 - A - 101 - Jeanne M Bermudez"</f>
        <v>04 - A - 101 - Jeanne M Bermudez</v>
      </c>
      <c r="F15482" t="str">
        <f>"ADVANCED IT HON"</f>
        <v>ADVANCED IT HON</v>
      </c>
      <c r="G15482" t="str">
        <f>"21-2141"</f>
        <v>21-2141</v>
      </c>
      <c r="H15482" t="str">
        <f>"A"</f>
        <v>A</v>
      </c>
    </row>
    <row r="15483" spans="1:8" x14ac:dyDescent="0.2">
      <c r="A15483" t="str">
        <f t="shared" si="5616"/>
        <v>0616126525</v>
      </c>
      <c r="B15483" t="str">
        <f t="shared" si="5617"/>
        <v>JEFFRY</v>
      </c>
      <c r="C15483" t="str">
        <f t="shared" si="5618"/>
        <v>SAVOIS</v>
      </c>
      <c r="D15483" t="str">
        <f t="shared" si="5619"/>
        <v>09</v>
      </c>
      <c r="E15483" t="str">
        <f>"06 - B - 002 - Amy Beth  Broyles"</f>
        <v>06 - B - 002 - Amy Beth  Broyles</v>
      </c>
      <c r="F15483" t="str">
        <f>"ENV SCI"</f>
        <v>ENV SCI</v>
      </c>
      <c r="G15483" t="str">
        <f>"08-802"</f>
        <v>08-802</v>
      </c>
      <c r="H15483" t="str">
        <f>"B"</f>
        <v>B</v>
      </c>
    </row>
    <row r="15484" spans="1:8" x14ac:dyDescent="0.2">
      <c r="A15484" t="str">
        <f t="shared" si="5616"/>
        <v>0616126525</v>
      </c>
      <c r="B15484" t="str">
        <f t="shared" si="5617"/>
        <v>JEFFRY</v>
      </c>
      <c r="C15484" t="str">
        <f t="shared" si="5618"/>
        <v>SAVOIS</v>
      </c>
      <c r="D15484" t="str">
        <f t="shared" si="5619"/>
        <v>09</v>
      </c>
      <c r="E15484" t="str">
        <f>"03 - A - 101 - Helen A Flores"</f>
        <v>03 - A - 101 - Helen A Flores</v>
      </c>
      <c r="F15484" t="str">
        <f>"PRE-AICE MATH 1 IG"</f>
        <v>PRE-AICE MATH 1 IG</v>
      </c>
      <c r="G15484" t="str">
        <f>"21-2101"</f>
        <v>21-2101</v>
      </c>
      <c r="H15484" t="str">
        <f>"A"</f>
        <v>A</v>
      </c>
    </row>
    <row r="15485" spans="1:8" x14ac:dyDescent="0.2">
      <c r="A15485" t="str">
        <f t="shared" si="5616"/>
        <v>0616126525</v>
      </c>
      <c r="B15485" t="str">
        <f t="shared" si="5617"/>
        <v>JEFFRY</v>
      </c>
      <c r="C15485" t="str">
        <f t="shared" si="5618"/>
        <v>SAVOIS</v>
      </c>
      <c r="D15485" t="str">
        <f t="shared" si="5619"/>
        <v>09</v>
      </c>
      <c r="E15485" t="str">
        <f>"02 - A - 110 - Maried P Ramos"</f>
        <v>02 - A - 110 - Maried P Ramos</v>
      </c>
      <c r="F15485" t="str">
        <f>"NC STUDY HALL 1"</f>
        <v>NC STUDY HALL 1</v>
      </c>
      <c r="G15485" t="str">
        <f>"21-2159"</f>
        <v>21-2159</v>
      </c>
      <c r="H15485" t="str">
        <f>"A"</f>
        <v>A</v>
      </c>
    </row>
    <row r="15486" spans="1:8" x14ac:dyDescent="0.2">
      <c r="A15486" t="str">
        <f t="shared" si="5616"/>
        <v>0616126525</v>
      </c>
      <c r="B15486" t="str">
        <f t="shared" si="5617"/>
        <v>JEFFRY</v>
      </c>
      <c r="C15486" t="str">
        <f t="shared" si="5618"/>
        <v>SAVOIS</v>
      </c>
      <c r="D15486" t="str">
        <f t="shared" si="5619"/>
        <v>09</v>
      </c>
      <c r="E15486" t="str">
        <f>"07 - B - 105 - Laselleda D Shaw"</f>
        <v>07 - B - 105 - Laselleda D Shaw</v>
      </c>
      <c r="F15486" t="str">
        <f>"INTENS READ 1"</f>
        <v>INTENS READ 1</v>
      </c>
      <c r="G15486" t="str">
        <f>"17-1723"</f>
        <v>17-1723</v>
      </c>
      <c r="H15486" t="str">
        <f>"B"</f>
        <v>B</v>
      </c>
    </row>
    <row r="15487" spans="1:8" x14ac:dyDescent="0.2">
      <c r="A15487" t="str">
        <f t="shared" si="5616"/>
        <v>0616126525</v>
      </c>
      <c r="B15487" t="str">
        <f t="shared" si="5617"/>
        <v>JEFFRY</v>
      </c>
      <c r="C15487" t="str">
        <f t="shared" si="5618"/>
        <v>SAVOIS</v>
      </c>
      <c r="D15487" t="str">
        <f t="shared" si="5619"/>
        <v>09</v>
      </c>
      <c r="E15487" t="str">
        <f>"05 - B - 104 - Cerine S Stewart"</f>
        <v>05 - B - 104 - Cerine S Stewart</v>
      </c>
      <c r="F15487" t="str">
        <f>"ENG 1"</f>
        <v>ENG 1</v>
      </c>
      <c r="G15487" t="str">
        <f>"17-1720"</f>
        <v>17-1720</v>
      </c>
      <c r="H15487" t="str">
        <f>"B"</f>
        <v>B</v>
      </c>
    </row>
    <row r="15488" spans="1:8" x14ac:dyDescent="0.2">
      <c r="A15488" t="str">
        <f t="shared" si="5616"/>
        <v>0616126525</v>
      </c>
      <c r="B15488" t="str">
        <f t="shared" si="5617"/>
        <v>JEFFRY</v>
      </c>
      <c r="C15488" t="str">
        <f t="shared" si="5618"/>
        <v>SAVOIS</v>
      </c>
      <c r="D15488" t="str">
        <f t="shared" si="5619"/>
        <v>09</v>
      </c>
      <c r="E15488" t="str">
        <f>"01 - A - 504 - Alejandro  Navarro"</f>
        <v>01 - A - 504 - Alejandro  Navarro</v>
      </c>
      <c r="F15488" t="str">
        <f>"BAND 1"</f>
        <v>BAND 1</v>
      </c>
      <c r="G15488" t="str">
        <f>"05-504"</f>
        <v>05-504</v>
      </c>
      <c r="H15488" t="str">
        <f>"A"</f>
        <v>A</v>
      </c>
    </row>
    <row r="15489" spans="1:8" x14ac:dyDescent="0.2">
      <c r="A15489" t="str">
        <f t="shared" si="5616"/>
        <v>0616126525</v>
      </c>
      <c r="B15489" t="str">
        <f t="shared" si="5617"/>
        <v>JEFFRY</v>
      </c>
      <c r="C15489" t="str">
        <f t="shared" si="5618"/>
        <v>SAVOIS</v>
      </c>
      <c r="D15489" t="str">
        <f t="shared" si="5619"/>
        <v>09</v>
      </c>
      <c r="E15489" t="str">
        <f>"08 - B - 101 - Elizabeth Ellen  Moran"</f>
        <v>08 - B - 101 - Elizabeth Ellen  Moran</v>
      </c>
      <c r="F15489" t="str">
        <f>"WORLD HISTORY"</f>
        <v>WORLD HISTORY</v>
      </c>
      <c r="G15489" t="str">
        <f>"17-1752"</f>
        <v>17-1752</v>
      </c>
      <c r="H15489" t="str">
        <f>"B"</f>
        <v>B</v>
      </c>
    </row>
    <row r="15490" spans="1:8" x14ac:dyDescent="0.2">
      <c r="A15490" t="str">
        <f t="shared" ref="A15490:A15497" si="5620">"0616021868"</f>
        <v>0616021868</v>
      </c>
      <c r="B15490" t="str">
        <f t="shared" ref="B15490:B15497" si="5621">"MELANI"</f>
        <v>MELANI</v>
      </c>
      <c r="C15490" t="str">
        <f t="shared" ref="C15490:C15497" si="5622">"SAZO"</f>
        <v>SAZO</v>
      </c>
      <c r="D15490">
        <f>10</f>
        <v>10</v>
      </c>
      <c r="E15490" t="str">
        <f>"04 - A - 203 - Cheryl L Beach"</f>
        <v>04 - A - 203 - Cheryl L Beach</v>
      </c>
      <c r="F15490" t="str">
        <f>"AICE ENV MGMNT AS"</f>
        <v>AICE ENV MGMNT AS</v>
      </c>
      <c r="G15490" t="str">
        <f>"08-811"</f>
        <v>08-811</v>
      </c>
      <c r="H15490" t="str">
        <f>"A"</f>
        <v>A</v>
      </c>
    </row>
    <row r="15491" spans="1:8" x14ac:dyDescent="0.2">
      <c r="A15491" t="str">
        <f t="shared" si="5620"/>
        <v>0616021868</v>
      </c>
      <c r="B15491" t="str">
        <f t="shared" si="5621"/>
        <v>MELANI</v>
      </c>
      <c r="C15491" t="str">
        <f t="shared" si="5622"/>
        <v>SAZO</v>
      </c>
      <c r="D15491">
        <f>10</f>
        <v>10</v>
      </c>
      <c r="E15491" t="str">
        <f>"06 - B - 108 - Jacklyn M James"</f>
        <v>06 - B - 108 - Jacklyn M James</v>
      </c>
      <c r="F15491" t="str">
        <f>"NC STUDY HALL 1"</f>
        <v>NC STUDY HALL 1</v>
      </c>
      <c r="G15491" t="str">
        <f>"17-1731"</f>
        <v>17-1731</v>
      </c>
      <c r="H15491" t="str">
        <f>"B"</f>
        <v>B</v>
      </c>
    </row>
    <row r="15492" spans="1:8" x14ac:dyDescent="0.2">
      <c r="A15492" t="str">
        <f t="shared" si="5620"/>
        <v>0616021868</v>
      </c>
      <c r="B15492" t="str">
        <f t="shared" si="5621"/>
        <v>MELANI</v>
      </c>
      <c r="C15492" t="str">
        <f t="shared" si="5622"/>
        <v>SAZO</v>
      </c>
      <c r="D15492">
        <f>10</f>
        <v>10</v>
      </c>
      <c r="E15492" t="str">
        <f>"03 - A - 002 - Brandy N Zdenek"</f>
        <v>03 - A - 002 - Brandy N Zdenek</v>
      </c>
      <c r="F15492" t="str">
        <f>"AICE ENG LANG AS"</f>
        <v>AICE ENG LANG AS</v>
      </c>
      <c r="G15492" t="str">
        <f>"17-1704"</f>
        <v>17-1704</v>
      </c>
      <c r="H15492" t="str">
        <f>"A"</f>
        <v>A</v>
      </c>
    </row>
    <row r="15493" spans="1:8" x14ac:dyDescent="0.2">
      <c r="A15493" t="str">
        <f t="shared" si="5620"/>
        <v>0616021868</v>
      </c>
      <c r="B15493" t="str">
        <f t="shared" si="5621"/>
        <v>MELANI</v>
      </c>
      <c r="C15493" t="str">
        <f t="shared" si="5622"/>
        <v>SAZO</v>
      </c>
      <c r="D15493">
        <f>10</f>
        <v>10</v>
      </c>
      <c r="E15493" t="str">
        <f>"02 - A - 205 - Emmily A Sarmiento"</f>
        <v>02 - A - 205 - Emmily A Sarmiento</v>
      </c>
      <c r="F15493" t="str">
        <f>"AICE GLBL PERSP 1 AS"</f>
        <v>AICE GLBL PERSP 1 AS</v>
      </c>
      <c r="G15493" t="str">
        <f>"17-1743"</f>
        <v>17-1743</v>
      </c>
      <c r="H15493" t="str">
        <f>"A"</f>
        <v>A</v>
      </c>
    </row>
    <row r="15494" spans="1:8" x14ac:dyDescent="0.2">
      <c r="A15494" t="str">
        <f t="shared" si="5620"/>
        <v>0616021868</v>
      </c>
      <c r="B15494" t="str">
        <f t="shared" si="5621"/>
        <v>MELANI</v>
      </c>
      <c r="C15494" t="str">
        <f t="shared" si="5622"/>
        <v>SAZO</v>
      </c>
      <c r="D15494">
        <f>10</f>
        <v>10</v>
      </c>
      <c r="E15494" t="str">
        <f>"07 - B - 102 - Lourivaldo  Da Silva"</f>
        <v>07 - B - 102 - Lourivaldo  Da Silva</v>
      </c>
      <c r="F15494" t="str">
        <f>"ALGEBRA 2 HON"</f>
        <v>ALGEBRA 2 HON</v>
      </c>
      <c r="G15494" t="str">
        <f>"20-2079"</f>
        <v>20-2079</v>
      </c>
      <c r="H15494" t="str">
        <f>"B"</f>
        <v>B</v>
      </c>
    </row>
    <row r="15495" spans="1:8" x14ac:dyDescent="0.2">
      <c r="A15495" t="str">
        <f t="shared" si="5620"/>
        <v>0616021868</v>
      </c>
      <c r="B15495" t="str">
        <f t="shared" si="5621"/>
        <v>MELANI</v>
      </c>
      <c r="C15495" t="str">
        <f t="shared" si="5622"/>
        <v>SAZO</v>
      </c>
      <c r="D15495">
        <f>10</f>
        <v>10</v>
      </c>
      <c r="E15495" t="str">
        <f>"05 - B - 105 - Marius D Orsolini"</f>
        <v>05 - B - 105 - Marius D Orsolini</v>
      </c>
      <c r="F15495" t="str">
        <f>"CULINARY ARTS 1"</f>
        <v>CULINARY ARTS 1</v>
      </c>
      <c r="G15495" t="str">
        <f>"21-2115"</f>
        <v>21-2115</v>
      </c>
      <c r="H15495" t="str">
        <f>"B"</f>
        <v>B</v>
      </c>
    </row>
    <row r="15496" spans="1:8" x14ac:dyDescent="0.2">
      <c r="A15496" t="str">
        <f t="shared" si="5620"/>
        <v>0616021868</v>
      </c>
      <c r="B15496" t="str">
        <f t="shared" si="5621"/>
        <v>MELANI</v>
      </c>
      <c r="C15496" t="str">
        <f t="shared" si="5622"/>
        <v>SAZO</v>
      </c>
      <c r="D15496">
        <f>10</f>
        <v>10</v>
      </c>
      <c r="E15496" t="str">
        <f>"01 - A - 108 - Rosa Elaine  Collado-Duff"</f>
        <v>01 - A - 108 - Rosa Elaine  Collado-Duff</v>
      </c>
      <c r="F15496" t="str">
        <f>"PRE-AICE SPAN 2 IG"</f>
        <v>PRE-AICE SPAN 2 IG</v>
      </c>
      <c r="G15496" t="str">
        <f>"09-913"</f>
        <v>09-913</v>
      </c>
      <c r="H15496" t="str">
        <f>"A"</f>
        <v>A</v>
      </c>
    </row>
    <row r="15497" spans="1:8" x14ac:dyDescent="0.2">
      <c r="A15497" t="str">
        <f t="shared" si="5620"/>
        <v>0616021868</v>
      </c>
      <c r="B15497" t="str">
        <f t="shared" si="5621"/>
        <v>MELANI</v>
      </c>
      <c r="C15497" t="str">
        <f t="shared" si="5622"/>
        <v>SAZO</v>
      </c>
      <c r="D15497">
        <f>10</f>
        <v>10</v>
      </c>
      <c r="E15497" t="str">
        <f>"08 - S1 - B - 101 - Amy Beth  Broyles"</f>
        <v>08 - S1 - B - 101 - Amy Beth  Broyles</v>
      </c>
      <c r="F15497" t="str">
        <f>"PEER COUN 3"</f>
        <v>PEER COUN 3</v>
      </c>
      <c r="G15497" t="str">
        <f>"17-1713"</f>
        <v>17-1713</v>
      </c>
      <c r="H15497" t="str">
        <f>"B"</f>
        <v>B</v>
      </c>
    </row>
    <row r="15498" spans="1:8" x14ac:dyDescent="0.2">
      <c r="A15498" t="str">
        <f t="shared" ref="A15498:A15505" si="5623">"0613089964"</f>
        <v>0613089964</v>
      </c>
      <c r="B15498" t="str">
        <f t="shared" ref="B15498:B15505" si="5624">"RILEY"</f>
        <v>RILEY</v>
      </c>
      <c r="C15498" t="str">
        <f t="shared" ref="C15498:C15505" si="5625">"SCALES"</f>
        <v>SCALES</v>
      </c>
      <c r="D15498">
        <f>12</f>
        <v>12</v>
      </c>
      <c r="E15498" t="str">
        <f>"04 - A - 106 - Tina M Jaramillo"</f>
        <v>04 - A - 106 - Tina M Jaramillo</v>
      </c>
      <c r="F15498" t="str">
        <f>"AP ENG LIT COMPO"</f>
        <v>AP ENG LIT COMPO</v>
      </c>
      <c r="G15498" t="str">
        <f>"17-1706"</f>
        <v>17-1706</v>
      </c>
      <c r="H15498" t="str">
        <f>"A"</f>
        <v>A</v>
      </c>
    </row>
    <row r="15499" spans="1:8" x14ac:dyDescent="0.2">
      <c r="A15499" t="str">
        <f t="shared" si="5623"/>
        <v>0613089964</v>
      </c>
      <c r="B15499" t="str">
        <f t="shared" si="5624"/>
        <v>RILEY</v>
      </c>
      <c r="C15499" t="str">
        <f t="shared" si="5625"/>
        <v>SCALES</v>
      </c>
      <c r="D15499">
        <f>12</f>
        <v>12</v>
      </c>
      <c r="E15499" t="str">
        <f>"06 - B - 114 - Lisa J London"</f>
        <v>06 - B - 114 - Lisa J London</v>
      </c>
      <c r="F15499" t="str">
        <f>"NC STUDY HALL 1"</f>
        <v>NC STUDY HALL 1</v>
      </c>
      <c r="G15499" t="str">
        <f>"17-1714"</f>
        <v>17-1714</v>
      </c>
      <c r="H15499" t="str">
        <f>"B"</f>
        <v>B</v>
      </c>
    </row>
    <row r="15500" spans="1:8" x14ac:dyDescent="0.2">
      <c r="A15500" t="str">
        <f t="shared" si="5623"/>
        <v>0613089964</v>
      </c>
      <c r="B15500" t="str">
        <f t="shared" si="5624"/>
        <v>RILEY</v>
      </c>
      <c r="C15500" t="str">
        <f t="shared" si="5625"/>
        <v>SCALES</v>
      </c>
      <c r="D15500">
        <f>12</f>
        <v>12</v>
      </c>
      <c r="E15500" t="str">
        <f>"03 - A - 101 - Lourivaldo  Da Silva"</f>
        <v>03 - A - 101 - Lourivaldo  Da Silva</v>
      </c>
      <c r="F15500" t="str">
        <f>"AP STAT"</f>
        <v>AP STAT</v>
      </c>
      <c r="G15500" t="str">
        <f>"20-2079"</f>
        <v>20-2079</v>
      </c>
      <c r="H15500" t="str">
        <f>"A"</f>
        <v>A</v>
      </c>
    </row>
    <row r="15501" spans="1:8" x14ac:dyDescent="0.2">
      <c r="A15501" t="str">
        <f t="shared" si="5623"/>
        <v>0613089964</v>
      </c>
      <c r="B15501" t="str">
        <f t="shared" si="5624"/>
        <v>RILEY</v>
      </c>
      <c r="C15501" t="str">
        <f t="shared" si="5625"/>
        <v>SCALES</v>
      </c>
      <c r="D15501">
        <f>12</f>
        <v>12</v>
      </c>
      <c r="E15501" t="str">
        <f>"02 - A - 201 - Jeanne M Bermudez"</f>
        <v>02 - A - 201 - Jeanne M Bermudez</v>
      </c>
      <c r="F15501" t="str">
        <f>"AP ENV SCI"</f>
        <v>AP ENV SCI</v>
      </c>
      <c r="G15501" t="str">
        <f>"21-2141"</f>
        <v>21-2141</v>
      </c>
      <c r="H15501" t="str">
        <f>"A"</f>
        <v>A</v>
      </c>
    </row>
    <row r="15502" spans="1:8" x14ac:dyDescent="0.2">
      <c r="A15502" t="str">
        <f t="shared" si="5623"/>
        <v>0613089964</v>
      </c>
      <c r="B15502" t="str">
        <f t="shared" si="5624"/>
        <v>RILEY</v>
      </c>
      <c r="C15502" t="str">
        <f t="shared" si="5625"/>
        <v>SCALES</v>
      </c>
      <c r="D15502">
        <f>12</f>
        <v>12</v>
      </c>
      <c r="E15502" t="str">
        <f>"07 - S1 - B - 101 - Stephen T Ripp"</f>
        <v>07 - S1 - B - 101 - Stephen T Ripp</v>
      </c>
      <c r="F15502" t="str">
        <f>"AP US GOVT/POL"</f>
        <v>AP US GOVT/POL</v>
      </c>
      <c r="G15502" t="str">
        <f>"17-1744"</f>
        <v>17-1744</v>
      </c>
      <c r="H15502" t="str">
        <f>"B"</f>
        <v>B</v>
      </c>
    </row>
    <row r="15503" spans="1:8" x14ac:dyDescent="0.2">
      <c r="A15503" t="str">
        <f t="shared" si="5623"/>
        <v>0613089964</v>
      </c>
      <c r="B15503" t="str">
        <f t="shared" si="5624"/>
        <v>RILEY</v>
      </c>
      <c r="C15503" t="str">
        <f t="shared" si="5625"/>
        <v>SCALES</v>
      </c>
      <c r="D15503">
        <f>12</f>
        <v>12</v>
      </c>
      <c r="E15503" t="str">
        <f>"05 - B - 105 - Norayda D Suarez"</f>
        <v>05 - B - 105 - Norayda D Suarez</v>
      </c>
      <c r="F15503" t="str">
        <f>"RESEARCH 1 LH"</f>
        <v>RESEARCH 1 LH</v>
      </c>
      <c r="G15503">
        <f>2041</f>
        <v>2041</v>
      </c>
      <c r="H15503" t="str">
        <f>"B"</f>
        <v>B</v>
      </c>
    </row>
    <row r="15504" spans="1:8" x14ac:dyDescent="0.2">
      <c r="A15504" t="str">
        <f t="shared" si="5623"/>
        <v>0613089964</v>
      </c>
      <c r="B15504" t="str">
        <f t="shared" si="5624"/>
        <v>RILEY</v>
      </c>
      <c r="C15504" t="str">
        <f t="shared" si="5625"/>
        <v>SCALES</v>
      </c>
      <c r="D15504">
        <f>12</f>
        <v>12</v>
      </c>
      <c r="E15504" t="str">
        <f>"01 - A - 101 - Kelly N Panza"</f>
        <v>01 - A - 101 - Kelly N Panza</v>
      </c>
      <c r="F15504" t="str">
        <f>"AP HUMAN GEOG"</f>
        <v>AP HUMAN GEOG</v>
      </c>
      <c r="G15504" t="str">
        <f>"17-1753"</f>
        <v>17-1753</v>
      </c>
      <c r="H15504" t="str">
        <f>"A"</f>
        <v>A</v>
      </c>
    </row>
    <row r="15505" spans="1:8" x14ac:dyDescent="0.2">
      <c r="A15505" t="str">
        <f t="shared" si="5623"/>
        <v>0613089964</v>
      </c>
      <c r="B15505" t="str">
        <f t="shared" si="5624"/>
        <v>RILEY</v>
      </c>
      <c r="C15505" t="str">
        <f t="shared" si="5625"/>
        <v>SCALES</v>
      </c>
      <c r="D15505">
        <f>12</f>
        <v>12</v>
      </c>
      <c r="E15505" t="str">
        <f>"08 - B - 102 - Lisa J London"</f>
        <v>08 - B - 102 - Lisa J London</v>
      </c>
      <c r="F15505" t="str">
        <f>"AP CAPSTONE RESEARCH"</f>
        <v>AP CAPSTONE RESEARCH</v>
      </c>
      <c r="G15505" t="str">
        <f>"17-1714"</f>
        <v>17-1714</v>
      </c>
      <c r="H15505" t="str">
        <f>"B"</f>
        <v>B</v>
      </c>
    </row>
    <row r="15506" spans="1:8" x14ac:dyDescent="0.2">
      <c r="A15506" t="str">
        <f t="shared" ref="A15506:A15513" si="5626">"0615018544"</f>
        <v>0615018544</v>
      </c>
      <c r="B15506" t="str">
        <f t="shared" ref="B15506:B15513" si="5627">"AMANDA"</f>
        <v>AMANDA</v>
      </c>
      <c r="C15506" t="str">
        <f t="shared" ref="C15506:C15513" si="5628">"SCHLIEN"</f>
        <v>SCHLIEN</v>
      </c>
      <c r="D15506">
        <f>11</f>
        <v>11</v>
      </c>
      <c r="E15506" t="str">
        <f>"04 - A - 201 - Scott A Dethloff"</f>
        <v>04 - A - 201 - Scott A Dethloff</v>
      </c>
      <c r="F15506" t="str">
        <f>"AICE THINK SKLS 1 AS"</f>
        <v>AICE THINK SKLS 1 AS</v>
      </c>
      <c r="G15506" t="str">
        <f>"08-812"</f>
        <v>08-812</v>
      </c>
      <c r="H15506" t="str">
        <f>"A"</f>
        <v>A</v>
      </c>
    </row>
    <row r="15507" spans="1:8" x14ac:dyDescent="0.2">
      <c r="A15507" t="str">
        <f t="shared" si="5626"/>
        <v>0615018544</v>
      </c>
      <c r="B15507" t="str">
        <f t="shared" si="5627"/>
        <v>AMANDA</v>
      </c>
      <c r="C15507" t="str">
        <f t="shared" si="5628"/>
        <v>SCHLIEN</v>
      </c>
      <c r="D15507">
        <f>11</f>
        <v>11</v>
      </c>
      <c r="E15507" t="str">
        <f>"06 - B - 206 - Jacqueline R Morphet"</f>
        <v>06 - B - 206 - Jacqueline R Morphet</v>
      </c>
      <c r="F15507" t="str">
        <f>"PHYSICS 1 HON"</f>
        <v>PHYSICS 1 HON</v>
      </c>
      <c r="G15507" t="str">
        <f>"21-2138"</f>
        <v>21-2138</v>
      </c>
      <c r="H15507" t="str">
        <f>"B"</f>
        <v>B</v>
      </c>
    </row>
    <row r="15508" spans="1:8" x14ac:dyDescent="0.2">
      <c r="A15508" t="str">
        <f t="shared" si="5626"/>
        <v>0615018544</v>
      </c>
      <c r="B15508" t="str">
        <f t="shared" si="5627"/>
        <v>AMANDA</v>
      </c>
      <c r="C15508" t="str">
        <f t="shared" si="5628"/>
        <v>SCHLIEN</v>
      </c>
      <c r="D15508">
        <f>11</f>
        <v>11</v>
      </c>
      <c r="E15508" t="str">
        <f>"03 - A - 106 - Jerry S Jiampetti"</f>
        <v>03 - A - 106 - Jerry S Jiampetti</v>
      </c>
      <c r="F15508" t="str">
        <f>"US HISTORY HON"</f>
        <v>US HISTORY HON</v>
      </c>
      <c r="G15508" t="str">
        <f>"17-1751"</f>
        <v>17-1751</v>
      </c>
      <c r="H15508" t="str">
        <f>"A"</f>
        <v>A</v>
      </c>
    </row>
    <row r="15509" spans="1:8" x14ac:dyDescent="0.2">
      <c r="A15509" t="str">
        <f t="shared" si="5626"/>
        <v>0615018544</v>
      </c>
      <c r="B15509" t="str">
        <f t="shared" si="5627"/>
        <v>AMANDA</v>
      </c>
      <c r="C15509" t="str">
        <f t="shared" si="5628"/>
        <v>SCHLIEN</v>
      </c>
      <c r="D15509">
        <f>11</f>
        <v>11</v>
      </c>
      <c r="E15509" t="str">
        <f>"02 - A - 107 - Elizabeth Ellen  Moran"</f>
        <v>02 - A - 107 - Elizabeth Ellen  Moran</v>
      </c>
      <c r="F15509" t="str">
        <f>"NC STUDY HALL 1"</f>
        <v>NC STUDY HALL 1</v>
      </c>
      <c r="G15509" t="str">
        <f>"17-1752"</f>
        <v>17-1752</v>
      </c>
      <c r="H15509" t="str">
        <f>"A"</f>
        <v>A</v>
      </c>
    </row>
    <row r="15510" spans="1:8" x14ac:dyDescent="0.2">
      <c r="A15510" t="str">
        <f t="shared" si="5626"/>
        <v>0615018544</v>
      </c>
      <c r="B15510" t="str">
        <f t="shared" si="5627"/>
        <v>AMANDA</v>
      </c>
      <c r="C15510" t="str">
        <f t="shared" si="5628"/>
        <v>SCHLIEN</v>
      </c>
      <c r="D15510">
        <f>11</f>
        <v>11</v>
      </c>
      <c r="E15510" t="str">
        <f>"07 - B - 107 - Semra  Bahadir"</f>
        <v>07 - B - 107 - Semra  Bahadir</v>
      </c>
      <c r="F15510" t="str">
        <f>"MATH COLL ALGEBRA"</f>
        <v>MATH COLL ALGEBRA</v>
      </c>
      <c r="G15510" t="str">
        <f>"21-2107"</f>
        <v>21-2107</v>
      </c>
      <c r="H15510" t="str">
        <f>"B"</f>
        <v>B</v>
      </c>
    </row>
    <row r="15511" spans="1:8" x14ac:dyDescent="0.2">
      <c r="A15511" t="str">
        <f t="shared" si="5626"/>
        <v>0615018544</v>
      </c>
      <c r="B15511" t="str">
        <f t="shared" si="5627"/>
        <v>AMANDA</v>
      </c>
      <c r="C15511" t="str">
        <f t="shared" si="5628"/>
        <v>SCHLIEN</v>
      </c>
      <c r="D15511">
        <f>11</f>
        <v>11</v>
      </c>
      <c r="E15511" t="str">
        <f>"05 - B - 103 - Tina M Jaramillo"</f>
        <v>05 - B - 103 - Tina M Jaramillo</v>
      </c>
      <c r="F15511" t="str">
        <f>"AP ENG COMPO"</f>
        <v>AP ENG COMPO</v>
      </c>
      <c r="G15511" t="str">
        <f>"17-1706"</f>
        <v>17-1706</v>
      </c>
      <c r="H15511" t="str">
        <f>"B"</f>
        <v>B</v>
      </c>
    </row>
    <row r="15512" spans="1:8" x14ac:dyDescent="0.2">
      <c r="A15512" t="str">
        <f t="shared" si="5626"/>
        <v>0615018544</v>
      </c>
      <c r="B15512" t="str">
        <f t="shared" si="5627"/>
        <v>AMANDA</v>
      </c>
      <c r="C15512" t="str">
        <f t="shared" si="5628"/>
        <v>SCHLIEN</v>
      </c>
      <c r="D15512">
        <f>11</f>
        <v>11</v>
      </c>
      <c r="E15512" t="str">
        <f>"01 - A - 201 - Stefanie S Scher"</f>
        <v>01 - A - 201 - Stefanie S Scher</v>
      </c>
      <c r="F15512" t="str">
        <f>"AICE PSYCH 1 AS"</f>
        <v>AICE PSYCH 1 AS</v>
      </c>
      <c r="G15512" t="str">
        <f>"17-1735"</f>
        <v>17-1735</v>
      </c>
      <c r="H15512" t="str">
        <f>"A"</f>
        <v>A</v>
      </c>
    </row>
    <row r="15513" spans="1:8" x14ac:dyDescent="0.2">
      <c r="A15513" t="str">
        <f t="shared" si="5626"/>
        <v>0615018544</v>
      </c>
      <c r="B15513" t="str">
        <f t="shared" si="5627"/>
        <v>AMANDA</v>
      </c>
      <c r="C15513" t="str">
        <f t="shared" si="5628"/>
        <v>SCHLIEN</v>
      </c>
      <c r="D15513">
        <f>11</f>
        <v>11</v>
      </c>
      <c r="E15513" t="str">
        <f>"08 - B - 105 - Daniel S Katz"</f>
        <v>08 - B - 105 - Daniel S Katz</v>
      </c>
      <c r="F15513" t="str">
        <f>"AICE MEDIA STUDIES A"</f>
        <v>AICE MEDIA STUDIES A</v>
      </c>
      <c r="G15513" t="str">
        <f>"05-521"</f>
        <v>05-521</v>
      </c>
      <c r="H15513" t="str">
        <f>"B"</f>
        <v>B</v>
      </c>
    </row>
    <row r="15514" spans="1:8" x14ac:dyDescent="0.2">
      <c r="A15514" t="str">
        <f t="shared" ref="A15514:A15521" si="5629">"0615128892"</f>
        <v>0615128892</v>
      </c>
      <c r="B15514" t="str">
        <f t="shared" ref="B15514:B15521" si="5630">"JOEY"</f>
        <v>JOEY</v>
      </c>
      <c r="C15514" t="str">
        <f t="shared" ref="C15514:C15527" si="5631">"SCHMUCKE"</f>
        <v>SCHMUCKE</v>
      </c>
      <c r="D15514">
        <f>10</f>
        <v>10</v>
      </c>
      <c r="E15514" t="str">
        <f>"04 - A - 104 - Nikiel  Nesbeth"</f>
        <v>04 - A - 104 - Nikiel  Nesbeth</v>
      </c>
      <c r="F15514" t="str">
        <f>"ENG 2"</f>
        <v>ENG 2</v>
      </c>
      <c r="G15514" t="str">
        <f>"17-1705"</f>
        <v>17-1705</v>
      </c>
      <c r="H15514" t="str">
        <f>"A"</f>
        <v>A</v>
      </c>
    </row>
    <row r="15515" spans="1:8" x14ac:dyDescent="0.2">
      <c r="A15515" t="str">
        <f t="shared" si="5629"/>
        <v>0615128892</v>
      </c>
      <c r="B15515" t="str">
        <f t="shared" si="5630"/>
        <v>JOEY</v>
      </c>
      <c r="C15515" t="str">
        <f t="shared" si="5631"/>
        <v>SCHMUCKE</v>
      </c>
      <c r="D15515">
        <f>10</f>
        <v>10</v>
      </c>
      <c r="E15515" t="str">
        <f>"06 - B - 118 - Jeanne M Bermudez"</f>
        <v>06 - B - 118 - Jeanne M Bermudez</v>
      </c>
      <c r="F15515" t="str">
        <f>"NC STUDY HALL 1"</f>
        <v>NC STUDY HALL 1</v>
      </c>
      <c r="G15515" t="str">
        <f>"21-2141"</f>
        <v>21-2141</v>
      </c>
      <c r="H15515" t="str">
        <f>"B"</f>
        <v>B</v>
      </c>
    </row>
    <row r="15516" spans="1:8" x14ac:dyDescent="0.2">
      <c r="A15516" t="str">
        <f t="shared" si="5629"/>
        <v>0615128892</v>
      </c>
      <c r="B15516" t="str">
        <f t="shared" si="5630"/>
        <v>JOEY</v>
      </c>
      <c r="C15516" t="str">
        <f t="shared" si="5631"/>
        <v>SCHMUCKE</v>
      </c>
      <c r="D15516">
        <f>10</f>
        <v>10</v>
      </c>
      <c r="E15516" t="str">
        <f>"03 - S1 - A - 103 - Richard E Dunbar Iii"</f>
        <v>03 - S1 - A - 103 - Richard E Dunbar Iii</v>
      </c>
      <c r="F15516" t="str">
        <f>"WEIGHT TRAIN 3"</f>
        <v>WEIGHT TRAIN 3</v>
      </c>
      <c r="G15516" t="str">
        <f>"05-501"</f>
        <v>05-501</v>
      </c>
      <c r="H15516" t="str">
        <f>"A"</f>
        <v>A</v>
      </c>
    </row>
    <row r="15517" spans="1:8" x14ac:dyDescent="0.2">
      <c r="A15517" t="str">
        <f t="shared" si="5629"/>
        <v>0615128892</v>
      </c>
      <c r="B15517" t="str">
        <f t="shared" si="5630"/>
        <v>JOEY</v>
      </c>
      <c r="C15517" t="str">
        <f t="shared" si="5631"/>
        <v>SCHMUCKE</v>
      </c>
      <c r="D15517">
        <f>10</f>
        <v>10</v>
      </c>
      <c r="E15517" t="str">
        <f>"02 - S1 - A - 101 - James H Mccann"</f>
        <v>02 - S1 - A - 101 - James H Mccann</v>
      </c>
      <c r="F15517" t="str">
        <f>"PERS FIN &amp; MON MGT H"</f>
        <v>PERS FIN &amp; MON MGT H</v>
      </c>
      <c r="G15517" t="str">
        <f>"17-1716"</f>
        <v>17-1716</v>
      </c>
      <c r="H15517" t="str">
        <f>"A"</f>
        <v>A</v>
      </c>
    </row>
    <row r="15518" spans="1:8" x14ac:dyDescent="0.2">
      <c r="A15518" t="str">
        <f t="shared" si="5629"/>
        <v>0615128892</v>
      </c>
      <c r="B15518" t="str">
        <f t="shared" si="5630"/>
        <v>JOEY</v>
      </c>
      <c r="C15518" t="str">
        <f t="shared" si="5631"/>
        <v>SCHMUCKE</v>
      </c>
      <c r="D15518">
        <f>10</f>
        <v>10</v>
      </c>
      <c r="E15518" t="str">
        <f>"07 - B - 001 - Maried P Ramos"</f>
        <v>07 - B - 001 - Maried P Ramos</v>
      </c>
      <c r="F15518" t="str">
        <f>"GEOMETRY"</f>
        <v>GEOMETRY</v>
      </c>
      <c r="G15518" t="str">
        <f>"21-2159"</f>
        <v>21-2159</v>
      </c>
      <c r="H15518" t="str">
        <f>"B"</f>
        <v>B</v>
      </c>
    </row>
    <row r="15519" spans="1:8" x14ac:dyDescent="0.2">
      <c r="A15519" t="str">
        <f t="shared" si="5629"/>
        <v>0615128892</v>
      </c>
      <c r="B15519" t="str">
        <f t="shared" si="5630"/>
        <v>JOEY</v>
      </c>
      <c r="C15519" t="str">
        <f t="shared" si="5631"/>
        <v>SCHMUCKE</v>
      </c>
      <c r="D15519">
        <f>10</f>
        <v>10</v>
      </c>
      <c r="E15519" t="str">
        <f>"05 - B - 105 - Marius D Orsolini"</f>
        <v>05 - B - 105 - Marius D Orsolini</v>
      </c>
      <c r="F15519" t="str">
        <f>"CULINARY ARTS 1"</f>
        <v>CULINARY ARTS 1</v>
      </c>
      <c r="G15519" t="str">
        <f>"21-2115"</f>
        <v>21-2115</v>
      </c>
      <c r="H15519" t="str">
        <f>"B"</f>
        <v>B</v>
      </c>
    </row>
    <row r="15520" spans="1:8" x14ac:dyDescent="0.2">
      <c r="A15520" t="str">
        <f t="shared" si="5629"/>
        <v>0615128892</v>
      </c>
      <c r="B15520" t="str">
        <f t="shared" si="5630"/>
        <v>JOEY</v>
      </c>
      <c r="C15520" t="str">
        <f t="shared" si="5631"/>
        <v>SCHMUCKE</v>
      </c>
      <c r="D15520">
        <f>10</f>
        <v>10</v>
      </c>
      <c r="E15520" t="str">
        <f>"01 - A - 101 - Taraneh C Abreu"</f>
        <v>01 - A - 101 - Taraneh C Abreu</v>
      </c>
      <c r="F15520" t="str">
        <f>"INTENS READ 2"</f>
        <v>INTENS READ 2</v>
      </c>
      <c r="G15520" t="str">
        <f>"17-1713"</f>
        <v>17-1713</v>
      </c>
      <c r="H15520" t="str">
        <f>"A"</f>
        <v>A</v>
      </c>
    </row>
    <row r="15521" spans="1:8" x14ac:dyDescent="0.2">
      <c r="A15521" t="str">
        <f t="shared" si="5629"/>
        <v>0615128892</v>
      </c>
      <c r="B15521" t="str">
        <f t="shared" si="5630"/>
        <v>JOEY</v>
      </c>
      <c r="C15521" t="str">
        <f t="shared" si="5631"/>
        <v>SCHMUCKE</v>
      </c>
      <c r="D15521">
        <f>10</f>
        <v>10</v>
      </c>
      <c r="E15521" t="str">
        <f>"08 - B - 108 - Paige Lauren  Brochu"</f>
        <v>08 - B - 108 - Paige Lauren  Brochu</v>
      </c>
      <c r="F15521" t="str">
        <f>"BIOLOGY 1"</f>
        <v>BIOLOGY 1</v>
      </c>
      <c r="G15521" t="str">
        <f>"21-2134"</f>
        <v>21-2134</v>
      </c>
      <c r="H15521" t="str">
        <f>"B"</f>
        <v>B</v>
      </c>
    </row>
    <row r="15522" spans="1:8" x14ac:dyDescent="0.2">
      <c r="A15522" t="str">
        <f t="shared" ref="A15522:A15527" si="5632">"0613122851"</f>
        <v>0613122851</v>
      </c>
      <c r="B15522" t="str">
        <f t="shared" ref="B15522:B15527" si="5633">"LEONEL"</f>
        <v>LEONEL</v>
      </c>
      <c r="C15522" t="str">
        <f t="shared" si="5631"/>
        <v>SCHMUCKE</v>
      </c>
      <c r="D15522">
        <f>12</f>
        <v>12</v>
      </c>
      <c r="E15522" t="str">
        <f>"04 - A - 102 - Daniel S Katz"</f>
        <v>04 - A - 102 - Daniel S Katz</v>
      </c>
      <c r="F15522" t="str">
        <f>"AICE DRAMA 1 AS LEV"</f>
        <v>AICE DRAMA 1 AS LEV</v>
      </c>
      <c r="G15522" t="str">
        <f>"05-521"</f>
        <v>05-521</v>
      </c>
      <c r="H15522" t="str">
        <f>"A"</f>
        <v>A</v>
      </c>
    </row>
    <row r="15523" spans="1:8" x14ac:dyDescent="0.2">
      <c r="A15523" t="str">
        <f t="shared" si="5632"/>
        <v>0613122851</v>
      </c>
      <c r="B15523" t="str">
        <f t="shared" si="5633"/>
        <v>LEONEL</v>
      </c>
      <c r="C15523" t="str">
        <f t="shared" si="5631"/>
        <v>SCHMUCKE</v>
      </c>
      <c r="D15523">
        <f>12</f>
        <v>12</v>
      </c>
      <c r="E15523" t="str">
        <f>"06 - B - 106 - Taraneh C Abreu"</f>
        <v>06 - B - 106 - Taraneh C Abreu</v>
      </c>
      <c r="F15523" t="str">
        <f>"NC STUDY HALL 1"</f>
        <v>NC STUDY HALL 1</v>
      </c>
      <c r="G15523" t="str">
        <f>"17-1713"</f>
        <v>17-1713</v>
      </c>
      <c r="H15523" t="str">
        <f>"B"</f>
        <v>B</v>
      </c>
    </row>
    <row r="15524" spans="1:8" x14ac:dyDescent="0.2">
      <c r="A15524" t="str">
        <f t="shared" si="5632"/>
        <v>0613122851</v>
      </c>
      <c r="B15524" t="str">
        <f t="shared" si="5633"/>
        <v>LEONEL</v>
      </c>
      <c r="C15524" t="str">
        <f t="shared" si="5631"/>
        <v>SCHMUCKE</v>
      </c>
      <c r="D15524">
        <f>12</f>
        <v>12</v>
      </c>
      <c r="E15524" t="str">
        <f>"03 - S1 - A - 103 - Richard E Dunbar Iii"</f>
        <v>03 - S1 - A - 103 - Richard E Dunbar Iii</v>
      </c>
      <c r="F15524" t="str">
        <f>"WEIGHT TRAIN 3"</f>
        <v>WEIGHT TRAIN 3</v>
      </c>
      <c r="G15524" t="str">
        <f>"05-501"</f>
        <v>05-501</v>
      </c>
      <c r="H15524" t="str">
        <f>"A"</f>
        <v>A</v>
      </c>
    </row>
    <row r="15525" spans="1:8" x14ac:dyDescent="0.2">
      <c r="A15525" t="str">
        <f t="shared" si="5632"/>
        <v>0613122851</v>
      </c>
      <c r="B15525" t="str">
        <f t="shared" si="5633"/>
        <v>LEONEL</v>
      </c>
      <c r="C15525" t="str">
        <f t="shared" si="5631"/>
        <v>SCHMUCKE</v>
      </c>
      <c r="D15525">
        <f>12</f>
        <v>12</v>
      </c>
      <c r="E15525" t="str">
        <f>"02 - A - 201 - Jeanne M Bermudez"</f>
        <v>02 - A - 201 - Jeanne M Bermudez</v>
      </c>
      <c r="F15525" t="str">
        <f>"AP ENV SCI"</f>
        <v>AP ENV SCI</v>
      </c>
      <c r="G15525" t="str">
        <f>"21-2141"</f>
        <v>21-2141</v>
      </c>
      <c r="H15525" t="str">
        <f>"A"</f>
        <v>A</v>
      </c>
    </row>
    <row r="15526" spans="1:8" x14ac:dyDescent="0.2">
      <c r="A15526" t="str">
        <f t="shared" si="5632"/>
        <v>0613122851</v>
      </c>
      <c r="B15526" t="str">
        <f t="shared" si="5633"/>
        <v>LEONEL</v>
      </c>
      <c r="C15526" t="str">
        <f t="shared" si="5631"/>
        <v>SCHMUCKE</v>
      </c>
      <c r="D15526">
        <f>12</f>
        <v>12</v>
      </c>
      <c r="E15526" t="str">
        <f>"05 - S1 - B - 103 - Stephen T Ripp"</f>
        <v>05 - S1 - B - 103 - Stephen T Ripp</v>
      </c>
      <c r="F15526" t="str">
        <f>"AP US GOVT/POL"</f>
        <v>AP US GOVT/POL</v>
      </c>
      <c r="G15526" t="str">
        <f>"17-1744"</f>
        <v>17-1744</v>
      </c>
      <c r="H15526" t="str">
        <f>"B"</f>
        <v>B</v>
      </c>
    </row>
    <row r="15527" spans="1:8" x14ac:dyDescent="0.2">
      <c r="A15527" t="str">
        <f t="shared" si="5632"/>
        <v>0613122851</v>
      </c>
      <c r="B15527" t="str">
        <f t="shared" si="5633"/>
        <v>LEONEL</v>
      </c>
      <c r="C15527" t="str">
        <f t="shared" si="5631"/>
        <v>SCHMUCKE</v>
      </c>
      <c r="D15527">
        <f>12</f>
        <v>12</v>
      </c>
      <c r="E15527" t="str">
        <f>"01 - A - 103 - Scott A Dethloff"</f>
        <v>01 - A - 103 - Scott A Dethloff</v>
      </c>
      <c r="F15527" t="str">
        <f>"AICE THINK SKLS 1 AS"</f>
        <v>AICE THINK SKLS 1 AS</v>
      </c>
      <c r="G15527" t="str">
        <f>"08-812"</f>
        <v>08-812</v>
      </c>
      <c r="H15527" t="str">
        <f>"A"</f>
        <v>A</v>
      </c>
    </row>
    <row r="15528" spans="1:8" x14ac:dyDescent="0.2">
      <c r="A15528" t="str">
        <f t="shared" ref="A15528:A15535" si="5634">"0615089958"</f>
        <v>0615089958</v>
      </c>
      <c r="B15528" t="str">
        <f t="shared" ref="B15528:B15535" si="5635">"SABRINA"</f>
        <v>SABRINA</v>
      </c>
      <c r="C15528" t="str">
        <f t="shared" ref="C15528:C15543" si="5636">"SCHNOELLER"</f>
        <v>SCHNOELLER</v>
      </c>
      <c r="D15528">
        <f>12</f>
        <v>12</v>
      </c>
      <c r="E15528" t="str">
        <f>"04 - A - 201 - Brian M Fitzgerald"</f>
        <v>04 - A - 201 - Brian M Fitzgerald</v>
      </c>
      <c r="F15528" t="str">
        <f>"AP 3-D ART &amp; DESIGN"</f>
        <v>AP 3-D ART &amp; DESIGN</v>
      </c>
      <c r="G15528" t="str">
        <f>"09-908"</f>
        <v>09-908</v>
      </c>
      <c r="H15528" t="str">
        <f>"A"</f>
        <v>A</v>
      </c>
    </row>
    <row r="15529" spans="1:8" x14ac:dyDescent="0.2">
      <c r="A15529" t="str">
        <f t="shared" si="5634"/>
        <v>0615089958</v>
      </c>
      <c r="B15529" t="str">
        <f t="shared" si="5635"/>
        <v>SABRINA</v>
      </c>
      <c r="C15529" t="str">
        <f t="shared" si="5636"/>
        <v>SCHNOELLER</v>
      </c>
      <c r="D15529">
        <f>12</f>
        <v>12</v>
      </c>
      <c r="E15529" t="str">
        <f>"06 - B - 102 - Ferrie J Arostique"</f>
        <v>06 - B - 102 - Ferrie J Arostique</v>
      </c>
      <c r="F15529" t="str">
        <f>"NC STUDY HALL 1"</f>
        <v>NC STUDY HALL 1</v>
      </c>
      <c r="G15529" t="str">
        <f>"21-2139"</f>
        <v>21-2139</v>
      </c>
      <c r="H15529" t="str">
        <f>"B"</f>
        <v>B</v>
      </c>
    </row>
    <row r="15530" spans="1:8" x14ac:dyDescent="0.2">
      <c r="A15530" t="str">
        <f t="shared" si="5634"/>
        <v>0615089958</v>
      </c>
      <c r="B15530" t="str">
        <f t="shared" si="5635"/>
        <v>SABRINA</v>
      </c>
      <c r="C15530" t="str">
        <f t="shared" si="5636"/>
        <v>SCHNOELLER</v>
      </c>
      <c r="D15530">
        <f>12</f>
        <v>12</v>
      </c>
      <c r="E15530" t="str">
        <f>"03 - A - 101 - Jacqueline R Morphet"</f>
        <v>03 - A - 101 - Jacqueline R Morphet</v>
      </c>
      <c r="F15530" t="str">
        <f>"AP PHYSICS 1"</f>
        <v>AP PHYSICS 1</v>
      </c>
      <c r="G15530" t="str">
        <f>"21-2138"</f>
        <v>21-2138</v>
      </c>
      <c r="H15530" t="str">
        <f>"A"</f>
        <v>A</v>
      </c>
    </row>
    <row r="15531" spans="1:8" x14ac:dyDescent="0.2">
      <c r="A15531" t="str">
        <f t="shared" si="5634"/>
        <v>0615089958</v>
      </c>
      <c r="B15531" t="str">
        <f t="shared" si="5635"/>
        <v>SABRINA</v>
      </c>
      <c r="C15531" t="str">
        <f t="shared" si="5636"/>
        <v>SCHNOELLER</v>
      </c>
      <c r="D15531">
        <f>12</f>
        <v>12</v>
      </c>
      <c r="E15531" t="str">
        <f>"02 - A - 102 - Daniel S Tyson"</f>
        <v>02 - A - 102 - Daniel S Tyson</v>
      </c>
      <c r="F15531" t="str">
        <f>"JROTC NAVAL SCI 4"</f>
        <v>JROTC NAVAL SCI 4</v>
      </c>
      <c r="G15531" t="str">
        <f>"05-510"</f>
        <v>05-510</v>
      </c>
      <c r="H15531" t="str">
        <f>"A"</f>
        <v>A</v>
      </c>
    </row>
    <row r="15532" spans="1:8" x14ac:dyDescent="0.2">
      <c r="A15532" t="str">
        <f t="shared" si="5634"/>
        <v>0615089958</v>
      </c>
      <c r="B15532" t="str">
        <f t="shared" si="5635"/>
        <v>SABRINA</v>
      </c>
      <c r="C15532" t="str">
        <f t="shared" si="5636"/>
        <v>SCHNOELLER</v>
      </c>
      <c r="D15532">
        <f>12</f>
        <v>12</v>
      </c>
      <c r="E15532" t="str">
        <f>"07 - B - 102 - Pamela M Corzo"</f>
        <v>07 - B - 102 - Pamela M Corzo</v>
      </c>
      <c r="F15532" t="str">
        <f>"AP CALCULUS AB"</f>
        <v>AP CALCULUS AB</v>
      </c>
      <c r="G15532" t="str">
        <f>"21-2133"</f>
        <v>21-2133</v>
      </c>
      <c r="H15532" t="str">
        <f>"B"</f>
        <v>B</v>
      </c>
    </row>
    <row r="15533" spans="1:8" x14ac:dyDescent="0.2">
      <c r="A15533" t="str">
        <f t="shared" si="5634"/>
        <v>0615089958</v>
      </c>
      <c r="B15533" t="str">
        <f t="shared" si="5635"/>
        <v>SABRINA</v>
      </c>
      <c r="C15533" t="str">
        <f t="shared" si="5636"/>
        <v>SCHNOELLER</v>
      </c>
      <c r="D15533">
        <f>12</f>
        <v>12</v>
      </c>
      <c r="E15533" t="str">
        <f>"05 - B - 201 - Scott A Dethloff"</f>
        <v>05 - B - 201 - Scott A Dethloff</v>
      </c>
      <c r="F15533" t="str">
        <f>"AP CHEM"</f>
        <v>AP CHEM</v>
      </c>
      <c r="G15533" t="str">
        <f>"08-812"</f>
        <v>08-812</v>
      </c>
      <c r="H15533" t="str">
        <f>"B"</f>
        <v>B</v>
      </c>
    </row>
    <row r="15534" spans="1:8" x14ac:dyDescent="0.2">
      <c r="A15534" t="str">
        <f t="shared" si="5634"/>
        <v>0615089958</v>
      </c>
      <c r="B15534" t="str">
        <f t="shared" si="5635"/>
        <v>SABRINA</v>
      </c>
      <c r="C15534" t="str">
        <f t="shared" si="5636"/>
        <v>SCHNOELLER</v>
      </c>
      <c r="D15534">
        <f>12</f>
        <v>12</v>
      </c>
      <c r="E15534" t="str">
        <f>"01 - A - 204 - Tina M Jaramillo"</f>
        <v>01 - A - 204 - Tina M Jaramillo</v>
      </c>
      <c r="F15534" t="str">
        <f>"AP ENG LIT COMPO"</f>
        <v>AP ENG LIT COMPO</v>
      </c>
      <c r="G15534" t="str">
        <f>"17-1706"</f>
        <v>17-1706</v>
      </c>
      <c r="H15534" t="str">
        <f>"A"</f>
        <v>A</v>
      </c>
    </row>
    <row r="15535" spans="1:8" x14ac:dyDescent="0.2">
      <c r="A15535" t="str">
        <f t="shared" si="5634"/>
        <v>0615089958</v>
      </c>
      <c r="B15535" t="str">
        <f t="shared" si="5635"/>
        <v>SABRINA</v>
      </c>
      <c r="C15535" t="str">
        <f t="shared" si="5636"/>
        <v>SCHNOELLER</v>
      </c>
      <c r="D15535">
        <f>12</f>
        <v>12</v>
      </c>
      <c r="E15535" t="str">
        <f>"08 - B - 102 - Pamela M Corzo"</f>
        <v>08 - B - 102 - Pamela M Corzo</v>
      </c>
      <c r="F15535" t="str">
        <f>"AP STAT"</f>
        <v>AP STAT</v>
      </c>
      <c r="G15535" t="str">
        <f>"21-2133"</f>
        <v>21-2133</v>
      </c>
      <c r="H15535" t="str">
        <f>"B"</f>
        <v>B</v>
      </c>
    </row>
    <row r="15536" spans="1:8" x14ac:dyDescent="0.2">
      <c r="A15536" t="str">
        <f t="shared" ref="A15536:A15543" si="5637">"0615101180"</f>
        <v>0615101180</v>
      </c>
      <c r="B15536" t="str">
        <f t="shared" ref="B15536:B15543" si="5638">"ZOE"</f>
        <v>ZOE</v>
      </c>
      <c r="C15536" t="str">
        <f t="shared" si="5636"/>
        <v>SCHNOELLER</v>
      </c>
      <c r="D15536">
        <f>10</f>
        <v>10</v>
      </c>
      <c r="E15536" t="str">
        <f>"04 - A - 104 - Courtney E Hambright"</f>
        <v>04 - A - 104 - Courtney E Hambright</v>
      </c>
      <c r="F15536" t="str">
        <f>"AICE ENG LANG AS"</f>
        <v>AICE ENG LANG AS</v>
      </c>
      <c r="G15536" t="str">
        <f>"17-1711"</f>
        <v>17-1711</v>
      </c>
      <c r="H15536" t="str">
        <f>"A"</f>
        <v>A</v>
      </c>
    </row>
    <row r="15537" spans="1:8" x14ac:dyDescent="0.2">
      <c r="A15537" t="str">
        <f t="shared" si="5637"/>
        <v>0615101180</v>
      </c>
      <c r="B15537" t="str">
        <f t="shared" si="5638"/>
        <v>ZOE</v>
      </c>
      <c r="C15537" t="str">
        <f t="shared" si="5636"/>
        <v>SCHNOELLER</v>
      </c>
      <c r="D15537">
        <f>10</f>
        <v>10</v>
      </c>
      <c r="E15537" t="str">
        <f>"06 - B - 110 - Jerry S Jiampetti"</f>
        <v>06 - B - 110 - Jerry S Jiampetti</v>
      </c>
      <c r="F15537" t="str">
        <f>"NC STUDY HALL 1"</f>
        <v>NC STUDY HALL 1</v>
      </c>
      <c r="G15537" t="str">
        <f>"17-1751"</f>
        <v>17-1751</v>
      </c>
      <c r="H15537" t="str">
        <f>"B"</f>
        <v>B</v>
      </c>
    </row>
    <row r="15538" spans="1:8" x14ac:dyDescent="0.2">
      <c r="A15538" t="str">
        <f t="shared" si="5637"/>
        <v>0615101180</v>
      </c>
      <c r="B15538" t="str">
        <f t="shared" si="5638"/>
        <v>ZOE</v>
      </c>
      <c r="C15538" t="str">
        <f t="shared" si="5636"/>
        <v>SCHNOELLER</v>
      </c>
      <c r="D15538">
        <f>10</f>
        <v>10</v>
      </c>
      <c r="E15538" t="str">
        <f>"03 - A - 101 - Scott A Dethloff"</f>
        <v>03 - A - 101 - Scott A Dethloff</v>
      </c>
      <c r="F15538" t="str">
        <f>"CHEMISTRY 1 HON"</f>
        <v>CHEMISTRY 1 HON</v>
      </c>
      <c r="G15538" t="str">
        <f>"08-812"</f>
        <v>08-812</v>
      </c>
      <c r="H15538" t="str">
        <f>"A"</f>
        <v>A</v>
      </c>
    </row>
    <row r="15539" spans="1:8" x14ac:dyDescent="0.2">
      <c r="A15539" t="str">
        <f t="shared" si="5637"/>
        <v>0615101180</v>
      </c>
      <c r="B15539" t="str">
        <f t="shared" si="5638"/>
        <v>ZOE</v>
      </c>
      <c r="C15539" t="str">
        <f t="shared" si="5636"/>
        <v>SCHNOELLER</v>
      </c>
      <c r="D15539">
        <f>10</f>
        <v>10</v>
      </c>
      <c r="E15539" t="str">
        <f>"02 - A - 103 - Lenecy  Nodarse"</f>
        <v>02 - A - 103 - Lenecy  Nodarse</v>
      </c>
      <c r="F15539" t="str">
        <f>"AICE EURO HIST 1 AS"</f>
        <v>AICE EURO HIST 1 AS</v>
      </c>
      <c r="G15539" t="str">
        <f>"17-1741"</f>
        <v>17-1741</v>
      </c>
      <c r="H15539" t="str">
        <f>"A"</f>
        <v>A</v>
      </c>
    </row>
    <row r="15540" spans="1:8" x14ac:dyDescent="0.2">
      <c r="A15540" t="str">
        <f t="shared" si="5637"/>
        <v>0615101180</v>
      </c>
      <c r="B15540" t="str">
        <f t="shared" si="5638"/>
        <v>ZOE</v>
      </c>
      <c r="C15540" t="str">
        <f t="shared" si="5636"/>
        <v>SCHNOELLER</v>
      </c>
      <c r="D15540">
        <f>10</f>
        <v>10</v>
      </c>
      <c r="E15540" t="str">
        <f>"07 - B - 101 - Fernando  Vega-Cid"</f>
        <v>07 - B - 101 - Fernando  Vega-Cid</v>
      </c>
      <c r="F15540" t="str">
        <f>"AP PRECALCULUS"</f>
        <v>AP PRECALCULUS</v>
      </c>
      <c r="G15540" t="str">
        <f>"21-2163"</f>
        <v>21-2163</v>
      </c>
      <c r="H15540" t="str">
        <f>"B"</f>
        <v>B</v>
      </c>
    </row>
    <row r="15541" spans="1:8" x14ac:dyDescent="0.2">
      <c r="A15541" t="str">
        <f t="shared" si="5637"/>
        <v>0615101180</v>
      </c>
      <c r="B15541" t="str">
        <f t="shared" si="5638"/>
        <v>ZOE</v>
      </c>
      <c r="C15541" t="str">
        <f t="shared" si="5636"/>
        <v>SCHNOELLER</v>
      </c>
      <c r="D15541">
        <f>10</f>
        <v>10</v>
      </c>
      <c r="E15541" t="str">
        <f>"05 - B - 101 - Alejandro  Navarro"</f>
        <v>05 - B - 101 - Alejandro  Navarro</v>
      </c>
      <c r="F15541" t="str">
        <f>"GUITAR 2"</f>
        <v>GUITAR 2</v>
      </c>
      <c r="G15541" t="str">
        <f>"05-504"</f>
        <v>05-504</v>
      </c>
      <c r="H15541" t="str">
        <f>"B"</f>
        <v>B</v>
      </c>
    </row>
    <row r="15542" spans="1:8" x14ac:dyDescent="0.2">
      <c r="A15542" t="str">
        <f t="shared" si="5637"/>
        <v>0615101180</v>
      </c>
      <c r="B15542" t="str">
        <f t="shared" si="5638"/>
        <v>ZOE</v>
      </c>
      <c r="C15542" t="str">
        <f t="shared" si="5636"/>
        <v>SCHNOELLER</v>
      </c>
      <c r="D15542">
        <f>10</f>
        <v>10</v>
      </c>
      <c r="E15542" t="str">
        <f>"01 - A - 103 - Scott A Dethloff"</f>
        <v>01 - A - 103 - Scott A Dethloff</v>
      </c>
      <c r="F15542" t="str">
        <f>"AICE THINK SKLS 1 AS"</f>
        <v>AICE THINK SKLS 1 AS</v>
      </c>
      <c r="G15542" t="str">
        <f>"08-812"</f>
        <v>08-812</v>
      </c>
      <c r="H15542" t="str">
        <f>"A"</f>
        <v>A</v>
      </c>
    </row>
    <row r="15543" spans="1:8" x14ac:dyDescent="0.2">
      <c r="A15543" t="str">
        <f t="shared" si="5637"/>
        <v>0615101180</v>
      </c>
      <c r="B15543" t="str">
        <f t="shared" si="5638"/>
        <v>ZOE</v>
      </c>
      <c r="C15543" t="str">
        <f t="shared" si="5636"/>
        <v>SCHNOELLER</v>
      </c>
      <c r="D15543">
        <f>10</f>
        <v>10</v>
      </c>
      <c r="E15543" t="str">
        <f>"08 - B - 202 - Brian M Fitzgerald"</f>
        <v>08 - B - 202 - Brian M Fitzgerald</v>
      </c>
      <c r="F15543" t="str">
        <f>"CERAM/POT 2"</f>
        <v>CERAM/POT 2</v>
      </c>
      <c r="G15543" t="str">
        <f>"09-908"</f>
        <v>09-908</v>
      </c>
      <c r="H15543" t="str">
        <f>"B"</f>
        <v>B</v>
      </c>
    </row>
    <row r="15544" spans="1:8" x14ac:dyDescent="0.2">
      <c r="A15544" t="str">
        <f t="shared" ref="A15544:A15551" si="5639">"0614135544"</f>
        <v>0614135544</v>
      </c>
      <c r="B15544" t="str">
        <f t="shared" ref="B15544:B15551" si="5640">"ABIGAIL"</f>
        <v>ABIGAIL</v>
      </c>
      <c r="C15544" t="str">
        <f t="shared" ref="C15544:C15583" si="5641">"SCOTT"</f>
        <v>SCOTT</v>
      </c>
      <c r="D15544">
        <f>11</f>
        <v>11</v>
      </c>
      <c r="E15544" t="str">
        <f>"04 - A - 101 - Brian M Fitzgerald"</f>
        <v>04 - A - 101 - Brian M Fitzgerald</v>
      </c>
      <c r="F15544" t="str">
        <f>"DRAW 2"</f>
        <v>DRAW 2</v>
      </c>
      <c r="G15544" t="str">
        <f>"09-908"</f>
        <v>09-908</v>
      </c>
      <c r="H15544" t="str">
        <f>"A"</f>
        <v>A</v>
      </c>
    </row>
    <row r="15545" spans="1:8" x14ac:dyDescent="0.2">
      <c r="A15545" t="str">
        <f t="shared" si="5639"/>
        <v>0614135544</v>
      </c>
      <c r="B15545" t="str">
        <f t="shared" si="5640"/>
        <v>ABIGAIL</v>
      </c>
      <c r="C15545" t="str">
        <f t="shared" si="5641"/>
        <v>SCOTT</v>
      </c>
      <c r="D15545">
        <f>11</f>
        <v>11</v>
      </c>
      <c r="E15545" t="str">
        <f>"06 - B - 104 - Brandy N Zdenek"</f>
        <v>06 - B - 104 - Brandy N Zdenek</v>
      </c>
      <c r="F15545" t="str">
        <f>"AICE ENG LANG 2 AL"</f>
        <v>AICE ENG LANG 2 AL</v>
      </c>
      <c r="G15545" t="str">
        <f>"17-1704"</f>
        <v>17-1704</v>
      </c>
      <c r="H15545" t="str">
        <f>"B"</f>
        <v>B</v>
      </c>
    </row>
    <row r="15546" spans="1:8" x14ac:dyDescent="0.2">
      <c r="A15546" t="str">
        <f t="shared" si="5639"/>
        <v>0614135544</v>
      </c>
      <c r="B15546" t="str">
        <f t="shared" si="5640"/>
        <v>ABIGAIL</v>
      </c>
      <c r="C15546" t="str">
        <f t="shared" si="5641"/>
        <v>SCOTT</v>
      </c>
      <c r="D15546">
        <f>11</f>
        <v>11</v>
      </c>
      <c r="E15546" t="str">
        <f>"03 - A - 101 - Brian M Fitzgerald"</f>
        <v>03 - A - 101 - Brian M Fitzgerald</v>
      </c>
      <c r="F15546" t="str">
        <f>"SCULPT 1"</f>
        <v>SCULPT 1</v>
      </c>
      <c r="G15546" t="str">
        <f>"09-908"</f>
        <v>09-908</v>
      </c>
      <c r="H15546" t="str">
        <f>"A"</f>
        <v>A</v>
      </c>
    </row>
    <row r="15547" spans="1:8" x14ac:dyDescent="0.2">
      <c r="A15547" t="str">
        <f t="shared" si="5639"/>
        <v>0614135544</v>
      </c>
      <c r="B15547" t="str">
        <f t="shared" si="5640"/>
        <v>ABIGAIL</v>
      </c>
      <c r="C15547" t="str">
        <f t="shared" si="5641"/>
        <v>SCOTT</v>
      </c>
      <c r="D15547">
        <f>11</f>
        <v>11</v>
      </c>
      <c r="E15547" t="str">
        <f>"02 - A - 001 - Courtney E Hambright"</f>
        <v>02 - A - 001 - Courtney E Hambright</v>
      </c>
      <c r="F15547" t="str">
        <f>"NC STUDY HALL 1"</f>
        <v>NC STUDY HALL 1</v>
      </c>
      <c r="G15547" t="str">
        <f>"17-1711"</f>
        <v>17-1711</v>
      </c>
      <c r="H15547" t="str">
        <f>"A"</f>
        <v>A</v>
      </c>
    </row>
    <row r="15548" spans="1:8" x14ac:dyDescent="0.2">
      <c r="A15548" t="str">
        <f t="shared" si="5639"/>
        <v>0614135544</v>
      </c>
      <c r="B15548" t="str">
        <f t="shared" si="5640"/>
        <v>ABIGAIL</v>
      </c>
      <c r="C15548" t="str">
        <f t="shared" si="5641"/>
        <v>SCOTT</v>
      </c>
      <c r="D15548">
        <f>11</f>
        <v>11</v>
      </c>
      <c r="E15548" t="str">
        <f>"07 - B - 104 - Jerry S Jiampetti"</f>
        <v>07 - B - 104 - Jerry S Jiampetti</v>
      </c>
      <c r="F15548" t="str">
        <f>"AICE U.S. HIST 1 AS"</f>
        <v>AICE U.S. HIST 1 AS</v>
      </c>
      <c r="G15548" t="str">
        <f>"17-1751"</f>
        <v>17-1751</v>
      </c>
      <c r="H15548" t="str">
        <f>"B"</f>
        <v>B</v>
      </c>
    </row>
    <row r="15549" spans="1:8" x14ac:dyDescent="0.2">
      <c r="A15549" t="str">
        <f t="shared" si="5639"/>
        <v>0614135544</v>
      </c>
      <c r="B15549" t="str">
        <f t="shared" si="5640"/>
        <v>ABIGAIL</v>
      </c>
      <c r="C15549" t="str">
        <f t="shared" si="5641"/>
        <v>SCOTT</v>
      </c>
      <c r="D15549">
        <f>11</f>
        <v>11</v>
      </c>
      <c r="E15549" t="str">
        <f>"05 - B - 108 - Valerie J Ruwe"</f>
        <v>05 - B - 108 - Valerie J Ruwe</v>
      </c>
      <c r="F15549" t="str">
        <f>"CHEMISTRY 1 HON"</f>
        <v>CHEMISTRY 1 HON</v>
      </c>
      <c r="G15549" t="str">
        <f>"21-2138"</f>
        <v>21-2138</v>
      </c>
      <c r="H15549" t="str">
        <f>"B"</f>
        <v>B</v>
      </c>
    </row>
    <row r="15550" spans="1:8" x14ac:dyDescent="0.2">
      <c r="A15550" t="str">
        <f t="shared" si="5639"/>
        <v>0614135544</v>
      </c>
      <c r="B15550" t="str">
        <f t="shared" si="5640"/>
        <v>ABIGAIL</v>
      </c>
      <c r="C15550" t="str">
        <f t="shared" si="5641"/>
        <v>SCOTT</v>
      </c>
      <c r="D15550">
        <f>11</f>
        <v>11</v>
      </c>
      <c r="E15550" t="str">
        <f>"01 - A - 101 - Angela S Adeshina-Morrison"</f>
        <v>01 - A - 101 - Angela S Adeshina-Morrison</v>
      </c>
      <c r="F15550" t="str">
        <f>"MARKETING ESSENTIALS"</f>
        <v>MARKETING ESSENTIALS</v>
      </c>
      <c r="G15550" t="str">
        <f>"05-518"</f>
        <v>05-518</v>
      </c>
      <c r="H15550" t="str">
        <f>"A"</f>
        <v>A</v>
      </c>
    </row>
    <row r="15551" spans="1:8" x14ac:dyDescent="0.2">
      <c r="A15551" t="str">
        <f t="shared" si="5639"/>
        <v>0614135544</v>
      </c>
      <c r="B15551" t="str">
        <f t="shared" si="5640"/>
        <v>ABIGAIL</v>
      </c>
      <c r="C15551" t="str">
        <f t="shared" si="5641"/>
        <v>SCOTT</v>
      </c>
      <c r="D15551">
        <f>11</f>
        <v>11</v>
      </c>
      <c r="E15551" t="str">
        <f>"08 - B - 102 - Carleigh R Carmichael"</f>
        <v>08 - B - 102 - Carleigh R Carmichael</v>
      </c>
      <c r="F15551" t="str">
        <f>"LRNG STRATEGIES 9-12"</f>
        <v>LRNG STRATEGIES 9-12</v>
      </c>
      <c r="G15551" t="str">
        <f>"20-2072"</f>
        <v>20-2072</v>
      </c>
      <c r="H15551" t="str">
        <f>"B"</f>
        <v>B</v>
      </c>
    </row>
    <row r="15552" spans="1:8" x14ac:dyDescent="0.2">
      <c r="A15552" t="str">
        <f t="shared" ref="A15552:A15559" si="5642">"0619076393"</f>
        <v>0619076393</v>
      </c>
      <c r="B15552" t="str">
        <f t="shared" ref="B15552:B15559" si="5643">"AMY"</f>
        <v>AMY</v>
      </c>
      <c r="C15552" t="str">
        <f t="shared" si="5641"/>
        <v>SCOTT</v>
      </c>
      <c r="D15552">
        <f>10</f>
        <v>10</v>
      </c>
      <c r="E15552" t="str">
        <f>"04 - A - 103 - Joe  Kilpatrick Jr"</f>
        <v>04 - A - 103 - Joe  Kilpatrick Jr</v>
      </c>
      <c r="F15552" t="str">
        <f>"PRE-AICE SPAN 1 IG"</f>
        <v>PRE-AICE SPAN 1 IG</v>
      </c>
      <c r="G15552" t="str">
        <f>"09-912"</f>
        <v>09-912</v>
      </c>
      <c r="H15552" t="str">
        <f>"A"</f>
        <v>A</v>
      </c>
    </row>
    <row r="15553" spans="1:8" x14ac:dyDescent="0.2">
      <c r="A15553" t="str">
        <f t="shared" si="5642"/>
        <v>0619076393</v>
      </c>
      <c r="B15553" t="str">
        <f t="shared" si="5643"/>
        <v>AMY</v>
      </c>
      <c r="C15553" t="str">
        <f t="shared" si="5641"/>
        <v>SCOTT</v>
      </c>
      <c r="D15553">
        <f>10</f>
        <v>10</v>
      </c>
      <c r="E15553" t="str">
        <f>"06 - B - 002 - Lenecy  Nodarse"</f>
        <v>06 - B - 002 - Lenecy  Nodarse</v>
      </c>
      <c r="F15553" t="str">
        <f>"NC STUDY HALL 1"</f>
        <v>NC STUDY HALL 1</v>
      </c>
      <c r="G15553" t="str">
        <f>"17-1741"</f>
        <v>17-1741</v>
      </c>
      <c r="H15553" t="str">
        <f>"B"</f>
        <v>B</v>
      </c>
    </row>
    <row r="15554" spans="1:8" x14ac:dyDescent="0.2">
      <c r="A15554" t="str">
        <f t="shared" si="5642"/>
        <v>0619076393</v>
      </c>
      <c r="B15554" t="str">
        <f t="shared" si="5643"/>
        <v>AMY</v>
      </c>
      <c r="C15554" t="str">
        <f t="shared" si="5641"/>
        <v>SCOTT</v>
      </c>
      <c r="D15554">
        <f>10</f>
        <v>10</v>
      </c>
      <c r="E15554" t="str">
        <f>"03 - A - 103 - Jacquelyn M Neeson"</f>
        <v>03 - A - 103 - Jacquelyn M Neeson</v>
      </c>
      <c r="F15554" t="str">
        <f>"ENG 2"</f>
        <v>ENG 2</v>
      </c>
      <c r="G15554" t="str">
        <f>"17-1715"</f>
        <v>17-1715</v>
      </c>
      <c r="H15554" t="str">
        <f>"A"</f>
        <v>A</v>
      </c>
    </row>
    <row r="15555" spans="1:8" x14ac:dyDescent="0.2">
      <c r="A15555" t="str">
        <f t="shared" si="5642"/>
        <v>0619076393</v>
      </c>
      <c r="B15555" t="str">
        <f t="shared" si="5643"/>
        <v>AMY</v>
      </c>
      <c r="C15555" t="str">
        <f t="shared" si="5641"/>
        <v>SCOTT</v>
      </c>
      <c r="D15555">
        <f>10</f>
        <v>10</v>
      </c>
      <c r="E15555" t="str">
        <f>"02 - A - 102 - Taraneh C Abreu"</f>
        <v>02 - A - 102 - Taraneh C Abreu</v>
      </c>
      <c r="F15555" t="str">
        <f>"INTENS READ 2"</f>
        <v>INTENS READ 2</v>
      </c>
      <c r="G15555" t="str">
        <f>"17-1713"</f>
        <v>17-1713</v>
      </c>
      <c r="H15555" t="str">
        <f>"A"</f>
        <v>A</v>
      </c>
    </row>
    <row r="15556" spans="1:8" x14ac:dyDescent="0.2">
      <c r="A15556" t="str">
        <f t="shared" si="5642"/>
        <v>0619076393</v>
      </c>
      <c r="B15556" t="str">
        <f t="shared" si="5643"/>
        <v>AMY</v>
      </c>
      <c r="C15556" t="str">
        <f t="shared" si="5641"/>
        <v>SCOTT</v>
      </c>
      <c r="D15556">
        <f>10</f>
        <v>10</v>
      </c>
      <c r="E15556" t="str">
        <f>"07 - B - 107 - Helen A Flores"</f>
        <v>07 - B - 107 - Helen A Flores</v>
      </c>
      <c r="F15556" t="str">
        <f>"ALGEBRA 1"</f>
        <v>ALGEBRA 1</v>
      </c>
      <c r="G15556" t="str">
        <f>"21-2101"</f>
        <v>21-2101</v>
      </c>
      <c r="H15556" t="str">
        <f>"B"</f>
        <v>B</v>
      </c>
    </row>
    <row r="15557" spans="1:8" x14ac:dyDescent="0.2">
      <c r="A15557" t="str">
        <f t="shared" si="5642"/>
        <v>0619076393</v>
      </c>
      <c r="B15557" t="str">
        <f t="shared" si="5643"/>
        <v>AMY</v>
      </c>
      <c r="C15557" t="str">
        <f t="shared" si="5641"/>
        <v>SCOTT</v>
      </c>
      <c r="D15557">
        <f>10</f>
        <v>10</v>
      </c>
      <c r="E15557" t="str">
        <f>"05 - S1 - B - 102 - Lissa C Frederique"</f>
        <v>05 - S1 - B - 102 - Lissa C Frederique</v>
      </c>
      <c r="F15557" t="str">
        <f>"PERS FIN &amp; MON MGT H"</f>
        <v>PERS FIN &amp; MON MGT H</v>
      </c>
      <c r="G15557" t="str">
        <f>"17-1754"</f>
        <v>17-1754</v>
      </c>
      <c r="H15557" t="str">
        <f>"B"</f>
        <v>B</v>
      </c>
    </row>
    <row r="15558" spans="1:8" x14ac:dyDescent="0.2">
      <c r="A15558" t="str">
        <f t="shared" si="5642"/>
        <v>0619076393</v>
      </c>
      <c r="B15558" t="str">
        <f t="shared" si="5643"/>
        <v>AMY</v>
      </c>
      <c r="C15558" t="str">
        <f t="shared" si="5641"/>
        <v>SCOTT</v>
      </c>
      <c r="D15558">
        <f>10</f>
        <v>10</v>
      </c>
      <c r="E15558" t="str">
        <f>"01 - A - 102 - Helen A Flores"</f>
        <v>01 - A - 102 - Helen A Flores</v>
      </c>
      <c r="F15558" t="str">
        <f>"FDN SKLS MATH 9-12"</f>
        <v>FDN SKLS MATH 9-12</v>
      </c>
      <c r="G15558" t="str">
        <f>"21-2101"</f>
        <v>21-2101</v>
      </c>
      <c r="H15558" t="str">
        <f>"A"</f>
        <v>A</v>
      </c>
    </row>
    <row r="15559" spans="1:8" x14ac:dyDescent="0.2">
      <c r="A15559" t="str">
        <f t="shared" si="5642"/>
        <v>0619076393</v>
      </c>
      <c r="B15559" t="str">
        <f t="shared" si="5643"/>
        <v>AMY</v>
      </c>
      <c r="C15559" t="str">
        <f t="shared" si="5641"/>
        <v>SCOTT</v>
      </c>
      <c r="D15559">
        <f>10</f>
        <v>10</v>
      </c>
      <c r="E15559" t="str">
        <f>"08 - B - 108 - Paige Lauren  Brochu"</f>
        <v>08 - B - 108 - Paige Lauren  Brochu</v>
      </c>
      <c r="F15559" t="str">
        <f>"BIOLOGY 1"</f>
        <v>BIOLOGY 1</v>
      </c>
      <c r="G15559" t="str">
        <f>"21-2134"</f>
        <v>21-2134</v>
      </c>
      <c r="H15559" t="str">
        <f>"B"</f>
        <v>B</v>
      </c>
    </row>
    <row r="15560" spans="1:8" x14ac:dyDescent="0.2">
      <c r="A15560" t="str">
        <f t="shared" ref="A15560:A15567" si="5644">"0614135613"</f>
        <v>0614135613</v>
      </c>
      <c r="B15560" t="str">
        <f t="shared" ref="B15560:B15567" si="5645">"ESME"</f>
        <v>ESME</v>
      </c>
      <c r="C15560" t="str">
        <f t="shared" si="5641"/>
        <v>SCOTT</v>
      </c>
      <c r="D15560">
        <f>11</f>
        <v>11</v>
      </c>
      <c r="E15560" t="str">
        <f>"04 - A - 205 - Jacqueline R Morphet"</f>
        <v>04 - A - 205 - Jacqueline R Morphet</v>
      </c>
      <c r="F15560" t="str">
        <f>"PHYSICS 1 HON"</f>
        <v>PHYSICS 1 HON</v>
      </c>
      <c r="G15560" t="str">
        <f>"21-2138"</f>
        <v>21-2138</v>
      </c>
      <c r="H15560" t="str">
        <f>"A"</f>
        <v>A</v>
      </c>
    </row>
    <row r="15561" spans="1:8" x14ac:dyDescent="0.2">
      <c r="A15561" t="str">
        <f t="shared" si="5644"/>
        <v>0614135613</v>
      </c>
      <c r="B15561" t="str">
        <f t="shared" si="5645"/>
        <v>ESME</v>
      </c>
      <c r="C15561" t="str">
        <f t="shared" si="5641"/>
        <v>SCOTT</v>
      </c>
      <c r="D15561">
        <f>11</f>
        <v>11</v>
      </c>
      <c r="E15561" t="str">
        <f>"06 - B - 102 - Stephen T Ripp"</f>
        <v>06 - B - 102 - Stephen T Ripp</v>
      </c>
      <c r="F15561" t="str">
        <f>"AP U.S. HIST"</f>
        <v>AP U.S. HIST</v>
      </c>
      <c r="G15561" t="str">
        <f>"17-1744"</f>
        <v>17-1744</v>
      </c>
      <c r="H15561" t="str">
        <f>"B"</f>
        <v>B</v>
      </c>
    </row>
    <row r="15562" spans="1:8" x14ac:dyDescent="0.2">
      <c r="A15562" t="str">
        <f t="shared" si="5644"/>
        <v>0614135613</v>
      </c>
      <c r="B15562" t="str">
        <f t="shared" si="5645"/>
        <v>ESME</v>
      </c>
      <c r="C15562" t="str">
        <f t="shared" si="5641"/>
        <v>SCOTT</v>
      </c>
      <c r="D15562">
        <f>11</f>
        <v>11</v>
      </c>
      <c r="E15562" t="str">
        <f>"03 - A - 102 - Tina M Jaramillo"</f>
        <v>03 - A - 102 - Tina M Jaramillo</v>
      </c>
      <c r="F15562" t="str">
        <f>"AP ENG COMPO"</f>
        <v>AP ENG COMPO</v>
      </c>
      <c r="G15562" t="str">
        <f>"17-1706"</f>
        <v>17-1706</v>
      </c>
      <c r="H15562" t="str">
        <f>"A"</f>
        <v>A</v>
      </c>
    </row>
    <row r="15563" spans="1:8" x14ac:dyDescent="0.2">
      <c r="A15563" t="str">
        <f t="shared" si="5644"/>
        <v>0614135613</v>
      </c>
      <c r="B15563" t="str">
        <f t="shared" si="5645"/>
        <v>ESME</v>
      </c>
      <c r="C15563" t="str">
        <f t="shared" si="5641"/>
        <v>SCOTT</v>
      </c>
      <c r="D15563">
        <f>11</f>
        <v>11</v>
      </c>
      <c r="E15563" t="str">
        <f>"02 - A - 105 - Leslie J Barton"</f>
        <v>02 - A - 105 - Leslie J Barton</v>
      </c>
      <c r="F15563" t="str">
        <f>"NC STUDY HALL 1"</f>
        <v>NC STUDY HALL 1</v>
      </c>
      <c r="G15563" t="str">
        <f>"05-521"</f>
        <v>05-521</v>
      </c>
      <c r="H15563" t="str">
        <f>"A"</f>
        <v>A</v>
      </c>
    </row>
    <row r="15564" spans="1:8" x14ac:dyDescent="0.2">
      <c r="A15564" t="str">
        <f t="shared" si="5644"/>
        <v>0614135613</v>
      </c>
      <c r="B15564" t="str">
        <f t="shared" si="5645"/>
        <v>ESME</v>
      </c>
      <c r="C15564" t="str">
        <f t="shared" si="5641"/>
        <v>SCOTT</v>
      </c>
      <c r="D15564">
        <f>11</f>
        <v>11</v>
      </c>
      <c r="E15564" t="str">
        <f>"07 - B - 204 - Stefanie S Scher"</f>
        <v>07 - B - 204 - Stefanie S Scher</v>
      </c>
      <c r="F15564" t="str">
        <f>"AP PSYCH"</f>
        <v>AP PSYCH</v>
      </c>
      <c r="G15564" t="str">
        <f>"17-1735"</f>
        <v>17-1735</v>
      </c>
      <c r="H15564" t="str">
        <f>"B"</f>
        <v>B</v>
      </c>
    </row>
    <row r="15565" spans="1:8" x14ac:dyDescent="0.2">
      <c r="A15565" t="str">
        <f t="shared" si="5644"/>
        <v>0614135613</v>
      </c>
      <c r="B15565" t="str">
        <f t="shared" si="5645"/>
        <v>ESME</v>
      </c>
      <c r="C15565" t="str">
        <f t="shared" si="5641"/>
        <v>SCOTT</v>
      </c>
      <c r="D15565">
        <f>11</f>
        <v>11</v>
      </c>
      <c r="E15565" t="str">
        <f>"05 - B - 101 - Angela S Adeshina-Morrison"</f>
        <v>05 - B - 101 - Angela S Adeshina-Morrison</v>
      </c>
      <c r="F15565" t="str">
        <f>"MKT APPLCTNS LH"</f>
        <v>MKT APPLCTNS LH</v>
      </c>
      <c r="G15565" t="str">
        <f>"05-518"</f>
        <v>05-518</v>
      </c>
      <c r="H15565" t="str">
        <f>"B"</f>
        <v>B</v>
      </c>
    </row>
    <row r="15566" spans="1:8" x14ac:dyDescent="0.2">
      <c r="A15566" t="str">
        <f t="shared" si="5644"/>
        <v>0614135613</v>
      </c>
      <c r="B15566" t="str">
        <f t="shared" si="5645"/>
        <v>ESME</v>
      </c>
      <c r="C15566" t="str">
        <f t="shared" si="5641"/>
        <v>SCOTT</v>
      </c>
      <c r="D15566">
        <f>11</f>
        <v>11</v>
      </c>
      <c r="E15566" t="str">
        <f>"01 - A - 101 - Marielle A Witting"</f>
        <v>01 - A - 101 - Marielle A Witting</v>
      </c>
      <c r="F15566" t="str">
        <f>"AP BIO"</f>
        <v>AP BIO</v>
      </c>
      <c r="G15566" t="str">
        <f>"08-805"</f>
        <v>08-805</v>
      </c>
      <c r="H15566" t="str">
        <f>"A"</f>
        <v>A</v>
      </c>
    </row>
    <row r="15567" spans="1:8" x14ac:dyDescent="0.2">
      <c r="A15567" t="str">
        <f t="shared" si="5644"/>
        <v>0614135613</v>
      </c>
      <c r="B15567" t="str">
        <f t="shared" si="5645"/>
        <v>ESME</v>
      </c>
      <c r="C15567" t="str">
        <f t="shared" si="5641"/>
        <v>SCOTT</v>
      </c>
      <c r="D15567">
        <f>11</f>
        <v>11</v>
      </c>
      <c r="E15567" t="str">
        <f>"08 - B - 001 - Brian M Fitzgerald"</f>
        <v>08 - B - 001 - Brian M Fitzgerald</v>
      </c>
      <c r="F15567" t="str">
        <f>"CERAM/POT 1"</f>
        <v>CERAM/POT 1</v>
      </c>
      <c r="G15567" t="str">
        <f>"09-908"</f>
        <v>09-908</v>
      </c>
      <c r="H15567" t="str">
        <f>"B"</f>
        <v>B</v>
      </c>
    </row>
    <row r="15568" spans="1:8" x14ac:dyDescent="0.2">
      <c r="A15568" t="str">
        <f t="shared" ref="A15568:A15575" si="5646">"0622134865"</f>
        <v>0622134865</v>
      </c>
      <c r="B15568" t="str">
        <f t="shared" ref="B15568:B15575" si="5647">"KATHERINE"</f>
        <v>KATHERINE</v>
      </c>
      <c r="C15568" t="str">
        <f t="shared" si="5641"/>
        <v>SCOTT</v>
      </c>
      <c r="D15568" t="str">
        <f t="shared" ref="D15568:D15575" si="5648">"09"</f>
        <v>09</v>
      </c>
      <c r="E15568" t="str">
        <f>"04 - A - 105 - Carol S Moore"</f>
        <v>04 - A - 105 - Carol S Moore</v>
      </c>
      <c r="F15568" t="str">
        <f>"PRE-AICE WRLD HST IG"</f>
        <v>PRE-AICE WRLD HST IG</v>
      </c>
      <c r="G15568" t="str">
        <f>"17-1733"</f>
        <v>17-1733</v>
      </c>
      <c r="H15568" t="str">
        <f>"A"</f>
        <v>A</v>
      </c>
    </row>
    <row r="15569" spans="1:8" x14ac:dyDescent="0.2">
      <c r="A15569" t="str">
        <f t="shared" si="5646"/>
        <v>0622134865</v>
      </c>
      <c r="B15569" t="str">
        <f t="shared" si="5647"/>
        <v>KATHERINE</v>
      </c>
      <c r="C15569" t="str">
        <f t="shared" si="5641"/>
        <v>SCOTT</v>
      </c>
      <c r="D15569" t="str">
        <f t="shared" si="5648"/>
        <v>09</v>
      </c>
      <c r="E15569" t="str">
        <f>"06 - B - 105 - Cerine S Stewart"</f>
        <v>06 - B - 105 - Cerine S Stewart</v>
      </c>
      <c r="F15569" t="str">
        <f>"AICE ENG GEN PAPER 1"</f>
        <v>AICE ENG GEN PAPER 1</v>
      </c>
      <c r="G15569" t="str">
        <f>"17-1720"</f>
        <v>17-1720</v>
      </c>
      <c r="H15569" t="str">
        <f>"B"</f>
        <v>B</v>
      </c>
    </row>
    <row r="15570" spans="1:8" x14ac:dyDescent="0.2">
      <c r="A15570" t="str">
        <f t="shared" si="5646"/>
        <v>0622134865</v>
      </c>
      <c r="B15570" t="str">
        <f t="shared" si="5647"/>
        <v>KATHERINE</v>
      </c>
      <c r="C15570" t="str">
        <f t="shared" si="5641"/>
        <v>SCOTT</v>
      </c>
      <c r="D15570" t="str">
        <f t="shared" si="5648"/>
        <v>09</v>
      </c>
      <c r="E15570" t="str">
        <f>"03 - A - 103 - Adam Marcus  Drucker"</f>
        <v>03 - A - 103 - Adam Marcus  Drucker</v>
      </c>
      <c r="F15570" t="str">
        <f>"HOPE-PE V"</f>
        <v>HOPE-PE V</v>
      </c>
      <c r="G15570" t="str">
        <f>"04-254"</f>
        <v>04-254</v>
      </c>
      <c r="H15570" t="str">
        <f>"A"</f>
        <v>A</v>
      </c>
    </row>
    <row r="15571" spans="1:8" x14ac:dyDescent="0.2">
      <c r="A15571" t="str">
        <f t="shared" si="5646"/>
        <v>0622134865</v>
      </c>
      <c r="B15571" t="str">
        <f t="shared" si="5647"/>
        <v>KATHERINE</v>
      </c>
      <c r="C15571" t="str">
        <f t="shared" si="5641"/>
        <v>SCOTT</v>
      </c>
      <c r="D15571" t="str">
        <f t="shared" si="5648"/>
        <v>09</v>
      </c>
      <c r="E15571" t="str">
        <f>"02 - A - 109 - Krystal Marie  Beruty"</f>
        <v>02 - A - 109 - Krystal Marie  Beruty</v>
      </c>
      <c r="F15571" t="str">
        <f>"NC STUDY HALL 1"</f>
        <v>NC STUDY HALL 1</v>
      </c>
      <c r="G15571" t="str">
        <f>"17-1721"</f>
        <v>17-1721</v>
      </c>
      <c r="H15571" t="str">
        <f>"A"</f>
        <v>A</v>
      </c>
    </row>
    <row r="15572" spans="1:8" x14ac:dyDescent="0.2">
      <c r="A15572" t="str">
        <f t="shared" si="5646"/>
        <v>0622134865</v>
      </c>
      <c r="B15572" t="str">
        <f t="shared" si="5647"/>
        <v>KATHERINE</v>
      </c>
      <c r="C15572" t="str">
        <f t="shared" si="5641"/>
        <v>SCOTT</v>
      </c>
      <c r="D15572" t="str">
        <f t="shared" si="5648"/>
        <v>09</v>
      </c>
      <c r="E15572" t="str">
        <f>"07 - B - 107 - Brook E Goren"</f>
        <v>07 - B - 107 - Brook E Goren</v>
      </c>
      <c r="F15572" t="str">
        <f>"PRE-AICE MATH 2 IG"</f>
        <v>PRE-AICE MATH 2 IG</v>
      </c>
      <c r="G15572" t="str">
        <f>"21-2158"</f>
        <v>21-2158</v>
      </c>
      <c r="H15572" t="str">
        <f>"B"</f>
        <v>B</v>
      </c>
    </row>
    <row r="15573" spans="1:8" x14ac:dyDescent="0.2">
      <c r="A15573" t="str">
        <f t="shared" si="5646"/>
        <v>0622134865</v>
      </c>
      <c r="B15573" t="str">
        <f t="shared" si="5647"/>
        <v>KATHERINE</v>
      </c>
      <c r="C15573" t="str">
        <f t="shared" si="5641"/>
        <v>SCOTT</v>
      </c>
      <c r="D15573" t="str">
        <f t="shared" si="5648"/>
        <v>09</v>
      </c>
      <c r="E15573" t="str">
        <f>"05 - B - 105 - Marius D Orsolini"</f>
        <v>05 - B - 105 - Marius D Orsolini</v>
      </c>
      <c r="F15573" t="str">
        <f>"CULINARY ARTS 1"</f>
        <v>CULINARY ARTS 1</v>
      </c>
      <c r="G15573" t="str">
        <f>"21-2115"</f>
        <v>21-2115</v>
      </c>
      <c r="H15573" t="str">
        <f>"B"</f>
        <v>B</v>
      </c>
    </row>
    <row r="15574" spans="1:8" x14ac:dyDescent="0.2">
      <c r="A15574" t="str">
        <f t="shared" si="5646"/>
        <v>0622134865</v>
      </c>
      <c r="B15574" t="str">
        <f t="shared" si="5647"/>
        <v>KATHERINE</v>
      </c>
      <c r="C15574" t="str">
        <f t="shared" si="5641"/>
        <v>SCOTT</v>
      </c>
      <c r="D15574" t="str">
        <f t="shared" si="5648"/>
        <v>09</v>
      </c>
      <c r="E15574" t="str">
        <f>"01 - A - 101 - Brian M Fitzgerald"</f>
        <v>01 - A - 101 - Brian M Fitzgerald</v>
      </c>
      <c r="F15574" t="str">
        <f>"CERAM/POT 1"</f>
        <v>CERAM/POT 1</v>
      </c>
      <c r="G15574" t="str">
        <f>"09-908"</f>
        <v>09-908</v>
      </c>
      <c r="H15574" t="str">
        <f>"A"</f>
        <v>A</v>
      </c>
    </row>
    <row r="15575" spans="1:8" x14ac:dyDescent="0.2">
      <c r="A15575" t="str">
        <f t="shared" si="5646"/>
        <v>0622134865</v>
      </c>
      <c r="B15575" t="str">
        <f t="shared" si="5647"/>
        <v>KATHERINE</v>
      </c>
      <c r="C15575" t="str">
        <f t="shared" si="5641"/>
        <v>SCOTT</v>
      </c>
      <c r="D15575" t="str">
        <f t="shared" si="5648"/>
        <v>09</v>
      </c>
      <c r="E15575" t="str">
        <f>"08 - B - 102 - Josiah I Lacy"</f>
        <v>08 - B - 102 - Josiah I Lacy</v>
      </c>
      <c r="F15575" t="str">
        <f>"ANAT PHYSIO HON"</f>
        <v>ANAT PHYSIO HON</v>
      </c>
      <c r="G15575" t="str">
        <f>"08-801"</f>
        <v>08-801</v>
      </c>
      <c r="H15575" t="str">
        <f>"B"</f>
        <v>B</v>
      </c>
    </row>
    <row r="15576" spans="1:8" x14ac:dyDescent="0.2">
      <c r="A15576" t="str">
        <f t="shared" ref="A15576:A15583" si="5649">"0622134844"</f>
        <v>0622134844</v>
      </c>
      <c r="B15576" t="str">
        <f t="shared" ref="B15576:B15583" si="5650">"LUKE"</f>
        <v>LUKE</v>
      </c>
      <c r="C15576" t="str">
        <f t="shared" si="5641"/>
        <v>SCOTT</v>
      </c>
      <c r="D15576">
        <f>10</f>
        <v>10</v>
      </c>
      <c r="E15576" t="str">
        <f>"04 - A - 102 - Josiah I Lacy"</f>
        <v>04 - A - 102 - Josiah I Lacy</v>
      </c>
      <c r="F15576" t="str">
        <f>"PRE-AICE BIO IG"</f>
        <v>PRE-AICE BIO IG</v>
      </c>
      <c r="G15576" t="str">
        <f>"08-801"</f>
        <v>08-801</v>
      </c>
      <c r="H15576" t="str">
        <f>"A"</f>
        <v>A</v>
      </c>
    </row>
    <row r="15577" spans="1:8" x14ac:dyDescent="0.2">
      <c r="A15577" t="str">
        <f t="shared" si="5649"/>
        <v>0622134844</v>
      </c>
      <c r="B15577" t="str">
        <f t="shared" si="5650"/>
        <v>LUKE</v>
      </c>
      <c r="C15577" t="str">
        <f t="shared" si="5641"/>
        <v>SCOTT</v>
      </c>
      <c r="D15577">
        <f>10</f>
        <v>10</v>
      </c>
      <c r="E15577" t="str">
        <f>"06 - B - 115 - Scott A Dethloff"</f>
        <v>06 - B - 115 - Scott A Dethloff</v>
      </c>
      <c r="F15577" t="str">
        <f>"NC STUDY HALL 1"</f>
        <v>NC STUDY HALL 1</v>
      </c>
      <c r="G15577" t="str">
        <f>"08-812"</f>
        <v>08-812</v>
      </c>
      <c r="H15577" t="str">
        <f>"B"</f>
        <v>B</v>
      </c>
    </row>
    <row r="15578" spans="1:8" x14ac:dyDescent="0.2">
      <c r="A15578" t="str">
        <f t="shared" si="5649"/>
        <v>0622134844</v>
      </c>
      <c r="B15578" t="str">
        <f t="shared" si="5650"/>
        <v>LUKE</v>
      </c>
      <c r="C15578" t="str">
        <f t="shared" si="5641"/>
        <v>SCOTT</v>
      </c>
      <c r="D15578">
        <f>10</f>
        <v>10</v>
      </c>
      <c r="E15578" t="str">
        <f>"03 - A - 102 - Rory T Sponsler"</f>
        <v>03 - A - 102 - Rory T Sponsler</v>
      </c>
      <c r="F15578" t="str">
        <f>"PRE-AICE WRLD HST IG"</f>
        <v>PRE-AICE WRLD HST IG</v>
      </c>
      <c r="G15578" t="str">
        <f>"17-1740"</f>
        <v>17-1740</v>
      </c>
      <c r="H15578" t="str">
        <f>"A"</f>
        <v>A</v>
      </c>
    </row>
    <row r="15579" spans="1:8" x14ac:dyDescent="0.2">
      <c r="A15579" t="str">
        <f t="shared" si="5649"/>
        <v>0622134844</v>
      </c>
      <c r="B15579" t="str">
        <f t="shared" si="5650"/>
        <v>LUKE</v>
      </c>
      <c r="C15579" t="str">
        <f t="shared" si="5641"/>
        <v>SCOTT</v>
      </c>
      <c r="D15579">
        <f>10</f>
        <v>10</v>
      </c>
      <c r="E15579" t="str">
        <f>"02 - A - 105 - Semra  Bahadir"</f>
        <v>02 - A - 105 - Semra  Bahadir</v>
      </c>
      <c r="F15579" t="str">
        <f>"ALGEBRA 2"</f>
        <v>ALGEBRA 2</v>
      </c>
      <c r="G15579" t="str">
        <f>"21-2107"</f>
        <v>21-2107</v>
      </c>
      <c r="H15579" t="str">
        <f>"A"</f>
        <v>A</v>
      </c>
    </row>
    <row r="15580" spans="1:8" x14ac:dyDescent="0.2">
      <c r="A15580" t="str">
        <f t="shared" si="5649"/>
        <v>0622134844</v>
      </c>
      <c r="B15580" t="str">
        <f t="shared" si="5650"/>
        <v>LUKE</v>
      </c>
      <c r="C15580" t="str">
        <f t="shared" si="5641"/>
        <v>SCOTT</v>
      </c>
      <c r="D15580">
        <f>10</f>
        <v>10</v>
      </c>
      <c r="E15580" t="str">
        <f>"07 - B - 102 - Nikiel  Nesbeth"</f>
        <v>07 - B - 102 - Nikiel  Nesbeth</v>
      </c>
      <c r="F15580" t="str">
        <f>"PRE-AICE ENG LIT IG"</f>
        <v>PRE-AICE ENG LIT IG</v>
      </c>
      <c r="G15580" t="str">
        <f>"17-1705"</f>
        <v>17-1705</v>
      </c>
      <c r="H15580" t="str">
        <f>"B"</f>
        <v>B</v>
      </c>
    </row>
    <row r="15581" spans="1:8" x14ac:dyDescent="0.2">
      <c r="A15581" t="str">
        <f t="shared" si="5649"/>
        <v>0622134844</v>
      </c>
      <c r="B15581" t="str">
        <f t="shared" si="5650"/>
        <v>LUKE</v>
      </c>
      <c r="C15581" t="str">
        <f t="shared" si="5641"/>
        <v>SCOTT</v>
      </c>
      <c r="D15581">
        <f>10</f>
        <v>10</v>
      </c>
      <c r="E15581" t="str">
        <f>"05 - B - 101 - Brian M Fitzgerald"</f>
        <v>05 - B - 101 - Brian M Fitzgerald</v>
      </c>
      <c r="F15581" t="str">
        <f>"PAINT 1"</f>
        <v>PAINT 1</v>
      </c>
      <c r="G15581" t="str">
        <f>"09-908"</f>
        <v>09-908</v>
      </c>
      <c r="H15581" t="str">
        <f>"B"</f>
        <v>B</v>
      </c>
    </row>
    <row r="15582" spans="1:8" x14ac:dyDescent="0.2">
      <c r="A15582" t="str">
        <f t="shared" si="5649"/>
        <v>0622134844</v>
      </c>
      <c r="B15582" t="str">
        <f t="shared" si="5650"/>
        <v>LUKE</v>
      </c>
      <c r="C15582" t="str">
        <f t="shared" si="5641"/>
        <v>SCOTT</v>
      </c>
      <c r="D15582">
        <f>10</f>
        <v>10</v>
      </c>
      <c r="E15582" t="str">
        <f>"01 - A - 101 - Arthur  Kulawik"</f>
        <v>01 - A - 101 - Arthur  Kulawik</v>
      </c>
      <c r="F15582" t="str">
        <f>"DEBATE 1 LH"</f>
        <v>DEBATE 1 LH</v>
      </c>
      <c r="G15582" t="str">
        <f>"05-506"</f>
        <v>05-506</v>
      </c>
      <c r="H15582" t="str">
        <f>"A"</f>
        <v>A</v>
      </c>
    </row>
    <row r="15583" spans="1:8" x14ac:dyDescent="0.2">
      <c r="A15583" t="str">
        <f t="shared" si="5649"/>
        <v>0622134844</v>
      </c>
      <c r="B15583" t="str">
        <f t="shared" si="5650"/>
        <v>LUKE</v>
      </c>
      <c r="C15583" t="str">
        <f t="shared" si="5641"/>
        <v>SCOTT</v>
      </c>
      <c r="D15583">
        <f>10</f>
        <v>10</v>
      </c>
      <c r="E15583" t="str">
        <f>"08 - S1 - B - 105 - James H Mccann"</f>
        <v>08 - S1 - B - 105 - James H Mccann</v>
      </c>
      <c r="F15583" t="str">
        <f>"PERS FIN &amp; MON MGT H"</f>
        <v>PERS FIN &amp; MON MGT H</v>
      </c>
      <c r="G15583" t="str">
        <f>"17-1716"</f>
        <v>17-1716</v>
      </c>
      <c r="H15583" t="str">
        <f>"B"</f>
        <v>B</v>
      </c>
    </row>
    <row r="15584" spans="1:8" x14ac:dyDescent="0.2">
      <c r="A15584" t="str">
        <f t="shared" ref="A15584:A15591" si="5651">"0616028929"</f>
        <v>0616028929</v>
      </c>
      <c r="B15584" t="str">
        <f t="shared" ref="B15584:B15591" si="5652">"JADEN"</f>
        <v>JADEN</v>
      </c>
      <c r="C15584" t="str">
        <f t="shared" ref="C15584:C15615" si="5653">"SEARS"</f>
        <v>SEARS</v>
      </c>
      <c r="D15584">
        <f>10</f>
        <v>10</v>
      </c>
      <c r="E15584" t="str">
        <f>"04 - S1 - A - 101 - Leslie J Barton"</f>
        <v>04 - S1 - A - 101 - Leslie J Barton</v>
      </c>
      <c r="F15584" t="str">
        <f>"TEAM SPORTS 1"</f>
        <v>TEAM SPORTS 1</v>
      </c>
      <c r="G15584" t="str">
        <f>"04-254"</f>
        <v>04-254</v>
      </c>
      <c r="H15584" t="str">
        <f>"A"</f>
        <v>A</v>
      </c>
    </row>
    <row r="15585" spans="1:8" x14ac:dyDescent="0.2">
      <c r="A15585" t="str">
        <f t="shared" si="5651"/>
        <v>0616028929</v>
      </c>
      <c r="B15585" t="str">
        <f t="shared" si="5652"/>
        <v>JADEN</v>
      </c>
      <c r="C15585" t="str">
        <f t="shared" si="5653"/>
        <v>SEARS</v>
      </c>
      <c r="D15585">
        <f>10</f>
        <v>10</v>
      </c>
      <c r="E15585" t="str">
        <f>"06 - B - 105 - Jeffrey S Gallagher"</f>
        <v>06 - B - 105 - Jeffrey S Gallagher</v>
      </c>
      <c r="F15585" t="str">
        <f>"NC STUDY HALL 1"</f>
        <v>NC STUDY HALL 1</v>
      </c>
      <c r="G15585" t="str">
        <f>"17-1724"</f>
        <v>17-1724</v>
      </c>
      <c r="H15585" t="str">
        <f>"B"</f>
        <v>B</v>
      </c>
    </row>
    <row r="15586" spans="1:8" x14ac:dyDescent="0.2">
      <c r="A15586" t="str">
        <f t="shared" si="5651"/>
        <v>0616028929</v>
      </c>
      <c r="B15586" t="str">
        <f t="shared" si="5652"/>
        <v>JADEN</v>
      </c>
      <c r="C15586" t="str">
        <f t="shared" si="5653"/>
        <v>SEARS</v>
      </c>
      <c r="D15586">
        <f>10</f>
        <v>10</v>
      </c>
      <c r="E15586" t="str">
        <f>"03 - A - 208 - Marielle A Witting"</f>
        <v>03 - A - 208 - Marielle A Witting</v>
      </c>
      <c r="F15586" t="str">
        <f>"ANAT PHYSIO"</f>
        <v>ANAT PHYSIO</v>
      </c>
      <c r="G15586" t="str">
        <f>"08-805"</f>
        <v>08-805</v>
      </c>
      <c r="H15586" t="str">
        <f>"A"</f>
        <v>A</v>
      </c>
    </row>
    <row r="15587" spans="1:8" x14ac:dyDescent="0.2">
      <c r="A15587" t="str">
        <f t="shared" si="5651"/>
        <v>0616028929</v>
      </c>
      <c r="B15587" t="str">
        <f t="shared" si="5652"/>
        <v>JADEN</v>
      </c>
      <c r="C15587" t="str">
        <f t="shared" si="5653"/>
        <v>SEARS</v>
      </c>
      <c r="D15587">
        <f>10</f>
        <v>10</v>
      </c>
      <c r="E15587" t="str">
        <f>"02 - S1 - A - 101 - James H Mccann"</f>
        <v>02 - S1 - A - 101 - James H Mccann</v>
      </c>
      <c r="F15587" t="str">
        <f>"PERS FIN &amp; MON MGT H"</f>
        <v>PERS FIN &amp; MON MGT H</v>
      </c>
      <c r="G15587" t="str">
        <f>"17-1716"</f>
        <v>17-1716</v>
      </c>
      <c r="H15587" t="str">
        <f>"A"</f>
        <v>A</v>
      </c>
    </row>
    <row r="15588" spans="1:8" x14ac:dyDescent="0.2">
      <c r="A15588" t="str">
        <f t="shared" si="5651"/>
        <v>0616028929</v>
      </c>
      <c r="B15588" t="str">
        <f t="shared" si="5652"/>
        <v>JADEN</v>
      </c>
      <c r="C15588" t="str">
        <f t="shared" si="5653"/>
        <v>SEARS</v>
      </c>
      <c r="D15588">
        <f>10</f>
        <v>10</v>
      </c>
      <c r="E15588" t="str">
        <f>"07 - B - 101 - Jeanne M Bermudez"</f>
        <v>07 - B - 101 - Jeanne M Bermudez</v>
      </c>
      <c r="F15588" t="str">
        <f>"FOUND OF PROGRAM HON"</f>
        <v>FOUND OF PROGRAM HON</v>
      </c>
      <c r="G15588" t="str">
        <f>"21-2141"</f>
        <v>21-2141</v>
      </c>
      <c r="H15588" t="str">
        <f>"B"</f>
        <v>B</v>
      </c>
    </row>
    <row r="15589" spans="1:8" x14ac:dyDescent="0.2">
      <c r="A15589" t="str">
        <f t="shared" si="5651"/>
        <v>0616028929</v>
      </c>
      <c r="B15589" t="str">
        <f t="shared" si="5652"/>
        <v>JADEN</v>
      </c>
      <c r="C15589" t="str">
        <f t="shared" si="5653"/>
        <v>SEARS</v>
      </c>
      <c r="D15589">
        <f>10</f>
        <v>10</v>
      </c>
      <c r="E15589" t="str">
        <f>"05 - B - 106 - Jacquelyn M Neeson"</f>
        <v>05 - B - 106 - Jacquelyn M Neeson</v>
      </c>
      <c r="F15589" t="str">
        <f>"ENG 2"</f>
        <v>ENG 2</v>
      </c>
      <c r="G15589" t="str">
        <f>"17-1715"</f>
        <v>17-1715</v>
      </c>
      <c r="H15589" t="str">
        <f>"B"</f>
        <v>B</v>
      </c>
    </row>
    <row r="15590" spans="1:8" x14ac:dyDescent="0.2">
      <c r="A15590" t="str">
        <f t="shared" si="5651"/>
        <v>0616028929</v>
      </c>
      <c r="B15590" t="str">
        <f t="shared" si="5652"/>
        <v>JADEN</v>
      </c>
      <c r="C15590" t="str">
        <f t="shared" si="5653"/>
        <v>SEARS</v>
      </c>
      <c r="D15590">
        <f>10</f>
        <v>10</v>
      </c>
      <c r="E15590" t="str">
        <f>"01 - A - 104 - Milca  Exantus"</f>
        <v>01 - A - 104 - Milca  Exantus</v>
      </c>
      <c r="F15590" t="str">
        <f>"MATH COLLEGE LIB ART"</f>
        <v>MATH COLLEGE LIB ART</v>
      </c>
      <c r="G15590" t="str">
        <f>"21-2145"</f>
        <v>21-2145</v>
      </c>
      <c r="H15590" t="str">
        <f>"A"</f>
        <v>A</v>
      </c>
    </row>
    <row r="15591" spans="1:8" x14ac:dyDescent="0.2">
      <c r="A15591" t="str">
        <f t="shared" si="5651"/>
        <v>0616028929</v>
      </c>
      <c r="B15591" t="str">
        <f t="shared" si="5652"/>
        <v>JADEN</v>
      </c>
      <c r="C15591" t="str">
        <f t="shared" si="5653"/>
        <v>SEARS</v>
      </c>
      <c r="D15591">
        <f>10</f>
        <v>10</v>
      </c>
      <c r="E15591" t="str">
        <f>"08 - S1 - B - 104 - Angela S Adeshina-Morrison"</f>
        <v>08 - S1 - B - 104 - Angela S Adeshina-Morrison</v>
      </c>
      <c r="F15591" t="str">
        <f>"PEER COUN 1"</f>
        <v>PEER COUN 1</v>
      </c>
      <c r="G15591" t="str">
        <f>"05-518"</f>
        <v>05-518</v>
      </c>
      <c r="H15591" t="str">
        <f>"B"</f>
        <v>B</v>
      </c>
    </row>
    <row r="15592" spans="1:8" x14ac:dyDescent="0.2">
      <c r="A15592" t="str">
        <f t="shared" ref="A15592:A15599" si="5654">"0616028944"</f>
        <v>0616028944</v>
      </c>
      <c r="B15592" t="str">
        <f t="shared" ref="B15592:B15599" si="5655">"JAYLA"</f>
        <v>JAYLA</v>
      </c>
      <c r="C15592" t="str">
        <f t="shared" si="5653"/>
        <v>SEARS</v>
      </c>
      <c r="D15592">
        <f>10</f>
        <v>10</v>
      </c>
      <c r="E15592" t="str">
        <f>"04 - A - 205 - Lytrell T Dixon"</f>
        <v>04 - A - 205 - Lytrell T Dixon</v>
      </c>
      <c r="F15592" t="str">
        <f>"BIOLOGY 1"</f>
        <v>BIOLOGY 1</v>
      </c>
      <c r="G15592" t="str">
        <f>"08-808"</f>
        <v>08-808</v>
      </c>
      <c r="H15592" t="str">
        <f>"A"</f>
        <v>A</v>
      </c>
    </row>
    <row r="15593" spans="1:8" x14ac:dyDescent="0.2">
      <c r="A15593" t="str">
        <f t="shared" si="5654"/>
        <v>0616028944</v>
      </c>
      <c r="B15593" t="str">
        <f t="shared" si="5655"/>
        <v>JAYLA</v>
      </c>
      <c r="C15593" t="str">
        <f t="shared" si="5653"/>
        <v>SEARS</v>
      </c>
      <c r="D15593">
        <f>10</f>
        <v>10</v>
      </c>
      <c r="E15593" t="str">
        <f>"06 - B - 107 - Dorothy D Moore"</f>
        <v>06 - B - 107 - Dorothy D Moore</v>
      </c>
      <c r="F15593" t="str">
        <f>"NC STUDY HALL 1"</f>
        <v>NC STUDY HALL 1</v>
      </c>
      <c r="G15593" t="str">
        <f>"08-803"</f>
        <v>08-803</v>
      </c>
      <c r="H15593" t="str">
        <f>"B"</f>
        <v>B</v>
      </c>
    </row>
    <row r="15594" spans="1:8" x14ac:dyDescent="0.2">
      <c r="A15594" t="str">
        <f t="shared" si="5654"/>
        <v>0616028944</v>
      </c>
      <c r="B15594" t="str">
        <f t="shared" si="5655"/>
        <v>JAYLA</v>
      </c>
      <c r="C15594" t="str">
        <f t="shared" si="5653"/>
        <v>SEARS</v>
      </c>
      <c r="D15594">
        <f>10</f>
        <v>10</v>
      </c>
      <c r="E15594" t="str">
        <f>"03 - A - 103 - Jazmin S Fletcher"</f>
        <v>03 - A - 103 - Jazmin S Fletcher</v>
      </c>
      <c r="F15594" t="str">
        <f>"THEATRE 2"</f>
        <v>THEATRE 2</v>
      </c>
      <c r="G15594" t="str">
        <f>"09-909"</f>
        <v>09-909</v>
      </c>
      <c r="H15594" t="str">
        <f>"A"</f>
        <v>A</v>
      </c>
    </row>
    <row r="15595" spans="1:8" x14ac:dyDescent="0.2">
      <c r="A15595" t="str">
        <f t="shared" si="5654"/>
        <v>0616028944</v>
      </c>
      <c r="B15595" t="str">
        <f t="shared" si="5655"/>
        <v>JAYLA</v>
      </c>
      <c r="C15595" t="str">
        <f t="shared" si="5653"/>
        <v>SEARS</v>
      </c>
      <c r="D15595">
        <f>10</f>
        <v>10</v>
      </c>
      <c r="E15595" t="str">
        <f>"02 - A - 102 - Marius D Orsolini"</f>
        <v>02 - A - 102 - Marius D Orsolini</v>
      </c>
      <c r="F15595" t="str">
        <f>"CULINARY ARTS 1"</f>
        <v>CULINARY ARTS 1</v>
      </c>
      <c r="G15595" t="str">
        <f>"21-2115"</f>
        <v>21-2115</v>
      </c>
      <c r="H15595" t="str">
        <f>"A"</f>
        <v>A</v>
      </c>
    </row>
    <row r="15596" spans="1:8" x14ac:dyDescent="0.2">
      <c r="A15596" t="str">
        <f t="shared" si="5654"/>
        <v>0616028944</v>
      </c>
      <c r="B15596" t="str">
        <f t="shared" si="5655"/>
        <v>JAYLA</v>
      </c>
      <c r="C15596" t="str">
        <f t="shared" si="5653"/>
        <v>SEARS</v>
      </c>
      <c r="D15596">
        <f>10</f>
        <v>10</v>
      </c>
      <c r="E15596" t="str">
        <f>"07 - B - 001 - Maried P Ramos"</f>
        <v>07 - B - 001 - Maried P Ramos</v>
      </c>
      <c r="F15596" t="str">
        <f>"GEOMETRY"</f>
        <v>GEOMETRY</v>
      </c>
      <c r="G15596" t="str">
        <f>"21-2159"</f>
        <v>21-2159</v>
      </c>
      <c r="H15596" t="str">
        <f>"B"</f>
        <v>B</v>
      </c>
    </row>
    <row r="15597" spans="1:8" x14ac:dyDescent="0.2">
      <c r="A15597" t="str">
        <f t="shared" si="5654"/>
        <v>0616028944</v>
      </c>
      <c r="B15597" t="str">
        <f t="shared" si="5655"/>
        <v>JAYLA</v>
      </c>
      <c r="C15597" t="str">
        <f t="shared" si="5653"/>
        <v>SEARS</v>
      </c>
      <c r="D15597">
        <f>10</f>
        <v>10</v>
      </c>
      <c r="E15597" t="str">
        <f>"05 - S1 - B - 102 - Lissa C Frederique"</f>
        <v>05 - S1 - B - 102 - Lissa C Frederique</v>
      </c>
      <c r="F15597" t="str">
        <f>"PERS FIN &amp; MON MGT H"</f>
        <v>PERS FIN &amp; MON MGT H</v>
      </c>
      <c r="G15597" t="str">
        <f>"17-1754"</f>
        <v>17-1754</v>
      </c>
      <c r="H15597" t="str">
        <f>"B"</f>
        <v>B</v>
      </c>
    </row>
    <row r="15598" spans="1:8" x14ac:dyDescent="0.2">
      <c r="A15598" t="str">
        <f t="shared" si="5654"/>
        <v>0616028944</v>
      </c>
      <c r="B15598" t="str">
        <f t="shared" si="5655"/>
        <v>JAYLA</v>
      </c>
      <c r="C15598" t="str">
        <f t="shared" si="5653"/>
        <v>SEARS</v>
      </c>
      <c r="D15598">
        <f>10</f>
        <v>10</v>
      </c>
      <c r="E15598" t="str">
        <f>"01 - A - 101 - Taraneh C Abreu"</f>
        <v>01 - A - 101 - Taraneh C Abreu</v>
      </c>
      <c r="F15598" t="str">
        <f>"INTENS READ 2"</f>
        <v>INTENS READ 2</v>
      </c>
      <c r="G15598" t="str">
        <f>"17-1713"</f>
        <v>17-1713</v>
      </c>
      <c r="H15598" t="str">
        <f>"A"</f>
        <v>A</v>
      </c>
    </row>
    <row r="15599" spans="1:8" x14ac:dyDescent="0.2">
      <c r="A15599" t="str">
        <f t="shared" si="5654"/>
        <v>0616028944</v>
      </c>
      <c r="B15599" t="str">
        <f t="shared" si="5655"/>
        <v>JAYLA</v>
      </c>
      <c r="C15599" t="str">
        <f t="shared" si="5653"/>
        <v>SEARS</v>
      </c>
      <c r="D15599">
        <f>10</f>
        <v>10</v>
      </c>
      <c r="E15599" t="str">
        <f>"08 - B - 109 - Nikiel  Nesbeth"</f>
        <v>08 - B - 109 - Nikiel  Nesbeth</v>
      </c>
      <c r="F15599" t="str">
        <f>"ENG 2"</f>
        <v>ENG 2</v>
      </c>
      <c r="G15599" t="str">
        <f>"17-1705"</f>
        <v>17-1705</v>
      </c>
      <c r="H15599" t="str">
        <f>"B"</f>
        <v>B</v>
      </c>
    </row>
    <row r="15600" spans="1:8" x14ac:dyDescent="0.2">
      <c r="A15600" t="str">
        <f t="shared" ref="A15600:A15607" si="5656">"0616039146"</f>
        <v>0616039146</v>
      </c>
      <c r="B15600" t="str">
        <f t="shared" ref="B15600:B15607" si="5657">"MARCUS"</f>
        <v>MARCUS</v>
      </c>
      <c r="C15600" t="str">
        <f t="shared" si="5653"/>
        <v>SEARS</v>
      </c>
      <c r="D15600" t="str">
        <f t="shared" ref="D15600:D15607" si="5658">"09"</f>
        <v>09</v>
      </c>
      <c r="E15600" t="str">
        <f>"04 - A - 103 - Lenecy  Nodarse"</f>
        <v>04 - A - 103 - Lenecy  Nodarse</v>
      </c>
      <c r="F15600" t="str">
        <f>"WORLD HISTORY"</f>
        <v>WORLD HISTORY</v>
      </c>
      <c r="G15600" t="str">
        <f>"17-1741"</f>
        <v>17-1741</v>
      </c>
      <c r="H15600" t="str">
        <f>"A"</f>
        <v>A</v>
      </c>
    </row>
    <row r="15601" spans="1:8" x14ac:dyDescent="0.2">
      <c r="A15601" t="str">
        <f t="shared" si="5656"/>
        <v>0616039146</v>
      </c>
      <c r="B15601" t="str">
        <f t="shared" si="5657"/>
        <v>MARCUS</v>
      </c>
      <c r="C15601" t="str">
        <f t="shared" si="5653"/>
        <v>SEARS</v>
      </c>
      <c r="D15601" t="str">
        <f t="shared" si="5658"/>
        <v>09</v>
      </c>
      <c r="E15601" t="str">
        <f>"06 - B - 202 - Alejandro  Navarro"</f>
        <v>06 - B - 202 - Alejandro  Navarro</v>
      </c>
      <c r="F15601" t="str">
        <f>"BAND 1"</f>
        <v>BAND 1</v>
      </c>
      <c r="G15601" t="str">
        <f>"05-504"</f>
        <v>05-504</v>
      </c>
      <c r="H15601" t="str">
        <f>"B"</f>
        <v>B</v>
      </c>
    </row>
    <row r="15602" spans="1:8" x14ac:dyDescent="0.2">
      <c r="A15602" t="str">
        <f t="shared" si="5656"/>
        <v>0616039146</v>
      </c>
      <c r="B15602" t="str">
        <f t="shared" si="5657"/>
        <v>MARCUS</v>
      </c>
      <c r="C15602" t="str">
        <f t="shared" si="5653"/>
        <v>SEARS</v>
      </c>
      <c r="D15602" t="str">
        <f t="shared" si="5658"/>
        <v>09</v>
      </c>
      <c r="E15602" t="str">
        <f>"03 - A - 102 - Laselleda D Shaw"</f>
        <v>03 - A - 102 - Laselleda D Shaw</v>
      </c>
      <c r="F15602" t="str">
        <f>"INTENS READ 1"</f>
        <v>INTENS READ 1</v>
      </c>
      <c r="G15602" t="str">
        <f>"17-1723"</f>
        <v>17-1723</v>
      </c>
      <c r="H15602" t="str">
        <f>"A"</f>
        <v>A</v>
      </c>
    </row>
    <row r="15603" spans="1:8" x14ac:dyDescent="0.2">
      <c r="A15603" t="str">
        <f t="shared" si="5656"/>
        <v>0616039146</v>
      </c>
      <c r="B15603" t="str">
        <f t="shared" si="5657"/>
        <v>MARCUS</v>
      </c>
      <c r="C15603" t="str">
        <f t="shared" si="5653"/>
        <v>SEARS</v>
      </c>
      <c r="D15603" t="str">
        <f t="shared" si="5658"/>
        <v>09</v>
      </c>
      <c r="E15603" t="str">
        <f>"02 - A - 102 - Samantha J Headley"</f>
        <v>02 - A - 102 - Samantha J Headley</v>
      </c>
      <c r="F15603" t="str">
        <f>"NC STUDY HALL 1"</f>
        <v>NC STUDY HALL 1</v>
      </c>
      <c r="G15603" t="str">
        <f>"21-2134"</f>
        <v>21-2134</v>
      </c>
      <c r="H15603" t="str">
        <f>"A"</f>
        <v>A</v>
      </c>
    </row>
    <row r="15604" spans="1:8" x14ac:dyDescent="0.2">
      <c r="A15604" t="str">
        <f t="shared" si="5656"/>
        <v>0616039146</v>
      </c>
      <c r="B15604" t="str">
        <f t="shared" si="5657"/>
        <v>MARCUS</v>
      </c>
      <c r="C15604" t="str">
        <f t="shared" si="5653"/>
        <v>SEARS</v>
      </c>
      <c r="D15604" t="str">
        <f t="shared" si="5658"/>
        <v>09</v>
      </c>
      <c r="E15604" t="str">
        <f>"07 - B - 106 - Dayna M Foster"</f>
        <v>07 - B - 106 - Dayna M Foster</v>
      </c>
      <c r="F15604" t="str">
        <f>"FDN SKLS MATH 9-12"</f>
        <v>FDN SKLS MATH 9-12</v>
      </c>
      <c r="G15604" t="str">
        <f>"21-2109"</f>
        <v>21-2109</v>
      </c>
      <c r="H15604" t="str">
        <f>"B"</f>
        <v>B</v>
      </c>
    </row>
    <row r="15605" spans="1:8" x14ac:dyDescent="0.2">
      <c r="A15605" t="str">
        <f t="shared" si="5656"/>
        <v>0616039146</v>
      </c>
      <c r="B15605" t="str">
        <f t="shared" si="5657"/>
        <v>MARCUS</v>
      </c>
      <c r="C15605" t="str">
        <f t="shared" si="5653"/>
        <v>SEARS</v>
      </c>
      <c r="D15605" t="str">
        <f t="shared" si="5658"/>
        <v>09</v>
      </c>
      <c r="E15605" t="str">
        <f>"05 - B - 104 - Cerine S Stewart"</f>
        <v>05 - B - 104 - Cerine S Stewart</v>
      </c>
      <c r="F15605" t="str">
        <f>"ENG 1"</f>
        <v>ENG 1</v>
      </c>
      <c r="G15605" t="str">
        <f>"17-1720"</f>
        <v>17-1720</v>
      </c>
      <c r="H15605" t="str">
        <f>"B"</f>
        <v>B</v>
      </c>
    </row>
    <row r="15606" spans="1:8" x14ac:dyDescent="0.2">
      <c r="A15606" t="str">
        <f t="shared" si="5656"/>
        <v>0616039146</v>
      </c>
      <c r="B15606" t="str">
        <f t="shared" si="5657"/>
        <v>MARCUS</v>
      </c>
      <c r="C15606" t="str">
        <f t="shared" si="5653"/>
        <v>SEARS</v>
      </c>
      <c r="D15606" t="str">
        <f t="shared" si="5658"/>
        <v>09</v>
      </c>
      <c r="E15606" t="str">
        <f>"01 - A - 108 - Dayna M Foster"</f>
        <v>01 - A - 108 - Dayna M Foster</v>
      </c>
      <c r="F15606" t="str">
        <f>"ALGEBRA 1"</f>
        <v>ALGEBRA 1</v>
      </c>
      <c r="G15606" t="str">
        <f>"21-2109"</f>
        <v>21-2109</v>
      </c>
      <c r="H15606" t="str">
        <f>"A"</f>
        <v>A</v>
      </c>
    </row>
    <row r="15607" spans="1:8" x14ac:dyDescent="0.2">
      <c r="A15607" t="str">
        <f t="shared" si="5656"/>
        <v>0616039146</v>
      </c>
      <c r="B15607" t="str">
        <f t="shared" si="5657"/>
        <v>MARCUS</v>
      </c>
      <c r="C15607" t="str">
        <f t="shared" si="5653"/>
        <v>SEARS</v>
      </c>
      <c r="D15607" t="str">
        <f t="shared" si="5658"/>
        <v>09</v>
      </c>
      <c r="E15607" t="str">
        <f>"08 - B - 105 - Samantha J Headley"</f>
        <v>08 - B - 105 - Samantha J Headley</v>
      </c>
      <c r="F15607" t="str">
        <f>"ENV SCI"</f>
        <v>ENV SCI</v>
      </c>
      <c r="G15607" t="str">
        <f>"08-802"</f>
        <v>08-802</v>
      </c>
      <c r="H15607" t="str">
        <f>"B"</f>
        <v>B</v>
      </c>
    </row>
    <row r="15608" spans="1:8" x14ac:dyDescent="0.2">
      <c r="A15608" t="str">
        <f t="shared" ref="A15608:A15615" si="5659">"0615005570"</f>
        <v>0615005570</v>
      </c>
      <c r="B15608" t="str">
        <f t="shared" ref="B15608:B15615" si="5660">"MU'RISSA"</f>
        <v>MU'RISSA</v>
      </c>
      <c r="C15608" t="str">
        <f t="shared" si="5653"/>
        <v>SEARS</v>
      </c>
      <c r="D15608">
        <f>11</f>
        <v>11</v>
      </c>
      <c r="E15608" t="str">
        <f>"04 - A - 102 - Jordana K Hass"</f>
        <v>04 - A - 102 - Jordana K Hass</v>
      </c>
      <c r="F15608" t="str">
        <f>"CHEMISTRY 1"</f>
        <v>CHEMISTRY 1</v>
      </c>
      <c r="G15608" t="str">
        <f>"08-807"</f>
        <v>08-807</v>
      </c>
      <c r="H15608" t="str">
        <f>"A"</f>
        <v>A</v>
      </c>
    </row>
    <row r="15609" spans="1:8" x14ac:dyDescent="0.2">
      <c r="A15609" t="str">
        <f t="shared" si="5659"/>
        <v>0615005570</v>
      </c>
      <c r="B15609" t="str">
        <f t="shared" si="5660"/>
        <v>MU'RISSA</v>
      </c>
      <c r="C15609" t="str">
        <f t="shared" si="5653"/>
        <v>SEARS</v>
      </c>
      <c r="D15609">
        <f>11</f>
        <v>11</v>
      </c>
      <c r="E15609" t="str">
        <f>"06 - B - 105 - Elizabeth Ellen  Moran"</f>
        <v>06 - B - 105 - Elizabeth Ellen  Moran</v>
      </c>
      <c r="F15609" t="str">
        <f>"US HISTORY"</f>
        <v>US HISTORY</v>
      </c>
      <c r="G15609" t="str">
        <f>"17-1752"</f>
        <v>17-1752</v>
      </c>
      <c r="H15609" t="str">
        <f>"B"</f>
        <v>B</v>
      </c>
    </row>
    <row r="15610" spans="1:8" x14ac:dyDescent="0.2">
      <c r="A15610" t="str">
        <f t="shared" si="5659"/>
        <v>0615005570</v>
      </c>
      <c r="B15610" t="str">
        <f t="shared" si="5660"/>
        <v>MU'RISSA</v>
      </c>
      <c r="C15610" t="str">
        <f t="shared" si="5653"/>
        <v>SEARS</v>
      </c>
      <c r="D15610">
        <f>11</f>
        <v>11</v>
      </c>
      <c r="E15610" t="str">
        <f>"03 - A - 102 - Nahum  Saint-Preux"</f>
        <v>03 - A - 102 - Nahum  Saint-Preux</v>
      </c>
      <c r="F15610" t="str">
        <f>"INTENS READ 3"</f>
        <v>INTENS READ 3</v>
      </c>
      <c r="G15610" t="str">
        <f>"17-1712"</f>
        <v>17-1712</v>
      </c>
      <c r="H15610" t="str">
        <f>"A"</f>
        <v>A</v>
      </c>
    </row>
    <row r="15611" spans="1:8" x14ac:dyDescent="0.2">
      <c r="A15611" t="str">
        <f t="shared" si="5659"/>
        <v>0615005570</v>
      </c>
      <c r="B15611" t="str">
        <f t="shared" si="5660"/>
        <v>MU'RISSA</v>
      </c>
      <c r="C15611" t="str">
        <f t="shared" si="5653"/>
        <v>SEARS</v>
      </c>
      <c r="D15611">
        <f>11</f>
        <v>11</v>
      </c>
      <c r="E15611" t="str">
        <f>"02 - A - 106 - Heidi M Knopp"</f>
        <v>02 - A - 106 - Heidi M Knopp</v>
      </c>
      <c r="F15611" t="str">
        <f>"NC STUDY HALL 1"</f>
        <v>NC STUDY HALL 1</v>
      </c>
      <c r="G15611" t="str">
        <f>"17-1735"</f>
        <v>17-1735</v>
      </c>
      <c r="H15611" t="str">
        <f>"A"</f>
        <v>A</v>
      </c>
    </row>
    <row r="15612" spans="1:8" x14ac:dyDescent="0.2">
      <c r="A15612" t="str">
        <f t="shared" si="5659"/>
        <v>0615005570</v>
      </c>
      <c r="B15612" t="str">
        <f t="shared" si="5660"/>
        <v>MU'RISSA</v>
      </c>
      <c r="C15612" t="str">
        <f t="shared" si="5653"/>
        <v>SEARS</v>
      </c>
      <c r="D15612">
        <f>11</f>
        <v>11</v>
      </c>
      <c r="E15612" t="str">
        <f>"07 - B - 102 - Thomas G Handwerg"</f>
        <v>07 - B - 102 - Thomas G Handwerg</v>
      </c>
      <c r="F15612" t="str">
        <f>"PROB STAT W/APPS HON"</f>
        <v>PROB STAT W/APPS HON</v>
      </c>
      <c r="G15612" t="str">
        <f>"21-2146"</f>
        <v>21-2146</v>
      </c>
      <c r="H15612" t="str">
        <f>"B"</f>
        <v>B</v>
      </c>
    </row>
    <row r="15613" spans="1:8" x14ac:dyDescent="0.2">
      <c r="A15613" t="str">
        <f t="shared" si="5659"/>
        <v>0615005570</v>
      </c>
      <c r="B15613" t="str">
        <f t="shared" si="5660"/>
        <v>MU'RISSA</v>
      </c>
      <c r="C15613" t="str">
        <f t="shared" si="5653"/>
        <v>SEARS</v>
      </c>
      <c r="D15613">
        <f>11</f>
        <v>11</v>
      </c>
      <c r="E15613" t="str">
        <f>"05 - B - 104 - Lisa  Quinn"</f>
        <v>05 - B - 104 - Lisa  Quinn</v>
      </c>
      <c r="F15613" t="str">
        <f>"ENG 3"</f>
        <v>ENG 3</v>
      </c>
      <c r="G15613" t="str">
        <f>"17-1725"</f>
        <v>17-1725</v>
      </c>
      <c r="H15613" t="str">
        <f>"B"</f>
        <v>B</v>
      </c>
    </row>
    <row r="15614" spans="1:8" x14ac:dyDescent="0.2">
      <c r="A15614" t="str">
        <f t="shared" si="5659"/>
        <v>0615005570</v>
      </c>
      <c r="B15614" t="str">
        <f t="shared" si="5660"/>
        <v>MU'RISSA</v>
      </c>
      <c r="C15614" t="str">
        <f t="shared" si="5653"/>
        <v>SEARS</v>
      </c>
      <c r="D15614">
        <f>11</f>
        <v>11</v>
      </c>
      <c r="E15614" t="str">
        <f>"01 - A - 101 - Daniel S Katz"</f>
        <v>01 - A - 101 - Daniel S Katz</v>
      </c>
      <c r="F15614" t="str">
        <f>"EXEC INTERN 3 LH"</f>
        <v>EXEC INTERN 3 LH</v>
      </c>
      <c r="G15614" t="str">
        <f>"21-2156"</f>
        <v>21-2156</v>
      </c>
      <c r="H15614" t="str">
        <f>"A"</f>
        <v>A</v>
      </c>
    </row>
    <row r="15615" spans="1:8" x14ac:dyDescent="0.2">
      <c r="A15615" t="str">
        <f t="shared" si="5659"/>
        <v>0615005570</v>
      </c>
      <c r="B15615" t="str">
        <f t="shared" si="5660"/>
        <v>MU'RISSA</v>
      </c>
      <c r="C15615" t="str">
        <f t="shared" si="5653"/>
        <v>SEARS</v>
      </c>
      <c r="D15615">
        <f>11</f>
        <v>11</v>
      </c>
      <c r="E15615" t="str">
        <f>"08 - S1 - B - 102 - Nahum  Saint-Preux"</f>
        <v>08 - S1 - B - 102 - Nahum  Saint-Preux</v>
      </c>
      <c r="F15615" t="str">
        <f>"CRIT THINK ST SKLS"</f>
        <v>CRIT THINK ST SKLS</v>
      </c>
      <c r="G15615" t="str">
        <f>"17-1712"</f>
        <v>17-1712</v>
      </c>
      <c r="H15615" t="str">
        <f>"B"</f>
        <v>B</v>
      </c>
    </row>
    <row r="15616" spans="1:8" x14ac:dyDescent="0.2">
      <c r="A15616" t="str">
        <f t="shared" ref="A15616:A15623" si="5661">"0614073584"</f>
        <v>0614073584</v>
      </c>
      <c r="B15616" t="str">
        <f t="shared" ref="B15616:B15623" si="5662">"Lance Gabriel"</f>
        <v>Lance Gabriel</v>
      </c>
      <c r="C15616" t="str">
        <f t="shared" ref="C15616:C15623" si="5663">"Selmon"</f>
        <v>Selmon</v>
      </c>
      <c r="D15616">
        <f>12</f>
        <v>12</v>
      </c>
      <c r="E15616" t="str">
        <f>"04 - A - 103 - Lourivaldo  Da Silva"</f>
        <v>04 - A - 103 - Lourivaldo  Da Silva</v>
      </c>
      <c r="F15616" t="str">
        <f>"PRE-CALCULUS HON"</f>
        <v>PRE-CALCULUS HON</v>
      </c>
      <c r="G15616" t="str">
        <f>"20-2079"</f>
        <v>20-2079</v>
      </c>
      <c r="H15616" t="str">
        <f>"A"</f>
        <v>A</v>
      </c>
    </row>
    <row r="15617" spans="1:8" x14ac:dyDescent="0.2">
      <c r="A15617" t="str">
        <f t="shared" si="5661"/>
        <v>0614073584</v>
      </c>
      <c r="B15617" t="str">
        <f t="shared" si="5662"/>
        <v>Lance Gabriel</v>
      </c>
      <c r="C15617" t="str">
        <f t="shared" si="5663"/>
        <v>Selmon</v>
      </c>
      <c r="D15617">
        <f>12</f>
        <v>12</v>
      </c>
      <c r="E15617" t="str">
        <f>"06 - B - 103 - Stefanie S Scher"</f>
        <v>06 - B - 103 - Stefanie S Scher</v>
      </c>
      <c r="F15617" t="str">
        <f>"NC STUDY HALL 1"</f>
        <v>NC STUDY HALL 1</v>
      </c>
      <c r="G15617" t="str">
        <f>"17-1735"</f>
        <v>17-1735</v>
      </c>
      <c r="H15617" t="str">
        <f>"B"</f>
        <v>B</v>
      </c>
    </row>
    <row r="15618" spans="1:8" x14ac:dyDescent="0.2">
      <c r="A15618" t="str">
        <f t="shared" si="5661"/>
        <v>0614073584</v>
      </c>
      <c r="B15618" t="str">
        <f t="shared" si="5662"/>
        <v>Lance Gabriel</v>
      </c>
      <c r="C15618" t="str">
        <f t="shared" si="5663"/>
        <v>Selmon</v>
      </c>
      <c r="D15618">
        <f>12</f>
        <v>12</v>
      </c>
      <c r="E15618" t="str">
        <f>"03 - S1 - A - 103 - Richard E Dunbar Iii"</f>
        <v>03 - S1 - A - 103 - Richard E Dunbar Iii</v>
      </c>
      <c r="F15618" t="str">
        <f>"WEIGHT TRAIN 1"</f>
        <v>WEIGHT TRAIN 1</v>
      </c>
      <c r="G15618" t="str">
        <f>"05-501"</f>
        <v>05-501</v>
      </c>
      <c r="H15618" t="str">
        <f>"A"</f>
        <v>A</v>
      </c>
    </row>
    <row r="15619" spans="1:8" x14ac:dyDescent="0.2">
      <c r="A15619" t="str">
        <f t="shared" si="5661"/>
        <v>0614073584</v>
      </c>
      <c r="B15619" t="str">
        <f t="shared" si="5662"/>
        <v>Lance Gabriel</v>
      </c>
      <c r="C15619" t="str">
        <f t="shared" si="5663"/>
        <v>Selmon</v>
      </c>
      <c r="D15619">
        <f>12</f>
        <v>12</v>
      </c>
      <c r="E15619" t="str">
        <f>"02 - A - 101 - Brian M Fitzgerald"</f>
        <v>02 - A - 101 - Brian M Fitzgerald</v>
      </c>
      <c r="F15619" t="str">
        <f>"DRAW 1"</f>
        <v>DRAW 1</v>
      </c>
      <c r="G15619" t="str">
        <f>"09-908"</f>
        <v>09-908</v>
      </c>
      <c r="H15619" t="str">
        <f>"A"</f>
        <v>A</v>
      </c>
    </row>
    <row r="15620" spans="1:8" x14ac:dyDescent="0.2">
      <c r="A15620" t="str">
        <f t="shared" si="5661"/>
        <v>0614073584</v>
      </c>
      <c r="B15620" t="str">
        <f t="shared" si="5662"/>
        <v>Lance Gabriel</v>
      </c>
      <c r="C15620" t="str">
        <f t="shared" si="5663"/>
        <v>Selmon</v>
      </c>
      <c r="D15620">
        <f>12</f>
        <v>12</v>
      </c>
      <c r="E15620" t="str">
        <f>"07 - S1 - B - 102 - Barbara L Segal"</f>
        <v>07 - S1 - B - 102 - Barbara L Segal</v>
      </c>
      <c r="F15620" t="str">
        <f>"AP US GOVT/POL"</f>
        <v>AP US GOVT/POL</v>
      </c>
      <c r="G15620" t="str">
        <f>"17-1742"</f>
        <v>17-1742</v>
      </c>
      <c r="H15620" t="str">
        <f>"B"</f>
        <v>B</v>
      </c>
    </row>
    <row r="15621" spans="1:8" x14ac:dyDescent="0.2">
      <c r="A15621" t="str">
        <f t="shared" si="5661"/>
        <v>0614073584</v>
      </c>
      <c r="B15621" t="str">
        <f t="shared" si="5662"/>
        <v>Lance Gabriel</v>
      </c>
      <c r="C15621" t="str">
        <f t="shared" si="5663"/>
        <v>Selmon</v>
      </c>
      <c r="D15621">
        <f>12</f>
        <v>12</v>
      </c>
      <c r="E15621" t="str">
        <f>"05 - B - 102 - Dorothy D Moore"</f>
        <v>05 - B - 102 - Dorothy D Moore</v>
      </c>
      <c r="F15621" t="str">
        <f>"FORC SCI 1 LH"</f>
        <v>FORC SCI 1 LH</v>
      </c>
      <c r="G15621" t="str">
        <f>"08-803"</f>
        <v>08-803</v>
      </c>
      <c r="H15621" t="str">
        <f>"B"</f>
        <v>B</v>
      </c>
    </row>
    <row r="15622" spans="1:8" x14ac:dyDescent="0.2">
      <c r="A15622" t="str">
        <f t="shared" si="5661"/>
        <v>0614073584</v>
      </c>
      <c r="B15622" t="str">
        <f t="shared" si="5662"/>
        <v>Lance Gabriel</v>
      </c>
      <c r="C15622" t="str">
        <f t="shared" si="5663"/>
        <v>Selmon</v>
      </c>
      <c r="D15622">
        <f>12</f>
        <v>12</v>
      </c>
      <c r="E15622" t="str">
        <f>"01 - A - 001 - Dorothy D Moore"</f>
        <v>01 - A - 001 - Dorothy D Moore</v>
      </c>
      <c r="F15622" t="str">
        <f>"ANAT PHYSIO HON"</f>
        <v>ANAT PHYSIO HON</v>
      </c>
      <c r="G15622" t="str">
        <f>"08-803"</f>
        <v>08-803</v>
      </c>
      <c r="H15622" t="str">
        <f>"A"</f>
        <v>A</v>
      </c>
    </row>
    <row r="15623" spans="1:8" x14ac:dyDescent="0.2">
      <c r="A15623" t="str">
        <f t="shared" si="5661"/>
        <v>0614073584</v>
      </c>
      <c r="B15623" t="str">
        <f t="shared" si="5662"/>
        <v>Lance Gabriel</v>
      </c>
      <c r="C15623" t="str">
        <f t="shared" si="5663"/>
        <v>Selmon</v>
      </c>
      <c r="D15623">
        <f>12</f>
        <v>12</v>
      </c>
      <c r="E15623" t="str">
        <f>"08 - B - 203 - Courtney E Hambright"</f>
        <v>08 - B - 203 - Courtney E Hambright</v>
      </c>
      <c r="F15623" t="str">
        <f>"AP ENG LIT COMPO"</f>
        <v>AP ENG LIT COMPO</v>
      </c>
      <c r="G15623" t="str">
        <f>"17-1711"</f>
        <v>17-1711</v>
      </c>
      <c r="H15623" t="str">
        <f>"B"</f>
        <v>B</v>
      </c>
    </row>
    <row r="15624" spans="1:8" x14ac:dyDescent="0.2">
      <c r="A15624" t="str">
        <f t="shared" ref="A15624:A15631" si="5664">"0617002377"</f>
        <v>0617002377</v>
      </c>
      <c r="B15624" t="str">
        <f t="shared" ref="B15624:B15631" si="5665">"ZA'NIYA"</f>
        <v>ZA'NIYA</v>
      </c>
      <c r="C15624" t="str">
        <f t="shared" ref="C15624:C15631" si="5666">"SELONDIEU"</f>
        <v>SELONDIEU</v>
      </c>
      <c r="D15624" t="str">
        <f t="shared" ref="D15624:D15631" si="5667">"09"</f>
        <v>09</v>
      </c>
      <c r="E15624" t="str">
        <f>"04 - A - 106 - Ferrie J Arostique"</f>
        <v>04 - A - 106 - Ferrie J Arostique</v>
      </c>
      <c r="F15624" t="str">
        <f>"PRE-AICE MATH 2 IG"</f>
        <v>PRE-AICE MATH 2 IG</v>
      </c>
      <c r="G15624" t="str">
        <f>"21-2139"</f>
        <v>21-2139</v>
      </c>
      <c r="H15624" t="str">
        <f>"A"</f>
        <v>A</v>
      </c>
    </row>
    <row r="15625" spans="1:8" x14ac:dyDescent="0.2">
      <c r="A15625" t="str">
        <f t="shared" si="5664"/>
        <v>0617002377</v>
      </c>
      <c r="B15625" t="str">
        <f t="shared" si="5665"/>
        <v>ZA'NIYA</v>
      </c>
      <c r="C15625" t="str">
        <f t="shared" si="5666"/>
        <v>SELONDIEU</v>
      </c>
      <c r="D15625" t="str">
        <f t="shared" si="5667"/>
        <v>09</v>
      </c>
      <c r="E15625" t="str">
        <f>"06 - B - 001 - Samantha J Headley"</f>
        <v>06 - B - 001 - Samantha J Headley</v>
      </c>
      <c r="F15625" t="str">
        <f>"MARINE SCI 1 HON"</f>
        <v>MARINE SCI 1 HON</v>
      </c>
      <c r="G15625" t="str">
        <f>"21-2134"</f>
        <v>21-2134</v>
      </c>
      <c r="H15625" t="str">
        <f>"B"</f>
        <v>B</v>
      </c>
    </row>
    <row r="15626" spans="1:8" x14ac:dyDescent="0.2">
      <c r="A15626" t="str">
        <f t="shared" si="5664"/>
        <v>0617002377</v>
      </c>
      <c r="B15626" t="str">
        <f t="shared" si="5665"/>
        <v>ZA'NIYA</v>
      </c>
      <c r="C15626" t="str">
        <f t="shared" si="5666"/>
        <v>SELONDIEU</v>
      </c>
      <c r="D15626" t="str">
        <f t="shared" si="5667"/>
        <v>09</v>
      </c>
      <c r="E15626" t="str">
        <f>"03 - A - 101 - Samantha L Martinez"</f>
        <v>03 - A - 101 - Samantha L Martinez</v>
      </c>
      <c r="F15626" t="str">
        <f>"VOCAL ENS 1"</f>
        <v>VOCAL ENS 1</v>
      </c>
      <c r="G15626" t="str">
        <f>"05-505"</f>
        <v>05-505</v>
      </c>
      <c r="H15626" t="str">
        <f>"A"</f>
        <v>A</v>
      </c>
    </row>
    <row r="15627" spans="1:8" x14ac:dyDescent="0.2">
      <c r="A15627" t="str">
        <f t="shared" si="5664"/>
        <v>0617002377</v>
      </c>
      <c r="B15627" t="str">
        <f t="shared" si="5665"/>
        <v>ZA'NIYA</v>
      </c>
      <c r="C15627" t="str">
        <f t="shared" si="5666"/>
        <v>SELONDIEU</v>
      </c>
      <c r="D15627" t="str">
        <f t="shared" si="5667"/>
        <v>09</v>
      </c>
      <c r="E15627" t="str">
        <f>"02 - A - 112 - Cheryl Anne  Berman-Schechter"</f>
        <v>02 - A - 112 - Cheryl Anne  Berman-Schechter</v>
      </c>
      <c r="F15627" t="str">
        <f>"NC STUDY HALL 1"</f>
        <v>NC STUDY HALL 1</v>
      </c>
      <c r="G15627" t="str">
        <f>"17-1722"</f>
        <v>17-1722</v>
      </c>
      <c r="H15627" t="str">
        <f>"A"</f>
        <v>A</v>
      </c>
    </row>
    <row r="15628" spans="1:8" x14ac:dyDescent="0.2">
      <c r="A15628" t="str">
        <f t="shared" si="5664"/>
        <v>0617002377</v>
      </c>
      <c r="B15628" t="str">
        <f t="shared" si="5665"/>
        <v>ZA'NIYA</v>
      </c>
      <c r="C15628" t="str">
        <f t="shared" si="5666"/>
        <v>SELONDIEU</v>
      </c>
      <c r="D15628" t="str">
        <f t="shared" si="5667"/>
        <v>09</v>
      </c>
      <c r="E15628" t="str">
        <f>"07 - B - 002 - Rachel M Montrose"</f>
        <v>07 - B - 002 - Rachel M Montrose</v>
      </c>
      <c r="F15628" t="str">
        <f>"JOURN 1 (NP) LH"</f>
        <v>JOURN 1 (NP) LH</v>
      </c>
      <c r="G15628" t="str">
        <f>"05-521"</f>
        <v>05-521</v>
      </c>
      <c r="H15628" t="str">
        <f>"B"</f>
        <v>B</v>
      </c>
    </row>
    <row r="15629" spans="1:8" x14ac:dyDescent="0.2">
      <c r="A15629" t="str">
        <f t="shared" si="5664"/>
        <v>0617002377</v>
      </c>
      <c r="B15629" t="str">
        <f t="shared" si="5665"/>
        <v>ZA'NIYA</v>
      </c>
      <c r="C15629" t="str">
        <f t="shared" si="5666"/>
        <v>SELONDIEU</v>
      </c>
      <c r="D15629" t="str">
        <f t="shared" si="5667"/>
        <v>09</v>
      </c>
      <c r="E15629" t="str">
        <f>"05 - B - 204 - Elizabeth R Walker"</f>
        <v>05 - B - 204 - Elizabeth R Walker</v>
      </c>
      <c r="F15629" t="str">
        <f>"AICE ENG GEN PAPER 1"</f>
        <v>AICE ENG GEN PAPER 1</v>
      </c>
      <c r="G15629" t="str">
        <f>"17-1703"</f>
        <v>17-1703</v>
      </c>
      <c r="H15629" t="str">
        <f>"B"</f>
        <v>B</v>
      </c>
    </row>
    <row r="15630" spans="1:8" x14ac:dyDescent="0.2">
      <c r="A15630" t="str">
        <f t="shared" si="5664"/>
        <v>0617002377</v>
      </c>
      <c r="B15630" t="str">
        <f t="shared" si="5665"/>
        <v>ZA'NIYA</v>
      </c>
      <c r="C15630" t="str">
        <f t="shared" si="5666"/>
        <v>SELONDIEU</v>
      </c>
      <c r="D15630" t="str">
        <f t="shared" si="5667"/>
        <v>09</v>
      </c>
      <c r="E15630" t="str">
        <f>"01 - A - 101 - Rory T Sponsler"</f>
        <v>01 - A - 101 - Rory T Sponsler</v>
      </c>
      <c r="F15630" t="str">
        <f>"PRE-AICE WRLD HST IG"</f>
        <v>PRE-AICE WRLD HST IG</v>
      </c>
      <c r="G15630" t="str">
        <f>"17-1740"</f>
        <v>17-1740</v>
      </c>
      <c r="H15630" t="str">
        <f>"A"</f>
        <v>A</v>
      </c>
    </row>
    <row r="15631" spans="1:8" x14ac:dyDescent="0.2">
      <c r="A15631" t="str">
        <f t="shared" si="5664"/>
        <v>0617002377</v>
      </c>
      <c r="B15631" t="str">
        <f t="shared" si="5665"/>
        <v>ZA'NIYA</v>
      </c>
      <c r="C15631" t="str">
        <f t="shared" si="5666"/>
        <v>SELONDIEU</v>
      </c>
      <c r="D15631" t="str">
        <f t="shared" si="5667"/>
        <v>09</v>
      </c>
      <c r="E15631" t="str">
        <f>"08 - B - 103 - Jeanne M Bermudez"</f>
        <v>08 - B - 103 - Jeanne M Bermudez</v>
      </c>
      <c r="F15631" t="str">
        <f>"ADVANCED IT HON"</f>
        <v>ADVANCED IT HON</v>
      </c>
      <c r="G15631" t="str">
        <f>"21-2141"</f>
        <v>21-2141</v>
      </c>
      <c r="H15631" t="str">
        <f>"B"</f>
        <v>B</v>
      </c>
    </row>
    <row r="15632" spans="1:8" x14ac:dyDescent="0.2">
      <c r="A15632" t="str">
        <f t="shared" ref="A15632:A15639" si="5668">"0619072148"</f>
        <v>0619072148</v>
      </c>
      <c r="B15632" t="str">
        <f t="shared" ref="B15632:B15639" si="5669">"VICTORIA"</f>
        <v>VICTORIA</v>
      </c>
      <c r="C15632" t="str">
        <f t="shared" ref="C15632:C15639" si="5670">"SEMENOVA"</f>
        <v>SEMENOVA</v>
      </c>
      <c r="D15632">
        <f>11</f>
        <v>11</v>
      </c>
      <c r="E15632" t="str">
        <f>"04 - A - 101 - Stephen T Ripp"</f>
        <v>04 - A - 101 - Stephen T Ripp</v>
      </c>
      <c r="F15632" t="str">
        <f>"AP U.S. HIST"</f>
        <v>AP U.S. HIST</v>
      </c>
      <c r="G15632" t="str">
        <f>"17-1744"</f>
        <v>17-1744</v>
      </c>
      <c r="H15632" t="str">
        <f>"A"</f>
        <v>A</v>
      </c>
    </row>
    <row r="15633" spans="1:8" x14ac:dyDescent="0.2">
      <c r="A15633" t="str">
        <f t="shared" si="5668"/>
        <v>0619072148</v>
      </c>
      <c r="B15633" t="str">
        <f t="shared" si="5669"/>
        <v>VICTORIA</v>
      </c>
      <c r="C15633" t="str">
        <f t="shared" si="5670"/>
        <v>SEMENOVA</v>
      </c>
      <c r="D15633">
        <f>11</f>
        <v>11</v>
      </c>
      <c r="E15633" t="str">
        <f>"06 - B - 104 - Brandy N Zdenek"</f>
        <v>06 - B - 104 - Brandy N Zdenek</v>
      </c>
      <c r="F15633" t="str">
        <f>"AICE ENG LANG 2 AL"</f>
        <v>AICE ENG LANG 2 AL</v>
      </c>
      <c r="G15633" t="str">
        <f>"17-1704"</f>
        <v>17-1704</v>
      </c>
      <c r="H15633" t="str">
        <f>"B"</f>
        <v>B</v>
      </c>
    </row>
    <row r="15634" spans="1:8" x14ac:dyDescent="0.2">
      <c r="A15634" t="str">
        <f t="shared" si="5668"/>
        <v>0619072148</v>
      </c>
      <c r="B15634" t="str">
        <f t="shared" si="5669"/>
        <v>VICTORIA</v>
      </c>
      <c r="C15634" t="str">
        <f t="shared" si="5670"/>
        <v>SEMENOVA</v>
      </c>
      <c r="D15634">
        <f>11</f>
        <v>11</v>
      </c>
      <c r="E15634" t="str">
        <f>"03 - A - 101 - Jacqueline R Morphet"</f>
        <v>03 - A - 101 - Jacqueline R Morphet</v>
      </c>
      <c r="F15634" t="str">
        <f>"AP PHYSICS 1"</f>
        <v>AP PHYSICS 1</v>
      </c>
      <c r="G15634" t="str">
        <f>"21-2138"</f>
        <v>21-2138</v>
      </c>
      <c r="H15634" t="str">
        <f>"A"</f>
        <v>A</v>
      </c>
    </row>
    <row r="15635" spans="1:8" x14ac:dyDescent="0.2">
      <c r="A15635" t="str">
        <f t="shared" si="5668"/>
        <v>0619072148</v>
      </c>
      <c r="B15635" t="str">
        <f t="shared" si="5669"/>
        <v>VICTORIA</v>
      </c>
      <c r="C15635" t="str">
        <f t="shared" si="5670"/>
        <v>SEMENOVA</v>
      </c>
      <c r="D15635">
        <f>11</f>
        <v>11</v>
      </c>
      <c r="E15635" t="str">
        <f>"02 - A - 102 - Fernando  Vega-Cid"</f>
        <v>02 - A - 102 - Fernando  Vega-Cid</v>
      </c>
      <c r="F15635" t="str">
        <f>"NC STUDY HALL 1"</f>
        <v>NC STUDY HALL 1</v>
      </c>
      <c r="G15635" t="str">
        <f>"21-2163"</f>
        <v>21-2163</v>
      </c>
      <c r="H15635" t="str">
        <f>"A"</f>
        <v>A</v>
      </c>
    </row>
    <row r="15636" spans="1:8" x14ac:dyDescent="0.2">
      <c r="A15636" t="str">
        <f t="shared" si="5668"/>
        <v>0619072148</v>
      </c>
      <c r="B15636" t="str">
        <f t="shared" si="5669"/>
        <v>VICTORIA</v>
      </c>
      <c r="C15636" t="str">
        <f t="shared" si="5670"/>
        <v>SEMENOVA</v>
      </c>
      <c r="D15636">
        <f>11</f>
        <v>11</v>
      </c>
      <c r="E15636" t="str">
        <f>"07 - B - 101 - Fernando  Vega-Cid"</f>
        <v>07 - B - 101 - Fernando  Vega-Cid</v>
      </c>
      <c r="F15636" t="str">
        <f>"AP PRECALCULUS"</f>
        <v>AP PRECALCULUS</v>
      </c>
      <c r="G15636" t="str">
        <f>"21-2163"</f>
        <v>21-2163</v>
      </c>
      <c r="H15636" t="str">
        <f>"B"</f>
        <v>B</v>
      </c>
    </row>
    <row r="15637" spans="1:8" x14ac:dyDescent="0.2">
      <c r="A15637" t="str">
        <f t="shared" si="5668"/>
        <v>0619072148</v>
      </c>
      <c r="B15637" t="str">
        <f t="shared" si="5669"/>
        <v>VICTORIA</v>
      </c>
      <c r="C15637" t="str">
        <f t="shared" si="5670"/>
        <v>SEMENOVA</v>
      </c>
      <c r="D15637">
        <f>11</f>
        <v>11</v>
      </c>
      <c r="E15637" t="str">
        <f>"05 - B - 201 - Scott A Dethloff"</f>
        <v>05 - B - 201 - Scott A Dethloff</v>
      </c>
      <c r="F15637" t="str">
        <f>"AP CHEM"</f>
        <v>AP CHEM</v>
      </c>
      <c r="G15637" t="str">
        <f>"08-812"</f>
        <v>08-812</v>
      </c>
      <c r="H15637" t="str">
        <f>"B"</f>
        <v>B</v>
      </c>
    </row>
    <row r="15638" spans="1:8" x14ac:dyDescent="0.2">
      <c r="A15638" t="str">
        <f t="shared" si="5668"/>
        <v>0619072148</v>
      </c>
      <c r="B15638" t="str">
        <f t="shared" si="5669"/>
        <v>VICTORIA</v>
      </c>
      <c r="C15638" t="str">
        <f t="shared" si="5670"/>
        <v>SEMENOVA</v>
      </c>
      <c r="D15638">
        <f>11</f>
        <v>11</v>
      </c>
      <c r="E15638" t="str">
        <f>"01 - A - 101 - Lisa J London"</f>
        <v>01 - A - 101 - Lisa J London</v>
      </c>
      <c r="F15638" t="str">
        <f>"AP CAPSTONE SEMINAR"</f>
        <v>AP CAPSTONE SEMINAR</v>
      </c>
      <c r="G15638" t="str">
        <f>"17-1714"</f>
        <v>17-1714</v>
      </c>
      <c r="H15638" t="str">
        <f>"A"</f>
        <v>A</v>
      </c>
    </row>
    <row r="15639" spans="1:8" x14ac:dyDescent="0.2">
      <c r="A15639" t="str">
        <f t="shared" si="5668"/>
        <v>0619072148</v>
      </c>
      <c r="B15639" t="str">
        <f t="shared" si="5669"/>
        <v>VICTORIA</v>
      </c>
      <c r="C15639" t="str">
        <f t="shared" si="5670"/>
        <v>SEMENOVA</v>
      </c>
      <c r="D15639">
        <f>11</f>
        <v>11</v>
      </c>
      <c r="E15639" t="str">
        <f>"08 - B - 201 - Vanessa J Liburd"</f>
        <v>08 - B - 201 - Vanessa J Liburd</v>
      </c>
      <c r="F15639" t="str">
        <f>"FRENCH 3 HON"</f>
        <v>FRENCH 3 HON</v>
      </c>
      <c r="G15639" t="str">
        <f>"05-519"</f>
        <v>05-519</v>
      </c>
      <c r="H15639" t="str">
        <f>"B"</f>
        <v>B</v>
      </c>
    </row>
    <row r="15640" spans="1:8" x14ac:dyDescent="0.2">
      <c r="A15640" t="str">
        <f t="shared" ref="A15640:A15647" si="5671">"0625019609"</f>
        <v>0625019609</v>
      </c>
      <c r="B15640" t="str">
        <f t="shared" ref="B15640:B15647" si="5672">"Kisha"</f>
        <v>Kisha</v>
      </c>
      <c r="C15640" t="str">
        <f t="shared" ref="C15640:C15647" si="5673">"Seraphin"</f>
        <v>Seraphin</v>
      </c>
      <c r="D15640">
        <f>10</f>
        <v>10</v>
      </c>
      <c r="E15640" t="str">
        <f>"04 - A - 205 - Lytrell T Dixon"</f>
        <v>04 - A - 205 - Lytrell T Dixon</v>
      </c>
      <c r="F15640" t="str">
        <f>"BIOLOGY 1"</f>
        <v>BIOLOGY 1</v>
      </c>
      <c r="G15640" t="str">
        <f>"08-808"</f>
        <v>08-808</v>
      </c>
      <c r="H15640" t="str">
        <f>"A"</f>
        <v>A</v>
      </c>
    </row>
    <row r="15641" spans="1:8" x14ac:dyDescent="0.2">
      <c r="A15641" t="str">
        <f t="shared" si="5671"/>
        <v>0625019609</v>
      </c>
      <c r="B15641" t="str">
        <f t="shared" si="5672"/>
        <v>Kisha</v>
      </c>
      <c r="C15641" t="str">
        <f t="shared" si="5673"/>
        <v>Seraphin</v>
      </c>
      <c r="D15641">
        <f>10</f>
        <v>10</v>
      </c>
      <c r="E15641" t="str">
        <f>"06 - B - 103 - Vanessa J Liburd"</f>
        <v>06 - B - 103 - Vanessa J Liburd</v>
      </c>
      <c r="F15641" t="str">
        <f>"NC STUDY HALL 1"</f>
        <v>NC STUDY HALL 1</v>
      </c>
      <c r="G15641" t="str">
        <f>"05-519"</f>
        <v>05-519</v>
      </c>
      <c r="H15641" t="str">
        <f>"B"</f>
        <v>B</v>
      </c>
    </row>
    <row r="15642" spans="1:8" x14ac:dyDescent="0.2">
      <c r="A15642" t="str">
        <f t="shared" si="5671"/>
        <v>0625019609</v>
      </c>
      <c r="B15642" t="str">
        <f t="shared" si="5672"/>
        <v>Kisha</v>
      </c>
      <c r="C15642" t="str">
        <f t="shared" si="5673"/>
        <v>Seraphin</v>
      </c>
      <c r="D15642">
        <f>10</f>
        <v>10</v>
      </c>
      <c r="E15642" t="str">
        <f>"03 - A - 109 - Lissa C Frederique"</f>
        <v>03 - A - 109 - Lissa C Frederique</v>
      </c>
      <c r="F15642" t="str">
        <f>"WORLD HISTORY"</f>
        <v>WORLD HISTORY</v>
      </c>
      <c r="G15642" t="str">
        <f>"17-1754"</f>
        <v>17-1754</v>
      </c>
      <c r="H15642" t="str">
        <f>"A"</f>
        <v>A</v>
      </c>
    </row>
    <row r="15643" spans="1:8" x14ac:dyDescent="0.2">
      <c r="A15643" t="str">
        <f t="shared" si="5671"/>
        <v>0625019609</v>
      </c>
      <c r="B15643" t="str">
        <f t="shared" si="5672"/>
        <v>Kisha</v>
      </c>
      <c r="C15643" t="str">
        <f t="shared" si="5673"/>
        <v>Seraphin</v>
      </c>
      <c r="D15643">
        <f>10</f>
        <v>10</v>
      </c>
      <c r="E15643" t="str">
        <f>"02 - A - 102 - Vanessa J Liburd"</f>
        <v>02 - A - 102 - Vanessa J Liburd</v>
      </c>
      <c r="F15643" t="str">
        <f>"PRE-AICE FRENCH 2 IG"</f>
        <v>PRE-AICE FRENCH 2 IG</v>
      </c>
      <c r="G15643" t="str">
        <f>"05-519"</f>
        <v>05-519</v>
      </c>
      <c r="H15643" t="str">
        <f>"A"</f>
        <v>A</v>
      </c>
    </row>
    <row r="15644" spans="1:8" x14ac:dyDescent="0.2">
      <c r="A15644" t="str">
        <f t="shared" si="5671"/>
        <v>0625019609</v>
      </c>
      <c r="B15644" t="str">
        <f t="shared" si="5672"/>
        <v>Kisha</v>
      </c>
      <c r="C15644" t="str">
        <f t="shared" si="5673"/>
        <v>Seraphin</v>
      </c>
      <c r="D15644">
        <f>10</f>
        <v>10</v>
      </c>
      <c r="E15644" t="str">
        <f>"07 - B - 107 - Milca  Exantus"</f>
        <v>07 - B - 107 - Milca  Exantus</v>
      </c>
      <c r="F15644" t="str">
        <f>"MATH COLLEGE LIB ART"</f>
        <v>MATH COLLEGE LIB ART</v>
      </c>
      <c r="G15644" t="str">
        <f>"21-2145"</f>
        <v>21-2145</v>
      </c>
      <c r="H15644" t="str">
        <f>"B"</f>
        <v>B</v>
      </c>
    </row>
    <row r="15645" spans="1:8" x14ac:dyDescent="0.2">
      <c r="A15645" t="str">
        <f t="shared" si="5671"/>
        <v>0625019609</v>
      </c>
      <c r="B15645" t="str">
        <f t="shared" si="5672"/>
        <v>Kisha</v>
      </c>
      <c r="C15645" t="str">
        <f t="shared" si="5673"/>
        <v>Seraphin</v>
      </c>
      <c r="D15645">
        <f>10</f>
        <v>10</v>
      </c>
      <c r="E15645" t="str">
        <f>"05 - B - 107 - Nikiel  Nesbeth"</f>
        <v>05 - B - 107 - Nikiel  Nesbeth</v>
      </c>
      <c r="F15645" t="str">
        <f>"ENG 2"</f>
        <v>ENG 2</v>
      </c>
      <c r="G15645" t="str">
        <f>"17-1705"</f>
        <v>17-1705</v>
      </c>
      <c r="H15645" t="str">
        <f>"B"</f>
        <v>B</v>
      </c>
    </row>
    <row r="15646" spans="1:8" x14ac:dyDescent="0.2">
      <c r="A15646" t="str">
        <f t="shared" si="5671"/>
        <v>0625019609</v>
      </c>
      <c r="B15646" t="str">
        <f t="shared" si="5672"/>
        <v>Kisha</v>
      </c>
      <c r="C15646" t="str">
        <f t="shared" si="5673"/>
        <v>Seraphin</v>
      </c>
      <c r="D15646">
        <f>10</f>
        <v>10</v>
      </c>
      <c r="E15646" t="str">
        <f>"01 - A - 101 - Vanessa J Pena"</f>
        <v>01 - A - 101 - Vanessa J Pena</v>
      </c>
      <c r="F15646" t="str">
        <f>"DEV LANG ARTS ESOL-R"</f>
        <v>DEV LANG ARTS ESOL-R</v>
      </c>
      <c r="G15646" t="str">
        <f>"09-926"</f>
        <v>09-926</v>
      </c>
      <c r="H15646" t="str">
        <f>"A"</f>
        <v>A</v>
      </c>
    </row>
    <row r="15647" spans="1:8" x14ac:dyDescent="0.2">
      <c r="A15647" t="str">
        <f t="shared" si="5671"/>
        <v>0625019609</v>
      </c>
      <c r="B15647" t="str">
        <f t="shared" si="5672"/>
        <v>Kisha</v>
      </c>
      <c r="C15647" t="str">
        <f t="shared" si="5673"/>
        <v>Seraphin</v>
      </c>
      <c r="D15647">
        <f>10</f>
        <v>10</v>
      </c>
      <c r="E15647" t="str">
        <f>"08 - S1 - B - 001 - Carol S Moore"</f>
        <v>08 - S1 - B - 001 - Carol S Moore</v>
      </c>
      <c r="F15647" t="str">
        <f>"PER CAR SCH DEV 1 LH"</f>
        <v>PER CAR SCH DEV 1 LH</v>
      </c>
      <c r="G15647" t="str">
        <f>"17-1733"</f>
        <v>17-1733</v>
      </c>
      <c r="H15647" t="str">
        <f>"B"</f>
        <v>B</v>
      </c>
    </row>
    <row r="15648" spans="1:8" x14ac:dyDescent="0.2">
      <c r="A15648" t="str">
        <f t="shared" ref="A15648:A15655" si="5674">"0616054746"</f>
        <v>0616054746</v>
      </c>
      <c r="B15648" t="str">
        <f t="shared" ref="B15648:B15655" si="5675">"ALENYX'S"</f>
        <v>ALENYX'S</v>
      </c>
      <c r="C15648" t="str">
        <f t="shared" ref="C15648:C15655" si="5676">"SERRANO RUFFAT"</f>
        <v>SERRANO RUFFAT</v>
      </c>
      <c r="D15648">
        <f>10</f>
        <v>10</v>
      </c>
      <c r="E15648" t="str">
        <f>"04 - A - 203 - Cheryl L Beach"</f>
        <v>04 - A - 203 - Cheryl L Beach</v>
      </c>
      <c r="F15648" t="str">
        <f>"AICE ENV MGMNT AS"</f>
        <v>AICE ENV MGMNT AS</v>
      </c>
      <c r="G15648" t="str">
        <f>"08-811"</f>
        <v>08-811</v>
      </c>
      <c r="H15648" t="str">
        <f>"A"</f>
        <v>A</v>
      </c>
    </row>
    <row r="15649" spans="1:8" x14ac:dyDescent="0.2">
      <c r="A15649" t="str">
        <f t="shared" si="5674"/>
        <v>0616054746</v>
      </c>
      <c r="B15649" t="str">
        <f t="shared" si="5675"/>
        <v>ALENYX'S</v>
      </c>
      <c r="C15649" t="str">
        <f t="shared" si="5676"/>
        <v>SERRANO RUFFAT</v>
      </c>
      <c r="D15649">
        <f>10</f>
        <v>10</v>
      </c>
      <c r="E15649" t="str">
        <f>"06 - B - 109 - Semra  Bahadir"</f>
        <v>06 - B - 109 - Semra  Bahadir</v>
      </c>
      <c r="F15649" t="str">
        <f>"NC STUDY HALL 1"</f>
        <v>NC STUDY HALL 1</v>
      </c>
      <c r="G15649" t="str">
        <f>"21-2107"</f>
        <v>21-2107</v>
      </c>
      <c r="H15649" t="str">
        <f>"B"</f>
        <v>B</v>
      </c>
    </row>
    <row r="15650" spans="1:8" x14ac:dyDescent="0.2">
      <c r="A15650" t="str">
        <f t="shared" si="5674"/>
        <v>0616054746</v>
      </c>
      <c r="B15650" t="str">
        <f t="shared" si="5675"/>
        <v>ALENYX'S</v>
      </c>
      <c r="C15650" t="str">
        <f t="shared" si="5676"/>
        <v>SERRANO RUFFAT</v>
      </c>
      <c r="D15650">
        <f>10</f>
        <v>10</v>
      </c>
      <c r="E15650" t="str">
        <f>"03 - A - 109 - Lissa C Frederique"</f>
        <v>03 - A - 109 - Lissa C Frederique</v>
      </c>
      <c r="F15650" t="str">
        <f>"WORLD HISTORY"</f>
        <v>WORLD HISTORY</v>
      </c>
      <c r="G15650" t="str">
        <f>"17-1754"</f>
        <v>17-1754</v>
      </c>
      <c r="H15650" t="str">
        <f>"A"</f>
        <v>A</v>
      </c>
    </row>
    <row r="15651" spans="1:8" x14ac:dyDescent="0.2">
      <c r="A15651" t="str">
        <f t="shared" si="5674"/>
        <v>0616054746</v>
      </c>
      <c r="B15651" t="str">
        <f t="shared" si="5675"/>
        <v>ALENYX'S</v>
      </c>
      <c r="C15651" t="str">
        <f t="shared" si="5676"/>
        <v>SERRANO RUFFAT</v>
      </c>
      <c r="D15651">
        <f>10</f>
        <v>10</v>
      </c>
      <c r="E15651" t="str">
        <f>"02 - A - 102 - Jacklyn M James"</f>
        <v>02 - A - 102 - Jacklyn M James</v>
      </c>
      <c r="F15651" t="str">
        <f>"AICE ENG LANG AS"</f>
        <v>AICE ENG LANG AS</v>
      </c>
      <c r="G15651" t="str">
        <f>"17-1731"</f>
        <v>17-1731</v>
      </c>
      <c r="H15651" t="str">
        <f>"A"</f>
        <v>A</v>
      </c>
    </row>
    <row r="15652" spans="1:8" x14ac:dyDescent="0.2">
      <c r="A15652" t="str">
        <f t="shared" si="5674"/>
        <v>0616054746</v>
      </c>
      <c r="B15652" t="str">
        <f t="shared" si="5675"/>
        <v>ALENYX'S</v>
      </c>
      <c r="C15652" t="str">
        <f t="shared" si="5676"/>
        <v>SERRANO RUFFAT</v>
      </c>
      <c r="D15652">
        <f>10</f>
        <v>10</v>
      </c>
      <c r="E15652" t="str">
        <f>"07 - B - 106 - James H Mccann"</f>
        <v>07 - B - 106 - James H Mccann</v>
      </c>
      <c r="F15652" t="str">
        <f>"ALGEBRA 2"</f>
        <v>ALGEBRA 2</v>
      </c>
      <c r="G15652" t="str">
        <f>"17-1716"</f>
        <v>17-1716</v>
      </c>
      <c r="H15652" t="str">
        <f>"B"</f>
        <v>B</v>
      </c>
    </row>
    <row r="15653" spans="1:8" x14ac:dyDescent="0.2">
      <c r="A15653" t="str">
        <f t="shared" si="5674"/>
        <v>0616054746</v>
      </c>
      <c r="B15653" t="str">
        <f t="shared" si="5675"/>
        <v>ALENYX'S</v>
      </c>
      <c r="C15653" t="str">
        <f t="shared" si="5676"/>
        <v>SERRANO RUFFAT</v>
      </c>
      <c r="D15653">
        <f>10</f>
        <v>10</v>
      </c>
      <c r="E15653" t="str">
        <f>"05 - B - 105 - Taraneh C Abreu"</f>
        <v>05 - B - 105 - Taraneh C Abreu</v>
      </c>
      <c r="F15653" t="str">
        <f>"INTENS READ 2"</f>
        <v>INTENS READ 2</v>
      </c>
      <c r="G15653" t="str">
        <f>"17-1713"</f>
        <v>17-1713</v>
      </c>
      <c r="H15653" t="str">
        <f>"B"</f>
        <v>B</v>
      </c>
    </row>
    <row r="15654" spans="1:8" x14ac:dyDescent="0.2">
      <c r="A15654" t="str">
        <f t="shared" si="5674"/>
        <v>0616054746</v>
      </c>
      <c r="B15654" t="str">
        <f t="shared" si="5675"/>
        <v>ALENYX'S</v>
      </c>
      <c r="C15654" t="str">
        <f t="shared" si="5676"/>
        <v>SERRANO RUFFAT</v>
      </c>
      <c r="D15654">
        <f>10</f>
        <v>10</v>
      </c>
      <c r="E15654" t="str">
        <f>"01 - A - 504 - Alejandro  Navarro"</f>
        <v>01 - A - 504 - Alejandro  Navarro</v>
      </c>
      <c r="F15654" t="str">
        <f>"BAND 1"</f>
        <v>BAND 1</v>
      </c>
      <c r="G15654" t="str">
        <f>"05-504"</f>
        <v>05-504</v>
      </c>
      <c r="H15654" t="str">
        <f>"A"</f>
        <v>A</v>
      </c>
    </row>
    <row r="15655" spans="1:8" x14ac:dyDescent="0.2">
      <c r="A15655" t="str">
        <f t="shared" si="5674"/>
        <v>0616054746</v>
      </c>
      <c r="B15655" t="str">
        <f t="shared" si="5675"/>
        <v>ALENYX'S</v>
      </c>
      <c r="C15655" t="str">
        <f t="shared" si="5676"/>
        <v>SERRANO RUFFAT</v>
      </c>
      <c r="D15655">
        <f>10</f>
        <v>10</v>
      </c>
      <c r="E15655" t="str">
        <f>"08 - B - 109 - Emmily A Sarmiento"</f>
        <v>08 - B - 109 - Emmily A Sarmiento</v>
      </c>
      <c r="F15655" t="str">
        <f>"AICE GLBL PERSP 1 AS"</f>
        <v>AICE GLBL PERSP 1 AS</v>
      </c>
      <c r="G15655" t="str">
        <f>"17-1743"</f>
        <v>17-1743</v>
      </c>
      <c r="H15655" t="str">
        <f>"B"</f>
        <v>B</v>
      </c>
    </row>
    <row r="15656" spans="1:8" x14ac:dyDescent="0.2">
      <c r="A15656" t="str">
        <f t="shared" ref="A15656:A15663" si="5677">"0616051428"</f>
        <v>0616051428</v>
      </c>
      <c r="B15656" t="str">
        <f t="shared" ref="B15656:B15663" si="5678">"JUNIYA"</f>
        <v>JUNIYA</v>
      </c>
      <c r="C15656" t="str">
        <f t="shared" ref="C15656:C15663" si="5679">"SERVILUS"</f>
        <v>SERVILUS</v>
      </c>
      <c r="D15656" t="str">
        <f t="shared" ref="D15656:D15663" si="5680">"09"</f>
        <v>09</v>
      </c>
      <c r="E15656" t="str">
        <f>"04 - A - 105 - Carol S Moore"</f>
        <v>04 - A - 105 - Carol S Moore</v>
      </c>
      <c r="F15656" t="str">
        <f>"PRE-AICE WRLD HST IG"</f>
        <v>PRE-AICE WRLD HST IG</v>
      </c>
      <c r="G15656" t="str">
        <f>"17-1733"</f>
        <v>17-1733</v>
      </c>
      <c r="H15656" t="str">
        <f>"A"</f>
        <v>A</v>
      </c>
    </row>
    <row r="15657" spans="1:8" x14ac:dyDescent="0.2">
      <c r="A15657" t="str">
        <f t="shared" si="5677"/>
        <v>0616051428</v>
      </c>
      <c r="B15657" t="str">
        <f t="shared" si="5678"/>
        <v>JUNIYA</v>
      </c>
      <c r="C15657" t="str">
        <f t="shared" si="5679"/>
        <v>SERVILUS</v>
      </c>
      <c r="D15657" t="str">
        <f t="shared" si="5680"/>
        <v>09</v>
      </c>
      <c r="E15657" t="str">
        <f>"06 - B - 106 - Marius D Orsolini"</f>
        <v>06 - B - 106 - Marius D Orsolini</v>
      </c>
      <c r="F15657" t="str">
        <f>"CULINARY ARTS 1"</f>
        <v>CULINARY ARTS 1</v>
      </c>
      <c r="G15657" t="str">
        <f>"21-2115"</f>
        <v>21-2115</v>
      </c>
      <c r="H15657" t="str">
        <f>"B"</f>
        <v>B</v>
      </c>
    </row>
    <row r="15658" spans="1:8" x14ac:dyDescent="0.2">
      <c r="A15658" t="str">
        <f t="shared" si="5677"/>
        <v>0616051428</v>
      </c>
      <c r="B15658" t="str">
        <f t="shared" si="5678"/>
        <v>JUNIYA</v>
      </c>
      <c r="C15658" t="str">
        <f t="shared" si="5679"/>
        <v>SERVILUS</v>
      </c>
      <c r="D15658" t="str">
        <f t="shared" si="5680"/>
        <v>09</v>
      </c>
      <c r="E15658" t="str">
        <f>"03 - A - 204 - Norayda D Suarez"</f>
        <v>03 - A - 204 - Norayda D Suarez</v>
      </c>
      <c r="F15658" t="str">
        <f>"ANAT PHYSIO HON"</f>
        <v>ANAT PHYSIO HON</v>
      </c>
      <c r="G15658" t="str">
        <f>"21-2144"</f>
        <v>21-2144</v>
      </c>
      <c r="H15658" t="str">
        <f>"A"</f>
        <v>A</v>
      </c>
    </row>
    <row r="15659" spans="1:8" x14ac:dyDescent="0.2">
      <c r="A15659" t="str">
        <f t="shared" si="5677"/>
        <v>0616051428</v>
      </c>
      <c r="B15659" t="str">
        <f t="shared" si="5678"/>
        <v>JUNIYA</v>
      </c>
      <c r="C15659" t="str">
        <f t="shared" si="5679"/>
        <v>SERVILUS</v>
      </c>
      <c r="D15659" t="str">
        <f t="shared" si="5680"/>
        <v>09</v>
      </c>
      <c r="E15659" t="str">
        <f>"02 - A - 106 - Helen A Flores"</f>
        <v>02 - A - 106 - Helen A Flores</v>
      </c>
      <c r="F15659" t="str">
        <f>"NC STUDY HALL 1"</f>
        <v>NC STUDY HALL 1</v>
      </c>
      <c r="G15659" t="str">
        <f>"21-2101"</f>
        <v>21-2101</v>
      </c>
      <c r="H15659" t="str">
        <f>"A"</f>
        <v>A</v>
      </c>
    </row>
    <row r="15660" spans="1:8" x14ac:dyDescent="0.2">
      <c r="A15660" t="str">
        <f t="shared" si="5677"/>
        <v>0616051428</v>
      </c>
      <c r="B15660" t="str">
        <f t="shared" si="5678"/>
        <v>JUNIYA</v>
      </c>
      <c r="C15660" t="str">
        <f t="shared" si="5679"/>
        <v>SERVILUS</v>
      </c>
      <c r="D15660" t="str">
        <f t="shared" si="5680"/>
        <v>09</v>
      </c>
      <c r="E15660" t="str">
        <f>"07 - B - 103 - Vanessa J Liburd"</f>
        <v>07 - B - 103 - Vanessa J Liburd</v>
      </c>
      <c r="F15660" t="str">
        <f>"PRE-AICE FRENCH 1 IG"</f>
        <v>PRE-AICE FRENCH 1 IG</v>
      </c>
      <c r="G15660" t="str">
        <f>"05-519"</f>
        <v>05-519</v>
      </c>
      <c r="H15660" t="str">
        <f>"B"</f>
        <v>B</v>
      </c>
    </row>
    <row r="15661" spans="1:8" x14ac:dyDescent="0.2">
      <c r="A15661" t="str">
        <f t="shared" si="5677"/>
        <v>0616051428</v>
      </c>
      <c r="B15661" t="str">
        <f t="shared" si="5678"/>
        <v>JUNIYA</v>
      </c>
      <c r="C15661" t="str">
        <f t="shared" si="5679"/>
        <v>SERVILUS</v>
      </c>
      <c r="D15661" t="str">
        <f t="shared" si="5680"/>
        <v>09</v>
      </c>
      <c r="E15661" t="str">
        <f>"05 - B - 103 - Eva T Rimmer"</f>
        <v>05 - B - 103 - Eva T Rimmer</v>
      </c>
      <c r="F15661" t="str">
        <f>"CRIMINAL JUST OPS 1"</f>
        <v>CRIMINAL JUST OPS 1</v>
      </c>
      <c r="G15661" t="str">
        <f>"05-523"</f>
        <v>05-523</v>
      </c>
      <c r="H15661" t="str">
        <f>"B"</f>
        <v>B</v>
      </c>
    </row>
    <row r="15662" spans="1:8" x14ac:dyDescent="0.2">
      <c r="A15662" t="str">
        <f t="shared" si="5677"/>
        <v>0616051428</v>
      </c>
      <c r="B15662" t="str">
        <f t="shared" si="5678"/>
        <v>JUNIYA</v>
      </c>
      <c r="C15662" t="str">
        <f t="shared" si="5679"/>
        <v>SERVILUS</v>
      </c>
      <c r="D15662" t="str">
        <f t="shared" si="5680"/>
        <v>09</v>
      </c>
      <c r="E15662" t="str">
        <f>"01 - A - 101 - Elizabeth R Walker"</f>
        <v>01 - A - 101 - Elizabeth R Walker</v>
      </c>
      <c r="F15662" t="str">
        <f>"AICE ENG GEN PAPER 1"</f>
        <v>AICE ENG GEN PAPER 1</v>
      </c>
      <c r="G15662" t="str">
        <f>"17-1703"</f>
        <v>17-1703</v>
      </c>
      <c r="H15662" t="str">
        <f>"A"</f>
        <v>A</v>
      </c>
    </row>
    <row r="15663" spans="1:8" x14ac:dyDescent="0.2">
      <c r="A15663" t="str">
        <f t="shared" si="5677"/>
        <v>0616051428</v>
      </c>
      <c r="B15663" t="str">
        <f t="shared" si="5678"/>
        <v>JUNIYA</v>
      </c>
      <c r="C15663" t="str">
        <f t="shared" si="5679"/>
        <v>SERVILUS</v>
      </c>
      <c r="D15663" t="str">
        <f t="shared" si="5680"/>
        <v>09</v>
      </c>
      <c r="E15663" t="str">
        <f>"08 - B - 105 - Ferrie J Arostique"</f>
        <v>08 - B - 105 - Ferrie J Arostique</v>
      </c>
      <c r="F15663" t="str">
        <f>"PRE-AICE MATH 2 IG"</f>
        <v>PRE-AICE MATH 2 IG</v>
      </c>
      <c r="G15663" t="str">
        <f>"21-2139"</f>
        <v>21-2139</v>
      </c>
      <c r="H15663" t="str">
        <f>"B"</f>
        <v>B</v>
      </c>
    </row>
    <row r="15664" spans="1:8" x14ac:dyDescent="0.2">
      <c r="A15664" t="str">
        <f t="shared" ref="A15664:A15671" si="5681">"0611113018"</f>
        <v>0611113018</v>
      </c>
      <c r="B15664" t="str">
        <f t="shared" ref="B15664:B15671" si="5682">"SAM"</f>
        <v>SAM</v>
      </c>
      <c r="C15664" t="str">
        <f t="shared" ref="C15664:C15671" si="5683">"SESSA-RICH"</f>
        <v>SESSA-RICH</v>
      </c>
      <c r="D15664">
        <f>12</f>
        <v>12</v>
      </c>
      <c r="E15664" t="str">
        <f>"04 - A - 102 - Daniel S Katz"</f>
        <v>04 - A - 102 - Daniel S Katz</v>
      </c>
      <c r="F15664" t="str">
        <f>"AICE DRAMA 1 AS LEV"</f>
        <v>AICE DRAMA 1 AS LEV</v>
      </c>
      <c r="G15664" t="str">
        <f>"05-521"</f>
        <v>05-521</v>
      </c>
      <c r="H15664" t="str">
        <f>"A"</f>
        <v>A</v>
      </c>
    </row>
    <row r="15665" spans="1:8" x14ac:dyDescent="0.2">
      <c r="A15665" t="str">
        <f t="shared" si="5681"/>
        <v>0611113018</v>
      </c>
      <c r="B15665" t="str">
        <f t="shared" si="5682"/>
        <v>SAM</v>
      </c>
      <c r="C15665" t="str">
        <f t="shared" si="5683"/>
        <v>SESSA-RICH</v>
      </c>
      <c r="D15665">
        <f>12</f>
        <v>12</v>
      </c>
      <c r="E15665" t="str">
        <f>"06 - B - 114 - Lisa J London"</f>
        <v>06 - B - 114 - Lisa J London</v>
      </c>
      <c r="F15665" t="str">
        <f>"NC STUDY HALL 1"</f>
        <v>NC STUDY HALL 1</v>
      </c>
      <c r="G15665" t="str">
        <f>"17-1714"</f>
        <v>17-1714</v>
      </c>
      <c r="H15665" t="str">
        <f>"B"</f>
        <v>B</v>
      </c>
    </row>
    <row r="15666" spans="1:8" x14ac:dyDescent="0.2">
      <c r="A15666" t="str">
        <f t="shared" si="5681"/>
        <v>0611113018</v>
      </c>
      <c r="B15666" t="str">
        <f t="shared" si="5682"/>
        <v>SAM</v>
      </c>
      <c r="C15666" t="str">
        <f t="shared" si="5683"/>
        <v>SESSA-RICH</v>
      </c>
      <c r="D15666">
        <f>12</f>
        <v>12</v>
      </c>
      <c r="E15666" t="str">
        <f>"03 - A - 101 - Jacqueline R Morphet"</f>
        <v>03 - A - 101 - Jacqueline R Morphet</v>
      </c>
      <c r="F15666" t="str">
        <f>"AP PHYSICS 1"</f>
        <v>AP PHYSICS 1</v>
      </c>
      <c r="G15666" t="str">
        <f>"21-2138"</f>
        <v>21-2138</v>
      </c>
      <c r="H15666" t="str">
        <f>"A"</f>
        <v>A</v>
      </c>
    </row>
    <row r="15667" spans="1:8" x14ac:dyDescent="0.2">
      <c r="A15667" t="str">
        <f t="shared" si="5681"/>
        <v>0611113018</v>
      </c>
      <c r="B15667" t="str">
        <f t="shared" si="5682"/>
        <v>SAM</v>
      </c>
      <c r="C15667" t="str">
        <f t="shared" si="5683"/>
        <v>SESSA-RICH</v>
      </c>
      <c r="D15667">
        <f>12</f>
        <v>12</v>
      </c>
      <c r="E15667" t="str">
        <f>"02 - A - 101 - Robert H Rindner"</f>
        <v>02 - A - 101 - Robert H Rindner</v>
      </c>
      <c r="F15667" t="str">
        <f>"MATH DATA&amp;FIN LIT H"</f>
        <v>MATH DATA&amp;FIN LIT H</v>
      </c>
      <c r="G15667" t="str">
        <f>"21-2160"</f>
        <v>21-2160</v>
      </c>
      <c r="H15667" t="str">
        <f>"A"</f>
        <v>A</v>
      </c>
    </row>
    <row r="15668" spans="1:8" x14ac:dyDescent="0.2">
      <c r="A15668" t="str">
        <f t="shared" si="5681"/>
        <v>0611113018</v>
      </c>
      <c r="B15668" t="str">
        <f t="shared" si="5682"/>
        <v>SAM</v>
      </c>
      <c r="C15668" t="str">
        <f t="shared" si="5683"/>
        <v>SESSA-RICH</v>
      </c>
      <c r="D15668">
        <f>12</f>
        <v>12</v>
      </c>
      <c r="E15668" t="str">
        <f>"07 - S1 - B - 102 - Barbara L Segal"</f>
        <v>07 - S1 - B - 102 - Barbara L Segal</v>
      </c>
      <c r="F15668" t="str">
        <f>"AP US GOVT/POL"</f>
        <v>AP US GOVT/POL</v>
      </c>
      <c r="G15668" t="str">
        <f>"17-1742"</f>
        <v>17-1742</v>
      </c>
      <c r="H15668" t="str">
        <f>"B"</f>
        <v>B</v>
      </c>
    </row>
    <row r="15669" spans="1:8" x14ac:dyDescent="0.2">
      <c r="A15669" t="str">
        <f t="shared" si="5681"/>
        <v>0611113018</v>
      </c>
      <c r="B15669" t="str">
        <f t="shared" si="5682"/>
        <v>SAM</v>
      </c>
      <c r="C15669" t="str">
        <f t="shared" si="5683"/>
        <v>SESSA-RICH</v>
      </c>
      <c r="D15669">
        <f>12</f>
        <v>12</v>
      </c>
      <c r="E15669" t="str">
        <f>"05 - B - 103 - Brandy N Zdenek"</f>
        <v>05 - B - 103 - Brandy N Zdenek</v>
      </c>
      <c r="F15669" t="str">
        <f>"AICE ENG LANG 2 AL"</f>
        <v>AICE ENG LANG 2 AL</v>
      </c>
      <c r="G15669" t="str">
        <f>"17-1704"</f>
        <v>17-1704</v>
      </c>
      <c r="H15669" t="str">
        <f>"B"</f>
        <v>B</v>
      </c>
    </row>
    <row r="15670" spans="1:8" x14ac:dyDescent="0.2">
      <c r="A15670" t="str">
        <f t="shared" si="5681"/>
        <v>0611113018</v>
      </c>
      <c r="B15670" t="str">
        <f t="shared" si="5682"/>
        <v>SAM</v>
      </c>
      <c r="C15670" t="str">
        <f t="shared" si="5683"/>
        <v>SESSA-RICH</v>
      </c>
      <c r="D15670">
        <f>12</f>
        <v>12</v>
      </c>
      <c r="E15670" t="str">
        <f>"01 - A - 201 - Chrystina M Marchionne"</f>
        <v>01 - A - 201 - Chrystina M Marchionne</v>
      </c>
      <c r="F15670" t="str">
        <f>"AICE MEDIASTUDIES AS"</f>
        <v>AICE MEDIASTUDIES AS</v>
      </c>
      <c r="G15670" t="str">
        <f>"05-520"</f>
        <v>05-520</v>
      </c>
      <c r="H15670" t="str">
        <f>"A"</f>
        <v>A</v>
      </c>
    </row>
    <row r="15671" spans="1:8" x14ac:dyDescent="0.2">
      <c r="A15671" t="str">
        <f t="shared" si="5681"/>
        <v>0611113018</v>
      </c>
      <c r="B15671" t="str">
        <f t="shared" si="5682"/>
        <v>SAM</v>
      </c>
      <c r="C15671" t="str">
        <f t="shared" si="5683"/>
        <v>SESSA-RICH</v>
      </c>
      <c r="D15671">
        <f>12</f>
        <v>12</v>
      </c>
      <c r="E15671" t="str">
        <f>"08 - B - 101 - Alejandro  Navarro"</f>
        <v>08 - B - 101 - Alejandro  Navarro</v>
      </c>
      <c r="F15671" t="str">
        <f>"GUITAR 1"</f>
        <v>GUITAR 1</v>
      </c>
      <c r="G15671" t="str">
        <f>"05-504"</f>
        <v>05-504</v>
      </c>
      <c r="H15671" t="str">
        <f>"B"</f>
        <v>B</v>
      </c>
    </row>
    <row r="15672" spans="1:8" x14ac:dyDescent="0.2">
      <c r="A15672" t="str">
        <f t="shared" ref="A15672:A15679" si="5684">"0621067164"</f>
        <v>0621067164</v>
      </c>
      <c r="B15672" t="str">
        <f t="shared" ref="B15672:B15679" si="5685">"ARINA"</f>
        <v>ARINA</v>
      </c>
      <c r="C15672" t="str">
        <f t="shared" ref="C15672:C15679" si="5686">"SEVERGINA"</f>
        <v>SEVERGINA</v>
      </c>
      <c r="D15672">
        <f>10</f>
        <v>10</v>
      </c>
      <c r="E15672" t="str">
        <f>"04 - A - 102 - Samantha J Headley"</f>
        <v>04 - A - 102 - Samantha J Headley</v>
      </c>
      <c r="F15672" t="str">
        <f>"MARINE SCI 1 HON"</f>
        <v>MARINE SCI 1 HON</v>
      </c>
      <c r="G15672" t="str">
        <f>"21-2134"</f>
        <v>21-2134</v>
      </c>
      <c r="H15672" t="str">
        <f>"A"</f>
        <v>A</v>
      </c>
    </row>
    <row r="15673" spans="1:8" x14ac:dyDescent="0.2">
      <c r="A15673" t="str">
        <f t="shared" si="5684"/>
        <v>0621067164</v>
      </c>
      <c r="B15673" t="str">
        <f t="shared" si="5685"/>
        <v>ARINA</v>
      </c>
      <c r="C15673" t="str">
        <f t="shared" si="5686"/>
        <v>SEVERGINA</v>
      </c>
      <c r="D15673">
        <f>10</f>
        <v>10</v>
      </c>
      <c r="E15673" t="str">
        <f>"06 - B - 116 - Jordana K Hass"</f>
        <v>06 - B - 116 - Jordana K Hass</v>
      </c>
      <c r="F15673" t="str">
        <f>"NC STUDY HALL 1"</f>
        <v>NC STUDY HALL 1</v>
      </c>
      <c r="G15673" t="str">
        <f>"08-807"</f>
        <v>08-807</v>
      </c>
      <c r="H15673" t="str">
        <f>"B"</f>
        <v>B</v>
      </c>
    </row>
    <row r="15674" spans="1:8" x14ac:dyDescent="0.2">
      <c r="A15674" t="str">
        <f t="shared" si="5684"/>
        <v>0621067164</v>
      </c>
      <c r="B15674" t="str">
        <f t="shared" si="5685"/>
        <v>ARINA</v>
      </c>
      <c r="C15674" t="str">
        <f t="shared" si="5686"/>
        <v>SEVERGINA</v>
      </c>
      <c r="D15674">
        <f>10</f>
        <v>10</v>
      </c>
      <c r="E15674" t="str">
        <f>"03 - A - 105 - Elizabeth Ellen  Moran"</f>
        <v>03 - A - 105 - Elizabeth Ellen  Moran</v>
      </c>
      <c r="F15674" t="str">
        <f>"WORLD HISTORY"</f>
        <v>WORLD HISTORY</v>
      </c>
      <c r="G15674" t="str">
        <f>"17-1752"</f>
        <v>17-1752</v>
      </c>
      <c r="H15674" t="str">
        <f>"A"</f>
        <v>A</v>
      </c>
    </row>
    <row r="15675" spans="1:8" x14ac:dyDescent="0.2">
      <c r="A15675" t="str">
        <f t="shared" si="5684"/>
        <v>0621067164</v>
      </c>
      <c r="B15675" t="str">
        <f t="shared" si="5685"/>
        <v>ARINA</v>
      </c>
      <c r="C15675" t="str">
        <f t="shared" si="5686"/>
        <v>SEVERGINA</v>
      </c>
      <c r="D15675">
        <f>10</f>
        <v>10</v>
      </c>
      <c r="E15675" t="str">
        <f>"02 - A - 102 - Bruce A Evans"</f>
        <v>02 - A - 102 - Bruce A Evans</v>
      </c>
      <c r="F15675" t="str">
        <f>"EMERG MED RESP 3 HON"</f>
        <v>EMERG MED RESP 3 HON</v>
      </c>
      <c r="G15675" t="str">
        <f>"21-2142"</f>
        <v>21-2142</v>
      </c>
      <c r="H15675" t="str">
        <f>"A"</f>
        <v>A</v>
      </c>
    </row>
    <row r="15676" spans="1:8" x14ac:dyDescent="0.2">
      <c r="A15676" t="str">
        <f t="shared" si="5684"/>
        <v>0621067164</v>
      </c>
      <c r="B15676" t="str">
        <f t="shared" si="5685"/>
        <v>ARINA</v>
      </c>
      <c r="C15676" t="str">
        <f t="shared" si="5686"/>
        <v>SEVERGINA</v>
      </c>
      <c r="D15676">
        <f>10</f>
        <v>10</v>
      </c>
      <c r="E15676" t="str">
        <f>"07 - B - 108 - Jacquelyn M Neeson"</f>
        <v>07 - B - 108 - Jacquelyn M Neeson</v>
      </c>
      <c r="F15676" t="str">
        <f>"ENG 2"</f>
        <v>ENG 2</v>
      </c>
      <c r="G15676" t="str">
        <f>"17-1715"</f>
        <v>17-1715</v>
      </c>
      <c r="H15676" t="str">
        <f>"B"</f>
        <v>B</v>
      </c>
    </row>
    <row r="15677" spans="1:8" x14ac:dyDescent="0.2">
      <c r="A15677" t="str">
        <f t="shared" si="5684"/>
        <v>0621067164</v>
      </c>
      <c r="B15677" t="str">
        <f t="shared" si="5685"/>
        <v>ARINA</v>
      </c>
      <c r="C15677" t="str">
        <f t="shared" si="5686"/>
        <v>SEVERGINA</v>
      </c>
      <c r="D15677">
        <f>10</f>
        <v>10</v>
      </c>
      <c r="E15677" t="str">
        <f>"05 - B - 201 - Bruce A Evans"</f>
        <v>05 - B - 201 - Bruce A Evans</v>
      </c>
      <c r="F15677" t="str">
        <f>"HEALTH SCI FOUND HON"</f>
        <v>HEALTH SCI FOUND HON</v>
      </c>
      <c r="G15677" t="str">
        <f>"21-2142"</f>
        <v>21-2142</v>
      </c>
      <c r="H15677" t="str">
        <f>"B"</f>
        <v>B</v>
      </c>
    </row>
    <row r="15678" spans="1:8" x14ac:dyDescent="0.2">
      <c r="A15678" t="str">
        <f t="shared" si="5684"/>
        <v>0621067164</v>
      </c>
      <c r="B15678" t="str">
        <f t="shared" si="5685"/>
        <v>ARINA</v>
      </c>
      <c r="C15678" t="str">
        <f t="shared" si="5686"/>
        <v>SEVERGINA</v>
      </c>
      <c r="D15678">
        <f>10</f>
        <v>10</v>
      </c>
      <c r="E15678" t="str">
        <f>"01 - A - 101 - James H Mccann"</f>
        <v>01 - A - 101 - James H Mccann</v>
      </c>
      <c r="F15678" t="str">
        <f>"ALGEBRA 2"</f>
        <v>ALGEBRA 2</v>
      </c>
      <c r="G15678" t="str">
        <f>"17-1716"</f>
        <v>17-1716</v>
      </c>
      <c r="H15678" t="str">
        <f>"A"</f>
        <v>A</v>
      </c>
    </row>
    <row r="15679" spans="1:8" x14ac:dyDescent="0.2">
      <c r="A15679" t="str">
        <f t="shared" si="5684"/>
        <v>0621067164</v>
      </c>
      <c r="B15679" t="str">
        <f t="shared" si="5685"/>
        <v>ARINA</v>
      </c>
      <c r="C15679" t="str">
        <f t="shared" si="5686"/>
        <v>SEVERGINA</v>
      </c>
      <c r="D15679">
        <f>10</f>
        <v>10</v>
      </c>
      <c r="E15679" t="str">
        <f>"08 - S1 - B - 102 - Kyle  Robbins"</f>
        <v>08 - S1 - B - 102 - Kyle  Robbins</v>
      </c>
      <c r="F15679" t="str">
        <f>"PERS FIN &amp; MON MGT H"</f>
        <v>PERS FIN &amp; MON MGT H</v>
      </c>
      <c r="G15679" t="str">
        <f>"17-1745"</f>
        <v>17-1745</v>
      </c>
      <c r="H15679" t="str">
        <f>"B"</f>
        <v>B</v>
      </c>
    </row>
    <row r="15680" spans="1:8" x14ac:dyDescent="0.2">
      <c r="A15680" t="str">
        <f t="shared" ref="A15680:A15687" si="5687">"0614089575"</f>
        <v>0614089575</v>
      </c>
      <c r="B15680" t="str">
        <f t="shared" ref="B15680:B15687" si="5688">"SUMMER"</f>
        <v>SUMMER</v>
      </c>
      <c r="C15680" t="str">
        <f t="shared" ref="C15680:C15687" si="5689">"SEWEL"</f>
        <v>SEWEL</v>
      </c>
      <c r="D15680">
        <f>10</f>
        <v>10</v>
      </c>
      <c r="E15680" t="str">
        <f>"04 - A - 104 - Laselleda D Shaw"</f>
        <v>04 - A - 104 - Laselleda D Shaw</v>
      </c>
      <c r="F15680" t="str">
        <f>"INTENS READ 2"</f>
        <v>INTENS READ 2</v>
      </c>
      <c r="G15680" t="str">
        <f>"17-1723"</f>
        <v>17-1723</v>
      </c>
      <c r="H15680" t="str">
        <f>"A"</f>
        <v>A</v>
      </c>
    </row>
    <row r="15681" spans="1:8" x14ac:dyDescent="0.2">
      <c r="A15681" t="str">
        <f t="shared" si="5687"/>
        <v>0614089575</v>
      </c>
      <c r="B15681" t="str">
        <f t="shared" si="5688"/>
        <v>SUMMER</v>
      </c>
      <c r="C15681" t="str">
        <f t="shared" si="5689"/>
        <v>SEWEL</v>
      </c>
      <c r="D15681">
        <f>10</f>
        <v>10</v>
      </c>
      <c r="E15681" t="str">
        <f>"06 - B - 113 - Joe  Kilpatrick Jr"</f>
        <v>06 - B - 113 - Joe  Kilpatrick Jr</v>
      </c>
      <c r="F15681" t="str">
        <f>"NC STUDY HALL 1"</f>
        <v>NC STUDY HALL 1</v>
      </c>
      <c r="G15681" t="str">
        <f>"09-912"</f>
        <v>09-912</v>
      </c>
      <c r="H15681" t="str">
        <f>"B"</f>
        <v>B</v>
      </c>
    </row>
    <row r="15682" spans="1:8" x14ac:dyDescent="0.2">
      <c r="A15682" t="str">
        <f t="shared" si="5687"/>
        <v>0614089575</v>
      </c>
      <c r="B15682" t="str">
        <f t="shared" si="5688"/>
        <v>SUMMER</v>
      </c>
      <c r="C15682" t="str">
        <f t="shared" si="5689"/>
        <v>SEWEL</v>
      </c>
      <c r="D15682">
        <f>10</f>
        <v>10</v>
      </c>
      <c r="E15682" t="str">
        <f>"03 - A - 208 - Marielle A Witting"</f>
        <v>03 - A - 208 - Marielle A Witting</v>
      </c>
      <c r="F15682" t="str">
        <f>"ANAT PHYSIO"</f>
        <v>ANAT PHYSIO</v>
      </c>
      <c r="G15682" t="str">
        <f>"08-805"</f>
        <v>08-805</v>
      </c>
      <c r="H15682" t="str">
        <f>"A"</f>
        <v>A</v>
      </c>
    </row>
    <row r="15683" spans="1:8" x14ac:dyDescent="0.2">
      <c r="A15683" t="str">
        <f t="shared" si="5687"/>
        <v>0614089575</v>
      </c>
      <c r="B15683" t="str">
        <f t="shared" si="5688"/>
        <v>SUMMER</v>
      </c>
      <c r="C15683" t="str">
        <f t="shared" si="5689"/>
        <v>SEWEL</v>
      </c>
      <c r="D15683">
        <f>10</f>
        <v>10</v>
      </c>
      <c r="E15683" t="str">
        <f>"02 - A - 102 - Marius D Orsolini"</f>
        <v>02 - A - 102 - Marius D Orsolini</v>
      </c>
      <c r="F15683" t="str">
        <f>"CULINARY ARTS 1"</f>
        <v>CULINARY ARTS 1</v>
      </c>
      <c r="G15683" t="str">
        <f>"21-2115"</f>
        <v>21-2115</v>
      </c>
      <c r="H15683" t="str">
        <f>"A"</f>
        <v>A</v>
      </c>
    </row>
    <row r="15684" spans="1:8" x14ac:dyDescent="0.2">
      <c r="A15684" t="str">
        <f t="shared" si="5687"/>
        <v>0614089575</v>
      </c>
      <c r="B15684" t="str">
        <f t="shared" si="5688"/>
        <v>SUMMER</v>
      </c>
      <c r="C15684" t="str">
        <f t="shared" si="5689"/>
        <v>SEWEL</v>
      </c>
      <c r="D15684">
        <f>10</f>
        <v>10</v>
      </c>
      <c r="E15684" t="str">
        <f>"07 - B - 102 - Nikiel  Nesbeth"</f>
        <v>07 - B - 102 - Nikiel  Nesbeth</v>
      </c>
      <c r="F15684" t="str">
        <f>"PRE-AICE ENG LIT IG"</f>
        <v>PRE-AICE ENG LIT IG</v>
      </c>
      <c r="G15684" t="str">
        <f>"17-1705"</f>
        <v>17-1705</v>
      </c>
      <c r="H15684" t="str">
        <f>"B"</f>
        <v>B</v>
      </c>
    </row>
    <row r="15685" spans="1:8" x14ac:dyDescent="0.2">
      <c r="A15685" t="str">
        <f t="shared" si="5687"/>
        <v>0614089575</v>
      </c>
      <c r="B15685" t="str">
        <f t="shared" si="5688"/>
        <v>SUMMER</v>
      </c>
      <c r="C15685" t="str">
        <f t="shared" si="5689"/>
        <v>SEWEL</v>
      </c>
      <c r="D15685">
        <f>10</f>
        <v>10</v>
      </c>
      <c r="E15685" t="str">
        <f>"05 - B - 106 - Milca  Exantus"</f>
        <v>05 - B - 106 - Milca  Exantus</v>
      </c>
      <c r="F15685" t="str">
        <f>"MATH COLLEGE LIB ART"</f>
        <v>MATH COLLEGE LIB ART</v>
      </c>
      <c r="G15685" t="str">
        <f>"21-2145"</f>
        <v>21-2145</v>
      </c>
      <c r="H15685" t="str">
        <f>"B"</f>
        <v>B</v>
      </c>
    </row>
    <row r="15686" spans="1:8" x14ac:dyDescent="0.2">
      <c r="A15686" t="str">
        <f t="shared" si="5687"/>
        <v>0614089575</v>
      </c>
      <c r="B15686" t="str">
        <f t="shared" si="5688"/>
        <v>SUMMER</v>
      </c>
      <c r="C15686" t="str">
        <f t="shared" si="5689"/>
        <v>SEWEL</v>
      </c>
      <c r="D15686">
        <f>10</f>
        <v>10</v>
      </c>
      <c r="E15686" t="str">
        <f>"01 - A - 108 - Rosa Elaine  Collado-Duff"</f>
        <v>01 - A - 108 - Rosa Elaine  Collado-Duff</v>
      </c>
      <c r="F15686" t="str">
        <f>"PRE-AICE SPAN 2 IG"</f>
        <v>PRE-AICE SPAN 2 IG</v>
      </c>
      <c r="G15686" t="str">
        <f>"09-913"</f>
        <v>09-913</v>
      </c>
      <c r="H15686" t="str">
        <f>"A"</f>
        <v>A</v>
      </c>
    </row>
    <row r="15687" spans="1:8" x14ac:dyDescent="0.2">
      <c r="A15687" t="str">
        <f t="shared" si="5687"/>
        <v>0614089575</v>
      </c>
      <c r="B15687" t="str">
        <f t="shared" si="5688"/>
        <v>SUMMER</v>
      </c>
      <c r="C15687" t="str">
        <f t="shared" si="5689"/>
        <v>SEWEL</v>
      </c>
      <c r="D15687">
        <f>10</f>
        <v>10</v>
      </c>
      <c r="E15687" t="str">
        <f>"08 - S1 - B - 101 - Amy Beth  Broyles"</f>
        <v>08 - S1 - B - 101 - Amy Beth  Broyles</v>
      </c>
      <c r="F15687" t="str">
        <f>"PEER COUN 3"</f>
        <v>PEER COUN 3</v>
      </c>
      <c r="G15687" t="str">
        <f>"17-1713"</f>
        <v>17-1713</v>
      </c>
      <c r="H15687" t="str">
        <f>"B"</f>
        <v>B</v>
      </c>
    </row>
    <row r="15688" spans="1:8" x14ac:dyDescent="0.2">
      <c r="A15688" t="str">
        <f t="shared" ref="A15688:A15695" si="5690">"0616150239"</f>
        <v>0616150239</v>
      </c>
      <c r="B15688" t="str">
        <f t="shared" ref="B15688:B15695" si="5691">"TENDRICK"</f>
        <v>TENDRICK</v>
      </c>
      <c r="C15688" t="str">
        <f t="shared" ref="C15688:C15695" si="5692">"SHAMORY"</f>
        <v>SHAMORY</v>
      </c>
      <c r="D15688" t="str">
        <f t="shared" ref="D15688:D15695" si="5693">"09"</f>
        <v>09</v>
      </c>
      <c r="E15688" t="str">
        <f>"04 - A - 102 - Eva T Rimmer"</f>
        <v>04 - A - 102 - Eva T Rimmer</v>
      </c>
      <c r="F15688" t="str">
        <f>"CRIMINAL JUST OPS 1"</f>
        <v>CRIMINAL JUST OPS 1</v>
      </c>
      <c r="G15688" t="str">
        <f>"05-523"</f>
        <v>05-523</v>
      </c>
      <c r="H15688" t="str">
        <f>"A"</f>
        <v>A</v>
      </c>
    </row>
    <row r="15689" spans="1:8" x14ac:dyDescent="0.2">
      <c r="A15689" t="str">
        <f t="shared" si="5690"/>
        <v>0616150239</v>
      </c>
      <c r="B15689" t="str">
        <f t="shared" si="5691"/>
        <v>TENDRICK</v>
      </c>
      <c r="C15689" t="str">
        <f t="shared" si="5692"/>
        <v>SHAMORY</v>
      </c>
      <c r="D15689" t="str">
        <f t="shared" si="5693"/>
        <v>09</v>
      </c>
      <c r="E15689" t="str">
        <f>"06 - B - 104 - Laselleda D Shaw"</f>
        <v>06 - B - 104 - Laselleda D Shaw</v>
      </c>
      <c r="F15689" t="str">
        <f>"INTENS READ 1"</f>
        <v>INTENS READ 1</v>
      </c>
      <c r="G15689" t="str">
        <f>"17-1723"</f>
        <v>17-1723</v>
      </c>
      <c r="H15689" t="str">
        <f>"B"</f>
        <v>B</v>
      </c>
    </row>
    <row r="15690" spans="1:8" x14ac:dyDescent="0.2">
      <c r="A15690" t="str">
        <f t="shared" si="5690"/>
        <v>0616150239</v>
      </c>
      <c r="B15690" t="str">
        <f t="shared" si="5691"/>
        <v>TENDRICK</v>
      </c>
      <c r="C15690" t="str">
        <f t="shared" si="5692"/>
        <v>SHAMORY</v>
      </c>
      <c r="D15690" t="str">
        <f t="shared" si="5693"/>
        <v>09</v>
      </c>
      <c r="E15690" t="str">
        <f>"03 - A - 109 - Lissa C Frederique"</f>
        <v>03 - A - 109 - Lissa C Frederique</v>
      </c>
      <c r="F15690" t="str">
        <f>"WORLD HISTORY"</f>
        <v>WORLD HISTORY</v>
      </c>
      <c r="G15690" t="str">
        <f>"17-1754"</f>
        <v>17-1754</v>
      </c>
      <c r="H15690" t="str">
        <f>"A"</f>
        <v>A</v>
      </c>
    </row>
    <row r="15691" spans="1:8" x14ac:dyDescent="0.2">
      <c r="A15691" t="str">
        <f t="shared" si="5690"/>
        <v>0616150239</v>
      </c>
      <c r="B15691" t="str">
        <f t="shared" si="5691"/>
        <v>TENDRICK</v>
      </c>
      <c r="C15691" t="str">
        <f t="shared" si="5692"/>
        <v>SHAMORY</v>
      </c>
      <c r="D15691" t="str">
        <f t="shared" si="5693"/>
        <v>09</v>
      </c>
      <c r="E15691" t="str">
        <f>"02 - A - 103 - Angela S Adeshina-Morrison"</f>
        <v>02 - A - 103 - Angela S Adeshina-Morrison</v>
      </c>
      <c r="F15691" t="str">
        <f>"NC STUDY HALL 1"</f>
        <v>NC STUDY HALL 1</v>
      </c>
      <c r="G15691" t="str">
        <f>"05-518"</f>
        <v>05-518</v>
      </c>
      <c r="H15691" t="str">
        <f>"A"</f>
        <v>A</v>
      </c>
    </row>
    <row r="15692" spans="1:8" x14ac:dyDescent="0.2">
      <c r="A15692" t="str">
        <f t="shared" si="5690"/>
        <v>0616150239</v>
      </c>
      <c r="B15692" t="str">
        <f t="shared" si="5691"/>
        <v>TENDRICK</v>
      </c>
      <c r="C15692" t="str">
        <f t="shared" si="5692"/>
        <v>SHAMORY</v>
      </c>
      <c r="D15692" t="str">
        <f t="shared" si="5693"/>
        <v>09</v>
      </c>
      <c r="E15692" t="str">
        <f>"07 - B - 107 - Helen A Flores"</f>
        <v>07 - B - 107 - Helen A Flores</v>
      </c>
      <c r="F15692" t="str">
        <f>"ALGEBRA 1"</f>
        <v>ALGEBRA 1</v>
      </c>
      <c r="G15692" t="str">
        <f>"21-2101"</f>
        <v>21-2101</v>
      </c>
      <c r="H15692" t="str">
        <f>"B"</f>
        <v>B</v>
      </c>
    </row>
    <row r="15693" spans="1:8" x14ac:dyDescent="0.2">
      <c r="A15693" t="str">
        <f t="shared" si="5690"/>
        <v>0616150239</v>
      </c>
      <c r="B15693" t="str">
        <f t="shared" si="5691"/>
        <v>TENDRICK</v>
      </c>
      <c r="C15693" t="str">
        <f t="shared" si="5692"/>
        <v>SHAMORY</v>
      </c>
      <c r="D15693" t="str">
        <f t="shared" si="5693"/>
        <v>09</v>
      </c>
      <c r="E15693" t="str">
        <f>"05 - B - 202 - Amy Beth  Broyles"</f>
        <v>05 - B - 202 - Amy Beth  Broyles</v>
      </c>
      <c r="F15693" t="str">
        <f>"ENV SCI"</f>
        <v>ENV SCI</v>
      </c>
      <c r="G15693" t="str">
        <f>"08-802"</f>
        <v>08-802</v>
      </c>
      <c r="H15693" t="str">
        <f>"B"</f>
        <v>B</v>
      </c>
    </row>
    <row r="15694" spans="1:8" x14ac:dyDescent="0.2">
      <c r="A15694" t="str">
        <f t="shared" si="5690"/>
        <v>0616150239</v>
      </c>
      <c r="B15694" t="str">
        <f t="shared" si="5691"/>
        <v>TENDRICK</v>
      </c>
      <c r="C15694" t="str">
        <f t="shared" si="5692"/>
        <v>SHAMORY</v>
      </c>
      <c r="D15694" t="str">
        <f t="shared" si="5693"/>
        <v>09</v>
      </c>
      <c r="E15694" t="str">
        <f>"01 - A - 102 - Helen A Flores"</f>
        <v>01 - A - 102 - Helen A Flores</v>
      </c>
      <c r="F15694" t="str">
        <f>"FDN SKLS MATH 9-12"</f>
        <v>FDN SKLS MATH 9-12</v>
      </c>
      <c r="G15694" t="str">
        <f>"21-2101"</f>
        <v>21-2101</v>
      </c>
      <c r="H15694" t="str">
        <f>"A"</f>
        <v>A</v>
      </c>
    </row>
    <row r="15695" spans="1:8" x14ac:dyDescent="0.2">
      <c r="A15695" t="str">
        <f t="shared" si="5690"/>
        <v>0616150239</v>
      </c>
      <c r="B15695" t="str">
        <f t="shared" si="5691"/>
        <v>TENDRICK</v>
      </c>
      <c r="C15695" t="str">
        <f t="shared" si="5692"/>
        <v>SHAMORY</v>
      </c>
      <c r="D15695" t="str">
        <f t="shared" si="5693"/>
        <v>09</v>
      </c>
      <c r="E15695" t="str">
        <f>"08 - B - 108 - Cerine S Stewart"</f>
        <v>08 - B - 108 - Cerine S Stewart</v>
      </c>
      <c r="F15695" t="str">
        <f>"ENG 1"</f>
        <v>ENG 1</v>
      </c>
      <c r="G15695" t="str">
        <f>"17-1720"</f>
        <v>17-1720</v>
      </c>
      <c r="H15695" t="str">
        <f>"B"</f>
        <v>B</v>
      </c>
    </row>
    <row r="15696" spans="1:8" x14ac:dyDescent="0.2">
      <c r="A15696" t="str">
        <f t="shared" ref="A15696:A15703" si="5694">"0616000570"</f>
        <v>0616000570</v>
      </c>
      <c r="B15696" t="str">
        <f t="shared" ref="B15696:B15703" si="5695">"IDANIA"</f>
        <v>IDANIA</v>
      </c>
      <c r="C15696" t="str">
        <f t="shared" ref="C15696:C15711" si="5696">"SHAND"</f>
        <v>SHAND</v>
      </c>
      <c r="D15696">
        <f>10</f>
        <v>10</v>
      </c>
      <c r="E15696" t="str">
        <f>"04 - S1 - A - 103 - James H Mccann"</f>
        <v>04 - S1 - A - 103 - James H Mccann</v>
      </c>
      <c r="F15696" t="str">
        <f>"PERS FIN &amp; MON MGT H"</f>
        <v>PERS FIN &amp; MON MGT H</v>
      </c>
      <c r="G15696" t="str">
        <f>"17-1716"</f>
        <v>17-1716</v>
      </c>
      <c r="H15696" t="str">
        <f>"A"</f>
        <v>A</v>
      </c>
    </row>
    <row r="15697" spans="1:8" x14ac:dyDescent="0.2">
      <c r="A15697" t="str">
        <f t="shared" si="5694"/>
        <v>0616000570</v>
      </c>
      <c r="B15697" t="str">
        <f t="shared" si="5695"/>
        <v>IDANIA</v>
      </c>
      <c r="C15697" t="str">
        <f t="shared" si="5696"/>
        <v>SHAND</v>
      </c>
      <c r="D15697">
        <f>10</f>
        <v>10</v>
      </c>
      <c r="E15697" t="str">
        <f>"06 - B - 116 - Jordana K Hass"</f>
        <v>06 - B - 116 - Jordana K Hass</v>
      </c>
      <c r="F15697" t="str">
        <f>"NC STUDY HALL 1"</f>
        <v>NC STUDY HALL 1</v>
      </c>
      <c r="G15697" t="str">
        <f>"08-807"</f>
        <v>08-807</v>
      </c>
      <c r="H15697" t="str">
        <f>"B"</f>
        <v>B</v>
      </c>
    </row>
    <row r="15698" spans="1:8" x14ac:dyDescent="0.2">
      <c r="A15698" t="str">
        <f t="shared" si="5694"/>
        <v>0616000570</v>
      </c>
      <c r="B15698" t="str">
        <f t="shared" si="5695"/>
        <v>IDANIA</v>
      </c>
      <c r="C15698" t="str">
        <f t="shared" si="5696"/>
        <v>SHAND</v>
      </c>
      <c r="D15698">
        <f>10</f>
        <v>10</v>
      </c>
      <c r="E15698" t="str">
        <f>"03 - A - 202 - Cheryl L Beach"</f>
        <v>03 - A - 202 - Cheryl L Beach</v>
      </c>
      <c r="F15698" t="str">
        <f>"AICE ENV MGMNT AS"</f>
        <v>AICE ENV MGMNT AS</v>
      </c>
      <c r="G15698" t="str">
        <f>"08-811"</f>
        <v>08-811</v>
      </c>
      <c r="H15698" t="str">
        <f>"A"</f>
        <v>A</v>
      </c>
    </row>
    <row r="15699" spans="1:8" x14ac:dyDescent="0.2">
      <c r="A15699" t="str">
        <f t="shared" si="5694"/>
        <v>0616000570</v>
      </c>
      <c r="B15699" t="str">
        <f t="shared" si="5695"/>
        <v>IDANIA</v>
      </c>
      <c r="C15699" t="str">
        <f t="shared" si="5696"/>
        <v>SHAND</v>
      </c>
      <c r="D15699">
        <f>10</f>
        <v>10</v>
      </c>
      <c r="E15699" t="str">
        <f>"02 - A - 205 - Emmily A Sarmiento"</f>
        <v>02 - A - 205 - Emmily A Sarmiento</v>
      </c>
      <c r="F15699" t="str">
        <f>"AICE GLBL PERSP 1 AS"</f>
        <v>AICE GLBL PERSP 1 AS</v>
      </c>
      <c r="G15699" t="str">
        <f>"17-1743"</f>
        <v>17-1743</v>
      </c>
      <c r="H15699" t="str">
        <f>"A"</f>
        <v>A</v>
      </c>
    </row>
    <row r="15700" spans="1:8" x14ac:dyDescent="0.2">
      <c r="A15700" t="str">
        <f t="shared" si="5694"/>
        <v>0616000570</v>
      </c>
      <c r="B15700" t="str">
        <f t="shared" si="5695"/>
        <v>IDANIA</v>
      </c>
      <c r="C15700" t="str">
        <f t="shared" si="5696"/>
        <v>SHAND</v>
      </c>
      <c r="D15700">
        <f>10</f>
        <v>10</v>
      </c>
      <c r="E15700" t="str">
        <f>"07 - B - 106 - Taraneh C Abreu"</f>
        <v>07 - B - 106 - Taraneh C Abreu</v>
      </c>
      <c r="F15700" t="str">
        <f>"INTENS READ 2"</f>
        <v>INTENS READ 2</v>
      </c>
      <c r="G15700" t="str">
        <f>"17-1713"</f>
        <v>17-1713</v>
      </c>
      <c r="H15700" t="str">
        <f>"B"</f>
        <v>B</v>
      </c>
    </row>
    <row r="15701" spans="1:8" x14ac:dyDescent="0.2">
      <c r="A15701" t="str">
        <f t="shared" si="5694"/>
        <v>0616000570</v>
      </c>
      <c r="B15701" t="str">
        <f t="shared" si="5695"/>
        <v>IDANIA</v>
      </c>
      <c r="C15701" t="str">
        <f t="shared" si="5696"/>
        <v>SHAND</v>
      </c>
      <c r="D15701">
        <f>10</f>
        <v>10</v>
      </c>
      <c r="E15701" t="str">
        <f>"05 - B - 108 - James H Mccann"</f>
        <v>05 - B - 108 - James H Mccann</v>
      </c>
      <c r="F15701" t="str">
        <f>"ALGEBRA 2"</f>
        <v>ALGEBRA 2</v>
      </c>
      <c r="G15701" t="str">
        <f>"17-1716"</f>
        <v>17-1716</v>
      </c>
      <c r="H15701" t="str">
        <f>"B"</f>
        <v>B</v>
      </c>
    </row>
    <row r="15702" spans="1:8" x14ac:dyDescent="0.2">
      <c r="A15702" t="str">
        <f t="shared" si="5694"/>
        <v>0616000570</v>
      </c>
      <c r="B15702" t="str">
        <f t="shared" si="5695"/>
        <v>IDANIA</v>
      </c>
      <c r="C15702" t="str">
        <f t="shared" si="5696"/>
        <v>SHAND</v>
      </c>
      <c r="D15702">
        <f>10</f>
        <v>10</v>
      </c>
      <c r="E15702" t="str">
        <f>"01 - A - 101 - Jacquelyn M Neeson"</f>
        <v>01 - A - 101 - Jacquelyn M Neeson</v>
      </c>
      <c r="F15702" t="str">
        <f>"AICE ENG GEN PAPER 1"</f>
        <v>AICE ENG GEN PAPER 1</v>
      </c>
      <c r="G15702" t="str">
        <f>"17-1715"</f>
        <v>17-1715</v>
      </c>
      <c r="H15702" t="str">
        <f>"A"</f>
        <v>A</v>
      </c>
    </row>
    <row r="15703" spans="1:8" x14ac:dyDescent="0.2">
      <c r="A15703" t="str">
        <f t="shared" si="5694"/>
        <v>0616000570</v>
      </c>
      <c r="B15703" t="str">
        <f t="shared" si="5695"/>
        <v>IDANIA</v>
      </c>
      <c r="C15703" t="str">
        <f t="shared" si="5696"/>
        <v>SHAND</v>
      </c>
      <c r="D15703">
        <f>10</f>
        <v>10</v>
      </c>
      <c r="E15703" t="str">
        <f>"08 - B - 201 - Vanessa J Liburd"</f>
        <v>08 - B - 201 - Vanessa J Liburd</v>
      </c>
      <c r="F15703" t="str">
        <f>"FRENCH 3 HON"</f>
        <v>FRENCH 3 HON</v>
      </c>
      <c r="G15703" t="str">
        <f>"05-519"</f>
        <v>05-519</v>
      </c>
      <c r="H15703" t="str">
        <f>"B"</f>
        <v>B</v>
      </c>
    </row>
    <row r="15704" spans="1:8" x14ac:dyDescent="0.2">
      <c r="A15704" t="str">
        <f t="shared" ref="A15704:A15711" si="5697">"0616000543"</f>
        <v>0616000543</v>
      </c>
      <c r="B15704" t="str">
        <f t="shared" ref="B15704:B15711" si="5698">"IYESHA"</f>
        <v>IYESHA</v>
      </c>
      <c r="C15704" t="str">
        <f t="shared" si="5696"/>
        <v>SHAND</v>
      </c>
      <c r="D15704">
        <f>10</f>
        <v>10</v>
      </c>
      <c r="E15704" t="str">
        <f>"04 - A - 104 - Courtney E Hambright"</f>
        <v>04 - A - 104 - Courtney E Hambright</v>
      </c>
      <c r="F15704" t="str">
        <f>"AICE ENG LANG AS"</f>
        <v>AICE ENG LANG AS</v>
      </c>
      <c r="G15704" t="str">
        <f>"17-1711"</f>
        <v>17-1711</v>
      </c>
      <c r="H15704" t="str">
        <f>"A"</f>
        <v>A</v>
      </c>
    </row>
    <row r="15705" spans="1:8" x14ac:dyDescent="0.2">
      <c r="A15705" t="str">
        <f t="shared" si="5697"/>
        <v>0616000543</v>
      </c>
      <c r="B15705" t="str">
        <f t="shared" si="5698"/>
        <v>IYESHA</v>
      </c>
      <c r="C15705" t="str">
        <f t="shared" si="5696"/>
        <v>SHAND</v>
      </c>
      <c r="D15705">
        <f>10</f>
        <v>10</v>
      </c>
      <c r="E15705" t="str">
        <f>"06 - B - 103 - Thomas G Handwerg"</f>
        <v>06 - B - 103 - Thomas G Handwerg</v>
      </c>
      <c r="F15705" t="str">
        <f>"NC STUDY HALL 1"</f>
        <v>NC STUDY HALL 1</v>
      </c>
      <c r="G15705" t="str">
        <f>"21-2146"</f>
        <v>21-2146</v>
      </c>
      <c r="H15705" t="str">
        <f>"B"</f>
        <v>B</v>
      </c>
    </row>
    <row r="15706" spans="1:8" x14ac:dyDescent="0.2">
      <c r="A15706" t="str">
        <f t="shared" si="5697"/>
        <v>0616000543</v>
      </c>
      <c r="B15706" t="str">
        <f t="shared" si="5698"/>
        <v>IYESHA</v>
      </c>
      <c r="C15706" t="str">
        <f t="shared" si="5696"/>
        <v>SHAND</v>
      </c>
      <c r="D15706">
        <f>10</f>
        <v>10</v>
      </c>
      <c r="E15706" t="str">
        <f>"03 - A - 101 - Timothy J Lawrence"</f>
        <v>03 - A - 101 - Timothy J Lawrence</v>
      </c>
      <c r="F15706" t="str">
        <f>"AICE PHYS ED 1 AS"</f>
        <v>AICE PHYS ED 1 AS</v>
      </c>
      <c r="G15706" t="str">
        <f>"05-519"</f>
        <v>05-519</v>
      </c>
      <c r="H15706" t="str">
        <f>"A"</f>
        <v>A</v>
      </c>
    </row>
    <row r="15707" spans="1:8" x14ac:dyDescent="0.2">
      <c r="A15707" t="str">
        <f t="shared" si="5697"/>
        <v>0616000543</v>
      </c>
      <c r="B15707" t="str">
        <f t="shared" si="5698"/>
        <v>IYESHA</v>
      </c>
      <c r="C15707" t="str">
        <f t="shared" si="5696"/>
        <v>SHAND</v>
      </c>
      <c r="D15707">
        <f>10</f>
        <v>10</v>
      </c>
      <c r="E15707" t="str">
        <f>"02 - A - 102 - Chrystina M Marchionne"</f>
        <v>02 - A - 102 - Chrystina M Marchionne</v>
      </c>
      <c r="F15707" t="str">
        <f>"AICE MEDIASTUDIES AS"</f>
        <v>AICE MEDIASTUDIES AS</v>
      </c>
      <c r="G15707" t="str">
        <f>"05-520"</f>
        <v>05-520</v>
      </c>
      <c r="H15707" t="str">
        <f>"A"</f>
        <v>A</v>
      </c>
    </row>
    <row r="15708" spans="1:8" x14ac:dyDescent="0.2">
      <c r="A15708" t="str">
        <f t="shared" si="5697"/>
        <v>0616000543</v>
      </c>
      <c r="B15708" t="str">
        <f t="shared" si="5698"/>
        <v>IYESHA</v>
      </c>
      <c r="C15708" t="str">
        <f t="shared" si="5696"/>
        <v>SHAND</v>
      </c>
      <c r="D15708">
        <f>10</f>
        <v>10</v>
      </c>
      <c r="E15708" t="str">
        <f>"07 - B - 204 - Elizabeth Ellen  Moran"</f>
        <v>07 - B - 204 - Elizabeth Ellen  Moran</v>
      </c>
      <c r="F15708" t="str">
        <f>"AICE EURO HIST 1 AS"</f>
        <v>AICE EURO HIST 1 AS</v>
      </c>
      <c r="G15708" t="str">
        <f>"17-1752"</f>
        <v>17-1752</v>
      </c>
      <c r="H15708" t="str">
        <f>"B"</f>
        <v>B</v>
      </c>
    </row>
    <row r="15709" spans="1:8" x14ac:dyDescent="0.2">
      <c r="A15709" t="str">
        <f t="shared" si="5697"/>
        <v>0616000543</v>
      </c>
      <c r="B15709" t="str">
        <f t="shared" si="5698"/>
        <v>IYESHA</v>
      </c>
      <c r="C15709" t="str">
        <f t="shared" si="5696"/>
        <v>SHAND</v>
      </c>
      <c r="D15709">
        <f>10</f>
        <v>10</v>
      </c>
      <c r="E15709" t="str">
        <f>"05 - B - 106 - Fernando  Vega-Cid"</f>
        <v>05 - B - 106 - Fernando  Vega-Cid</v>
      </c>
      <c r="F15709" t="str">
        <f>"GEOMETRY"</f>
        <v>GEOMETRY</v>
      </c>
      <c r="G15709" t="str">
        <f>"21-2163"</f>
        <v>21-2163</v>
      </c>
      <c r="H15709" t="str">
        <f>"B"</f>
        <v>B</v>
      </c>
    </row>
    <row r="15710" spans="1:8" x14ac:dyDescent="0.2">
      <c r="A15710" t="str">
        <f t="shared" si="5697"/>
        <v>0616000543</v>
      </c>
      <c r="B15710" t="str">
        <f t="shared" si="5698"/>
        <v>IYESHA</v>
      </c>
      <c r="C15710" t="str">
        <f t="shared" si="5696"/>
        <v>SHAND</v>
      </c>
      <c r="D15710">
        <f>10</f>
        <v>10</v>
      </c>
      <c r="E15710" t="str">
        <f>"01 - A - 107 - Valerie J Ruwe"</f>
        <v>01 - A - 107 - Valerie J Ruwe</v>
      </c>
      <c r="F15710" t="str">
        <f>"CHEMISTRY 1 HON"</f>
        <v>CHEMISTRY 1 HON</v>
      </c>
      <c r="G15710" t="str">
        <f>"21-2134"</f>
        <v>21-2134</v>
      </c>
      <c r="H15710" t="str">
        <f>"A"</f>
        <v>A</v>
      </c>
    </row>
    <row r="15711" spans="1:8" x14ac:dyDescent="0.2">
      <c r="A15711" t="str">
        <f t="shared" si="5697"/>
        <v>0616000543</v>
      </c>
      <c r="B15711" t="str">
        <f t="shared" si="5698"/>
        <v>IYESHA</v>
      </c>
      <c r="C15711" t="str">
        <f t="shared" si="5696"/>
        <v>SHAND</v>
      </c>
      <c r="D15711">
        <f>10</f>
        <v>10</v>
      </c>
      <c r="E15711" t="str">
        <f>"08 - S1 - B - 001 - Carol S Moore"</f>
        <v>08 - S1 - B - 001 - Carol S Moore</v>
      </c>
      <c r="F15711" t="str">
        <f>"PER CAR SCH DEV 1 LH"</f>
        <v>PER CAR SCH DEV 1 LH</v>
      </c>
      <c r="G15711" t="str">
        <f>"17-1733"</f>
        <v>17-1733</v>
      </c>
      <c r="H15711" t="str">
        <f>"B"</f>
        <v>B</v>
      </c>
    </row>
    <row r="15712" spans="1:8" x14ac:dyDescent="0.2">
      <c r="A15712" t="str">
        <f t="shared" ref="A15712:A15719" si="5699">"0616001248"</f>
        <v>0616001248</v>
      </c>
      <c r="B15712" t="str">
        <f t="shared" ref="B15712:B15719" si="5700">"FRANCES"</f>
        <v>FRANCES</v>
      </c>
      <c r="C15712" t="str">
        <f t="shared" ref="C15712:C15719" si="5701">"SHAW"</f>
        <v>SHAW</v>
      </c>
      <c r="D15712">
        <f>11</f>
        <v>11</v>
      </c>
      <c r="E15712" t="str">
        <f>"04 - A - 102 - Jordana K Hass"</f>
        <v>04 - A - 102 - Jordana K Hass</v>
      </c>
      <c r="F15712" t="str">
        <f>"CHEMISTRY 1"</f>
        <v>CHEMISTRY 1</v>
      </c>
      <c r="G15712" t="str">
        <f>"08-807"</f>
        <v>08-807</v>
      </c>
      <c r="H15712" t="str">
        <f>"A"</f>
        <v>A</v>
      </c>
    </row>
    <row r="15713" spans="1:8" x14ac:dyDescent="0.2">
      <c r="A15713" t="str">
        <f t="shared" si="5699"/>
        <v>0616001248</v>
      </c>
      <c r="B15713" t="str">
        <f t="shared" si="5700"/>
        <v>FRANCES</v>
      </c>
      <c r="C15713" t="str">
        <f t="shared" si="5701"/>
        <v>SHAW</v>
      </c>
      <c r="D15713">
        <f>11</f>
        <v>11</v>
      </c>
      <c r="E15713" t="str">
        <f>"06 - B - 204 - Chrystina M Marchionne"</f>
        <v>06 - B - 204 - Chrystina M Marchionne</v>
      </c>
      <c r="F15713" t="str">
        <f>"AICE MEDIASTUDIES AS"</f>
        <v>AICE MEDIASTUDIES AS</v>
      </c>
      <c r="G15713" t="str">
        <f>"05-520"</f>
        <v>05-520</v>
      </c>
      <c r="H15713" t="str">
        <f>"B"</f>
        <v>B</v>
      </c>
    </row>
    <row r="15714" spans="1:8" x14ac:dyDescent="0.2">
      <c r="A15714" t="str">
        <f t="shared" si="5699"/>
        <v>0616001248</v>
      </c>
      <c r="B15714" t="str">
        <f t="shared" si="5700"/>
        <v>FRANCES</v>
      </c>
      <c r="C15714" t="str">
        <f t="shared" si="5701"/>
        <v>SHAW</v>
      </c>
      <c r="D15714">
        <f>11</f>
        <v>11</v>
      </c>
      <c r="E15714" t="str">
        <f>"03 - A - 101 - Brian M Fitzgerald"</f>
        <v>03 - A - 101 - Brian M Fitzgerald</v>
      </c>
      <c r="F15714" t="str">
        <f>"SCULPT 1"</f>
        <v>SCULPT 1</v>
      </c>
      <c r="G15714" t="str">
        <f>"09-908"</f>
        <v>09-908</v>
      </c>
      <c r="H15714" t="str">
        <f>"A"</f>
        <v>A</v>
      </c>
    </row>
    <row r="15715" spans="1:8" x14ac:dyDescent="0.2">
      <c r="A15715" t="str">
        <f t="shared" si="5699"/>
        <v>0616001248</v>
      </c>
      <c r="B15715" t="str">
        <f t="shared" si="5700"/>
        <v>FRANCES</v>
      </c>
      <c r="C15715" t="str">
        <f t="shared" si="5701"/>
        <v>SHAW</v>
      </c>
      <c r="D15715">
        <f>11</f>
        <v>11</v>
      </c>
      <c r="E15715" t="str">
        <f>"02 - A - 112 - Brandy N Zdenek"</f>
        <v>02 - A - 112 - Brandy N Zdenek</v>
      </c>
      <c r="F15715" t="str">
        <f>"NC STUDY HALL 1"</f>
        <v>NC STUDY HALL 1</v>
      </c>
      <c r="G15715" t="str">
        <f>"17-1704"</f>
        <v>17-1704</v>
      </c>
      <c r="H15715" t="str">
        <f>"A"</f>
        <v>A</v>
      </c>
    </row>
    <row r="15716" spans="1:8" x14ac:dyDescent="0.2">
      <c r="A15716" t="str">
        <f t="shared" si="5699"/>
        <v>0616001248</v>
      </c>
      <c r="B15716" t="str">
        <f t="shared" si="5700"/>
        <v>FRANCES</v>
      </c>
      <c r="C15716" t="str">
        <f t="shared" si="5701"/>
        <v>SHAW</v>
      </c>
      <c r="D15716">
        <f>11</f>
        <v>11</v>
      </c>
      <c r="E15716" t="str">
        <f>"07 - B - 107 - Rosa Elaine  Collado-Duff"</f>
        <v>07 - B - 107 - Rosa Elaine  Collado-Duff</v>
      </c>
      <c r="F15716" t="str">
        <f>"PRE-AICE SPAN 2 IG"</f>
        <v>PRE-AICE SPAN 2 IG</v>
      </c>
      <c r="G15716" t="str">
        <f>"09-913"</f>
        <v>09-913</v>
      </c>
      <c r="H15716" t="str">
        <f>"B"</f>
        <v>B</v>
      </c>
    </row>
    <row r="15717" spans="1:8" x14ac:dyDescent="0.2">
      <c r="A15717" t="str">
        <f t="shared" si="5699"/>
        <v>0616001248</v>
      </c>
      <c r="B15717" t="str">
        <f t="shared" si="5700"/>
        <v>FRANCES</v>
      </c>
      <c r="C15717" t="str">
        <f t="shared" si="5701"/>
        <v>SHAW</v>
      </c>
      <c r="D15717">
        <f>11</f>
        <v>11</v>
      </c>
      <c r="E15717" t="str">
        <f>"05 - B - 102 - Jerry S Jiampetti"</f>
        <v>05 - B - 102 - Jerry S Jiampetti</v>
      </c>
      <c r="F15717" t="str">
        <f>"AICE U.S. HIST 1 AS"</f>
        <v>AICE U.S. HIST 1 AS</v>
      </c>
      <c r="G15717" t="str">
        <f>"17-1751"</f>
        <v>17-1751</v>
      </c>
      <c r="H15717" t="str">
        <f>"B"</f>
        <v>B</v>
      </c>
    </row>
    <row r="15718" spans="1:8" x14ac:dyDescent="0.2">
      <c r="A15718" t="str">
        <f t="shared" si="5699"/>
        <v>0616001248</v>
      </c>
      <c r="B15718" t="str">
        <f t="shared" si="5700"/>
        <v>FRANCES</v>
      </c>
      <c r="C15718" t="str">
        <f t="shared" si="5701"/>
        <v>SHAW</v>
      </c>
      <c r="D15718">
        <f>11</f>
        <v>11</v>
      </c>
      <c r="E15718" t="str">
        <f>"01 - A - 101 - Jacklyn M James"</f>
        <v>01 - A - 101 - Jacklyn M James</v>
      </c>
      <c r="F15718" t="str">
        <f>"AICE ENG LANG AS"</f>
        <v>AICE ENG LANG AS</v>
      </c>
      <c r="G15718" t="str">
        <f>"17-1731"</f>
        <v>17-1731</v>
      </c>
      <c r="H15718" t="str">
        <f>"A"</f>
        <v>A</v>
      </c>
    </row>
    <row r="15719" spans="1:8" x14ac:dyDescent="0.2">
      <c r="A15719" t="str">
        <f t="shared" si="5699"/>
        <v>0616001248</v>
      </c>
      <c r="B15719" t="str">
        <f t="shared" si="5700"/>
        <v>FRANCES</v>
      </c>
      <c r="C15719" t="str">
        <f t="shared" si="5701"/>
        <v>SHAW</v>
      </c>
      <c r="D15719">
        <f>11</f>
        <v>11</v>
      </c>
      <c r="E15719" t="str">
        <f>"08 - B - 105 - Semra  Bahadir"</f>
        <v>08 - B - 105 - Semra  Bahadir</v>
      </c>
      <c r="F15719" t="str">
        <f>"MATH COLL ALGEBRA"</f>
        <v>MATH COLL ALGEBRA</v>
      </c>
      <c r="G15719" t="str">
        <f>"21-2107"</f>
        <v>21-2107</v>
      </c>
      <c r="H15719" t="str">
        <f>"B"</f>
        <v>B</v>
      </c>
    </row>
    <row r="15720" spans="1:8" x14ac:dyDescent="0.2">
      <c r="A15720" t="str">
        <f t="shared" ref="A15720:A15727" si="5702">"0624078972"</f>
        <v>0624078972</v>
      </c>
      <c r="B15720" t="str">
        <f t="shared" ref="B15720:B15727" si="5703">"MATVII"</f>
        <v>MATVII</v>
      </c>
      <c r="C15720" t="str">
        <f t="shared" ref="C15720:C15727" si="5704">"SHCHERBAKOV"</f>
        <v>SHCHERBAKOV</v>
      </c>
      <c r="D15720">
        <f>10</f>
        <v>10</v>
      </c>
      <c r="E15720" t="str">
        <f>"04 - A - 105 - Jacquelyn M Neeson"</f>
        <v>04 - A - 105 - Jacquelyn M Neeson</v>
      </c>
      <c r="F15720" t="str">
        <f>"ENG 2"</f>
        <v>ENG 2</v>
      </c>
      <c r="G15720" t="str">
        <f>"17-1715"</f>
        <v>17-1715</v>
      </c>
      <c r="H15720" t="str">
        <f>"A"</f>
        <v>A</v>
      </c>
    </row>
    <row r="15721" spans="1:8" x14ac:dyDescent="0.2">
      <c r="A15721" t="str">
        <f t="shared" si="5702"/>
        <v>0624078972</v>
      </c>
      <c r="B15721" t="str">
        <f t="shared" si="5703"/>
        <v>MATVII</v>
      </c>
      <c r="C15721" t="str">
        <f t="shared" si="5704"/>
        <v>SHCHERBAKOV</v>
      </c>
      <c r="D15721">
        <f>10</f>
        <v>10</v>
      </c>
      <c r="E15721" t="str">
        <f>"06 - B - 001 - Ferrie J Arostique"</f>
        <v>06 - B - 001 - Ferrie J Arostique</v>
      </c>
      <c r="F15721" t="str">
        <f>"NC STUDY HALL 1"</f>
        <v>NC STUDY HALL 1</v>
      </c>
      <c r="G15721" t="str">
        <f>"21-2139"</f>
        <v>21-2139</v>
      </c>
      <c r="H15721" t="str">
        <f>"B"</f>
        <v>B</v>
      </c>
    </row>
    <row r="15722" spans="1:8" x14ac:dyDescent="0.2">
      <c r="A15722" t="str">
        <f t="shared" si="5702"/>
        <v>0624078972</v>
      </c>
      <c r="B15722" t="str">
        <f t="shared" si="5703"/>
        <v>MATVII</v>
      </c>
      <c r="C15722" t="str">
        <f t="shared" si="5704"/>
        <v>SHCHERBAKOV</v>
      </c>
      <c r="D15722">
        <f>10</f>
        <v>10</v>
      </c>
      <c r="E15722" t="str">
        <f>"03 - A - 206 - Josiah I Lacy"</f>
        <v>03 - A - 206 - Josiah I Lacy</v>
      </c>
      <c r="F15722" t="str">
        <f>"BIOLOGY 1"</f>
        <v>BIOLOGY 1</v>
      </c>
      <c r="G15722" t="str">
        <f>"08-801"</f>
        <v>08-801</v>
      </c>
      <c r="H15722" t="str">
        <f>"A"</f>
        <v>A</v>
      </c>
    </row>
    <row r="15723" spans="1:8" x14ac:dyDescent="0.2">
      <c r="A15723" t="str">
        <f t="shared" si="5702"/>
        <v>0624078972</v>
      </c>
      <c r="B15723" t="str">
        <f t="shared" si="5703"/>
        <v>MATVII</v>
      </c>
      <c r="C15723" t="str">
        <f t="shared" si="5704"/>
        <v>SHCHERBAKOV</v>
      </c>
      <c r="D15723">
        <f>10</f>
        <v>10</v>
      </c>
      <c r="E15723" t="str">
        <f>"02 - A - 101 - Brian M Fitzgerald"</f>
        <v>02 - A - 101 - Brian M Fitzgerald</v>
      </c>
      <c r="F15723" t="str">
        <f>"DRAW 1"</f>
        <v>DRAW 1</v>
      </c>
      <c r="G15723" t="str">
        <f>"09-908"</f>
        <v>09-908</v>
      </c>
      <c r="H15723" t="str">
        <f>"A"</f>
        <v>A</v>
      </c>
    </row>
    <row r="15724" spans="1:8" x14ac:dyDescent="0.2">
      <c r="A15724" t="str">
        <f t="shared" si="5702"/>
        <v>0624078972</v>
      </c>
      <c r="B15724" t="str">
        <f t="shared" si="5703"/>
        <v>MATVII</v>
      </c>
      <c r="C15724" t="str">
        <f t="shared" si="5704"/>
        <v>SHCHERBAKOV</v>
      </c>
      <c r="D15724">
        <f>10</f>
        <v>10</v>
      </c>
      <c r="E15724" t="str">
        <f>"07 - B - 104 - Lissa C Frederique"</f>
        <v>07 - B - 104 - Lissa C Frederique</v>
      </c>
      <c r="F15724" t="str">
        <f>"WORLD HISTORY"</f>
        <v>WORLD HISTORY</v>
      </c>
      <c r="G15724" t="str">
        <f>"17-1754"</f>
        <v>17-1754</v>
      </c>
      <c r="H15724" t="str">
        <f>"B"</f>
        <v>B</v>
      </c>
    </row>
    <row r="15725" spans="1:8" x14ac:dyDescent="0.2">
      <c r="A15725" t="str">
        <f t="shared" si="5702"/>
        <v>0624078972</v>
      </c>
      <c r="B15725" t="str">
        <f t="shared" si="5703"/>
        <v>MATVII</v>
      </c>
      <c r="C15725" t="str">
        <f t="shared" si="5704"/>
        <v>SHCHERBAKOV</v>
      </c>
      <c r="D15725">
        <f>10</f>
        <v>10</v>
      </c>
      <c r="E15725" t="str">
        <f>"05 - B - 105 - Taraneh C Abreu"</f>
        <v>05 - B - 105 - Taraneh C Abreu</v>
      </c>
      <c r="F15725" t="str">
        <f>"INTENS READ 2"</f>
        <v>INTENS READ 2</v>
      </c>
      <c r="G15725" t="str">
        <f>"17-1713"</f>
        <v>17-1713</v>
      </c>
      <c r="H15725" t="str">
        <f>"B"</f>
        <v>B</v>
      </c>
    </row>
    <row r="15726" spans="1:8" x14ac:dyDescent="0.2">
      <c r="A15726" t="str">
        <f t="shared" si="5702"/>
        <v>0624078972</v>
      </c>
      <c r="B15726" t="str">
        <f t="shared" si="5703"/>
        <v>MATVII</v>
      </c>
      <c r="C15726" t="str">
        <f t="shared" si="5704"/>
        <v>SHCHERBAKOV</v>
      </c>
      <c r="D15726">
        <f>10</f>
        <v>10</v>
      </c>
      <c r="E15726" t="str">
        <f>"01 - A - 101 - Samantha L Martinez"</f>
        <v>01 - A - 101 - Samantha L Martinez</v>
      </c>
      <c r="F15726" t="str">
        <f>"MUSIC WORLD"</f>
        <v>MUSIC WORLD</v>
      </c>
      <c r="G15726" t="str">
        <f>"05-505"</f>
        <v>05-505</v>
      </c>
      <c r="H15726" t="str">
        <f>"A"</f>
        <v>A</v>
      </c>
    </row>
    <row r="15727" spans="1:8" x14ac:dyDescent="0.2">
      <c r="A15727" t="str">
        <f t="shared" si="5702"/>
        <v>0624078972</v>
      </c>
      <c r="B15727" t="str">
        <f t="shared" si="5703"/>
        <v>MATVII</v>
      </c>
      <c r="C15727" t="str">
        <f t="shared" si="5704"/>
        <v>SHCHERBAKOV</v>
      </c>
      <c r="D15727">
        <f>10</f>
        <v>10</v>
      </c>
      <c r="E15727" t="str">
        <f>"08 - B - 107 - Brook E Goren"</f>
        <v>08 - B - 107 - Brook E Goren</v>
      </c>
      <c r="F15727" t="str">
        <f>"GEOMETRY"</f>
        <v>GEOMETRY</v>
      </c>
      <c r="G15727" t="str">
        <f>"21-2158"</f>
        <v>21-2158</v>
      </c>
      <c r="H15727" t="str">
        <f>"B"</f>
        <v>B</v>
      </c>
    </row>
    <row r="15728" spans="1:8" x14ac:dyDescent="0.2">
      <c r="A15728" t="str">
        <f t="shared" ref="A15728:A15735" si="5705">"0615034615"</f>
        <v>0615034615</v>
      </c>
      <c r="B15728" t="str">
        <f t="shared" ref="B15728:B15735" si="5706">"LEAH"</f>
        <v>LEAH</v>
      </c>
      <c r="C15728" t="str">
        <f t="shared" ref="C15728:C15735" si="5707">"SHEERAN"</f>
        <v>SHEERAN</v>
      </c>
      <c r="D15728">
        <f>11</f>
        <v>11</v>
      </c>
      <c r="E15728" t="str">
        <f>"04 - A - 101 - Jerry S Jiampetti"</f>
        <v>04 - A - 101 - Jerry S Jiampetti</v>
      </c>
      <c r="F15728" t="str">
        <f>"AICE U.S. HIST 1 AS"</f>
        <v>AICE U.S. HIST 1 AS</v>
      </c>
      <c r="G15728" t="str">
        <f>"17-1751"</f>
        <v>17-1751</v>
      </c>
      <c r="H15728" t="str">
        <f>"A"</f>
        <v>A</v>
      </c>
    </row>
    <row r="15729" spans="1:8" x14ac:dyDescent="0.2">
      <c r="A15729" t="str">
        <f t="shared" si="5705"/>
        <v>0615034615</v>
      </c>
      <c r="B15729" t="str">
        <f t="shared" si="5706"/>
        <v>LEAH</v>
      </c>
      <c r="C15729" t="str">
        <f t="shared" si="5707"/>
        <v>SHEERAN</v>
      </c>
      <c r="D15729">
        <f>11</f>
        <v>11</v>
      </c>
      <c r="E15729" t="str">
        <f>"06 - B - 001 - Lourivaldo  Da Silva"</f>
        <v>06 - B - 001 - Lourivaldo  Da Silva</v>
      </c>
      <c r="F15729" t="str">
        <f>"PRE-CALCULUS HON"</f>
        <v>PRE-CALCULUS HON</v>
      </c>
      <c r="G15729" t="str">
        <f>"20-2079"</f>
        <v>20-2079</v>
      </c>
      <c r="H15729" t="str">
        <f>"B"</f>
        <v>B</v>
      </c>
    </row>
    <row r="15730" spans="1:8" x14ac:dyDescent="0.2">
      <c r="A15730" t="str">
        <f t="shared" si="5705"/>
        <v>0615034615</v>
      </c>
      <c r="B15730" t="str">
        <f t="shared" si="5706"/>
        <v>LEAH</v>
      </c>
      <c r="C15730" t="str">
        <f t="shared" si="5707"/>
        <v>SHEERAN</v>
      </c>
      <c r="D15730">
        <f>11</f>
        <v>11</v>
      </c>
      <c r="E15730" t="str">
        <f>"03 - A - 106 - Krystal Marie  Beruty"</f>
        <v>03 - A - 106 - Krystal Marie  Beruty</v>
      </c>
      <c r="F15730" t="str">
        <f>"AICE PSYCH 1 AS"</f>
        <v>AICE PSYCH 1 AS</v>
      </c>
      <c r="G15730" t="str">
        <f>"17-1721"</f>
        <v>17-1721</v>
      </c>
      <c r="H15730" t="str">
        <f>"A"</f>
        <v>A</v>
      </c>
    </row>
    <row r="15731" spans="1:8" x14ac:dyDescent="0.2">
      <c r="A15731" t="str">
        <f t="shared" si="5705"/>
        <v>0615034615</v>
      </c>
      <c r="B15731" t="str">
        <f t="shared" si="5706"/>
        <v>LEAH</v>
      </c>
      <c r="C15731" t="str">
        <f t="shared" si="5707"/>
        <v>SHEERAN</v>
      </c>
      <c r="D15731">
        <f>11</f>
        <v>11</v>
      </c>
      <c r="E15731" t="str">
        <f>"02 - A - 113 - Byron G Montenegro"</f>
        <v>02 - A - 113 - Byron G Montenegro</v>
      </c>
      <c r="F15731" t="str">
        <f>"NC STUDY HALL 1"</f>
        <v>NC STUDY HALL 1</v>
      </c>
      <c r="G15731" t="str">
        <f>"21-2144"</f>
        <v>21-2144</v>
      </c>
      <c r="H15731" t="str">
        <f>"A"</f>
        <v>A</v>
      </c>
    </row>
    <row r="15732" spans="1:8" x14ac:dyDescent="0.2">
      <c r="A15732" t="str">
        <f t="shared" si="5705"/>
        <v>0615034615</v>
      </c>
      <c r="B15732" t="str">
        <f t="shared" si="5706"/>
        <v>LEAH</v>
      </c>
      <c r="C15732" t="str">
        <f t="shared" si="5707"/>
        <v>SHEERAN</v>
      </c>
      <c r="D15732">
        <f>11</f>
        <v>11</v>
      </c>
      <c r="E15732" t="str">
        <f>"07 - B - 202 - Chrystina M Marchionne"</f>
        <v>07 - B - 202 - Chrystina M Marchionne</v>
      </c>
      <c r="F15732" t="str">
        <f>"JOURN 1 (YB) LH"</f>
        <v>JOURN 1 (YB) LH</v>
      </c>
      <c r="G15732" t="str">
        <f>"05-520"</f>
        <v>05-520</v>
      </c>
      <c r="H15732" t="str">
        <f>"B"</f>
        <v>B</v>
      </c>
    </row>
    <row r="15733" spans="1:8" x14ac:dyDescent="0.2">
      <c r="A15733" t="str">
        <f t="shared" si="5705"/>
        <v>0615034615</v>
      </c>
      <c r="B15733" t="str">
        <f t="shared" si="5706"/>
        <v>LEAH</v>
      </c>
      <c r="C15733" t="str">
        <f t="shared" si="5707"/>
        <v>SHEERAN</v>
      </c>
      <c r="D15733">
        <f>11</f>
        <v>11</v>
      </c>
      <c r="E15733" t="str">
        <f>"05 - B - 101 - Jordana K Hass"</f>
        <v>05 - B - 101 - Jordana K Hass</v>
      </c>
      <c r="F15733" t="str">
        <f>"AP COMP SCI PRIN"</f>
        <v>AP COMP SCI PRIN</v>
      </c>
      <c r="G15733" t="str">
        <f>"08-807"</f>
        <v>08-807</v>
      </c>
      <c r="H15733" t="str">
        <f>"B"</f>
        <v>B</v>
      </c>
    </row>
    <row r="15734" spans="1:8" x14ac:dyDescent="0.2">
      <c r="A15734" t="str">
        <f t="shared" si="5705"/>
        <v>0615034615</v>
      </c>
      <c r="B15734" t="str">
        <f t="shared" si="5706"/>
        <v>LEAH</v>
      </c>
      <c r="C15734" t="str">
        <f t="shared" si="5707"/>
        <v>SHEERAN</v>
      </c>
      <c r="D15734">
        <f>11</f>
        <v>11</v>
      </c>
      <c r="E15734" t="str">
        <f>"01 - A - 101 - Jacklyn M James"</f>
        <v>01 - A - 101 - Jacklyn M James</v>
      </c>
      <c r="F15734" t="str">
        <f>"AICE ENG LANG AS"</f>
        <v>AICE ENG LANG AS</v>
      </c>
      <c r="G15734" t="str">
        <f>"17-1731"</f>
        <v>17-1731</v>
      </c>
      <c r="H15734" t="str">
        <f>"A"</f>
        <v>A</v>
      </c>
    </row>
    <row r="15735" spans="1:8" x14ac:dyDescent="0.2">
      <c r="A15735" t="str">
        <f t="shared" si="5705"/>
        <v>0615034615</v>
      </c>
      <c r="B15735" t="str">
        <f t="shared" si="5706"/>
        <v>LEAH</v>
      </c>
      <c r="C15735" t="str">
        <f t="shared" si="5707"/>
        <v>SHEERAN</v>
      </c>
      <c r="D15735">
        <f>11</f>
        <v>11</v>
      </c>
      <c r="E15735" t="str">
        <f>"08 - B - 102 - Jacqueline R Morphet"</f>
        <v>08 - B - 102 - Jacqueline R Morphet</v>
      </c>
      <c r="F15735" t="str">
        <f>"AP PHYSICS 1"</f>
        <v>AP PHYSICS 1</v>
      </c>
      <c r="G15735" t="str">
        <f>"21-2138"</f>
        <v>21-2138</v>
      </c>
      <c r="H15735" t="str">
        <f>"B"</f>
        <v>B</v>
      </c>
    </row>
    <row r="15736" spans="1:8" x14ac:dyDescent="0.2">
      <c r="A15736" t="str">
        <f t="shared" ref="A15736:A15743" si="5708">"0616123071"</f>
        <v>0616123071</v>
      </c>
      <c r="B15736" t="str">
        <f t="shared" ref="B15736:B15743" si="5709">"ALYSSA"</f>
        <v>ALYSSA</v>
      </c>
      <c r="C15736" t="str">
        <f t="shared" ref="C15736:C15743" si="5710">"SHEFFIELD"</f>
        <v>SHEFFIELD</v>
      </c>
      <c r="D15736" t="str">
        <f t="shared" ref="D15736:D15743" si="5711">"09"</f>
        <v>09</v>
      </c>
      <c r="E15736" t="str">
        <f>"04 - A - 104 - Dayna M Foster"</f>
        <v>04 - A - 104 - Dayna M Foster</v>
      </c>
      <c r="F15736" t="str">
        <f>"ALGEBRA 2"</f>
        <v>ALGEBRA 2</v>
      </c>
      <c r="G15736" t="str">
        <f>"21-2109"</f>
        <v>21-2109</v>
      </c>
      <c r="H15736" t="str">
        <f>"A"</f>
        <v>A</v>
      </c>
    </row>
    <row r="15737" spans="1:8" x14ac:dyDescent="0.2">
      <c r="A15737" t="str">
        <f t="shared" si="5708"/>
        <v>0616123071</v>
      </c>
      <c r="B15737" t="str">
        <f t="shared" si="5709"/>
        <v>ALYSSA</v>
      </c>
      <c r="C15737" t="str">
        <f t="shared" si="5710"/>
        <v>SHEFFIELD</v>
      </c>
      <c r="D15737" t="str">
        <f t="shared" si="5711"/>
        <v>09</v>
      </c>
      <c r="E15737" t="str">
        <f>"06 - B - 110 - Krystal Marie  Beruty"</f>
        <v>06 - B - 110 - Krystal Marie  Beruty</v>
      </c>
      <c r="F15737" t="str">
        <f>"AICE GLBL PERSP 1 AS"</f>
        <v>AICE GLBL PERSP 1 AS</v>
      </c>
      <c r="G15737" t="str">
        <f>"17-1721"</f>
        <v>17-1721</v>
      </c>
      <c r="H15737" t="str">
        <f>"B"</f>
        <v>B</v>
      </c>
    </row>
    <row r="15738" spans="1:8" x14ac:dyDescent="0.2">
      <c r="A15738" t="str">
        <f t="shared" si="5708"/>
        <v>0616123071</v>
      </c>
      <c r="B15738" t="str">
        <f t="shared" si="5709"/>
        <v>ALYSSA</v>
      </c>
      <c r="C15738" t="str">
        <f t="shared" si="5710"/>
        <v>SHEFFIELD</v>
      </c>
      <c r="D15738" t="str">
        <f t="shared" si="5711"/>
        <v>09</v>
      </c>
      <c r="E15738" t="str">
        <f>"03 - A - 201 - Joe  Kilpatrick Jr"</f>
        <v>03 - A - 201 - Joe  Kilpatrick Jr</v>
      </c>
      <c r="F15738" t="str">
        <f>"PRE-AICE SPAN 2 IG"</f>
        <v>PRE-AICE SPAN 2 IG</v>
      </c>
      <c r="G15738" t="str">
        <f>"09-912"</f>
        <v>09-912</v>
      </c>
      <c r="H15738" t="str">
        <f>"A"</f>
        <v>A</v>
      </c>
    </row>
    <row r="15739" spans="1:8" x14ac:dyDescent="0.2">
      <c r="A15739" t="str">
        <f t="shared" si="5708"/>
        <v>0616123071</v>
      </c>
      <c r="B15739" t="str">
        <f t="shared" si="5709"/>
        <v>ALYSSA</v>
      </c>
      <c r="C15739" t="str">
        <f t="shared" si="5710"/>
        <v>SHEFFIELD</v>
      </c>
      <c r="D15739" t="str">
        <f t="shared" si="5711"/>
        <v>09</v>
      </c>
      <c r="E15739" t="str">
        <f>"02 - A - 115 - Lourivaldo  Da Silva"</f>
        <v>02 - A - 115 - Lourivaldo  Da Silva</v>
      </c>
      <c r="F15739" t="str">
        <f>"NC STUDY HALL 1"</f>
        <v>NC STUDY HALL 1</v>
      </c>
      <c r="G15739" t="str">
        <f>"20-2079"</f>
        <v>20-2079</v>
      </c>
      <c r="H15739" t="str">
        <f>"A"</f>
        <v>A</v>
      </c>
    </row>
    <row r="15740" spans="1:8" x14ac:dyDescent="0.2">
      <c r="A15740" t="str">
        <f t="shared" si="5708"/>
        <v>0616123071</v>
      </c>
      <c r="B15740" t="str">
        <f t="shared" si="5709"/>
        <v>ALYSSA</v>
      </c>
      <c r="C15740" t="str">
        <f t="shared" si="5710"/>
        <v>SHEFFIELD</v>
      </c>
      <c r="D15740" t="str">
        <f t="shared" si="5711"/>
        <v>09</v>
      </c>
      <c r="E15740" t="str">
        <f>"07 - B - 101 - Alejandro  Navarro"</f>
        <v>07 - B - 101 - Alejandro  Navarro</v>
      </c>
      <c r="F15740" t="str">
        <f>"EURHY 1"</f>
        <v>EURHY 1</v>
      </c>
      <c r="G15740" t="str">
        <f>"05-504"</f>
        <v>05-504</v>
      </c>
      <c r="H15740" t="str">
        <f>"B"</f>
        <v>B</v>
      </c>
    </row>
    <row r="15741" spans="1:8" x14ac:dyDescent="0.2">
      <c r="A15741" t="str">
        <f t="shared" si="5708"/>
        <v>0616123071</v>
      </c>
      <c r="B15741" t="str">
        <f t="shared" si="5709"/>
        <v>ALYSSA</v>
      </c>
      <c r="C15741" t="str">
        <f t="shared" si="5710"/>
        <v>SHEFFIELD</v>
      </c>
      <c r="D15741" t="str">
        <f t="shared" si="5711"/>
        <v>09</v>
      </c>
      <c r="E15741" t="str">
        <f>"05 - B - 103 - Byron G Montenegro"</f>
        <v>05 - B - 103 - Byron G Montenegro</v>
      </c>
      <c r="F15741" t="str">
        <f>"AICE MARINE SCI 1 AS"</f>
        <v>AICE MARINE SCI 1 AS</v>
      </c>
      <c r="G15741" t="str">
        <f>"21-2144"</f>
        <v>21-2144</v>
      </c>
      <c r="H15741" t="str">
        <f>"B"</f>
        <v>B</v>
      </c>
    </row>
    <row r="15742" spans="1:8" x14ac:dyDescent="0.2">
      <c r="A15742" t="str">
        <f t="shared" si="5708"/>
        <v>0616123071</v>
      </c>
      <c r="B15742" t="str">
        <f t="shared" si="5709"/>
        <v>ALYSSA</v>
      </c>
      <c r="C15742" t="str">
        <f t="shared" si="5710"/>
        <v>SHEFFIELD</v>
      </c>
      <c r="D15742" t="str">
        <f t="shared" si="5711"/>
        <v>09</v>
      </c>
      <c r="E15742" t="str">
        <f>"01 - A - 101 - Nikiel  Nesbeth"</f>
        <v>01 - A - 101 - Nikiel  Nesbeth</v>
      </c>
      <c r="F15742" t="str">
        <f>"CONST LAW HON"</f>
        <v>CONST LAW HON</v>
      </c>
      <c r="G15742" t="str">
        <f>"17-1705"</f>
        <v>17-1705</v>
      </c>
      <c r="H15742" t="str">
        <f>"A"</f>
        <v>A</v>
      </c>
    </row>
    <row r="15743" spans="1:8" x14ac:dyDescent="0.2">
      <c r="A15743" t="str">
        <f t="shared" si="5708"/>
        <v>0616123071</v>
      </c>
      <c r="B15743" t="str">
        <f t="shared" si="5709"/>
        <v>ALYSSA</v>
      </c>
      <c r="C15743" t="str">
        <f t="shared" si="5710"/>
        <v>SHEFFIELD</v>
      </c>
      <c r="D15743" t="str">
        <f t="shared" si="5711"/>
        <v>09</v>
      </c>
      <c r="E15743" t="str">
        <f>"08 - B - 004 - Cheryl Anne  Berman-Schechter"</f>
        <v>08 - B - 004 - Cheryl Anne  Berman-Schechter</v>
      </c>
      <c r="F15743" t="str">
        <f>"AICE ENG GEN PAPER 1"</f>
        <v>AICE ENG GEN PAPER 1</v>
      </c>
      <c r="G15743" t="str">
        <f>"17-1722"</f>
        <v>17-1722</v>
      </c>
      <c r="H15743" t="str">
        <f>"B"</f>
        <v>B</v>
      </c>
    </row>
    <row r="15744" spans="1:8" x14ac:dyDescent="0.2">
      <c r="A15744" t="str">
        <f t="shared" ref="A15744:A15752" si="5712">"0612069428"</f>
        <v>0612069428</v>
      </c>
      <c r="B15744" t="str">
        <f t="shared" ref="B15744:B15752" si="5713">"REBECCA"</f>
        <v>REBECCA</v>
      </c>
      <c r="C15744" t="str">
        <f t="shared" ref="C15744:C15752" si="5714">"SHERMAN"</f>
        <v>SHERMAN</v>
      </c>
      <c r="D15744">
        <f>12</f>
        <v>12</v>
      </c>
      <c r="E15744" t="str">
        <f>"19 - S1 - MTWHF - B18 - Instructor BC"</f>
        <v>19 - S1 - MTWHF - B18 - Instructor BC</v>
      </c>
      <c r="F15744" t="str">
        <f>"BEG SPANISH I"</f>
        <v>BEG SPANISH I</v>
      </c>
      <c r="G15744" t="str">
        <f>"60-DE"</f>
        <v>60-DE</v>
      </c>
      <c r="H15744" t="str">
        <f>"-"</f>
        <v>-</v>
      </c>
    </row>
    <row r="15745" spans="1:8" x14ac:dyDescent="0.2">
      <c r="A15745" t="str">
        <f t="shared" si="5712"/>
        <v>0612069428</v>
      </c>
      <c r="B15745" t="str">
        <f t="shared" si="5713"/>
        <v>REBECCA</v>
      </c>
      <c r="C15745" t="str">
        <f t="shared" si="5714"/>
        <v>SHERMAN</v>
      </c>
      <c r="D15745">
        <f>12</f>
        <v>12</v>
      </c>
      <c r="E15745" t="str">
        <f>"04 - A - 101 - Stefanie S Scher"</f>
        <v>04 - A - 101 - Stefanie S Scher</v>
      </c>
      <c r="F15745" t="str">
        <f>"AP PSYCH"</f>
        <v>AP PSYCH</v>
      </c>
      <c r="G15745" t="str">
        <f>"17-1735"</f>
        <v>17-1735</v>
      </c>
      <c r="H15745" t="str">
        <f>"A"</f>
        <v>A</v>
      </c>
    </row>
    <row r="15746" spans="1:8" x14ac:dyDescent="0.2">
      <c r="A15746" t="str">
        <f t="shared" si="5712"/>
        <v>0612069428</v>
      </c>
      <c r="B15746" t="str">
        <f t="shared" si="5713"/>
        <v>REBECCA</v>
      </c>
      <c r="C15746" t="str">
        <f t="shared" si="5714"/>
        <v>SHERMAN</v>
      </c>
      <c r="D15746">
        <f>12</f>
        <v>12</v>
      </c>
      <c r="E15746" t="str">
        <f>"06 - B - 003 - Emmily A Sarmiento"</f>
        <v>06 - B - 003 - Emmily A Sarmiento</v>
      </c>
      <c r="F15746" t="str">
        <f>"NC STUDY HALL 1"</f>
        <v>NC STUDY HALL 1</v>
      </c>
      <c r="G15746" t="str">
        <f>"17-1743"</f>
        <v>17-1743</v>
      </c>
      <c r="H15746" t="str">
        <f>"B"</f>
        <v>B</v>
      </c>
    </row>
    <row r="15747" spans="1:8" x14ac:dyDescent="0.2">
      <c r="A15747" t="str">
        <f t="shared" si="5712"/>
        <v>0612069428</v>
      </c>
      <c r="B15747" t="str">
        <f t="shared" si="5713"/>
        <v>REBECCA</v>
      </c>
      <c r="C15747" t="str">
        <f t="shared" si="5714"/>
        <v>SHERMAN</v>
      </c>
      <c r="D15747">
        <f>12</f>
        <v>12</v>
      </c>
      <c r="E15747" t="str">
        <f>"03 - A - 101 - Lisa J London"</f>
        <v>03 - A - 101 - Lisa J London</v>
      </c>
      <c r="F15747" t="str">
        <f>"AP CAPSTONE RESEARCH"</f>
        <v>AP CAPSTONE RESEARCH</v>
      </c>
      <c r="G15747" t="str">
        <f>"17-1714"</f>
        <v>17-1714</v>
      </c>
      <c r="H15747" t="str">
        <f>"A"</f>
        <v>A</v>
      </c>
    </row>
    <row r="15748" spans="1:8" x14ac:dyDescent="0.2">
      <c r="A15748" t="str">
        <f t="shared" si="5712"/>
        <v>0612069428</v>
      </c>
      <c r="B15748" t="str">
        <f t="shared" si="5713"/>
        <v>REBECCA</v>
      </c>
      <c r="C15748" t="str">
        <f t="shared" si="5714"/>
        <v>SHERMAN</v>
      </c>
      <c r="D15748">
        <f>12</f>
        <v>12</v>
      </c>
      <c r="E15748" t="str">
        <f>"02 - A - 201 - Jeanne M Bermudez"</f>
        <v>02 - A - 201 - Jeanne M Bermudez</v>
      </c>
      <c r="F15748" t="str">
        <f>"AP ENV SCI"</f>
        <v>AP ENV SCI</v>
      </c>
      <c r="G15748" t="str">
        <f>"21-2141"</f>
        <v>21-2141</v>
      </c>
      <c r="H15748" t="str">
        <f>"A"</f>
        <v>A</v>
      </c>
    </row>
    <row r="15749" spans="1:8" x14ac:dyDescent="0.2">
      <c r="A15749" t="str">
        <f t="shared" si="5712"/>
        <v>0612069428</v>
      </c>
      <c r="B15749" t="str">
        <f t="shared" si="5713"/>
        <v>REBECCA</v>
      </c>
      <c r="C15749" t="str">
        <f t="shared" si="5714"/>
        <v>SHERMAN</v>
      </c>
      <c r="D15749">
        <f>12</f>
        <v>12</v>
      </c>
      <c r="E15749" t="str">
        <f>"07 - S1 - B - 101 - Daniel S Katz"</f>
        <v>07 - S1 - B - 101 - Daniel S Katz</v>
      </c>
      <c r="F15749" t="str">
        <f>"CRIMINAL LAW"</f>
        <v>CRIMINAL LAW</v>
      </c>
      <c r="G15749" t="str">
        <f>"21-2156"</f>
        <v>21-2156</v>
      </c>
      <c r="H15749" t="str">
        <f>"B"</f>
        <v>B</v>
      </c>
    </row>
    <row r="15750" spans="1:8" x14ac:dyDescent="0.2">
      <c r="A15750" t="str">
        <f t="shared" si="5712"/>
        <v>0612069428</v>
      </c>
      <c r="B15750" t="str">
        <f t="shared" si="5713"/>
        <v>REBECCA</v>
      </c>
      <c r="C15750" t="str">
        <f t="shared" si="5714"/>
        <v>SHERMAN</v>
      </c>
      <c r="D15750">
        <f>12</f>
        <v>12</v>
      </c>
      <c r="E15750" t="str">
        <f>"05 - S1 - B - 103 - Stephen T Ripp"</f>
        <v>05 - S1 - B - 103 - Stephen T Ripp</v>
      </c>
      <c r="F15750" t="str">
        <f>"AP US GOVT/POL"</f>
        <v>AP US GOVT/POL</v>
      </c>
      <c r="G15750" t="str">
        <f>"17-1744"</f>
        <v>17-1744</v>
      </c>
      <c r="H15750" t="str">
        <f>"B"</f>
        <v>B</v>
      </c>
    </row>
    <row r="15751" spans="1:8" x14ac:dyDescent="0.2">
      <c r="A15751" t="str">
        <f t="shared" si="5712"/>
        <v>0612069428</v>
      </c>
      <c r="B15751" t="str">
        <f t="shared" si="5713"/>
        <v>REBECCA</v>
      </c>
      <c r="C15751" t="str">
        <f t="shared" si="5714"/>
        <v>SHERMAN</v>
      </c>
      <c r="D15751">
        <f>12</f>
        <v>12</v>
      </c>
      <c r="E15751" t="str">
        <f>"01 - A - 204 - Tina M Jaramillo"</f>
        <v>01 - A - 204 - Tina M Jaramillo</v>
      </c>
      <c r="F15751" t="str">
        <f>"AP ENG LIT COMPO"</f>
        <v>AP ENG LIT COMPO</v>
      </c>
      <c r="G15751" t="str">
        <f>"17-1706"</f>
        <v>17-1706</v>
      </c>
      <c r="H15751" t="str">
        <f>"A"</f>
        <v>A</v>
      </c>
    </row>
    <row r="15752" spans="1:8" x14ac:dyDescent="0.2">
      <c r="A15752" t="str">
        <f t="shared" si="5712"/>
        <v>0612069428</v>
      </c>
      <c r="B15752" t="str">
        <f t="shared" si="5713"/>
        <v>REBECCA</v>
      </c>
      <c r="C15752" t="str">
        <f t="shared" si="5714"/>
        <v>SHERMAN</v>
      </c>
      <c r="D15752">
        <f>12</f>
        <v>12</v>
      </c>
      <c r="E15752" t="str">
        <f>"08 - B - 102 - Pamela M Corzo"</f>
        <v>08 - B - 102 - Pamela M Corzo</v>
      </c>
      <c r="F15752" t="str">
        <f>"AP STAT"</f>
        <v>AP STAT</v>
      </c>
      <c r="G15752" t="str">
        <f>"21-2133"</f>
        <v>21-2133</v>
      </c>
      <c r="H15752" t="str">
        <f>"B"</f>
        <v>B</v>
      </c>
    </row>
    <row r="15753" spans="1:8" x14ac:dyDescent="0.2">
      <c r="A15753" t="str">
        <f t="shared" ref="A15753:A15760" si="5715">"0614007109"</f>
        <v>0614007109</v>
      </c>
      <c r="B15753" t="str">
        <f t="shared" ref="B15753:B15760" si="5716">"TA'LIYAH"</f>
        <v>TA'LIYAH</v>
      </c>
      <c r="C15753" t="str">
        <f t="shared" ref="C15753:C15760" si="5717">"SHIM"</f>
        <v>SHIM</v>
      </c>
      <c r="D15753">
        <f>12</f>
        <v>12</v>
      </c>
      <c r="E15753" t="str">
        <f>"04 - A - 205 - Robyn L Trainer"</f>
        <v>04 - A - 205 - Robyn L Trainer</v>
      </c>
      <c r="F15753" t="str">
        <f>"ENG 4: FL COLL PREP"</f>
        <v>ENG 4: FL COLL PREP</v>
      </c>
      <c r="G15753" t="str">
        <f>"17-1734"</f>
        <v>17-1734</v>
      </c>
      <c r="H15753" t="str">
        <f>"A"</f>
        <v>A</v>
      </c>
    </row>
    <row r="15754" spans="1:8" x14ac:dyDescent="0.2">
      <c r="A15754" t="str">
        <f t="shared" si="5715"/>
        <v>0614007109</v>
      </c>
      <c r="B15754" t="str">
        <f t="shared" si="5716"/>
        <v>TA'LIYAH</v>
      </c>
      <c r="C15754" t="str">
        <f t="shared" si="5717"/>
        <v>SHIM</v>
      </c>
      <c r="D15754">
        <f>12</f>
        <v>12</v>
      </c>
      <c r="E15754" t="str">
        <f>"06 - B - 108 - Jacquelyn M Neeson"</f>
        <v>06 - B - 108 - Jacquelyn M Neeson</v>
      </c>
      <c r="F15754" t="str">
        <f>"NC STUDY HALL 1"</f>
        <v>NC STUDY HALL 1</v>
      </c>
      <c r="G15754" t="str">
        <f>"17-1715"</f>
        <v>17-1715</v>
      </c>
      <c r="H15754" t="str">
        <f>"B"</f>
        <v>B</v>
      </c>
    </row>
    <row r="15755" spans="1:8" x14ac:dyDescent="0.2">
      <c r="A15755" t="str">
        <f t="shared" si="5715"/>
        <v>0614007109</v>
      </c>
      <c r="B15755" t="str">
        <f t="shared" si="5716"/>
        <v>TA'LIYAH</v>
      </c>
      <c r="C15755" t="str">
        <f t="shared" si="5717"/>
        <v>SHIM</v>
      </c>
      <c r="D15755">
        <f>12</f>
        <v>12</v>
      </c>
      <c r="E15755" t="str">
        <f>"03 - S1 - A - 102 - Leslie J Barton"</f>
        <v>03 - S1 - A - 102 - Leslie J Barton</v>
      </c>
      <c r="F15755" t="str">
        <f>"FIRST AID SAFETY"</f>
        <v>FIRST AID SAFETY</v>
      </c>
      <c r="G15755" t="str">
        <f>"05-521"</f>
        <v>05-521</v>
      </c>
      <c r="H15755" t="str">
        <f>"A"</f>
        <v>A</v>
      </c>
    </row>
    <row r="15756" spans="1:8" x14ac:dyDescent="0.2">
      <c r="A15756" t="str">
        <f t="shared" si="5715"/>
        <v>0614007109</v>
      </c>
      <c r="B15756" t="str">
        <f t="shared" si="5716"/>
        <v>TA'LIYAH</v>
      </c>
      <c r="C15756" t="str">
        <f t="shared" si="5717"/>
        <v>SHIM</v>
      </c>
      <c r="D15756">
        <f>12</f>
        <v>12</v>
      </c>
      <c r="E15756" t="str">
        <f>"02 - A - 101 - Nahum  Saint-Preux"</f>
        <v>02 - A - 101 - Nahum  Saint-Preux</v>
      </c>
      <c r="F15756" t="str">
        <f>"INTENS READ 4"</f>
        <v>INTENS READ 4</v>
      </c>
      <c r="G15756" t="str">
        <f>"17-1712"</f>
        <v>17-1712</v>
      </c>
      <c r="H15756" t="str">
        <f>"A"</f>
        <v>A</v>
      </c>
    </row>
    <row r="15757" spans="1:8" x14ac:dyDescent="0.2">
      <c r="A15757" t="str">
        <f t="shared" si="5715"/>
        <v>0614007109</v>
      </c>
      <c r="B15757" t="str">
        <f t="shared" si="5716"/>
        <v>TA'LIYAH</v>
      </c>
      <c r="C15757" t="str">
        <f t="shared" si="5717"/>
        <v>SHIM</v>
      </c>
      <c r="D15757">
        <f>12</f>
        <v>12</v>
      </c>
      <c r="E15757" t="str">
        <f>"07 - S1 - B - 103 - Robert O Burger"</f>
        <v>07 - S1 - B - 103 - Robert O Burger</v>
      </c>
      <c r="F15757" t="str">
        <f>"US GOVT"</f>
        <v>US GOVT</v>
      </c>
      <c r="G15757" t="str">
        <f>"17-1755"</f>
        <v>17-1755</v>
      </c>
      <c r="H15757" t="str">
        <f>"B"</f>
        <v>B</v>
      </c>
    </row>
    <row r="15758" spans="1:8" x14ac:dyDescent="0.2">
      <c r="A15758" t="str">
        <f t="shared" si="5715"/>
        <v>0614007109</v>
      </c>
      <c r="B15758" t="str">
        <f t="shared" si="5716"/>
        <v>TA'LIYAH</v>
      </c>
      <c r="C15758" t="str">
        <f t="shared" si="5717"/>
        <v>SHIM</v>
      </c>
      <c r="D15758">
        <f>12</f>
        <v>12</v>
      </c>
      <c r="E15758" t="str">
        <f>"05 - B - 106 - Thomas G Handwerg"</f>
        <v>05 - B - 106 - Thomas G Handwerg</v>
      </c>
      <c r="F15758" t="str">
        <f>"MATH COLL ALGEBRA"</f>
        <v>MATH COLL ALGEBRA</v>
      </c>
      <c r="G15758" t="str">
        <f>"21-2146"</f>
        <v>21-2146</v>
      </c>
      <c r="H15758" t="str">
        <f>"B"</f>
        <v>B</v>
      </c>
    </row>
    <row r="15759" spans="1:8" x14ac:dyDescent="0.2">
      <c r="A15759" t="str">
        <f t="shared" si="5715"/>
        <v>0614007109</v>
      </c>
      <c r="B15759" t="str">
        <f t="shared" si="5716"/>
        <v>TA'LIYAH</v>
      </c>
      <c r="C15759" t="str">
        <f t="shared" si="5717"/>
        <v>SHIM</v>
      </c>
      <c r="D15759">
        <f>12</f>
        <v>12</v>
      </c>
      <c r="E15759" t="str">
        <f>"01 - A - 101 - Cliffon  Saurel"</f>
        <v>01 - A - 101 - Cliffon  Saurel</v>
      </c>
      <c r="F15759" t="str">
        <f>"PHYSICAL SCI"</f>
        <v>PHYSICAL SCI</v>
      </c>
      <c r="G15759" t="str">
        <f>"05-522"</f>
        <v>05-522</v>
      </c>
      <c r="H15759" t="str">
        <f>"A"</f>
        <v>A</v>
      </c>
    </row>
    <row r="15760" spans="1:8" x14ac:dyDescent="0.2">
      <c r="A15760" t="str">
        <f t="shared" si="5715"/>
        <v>0614007109</v>
      </c>
      <c r="B15760" t="str">
        <f t="shared" si="5716"/>
        <v>TA'LIYAH</v>
      </c>
      <c r="C15760" t="str">
        <f t="shared" si="5717"/>
        <v>SHIM</v>
      </c>
      <c r="D15760">
        <f>12</f>
        <v>12</v>
      </c>
      <c r="E15760" t="str">
        <f>"08 - S1 - B - 104 - Angela S Adeshina-Morrison"</f>
        <v>08 - S1 - B - 104 - Angela S Adeshina-Morrison</v>
      </c>
      <c r="F15760" t="str">
        <f>"PEER COUN 1"</f>
        <v>PEER COUN 1</v>
      </c>
      <c r="G15760" t="str">
        <f>"05-518"</f>
        <v>05-518</v>
      </c>
      <c r="H15760" t="str">
        <f>"B"</f>
        <v>B</v>
      </c>
    </row>
    <row r="15761" spans="1:8" x14ac:dyDescent="0.2">
      <c r="A15761" t="str">
        <f t="shared" ref="A15761:A15768" si="5718">"0617046074"</f>
        <v>0617046074</v>
      </c>
      <c r="B15761" t="str">
        <f t="shared" ref="B15761:B15768" si="5719">"MADELINE"</f>
        <v>MADELINE</v>
      </c>
      <c r="C15761" t="str">
        <f t="shared" ref="C15761:C15768" si="5720">"SHIRING"</f>
        <v>SHIRING</v>
      </c>
      <c r="D15761" t="str">
        <f t="shared" ref="D15761:D15784" si="5721">"09"</f>
        <v>09</v>
      </c>
      <c r="E15761" t="str">
        <f>"04 - A - 106 - Ferrie J Arostique"</f>
        <v>04 - A - 106 - Ferrie J Arostique</v>
      </c>
      <c r="F15761" t="str">
        <f>"PRE-AICE MATH 2 IG"</f>
        <v>PRE-AICE MATH 2 IG</v>
      </c>
      <c r="G15761" t="str">
        <f>"21-2139"</f>
        <v>21-2139</v>
      </c>
      <c r="H15761" t="str">
        <f>"A"</f>
        <v>A</v>
      </c>
    </row>
    <row r="15762" spans="1:8" x14ac:dyDescent="0.2">
      <c r="A15762" t="str">
        <f t="shared" si="5718"/>
        <v>0617046074</v>
      </c>
      <c r="B15762" t="str">
        <f t="shared" si="5719"/>
        <v>MADELINE</v>
      </c>
      <c r="C15762" t="str">
        <f t="shared" si="5720"/>
        <v>SHIRING</v>
      </c>
      <c r="D15762" t="str">
        <f t="shared" si="5721"/>
        <v>09</v>
      </c>
      <c r="E15762" t="str">
        <f>"06 - B - 202 - Brian M Fitzgerald"</f>
        <v>06 - B - 202 - Brian M Fitzgerald</v>
      </c>
      <c r="F15762" t="str">
        <f>"DRAW 1"</f>
        <v>DRAW 1</v>
      </c>
      <c r="G15762" t="str">
        <f>"09-908"</f>
        <v>09-908</v>
      </c>
      <c r="H15762" t="str">
        <f>"B"</f>
        <v>B</v>
      </c>
    </row>
    <row r="15763" spans="1:8" x14ac:dyDescent="0.2">
      <c r="A15763" t="str">
        <f t="shared" si="5718"/>
        <v>0617046074</v>
      </c>
      <c r="B15763" t="str">
        <f t="shared" si="5719"/>
        <v>MADELINE</v>
      </c>
      <c r="C15763" t="str">
        <f t="shared" si="5720"/>
        <v>SHIRING</v>
      </c>
      <c r="D15763" t="str">
        <f t="shared" si="5721"/>
        <v>09</v>
      </c>
      <c r="E15763" t="str">
        <f>"03 - A - 101 - Brian M Fitzgerald"</f>
        <v>03 - A - 101 - Brian M Fitzgerald</v>
      </c>
      <c r="F15763" t="str">
        <f>"SCULPT 1"</f>
        <v>SCULPT 1</v>
      </c>
      <c r="G15763" t="str">
        <f>"09-908"</f>
        <v>09-908</v>
      </c>
      <c r="H15763" t="str">
        <f>"A"</f>
        <v>A</v>
      </c>
    </row>
    <row r="15764" spans="1:8" x14ac:dyDescent="0.2">
      <c r="A15764" t="str">
        <f t="shared" si="5718"/>
        <v>0617046074</v>
      </c>
      <c r="B15764" t="str">
        <f t="shared" si="5719"/>
        <v>MADELINE</v>
      </c>
      <c r="C15764" t="str">
        <f t="shared" si="5720"/>
        <v>SHIRING</v>
      </c>
      <c r="D15764" t="str">
        <f t="shared" si="5721"/>
        <v>09</v>
      </c>
      <c r="E15764" t="str">
        <f>"02 - A - 102 - Samantha J Headley"</f>
        <v>02 - A - 102 - Samantha J Headley</v>
      </c>
      <c r="F15764" t="str">
        <f>"NC STUDY HALL 1"</f>
        <v>NC STUDY HALL 1</v>
      </c>
      <c r="G15764" t="str">
        <f>"21-2134"</f>
        <v>21-2134</v>
      </c>
      <c r="H15764" t="str">
        <f>"A"</f>
        <v>A</v>
      </c>
    </row>
    <row r="15765" spans="1:8" x14ac:dyDescent="0.2">
      <c r="A15765" t="str">
        <f t="shared" si="5718"/>
        <v>0617046074</v>
      </c>
      <c r="B15765" t="str">
        <f t="shared" si="5719"/>
        <v>MADELINE</v>
      </c>
      <c r="C15765" t="str">
        <f t="shared" si="5720"/>
        <v>SHIRING</v>
      </c>
      <c r="D15765" t="str">
        <f t="shared" si="5721"/>
        <v>09</v>
      </c>
      <c r="E15765" t="str">
        <f>"07 - B - 001 - Cheryl Anne  Berman-Schechter"</f>
        <v>07 - B - 001 - Cheryl Anne  Berman-Schechter</v>
      </c>
      <c r="F15765" t="str">
        <f>"AICE ENG GEN PAPER 1"</f>
        <v>AICE ENG GEN PAPER 1</v>
      </c>
      <c r="G15765" t="str">
        <f>"17-1722"</f>
        <v>17-1722</v>
      </c>
      <c r="H15765" t="str">
        <f>"B"</f>
        <v>B</v>
      </c>
    </row>
    <row r="15766" spans="1:8" x14ac:dyDescent="0.2">
      <c r="A15766" t="str">
        <f t="shared" si="5718"/>
        <v>0617046074</v>
      </c>
      <c r="B15766" t="str">
        <f t="shared" si="5719"/>
        <v>MADELINE</v>
      </c>
      <c r="C15766" t="str">
        <f t="shared" si="5720"/>
        <v>SHIRING</v>
      </c>
      <c r="D15766" t="str">
        <f t="shared" si="5721"/>
        <v>09</v>
      </c>
      <c r="E15766" t="str">
        <f>"05 - B - 103 - Byron G Montenegro"</f>
        <v>05 - B - 103 - Byron G Montenegro</v>
      </c>
      <c r="F15766" t="str">
        <f>"AICE MARINE SCI 1 AS"</f>
        <v>AICE MARINE SCI 1 AS</v>
      </c>
      <c r="G15766" t="str">
        <f>"21-2144"</f>
        <v>21-2144</v>
      </c>
      <c r="H15766" t="str">
        <f>"B"</f>
        <v>B</v>
      </c>
    </row>
    <row r="15767" spans="1:8" x14ac:dyDescent="0.2">
      <c r="A15767" t="str">
        <f t="shared" si="5718"/>
        <v>0617046074</v>
      </c>
      <c r="B15767" t="str">
        <f t="shared" si="5719"/>
        <v>MADELINE</v>
      </c>
      <c r="C15767" t="str">
        <f t="shared" si="5720"/>
        <v>SHIRING</v>
      </c>
      <c r="D15767" t="str">
        <f t="shared" si="5721"/>
        <v>09</v>
      </c>
      <c r="E15767" t="str">
        <f>"01 - A - 101 - Samantha L Martinez"</f>
        <v>01 - A - 101 - Samantha L Martinez</v>
      </c>
      <c r="F15767" t="str">
        <f>"MUSIC WORLD"</f>
        <v>MUSIC WORLD</v>
      </c>
      <c r="G15767" t="str">
        <f>"05-505"</f>
        <v>05-505</v>
      </c>
      <c r="H15767" t="str">
        <f>"A"</f>
        <v>A</v>
      </c>
    </row>
    <row r="15768" spans="1:8" x14ac:dyDescent="0.2">
      <c r="A15768" t="str">
        <f t="shared" si="5718"/>
        <v>0617046074</v>
      </c>
      <c r="B15768" t="str">
        <f t="shared" si="5719"/>
        <v>MADELINE</v>
      </c>
      <c r="C15768" t="str">
        <f t="shared" si="5720"/>
        <v>SHIRING</v>
      </c>
      <c r="D15768" t="str">
        <f t="shared" si="5721"/>
        <v>09</v>
      </c>
      <c r="E15768" t="str">
        <f>"08 - B - 109 - Emmily A Sarmiento"</f>
        <v>08 - B - 109 - Emmily A Sarmiento</v>
      </c>
      <c r="F15768" t="str">
        <f>"AICE GLBL PERSP 1 AS"</f>
        <v>AICE GLBL PERSP 1 AS</v>
      </c>
      <c r="G15768" t="str">
        <f>"17-1743"</f>
        <v>17-1743</v>
      </c>
      <c r="H15768" t="str">
        <f>"B"</f>
        <v>B</v>
      </c>
    </row>
    <row r="15769" spans="1:8" x14ac:dyDescent="0.2">
      <c r="A15769" t="str">
        <f t="shared" ref="A15769:A15776" si="5722">"0620106309"</f>
        <v>0620106309</v>
      </c>
      <c r="B15769" t="str">
        <f t="shared" ref="B15769:B15776" si="5723">"JASMINE"</f>
        <v>JASMINE</v>
      </c>
      <c r="C15769" t="str">
        <f t="shared" ref="C15769:C15784" si="5724">"SHOCKEY"</f>
        <v>SHOCKEY</v>
      </c>
      <c r="D15769" t="str">
        <f t="shared" si="5721"/>
        <v>09</v>
      </c>
      <c r="E15769" t="str">
        <f>"04 - A - 107 - Amy Beth  Broyles"</f>
        <v>04 - A - 107 - Amy Beth  Broyles</v>
      </c>
      <c r="F15769" t="str">
        <f>"ENV SCI"</f>
        <v>ENV SCI</v>
      </c>
      <c r="G15769" t="str">
        <f>"08-802"</f>
        <v>08-802</v>
      </c>
      <c r="H15769" t="str">
        <f>"A"</f>
        <v>A</v>
      </c>
    </row>
    <row r="15770" spans="1:8" x14ac:dyDescent="0.2">
      <c r="A15770" t="str">
        <f t="shared" si="5722"/>
        <v>0620106309</v>
      </c>
      <c r="B15770" t="str">
        <f t="shared" si="5723"/>
        <v>JASMINE</v>
      </c>
      <c r="C15770" t="str">
        <f t="shared" si="5724"/>
        <v>SHOCKEY</v>
      </c>
      <c r="D15770" t="str">
        <f t="shared" si="5721"/>
        <v>09</v>
      </c>
      <c r="E15770" t="str">
        <f>"06 - B - 101 - Fernando  Vega-Cid"</f>
        <v>06 - B - 101 - Fernando  Vega-Cid</v>
      </c>
      <c r="F15770" t="str">
        <f>"PRE-AICE MATH 2 IG"</f>
        <v>PRE-AICE MATH 2 IG</v>
      </c>
      <c r="G15770" t="str">
        <f>"21-2163"</f>
        <v>21-2163</v>
      </c>
      <c r="H15770" t="str">
        <f>"B"</f>
        <v>B</v>
      </c>
    </row>
    <row r="15771" spans="1:8" x14ac:dyDescent="0.2">
      <c r="A15771" t="str">
        <f t="shared" si="5722"/>
        <v>0620106309</v>
      </c>
      <c r="B15771" t="str">
        <f t="shared" si="5723"/>
        <v>JASMINE</v>
      </c>
      <c r="C15771" t="str">
        <f t="shared" si="5724"/>
        <v>SHOCKEY</v>
      </c>
      <c r="D15771" t="str">
        <f t="shared" si="5721"/>
        <v>09</v>
      </c>
      <c r="E15771" t="str">
        <f>"03 - A - 105 - Cheryl Anne  Berman-Schechter"</f>
        <v>03 - A - 105 - Cheryl Anne  Berman-Schechter</v>
      </c>
      <c r="F15771" t="str">
        <f>"ENG 1"</f>
        <v>ENG 1</v>
      </c>
      <c r="G15771" t="str">
        <f>"17-1722"</f>
        <v>17-1722</v>
      </c>
      <c r="H15771" t="str">
        <f>"A"</f>
        <v>A</v>
      </c>
    </row>
    <row r="15772" spans="1:8" x14ac:dyDescent="0.2">
      <c r="A15772" t="str">
        <f t="shared" si="5722"/>
        <v>0620106309</v>
      </c>
      <c r="B15772" t="str">
        <f t="shared" si="5723"/>
        <v>JASMINE</v>
      </c>
      <c r="C15772" t="str">
        <f t="shared" si="5724"/>
        <v>SHOCKEY</v>
      </c>
      <c r="D15772" t="str">
        <f t="shared" si="5721"/>
        <v>09</v>
      </c>
      <c r="E15772" t="str">
        <f>"02 - A - 114 - Laselleda D Shaw"</f>
        <v>02 - A - 114 - Laselleda D Shaw</v>
      </c>
      <c r="F15772" t="str">
        <f>"NC STUDY HALL 1"</f>
        <v>NC STUDY HALL 1</v>
      </c>
      <c r="G15772" t="str">
        <f>"17-1723"</f>
        <v>17-1723</v>
      </c>
      <c r="H15772" t="str">
        <f>"A"</f>
        <v>A</v>
      </c>
    </row>
    <row r="15773" spans="1:8" x14ac:dyDescent="0.2">
      <c r="A15773" t="str">
        <f t="shared" si="5722"/>
        <v>0620106309</v>
      </c>
      <c r="B15773" t="str">
        <f t="shared" si="5723"/>
        <v>JASMINE</v>
      </c>
      <c r="C15773" t="str">
        <f t="shared" si="5724"/>
        <v>SHOCKEY</v>
      </c>
      <c r="D15773" t="str">
        <f t="shared" si="5721"/>
        <v>09</v>
      </c>
      <c r="E15773" t="str">
        <f>"07 - B - 105 - Laselleda D Shaw"</f>
        <v>07 - B - 105 - Laselleda D Shaw</v>
      </c>
      <c r="F15773" t="str">
        <f>"INTENS READ 1"</f>
        <v>INTENS READ 1</v>
      </c>
      <c r="G15773" t="str">
        <f>"17-1723"</f>
        <v>17-1723</v>
      </c>
      <c r="H15773" t="str">
        <f>"B"</f>
        <v>B</v>
      </c>
    </row>
    <row r="15774" spans="1:8" x14ac:dyDescent="0.2">
      <c r="A15774" t="str">
        <f t="shared" si="5722"/>
        <v>0620106309</v>
      </c>
      <c r="B15774" t="str">
        <f t="shared" si="5723"/>
        <v>JASMINE</v>
      </c>
      <c r="C15774" t="str">
        <f t="shared" si="5724"/>
        <v>SHOCKEY</v>
      </c>
      <c r="D15774" t="str">
        <f t="shared" si="5721"/>
        <v>09</v>
      </c>
      <c r="E15774" t="str">
        <f>"05 - B - 201 - Lisa J London"</f>
        <v>05 - B - 201 - Lisa J London</v>
      </c>
      <c r="F15774" t="str">
        <f>"COMPRE LAW HON"</f>
        <v>COMPRE LAW HON</v>
      </c>
      <c r="G15774" t="str">
        <f>"17-1714"</f>
        <v>17-1714</v>
      </c>
      <c r="H15774" t="str">
        <f>"B"</f>
        <v>B</v>
      </c>
    </row>
    <row r="15775" spans="1:8" x14ac:dyDescent="0.2">
      <c r="A15775" t="str">
        <f t="shared" si="5722"/>
        <v>0620106309</v>
      </c>
      <c r="B15775" t="str">
        <f t="shared" si="5723"/>
        <v>JASMINE</v>
      </c>
      <c r="C15775" t="str">
        <f t="shared" si="5724"/>
        <v>SHOCKEY</v>
      </c>
      <c r="D15775" t="str">
        <f t="shared" si="5721"/>
        <v>09</v>
      </c>
      <c r="E15775" t="str">
        <f>"01 - A - 101 - Arthur  Kulawik"</f>
        <v>01 - A - 101 - Arthur  Kulawik</v>
      </c>
      <c r="F15775" t="str">
        <f>"DEBATE 1 LH"</f>
        <v>DEBATE 1 LH</v>
      </c>
      <c r="G15775" t="str">
        <f>"05-506"</f>
        <v>05-506</v>
      </c>
      <c r="H15775" t="str">
        <f>"A"</f>
        <v>A</v>
      </c>
    </row>
    <row r="15776" spans="1:8" x14ac:dyDescent="0.2">
      <c r="A15776" t="str">
        <f t="shared" si="5722"/>
        <v>0620106309</v>
      </c>
      <c r="B15776" t="str">
        <f t="shared" si="5723"/>
        <v>JASMINE</v>
      </c>
      <c r="C15776" t="str">
        <f t="shared" si="5724"/>
        <v>SHOCKEY</v>
      </c>
      <c r="D15776" t="str">
        <f t="shared" si="5721"/>
        <v>09</v>
      </c>
      <c r="E15776" t="str">
        <f>"08 - B - 101 - Elizabeth Ellen  Moran"</f>
        <v>08 - B - 101 - Elizabeth Ellen  Moran</v>
      </c>
      <c r="F15776" t="str">
        <f>"WORLD HISTORY"</f>
        <v>WORLD HISTORY</v>
      </c>
      <c r="G15776" t="str">
        <f>"17-1752"</f>
        <v>17-1752</v>
      </c>
      <c r="H15776" t="str">
        <f>"B"</f>
        <v>B</v>
      </c>
    </row>
    <row r="15777" spans="1:8" x14ac:dyDescent="0.2">
      <c r="A15777" t="str">
        <f t="shared" ref="A15777:A15784" si="5725">"0620106303"</f>
        <v>0620106303</v>
      </c>
      <c r="B15777" t="str">
        <f t="shared" ref="B15777:B15784" si="5726">"JULIA"</f>
        <v>JULIA</v>
      </c>
      <c r="C15777" t="str">
        <f t="shared" si="5724"/>
        <v>SHOCKEY</v>
      </c>
      <c r="D15777" t="str">
        <f t="shared" si="5721"/>
        <v>09</v>
      </c>
      <c r="E15777" t="str">
        <f>"04 - A - 102 - Tina L Lovett"</f>
        <v>04 - A - 102 - Tina L Lovett</v>
      </c>
      <c r="F15777" t="str">
        <f>"ALGEBRA 1"</f>
        <v>ALGEBRA 1</v>
      </c>
      <c r="G15777" t="str">
        <f>"21-2153"</f>
        <v>21-2153</v>
      </c>
      <c r="H15777" t="str">
        <f>"A"</f>
        <v>A</v>
      </c>
    </row>
    <row r="15778" spans="1:8" x14ac:dyDescent="0.2">
      <c r="A15778" t="str">
        <f t="shared" si="5725"/>
        <v>0620106303</v>
      </c>
      <c r="B15778" t="str">
        <f t="shared" si="5726"/>
        <v>JULIA</v>
      </c>
      <c r="C15778" t="str">
        <f t="shared" si="5724"/>
        <v>SHOCKEY</v>
      </c>
      <c r="D15778" t="str">
        <f t="shared" si="5721"/>
        <v>09</v>
      </c>
      <c r="E15778" t="str">
        <f>"06 - B - 104 - Lytrell T Dixon"</f>
        <v>06 - B - 104 - Lytrell T Dixon</v>
      </c>
      <c r="F15778" t="str">
        <f>"PRE-AICE BIO IG"</f>
        <v>PRE-AICE BIO IG</v>
      </c>
      <c r="G15778" t="str">
        <f>"08-808"</f>
        <v>08-808</v>
      </c>
      <c r="H15778" t="str">
        <f>"B"</f>
        <v>B</v>
      </c>
    </row>
    <row r="15779" spans="1:8" x14ac:dyDescent="0.2">
      <c r="A15779" t="str">
        <f t="shared" si="5725"/>
        <v>0620106303</v>
      </c>
      <c r="B15779" t="str">
        <f t="shared" si="5726"/>
        <v>JULIA</v>
      </c>
      <c r="C15779" t="str">
        <f t="shared" si="5724"/>
        <v>SHOCKEY</v>
      </c>
      <c r="D15779" t="str">
        <f t="shared" si="5721"/>
        <v>09</v>
      </c>
      <c r="E15779" t="str">
        <f>"03 - A - 203 - Elizabeth R Walker"</f>
        <v>03 - A - 203 - Elizabeth R Walker</v>
      </c>
      <c r="F15779" t="str">
        <f>"AICE ENG GEN PAPER 1"</f>
        <v>AICE ENG GEN PAPER 1</v>
      </c>
      <c r="G15779" t="str">
        <f>"17-1703"</f>
        <v>17-1703</v>
      </c>
      <c r="H15779" t="str">
        <f>"A"</f>
        <v>A</v>
      </c>
    </row>
    <row r="15780" spans="1:8" x14ac:dyDescent="0.2">
      <c r="A15780" t="str">
        <f t="shared" si="5725"/>
        <v>0620106303</v>
      </c>
      <c r="B15780" t="str">
        <f t="shared" si="5726"/>
        <v>JULIA</v>
      </c>
      <c r="C15780" t="str">
        <f t="shared" si="5724"/>
        <v>SHOCKEY</v>
      </c>
      <c r="D15780" t="str">
        <f t="shared" si="5721"/>
        <v>09</v>
      </c>
      <c r="E15780" t="str">
        <f>"02 - A - 113 - Amy Beth  Broyles"</f>
        <v>02 - A - 113 - Amy Beth  Broyles</v>
      </c>
      <c r="F15780" t="str">
        <f>"NC STUDY HALL 1"</f>
        <v>NC STUDY HALL 1</v>
      </c>
      <c r="G15780" t="str">
        <f>"08-802"</f>
        <v>08-802</v>
      </c>
      <c r="H15780" t="str">
        <f>"A"</f>
        <v>A</v>
      </c>
    </row>
    <row r="15781" spans="1:8" x14ac:dyDescent="0.2">
      <c r="A15781" t="str">
        <f t="shared" si="5725"/>
        <v>0620106303</v>
      </c>
      <c r="B15781" t="str">
        <f t="shared" si="5726"/>
        <v>JULIA</v>
      </c>
      <c r="C15781" t="str">
        <f t="shared" si="5724"/>
        <v>SHOCKEY</v>
      </c>
      <c r="D15781" t="str">
        <f t="shared" si="5721"/>
        <v>09</v>
      </c>
      <c r="E15781" t="str">
        <f>"07 - S1 - B - 102 - Arthur  Kulawik"</f>
        <v>07 - S1 - B - 102 - Arthur  Kulawik</v>
      </c>
      <c r="F15781" t="str">
        <f>"PERS FIN &amp; MON MGT H"</f>
        <v>PERS FIN &amp; MON MGT H</v>
      </c>
      <c r="G15781" t="str">
        <f>"05-506"</f>
        <v>05-506</v>
      </c>
      <c r="H15781" t="str">
        <f>"B"</f>
        <v>B</v>
      </c>
    </row>
    <row r="15782" spans="1:8" x14ac:dyDescent="0.2">
      <c r="A15782" t="str">
        <f t="shared" si="5725"/>
        <v>0620106303</v>
      </c>
      <c r="B15782" t="str">
        <f t="shared" si="5726"/>
        <v>JULIA</v>
      </c>
      <c r="C15782" t="str">
        <f t="shared" si="5724"/>
        <v>SHOCKEY</v>
      </c>
      <c r="D15782" t="str">
        <f t="shared" si="5721"/>
        <v>09</v>
      </c>
      <c r="E15782" t="str">
        <f>"05 - B - 201 - Lisa J London"</f>
        <v>05 - B - 201 - Lisa J London</v>
      </c>
      <c r="F15782" t="str">
        <f>"COMPRE LAW HON"</f>
        <v>COMPRE LAW HON</v>
      </c>
      <c r="G15782" t="str">
        <f>"17-1714"</f>
        <v>17-1714</v>
      </c>
      <c r="H15782" t="str">
        <f>"B"</f>
        <v>B</v>
      </c>
    </row>
    <row r="15783" spans="1:8" x14ac:dyDescent="0.2">
      <c r="A15783" t="str">
        <f t="shared" si="5725"/>
        <v>0620106303</v>
      </c>
      <c r="B15783" t="str">
        <f t="shared" si="5726"/>
        <v>JULIA</v>
      </c>
      <c r="C15783" t="str">
        <f t="shared" si="5724"/>
        <v>SHOCKEY</v>
      </c>
      <c r="D15783" t="str">
        <f t="shared" si="5721"/>
        <v>09</v>
      </c>
      <c r="E15783" t="str">
        <f>"01 - A - 101 - Rory T Sponsler"</f>
        <v>01 - A - 101 - Rory T Sponsler</v>
      </c>
      <c r="F15783" t="str">
        <f>"PRE-AICE WRLD HST IG"</f>
        <v>PRE-AICE WRLD HST IG</v>
      </c>
      <c r="G15783" t="str">
        <f>"17-1740"</f>
        <v>17-1740</v>
      </c>
      <c r="H15783" t="str">
        <f>"A"</f>
        <v>A</v>
      </c>
    </row>
    <row r="15784" spans="1:8" x14ac:dyDescent="0.2">
      <c r="A15784" t="str">
        <f t="shared" si="5725"/>
        <v>0620106303</v>
      </c>
      <c r="B15784" t="str">
        <f t="shared" si="5726"/>
        <v>JULIA</v>
      </c>
      <c r="C15784" t="str">
        <f t="shared" si="5724"/>
        <v>SHOCKEY</v>
      </c>
      <c r="D15784" t="str">
        <f t="shared" si="5721"/>
        <v>09</v>
      </c>
      <c r="E15784" t="str">
        <f>"08 - B - 108 - Tina L Lovett"</f>
        <v>08 - B - 108 - Tina L Lovett</v>
      </c>
      <c r="F15784" t="str">
        <f>"FDN SKLS MATH 9-12"</f>
        <v>FDN SKLS MATH 9-12</v>
      </c>
      <c r="G15784" t="str">
        <f>"21-2153"</f>
        <v>21-2153</v>
      </c>
      <c r="H15784" t="str">
        <f>"B"</f>
        <v>B</v>
      </c>
    </row>
    <row r="15785" spans="1:8" x14ac:dyDescent="0.2">
      <c r="A15785" t="str">
        <f t="shared" ref="A15785:A15793" si="5727">"0608121437"</f>
        <v>0608121437</v>
      </c>
      <c r="B15785" t="str">
        <f t="shared" ref="B15785:B15793" si="5728">"ETHAN"</f>
        <v>ETHAN</v>
      </c>
      <c r="C15785" t="str">
        <f t="shared" ref="C15785:C15793" si="5729">"SHOLTZ"</f>
        <v>SHOLTZ</v>
      </c>
      <c r="D15785">
        <f>12</f>
        <v>12</v>
      </c>
      <c r="E15785" t="str">
        <f>"04 - A - 101 - Chrystina M Marchionne"</f>
        <v>04 - A - 101 - Chrystina M Marchionne</v>
      </c>
      <c r="F15785" t="str">
        <f>"THEA CIN &amp; FILM LH"</f>
        <v>THEA CIN &amp; FILM LH</v>
      </c>
      <c r="G15785" t="str">
        <f>"05-520"</f>
        <v>05-520</v>
      </c>
      <c r="H15785" t="str">
        <f>"A"</f>
        <v>A</v>
      </c>
    </row>
    <row r="15786" spans="1:8" x14ac:dyDescent="0.2">
      <c r="A15786" t="str">
        <f t="shared" si="5727"/>
        <v>0608121437</v>
      </c>
      <c r="B15786" t="str">
        <f t="shared" si="5728"/>
        <v>ETHAN</v>
      </c>
      <c r="C15786" t="str">
        <f t="shared" si="5729"/>
        <v>SHOLTZ</v>
      </c>
      <c r="D15786">
        <f>12</f>
        <v>12</v>
      </c>
      <c r="E15786" t="str">
        <f>"06 - B - 101 - Cliffon  Saurel"</f>
        <v>06 - B - 101 - Cliffon  Saurel</v>
      </c>
      <c r="F15786" t="str">
        <f>"NC STUDY HALL 1"</f>
        <v>NC STUDY HALL 1</v>
      </c>
      <c r="G15786" t="str">
        <f>"05-522"</f>
        <v>05-522</v>
      </c>
      <c r="H15786" t="str">
        <f>"B"</f>
        <v>B</v>
      </c>
    </row>
    <row r="15787" spans="1:8" x14ac:dyDescent="0.2">
      <c r="A15787" t="str">
        <f t="shared" si="5727"/>
        <v>0608121437</v>
      </c>
      <c r="B15787" t="str">
        <f t="shared" si="5728"/>
        <v>ETHAN</v>
      </c>
      <c r="C15787" t="str">
        <f t="shared" si="5729"/>
        <v>SHOLTZ</v>
      </c>
      <c r="D15787">
        <f>12</f>
        <v>12</v>
      </c>
      <c r="E15787" t="str">
        <f>"06 - B - 116 - Karen A Toomer"</f>
        <v>06 - B - 116 - Karen A Toomer</v>
      </c>
      <c r="F15787" t="str">
        <f>"LANG THERAPY"</f>
        <v>LANG THERAPY</v>
      </c>
      <c r="G15787" t="str">
        <f>"21-2110"</f>
        <v>21-2110</v>
      </c>
      <c r="H15787" t="str">
        <f>"B"</f>
        <v>B</v>
      </c>
    </row>
    <row r="15788" spans="1:8" x14ac:dyDescent="0.2">
      <c r="A15788" t="str">
        <f t="shared" si="5727"/>
        <v>0608121437</v>
      </c>
      <c r="B15788" t="str">
        <f t="shared" si="5728"/>
        <v>ETHAN</v>
      </c>
      <c r="C15788" t="str">
        <f t="shared" si="5729"/>
        <v>SHOLTZ</v>
      </c>
      <c r="D15788">
        <f>12</f>
        <v>12</v>
      </c>
      <c r="E15788" t="str">
        <f>"03 - A - 103 - Samantha J Headley"</f>
        <v>03 - A - 103 - Samantha J Headley</v>
      </c>
      <c r="F15788" t="str">
        <f>"MARINE SCI 1 HON"</f>
        <v>MARINE SCI 1 HON</v>
      </c>
      <c r="G15788" t="str">
        <f>"21-2134"</f>
        <v>21-2134</v>
      </c>
      <c r="H15788" t="str">
        <f>"A"</f>
        <v>A</v>
      </c>
    </row>
    <row r="15789" spans="1:8" x14ac:dyDescent="0.2">
      <c r="A15789" t="str">
        <f t="shared" si="5727"/>
        <v>0608121437</v>
      </c>
      <c r="B15789" t="str">
        <f t="shared" si="5728"/>
        <v>ETHAN</v>
      </c>
      <c r="C15789" t="str">
        <f t="shared" si="5729"/>
        <v>SHOLTZ</v>
      </c>
      <c r="D15789">
        <f>12</f>
        <v>12</v>
      </c>
      <c r="E15789" t="str">
        <f>"02 - S1 - A - 104 - Robert O Burger"</f>
        <v>02 - S1 - A - 104 - Robert O Burger</v>
      </c>
      <c r="F15789" t="str">
        <f>"US GOVT"</f>
        <v>US GOVT</v>
      </c>
      <c r="G15789" t="str">
        <f>"17-1755"</f>
        <v>17-1755</v>
      </c>
      <c r="H15789" t="str">
        <f>"A"</f>
        <v>A</v>
      </c>
    </row>
    <row r="15790" spans="1:8" x14ac:dyDescent="0.2">
      <c r="A15790" t="str">
        <f t="shared" si="5727"/>
        <v>0608121437</v>
      </c>
      <c r="B15790" t="str">
        <f t="shared" si="5728"/>
        <v>ETHAN</v>
      </c>
      <c r="C15790" t="str">
        <f t="shared" si="5729"/>
        <v>SHOLTZ</v>
      </c>
      <c r="D15790">
        <f>12</f>
        <v>12</v>
      </c>
      <c r="E15790" t="str">
        <f>"07 - B - 105 - Robert H Rindner"</f>
        <v>07 - B - 105 - Robert H Rindner</v>
      </c>
      <c r="F15790" t="str">
        <f>"MATH DATA&amp;FIN LIT H"</f>
        <v>MATH DATA&amp;FIN LIT H</v>
      </c>
      <c r="G15790" t="str">
        <f>"21-2160"</f>
        <v>21-2160</v>
      </c>
      <c r="H15790" t="str">
        <f>"B"</f>
        <v>B</v>
      </c>
    </row>
    <row r="15791" spans="1:8" x14ac:dyDescent="0.2">
      <c r="A15791" t="str">
        <f t="shared" si="5727"/>
        <v>0608121437</v>
      </c>
      <c r="B15791" t="str">
        <f t="shared" si="5728"/>
        <v>ETHAN</v>
      </c>
      <c r="C15791" t="str">
        <f t="shared" si="5729"/>
        <v>SHOLTZ</v>
      </c>
      <c r="D15791">
        <f>12</f>
        <v>12</v>
      </c>
      <c r="E15791" t="str">
        <f>"05 - S1 - B - 102 - Richard E Dunbar Iii"</f>
        <v>05 - S1 - B - 102 - Richard E Dunbar Iii</v>
      </c>
      <c r="F15791" t="str">
        <f>"TEAM SPORTS 1"</f>
        <v>TEAM SPORTS 1</v>
      </c>
      <c r="G15791" t="str">
        <f>"04-254"</f>
        <v>04-254</v>
      </c>
      <c r="H15791" t="str">
        <f>"B"</f>
        <v>B</v>
      </c>
    </row>
    <row r="15792" spans="1:8" x14ac:dyDescent="0.2">
      <c r="A15792" t="str">
        <f t="shared" si="5727"/>
        <v>0608121437</v>
      </c>
      <c r="B15792" t="str">
        <f t="shared" si="5728"/>
        <v>ETHAN</v>
      </c>
      <c r="C15792" t="str">
        <f t="shared" si="5729"/>
        <v>SHOLTZ</v>
      </c>
      <c r="D15792">
        <f>12</f>
        <v>12</v>
      </c>
      <c r="E15792" t="str">
        <f>"01 - A - 103 - Robyn L Trainer"</f>
        <v>01 - A - 103 - Robyn L Trainer</v>
      </c>
      <c r="F15792" t="str">
        <f>"ENG 4"</f>
        <v>ENG 4</v>
      </c>
      <c r="G15792" t="str">
        <f>"17-1734"</f>
        <v>17-1734</v>
      </c>
      <c r="H15792" t="str">
        <f>"A"</f>
        <v>A</v>
      </c>
    </row>
    <row r="15793" spans="1:8" x14ac:dyDescent="0.2">
      <c r="A15793" t="str">
        <f t="shared" si="5727"/>
        <v>0608121437</v>
      </c>
      <c r="B15793" t="str">
        <f t="shared" si="5728"/>
        <v>ETHAN</v>
      </c>
      <c r="C15793" t="str">
        <f t="shared" si="5729"/>
        <v>SHOLTZ</v>
      </c>
      <c r="D15793">
        <f>12</f>
        <v>12</v>
      </c>
      <c r="E15793" t="str">
        <f>"08 - B - 001 - Chrystina M Marchionne"</f>
        <v>08 - B - 001 - Chrystina M Marchionne</v>
      </c>
      <c r="F15793" t="str">
        <f>"JOURN 1 (YB) LH"</f>
        <v>JOURN 1 (YB) LH</v>
      </c>
      <c r="G15793" t="str">
        <f>"05-520"</f>
        <v>05-520</v>
      </c>
      <c r="H15793" t="str">
        <f>"B"</f>
        <v>B</v>
      </c>
    </row>
    <row r="15794" spans="1:8" x14ac:dyDescent="0.2">
      <c r="A15794" t="str">
        <f t="shared" ref="A15794:A15802" si="5730">"0615080432"</f>
        <v>0615080432</v>
      </c>
      <c r="B15794" t="str">
        <f t="shared" ref="B15794:B15802" si="5731">"DEREK"</f>
        <v>DEREK</v>
      </c>
      <c r="C15794" t="str">
        <f t="shared" ref="C15794:C15802" si="5732">"SHOPOVICK"</f>
        <v>SHOPOVICK</v>
      </c>
      <c r="D15794" t="str">
        <f t="shared" ref="D15794:D15802" si="5733">"09"</f>
        <v>09</v>
      </c>
      <c r="E15794" t="str">
        <f>"04 - A - 005 - Emmily A Sarmiento"</f>
        <v>04 - A - 005 - Emmily A Sarmiento</v>
      </c>
      <c r="F15794" t="str">
        <f>"AICE GLBL PERSP 1 AS"</f>
        <v>AICE GLBL PERSP 1 AS</v>
      </c>
      <c r="G15794" t="str">
        <f>"17-1743"</f>
        <v>17-1743</v>
      </c>
      <c r="H15794" t="str">
        <f>"A"</f>
        <v>A</v>
      </c>
    </row>
    <row r="15795" spans="1:8" x14ac:dyDescent="0.2">
      <c r="A15795" t="str">
        <f t="shared" si="5730"/>
        <v>0615080432</v>
      </c>
      <c r="B15795" t="str">
        <f t="shared" si="5731"/>
        <v>DEREK</v>
      </c>
      <c r="C15795" t="str">
        <f t="shared" si="5732"/>
        <v>SHOPOVICK</v>
      </c>
      <c r="D15795" t="str">
        <f t="shared" si="5733"/>
        <v>09</v>
      </c>
      <c r="E15795" t="str">
        <f>"06 - B - 105 - Cheryl L Beach"</f>
        <v>06 - B - 105 - Cheryl L Beach</v>
      </c>
      <c r="F15795" t="str">
        <f>"AICE ENV MGMNT AS"</f>
        <v>AICE ENV MGMNT AS</v>
      </c>
      <c r="G15795" t="str">
        <f>"08-811"</f>
        <v>08-811</v>
      </c>
      <c r="H15795" t="str">
        <f>"B"</f>
        <v>B</v>
      </c>
    </row>
    <row r="15796" spans="1:8" x14ac:dyDescent="0.2">
      <c r="A15796" t="str">
        <f t="shared" si="5730"/>
        <v>0615080432</v>
      </c>
      <c r="B15796" t="str">
        <f t="shared" si="5731"/>
        <v>DEREK</v>
      </c>
      <c r="C15796" t="str">
        <f t="shared" si="5732"/>
        <v>SHOPOVICK</v>
      </c>
      <c r="D15796" t="str">
        <f t="shared" si="5733"/>
        <v>09</v>
      </c>
      <c r="E15796" t="str">
        <f>"03 - A - 101 - Alejandro  Navarro"</f>
        <v>03 - A - 101 - Alejandro  Navarro</v>
      </c>
      <c r="F15796" t="str">
        <f>"BAND 3"</f>
        <v>BAND 3</v>
      </c>
      <c r="G15796" t="str">
        <f>"05-504"</f>
        <v>05-504</v>
      </c>
      <c r="H15796" t="str">
        <f>"A"</f>
        <v>A</v>
      </c>
    </row>
    <row r="15797" spans="1:8" x14ac:dyDescent="0.2">
      <c r="A15797" t="str">
        <f t="shared" si="5730"/>
        <v>0615080432</v>
      </c>
      <c r="B15797" t="str">
        <f t="shared" si="5731"/>
        <v>DEREK</v>
      </c>
      <c r="C15797" t="str">
        <f t="shared" si="5732"/>
        <v>SHOPOVICK</v>
      </c>
      <c r="D15797" t="str">
        <f t="shared" si="5733"/>
        <v>09</v>
      </c>
      <c r="E15797" t="str">
        <f>"02 - A - 101 - Josiah I Lacy"</f>
        <v>02 - A - 101 - Josiah I Lacy</v>
      </c>
      <c r="F15797" t="str">
        <f>"NC STUDY HALL 1"</f>
        <v>NC STUDY HALL 1</v>
      </c>
      <c r="G15797" t="str">
        <f>"08-801"</f>
        <v>08-801</v>
      </c>
      <c r="H15797" t="str">
        <f>"A"</f>
        <v>A</v>
      </c>
    </row>
    <row r="15798" spans="1:8" x14ac:dyDescent="0.2">
      <c r="A15798" t="str">
        <f t="shared" si="5730"/>
        <v>0615080432</v>
      </c>
      <c r="B15798" t="str">
        <f t="shared" si="5731"/>
        <v>DEREK</v>
      </c>
      <c r="C15798" t="str">
        <f t="shared" si="5732"/>
        <v>SHOPOVICK</v>
      </c>
      <c r="D15798" t="str">
        <f t="shared" si="5733"/>
        <v>09</v>
      </c>
      <c r="E15798" t="str">
        <f>"02 - A - 102 - Eric  Lopapa"</f>
        <v>02 - A - 102 - Eric  Lopapa</v>
      </c>
      <c r="F15798" t="str">
        <f>"SPEECH THRPY"</f>
        <v>SPEECH THRPY</v>
      </c>
      <c r="G15798" t="str">
        <f>"21-2110"</f>
        <v>21-2110</v>
      </c>
      <c r="H15798" t="str">
        <f>"A"</f>
        <v>A</v>
      </c>
    </row>
    <row r="15799" spans="1:8" x14ac:dyDescent="0.2">
      <c r="A15799" t="str">
        <f t="shared" si="5730"/>
        <v>0615080432</v>
      </c>
      <c r="B15799" t="str">
        <f t="shared" si="5731"/>
        <v>DEREK</v>
      </c>
      <c r="C15799" t="str">
        <f t="shared" si="5732"/>
        <v>SHOPOVICK</v>
      </c>
      <c r="D15799" t="str">
        <f t="shared" si="5733"/>
        <v>09</v>
      </c>
      <c r="E15799" t="str">
        <f>"07 - B - 105 - Joe  Kilpatrick Jr"</f>
        <v>07 - B - 105 - Joe  Kilpatrick Jr</v>
      </c>
      <c r="F15799" t="str">
        <f>"PRE-AICE SPAN 1 IG"</f>
        <v>PRE-AICE SPAN 1 IG</v>
      </c>
      <c r="G15799" t="str">
        <f>"09-912"</f>
        <v>09-912</v>
      </c>
      <c r="H15799" t="str">
        <f>"B"</f>
        <v>B</v>
      </c>
    </row>
    <row r="15800" spans="1:8" x14ac:dyDescent="0.2">
      <c r="A15800" t="str">
        <f t="shared" si="5730"/>
        <v>0615080432</v>
      </c>
      <c r="B15800" t="str">
        <f t="shared" si="5731"/>
        <v>DEREK</v>
      </c>
      <c r="C15800" t="str">
        <f t="shared" si="5732"/>
        <v>SHOPOVICK</v>
      </c>
      <c r="D15800" t="str">
        <f t="shared" si="5733"/>
        <v>09</v>
      </c>
      <c r="E15800" t="str">
        <f>"05 - B - 104 - Maried P Ramos"</f>
        <v>05 - B - 104 - Maried P Ramos</v>
      </c>
      <c r="F15800" t="str">
        <f>"PRE-AICE MATH 2 IG"</f>
        <v>PRE-AICE MATH 2 IG</v>
      </c>
      <c r="G15800" t="str">
        <f>"21-2159"</f>
        <v>21-2159</v>
      </c>
      <c r="H15800" t="str">
        <f>"B"</f>
        <v>B</v>
      </c>
    </row>
    <row r="15801" spans="1:8" x14ac:dyDescent="0.2">
      <c r="A15801" t="str">
        <f t="shared" si="5730"/>
        <v>0615080432</v>
      </c>
      <c r="B15801" t="str">
        <f t="shared" si="5731"/>
        <v>DEREK</v>
      </c>
      <c r="C15801" t="str">
        <f t="shared" si="5732"/>
        <v>SHOPOVICK</v>
      </c>
      <c r="D15801" t="str">
        <f t="shared" si="5733"/>
        <v>09</v>
      </c>
      <c r="E15801" t="str">
        <f>"01 - A - 101 - Elizabeth R Walker"</f>
        <v>01 - A - 101 - Elizabeth R Walker</v>
      </c>
      <c r="F15801" t="str">
        <f>"AICE ENG GEN PAPER 1"</f>
        <v>AICE ENG GEN PAPER 1</v>
      </c>
      <c r="G15801" t="str">
        <f>"17-1703"</f>
        <v>17-1703</v>
      </c>
      <c r="H15801" t="str">
        <f>"A"</f>
        <v>A</v>
      </c>
    </row>
    <row r="15802" spans="1:8" x14ac:dyDescent="0.2">
      <c r="A15802" t="str">
        <f t="shared" si="5730"/>
        <v>0615080432</v>
      </c>
      <c r="B15802" t="str">
        <f t="shared" si="5731"/>
        <v>DEREK</v>
      </c>
      <c r="C15802" t="str">
        <f t="shared" si="5732"/>
        <v>SHOPOVICK</v>
      </c>
      <c r="D15802" t="str">
        <f t="shared" si="5733"/>
        <v>09</v>
      </c>
      <c r="E15802" t="str">
        <f>"08 - B - 108 - Adam Marcus  Drucker"</f>
        <v>08 - B - 108 - Adam Marcus  Drucker</v>
      </c>
      <c r="F15802" t="str">
        <f>"HOPE-PE V"</f>
        <v>HOPE-PE V</v>
      </c>
      <c r="G15802" t="str">
        <f>"04-254"</f>
        <v>04-254</v>
      </c>
      <c r="H15802" t="str">
        <f>"B"</f>
        <v>B</v>
      </c>
    </row>
    <row r="15803" spans="1:8" x14ac:dyDescent="0.2">
      <c r="A15803" t="str">
        <f t="shared" ref="A15803:A15810" si="5734">"0618037917"</f>
        <v>0618037917</v>
      </c>
      <c r="B15803" t="str">
        <f t="shared" ref="B15803:B15810" si="5735">"VIKTORIIA"</f>
        <v>VIKTORIIA</v>
      </c>
      <c r="C15803" t="str">
        <f t="shared" ref="C15803:C15810" si="5736">"SHOSTIA"</f>
        <v>SHOSTIA</v>
      </c>
      <c r="D15803">
        <f>11</f>
        <v>11</v>
      </c>
      <c r="E15803" t="str">
        <f>"04 - A - 101 - Brian M Fitzgerald"</f>
        <v>04 - A - 101 - Brian M Fitzgerald</v>
      </c>
      <c r="F15803" t="str">
        <f>"AP 2-D ART &amp; DESIGN"</f>
        <v>AP 2-D ART &amp; DESIGN</v>
      </c>
      <c r="G15803" t="str">
        <f>"09-908"</f>
        <v>09-908</v>
      </c>
      <c r="H15803" t="str">
        <f>"A"</f>
        <v>A</v>
      </c>
    </row>
    <row r="15804" spans="1:8" x14ac:dyDescent="0.2">
      <c r="A15804" t="str">
        <f t="shared" si="5734"/>
        <v>0618037917</v>
      </c>
      <c r="B15804" t="str">
        <f t="shared" si="5735"/>
        <v>VIKTORIIA</v>
      </c>
      <c r="C15804" t="str">
        <f t="shared" si="5736"/>
        <v>SHOSTIA</v>
      </c>
      <c r="D15804">
        <f>11</f>
        <v>11</v>
      </c>
      <c r="E15804" t="str">
        <f>"06 - B - 102 - Rosa Elaine  Collado-Duff"</f>
        <v>06 - B - 102 - Rosa Elaine  Collado-Duff</v>
      </c>
      <c r="F15804" t="str">
        <f>"SPANISH 3 HON"</f>
        <v>SPANISH 3 HON</v>
      </c>
      <c r="G15804" t="str">
        <f>"09-913"</f>
        <v>09-913</v>
      </c>
      <c r="H15804" t="str">
        <f>"B"</f>
        <v>B</v>
      </c>
    </row>
    <row r="15805" spans="1:8" x14ac:dyDescent="0.2">
      <c r="A15805" t="str">
        <f t="shared" si="5734"/>
        <v>0618037917</v>
      </c>
      <c r="B15805" t="str">
        <f t="shared" si="5735"/>
        <v>VIKTORIIA</v>
      </c>
      <c r="C15805" t="str">
        <f t="shared" si="5736"/>
        <v>SHOSTIA</v>
      </c>
      <c r="D15805">
        <f>11</f>
        <v>11</v>
      </c>
      <c r="E15805" t="str">
        <f>"03 - A - 101 - Dorothy D Moore"</f>
        <v>03 - A - 101 - Dorothy D Moore</v>
      </c>
      <c r="F15805" t="str">
        <f>"FORC SCI 1 LH"</f>
        <v>FORC SCI 1 LH</v>
      </c>
      <c r="G15805" t="str">
        <f>"08-803"</f>
        <v>08-803</v>
      </c>
      <c r="H15805" t="str">
        <f>"A"</f>
        <v>A</v>
      </c>
    </row>
    <row r="15806" spans="1:8" x14ac:dyDescent="0.2">
      <c r="A15806" t="str">
        <f t="shared" si="5734"/>
        <v>0618037917</v>
      </c>
      <c r="B15806" t="str">
        <f t="shared" si="5735"/>
        <v>VIKTORIIA</v>
      </c>
      <c r="C15806" t="str">
        <f t="shared" si="5736"/>
        <v>SHOSTIA</v>
      </c>
      <c r="D15806">
        <f>11</f>
        <v>11</v>
      </c>
      <c r="E15806" t="str">
        <f>"02 - A - 001 - Courtney E Hambright"</f>
        <v>02 - A - 001 - Courtney E Hambright</v>
      </c>
      <c r="F15806" t="str">
        <f>"NC STUDY HALL 1"</f>
        <v>NC STUDY HALL 1</v>
      </c>
      <c r="G15806" t="str">
        <f>"17-1711"</f>
        <v>17-1711</v>
      </c>
      <c r="H15806" t="str">
        <f>"A"</f>
        <v>A</v>
      </c>
    </row>
    <row r="15807" spans="1:8" x14ac:dyDescent="0.2">
      <c r="A15807" t="str">
        <f t="shared" si="5734"/>
        <v>0618037917</v>
      </c>
      <c r="B15807" t="str">
        <f t="shared" si="5735"/>
        <v>VIKTORIIA</v>
      </c>
      <c r="C15807" t="str">
        <f t="shared" si="5736"/>
        <v>SHOSTIA</v>
      </c>
      <c r="D15807">
        <f>11</f>
        <v>11</v>
      </c>
      <c r="E15807" t="str">
        <f>"07 - B - 102 - Pamela M Corzo"</f>
        <v>07 - B - 102 - Pamela M Corzo</v>
      </c>
      <c r="F15807" t="str">
        <f>"AP CALCULUS AB"</f>
        <v>AP CALCULUS AB</v>
      </c>
      <c r="G15807" t="str">
        <f>"21-2133"</f>
        <v>21-2133</v>
      </c>
      <c r="H15807" t="str">
        <f>"B"</f>
        <v>B</v>
      </c>
    </row>
    <row r="15808" spans="1:8" x14ac:dyDescent="0.2">
      <c r="A15808" t="str">
        <f t="shared" si="5734"/>
        <v>0618037917</v>
      </c>
      <c r="B15808" t="str">
        <f t="shared" si="5735"/>
        <v>VIKTORIIA</v>
      </c>
      <c r="C15808" t="str">
        <f t="shared" si="5736"/>
        <v>SHOSTIA</v>
      </c>
      <c r="D15808">
        <f>11</f>
        <v>11</v>
      </c>
      <c r="E15808" t="str">
        <f>"05 - B - 103 - Tina M Jaramillo"</f>
        <v>05 - B - 103 - Tina M Jaramillo</v>
      </c>
      <c r="F15808" t="str">
        <f>"AP ENG COMPO"</f>
        <v>AP ENG COMPO</v>
      </c>
      <c r="G15808" t="str">
        <f>"17-1706"</f>
        <v>17-1706</v>
      </c>
      <c r="H15808" t="str">
        <f>"B"</f>
        <v>B</v>
      </c>
    </row>
    <row r="15809" spans="1:8" x14ac:dyDescent="0.2">
      <c r="A15809" t="str">
        <f t="shared" si="5734"/>
        <v>0618037917</v>
      </c>
      <c r="B15809" t="str">
        <f t="shared" si="5735"/>
        <v>VIKTORIIA</v>
      </c>
      <c r="C15809" t="str">
        <f t="shared" si="5736"/>
        <v>SHOSTIA</v>
      </c>
      <c r="D15809">
        <f>11</f>
        <v>11</v>
      </c>
      <c r="E15809" t="str">
        <f>"01 - A - 103 - Scott A Dethloff"</f>
        <v>01 - A - 103 - Scott A Dethloff</v>
      </c>
      <c r="F15809" t="str">
        <f>"AICE THINK SKLS 1 AS"</f>
        <v>AICE THINK SKLS 1 AS</v>
      </c>
      <c r="G15809" t="str">
        <f>"08-812"</f>
        <v>08-812</v>
      </c>
      <c r="H15809" t="str">
        <f>"A"</f>
        <v>A</v>
      </c>
    </row>
    <row r="15810" spans="1:8" x14ac:dyDescent="0.2">
      <c r="A15810" t="str">
        <f t="shared" si="5734"/>
        <v>0618037917</v>
      </c>
      <c r="B15810" t="str">
        <f t="shared" si="5735"/>
        <v>VIKTORIIA</v>
      </c>
      <c r="C15810" t="str">
        <f t="shared" si="5736"/>
        <v>SHOSTIA</v>
      </c>
      <c r="D15810">
        <f>11</f>
        <v>11</v>
      </c>
      <c r="E15810" t="str">
        <f>"08 - B - 101 - Jordana K Hass"</f>
        <v>08 - B - 101 - Jordana K Hass</v>
      </c>
      <c r="F15810" t="str">
        <f>"AICE INFO TECH 1 AS"</f>
        <v>AICE INFO TECH 1 AS</v>
      </c>
      <c r="G15810" t="str">
        <f>"08-807"</f>
        <v>08-807</v>
      </c>
      <c r="H15810" t="str">
        <f>"B"</f>
        <v>B</v>
      </c>
    </row>
    <row r="15811" spans="1:8" x14ac:dyDescent="0.2">
      <c r="A15811" t="str">
        <f t="shared" ref="A15811:A15818" si="5737">"0624073803"</f>
        <v>0624073803</v>
      </c>
      <c r="B15811" t="str">
        <f t="shared" ref="B15811:B15818" si="5738">"IVAN"</f>
        <v>IVAN</v>
      </c>
      <c r="C15811" t="str">
        <f t="shared" ref="C15811:C15818" si="5739">"SHUKH"</f>
        <v>SHUKH</v>
      </c>
      <c r="D15811">
        <f>11</f>
        <v>11</v>
      </c>
      <c r="E15811" t="str">
        <f>"04 - A - 102 - Elizabeth Ellen  Moran"</f>
        <v>04 - A - 102 - Elizabeth Ellen  Moran</v>
      </c>
      <c r="F15811" t="str">
        <f>"US HISTORY"</f>
        <v>US HISTORY</v>
      </c>
      <c r="G15811" t="str">
        <f>"17-1752"</f>
        <v>17-1752</v>
      </c>
      <c r="H15811" t="str">
        <f>"A"</f>
        <v>A</v>
      </c>
    </row>
    <row r="15812" spans="1:8" x14ac:dyDescent="0.2">
      <c r="A15812" t="str">
        <f t="shared" si="5737"/>
        <v>0624073803</v>
      </c>
      <c r="B15812" t="str">
        <f t="shared" si="5738"/>
        <v>IVAN</v>
      </c>
      <c r="C15812" t="str">
        <f t="shared" si="5739"/>
        <v>SHUKH</v>
      </c>
      <c r="D15812">
        <f>11</f>
        <v>11</v>
      </c>
      <c r="E15812" t="str">
        <f>"06 - B - 105 - Arthur  Kulawik"</f>
        <v>06 - B - 105 - Arthur  Kulawik</v>
      </c>
      <c r="F15812" t="str">
        <f>"ENG 3"</f>
        <v>ENG 3</v>
      </c>
      <c r="G15812" t="str">
        <f>"05-506"</f>
        <v>05-506</v>
      </c>
      <c r="H15812" t="str">
        <f>"B"</f>
        <v>B</v>
      </c>
    </row>
    <row r="15813" spans="1:8" x14ac:dyDescent="0.2">
      <c r="A15813" t="str">
        <f t="shared" si="5737"/>
        <v>0624073803</v>
      </c>
      <c r="B15813" t="str">
        <f t="shared" si="5738"/>
        <v>IVAN</v>
      </c>
      <c r="C15813" t="str">
        <f t="shared" si="5739"/>
        <v>SHUKH</v>
      </c>
      <c r="D15813">
        <f>11</f>
        <v>11</v>
      </c>
      <c r="E15813" t="str">
        <f>"03 - A - 103 - Pamela M Corzo"</f>
        <v>03 - A - 103 - Pamela M Corzo</v>
      </c>
      <c r="F15813" t="str">
        <f>"ALGEBRA 2 HON"</f>
        <v>ALGEBRA 2 HON</v>
      </c>
      <c r="G15813" t="str">
        <f>"21-2133"</f>
        <v>21-2133</v>
      </c>
      <c r="H15813" t="str">
        <f>"A"</f>
        <v>A</v>
      </c>
    </row>
    <row r="15814" spans="1:8" x14ac:dyDescent="0.2">
      <c r="A15814" t="str">
        <f t="shared" si="5737"/>
        <v>0624073803</v>
      </c>
      <c r="B15814" t="str">
        <f t="shared" si="5738"/>
        <v>IVAN</v>
      </c>
      <c r="C15814" t="str">
        <f t="shared" si="5739"/>
        <v>SHUKH</v>
      </c>
      <c r="D15814">
        <f>11</f>
        <v>11</v>
      </c>
      <c r="E15814" t="str">
        <f>"02 - A - 114 - Eva T Rimmer"</f>
        <v>02 - A - 114 - Eva T Rimmer</v>
      </c>
      <c r="F15814" t="str">
        <f>"NC STUDY HALL 1"</f>
        <v>NC STUDY HALL 1</v>
      </c>
      <c r="G15814" t="str">
        <f>"05-523"</f>
        <v>05-523</v>
      </c>
      <c r="H15814" t="str">
        <f>"A"</f>
        <v>A</v>
      </c>
    </row>
    <row r="15815" spans="1:8" x14ac:dyDescent="0.2">
      <c r="A15815" t="str">
        <f t="shared" si="5737"/>
        <v>0624073803</v>
      </c>
      <c r="B15815" t="str">
        <f t="shared" si="5738"/>
        <v>IVAN</v>
      </c>
      <c r="C15815" t="str">
        <f t="shared" si="5739"/>
        <v>SHUKH</v>
      </c>
      <c r="D15815">
        <f>11</f>
        <v>11</v>
      </c>
      <c r="E15815" t="str">
        <f>"07 - B - 105 - Josiah I Lacy"</f>
        <v>07 - B - 105 - Josiah I Lacy</v>
      </c>
      <c r="F15815" t="str">
        <f>"ANAT PHYSIO HON"</f>
        <v>ANAT PHYSIO HON</v>
      </c>
      <c r="G15815" t="str">
        <f>"08-801"</f>
        <v>08-801</v>
      </c>
      <c r="H15815" t="str">
        <f>"B"</f>
        <v>B</v>
      </c>
    </row>
    <row r="15816" spans="1:8" x14ac:dyDescent="0.2">
      <c r="A15816" t="str">
        <f t="shared" si="5737"/>
        <v>0624073803</v>
      </c>
      <c r="B15816" t="str">
        <f t="shared" si="5738"/>
        <v>IVAN</v>
      </c>
      <c r="C15816" t="str">
        <f t="shared" si="5739"/>
        <v>SHUKH</v>
      </c>
      <c r="D15816">
        <f>11</f>
        <v>11</v>
      </c>
      <c r="E15816" t="str">
        <f>"05 - B - 103 - Vanessa J Liburd"</f>
        <v>05 - B - 103 - Vanessa J Liburd</v>
      </c>
      <c r="F15816" t="str">
        <f>"PRE-AICE FRENCH 2 IG"</f>
        <v>PRE-AICE FRENCH 2 IG</v>
      </c>
      <c r="G15816" t="str">
        <f>"05-519"</f>
        <v>05-519</v>
      </c>
      <c r="H15816" t="str">
        <f>"B"</f>
        <v>B</v>
      </c>
    </row>
    <row r="15817" spans="1:8" x14ac:dyDescent="0.2">
      <c r="A15817" t="str">
        <f t="shared" si="5737"/>
        <v>0624073803</v>
      </c>
      <c r="B15817" t="str">
        <f t="shared" si="5738"/>
        <v>IVAN</v>
      </c>
      <c r="C15817" t="str">
        <f t="shared" si="5739"/>
        <v>SHUKH</v>
      </c>
      <c r="D15817">
        <f>11</f>
        <v>11</v>
      </c>
      <c r="E15817" t="str">
        <f>"01 - A - 201 - Daniel S Tyson"</f>
        <v>01 - A - 201 - Daniel S Tyson</v>
      </c>
      <c r="F15817" t="str">
        <f>"JROTC NAVAL SCI 3"</f>
        <v>JROTC NAVAL SCI 3</v>
      </c>
      <c r="G15817" t="str">
        <f>"05-510"</f>
        <v>05-510</v>
      </c>
      <c r="H15817" t="str">
        <f>"A"</f>
        <v>A</v>
      </c>
    </row>
    <row r="15818" spans="1:8" x14ac:dyDescent="0.2">
      <c r="A15818" t="str">
        <f t="shared" si="5737"/>
        <v>0624073803</v>
      </c>
      <c r="B15818" t="str">
        <f t="shared" si="5738"/>
        <v>IVAN</v>
      </c>
      <c r="C15818" t="str">
        <f t="shared" si="5739"/>
        <v>SHUKH</v>
      </c>
      <c r="D15818">
        <f>11</f>
        <v>11</v>
      </c>
      <c r="E15818" t="str">
        <f>"08 - S1 - B - 102 - Nahum  Saint-Preux"</f>
        <v>08 - S1 - B - 102 - Nahum  Saint-Preux</v>
      </c>
      <c r="F15818" t="str">
        <f>"CRIT THINK ST SKLS"</f>
        <v>CRIT THINK ST SKLS</v>
      </c>
      <c r="G15818" t="str">
        <f>"17-1712"</f>
        <v>17-1712</v>
      </c>
      <c r="H15818" t="str">
        <f>"B"</f>
        <v>B</v>
      </c>
    </row>
    <row r="15819" spans="1:8" x14ac:dyDescent="0.2">
      <c r="A15819" t="str">
        <f t="shared" ref="A15819:A15826" si="5740">"0625045961"</f>
        <v>0625045961</v>
      </c>
      <c r="B15819" t="str">
        <f t="shared" ref="B15819:B15826" si="5741">"OLEKSANDR"</f>
        <v>OLEKSANDR</v>
      </c>
      <c r="C15819" t="str">
        <f t="shared" ref="C15819:C15826" si="5742">"SHVARTSMAN"</f>
        <v>SHVARTSMAN</v>
      </c>
      <c r="D15819">
        <f>10</f>
        <v>10</v>
      </c>
      <c r="E15819" t="str">
        <f>"04 - A - 104 - Laselleda D Shaw"</f>
        <v>04 - A - 104 - Laselleda D Shaw</v>
      </c>
      <c r="F15819" t="str">
        <f>"INTENS READ 2"</f>
        <v>INTENS READ 2</v>
      </c>
      <c r="G15819" t="str">
        <f>"17-1723"</f>
        <v>17-1723</v>
      </c>
      <c r="H15819" t="str">
        <f>"A"</f>
        <v>A</v>
      </c>
    </row>
    <row r="15820" spans="1:8" x14ac:dyDescent="0.2">
      <c r="A15820" t="str">
        <f t="shared" si="5740"/>
        <v>0625045961</v>
      </c>
      <c r="B15820" t="str">
        <f t="shared" si="5741"/>
        <v>OLEKSANDR</v>
      </c>
      <c r="C15820" t="str">
        <f t="shared" si="5742"/>
        <v>SHVARTSMAN</v>
      </c>
      <c r="D15820">
        <f>10</f>
        <v>10</v>
      </c>
      <c r="E15820" t="str">
        <f>"06 - B - 110 - Jerry S Jiampetti"</f>
        <v>06 - B - 110 - Jerry S Jiampetti</v>
      </c>
      <c r="F15820" t="str">
        <f>"NC STUDY HALL 1"</f>
        <v>NC STUDY HALL 1</v>
      </c>
      <c r="G15820" t="str">
        <f>"17-1751"</f>
        <v>17-1751</v>
      </c>
      <c r="H15820" t="str">
        <f>"B"</f>
        <v>B</v>
      </c>
    </row>
    <row r="15821" spans="1:8" x14ac:dyDescent="0.2">
      <c r="A15821" t="str">
        <f t="shared" si="5740"/>
        <v>0625045961</v>
      </c>
      <c r="B15821" t="str">
        <f t="shared" si="5741"/>
        <v>OLEKSANDR</v>
      </c>
      <c r="C15821" t="str">
        <f t="shared" si="5742"/>
        <v>SHVARTSMAN</v>
      </c>
      <c r="D15821">
        <f>10</f>
        <v>10</v>
      </c>
      <c r="E15821" t="str">
        <f>"03 - S1 - A - 103 - Richard E Dunbar Iii"</f>
        <v>03 - S1 - A - 103 - Richard E Dunbar Iii</v>
      </c>
      <c r="F15821" t="str">
        <f>"WEIGHT TRAIN 1"</f>
        <v>WEIGHT TRAIN 1</v>
      </c>
      <c r="G15821" t="str">
        <f>"05-501"</f>
        <v>05-501</v>
      </c>
      <c r="H15821" t="str">
        <f>"A"</f>
        <v>A</v>
      </c>
    </row>
    <row r="15822" spans="1:8" x14ac:dyDescent="0.2">
      <c r="A15822" t="str">
        <f t="shared" si="5740"/>
        <v>0625045961</v>
      </c>
      <c r="B15822" t="str">
        <f t="shared" si="5741"/>
        <v>OLEKSANDR</v>
      </c>
      <c r="C15822" t="str">
        <f t="shared" si="5742"/>
        <v>SHVARTSMAN</v>
      </c>
      <c r="D15822">
        <f>10</f>
        <v>10</v>
      </c>
      <c r="E15822" t="str">
        <f>"02 - S1 - A - 101 - James H Mccann"</f>
        <v>02 - S1 - A - 101 - James H Mccann</v>
      </c>
      <c r="F15822" t="str">
        <f>"PERS FIN &amp; MON MGT H"</f>
        <v>PERS FIN &amp; MON MGT H</v>
      </c>
      <c r="G15822" t="str">
        <f>"17-1716"</f>
        <v>17-1716</v>
      </c>
      <c r="H15822" t="str">
        <f>"A"</f>
        <v>A</v>
      </c>
    </row>
    <row r="15823" spans="1:8" x14ac:dyDescent="0.2">
      <c r="A15823" t="str">
        <f t="shared" si="5740"/>
        <v>0625045961</v>
      </c>
      <c r="B15823" t="str">
        <f t="shared" si="5741"/>
        <v>OLEKSANDR</v>
      </c>
      <c r="C15823" t="str">
        <f t="shared" si="5742"/>
        <v>SHVARTSMAN</v>
      </c>
      <c r="D15823">
        <f>10</f>
        <v>10</v>
      </c>
      <c r="E15823" t="str">
        <f>"07 - B - 107 - Milca  Exantus"</f>
        <v>07 - B - 107 - Milca  Exantus</v>
      </c>
      <c r="F15823" t="str">
        <f>"MATH COLLEGE LIB ART"</f>
        <v>MATH COLLEGE LIB ART</v>
      </c>
      <c r="G15823" t="str">
        <f>"21-2145"</f>
        <v>21-2145</v>
      </c>
      <c r="H15823" t="str">
        <f>"B"</f>
        <v>B</v>
      </c>
    </row>
    <row r="15824" spans="1:8" x14ac:dyDescent="0.2">
      <c r="A15824" t="str">
        <f t="shared" si="5740"/>
        <v>0625045961</v>
      </c>
      <c r="B15824" t="str">
        <f t="shared" si="5741"/>
        <v>OLEKSANDR</v>
      </c>
      <c r="C15824" t="str">
        <f t="shared" si="5742"/>
        <v>SHVARTSMAN</v>
      </c>
      <c r="D15824">
        <f>10</f>
        <v>10</v>
      </c>
      <c r="E15824" t="str">
        <f>"05 - B - 207 - Marielle A Witting"</f>
        <v>05 - B - 207 - Marielle A Witting</v>
      </c>
      <c r="F15824" t="str">
        <f>"ANAT PHYSIO"</f>
        <v>ANAT PHYSIO</v>
      </c>
      <c r="G15824" t="str">
        <f>"08-805"</f>
        <v>08-805</v>
      </c>
      <c r="H15824" t="str">
        <f>"B"</f>
        <v>B</v>
      </c>
    </row>
    <row r="15825" spans="1:8" x14ac:dyDescent="0.2">
      <c r="A15825" t="str">
        <f t="shared" si="5740"/>
        <v>0625045961</v>
      </c>
      <c r="B15825" t="str">
        <f t="shared" si="5741"/>
        <v>OLEKSANDR</v>
      </c>
      <c r="C15825" t="str">
        <f t="shared" si="5742"/>
        <v>SHVARTSMAN</v>
      </c>
      <c r="D15825">
        <f>10</f>
        <v>10</v>
      </c>
      <c r="E15825" t="str">
        <f>"01 - A - 101 - Marius D Orsolini"</f>
        <v>01 - A - 101 - Marius D Orsolini</v>
      </c>
      <c r="F15825" t="str">
        <f>"CULINARY ARTS 1"</f>
        <v>CULINARY ARTS 1</v>
      </c>
      <c r="G15825" t="str">
        <f>"21-2115"</f>
        <v>21-2115</v>
      </c>
      <c r="H15825" t="str">
        <f>"A"</f>
        <v>A</v>
      </c>
    </row>
    <row r="15826" spans="1:8" x14ac:dyDescent="0.2">
      <c r="A15826" t="str">
        <f t="shared" si="5740"/>
        <v>0625045961</v>
      </c>
      <c r="B15826" t="str">
        <f t="shared" si="5741"/>
        <v>OLEKSANDR</v>
      </c>
      <c r="C15826" t="str">
        <f t="shared" si="5742"/>
        <v>SHVARTSMAN</v>
      </c>
      <c r="D15826">
        <f>10</f>
        <v>10</v>
      </c>
      <c r="E15826" t="str">
        <f>"08 - B - 109 - Nikiel  Nesbeth"</f>
        <v>08 - B - 109 - Nikiel  Nesbeth</v>
      </c>
      <c r="F15826" t="str">
        <f>"ENG 2"</f>
        <v>ENG 2</v>
      </c>
      <c r="G15826" t="str">
        <f>"17-1705"</f>
        <v>17-1705</v>
      </c>
      <c r="H15826" t="str">
        <f>"B"</f>
        <v>B</v>
      </c>
    </row>
    <row r="15827" spans="1:8" x14ac:dyDescent="0.2">
      <c r="A15827" t="str">
        <f t="shared" ref="A15827:A15834" si="5743">"0614030775"</f>
        <v>0614030775</v>
      </c>
      <c r="B15827" t="str">
        <f t="shared" ref="B15827:B15834" si="5744">"SAUL"</f>
        <v>SAUL</v>
      </c>
      <c r="C15827" t="str">
        <f t="shared" ref="C15827:C15834" si="5745">"SIERRA"</f>
        <v>SIERRA</v>
      </c>
      <c r="D15827">
        <f>12</f>
        <v>12</v>
      </c>
      <c r="E15827" t="str">
        <f>"04 - A - 101 - Pamela M Corzo"</f>
        <v>04 - A - 101 - Pamela M Corzo</v>
      </c>
      <c r="F15827" t="str">
        <f>"CALCULUS HON"</f>
        <v>CALCULUS HON</v>
      </c>
      <c r="G15827" t="str">
        <f>"21-2133"</f>
        <v>21-2133</v>
      </c>
      <c r="H15827" t="str">
        <f>"A"</f>
        <v>A</v>
      </c>
    </row>
    <row r="15828" spans="1:8" x14ac:dyDescent="0.2">
      <c r="A15828" t="str">
        <f t="shared" si="5743"/>
        <v>0614030775</v>
      </c>
      <c r="B15828" t="str">
        <f t="shared" si="5744"/>
        <v>SAUL</v>
      </c>
      <c r="C15828" t="str">
        <f t="shared" si="5745"/>
        <v>SIERRA</v>
      </c>
      <c r="D15828">
        <f>12</f>
        <v>12</v>
      </c>
      <c r="E15828" t="str">
        <f>"06 - B - 113 - Marielle A Witting"</f>
        <v>06 - B - 113 - Marielle A Witting</v>
      </c>
      <c r="F15828" t="str">
        <f>"NC STUDY HALL 1"</f>
        <v>NC STUDY HALL 1</v>
      </c>
      <c r="G15828" t="str">
        <f>"08-805"</f>
        <v>08-805</v>
      </c>
      <c r="H15828" t="str">
        <f>"B"</f>
        <v>B</v>
      </c>
    </row>
    <row r="15829" spans="1:8" x14ac:dyDescent="0.2">
      <c r="A15829" t="str">
        <f t="shared" si="5743"/>
        <v>0614030775</v>
      </c>
      <c r="B15829" t="str">
        <f t="shared" si="5744"/>
        <v>SAUL</v>
      </c>
      <c r="C15829" t="str">
        <f t="shared" si="5745"/>
        <v>SIERRA</v>
      </c>
      <c r="D15829">
        <f>12</f>
        <v>12</v>
      </c>
      <c r="E15829" t="str">
        <f>"03 - A - 101 - Scott A Dethloff"</f>
        <v>03 - A - 101 - Scott A Dethloff</v>
      </c>
      <c r="F15829" t="str">
        <f>"CHEMISTRY 1 HON"</f>
        <v>CHEMISTRY 1 HON</v>
      </c>
      <c r="G15829" t="str">
        <f>"08-812"</f>
        <v>08-812</v>
      </c>
      <c r="H15829" t="str">
        <f>"A"</f>
        <v>A</v>
      </c>
    </row>
    <row r="15830" spans="1:8" x14ac:dyDescent="0.2">
      <c r="A15830" t="str">
        <f t="shared" si="5743"/>
        <v>0614030775</v>
      </c>
      <c r="B15830" t="str">
        <f t="shared" si="5744"/>
        <v>SAUL</v>
      </c>
      <c r="C15830" t="str">
        <f t="shared" si="5745"/>
        <v>SIERRA</v>
      </c>
      <c r="D15830">
        <f>12</f>
        <v>12</v>
      </c>
      <c r="E15830" t="str">
        <f>"02 - S1 - A - 103 - Barbara L Segal"</f>
        <v>02 - S1 - A - 103 - Barbara L Segal</v>
      </c>
      <c r="F15830" t="str">
        <f>"US GOVT HON"</f>
        <v>US GOVT HON</v>
      </c>
      <c r="G15830" t="str">
        <f>"17-1742"</f>
        <v>17-1742</v>
      </c>
      <c r="H15830" t="str">
        <f>"A"</f>
        <v>A</v>
      </c>
    </row>
    <row r="15831" spans="1:8" x14ac:dyDescent="0.2">
      <c r="A15831" t="str">
        <f t="shared" si="5743"/>
        <v>0614030775</v>
      </c>
      <c r="B15831" t="str">
        <f t="shared" si="5744"/>
        <v>SAUL</v>
      </c>
      <c r="C15831" t="str">
        <f t="shared" si="5745"/>
        <v>SIERRA</v>
      </c>
      <c r="D15831">
        <f>12</f>
        <v>12</v>
      </c>
      <c r="E15831" t="str">
        <f>"07 - B - 102 - Courtney E Hambright"</f>
        <v>07 - B - 102 - Courtney E Hambright</v>
      </c>
      <c r="F15831" t="str">
        <f>"AP ENG LIT COMPO"</f>
        <v>AP ENG LIT COMPO</v>
      </c>
      <c r="G15831" t="str">
        <f>"17-1711"</f>
        <v>17-1711</v>
      </c>
      <c r="H15831" t="str">
        <f>"B"</f>
        <v>B</v>
      </c>
    </row>
    <row r="15832" spans="1:8" x14ac:dyDescent="0.2">
      <c r="A15832" t="str">
        <f t="shared" si="5743"/>
        <v>0614030775</v>
      </c>
      <c r="B15832" t="str">
        <f t="shared" si="5744"/>
        <v>SAUL</v>
      </c>
      <c r="C15832" t="str">
        <f t="shared" si="5745"/>
        <v>SIERRA</v>
      </c>
      <c r="D15832">
        <f>12</f>
        <v>12</v>
      </c>
      <c r="E15832" t="str">
        <f>"05 - B - 101 - Jordana K Hass"</f>
        <v>05 - B - 101 - Jordana K Hass</v>
      </c>
      <c r="F15832" t="str">
        <f>"AP COMP SCI PRIN"</f>
        <v>AP COMP SCI PRIN</v>
      </c>
      <c r="G15832" t="str">
        <f>"08-807"</f>
        <v>08-807</v>
      </c>
      <c r="H15832" t="str">
        <f>"B"</f>
        <v>B</v>
      </c>
    </row>
    <row r="15833" spans="1:8" x14ac:dyDescent="0.2">
      <c r="A15833" t="str">
        <f t="shared" si="5743"/>
        <v>0614030775</v>
      </c>
      <c r="B15833" t="str">
        <f t="shared" si="5744"/>
        <v>SAUL</v>
      </c>
      <c r="C15833" t="str">
        <f t="shared" si="5745"/>
        <v>SIERRA</v>
      </c>
      <c r="D15833">
        <f>12</f>
        <v>12</v>
      </c>
      <c r="E15833" t="str">
        <f>"01 - A - 101 - Norayda D Suarez"</f>
        <v>01 - A - 101 - Norayda D Suarez</v>
      </c>
      <c r="F15833" t="str">
        <f>"RESEARCH 1 LH"</f>
        <v>RESEARCH 1 LH</v>
      </c>
      <c r="G15833">
        <f>2041</f>
        <v>2041</v>
      </c>
      <c r="H15833" t="str">
        <f>"A"</f>
        <v>A</v>
      </c>
    </row>
    <row r="15834" spans="1:8" x14ac:dyDescent="0.2">
      <c r="A15834" t="str">
        <f t="shared" si="5743"/>
        <v>0614030775</v>
      </c>
      <c r="B15834" t="str">
        <f t="shared" si="5744"/>
        <v>SAUL</v>
      </c>
      <c r="C15834" t="str">
        <f t="shared" si="5745"/>
        <v>SIERRA</v>
      </c>
      <c r="D15834">
        <f>12</f>
        <v>12</v>
      </c>
      <c r="E15834" t="str">
        <f>"08 - B - 101 - Marius D Orsolini"</f>
        <v>08 - B - 101 - Marius D Orsolini</v>
      </c>
      <c r="F15834" t="str">
        <f>"CULINARY ARTS 3 HON"</f>
        <v>CULINARY ARTS 3 HON</v>
      </c>
      <c r="G15834" t="str">
        <f>"21-2115"</f>
        <v>21-2115</v>
      </c>
      <c r="H15834" t="str">
        <f>"B"</f>
        <v>B</v>
      </c>
    </row>
    <row r="15835" spans="1:8" x14ac:dyDescent="0.2">
      <c r="A15835" t="str">
        <f t="shared" ref="A15835:A15842" si="5746">"0622050752"</f>
        <v>0622050752</v>
      </c>
      <c r="B15835" t="str">
        <f t="shared" ref="B15835:B15842" si="5747">"TOM"</f>
        <v>TOM</v>
      </c>
      <c r="C15835" t="str">
        <f t="shared" ref="C15835:C15842" si="5748">"SIESTO"</f>
        <v>SIESTO</v>
      </c>
      <c r="D15835">
        <f>11</f>
        <v>11</v>
      </c>
      <c r="E15835" t="str">
        <f>"04 - A - 101 - Samantha L Martinez"</f>
        <v>04 - A - 101 - Samantha L Martinez</v>
      </c>
      <c r="F15835" t="str">
        <f>"KEYBD 3"</f>
        <v>KEYBD 3</v>
      </c>
      <c r="G15835" t="str">
        <f>"05-505"</f>
        <v>05-505</v>
      </c>
      <c r="H15835" t="str">
        <f>"A"</f>
        <v>A</v>
      </c>
    </row>
    <row r="15836" spans="1:8" x14ac:dyDescent="0.2">
      <c r="A15836" t="str">
        <f t="shared" si="5746"/>
        <v>0622050752</v>
      </c>
      <c r="B15836" t="str">
        <f t="shared" si="5747"/>
        <v>TOM</v>
      </c>
      <c r="C15836" t="str">
        <f t="shared" si="5748"/>
        <v>SIESTO</v>
      </c>
      <c r="D15836">
        <f>11</f>
        <v>11</v>
      </c>
      <c r="E15836" t="str">
        <f>"06 - S1 - B - 102 - Daniel S Katz"</f>
        <v>06 - S1 - B - 102 - Daniel S Katz</v>
      </c>
      <c r="F15836" t="str">
        <f>"COURT PROCED"</f>
        <v>COURT PROCED</v>
      </c>
      <c r="G15836" t="str">
        <f>"21-2156"</f>
        <v>21-2156</v>
      </c>
      <c r="H15836" t="str">
        <f>"B"</f>
        <v>B</v>
      </c>
    </row>
    <row r="15837" spans="1:8" x14ac:dyDescent="0.2">
      <c r="A15837" t="str">
        <f t="shared" si="5746"/>
        <v>0622050752</v>
      </c>
      <c r="B15837" t="str">
        <f t="shared" si="5747"/>
        <v>TOM</v>
      </c>
      <c r="C15837" t="str">
        <f t="shared" si="5748"/>
        <v>SIESTO</v>
      </c>
      <c r="D15837">
        <f>11</f>
        <v>11</v>
      </c>
      <c r="E15837" t="str">
        <f>"03 - A - 002 - Ferrie J Arostique"</f>
        <v>03 - A - 002 - Ferrie J Arostique</v>
      </c>
      <c r="F15837" t="str">
        <f>"GEOMETRY"</f>
        <v>GEOMETRY</v>
      </c>
      <c r="G15837" t="str">
        <f>"21-2139"</f>
        <v>21-2139</v>
      </c>
      <c r="H15837" t="str">
        <f>"A"</f>
        <v>A</v>
      </c>
    </row>
    <row r="15838" spans="1:8" x14ac:dyDescent="0.2">
      <c r="A15838" t="str">
        <f t="shared" si="5746"/>
        <v>0622050752</v>
      </c>
      <c r="B15838" t="str">
        <f t="shared" si="5747"/>
        <v>TOM</v>
      </c>
      <c r="C15838" t="str">
        <f t="shared" si="5748"/>
        <v>SIESTO</v>
      </c>
      <c r="D15838">
        <f>11</f>
        <v>11</v>
      </c>
      <c r="E15838" t="str">
        <f>"02 - A - 001 - Courtney E Hambright"</f>
        <v>02 - A - 001 - Courtney E Hambright</v>
      </c>
      <c r="F15838" t="str">
        <f>"NC STUDY HALL 1"</f>
        <v>NC STUDY HALL 1</v>
      </c>
      <c r="G15838" t="str">
        <f>"17-1711"</f>
        <v>17-1711</v>
      </c>
      <c r="H15838" t="str">
        <f>"A"</f>
        <v>A</v>
      </c>
    </row>
    <row r="15839" spans="1:8" x14ac:dyDescent="0.2">
      <c r="A15839" t="str">
        <f t="shared" si="5746"/>
        <v>0622050752</v>
      </c>
      <c r="B15839" t="str">
        <f t="shared" si="5747"/>
        <v>TOM</v>
      </c>
      <c r="C15839" t="str">
        <f t="shared" si="5748"/>
        <v>SIESTO</v>
      </c>
      <c r="D15839">
        <f>11</f>
        <v>11</v>
      </c>
      <c r="E15839" t="str">
        <f>"07 - B - 105 - Josiah I Lacy"</f>
        <v>07 - B - 105 - Josiah I Lacy</v>
      </c>
      <c r="F15839" t="str">
        <f>"ANAT PHYSIO HON"</f>
        <v>ANAT PHYSIO HON</v>
      </c>
      <c r="G15839" t="str">
        <f>"08-801"</f>
        <v>08-801</v>
      </c>
      <c r="H15839" t="str">
        <f>"B"</f>
        <v>B</v>
      </c>
    </row>
    <row r="15840" spans="1:8" x14ac:dyDescent="0.2">
      <c r="A15840" t="str">
        <f t="shared" si="5746"/>
        <v>0622050752</v>
      </c>
      <c r="B15840" t="str">
        <f t="shared" si="5747"/>
        <v>TOM</v>
      </c>
      <c r="C15840" t="str">
        <f t="shared" si="5748"/>
        <v>SIESTO</v>
      </c>
      <c r="D15840">
        <f>11</f>
        <v>11</v>
      </c>
      <c r="E15840" t="str">
        <f>"05 - B - 001 - Kyle  Robbins"</f>
        <v>05 - B - 001 - Kyle  Robbins</v>
      </c>
      <c r="F15840" t="str">
        <f>"US HISTORY HON"</f>
        <v>US HISTORY HON</v>
      </c>
      <c r="G15840" t="str">
        <f>"17-1745"</f>
        <v>17-1745</v>
      </c>
      <c r="H15840" t="str">
        <f>"B"</f>
        <v>B</v>
      </c>
    </row>
    <row r="15841" spans="1:8" x14ac:dyDescent="0.2">
      <c r="A15841" t="str">
        <f t="shared" si="5746"/>
        <v>0622050752</v>
      </c>
      <c r="B15841" t="str">
        <f t="shared" si="5747"/>
        <v>TOM</v>
      </c>
      <c r="C15841" t="str">
        <f t="shared" si="5748"/>
        <v>SIESTO</v>
      </c>
      <c r="D15841">
        <f>11</f>
        <v>11</v>
      </c>
      <c r="E15841" t="str">
        <f>"01 - A - 101 - Heidi M Knopp"</f>
        <v>01 - A - 101 - Heidi M Knopp</v>
      </c>
      <c r="F15841" t="str">
        <f>"ENG HON 3"</f>
        <v>ENG HON 3</v>
      </c>
      <c r="G15841" t="str">
        <f>"17-1752"</f>
        <v>17-1752</v>
      </c>
      <c r="H15841" t="str">
        <f>"A"</f>
        <v>A</v>
      </c>
    </row>
    <row r="15842" spans="1:8" x14ac:dyDescent="0.2">
      <c r="A15842" t="str">
        <f t="shared" si="5746"/>
        <v>0622050752</v>
      </c>
      <c r="B15842" t="str">
        <f t="shared" si="5747"/>
        <v>TOM</v>
      </c>
      <c r="C15842" t="str">
        <f t="shared" si="5748"/>
        <v>SIESTO</v>
      </c>
      <c r="D15842">
        <f>11</f>
        <v>11</v>
      </c>
      <c r="E15842" t="str">
        <f>"08 - B - 001 - Samantha L Martinez"</f>
        <v>08 - B - 001 - Samantha L Martinez</v>
      </c>
      <c r="F15842" t="str">
        <f>"VOCAL ENS 2"</f>
        <v>VOCAL ENS 2</v>
      </c>
      <c r="G15842" t="str">
        <f>"05-505"</f>
        <v>05-505</v>
      </c>
      <c r="H15842" t="str">
        <f>"B"</f>
        <v>B</v>
      </c>
    </row>
    <row r="15843" spans="1:8" x14ac:dyDescent="0.2">
      <c r="A15843" t="str">
        <f t="shared" ref="A15843:A15850" si="5749">"0615021178"</f>
        <v>0615021178</v>
      </c>
      <c r="B15843" t="str">
        <f t="shared" ref="B15843:B15850" si="5750">"SONIA"</f>
        <v>SONIA</v>
      </c>
      <c r="C15843" t="str">
        <f t="shared" ref="C15843:C15850" si="5751">"SILAIRE"</f>
        <v>SILAIRE</v>
      </c>
      <c r="D15843">
        <f>10</f>
        <v>10</v>
      </c>
      <c r="E15843" t="str">
        <f>"04 - A - 201 - Samantha L Martinez"</f>
        <v>04 - A - 201 - Samantha L Martinez</v>
      </c>
      <c r="F15843" t="str">
        <f>"KEYBD 2"</f>
        <v>KEYBD 2</v>
      </c>
      <c r="G15843" t="str">
        <f>"05-505"</f>
        <v>05-505</v>
      </c>
      <c r="H15843" t="str">
        <f>"A"</f>
        <v>A</v>
      </c>
    </row>
    <row r="15844" spans="1:8" x14ac:dyDescent="0.2">
      <c r="A15844" t="str">
        <f t="shared" si="5749"/>
        <v>0615021178</v>
      </c>
      <c r="B15844" t="str">
        <f t="shared" si="5750"/>
        <v>SONIA</v>
      </c>
      <c r="C15844" t="str">
        <f t="shared" si="5751"/>
        <v>SILAIRE</v>
      </c>
      <c r="D15844">
        <f>10</f>
        <v>10</v>
      </c>
      <c r="E15844" t="str">
        <f>"06 - B - 115 - Scott A Dethloff"</f>
        <v>06 - B - 115 - Scott A Dethloff</v>
      </c>
      <c r="F15844" t="str">
        <f>"NC STUDY HALL 1"</f>
        <v>NC STUDY HALL 1</v>
      </c>
      <c r="G15844" t="str">
        <f>"08-812"</f>
        <v>08-812</v>
      </c>
      <c r="H15844" t="str">
        <f>"B"</f>
        <v>B</v>
      </c>
    </row>
    <row r="15845" spans="1:8" x14ac:dyDescent="0.2">
      <c r="A15845" t="str">
        <f t="shared" si="5749"/>
        <v>0615021178</v>
      </c>
      <c r="B15845" t="str">
        <f t="shared" si="5750"/>
        <v>SONIA</v>
      </c>
      <c r="C15845" t="str">
        <f t="shared" si="5751"/>
        <v>SILAIRE</v>
      </c>
      <c r="D15845">
        <f>10</f>
        <v>10</v>
      </c>
      <c r="E15845" t="str">
        <f>"03 - A - 002 - Nikiel  Nesbeth"</f>
        <v>03 - A - 002 - Nikiel  Nesbeth</v>
      </c>
      <c r="F15845" t="str">
        <f>"PRE-AICE ENG LIT IG"</f>
        <v>PRE-AICE ENG LIT IG</v>
      </c>
      <c r="G15845" t="str">
        <f>"17-1705"</f>
        <v>17-1705</v>
      </c>
      <c r="H15845" t="str">
        <f>"A"</f>
        <v>A</v>
      </c>
    </row>
    <row r="15846" spans="1:8" x14ac:dyDescent="0.2">
      <c r="A15846" t="str">
        <f t="shared" si="5749"/>
        <v>0615021178</v>
      </c>
      <c r="B15846" t="str">
        <f t="shared" si="5750"/>
        <v>SONIA</v>
      </c>
      <c r="C15846" t="str">
        <f t="shared" si="5751"/>
        <v>SILAIRE</v>
      </c>
      <c r="D15846">
        <f>10</f>
        <v>10</v>
      </c>
      <c r="E15846" t="str">
        <f>"02 - A - 201 - Jordana K Hass"</f>
        <v>02 - A - 201 - Jordana K Hass</v>
      </c>
      <c r="F15846" t="str">
        <f>"CHEMISTRY 1"</f>
        <v>CHEMISTRY 1</v>
      </c>
      <c r="G15846" t="str">
        <f>"08-807"</f>
        <v>08-807</v>
      </c>
      <c r="H15846" t="str">
        <f>"A"</f>
        <v>A</v>
      </c>
    </row>
    <row r="15847" spans="1:8" x14ac:dyDescent="0.2">
      <c r="A15847" t="str">
        <f t="shared" si="5749"/>
        <v>0615021178</v>
      </c>
      <c r="B15847" t="str">
        <f t="shared" si="5750"/>
        <v>SONIA</v>
      </c>
      <c r="C15847" t="str">
        <f t="shared" si="5751"/>
        <v>SILAIRE</v>
      </c>
      <c r="D15847">
        <f>10</f>
        <v>10</v>
      </c>
      <c r="E15847" t="str">
        <f>"07 - B - 107 - Marius D Orsolini"</f>
        <v>07 - B - 107 - Marius D Orsolini</v>
      </c>
      <c r="F15847" t="str">
        <f>"CULINARY ARTS 1"</f>
        <v>CULINARY ARTS 1</v>
      </c>
      <c r="G15847" t="str">
        <f>"21-2115"</f>
        <v>21-2115</v>
      </c>
      <c r="H15847" t="str">
        <f>"B"</f>
        <v>B</v>
      </c>
    </row>
    <row r="15848" spans="1:8" x14ac:dyDescent="0.2">
      <c r="A15848" t="str">
        <f t="shared" si="5749"/>
        <v>0615021178</v>
      </c>
      <c r="B15848" t="str">
        <f t="shared" si="5750"/>
        <v>SONIA</v>
      </c>
      <c r="C15848" t="str">
        <f t="shared" si="5751"/>
        <v>SILAIRE</v>
      </c>
      <c r="D15848">
        <f>10</f>
        <v>10</v>
      </c>
      <c r="E15848" t="str">
        <f>"05 - B - 101 - Brian M Fitzgerald"</f>
        <v>05 - B - 101 - Brian M Fitzgerald</v>
      </c>
      <c r="F15848" t="str">
        <f>"PAINT 1"</f>
        <v>PAINT 1</v>
      </c>
      <c r="G15848" t="str">
        <f>"09-908"</f>
        <v>09-908</v>
      </c>
      <c r="H15848" t="str">
        <f>"B"</f>
        <v>B</v>
      </c>
    </row>
    <row r="15849" spans="1:8" x14ac:dyDescent="0.2">
      <c r="A15849" t="str">
        <f t="shared" si="5749"/>
        <v>0615021178</v>
      </c>
      <c r="B15849" t="str">
        <f t="shared" si="5750"/>
        <v>SONIA</v>
      </c>
      <c r="C15849" t="str">
        <f t="shared" si="5751"/>
        <v>SILAIRE</v>
      </c>
      <c r="D15849">
        <f>10</f>
        <v>10</v>
      </c>
      <c r="E15849" t="str">
        <f>"01 - S1 - A - 101 - Lissa C Frederique"</f>
        <v>01 - S1 - A - 101 - Lissa C Frederique</v>
      </c>
      <c r="F15849" t="str">
        <f>"PERS FIN &amp; MON MGT H"</f>
        <v>PERS FIN &amp; MON MGT H</v>
      </c>
      <c r="G15849" t="str">
        <f>"17-1754"</f>
        <v>17-1754</v>
      </c>
      <c r="H15849" t="str">
        <f>"A"</f>
        <v>A</v>
      </c>
    </row>
    <row r="15850" spans="1:8" x14ac:dyDescent="0.2">
      <c r="A15850" t="str">
        <f t="shared" si="5749"/>
        <v>0615021178</v>
      </c>
      <c r="B15850" t="str">
        <f t="shared" si="5750"/>
        <v>SONIA</v>
      </c>
      <c r="C15850" t="str">
        <f t="shared" si="5751"/>
        <v>SILAIRE</v>
      </c>
      <c r="D15850">
        <f>10</f>
        <v>10</v>
      </c>
      <c r="E15850" t="str">
        <f>"08 - B - 107 - Brook E Goren"</f>
        <v>08 - B - 107 - Brook E Goren</v>
      </c>
      <c r="F15850" t="str">
        <f>"GEOMETRY"</f>
        <v>GEOMETRY</v>
      </c>
      <c r="G15850" t="str">
        <f>"21-2158"</f>
        <v>21-2158</v>
      </c>
      <c r="H15850" t="str">
        <f>"B"</f>
        <v>B</v>
      </c>
    </row>
    <row r="15851" spans="1:8" x14ac:dyDescent="0.2">
      <c r="A15851" t="str">
        <f t="shared" ref="A15851:A15858" si="5752">"0617036579"</f>
        <v>0617036579</v>
      </c>
      <c r="B15851" t="str">
        <f t="shared" ref="B15851:B15858" si="5753">"BELLA"</f>
        <v>BELLA</v>
      </c>
      <c r="C15851" t="str">
        <f t="shared" ref="C15851:C15858" si="5754">"SILFA"</f>
        <v>SILFA</v>
      </c>
      <c r="D15851" t="str">
        <f t="shared" ref="D15851:D15858" si="5755">"09"</f>
        <v>09</v>
      </c>
      <c r="E15851" t="str">
        <f>"04 - A - 104 - Brook E Goren"</f>
        <v>04 - A - 104 - Brook E Goren</v>
      </c>
      <c r="F15851" t="str">
        <f>"ALGEBRA 2 HON"</f>
        <v>ALGEBRA 2 HON</v>
      </c>
      <c r="G15851" t="str">
        <f>"21-2158"</f>
        <v>21-2158</v>
      </c>
      <c r="H15851" t="str">
        <f>"A"</f>
        <v>A</v>
      </c>
    </row>
    <row r="15852" spans="1:8" x14ac:dyDescent="0.2">
      <c r="A15852" t="str">
        <f t="shared" si="5752"/>
        <v>0617036579</v>
      </c>
      <c r="B15852" t="str">
        <f t="shared" si="5753"/>
        <v>BELLA</v>
      </c>
      <c r="C15852" t="str">
        <f t="shared" si="5754"/>
        <v>SILFA</v>
      </c>
      <c r="D15852" t="str">
        <f t="shared" si="5755"/>
        <v>09</v>
      </c>
      <c r="E15852" t="str">
        <f>"06 - B - 104 - Byron G Montenegro"</f>
        <v>06 - B - 104 - Byron G Montenegro</v>
      </c>
      <c r="F15852" t="str">
        <f>"AICE MARINE SCI 1 AS"</f>
        <v>AICE MARINE SCI 1 AS</v>
      </c>
      <c r="G15852" t="str">
        <f>"21-2144"</f>
        <v>21-2144</v>
      </c>
      <c r="H15852" t="str">
        <f>"B"</f>
        <v>B</v>
      </c>
    </row>
    <row r="15853" spans="1:8" x14ac:dyDescent="0.2">
      <c r="A15853" t="str">
        <f t="shared" si="5752"/>
        <v>0617036579</v>
      </c>
      <c r="B15853" t="str">
        <f t="shared" si="5753"/>
        <v>BELLA</v>
      </c>
      <c r="C15853" t="str">
        <f t="shared" si="5754"/>
        <v>SILFA</v>
      </c>
      <c r="D15853" t="str">
        <f t="shared" si="5755"/>
        <v>09</v>
      </c>
      <c r="E15853" t="str">
        <f>"03 - A - 203 - Elizabeth R Walker"</f>
        <v>03 - A - 203 - Elizabeth R Walker</v>
      </c>
      <c r="F15853" t="str">
        <f>"AICE ENG GEN PAPER 1"</f>
        <v>AICE ENG GEN PAPER 1</v>
      </c>
      <c r="G15853" t="str">
        <f>"17-1703"</f>
        <v>17-1703</v>
      </c>
      <c r="H15853" t="str">
        <f>"A"</f>
        <v>A</v>
      </c>
    </row>
    <row r="15854" spans="1:8" x14ac:dyDescent="0.2">
      <c r="A15854" t="str">
        <f t="shared" si="5752"/>
        <v>0617036579</v>
      </c>
      <c r="B15854" t="str">
        <f t="shared" si="5753"/>
        <v>BELLA</v>
      </c>
      <c r="C15854" t="str">
        <f t="shared" si="5754"/>
        <v>SILFA</v>
      </c>
      <c r="D15854" t="str">
        <f t="shared" si="5755"/>
        <v>09</v>
      </c>
      <c r="E15854" t="str">
        <f>"02 - A - 106 - Helen A Flores"</f>
        <v>02 - A - 106 - Helen A Flores</v>
      </c>
      <c r="F15854" t="str">
        <f>"NC STUDY HALL 1"</f>
        <v>NC STUDY HALL 1</v>
      </c>
      <c r="G15854" t="str">
        <f>"21-2101"</f>
        <v>21-2101</v>
      </c>
      <c r="H15854" t="str">
        <f>"A"</f>
        <v>A</v>
      </c>
    </row>
    <row r="15855" spans="1:8" x14ac:dyDescent="0.2">
      <c r="A15855" t="str">
        <f t="shared" si="5752"/>
        <v>0617036579</v>
      </c>
      <c r="B15855" t="str">
        <f t="shared" si="5753"/>
        <v>BELLA</v>
      </c>
      <c r="C15855" t="str">
        <f t="shared" si="5754"/>
        <v>SILFA</v>
      </c>
      <c r="D15855" t="str">
        <f t="shared" si="5755"/>
        <v>09</v>
      </c>
      <c r="E15855" t="str">
        <f>"07 - B - 002 - Jazmin S Fletcher"</f>
        <v>07 - B - 002 - Jazmin S Fletcher</v>
      </c>
      <c r="F15855" t="str">
        <f>"THEATRE 1"</f>
        <v>THEATRE 1</v>
      </c>
      <c r="G15855" t="str">
        <f>"09-909"</f>
        <v>09-909</v>
      </c>
      <c r="H15855" t="str">
        <f>"B"</f>
        <v>B</v>
      </c>
    </row>
    <row r="15856" spans="1:8" x14ac:dyDescent="0.2">
      <c r="A15856" t="str">
        <f t="shared" si="5752"/>
        <v>0617036579</v>
      </c>
      <c r="B15856" t="str">
        <f t="shared" si="5753"/>
        <v>BELLA</v>
      </c>
      <c r="C15856" t="str">
        <f t="shared" si="5754"/>
        <v>SILFA</v>
      </c>
      <c r="D15856" t="str">
        <f t="shared" si="5755"/>
        <v>09</v>
      </c>
      <c r="E15856" t="str">
        <f>"05 - B - 001 - Kelly N Panza"</f>
        <v>05 - B - 001 - Kelly N Panza</v>
      </c>
      <c r="F15856" t="str">
        <f>"AICE GLBL PERSP 1 AS"</f>
        <v>AICE GLBL PERSP 1 AS</v>
      </c>
      <c r="G15856" t="str">
        <f>"17-1753"</f>
        <v>17-1753</v>
      </c>
      <c r="H15856" t="str">
        <f>"B"</f>
        <v>B</v>
      </c>
    </row>
    <row r="15857" spans="1:8" x14ac:dyDescent="0.2">
      <c r="A15857" t="str">
        <f t="shared" si="5752"/>
        <v>0617036579</v>
      </c>
      <c r="B15857" t="str">
        <f t="shared" si="5753"/>
        <v>BELLA</v>
      </c>
      <c r="C15857" t="str">
        <f t="shared" si="5754"/>
        <v>SILFA</v>
      </c>
      <c r="D15857" t="str">
        <f t="shared" si="5755"/>
        <v>09</v>
      </c>
      <c r="E15857" t="str">
        <f>"01 - A - 101 - Samantha L Martinez"</f>
        <v>01 - A - 101 - Samantha L Martinez</v>
      </c>
      <c r="F15857" t="str">
        <f>"MUSIC WORLD"</f>
        <v>MUSIC WORLD</v>
      </c>
      <c r="G15857" t="str">
        <f>"05-505"</f>
        <v>05-505</v>
      </c>
      <c r="H15857" t="str">
        <f>"A"</f>
        <v>A</v>
      </c>
    </row>
    <row r="15858" spans="1:8" x14ac:dyDescent="0.2">
      <c r="A15858" t="str">
        <f t="shared" si="5752"/>
        <v>0617036579</v>
      </c>
      <c r="B15858" t="str">
        <f t="shared" si="5753"/>
        <v>BELLA</v>
      </c>
      <c r="C15858" t="str">
        <f t="shared" si="5754"/>
        <v>SILFA</v>
      </c>
      <c r="D15858" t="str">
        <f t="shared" si="5755"/>
        <v>09</v>
      </c>
      <c r="E15858" t="str">
        <f>"08 - B - 201 - Tina M Jaramillo"</f>
        <v>08 - B - 201 - Tina M Jaramillo</v>
      </c>
      <c r="F15858" t="str">
        <f>"CREATIVE WRIT 3 HON"</f>
        <v>CREATIVE WRIT 3 HON</v>
      </c>
      <c r="G15858" t="str">
        <f>"17-1706"</f>
        <v>17-1706</v>
      </c>
      <c r="H15858" t="str">
        <f>"B"</f>
        <v>B</v>
      </c>
    </row>
    <row r="15859" spans="1:8" x14ac:dyDescent="0.2">
      <c r="A15859" t="str">
        <f t="shared" ref="A15859:A15866" si="5756">"0615065040"</f>
        <v>0615065040</v>
      </c>
      <c r="B15859" t="str">
        <f t="shared" ref="B15859:B15866" si="5757">"ALEXIA"</f>
        <v>ALEXIA</v>
      </c>
      <c r="C15859" t="str">
        <f t="shared" ref="C15859:C15866" si="5758">"SILIQUINI PANIZZI"</f>
        <v>SILIQUINI PANIZZI</v>
      </c>
      <c r="D15859">
        <f>11</f>
        <v>11</v>
      </c>
      <c r="E15859" t="str">
        <f>"04 - A - 102 - Brandy N Zdenek"</f>
        <v>04 - A - 102 - Brandy N Zdenek</v>
      </c>
      <c r="F15859" t="str">
        <f>"AICE ENG LANG 2 AL"</f>
        <v>AICE ENG LANG 2 AL</v>
      </c>
      <c r="G15859" t="str">
        <f>"17-1704"</f>
        <v>17-1704</v>
      </c>
      <c r="H15859" t="str">
        <f>"A"</f>
        <v>A</v>
      </c>
    </row>
    <row r="15860" spans="1:8" x14ac:dyDescent="0.2">
      <c r="A15860" t="str">
        <f t="shared" si="5756"/>
        <v>0615065040</v>
      </c>
      <c r="B15860" t="str">
        <f t="shared" si="5757"/>
        <v>ALEXIA</v>
      </c>
      <c r="C15860" t="str">
        <f t="shared" si="5758"/>
        <v>SILIQUINI PANIZZI</v>
      </c>
      <c r="D15860">
        <f>11</f>
        <v>11</v>
      </c>
      <c r="E15860" t="str">
        <f>"06 - B - 202 - Brian M Fitzgerald"</f>
        <v>06 - B - 202 - Brian M Fitzgerald</v>
      </c>
      <c r="F15860" t="str">
        <f>"DRAW 1"</f>
        <v>DRAW 1</v>
      </c>
      <c r="G15860" t="str">
        <f>"09-908"</f>
        <v>09-908</v>
      </c>
      <c r="H15860" t="str">
        <f>"B"</f>
        <v>B</v>
      </c>
    </row>
    <row r="15861" spans="1:8" x14ac:dyDescent="0.2">
      <c r="A15861" t="str">
        <f t="shared" si="5756"/>
        <v>0615065040</v>
      </c>
      <c r="B15861" t="str">
        <f t="shared" si="5757"/>
        <v>ALEXIA</v>
      </c>
      <c r="C15861" t="str">
        <f t="shared" si="5758"/>
        <v>SILIQUINI PANIZZI</v>
      </c>
      <c r="D15861">
        <f>11</f>
        <v>11</v>
      </c>
      <c r="E15861" t="str">
        <f>"03 - A - 101 - Scott A Dethloff"</f>
        <v>03 - A - 101 - Scott A Dethloff</v>
      </c>
      <c r="F15861" t="str">
        <f>"CHEMISTRY 1 HON"</f>
        <v>CHEMISTRY 1 HON</v>
      </c>
      <c r="G15861" t="str">
        <f>"08-812"</f>
        <v>08-812</v>
      </c>
      <c r="H15861" t="str">
        <f>"A"</f>
        <v>A</v>
      </c>
    </row>
    <row r="15862" spans="1:8" x14ac:dyDescent="0.2">
      <c r="A15862" t="str">
        <f t="shared" si="5756"/>
        <v>0615065040</v>
      </c>
      <c r="B15862" t="str">
        <f t="shared" si="5757"/>
        <v>ALEXIA</v>
      </c>
      <c r="C15862" t="str">
        <f t="shared" si="5758"/>
        <v>SILIQUINI PANIZZI</v>
      </c>
      <c r="D15862">
        <f>11</f>
        <v>11</v>
      </c>
      <c r="E15862" t="str">
        <f>"02 - A - 104 - Dayna M Foster"</f>
        <v>02 - A - 104 - Dayna M Foster</v>
      </c>
      <c r="F15862" t="str">
        <f>"NC STUDY HALL 1"</f>
        <v>NC STUDY HALL 1</v>
      </c>
      <c r="G15862" t="str">
        <f>"21-2109"</f>
        <v>21-2109</v>
      </c>
      <c r="H15862" t="str">
        <f>"A"</f>
        <v>A</v>
      </c>
    </row>
    <row r="15863" spans="1:8" x14ac:dyDescent="0.2">
      <c r="A15863" t="str">
        <f t="shared" si="5756"/>
        <v>0615065040</v>
      </c>
      <c r="B15863" t="str">
        <f t="shared" si="5757"/>
        <v>ALEXIA</v>
      </c>
      <c r="C15863" t="str">
        <f t="shared" si="5758"/>
        <v>SILIQUINI PANIZZI</v>
      </c>
      <c r="D15863">
        <f>11</f>
        <v>11</v>
      </c>
      <c r="E15863" t="str">
        <f>"07 - B - 101 - Lisa  Quinn"</f>
        <v>07 - B - 101 - Lisa  Quinn</v>
      </c>
      <c r="F15863" t="str">
        <f>"RESEARCH 1"</f>
        <v>RESEARCH 1</v>
      </c>
      <c r="G15863" t="str">
        <f>"17-1725"</f>
        <v>17-1725</v>
      </c>
      <c r="H15863" t="str">
        <f>"B"</f>
        <v>B</v>
      </c>
    </row>
    <row r="15864" spans="1:8" x14ac:dyDescent="0.2">
      <c r="A15864" t="str">
        <f t="shared" si="5756"/>
        <v>0615065040</v>
      </c>
      <c r="B15864" t="str">
        <f t="shared" si="5757"/>
        <v>ALEXIA</v>
      </c>
      <c r="C15864" t="str">
        <f t="shared" si="5758"/>
        <v>SILIQUINI PANIZZI</v>
      </c>
      <c r="D15864">
        <f>11</f>
        <v>11</v>
      </c>
      <c r="E15864" t="str">
        <f>"05 - B - 001 - Stefanie S Scher"</f>
        <v>05 - B - 001 - Stefanie S Scher</v>
      </c>
      <c r="F15864" t="str">
        <f>"AICE PSYCH 1 AS"</f>
        <v>AICE PSYCH 1 AS</v>
      </c>
      <c r="G15864" t="str">
        <f>"17-1735"</f>
        <v>17-1735</v>
      </c>
      <c r="H15864" t="str">
        <f>"B"</f>
        <v>B</v>
      </c>
    </row>
    <row r="15865" spans="1:8" x14ac:dyDescent="0.2">
      <c r="A15865" t="str">
        <f t="shared" si="5756"/>
        <v>0615065040</v>
      </c>
      <c r="B15865" t="str">
        <f t="shared" si="5757"/>
        <v>ALEXIA</v>
      </c>
      <c r="C15865" t="str">
        <f t="shared" si="5758"/>
        <v>SILIQUINI PANIZZI</v>
      </c>
      <c r="D15865">
        <f>11</f>
        <v>11</v>
      </c>
      <c r="E15865" t="str">
        <f>"01 - A - 001 - Stephen T Ripp"</f>
        <v>01 - A - 001 - Stephen T Ripp</v>
      </c>
      <c r="F15865" t="str">
        <f>"AP U.S. HIST"</f>
        <v>AP U.S. HIST</v>
      </c>
      <c r="G15865" t="str">
        <f>"17-1744"</f>
        <v>17-1744</v>
      </c>
      <c r="H15865" t="str">
        <f>"A"</f>
        <v>A</v>
      </c>
    </row>
    <row r="15866" spans="1:8" x14ac:dyDescent="0.2">
      <c r="A15866" t="str">
        <f t="shared" si="5756"/>
        <v>0615065040</v>
      </c>
      <c r="B15866" t="str">
        <f t="shared" si="5757"/>
        <v>ALEXIA</v>
      </c>
      <c r="C15866" t="str">
        <f t="shared" si="5758"/>
        <v>SILIQUINI PANIZZI</v>
      </c>
      <c r="D15866">
        <f>11</f>
        <v>11</v>
      </c>
      <c r="E15866" t="str">
        <f>"08 - B - 201 - Stacey A Blecker"</f>
        <v>08 - B - 201 - Stacey A Blecker</v>
      </c>
      <c r="F15866" t="str">
        <f>"AICE SOCIOLOGY 1 AS"</f>
        <v>AICE SOCIOLOGY 1 AS</v>
      </c>
      <c r="G15866" t="str">
        <f>"09-926"</f>
        <v>09-926</v>
      </c>
      <c r="H15866" t="str">
        <f>"B"</f>
        <v>B</v>
      </c>
    </row>
    <row r="15867" spans="1:8" x14ac:dyDescent="0.2">
      <c r="A15867" t="str">
        <f t="shared" ref="A15867:A15874" si="5759">"0615046583"</f>
        <v>0615046583</v>
      </c>
      <c r="B15867" t="str">
        <f t="shared" ref="B15867:B15874" si="5760">"DAPHINE"</f>
        <v>DAPHINE</v>
      </c>
      <c r="C15867" t="str">
        <f t="shared" ref="C15867:C15882" si="5761">"SILVA"</f>
        <v>SILVA</v>
      </c>
      <c r="D15867">
        <f>10</f>
        <v>10</v>
      </c>
      <c r="E15867" t="str">
        <f>"04 - A - 201 - Alejandro  Navarro"</f>
        <v>04 - A - 201 - Alejandro  Navarro</v>
      </c>
      <c r="F15867" t="str">
        <f>"BAND 4"</f>
        <v>BAND 4</v>
      </c>
      <c r="G15867" t="str">
        <f>"05-504"</f>
        <v>05-504</v>
      </c>
      <c r="H15867" t="str">
        <f>"A"</f>
        <v>A</v>
      </c>
    </row>
    <row r="15868" spans="1:8" x14ac:dyDescent="0.2">
      <c r="A15868" t="str">
        <f t="shared" si="5759"/>
        <v>0615046583</v>
      </c>
      <c r="B15868" t="str">
        <f t="shared" si="5760"/>
        <v>DAPHINE</v>
      </c>
      <c r="C15868" t="str">
        <f t="shared" si="5761"/>
        <v>SILVA</v>
      </c>
      <c r="D15868">
        <f>10</f>
        <v>10</v>
      </c>
      <c r="E15868" t="str">
        <f>"06 - B - 117 - Daniel S Tyson"</f>
        <v>06 - B - 117 - Daniel S Tyson</v>
      </c>
      <c r="F15868" t="str">
        <f>"NC STUDY HALL 1"</f>
        <v>NC STUDY HALL 1</v>
      </c>
      <c r="G15868" t="str">
        <f>"05-510"</f>
        <v>05-510</v>
      </c>
      <c r="H15868" t="str">
        <f>"B"</f>
        <v>B</v>
      </c>
    </row>
    <row r="15869" spans="1:8" x14ac:dyDescent="0.2">
      <c r="A15869" t="str">
        <f t="shared" si="5759"/>
        <v>0615046583</v>
      </c>
      <c r="B15869" t="str">
        <f t="shared" si="5760"/>
        <v>DAPHINE</v>
      </c>
      <c r="C15869" t="str">
        <f t="shared" si="5761"/>
        <v>SILVA</v>
      </c>
      <c r="D15869">
        <f>10</f>
        <v>10</v>
      </c>
      <c r="E15869" t="str">
        <f>"03 - A - 103 - Courtney E Hambright"</f>
        <v>03 - A - 103 - Courtney E Hambright</v>
      </c>
      <c r="F15869" t="str">
        <f>"AICE ENG LANG AS"</f>
        <v>AICE ENG LANG AS</v>
      </c>
      <c r="G15869" t="str">
        <f>"17-1711"</f>
        <v>17-1711</v>
      </c>
      <c r="H15869" t="str">
        <f>"A"</f>
        <v>A</v>
      </c>
    </row>
    <row r="15870" spans="1:8" x14ac:dyDescent="0.2">
      <c r="A15870" t="str">
        <f t="shared" si="5759"/>
        <v>0615046583</v>
      </c>
      <c r="B15870" t="str">
        <f t="shared" si="5760"/>
        <v>DAPHINE</v>
      </c>
      <c r="C15870" t="str">
        <f t="shared" si="5761"/>
        <v>SILVA</v>
      </c>
      <c r="D15870">
        <f>10</f>
        <v>10</v>
      </c>
      <c r="E15870" t="str">
        <f>"02 - A - 103 - Lenecy  Nodarse"</f>
        <v>02 - A - 103 - Lenecy  Nodarse</v>
      </c>
      <c r="F15870" t="str">
        <f>"AICE EURO HIST 1 AS"</f>
        <v>AICE EURO HIST 1 AS</v>
      </c>
      <c r="G15870" t="str">
        <f>"17-1741"</f>
        <v>17-1741</v>
      </c>
      <c r="H15870" t="str">
        <f>"A"</f>
        <v>A</v>
      </c>
    </row>
    <row r="15871" spans="1:8" x14ac:dyDescent="0.2">
      <c r="A15871" t="str">
        <f t="shared" si="5759"/>
        <v>0615046583</v>
      </c>
      <c r="B15871" t="str">
        <f t="shared" si="5760"/>
        <v>DAPHINE</v>
      </c>
      <c r="C15871" t="str">
        <f t="shared" si="5761"/>
        <v>SILVA</v>
      </c>
      <c r="D15871">
        <f>10</f>
        <v>10</v>
      </c>
      <c r="E15871" t="str">
        <f>"07 - B - 102 - Lourivaldo  Da Silva"</f>
        <v>07 - B - 102 - Lourivaldo  Da Silva</v>
      </c>
      <c r="F15871" t="str">
        <f>"ALGEBRA 2 HON"</f>
        <v>ALGEBRA 2 HON</v>
      </c>
      <c r="G15871" t="str">
        <f>"20-2079"</f>
        <v>20-2079</v>
      </c>
      <c r="H15871" t="str">
        <f>"B"</f>
        <v>B</v>
      </c>
    </row>
    <row r="15872" spans="1:8" x14ac:dyDescent="0.2">
      <c r="A15872" t="str">
        <f t="shared" si="5759"/>
        <v>0615046583</v>
      </c>
      <c r="B15872" t="str">
        <f t="shared" si="5760"/>
        <v>DAPHINE</v>
      </c>
      <c r="C15872" t="str">
        <f t="shared" si="5761"/>
        <v>SILVA</v>
      </c>
      <c r="D15872">
        <f>10</f>
        <v>10</v>
      </c>
      <c r="E15872" t="str">
        <f>"05 - B - 001 - Stefanie S Scher"</f>
        <v>05 - B - 001 - Stefanie S Scher</v>
      </c>
      <c r="F15872" t="str">
        <f>"AICE PSYCH 1 AS"</f>
        <v>AICE PSYCH 1 AS</v>
      </c>
      <c r="G15872" t="str">
        <f>"17-1735"</f>
        <v>17-1735</v>
      </c>
      <c r="H15872" t="str">
        <f>"B"</f>
        <v>B</v>
      </c>
    </row>
    <row r="15873" spans="1:8" x14ac:dyDescent="0.2">
      <c r="A15873" t="str">
        <f t="shared" si="5759"/>
        <v>0615046583</v>
      </c>
      <c r="B15873" t="str">
        <f t="shared" si="5760"/>
        <v>DAPHINE</v>
      </c>
      <c r="C15873" t="str">
        <f t="shared" si="5761"/>
        <v>SILVA</v>
      </c>
      <c r="D15873">
        <f>10</f>
        <v>10</v>
      </c>
      <c r="E15873" t="str">
        <f>"01 - A - 101 - Eva T Rimmer"</f>
        <v>01 - A - 101 - Eva T Rimmer</v>
      </c>
      <c r="F15873" t="str">
        <f>"CRIMINAL JUST OPS 2"</f>
        <v>CRIMINAL JUST OPS 2</v>
      </c>
      <c r="G15873" t="str">
        <f>"05-523"</f>
        <v>05-523</v>
      </c>
      <c r="H15873" t="str">
        <f>"A"</f>
        <v>A</v>
      </c>
    </row>
    <row r="15874" spans="1:8" x14ac:dyDescent="0.2">
      <c r="A15874" t="str">
        <f t="shared" si="5759"/>
        <v>0615046583</v>
      </c>
      <c r="B15874" t="str">
        <f t="shared" si="5760"/>
        <v>DAPHINE</v>
      </c>
      <c r="C15874" t="str">
        <f t="shared" si="5761"/>
        <v>SILVA</v>
      </c>
      <c r="D15874">
        <f>10</f>
        <v>10</v>
      </c>
      <c r="E15874" t="str">
        <f>"08 - B - 001 - Scott A Dethloff"</f>
        <v>08 - B - 001 - Scott A Dethloff</v>
      </c>
      <c r="F15874" t="str">
        <f>"CHEMISTRY 1 HON"</f>
        <v>CHEMISTRY 1 HON</v>
      </c>
      <c r="G15874" t="str">
        <f>"08-812"</f>
        <v>08-812</v>
      </c>
      <c r="H15874" t="str">
        <f>"B"</f>
        <v>B</v>
      </c>
    </row>
    <row r="15875" spans="1:8" x14ac:dyDescent="0.2">
      <c r="A15875" t="str">
        <f t="shared" ref="A15875:A15882" si="5762">"0615110868"</f>
        <v>0615110868</v>
      </c>
      <c r="B15875" t="str">
        <f t="shared" ref="B15875:B15882" si="5763">"KADYN"</f>
        <v>KADYN</v>
      </c>
      <c r="C15875" t="str">
        <f t="shared" si="5761"/>
        <v>SILVA</v>
      </c>
      <c r="D15875">
        <f>10</f>
        <v>10</v>
      </c>
      <c r="E15875" t="str">
        <f>"04 - A - 104 - Dayna M Foster"</f>
        <v>04 - A - 104 - Dayna M Foster</v>
      </c>
      <c r="F15875" t="str">
        <f>"ALGEBRA 2"</f>
        <v>ALGEBRA 2</v>
      </c>
      <c r="G15875" t="str">
        <f>"21-2109"</f>
        <v>21-2109</v>
      </c>
      <c r="H15875" t="str">
        <f>"A"</f>
        <v>A</v>
      </c>
    </row>
    <row r="15876" spans="1:8" x14ac:dyDescent="0.2">
      <c r="A15876" t="str">
        <f t="shared" si="5762"/>
        <v>0615110868</v>
      </c>
      <c r="B15876" t="str">
        <f t="shared" si="5763"/>
        <v>KADYN</v>
      </c>
      <c r="C15876" t="str">
        <f t="shared" si="5761"/>
        <v>SILVA</v>
      </c>
      <c r="D15876">
        <f>10</f>
        <v>10</v>
      </c>
      <c r="E15876" t="str">
        <f>"06 - B - 002 - Lenecy  Nodarse"</f>
        <v>06 - B - 002 - Lenecy  Nodarse</v>
      </c>
      <c r="F15876" t="str">
        <f>"NC STUDY HALL 1"</f>
        <v>NC STUDY HALL 1</v>
      </c>
      <c r="G15876" t="str">
        <f>"17-1741"</f>
        <v>17-1741</v>
      </c>
      <c r="H15876" t="str">
        <f>"B"</f>
        <v>B</v>
      </c>
    </row>
    <row r="15877" spans="1:8" x14ac:dyDescent="0.2">
      <c r="A15877" t="str">
        <f t="shared" si="5762"/>
        <v>0615110868</v>
      </c>
      <c r="B15877" t="str">
        <f t="shared" si="5763"/>
        <v>KADYN</v>
      </c>
      <c r="C15877" t="str">
        <f t="shared" si="5761"/>
        <v>SILVA</v>
      </c>
      <c r="D15877">
        <f>10</f>
        <v>10</v>
      </c>
      <c r="E15877" t="str">
        <f>"03 - A - 002 - Lenecy  Nodarse"</f>
        <v>03 - A - 002 - Lenecy  Nodarse</v>
      </c>
      <c r="F15877" t="str">
        <f>"AICE EURO HIST 1 AS"</f>
        <v>AICE EURO HIST 1 AS</v>
      </c>
      <c r="G15877" t="str">
        <f>"17-1741"</f>
        <v>17-1741</v>
      </c>
      <c r="H15877" t="str">
        <f>"A"</f>
        <v>A</v>
      </c>
    </row>
    <row r="15878" spans="1:8" x14ac:dyDescent="0.2">
      <c r="A15878" t="str">
        <f t="shared" si="5762"/>
        <v>0615110868</v>
      </c>
      <c r="B15878" t="str">
        <f t="shared" si="5763"/>
        <v>KADYN</v>
      </c>
      <c r="C15878" t="str">
        <f t="shared" si="5761"/>
        <v>SILVA</v>
      </c>
      <c r="D15878">
        <f>10</f>
        <v>10</v>
      </c>
      <c r="E15878" t="str">
        <f>"02 - A - 102 - Adam Marcus  Drucker"</f>
        <v>02 - A - 102 - Adam Marcus  Drucker</v>
      </c>
      <c r="F15878" t="str">
        <f>"HOPE-PE V"</f>
        <v>HOPE-PE V</v>
      </c>
      <c r="G15878" t="str">
        <f>"04-254"</f>
        <v>04-254</v>
      </c>
      <c r="H15878" t="str">
        <f>"A"</f>
        <v>A</v>
      </c>
    </row>
    <row r="15879" spans="1:8" x14ac:dyDescent="0.2">
      <c r="A15879" t="str">
        <f t="shared" si="5762"/>
        <v>0615110868</v>
      </c>
      <c r="B15879" t="str">
        <f t="shared" si="5763"/>
        <v>KADYN</v>
      </c>
      <c r="C15879" t="str">
        <f t="shared" si="5761"/>
        <v>SILVA</v>
      </c>
      <c r="D15879">
        <f>10</f>
        <v>10</v>
      </c>
      <c r="E15879" t="str">
        <f>"07 - B - 101 - Jeanne M Bermudez"</f>
        <v>07 - B - 101 - Jeanne M Bermudez</v>
      </c>
      <c r="F15879" t="str">
        <f>"FOUND OF PROGRAM HON"</f>
        <v>FOUND OF PROGRAM HON</v>
      </c>
      <c r="G15879" t="str">
        <f>"21-2141"</f>
        <v>21-2141</v>
      </c>
      <c r="H15879" t="str">
        <f>"B"</f>
        <v>B</v>
      </c>
    </row>
    <row r="15880" spans="1:8" x14ac:dyDescent="0.2">
      <c r="A15880" t="str">
        <f t="shared" si="5762"/>
        <v>0615110868</v>
      </c>
      <c r="B15880" t="str">
        <f t="shared" si="5763"/>
        <v>KADYN</v>
      </c>
      <c r="C15880" t="str">
        <f t="shared" si="5761"/>
        <v>SILVA</v>
      </c>
      <c r="D15880">
        <f>10</f>
        <v>10</v>
      </c>
      <c r="E15880" t="str">
        <f>"05 - B - 106 - Courtney E Hambright"</f>
        <v>05 - B - 106 - Courtney E Hambright</v>
      </c>
      <c r="F15880" t="str">
        <f>"AICE ENG LANG AS"</f>
        <v>AICE ENG LANG AS</v>
      </c>
      <c r="G15880" t="str">
        <f>"17-1711"</f>
        <v>17-1711</v>
      </c>
      <c r="H15880" t="str">
        <f>"B"</f>
        <v>B</v>
      </c>
    </row>
    <row r="15881" spans="1:8" x14ac:dyDescent="0.2">
      <c r="A15881" t="str">
        <f t="shared" si="5762"/>
        <v>0615110868</v>
      </c>
      <c r="B15881" t="str">
        <f t="shared" si="5763"/>
        <v>KADYN</v>
      </c>
      <c r="C15881" t="str">
        <f t="shared" si="5761"/>
        <v>SILVA</v>
      </c>
      <c r="D15881">
        <f>10</f>
        <v>10</v>
      </c>
      <c r="E15881" t="str">
        <f>"01 - S1 - A - 101 - Leslie J Barton"</f>
        <v>01 - S1 - A - 101 - Leslie J Barton</v>
      </c>
      <c r="F15881" t="str">
        <f>"FIRST AID SAFETY"</f>
        <v>FIRST AID SAFETY</v>
      </c>
      <c r="G15881" t="str">
        <f>"05-521"</f>
        <v>05-521</v>
      </c>
      <c r="H15881" t="str">
        <f>"A"</f>
        <v>A</v>
      </c>
    </row>
    <row r="15882" spans="1:8" x14ac:dyDescent="0.2">
      <c r="A15882" t="str">
        <f t="shared" si="5762"/>
        <v>0615110868</v>
      </c>
      <c r="B15882" t="str">
        <f t="shared" si="5763"/>
        <v>KADYN</v>
      </c>
      <c r="C15882" t="str">
        <f t="shared" si="5761"/>
        <v>SILVA</v>
      </c>
      <c r="D15882">
        <f>10</f>
        <v>10</v>
      </c>
      <c r="E15882" t="str">
        <f>"08 - B - 001 - Scott A Dethloff"</f>
        <v>08 - B - 001 - Scott A Dethloff</v>
      </c>
      <c r="F15882" t="str">
        <f>"CHEMISTRY 1 HON"</f>
        <v>CHEMISTRY 1 HON</v>
      </c>
      <c r="G15882" t="str">
        <f>"08-812"</f>
        <v>08-812</v>
      </c>
      <c r="H15882" t="str">
        <f>"B"</f>
        <v>B</v>
      </c>
    </row>
    <row r="15883" spans="1:8" x14ac:dyDescent="0.2">
      <c r="A15883" t="str">
        <f t="shared" ref="A15883:A15890" si="5764">"0615014953"</f>
        <v>0615014953</v>
      </c>
      <c r="B15883" t="str">
        <f t="shared" ref="B15883:B15890" si="5765">"RUBY"</f>
        <v>RUBY</v>
      </c>
      <c r="C15883" t="str">
        <f t="shared" ref="C15883:C15890" si="5766">"SILVA CHICAS"</f>
        <v>SILVA CHICAS</v>
      </c>
      <c r="D15883">
        <f>11</f>
        <v>11</v>
      </c>
      <c r="E15883" t="str">
        <f>"04 - A - 103 - Daniel S Tyson"</f>
        <v>04 - A - 103 - Daniel S Tyson</v>
      </c>
      <c r="F15883" t="str">
        <f>"JROTC NAVAL SCI 1"</f>
        <v>JROTC NAVAL SCI 1</v>
      </c>
      <c r="G15883" t="str">
        <f>"05-510"</f>
        <v>05-510</v>
      </c>
      <c r="H15883" t="str">
        <f>"A"</f>
        <v>A</v>
      </c>
    </row>
    <row r="15884" spans="1:8" x14ac:dyDescent="0.2">
      <c r="A15884" t="str">
        <f t="shared" si="5764"/>
        <v>0615014953</v>
      </c>
      <c r="B15884" t="str">
        <f t="shared" si="5765"/>
        <v>RUBY</v>
      </c>
      <c r="C15884" t="str">
        <f t="shared" si="5766"/>
        <v>SILVA CHICAS</v>
      </c>
      <c r="D15884">
        <f>11</f>
        <v>11</v>
      </c>
      <c r="E15884" t="str">
        <f>"06 - B - 202 - Brian M Fitzgerald"</f>
        <v>06 - B - 202 - Brian M Fitzgerald</v>
      </c>
      <c r="F15884" t="str">
        <f>"DRAW 1"</f>
        <v>DRAW 1</v>
      </c>
      <c r="G15884" t="str">
        <f>"09-908"</f>
        <v>09-908</v>
      </c>
      <c r="H15884" t="str">
        <f>"B"</f>
        <v>B</v>
      </c>
    </row>
    <row r="15885" spans="1:8" x14ac:dyDescent="0.2">
      <c r="A15885" t="str">
        <f t="shared" si="5764"/>
        <v>0615014953</v>
      </c>
      <c r="B15885" t="str">
        <f t="shared" si="5765"/>
        <v>RUBY</v>
      </c>
      <c r="C15885" t="str">
        <f t="shared" si="5766"/>
        <v>SILVA CHICAS</v>
      </c>
      <c r="D15885">
        <f>11</f>
        <v>11</v>
      </c>
      <c r="E15885" t="str">
        <f>"03 - S1 - A - 102 - Leslie J Barton"</f>
        <v>03 - S1 - A - 102 - Leslie J Barton</v>
      </c>
      <c r="F15885" t="str">
        <f>"FIRST AID SAFETY"</f>
        <v>FIRST AID SAFETY</v>
      </c>
      <c r="G15885" t="str">
        <f>"05-521"</f>
        <v>05-521</v>
      </c>
      <c r="H15885" t="str">
        <f>"A"</f>
        <v>A</v>
      </c>
    </row>
    <row r="15886" spans="1:8" x14ac:dyDescent="0.2">
      <c r="A15886" t="str">
        <f t="shared" si="5764"/>
        <v>0615014953</v>
      </c>
      <c r="B15886" t="str">
        <f t="shared" si="5765"/>
        <v>RUBY</v>
      </c>
      <c r="C15886" t="str">
        <f t="shared" si="5766"/>
        <v>SILVA CHICAS</v>
      </c>
      <c r="D15886">
        <f>11</f>
        <v>11</v>
      </c>
      <c r="E15886" t="str">
        <f>"02 - A - 001 - Courtney E Hambright"</f>
        <v>02 - A - 001 - Courtney E Hambright</v>
      </c>
      <c r="F15886" t="str">
        <f>"NC STUDY HALL 1"</f>
        <v>NC STUDY HALL 1</v>
      </c>
      <c r="G15886" t="str">
        <f>"17-1711"</f>
        <v>17-1711</v>
      </c>
      <c r="H15886" t="str">
        <f>"A"</f>
        <v>A</v>
      </c>
    </row>
    <row r="15887" spans="1:8" x14ac:dyDescent="0.2">
      <c r="A15887" t="str">
        <f t="shared" si="5764"/>
        <v>0615014953</v>
      </c>
      <c r="B15887" t="str">
        <f t="shared" si="5765"/>
        <v>RUBY</v>
      </c>
      <c r="C15887" t="str">
        <f t="shared" si="5766"/>
        <v>SILVA CHICAS</v>
      </c>
      <c r="D15887">
        <f>11</f>
        <v>11</v>
      </c>
      <c r="E15887" t="str">
        <f>"07 - B - 106 - James H Mccann"</f>
        <v>07 - B - 106 - James H Mccann</v>
      </c>
      <c r="F15887" t="str">
        <f>"ALGEBRA 2"</f>
        <v>ALGEBRA 2</v>
      </c>
      <c r="G15887" t="str">
        <f>"17-1716"</f>
        <v>17-1716</v>
      </c>
      <c r="H15887" t="str">
        <f>"B"</f>
        <v>B</v>
      </c>
    </row>
    <row r="15888" spans="1:8" x14ac:dyDescent="0.2">
      <c r="A15888" t="str">
        <f t="shared" si="5764"/>
        <v>0615014953</v>
      </c>
      <c r="B15888" t="str">
        <f t="shared" si="5765"/>
        <v>RUBY</v>
      </c>
      <c r="C15888" t="str">
        <f t="shared" si="5766"/>
        <v>SILVA CHICAS</v>
      </c>
      <c r="D15888">
        <f>11</f>
        <v>11</v>
      </c>
      <c r="E15888" t="str">
        <f>"05 - B - 204 - Cheryl L Beach"</f>
        <v>05 - B - 204 - Cheryl L Beach</v>
      </c>
      <c r="F15888" t="str">
        <f>"AICE ENV MGMNT AS"</f>
        <v>AICE ENV MGMNT AS</v>
      </c>
      <c r="G15888" t="str">
        <f>"08-811"</f>
        <v>08-811</v>
      </c>
      <c r="H15888" t="str">
        <f>"B"</f>
        <v>B</v>
      </c>
    </row>
    <row r="15889" spans="1:8" x14ac:dyDescent="0.2">
      <c r="A15889" t="str">
        <f t="shared" si="5764"/>
        <v>0615014953</v>
      </c>
      <c r="B15889" t="str">
        <f t="shared" si="5765"/>
        <v>RUBY</v>
      </c>
      <c r="C15889" t="str">
        <f t="shared" si="5766"/>
        <v>SILVA CHICAS</v>
      </c>
      <c r="D15889">
        <f>11</f>
        <v>11</v>
      </c>
      <c r="E15889" t="str">
        <f>"01 - A - 104 - Jerry S Jiampetti"</f>
        <v>01 - A - 104 - Jerry S Jiampetti</v>
      </c>
      <c r="F15889" t="str">
        <f>"US HISTORY HON"</f>
        <v>US HISTORY HON</v>
      </c>
      <c r="G15889" t="str">
        <f>"17-1751"</f>
        <v>17-1751</v>
      </c>
      <c r="H15889" t="str">
        <f>"A"</f>
        <v>A</v>
      </c>
    </row>
    <row r="15890" spans="1:8" x14ac:dyDescent="0.2">
      <c r="A15890" t="str">
        <f t="shared" si="5764"/>
        <v>0615014953</v>
      </c>
      <c r="B15890" t="str">
        <f t="shared" si="5765"/>
        <v>RUBY</v>
      </c>
      <c r="C15890" t="str">
        <f t="shared" si="5766"/>
        <v>SILVA CHICAS</v>
      </c>
      <c r="D15890">
        <f>11</f>
        <v>11</v>
      </c>
      <c r="E15890" t="str">
        <f>"08 - B - 105 - Brandy N Zdenek"</f>
        <v>08 - B - 105 - Brandy N Zdenek</v>
      </c>
      <c r="F15890" t="str">
        <f>"AICE ENG LANG 2 AL"</f>
        <v>AICE ENG LANG 2 AL</v>
      </c>
      <c r="G15890" t="str">
        <f>"17-1704"</f>
        <v>17-1704</v>
      </c>
      <c r="H15890" t="str">
        <f>"B"</f>
        <v>B</v>
      </c>
    </row>
    <row r="15891" spans="1:8" x14ac:dyDescent="0.2">
      <c r="A15891" t="str">
        <f t="shared" ref="A15891:A15898" si="5767">"0615115713"</f>
        <v>0615115713</v>
      </c>
      <c r="B15891" t="str">
        <f t="shared" ref="B15891:B15898" si="5768">"MELLYNA"</f>
        <v>MELLYNA</v>
      </c>
      <c r="C15891" t="str">
        <f t="shared" ref="C15891:C15898" si="5769">"SILVA SKIMMELI"</f>
        <v>SILVA SKIMMELI</v>
      </c>
      <c r="D15891">
        <f>10</f>
        <v>10</v>
      </c>
      <c r="E15891" t="str">
        <f>"04 - A - 104 - Courtney E Hambright"</f>
        <v>04 - A - 104 - Courtney E Hambright</v>
      </c>
      <c r="F15891" t="str">
        <f>"AICE ENG LANG AS"</f>
        <v>AICE ENG LANG AS</v>
      </c>
      <c r="G15891" t="str">
        <f>"17-1711"</f>
        <v>17-1711</v>
      </c>
      <c r="H15891" t="str">
        <f>"A"</f>
        <v>A</v>
      </c>
    </row>
    <row r="15892" spans="1:8" x14ac:dyDescent="0.2">
      <c r="A15892" t="str">
        <f t="shared" si="5767"/>
        <v>0615115713</v>
      </c>
      <c r="B15892" t="str">
        <f t="shared" si="5768"/>
        <v>MELLYNA</v>
      </c>
      <c r="C15892" t="str">
        <f t="shared" si="5769"/>
        <v>SILVA SKIMMELI</v>
      </c>
      <c r="D15892">
        <f>10</f>
        <v>10</v>
      </c>
      <c r="E15892" t="str">
        <f>"06 - B - 119 - Nikiel  Nesbeth"</f>
        <v>06 - B - 119 - Nikiel  Nesbeth</v>
      </c>
      <c r="F15892" t="str">
        <f>"NC STUDY HALL 1"</f>
        <v>NC STUDY HALL 1</v>
      </c>
      <c r="G15892" t="str">
        <f>"17-1705"</f>
        <v>17-1705</v>
      </c>
      <c r="H15892" t="str">
        <f>"B"</f>
        <v>B</v>
      </c>
    </row>
    <row r="15893" spans="1:8" x14ac:dyDescent="0.2">
      <c r="A15893" t="str">
        <f t="shared" si="5767"/>
        <v>0615115713</v>
      </c>
      <c r="B15893" t="str">
        <f t="shared" si="5768"/>
        <v>MELLYNA</v>
      </c>
      <c r="C15893" t="str">
        <f t="shared" si="5769"/>
        <v>SILVA SKIMMELI</v>
      </c>
      <c r="D15893">
        <f>10</f>
        <v>10</v>
      </c>
      <c r="E15893" t="str">
        <f>"03 - A - 002 - Lenecy  Nodarse"</f>
        <v>03 - A - 002 - Lenecy  Nodarse</v>
      </c>
      <c r="F15893" t="str">
        <f>"AICE EURO HIST 1 AS"</f>
        <v>AICE EURO HIST 1 AS</v>
      </c>
      <c r="G15893" t="str">
        <f>"17-1741"</f>
        <v>17-1741</v>
      </c>
      <c r="H15893" t="str">
        <f>"A"</f>
        <v>A</v>
      </c>
    </row>
    <row r="15894" spans="1:8" x14ac:dyDescent="0.2">
      <c r="A15894" t="str">
        <f t="shared" si="5767"/>
        <v>0615115713</v>
      </c>
      <c r="B15894" t="str">
        <f t="shared" si="5768"/>
        <v>MELLYNA</v>
      </c>
      <c r="C15894" t="str">
        <f t="shared" si="5769"/>
        <v>SILVA SKIMMELI</v>
      </c>
      <c r="D15894">
        <f>10</f>
        <v>10</v>
      </c>
      <c r="E15894" t="str">
        <f>"02 - A - 102 - Bruce A Evans"</f>
        <v>02 - A - 102 - Bruce A Evans</v>
      </c>
      <c r="F15894" t="str">
        <f>"EMERG MED RESP 3 HON"</f>
        <v>EMERG MED RESP 3 HON</v>
      </c>
      <c r="G15894" t="str">
        <f>"21-2142"</f>
        <v>21-2142</v>
      </c>
      <c r="H15894" t="str">
        <f>"A"</f>
        <v>A</v>
      </c>
    </row>
    <row r="15895" spans="1:8" x14ac:dyDescent="0.2">
      <c r="A15895" t="str">
        <f t="shared" si="5767"/>
        <v>0615115713</v>
      </c>
      <c r="B15895" t="str">
        <f t="shared" si="5768"/>
        <v>MELLYNA</v>
      </c>
      <c r="C15895" t="str">
        <f t="shared" si="5769"/>
        <v>SILVA SKIMMELI</v>
      </c>
      <c r="D15895">
        <f>10</f>
        <v>10</v>
      </c>
      <c r="E15895" t="str">
        <f>"07 - B - 102 - Lourivaldo  Da Silva"</f>
        <v>07 - B - 102 - Lourivaldo  Da Silva</v>
      </c>
      <c r="F15895" t="str">
        <f>"ALGEBRA 2 HON"</f>
        <v>ALGEBRA 2 HON</v>
      </c>
      <c r="G15895" t="str">
        <f>"20-2079"</f>
        <v>20-2079</v>
      </c>
      <c r="H15895" t="str">
        <f>"B"</f>
        <v>B</v>
      </c>
    </row>
    <row r="15896" spans="1:8" x14ac:dyDescent="0.2">
      <c r="A15896" t="str">
        <f t="shared" si="5767"/>
        <v>0615115713</v>
      </c>
      <c r="B15896" t="str">
        <f t="shared" si="5768"/>
        <v>MELLYNA</v>
      </c>
      <c r="C15896" t="str">
        <f t="shared" si="5769"/>
        <v>SILVA SKIMMELI</v>
      </c>
      <c r="D15896">
        <f>10</f>
        <v>10</v>
      </c>
      <c r="E15896" t="str">
        <f>"05 - B - 201 - Bruce A Evans"</f>
        <v>05 - B - 201 - Bruce A Evans</v>
      </c>
      <c r="F15896" t="str">
        <f>"HEALTH SCI FOUND HON"</f>
        <v>HEALTH SCI FOUND HON</v>
      </c>
      <c r="G15896" t="str">
        <f>"21-2142"</f>
        <v>21-2142</v>
      </c>
      <c r="H15896" t="str">
        <f>"B"</f>
        <v>B</v>
      </c>
    </row>
    <row r="15897" spans="1:8" x14ac:dyDescent="0.2">
      <c r="A15897" t="str">
        <f t="shared" si="5767"/>
        <v>0615115713</v>
      </c>
      <c r="B15897" t="str">
        <f t="shared" si="5768"/>
        <v>MELLYNA</v>
      </c>
      <c r="C15897" t="str">
        <f t="shared" si="5769"/>
        <v>SILVA SKIMMELI</v>
      </c>
      <c r="D15897">
        <f>10</f>
        <v>10</v>
      </c>
      <c r="E15897" t="str">
        <f>"01 - A - 201 - Stefanie S Scher"</f>
        <v>01 - A - 201 - Stefanie S Scher</v>
      </c>
      <c r="F15897" t="str">
        <f>"AICE PSYCH 1 AS"</f>
        <v>AICE PSYCH 1 AS</v>
      </c>
      <c r="G15897" t="str">
        <f>"17-1735"</f>
        <v>17-1735</v>
      </c>
      <c r="H15897" t="str">
        <f>"A"</f>
        <v>A</v>
      </c>
    </row>
    <row r="15898" spans="1:8" x14ac:dyDescent="0.2">
      <c r="A15898" t="str">
        <f t="shared" si="5767"/>
        <v>0615115713</v>
      </c>
      <c r="B15898" t="str">
        <f t="shared" si="5768"/>
        <v>MELLYNA</v>
      </c>
      <c r="C15898" t="str">
        <f t="shared" si="5769"/>
        <v>SILVA SKIMMELI</v>
      </c>
      <c r="D15898">
        <f>10</f>
        <v>10</v>
      </c>
      <c r="E15898" t="str">
        <f>"08 - B - 001 - Scott A Dethloff"</f>
        <v>08 - B - 001 - Scott A Dethloff</v>
      </c>
      <c r="F15898" t="str">
        <f>"CHEMISTRY 1 HON"</f>
        <v>CHEMISTRY 1 HON</v>
      </c>
      <c r="G15898" t="str">
        <f>"08-812"</f>
        <v>08-812</v>
      </c>
      <c r="H15898" t="str">
        <f>"B"</f>
        <v>B</v>
      </c>
    </row>
    <row r="15899" spans="1:8" x14ac:dyDescent="0.2">
      <c r="A15899" t="str">
        <f t="shared" ref="A15899:A15906" si="5770">"0616111126"</f>
        <v>0616111126</v>
      </c>
      <c r="B15899" t="str">
        <f t="shared" ref="B15899:B15906" si="5771">"MIA"</f>
        <v>MIA</v>
      </c>
      <c r="C15899" t="str">
        <f t="shared" ref="C15899:C15906" si="5772">"SILVER"</f>
        <v>SILVER</v>
      </c>
      <c r="D15899" t="str">
        <f t="shared" ref="D15899:D15906" si="5773">"09"</f>
        <v>09</v>
      </c>
      <c r="E15899" t="str">
        <f>"04 - A - 103 - Joe  Kilpatrick Jr"</f>
        <v>04 - A - 103 - Joe  Kilpatrick Jr</v>
      </c>
      <c r="F15899" t="str">
        <f>"PRE-AICE SPAN 1 IG"</f>
        <v>PRE-AICE SPAN 1 IG</v>
      </c>
      <c r="G15899" t="str">
        <f>"09-912"</f>
        <v>09-912</v>
      </c>
      <c r="H15899" t="str">
        <f>"A"</f>
        <v>A</v>
      </c>
    </row>
    <row r="15900" spans="1:8" x14ac:dyDescent="0.2">
      <c r="A15900" t="str">
        <f t="shared" si="5770"/>
        <v>0616111126</v>
      </c>
      <c r="B15900" t="str">
        <f t="shared" si="5771"/>
        <v>MIA</v>
      </c>
      <c r="C15900" t="str">
        <f t="shared" si="5772"/>
        <v>SILVER</v>
      </c>
      <c r="D15900" t="str">
        <f t="shared" si="5773"/>
        <v>09</v>
      </c>
      <c r="E15900" t="str">
        <f>"06 - B - 104 - Byron G Montenegro"</f>
        <v>06 - B - 104 - Byron G Montenegro</v>
      </c>
      <c r="F15900" t="str">
        <f>"AICE MARINE SCI 1 AS"</f>
        <v>AICE MARINE SCI 1 AS</v>
      </c>
      <c r="G15900" t="str">
        <f>"21-2144"</f>
        <v>21-2144</v>
      </c>
      <c r="H15900" t="str">
        <f>"B"</f>
        <v>B</v>
      </c>
    </row>
    <row r="15901" spans="1:8" x14ac:dyDescent="0.2">
      <c r="A15901" t="str">
        <f t="shared" si="5770"/>
        <v>0616111126</v>
      </c>
      <c r="B15901" t="str">
        <f t="shared" si="5771"/>
        <v>MIA</v>
      </c>
      <c r="C15901" t="str">
        <f t="shared" si="5772"/>
        <v>SILVER</v>
      </c>
      <c r="D15901" t="str">
        <f t="shared" si="5773"/>
        <v>09</v>
      </c>
      <c r="E15901" t="str">
        <f>"03 - A - 104 - Brook E Goren"</f>
        <v>03 - A - 104 - Brook E Goren</v>
      </c>
      <c r="F15901" t="str">
        <f>"ALGEBRA 2 HON"</f>
        <v>ALGEBRA 2 HON</v>
      </c>
      <c r="G15901" t="str">
        <f>"21-2158"</f>
        <v>21-2158</v>
      </c>
      <c r="H15901" t="str">
        <f>"A"</f>
        <v>A</v>
      </c>
    </row>
    <row r="15902" spans="1:8" x14ac:dyDescent="0.2">
      <c r="A15902" t="str">
        <f t="shared" si="5770"/>
        <v>0616111126</v>
      </c>
      <c r="B15902" t="str">
        <f t="shared" si="5771"/>
        <v>MIA</v>
      </c>
      <c r="C15902" t="str">
        <f t="shared" si="5772"/>
        <v>SILVER</v>
      </c>
      <c r="D15902" t="str">
        <f t="shared" si="5773"/>
        <v>09</v>
      </c>
      <c r="E15902" t="str">
        <f>"02 - A - 112 - Cheryl Anne  Berman-Schechter"</f>
        <v>02 - A - 112 - Cheryl Anne  Berman-Schechter</v>
      </c>
      <c r="F15902" t="str">
        <f>"NC STUDY HALL 1"</f>
        <v>NC STUDY HALL 1</v>
      </c>
      <c r="G15902" t="str">
        <f>"17-1722"</f>
        <v>17-1722</v>
      </c>
      <c r="H15902" t="str">
        <f>"A"</f>
        <v>A</v>
      </c>
    </row>
    <row r="15903" spans="1:8" x14ac:dyDescent="0.2">
      <c r="A15903" t="str">
        <f t="shared" si="5770"/>
        <v>0616111126</v>
      </c>
      <c r="B15903" t="str">
        <f t="shared" si="5771"/>
        <v>MIA</v>
      </c>
      <c r="C15903" t="str">
        <f t="shared" si="5772"/>
        <v>SILVER</v>
      </c>
      <c r="D15903" t="str">
        <f t="shared" si="5773"/>
        <v>09</v>
      </c>
      <c r="E15903" t="str">
        <f>"07 - B - 107 - Marius D Orsolini"</f>
        <v>07 - B - 107 - Marius D Orsolini</v>
      </c>
      <c r="F15903" t="str">
        <f>"CULINARY ARTS 1"</f>
        <v>CULINARY ARTS 1</v>
      </c>
      <c r="G15903" t="str">
        <f>"21-2115"</f>
        <v>21-2115</v>
      </c>
      <c r="H15903" t="str">
        <f>"B"</f>
        <v>B</v>
      </c>
    </row>
    <row r="15904" spans="1:8" x14ac:dyDescent="0.2">
      <c r="A15904" t="str">
        <f t="shared" si="5770"/>
        <v>0616111126</v>
      </c>
      <c r="B15904" t="str">
        <f t="shared" si="5771"/>
        <v>MIA</v>
      </c>
      <c r="C15904" t="str">
        <f t="shared" si="5772"/>
        <v>SILVER</v>
      </c>
      <c r="D15904" t="str">
        <f t="shared" si="5773"/>
        <v>09</v>
      </c>
      <c r="E15904" t="str">
        <f>"05 - B - 002 - Cheryl Anne  Berman-Schechter"</f>
        <v>05 - B - 002 - Cheryl Anne  Berman-Schechter</v>
      </c>
      <c r="F15904" t="str">
        <f>"AICE ENG GEN PAPER 1"</f>
        <v>AICE ENG GEN PAPER 1</v>
      </c>
      <c r="G15904" t="str">
        <f>"17-1722"</f>
        <v>17-1722</v>
      </c>
      <c r="H15904" t="str">
        <f>"B"</f>
        <v>B</v>
      </c>
    </row>
    <row r="15905" spans="1:8" x14ac:dyDescent="0.2">
      <c r="A15905" t="str">
        <f t="shared" si="5770"/>
        <v>0616111126</v>
      </c>
      <c r="B15905" t="str">
        <f t="shared" si="5771"/>
        <v>MIA</v>
      </c>
      <c r="C15905" t="str">
        <f t="shared" si="5772"/>
        <v>SILVER</v>
      </c>
      <c r="D15905" t="str">
        <f t="shared" si="5773"/>
        <v>09</v>
      </c>
      <c r="E15905" t="str">
        <f>"01 - A - 101 - Daniel S Katz"</f>
        <v>01 - A - 101 - Daniel S Katz</v>
      </c>
      <c r="F15905" t="str">
        <f>"EXEC INTERN 2 LH"</f>
        <v>EXEC INTERN 2 LH</v>
      </c>
      <c r="G15905" t="str">
        <f>"21-2156"</f>
        <v>21-2156</v>
      </c>
      <c r="H15905" t="str">
        <f>"A"</f>
        <v>A</v>
      </c>
    </row>
    <row r="15906" spans="1:8" x14ac:dyDescent="0.2">
      <c r="A15906" t="str">
        <f t="shared" si="5770"/>
        <v>0616111126</v>
      </c>
      <c r="B15906" t="str">
        <f t="shared" si="5771"/>
        <v>MIA</v>
      </c>
      <c r="C15906" t="str">
        <f t="shared" si="5772"/>
        <v>SILVER</v>
      </c>
      <c r="D15906" t="str">
        <f t="shared" si="5773"/>
        <v>09</v>
      </c>
      <c r="E15906" t="str">
        <f>"08 - B - 109 - Emmily A Sarmiento"</f>
        <v>08 - B - 109 - Emmily A Sarmiento</v>
      </c>
      <c r="F15906" t="str">
        <f>"AICE GLBL PERSP 1 AS"</f>
        <v>AICE GLBL PERSP 1 AS</v>
      </c>
      <c r="G15906" t="str">
        <f>"17-1743"</f>
        <v>17-1743</v>
      </c>
      <c r="H15906" t="str">
        <f>"B"</f>
        <v>B</v>
      </c>
    </row>
    <row r="15907" spans="1:8" x14ac:dyDescent="0.2">
      <c r="A15907" t="str">
        <f t="shared" ref="A15907:A15916" si="5774">"0613096989"</f>
        <v>0613096989</v>
      </c>
      <c r="B15907" t="str">
        <f t="shared" ref="B15907:B15916" si="5775">"KAREEM"</f>
        <v>KAREEM</v>
      </c>
      <c r="C15907" t="str">
        <f t="shared" ref="C15907:C15916" si="5776">"SIMBERT"</f>
        <v>SIMBERT</v>
      </c>
      <c r="D15907">
        <f>10</f>
        <v>10</v>
      </c>
      <c r="E15907" t="str">
        <f>"04 - A - 104 - Adam Marcus  Drucker"</f>
        <v>04 - A - 104 - Adam Marcus  Drucker</v>
      </c>
      <c r="F15907" t="str">
        <f>"HOPE-PE V"</f>
        <v>HOPE-PE V</v>
      </c>
      <c r="G15907" t="str">
        <f>"04-254"</f>
        <v>04-254</v>
      </c>
      <c r="H15907" t="str">
        <f>"A"</f>
        <v>A</v>
      </c>
    </row>
    <row r="15908" spans="1:8" x14ac:dyDescent="0.2">
      <c r="A15908" t="str">
        <f t="shared" si="5774"/>
        <v>0613096989</v>
      </c>
      <c r="B15908" t="str">
        <f t="shared" si="5775"/>
        <v>KAREEM</v>
      </c>
      <c r="C15908" t="str">
        <f t="shared" si="5776"/>
        <v>SIMBERT</v>
      </c>
      <c r="D15908">
        <f>10</f>
        <v>10</v>
      </c>
      <c r="E15908" t="str">
        <f>"06 - B - 106 - Eric  Lopapa"</f>
        <v>06 - B - 106 - Eric  Lopapa</v>
      </c>
      <c r="F15908" t="str">
        <f>"LANG THERAPY"</f>
        <v>LANG THERAPY</v>
      </c>
      <c r="G15908" t="str">
        <f>"21-2110"</f>
        <v>21-2110</v>
      </c>
      <c r="H15908" t="str">
        <f>"B"</f>
        <v>B</v>
      </c>
    </row>
    <row r="15909" spans="1:8" x14ac:dyDescent="0.2">
      <c r="A15909" t="str">
        <f t="shared" si="5774"/>
        <v>0613096989</v>
      </c>
      <c r="B15909" t="str">
        <f t="shared" si="5775"/>
        <v>KAREEM</v>
      </c>
      <c r="C15909" t="str">
        <f t="shared" si="5776"/>
        <v>SIMBERT</v>
      </c>
      <c r="D15909">
        <f>10</f>
        <v>10</v>
      </c>
      <c r="E15909" t="str">
        <f>"06 - B - 004 - Robert O Burger"</f>
        <v>06 - B - 004 - Robert O Burger</v>
      </c>
      <c r="F15909" t="str">
        <f>"NC STUDY HALL 1"</f>
        <v>NC STUDY HALL 1</v>
      </c>
      <c r="G15909" t="str">
        <f>"17-1755"</f>
        <v>17-1755</v>
      </c>
      <c r="H15909" t="str">
        <f>"B"</f>
        <v>B</v>
      </c>
    </row>
    <row r="15910" spans="1:8" x14ac:dyDescent="0.2">
      <c r="A15910" t="str">
        <f t="shared" si="5774"/>
        <v>0613096989</v>
      </c>
      <c r="B15910" t="str">
        <f t="shared" si="5775"/>
        <v>KAREEM</v>
      </c>
      <c r="C15910" t="str">
        <f t="shared" si="5776"/>
        <v>SIMBERT</v>
      </c>
      <c r="D15910">
        <f>10</f>
        <v>10</v>
      </c>
      <c r="E15910" t="str">
        <f>"06 - B - 106 - Eric  Lopapa"</f>
        <v>06 - B - 106 - Eric  Lopapa</v>
      </c>
      <c r="F15910" t="str">
        <f>"SPEECH THRPY"</f>
        <v>SPEECH THRPY</v>
      </c>
      <c r="G15910" t="str">
        <f>"21-2110"</f>
        <v>21-2110</v>
      </c>
      <c r="H15910" t="str">
        <f>"B"</f>
        <v>B</v>
      </c>
    </row>
    <row r="15911" spans="1:8" x14ac:dyDescent="0.2">
      <c r="A15911" t="str">
        <f t="shared" si="5774"/>
        <v>0613096989</v>
      </c>
      <c r="B15911" t="str">
        <f t="shared" si="5775"/>
        <v>KAREEM</v>
      </c>
      <c r="C15911" t="str">
        <f t="shared" si="5776"/>
        <v>SIMBERT</v>
      </c>
      <c r="D15911">
        <f>10</f>
        <v>10</v>
      </c>
      <c r="E15911" t="str">
        <f>"03 - A - 204 - Lytrell T Dixon"</f>
        <v>03 - A - 204 - Lytrell T Dixon</v>
      </c>
      <c r="F15911" t="str">
        <f>"BIOLOGY 1"</f>
        <v>BIOLOGY 1</v>
      </c>
      <c r="G15911" t="str">
        <f>"08-808"</f>
        <v>08-808</v>
      </c>
      <c r="H15911" t="str">
        <f>"A"</f>
        <v>A</v>
      </c>
    </row>
    <row r="15912" spans="1:8" x14ac:dyDescent="0.2">
      <c r="A15912" t="str">
        <f t="shared" si="5774"/>
        <v>0613096989</v>
      </c>
      <c r="B15912" t="str">
        <f t="shared" si="5775"/>
        <v>KAREEM</v>
      </c>
      <c r="C15912" t="str">
        <f t="shared" si="5776"/>
        <v>SIMBERT</v>
      </c>
      <c r="D15912">
        <f>10</f>
        <v>10</v>
      </c>
      <c r="E15912" t="str">
        <f>"02 - A - 102 - Taraneh C Abreu"</f>
        <v>02 - A - 102 - Taraneh C Abreu</v>
      </c>
      <c r="F15912" t="str">
        <f>"INTENS READ 2"</f>
        <v>INTENS READ 2</v>
      </c>
      <c r="G15912" t="str">
        <f>"17-1713"</f>
        <v>17-1713</v>
      </c>
      <c r="H15912" t="str">
        <f>"A"</f>
        <v>A</v>
      </c>
    </row>
    <row r="15913" spans="1:8" x14ac:dyDescent="0.2">
      <c r="A15913" t="str">
        <f t="shared" si="5774"/>
        <v>0613096989</v>
      </c>
      <c r="B15913" t="str">
        <f t="shared" si="5775"/>
        <v>KAREEM</v>
      </c>
      <c r="C15913" t="str">
        <f t="shared" si="5776"/>
        <v>SIMBERT</v>
      </c>
      <c r="D15913">
        <f>10</f>
        <v>10</v>
      </c>
      <c r="E15913" t="str">
        <f>"07 - S1 - B - 102 - Arthur  Kulawik"</f>
        <v>07 - S1 - B - 102 - Arthur  Kulawik</v>
      </c>
      <c r="F15913" t="str">
        <f>"PERS FIN &amp; MON MGT H"</f>
        <v>PERS FIN &amp; MON MGT H</v>
      </c>
      <c r="G15913" t="str">
        <f>"05-506"</f>
        <v>05-506</v>
      </c>
      <c r="H15913" t="str">
        <f>"B"</f>
        <v>B</v>
      </c>
    </row>
    <row r="15914" spans="1:8" x14ac:dyDescent="0.2">
      <c r="A15914" t="str">
        <f t="shared" si="5774"/>
        <v>0613096989</v>
      </c>
      <c r="B15914" t="str">
        <f t="shared" si="5775"/>
        <v>KAREEM</v>
      </c>
      <c r="C15914" t="str">
        <f t="shared" si="5776"/>
        <v>SIMBERT</v>
      </c>
      <c r="D15914">
        <f>10</f>
        <v>10</v>
      </c>
      <c r="E15914" t="str">
        <f>"05 - B - 201 - Jazmin S Fletcher"</f>
        <v>05 - B - 201 - Jazmin S Fletcher</v>
      </c>
      <c r="F15914" t="str">
        <f>"THEATRE 1"</f>
        <v>THEATRE 1</v>
      </c>
      <c r="G15914" t="str">
        <f>"09-909"</f>
        <v>09-909</v>
      </c>
      <c r="H15914" t="str">
        <f>"B"</f>
        <v>B</v>
      </c>
    </row>
    <row r="15915" spans="1:8" x14ac:dyDescent="0.2">
      <c r="A15915" t="str">
        <f t="shared" si="5774"/>
        <v>0613096989</v>
      </c>
      <c r="B15915" t="str">
        <f t="shared" si="5775"/>
        <v>KAREEM</v>
      </c>
      <c r="C15915" t="str">
        <f t="shared" si="5776"/>
        <v>SIMBERT</v>
      </c>
      <c r="D15915">
        <f>10</f>
        <v>10</v>
      </c>
      <c r="E15915" t="str">
        <f>"01 - A - 104 - Milca  Exantus"</f>
        <v>01 - A - 104 - Milca  Exantus</v>
      </c>
      <c r="F15915" t="str">
        <f>"MATH COLLEGE LIB ART"</f>
        <v>MATH COLLEGE LIB ART</v>
      </c>
      <c r="G15915" t="str">
        <f>"21-2145"</f>
        <v>21-2145</v>
      </c>
      <c r="H15915" t="str">
        <f>"A"</f>
        <v>A</v>
      </c>
    </row>
    <row r="15916" spans="1:8" x14ac:dyDescent="0.2">
      <c r="A15916" t="str">
        <f t="shared" si="5774"/>
        <v>0613096989</v>
      </c>
      <c r="B15916" t="str">
        <f t="shared" si="5775"/>
        <v>KAREEM</v>
      </c>
      <c r="C15916" t="str">
        <f t="shared" si="5776"/>
        <v>SIMBERT</v>
      </c>
      <c r="D15916">
        <f>10</f>
        <v>10</v>
      </c>
      <c r="E15916" t="str">
        <f>"08 - B - 109 - Nikiel  Nesbeth"</f>
        <v>08 - B - 109 - Nikiel  Nesbeth</v>
      </c>
      <c r="F15916" t="str">
        <f>"ENG 2"</f>
        <v>ENG 2</v>
      </c>
      <c r="G15916" t="str">
        <f>"17-1705"</f>
        <v>17-1705</v>
      </c>
      <c r="H15916" t="str">
        <f>"B"</f>
        <v>B</v>
      </c>
    </row>
    <row r="15917" spans="1:8" x14ac:dyDescent="0.2">
      <c r="A15917" t="str">
        <f t="shared" ref="A15917:A15925" si="5777">"0615100279"</f>
        <v>0615100279</v>
      </c>
      <c r="B15917" t="str">
        <f t="shared" ref="B15917:B15925" si="5778">"MARKNEL"</f>
        <v>MARKNEL</v>
      </c>
      <c r="C15917" t="str">
        <f t="shared" ref="C15917:C15925" si="5779">"SIMILIEN"</f>
        <v>SIMILIEN</v>
      </c>
      <c r="D15917">
        <f>10</f>
        <v>10</v>
      </c>
      <c r="E15917" t="str">
        <f>"04 - A - 104 - Laselleda D Shaw"</f>
        <v>04 - A - 104 - Laselleda D Shaw</v>
      </c>
      <c r="F15917" t="str">
        <f>"INTENS READ 2"</f>
        <v>INTENS READ 2</v>
      </c>
      <c r="G15917" t="str">
        <f>"17-1723"</f>
        <v>17-1723</v>
      </c>
      <c r="H15917" t="str">
        <f>"A"</f>
        <v>A</v>
      </c>
    </row>
    <row r="15918" spans="1:8" x14ac:dyDescent="0.2">
      <c r="A15918" t="str">
        <f t="shared" si="5777"/>
        <v>0615100279</v>
      </c>
      <c r="B15918" t="str">
        <f t="shared" si="5778"/>
        <v>MARKNEL</v>
      </c>
      <c r="C15918" t="str">
        <f t="shared" si="5779"/>
        <v>SIMILIEN</v>
      </c>
      <c r="D15918">
        <f>10</f>
        <v>10</v>
      </c>
      <c r="E15918" t="str">
        <f>"06 - B - 104 - Robert H Rindner"</f>
        <v>06 - B - 104 - Robert H Rindner</v>
      </c>
      <c r="F15918" t="str">
        <f>"NC STUDY HALL 1"</f>
        <v>NC STUDY HALL 1</v>
      </c>
      <c r="G15918" t="str">
        <f>"21-2160"</f>
        <v>21-2160</v>
      </c>
      <c r="H15918" t="str">
        <f>"B"</f>
        <v>B</v>
      </c>
    </row>
    <row r="15919" spans="1:8" x14ac:dyDescent="0.2">
      <c r="A15919" t="str">
        <f t="shared" si="5777"/>
        <v>0615100279</v>
      </c>
      <c r="B15919" t="str">
        <f t="shared" si="5778"/>
        <v>MARKNEL</v>
      </c>
      <c r="C15919" t="str">
        <f t="shared" si="5779"/>
        <v>SIMILIEN</v>
      </c>
      <c r="D15919">
        <f>10</f>
        <v>10</v>
      </c>
      <c r="E15919" t="str">
        <f>"06 - B - 106 - Eric  Lopapa"</f>
        <v>06 - B - 106 - Eric  Lopapa</v>
      </c>
      <c r="F15919" t="str">
        <f>"LANG THERAPY"</f>
        <v>LANG THERAPY</v>
      </c>
      <c r="G15919" t="str">
        <f>"21-2110"</f>
        <v>21-2110</v>
      </c>
      <c r="H15919" t="str">
        <f>"B"</f>
        <v>B</v>
      </c>
    </row>
    <row r="15920" spans="1:8" x14ac:dyDescent="0.2">
      <c r="A15920" t="str">
        <f t="shared" si="5777"/>
        <v>0615100279</v>
      </c>
      <c r="B15920" t="str">
        <f t="shared" si="5778"/>
        <v>MARKNEL</v>
      </c>
      <c r="C15920" t="str">
        <f t="shared" si="5779"/>
        <v>SIMILIEN</v>
      </c>
      <c r="D15920">
        <f>10</f>
        <v>10</v>
      </c>
      <c r="E15920" t="str">
        <f>"03 - A - 204 - Lytrell T Dixon"</f>
        <v>03 - A - 204 - Lytrell T Dixon</v>
      </c>
      <c r="F15920" t="str">
        <f>"BIOLOGY 1"</f>
        <v>BIOLOGY 1</v>
      </c>
      <c r="G15920" t="str">
        <f>"08-808"</f>
        <v>08-808</v>
      </c>
      <c r="H15920" t="str">
        <f>"A"</f>
        <v>A</v>
      </c>
    </row>
    <row r="15921" spans="1:8" x14ac:dyDescent="0.2">
      <c r="A15921" t="str">
        <f t="shared" si="5777"/>
        <v>0615100279</v>
      </c>
      <c r="B15921" t="str">
        <f t="shared" si="5778"/>
        <v>MARKNEL</v>
      </c>
      <c r="C15921" t="str">
        <f t="shared" si="5779"/>
        <v>SIMILIEN</v>
      </c>
      <c r="D15921">
        <f>10</f>
        <v>10</v>
      </c>
      <c r="E15921" t="str">
        <f>"02 - A - 102 - Adam Marcus  Drucker"</f>
        <v>02 - A - 102 - Adam Marcus  Drucker</v>
      </c>
      <c r="F15921" t="str">
        <f>"HOPE-PE V"</f>
        <v>HOPE-PE V</v>
      </c>
      <c r="G15921" t="str">
        <f>"04-254"</f>
        <v>04-254</v>
      </c>
      <c r="H15921" t="str">
        <f>"A"</f>
        <v>A</v>
      </c>
    </row>
    <row r="15922" spans="1:8" x14ac:dyDescent="0.2">
      <c r="A15922" t="str">
        <f t="shared" si="5777"/>
        <v>0615100279</v>
      </c>
      <c r="B15922" t="str">
        <f t="shared" si="5778"/>
        <v>MARKNEL</v>
      </c>
      <c r="C15922" t="str">
        <f t="shared" si="5779"/>
        <v>SIMILIEN</v>
      </c>
      <c r="D15922">
        <f>10</f>
        <v>10</v>
      </c>
      <c r="E15922" t="str">
        <f>"07 - B - 108 - Jacquelyn M Neeson"</f>
        <v>07 - B - 108 - Jacquelyn M Neeson</v>
      </c>
      <c r="F15922" t="str">
        <f>"ENG 2"</f>
        <v>ENG 2</v>
      </c>
      <c r="G15922" t="str">
        <f>"17-1715"</f>
        <v>17-1715</v>
      </c>
      <c r="H15922" t="str">
        <f>"B"</f>
        <v>B</v>
      </c>
    </row>
    <row r="15923" spans="1:8" x14ac:dyDescent="0.2">
      <c r="A15923" t="str">
        <f t="shared" si="5777"/>
        <v>0615100279</v>
      </c>
      <c r="B15923" t="str">
        <f t="shared" si="5778"/>
        <v>MARKNEL</v>
      </c>
      <c r="C15923" t="str">
        <f t="shared" si="5779"/>
        <v>SIMILIEN</v>
      </c>
      <c r="D15923">
        <f>10</f>
        <v>10</v>
      </c>
      <c r="E15923" t="str">
        <f>"05 - B - 109 - Ferrie J Arostique"</f>
        <v>05 - B - 109 - Ferrie J Arostique</v>
      </c>
      <c r="F15923" t="str">
        <f>"GEOMETRY"</f>
        <v>GEOMETRY</v>
      </c>
      <c r="G15923" t="str">
        <f>"21-2139"</f>
        <v>21-2139</v>
      </c>
      <c r="H15923" t="str">
        <f>"B"</f>
        <v>B</v>
      </c>
    </row>
    <row r="15924" spans="1:8" x14ac:dyDescent="0.2">
      <c r="A15924" t="str">
        <f t="shared" si="5777"/>
        <v>0615100279</v>
      </c>
      <c r="B15924" t="str">
        <f t="shared" si="5778"/>
        <v>MARKNEL</v>
      </c>
      <c r="C15924" t="str">
        <f t="shared" si="5779"/>
        <v>SIMILIEN</v>
      </c>
      <c r="D15924">
        <f>10</f>
        <v>10</v>
      </c>
      <c r="E15924" t="str">
        <f>"01 - A - 101 - Vanessa J Liburd"</f>
        <v>01 - A - 101 - Vanessa J Liburd</v>
      </c>
      <c r="F15924" t="str">
        <f>"PRE-AICE FRENCH 1 IG"</f>
        <v>PRE-AICE FRENCH 1 IG</v>
      </c>
      <c r="G15924" t="str">
        <f>"05-519"</f>
        <v>05-519</v>
      </c>
      <c r="H15924" t="str">
        <f>"A"</f>
        <v>A</v>
      </c>
    </row>
    <row r="15925" spans="1:8" x14ac:dyDescent="0.2">
      <c r="A15925" t="str">
        <f t="shared" si="5777"/>
        <v>0615100279</v>
      </c>
      <c r="B15925" t="str">
        <f t="shared" si="5778"/>
        <v>MARKNEL</v>
      </c>
      <c r="C15925" t="str">
        <f t="shared" si="5779"/>
        <v>SIMILIEN</v>
      </c>
      <c r="D15925">
        <f>10</f>
        <v>10</v>
      </c>
      <c r="E15925" t="str">
        <f>"08 - S1 - B - 105 - James H Mccann"</f>
        <v>08 - S1 - B - 105 - James H Mccann</v>
      </c>
      <c r="F15925" t="str">
        <f>"PERS FIN &amp; MON MGT H"</f>
        <v>PERS FIN &amp; MON MGT H</v>
      </c>
      <c r="G15925" t="str">
        <f>"17-1716"</f>
        <v>17-1716</v>
      </c>
      <c r="H15925" t="str">
        <f>"B"</f>
        <v>B</v>
      </c>
    </row>
    <row r="15926" spans="1:8" x14ac:dyDescent="0.2">
      <c r="A15926" t="str">
        <f t="shared" ref="A15926:A15933" si="5780">"0613085591"</f>
        <v>0613085591</v>
      </c>
      <c r="B15926" t="str">
        <f t="shared" ref="B15926:B15933" si="5781">"CONNER"</f>
        <v>CONNER</v>
      </c>
      <c r="C15926" t="str">
        <f t="shared" ref="C15926:C15960" si="5782">"SIMMONS"</f>
        <v>SIMMONS</v>
      </c>
      <c r="D15926">
        <f>12</f>
        <v>12</v>
      </c>
      <c r="E15926" t="str">
        <f>"04 - S1 - A - 101 - Leslie J Barton"</f>
        <v>04 - S1 - A - 101 - Leslie J Barton</v>
      </c>
      <c r="F15926" t="str">
        <f>"TEAM SPORTS 1"</f>
        <v>TEAM SPORTS 1</v>
      </c>
      <c r="G15926" t="str">
        <f>"04-254"</f>
        <v>04-254</v>
      </c>
      <c r="H15926" t="str">
        <f>"A"</f>
        <v>A</v>
      </c>
    </row>
    <row r="15927" spans="1:8" x14ac:dyDescent="0.2">
      <c r="A15927" t="str">
        <f t="shared" si="5780"/>
        <v>0613085591</v>
      </c>
      <c r="B15927" t="str">
        <f t="shared" si="5781"/>
        <v>CONNER</v>
      </c>
      <c r="C15927" t="str">
        <f t="shared" si="5782"/>
        <v>SIMMONS</v>
      </c>
      <c r="D15927">
        <f>12</f>
        <v>12</v>
      </c>
      <c r="E15927" t="str">
        <f>"06 - B - 109 - Carol S Moore"</f>
        <v>06 - B - 109 - Carol S Moore</v>
      </c>
      <c r="F15927" t="str">
        <f>"NC STUDY HALL 1"</f>
        <v>NC STUDY HALL 1</v>
      </c>
      <c r="G15927" t="str">
        <f>"17-1733"</f>
        <v>17-1733</v>
      </c>
      <c r="H15927" t="str">
        <f>"B"</f>
        <v>B</v>
      </c>
    </row>
    <row r="15928" spans="1:8" x14ac:dyDescent="0.2">
      <c r="A15928" t="str">
        <f t="shared" si="5780"/>
        <v>0613085591</v>
      </c>
      <c r="B15928" t="str">
        <f t="shared" si="5781"/>
        <v>CONNER</v>
      </c>
      <c r="C15928" t="str">
        <f t="shared" si="5782"/>
        <v>SIMMONS</v>
      </c>
      <c r="D15928">
        <f>12</f>
        <v>12</v>
      </c>
      <c r="E15928" t="str">
        <f>"03 - A - 201 - Chrystina M Marchionne"</f>
        <v>03 - A - 201 - Chrystina M Marchionne</v>
      </c>
      <c r="F15928" t="str">
        <f>"JOURN 1 (YB) LH"</f>
        <v>JOURN 1 (YB) LH</v>
      </c>
      <c r="G15928" t="str">
        <f>"05-520"</f>
        <v>05-520</v>
      </c>
      <c r="H15928" t="str">
        <f>"A"</f>
        <v>A</v>
      </c>
    </row>
    <row r="15929" spans="1:8" x14ac:dyDescent="0.2">
      <c r="A15929" t="str">
        <f t="shared" si="5780"/>
        <v>0613085591</v>
      </c>
      <c r="B15929" t="str">
        <f t="shared" si="5781"/>
        <v>CONNER</v>
      </c>
      <c r="C15929" t="str">
        <f t="shared" si="5782"/>
        <v>SIMMONS</v>
      </c>
      <c r="D15929">
        <f>12</f>
        <v>12</v>
      </c>
      <c r="E15929" t="str">
        <f>"02 - A - 102 - Jeffrey S Gallagher"</f>
        <v>02 - A - 102 - Jeffrey S Gallagher</v>
      </c>
      <c r="F15929" t="str">
        <f>"ENG HON 4"</f>
        <v>ENG HON 4</v>
      </c>
      <c r="G15929" t="str">
        <f>"17-1724"</f>
        <v>17-1724</v>
      </c>
      <c r="H15929" t="str">
        <f>"A"</f>
        <v>A</v>
      </c>
    </row>
    <row r="15930" spans="1:8" x14ac:dyDescent="0.2">
      <c r="A15930" t="str">
        <f t="shared" si="5780"/>
        <v>0613085591</v>
      </c>
      <c r="B15930" t="str">
        <f t="shared" si="5781"/>
        <v>CONNER</v>
      </c>
      <c r="C15930" t="str">
        <f t="shared" si="5782"/>
        <v>SIMMONS</v>
      </c>
      <c r="D15930">
        <f>12</f>
        <v>12</v>
      </c>
      <c r="E15930" t="str">
        <f>"07 - B - 002 - Jordana K Hass"</f>
        <v>07 - B - 002 - Jordana K Hass</v>
      </c>
      <c r="F15930" t="str">
        <f>"CHEMISTRY 1 HON"</f>
        <v>CHEMISTRY 1 HON</v>
      </c>
      <c r="G15930" t="str">
        <f>"08-807"</f>
        <v>08-807</v>
      </c>
      <c r="H15930" t="str">
        <f>"B"</f>
        <v>B</v>
      </c>
    </row>
    <row r="15931" spans="1:8" x14ac:dyDescent="0.2">
      <c r="A15931" t="str">
        <f t="shared" si="5780"/>
        <v>0613085591</v>
      </c>
      <c r="B15931" t="str">
        <f t="shared" si="5781"/>
        <v>CONNER</v>
      </c>
      <c r="C15931" t="str">
        <f t="shared" si="5782"/>
        <v>SIMMONS</v>
      </c>
      <c r="D15931">
        <f>12</f>
        <v>12</v>
      </c>
      <c r="E15931" t="str">
        <f>"05 - B - 205 - Rosa Elaine  Collado-Duff"</f>
        <v>05 - B - 205 - Rosa Elaine  Collado-Duff</v>
      </c>
      <c r="F15931" t="str">
        <f>"PRE-AICE SPAN 2 IG"</f>
        <v>PRE-AICE SPAN 2 IG</v>
      </c>
      <c r="G15931" t="str">
        <f>"09-913"</f>
        <v>09-913</v>
      </c>
      <c r="H15931" t="str">
        <f>"B"</f>
        <v>B</v>
      </c>
    </row>
    <row r="15932" spans="1:8" x14ac:dyDescent="0.2">
      <c r="A15932" t="str">
        <f t="shared" si="5780"/>
        <v>0613085591</v>
      </c>
      <c r="B15932" t="str">
        <f t="shared" si="5781"/>
        <v>CONNER</v>
      </c>
      <c r="C15932" t="str">
        <f t="shared" si="5782"/>
        <v>SIMMONS</v>
      </c>
      <c r="D15932">
        <f>12</f>
        <v>12</v>
      </c>
      <c r="E15932" t="str">
        <f>"01 - A - 101 - Thomas G Handwerg"</f>
        <v>01 - A - 101 - Thomas G Handwerg</v>
      </c>
      <c r="F15932" t="str">
        <f>"PROB STAT W/APPS HON"</f>
        <v>PROB STAT W/APPS HON</v>
      </c>
      <c r="G15932" t="str">
        <f>"21-2146"</f>
        <v>21-2146</v>
      </c>
      <c r="H15932" t="str">
        <f>"A"</f>
        <v>A</v>
      </c>
    </row>
    <row r="15933" spans="1:8" x14ac:dyDescent="0.2">
      <c r="A15933" t="str">
        <f t="shared" si="5780"/>
        <v>0613085591</v>
      </c>
      <c r="B15933" t="str">
        <f t="shared" si="5781"/>
        <v>CONNER</v>
      </c>
      <c r="C15933" t="str">
        <f t="shared" si="5782"/>
        <v>SIMMONS</v>
      </c>
      <c r="D15933">
        <f>12</f>
        <v>12</v>
      </c>
      <c r="E15933" t="str">
        <f>"08 - S1 - B - 105 - Kelly N Panza"</f>
        <v>08 - S1 - B - 105 - Kelly N Panza</v>
      </c>
      <c r="F15933" t="str">
        <f>"US GOVT HON"</f>
        <v>US GOVT HON</v>
      </c>
      <c r="G15933" t="str">
        <f>"17-1753"</f>
        <v>17-1753</v>
      </c>
      <c r="H15933" t="str">
        <f>"B"</f>
        <v>B</v>
      </c>
    </row>
    <row r="15934" spans="1:8" x14ac:dyDescent="0.2">
      <c r="A15934" t="str">
        <f t="shared" ref="A15934:A15941" si="5783">"0615053661"</f>
        <v>0615053661</v>
      </c>
      <c r="B15934" t="str">
        <f t="shared" ref="B15934:B15941" si="5784">"INDYA"</f>
        <v>INDYA</v>
      </c>
      <c r="C15934" t="str">
        <f t="shared" si="5782"/>
        <v>SIMMONS</v>
      </c>
      <c r="D15934">
        <f>11</f>
        <v>11</v>
      </c>
      <c r="E15934" t="str">
        <f>"04 - A - 102 - Brandy N Zdenek"</f>
        <v>04 - A - 102 - Brandy N Zdenek</v>
      </c>
      <c r="F15934" t="str">
        <f>"AICE ENG LANG 2 AL"</f>
        <v>AICE ENG LANG 2 AL</v>
      </c>
      <c r="G15934" t="str">
        <f>"17-1704"</f>
        <v>17-1704</v>
      </c>
      <c r="H15934" t="str">
        <f>"A"</f>
        <v>A</v>
      </c>
    </row>
    <row r="15935" spans="1:8" x14ac:dyDescent="0.2">
      <c r="A15935" t="str">
        <f t="shared" si="5783"/>
        <v>0615053661</v>
      </c>
      <c r="B15935" t="str">
        <f t="shared" si="5784"/>
        <v>INDYA</v>
      </c>
      <c r="C15935" t="str">
        <f t="shared" si="5782"/>
        <v>SIMMONS</v>
      </c>
      <c r="D15935">
        <f>11</f>
        <v>11</v>
      </c>
      <c r="E15935" t="str">
        <f>"06 - B - 002 - Kyle  Robbins"</f>
        <v>06 - B - 002 - Kyle  Robbins</v>
      </c>
      <c r="F15935" t="str">
        <f>"US HISTORY HON"</f>
        <v>US HISTORY HON</v>
      </c>
      <c r="G15935" t="str">
        <f>"17-1745"</f>
        <v>17-1745</v>
      </c>
      <c r="H15935" t="str">
        <f>"B"</f>
        <v>B</v>
      </c>
    </row>
    <row r="15936" spans="1:8" x14ac:dyDescent="0.2">
      <c r="A15936" t="str">
        <f t="shared" si="5783"/>
        <v>0615053661</v>
      </c>
      <c r="B15936" t="str">
        <f t="shared" si="5784"/>
        <v>INDYA</v>
      </c>
      <c r="C15936" t="str">
        <f t="shared" si="5782"/>
        <v>SIMMONS</v>
      </c>
      <c r="D15936">
        <f>11</f>
        <v>11</v>
      </c>
      <c r="E15936" t="str">
        <f>"03 - A - 102 - Cliffon  Saurel"</f>
        <v>03 - A - 102 - Cliffon  Saurel</v>
      </c>
      <c r="F15936" t="str">
        <f>"PHYSICAL SCI"</f>
        <v>PHYSICAL SCI</v>
      </c>
      <c r="G15936" t="str">
        <f>"05-522"</f>
        <v>05-522</v>
      </c>
      <c r="H15936" t="str">
        <f>"A"</f>
        <v>A</v>
      </c>
    </row>
    <row r="15937" spans="1:8" x14ac:dyDescent="0.2">
      <c r="A15937" t="str">
        <f t="shared" si="5783"/>
        <v>0615053661</v>
      </c>
      <c r="B15937" t="str">
        <f t="shared" si="5784"/>
        <v>INDYA</v>
      </c>
      <c r="C15937" t="str">
        <f t="shared" si="5782"/>
        <v>SIMMONS</v>
      </c>
      <c r="D15937">
        <f>11</f>
        <v>11</v>
      </c>
      <c r="E15937" t="str">
        <f>"02 - A - 109 - Daniel S Katz"</f>
        <v>02 - A - 109 - Daniel S Katz</v>
      </c>
      <c r="F15937" t="str">
        <f>"NC STUDY HALL 1"</f>
        <v>NC STUDY HALL 1</v>
      </c>
      <c r="G15937" t="str">
        <f>"21-2156"</f>
        <v>21-2156</v>
      </c>
      <c r="H15937" t="str">
        <f>"A"</f>
        <v>A</v>
      </c>
    </row>
    <row r="15938" spans="1:8" x14ac:dyDescent="0.2">
      <c r="A15938" t="str">
        <f t="shared" si="5783"/>
        <v>0615053661</v>
      </c>
      <c r="B15938" t="str">
        <f t="shared" si="5784"/>
        <v>INDYA</v>
      </c>
      <c r="C15938" t="str">
        <f t="shared" si="5782"/>
        <v>SIMMONS</v>
      </c>
      <c r="D15938">
        <f>11</f>
        <v>11</v>
      </c>
      <c r="E15938" t="str">
        <f>"07 - B - 110 - Ferrie J Arostique"</f>
        <v>07 - B - 110 - Ferrie J Arostique</v>
      </c>
      <c r="F15938" t="str">
        <f>"GEOMETRY"</f>
        <v>GEOMETRY</v>
      </c>
      <c r="G15938" t="str">
        <f>"21-2139"</f>
        <v>21-2139</v>
      </c>
      <c r="H15938" t="str">
        <f>"B"</f>
        <v>B</v>
      </c>
    </row>
    <row r="15939" spans="1:8" x14ac:dyDescent="0.2">
      <c r="A15939" t="str">
        <f t="shared" si="5783"/>
        <v>0615053661</v>
      </c>
      <c r="B15939" t="str">
        <f t="shared" si="5784"/>
        <v>INDYA</v>
      </c>
      <c r="C15939" t="str">
        <f t="shared" si="5782"/>
        <v>SIMMONS</v>
      </c>
      <c r="D15939">
        <f>11</f>
        <v>11</v>
      </c>
      <c r="E15939" t="str">
        <f>"05 - B - 103 - Vanessa J Liburd"</f>
        <v>05 - B - 103 - Vanessa J Liburd</v>
      </c>
      <c r="F15939" t="str">
        <f>"PRE-AICE FRENCH 2 IG"</f>
        <v>PRE-AICE FRENCH 2 IG</v>
      </c>
      <c r="G15939" t="str">
        <f>"05-519"</f>
        <v>05-519</v>
      </c>
      <c r="H15939" t="str">
        <f>"B"</f>
        <v>B</v>
      </c>
    </row>
    <row r="15940" spans="1:8" x14ac:dyDescent="0.2">
      <c r="A15940" t="str">
        <f t="shared" si="5783"/>
        <v>0615053661</v>
      </c>
      <c r="B15940" t="str">
        <f t="shared" si="5784"/>
        <v>INDYA</v>
      </c>
      <c r="C15940" t="str">
        <f t="shared" si="5782"/>
        <v>SIMMONS</v>
      </c>
      <c r="D15940">
        <f>11</f>
        <v>11</v>
      </c>
      <c r="E15940" t="str">
        <f>"01 - A - 101 - Daniel S Katz"</f>
        <v>01 - A - 101 - Daniel S Katz</v>
      </c>
      <c r="F15940" t="str">
        <f>"EXEC INTERN 4 LH"</f>
        <v>EXEC INTERN 4 LH</v>
      </c>
      <c r="G15940" t="str">
        <f>"21-2156"</f>
        <v>21-2156</v>
      </c>
      <c r="H15940" t="str">
        <f>"A"</f>
        <v>A</v>
      </c>
    </row>
    <row r="15941" spans="1:8" x14ac:dyDescent="0.2">
      <c r="A15941" t="str">
        <f t="shared" si="5783"/>
        <v>0615053661</v>
      </c>
      <c r="B15941" t="str">
        <f t="shared" si="5784"/>
        <v>INDYA</v>
      </c>
      <c r="C15941" t="str">
        <f t="shared" si="5782"/>
        <v>SIMMONS</v>
      </c>
      <c r="D15941">
        <f>11</f>
        <v>11</v>
      </c>
      <c r="E15941" t="str">
        <f>"08 - B - 101 - Jazmin S Fletcher"</f>
        <v>08 - B - 101 - Jazmin S Fletcher</v>
      </c>
      <c r="F15941" t="str">
        <f>"PRE-AICE DRAMA 1G"</f>
        <v>PRE-AICE DRAMA 1G</v>
      </c>
      <c r="G15941" t="str">
        <f>"09-909"</f>
        <v>09-909</v>
      </c>
      <c r="H15941" t="str">
        <f>"B"</f>
        <v>B</v>
      </c>
    </row>
    <row r="15942" spans="1:8" x14ac:dyDescent="0.2">
      <c r="A15942" t="str">
        <f t="shared" ref="A15942:A15952" si="5785">"0611077341"</f>
        <v>0611077341</v>
      </c>
      <c r="B15942" t="str">
        <f t="shared" ref="B15942:B15952" si="5786">"JESSICA"</f>
        <v>JESSICA</v>
      </c>
      <c r="C15942" t="str">
        <f t="shared" si="5782"/>
        <v>SIMMONS</v>
      </c>
      <c r="D15942">
        <f>12</f>
        <v>12</v>
      </c>
      <c r="E15942" t="str">
        <f>"04 - A - 103 - Daniel S Tyson"</f>
        <v>04 - A - 103 - Daniel S Tyson</v>
      </c>
      <c r="F15942" t="str">
        <f>"JROTC NAVAL SCI 3"</f>
        <v>JROTC NAVAL SCI 3</v>
      </c>
      <c r="G15942" t="str">
        <f>"05-510"</f>
        <v>05-510</v>
      </c>
      <c r="H15942" t="str">
        <f>"A"</f>
        <v>A</v>
      </c>
    </row>
    <row r="15943" spans="1:8" x14ac:dyDescent="0.2">
      <c r="A15943" t="str">
        <f t="shared" si="5785"/>
        <v>0611077341</v>
      </c>
      <c r="B15943" t="str">
        <f t="shared" si="5786"/>
        <v>JESSICA</v>
      </c>
      <c r="C15943" t="str">
        <f t="shared" si="5782"/>
        <v>SIMMONS</v>
      </c>
      <c r="D15943">
        <f>12</f>
        <v>12</v>
      </c>
      <c r="E15943" t="str">
        <f>"06 - B - 101 - Staci M Newton"</f>
        <v>06 - B - 101 - Staci M Newton</v>
      </c>
      <c r="F15943" t="str">
        <f>"NC STUDY HALL 1"</f>
        <v>NC STUDY HALL 1</v>
      </c>
      <c r="G15943" t="str">
        <f>"21-2103"</f>
        <v>21-2103</v>
      </c>
      <c r="H15943" t="str">
        <f>"B"</f>
        <v>B</v>
      </c>
    </row>
    <row r="15944" spans="1:8" x14ac:dyDescent="0.2">
      <c r="A15944" t="str">
        <f t="shared" si="5785"/>
        <v>0611077341</v>
      </c>
      <c r="B15944" t="str">
        <f t="shared" si="5786"/>
        <v>JESSICA</v>
      </c>
      <c r="C15944" t="str">
        <f t="shared" si="5782"/>
        <v>SIMMONS</v>
      </c>
      <c r="D15944">
        <f>12</f>
        <v>12</v>
      </c>
      <c r="E15944" t="str">
        <f>"03 - A - 101 - Justin D Willard"</f>
        <v>03 - A - 101 - Justin D Willard</v>
      </c>
      <c r="F15944" t="str">
        <f>"SELF-DETERMINATION"</f>
        <v>SELF-DETERMINATION</v>
      </c>
      <c r="G15944" t="str">
        <f>"21-2111"</f>
        <v>21-2111</v>
      </c>
      <c r="H15944" t="str">
        <f>"A"</f>
        <v>A</v>
      </c>
    </row>
    <row r="15945" spans="1:8" x14ac:dyDescent="0.2">
      <c r="A15945" t="str">
        <f t="shared" si="5785"/>
        <v>0611077341</v>
      </c>
      <c r="B15945" t="str">
        <f t="shared" si="5786"/>
        <v>JESSICA</v>
      </c>
      <c r="C15945" t="str">
        <f t="shared" si="5782"/>
        <v>SIMMONS</v>
      </c>
      <c r="D15945">
        <f>12</f>
        <v>12</v>
      </c>
      <c r="E15945" t="str">
        <f>"02 - A - 101 - Justin D Willard"</f>
        <v>02 - A - 101 - Justin D Willard</v>
      </c>
      <c r="F15945" t="str">
        <f>"CAREER ED: 9-12"</f>
        <v>CAREER ED: 9-12</v>
      </c>
      <c r="G15945" t="str">
        <f>"21-2111"</f>
        <v>21-2111</v>
      </c>
      <c r="H15945" t="str">
        <f>"A"</f>
        <v>A</v>
      </c>
    </row>
    <row r="15946" spans="1:8" x14ac:dyDescent="0.2">
      <c r="A15946" t="str">
        <f t="shared" si="5785"/>
        <v>0611077341</v>
      </c>
      <c r="B15946" t="str">
        <f t="shared" si="5786"/>
        <v>JESSICA</v>
      </c>
      <c r="C15946" t="str">
        <f t="shared" si="5782"/>
        <v>SIMMONS</v>
      </c>
      <c r="D15946">
        <f>12</f>
        <v>12</v>
      </c>
      <c r="E15946" t="str">
        <f>"07 - B - 001 - Reggie L Nixon"</f>
        <v>07 - B - 001 - Reggie L Nixon</v>
      </c>
      <c r="F15946" t="str">
        <f>"ACCESS ENGLISH 4"</f>
        <v>ACCESS ENGLISH 4</v>
      </c>
      <c r="G15946" t="str">
        <f>"21-2119"</f>
        <v>21-2119</v>
      </c>
      <c r="H15946" t="str">
        <f>"B"</f>
        <v>B</v>
      </c>
    </row>
    <row r="15947" spans="1:8" x14ac:dyDescent="0.2">
      <c r="A15947" t="str">
        <f t="shared" si="5785"/>
        <v>0611077341</v>
      </c>
      <c r="B15947" t="str">
        <f t="shared" si="5786"/>
        <v>JESSICA</v>
      </c>
      <c r="C15947" t="str">
        <f t="shared" si="5782"/>
        <v>SIMMONS</v>
      </c>
      <c r="D15947">
        <f>12</f>
        <v>12</v>
      </c>
      <c r="E15947" t="str">
        <f>"07 - B - 107 - Eric  Lopapa"</f>
        <v>07 - B - 107 - Eric  Lopapa</v>
      </c>
      <c r="F15947" t="str">
        <f>"LANG THERAPY"</f>
        <v>LANG THERAPY</v>
      </c>
      <c r="G15947" t="str">
        <f>"21-2110"</f>
        <v>21-2110</v>
      </c>
      <c r="H15947" t="str">
        <f>"B"</f>
        <v>B</v>
      </c>
    </row>
    <row r="15948" spans="1:8" x14ac:dyDescent="0.2">
      <c r="A15948" t="str">
        <f t="shared" si="5785"/>
        <v>0611077341</v>
      </c>
      <c r="B15948" t="str">
        <f t="shared" si="5786"/>
        <v>JESSICA</v>
      </c>
      <c r="C15948" t="str">
        <f t="shared" si="5782"/>
        <v>SIMMONS</v>
      </c>
      <c r="D15948">
        <f>12</f>
        <v>12</v>
      </c>
      <c r="E15948" t="str">
        <f>"05 - S1 - B - 001 - Reggie L Nixon"</f>
        <v>05 - S1 - B - 001 - Reggie L Nixon</v>
      </c>
      <c r="F15948" t="str">
        <f>"ACCESS US GOVT"</f>
        <v>ACCESS US GOVT</v>
      </c>
      <c r="G15948" t="str">
        <f>"21-2119"</f>
        <v>21-2119</v>
      </c>
      <c r="H15948" t="str">
        <f>"B"</f>
        <v>B</v>
      </c>
    </row>
    <row r="15949" spans="1:8" x14ac:dyDescent="0.2">
      <c r="A15949" t="str">
        <f t="shared" si="5785"/>
        <v>0611077341</v>
      </c>
      <c r="B15949" t="str">
        <f t="shared" si="5786"/>
        <v>JESSICA</v>
      </c>
      <c r="C15949" t="str">
        <f t="shared" si="5782"/>
        <v>SIMMONS</v>
      </c>
      <c r="D15949">
        <f>12</f>
        <v>12</v>
      </c>
      <c r="E15949" t="str">
        <f>"01 - A - 101 - Justin D Willard"</f>
        <v>01 - A - 101 - Justin D Willard</v>
      </c>
      <c r="F15949" t="str">
        <f>"PREP AD LIV"</f>
        <v>PREP AD LIV</v>
      </c>
      <c r="G15949" t="str">
        <f>"21-2111"</f>
        <v>21-2111</v>
      </c>
      <c r="H15949" t="str">
        <f>"A"</f>
        <v>A</v>
      </c>
    </row>
    <row r="15950" spans="1:8" x14ac:dyDescent="0.2">
      <c r="A15950" t="str">
        <f t="shared" si="5785"/>
        <v>0611077341</v>
      </c>
      <c r="B15950" t="str">
        <f t="shared" si="5786"/>
        <v>JESSICA</v>
      </c>
      <c r="C15950" t="str">
        <f t="shared" si="5782"/>
        <v>SIMMONS</v>
      </c>
      <c r="D15950">
        <f>12</f>
        <v>12</v>
      </c>
      <c r="E15950" t="str">
        <f>"08 - B - 101 - Reggie L Nixon"</f>
        <v>08 - B - 101 - Reggie L Nixon</v>
      </c>
      <c r="F15950" t="str">
        <f>"ACCESS LIB ARTS MATH"</f>
        <v>ACCESS LIB ARTS MATH</v>
      </c>
      <c r="G15950" t="str">
        <f>"21-2119"</f>
        <v>21-2119</v>
      </c>
      <c r="H15950" t="str">
        <f>"B"</f>
        <v>B</v>
      </c>
    </row>
    <row r="15951" spans="1:8" x14ac:dyDescent="0.2">
      <c r="A15951" t="str">
        <f t="shared" si="5785"/>
        <v>0611077341</v>
      </c>
      <c r="B15951" t="str">
        <f t="shared" si="5786"/>
        <v>JESSICA</v>
      </c>
      <c r="C15951" t="str">
        <f t="shared" si="5782"/>
        <v>SIMMONS</v>
      </c>
      <c r="D15951">
        <f>12</f>
        <v>12</v>
      </c>
      <c r="E15951" t="str">
        <f>"08 - B - 118 - Karen A Toomer"</f>
        <v>08 - B - 118 - Karen A Toomer</v>
      </c>
      <c r="F15951" t="str">
        <f>"SPEECH THRPY"</f>
        <v>SPEECH THRPY</v>
      </c>
      <c r="G15951" t="str">
        <f>"21-2110"</f>
        <v>21-2110</v>
      </c>
      <c r="H15951" t="str">
        <f>"B"</f>
        <v>B</v>
      </c>
    </row>
    <row r="15952" spans="1:8" x14ac:dyDescent="0.2">
      <c r="A15952" t="str">
        <f t="shared" si="5785"/>
        <v>0611077341</v>
      </c>
      <c r="B15952" t="str">
        <f t="shared" si="5786"/>
        <v>JESSICA</v>
      </c>
      <c r="C15952" t="str">
        <f t="shared" si="5782"/>
        <v>SIMMONS</v>
      </c>
      <c r="D15952">
        <f>12</f>
        <v>12</v>
      </c>
      <c r="E15952" t="str">
        <f>"08 - B - 118 - Karen A Toomer"</f>
        <v>08 - B - 118 - Karen A Toomer</v>
      </c>
      <c r="F15952" t="str">
        <f>"LANG THERAPY"</f>
        <v>LANG THERAPY</v>
      </c>
      <c r="G15952" t="str">
        <f>"21-2110"</f>
        <v>21-2110</v>
      </c>
      <c r="H15952" t="str">
        <f>"B"</f>
        <v>B</v>
      </c>
    </row>
    <row r="15953" spans="1:8" x14ac:dyDescent="0.2">
      <c r="A15953" t="str">
        <f t="shared" ref="A15953:A15960" si="5787">"0615059663"</f>
        <v>0615059663</v>
      </c>
      <c r="B15953" t="str">
        <f t="shared" ref="B15953:B15960" si="5788">"SHOMARI"</f>
        <v>SHOMARI</v>
      </c>
      <c r="C15953" t="str">
        <f t="shared" si="5782"/>
        <v>SIMMONS</v>
      </c>
      <c r="D15953">
        <f>11</f>
        <v>11</v>
      </c>
      <c r="E15953" t="str">
        <f>"04 - A - 102 - Samantha L Martinez"</f>
        <v>04 - A - 102 - Samantha L Martinez</v>
      </c>
      <c r="F15953" t="str">
        <f>"KEYBD 1"</f>
        <v>KEYBD 1</v>
      </c>
      <c r="G15953" t="str">
        <f>"05-505"</f>
        <v>05-505</v>
      </c>
      <c r="H15953" t="str">
        <f>"A"</f>
        <v>A</v>
      </c>
    </row>
    <row r="15954" spans="1:8" x14ac:dyDescent="0.2">
      <c r="A15954" t="str">
        <f t="shared" si="5787"/>
        <v>0615059663</v>
      </c>
      <c r="B15954" t="str">
        <f t="shared" si="5788"/>
        <v>SHOMARI</v>
      </c>
      <c r="C15954" t="str">
        <f t="shared" si="5782"/>
        <v>SIMMONS</v>
      </c>
      <c r="D15954">
        <f>11</f>
        <v>11</v>
      </c>
      <c r="E15954" t="str">
        <f>"06 - B - 103 - Helen A Flores"</f>
        <v>06 - B - 103 - Helen A Flores</v>
      </c>
      <c r="F15954" t="str">
        <f>"ALGEBRA 2"</f>
        <v>ALGEBRA 2</v>
      </c>
      <c r="G15954" t="str">
        <f>"21-2101"</f>
        <v>21-2101</v>
      </c>
      <c r="H15954" t="str">
        <f>"B"</f>
        <v>B</v>
      </c>
    </row>
    <row r="15955" spans="1:8" x14ac:dyDescent="0.2">
      <c r="A15955" t="str">
        <f t="shared" si="5787"/>
        <v>0615059663</v>
      </c>
      <c r="B15955" t="str">
        <f t="shared" si="5788"/>
        <v>SHOMARI</v>
      </c>
      <c r="C15955" t="str">
        <f t="shared" si="5782"/>
        <v>SIMMONS</v>
      </c>
      <c r="D15955">
        <f>11</f>
        <v>11</v>
      </c>
      <c r="E15955" t="str">
        <f>"03 - A - 102 - Nahum  Saint-Preux"</f>
        <v>03 - A - 102 - Nahum  Saint-Preux</v>
      </c>
      <c r="F15955" t="str">
        <f>"INTENS READ 3"</f>
        <v>INTENS READ 3</v>
      </c>
      <c r="G15955" t="str">
        <f>"17-1712"</f>
        <v>17-1712</v>
      </c>
      <c r="H15955" t="str">
        <f>"A"</f>
        <v>A</v>
      </c>
    </row>
    <row r="15956" spans="1:8" x14ac:dyDescent="0.2">
      <c r="A15956" t="str">
        <f t="shared" si="5787"/>
        <v>0615059663</v>
      </c>
      <c r="B15956" t="str">
        <f t="shared" si="5788"/>
        <v>SHOMARI</v>
      </c>
      <c r="C15956" t="str">
        <f t="shared" si="5782"/>
        <v>SIMMONS</v>
      </c>
      <c r="D15956">
        <f>11</f>
        <v>11</v>
      </c>
      <c r="E15956" t="str">
        <f>"02 - A - 101 - Timothy J Lawrence"</f>
        <v>02 - A - 101 - Timothy J Lawrence</v>
      </c>
      <c r="F15956" t="str">
        <f>"NC STUDY HALL 1"</f>
        <v>NC STUDY HALL 1</v>
      </c>
      <c r="G15956" t="str">
        <f>"05-522"</f>
        <v>05-522</v>
      </c>
      <c r="H15956" t="str">
        <f>"A"</f>
        <v>A</v>
      </c>
    </row>
    <row r="15957" spans="1:8" x14ac:dyDescent="0.2">
      <c r="A15957" t="str">
        <f t="shared" si="5787"/>
        <v>0615059663</v>
      </c>
      <c r="B15957" t="str">
        <f t="shared" si="5788"/>
        <v>SHOMARI</v>
      </c>
      <c r="C15957" t="str">
        <f t="shared" si="5782"/>
        <v>SIMMONS</v>
      </c>
      <c r="D15957">
        <f>11</f>
        <v>11</v>
      </c>
      <c r="E15957" t="str">
        <f>"07 - B - 108 - Lauren N Logan"</f>
        <v>07 - B - 108 - Lauren N Logan</v>
      </c>
      <c r="F15957" t="str">
        <f>"US HISTORY"</f>
        <v>US HISTORY</v>
      </c>
      <c r="G15957" t="str">
        <f>"17-1745"</f>
        <v>17-1745</v>
      </c>
      <c r="H15957" t="str">
        <f>"B"</f>
        <v>B</v>
      </c>
    </row>
    <row r="15958" spans="1:8" x14ac:dyDescent="0.2">
      <c r="A15958" t="str">
        <f t="shared" si="5787"/>
        <v>0615059663</v>
      </c>
      <c r="B15958" t="str">
        <f t="shared" si="5788"/>
        <v>SHOMARI</v>
      </c>
      <c r="C15958" t="str">
        <f t="shared" si="5782"/>
        <v>SIMMONS</v>
      </c>
      <c r="D15958">
        <f>11</f>
        <v>11</v>
      </c>
      <c r="E15958" t="str">
        <f>"05 - B - 204 - Cliffon  Saurel"</f>
        <v>05 - B - 204 - Cliffon  Saurel</v>
      </c>
      <c r="F15958" t="str">
        <f>"PHYSICAL SCI"</f>
        <v>PHYSICAL SCI</v>
      </c>
      <c r="G15958" t="str">
        <f>"05-522"</f>
        <v>05-522</v>
      </c>
      <c r="H15958" t="str">
        <f>"B"</f>
        <v>B</v>
      </c>
    </row>
    <row r="15959" spans="1:8" x14ac:dyDescent="0.2">
      <c r="A15959" t="str">
        <f t="shared" si="5787"/>
        <v>0615059663</v>
      </c>
      <c r="B15959" t="str">
        <f t="shared" si="5788"/>
        <v>SHOMARI</v>
      </c>
      <c r="C15959" t="str">
        <f t="shared" si="5782"/>
        <v>SIMMONS</v>
      </c>
      <c r="D15959">
        <f>11</f>
        <v>11</v>
      </c>
      <c r="E15959" t="str">
        <f>"01 - A - 101 - Lisa  Quinn"</f>
        <v>01 - A - 101 - Lisa  Quinn</v>
      </c>
      <c r="F15959" t="str">
        <f>"ENG 3"</f>
        <v>ENG 3</v>
      </c>
      <c r="G15959" t="str">
        <f>"17-1725"</f>
        <v>17-1725</v>
      </c>
      <c r="H15959" t="str">
        <f>"A"</f>
        <v>A</v>
      </c>
    </row>
    <row r="15960" spans="1:8" x14ac:dyDescent="0.2">
      <c r="A15960" t="str">
        <f t="shared" si="5787"/>
        <v>0615059663</v>
      </c>
      <c r="B15960" t="str">
        <f t="shared" si="5788"/>
        <v>SHOMARI</v>
      </c>
      <c r="C15960" t="str">
        <f t="shared" si="5782"/>
        <v>SIMMONS</v>
      </c>
      <c r="D15960">
        <f>11</f>
        <v>11</v>
      </c>
      <c r="E15960" t="str">
        <f>"08 - S1 - B - 104 - Leslie J Barton"</f>
        <v>08 - S1 - B - 104 - Leslie J Barton</v>
      </c>
      <c r="F15960" t="str">
        <f>"TEAM SPORTS 1"</f>
        <v>TEAM SPORTS 1</v>
      </c>
      <c r="G15960" t="str">
        <f>"04-254"</f>
        <v>04-254</v>
      </c>
      <c r="H15960" t="str">
        <f>"B"</f>
        <v>B</v>
      </c>
    </row>
    <row r="15961" spans="1:8" x14ac:dyDescent="0.2">
      <c r="A15961" t="str">
        <f t="shared" ref="A15961:A15968" si="5789">"0615085764"</f>
        <v>0615085764</v>
      </c>
      <c r="B15961" t="str">
        <f t="shared" ref="B15961:B15968" si="5790">"CAMERIN"</f>
        <v>CAMERIN</v>
      </c>
      <c r="C15961" t="str">
        <f t="shared" ref="C15961:C15976" si="5791">"SIMPKINS"</f>
        <v>SIMPKINS</v>
      </c>
      <c r="D15961">
        <f>10</f>
        <v>10</v>
      </c>
      <c r="E15961" t="str">
        <f>"04 - A - 104 - Courtney E Hambright"</f>
        <v>04 - A - 104 - Courtney E Hambright</v>
      </c>
      <c r="F15961" t="str">
        <f>"AICE ENG LANG AS"</f>
        <v>AICE ENG LANG AS</v>
      </c>
      <c r="G15961" t="str">
        <f>"17-1711"</f>
        <v>17-1711</v>
      </c>
      <c r="H15961" t="str">
        <f>"A"</f>
        <v>A</v>
      </c>
    </row>
    <row r="15962" spans="1:8" x14ac:dyDescent="0.2">
      <c r="A15962" t="str">
        <f t="shared" si="5789"/>
        <v>0615085764</v>
      </c>
      <c r="B15962" t="str">
        <f t="shared" si="5790"/>
        <v>CAMERIN</v>
      </c>
      <c r="C15962" t="str">
        <f t="shared" si="5791"/>
        <v>SIMPKINS</v>
      </c>
      <c r="D15962">
        <f>10</f>
        <v>10</v>
      </c>
      <c r="E15962" t="str">
        <f>"06 - B - 118 - Jeanne M Bermudez"</f>
        <v>06 - B - 118 - Jeanne M Bermudez</v>
      </c>
      <c r="F15962" t="str">
        <f>"NC STUDY HALL 1"</f>
        <v>NC STUDY HALL 1</v>
      </c>
      <c r="G15962" t="str">
        <f>"21-2141"</f>
        <v>21-2141</v>
      </c>
      <c r="H15962" t="str">
        <f>"B"</f>
        <v>B</v>
      </c>
    </row>
    <row r="15963" spans="1:8" x14ac:dyDescent="0.2">
      <c r="A15963" t="str">
        <f t="shared" si="5789"/>
        <v>0615085764</v>
      </c>
      <c r="B15963" t="str">
        <f t="shared" si="5790"/>
        <v>CAMERIN</v>
      </c>
      <c r="C15963" t="str">
        <f t="shared" si="5791"/>
        <v>SIMPKINS</v>
      </c>
      <c r="D15963">
        <f>10</f>
        <v>10</v>
      </c>
      <c r="E15963" t="str">
        <f>"03 - A - 002 - Lenecy  Nodarse"</f>
        <v>03 - A - 002 - Lenecy  Nodarse</v>
      </c>
      <c r="F15963" t="str">
        <f>"AICE EURO HIST 1 AS"</f>
        <v>AICE EURO HIST 1 AS</v>
      </c>
      <c r="G15963" t="str">
        <f>"17-1741"</f>
        <v>17-1741</v>
      </c>
      <c r="H15963" t="str">
        <f>"A"</f>
        <v>A</v>
      </c>
    </row>
    <row r="15964" spans="1:8" x14ac:dyDescent="0.2">
      <c r="A15964" t="str">
        <f t="shared" si="5789"/>
        <v>0615085764</v>
      </c>
      <c r="B15964" t="str">
        <f t="shared" si="5790"/>
        <v>CAMERIN</v>
      </c>
      <c r="C15964" t="str">
        <f t="shared" si="5791"/>
        <v>SIMPKINS</v>
      </c>
      <c r="D15964">
        <f>10</f>
        <v>10</v>
      </c>
      <c r="E15964" t="str">
        <f>"02 - A - 102 - Chrystina M Marchionne"</f>
        <v>02 - A - 102 - Chrystina M Marchionne</v>
      </c>
      <c r="F15964" t="str">
        <f>"AICE MEDIASTUDIES AS"</f>
        <v>AICE MEDIASTUDIES AS</v>
      </c>
      <c r="G15964" t="str">
        <f>"05-520"</f>
        <v>05-520</v>
      </c>
      <c r="H15964" t="str">
        <f>"A"</f>
        <v>A</v>
      </c>
    </row>
    <row r="15965" spans="1:8" x14ac:dyDescent="0.2">
      <c r="A15965" t="str">
        <f t="shared" si="5789"/>
        <v>0615085764</v>
      </c>
      <c r="B15965" t="str">
        <f t="shared" si="5790"/>
        <v>CAMERIN</v>
      </c>
      <c r="C15965" t="str">
        <f t="shared" si="5791"/>
        <v>SIMPKINS</v>
      </c>
      <c r="D15965">
        <f>10</f>
        <v>10</v>
      </c>
      <c r="E15965" t="str">
        <f>"07 - B - 102 - Lourivaldo  Da Silva"</f>
        <v>07 - B - 102 - Lourivaldo  Da Silva</v>
      </c>
      <c r="F15965" t="str">
        <f>"ALGEBRA 2 HON"</f>
        <v>ALGEBRA 2 HON</v>
      </c>
      <c r="G15965" t="str">
        <f>"20-2079"</f>
        <v>20-2079</v>
      </c>
      <c r="H15965" t="str">
        <f>"B"</f>
        <v>B</v>
      </c>
    </row>
    <row r="15966" spans="1:8" x14ac:dyDescent="0.2">
      <c r="A15966" t="str">
        <f t="shared" si="5789"/>
        <v>0615085764</v>
      </c>
      <c r="B15966" t="str">
        <f t="shared" si="5790"/>
        <v>CAMERIN</v>
      </c>
      <c r="C15966" t="str">
        <f t="shared" si="5791"/>
        <v>SIMPKINS</v>
      </c>
      <c r="D15966">
        <f>10</f>
        <v>10</v>
      </c>
      <c r="E15966" t="str">
        <f>"05 - B - 103 - Vanessa J Liburd"</f>
        <v>05 - B - 103 - Vanessa J Liburd</v>
      </c>
      <c r="F15966" t="str">
        <f>"PRE-AICE FRENCH 2 IG"</f>
        <v>PRE-AICE FRENCH 2 IG</v>
      </c>
      <c r="G15966" t="str">
        <f>"05-519"</f>
        <v>05-519</v>
      </c>
      <c r="H15966" t="str">
        <f>"B"</f>
        <v>B</v>
      </c>
    </row>
    <row r="15967" spans="1:8" x14ac:dyDescent="0.2">
      <c r="A15967" t="str">
        <f t="shared" si="5789"/>
        <v>0615085764</v>
      </c>
      <c r="B15967" t="str">
        <f t="shared" si="5790"/>
        <v>CAMERIN</v>
      </c>
      <c r="C15967" t="str">
        <f t="shared" si="5791"/>
        <v>SIMPKINS</v>
      </c>
      <c r="D15967">
        <f>10</f>
        <v>10</v>
      </c>
      <c r="E15967" t="str">
        <f>"01 - A - 201 - Stefanie S Scher"</f>
        <v>01 - A - 201 - Stefanie S Scher</v>
      </c>
      <c r="F15967" t="str">
        <f>"AICE PSYCH 1 AS"</f>
        <v>AICE PSYCH 1 AS</v>
      </c>
      <c r="G15967" t="str">
        <f>"17-1735"</f>
        <v>17-1735</v>
      </c>
      <c r="H15967" t="str">
        <f>"A"</f>
        <v>A</v>
      </c>
    </row>
    <row r="15968" spans="1:8" x14ac:dyDescent="0.2">
      <c r="A15968" t="str">
        <f t="shared" si="5789"/>
        <v>0615085764</v>
      </c>
      <c r="B15968" t="str">
        <f t="shared" si="5790"/>
        <v>CAMERIN</v>
      </c>
      <c r="C15968" t="str">
        <f t="shared" si="5791"/>
        <v>SIMPKINS</v>
      </c>
      <c r="D15968">
        <f>10</f>
        <v>10</v>
      </c>
      <c r="E15968" t="str">
        <f>"08 - B - 001 - Scott A Dethloff"</f>
        <v>08 - B - 001 - Scott A Dethloff</v>
      </c>
      <c r="F15968" t="str">
        <f>"CHEMISTRY 1 HON"</f>
        <v>CHEMISTRY 1 HON</v>
      </c>
      <c r="G15968" t="str">
        <f>"08-812"</f>
        <v>08-812</v>
      </c>
      <c r="H15968" t="str">
        <f>"B"</f>
        <v>B</v>
      </c>
    </row>
    <row r="15969" spans="1:8" x14ac:dyDescent="0.2">
      <c r="A15969" t="str">
        <f t="shared" ref="A15969:A15976" si="5792">"0616131058"</f>
        <v>0616131058</v>
      </c>
      <c r="B15969" t="str">
        <f t="shared" ref="B15969:B15976" si="5793">"YASMINE"</f>
        <v>YASMINE</v>
      </c>
      <c r="C15969" t="str">
        <f t="shared" si="5791"/>
        <v>SIMPKINS</v>
      </c>
      <c r="D15969" t="str">
        <f t="shared" ref="D15969:D15976" si="5794">"09"</f>
        <v>09</v>
      </c>
      <c r="E15969" t="str">
        <f>"04 - A - 103 - Lenecy  Nodarse"</f>
        <v>04 - A - 103 - Lenecy  Nodarse</v>
      </c>
      <c r="F15969" t="str">
        <f>"WORLD HISTORY"</f>
        <v>WORLD HISTORY</v>
      </c>
      <c r="G15969" t="str">
        <f>"17-1741"</f>
        <v>17-1741</v>
      </c>
      <c r="H15969" t="str">
        <f>"A"</f>
        <v>A</v>
      </c>
    </row>
    <row r="15970" spans="1:8" x14ac:dyDescent="0.2">
      <c r="A15970" t="str">
        <f t="shared" si="5792"/>
        <v>0616131058</v>
      </c>
      <c r="B15970" t="str">
        <f t="shared" si="5793"/>
        <v>YASMINE</v>
      </c>
      <c r="C15970" t="str">
        <f t="shared" si="5791"/>
        <v>SIMPKINS</v>
      </c>
      <c r="D15970" t="str">
        <f t="shared" si="5794"/>
        <v>09</v>
      </c>
      <c r="E15970" t="str">
        <f>"06 - B - 105 - Dayna M Foster"</f>
        <v>06 - B - 105 - Dayna M Foster</v>
      </c>
      <c r="F15970" t="str">
        <f>"ALGEBRA 1"</f>
        <v>ALGEBRA 1</v>
      </c>
      <c r="G15970" t="str">
        <f>"21-2109"</f>
        <v>21-2109</v>
      </c>
      <c r="H15970" t="str">
        <f>"B"</f>
        <v>B</v>
      </c>
    </row>
    <row r="15971" spans="1:8" x14ac:dyDescent="0.2">
      <c r="A15971" t="str">
        <f t="shared" si="5792"/>
        <v>0616131058</v>
      </c>
      <c r="B15971" t="str">
        <f t="shared" si="5793"/>
        <v>YASMINE</v>
      </c>
      <c r="C15971" t="str">
        <f t="shared" si="5791"/>
        <v>SIMPKINS</v>
      </c>
      <c r="D15971" t="str">
        <f t="shared" si="5794"/>
        <v>09</v>
      </c>
      <c r="E15971" t="str">
        <f>"03 - A - 101 - Dayna M Foster"</f>
        <v>03 - A - 101 - Dayna M Foster</v>
      </c>
      <c r="F15971" t="str">
        <f>"FDN SKLS MATH 9-12"</f>
        <v>FDN SKLS MATH 9-12</v>
      </c>
      <c r="G15971" t="str">
        <f>"21-2109"</f>
        <v>21-2109</v>
      </c>
      <c r="H15971" t="str">
        <f>"A"</f>
        <v>A</v>
      </c>
    </row>
    <row r="15972" spans="1:8" x14ac:dyDescent="0.2">
      <c r="A15972" t="str">
        <f t="shared" si="5792"/>
        <v>0616131058</v>
      </c>
      <c r="B15972" t="str">
        <f t="shared" si="5793"/>
        <v>YASMINE</v>
      </c>
      <c r="C15972" t="str">
        <f t="shared" si="5791"/>
        <v>SIMPKINS</v>
      </c>
      <c r="D15972" t="str">
        <f t="shared" si="5794"/>
        <v>09</v>
      </c>
      <c r="E15972" t="str">
        <f>"02 - A - 103 - Angela S Adeshina-Morrison"</f>
        <v>02 - A - 103 - Angela S Adeshina-Morrison</v>
      </c>
      <c r="F15972" t="str">
        <f>"NC STUDY HALL 1"</f>
        <v>NC STUDY HALL 1</v>
      </c>
      <c r="G15972" t="str">
        <f>"05-518"</f>
        <v>05-518</v>
      </c>
      <c r="H15972" t="str">
        <f>"A"</f>
        <v>A</v>
      </c>
    </row>
    <row r="15973" spans="1:8" x14ac:dyDescent="0.2">
      <c r="A15973" t="str">
        <f t="shared" si="5792"/>
        <v>0616131058</v>
      </c>
      <c r="B15973" t="str">
        <f t="shared" si="5793"/>
        <v>YASMINE</v>
      </c>
      <c r="C15973" t="str">
        <f t="shared" si="5791"/>
        <v>SIMPKINS</v>
      </c>
      <c r="D15973" t="str">
        <f t="shared" si="5794"/>
        <v>09</v>
      </c>
      <c r="E15973" t="str">
        <f>"07 - B - 107 - Adam Marcus  Drucker"</f>
        <v>07 - B - 107 - Adam Marcus  Drucker</v>
      </c>
      <c r="F15973" t="str">
        <f>"HOPE-PE V"</f>
        <v>HOPE-PE V</v>
      </c>
      <c r="G15973" t="str">
        <f>"04-254"</f>
        <v>04-254</v>
      </c>
      <c r="H15973" t="str">
        <f>"B"</f>
        <v>B</v>
      </c>
    </row>
    <row r="15974" spans="1:8" x14ac:dyDescent="0.2">
      <c r="A15974" t="str">
        <f t="shared" si="5792"/>
        <v>0616131058</v>
      </c>
      <c r="B15974" t="str">
        <f t="shared" si="5793"/>
        <v>YASMINE</v>
      </c>
      <c r="C15974" t="str">
        <f t="shared" si="5791"/>
        <v>SIMPKINS</v>
      </c>
      <c r="D15974" t="str">
        <f t="shared" si="5794"/>
        <v>09</v>
      </c>
      <c r="E15974" t="str">
        <f>"05 - B - 104 - Cerine S Stewart"</f>
        <v>05 - B - 104 - Cerine S Stewart</v>
      </c>
      <c r="F15974" t="str">
        <f>"ENG 1"</f>
        <v>ENG 1</v>
      </c>
      <c r="G15974" t="str">
        <f>"17-1720"</f>
        <v>17-1720</v>
      </c>
      <c r="H15974" t="str">
        <f>"B"</f>
        <v>B</v>
      </c>
    </row>
    <row r="15975" spans="1:8" x14ac:dyDescent="0.2">
      <c r="A15975" t="str">
        <f t="shared" si="5792"/>
        <v>0616131058</v>
      </c>
      <c r="B15975" t="str">
        <f t="shared" si="5793"/>
        <v>YASMINE</v>
      </c>
      <c r="C15975" t="str">
        <f t="shared" si="5791"/>
        <v>SIMPKINS</v>
      </c>
      <c r="D15975" t="str">
        <f t="shared" si="5794"/>
        <v>09</v>
      </c>
      <c r="E15975" t="str">
        <f>"01 - A - 103 - Amy Beth  Broyles"</f>
        <v>01 - A - 103 - Amy Beth  Broyles</v>
      </c>
      <c r="F15975" t="str">
        <f>"ENV SCI"</f>
        <v>ENV SCI</v>
      </c>
      <c r="G15975" t="str">
        <f>"08-802"</f>
        <v>08-802</v>
      </c>
      <c r="H15975" t="str">
        <f>"A"</f>
        <v>A</v>
      </c>
    </row>
    <row r="15976" spans="1:8" x14ac:dyDescent="0.2">
      <c r="A15976" t="str">
        <f t="shared" si="5792"/>
        <v>0616131058</v>
      </c>
      <c r="B15976" t="str">
        <f t="shared" si="5793"/>
        <v>YASMINE</v>
      </c>
      <c r="C15976" t="str">
        <f t="shared" si="5791"/>
        <v>SIMPKINS</v>
      </c>
      <c r="D15976" t="str">
        <f t="shared" si="5794"/>
        <v>09</v>
      </c>
      <c r="E15976" t="str">
        <f>"08 - B - 106 - Laselleda D Shaw"</f>
        <v>08 - B - 106 - Laselleda D Shaw</v>
      </c>
      <c r="F15976" t="str">
        <f>"INTENS READ 1"</f>
        <v>INTENS READ 1</v>
      </c>
      <c r="G15976" t="str">
        <f>"17-1723"</f>
        <v>17-1723</v>
      </c>
      <c r="H15976" t="str">
        <f>"B"</f>
        <v>B</v>
      </c>
    </row>
    <row r="15977" spans="1:8" x14ac:dyDescent="0.2">
      <c r="A15977" t="str">
        <f t="shared" ref="A15977:A15984" si="5795">"0614008071"</f>
        <v>0614008071</v>
      </c>
      <c r="B15977" t="str">
        <f t="shared" ref="B15977:B15984" si="5796">"GREG"</f>
        <v>GREG</v>
      </c>
      <c r="C15977" t="str">
        <f t="shared" ref="C15977:C15993" si="5797">"SIMPSON"</f>
        <v>SIMPSON</v>
      </c>
      <c r="D15977">
        <f>12</f>
        <v>12</v>
      </c>
      <c r="E15977" t="str">
        <f>"04 - S1 - A - 106 - Kelly N Panza"</f>
        <v>04 - S1 - A - 106 - Kelly N Panza</v>
      </c>
      <c r="F15977" t="str">
        <f>"US GOVT HON"</f>
        <v>US GOVT HON</v>
      </c>
      <c r="G15977" t="str">
        <f>"17-1753"</f>
        <v>17-1753</v>
      </c>
      <c r="H15977" t="str">
        <f>"A"</f>
        <v>A</v>
      </c>
    </row>
    <row r="15978" spans="1:8" x14ac:dyDescent="0.2">
      <c r="A15978" t="str">
        <f t="shared" si="5795"/>
        <v>0614008071</v>
      </c>
      <c r="B15978" t="str">
        <f t="shared" si="5796"/>
        <v>GREG</v>
      </c>
      <c r="C15978" t="str">
        <f t="shared" si="5797"/>
        <v>SIMPSON</v>
      </c>
      <c r="D15978">
        <f>12</f>
        <v>12</v>
      </c>
      <c r="E15978" t="str">
        <f>"06 - B - 103 - Stefanie S Scher"</f>
        <v>06 - B - 103 - Stefanie S Scher</v>
      </c>
      <c r="F15978" t="str">
        <f>"NC STUDY HALL 1"</f>
        <v>NC STUDY HALL 1</v>
      </c>
      <c r="G15978" t="str">
        <f>"17-1735"</f>
        <v>17-1735</v>
      </c>
      <c r="H15978" t="str">
        <f>"B"</f>
        <v>B</v>
      </c>
    </row>
    <row r="15979" spans="1:8" x14ac:dyDescent="0.2">
      <c r="A15979" t="str">
        <f t="shared" si="5795"/>
        <v>0614008071</v>
      </c>
      <c r="B15979" t="str">
        <f t="shared" si="5796"/>
        <v>GREG</v>
      </c>
      <c r="C15979" t="str">
        <f t="shared" si="5797"/>
        <v>SIMPSON</v>
      </c>
      <c r="D15979">
        <f>12</f>
        <v>12</v>
      </c>
      <c r="E15979" t="str">
        <f>"03 - A - 102 - Cliffon  Saurel"</f>
        <v>03 - A - 102 - Cliffon  Saurel</v>
      </c>
      <c r="F15979" t="str">
        <f>"PHYSICAL SCI"</f>
        <v>PHYSICAL SCI</v>
      </c>
      <c r="G15979" t="str">
        <f>"05-522"</f>
        <v>05-522</v>
      </c>
      <c r="H15979" t="str">
        <f>"A"</f>
        <v>A</v>
      </c>
    </row>
    <row r="15980" spans="1:8" x14ac:dyDescent="0.2">
      <c r="A15980" t="str">
        <f t="shared" si="5795"/>
        <v>0614008071</v>
      </c>
      <c r="B15980" t="str">
        <f t="shared" si="5796"/>
        <v>GREG</v>
      </c>
      <c r="C15980" t="str">
        <f t="shared" si="5797"/>
        <v>SIMPSON</v>
      </c>
      <c r="D15980">
        <f>12</f>
        <v>12</v>
      </c>
      <c r="E15980" t="str">
        <f>"02 - A - 101 - Robert H Rindner"</f>
        <v>02 - A - 101 - Robert H Rindner</v>
      </c>
      <c r="F15980" t="str">
        <f>"MATH DATA&amp;FIN LIT H"</f>
        <v>MATH DATA&amp;FIN LIT H</v>
      </c>
      <c r="G15980" t="str">
        <f>"21-2160"</f>
        <v>21-2160</v>
      </c>
      <c r="H15980" t="str">
        <f>"A"</f>
        <v>A</v>
      </c>
    </row>
    <row r="15981" spans="1:8" x14ac:dyDescent="0.2">
      <c r="A15981" t="str">
        <f t="shared" si="5795"/>
        <v>0614008071</v>
      </c>
      <c r="B15981" t="str">
        <f t="shared" si="5796"/>
        <v>GREG</v>
      </c>
      <c r="C15981" t="str">
        <f t="shared" si="5797"/>
        <v>SIMPSON</v>
      </c>
      <c r="D15981">
        <f>12</f>
        <v>12</v>
      </c>
      <c r="E15981" t="str">
        <f>"07 - S1 - B - 102 - Arthur  Kulawik"</f>
        <v>07 - S1 - B - 102 - Arthur  Kulawik</v>
      </c>
      <c r="F15981" t="str">
        <f>"PERS FIN &amp; MON MGT H"</f>
        <v>PERS FIN &amp; MON MGT H</v>
      </c>
      <c r="G15981" t="str">
        <f>"05-506"</f>
        <v>05-506</v>
      </c>
      <c r="H15981" t="str">
        <f>"B"</f>
        <v>B</v>
      </c>
    </row>
    <row r="15982" spans="1:8" x14ac:dyDescent="0.2">
      <c r="A15982" t="str">
        <f t="shared" si="5795"/>
        <v>0614008071</v>
      </c>
      <c r="B15982" t="str">
        <f t="shared" si="5796"/>
        <v>GREG</v>
      </c>
      <c r="C15982" t="str">
        <f t="shared" si="5797"/>
        <v>SIMPSON</v>
      </c>
      <c r="D15982">
        <f>12</f>
        <v>12</v>
      </c>
      <c r="E15982" t="str">
        <f>"05 - B - 101 - Angela S Adeshina-Morrison"</f>
        <v>05 - B - 101 - Angela S Adeshina-Morrison</v>
      </c>
      <c r="F15982" t="str">
        <f>"MKT APPLCTNS LH"</f>
        <v>MKT APPLCTNS LH</v>
      </c>
      <c r="G15982" t="str">
        <f>"05-518"</f>
        <v>05-518</v>
      </c>
      <c r="H15982" t="str">
        <f>"B"</f>
        <v>B</v>
      </c>
    </row>
    <row r="15983" spans="1:8" x14ac:dyDescent="0.2">
      <c r="A15983" t="str">
        <f t="shared" si="5795"/>
        <v>0614008071</v>
      </c>
      <c r="B15983" t="str">
        <f t="shared" si="5796"/>
        <v>GREG</v>
      </c>
      <c r="C15983" t="str">
        <f t="shared" si="5797"/>
        <v>SIMPSON</v>
      </c>
      <c r="D15983">
        <f>12</f>
        <v>12</v>
      </c>
      <c r="E15983" t="str">
        <f>"01 - A - 101 - Angela S Adeshina-Morrison"</f>
        <v>01 - A - 101 - Angela S Adeshina-Morrison</v>
      </c>
      <c r="F15983" t="str">
        <f>"MARKETING ESSENTIALS"</f>
        <v>MARKETING ESSENTIALS</v>
      </c>
      <c r="G15983" t="str">
        <f>"05-518"</f>
        <v>05-518</v>
      </c>
      <c r="H15983" t="str">
        <f>"A"</f>
        <v>A</v>
      </c>
    </row>
    <row r="15984" spans="1:8" x14ac:dyDescent="0.2">
      <c r="A15984" t="str">
        <f t="shared" si="5795"/>
        <v>0614008071</v>
      </c>
      <c r="B15984" t="str">
        <f t="shared" si="5796"/>
        <v>GREG</v>
      </c>
      <c r="C15984" t="str">
        <f t="shared" si="5797"/>
        <v>SIMPSON</v>
      </c>
      <c r="D15984">
        <f>12</f>
        <v>12</v>
      </c>
      <c r="E15984" t="str">
        <f>"08 - B - 105 - Jeffrey S Gallagher"</f>
        <v>08 - B - 105 - Jeffrey S Gallagher</v>
      </c>
      <c r="F15984" t="str">
        <f>"ENG HON 4"</f>
        <v>ENG HON 4</v>
      </c>
      <c r="G15984" t="str">
        <f>"17-1724"</f>
        <v>17-1724</v>
      </c>
      <c r="H15984" t="str">
        <f>"B"</f>
        <v>B</v>
      </c>
    </row>
    <row r="15985" spans="1:8" x14ac:dyDescent="0.2">
      <c r="A15985" t="str">
        <f t="shared" ref="A15985:A15993" si="5798">"0613074749"</f>
        <v>0613074749</v>
      </c>
      <c r="B15985" t="str">
        <f t="shared" ref="B15985:B15993" si="5799">"MATHIAS"</f>
        <v>MATHIAS</v>
      </c>
      <c r="C15985" t="str">
        <f t="shared" si="5797"/>
        <v>SIMPSON</v>
      </c>
      <c r="D15985">
        <f>11</f>
        <v>11</v>
      </c>
      <c r="E15985" t="str">
        <f>"04 - S1 - A - 104 - Richard E Dunbar Iii"</f>
        <v>04 - S1 - A - 104 - Richard E Dunbar Iii</v>
      </c>
      <c r="F15985" t="str">
        <f>"WEIGHT TRAIN 1"</f>
        <v>WEIGHT TRAIN 1</v>
      </c>
      <c r="G15985" t="str">
        <f>"05-501"</f>
        <v>05-501</v>
      </c>
      <c r="H15985" t="str">
        <f>"A"</f>
        <v>A</v>
      </c>
    </row>
    <row r="15986" spans="1:8" x14ac:dyDescent="0.2">
      <c r="A15986" t="str">
        <f t="shared" si="5798"/>
        <v>0613074749</v>
      </c>
      <c r="B15986" t="str">
        <f t="shared" si="5799"/>
        <v>MATHIAS</v>
      </c>
      <c r="C15986" t="str">
        <f t="shared" si="5797"/>
        <v>SIMPSON</v>
      </c>
      <c r="D15986">
        <f>11</f>
        <v>11</v>
      </c>
      <c r="E15986" t="str">
        <f>"06 - B - 103 - Helen A Flores"</f>
        <v>06 - B - 103 - Helen A Flores</v>
      </c>
      <c r="F15986" t="str">
        <f>"ALGEBRA 2"</f>
        <v>ALGEBRA 2</v>
      </c>
      <c r="G15986" t="str">
        <f>"21-2101"</f>
        <v>21-2101</v>
      </c>
      <c r="H15986" t="str">
        <f>"B"</f>
        <v>B</v>
      </c>
    </row>
    <row r="15987" spans="1:8" x14ac:dyDescent="0.2">
      <c r="A15987" t="str">
        <f t="shared" si="5798"/>
        <v>0613074749</v>
      </c>
      <c r="B15987" t="str">
        <f t="shared" si="5799"/>
        <v>MATHIAS</v>
      </c>
      <c r="C15987" t="str">
        <f t="shared" si="5797"/>
        <v>SIMPSON</v>
      </c>
      <c r="D15987">
        <f>11</f>
        <v>11</v>
      </c>
      <c r="E15987" t="str">
        <f>"03 - A - 106 - Jerry S Jiampetti"</f>
        <v>03 - A - 106 - Jerry S Jiampetti</v>
      </c>
      <c r="F15987" t="str">
        <f>"US HISTORY HON"</f>
        <v>US HISTORY HON</v>
      </c>
      <c r="G15987" t="str">
        <f>"17-1751"</f>
        <v>17-1751</v>
      </c>
      <c r="H15987" t="str">
        <f>"A"</f>
        <v>A</v>
      </c>
    </row>
    <row r="15988" spans="1:8" x14ac:dyDescent="0.2">
      <c r="A15988" t="str">
        <f t="shared" si="5798"/>
        <v>0613074749</v>
      </c>
      <c r="B15988" t="str">
        <f t="shared" si="5799"/>
        <v>MATHIAS</v>
      </c>
      <c r="C15988" t="str">
        <f t="shared" si="5797"/>
        <v>SIMPSON</v>
      </c>
      <c r="D15988">
        <f>11</f>
        <v>11</v>
      </c>
      <c r="E15988" t="str">
        <f>"02 - A - 117 - Kyle  Robbins"</f>
        <v>02 - A - 117 - Kyle  Robbins</v>
      </c>
      <c r="F15988" t="str">
        <f>"NC STUDY HALL 1"</f>
        <v>NC STUDY HALL 1</v>
      </c>
      <c r="G15988" t="str">
        <f>"17-1745"</f>
        <v>17-1745</v>
      </c>
      <c r="H15988" t="str">
        <f>"A"</f>
        <v>A</v>
      </c>
    </row>
    <row r="15989" spans="1:8" x14ac:dyDescent="0.2">
      <c r="A15989" t="str">
        <f t="shared" si="5798"/>
        <v>0613074749</v>
      </c>
      <c r="B15989" t="str">
        <f t="shared" si="5799"/>
        <v>MATHIAS</v>
      </c>
      <c r="C15989" t="str">
        <f t="shared" si="5797"/>
        <v>SIMPSON</v>
      </c>
      <c r="D15989">
        <f>11</f>
        <v>11</v>
      </c>
      <c r="E15989" t="str">
        <f>"02 - A - 112 - Karen A Toomer"</f>
        <v>02 - A - 112 - Karen A Toomer</v>
      </c>
      <c r="F15989" t="str">
        <f>"LANG THERAPY"</f>
        <v>LANG THERAPY</v>
      </c>
      <c r="G15989" t="str">
        <f>"21-2110"</f>
        <v>21-2110</v>
      </c>
      <c r="H15989" t="str">
        <f>"A"</f>
        <v>A</v>
      </c>
    </row>
    <row r="15990" spans="1:8" x14ac:dyDescent="0.2">
      <c r="A15990" t="str">
        <f t="shared" si="5798"/>
        <v>0613074749</v>
      </c>
      <c r="B15990" t="str">
        <f t="shared" si="5799"/>
        <v>MATHIAS</v>
      </c>
      <c r="C15990" t="str">
        <f t="shared" si="5797"/>
        <v>SIMPSON</v>
      </c>
      <c r="D15990">
        <f>11</f>
        <v>11</v>
      </c>
      <c r="E15990" t="str">
        <f>"07 - B - 204 - Scott A Dethloff"</f>
        <v>07 - B - 204 - Scott A Dethloff</v>
      </c>
      <c r="F15990" t="str">
        <f>"CHEMISTRY 1"</f>
        <v>CHEMISTRY 1</v>
      </c>
      <c r="G15990" t="str">
        <f>"08-812"</f>
        <v>08-812</v>
      </c>
      <c r="H15990" t="str">
        <f>"B"</f>
        <v>B</v>
      </c>
    </row>
    <row r="15991" spans="1:8" x14ac:dyDescent="0.2">
      <c r="A15991" t="str">
        <f t="shared" si="5798"/>
        <v>0613074749</v>
      </c>
      <c r="B15991" t="str">
        <f t="shared" si="5799"/>
        <v>MATHIAS</v>
      </c>
      <c r="C15991" t="str">
        <f t="shared" si="5797"/>
        <v>SIMPSON</v>
      </c>
      <c r="D15991">
        <f>11</f>
        <v>11</v>
      </c>
      <c r="E15991" t="str">
        <f>"05 - B - 103 - Heidi M Knopp"</f>
        <v>05 - B - 103 - Heidi M Knopp</v>
      </c>
      <c r="F15991" t="str">
        <f>"ENG HON 3"</f>
        <v>ENG HON 3</v>
      </c>
      <c r="G15991" t="str">
        <f>"17-1723"</f>
        <v>17-1723</v>
      </c>
      <c r="H15991" t="str">
        <f>"B"</f>
        <v>B</v>
      </c>
    </row>
    <row r="15992" spans="1:8" x14ac:dyDescent="0.2">
      <c r="A15992" t="str">
        <f t="shared" si="5798"/>
        <v>0613074749</v>
      </c>
      <c r="B15992" t="str">
        <f t="shared" si="5799"/>
        <v>MATHIAS</v>
      </c>
      <c r="C15992" t="str">
        <f t="shared" si="5797"/>
        <v>SIMPSON</v>
      </c>
      <c r="D15992">
        <f>11</f>
        <v>11</v>
      </c>
      <c r="E15992" t="str">
        <f>"01 - A - 504 - Alejandro  Navarro"</f>
        <v>01 - A - 504 - Alejandro  Navarro</v>
      </c>
      <c r="F15992" t="str">
        <f>"BAND 1"</f>
        <v>BAND 1</v>
      </c>
      <c r="G15992" t="str">
        <f>"05-504"</f>
        <v>05-504</v>
      </c>
      <c r="H15992" t="str">
        <f>"A"</f>
        <v>A</v>
      </c>
    </row>
    <row r="15993" spans="1:8" x14ac:dyDescent="0.2">
      <c r="A15993" t="str">
        <f t="shared" si="5798"/>
        <v>0613074749</v>
      </c>
      <c r="B15993" t="str">
        <f t="shared" si="5799"/>
        <v>MATHIAS</v>
      </c>
      <c r="C15993" t="str">
        <f t="shared" si="5797"/>
        <v>SIMPSON</v>
      </c>
      <c r="D15993">
        <f>11</f>
        <v>11</v>
      </c>
      <c r="E15993" t="str">
        <f>"08 - S1 - B - 102 - Nahum  Saint-Preux"</f>
        <v>08 - S1 - B - 102 - Nahum  Saint-Preux</v>
      </c>
      <c r="F15993" t="str">
        <f>"CRIT THINK ST SKLS"</f>
        <v>CRIT THINK ST SKLS</v>
      </c>
      <c r="G15993" t="str">
        <f>"17-1712"</f>
        <v>17-1712</v>
      </c>
      <c r="H15993" t="str">
        <f>"B"</f>
        <v>B</v>
      </c>
    </row>
    <row r="15994" spans="1:8" x14ac:dyDescent="0.2">
      <c r="A15994" t="str">
        <f t="shared" ref="A15994:A16001" si="5800">"0616069140"</f>
        <v>0616069140</v>
      </c>
      <c r="B15994" t="str">
        <f t="shared" ref="B15994:B16001" si="5801">"BREON"</f>
        <v>BREON</v>
      </c>
      <c r="C15994" t="str">
        <f t="shared" ref="C15994:C16001" si="5802">"SIMS"</f>
        <v>SIMS</v>
      </c>
      <c r="D15994">
        <f>10</f>
        <v>10</v>
      </c>
      <c r="E15994" t="str">
        <f>"04 - A - 102 - Samantha J Headley"</f>
        <v>04 - A - 102 - Samantha J Headley</v>
      </c>
      <c r="F15994" t="str">
        <f>"MARINE SCI 1 HON"</f>
        <v>MARINE SCI 1 HON</v>
      </c>
      <c r="G15994" t="str">
        <f>"21-2134"</f>
        <v>21-2134</v>
      </c>
      <c r="H15994" t="str">
        <f>"A"</f>
        <v>A</v>
      </c>
    </row>
    <row r="15995" spans="1:8" x14ac:dyDescent="0.2">
      <c r="A15995" t="str">
        <f t="shared" si="5800"/>
        <v>0616069140</v>
      </c>
      <c r="B15995" t="str">
        <f t="shared" si="5801"/>
        <v>BREON</v>
      </c>
      <c r="C15995" t="str">
        <f t="shared" si="5802"/>
        <v>SIMS</v>
      </c>
      <c r="D15995">
        <f>10</f>
        <v>10</v>
      </c>
      <c r="E15995" t="str">
        <f>"06 - B - 107 - Dorothy D Moore"</f>
        <v>06 - B - 107 - Dorothy D Moore</v>
      </c>
      <c r="F15995" t="str">
        <f>"NC STUDY HALL 1"</f>
        <v>NC STUDY HALL 1</v>
      </c>
      <c r="G15995" t="str">
        <f>"08-803"</f>
        <v>08-803</v>
      </c>
      <c r="H15995" t="str">
        <f>"B"</f>
        <v>B</v>
      </c>
    </row>
    <row r="15996" spans="1:8" x14ac:dyDescent="0.2">
      <c r="A15996" t="str">
        <f t="shared" si="5800"/>
        <v>0616069140</v>
      </c>
      <c r="B15996" t="str">
        <f t="shared" si="5801"/>
        <v>BREON</v>
      </c>
      <c r="C15996" t="str">
        <f t="shared" si="5802"/>
        <v>SIMS</v>
      </c>
      <c r="D15996">
        <f>10</f>
        <v>10</v>
      </c>
      <c r="E15996" t="str">
        <f>"03 - A - 104 - Fernando  Vega-Cid"</f>
        <v>03 - A - 104 - Fernando  Vega-Cid</v>
      </c>
      <c r="F15996" t="str">
        <f>"GEOMETRY"</f>
        <v>GEOMETRY</v>
      </c>
      <c r="G15996" t="str">
        <f>"21-2163"</f>
        <v>21-2163</v>
      </c>
      <c r="H15996" t="str">
        <f>"A"</f>
        <v>A</v>
      </c>
    </row>
    <row r="15997" spans="1:8" x14ac:dyDescent="0.2">
      <c r="A15997" t="str">
        <f t="shared" si="5800"/>
        <v>0616069140</v>
      </c>
      <c r="B15997" t="str">
        <f t="shared" si="5801"/>
        <v>BREON</v>
      </c>
      <c r="C15997" t="str">
        <f t="shared" si="5802"/>
        <v>SIMS</v>
      </c>
      <c r="D15997">
        <f>10</f>
        <v>10</v>
      </c>
      <c r="E15997" t="str">
        <f>"02 - S1 - A - 101 - James H Mccann"</f>
        <v>02 - S1 - A - 101 - James H Mccann</v>
      </c>
      <c r="F15997" t="str">
        <f>"PERS FIN &amp; MON MGT H"</f>
        <v>PERS FIN &amp; MON MGT H</v>
      </c>
      <c r="G15997" t="str">
        <f>"17-1716"</f>
        <v>17-1716</v>
      </c>
      <c r="H15997" t="str">
        <f>"A"</f>
        <v>A</v>
      </c>
    </row>
    <row r="15998" spans="1:8" x14ac:dyDescent="0.2">
      <c r="A15998" t="str">
        <f t="shared" si="5800"/>
        <v>0616069140</v>
      </c>
      <c r="B15998" t="str">
        <f t="shared" si="5801"/>
        <v>BREON</v>
      </c>
      <c r="C15998" t="str">
        <f t="shared" si="5802"/>
        <v>SIMS</v>
      </c>
      <c r="D15998">
        <f>10</f>
        <v>10</v>
      </c>
      <c r="E15998" t="str">
        <f>"07 - B - 102 - Nikiel  Nesbeth"</f>
        <v>07 - B - 102 - Nikiel  Nesbeth</v>
      </c>
      <c r="F15998" t="str">
        <f>"PRE-AICE ENG LIT IG"</f>
        <v>PRE-AICE ENG LIT IG</v>
      </c>
      <c r="G15998" t="str">
        <f>"17-1705"</f>
        <v>17-1705</v>
      </c>
      <c r="H15998" t="str">
        <f>"B"</f>
        <v>B</v>
      </c>
    </row>
    <row r="15999" spans="1:8" x14ac:dyDescent="0.2">
      <c r="A15999" t="str">
        <f t="shared" si="5800"/>
        <v>0616069140</v>
      </c>
      <c r="B15999" t="str">
        <f t="shared" si="5801"/>
        <v>BREON</v>
      </c>
      <c r="C15999" t="str">
        <f t="shared" si="5802"/>
        <v>SIMS</v>
      </c>
      <c r="D15999">
        <f>10</f>
        <v>10</v>
      </c>
      <c r="E15999" t="str">
        <f>"05 - S1 - B - 103 - Leslie J Barton"</f>
        <v>05 - S1 - B - 103 - Leslie J Barton</v>
      </c>
      <c r="F15999" t="str">
        <f>"FIRST AID SAFETY"</f>
        <v>FIRST AID SAFETY</v>
      </c>
      <c r="G15999" t="str">
        <f>"05-521"</f>
        <v>05-521</v>
      </c>
      <c r="H15999" t="str">
        <f>"B"</f>
        <v>B</v>
      </c>
    </row>
    <row r="16000" spans="1:8" x14ac:dyDescent="0.2">
      <c r="A16000" t="str">
        <f t="shared" si="5800"/>
        <v>0616069140</v>
      </c>
      <c r="B16000" t="str">
        <f t="shared" si="5801"/>
        <v>BREON</v>
      </c>
      <c r="C16000" t="str">
        <f t="shared" si="5802"/>
        <v>SIMS</v>
      </c>
      <c r="D16000">
        <f>10</f>
        <v>10</v>
      </c>
      <c r="E16000" t="str">
        <f>"01 - A - 108 - Rosa Elaine  Collado-Duff"</f>
        <v>01 - A - 108 - Rosa Elaine  Collado-Duff</v>
      </c>
      <c r="F16000" t="str">
        <f>"PRE-AICE SPAN 2 IG"</f>
        <v>PRE-AICE SPAN 2 IG</v>
      </c>
      <c r="G16000" t="str">
        <f>"09-913"</f>
        <v>09-913</v>
      </c>
      <c r="H16000" t="str">
        <f>"A"</f>
        <v>A</v>
      </c>
    </row>
    <row r="16001" spans="1:8" x14ac:dyDescent="0.2">
      <c r="A16001" t="str">
        <f t="shared" si="5800"/>
        <v>0616069140</v>
      </c>
      <c r="B16001" t="str">
        <f t="shared" si="5801"/>
        <v>BREON</v>
      </c>
      <c r="C16001" t="str">
        <f t="shared" si="5802"/>
        <v>SIMS</v>
      </c>
      <c r="D16001">
        <f>10</f>
        <v>10</v>
      </c>
      <c r="E16001" t="str">
        <f>"08 - S1 - B - 105 - Richard E Dunbar Iii"</f>
        <v>08 - S1 - B - 105 - Richard E Dunbar Iii</v>
      </c>
      <c r="F16001" t="str">
        <f>"WEIGHT TRAIN 1"</f>
        <v>WEIGHT TRAIN 1</v>
      </c>
      <c r="G16001" t="str">
        <f>"05-501"</f>
        <v>05-501</v>
      </c>
      <c r="H16001" t="str">
        <f>"B"</f>
        <v>B</v>
      </c>
    </row>
    <row r="16002" spans="1:8" x14ac:dyDescent="0.2">
      <c r="A16002" t="str">
        <f t="shared" ref="A16002:A16009" si="5803">"0615131116"</f>
        <v>0615131116</v>
      </c>
      <c r="B16002" t="str">
        <f t="shared" ref="B16002:B16009" si="5804">"SANJANA"</f>
        <v>SANJANA</v>
      </c>
      <c r="C16002" t="str">
        <f t="shared" ref="C16002:C16009" si="5805">"SINGH"</f>
        <v>SINGH</v>
      </c>
      <c r="D16002">
        <f>10</f>
        <v>10</v>
      </c>
      <c r="E16002" t="str">
        <f>"04 - A - 203 - Cheryl L Beach"</f>
        <v>04 - A - 203 - Cheryl L Beach</v>
      </c>
      <c r="F16002" t="str">
        <f>"AICE ENV MGMNT AS"</f>
        <v>AICE ENV MGMNT AS</v>
      </c>
      <c r="G16002" t="str">
        <f>"08-811"</f>
        <v>08-811</v>
      </c>
      <c r="H16002" t="str">
        <f>"A"</f>
        <v>A</v>
      </c>
    </row>
    <row r="16003" spans="1:8" x14ac:dyDescent="0.2">
      <c r="A16003" t="str">
        <f t="shared" si="5803"/>
        <v>0615131116</v>
      </c>
      <c r="B16003" t="str">
        <f t="shared" si="5804"/>
        <v>SANJANA</v>
      </c>
      <c r="C16003" t="str">
        <f t="shared" si="5805"/>
        <v>SINGH</v>
      </c>
      <c r="D16003">
        <f>10</f>
        <v>10</v>
      </c>
      <c r="E16003" t="str">
        <f>"06 - B - 108 - Jacklyn M James"</f>
        <v>06 - B - 108 - Jacklyn M James</v>
      </c>
      <c r="F16003" t="str">
        <f>"NC STUDY HALL 1"</f>
        <v>NC STUDY HALL 1</v>
      </c>
      <c r="G16003" t="str">
        <f>"17-1731"</f>
        <v>17-1731</v>
      </c>
      <c r="H16003" t="str">
        <f>"B"</f>
        <v>B</v>
      </c>
    </row>
    <row r="16004" spans="1:8" x14ac:dyDescent="0.2">
      <c r="A16004" t="str">
        <f t="shared" si="5803"/>
        <v>0615131116</v>
      </c>
      <c r="B16004" t="str">
        <f t="shared" si="5804"/>
        <v>SANJANA</v>
      </c>
      <c r="C16004" t="str">
        <f t="shared" si="5805"/>
        <v>SINGH</v>
      </c>
      <c r="D16004">
        <f>10</f>
        <v>10</v>
      </c>
      <c r="E16004" t="str">
        <f>"03 - A - 103 - Adam Marcus  Drucker"</f>
        <v>03 - A - 103 - Adam Marcus  Drucker</v>
      </c>
      <c r="F16004" t="str">
        <f>"HOPE-PE V"</f>
        <v>HOPE-PE V</v>
      </c>
      <c r="G16004" t="str">
        <f>"04-254"</f>
        <v>04-254</v>
      </c>
      <c r="H16004" t="str">
        <f>"A"</f>
        <v>A</v>
      </c>
    </row>
    <row r="16005" spans="1:8" x14ac:dyDescent="0.2">
      <c r="A16005" t="str">
        <f t="shared" si="5803"/>
        <v>0615131116</v>
      </c>
      <c r="B16005" t="str">
        <f t="shared" si="5804"/>
        <v>SANJANA</v>
      </c>
      <c r="C16005" t="str">
        <f t="shared" si="5805"/>
        <v>SINGH</v>
      </c>
      <c r="D16005">
        <f>10</f>
        <v>10</v>
      </c>
      <c r="E16005" t="str">
        <f>"02 - A - 205 - Emmily A Sarmiento"</f>
        <v>02 - A - 205 - Emmily A Sarmiento</v>
      </c>
      <c r="F16005" t="str">
        <f>"AICE GLBL PERSP 1 AS"</f>
        <v>AICE GLBL PERSP 1 AS</v>
      </c>
      <c r="G16005" t="str">
        <f>"17-1743"</f>
        <v>17-1743</v>
      </c>
      <c r="H16005" t="str">
        <f>"A"</f>
        <v>A</v>
      </c>
    </row>
    <row r="16006" spans="1:8" x14ac:dyDescent="0.2">
      <c r="A16006" t="str">
        <f t="shared" si="5803"/>
        <v>0615131116</v>
      </c>
      <c r="B16006" t="str">
        <f t="shared" si="5804"/>
        <v>SANJANA</v>
      </c>
      <c r="C16006" t="str">
        <f t="shared" si="5805"/>
        <v>SINGH</v>
      </c>
      <c r="D16006">
        <f>10</f>
        <v>10</v>
      </c>
      <c r="E16006" t="str">
        <f>"07 - B - 107 - Rosa Elaine  Collado-Duff"</f>
        <v>07 - B - 107 - Rosa Elaine  Collado-Duff</v>
      </c>
      <c r="F16006" t="str">
        <f>"PRE-AICE SPAN 2 IG"</f>
        <v>PRE-AICE SPAN 2 IG</v>
      </c>
      <c r="G16006" t="str">
        <f>"09-913"</f>
        <v>09-913</v>
      </c>
      <c r="H16006" t="str">
        <f>"B"</f>
        <v>B</v>
      </c>
    </row>
    <row r="16007" spans="1:8" x14ac:dyDescent="0.2">
      <c r="A16007" t="str">
        <f t="shared" si="5803"/>
        <v>0615131116</v>
      </c>
      <c r="B16007" t="str">
        <f t="shared" si="5804"/>
        <v>SANJANA</v>
      </c>
      <c r="C16007" t="str">
        <f t="shared" si="5805"/>
        <v>SINGH</v>
      </c>
      <c r="D16007">
        <f>10</f>
        <v>10</v>
      </c>
      <c r="E16007" t="str">
        <f>"05 - B - 103 - Brook E Goren"</f>
        <v>05 - B - 103 - Brook E Goren</v>
      </c>
      <c r="F16007" t="str">
        <f>"PRE-AICE MATH 2 IG"</f>
        <v>PRE-AICE MATH 2 IG</v>
      </c>
      <c r="G16007" t="str">
        <f>"21-2158"</f>
        <v>21-2158</v>
      </c>
      <c r="H16007" t="str">
        <f>"B"</f>
        <v>B</v>
      </c>
    </row>
    <row r="16008" spans="1:8" x14ac:dyDescent="0.2">
      <c r="A16008" t="str">
        <f t="shared" si="5803"/>
        <v>0615131116</v>
      </c>
      <c r="B16008" t="str">
        <f t="shared" si="5804"/>
        <v>SANJANA</v>
      </c>
      <c r="C16008" t="str">
        <f t="shared" si="5805"/>
        <v>SINGH</v>
      </c>
      <c r="D16008">
        <f>10</f>
        <v>10</v>
      </c>
      <c r="E16008" t="str">
        <f>"01 - A - 101 - Jacquelyn M Neeson"</f>
        <v>01 - A - 101 - Jacquelyn M Neeson</v>
      </c>
      <c r="F16008" t="str">
        <f>"AICE ENG GEN PAPER 1"</f>
        <v>AICE ENG GEN PAPER 1</v>
      </c>
      <c r="G16008" t="str">
        <f>"17-1715"</f>
        <v>17-1715</v>
      </c>
      <c r="H16008" t="str">
        <f>"A"</f>
        <v>A</v>
      </c>
    </row>
    <row r="16009" spans="1:8" x14ac:dyDescent="0.2">
      <c r="A16009" t="str">
        <f t="shared" si="5803"/>
        <v>0615131116</v>
      </c>
      <c r="B16009" t="str">
        <f t="shared" si="5804"/>
        <v>SANJANA</v>
      </c>
      <c r="C16009" t="str">
        <f t="shared" si="5805"/>
        <v>SINGH</v>
      </c>
      <c r="D16009">
        <f>10</f>
        <v>10</v>
      </c>
      <c r="E16009" t="str">
        <f>"08 - S1 - B - 105 - James H Mccann"</f>
        <v>08 - S1 - B - 105 - James H Mccann</v>
      </c>
      <c r="F16009" t="str">
        <f>"PERS FIN &amp; MON MGT H"</f>
        <v>PERS FIN &amp; MON MGT H</v>
      </c>
      <c r="G16009" t="str">
        <f>"17-1716"</f>
        <v>17-1716</v>
      </c>
      <c r="H16009" t="str">
        <f>"B"</f>
        <v>B</v>
      </c>
    </row>
    <row r="16010" spans="1:8" x14ac:dyDescent="0.2">
      <c r="A16010" t="str">
        <f t="shared" ref="A16010:A16019" si="5806">"0613111538"</f>
        <v>0613111538</v>
      </c>
      <c r="B16010" t="str">
        <f t="shared" ref="B16010:B16019" si="5807">"LILAH"</f>
        <v>LILAH</v>
      </c>
      <c r="C16010" t="str">
        <f t="shared" ref="C16010:C16019" si="5808">"SIRVAN"</f>
        <v>SIRVAN</v>
      </c>
      <c r="D16010">
        <f>12</f>
        <v>12</v>
      </c>
      <c r="E16010" t="str">
        <f>"19 - S1 - MTWHF - UF - Instructor UF"</f>
        <v>19 - S1 - MTWHF - UF - Instructor UF</v>
      </c>
      <c r="F16010" t="str">
        <f>"INTRO TO CHEMISTRY"</f>
        <v>INTRO TO CHEMISTRY</v>
      </c>
      <c r="G16010" t="str">
        <f>"60-DE"</f>
        <v>60-DE</v>
      </c>
      <c r="H16010" t="str">
        <f>"-"</f>
        <v>-</v>
      </c>
    </row>
    <row r="16011" spans="1:8" x14ac:dyDescent="0.2">
      <c r="A16011" t="str">
        <f t="shared" si="5806"/>
        <v>0613111538</v>
      </c>
      <c r="B16011" t="str">
        <f t="shared" si="5807"/>
        <v>LILAH</v>
      </c>
      <c r="C16011" t="str">
        <f t="shared" si="5808"/>
        <v>SIRVAN</v>
      </c>
      <c r="D16011">
        <f>12</f>
        <v>12</v>
      </c>
      <c r="E16011" t="str">
        <f>"19 - S1 - MTWHF - UF - Instructor UF"</f>
        <v>19 - S1 - MTWHF - UF - Instructor UF</v>
      </c>
      <c r="F16011" t="str">
        <f>"INTRO TO ENGINEER"</f>
        <v>INTRO TO ENGINEER</v>
      </c>
      <c r="G16011" t="str">
        <f>"60-DE"</f>
        <v>60-DE</v>
      </c>
      <c r="H16011" t="str">
        <f>"-"</f>
        <v>-</v>
      </c>
    </row>
    <row r="16012" spans="1:8" x14ac:dyDescent="0.2">
      <c r="A16012" t="str">
        <f t="shared" si="5806"/>
        <v>0613111538</v>
      </c>
      <c r="B16012" t="str">
        <f t="shared" si="5807"/>
        <v>LILAH</v>
      </c>
      <c r="C16012" t="str">
        <f t="shared" si="5808"/>
        <v>SIRVAN</v>
      </c>
      <c r="D16012">
        <f>12</f>
        <v>12</v>
      </c>
      <c r="E16012" t="str">
        <f>"04 - A - 101 - Alejandro  Navarro"</f>
        <v>04 - A - 101 - Alejandro  Navarro</v>
      </c>
      <c r="F16012" t="str">
        <f>"BAND 6 HON"</f>
        <v>BAND 6 HON</v>
      </c>
      <c r="G16012" t="str">
        <f>"05-504"</f>
        <v>05-504</v>
      </c>
      <c r="H16012" t="str">
        <f>"A"</f>
        <v>A</v>
      </c>
    </row>
    <row r="16013" spans="1:8" x14ac:dyDescent="0.2">
      <c r="A16013" t="str">
        <f t="shared" si="5806"/>
        <v>0613111538</v>
      </c>
      <c r="B16013" t="str">
        <f t="shared" si="5807"/>
        <v>LILAH</v>
      </c>
      <c r="C16013" t="str">
        <f t="shared" si="5808"/>
        <v>SIRVAN</v>
      </c>
      <c r="D16013">
        <f>12</f>
        <v>12</v>
      </c>
      <c r="E16013" t="str">
        <f>"06 - B - 102 - Ferrie J Arostique"</f>
        <v>06 - B - 102 - Ferrie J Arostique</v>
      </c>
      <c r="F16013" t="str">
        <f>"NC STUDY HALL 1"</f>
        <v>NC STUDY HALL 1</v>
      </c>
      <c r="G16013" t="str">
        <f>"21-2139"</f>
        <v>21-2139</v>
      </c>
      <c r="H16013" t="str">
        <f>"B"</f>
        <v>B</v>
      </c>
    </row>
    <row r="16014" spans="1:8" x14ac:dyDescent="0.2">
      <c r="A16014" t="str">
        <f t="shared" si="5806"/>
        <v>0613111538</v>
      </c>
      <c r="B16014" t="str">
        <f t="shared" si="5807"/>
        <v>LILAH</v>
      </c>
      <c r="C16014" t="str">
        <f t="shared" si="5808"/>
        <v>SIRVAN</v>
      </c>
      <c r="D16014">
        <f>12</f>
        <v>12</v>
      </c>
      <c r="E16014" t="str">
        <f>"03 - A - 101 - Scott A Dethloff"</f>
        <v>03 - A - 101 - Scott A Dethloff</v>
      </c>
      <c r="F16014" t="str">
        <f>"CHEMISTRY 1 HON"</f>
        <v>CHEMISTRY 1 HON</v>
      </c>
      <c r="G16014" t="str">
        <f>"08-812"</f>
        <v>08-812</v>
      </c>
      <c r="H16014" t="str">
        <f>"A"</f>
        <v>A</v>
      </c>
    </row>
    <row r="16015" spans="1:8" x14ac:dyDescent="0.2">
      <c r="A16015" t="str">
        <f t="shared" si="5806"/>
        <v>0613111538</v>
      </c>
      <c r="B16015" t="str">
        <f t="shared" si="5807"/>
        <v>LILAH</v>
      </c>
      <c r="C16015" t="str">
        <f t="shared" si="5808"/>
        <v>SIRVAN</v>
      </c>
      <c r="D16015">
        <f>12</f>
        <v>12</v>
      </c>
      <c r="E16015" t="str">
        <f>"02 - A - 201 - Jeanne M Bermudez"</f>
        <v>02 - A - 201 - Jeanne M Bermudez</v>
      </c>
      <c r="F16015" t="str">
        <f>"AP ENV SCI"</f>
        <v>AP ENV SCI</v>
      </c>
      <c r="G16015" t="str">
        <f>"21-2141"</f>
        <v>21-2141</v>
      </c>
      <c r="H16015" t="str">
        <f>"A"</f>
        <v>A</v>
      </c>
    </row>
    <row r="16016" spans="1:8" x14ac:dyDescent="0.2">
      <c r="A16016" t="str">
        <f t="shared" si="5806"/>
        <v>0613111538</v>
      </c>
      <c r="B16016" t="str">
        <f t="shared" si="5807"/>
        <v>LILAH</v>
      </c>
      <c r="C16016" t="str">
        <f t="shared" si="5808"/>
        <v>SIRVAN</v>
      </c>
      <c r="D16016">
        <f>12</f>
        <v>12</v>
      </c>
      <c r="E16016" t="str">
        <f>"07 - B - 102 - Courtney E Hambright"</f>
        <v>07 - B - 102 - Courtney E Hambright</v>
      </c>
      <c r="F16016" t="str">
        <f>"AP ENG LIT COMPO"</f>
        <v>AP ENG LIT COMPO</v>
      </c>
      <c r="G16016" t="str">
        <f>"17-1711"</f>
        <v>17-1711</v>
      </c>
      <c r="H16016" t="str">
        <f>"B"</f>
        <v>B</v>
      </c>
    </row>
    <row r="16017" spans="1:8" x14ac:dyDescent="0.2">
      <c r="A16017" t="str">
        <f t="shared" si="5806"/>
        <v>0613111538</v>
      </c>
      <c r="B16017" t="str">
        <f t="shared" si="5807"/>
        <v>LILAH</v>
      </c>
      <c r="C16017" t="str">
        <f t="shared" si="5808"/>
        <v>SIRVAN</v>
      </c>
      <c r="D16017">
        <f>12</f>
        <v>12</v>
      </c>
      <c r="E16017" t="str">
        <f>"05 - B - 101 - Jordana K Hass"</f>
        <v>05 - B - 101 - Jordana K Hass</v>
      </c>
      <c r="F16017" t="str">
        <f>"AP COMP SCI PRIN"</f>
        <v>AP COMP SCI PRIN</v>
      </c>
      <c r="G16017" t="str">
        <f>"08-807"</f>
        <v>08-807</v>
      </c>
      <c r="H16017" t="str">
        <f>"B"</f>
        <v>B</v>
      </c>
    </row>
    <row r="16018" spans="1:8" x14ac:dyDescent="0.2">
      <c r="A16018" t="str">
        <f t="shared" si="5806"/>
        <v>0613111538</v>
      </c>
      <c r="B16018" t="str">
        <f t="shared" si="5807"/>
        <v>LILAH</v>
      </c>
      <c r="C16018" t="str">
        <f t="shared" si="5808"/>
        <v>SIRVAN</v>
      </c>
      <c r="D16018">
        <f>12</f>
        <v>12</v>
      </c>
      <c r="E16018" t="str">
        <f>"01 - A - 201 - Pamela M Corzo"</f>
        <v>01 - A - 201 - Pamela M Corzo</v>
      </c>
      <c r="F16018" t="str">
        <f>"AP CALCULUS BC"</f>
        <v>AP CALCULUS BC</v>
      </c>
      <c r="G16018" t="str">
        <f>"21-2133"</f>
        <v>21-2133</v>
      </c>
      <c r="H16018" t="str">
        <f>"A"</f>
        <v>A</v>
      </c>
    </row>
    <row r="16019" spans="1:8" x14ac:dyDescent="0.2">
      <c r="A16019" t="str">
        <f t="shared" si="5806"/>
        <v>0613111538</v>
      </c>
      <c r="B16019" t="str">
        <f t="shared" si="5807"/>
        <v>LILAH</v>
      </c>
      <c r="C16019" t="str">
        <f t="shared" si="5808"/>
        <v>SIRVAN</v>
      </c>
      <c r="D16019">
        <f>12</f>
        <v>12</v>
      </c>
      <c r="E16019" t="str">
        <f>"08 - S1 - B - 102 - Stephen T Ripp"</f>
        <v>08 - S1 - B - 102 - Stephen T Ripp</v>
      </c>
      <c r="F16019" t="str">
        <f>"AP US GOVT/POL"</f>
        <v>AP US GOVT/POL</v>
      </c>
      <c r="G16019" t="str">
        <f>"17-1744"</f>
        <v>17-1744</v>
      </c>
      <c r="H16019" t="str">
        <f>"B"</f>
        <v>B</v>
      </c>
    </row>
    <row r="16020" spans="1:8" x14ac:dyDescent="0.2">
      <c r="A16020" t="str">
        <f t="shared" ref="A16020:A16027" si="5809">"0616055433"</f>
        <v>0616055433</v>
      </c>
      <c r="B16020" t="str">
        <f t="shared" ref="B16020:B16027" si="5810">"BRAYLIN"</f>
        <v>BRAYLIN</v>
      </c>
      <c r="C16020" t="str">
        <f t="shared" ref="C16020:C16027" si="5811">"SLACK"</f>
        <v>SLACK</v>
      </c>
      <c r="D16020" t="str">
        <f t="shared" ref="D16020:D16027" si="5812">"09"</f>
        <v>09</v>
      </c>
      <c r="E16020" t="str">
        <f>"04 - A - 107 - Amy Beth  Broyles"</f>
        <v>04 - A - 107 - Amy Beth  Broyles</v>
      </c>
      <c r="F16020" t="str">
        <f>"ENV SCI"</f>
        <v>ENV SCI</v>
      </c>
      <c r="G16020" t="str">
        <f>"08-802"</f>
        <v>08-802</v>
      </c>
      <c r="H16020" t="str">
        <f>"A"</f>
        <v>A</v>
      </c>
    </row>
    <row r="16021" spans="1:8" x14ac:dyDescent="0.2">
      <c r="A16021" t="str">
        <f t="shared" si="5809"/>
        <v>0616055433</v>
      </c>
      <c r="B16021" t="str">
        <f t="shared" si="5810"/>
        <v>BRAYLIN</v>
      </c>
      <c r="C16021" t="str">
        <f t="shared" si="5811"/>
        <v>SLACK</v>
      </c>
      <c r="D16021" t="str">
        <f t="shared" si="5812"/>
        <v>09</v>
      </c>
      <c r="E16021" t="str">
        <f>"06 - B - 202 - Alejandro  Navarro"</f>
        <v>06 - B - 202 - Alejandro  Navarro</v>
      </c>
      <c r="F16021" t="str">
        <f>"BAND 1"</f>
        <v>BAND 1</v>
      </c>
      <c r="G16021" t="str">
        <f>"05-504"</f>
        <v>05-504</v>
      </c>
      <c r="H16021" t="str">
        <f>"B"</f>
        <v>B</v>
      </c>
    </row>
    <row r="16022" spans="1:8" x14ac:dyDescent="0.2">
      <c r="A16022" t="str">
        <f t="shared" si="5809"/>
        <v>0616055433</v>
      </c>
      <c r="B16022" t="str">
        <f t="shared" si="5810"/>
        <v>BRAYLIN</v>
      </c>
      <c r="C16022" t="str">
        <f t="shared" si="5811"/>
        <v>SLACK</v>
      </c>
      <c r="D16022" t="str">
        <f t="shared" si="5812"/>
        <v>09</v>
      </c>
      <c r="E16022" t="str">
        <f>"03 - A - 101 - Helen A Flores"</f>
        <v>03 - A - 101 - Helen A Flores</v>
      </c>
      <c r="F16022" t="str">
        <f>"PRE-AICE MATH 1 IG"</f>
        <v>PRE-AICE MATH 1 IG</v>
      </c>
      <c r="G16022" t="str">
        <f>"21-2101"</f>
        <v>21-2101</v>
      </c>
      <c r="H16022" t="str">
        <f>"A"</f>
        <v>A</v>
      </c>
    </row>
    <row r="16023" spans="1:8" x14ac:dyDescent="0.2">
      <c r="A16023" t="str">
        <f t="shared" si="5809"/>
        <v>0616055433</v>
      </c>
      <c r="B16023" t="str">
        <f t="shared" si="5810"/>
        <v>BRAYLIN</v>
      </c>
      <c r="C16023" t="str">
        <f t="shared" si="5811"/>
        <v>SLACK</v>
      </c>
      <c r="D16023" t="str">
        <f t="shared" si="5812"/>
        <v>09</v>
      </c>
      <c r="E16023" t="str">
        <f>"02 - A - 105 - Elizabeth R Walker"</f>
        <v>02 - A - 105 - Elizabeth R Walker</v>
      </c>
      <c r="F16023" t="str">
        <f>"NC STUDY HALL 1"</f>
        <v>NC STUDY HALL 1</v>
      </c>
      <c r="G16023" t="str">
        <f>"17-1703"</f>
        <v>17-1703</v>
      </c>
      <c r="H16023" t="str">
        <f>"A"</f>
        <v>A</v>
      </c>
    </row>
    <row r="16024" spans="1:8" x14ac:dyDescent="0.2">
      <c r="A16024" t="str">
        <f t="shared" si="5809"/>
        <v>0616055433</v>
      </c>
      <c r="B16024" t="str">
        <f t="shared" si="5810"/>
        <v>BRAYLIN</v>
      </c>
      <c r="C16024" t="str">
        <f t="shared" si="5811"/>
        <v>SLACK</v>
      </c>
      <c r="D16024" t="str">
        <f t="shared" si="5812"/>
        <v>09</v>
      </c>
      <c r="E16024" t="str">
        <f>"07 - B - 107 - Cerine S Stewart"</f>
        <v>07 - B - 107 - Cerine S Stewart</v>
      </c>
      <c r="F16024" t="str">
        <f>"ENG 1"</f>
        <v>ENG 1</v>
      </c>
      <c r="G16024" t="str">
        <f>"17-1720"</f>
        <v>17-1720</v>
      </c>
      <c r="H16024" t="str">
        <f>"B"</f>
        <v>B</v>
      </c>
    </row>
    <row r="16025" spans="1:8" x14ac:dyDescent="0.2">
      <c r="A16025" t="str">
        <f t="shared" si="5809"/>
        <v>0616055433</v>
      </c>
      <c r="B16025" t="str">
        <f t="shared" si="5810"/>
        <v>BRAYLIN</v>
      </c>
      <c r="C16025" t="str">
        <f t="shared" si="5811"/>
        <v>SLACK</v>
      </c>
      <c r="D16025" t="str">
        <f t="shared" si="5812"/>
        <v>09</v>
      </c>
      <c r="E16025" t="str">
        <f>"05 - B - 001 - Laselleda D Shaw"</f>
        <v>05 - B - 001 - Laselleda D Shaw</v>
      </c>
      <c r="F16025" t="str">
        <f>"INTENS READ 1"</f>
        <v>INTENS READ 1</v>
      </c>
      <c r="G16025" t="str">
        <f>"17-1723"</f>
        <v>17-1723</v>
      </c>
      <c r="H16025" t="str">
        <f>"B"</f>
        <v>B</v>
      </c>
    </row>
    <row r="16026" spans="1:8" x14ac:dyDescent="0.2">
      <c r="A16026" t="str">
        <f t="shared" si="5809"/>
        <v>0616055433</v>
      </c>
      <c r="B16026" t="str">
        <f t="shared" si="5810"/>
        <v>BRAYLIN</v>
      </c>
      <c r="C16026" t="str">
        <f t="shared" si="5811"/>
        <v>SLACK</v>
      </c>
      <c r="D16026" t="str">
        <f t="shared" si="5812"/>
        <v>09</v>
      </c>
      <c r="E16026" t="str">
        <f>"01 - A - 101 - Adam Marcus  Drucker"</f>
        <v>01 - A - 101 - Adam Marcus  Drucker</v>
      </c>
      <c r="F16026" t="str">
        <f>"HOPE-PE V"</f>
        <v>HOPE-PE V</v>
      </c>
      <c r="G16026" t="str">
        <f>"04-254"</f>
        <v>04-254</v>
      </c>
      <c r="H16026" t="str">
        <f>"A"</f>
        <v>A</v>
      </c>
    </row>
    <row r="16027" spans="1:8" x14ac:dyDescent="0.2">
      <c r="A16027" t="str">
        <f t="shared" si="5809"/>
        <v>0616055433</v>
      </c>
      <c r="B16027" t="str">
        <f t="shared" si="5810"/>
        <v>BRAYLIN</v>
      </c>
      <c r="C16027" t="str">
        <f t="shared" si="5811"/>
        <v>SLACK</v>
      </c>
      <c r="D16027" t="str">
        <f t="shared" si="5812"/>
        <v>09</v>
      </c>
      <c r="E16027" t="str">
        <f>"08 - B - 101 - Elizabeth Ellen  Moran"</f>
        <v>08 - B - 101 - Elizabeth Ellen  Moran</v>
      </c>
      <c r="F16027" t="str">
        <f>"WORLD HISTORY"</f>
        <v>WORLD HISTORY</v>
      </c>
      <c r="G16027" t="str">
        <f>"17-1752"</f>
        <v>17-1752</v>
      </c>
      <c r="H16027" t="str">
        <f>"B"</f>
        <v>B</v>
      </c>
    </row>
    <row r="16028" spans="1:8" x14ac:dyDescent="0.2">
      <c r="A16028" t="str">
        <f t="shared" ref="A16028:A16035" si="5813">"0615133660"</f>
        <v>0615133660</v>
      </c>
      <c r="B16028" t="str">
        <f t="shared" ref="B16028:B16035" si="5814">"KAILEE"</f>
        <v>KAILEE</v>
      </c>
      <c r="C16028" t="str">
        <f t="shared" ref="C16028:C16035" si="5815">"SLATER"</f>
        <v>SLATER</v>
      </c>
      <c r="D16028">
        <f>10</f>
        <v>10</v>
      </c>
      <c r="E16028" t="str">
        <f>"04 - A - 203 - Cheryl L Beach"</f>
        <v>04 - A - 203 - Cheryl L Beach</v>
      </c>
      <c r="F16028" t="str">
        <f>"AICE ENV MGMNT AS"</f>
        <v>AICE ENV MGMNT AS</v>
      </c>
      <c r="G16028" t="str">
        <f>"08-811"</f>
        <v>08-811</v>
      </c>
      <c r="H16028" t="str">
        <f>"A"</f>
        <v>A</v>
      </c>
    </row>
    <row r="16029" spans="1:8" x14ac:dyDescent="0.2">
      <c r="A16029" t="str">
        <f t="shared" si="5813"/>
        <v>0615133660</v>
      </c>
      <c r="B16029" t="str">
        <f t="shared" si="5814"/>
        <v>KAILEE</v>
      </c>
      <c r="C16029" t="str">
        <f t="shared" si="5815"/>
        <v>SLATER</v>
      </c>
      <c r="D16029">
        <f>10</f>
        <v>10</v>
      </c>
      <c r="E16029" t="str">
        <f>"06 - B - 115 - Scott A Dethloff"</f>
        <v>06 - B - 115 - Scott A Dethloff</v>
      </c>
      <c r="F16029" t="str">
        <f>"NC STUDY HALL 1"</f>
        <v>NC STUDY HALL 1</v>
      </c>
      <c r="G16029" t="str">
        <f>"08-812"</f>
        <v>08-812</v>
      </c>
      <c r="H16029" t="str">
        <f>"B"</f>
        <v>B</v>
      </c>
    </row>
    <row r="16030" spans="1:8" x14ac:dyDescent="0.2">
      <c r="A16030" t="str">
        <f t="shared" si="5813"/>
        <v>0615133660</v>
      </c>
      <c r="B16030" t="str">
        <f t="shared" si="5814"/>
        <v>KAILEE</v>
      </c>
      <c r="C16030" t="str">
        <f t="shared" si="5815"/>
        <v>SLATER</v>
      </c>
      <c r="D16030">
        <f>10</f>
        <v>10</v>
      </c>
      <c r="E16030" t="str">
        <f>"03 - A - 101 - Samantha L Martinez"</f>
        <v>03 - A - 101 - Samantha L Martinez</v>
      </c>
      <c r="F16030" t="str">
        <f>"VOCAL ENS 1"</f>
        <v>VOCAL ENS 1</v>
      </c>
      <c r="G16030" t="str">
        <f>"05-505"</f>
        <v>05-505</v>
      </c>
      <c r="H16030" t="str">
        <f>"A"</f>
        <v>A</v>
      </c>
    </row>
    <row r="16031" spans="1:8" x14ac:dyDescent="0.2">
      <c r="A16031" t="str">
        <f t="shared" si="5813"/>
        <v>0615133660</v>
      </c>
      <c r="B16031" t="str">
        <f t="shared" si="5814"/>
        <v>KAILEE</v>
      </c>
      <c r="C16031" t="str">
        <f t="shared" si="5815"/>
        <v>SLATER</v>
      </c>
      <c r="D16031">
        <f>10</f>
        <v>10</v>
      </c>
      <c r="E16031" t="str">
        <f>"02 - A - 205 - Emmily A Sarmiento"</f>
        <v>02 - A - 205 - Emmily A Sarmiento</v>
      </c>
      <c r="F16031" t="str">
        <f>"AICE GLBL PERSP 1 AS"</f>
        <v>AICE GLBL PERSP 1 AS</v>
      </c>
      <c r="G16031" t="str">
        <f>"17-1743"</f>
        <v>17-1743</v>
      </c>
      <c r="H16031" t="str">
        <f>"A"</f>
        <v>A</v>
      </c>
    </row>
    <row r="16032" spans="1:8" x14ac:dyDescent="0.2">
      <c r="A16032" t="str">
        <f t="shared" si="5813"/>
        <v>0615133660</v>
      </c>
      <c r="B16032" t="str">
        <f t="shared" si="5814"/>
        <v>KAILEE</v>
      </c>
      <c r="C16032" t="str">
        <f t="shared" si="5815"/>
        <v>SLATER</v>
      </c>
      <c r="D16032">
        <f>10</f>
        <v>10</v>
      </c>
      <c r="E16032" t="str">
        <f>"07 - B - 107 - Brook E Goren"</f>
        <v>07 - B - 107 - Brook E Goren</v>
      </c>
      <c r="F16032" t="str">
        <f>"PRE-AICE MATH 2 IG"</f>
        <v>PRE-AICE MATH 2 IG</v>
      </c>
      <c r="G16032" t="str">
        <f>"21-2158"</f>
        <v>21-2158</v>
      </c>
      <c r="H16032" t="str">
        <f>"B"</f>
        <v>B</v>
      </c>
    </row>
    <row r="16033" spans="1:8" x14ac:dyDescent="0.2">
      <c r="A16033" t="str">
        <f t="shared" si="5813"/>
        <v>0615133660</v>
      </c>
      <c r="B16033" t="str">
        <f t="shared" si="5814"/>
        <v>KAILEE</v>
      </c>
      <c r="C16033" t="str">
        <f t="shared" si="5815"/>
        <v>SLATER</v>
      </c>
      <c r="D16033">
        <f>10</f>
        <v>10</v>
      </c>
      <c r="E16033" t="str">
        <f>"05 - S1 - B - 102 - Lissa C Frederique"</f>
        <v>05 - S1 - B - 102 - Lissa C Frederique</v>
      </c>
      <c r="F16033" t="str">
        <f>"PERS FIN &amp; MON MGT H"</f>
        <v>PERS FIN &amp; MON MGT H</v>
      </c>
      <c r="G16033" t="str">
        <f>"17-1754"</f>
        <v>17-1754</v>
      </c>
      <c r="H16033" t="str">
        <f>"B"</f>
        <v>B</v>
      </c>
    </row>
    <row r="16034" spans="1:8" x14ac:dyDescent="0.2">
      <c r="A16034" t="str">
        <f t="shared" si="5813"/>
        <v>0615133660</v>
      </c>
      <c r="B16034" t="str">
        <f t="shared" si="5814"/>
        <v>KAILEE</v>
      </c>
      <c r="C16034" t="str">
        <f t="shared" si="5815"/>
        <v>SLATER</v>
      </c>
      <c r="D16034">
        <f>10</f>
        <v>10</v>
      </c>
      <c r="E16034" t="str">
        <f>"01 - A - 101 - Marius D Orsolini"</f>
        <v>01 - A - 101 - Marius D Orsolini</v>
      </c>
      <c r="F16034" t="str">
        <f>"CULINARY ARTS 1"</f>
        <v>CULINARY ARTS 1</v>
      </c>
      <c r="G16034" t="str">
        <f>"21-2115"</f>
        <v>21-2115</v>
      </c>
      <c r="H16034" t="str">
        <f>"A"</f>
        <v>A</v>
      </c>
    </row>
    <row r="16035" spans="1:8" x14ac:dyDescent="0.2">
      <c r="A16035" t="str">
        <f t="shared" si="5813"/>
        <v>0615133660</v>
      </c>
      <c r="B16035" t="str">
        <f t="shared" si="5814"/>
        <v>KAILEE</v>
      </c>
      <c r="C16035" t="str">
        <f t="shared" si="5815"/>
        <v>SLATER</v>
      </c>
      <c r="D16035">
        <f>10</f>
        <v>10</v>
      </c>
      <c r="E16035" t="str">
        <f>"08 - B - 001 - Jacklyn M James"</f>
        <v>08 - B - 001 - Jacklyn M James</v>
      </c>
      <c r="F16035" t="str">
        <f>"AICE ENG LANG AS"</f>
        <v>AICE ENG LANG AS</v>
      </c>
      <c r="G16035" t="str">
        <f>"17-1731"</f>
        <v>17-1731</v>
      </c>
      <c r="H16035" t="str">
        <f>"B"</f>
        <v>B</v>
      </c>
    </row>
    <row r="16036" spans="1:8" x14ac:dyDescent="0.2">
      <c r="A16036" t="str">
        <f t="shared" ref="A16036:A16043" si="5816">"0616138424"</f>
        <v>0616138424</v>
      </c>
      <c r="B16036" t="str">
        <f t="shared" ref="B16036:B16043" si="5817">"ETHAN"</f>
        <v>ETHAN</v>
      </c>
      <c r="C16036" t="str">
        <f t="shared" ref="C16036:C16051" si="5818">"SLAVESCU"</f>
        <v>SLAVESCU</v>
      </c>
      <c r="D16036" t="str">
        <f t="shared" ref="D16036:D16051" si="5819">"09"</f>
        <v>09</v>
      </c>
      <c r="E16036" t="str">
        <f>"04 - A - 106 - Ferrie J Arostique"</f>
        <v>04 - A - 106 - Ferrie J Arostique</v>
      </c>
      <c r="F16036" t="str">
        <f>"PRE-AICE MATH 2 IG"</f>
        <v>PRE-AICE MATH 2 IG</v>
      </c>
      <c r="G16036" t="str">
        <f>"21-2139"</f>
        <v>21-2139</v>
      </c>
      <c r="H16036" t="str">
        <f>"A"</f>
        <v>A</v>
      </c>
    </row>
    <row r="16037" spans="1:8" x14ac:dyDescent="0.2">
      <c r="A16037" t="str">
        <f t="shared" si="5816"/>
        <v>0616138424</v>
      </c>
      <c r="B16037" t="str">
        <f t="shared" si="5817"/>
        <v>ETHAN</v>
      </c>
      <c r="C16037" t="str">
        <f t="shared" si="5818"/>
        <v>SLAVESCU</v>
      </c>
      <c r="D16037" t="str">
        <f t="shared" si="5819"/>
        <v>09</v>
      </c>
      <c r="E16037" t="str">
        <f>"06 - S1 - B - 102 - Daniel S Katz"</f>
        <v>06 - S1 - B - 102 - Daniel S Katz</v>
      </c>
      <c r="F16037" t="str">
        <f>"COURT PROCED"</f>
        <v>COURT PROCED</v>
      </c>
      <c r="G16037" t="str">
        <f>"21-2156"</f>
        <v>21-2156</v>
      </c>
      <c r="H16037" t="str">
        <f>"B"</f>
        <v>B</v>
      </c>
    </row>
    <row r="16038" spans="1:8" x14ac:dyDescent="0.2">
      <c r="A16038" t="str">
        <f t="shared" si="5816"/>
        <v>0616138424</v>
      </c>
      <c r="B16038" t="str">
        <f t="shared" si="5817"/>
        <v>ETHAN</v>
      </c>
      <c r="C16038" t="str">
        <f t="shared" si="5818"/>
        <v>SLAVESCU</v>
      </c>
      <c r="D16038" t="str">
        <f t="shared" si="5819"/>
        <v>09</v>
      </c>
      <c r="E16038" t="str">
        <f>"03 - A - 101 - Eva T Rimmer"</f>
        <v>03 - A - 101 - Eva T Rimmer</v>
      </c>
      <c r="F16038" t="str">
        <f>"CRIMINAL JUST OPS 1"</f>
        <v>CRIMINAL JUST OPS 1</v>
      </c>
      <c r="G16038" t="str">
        <f>"05-523"</f>
        <v>05-523</v>
      </c>
      <c r="H16038" t="str">
        <f>"A"</f>
        <v>A</v>
      </c>
    </row>
    <row r="16039" spans="1:8" x14ac:dyDescent="0.2">
      <c r="A16039" t="str">
        <f t="shared" si="5816"/>
        <v>0616138424</v>
      </c>
      <c r="B16039" t="str">
        <f t="shared" si="5817"/>
        <v>ETHAN</v>
      </c>
      <c r="C16039" t="str">
        <f t="shared" si="5818"/>
        <v>SLAVESCU</v>
      </c>
      <c r="D16039" t="str">
        <f t="shared" si="5819"/>
        <v>09</v>
      </c>
      <c r="E16039" t="str">
        <f>"02 - A - 101 - Josiah I Lacy"</f>
        <v>02 - A - 101 - Josiah I Lacy</v>
      </c>
      <c r="F16039" t="str">
        <f>"NC STUDY HALL 1"</f>
        <v>NC STUDY HALL 1</v>
      </c>
      <c r="G16039" t="str">
        <f>"08-801"</f>
        <v>08-801</v>
      </c>
      <c r="H16039" t="str">
        <f>"A"</f>
        <v>A</v>
      </c>
    </row>
    <row r="16040" spans="1:8" x14ac:dyDescent="0.2">
      <c r="A16040" t="str">
        <f t="shared" si="5816"/>
        <v>0616138424</v>
      </c>
      <c r="B16040" t="str">
        <f t="shared" si="5817"/>
        <v>ETHAN</v>
      </c>
      <c r="C16040" t="str">
        <f t="shared" si="5818"/>
        <v>SLAVESCU</v>
      </c>
      <c r="D16040" t="str">
        <f t="shared" si="5819"/>
        <v>09</v>
      </c>
      <c r="E16040" t="str">
        <f>"07 - B - 104 - Lissa C Frederique"</f>
        <v>07 - B - 104 - Lissa C Frederique</v>
      </c>
      <c r="F16040" t="str">
        <f>"WORLD HISTORY"</f>
        <v>WORLD HISTORY</v>
      </c>
      <c r="G16040" t="str">
        <f>"17-1754"</f>
        <v>17-1754</v>
      </c>
      <c r="H16040" t="str">
        <f>"B"</f>
        <v>B</v>
      </c>
    </row>
    <row r="16041" spans="1:8" x14ac:dyDescent="0.2">
      <c r="A16041" t="str">
        <f t="shared" si="5816"/>
        <v>0616138424</v>
      </c>
      <c r="B16041" t="str">
        <f t="shared" si="5817"/>
        <v>ETHAN</v>
      </c>
      <c r="C16041" t="str">
        <f t="shared" si="5818"/>
        <v>SLAVESCU</v>
      </c>
      <c r="D16041" t="str">
        <f t="shared" si="5819"/>
        <v>09</v>
      </c>
      <c r="E16041" t="str">
        <f>"05 - B - 104 - Cerine S Stewart"</f>
        <v>05 - B - 104 - Cerine S Stewart</v>
      </c>
      <c r="F16041" t="str">
        <f>"ENG 1"</f>
        <v>ENG 1</v>
      </c>
      <c r="G16041" t="str">
        <f>"17-1720"</f>
        <v>17-1720</v>
      </c>
      <c r="H16041" t="str">
        <f>"B"</f>
        <v>B</v>
      </c>
    </row>
    <row r="16042" spans="1:8" x14ac:dyDescent="0.2">
      <c r="A16042" t="str">
        <f t="shared" si="5816"/>
        <v>0616138424</v>
      </c>
      <c r="B16042" t="str">
        <f t="shared" si="5817"/>
        <v>ETHAN</v>
      </c>
      <c r="C16042" t="str">
        <f t="shared" si="5818"/>
        <v>SLAVESCU</v>
      </c>
      <c r="D16042" t="str">
        <f t="shared" si="5819"/>
        <v>09</v>
      </c>
      <c r="E16042" t="str">
        <f>"01 - A - 201 - Daniel S Tyson"</f>
        <v>01 - A - 201 - Daniel S Tyson</v>
      </c>
      <c r="F16042" t="str">
        <f>"JROTC NAVAL SCI 1"</f>
        <v>JROTC NAVAL SCI 1</v>
      </c>
      <c r="G16042" t="str">
        <f>"05-510"</f>
        <v>05-510</v>
      </c>
      <c r="H16042" t="str">
        <f>"A"</f>
        <v>A</v>
      </c>
    </row>
    <row r="16043" spans="1:8" x14ac:dyDescent="0.2">
      <c r="A16043" t="str">
        <f t="shared" si="5816"/>
        <v>0616138424</v>
      </c>
      <c r="B16043" t="str">
        <f t="shared" si="5817"/>
        <v>ETHAN</v>
      </c>
      <c r="C16043" t="str">
        <f t="shared" si="5818"/>
        <v>SLAVESCU</v>
      </c>
      <c r="D16043" t="str">
        <f t="shared" si="5819"/>
        <v>09</v>
      </c>
      <c r="E16043" t="str">
        <f>"08 - B - 105 - Samantha J Headley"</f>
        <v>08 - B - 105 - Samantha J Headley</v>
      </c>
      <c r="F16043" t="str">
        <f>"ENV SCI"</f>
        <v>ENV SCI</v>
      </c>
      <c r="G16043" t="str">
        <f>"08-802"</f>
        <v>08-802</v>
      </c>
      <c r="H16043" t="str">
        <f>"B"</f>
        <v>B</v>
      </c>
    </row>
    <row r="16044" spans="1:8" x14ac:dyDescent="0.2">
      <c r="A16044" t="str">
        <f t="shared" ref="A16044:A16051" si="5820">"0616138421"</f>
        <v>0616138421</v>
      </c>
      <c r="B16044" t="str">
        <f t="shared" ref="B16044:B16051" si="5821">"OLIVIA"</f>
        <v>OLIVIA</v>
      </c>
      <c r="C16044" t="str">
        <f t="shared" si="5818"/>
        <v>SLAVESCU</v>
      </c>
      <c r="D16044" t="str">
        <f t="shared" si="5819"/>
        <v>09</v>
      </c>
      <c r="E16044" t="str">
        <f>"04 - A - 102 - Josiah I Lacy"</f>
        <v>04 - A - 102 - Josiah I Lacy</v>
      </c>
      <c r="F16044" t="str">
        <f>"PRE-AICE BIO IG"</f>
        <v>PRE-AICE BIO IG</v>
      </c>
      <c r="G16044" t="str">
        <f>"08-801"</f>
        <v>08-801</v>
      </c>
      <c r="H16044" t="str">
        <f>"A"</f>
        <v>A</v>
      </c>
    </row>
    <row r="16045" spans="1:8" x14ac:dyDescent="0.2">
      <c r="A16045" t="str">
        <f t="shared" si="5820"/>
        <v>0616138421</v>
      </c>
      <c r="B16045" t="str">
        <f t="shared" si="5821"/>
        <v>OLIVIA</v>
      </c>
      <c r="C16045" t="str">
        <f t="shared" si="5818"/>
        <v>SLAVESCU</v>
      </c>
      <c r="D16045" t="str">
        <f t="shared" si="5819"/>
        <v>09</v>
      </c>
      <c r="E16045" t="str">
        <f>"06 - B - 102 - Angela S Adeshina-Morrison"</f>
        <v>06 - B - 102 - Angela S Adeshina-Morrison</v>
      </c>
      <c r="F16045" t="str">
        <f>"MARKETING ESSENTIALS"</f>
        <v>MARKETING ESSENTIALS</v>
      </c>
      <c r="G16045" t="str">
        <f>"05-518"</f>
        <v>05-518</v>
      </c>
      <c r="H16045" t="str">
        <f>"B"</f>
        <v>B</v>
      </c>
    </row>
    <row r="16046" spans="1:8" x14ac:dyDescent="0.2">
      <c r="A16046" t="str">
        <f t="shared" si="5820"/>
        <v>0616138421</v>
      </c>
      <c r="B16046" t="str">
        <f t="shared" si="5821"/>
        <v>OLIVIA</v>
      </c>
      <c r="C16046" t="str">
        <f t="shared" si="5818"/>
        <v>SLAVESCU</v>
      </c>
      <c r="D16046" t="str">
        <f t="shared" si="5819"/>
        <v>09</v>
      </c>
      <c r="E16046" t="str">
        <f>"03 - A - 101 - Rosa Elaine  Collado-Duff"</f>
        <v>03 - A - 101 - Rosa Elaine  Collado-Duff</v>
      </c>
      <c r="F16046" t="str">
        <f>"SPANISH 3 HON"</f>
        <v>SPANISH 3 HON</v>
      </c>
      <c r="G16046" t="str">
        <f>"09-913"</f>
        <v>09-913</v>
      </c>
      <c r="H16046" t="str">
        <f>"A"</f>
        <v>A</v>
      </c>
    </row>
    <row r="16047" spans="1:8" x14ac:dyDescent="0.2">
      <c r="A16047" t="str">
        <f t="shared" si="5820"/>
        <v>0616138421</v>
      </c>
      <c r="B16047" t="str">
        <f t="shared" si="5821"/>
        <v>OLIVIA</v>
      </c>
      <c r="C16047" t="str">
        <f t="shared" si="5818"/>
        <v>SLAVESCU</v>
      </c>
      <c r="D16047" t="str">
        <f t="shared" si="5819"/>
        <v>09</v>
      </c>
      <c r="E16047" t="str">
        <f>"02 - A - 104 - Lytrell T Dixon"</f>
        <v>02 - A - 104 - Lytrell T Dixon</v>
      </c>
      <c r="F16047" t="str">
        <f>"NC STUDY HALL 1"</f>
        <v>NC STUDY HALL 1</v>
      </c>
      <c r="G16047" t="str">
        <f>"08-808"</f>
        <v>08-808</v>
      </c>
      <c r="H16047" t="str">
        <f>"A"</f>
        <v>A</v>
      </c>
    </row>
    <row r="16048" spans="1:8" x14ac:dyDescent="0.2">
      <c r="A16048" t="str">
        <f t="shared" si="5820"/>
        <v>0616138421</v>
      </c>
      <c r="B16048" t="str">
        <f t="shared" si="5821"/>
        <v>OLIVIA</v>
      </c>
      <c r="C16048" t="str">
        <f t="shared" si="5818"/>
        <v>SLAVESCU</v>
      </c>
      <c r="D16048" t="str">
        <f t="shared" si="5819"/>
        <v>09</v>
      </c>
      <c r="E16048" t="str">
        <f>"07 - B - 107 - Brook E Goren"</f>
        <v>07 - B - 107 - Brook E Goren</v>
      </c>
      <c r="F16048" t="str">
        <f>"PRE-AICE MATH 2 IG"</f>
        <v>PRE-AICE MATH 2 IG</v>
      </c>
      <c r="G16048" t="str">
        <f>"21-2158"</f>
        <v>21-2158</v>
      </c>
      <c r="H16048" t="str">
        <f>"B"</f>
        <v>B</v>
      </c>
    </row>
    <row r="16049" spans="1:8" x14ac:dyDescent="0.2">
      <c r="A16049" t="str">
        <f t="shared" si="5820"/>
        <v>0616138421</v>
      </c>
      <c r="B16049" t="str">
        <f t="shared" si="5821"/>
        <v>OLIVIA</v>
      </c>
      <c r="C16049" t="str">
        <f t="shared" si="5818"/>
        <v>SLAVESCU</v>
      </c>
      <c r="D16049" t="str">
        <f t="shared" si="5819"/>
        <v>09</v>
      </c>
      <c r="E16049" t="str">
        <f>"05 - B - 103 - Eva T Rimmer"</f>
        <v>05 - B - 103 - Eva T Rimmer</v>
      </c>
      <c r="F16049" t="str">
        <f>"CRIMINAL JUST OPS 1"</f>
        <v>CRIMINAL JUST OPS 1</v>
      </c>
      <c r="G16049" t="str">
        <f>"05-523"</f>
        <v>05-523</v>
      </c>
      <c r="H16049" t="str">
        <f>"B"</f>
        <v>B</v>
      </c>
    </row>
    <row r="16050" spans="1:8" x14ac:dyDescent="0.2">
      <c r="A16050" t="str">
        <f t="shared" si="5820"/>
        <v>0616138421</v>
      </c>
      <c r="B16050" t="str">
        <f t="shared" si="5821"/>
        <v>OLIVIA</v>
      </c>
      <c r="C16050" t="str">
        <f t="shared" si="5818"/>
        <v>SLAVESCU</v>
      </c>
      <c r="D16050" t="str">
        <f t="shared" si="5819"/>
        <v>09</v>
      </c>
      <c r="E16050" t="str">
        <f>"01 - A - 101 - Rory T Sponsler"</f>
        <v>01 - A - 101 - Rory T Sponsler</v>
      </c>
      <c r="F16050" t="str">
        <f>"PRE-AICE WRLD HST IG"</f>
        <v>PRE-AICE WRLD HST IG</v>
      </c>
      <c r="G16050" t="str">
        <f>"17-1740"</f>
        <v>17-1740</v>
      </c>
      <c r="H16050" t="str">
        <f>"A"</f>
        <v>A</v>
      </c>
    </row>
    <row r="16051" spans="1:8" x14ac:dyDescent="0.2">
      <c r="A16051" t="str">
        <f t="shared" si="5820"/>
        <v>0616138421</v>
      </c>
      <c r="B16051" t="str">
        <f t="shared" si="5821"/>
        <v>OLIVIA</v>
      </c>
      <c r="C16051" t="str">
        <f t="shared" si="5818"/>
        <v>SLAVESCU</v>
      </c>
      <c r="D16051" t="str">
        <f t="shared" si="5819"/>
        <v>09</v>
      </c>
      <c r="E16051" t="str">
        <f>"08 - B - 004 - Cheryl Anne  Berman-Schechter"</f>
        <v>08 - B - 004 - Cheryl Anne  Berman-Schechter</v>
      </c>
      <c r="F16051" t="str">
        <f>"AICE ENG GEN PAPER 1"</f>
        <v>AICE ENG GEN PAPER 1</v>
      </c>
      <c r="G16051" t="str">
        <f>"17-1722"</f>
        <v>17-1722</v>
      </c>
      <c r="H16051" t="str">
        <f>"B"</f>
        <v>B</v>
      </c>
    </row>
    <row r="16052" spans="1:8" x14ac:dyDescent="0.2">
      <c r="A16052" t="str">
        <f t="shared" ref="A16052:A16059" si="5822">"0619083490"</f>
        <v>0619083490</v>
      </c>
      <c r="B16052" t="str">
        <f t="shared" ref="B16052:B16059" si="5823">"CONNOR"</f>
        <v>CONNOR</v>
      </c>
      <c r="C16052" t="str">
        <f t="shared" ref="C16052:C16075" si="5824">"SMALL"</f>
        <v>SMALL</v>
      </c>
      <c r="D16052">
        <f>12</f>
        <v>12</v>
      </c>
      <c r="E16052" t="str">
        <f>"04 - A - 102 - Eva T Rimmer"</f>
        <v>04 - A - 102 - Eva T Rimmer</v>
      </c>
      <c r="F16052" t="str">
        <f>"CRIMINAL JUST OPS 1"</f>
        <v>CRIMINAL JUST OPS 1</v>
      </c>
      <c r="G16052" t="str">
        <f>"05-523"</f>
        <v>05-523</v>
      </c>
      <c r="H16052" t="str">
        <f>"A"</f>
        <v>A</v>
      </c>
    </row>
    <row r="16053" spans="1:8" x14ac:dyDescent="0.2">
      <c r="A16053" t="str">
        <f t="shared" si="5822"/>
        <v>0619083490</v>
      </c>
      <c r="B16053" t="str">
        <f t="shared" si="5823"/>
        <v>CONNOR</v>
      </c>
      <c r="C16053" t="str">
        <f t="shared" si="5824"/>
        <v>SMALL</v>
      </c>
      <c r="D16053">
        <f>12</f>
        <v>12</v>
      </c>
      <c r="E16053" t="str">
        <f>"06 - B - 112 - Lisa  Quinn"</f>
        <v>06 - B - 112 - Lisa  Quinn</v>
      </c>
      <c r="F16053" t="str">
        <f>"NC STUDY HALL 1"</f>
        <v>NC STUDY HALL 1</v>
      </c>
      <c r="G16053" t="str">
        <f>"17-1725"</f>
        <v>17-1725</v>
      </c>
      <c r="H16053" t="str">
        <f>"B"</f>
        <v>B</v>
      </c>
    </row>
    <row r="16054" spans="1:8" x14ac:dyDescent="0.2">
      <c r="A16054" t="str">
        <f t="shared" si="5822"/>
        <v>0619083490</v>
      </c>
      <c r="B16054" t="str">
        <f t="shared" si="5823"/>
        <v>CONNOR</v>
      </c>
      <c r="C16054" t="str">
        <f t="shared" si="5824"/>
        <v>SMALL</v>
      </c>
      <c r="D16054">
        <f>12</f>
        <v>12</v>
      </c>
      <c r="E16054" t="str">
        <f>"03 - A - 102 - Cliffon  Saurel"</f>
        <v>03 - A - 102 - Cliffon  Saurel</v>
      </c>
      <c r="F16054" t="str">
        <f>"PHYSICAL SCI"</f>
        <v>PHYSICAL SCI</v>
      </c>
      <c r="G16054" t="str">
        <f>"05-522"</f>
        <v>05-522</v>
      </c>
      <c r="H16054" t="str">
        <f>"A"</f>
        <v>A</v>
      </c>
    </row>
    <row r="16055" spans="1:8" x14ac:dyDescent="0.2">
      <c r="A16055" t="str">
        <f t="shared" si="5822"/>
        <v>0619083490</v>
      </c>
      <c r="B16055" t="str">
        <f t="shared" si="5823"/>
        <v>CONNOR</v>
      </c>
      <c r="C16055" t="str">
        <f t="shared" si="5824"/>
        <v>SMALL</v>
      </c>
      <c r="D16055">
        <f>12</f>
        <v>12</v>
      </c>
      <c r="E16055" t="str">
        <f>"02 - S1 - A - 104 - Robert O Burger"</f>
        <v>02 - S1 - A - 104 - Robert O Burger</v>
      </c>
      <c r="F16055" t="str">
        <f>"US GOVT"</f>
        <v>US GOVT</v>
      </c>
      <c r="G16055" t="str">
        <f>"17-1755"</f>
        <v>17-1755</v>
      </c>
      <c r="H16055" t="str">
        <f>"A"</f>
        <v>A</v>
      </c>
    </row>
    <row r="16056" spans="1:8" x14ac:dyDescent="0.2">
      <c r="A16056" t="str">
        <f t="shared" si="5822"/>
        <v>0619083490</v>
      </c>
      <c r="B16056" t="str">
        <f t="shared" si="5823"/>
        <v>CONNOR</v>
      </c>
      <c r="C16056" t="str">
        <f t="shared" si="5824"/>
        <v>SMALL</v>
      </c>
      <c r="D16056">
        <f>12</f>
        <v>12</v>
      </c>
      <c r="E16056" t="str">
        <f>"07 - B - 104 - Robyn L Trainer"</f>
        <v>07 - B - 104 - Robyn L Trainer</v>
      </c>
      <c r="F16056" t="str">
        <f>"ENG 4"</f>
        <v>ENG 4</v>
      </c>
      <c r="G16056" t="str">
        <f>"17-1734"</f>
        <v>17-1734</v>
      </c>
      <c r="H16056" t="str">
        <f>"B"</f>
        <v>B</v>
      </c>
    </row>
    <row r="16057" spans="1:8" x14ac:dyDescent="0.2">
      <c r="A16057" t="str">
        <f t="shared" si="5822"/>
        <v>0619083490</v>
      </c>
      <c r="B16057" t="str">
        <f t="shared" si="5823"/>
        <v>CONNOR</v>
      </c>
      <c r="C16057" t="str">
        <f t="shared" si="5824"/>
        <v>SMALL</v>
      </c>
      <c r="D16057">
        <f>12</f>
        <v>12</v>
      </c>
      <c r="E16057" t="str">
        <f>"05 - S1 - B - 102 - Richard E Dunbar Iii"</f>
        <v>05 - S1 - B - 102 - Richard E Dunbar Iii</v>
      </c>
      <c r="F16057" t="str">
        <f>"TEAM SPORTS 1"</f>
        <v>TEAM SPORTS 1</v>
      </c>
      <c r="G16057" t="str">
        <f>"04-254"</f>
        <v>04-254</v>
      </c>
      <c r="H16057" t="str">
        <f>"B"</f>
        <v>B</v>
      </c>
    </row>
    <row r="16058" spans="1:8" x14ac:dyDescent="0.2">
      <c r="A16058" t="str">
        <f t="shared" si="5822"/>
        <v>0619083490</v>
      </c>
      <c r="B16058" t="str">
        <f t="shared" si="5823"/>
        <v>CONNOR</v>
      </c>
      <c r="C16058" t="str">
        <f t="shared" si="5824"/>
        <v>SMALL</v>
      </c>
      <c r="D16058">
        <f>12</f>
        <v>12</v>
      </c>
      <c r="E16058" t="str">
        <f>"01 - A - 103 - Semra  Bahadir"</f>
        <v>01 - A - 103 - Semra  Bahadir</v>
      </c>
      <c r="F16058" t="str">
        <f>"MATH COLL ALGEBRA"</f>
        <v>MATH COLL ALGEBRA</v>
      </c>
      <c r="G16058" t="str">
        <f>"21-2107"</f>
        <v>21-2107</v>
      </c>
      <c r="H16058" t="str">
        <f>"A"</f>
        <v>A</v>
      </c>
    </row>
    <row r="16059" spans="1:8" x14ac:dyDescent="0.2">
      <c r="A16059" t="str">
        <f t="shared" si="5822"/>
        <v>0619083490</v>
      </c>
      <c r="B16059" t="str">
        <f t="shared" si="5823"/>
        <v>CONNOR</v>
      </c>
      <c r="C16059" t="str">
        <f t="shared" si="5824"/>
        <v>SMALL</v>
      </c>
      <c r="D16059">
        <f>12</f>
        <v>12</v>
      </c>
      <c r="E16059" t="str">
        <f>"08 - B - 103 - Jeanne M Bermudez"</f>
        <v>08 - B - 103 - Jeanne M Bermudez</v>
      </c>
      <c r="F16059" t="str">
        <f>"ADVANCED IT HON"</f>
        <v>ADVANCED IT HON</v>
      </c>
      <c r="G16059" t="str">
        <f>"21-2141"</f>
        <v>21-2141</v>
      </c>
      <c r="H16059" t="str">
        <f>"B"</f>
        <v>B</v>
      </c>
    </row>
    <row r="16060" spans="1:8" x14ac:dyDescent="0.2">
      <c r="A16060" t="str">
        <f t="shared" ref="A16060:A16067" si="5825">"0609072500"</f>
        <v>0609072500</v>
      </c>
      <c r="B16060" t="str">
        <f t="shared" ref="B16060:B16067" si="5826">"JEREMIAH"</f>
        <v>JEREMIAH</v>
      </c>
      <c r="C16060" t="str">
        <f t="shared" si="5824"/>
        <v>SMALL</v>
      </c>
      <c r="D16060">
        <f>12</f>
        <v>12</v>
      </c>
      <c r="E16060" t="str">
        <f>"04 - A - 104 - Robert H Rindner"</f>
        <v>04 - A - 104 - Robert H Rindner</v>
      </c>
      <c r="F16060" t="str">
        <f>"MATH DATA&amp;FIN LIT H"</f>
        <v>MATH DATA&amp;FIN LIT H</v>
      </c>
      <c r="G16060" t="str">
        <f>"21-2160"</f>
        <v>21-2160</v>
      </c>
      <c r="H16060" t="str">
        <f>"A"</f>
        <v>A</v>
      </c>
    </row>
    <row r="16061" spans="1:8" x14ac:dyDescent="0.2">
      <c r="A16061" t="str">
        <f t="shared" si="5825"/>
        <v>0609072500</v>
      </c>
      <c r="B16061" t="str">
        <f t="shared" si="5826"/>
        <v>JEREMIAH</v>
      </c>
      <c r="C16061" t="str">
        <f t="shared" si="5824"/>
        <v>SMALL</v>
      </c>
      <c r="D16061">
        <f>12</f>
        <v>12</v>
      </c>
      <c r="E16061" t="str">
        <f>"06 - B - 108 - Jacquelyn M Neeson"</f>
        <v>06 - B - 108 - Jacquelyn M Neeson</v>
      </c>
      <c r="F16061" t="str">
        <f>"NC STUDY HALL 1"</f>
        <v>NC STUDY HALL 1</v>
      </c>
      <c r="G16061" t="str">
        <f>"17-1715"</f>
        <v>17-1715</v>
      </c>
      <c r="H16061" t="str">
        <f>"B"</f>
        <v>B</v>
      </c>
    </row>
    <row r="16062" spans="1:8" x14ac:dyDescent="0.2">
      <c r="A16062" t="str">
        <f t="shared" si="5825"/>
        <v>0609072500</v>
      </c>
      <c r="B16062" t="str">
        <f t="shared" si="5826"/>
        <v>JEREMIAH</v>
      </c>
      <c r="C16062" t="str">
        <f t="shared" si="5824"/>
        <v>SMALL</v>
      </c>
      <c r="D16062">
        <f>12</f>
        <v>12</v>
      </c>
      <c r="E16062" t="str">
        <f>"03 - A - 103 - Samantha J Headley"</f>
        <v>03 - A - 103 - Samantha J Headley</v>
      </c>
      <c r="F16062" t="str">
        <f>"MARINE SCI 1 HON"</f>
        <v>MARINE SCI 1 HON</v>
      </c>
      <c r="G16062" t="str">
        <f>"21-2134"</f>
        <v>21-2134</v>
      </c>
      <c r="H16062" t="str">
        <f>"A"</f>
        <v>A</v>
      </c>
    </row>
    <row r="16063" spans="1:8" x14ac:dyDescent="0.2">
      <c r="A16063" t="str">
        <f t="shared" si="5825"/>
        <v>0609072500</v>
      </c>
      <c r="B16063" t="str">
        <f t="shared" si="5826"/>
        <v>JEREMIAH</v>
      </c>
      <c r="C16063" t="str">
        <f t="shared" si="5824"/>
        <v>SMALL</v>
      </c>
      <c r="D16063">
        <f>12</f>
        <v>12</v>
      </c>
      <c r="E16063" t="str">
        <f>"02 - A - 102 - Bruce A Evans"</f>
        <v>02 - A - 102 - Bruce A Evans</v>
      </c>
      <c r="F16063" t="str">
        <f>"EMERG MED RESP 3 HON"</f>
        <v>EMERG MED RESP 3 HON</v>
      </c>
      <c r="G16063" t="str">
        <f>"21-2142"</f>
        <v>21-2142</v>
      </c>
      <c r="H16063" t="str">
        <f>"A"</f>
        <v>A</v>
      </c>
    </row>
    <row r="16064" spans="1:8" x14ac:dyDescent="0.2">
      <c r="A16064" t="str">
        <f t="shared" si="5825"/>
        <v>0609072500</v>
      </c>
      <c r="B16064" t="str">
        <f t="shared" si="5826"/>
        <v>JEREMIAH</v>
      </c>
      <c r="C16064" t="str">
        <f t="shared" si="5824"/>
        <v>SMALL</v>
      </c>
      <c r="D16064">
        <f>12</f>
        <v>12</v>
      </c>
      <c r="E16064" t="str">
        <f>"07 - B - 104 - Robyn L Trainer"</f>
        <v>07 - B - 104 - Robyn L Trainer</v>
      </c>
      <c r="F16064" t="str">
        <f>"ENG 4"</f>
        <v>ENG 4</v>
      </c>
      <c r="G16064" t="str">
        <f>"17-1734"</f>
        <v>17-1734</v>
      </c>
      <c r="H16064" t="str">
        <f>"B"</f>
        <v>B</v>
      </c>
    </row>
    <row r="16065" spans="1:8" x14ac:dyDescent="0.2">
      <c r="A16065" t="str">
        <f t="shared" si="5825"/>
        <v>0609072500</v>
      </c>
      <c r="B16065" t="str">
        <f t="shared" si="5826"/>
        <v>JEREMIAH</v>
      </c>
      <c r="C16065" t="str">
        <f t="shared" si="5824"/>
        <v>SMALL</v>
      </c>
      <c r="D16065">
        <f>12</f>
        <v>12</v>
      </c>
      <c r="E16065" t="str">
        <f>"05 - B - 201 - Bruce A Evans"</f>
        <v>05 - B - 201 - Bruce A Evans</v>
      </c>
      <c r="F16065" t="str">
        <f>"HEALTH SCI FOUND HON"</f>
        <v>HEALTH SCI FOUND HON</v>
      </c>
      <c r="G16065" t="str">
        <f>"21-2142"</f>
        <v>21-2142</v>
      </c>
      <c r="H16065" t="str">
        <f>"B"</f>
        <v>B</v>
      </c>
    </row>
    <row r="16066" spans="1:8" x14ac:dyDescent="0.2">
      <c r="A16066" t="str">
        <f t="shared" si="5825"/>
        <v>0609072500</v>
      </c>
      <c r="B16066" t="str">
        <f t="shared" si="5826"/>
        <v>JEREMIAH</v>
      </c>
      <c r="C16066" t="str">
        <f t="shared" si="5824"/>
        <v>SMALL</v>
      </c>
      <c r="D16066">
        <f>12</f>
        <v>12</v>
      </c>
      <c r="E16066" t="str">
        <f>"01 - S1 - A - 101 - Leslie J Barton"</f>
        <v>01 - S1 - A - 101 - Leslie J Barton</v>
      </c>
      <c r="F16066" t="str">
        <f>"FIRST AID SAFETY"</f>
        <v>FIRST AID SAFETY</v>
      </c>
      <c r="G16066" t="str">
        <f>"05-521"</f>
        <v>05-521</v>
      </c>
      <c r="H16066" t="str">
        <f>"A"</f>
        <v>A</v>
      </c>
    </row>
    <row r="16067" spans="1:8" x14ac:dyDescent="0.2">
      <c r="A16067" t="str">
        <f t="shared" si="5825"/>
        <v>0609072500</v>
      </c>
      <c r="B16067" t="str">
        <f t="shared" si="5826"/>
        <v>JEREMIAH</v>
      </c>
      <c r="C16067" t="str">
        <f t="shared" si="5824"/>
        <v>SMALL</v>
      </c>
      <c r="D16067">
        <f>12</f>
        <v>12</v>
      </c>
      <c r="E16067" t="str">
        <f>"08 - S1 - B - 105 - Kelly N Panza"</f>
        <v>08 - S1 - B - 105 - Kelly N Panza</v>
      </c>
      <c r="F16067" t="str">
        <f>"US GOVT HON"</f>
        <v>US GOVT HON</v>
      </c>
      <c r="G16067" t="str">
        <f>"17-1753"</f>
        <v>17-1753</v>
      </c>
      <c r="H16067" t="str">
        <f>"B"</f>
        <v>B</v>
      </c>
    </row>
    <row r="16068" spans="1:8" x14ac:dyDescent="0.2">
      <c r="A16068" t="str">
        <f t="shared" ref="A16068:A16075" si="5827">"0614045081"</f>
        <v>0614045081</v>
      </c>
      <c r="B16068" t="str">
        <f t="shared" ref="B16068:B16075" si="5828">"ROAN"</f>
        <v>ROAN</v>
      </c>
      <c r="C16068" t="str">
        <f t="shared" si="5824"/>
        <v>SMALL</v>
      </c>
      <c r="D16068">
        <f>12</f>
        <v>12</v>
      </c>
      <c r="E16068" t="str">
        <f>"04 - S1 - A - 107 - Richard E Dunbar Iii"</f>
        <v>04 - S1 - A - 107 - Richard E Dunbar Iii</v>
      </c>
      <c r="F16068" t="str">
        <f>"WEIGHT TRAIN 3"</f>
        <v>WEIGHT TRAIN 3</v>
      </c>
      <c r="G16068" t="str">
        <f>"05-501"</f>
        <v>05-501</v>
      </c>
      <c r="H16068" t="str">
        <f>"A"</f>
        <v>A</v>
      </c>
    </row>
    <row r="16069" spans="1:8" x14ac:dyDescent="0.2">
      <c r="A16069" t="str">
        <f t="shared" si="5827"/>
        <v>0614045081</v>
      </c>
      <c r="B16069" t="str">
        <f t="shared" si="5828"/>
        <v>ROAN</v>
      </c>
      <c r="C16069" t="str">
        <f t="shared" si="5824"/>
        <v>SMALL</v>
      </c>
      <c r="D16069">
        <f>12</f>
        <v>12</v>
      </c>
      <c r="E16069" t="str">
        <f>"06 - B - 105 - Robyn L Trainer"</f>
        <v>06 - B - 105 - Robyn L Trainer</v>
      </c>
      <c r="F16069" t="str">
        <f>"NC STUDY HALL 1"</f>
        <v>NC STUDY HALL 1</v>
      </c>
      <c r="G16069" t="str">
        <f>"17-1734"</f>
        <v>17-1734</v>
      </c>
      <c r="H16069" t="str">
        <f>"B"</f>
        <v>B</v>
      </c>
    </row>
    <row r="16070" spans="1:8" x14ac:dyDescent="0.2">
      <c r="A16070" t="str">
        <f t="shared" si="5827"/>
        <v>0614045081</v>
      </c>
      <c r="B16070" t="str">
        <f t="shared" si="5828"/>
        <v>ROAN</v>
      </c>
      <c r="C16070" t="str">
        <f t="shared" si="5824"/>
        <v>SMALL</v>
      </c>
      <c r="D16070">
        <f>12</f>
        <v>12</v>
      </c>
      <c r="E16070" t="str">
        <f>"03 - S1 - A - 002 - Barbara L Segal"</f>
        <v>03 - S1 - A - 002 - Barbara L Segal</v>
      </c>
      <c r="F16070" t="str">
        <f>"US GOVT"</f>
        <v>US GOVT</v>
      </c>
      <c r="G16070" t="str">
        <f>"17-1742"</f>
        <v>17-1742</v>
      </c>
      <c r="H16070" t="str">
        <f>"A"</f>
        <v>A</v>
      </c>
    </row>
    <row r="16071" spans="1:8" x14ac:dyDescent="0.2">
      <c r="A16071" t="str">
        <f t="shared" si="5827"/>
        <v>0614045081</v>
      </c>
      <c r="B16071" t="str">
        <f t="shared" si="5828"/>
        <v>ROAN</v>
      </c>
      <c r="C16071" t="str">
        <f t="shared" si="5824"/>
        <v>SMALL</v>
      </c>
      <c r="D16071">
        <f>12</f>
        <v>12</v>
      </c>
      <c r="E16071" t="str">
        <f>"02 - A - 101 - Nahum  Saint-Preux"</f>
        <v>02 - A - 101 - Nahum  Saint-Preux</v>
      </c>
      <c r="F16071" t="str">
        <f>"INTENS READ 4"</f>
        <v>INTENS READ 4</v>
      </c>
      <c r="G16071" t="str">
        <f>"17-1712"</f>
        <v>17-1712</v>
      </c>
      <c r="H16071" t="str">
        <f>"A"</f>
        <v>A</v>
      </c>
    </row>
    <row r="16072" spans="1:8" x14ac:dyDescent="0.2">
      <c r="A16072" t="str">
        <f t="shared" si="5827"/>
        <v>0614045081</v>
      </c>
      <c r="B16072" t="str">
        <f t="shared" si="5828"/>
        <v>ROAN</v>
      </c>
      <c r="C16072" t="str">
        <f t="shared" si="5824"/>
        <v>SMALL</v>
      </c>
      <c r="D16072">
        <f>12</f>
        <v>12</v>
      </c>
      <c r="E16072" t="str">
        <f>"07 - B - 102 - Tina L Lovett"</f>
        <v>07 - B - 102 - Tina L Lovett</v>
      </c>
      <c r="F16072" t="str">
        <f>"MATH DATA &amp; FIN LIT"</f>
        <v>MATH DATA &amp; FIN LIT</v>
      </c>
      <c r="G16072" t="str">
        <f>"21-2153"</f>
        <v>21-2153</v>
      </c>
      <c r="H16072" t="str">
        <f>"B"</f>
        <v>B</v>
      </c>
    </row>
    <row r="16073" spans="1:8" x14ac:dyDescent="0.2">
      <c r="A16073" t="str">
        <f t="shared" si="5827"/>
        <v>0614045081</v>
      </c>
      <c r="B16073" t="str">
        <f t="shared" si="5828"/>
        <v>ROAN</v>
      </c>
      <c r="C16073" t="str">
        <f t="shared" si="5824"/>
        <v>SMALL</v>
      </c>
      <c r="D16073">
        <f>12</f>
        <v>12</v>
      </c>
      <c r="E16073" t="str">
        <f>"05 - B - 104 - Joe  Kilpatrick Jr"</f>
        <v>05 - B - 104 - Joe  Kilpatrick Jr</v>
      </c>
      <c r="F16073" t="str">
        <f>"PRE-AICE SPAN 1 IG"</f>
        <v>PRE-AICE SPAN 1 IG</v>
      </c>
      <c r="G16073" t="str">
        <f>"09-912"</f>
        <v>09-912</v>
      </c>
      <c r="H16073" t="str">
        <f>"B"</f>
        <v>B</v>
      </c>
    </row>
    <row r="16074" spans="1:8" x14ac:dyDescent="0.2">
      <c r="A16074" t="str">
        <f t="shared" si="5827"/>
        <v>0614045081</v>
      </c>
      <c r="B16074" t="str">
        <f t="shared" si="5828"/>
        <v>ROAN</v>
      </c>
      <c r="C16074" t="str">
        <f t="shared" si="5824"/>
        <v>SMALL</v>
      </c>
      <c r="D16074">
        <f>12</f>
        <v>12</v>
      </c>
      <c r="E16074" t="str">
        <f>"01 - A - 101 - Cliffon  Saurel"</f>
        <v>01 - A - 101 - Cliffon  Saurel</v>
      </c>
      <c r="F16074" t="str">
        <f>"PHYSICAL SCI"</f>
        <v>PHYSICAL SCI</v>
      </c>
      <c r="G16074" t="str">
        <f>"05-522"</f>
        <v>05-522</v>
      </c>
      <c r="H16074" t="str">
        <f>"A"</f>
        <v>A</v>
      </c>
    </row>
    <row r="16075" spans="1:8" x14ac:dyDescent="0.2">
      <c r="A16075" t="str">
        <f t="shared" si="5827"/>
        <v>0614045081</v>
      </c>
      <c r="B16075" t="str">
        <f t="shared" si="5828"/>
        <v>ROAN</v>
      </c>
      <c r="C16075" t="str">
        <f t="shared" si="5824"/>
        <v>SMALL</v>
      </c>
      <c r="D16075">
        <f>12</f>
        <v>12</v>
      </c>
      <c r="E16075" t="str">
        <f>"08 - B - 206 - Robyn L Trainer"</f>
        <v>08 - B - 206 - Robyn L Trainer</v>
      </c>
      <c r="F16075" t="str">
        <f>"ENG 4: FL COLL PREP"</f>
        <v>ENG 4: FL COLL PREP</v>
      </c>
      <c r="G16075" t="str">
        <f>"17-1734"</f>
        <v>17-1734</v>
      </c>
      <c r="H16075" t="str">
        <f>"B"</f>
        <v>B</v>
      </c>
    </row>
    <row r="16076" spans="1:8" x14ac:dyDescent="0.2">
      <c r="A16076" t="str">
        <f t="shared" ref="A16076:A16083" si="5829">"0608071604"</f>
        <v>0608071604</v>
      </c>
      <c r="B16076" t="str">
        <f t="shared" ref="B16076:B16083" si="5830">"PARRYS"</f>
        <v>PARRYS</v>
      </c>
      <c r="C16076" t="str">
        <f t="shared" ref="C16076:C16083" si="5831">"SMART"</f>
        <v>SMART</v>
      </c>
      <c r="D16076">
        <f>12</f>
        <v>12</v>
      </c>
      <c r="E16076" t="str">
        <f>"04 - A - 104 - Robert H Rindner"</f>
        <v>04 - A - 104 - Robert H Rindner</v>
      </c>
      <c r="F16076" t="str">
        <f>"MATH DATA&amp;FIN LIT H"</f>
        <v>MATH DATA&amp;FIN LIT H</v>
      </c>
      <c r="G16076" t="str">
        <f>"21-2160"</f>
        <v>21-2160</v>
      </c>
      <c r="H16076" t="str">
        <f>"A"</f>
        <v>A</v>
      </c>
    </row>
    <row r="16077" spans="1:8" x14ac:dyDescent="0.2">
      <c r="A16077" t="str">
        <f t="shared" si="5829"/>
        <v>0608071604</v>
      </c>
      <c r="B16077" t="str">
        <f t="shared" si="5830"/>
        <v>PARRYS</v>
      </c>
      <c r="C16077" t="str">
        <f t="shared" si="5831"/>
        <v>SMART</v>
      </c>
      <c r="D16077">
        <f>12</f>
        <v>12</v>
      </c>
      <c r="E16077" t="str">
        <f>"06 - B - 114 - Lisa J London"</f>
        <v>06 - B - 114 - Lisa J London</v>
      </c>
      <c r="F16077" t="str">
        <f>"NC STUDY HALL 1"</f>
        <v>NC STUDY HALL 1</v>
      </c>
      <c r="G16077" t="str">
        <f>"17-1714"</f>
        <v>17-1714</v>
      </c>
      <c r="H16077" t="str">
        <f>"B"</f>
        <v>B</v>
      </c>
    </row>
    <row r="16078" spans="1:8" x14ac:dyDescent="0.2">
      <c r="A16078" t="str">
        <f t="shared" si="5829"/>
        <v>0608071604</v>
      </c>
      <c r="B16078" t="str">
        <f t="shared" si="5830"/>
        <v>PARRYS</v>
      </c>
      <c r="C16078" t="str">
        <f t="shared" si="5831"/>
        <v>SMART</v>
      </c>
      <c r="D16078">
        <f>12</f>
        <v>12</v>
      </c>
      <c r="E16078" t="str">
        <f>"03 - A - 208 - Marielle A Witting"</f>
        <v>03 - A - 208 - Marielle A Witting</v>
      </c>
      <c r="F16078" t="str">
        <f>"ANAT PHYSIO"</f>
        <v>ANAT PHYSIO</v>
      </c>
      <c r="G16078" t="str">
        <f>"08-805"</f>
        <v>08-805</v>
      </c>
      <c r="H16078" t="str">
        <f>"A"</f>
        <v>A</v>
      </c>
    </row>
    <row r="16079" spans="1:8" x14ac:dyDescent="0.2">
      <c r="A16079" t="str">
        <f t="shared" si="5829"/>
        <v>0608071604</v>
      </c>
      <c r="B16079" t="str">
        <f t="shared" si="5830"/>
        <v>PARRYS</v>
      </c>
      <c r="C16079" t="str">
        <f t="shared" si="5831"/>
        <v>SMART</v>
      </c>
      <c r="D16079">
        <f>12</f>
        <v>12</v>
      </c>
      <c r="E16079" t="str">
        <f>"02 - A - 101 - Robyn L Trainer"</f>
        <v>02 - A - 101 - Robyn L Trainer</v>
      </c>
      <c r="F16079" t="str">
        <f>"ENG 4"</f>
        <v>ENG 4</v>
      </c>
      <c r="G16079" t="str">
        <f>"17-1734"</f>
        <v>17-1734</v>
      </c>
      <c r="H16079" t="str">
        <f>"A"</f>
        <v>A</v>
      </c>
    </row>
    <row r="16080" spans="1:8" x14ac:dyDescent="0.2">
      <c r="A16080" t="str">
        <f t="shared" si="5829"/>
        <v>0608071604</v>
      </c>
      <c r="B16080" t="str">
        <f t="shared" si="5830"/>
        <v>PARRYS</v>
      </c>
      <c r="C16080" t="str">
        <f t="shared" si="5831"/>
        <v>SMART</v>
      </c>
      <c r="D16080">
        <f>12</f>
        <v>12</v>
      </c>
      <c r="E16080" t="str">
        <f>"07 - B - 101 - Bruce A Evans"</f>
        <v>07 - B - 101 - Bruce A Evans</v>
      </c>
      <c r="F16080" t="str">
        <f>"FIREFIGHTING 1 LH"</f>
        <v>FIREFIGHTING 1 LH</v>
      </c>
      <c r="G16080" t="str">
        <f>"21-2142"</f>
        <v>21-2142</v>
      </c>
      <c r="H16080" t="str">
        <f>"B"</f>
        <v>B</v>
      </c>
    </row>
    <row r="16081" spans="1:8" x14ac:dyDescent="0.2">
      <c r="A16081" t="str">
        <f t="shared" si="5829"/>
        <v>0608071604</v>
      </c>
      <c r="B16081" t="str">
        <f t="shared" si="5830"/>
        <v>PARRYS</v>
      </c>
      <c r="C16081" t="str">
        <f t="shared" si="5831"/>
        <v>SMART</v>
      </c>
      <c r="D16081">
        <f>12</f>
        <v>12</v>
      </c>
      <c r="E16081" t="str">
        <f>"05 - S1 - B - 102 - Robert O Burger"</f>
        <v>05 - S1 - B - 102 - Robert O Burger</v>
      </c>
      <c r="F16081" t="str">
        <f>"US GOVT"</f>
        <v>US GOVT</v>
      </c>
      <c r="G16081" t="str">
        <f>"17-1755"</f>
        <v>17-1755</v>
      </c>
      <c r="H16081" t="str">
        <f>"B"</f>
        <v>B</v>
      </c>
    </row>
    <row r="16082" spans="1:8" x14ac:dyDescent="0.2">
      <c r="A16082" t="str">
        <f t="shared" si="5829"/>
        <v>0608071604</v>
      </c>
      <c r="B16082" t="str">
        <f t="shared" si="5830"/>
        <v>PARRYS</v>
      </c>
      <c r="C16082" t="str">
        <f t="shared" si="5831"/>
        <v>SMART</v>
      </c>
      <c r="D16082">
        <f>12</f>
        <v>12</v>
      </c>
      <c r="E16082" t="str">
        <f>"01 - S1 - A - 101 - Bruce A Evans"</f>
        <v>01 - S1 - A - 101 - Bruce A Evans</v>
      </c>
      <c r="F16082" t="str">
        <f>"ELECTROCARD TECH 3HN"</f>
        <v>ELECTROCARD TECH 3HN</v>
      </c>
      <c r="G16082" t="str">
        <f>"21-2142"</f>
        <v>21-2142</v>
      </c>
      <c r="H16082" t="str">
        <f>"A"</f>
        <v>A</v>
      </c>
    </row>
    <row r="16083" spans="1:8" x14ac:dyDescent="0.2">
      <c r="A16083" t="str">
        <f t="shared" si="5829"/>
        <v>0608071604</v>
      </c>
      <c r="B16083" t="str">
        <f t="shared" si="5830"/>
        <v>PARRYS</v>
      </c>
      <c r="C16083" t="str">
        <f t="shared" si="5831"/>
        <v>SMART</v>
      </c>
      <c r="D16083">
        <f>12</f>
        <v>12</v>
      </c>
      <c r="E16083" t="str">
        <f>"08 - B - 102 - Carleigh R Carmichael"</f>
        <v>08 - B - 102 - Carleigh R Carmichael</v>
      </c>
      <c r="F16083" t="str">
        <f>"LRNG STRATEGIES 9-12"</f>
        <v>LRNG STRATEGIES 9-12</v>
      </c>
      <c r="G16083" t="str">
        <f>"20-2072"</f>
        <v>20-2072</v>
      </c>
      <c r="H16083" t="str">
        <f>"B"</f>
        <v>B</v>
      </c>
    </row>
    <row r="16084" spans="1:8" x14ac:dyDescent="0.2">
      <c r="A16084" t="str">
        <f t="shared" ref="A16084:A16091" si="5832">"0615109292"</f>
        <v>0615109292</v>
      </c>
      <c r="B16084" t="str">
        <f t="shared" ref="B16084:B16091" si="5833">"BLAKE"</f>
        <v>BLAKE</v>
      </c>
      <c r="C16084" t="str">
        <f t="shared" ref="C16084:C16091" si="5834">"SMILEY"</f>
        <v>SMILEY</v>
      </c>
      <c r="D16084">
        <f>10</f>
        <v>10</v>
      </c>
      <c r="E16084" t="str">
        <f>"04 - A - 104 - Marius D Orsolini"</f>
        <v>04 - A - 104 - Marius D Orsolini</v>
      </c>
      <c r="F16084" t="str">
        <f>"CULINARY ARTS 1"</f>
        <v>CULINARY ARTS 1</v>
      </c>
      <c r="G16084" t="str">
        <f>"21-2115"</f>
        <v>21-2115</v>
      </c>
      <c r="H16084" t="str">
        <f>"A"</f>
        <v>A</v>
      </c>
    </row>
    <row r="16085" spans="1:8" x14ac:dyDescent="0.2">
      <c r="A16085" t="str">
        <f t="shared" si="5832"/>
        <v>0615109292</v>
      </c>
      <c r="B16085" t="str">
        <f t="shared" si="5833"/>
        <v>BLAKE</v>
      </c>
      <c r="C16085" t="str">
        <f t="shared" si="5834"/>
        <v>SMILEY</v>
      </c>
      <c r="D16085">
        <f>10</f>
        <v>10</v>
      </c>
      <c r="E16085" t="str">
        <f>"06 - B - 110 - Jerry S Jiampetti"</f>
        <v>06 - B - 110 - Jerry S Jiampetti</v>
      </c>
      <c r="F16085" t="str">
        <f>"NC STUDY HALL 1"</f>
        <v>NC STUDY HALL 1</v>
      </c>
      <c r="G16085" t="str">
        <f>"17-1751"</f>
        <v>17-1751</v>
      </c>
      <c r="H16085" t="str">
        <f>"B"</f>
        <v>B</v>
      </c>
    </row>
    <row r="16086" spans="1:8" x14ac:dyDescent="0.2">
      <c r="A16086" t="str">
        <f t="shared" si="5832"/>
        <v>0615109292</v>
      </c>
      <c r="B16086" t="str">
        <f t="shared" si="5833"/>
        <v>BLAKE</v>
      </c>
      <c r="C16086" t="str">
        <f t="shared" si="5834"/>
        <v>SMILEY</v>
      </c>
      <c r="D16086">
        <f>10</f>
        <v>10</v>
      </c>
      <c r="E16086" t="str">
        <f>"03 - A - 104 - Fernando  Vega-Cid"</f>
        <v>03 - A - 104 - Fernando  Vega-Cid</v>
      </c>
      <c r="F16086" t="str">
        <f>"GEOMETRY"</f>
        <v>GEOMETRY</v>
      </c>
      <c r="G16086" t="str">
        <f>"21-2163"</f>
        <v>21-2163</v>
      </c>
      <c r="H16086" t="str">
        <f>"A"</f>
        <v>A</v>
      </c>
    </row>
    <row r="16087" spans="1:8" x14ac:dyDescent="0.2">
      <c r="A16087" t="str">
        <f t="shared" si="5832"/>
        <v>0615109292</v>
      </c>
      <c r="B16087" t="str">
        <f t="shared" si="5833"/>
        <v>BLAKE</v>
      </c>
      <c r="C16087" t="str">
        <f t="shared" si="5834"/>
        <v>SMILEY</v>
      </c>
      <c r="D16087">
        <f>10</f>
        <v>10</v>
      </c>
      <c r="E16087" t="str">
        <f>"02 - A - 001 - Alejandro  Navarro"</f>
        <v>02 - A - 001 - Alejandro  Navarro</v>
      </c>
      <c r="F16087" t="str">
        <f>"BAND 1"</f>
        <v>BAND 1</v>
      </c>
      <c r="G16087" t="str">
        <f>"05-504"</f>
        <v>05-504</v>
      </c>
      <c r="H16087" t="str">
        <f>"A"</f>
        <v>A</v>
      </c>
    </row>
    <row r="16088" spans="1:8" x14ac:dyDescent="0.2">
      <c r="A16088" t="str">
        <f t="shared" si="5832"/>
        <v>0615109292</v>
      </c>
      <c r="B16088" t="str">
        <f t="shared" si="5833"/>
        <v>BLAKE</v>
      </c>
      <c r="C16088" t="str">
        <f t="shared" si="5834"/>
        <v>SMILEY</v>
      </c>
      <c r="D16088">
        <f>10</f>
        <v>10</v>
      </c>
      <c r="E16088" t="str">
        <f>"07 - B - 207 - Krystal Marie  Beruty"</f>
        <v>07 - B - 207 - Krystal Marie  Beruty</v>
      </c>
      <c r="F16088" t="str">
        <f>"AICE GLBL PERSP 1 AS"</f>
        <v>AICE GLBL PERSP 1 AS</v>
      </c>
      <c r="G16088" t="str">
        <f>"17-1721"</f>
        <v>17-1721</v>
      </c>
      <c r="H16088" t="str">
        <f>"B"</f>
        <v>B</v>
      </c>
    </row>
    <row r="16089" spans="1:8" x14ac:dyDescent="0.2">
      <c r="A16089" t="str">
        <f t="shared" si="5832"/>
        <v>0615109292</v>
      </c>
      <c r="B16089" t="str">
        <f t="shared" si="5833"/>
        <v>BLAKE</v>
      </c>
      <c r="C16089" t="str">
        <f t="shared" si="5834"/>
        <v>SMILEY</v>
      </c>
      <c r="D16089">
        <f>10</f>
        <v>10</v>
      </c>
      <c r="E16089" t="str">
        <f>"05 - B - 103 - Byron G Montenegro"</f>
        <v>05 - B - 103 - Byron G Montenegro</v>
      </c>
      <c r="F16089" t="str">
        <f>"AICE MARINE SCI 1 AS"</f>
        <v>AICE MARINE SCI 1 AS</v>
      </c>
      <c r="G16089" t="str">
        <f>"21-2144"</f>
        <v>21-2144</v>
      </c>
      <c r="H16089" t="str">
        <f>"B"</f>
        <v>B</v>
      </c>
    </row>
    <row r="16090" spans="1:8" x14ac:dyDescent="0.2">
      <c r="A16090" t="str">
        <f t="shared" si="5832"/>
        <v>0615109292</v>
      </c>
      <c r="B16090" t="str">
        <f t="shared" si="5833"/>
        <v>BLAKE</v>
      </c>
      <c r="C16090" t="str">
        <f t="shared" si="5834"/>
        <v>SMILEY</v>
      </c>
      <c r="D16090">
        <f>10</f>
        <v>10</v>
      </c>
      <c r="E16090" t="str">
        <f>"01 - S1 - A - 101 - Lissa C Frederique"</f>
        <v>01 - S1 - A - 101 - Lissa C Frederique</v>
      </c>
      <c r="F16090" t="str">
        <f>"PERS FIN &amp; MON MGT H"</f>
        <v>PERS FIN &amp; MON MGT H</v>
      </c>
      <c r="G16090" t="str">
        <f>"17-1754"</f>
        <v>17-1754</v>
      </c>
      <c r="H16090" t="str">
        <f>"A"</f>
        <v>A</v>
      </c>
    </row>
    <row r="16091" spans="1:8" x14ac:dyDescent="0.2">
      <c r="A16091" t="str">
        <f t="shared" si="5832"/>
        <v>0615109292</v>
      </c>
      <c r="B16091" t="str">
        <f t="shared" si="5833"/>
        <v>BLAKE</v>
      </c>
      <c r="C16091" t="str">
        <f t="shared" si="5834"/>
        <v>SMILEY</v>
      </c>
      <c r="D16091">
        <f>10</f>
        <v>10</v>
      </c>
      <c r="E16091" t="str">
        <f>"08 - B - 102 - Jacquelyn M Neeson"</f>
        <v>08 - B - 102 - Jacquelyn M Neeson</v>
      </c>
      <c r="F16091" t="str">
        <f>"AICE ENG GEN PAPER 1"</f>
        <v>AICE ENG GEN PAPER 1</v>
      </c>
      <c r="G16091" t="str">
        <f>"17-1715"</f>
        <v>17-1715</v>
      </c>
      <c r="H16091" t="str">
        <f>"B"</f>
        <v>B</v>
      </c>
    </row>
    <row r="16092" spans="1:8" x14ac:dyDescent="0.2">
      <c r="A16092" t="str">
        <f t="shared" ref="A16092:A16099" si="5835">"0615110199"</f>
        <v>0615110199</v>
      </c>
      <c r="B16092" t="str">
        <f t="shared" ref="B16092:B16099" si="5836">"ALEXANDRA"</f>
        <v>ALEXANDRA</v>
      </c>
      <c r="C16092" t="str">
        <f t="shared" ref="C16092:C16099" si="5837">"SMIRNOFF"</f>
        <v>SMIRNOFF</v>
      </c>
      <c r="D16092">
        <f>11</f>
        <v>11</v>
      </c>
      <c r="E16092" t="str">
        <f>"04 - A - 101 - Jerry S Jiampetti"</f>
        <v>04 - A - 101 - Jerry S Jiampetti</v>
      </c>
      <c r="F16092" t="str">
        <f>"AICE U.S. HIST 1 AS"</f>
        <v>AICE U.S. HIST 1 AS</v>
      </c>
      <c r="G16092" t="str">
        <f>"17-1751"</f>
        <v>17-1751</v>
      </c>
      <c r="H16092" t="str">
        <f>"A"</f>
        <v>A</v>
      </c>
    </row>
    <row r="16093" spans="1:8" x14ac:dyDescent="0.2">
      <c r="A16093" t="str">
        <f t="shared" si="5835"/>
        <v>0615110199</v>
      </c>
      <c r="B16093" t="str">
        <f t="shared" si="5836"/>
        <v>ALEXANDRA</v>
      </c>
      <c r="C16093" t="str">
        <f t="shared" si="5837"/>
        <v>SMIRNOFF</v>
      </c>
      <c r="D16093">
        <f>11</f>
        <v>11</v>
      </c>
      <c r="E16093" t="str">
        <f>"06 - S1 - B - 102 - Daniel S Katz"</f>
        <v>06 - S1 - B - 102 - Daniel S Katz</v>
      </c>
      <c r="F16093" t="str">
        <f>"COURT PROCED"</f>
        <v>COURT PROCED</v>
      </c>
      <c r="G16093" t="str">
        <f>"21-2156"</f>
        <v>21-2156</v>
      </c>
      <c r="H16093" t="str">
        <f>"B"</f>
        <v>B</v>
      </c>
    </row>
    <row r="16094" spans="1:8" x14ac:dyDescent="0.2">
      <c r="A16094" t="str">
        <f t="shared" si="5835"/>
        <v>0615110199</v>
      </c>
      <c r="B16094" t="str">
        <f t="shared" si="5836"/>
        <v>ALEXANDRA</v>
      </c>
      <c r="C16094" t="str">
        <f t="shared" si="5837"/>
        <v>SMIRNOFF</v>
      </c>
      <c r="D16094">
        <f>11</f>
        <v>11</v>
      </c>
      <c r="E16094" t="str">
        <f>"03 - A - 104 - Fernando  Vega-Cid"</f>
        <v>03 - A - 104 - Fernando  Vega-Cid</v>
      </c>
      <c r="F16094" t="str">
        <f>"GEOMETRY"</f>
        <v>GEOMETRY</v>
      </c>
      <c r="G16094" t="str">
        <f>"21-2163"</f>
        <v>21-2163</v>
      </c>
      <c r="H16094" t="str">
        <f>"A"</f>
        <v>A</v>
      </c>
    </row>
    <row r="16095" spans="1:8" x14ac:dyDescent="0.2">
      <c r="A16095" t="str">
        <f t="shared" si="5835"/>
        <v>0615110199</v>
      </c>
      <c r="B16095" t="str">
        <f t="shared" si="5836"/>
        <v>ALEXANDRA</v>
      </c>
      <c r="C16095" t="str">
        <f t="shared" si="5837"/>
        <v>SMIRNOFF</v>
      </c>
      <c r="D16095">
        <f>11</f>
        <v>11</v>
      </c>
      <c r="E16095" t="str">
        <f>"02 - A - 107 - Elizabeth Ellen  Moran"</f>
        <v>02 - A - 107 - Elizabeth Ellen  Moran</v>
      </c>
      <c r="F16095" t="str">
        <f>"NC STUDY HALL 1"</f>
        <v>NC STUDY HALL 1</v>
      </c>
      <c r="G16095" t="str">
        <f>"17-1752"</f>
        <v>17-1752</v>
      </c>
      <c r="H16095" t="str">
        <f>"A"</f>
        <v>A</v>
      </c>
    </row>
    <row r="16096" spans="1:8" x14ac:dyDescent="0.2">
      <c r="A16096" t="str">
        <f t="shared" si="5835"/>
        <v>0615110199</v>
      </c>
      <c r="B16096" t="str">
        <f t="shared" si="5836"/>
        <v>ALEXANDRA</v>
      </c>
      <c r="C16096" t="str">
        <f t="shared" si="5837"/>
        <v>SMIRNOFF</v>
      </c>
      <c r="D16096">
        <f>11</f>
        <v>11</v>
      </c>
      <c r="E16096" t="str">
        <f>"07 - B - 204 - Scott A Dethloff"</f>
        <v>07 - B - 204 - Scott A Dethloff</v>
      </c>
      <c r="F16096" t="str">
        <f>"CHEMISTRY 1"</f>
        <v>CHEMISTRY 1</v>
      </c>
      <c r="G16096" t="str">
        <f>"08-812"</f>
        <v>08-812</v>
      </c>
      <c r="H16096" t="str">
        <f>"B"</f>
        <v>B</v>
      </c>
    </row>
    <row r="16097" spans="1:8" x14ac:dyDescent="0.2">
      <c r="A16097" t="str">
        <f t="shared" si="5835"/>
        <v>0615110199</v>
      </c>
      <c r="B16097" t="str">
        <f t="shared" si="5836"/>
        <v>ALEXANDRA</v>
      </c>
      <c r="C16097" t="str">
        <f t="shared" si="5837"/>
        <v>SMIRNOFF</v>
      </c>
      <c r="D16097">
        <f>11</f>
        <v>11</v>
      </c>
      <c r="E16097" t="str">
        <f>"05 - B - 103 - Brandy N Zdenek"</f>
        <v>05 - B - 103 - Brandy N Zdenek</v>
      </c>
      <c r="F16097" t="str">
        <f>"AICE ENG LANG 2 AL"</f>
        <v>AICE ENG LANG 2 AL</v>
      </c>
      <c r="G16097" t="str">
        <f>"17-1704"</f>
        <v>17-1704</v>
      </c>
      <c r="H16097" t="str">
        <f>"B"</f>
        <v>B</v>
      </c>
    </row>
    <row r="16098" spans="1:8" x14ac:dyDescent="0.2">
      <c r="A16098" t="str">
        <f t="shared" si="5835"/>
        <v>0615110199</v>
      </c>
      <c r="B16098" t="str">
        <f t="shared" si="5836"/>
        <v>ALEXANDRA</v>
      </c>
      <c r="C16098" t="str">
        <f t="shared" si="5837"/>
        <v>SMIRNOFF</v>
      </c>
      <c r="D16098">
        <f>11</f>
        <v>11</v>
      </c>
      <c r="E16098" t="str">
        <f>"01 - A - 201 - Stefanie S Scher"</f>
        <v>01 - A - 201 - Stefanie S Scher</v>
      </c>
      <c r="F16098" t="str">
        <f>"AICE PSYCH 1 AS"</f>
        <v>AICE PSYCH 1 AS</v>
      </c>
      <c r="G16098" t="str">
        <f>"17-1735"</f>
        <v>17-1735</v>
      </c>
      <c r="H16098" t="str">
        <f>"A"</f>
        <v>A</v>
      </c>
    </row>
    <row r="16099" spans="1:8" x14ac:dyDescent="0.2">
      <c r="A16099" t="str">
        <f t="shared" si="5835"/>
        <v>0615110199</v>
      </c>
      <c r="B16099" t="str">
        <f t="shared" si="5836"/>
        <v>ALEXANDRA</v>
      </c>
      <c r="C16099" t="str">
        <f t="shared" si="5837"/>
        <v>SMIRNOFF</v>
      </c>
      <c r="D16099">
        <f>11</f>
        <v>11</v>
      </c>
      <c r="E16099" t="str">
        <f>"08 - B - 103 - Chrystina M Marchionne"</f>
        <v>08 - B - 103 - Chrystina M Marchionne</v>
      </c>
      <c r="F16099" t="str">
        <f>"JOURN 3 (YB) LH"</f>
        <v>JOURN 3 (YB) LH</v>
      </c>
      <c r="G16099" t="str">
        <f>"05-520"</f>
        <v>05-520</v>
      </c>
      <c r="H16099" t="str">
        <f>"B"</f>
        <v>B</v>
      </c>
    </row>
    <row r="16100" spans="1:8" x14ac:dyDescent="0.2">
      <c r="A16100" t="str">
        <f t="shared" ref="A16100:A16107" si="5838">"0616022309"</f>
        <v>0616022309</v>
      </c>
      <c r="B16100" t="str">
        <f t="shared" ref="B16100:B16107" si="5839">"ALAHNI"</f>
        <v>ALAHNI</v>
      </c>
      <c r="C16100" t="str">
        <f t="shared" ref="C16100:C16131" si="5840">"SMITH"</f>
        <v>SMITH</v>
      </c>
      <c r="D16100">
        <f>10</f>
        <v>10</v>
      </c>
      <c r="E16100" t="str">
        <f>"04 - A - 102 - Byron G Montenegro"</f>
        <v>04 - A - 102 - Byron G Montenegro</v>
      </c>
      <c r="F16100" t="str">
        <f>"AICE MARINE SCI 1 AS"</f>
        <v>AICE MARINE SCI 1 AS</v>
      </c>
      <c r="G16100" t="str">
        <f>"21-2144"</f>
        <v>21-2144</v>
      </c>
      <c r="H16100" t="str">
        <f>"A"</f>
        <v>A</v>
      </c>
    </row>
    <row r="16101" spans="1:8" x14ac:dyDescent="0.2">
      <c r="A16101" t="str">
        <f t="shared" si="5838"/>
        <v>0616022309</v>
      </c>
      <c r="B16101" t="str">
        <f t="shared" si="5839"/>
        <v>ALAHNI</v>
      </c>
      <c r="C16101" t="str">
        <f t="shared" si="5840"/>
        <v>SMITH</v>
      </c>
      <c r="D16101">
        <f>10</f>
        <v>10</v>
      </c>
      <c r="E16101" t="str">
        <f>"06 - B - 105 - Jeffrey S Gallagher"</f>
        <v>06 - B - 105 - Jeffrey S Gallagher</v>
      </c>
      <c r="F16101" t="str">
        <f>"NC STUDY HALL 1"</f>
        <v>NC STUDY HALL 1</v>
      </c>
      <c r="G16101" t="str">
        <f>"17-1724"</f>
        <v>17-1724</v>
      </c>
      <c r="H16101" t="str">
        <f>"B"</f>
        <v>B</v>
      </c>
    </row>
    <row r="16102" spans="1:8" x14ac:dyDescent="0.2">
      <c r="A16102" t="str">
        <f t="shared" si="5838"/>
        <v>0616022309</v>
      </c>
      <c r="B16102" t="str">
        <f t="shared" si="5839"/>
        <v>ALAHNI</v>
      </c>
      <c r="C16102" t="str">
        <f t="shared" si="5840"/>
        <v>SMITH</v>
      </c>
      <c r="D16102">
        <f>10</f>
        <v>10</v>
      </c>
      <c r="E16102" t="str">
        <f>"03 - A - 201 - Joe  Kilpatrick Jr"</f>
        <v>03 - A - 201 - Joe  Kilpatrick Jr</v>
      </c>
      <c r="F16102" t="str">
        <f>"PRE-AICE SPAN 2 IG"</f>
        <v>PRE-AICE SPAN 2 IG</v>
      </c>
      <c r="G16102" t="str">
        <f>"09-912"</f>
        <v>09-912</v>
      </c>
      <c r="H16102" t="str">
        <f>"A"</f>
        <v>A</v>
      </c>
    </row>
    <row r="16103" spans="1:8" x14ac:dyDescent="0.2">
      <c r="A16103" t="str">
        <f t="shared" si="5838"/>
        <v>0616022309</v>
      </c>
      <c r="B16103" t="str">
        <f t="shared" si="5839"/>
        <v>ALAHNI</v>
      </c>
      <c r="C16103" t="str">
        <f t="shared" si="5840"/>
        <v>SMITH</v>
      </c>
      <c r="D16103">
        <f>10</f>
        <v>10</v>
      </c>
      <c r="E16103" t="str">
        <f>"02 - A - 205 - Emmily A Sarmiento"</f>
        <v>02 - A - 205 - Emmily A Sarmiento</v>
      </c>
      <c r="F16103" t="str">
        <f>"AICE GLBL PERSP 1 AS"</f>
        <v>AICE GLBL PERSP 1 AS</v>
      </c>
      <c r="G16103" t="str">
        <f>"17-1743"</f>
        <v>17-1743</v>
      </c>
      <c r="H16103" t="str">
        <f>"A"</f>
        <v>A</v>
      </c>
    </row>
    <row r="16104" spans="1:8" x14ac:dyDescent="0.2">
      <c r="A16104" t="str">
        <f t="shared" si="5838"/>
        <v>0616022309</v>
      </c>
      <c r="B16104" t="str">
        <f t="shared" si="5839"/>
        <v>ALAHNI</v>
      </c>
      <c r="C16104" t="str">
        <f t="shared" si="5840"/>
        <v>SMITH</v>
      </c>
      <c r="D16104">
        <f>10</f>
        <v>10</v>
      </c>
      <c r="E16104" t="str">
        <f>"07 - B - 102 - Lourivaldo  Da Silva"</f>
        <v>07 - B - 102 - Lourivaldo  Da Silva</v>
      </c>
      <c r="F16104" t="str">
        <f>"ALGEBRA 2 HON"</f>
        <v>ALGEBRA 2 HON</v>
      </c>
      <c r="G16104" t="str">
        <f>"20-2079"</f>
        <v>20-2079</v>
      </c>
      <c r="H16104" t="str">
        <f>"B"</f>
        <v>B</v>
      </c>
    </row>
    <row r="16105" spans="1:8" x14ac:dyDescent="0.2">
      <c r="A16105" t="str">
        <f t="shared" si="5838"/>
        <v>0616022309</v>
      </c>
      <c r="B16105" t="str">
        <f t="shared" si="5839"/>
        <v>ALAHNI</v>
      </c>
      <c r="C16105" t="str">
        <f t="shared" si="5840"/>
        <v>SMITH</v>
      </c>
      <c r="D16105">
        <f>10</f>
        <v>10</v>
      </c>
      <c r="E16105" t="str">
        <f>"05 - B - 202 - Daniel S Katz"</f>
        <v>05 - B - 202 - Daniel S Katz</v>
      </c>
      <c r="F16105" t="str">
        <f>"EXEC INTERN 3 LH"</f>
        <v>EXEC INTERN 3 LH</v>
      </c>
      <c r="G16105" t="str">
        <f>"21-2156"</f>
        <v>21-2156</v>
      </c>
      <c r="H16105" t="str">
        <f>"B"</f>
        <v>B</v>
      </c>
    </row>
    <row r="16106" spans="1:8" x14ac:dyDescent="0.2">
      <c r="A16106" t="str">
        <f t="shared" si="5838"/>
        <v>0616022309</v>
      </c>
      <c r="B16106" t="str">
        <f t="shared" si="5839"/>
        <v>ALAHNI</v>
      </c>
      <c r="C16106" t="str">
        <f t="shared" si="5840"/>
        <v>SMITH</v>
      </c>
      <c r="D16106">
        <f>10</f>
        <v>10</v>
      </c>
      <c r="E16106" t="str">
        <f>"01 - A - 101 - Courtney E Hambright"</f>
        <v>01 - A - 101 - Courtney E Hambright</v>
      </c>
      <c r="F16106" t="str">
        <f>"AICE ENG LANG AS"</f>
        <v>AICE ENG LANG AS</v>
      </c>
      <c r="G16106" t="str">
        <f>"17-1711"</f>
        <v>17-1711</v>
      </c>
      <c r="H16106" t="str">
        <f>"A"</f>
        <v>A</v>
      </c>
    </row>
    <row r="16107" spans="1:8" x14ac:dyDescent="0.2">
      <c r="A16107" t="str">
        <f t="shared" si="5838"/>
        <v>0616022309</v>
      </c>
      <c r="B16107" t="str">
        <f t="shared" si="5839"/>
        <v>ALAHNI</v>
      </c>
      <c r="C16107" t="str">
        <f t="shared" si="5840"/>
        <v>SMITH</v>
      </c>
      <c r="D16107">
        <f>10</f>
        <v>10</v>
      </c>
      <c r="E16107" t="str">
        <f>"08 - B - 206 - Daniel S Katz"</f>
        <v>08 - B - 206 - Daniel S Katz</v>
      </c>
      <c r="F16107" t="str">
        <f>"AICE MEDIASTUDIES AS"</f>
        <v>AICE MEDIASTUDIES AS</v>
      </c>
      <c r="G16107" t="str">
        <f>"05-521"</f>
        <v>05-521</v>
      </c>
      <c r="H16107" t="str">
        <f>"B"</f>
        <v>B</v>
      </c>
    </row>
    <row r="16108" spans="1:8" x14ac:dyDescent="0.2">
      <c r="A16108" t="str">
        <f t="shared" ref="A16108:A16115" si="5841">"0618022182"</f>
        <v>0618022182</v>
      </c>
      <c r="B16108" t="str">
        <f t="shared" ref="B16108:B16115" si="5842">"ALLISA"</f>
        <v>ALLISA</v>
      </c>
      <c r="C16108" t="str">
        <f t="shared" si="5840"/>
        <v>SMITH</v>
      </c>
      <c r="D16108">
        <f>10</f>
        <v>10</v>
      </c>
      <c r="E16108" t="str">
        <f>"04 - S1 - A - 101 - Kyle  Robbins"</f>
        <v>04 - S1 - A - 101 - Kyle  Robbins</v>
      </c>
      <c r="F16108" t="str">
        <f>"PERS FIN &amp; MON MGT H"</f>
        <v>PERS FIN &amp; MON MGT H</v>
      </c>
      <c r="G16108" t="str">
        <f>"17-1745"</f>
        <v>17-1745</v>
      </c>
      <c r="H16108" t="str">
        <f>"A"</f>
        <v>A</v>
      </c>
    </row>
    <row r="16109" spans="1:8" x14ac:dyDescent="0.2">
      <c r="A16109" t="str">
        <f t="shared" si="5841"/>
        <v>0618022182</v>
      </c>
      <c r="B16109" t="str">
        <f t="shared" si="5842"/>
        <v>ALLISA</v>
      </c>
      <c r="C16109" t="str">
        <f t="shared" si="5840"/>
        <v>SMITH</v>
      </c>
      <c r="D16109">
        <f>10</f>
        <v>10</v>
      </c>
      <c r="E16109" t="str">
        <f>"06 - B - 107 - Dorothy D Moore"</f>
        <v>06 - B - 107 - Dorothy D Moore</v>
      </c>
      <c r="F16109" t="str">
        <f>"NC STUDY HALL 1"</f>
        <v>NC STUDY HALL 1</v>
      </c>
      <c r="G16109" t="str">
        <f>"08-803"</f>
        <v>08-803</v>
      </c>
      <c r="H16109" t="str">
        <f>"B"</f>
        <v>B</v>
      </c>
    </row>
    <row r="16110" spans="1:8" x14ac:dyDescent="0.2">
      <c r="A16110" t="str">
        <f t="shared" si="5841"/>
        <v>0618022182</v>
      </c>
      <c r="B16110" t="str">
        <f t="shared" si="5842"/>
        <v>ALLISA</v>
      </c>
      <c r="C16110" t="str">
        <f t="shared" si="5840"/>
        <v>SMITH</v>
      </c>
      <c r="D16110">
        <f>10</f>
        <v>10</v>
      </c>
      <c r="E16110" t="str">
        <f>"03 - A - 101 - Jazmin S Fletcher"</f>
        <v>03 - A - 101 - Jazmin S Fletcher</v>
      </c>
      <c r="F16110" t="str">
        <f>"TECH THEA DES&amp;PROD 1"</f>
        <v>TECH THEA DES&amp;PROD 1</v>
      </c>
      <c r="G16110" t="str">
        <f>"09-909"</f>
        <v>09-909</v>
      </c>
      <c r="H16110" t="str">
        <f>"A"</f>
        <v>A</v>
      </c>
    </row>
    <row r="16111" spans="1:8" x14ac:dyDescent="0.2">
      <c r="A16111" t="str">
        <f t="shared" si="5841"/>
        <v>0618022182</v>
      </c>
      <c r="B16111" t="str">
        <f t="shared" si="5842"/>
        <v>ALLISA</v>
      </c>
      <c r="C16111" t="str">
        <f t="shared" si="5840"/>
        <v>SMITH</v>
      </c>
      <c r="D16111">
        <f>10</f>
        <v>10</v>
      </c>
      <c r="E16111" t="str">
        <f>"02 - A - 102 - Jacklyn M James"</f>
        <v>02 - A - 102 - Jacklyn M James</v>
      </c>
      <c r="F16111" t="str">
        <f>"AICE ENG LANG AS"</f>
        <v>AICE ENG LANG AS</v>
      </c>
      <c r="G16111" t="str">
        <f>"17-1731"</f>
        <v>17-1731</v>
      </c>
      <c r="H16111" t="str">
        <f>"A"</f>
        <v>A</v>
      </c>
    </row>
    <row r="16112" spans="1:8" x14ac:dyDescent="0.2">
      <c r="A16112" t="str">
        <f t="shared" si="5841"/>
        <v>0618022182</v>
      </c>
      <c r="B16112" t="str">
        <f t="shared" si="5842"/>
        <v>ALLISA</v>
      </c>
      <c r="C16112" t="str">
        <f t="shared" si="5840"/>
        <v>SMITH</v>
      </c>
      <c r="D16112">
        <f>10</f>
        <v>10</v>
      </c>
      <c r="E16112" t="str">
        <f>"07 - B - 106 - James H Mccann"</f>
        <v>07 - B - 106 - James H Mccann</v>
      </c>
      <c r="F16112" t="str">
        <f>"ALGEBRA 2"</f>
        <v>ALGEBRA 2</v>
      </c>
      <c r="G16112" t="str">
        <f>"17-1716"</f>
        <v>17-1716</v>
      </c>
      <c r="H16112" t="str">
        <f>"B"</f>
        <v>B</v>
      </c>
    </row>
    <row r="16113" spans="1:8" x14ac:dyDescent="0.2">
      <c r="A16113" t="str">
        <f t="shared" si="5841"/>
        <v>0618022182</v>
      </c>
      <c r="B16113" t="str">
        <f t="shared" si="5842"/>
        <v>ALLISA</v>
      </c>
      <c r="C16113" t="str">
        <f t="shared" si="5840"/>
        <v>SMITH</v>
      </c>
      <c r="D16113">
        <f>10</f>
        <v>10</v>
      </c>
      <c r="E16113" t="str">
        <f>"05 - B - 201 - Lisa J London"</f>
        <v>05 - B - 201 - Lisa J London</v>
      </c>
      <c r="F16113" t="str">
        <f>"COMPRE LAW HON"</f>
        <v>COMPRE LAW HON</v>
      </c>
      <c r="G16113" t="str">
        <f>"17-1714"</f>
        <v>17-1714</v>
      </c>
      <c r="H16113" t="str">
        <f>"B"</f>
        <v>B</v>
      </c>
    </row>
    <row r="16114" spans="1:8" x14ac:dyDescent="0.2">
      <c r="A16114" t="str">
        <f t="shared" si="5841"/>
        <v>0618022182</v>
      </c>
      <c r="B16114" t="str">
        <f t="shared" si="5842"/>
        <v>ALLISA</v>
      </c>
      <c r="C16114" t="str">
        <f t="shared" si="5840"/>
        <v>SMITH</v>
      </c>
      <c r="D16114">
        <f>10</f>
        <v>10</v>
      </c>
      <c r="E16114" t="str">
        <f>"01 - A - 101 - Byron G Montenegro"</f>
        <v>01 - A - 101 - Byron G Montenegro</v>
      </c>
      <c r="F16114" t="str">
        <f>"AICE MARINE SCI 1 AS"</f>
        <v>AICE MARINE SCI 1 AS</v>
      </c>
      <c r="G16114" t="str">
        <f>"21-2144"</f>
        <v>21-2144</v>
      </c>
      <c r="H16114" t="str">
        <f>"A"</f>
        <v>A</v>
      </c>
    </row>
    <row r="16115" spans="1:8" x14ac:dyDescent="0.2">
      <c r="A16115" t="str">
        <f t="shared" si="5841"/>
        <v>0618022182</v>
      </c>
      <c r="B16115" t="str">
        <f t="shared" si="5842"/>
        <v>ALLISA</v>
      </c>
      <c r="C16115" t="str">
        <f t="shared" si="5840"/>
        <v>SMITH</v>
      </c>
      <c r="D16115">
        <f>10</f>
        <v>10</v>
      </c>
      <c r="E16115" t="str">
        <f>"08 - B - 109 - Emmily A Sarmiento"</f>
        <v>08 - B - 109 - Emmily A Sarmiento</v>
      </c>
      <c r="F16115" t="str">
        <f>"AICE GLBL PERSP 1 AS"</f>
        <v>AICE GLBL PERSP 1 AS</v>
      </c>
      <c r="G16115" t="str">
        <f>"17-1743"</f>
        <v>17-1743</v>
      </c>
      <c r="H16115" t="str">
        <f>"B"</f>
        <v>B</v>
      </c>
    </row>
    <row r="16116" spans="1:8" x14ac:dyDescent="0.2">
      <c r="A16116" t="str">
        <f t="shared" ref="A16116:A16123" si="5843">"0615142437"</f>
        <v>0615142437</v>
      </c>
      <c r="B16116" t="str">
        <f t="shared" ref="B16116:B16123" si="5844">"ARIEL"</f>
        <v>ARIEL</v>
      </c>
      <c r="C16116" t="str">
        <f t="shared" si="5840"/>
        <v>SMITH</v>
      </c>
      <c r="D16116">
        <f>10</f>
        <v>10</v>
      </c>
      <c r="E16116" t="str">
        <f>"04 - A - 102 - Jordana K Hass"</f>
        <v>04 - A - 102 - Jordana K Hass</v>
      </c>
      <c r="F16116" t="str">
        <f>"CHEMISTRY 1"</f>
        <v>CHEMISTRY 1</v>
      </c>
      <c r="G16116" t="str">
        <f>"08-807"</f>
        <v>08-807</v>
      </c>
      <c r="H16116" t="str">
        <f>"A"</f>
        <v>A</v>
      </c>
    </row>
    <row r="16117" spans="1:8" x14ac:dyDescent="0.2">
      <c r="A16117" t="str">
        <f t="shared" si="5843"/>
        <v>0615142437</v>
      </c>
      <c r="B16117" t="str">
        <f t="shared" si="5844"/>
        <v>ARIEL</v>
      </c>
      <c r="C16117" t="str">
        <f t="shared" si="5840"/>
        <v>SMITH</v>
      </c>
      <c r="D16117">
        <f>10</f>
        <v>10</v>
      </c>
      <c r="E16117" t="str">
        <f>"06 - B - 112 - Tina M Jaramillo"</f>
        <v>06 - B - 112 - Tina M Jaramillo</v>
      </c>
      <c r="F16117" t="str">
        <f>"NC STUDY HALL 1"</f>
        <v>NC STUDY HALL 1</v>
      </c>
      <c r="G16117" t="str">
        <f>"17-1706"</f>
        <v>17-1706</v>
      </c>
      <c r="H16117" t="str">
        <f>"B"</f>
        <v>B</v>
      </c>
    </row>
    <row r="16118" spans="1:8" x14ac:dyDescent="0.2">
      <c r="A16118" t="str">
        <f t="shared" si="5843"/>
        <v>0615142437</v>
      </c>
      <c r="B16118" t="str">
        <f t="shared" si="5844"/>
        <v>ARIEL</v>
      </c>
      <c r="C16118" t="str">
        <f t="shared" si="5840"/>
        <v>SMITH</v>
      </c>
      <c r="D16118">
        <f>10</f>
        <v>10</v>
      </c>
      <c r="E16118" t="str">
        <f>"03 - A - 201 - Alejandro  Navarro"</f>
        <v>03 - A - 201 - Alejandro  Navarro</v>
      </c>
      <c r="F16118" t="str">
        <f>"BAND 2"</f>
        <v>BAND 2</v>
      </c>
      <c r="G16118" t="str">
        <f>"05-504"</f>
        <v>05-504</v>
      </c>
      <c r="H16118" t="str">
        <f>"A"</f>
        <v>A</v>
      </c>
    </row>
    <row r="16119" spans="1:8" x14ac:dyDescent="0.2">
      <c r="A16119" t="str">
        <f t="shared" si="5843"/>
        <v>0615142437</v>
      </c>
      <c r="B16119" t="str">
        <f t="shared" si="5844"/>
        <v>ARIEL</v>
      </c>
      <c r="C16119" t="str">
        <f t="shared" si="5840"/>
        <v>SMITH</v>
      </c>
      <c r="D16119">
        <f>10</f>
        <v>10</v>
      </c>
      <c r="E16119" t="str">
        <f>"02 - A - 101 - Brian M Fitzgerald"</f>
        <v>02 - A - 101 - Brian M Fitzgerald</v>
      </c>
      <c r="F16119" t="str">
        <f>"DRAW 1"</f>
        <v>DRAW 1</v>
      </c>
      <c r="G16119" t="str">
        <f>"09-908"</f>
        <v>09-908</v>
      </c>
      <c r="H16119" t="str">
        <f>"A"</f>
        <v>A</v>
      </c>
    </row>
    <row r="16120" spans="1:8" x14ac:dyDescent="0.2">
      <c r="A16120" t="str">
        <f t="shared" si="5843"/>
        <v>0615142437</v>
      </c>
      <c r="B16120" t="str">
        <f t="shared" si="5844"/>
        <v>ARIEL</v>
      </c>
      <c r="C16120" t="str">
        <f t="shared" si="5840"/>
        <v>SMITH</v>
      </c>
      <c r="D16120">
        <f>10</f>
        <v>10</v>
      </c>
      <c r="E16120" t="str">
        <f>"07 - B - 102 - Nikiel  Nesbeth"</f>
        <v>07 - B - 102 - Nikiel  Nesbeth</v>
      </c>
      <c r="F16120" t="str">
        <f>"PRE-AICE ENG LIT IG"</f>
        <v>PRE-AICE ENG LIT IG</v>
      </c>
      <c r="G16120" t="str">
        <f>"17-1705"</f>
        <v>17-1705</v>
      </c>
      <c r="H16120" t="str">
        <f>"B"</f>
        <v>B</v>
      </c>
    </row>
    <row r="16121" spans="1:8" x14ac:dyDescent="0.2">
      <c r="A16121" t="str">
        <f t="shared" si="5843"/>
        <v>0615142437</v>
      </c>
      <c r="B16121" t="str">
        <f t="shared" si="5844"/>
        <v>ARIEL</v>
      </c>
      <c r="C16121" t="str">
        <f t="shared" si="5840"/>
        <v>SMITH</v>
      </c>
      <c r="D16121">
        <f>10</f>
        <v>10</v>
      </c>
      <c r="E16121" t="str">
        <f>"05 - B - 108 - James H Mccann"</f>
        <v>05 - B - 108 - James H Mccann</v>
      </c>
      <c r="F16121" t="str">
        <f>"ALGEBRA 2"</f>
        <v>ALGEBRA 2</v>
      </c>
      <c r="G16121" t="str">
        <f>"17-1716"</f>
        <v>17-1716</v>
      </c>
      <c r="H16121" t="str">
        <f>"B"</f>
        <v>B</v>
      </c>
    </row>
    <row r="16122" spans="1:8" x14ac:dyDescent="0.2">
      <c r="A16122" t="str">
        <f t="shared" si="5843"/>
        <v>0615142437</v>
      </c>
      <c r="B16122" t="str">
        <f t="shared" si="5844"/>
        <v>ARIEL</v>
      </c>
      <c r="C16122" t="str">
        <f t="shared" si="5840"/>
        <v>SMITH</v>
      </c>
      <c r="D16122">
        <f>10</f>
        <v>10</v>
      </c>
      <c r="E16122" t="str">
        <f>"01 - A - 101 - Vanessa J Liburd"</f>
        <v>01 - A - 101 - Vanessa J Liburd</v>
      </c>
      <c r="F16122" t="str">
        <f>"PRE-AICE FRENCH 1 IG"</f>
        <v>PRE-AICE FRENCH 1 IG</v>
      </c>
      <c r="G16122" t="str">
        <f>"05-519"</f>
        <v>05-519</v>
      </c>
      <c r="H16122" t="str">
        <f>"A"</f>
        <v>A</v>
      </c>
    </row>
    <row r="16123" spans="1:8" x14ac:dyDescent="0.2">
      <c r="A16123" t="str">
        <f t="shared" si="5843"/>
        <v>0615142437</v>
      </c>
      <c r="B16123" t="str">
        <f t="shared" si="5844"/>
        <v>ARIEL</v>
      </c>
      <c r="C16123" t="str">
        <f t="shared" si="5840"/>
        <v>SMITH</v>
      </c>
      <c r="D16123">
        <f>10</f>
        <v>10</v>
      </c>
      <c r="E16123" t="str">
        <f>"08 - S1 - B - 102 - Kyle  Robbins"</f>
        <v>08 - S1 - B - 102 - Kyle  Robbins</v>
      </c>
      <c r="F16123" t="str">
        <f>"PERS FIN &amp; MON MGT H"</f>
        <v>PERS FIN &amp; MON MGT H</v>
      </c>
      <c r="G16123" t="str">
        <f>"17-1745"</f>
        <v>17-1745</v>
      </c>
      <c r="H16123" t="str">
        <f>"B"</f>
        <v>B</v>
      </c>
    </row>
    <row r="16124" spans="1:8" x14ac:dyDescent="0.2">
      <c r="A16124" t="str">
        <f t="shared" ref="A16124:A16131" si="5845">"0616109506"</f>
        <v>0616109506</v>
      </c>
      <c r="B16124" t="str">
        <f t="shared" ref="B16124:B16131" si="5846">"BRANDON"</f>
        <v>BRANDON</v>
      </c>
      <c r="C16124" t="str">
        <f t="shared" si="5840"/>
        <v>SMITH</v>
      </c>
      <c r="D16124" t="str">
        <f t="shared" ref="D16124:D16139" si="5847">"09"</f>
        <v>09</v>
      </c>
      <c r="E16124" t="str">
        <f>"04 - A - 004 - Krystal Marie  Beruty"</f>
        <v>04 - A - 004 - Krystal Marie  Beruty</v>
      </c>
      <c r="F16124" t="str">
        <f>"AICE GLBL PERSP 1 AS"</f>
        <v>AICE GLBL PERSP 1 AS</v>
      </c>
      <c r="G16124" t="str">
        <f>"17-1721"</f>
        <v>17-1721</v>
      </c>
      <c r="H16124" t="str">
        <f>"A"</f>
        <v>A</v>
      </c>
    </row>
    <row r="16125" spans="1:8" x14ac:dyDescent="0.2">
      <c r="A16125" t="str">
        <f t="shared" si="5845"/>
        <v>0616109506</v>
      </c>
      <c r="B16125" t="str">
        <f t="shared" si="5846"/>
        <v>BRANDON</v>
      </c>
      <c r="C16125" t="str">
        <f t="shared" si="5840"/>
        <v>SMITH</v>
      </c>
      <c r="D16125" t="str">
        <f t="shared" si="5847"/>
        <v>09</v>
      </c>
      <c r="E16125" t="str">
        <f>"06 - S1 - B - 104 - Leslie J Barton"</f>
        <v>06 - S1 - B - 104 - Leslie J Barton</v>
      </c>
      <c r="F16125" t="str">
        <f>"FIRST AID SAFETY"</f>
        <v>FIRST AID SAFETY</v>
      </c>
      <c r="G16125" t="str">
        <f>"05-521"</f>
        <v>05-521</v>
      </c>
      <c r="H16125" t="str">
        <f>"B"</f>
        <v>B</v>
      </c>
    </row>
    <row r="16126" spans="1:8" x14ac:dyDescent="0.2">
      <c r="A16126" t="str">
        <f t="shared" si="5845"/>
        <v>0616109506</v>
      </c>
      <c r="B16126" t="str">
        <f t="shared" si="5846"/>
        <v>BRANDON</v>
      </c>
      <c r="C16126" t="str">
        <f t="shared" si="5840"/>
        <v>SMITH</v>
      </c>
      <c r="D16126" t="str">
        <f t="shared" si="5847"/>
        <v>09</v>
      </c>
      <c r="E16126" t="str">
        <f>"03 - A - 001 - Maried P Ramos"</f>
        <v>03 - A - 001 - Maried P Ramos</v>
      </c>
      <c r="F16126" t="str">
        <f>"PRE-AICE MATH 2 IG"</f>
        <v>PRE-AICE MATH 2 IG</v>
      </c>
      <c r="G16126" t="str">
        <f>"21-2159"</f>
        <v>21-2159</v>
      </c>
      <c r="H16126" t="str">
        <f>"A"</f>
        <v>A</v>
      </c>
    </row>
    <row r="16127" spans="1:8" x14ac:dyDescent="0.2">
      <c r="A16127" t="str">
        <f t="shared" si="5845"/>
        <v>0616109506</v>
      </c>
      <c r="B16127" t="str">
        <f t="shared" si="5846"/>
        <v>BRANDON</v>
      </c>
      <c r="C16127" t="str">
        <f t="shared" si="5840"/>
        <v>SMITH</v>
      </c>
      <c r="D16127" t="str">
        <f t="shared" si="5847"/>
        <v>09</v>
      </c>
      <c r="E16127" t="str">
        <f>"02 - A - 107 - Cerine S Stewart"</f>
        <v>02 - A - 107 - Cerine S Stewart</v>
      </c>
      <c r="F16127" t="str">
        <f>"NC STUDY HALL 1"</f>
        <v>NC STUDY HALL 1</v>
      </c>
      <c r="G16127" t="str">
        <f>"17-1720"</f>
        <v>17-1720</v>
      </c>
      <c r="H16127" t="str">
        <f>"A"</f>
        <v>A</v>
      </c>
    </row>
    <row r="16128" spans="1:8" x14ac:dyDescent="0.2">
      <c r="A16128" t="str">
        <f t="shared" si="5845"/>
        <v>0616109506</v>
      </c>
      <c r="B16128" t="str">
        <f t="shared" si="5846"/>
        <v>BRANDON</v>
      </c>
      <c r="C16128" t="str">
        <f t="shared" si="5840"/>
        <v>SMITH</v>
      </c>
      <c r="D16128" t="str">
        <f t="shared" si="5847"/>
        <v>09</v>
      </c>
      <c r="E16128" t="str">
        <f>"07 - B - 206 - Cheryl L Beach"</f>
        <v>07 - B - 206 - Cheryl L Beach</v>
      </c>
      <c r="F16128" t="str">
        <f>"AICE ENV MGMNT AS"</f>
        <v>AICE ENV MGMNT AS</v>
      </c>
      <c r="G16128" t="str">
        <f>"08-811"</f>
        <v>08-811</v>
      </c>
      <c r="H16128" t="str">
        <f>"B"</f>
        <v>B</v>
      </c>
    </row>
    <row r="16129" spans="1:8" x14ac:dyDescent="0.2">
      <c r="A16129" t="str">
        <f t="shared" si="5845"/>
        <v>0616109506</v>
      </c>
      <c r="B16129" t="str">
        <f t="shared" si="5846"/>
        <v>BRANDON</v>
      </c>
      <c r="C16129" t="str">
        <f t="shared" si="5840"/>
        <v>SMITH</v>
      </c>
      <c r="D16129" t="str">
        <f t="shared" si="5847"/>
        <v>09</v>
      </c>
      <c r="E16129" t="str">
        <f>"05 - B - 002 - Cheryl Anne  Berman-Schechter"</f>
        <v>05 - B - 002 - Cheryl Anne  Berman-Schechter</v>
      </c>
      <c r="F16129" t="str">
        <f>"AICE ENG GEN PAPER 1"</f>
        <v>AICE ENG GEN PAPER 1</v>
      </c>
      <c r="G16129" t="str">
        <f>"17-1722"</f>
        <v>17-1722</v>
      </c>
      <c r="H16129" t="str">
        <f>"B"</f>
        <v>B</v>
      </c>
    </row>
    <row r="16130" spans="1:8" x14ac:dyDescent="0.2">
      <c r="A16130" t="str">
        <f t="shared" si="5845"/>
        <v>0616109506</v>
      </c>
      <c r="B16130" t="str">
        <f t="shared" si="5846"/>
        <v>BRANDON</v>
      </c>
      <c r="C16130" t="str">
        <f t="shared" si="5840"/>
        <v>SMITH</v>
      </c>
      <c r="D16130" t="str">
        <f t="shared" si="5847"/>
        <v>09</v>
      </c>
      <c r="E16130" t="str">
        <f>"01 - A - 101 - Joe  Kilpatrick Jr"</f>
        <v>01 - A - 101 - Joe  Kilpatrick Jr</v>
      </c>
      <c r="F16130" t="str">
        <f>"PRE-AICE SPAN 1 IG"</f>
        <v>PRE-AICE SPAN 1 IG</v>
      </c>
      <c r="G16130" t="str">
        <f>"09-912"</f>
        <v>09-912</v>
      </c>
      <c r="H16130" t="str">
        <f>"A"</f>
        <v>A</v>
      </c>
    </row>
    <row r="16131" spans="1:8" x14ac:dyDescent="0.2">
      <c r="A16131" t="str">
        <f t="shared" si="5845"/>
        <v>0616109506</v>
      </c>
      <c r="B16131" t="str">
        <f t="shared" si="5846"/>
        <v>BRANDON</v>
      </c>
      <c r="C16131" t="str">
        <f t="shared" si="5840"/>
        <v>SMITH</v>
      </c>
      <c r="D16131" t="str">
        <f t="shared" si="5847"/>
        <v>09</v>
      </c>
      <c r="E16131" t="str">
        <f>"08 - B - 105 - Daniel S Tyson"</f>
        <v>08 - B - 105 - Daniel S Tyson</v>
      </c>
      <c r="F16131" t="str">
        <f>"JROTC NAVAL SCI 1"</f>
        <v>JROTC NAVAL SCI 1</v>
      </c>
      <c r="G16131" t="str">
        <f>"05-510"</f>
        <v>05-510</v>
      </c>
      <c r="H16131" t="str">
        <f>"B"</f>
        <v>B</v>
      </c>
    </row>
    <row r="16132" spans="1:8" x14ac:dyDescent="0.2">
      <c r="A16132" t="str">
        <f t="shared" ref="A16132:A16139" si="5848">"0615048896"</f>
        <v>0615048896</v>
      </c>
      <c r="B16132" t="str">
        <f t="shared" ref="B16132:B16139" si="5849">"DEANNE"</f>
        <v>DEANNE</v>
      </c>
      <c r="C16132" t="str">
        <f t="shared" ref="C16132:C16163" si="5850">"SMITH"</f>
        <v>SMITH</v>
      </c>
      <c r="D16132" t="str">
        <f t="shared" si="5847"/>
        <v>09</v>
      </c>
      <c r="E16132" t="str">
        <f>"04 - A - 103 - Lenecy  Nodarse"</f>
        <v>04 - A - 103 - Lenecy  Nodarse</v>
      </c>
      <c r="F16132" t="str">
        <f>"WORLD HISTORY"</f>
        <v>WORLD HISTORY</v>
      </c>
      <c r="G16132" t="str">
        <f>"17-1741"</f>
        <v>17-1741</v>
      </c>
      <c r="H16132" t="str">
        <f>"A"</f>
        <v>A</v>
      </c>
    </row>
    <row r="16133" spans="1:8" x14ac:dyDescent="0.2">
      <c r="A16133" t="str">
        <f t="shared" si="5848"/>
        <v>0615048896</v>
      </c>
      <c r="B16133" t="str">
        <f t="shared" si="5849"/>
        <v>DEANNE</v>
      </c>
      <c r="C16133" t="str">
        <f t="shared" si="5850"/>
        <v>SMITH</v>
      </c>
      <c r="D16133" t="str">
        <f t="shared" si="5847"/>
        <v>09</v>
      </c>
      <c r="E16133" t="str">
        <f>"06 - B - 106 - Adam Marcus  Drucker"</f>
        <v>06 - B - 106 - Adam Marcus  Drucker</v>
      </c>
      <c r="F16133" t="str">
        <f>"HOPE-PE V"</f>
        <v>HOPE-PE V</v>
      </c>
      <c r="G16133" t="str">
        <f>"04-254"</f>
        <v>04-254</v>
      </c>
      <c r="H16133" t="str">
        <f>"B"</f>
        <v>B</v>
      </c>
    </row>
    <row r="16134" spans="1:8" x14ac:dyDescent="0.2">
      <c r="A16134" t="str">
        <f t="shared" si="5848"/>
        <v>0615048896</v>
      </c>
      <c r="B16134" t="str">
        <f t="shared" si="5849"/>
        <v>DEANNE</v>
      </c>
      <c r="C16134" t="str">
        <f t="shared" si="5850"/>
        <v>SMITH</v>
      </c>
      <c r="D16134" t="str">
        <f t="shared" si="5847"/>
        <v>09</v>
      </c>
      <c r="E16134" t="str">
        <f>"03 - A - 102 - Laselleda D Shaw"</f>
        <v>03 - A - 102 - Laselleda D Shaw</v>
      </c>
      <c r="F16134" t="str">
        <f>"INTENS READ 1"</f>
        <v>INTENS READ 1</v>
      </c>
      <c r="G16134" t="str">
        <f>"17-1723"</f>
        <v>17-1723</v>
      </c>
      <c r="H16134" t="str">
        <f>"A"</f>
        <v>A</v>
      </c>
    </row>
    <row r="16135" spans="1:8" x14ac:dyDescent="0.2">
      <c r="A16135" t="str">
        <f t="shared" si="5848"/>
        <v>0615048896</v>
      </c>
      <c r="B16135" t="str">
        <f t="shared" si="5849"/>
        <v>DEANNE</v>
      </c>
      <c r="C16135" t="str">
        <f t="shared" si="5850"/>
        <v>SMITH</v>
      </c>
      <c r="D16135" t="str">
        <f t="shared" si="5847"/>
        <v>09</v>
      </c>
      <c r="E16135" t="str">
        <f>"02 - A - 103 - Angela S Adeshina-Morrison"</f>
        <v>02 - A - 103 - Angela S Adeshina-Morrison</v>
      </c>
      <c r="F16135" t="str">
        <f>"NC STUDY HALL 1"</f>
        <v>NC STUDY HALL 1</v>
      </c>
      <c r="G16135" t="str">
        <f>"05-518"</f>
        <v>05-518</v>
      </c>
      <c r="H16135" t="str">
        <f>"A"</f>
        <v>A</v>
      </c>
    </row>
    <row r="16136" spans="1:8" x14ac:dyDescent="0.2">
      <c r="A16136" t="str">
        <f t="shared" si="5848"/>
        <v>0615048896</v>
      </c>
      <c r="B16136" t="str">
        <f t="shared" si="5849"/>
        <v>DEANNE</v>
      </c>
      <c r="C16136" t="str">
        <f t="shared" si="5850"/>
        <v>SMITH</v>
      </c>
      <c r="D16136" t="str">
        <f t="shared" si="5847"/>
        <v>09</v>
      </c>
      <c r="E16136" t="str">
        <f>"07 - B - 106 - Dayna M Foster"</f>
        <v>07 - B - 106 - Dayna M Foster</v>
      </c>
      <c r="F16136" t="str">
        <f>"FDN SKLS MATH 9-12"</f>
        <v>FDN SKLS MATH 9-12</v>
      </c>
      <c r="G16136" t="str">
        <f>"21-2109"</f>
        <v>21-2109</v>
      </c>
      <c r="H16136" t="str">
        <f>"B"</f>
        <v>B</v>
      </c>
    </row>
    <row r="16137" spans="1:8" x14ac:dyDescent="0.2">
      <c r="A16137" t="str">
        <f t="shared" si="5848"/>
        <v>0615048896</v>
      </c>
      <c r="B16137" t="str">
        <f t="shared" si="5849"/>
        <v>DEANNE</v>
      </c>
      <c r="C16137" t="str">
        <f t="shared" si="5850"/>
        <v>SMITH</v>
      </c>
      <c r="D16137" t="str">
        <f t="shared" si="5847"/>
        <v>09</v>
      </c>
      <c r="E16137" t="str">
        <f>"05 - B - 202 - Amy Beth  Broyles"</f>
        <v>05 - B - 202 - Amy Beth  Broyles</v>
      </c>
      <c r="F16137" t="str">
        <f>"ENV SCI"</f>
        <v>ENV SCI</v>
      </c>
      <c r="G16137" t="str">
        <f>"08-802"</f>
        <v>08-802</v>
      </c>
      <c r="H16137" t="str">
        <f>"B"</f>
        <v>B</v>
      </c>
    </row>
    <row r="16138" spans="1:8" x14ac:dyDescent="0.2">
      <c r="A16138" t="str">
        <f t="shared" si="5848"/>
        <v>0615048896</v>
      </c>
      <c r="B16138" t="str">
        <f t="shared" si="5849"/>
        <v>DEANNE</v>
      </c>
      <c r="C16138" t="str">
        <f t="shared" si="5850"/>
        <v>SMITH</v>
      </c>
      <c r="D16138" t="str">
        <f t="shared" si="5847"/>
        <v>09</v>
      </c>
      <c r="E16138" t="str">
        <f>"01 - A - 108 - Dayna M Foster"</f>
        <v>01 - A - 108 - Dayna M Foster</v>
      </c>
      <c r="F16138" t="str">
        <f>"ALGEBRA 1"</f>
        <v>ALGEBRA 1</v>
      </c>
      <c r="G16138" t="str">
        <f>"21-2109"</f>
        <v>21-2109</v>
      </c>
      <c r="H16138" t="str">
        <f>"A"</f>
        <v>A</v>
      </c>
    </row>
    <row r="16139" spans="1:8" x14ac:dyDescent="0.2">
      <c r="A16139" t="str">
        <f t="shared" si="5848"/>
        <v>0615048896</v>
      </c>
      <c r="B16139" t="str">
        <f t="shared" si="5849"/>
        <v>DEANNE</v>
      </c>
      <c r="C16139" t="str">
        <f t="shared" si="5850"/>
        <v>SMITH</v>
      </c>
      <c r="D16139" t="str">
        <f t="shared" si="5847"/>
        <v>09</v>
      </c>
      <c r="E16139" t="str">
        <f>"08 - B - 108 - Cerine S Stewart"</f>
        <v>08 - B - 108 - Cerine S Stewart</v>
      </c>
      <c r="F16139" t="str">
        <f>"ENG 1"</f>
        <v>ENG 1</v>
      </c>
      <c r="G16139" t="str">
        <f>"17-1720"</f>
        <v>17-1720</v>
      </c>
      <c r="H16139" t="str">
        <f>"B"</f>
        <v>B</v>
      </c>
    </row>
    <row r="16140" spans="1:8" x14ac:dyDescent="0.2">
      <c r="A16140" t="str">
        <f t="shared" ref="A16140:A16147" si="5851">"0614032238"</f>
        <v>0614032238</v>
      </c>
      <c r="B16140" t="str">
        <f t="shared" ref="B16140:B16147" si="5852">"FREDDIE"</f>
        <v>FREDDIE</v>
      </c>
      <c r="C16140" t="str">
        <f t="shared" si="5850"/>
        <v>SMITH</v>
      </c>
      <c r="D16140">
        <f>11</f>
        <v>11</v>
      </c>
      <c r="E16140" t="str">
        <f>"04 - A - 103 - Lisa  Quinn"</f>
        <v>04 - A - 103 - Lisa  Quinn</v>
      </c>
      <c r="F16140" t="str">
        <f>"ENG 3"</f>
        <v>ENG 3</v>
      </c>
      <c r="G16140" t="str">
        <f>"17-1725"</f>
        <v>17-1725</v>
      </c>
      <c r="H16140" t="str">
        <f>"A"</f>
        <v>A</v>
      </c>
    </row>
    <row r="16141" spans="1:8" x14ac:dyDescent="0.2">
      <c r="A16141" t="str">
        <f t="shared" si="5851"/>
        <v>0614032238</v>
      </c>
      <c r="B16141" t="str">
        <f t="shared" si="5852"/>
        <v>FREDDIE</v>
      </c>
      <c r="C16141" t="str">
        <f t="shared" si="5850"/>
        <v>SMITH</v>
      </c>
      <c r="D16141">
        <f>11</f>
        <v>11</v>
      </c>
      <c r="E16141" t="str">
        <f>"06 - B - 001 - Samantha J Headley"</f>
        <v>06 - B - 001 - Samantha J Headley</v>
      </c>
      <c r="F16141" t="str">
        <f>"MARINE SCI 1 HON"</f>
        <v>MARINE SCI 1 HON</v>
      </c>
      <c r="G16141" t="str">
        <f>"21-2134"</f>
        <v>21-2134</v>
      </c>
      <c r="H16141" t="str">
        <f>"B"</f>
        <v>B</v>
      </c>
    </row>
    <row r="16142" spans="1:8" x14ac:dyDescent="0.2">
      <c r="A16142" t="str">
        <f t="shared" si="5851"/>
        <v>0614032238</v>
      </c>
      <c r="B16142" t="str">
        <f t="shared" si="5852"/>
        <v>FREDDIE</v>
      </c>
      <c r="C16142" t="str">
        <f t="shared" si="5850"/>
        <v>SMITH</v>
      </c>
      <c r="D16142">
        <f>11</f>
        <v>11</v>
      </c>
      <c r="E16142" t="str">
        <f>"03 - A - 102 - Nahum  Saint-Preux"</f>
        <v>03 - A - 102 - Nahum  Saint-Preux</v>
      </c>
      <c r="F16142" t="str">
        <f>"INTENS READ 3"</f>
        <v>INTENS READ 3</v>
      </c>
      <c r="G16142" t="str">
        <f>"17-1712"</f>
        <v>17-1712</v>
      </c>
      <c r="H16142" t="str">
        <f>"A"</f>
        <v>A</v>
      </c>
    </row>
    <row r="16143" spans="1:8" x14ac:dyDescent="0.2">
      <c r="A16143" t="str">
        <f t="shared" si="5851"/>
        <v>0614032238</v>
      </c>
      <c r="B16143" t="str">
        <f t="shared" si="5852"/>
        <v>FREDDIE</v>
      </c>
      <c r="C16143" t="str">
        <f t="shared" si="5850"/>
        <v>SMITH</v>
      </c>
      <c r="D16143">
        <f>11</f>
        <v>11</v>
      </c>
      <c r="E16143" t="str">
        <f>"02 - A - 105 - Leslie J Barton"</f>
        <v>02 - A - 105 - Leslie J Barton</v>
      </c>
      <c r="F16143" t="str">
        <f>"NC STUDY HALL 1"</f>
        <v>NC STUDY HALL 1</v>
      </c>
      <c r="G16143" t="str">
        <f>"05-521"</f>
        <v>05-521</v>
      </c>
      <c r="H16143" t="str">
        <f>"A"</f>
        <v>A</v>
      </c>
    </row>
    <row r="16144" spans="1:8" x14ac:dyDescent="0.2">
      <c r="A16144" t="str">
        <f t="shared" si="5851"/>
        <v>0614032238</v>
      </c>
      <c r="B16144" t="str">
        <f t="shared" si="5852"/>
        <v>FREDDIE</v>
      </c>
      <c r="C16144" t="str">
        <f t="shared" si="5850"/>
        <v>SMITH</v>
      </c>
      <c r="D16144">
        <f>11</f>
        <v>11</v>
      </c>
      <c r="E16144" t="str">
        <f>"07 - B - 108 - Lauren N Logan"</f>
        <v>07 - B - 108 - Lauren N Logan</v>
      </c>
      <c r="F16144" t="str">
        <f>"US HISTORY"</f>
        <v>US HISTORY</v>
      </c>
      <c r="G16144" t="str">
        <f>"17-1745"</f>
        <v>17-1745</v>
      </c>
      <c r="H16144" t="str">
        <f>"B"</f>
        <v>B</v>
      </c>
    </row>
    <row r="16145" spans="1:8" x14ac:dyDescent="0.2">
      <c r="A16145" t="str">
        <f t="shared" si="5851"/>
        <v>0614032238</v>
      </c>
      <c r="B16145" t="str">
        <f t="shared" si="5852"/>
        <v>FREDDIE</v>
      </c>
      <c r="C16145" t="str">
        <f t="shared" si="5850"/>
        <v>SMITH</v>
      </c>
      <c r="D16145">
        <f>11</f>
        <v>11</v>
      </c>
      <c r="E16145" t="str">
        <f>"05 - S1 - B - 103 - Leslie J Barton"</f>
        <v>05 - S1 - B - 103 - Leslie J Barton</v>
      </c>
      <c r="F16145" t="str">
        <f>"FIRST AID SAFETY"</f>
        <v>FIRST AID SAFETY</v>
      </c>
      <c r="G16145" t="str">
        <f>"05-521"</f>
        <v>05-521</v>
      </c>
      <c r="H16145" t="str">
        <f>"B"</f>
        <v>B</v>
      </c>
    </row>
    <row r="16146" spans="1:8" x14ac:dyDescent="0.2">
      <c r="A16146" t="str">
        <f t="shared" si="5851"/>
        <v>0614032238</v>
      </c>
      <c r="B16146" t="str">
        <f t="shared" si="5852"/>
        <v>FREDDIE</v>
      </c>
      <c r="C16146" t="str">
        <f t="shared" si="5850"/>
        <v>SMITH</v>
      </c>
      <c r="D16146">
        <f>11</f>
        <v>11</v>
      </c>
      <c r="E16146" t="str">
        <f>"01 - A - 504 - Alejandro  Navarro"</f>
        <v>01 - A - 504 - Alejandro  Navarro</v>
      </c>
      <c r="F16146" t="str">
        <f>"BAND 1"</f>
        <v>BAND 1</v>
      </c>
      <c r="G16146" t="str">
        <f>"05-504"</f>
        <v>05-504</v>
      </c>
      <c r="H16146" t="str">
        <f>"A"</f>
        <v>A</v>
      </c>
    </row>
    <row r="16147" spans="1:8" x14ac:dyDescent="0.2">
      <c r="A16147" t="str">
        <f t="shared" si="5851"/>
        <v>0614032238</v>
      </c>
      <c r="B16147" t="str">
        <f t="shared" si="5852"/>
        <v>FREDDIE</v>
      </c>
      <c r="C16147" t="str">
        <f t="shared" si="5850"/>
        <v>SMITH</v>
      </c>
      <c r="D16147">
        <f>11</f>
        <v>11</v>
      </c>
      <c r="E16147" t="str">
        <f>"08 - S1 - B - 104 - Richard E Dunbar Iii"</f>
        <v>08 - S1 - B - 104 - Richard E Dunbar Iii</v>
      </c>
      <c r="F16147" t="str">
        <f>"WEIGHT TRAIN 3"</f>
        <v>WEIGHT TRAIN 3</v>
      </c>
      <c r="G16147" t="str">
        <f>"05-501"</f>
        <v>05-501</v>
      </c>
      <c r="H16147" t="str">
        <f>"B"</f>
        <v>B</v>
      </c>
    </row>
    <row r="16148" spans="1:8" x14ac:dyDescent="0.2">
      <c r="A16148" t="str">
        <f t="shared" ref="A16148:A16155" si="5853">"0615009049"</f>
        <v>0615009049</v>
      </c>
      <c r="B16148" t="str">
        <f t="shared" ref="B16148:B16155" si="5854">"KARA"</f>
        <v>KARA</v>
      </c>
      <c r="C16148" t="str">
        <f t="shared" si="5850"/>
        <v>SMITH</v>
      </c>
      <c r="D16148">
        <f>12</f>
        <v>12</v>
      </c>
      <c r="E16148" t="str">
        <f>"04 - S1 - A - 101 - Barbara L Segal"</f>
        <v>04 - S1 - A - 101 - Barbara L Segal</v>
      </c>
      <c r="F16148" t="str">
        <f>"AP US GOVT/POL"</f>
        <v>AP US GOVT/POL</v>
      </c>
      <c r="G16148" t="str">
        <f>"17-1742"</f>
        <v>17-1742</v>
      </c>
      <c r="H16148" t="str">
        <f>"A"</f>
        <v>A</v>
      </c>
    </row>
    <row r="16149" spans="1:8" x14ac:dyDescent="0.2">
      <c r="A16149" t="str">
        <f t="shared" si="5853"/>
        <v>0615009049</v>
      </c>
      <c r="B16149" t="str">
        <f t="shared" si="5854"/>
        <v>KARA</v>
      </c>
      <c r="C16149" t="str">
        <f t="shared" si="5850"/>
        <v>SMITH</v>
      </c>
      <c r="D16149">
        <f>12</f>
        <v>12</v>
      </c>
      <c r="E16149" t="str">
        <f>"06 - B - 106 - Taraneh C Abreu"</f>
        <v>06 - B - 106 - Taraneh C Abreu</v>
      </c>
      <c r="F16149" t="str">
        <f>"NC STUDY HALL 1"</f>
        <v>NC STUDY HALL 1</v>
      </c>
      <c r="G16149" t="str">
        <f>"17-1713"</f>
        <v>17-1713</v>
      </c>
      <c r="H16149" t="str">
        <f>"B"</f>
        <v>B</v>
      </c>
    </row>
    <row r="16150" spans="1:8" x14ac:dyDescent="0.2">
      <c r="A16150" t="str">
        <f t="shared" si="5853"/>
        <v>0615009049</v>
      </c>
      <c r="B16150" t="str">
        <f t="shared" si="5854"/>
        <v>KARA</v>
      </c>
      <c r="C16150" t="str">
        <f t="shared" si="5850"/>
        <v>SMITH</v>
      </c>
      <c r="D16150">
        <f>12</f>
        <v>12</v>
      </c>
      <c r="E16150" t="str">
        <f>"03 - A - 203 - Stefanie S Scher"</f>
        <v>03 - A - 203 - Stefanie S Scher</v>
      </c>
      <c r="F16150" t="str">
        <f>"AP PSYCH"</f>
        <v>AP PSYCH</v>
      </c>
      <c r="G16150" t="str">
        <f>"17-1735"</f>
        <v>17-1735</v>
      </c>
      <c r="H16150" t="str">
        <f>"A"</f>
        <v>A</v>
      </c>
    </row>
    <row r="16151" spans="1:8" x14ac:dyDescent="0.2">
      <c r="A16151" t="str">
        <f t="shared" si="5853"/>
        <v>0615009049</v>
      </c>
      <c r="B16151" t="str">
        <f t="shared" si="5854"/>
        <v>KARA</v>
      </c>
      <c r="C16151" t="str">
        <f t="shared" si="5850"/>
        <v>SMITH</v>
      </c>
      <c r="D16151">
        <f>12</f>
        <v>12</v>
      </c>
      <c r="E16151" t="str">
        <f>"02 - A - 201 - Jeanne M Bermudez"</f>
        <v>02 - A - 201 - Jeanne M Bermudez</v>
      </c>
      <c r="F16151" t="str">
        <f>"AP ENV SCI"</f>
        <v>AP ENV SCI</v>
      </c>
      <c r="G16151" t="str">
        <f>"21-2141"</f>
        <v>21-2141</v>
      </c>
      <c r="H16151" t="str">
        <f>"A"</f>
        <v>A</v>
      </c>
    </row>
    <row r="16152" spans="1:8" x14ac:dyDescent="0.2">
      <c r="A16152" t="str">
        <f t="shared" si="5853"/>
        <v>0615009049</v>
      </c>
      <c r="B16152" t="str">
        <f t="shared" si="5854"/>
        <v>KARA</v>
      </c>
      <c r="C16152" t="str">
        <f t="shared" si="5850"/>
        <v>SMITH</v>
      </c>
      <c r="D16152">
        <f>12</f>
        <v>12</v>
      </c>
      <c r="E16152" t="str">
        <f>"07 - B - 102 - Courtney E Hambright"</f>
        <v>07 - B - 102 - Courtney E Hambright</v>
      </c>
      <c r="F16152" t="str">
        <f>"AP ENG LIT COMPO"</f>
        <v>AP ENG LIT COMPO</v>
      </c>
      <c r="G16152" t="str">
        <f>"17-1711"</f>
        <v>17-1711</v>
      </c>
      <c r="H16152" t="str">
        <f>"B"</f>
        <v>B</v>
      </c>
    </row>
    <row r="16153" spans="1:8" x14ac:dyDescent="0.2">
      <c r="A16153" t="str">
        <f t="shared" si="5853"/>
        <v>0615009049</v>
      </c>
      <c r="B16153" t="str">
        <f t="shared" si="5854"/>
        <v>KARA</v>
      </c>
      <c r="C16153" t="str">
        <f t="shared" si="5850"/>
        <v>SMITH</v>
      </c>
      <c r="D16153">
        <f>12</f>
        <v>12</v>
      </c>
      <c r="E16153" t="str">
        <f>"05 - S1 - B - 102 - Richard E Dunbar Iii"</f>
        <v>05 - S1 - B - 102 - Richard E Dunbar Iii</v>
      </c>
      <c r="F16153" t="str">
        <f>"TEAM SPORTS 1"</f>
        <v>TEAM SPORTS 1</v>
      </c>
      <c r="G16153" t="str">
        <f>"04-254"</f>
        <v>04-254</v>
      </c>
      <c r="H16153" t="str">
        <f>"B"</f>
        <v>B</v>
      </c>
    </row>
    <row r="16154" spans="1:8" x14ac:dyDescent="0.2">
      <c r="A16154" t="str">
        <f t="shared" si="5853"/>
        <v>0615009049</v>
      </c>
      <c r="B16154" t="str">
        <f t="shared" si="5854"/>
        <v>KARA</v>
      </c>
      <c r="C16154" t="str">
        <f t="shared" si="5850"/>
        <v>SMITH</v>
      </c>
      <c r="D16154">
        <f>12</f>
        <v>12</v>
      </c>
      <c r="E16154" t="str">
        <f>"01 - A - 101 - Thomas G Handwerg"</f>
        <v>01 - A - 101 - Thomas G Handwerg</v>
      </c>
      <c r="F16154" t="str">
        <f>"PROB STAT W/APPS HON"</f>
        <v>PROB STAT W/APPS HON</v>
      </c>
      <c r="G16154" t="str">
        <f>"21-2146"</f>
        <v>21-2146</v>
      </c>
      <c r="H16154" t="str">
        <f>"A"</f>
        <v>A</v>
      </c>
    </row>
    <row r="16155" spans="1:8" x14ac:dyDescent="0.2">
      <c r="A16155" t="str">
        <f t="shared" si="5853"/>
        <v>0615009049</v>
      </c>
      <c r="B16155" t="str">
        <f t="shared" si="5854"/>
        <v>KARA</v>
      </c>
      <c r="C16155" t="str">
        <f t="shared" si="5850"/>
        <v>SMITH</v>
      </c>
      <c r="D16155">
        <f>12</f>
        <v>12</v>
      </c>
      <c r="E16155" t="str">
        <f>"08 - B - 101 - Marius D Orsolini"</f>
        <v>08 - B - 101 - Marius D Orsolini</v>
      </c>
      <c r="F16155" t="str">
        <f>"CULINARY ARTS 3 HON"</f>
        <v>CULINARY ARTS 3 HON</v>
      </c>
      <c r="G16155" t="str">
        <f>"21-2115"</f>
        <v>21-2115</v>
      </c>
      <c r="H16155" t="str">
        <f>"B"</f>
        <v>B</v>
      </c>
    </row>
    <row r="16156" spans="1:8" x14ac:dyDescent="0.2">
      <c r="A16156" t="str">
        <f t="shared" ref="A16156:A16163" si="5855">"0614042834"</f>
        <v>0614042834</v>
      </c>
      <c r="B16156" t="str">
        <f t="shared" ref="B16156:B16163" si="5856">"NATHAN"</f>
        <v>NATHAN</v>
      </c>
      <c r="C16156" t="str">
        <f t="shared" si="5850"/>
        <v>SMITH</v>
      </c>
      <c r="D16156">
        <f>12</f>
        <v>12</v>
      </c>
      <c r="E16156" t="str">
        <f>"04 - A - 102 - Daniel S Katz"</f>
        <v>04 - A - 102 - Daniel S Katz</v>
      </c>
      <c r="F16156" t="str">
        <f>"AICE DRAMA 1 AS LEV"</f>
        <v>AICE DRAMA 1 AS LEV</v>
      </c>
      <c r="G16156" t="str">
        <f>"05-521"</f>
        <v>05-521</v>
      </c>
      <c r="H16156" t="str">
        <f>"A"</f>
        <v>A</v>
      </c>
    </row>
    <row r="16157" spans="1:8" x14ac:dyDescent="0.2">
      <c r="A16157" t="str">
        <f t="shared" si="5855"/>
        <v>0614042834</v>
      </c>
      <c r="B16157" t="str">
        <f t="shared" si="5856"/>
        <v>NATHAN</v>
      </c>
      <c r="C16157" t="str">
        <f t="shared" si="5850"/>
        <v>SMITH</v>
      </c>
      <c r="D16157">
        <f>12</f>
        <v>12</v>
      </c>
      <c r="E16157" t="str">
        <f>"06 - B - 106 - Taraneh C Abreu"</f>
        <v>06 - B - 106 - Taraneh C Abreu</v>
      </c>
      <c r="F16157" t="str">
        <f>"NC STUDY HALL 1"</f>
        <v>NC STUDY HALL 1</v>
      </c>
      <c r="G16157" t="str">
        <f>"17-1713"</f>
        <v>17-1713</v>
      </c>
      <c r="H16157" t="str">
        <f>"B"</f>
        <v>B</v>
      </c>
    </row>
    <row r="16158" spans="1:8" x14ac:dyDescent="0.2">
      <c r="A16158" t="str">
        <f t="shared" si="5855"/>
        <v>0614042834</v>
      </c>
      <c r="B16158" t="str">
        <f t="shared" si="5856"/>
        <v>NATHAN</v>
      </c>
      <c r="C16158" t="str">
        <f t="shared" si="5850"/>
        <v>SMITH</v>
      </c>
      <c r="D16158">
        <f>12</f>
        <v>12</v>
      </c>
      <c r="E16158" t="str">
        <f>"03 - A - 201 - Joe  Kilpatrick Jr"</f>
        <v>03 - A - 201 - Joe  Kilpatrick Jr</v>
      </c>
      <c r="F16158" t="str">
        <f>"PRE-AICE SPAN 2 IG"</f>
        <v>PRE-AICE SPAN 2 IG</v>
      </c>
      <c r="G16158" t="str">
        <f>"09-912"</f>
        <v>09-912</v>
      </c>
      <c r="H16158" t="str">
        <f>"A"</f>
        <v>A</v>
      </c>
    </row>
    <row r="16159" spans="1:8" x14ac:dyDescent="0.2">
      <c r="A16159" t="str">
        <f t="shared" si="5855"/>
        <v>0614042834</v>
      </c>
      <c r="B16159" t="str">
        <f t="shared" si="5856"/>
        <v>NATHAN</v>
      </c>
      <c r="C16159" t="str">
        <f t="shared" si="5850"/>
        <v>SMITH</v>
      </c>
      <c r="D16159">
        <f>12</f>
        <v>12</v>
      </c>
      <c r="E16159" t="str">
        <f>"02 - S1 - A - 103 - Barbara L Segal"</f>
        <v>02 - S1 - A - 103 - Barbara L Segal</v>
      </c>
      <c r="F16159" t="str">
        <f>"US GOVT HON"</f>
        <v>US GOVT HON</v>
      </c>
      <c r="G16159" t="str">
        <f>"17-1742"</f>
        <v>17-1742</v>
      </c>
      <c r="H16159" t="str">
        <f>"A"</f>
        <v>A</v>
      </c>
    </row>
    <row r="16160" spans="1:8" x14ac:dyDescent="0.2">
      <c r="A16160" t="str">
        <f t="shared" si="5855"/>
        <v>0614042834</v>
      </c>
      <c r="B16160" t="str">
        <f t="shared" si="5856"/>
        <v>NATHAN</v>
      </c>
      <c r="C16160" t="str">
        <f t="shared" si="5850"/>
        <v>SMITH</v>
      </c>
      <c r="D16160">
        <f>12</f>
        <v>12</v>
      </c>
      <c r="E16160" t="str">
        <f>"07 - B - 102 - Thomas G Handwerg"</f>
        <v>07 - B - 102 - Thomas G Handwerg</v>
      </c>
      <c r="F16160" t="str">
        <f>"PROB STAT W/APPS HON"</f>
        <v>PROB STAT W/APPS HON</v>
      </c>
      <c r="G16160" t="str">
        <f>"21-2146"</f>
        <v>21-2146</v>
      </c>
      <c r="H16160" t="str">
        <f>"B"</f>
        <v>B</v>
      </c>
    </row>
    <row r="16161" spans="1:8" x14ac:dyDescent="0.2">
      <c r="A16161" t="str">
        <f t="shared" si="5855"/>
        <v>0614042834</v>
      </c>
      <c r="B16161" t="str">
        <f t="shared" si="5856"/>
        <v>NATHAN</v>
      </c>
      <c r="C16161" t="str">
        <f t="shared" si="5850"/>
        <v>SMITH</v>
      </c>
      <c r="D16161">
        <f>12</f>
        <v>12</v>
      </c>
      <c r="E16161" t="str">
        <f>"05 - B - 103 - Brandy N Zdenek"</f>
        <v>05 - B - 103 - Brandy N Zdenek</v>
      </c>
      <c r="F16161" t="str">
        <f>"AICE ENG LANG 2 AL"</f>
        <v>AICE ENG LANG 2 AL</v>
      </c>
      <c r="G16161" t="str">
        <f>"17-1704"</f>
        <v>17-1704</v>
      </c>
      <c r="H16161" t="str">
        <f>"B"</f>
        <v>B</v>
      </c>
    </row>
    <row r="16162" spans="1:8" x14ac:dyDescent="0.2">
      <c r="A16162" t="str">
        <f t="shared" si="5855"/>
        <v>0614042834</v>
      </c>
      <c r="B16162" t="str">
        <f t="shared" si="5856"/>
        <v>NATHAN</v>
      </c>
      <c r="C16162" t="str">
        <f t="shared" si="5850"/>
        <v>SMITH</v>
      </c>
      <c r="D16162">
        <f>12</f>
        <v>12</v>
      </c>
      <c r="E16162" t="str">
        <f>"01 - A - 201 - Cheryl L Beach"</f>
        <v>01 - A - 201 - Cheryl L Beach</v>
      </c>
      <c r="F16162" t="str">
        <f>"AICE ENV MGMNT AS"</f>
        <v>AICE ENV MGMNT AS</v>
      </c>
      <c r="G16162" t="str">
        <f>"08-811"</f>
        <v>08-811</v>
      </c>
      <c r="H16162" t="str">
        <f>"A"</f>
        <v>A</v>
      </c>
    </row>
    <row r="16163" spans="1:8" x14ac:dyDescent="0.2">
      <c r="A16163" t="str">
        <f t="shared" si="5855"/>
        <v>0614042834</v>
      </c>
      <c r="B16163" t="str">
        <f t="shared" si="5856"/>
        <v>NATHAN</v>
      </c>
      <c r="C16163" t="str">
        <f t="shared" si="5850"/>
        <v>SMITH</v>
      </c>
      <c r="D16163">
        <f>12</f>
        <v>12</v>
      </c>
      <c r="E16163" t="str">
        <f>"08 - S1 - B - 104 - Leslie J Barton"</f>
        <v>08 - S1 - B - 104 - Leslie J Barton</v>
      </c>
      <c r="F16163" t="str">
        <f>"TEAM SPORTS 1"</f>
        <v>TEAM SPORTS 1</v>
      </c>
      <c r="G16163" t="str">
        <f>"04-254"</f>
        <v>04-254</v>
      </c>
      <c r="H16163" t="str">
        <f>"B"</f>
        <v>B</v>
      </c>
    </row>
    <row r="16164" spans="1:8" x14ac:dyDescent="0.2">
      <c r="A16164" t="str">
        <f t="shared" ref="A16164:A16171" si="5857">"0616018249"</f>
        <v>0616018249</v>
      </c>
      <c r="B16164" t="str">
        <f t="shared" ref="B16164:B16171" si="5858">"RICKARDO"</f>
        <v>RICKARDO</v>
      </c>
      <c r="C16164" t="str">
        <f t="shared" ref="C16164:C16186" si="5859">"SMITH"</f>
        <v>SMITH</v>
      </c>
      <c r="D16164">
        <f>10</f>
        <v>10</v>
      </c>
      <c r="E16164" t="str">
        <f>"04 - S1 - A - 103 - Rory T Sponsler"</f>
        <v>04 - S1 - A - 103 - Rory T Sponsler</v>
      </c>
      <c r="F16164" t="str">
        <f>"WOMENS STUDIES LH"</f>
        <v>WOMENS STUDIES LH</v>
      </c>
      <c r="G16164" t="str">
        <f>"17-1740"</f>
        <v>17-1740</v>
      </c>
      <c r="H16164" t="str">
        <f>"A"</f>
        <v>A</v>
      </c>
    </row>
    <row r="16165" spans="1:8" x14ac:dyDescent="0.2">
      <c r="A16165" t="str">
        <f t="shared" si="5857"/>
        <v>0616018249</v>
      </c>
      <c r="B16165" t="str">
        <f t="shared" si="5858"/>
        <v>RICKARDO</v>
      </c>
      <c r="C16165" t="str">
        <f t="shared" si="5859"/>
        <v>SMITH</v>
      </c>
      <c r="D16165">
        <f>10</f>
        <v>10</v>
      </c>
      <c r="E16165" t="str">
        <f>"06 - B - 103 - Thomas G Handwerg"</f>
        <v>06 - B - 103 - Thomas G Handwerg</v>
      </c>
      <c r="F16165" t="str">
        <f>"NC STUDY HALL 1"</f>
        <v>NC STUDY HALL 1</v>
      </c>
      <c r="G16165" t="str">
        <f>"21-2146"</f>
        <v>21-2146</v>
      </c>
      <c r="H16165" t="str">
        <f>"B"</f>
        <v>B</v>
      </c>
    </row>
    <row r="16166" spans="1:8" x14ac:dyDescent="0.2">
      <c r="A16166" t="str">
        <f t="shared" si="5857"/>
        <v>0616018249</v>
      </c>
      <c r="B16166" t="str">
        <f t="shared" si="5858"/>
        <v>RICKARDO</v>
      </c>
      <c r="C16166" t="str">
        <f t="shared" si="5859"/>
        <v>SMITH</v>
      </c>
      <c r="D16166">
        <f>10</f>
        <v>10</v>
      </c>
      <c r="E16166" t="str">
        <f>"03 - A - 204 - Lytrell T Dixon"</f>
        <v>03 - A - 204 - Lytrell T Dixon</v>
      </c>
      <c r="F16166" t="str">
        <f>"BIOLOGY 1"</f>
        <v>BIOLOGY 1</v>
      </c>
      <c r="G16166" t="str">
        <f>"08-808"</f>
        <v>08-808</v>
      </c>
      <c r="H16166" t="str">
        <f>"A"</f>
        <v>A</v>
      </c>
    </row>
    <row r="16167" spans="1:8" x14ac:dyDescent="0.2">
      <c r="A16167" t="str">
        <f t="shared" si="5857"/>
        <v>0616018249</v>
      </c>
      <c r="B16167" t="str">
        <f t="shared" si="5858"/>
        <v>RICKARDO</v>
      </c>
      <c r="C16167" t="str">
        <f t="shared" si="5859"/>
        <v>SMITH</v>
      </c>
      <c r="D16167">
        <f>10</f>
        <v>10</v>
      </c>
      <c r="E16167" t="str">
        <f>"02 - S1 - A - 102 - Richard E Dunbar Iii"</f>
        <v>02 - S1 - A - 102 - Richard E Dunbar Iii</v>
      </c>
      <c r="F16167" t="str">
        <f>"WEIGHT TRAIN 1"</f>
        <v>WEIGHT TRAIN 1</v>
      </c>
      <c r="G16167" t="str">
        <f>"05-501"</f>
        <v>05-501</v>
      </c>
      <c r="H16167" t="str">
        <f>"A"</f>
        <v>A</v>
      </c>
    </row>
    <row r="16168" spans="1:8" x14ac:dyDescent="0.2">
      <c r="A16168" t="str">
        <f t="shared" si="5857"/>
        <v>0616018249</v>
      </c>
      <c r="B16168" t="str">
        <f t="shared" si="5858"/>
        <v>RICKARDO</v>
      </c>
      <c r="C16168" t="str">
        <f t="shared" si="5859"/>
        <v>SMITH</v>
      </c>
      <c r="D16168">
        <f>10</f>
        <v>10</v>
      </c>
      <c r="E16168" t="str">
        <f>"07 - B - 107 - Helen A Flores"</f>
        <v>07 - B - 107 - Helen A Flores</v>
      </c>
      <c r="F16168" t="str">
        <f>"ALGEBRA 1"</f>
        <v>ALGEBRA 1</v>
      </c>
      <c r="G16168" t="str">
        <f>"21-2101"</f>
        <v>21-2101</v>
      </c>
      <c r="H16168" t="str">
        <f>"B"</f>
        <v>B</v>
      </c>
    </row>
    <row r="16169" spans="1:8" x14ac:dyDescent="0.2">
      <c r="A16169" t="str">
        <f t="shared" si="5857"/>
        <v>0616018249</v>
      </c>
      <c r="B16169" t="str">
        <f t="shared" si="5858"/>
        <v>RICKARDO</v>
      </c>
      <c r="C16169" t="str">
        <f t="shared" si="5859"/>
        <v>SMITH</v>
      </c>
      <c r="D16169">
        <f>10</f>
        <v>10</v>
      </c>
      <c r="E16169" t="str">
        <f>"05 - B - 107 - Nikiel  Nesbeth"</f>
        <v>05 - B - 107 - Nikiel  Nesbeth</v>
      </c>
      <c r="F16169" t="str">
        <f>"ENG 2"</f>
        <v>ENG 2</v>
      </c>
      <c r="G16169" t="str">
        <f>"17-1705"</f>
        <v>17-1705</v>
      </c>
      <c r="H16169" t="str">
        <f>"B"</f>
        <v>B</v>
      </c>
    </row>
    <row r="16170" spans="1:8" x14ac:dyDescent="0.2">
      <c r="A16170" t="str">
        <f t="shared" si="5857"/>
        <v>0616018249</v>
      </c>
      <c r="B16170" t="str">
        <f t="shared" si="5858"/>
        <v>RICKARDO</v>
      </c>
      <c r="C16170" t="str">
        <f t="shared" si="5859"/>
        <v>SMITH</v>
      </c>
      <c r="D16170">
        <f>10</f>
        <v>10</v>
      </c>
      <c r="E16170" t="str">
        <f>"01 - A - 102 - Helen A Flores"</f>
        <v>01 - A - 102 - Helen A Flores</v>
      </c>
      <c r="F16170" t="str">
        <f>"FDN SKLS MATH 9-12"</f>
        <v>FDN SKLS MATH 9-12</v>
      </c>
      <c r="G16170" t="str">
        <f>"21-2101"</f>
        <v>21-2101</v>
      </c>
      <c r="H16170" t="str">
        <f>"A"</f>
        <v>A</v>
      </c>
    </row>
    <row r="16171" spans="1:8" x14ac:dyDescent="0.2">
      <c r="A16171" t="str">
        <f t="shared" si="5857"/>
        <v>0616018249</v>
      </c>
      <c r="B16171" t="str">
        <f t="shared" si="5858"/>
        <v>RICKARDO</v>
      </c>
      <c r="C16171" t="str">
        <f t="shared" si="5859"/>
        <v>SMITH</v>
      </c>
      <c r="D16171">
        <f>10</f>
        <v>10</v>
      </c>
      <c r="E16171" t="str">
        <f>"08 - B - 101 - Alejandro  Navarro"</f>
        <v>08 - B - 101 - Alejandro  Navarro</v>
      </c>
      <c r="F16171" t="str">
        <f>"GUITAR 1"</f>
        <v>GUITAR 1</v>
      </c>
      <c r="G16171" t="str">
        <f>"05-504"</f>
        <v>05-504</v>
      </c>
      <c r="H16171" t="str">
        <f>"B"</f>
        <v>B</v>
      </c>
    </row>
    <row r="16172" spans="1:8" x14ac:dyDescent="0.2">
      <c r="A16172" t="str">
        <f t="shared" ref="A16172:A16179" si="5860">"0613136212"</f>
        <v>0613136212</v>
      </c>
      <c r="B16172" t="str">
        <f t="shared" ref="B16172:B16179" si="5861">"SOPHIA"</f>
        <v>SOPHIA</v>
      </c>
      <c r="C16172" t="str">
        <f t="shared" si="5859"/>
        <v>SMITH</v>
      </c>
      <c r="D16172">
        <f>10</f>
        <v>10</v>
      </c>
      <c r="E16172" t="str">
        <f>"04 - A - 102 - Daniel S Katz"</f>
        <v>04 - A - 102 - Daniel S Katz</v>
      </c>
      <c r="F16172" t="str">
        <f>"AICE DRAMA 1 AS LEV"</f>
        <v>AICE DRAMA 1 AS LEV</v>
      </c>
      <c r="G16172" t="str">
        <f>"05-521"</f>
        <v>05-521</v>
      </c>
      <c r="H16172" t="str">
        <f>"A"</f>
        <v>A</v>
      </c>
    </row>
    <row r="16173" spans="1:8" x14ac:dyDescent="0.2">
      <c r="A16173" t="str">
        <f t="shared" si="5860"/>
        <v>0613136212</v>
      </c>
      <c r="B16173" t="str">
        <f t="shared" si="5861"/>
        <v>SOPHIA</v>
      </c>
      <c r="C16173" t="str">
        <f t="shared" si="5859"/>
        <v>SMITH</v>
      </c>
      <c r="D16173">
        <f>10</f>
        <v>10</v>
      </c>
      <c r="E16173" t="str">
        <f>"06 - B - 118 - Jeanne M Bermudez"</f>
        <v>06 - B - 118 - Jeanne M Bermudez</v>
      </c>
      <c r="F16173" t="str">
        <f>"NC STUDY HALL 1"</f>
        <v>NC STUDY HALL 1</v>
      </c>
      <c r="G16173" t="str">
        <f>"21-2141"</f>
        <v>21-2141</v>
      </c>
      <c r="H16173" t="str">
        <f>"B"</f>
        <v>B</v>
      </c>
    </row>
    <row r="16174" spans="1:8" x14ac:dyDescent="0.2">
      <c r="A16174" t="str">
        <f t="shared" si="5860"/>
        <v>0613136212</v>
      </c>
      <c r="B16174" t="str">
        <f t="shared" si="5861"/>
        <v>SOPHIA</v>
      </c>
      <c r="C16174" t="str">
        <f t="shared" si="5859"/>
        <v>SMITH</v>
      </c>
      <c r="D16174">
        <f>10</f>
        <v>10</v>
      </c>
      <c r="E16174" t="str">
        <f>"03 - A - 103 - Pamela M Corzo"</f>
        <v>03 - A - 103 - Pamela M Corzo</v>
      </c>
      <c r="F16174" t="str">
        <f>"ALGEBRA 2 HON"</f>
        <v>ALGEBRA 2 HON</v>
      </c>
      <c r="G16174" t="str">
        <f>"21-2133"</f>
        <v>21-2133</v>
      </c>
      <c r="H16174" t="str">
        <f>"A"</f>
        <v>A</v>
      </c>
    </row>
    <row r="16175" spans="1:8" x14ac:dyDescent="0.2">
      <c r="A16175" t="str">
        <f t="shared" si="5860"/>
        <v>0613136212</v>
      </c>
      <c r="B16175" t="str">
        <f t="shared" si="5861"/>
        <v>SOPHIA</v>
      </c>
      <c r="C16175" t="str">
        <f t="shared" si="5859"/>
        <v>SMITH</v>
      </c>
      <c r="D16175">
        <f>10</f>
        <v>10</v>
      </c>
      <c r="E16175" t="str">
        <f>"02 - A - 104 - Scott A Dethloff"</f>
        <v>02 - A - 104 - Scott A Dethloff</v>
      </c>
      <c r="F16175" t="str">
        <f>"CHEMISTRY 1 HON"</f>
        <v>CHEMISTRY 1 HON</v>
      </c>
      <c r="G16175" t="str">
        <f>"08-812"</f>
        <v>08-812</v>
      </c>
      <c r="H16175" t="str">
        <f>"A"</f>
        <v>A</v>
      </c>
    </row>
    <row r="16176" spans="1:8" x14ac:dyDescent="0.2">
      <c r="A16176" t="str">
        <f t="shared" si="5860"/>
        <v>0613136212</v>
      </c>
      <c r="B16176" t="str">
        <f t="shared" si="5861"/>
        <v>SOPHIA</v>
      </c>
      <c r="C16176" t="str">
        <f t="shared" si="5859"/>
        <v>SMITH</v>
      </c>
      <c r="D16176">
        <f>10</f>
        <v>10</v>
      </c>
      <c r="E16176" t="str">
        <f>"07 - B - 204 - Elizabeth Ellen  Moran"</f>
        <v>07 - B - 204 - Elizabeth Ellen  Moran</v>
      </c>
      <c r="F16176" t="str">
        <f>"AICE EURO HIST 1 AS"</f>
        <v>AICE EURO HIST 1 AS</v>
      </c>
      <c r="G16176" t="str">
        <f>"17-1752"</f>
        <v>17-1752</v>
      </c>
      <c r="H16176" t="str">
        <f>"B"</f>
        <v>B</v>
      </c>
    </row>
    <row r="16177" spans="1:8" x14ac:dyDescent="0.2">
      <c r="A16177" t="str">
        <f t="shared" si="5860"/>
        <v>0613136212</v>
      </c>
      <c r="B16177" t="str">
        <f t="shared" si="5861"/>
        <v>SOPHIA</v>
      </c>
      <c r="C16177" t="str">
        <f t="shared" si="5859"/>
        <v>SMITH</v>
      </c>
      <c r="D16177">
        <f>10</f>
        <v>10</v>
      </c>
      <c r="E16177" t="str">
        <f>"05 - B - 106 - Courtney E Hambright"</f>
        <v>05 - B - 106 - Courtney E Hambright</v>
      </c>
      <c r="F16177" t="str">
        <f>"AICE ENG LANG AS"</f>
        <v>AICE ENG LANG AS</v>
      </c>
      <c r="G16177" t="str">
        <f>"17-1711"</f>
        <v>17-1711</v>
      </c>
      <c r="H16177" t="str">
        <f>"B"</f>
        <v>B</v>
      </c>
    </row>
    <row r="16178" spans="1:8" x14ac:dyDescent="0.2">
      <c r="A16178" t="str">
        <f t="shared" si="5860"/>
        <v>0613136212</v>
      </c>
      <c r="B16178" t="str">
        <f t="shared" si="5861"/>
        <v>SOPHIA</v>
      </c>
      <c r="C16178" t="str">
        <f t="shared" si="5859"/>
        <v>SMITH</v>
      </c>
      <c r="D16178">
        <f>10</f>
        <v>10</v>
      </c>
      <c r="E16178" t="str">
        <f>"01 - A - 201 - Chrystina M Marchionne"</f>
        <v>01 - A - 201 - Chrystina M Marchionne</v>
      </c>
      <c r="F16178" t="str">
        <f>"AICE MEDIASTUDIES AS"</f>
        <v>AICE MEDIASTUDIES AS</v>
      </c>
      <c r="G16178" t="str">
        <f>"05-520"</f>
        <v>05-520</v>
      </c>
      <c r="H16178" t="str">
        <f>"A"</f>
        <v>A</v>
      </c>
    </row>
    <row r="16179" spans="1:8" x14ac:dyDescent="0.2">
      <c r="A16179" t="str">
        <f t="shared" si="5860"/>
        <v>0613136212</v>
      </c>
      <c r="B16179" t="str">
        <f t="shared" si="5861"/>
        <v>SOPHIA</v>
      </c>
      <c r="C16179" t="str">
        <f t="shared" si="5859"/>
        <v>SMITH</v>
      </c>
      <c r="D16179">
        <f>10</f>
        <v>10</v>
      </c>
      <c r="E16179" t="str">
        <f>"08 - B - 101 - Jordana K Hass"</f>
        <v>08 - B - 101 - Jordana K Hass</v>
      </c>
      <c r="F16179" t="str">
        <f>"AICE INFO TECH 1 AS"</f>
        <v>AICE INFO TECH 1 AS</v>
      </c>
      <c r="G16179" t="str">
        <f>"08-807"</f>
        <v>08-807</v>
      </c>
      <c r="H16179" t="str">
        <f>"B"</f>
        <v>B</v>
      </c>
    </row>
    <row r="16180" spans="1:8" x14ac:dyDescent="0.2">
      <c r="A16180" t="str">
        <f t="shared" ref="A16180:A16186" si="5862">"0613123462"</f>
        <v>0613123462</v>
      </c>
      <c r="B16180" t="str">
        <f t="shared" ref="B16180:B16186" si="5863">"TIYANA"</f>
        <v>TIYANA</v>
      </c>
      <c r="C16180" t="str">
        <f t="shared" si="5859"/>
        <v>SMITH</v>
      </c>
      <c r="D16180">
        <f>12</f>
        <v>12</v>
      </c>
      <c r="E16180" t="str">
        <f>"04 - A - 101 - Stefanie S Scher"</f>
        <v>04 - A - 101 - Stefanie S Scher</v>
      </c>
      <c r="F16180" t="str">
        <f>"AP PSYCH"</f>
        <v>AP PSYCH</v>
      </c>
      <c r="G16180" t="str">
        <f>"17-1735"</f>
        <v>17-1735</v>
      </c>
      <c r="H16180" t="str">
        <f>"A"</f>
        <v>A</v>
      </c>
    </row>
    <row r="16181" spans="1:8" x14ac:dyDescent="0.2">
      <c r="A16181" t="str">
        <f t="shared" si="5862"/>
        <v>0613123462</v>
      </c>
      <c r="B16181" t="str">
        <f t="shared" si="5863"/>
        <v>TIYANA</v>
      </c>
      <c r="C16181" t="str">
        <f t="shared" si="5859"/>
        <v>SMITH</v>
      </c>
      <c r="D16181">
        <f>12</f>
        <v>12</v>
      </c>
      <c r="E16181" t="str">
        <f>"06 - B - 001 - Robert O Burger"</f>
        <v>06 - B - 001 - Robert O Burger</v>
      </c>
      <c r="F16181" t="str">
        <f>"NC STUDY HALL 1"</f>
        <v>NC STUDY HALL 1</v>
      </c>
      <c r="G16181" t="str">
        <f>"17-1755"</f>
        <v>17-1755</v>
      </c>
      <c r="H16181" t="str">
        <f>"B"</f>
        <v>B</v>
      </c>
    </row>
    <row r="16182" spans="1:8" x14ac:dyDescent="0.2">
      <c r="A16182" t="str">
        <f t="shared" si="5862"/>
        <v>0613123462</v>
      </c>
      <c r="B16182" t="str">
        <f t="shared" si="5863"/>
        <v>TIYANA</v>
      </c>
      <c r="C16182" t="str">
        <f t="shared" si="5859"/>
        <v>SMITH</v>
      </c>
      <c r="D16182">
        <f>12</f>
        <v>12</v>
      </c>
      <c r="E16182" t="str">
        <f>"03 - A - 101 - Dorothy D Moore"</f>
        <v>03 - A - 101 - Dorothy D Moore</v>
      </c>
      <c r="F16182" t="str">
        <f>"FORC SCI 1 LH"</f>
        <v>FORC SCI 1 LH</v>
      </c>
      <c r="G16182" t="str">
        <f>"08-803"</f>
        <v>08-803</v>
      </c>
      <c r="H16182" t="str">
        <f>"A"</f>
        <v>A</v>
      </c>
    </row>
    <row r="16183" spans="1:8" x14ac:dyDescent="0.2">
      <c r="A16183" t="str">
        <f t="shared" si="5862"/>
        <v>0613123462</v>
      </c>
      <c r="B16183" t="str">
        <f t="shared" si="5863"/>
        <v>TIYANA</v>
      </c>
      <c r="C16183" t="str">
        <f t="shared" si="5859"/>
        <v>SMITH</v>
      </c>
      <c r="D16183">
        <f>12</f>
        <v>12</v>
      </c>
      <c r="E16183" t="str">
        <f>"07 - S1 - B - 102 - Barbara L Segal"</f>
        <v>07 - S1 - B - 102 - Barbara L Segal</v>
      </c>
      <c r="F16183" t="str">
        <f>"AP US GOVT/POL"</f>
        <v>AP US GOVT/POL</v>
      </c>
      <c r="G16183" t="str">
        <f>"17-1742"</f>
        <v>17-1742</v>
      </c>
      <c r="H16183" t="str">
        <f>"B"</f>
        <v>B</v>
      </c>
    </row>
    <row r="16184" spans="1:8" x14ac:dyDescent="0.2">
      <c r="A16184" t="str">
        <f t="shared" si="5862"/>
        <v>0613123462</v>
      </c>
      <c r="B16184" t="str">
        <f t="shared" si="5863"/>
        <v>TIYANA</v>
      </c>
      <c r="C16184" t="str">
        <f t="shared" si="5859"/>
        <v>SMITH</v>
      </c>
      <c r="D16184">
        <f>12</f>
        <v>12</v>
      </c>
      <c r="E16184" t="str">
        <f>"05 - B - 105 - Norayda D Suarez"</f>
        <v>05 - B - 105 - Norayda D Suarez</v>
      </c>
      <c r="F16184" t="str">
        <f>"RESEARCH 1 LH"</f>
        <v>RESEARCH 1 LH</v>
      </c>
      <c r="G16184">
        <f>2041</f>
        <v>2041</v>
      </c>
      <c r="H16184" t="str">
        <f>"B"</f>
        <v>B</v>
      </c>
    </row>
    <row r="16185" spans="1:8" x14ac:dyDescent="0.2">
      <c r="A16185" t="str">
        <f t="shared" si="5862"/>
        <v>0613123462</v>
      </c>
      <c r="B16185" t="str">
        <f t="shared" si="5863"/>
        <v>TIYANA</v>
      </c>
      <c r="C16185" t="str">
        <f t="shared" si="5859"/>
        <v>SMITH</v>
      </c>
      <c r="D16185">
        <f>12</f>
        <v>12</v>
      </c>
      <c r="E16185" t="str">
        <f>"01 - A - 103 - Semra  Bahadir"</f>
        <v>01 - A - 103 - Semra  Bahadir</v>
      </c>
      <c r="F16185" t="str">
        <f>"MATH COLL ALGEBRA"</f>
        <v>MATH COLL ALGEBRA</v>
      </c>
      <c r="G16185" t="str">
        <f>"21-2107"</f>
        <v>21-2107</v>
      </c>
      <c r="H16185" t="str">
        <f>"A"</f>
        <v>A</v>
      </c>
    </row>
    <row r="16186" spans="1:8" x14ac:dyDescent="0.2">
      <c r="A16186" t="str">
        <f t="shared" si="5862"/>
        <v>0613123462</v>
      </c>
      <c r="B16186" t="str">
        <f t="shared" si="5863"/>
        <v>TIYANA</v>
      </c>
      <c r="C16186" t="str">
        <f t="shared" si="5859"/>
        <v>SMITH</v>
      </c>
      <c r="D16186">
        <f>12</f>
        <v>12</v>
      </c>
      <c r="E16186" t="str">
        <f>"08 - B - 203 - Courtney E Hambright"</f>
        <v>08 - B - 203 - Courtney E Hambright</v>
      </c>
      <c r="F16186" t="str">
        <f>"AP ENG LIT COMPO"</f>
        <v>AP ENG LIT COMPO</v>
      </c>
      <c r="G16186" t="str">
        <f>"17-1711"</f>
        <v>17-1711</v>
      </c>
      <c r="H16186" t="str">
        <f>"B"</f>
        <v>B</v>
      </c>
    </row>
    <row r="16187" spans="1:8" x14ac:dyDescent="0.2">
      <c r="A16187" t="str">
        <f t="shared" ref="A16187:A16194" si="5864">"0613122451"</f>
        <v>0613122451</v>
      </c>
      <c r="B16187" t="str">
        <f t="shared" ref="B16187:B16194" si="5865">"ISABELLE"</f>
        <v>ISABELLE</v>
      </c>
      <c r="C16187" t="str">
        <f t="shared" ref="C16187:C16194" si="5866">"SMOAK"</f>
        <v>SMOAK</v>
      </c>
      <c r="D16187">
        <f>12</f>
        <v>12</v>
      </c>
      <c r="E16187" t="str">
        <f>"04 - A - 106 - Tina M Jaramillo"</f>
        <v>04 - A - 106 - Tina M Jaramillo</v>
      </c>
      <c r="F16187" t="str">
        <f>"AP ENG LIT COMPO"</f>
        <v>AP ENG LIT COMPO</v>
      </c>
      <c r="G16187" t="str">
        <f>"17-1706"</f>
        <v>17-1706</v>
      </c>
      <c r="H16187" t="str">
        <f>"A"</f>
        <v>A</v>
      </c>
    </row>
    <row r="16188" spans="1:8" x14ac:dyDescent="0.2">
      <c r="A16188" t="str">
        <f t="shared" si="5864"/>
        <v>0613122451</v>
      </c>
      <c r="B16188" t="str">
        <f t="shared" si="5865"/>
        <v>ISABELLE</v>
      </c>
      <c r="C16188" t="str">
        <f t="shared" si="5866"/>
        <v>SMOAK</v>
      </c>
      <c r="D16188">
        <f>12</f>
        <v>12</v>
      </c>
      <c r="E16188" t="str">
        <f>"06 - B - 103 - Stefanie S Scher"</f>
        <v>06 - B - 103 - Stefanie S Scher</v>
      </c>
      <c r="F16188" t="str">
        <f>"NC STUDY HALL 1"</f>
        <v>NC STUDY HALL 1</v>
      </c>
      <c r="G16188" t="str">
        <f>"17-1735"</f>
        <v>17-1735</v>
      </c>
      <c r="H16188" t="str">
        <f>"B"</f>
        <v>B</v>
      </c>
    </row>
    <row r="16189" spans="1:8" x14ac:dyDescent="0.2">
      <c r="A16189" t="str">
        <f t="shared" si="5864"/>
        <v>0613122451</v>
      </c>
      <c r="B16189" t="str">
        <f t="shared" si="5865"/>
        <v>ISABELLE</v>
      </c>
      <c r="C16189" t="str">
        <f t="shared" si="5866"/>
        <v>SMOAK</v>
      </c>
      <c r="D16189">
        <f>12</f>
        <v>12</v>
      </c>
      <c r="E16189" t="str">
        <f>"03 - A - 203 - Stefanie S Scher"</f>
        <v>03 - A - 203 - Stefanie S Scher</v>
      </c>
      <c r="F16189" t="str">
        <f>"AP PSYCH"</f>
        <v>AP PSYCH</v>
      </c>
      <c r="G16189" t="str">
        <f>"17-1735"</f>
        <v>17-1735</v>
      </c>
      <c r="H16189" t="str">
        <f>"A"</f>
        <v>A</v>
      </c>
    </row>
    <row r="16190" spans="1:8" x14ac:dyDescent="0.2">
      <c r="A16190" t="str">
        <f t="shared" si="5864"/>
        <v>0613122451</v>
      </c>
      <c r="B16190" t="str">
        <f t="shared" si="5865"/>
        <v>ISABELLE</v>
      </c>
      <c r="C16190" t="str">
        <f t="shared" si="5866"/>
        <v>SMOAK</v>
      </c>
      <c r="D16190">
        <f>12</f>
        <v>12</v>
      </c>
      <c r="E16190" t="str">
        <f>"02 - A - 101 - Robert H Rindner"</f>
        <v>02 - A - 101 - Robert H Rindner</v>
      </c>
      <c r="F16190" t="str">
        <f>"MATH DATA&amp;FIN LIT H"</f>
        <v>MATH DATA&amp;FIN LIT H</v>
      </c>
      <c r="G16190" t="str">
        <f>"21-2160"</f>
        <v>21-2160</v>
      </c>
      <c r="H16190" t="str">
        <f>"A"</f>
        <v>A</v>
      </c>
    </row>
    <row r="16191" spans="1:8" x14ac:dyDescent="0.2">
      <c r="A16191" t="str">
        <f t="shared" si="5864"/>
        <v>0613122451</v>
      </c>
      <c r="B16191" t="str">
        <f t="shared" si="5865"/>
        <v>ISABELLE</v>
      </c>
      <c r="C16191" t="str">
        <f t="shared" si="5866"/>
        <v>SMOAK</v>
      </c>
      <c r="D16191">
        <f>12</f>
        <v>12</v>
      </c>
      <c r="E16191" t="str">
        <f>"07 - B - 106 - Norayda D Suarez"</f>
        <v>07 - B - 106 - Norayda D Suarez</v>
      </c>
      <c r="F16191" t="str">
        <f>"RESEARCH 1 LH"</f>
        <v>RESEARCH 1 LH</v>
      </c>
      <c r="G16191">
        <f>2041</f>
        <v>2041</v>
      </c>
      <c r="H16191" t="str">
        <f>"B"</f>
        <v>B</v>
      </c>
    </row>
    <row r="16192" spans="1:8" x14ac:dyDescent="0.2">
      <c r="A16192" t="str">
        <f t="shared" si="5864"/>
        <v>0613122451</v>
      </c>
      <c r="B16192" t="str">
        <f t="shared" si="5865"/>
        <v>ISABELLE</v>
      </c>
      <c r="C16192" t="str">
        <f t="shared" si="5866"/>
        <v>SMOAK</v>
      </c>
      <c r="D16192">
        <f>12</f>
        <v>12</v>
      </c>
      <c r="E16192" t="str">
        <f>"05 - S1 - B - 103 - Stephen T Ripp"</f>
        <v>05 - S1 - B - 103 - Stephen T Ripp</v>
      </c>
      <c r="F16192" t="str">
        <f>"AP US GOVT/POL"</f>
        <v>AP US GOVT/POL</v>
      </c>
      <c r="G16192" t="str">
        <f>"17-1744"</f>
        <v>17-1744</v>
      </c>
      <c r="H16192" t="str">
        <f>"B"</f>
        <v>B</v>
      </c>
    </row>
    <row r="16193" spans="1:8" x14ac:dyDescent="0.2">
      <c r="A16193" t="str">
        <f t="shared" si="5864"/>
        <v>0613122451</v>
      </c>
      <c r="B16193" t="str">
        <f t="shared" si="5865"/>
        <v>ISABELLE</v>
      </c>
      <c r="C16193" t="str">
        <f t="shared" si="5866"/>
        <v>SMOAK</v>
      </c>
      <c r="D16193">
        <f>12</f>
        <v>12</v>
      </c>
      <c r="E16193" t="str">
        <f>"01 - A - 101 - Kelly N Panza"</f>
        <v>01 - A - 101 - Kelly N Panza</v>
      </c>
      <c r="F16193" t="str">
        <f>"AP HUMAN GEOG"</f>
        <v>AP HUMAN GEOG</v>
      </c>
      <c r="G16193" t="str">
        <f>"17-1753"</f>
        <v>17-1753</v>
      </c>
      <c r="H16193" t="str">
        <f>"A"</f>
        <v>A</v>
      </c>
    </row>
    <row r="16194" spans="1:8" x14ac:dyDescent="0.2">
      <c r="A16194" t="str">
        <f t="shared" si="5864"/>
        <v>0613122451</v>
      </c>
      <c r="B16194" t="str">
        <f t="shared" si="5865"/>
        <v>ISABELLE</v>
      </c>
      <c r="C16194" t="str">
        <f t="shared" si="5866"/>
        <v>SMOAK</v>
      </c>
      <c r="D16194">
        <f>12</f>
        <v>12</v>
      </c>
      <c r="E16194" t="str">
        <f>"08 - B - 103 - Marielle A Witting"</f>
        <v>08 - B - 103 - Marielle A Witting</v>
      </c>
      <c r="F16194" t="str">
        <f>"AP BIO"</f>
        <v>AP BIO</v>
      </c>
      <c r="G16194" t="str">
        <f>"08-805"</f>
        <v>08-805</v>
      </c>
      <c r="H16194" t="str">
        <f>"B"</f>
        <v>B</v>
      </c>
    </row>
    <row r="16195" spans="1:8" x14ac:dyDescent="0.2">
      <c r="A16195" t="str">
        <f t="shared" ref="A16195:A16202" si="5867">"0614106111"</f>
        <v>0614106111</v>
      </c>
      <c r="B16195" t="str">
        <f t="shared" ref="B16195:B16202" si="5868">"RILEY"</f>
        <v>RILEY</v>
      </c>
      <c r="C16195" t="str">
        <f t="shared" ref="C16195:C16202" si="5869">"SMOUS"</f>
        <v>SMOUS</v>
      </c>
      <c r="D16195">
        <f>11</f>
        <v>11</v>
      </c>
      <c r="E16195" t="str">
        <f>"04 - A - 102 - Lisa J London"</f>
        <v>04 - A - 102 - Lisa J London</v>
      </c>
      <c r="F16195" t="str">
        <f>"AP CAPSTONE SEMINAR"</f>
        <v>AP CAPSTONE SEMINAR</v>
      </c>
      <c r="G16195" t="str">
        <f>"17-1714"</f>
        <v>17-1714</v>
      </c>
      <c r="H16195" t="str">
        <f>"A"</f>
        <v>A</v>
      </c>
    </row>
    <row r="16196" spans="1:8" x14ac:dyDescent="0.2">
      <c r="A16196" t="str">
        <f t="shared" si="5867"/>
        <v>0614106111</v>
      </c>
      <c r="B16196" t="str">
        <f t="shared" si="5868"/>
        <v>RILEY</v>
      </c>
      <c r="C16196" t="str">
        <f t="shared" si="5869"/>
        <v>SMOUS</v>
      </c>
      <c r="D16196">
        <f>11</f>
        <v>11</v>
      </c>
      <c r="E16196" t="str">
        <f>"06 - B - 001 - Lourivaldo  Da Silva"</f>
        <v>06 - B - 001 - Lourivaldo  Da Silva</v>
      </c>
      <c r="F16196" t="str">
        <f>"PRE-CALCULUS HON"</f>
        <v>PRE-CALCULUS HON</v>
      </c>
      <c r="G16196" t="str">
        <f>"20-2079"</f>
        <v>20-2079</v>
      </c>
      <c r="H16196" t="str">
        <f>"B"</f>
        <v>B</v>
      </c>
    </row>
    <row r="16197" spans="1:8" x14ac:dyDescent="0.2">
      <c r="A16197" t="str">
        <f t="shared" si="5867"/>
        <v>0614106111</v>
      </c>
      <c r="B16197" t="str">
        <f t="shared" si="5868"/>
        <v>RILEY</v>
      </c>
      <c r="C16197" t="str">
        <f t="shared" si="5869"/>
        <v>SMOUS</v>
      </c>
      <c r="D16197">
        <f>11</f>
        <v>11</v>
      </c>
      <c r="E16197" t="str">
        <f>"03 - A - 203 - Stefanie S Scher"</f>
        <v>03 - A - 203 - Stefanie S Scher</v>
      </c>
      <c r="F16197" t="str">
        <f>"AP PSYCH"</f>
        <v>AP PSYCH</v>
      </c>
      <c r="G16197" t="str">
        <f>"17-1735"</f>
        <v>17-1735</v>
      </c>
      <c r="H16197" t="str">
        <f>"A"</f>
        <v>A</v>
      </c>
    </row>
    <row r="16198" spans="1:8" x14ac:dyDescent="0.2">
      <c r="A16198" t="str">
        <f t="shared" si="5867"/>
        <v>0614106111</v>
      </c>
      <c r="B16198" t="str">
        <f t="shared" si="5868"/>
        <v>RILEY</v>
      </c>
      <c r="C16198" t="str">
        <f t="shared" si="5869"/>
        <v>SMOUS</v>
      </c>
      <c r="D16198">
        <f>11</f>
        <v>11</v>
      </c>
      <c r="E16198" t="str">
        <f>"02 - A - 106 - Heidi M Knopp"</f>
        <v>02 - A - 106 - Heidi M Knopp</v>
      </c>
      <c r="F16198" t="str">
        <f>"NC STUDY HALL 1"</f>
        <v>NC STUDY HALL 1</v>
      </c>
      <c r="G16198" t="str">
        <f>"17-1735"</f>
        <v>17-1735</v>
      </c>
      <c r="H16198" t="str">
        <f>"A"</f>
        <v>A</v>
      </c>
    </row>
    <row r="16199" spans="1:8" x14ac:dyDescent="0.2">
      <c r="A16199" t="str">
        <f t="shared" si="5867"/>
        <v>0614106111</v>
      </c>
      <c r="B16199" t="str">
        <f t="shared" si="5868"/>
        <v>RILEY</v>
      </c>
      <c r="C16199" t="str">
        <f t="shared" si="5869"/>
        <v>SMOUS</v>
      </c>
      <c r="D16199">
        <f>11</f>
        <v>11</v>
      </c>
      <c r="E16199" t="str">
        <f>"07 - B - 102 - Chrystina M Marchionne"</f>
        <v>07 - B - 102 - Chrystina M Marchionne</v>
      </c>
      <c r="F16199" t="str">
        <f>"JOURN 2 (YB) LH"</f>
        <v>JOURN 2 (YB) LH</v>
      </c>
      <c r="G16199" t="str">
        <f>"05-520"</f>
        <v>05-520</v>
      </c>
      <c r="H16199" t="str">
        <f>"B"</f>
        <v>B</v>
      </c>
    </row>
    <row r="16200" spans="1:8" x14ac:dyDescent="0.2">
      <c r="A16200" t="str">
        <f t="shared" si="5867"/>
        <v>0614106111</v>
      </c>
      <c r="B16200" t="str">
        <f t="shared" si="5868"/>
        <v>RILEY</v>
      </c>
      <c r="C16200" t="str">
        <f t="shared" si="5869"/>
        <v>SMOUS</v>
      </c>
      <c r="D16200">
        <f>11</f>
        <v>11</v>
      </c>
      <c r="E16200" t="str">
        <f>"05 - B - 103 - Tina M Jaramillo"</f>
        <v>05 - B - 103 - Tina M Jaramillo</v>
      </c>
      <c r="F16200" t="str">
        <f>"AP ENG COMPO"</f>
        <v>AP ENG COMPO</v>
      </c>
      <c r="G16200" t="str">
        <f>"17-1706"</f>
        <v>17-1706</v>
      </c>
      <c r="H16200" t="str">
        <f>"B"</f>
        <v>B</v>
      </c>
    </row>
    <row r="16201" spans="1:8" x14ac:dyDescent="0.2">
      <c r="A16201" t="str">
        <f t="shared" si="5867"/>
        <v>0614106111</v>
      </c>
      <c r="B16201" t="str">
        <f t="shared" si="5868"/>
        <v>RILEY</v>
      </c>
      <c r="C16201" t="str">
        <f t="shared" si="5869"/>
        <v>SMOUS</v>
      </c>
      <c r="D16201">
        <f>11</f>
        <v>11</v>
      </c>
      <c r="E16201" t="str">
        <f>"01 - A - 001 - Stephen T Ripp"</f>
        <v>01 - A - 001 - Stephen T Ripp</v>
      </c>
      <c r="F16201" t="str">
        <f>"AP U.S. HIST"</f>
        <v>AP U.S. HIST</v>
      </c>
      <c r="G16201" t="str">
        <f>"17-1744"</f>
        <v>17-1744</v>
      </c>
      <c r="H16201" t="str">
        <f>"A"</f>
        <v>A</v>
      </c>
    </row>
    <row r="16202" spans="1:8" x14ac:dyDescent="0.2">
      <c r="A16202" t="str">
        <f t="shared" si="5867"/>
        <v>0614106111</v>
      </c>
      <c r="B16202" t="str">
        <f t="shared" si="5868"/>
        <v>RILEY</v>
      </c>
      <c r="C16202" t="str">
        <f t="shared" si="5869"/>
        <v>SMOUS</v>
      </c>
      <c r="D16202">
        <f>11</f>
        <v>11</v>
      </c>
      <c r="E16202" t="str">
        <f>"08 - B - 103 - Marielle A Witting"</f>
        <v>08 - B - 103 - Marielle A Witting</v>
      </c>
      <c r="F16202" t="str">
        <f>"AP BIO"</f>
        <v>AP BIO</v>
      </c>
      <c r="G16202" t="str">
        <f>"08-805"</f>
        <v>08-805</v>
      </c>
      <c r="H16202" t="str">
        <f>"B"</f>
        <v>B</v>
      </c>
    </row>
    <row r="16203" spans="1:8" x14ac:dyDescent="0.2">
      <c r="A16203" t="str">
        <f t="shared" ref="A16203:A16211" si="5870">"0614002026"</f>
        <v>0614002026</v>
      </c>
      <c r="B16203" t="str">
        <f t="shared" ref="B16203:B16211" si="5871">"DAMARI"</f>
        <v>DAMARI</v>
      </c>
      <c r="C16203" t="str">
        <f t="shared" ref="C16203:C16220" si="5872">"SNELL"</f>
        <v>SNELL</v>
      </c>
      <c r="D16203">
        <f>10</f>
        <v>10</v>
      </c>
      <c r="E16203" t="str">
        <f>"04 - A - 105 - Jacquelyn M Neeson"</f>
        <v>04 - A - 105 - Jacquelyn M Neeson</v>
      </c>
      <c r="F16203" t="str">
        <f>"ENG 2"</f>
        <v>ENG 2</v>
      </c>
      <c r="G16203" t="str">
        <f>"17-1715"</f>
        <v>17-1715</v>
      </c>
      <c r="H16203" t="str">
        <f>"A"</f>
        <v>A</v>
      </c>
    </row>
    <row r="16204" spans="1:8" x14ac:dyDescent="0.2">
      <c r="A16204" t="str">
        <f t="shared" si="5870"/>
        <v>0614002026</v>
      </c>
      <c r="B16204" t="str">
        <f t="shared" si="5871"/>
        <v>DAMARI</v>
      </c>
      <c r="C16204" t="str">
        <f t="shared" si="5872"/>
        <v>SNELL</v>
      </c>
      <c r="D16204">
        <f>10</f>
        <v>10</v>
      </c>
      <c r="E16204" t="str">
        <f>"06 - B - 004 - Robert O Burger"</f>
        <v>06 - B - 004 - Robert O Burger</v>
      </c>
      <c r="F16204" t="str">
        <f>"NC STUDY HALL 1"</f>
        <v>NC STUDY HALL 1</v>
      </c>
      <c r="G16204" t="str">
        <f>"17-1755"</f>
        <v>17-1755</v>
      </c>
      <c r="H16204" t="str">
        <f>"B"</f>
        <v>B</v>
      </c>
    </row>
    <row r="16205" spans="1:8" x14ac:dyDescent="0.2">
      <c r="A16205" t="str">
        <f t="shared" si="5870"/>
        <v>0614002026</v>
      </c>
      <c r="B16205" t="str">
        <f t="shared" si="5871"/>
        <v>DAMARI</v>
      </c>
      <c r="C16205" t="str">
        <f t="shared" si="5872"/>
        <v>SNELL</v>
      </c>
      <c r="D16205">
        <f>10</f>
        <v>10</v>
      </c>
      <c r="E16205" t="str">
        <f>"06 - B - 106 - Eric  Lopapa"</f>
        <v>06 - B - 106 - Eric  Lopapa</v>
      </c>
      <c r="F16205" t="str">
        <f>"LANG THERAPY"</f>
        <v>LANG THERAPY</v>
      </c>
      <c r="G16205" t="str">
        <f>"21-2110"</f>
        <v>21-2110</v>
      </c>
      <c r="H16205" t="str">
        <f>"B"</f>
        <v>B</v>
      </c>
    </row>
    <row r="16206" spans="1:8" x14ac:dyDescent="0.2">
      <c r="A16206" t="str">
        <f t="shared" si="5870"/>
        <v>0614002026</v>
      </c>
      <c r="B16206" t="str">
        <f t="shared" si="5871"/>
        <v>DAMARI</v>
      </c>
      <c r="C16206" t="str">
        <f t="shared" si="5872"/>
        <v>SNELL</v>
      </c>
      <c r="D16206">
        <f>10</f>
        <v>10</v>
      </c>
      <c r="E16206" t="str">
        <f>"03 - S1 - A - 101 - Arthur  Kulawik"</f>
        <v>03 - S1 - A - 101 - Arthur  Kulawik</v>
      </c>
      <c r="F16206" t="str">
        <f>"PERS FIN &amp; MON MGT H"</f>
        <v>PERS FIN &amp; MON MGT H</v>
      </c>
      <c r="G16206" t="str">
        <f>"05-506"</f>
        <v>05-506</v>
      </c>
      <c r="H16206" t="str">
        <f>"A"</f>
        <v>A</v>
      </c>
    </row>
    <row r="16207" spans="1:8" x14ac:dyDescent="0.2">
      <c r="A16207" t="str">
        <f t="shared" si="5870"/>
        <v>0614002026</v>
      </c>
      <c r="B16207" t="str">
        <f t="shared" si="5871"/>
        <v>DAMARI</v>
      </c>
      <c r="C16207" t="str">
        <f t="shared" si="5872"/>
        <v>SNELL</v>
      </c>
      <c r="D16207">
        <f>10</f>
        <v>10</v>
      </c>
      <c r="E16207" t="str">
        <f>"02 - A - 101 - Christa T Parisi"</f>
        <v>02 - A - 101 - Christa T Parisi</v>
      </c>
      <c r="F16207" t="str">
        <f>"LRNG STRATEGIES 9-12"</f>
        <v>LRNG STRATEGIES 9-12</v>
      </c>
      <c r="G16207" t="str">
        <f>"20-2072"</f>
        <v>20-2072</v>
      </c>
      <c r="H16207" t="str">
        <f>"A"</f>
        <v>A</v>
      </c>
    </row>
    <row r="16208" spans="1:8" x14ac:dyDescent="0.2">
      <c r="A16208" t="str">
        <f t="shared" si="5870"/>
        <v>0614002026</v>
      </c>
      <c r="B16208" t="str">
        <f t="shared" si="5871"/>
        <v>DAMARI</v>
      </c>
      <c r="C16208" t="str">
        <f t="shared" si="5872"/>
        <v>SNELL</v>
      </c>
      <c r="D16208">
        <f>10</f>
        <v>10</v>
      </c>
      <c r="E16208" t="str">
        <f>"07 - S1 - B - 107 - Richard E Dunbar Iii"</f>
        <v>07 - S1 - B - 107 - Richard E Dunbar Iii</v>
      </c>
      <c r="F16208" t="str">
        <f>"WEIGHT TRAIN 1"</f>
        <v>WEIGHT TRAIN 1</v>
      </c>
      <c r="G16208" t="str">
        <f>"05-501"</f>
        <v>05-501</v>
      </c>
      <c r="H16208" t="str">
        <f>"B"</f>
        <v>B</v>
      </c>
    </row>
    <row r="16209" spans="1:8" x14ac:dyDescent="0.2">
      <c r="A16209" t="str">
        <f t="shared" si="5870"/>
        <v>0614002026</v>
      </c>
      <c r="B16209" t="str">
        <f t="shared" si="5871"/>
        <v>DAMARI</v>
      </c>
      <c r="C16209" t="str">
        <f t="shared" si="5872"/>
        <v>SNELL</v>
      </c>
      <c r="D16209">
        <f>10</f>
        <v>10</v>
      </c>
      <c r="E16209" t="str">
        <f>"05 - B - 106 - Milca  Exantus"</f>
        <v>05 - B - 106 - Milca  Exantus</v>
      </c>
      <c r="F16209" t="str">
        <f>"MATH COLLEGE LIB ART"</f>
        <v>MATH COLLEGE LIB ART</v>
      </c>
      <c r="G16209" t="str">
        <f>"21-2145"</f>
        <v>21-2145</v>
      </c>
      <c r="H16209" t="str">
        <f>"B"</f>
        <v>B</v>
      </c>
    </row>
    <row r="16210" spans="1:8" x14ac:dyDescent="0.2">
      <c r="A16210" t="str">
        <f t="shared" si="5870"/>
        <v>0614002026</v>
      </c>
      <c r="B16210" t="str">
        <f t="shared" si="5871"/>
        <v>DAMARI</v>
      </c>
      <c r="C16210" t="str">
        <f t="shared" si="5872"/>
        <v>SNELL</v>
      </c>
      <c r="D16210">
        <f>10</f>
        <v>10</v>
      </c>
      <c r="E16210" t="str">
        <f>"01 - A - 101 - Marius D Orsolini"</f>
        <v>01 - A - 101 - Marius D Orsolini</v>
      </c>
      <c r="F16210" t="str">
        <f>"CULINARY ARTS 1"</f>
        <v>CULINARY ARTS 1</v>
      </c>
      <c r="G16210" t="str">
        <f>"21-2115"</f>
        <v>21-2115</v>
      </c>
      <c r="H16210" t="str">
        <f>"A"</f>
        <v>A</v>
      </c>
    </row>
    <row r="16211" spans="1:8" x14ac:dyDescent="0.2">
      <c r="A16211" t="str">
        <f t="shared" si="5870"/>
        <v>0614002026</v>
      </c>
      <c r="B16211" t="str">
        <f t="shared" si="5871"/>
        <v>DAMARI</v>
      </c>
      <c r="C16211" t="str">
        <f t="shared" si="5872"/>
        <v>SNELL</v>
      </c>
      <c r="D16211">
        <f>10</f>
        <v>10</v>
      </c>
      <c r="E16211" t="str">
        <f>"08 - B - 001 - Lytrell T Dixon"</f>
        <v>08 - B - 001 - Lytrell T Dixon</v>
      </c>
      <c r="F16211" t="str">
        <f>"BIOLOGY 1"</f>
        <v>BIOLOGY 1</v>
      </c>
      <c r="G16211" t="str">
        <f>"08-808"</f>
        <v>08-808</v>
      </c>
      <c r="H16211" t="str">
        <f>"B"</f>
        <v>B</v>
      </c>
    </row>
    <row r="16212" spans="1:8" x14ac:dyDescent="0.2">
      <c r="A16212" t="str">
        <f t="shared" ref="A16212:A16220" si="5873">"0611075451"</f>
        <v>0611075451</v>
      </c>
      <c r="B16212" t="str">
        <f t="shared" ref="B16212:B16220" si="5874">"DONTATE"</f>
        <v>DONTATE</v>
      </c>
      <c r="C16212" t="str">
        <f t="shared" si="5872"/>
        <v>SNELL</v>
      </c>
      <c r="D16212">
        <f>12</f>
        <v>12</v>
      </c>
      <c r="E16212" t="str">
        <f>"04 - A - 104 - Robert H Rindner"</f>
        <v>04 - A - 104 - Robert H Rindner</v>
      </c>
      <c r="F16212" t="str">
        <f>"MATH DATA&amp;FIN LIT H"</f>
        <v>MATH DATA&amp;FIN LIT H</v>
      </c>
      <c r="G16212" t="str">
        <f>"21-2160"</f>
        <v>21-2160</v>
      </c>
      <c r="H16212" t="str">
        <f>"A"</f>
        <v>A</v>
      </c>
    </row>
    <row r="16213" spans="1:8" x14ac:dyDescent="0.2">
      <c r="A16213" t="str">
        <f t="shared" si="5873"/>
        <v>0611075451</v>
      </c>
      <c r="B16213" t="str">
        <f t="shared" si="5874"/>
        <v>DONTATE</v>
      </c>
      <c r="C16213" t="str">
        <f t="shared" si="5872"/>
        <v>SNELL</v>
      </c>
      <c r="D16213">
        <f>12</f>
        <v>12</v>
      </c>
      <c r="E16213" t="str">
        <f>"06 - B - 107 - Pamela M Corzo"</f>
        <v>06 - B - 107 - Pamela M Corzo</v>
      </c>
      <c r="F16213" t="str">
        <f>"NC STUDY HALL 1"</f>
        <v>NC STUDY HALL 1</v>
      </c>
      <c r="G16213" t="str">
        <f>"21-2133"</f>
        <v>21-2133</v>
      </c>
      <c r="H16213" t="str">
        <f>"B"</f>
        <v>B</v>
      </c>
    </row>
    <row r="16214" spans="1:8" x14ac:dyDescent="0.2">
      <c r="A16214" t="str">
        <f t="shared" si="5873"/>
        <v>0611075451</v>
      </c>
      <c r="B16214" t="str">
        <f t="shared" si="5874"/>
        <v>DONTATE</v>
      </c>
      <c r="C16214" t="str">
        <f t="shared" si="5872"/>
        <v>SNELL</v>
      </c>
      <c r="D16214">
        <f>12</f>
        <v>12</v>
      </c>
      <c r="E16214" t="str">
        <f>"06 - B - 116 - Karen A Toomer"</f>
        <v>06 - B - 116 - Karen A Toomer</v>
      </c>
      <c r="F16214" t="str">
        <f>"LANG THERAPY"</f>
        <v>LANG THERAPY</v>
      </c>
      <c r="G16214" t="str">
        <f>"21-2110"</f>
        <v>21-2110</v>
      </c>
      <c r="H16214" t="str">
        <f>"B"</f>
        <v>B</v>
      </c>
    </row>
    <row r="16215" spans="1:8" x14ac:dyDescent="0.2">
      <c r="A16215" t="str">
        <f t="shared" si="5873"/>
        <v>0611075451</v>
      </c>
      <c r="B16215" t="str">
        <f t="shared" si="5874"/>
        <v>DONTATE</v>
      </c>
      <c r="C16215" t="str">
        <f t="shared" si="5872"/>
        <v>SNELL</v>
      </c>
      <c r="D16215">
        <f>12</f>
        <v>12</v>
      </c>
      <c r="E16215" t="str">
        <f>"03 - A - 201 - Chrystina M Marchionne"</f>
        <v>03 - A - 201 - Chrystina M Marchionne</v>
      </c>
      <c r="F16215" t="str">
        <f>"JOURN 1 (YB) LH"</f>
        <v>JOURN 1 (YB) LH</v>
      </c>
      <c r="G16215" t="str">
        <f>"05-520"</f>
        <v>05-520</v>
      </c>
      <c r="H16215" t="str">
        <f>"A"</f>
        <v>A</v>
      </c>
    </row>
    <row r="16216" spans="1:8" x14ac:dyDescent="0.2">
      <c r="A16216" t="str">
        <f t="shared" si="5873"/>
        <v>0611075451</v>
      </c>
      <c r="B16216" t="str">
        <f t="shared" si="5874"/>
        <v>DONTATE</v>
      </c>
      <c r="C16216" t="str">
        <f t="shared" si="5872"/>
        <v>SNELL</v>
      </c>
      <c r="D16216">
        <f>12</f>
        <v>12</v>
      </c>
      <c r="E16216" t="str">
        <f>"02 - S1 - A - 104 - Robert O Burger"</f>
        <v>02 - S1 - A - 104 - Robert O Burger</v>
      </c>
      <c r="F16216" t="str">
        <f>"US GOVT"</f>
        <v>US GOVT</v>
      </c>
      <c r="G16216" t="str">
        <f>"17-1755"</f>
        <v>17-1755</v>
      </c>
      <c r="H16216" t="str">
        <f>"A"</f>
        <v>A</v>
      </c>
    </row>
    <row r="16217" spans="1:8" x14ac:dyDescent="0.2">
      <c r="A16217" t="str">
        <f t="shared" si="5873"/>
        <v>0611075451</v>
      </c>
      <c r="B16217" t="str">
        <f t="shared" si="5874"/>
        <v>DONTATE</v>
      </c>
      <c r="C16217" t="str">
        <f t="shared" si="5872"/>
        <v>SNELL</v>
      </c>
      <c r="D16217">
        <f>12</f>
        <v>12</v>
      </c>
      <c r="E16217" t="str">
        <f>"07 - B - 104 - Marielle A Witting"</f>
        <v>07 - B - 104 - Marielle A Witting</v>
      </c>
      <c r="F16217" t="str">
        <f>"ANAT PHYSIO"</f>
        <v>ANAT PHYSIO</v>
      </c>
      <c r="G16217" t="str">
        <f>"08-805"</f>
        <v>08-805</v>
      </c>
      <c r="H16217" t="str">
        <f>"B"</f>
        <v>B</v>
      </c>
    </row>
    <row r="16218" spans="1:8" x14ac:dyDescent="0.2">
      <c r="A16218" t="str">
        <f t="shared" si="5873"/>
        <v>0611075451</v>
      </c>
      <c r="B16218" t="str">
        <f t="shared" si="5874"/>
        <v>DONTATE</v>
      </c>
      <c r="C16218" t="str">
        <f t="shared" si="5872"/>
        <v>SNELL</v>
      </c>
      <c r="D16218">
        <f>12</f>
        <v>12</v>
      </c>
      <c r="E16218" t="str">
        <f>"05 - B - 102 - Robyn L Trainer"</f>
        <v>05 - B - 102 - Robyn L Trainer</v>
      </c>
      <c r="F16218" t="str">
        <f>"ENG 4"</f>
        <v>ENG 4</v>
      </c>
      <c r="G16218" t="str">
        <f>"17-1734"</f>
        <v>17-1734</v>
      </c>
      <c r="H16218" t="str">
        <f>"B"</f>
        <v>B</v>
      </c>
    </row>
    <row r="16219" spans="1:8" x14ac:dyDescent="0.2">
      <c r="A16219" t="str">
        <f t="shared" si="5873"/>
        <v>0611075451</v>
      </c>
      <c r="B16219" t="str">
        <f t="shared" si="5874"/>
        <v>DONTATE</v>
      </c>
      <c r="C16219" t="str">
        <f t="shared" si="5872"/>
        <v>SNELL</v>
      </c>
      <c r="D16219">
        <f>12</f>
        <v>12</v>
      </c>
      <c r="E16219" t="str">
        <f>"01 - S1 - A - 101 - Richard E Dunbar Iii"</f>
        <v>01 - S1 - A - 101 - Richard E Dunbar Iii</v>
      </c>
      <c r="F16219" t="str">
        <f>"WEIGHT TRAIN 1"</f>
        <v>WEIGHT TRAIN 1</v>
      </c>
      <c r="G16219" t="str">
        <f>"05-501"</f>
        <v>05-501</v>
      </c>
      <c r="H16219" t="str">
        <f>"A"</f>
        <v>A</v>
      </c>
    </row>
    <row r="16220" spans="1:8" x14ac:dyDescent="0.2">
      <c r="A16220" t="str">
        <f t="shared" si="5873"/>
        <v>0611075451</v>
      </c>
      <c r="B16220" t="str">
        <f t="shared" si="5874"/>
        <v>DONTATE</v>
      </c>
      <c r="C16220" t="str">
        <f t="shared" si="5872"/>
        <v>SNELL</v>
      </c>
      <c r="D16220">
        <f>12</f>
        <v>12</v>
      </c>
      <c r="E16220" t="str">
        <f>"08 - S1 - B - 101 - Amy Beth  Broyles"</f>
        <v>08 - S1 - B - 101 - Amy Beth  Broyles</v>
      </c>
      <c r="F16220" t="str">
        <f>"PEER COUN 3"</f>
        <v>PEER COUN 3</v>
      </c>
      <c r="G16220" t="str">
        <f>"17-1713"</f>
        <v>17-1713</v>
      </c>
      <c r="H16220" t="str">
        <f>"B"</f>
        <v>B</v>
      </c>
    </row>
    <row r="16221" spans="1:8" x14ac:dyDescent="0.2">
      <c r="A16221" t="str">
        <f t="shared" ref="A16221:A16228" si="5875">"0614140246"</f>
        <v>0614140246</v>
      </c>
      <c r="B16221" t="str">
        <f t="shared" ref="B16221:B16228" si="5876">"IRELAND"</f>
        <v>IRELAND</v>
      </c>
      <c r="C16221" t="str">
        <f t="shared" ref="C16221:C16237" si="5877">"SOCOLOVE"</f>
        <v>SOCOLOVE</v>
      </c>
      <c r="D16221">
        <f>11</f>
        <v>11</v>
      </c>
      <c r="E16221" t="str">
        <f>"04 - A - 101 - Chrystina M Marchionne"</f>
        <v>04 - A - 101 - Chrystina M Marchionne</v>
      </c>
      <c r="F16221" t="str">
        <f>"THEA CIN &amp; FILM LH"</f>
        <v>THEA CIN &amp; FILM LH</v>
      </c>
      <c r="G16221" t="str">
        <f>"05-520"</f>
        <v>05-520</v>
      </c>
      <c r="H16221" t="str">
        <f>"A"</f>
        <v>A</v>
      </c>
    </row>
    <row r="16222" spans="1:8" x14ac:dyDescent="0.2">
      <c r="A16222" t="str">
        <f t="shared" si="5875"/>
        <v>0614140246</v>
      </c>
      <c r="B16222" t="str">
        <f t="shared" si="5876"/>
        <v>IRELAND</v>
      </c>
      <c r="C16222" t="str">
        <f t="shared" si="5877"/>
        <v>SOCOLOVE</v>
      </c>
      <c r="D16222">
        <f>11</f>
        <v>11</v>
      </c>
      <c r="E16222" t="str">
        <f>"06 - B - 105 - Elizabeth Ellen  Moran"</f>
        <v>06 - B - 105 - Elizabeth Ellen  Moran</v>
      </c>
      <c r="F16222" t="str">
        <f>"US HISTORY"</f>
        <v>US HISTORY</v>
      </c>
      <c r="G16222" t="str">
        <f>"17-1752"</f>
        <v>17-1752</v>
      </c>
      <c r="H16222" t="str">
        <f>"B"</f>
        <v>B</v>
      </c>
    </row>
    <row r="16223" spans="1:8" x14ac:dyDescent="0.2">
      <c r="A16223" t="str">
        <f t="shared" si="5875"/>
        <v>0614140246</v>
      </c>
      <c r="B16223" t="str">
        <f t="shared" si="5876"/>
        <v>IRELAND</v>
      </c>
      <c r="C16223" t="str">
        <f t="shared" si="5877"/>
        <v>SOCOLOVE</v>
      </c>
      <c r="D16223">
        <f>11</f>
        <v>11</v>
      </c>
      <c r="E16223" t="str">
        <f>"03 - A - 101 - Carleigh R Carmichael"</f>
        <v>03 - A - 101 - Carleigh R Carmichael</v>
      </c>
      <c r="F16223" t="str">
        <f>"LEAD SKLS DEV LH"</f>
        <v>LEAD SKLS DEV LH</v>
      </c>
      <c r="G16223" t="str">
        <f>"20-2072"</f>
        <v>20-2072</v>
      </c>
      <c r="H16223" t="str">
        <f>"A"</f>
        <v>A</v>
      </c>
    </row>
    <row r="16224" spans="1:8" x14ac:dyDescent="0.2">
      <c r="A16224" t="str">
        <f t="shared" si="5875"/>
        <v>0614140246</v>
      </c>
      <c r="B16224" t="str">
        <f t="shared" si="5876"/>
        <v>IRELAND</v>
      </c>
      <c r="C16224" t="str">
        <f t="shared" si="5877"/>
        <v>SOCOLOVE</v>
      </c>
      <c r="D16224">
        <f>11</f>
        <v>11</v>
      </c>
      <c r="E16224" t="str">
        <f>"02 - A - 112 - Brandy N Zdenek"</f>
        <v>02 - A - 112 - Brandy N Zdenek</v>
      </c>
      <c r="F16224" t="str">
        <f>"NC STUDY HALL 1"</f>
        <v>NC STUDY HALL 1</v>
      </c>
      <c r="G16224" t="str">
        <f>"17-1704"</f>
        <v>17-1704</v>
      </c>
      <c r="H16224" t="str">
        <f>"A"</f>
        <v>A</v>
      </c>
    </row>
    <row r="16225" spans="1:8" x14ac:dyDescent="0.2">
      <c r="A16225" t="str">
        <f t="shared" si="5875"/>
        <v>0614140246</v>
      </c>
      <c r="B16225" t="str">
        <f t="shared" si="5876"/>
        <v>IRELAND</v>
      </c>
      <c r="C16225" t="str">
        <f t="shared" si="5877"/>
        <v>SOCOLOVE</v>
      </c>
      <c r="D16225">
        <f>11</f>
        <v>11</v>
      </c>
      <c r="E16225" t="str">
        <f>"07 - B - 204 - Scott A Dethloff"</f>
        <v>07 - B - 204 - Scott A Dethloff</v>
      </c>
      <c r="F16225" t="str">
        <f>"CHEMISTRY 1"</f>
        <v>CHEMISTRY 1</v>
      </c>
      <c r="G16225" t="str">
        <f>"08-812"</f>
        <v>08-812</v>
      </c>
      <c r="H16225" t="str">
        <f>"B"</f>
        <v>B</v>
      </c>
    </row>
    <row r="16226" spans="1:8" x14ac:dyDescent="0.2">
      <c r="A16226" t="str">
        <f t="shared" si="5875"/>
        <v>0614140246</v>
      </c>
      <c r="B16226" t="str">
        <f t="shared" si="5876"/>
        <v>IRELAND</v>
      </c>
      <c r="C16226" t="str">
        <f t="shared" si="5877"/>
        <v>SOCOLOVE</v>
      </c>
      <c r="D16226">
        <f>11</f>
        <v>11</v>
      </c>
      <c r="E16226" t="str">
        <f>"05 - B - 102 - Jacklyn M James"</f>
        <v>05 - B - 102 - Jacklyn M James</v>
      </c>
      <c r="F16226" t="str">
        <f>"AICE ENG LANG AS"</f>
        <v>AICE ENG LANG AS</v>
      </c>
      <c r="G16226" t="str">
        <f>"17-1731"</f>
        <v>17-1731</v>
      </c>
      <c r="H16226" t="str">
        <f>"B"</f>
        <v>B</v>
      </c>
    </row>
    <row r="16227" spans="1:8" x14ac:dyDescent="0.2">
      <c r="A16227" t="str">
        <f t="shared" si="5875"/>
        <v>0614140246</v>
      </c>
      <c r="B16227" t="str">
        <f t="shared" si="5876"/>
        <v>IRELAND</v>
      </c>
      <c r="C16227" t="str">
        <f t="shared" si="5877"/>
        <v>SOCOLOVE</v>
      </c>
      <c r="D16227">
        <f>11</f>
        <v>11</v>
      </c>
      <c r="E16227" t="str">
        <f>"01 - A - 103 - Semra  Bahadir"</f>
        <v>01 - A - 103 - Semra  Bahadir</v>
      </c>
      <c r="F16227" t="str">
        <f>"MATH COLL ALGEBRA"</f>
        <v>MATH COLL ALGEBRA</v>
      </c>
      <c r="G16227" t="str">
        <f>"21-2107"</f>
        <v>21-2107</v>
      </c>
      <c r="H16227" t="str">
        <f>"A"</f>
        <v>A</v>
      </c>
    </row>
    <row r="16228" spans="1:8" x14ac:dyDescent="0.2">
      <c r="A16228" t="str">
        <f t="shared" si="5875"/>
        <v>0614140246</v>
      </c>
      <c r="B16228" t="str">
        <f t="shared" si="5876"/>
        <v>IRELAND</v>
      </c>
      <c r="C16228" t="str">
        <f t="shared" si="5877"/>
        <v>SOCOLOVE</v>
      </c>
      <c r="D16228">
        <f>11</f>
        <v>11</v>
      </c>
      <c r="E16228" t="str">
        <f>"08 - B - 101 - Eva T Rimmer"</f>
        <v>08 - B - 101 - Eva T Rimmer</v>
      </c>
      <c r="F16228" t="str">
        <f>"CRIM JUST OPS 3 HON"</f>
        <v>CRIM JUST OPS 3 HON</v>
      </c>
      <c r="G16228" t="str">
        <f>"05-523"</f>
        <v>05-523</v>
      </c>
      <c r="H16228" t="str">
        <f>"B"</f>
        <v>B</v>
      </c>
    </row>
    <row r="16229" spans="1:8" x14ac:dyDescent="0.2">
      <c r="A16229" t="str">
        <f t="shared" ref="A16229:A16237" si="5878">"0613024537"</f>
        <v>0613024537</v>
      </c>
      <c r="B16229" t="str">
        <f t="shared" ref="B16229:B16237" si="5879">"ISAAC"</f>
        <v>ISAAC</v>
      </c>
      <c r="C16229" t="str">
        <f t="shared" si="5877"/>
        <v>SOCOLOVE</v>
      </c>
      <c r="D16229">
        <f>12</f>
        <v>12</v>
      </c>
      <c r="E16229" t="str">
        <f>"04 - A - 101 - Pamela M Corzo"</f>
        <v>04 - A - 101 - Pamela M Corzo</v>
      </c>
      <c r="F16229" t="str">
        <f>"CALCULUS HON"</f>
        <v>CALCULUS HON</v>
      </c>
      <c r="G16229" t="str">
        <f>"21-2133"</f>
        <v>21-2133</v>
      </c>
      <c r="H16229" t="str">
        <f>"A"</f>
        <v>A</v>
      </c>
    </row>
    <row r="16230" spans="1:8" x14ac:dyDescent="0.2">
      <c r="A16230" t="str">
        <f t="shared" si="5878"/>
        <v>0613024537</v>
      </c>
      <c r="B16230" t="str">
        <f t="shared" si="5879"/>
        <v>ISAAC</v>
      </c>
      <c r="C16230" t="str">
        <f t="shared" si="5877"/>
        <v>SOCOLOVE</v>
      </c>
      <c r="D16230">
        <f>12</f>
        <v>12</v>
      </c>
      <c r="E16230" t="str">
        <f>"06 - B - 110 - Barbara L Segal"</f>
        <v>06 - B - 110 - Barbara L Segal</v>
      </c>
      <c r="F16230" t="str">
        <f>"NC STUDY HALL 1"</f>
        <v>NC STUDY HALL 1</v>
      </c>
      <c r="G16230" t="str">
        <f>"17-1742"</f>
        <v>17-1742</v>
      </c>
      <c r="H16230" t="str">
        <f>"B"</f>
        <v>B</v>
      </c>
    </row>
    <row r="16231" spans="1:8" x14ac:dyDescent="0.2">
      <c r="A16231" t="str">
        <f t="shared" si="5878"/>
        <v>0613024537</v>
      </c>
      <c r="B16231" t="str">
        <f t="shared" si="5879"/>
        <v>ISAAC</v>
      </c>
      <c r="C16231" t="str">
        <f t="shared" si="5877"/>
        <v>SOCOLOVE</v>
      </c>
      <c r="D16231">
        <f>12</f>
        <v>12</v>
      </c>
      <c r="E16231" t="str">
        <f>"06 - B - 116 - Karen A Toomer"</f>
        <v>06 - B - 116 - Karen A Toomer</v>
      </c>
      <c r="F16231" t="str">
        <f>"LANG THERAPY"</f>
        <v>LANG THERAPY</v>
      </c>
      <c r="G16231" t="str">
        <f>"21-2110"</f>
        <v>21-2110</v>
      </c>
      <c r="H16231" t="str">
        <f>"B"</f>
        <v>B</v>
      </c>
    </row>
    <row r="16232" spans="1:8" x14ac:dyDescent="0.2">
      <c r="A16232" t="str">
        <f t="shared" si="5878"/>
        <v>0613024537</v>
      </c>
      <c r="B16232" t="str">
        <f t="shared" si="5879"/>
        <v>ISAAC</v>
      </c>
      <c r="C16232" t="str">
        <f t="shared" si="5877"/>
        <v>SOCOLOVE</v>
      </c>
      <c r="D16232">
        <f>12</f>
        <v>12</v>
      </c>
      <c r="E16232" t="str">
        <f>"03 - A - 202 - Jeanne M Bermudez"</f>
        <v>03 - A - 202 - Jeanne M Bermudez</v>
      </c>
      <c r="F16232" t="str">
        <f>"PHYSICS 1 HON"</f>
        <v>PHYSICS 1 HON</v>
      </c>
      <c r="G16232" t="str">
        <f>"21-2141"</f>
        <v>21-2141</v>
      </c>
      <c r="H16232" t="str">
        <f>"A"</f>
        <v>A</v>
      </c>
    </row>
    <row r="16233" spans="1:8" x14ac:dyDescent="0.2">
      <c r="A16233" t="str">
        <f t="shared" si="5878"/>
        <v>0613024537</v>
      </c>
      <c r="B16233" t="str">
        <f t="shared" si="5879"/>
        <v>ISAAC</v>
      </c>
      <c r="C16233" t="str">
        <f t="shared" si="5877"/>
        <v>SOCOLOVE</v>
      </c>
      <c r="D16233">
        <f>12</f>
        <v>12</v>
      </c>
      <c r="E16233" t="str">
        <f>"02 - S1 - A - 103 - Barbara L Segal"</f>
        <v>02 - S1 - A - 103 - Barbara L Segal</v>
      </c>
      <c r="F16233" t="str">
        <f>"US GOVT HON"</f>
        <v>US GOVT HON</v>
      </c>
      <c r="G16233" t="str">
        <f>"17-1742"</f>
        <v>17-1742</v>
      </c>
      <c r="H16233" t="str">
        <f>"A"</f>
        <v>A</v>
      </c>
    </row>
    <row r="16234" spans="1:8" x14ac:dyDescent="0.2">
      <c r="A16234" t="str">
        <f t="shared" si="5878"/>
        <v>0613024537</v>
      </c>
      <c r="B16234" t="str">
        <f t="shared" si="5879"/>
        <v>ISAAC</v>
      </c>
      <c r="C16234" t="str">
        <f t="shared" si="5877"/>
        <v>SOCOLOVE</v>
      </c>
      <c r="D16234">
        <f>12</f>
        <v>12</v>
      </c>
      <c r="E16234" t="str">
        <f>"07 - B - 202 - Chrystina M Marchionne"</f>
        <v>07 - B - 202 - Chrystina M Marchionne</v>
      </c>
      <c r="F16234" t="str">
        <f>"JOURN 1 (YB) LH"</f>
        <v>JOURN 1 (YB) LH</v>
      </c>
      <c r="G16234" t="str">
        <f>"05-520"</f>
        <v>05-520</v>
      </c>
      <c r="H16234" t="str">
        <f>"B"</f>
        <v>B</v>
      </c>
    </row>
    <row r="16235" spans="1:8" x14ac:dyDescent="0.2">
      <c r="A16235" t="str">
        <f t="shared" si="5878"/>
        <v>0613024537</v>
      </c>
      <c r="B16235" t="str">
        <f t="shared" si="5879"/>
        <v>ISAAC</v>
      </c>
      <c r="C16235" t="str">
        <f t="shared" si="5877"/>
        <v>SOCOLOVE</v>
      </c>
      <c r="D16235">
        <f>12</f>
        <v>12</v>
      </c>
      <c r="E16235" t="str">
        <f>"05 - B - 102 - Daniel S Katz"</f>
        <v>05 - B - 102 - Daniel S Katz</v>
      </c>
      <c r="F16235" t="str">
        <f>"EXEC INTERN 4 LH"</f>
        <v>EXEC INTERN 4 LH</v>
      </c>
      <c r="G16235" t="str">
        <f>"21-2156"</f>
        <v>21-2156</v>
      </c>
      <c r="H16235" t="str">
        <f>"B"</f>
        <v>B</v>
      </c>
    </row>
    <row r="16236" spans="1:8" x14ac:dyDescent="0.2">
      <c r="A16236" t="str">
        <f t="shared" si="5878"/>
        <v>0613024537</v>
      </c>
      <c r="B16236" t="str">
        <f t="shared" si="5879"/>
        <v>ISAAC</v>
      </c>
      <c r="C16236" t="str">
        <f t="shared" si="5877"/>
        <v>SOCOLOVE</v>
      </c>
      <c r="D16236">
        <f>12</f>
        <v>12</v>
      </c>
      <c r="E16236" t="str">
        <f>"01 - A - 101 - Adam Marcus  Drucker"</f>
        <v>01 - A - 101 - Adam Marcus  Drucker</v>
      </c>
      <c r="F16236" t="str">
        <f>"HOPE-PE V"</f>
        <v>HOPE-PE V</v>
      </c>
      <c r="G16236" t="str">
        <f>"04-254"</f>
        <v>04-254</v>
      </c>
      <c r="H16236" t="str">
        <f>"A"</f>
        <v>A</v>
      </c>
    </row>
    <row r="16237" spans="1:8" x14ac:dyDescent="0.2">
      <c r="A16237" t="str">
        <f t="shared" si="5878"/>
        <v>0613024537</v>
      </c>
      <c r="B16237" t="str">
        <f t="shared" si="5879"/>
        <v>ISAAC</v>
      </c>
      <c r="C16237" t="str">
        <f t="shared" si="5877"/>
        <v>SOCOLOVE</v>
      </c>
      <c r="D16237">
        <f>12</f>
        <v>12</v>
      </c>
      <c r="E16237" t="str">
        <f>"08 - B - 105 - Brandy N Zdenek"</f>
        <v>08 - B - 105 - Brandy N Zdenek</v>
      </c>
      <c r="F16237" t="str">
        <f>"AICE ENG LANG 2 AL"</f>
        <v>AICE ENG LANG 2 AL</v>
      </c>
      <c r="G16237" t="str">
        <f>"17-1704"</f>
        <v>17-1704</v>
      </c>
      <c r="H16237" t="str">
        <f>"B"</f>
        <v>B</v>
      </c>
    </row>
    <row r="16238" spans="1:8" x14ac:dyDescent="0.2">
      <c r="A16238" t="str">
        <f t="shared" ref="A16238:A16245" si="5880">"0614017837"</f>
        <v>0614017837</v>
      </c>
      <c r="B16238" t="str">
        <f t="shared" ref="B16238:B16245" si="5881">"DESERIE"</f>
        <v>DESERIE</v>
      </c>
      <c r="C16238" t="str">
        <f t="shared" ref="C16238:C16245" si="5882">"SOFTLEIGH"</f>
        <v>SOFTLEIGH</v>
      </c>
      <c r="D16238">
        <f>12</f>
        <v>12</v>
      </c>
      <c r="E16238" t="str">
        <f>"04 - A - 201 - Vanessa J Liburd"</f>
        <v>04 - A - 201 - Vanessa J Liburd</v>
      </c>
      <c r="F16238" t="str">
        <f>"FRENCH 4 HON"</f>
        <v>FRENCH 4 HON</v>
      </c>
      <c r="G16238" t="str">
        <f>"05-519"</f>
        <v>05-519</v>
      </c>
      <c r="H16238" t="str">
        <f>"A"</f>
        <v>A</v>
      </c>
    </row>
    <row r="16239" spans="1:8" x14ac:dyDescent="0.2">
      <c r="A16239" t="str">
        <f t="shared" si="5880"/>
        <v>0614017837</v>
      </c>
      <c r="B16239" t="str">
        <f t="shared" si="5881"/>
        <v>DESERIE</v>
      </c>
      <c r="C16239" t="str">
        <f t="shared" si="5882"/>
        <v>SOFTLEIGH</v>
      </c>
      <c r="D16239">
        <f>12</f>
        <v>12</v>
      </c>
      <c r="E16239" t="str">
        <f>"06 - B - 106 - Taraneh C Abreu"</f>
        <v>06 - B - 106 - Taraneh C Abreu</v>
      </c>
      <c r="F16239" t="str">
        <f>"NC STUDY HALL 1"</f>
        <v>NC STUDY HALL 1</v>
      </c>
      <c r="G16239" t="str">
        <f>"17-1713"</f>
        <v>17-1713</v>
      </c>
      <c r="H16239" t="str">
        <f>"B"</f>
        <v>B</v>
      </c>
    </row>
    <row r="16240" spans="1:8" x14ac:dyDescent="0.2">
      <c r="A16240" t="str">
        <f t="shared" si="5880"/>
        <v>0614017837</v>
      </c>
      <c r="B16240" t="str">
        <f t="shared" si="5881"/>
        <v>DESERIE</v>
      </c>
      <c r="C16240" t="str">
        <f t="shared" si="5882"/>
        <v>SOFTLEIGH</v>
      </c>
      <c r="D16240">
        <f>12</f>
        <v>12</v>
      </c>
      <c r="E16240" t="str">
        <f>"03 - A - 101 - Jeffrey S Gallagher"</f>
        <v>03 - A - 101 - Jeffrey S Gallagher</v>
      </c>
      <c r="F16240" t="str">
        <f>"ENG HON 4"</f>
        <v>ENG HON 4</v>
      </c>
      <c r="G16240" t="str">
        <f>"17-1724"</f>
        <v>17-1724</v>
      </c>
      <c r="H16240" t="str">
        <f>"A"</f>
        <v>A</v>
      </c>
    </row>
    <row r="16241" spans="1:8" x14ac:dyDescent="0.2">
      <c r="A16241" t="str">
        <f t="shared" si="5880"/>
        <v>0614017837</v>
      </c>
      <c r="B16241" t="str">
        <f t="shared" si="5881"/>
        <v>DESERIE</v>
      </c>
      <c r="C16241" t="str">
        <f t="shared" si="5882"/>
        <v>SOFTLEIGH</v>
      </c>
      <c r="D16241">
        <f>12</f>
        <v>12</v>
      </c>
      <c r="E16241" t="str">
        <f>"02 - A - 201 - Jeanne M Bermudez"</f>
        <v>02 - A - 201 - Jeanne M Bermudez</v>
      </c>
      <c r="F16241" t="str">
        <f>"AP ENV SCI"</f>
        <v>AP ENV SCI</v>
      </c>
      <c r="G16241" t="str">
        <f>"21-2141"</f>
        <v>21-2141</v>
      </c>
      <c r="H16241" t="str">
        <f>"A"</f>
        <v>A</v>
      </c>
    </row>
    <row r="16242" spans="1:8" x14ac:dyDescent="0.2">
      <c r="A16242" t="str">
        <f t="shared" si="5880"/>
        <v>0614017837</v>
      </c>
      <c r="B16242" t="str">
        <f t="shared" si="5881"/>
        <v>DESERIE</v>
      </c>
      <c r="C16242" t="str">
        <f t="shared" si="5882"/>
        <v>SOFTLEIGH</v>
      </c>
      <c r="D16242">
        <f>12</f>
        <v>12</v>
      </c>
      <c r="E16242" t="str">
        <f>"07 - B - 101 - Samantha L Martinez"</f>
        <v>07 - B - 101 - Samantha L Martinez</v>
      </c>
      <c r="F16242" t="str">
        <f>"KEYBD 1"</f>
        <v>KEYBD 1</v>
      </c>
      <c r="G16242" t="str">
        <f>"05-505"</f>
        <v>05-505</v>
      </c>
      <c r="H16242" t="str">
        <f>"B"</f>
        <v>B</v>
      </c>
    </row>
    <row r="16243" spans="1:8" x14ac:dyDescent="0.2">
      <c r="A16243" t="str">
        <f t="shared" si="5880"/>
        <v>0614017837</v>
      </c>
      <c r="B16243" t="str">
        <f t="shared" si="5881"/>
        <v>DESERIE</v>
      </c>
      <c r="C16243" t="str">
        <f t="shared" si="5882"/>
        <v>SOFTLEIGH</v>
      </c>
      <c r="D16243">
        <f>12</f>
        <v>12</v>
      </c>
      <c r="E16243" t="str">
        <f>"05 - S1 - B - 102 - Barbara L Segal"</f>
        <v>05 - S1 - B - 102 - Barbara L Segal</v>
      </c>
      <c r="F16243" t="str">
        <f>"US GOVT HON"</f>
        <v>US GOVT HON</v>
      </c>
      <c r="G16243" t="str">
        <f>"17-1742"</f>
        <v>17-1742</v>
      </c>
      <c r="H16243" t="str">
        <f>"B"</f>
        <v>B</v>
      </c>
    </row>
    <row r="16244" spans="1:8" x14ac:dyDescent="0.2">
      <c r="A16244" t="str">
        <f t="shared" si="5880"/>
        <v>0614017837</v>
      </c>
      <c r="B16244" t="str">
        <f t="shared" si="5881"/>
        <v>DESERIE</v>
      </c>
      <c r="C16244" t="str">
        <f t="shared" si="5882"/>
        <v>SOFTLEIGH</v>
      </c>
      <c r="D16244">
        <f>12</f>
        <v>12</v>
      </c>
      <c r="E16244" t="str">
        <f>"01 - A - 102 - Robert H Rindner"</f>
        <v>01 - A - 102 - Robert H Rindner</v>
      </c>
      <c r="F16244" t="str">
        <f>"MATH DATA&amp;FIN LIT H"</f>
        <v>MATH DATA&amp;FIN LIT H</v>
      </c>
      <c r="G16244" t="str">
        <f>"21-2160"</f>
        <v>21-2160</v>
      </c>
      <c r="H16244" t="str">
        <f>"A"</f>
        <v>A</v>
      </c>
    </row>
    <row r="16245" spans="1:8" x14ac:dyDescent="0.2">
      <c r="A16245" t="str">
        <f t="shared" si="5880"/>
        <v>0614017837</v>
      </c>
      <c r="B16245" t="str">
        <f t="shared" si="5881"/>
        <v>DESERIE</v>
      </c>
      <c r="C16245" t="str">
        <f t="shared" si="5882"/>
        <v>SOFTLEIGH</v>
      </c>
      <c r="D16245">
        <f>12</f>
        <v>12</v>
      </c>
      <c r="E16245" t="str">
        <f>"08 - B - 103 - Marielle A Witting"</f>
        <v>08 - B - 103 - Marielle A Witting</v>
      </c>
      <c r="F16245" t="str">
        <f>"AP BIO"</f>
        <v>AP BIO</v>
      </c>
      <c r="G16245" t="str">
        <f>"08-805"</f>
        <v>08-805</v>
      </c>
      <c r="H16245" t="str">
        <f>"B"</f>
        <v>B</v>
      </c>
    </row>
    <row r="16246" spans="1:8" x14ac:dyDescent="0.2">
      <c r="A16246" t="str">
        <f t="shared" ref="A16246:A16253" si="5883">"0615139282"</f>
        <v>0615139282</v>
      </c>
      <c r="B16246" t="str">
        <f t="shared" ref="B16246:B16253" si="5884">"LUCAS"</f>
        <v>LUCAS</v>
      </c>
      <c r="C16246" t="str">
        <f t="shared" ref="C16246:C16253" si="5885">"SOLOMON"</f>
        <v>SOLOMON</v>
      </c>
      <c r="D16246" t="str">
        <f t="shared" ref="D16246:D16253" si="5886">"09"</f>
        <v>09</v>
      </c>
      <c r="E16246" t="str">
        <f>"04 - A - 203 - Cheryl L Beach"</f>
        <v>04 - A - 203 - Cheryl L Beach</v>
      </c>
      <c r="F16246" t="str">
        <f>"AICE ENV MGMNT AS"</f>
        <v>AICE ENV MGMNT AS</v>
      </c>
      <c r="G16246" t="str">
        <f>"08-811"</f>
        <v>08-811</v>
      </c>
      <c r="H16246" t="str">
        <f>"A"</f>
        <v>A</v>
      </c>
    </row>
    <row r="16247" spans="1:8" x14ac:dyDescent="0.2">
      <c r="A16247" t="str">
        <f t="shared" si="5883"/>
        <v>0615139282</v>
      </c>
      <c r="B16247" t="str">
        <f t="shared" si="5884"/>
        <v>LUCAS</v>
      </c>
      <c r="C16247" t="str">
        <f t="shared" si="5885"/>
        <v>SOLOMON</v>
      </c>
      <c r="D16247" t="str">
        <f t="shared" si="5886"/>
        <v>09</v>
      </c>
      <c r="E16247" t="str">
        <f>"06 - B - 102 - Angela S Adeshina-Morrison"</f>
        <v>06 - B - 102 - Angela S Adeshina-Morrison</v>
      </c>
      <c r="F16247" t="str">
        <f>"MARKETING ESSENTIALS"</f>
        <v>MARKETING ESSENTIALS</v>
      </c>
      <c r="G16247" t="str">
        <f>"05-518"</f>
        <v>05-518</v>
      </c>
      <c r="H16247" t="str">
        <f>"B"</f>
        <v>B</v>
      </c>
    </row>
    <row r="16248" spans="1:8" x14ac:dyDescent="0.2">
      <c r="A16248" t="str">
        <f t="shared" si="5883"/>
        <v>0615139282</v>
      </c>
      <c r="B16248" t="str">
        <f t="shared" si="5884"/>
        <v>LUCAS</v>
      </c>
      <c r="C16248" t="str">
        <f t="shared" si="5885"/>
        <v>SOLOMON</v>
      </c>
      <c r="D16248" t="str">
        <f t="shared" si="5886"/>
        <v>09</v>
      </c>
      <c r="E16248" t="str">
        <f>"03 - A - 103 - Marius D Orsolini"</f>
        <v>03 - A - 103 - Marius D Orsolini</v>
      </c>
      <c r="F16248" t="str">
        <f>"CULINARY ARTS 1"</f>
        <v>CULINARY ARTS 1</v>
      </c>
      <c r="G16248" t="str">
        <f>"21-2115"</f>
        <v>21-2115</v>
      </c>
      <c r="H16248" t="str">
        <f>"A"</f>
        <v>A</v>
      </c>
    </row>
    <row r="16249" spans="1:8" x14ac:dyDescent="0.2">
      <c r="A16249" t="str">
        <f t="shared" si="5883"/>
        <v>0615139282</v>
      </c>
      <c r="B16249" t="str">
        <f t="shared" si="5884"/>
        <v>LUCAS</v>
      </c>
      <c r="C16249" t="str">
        <f t="shared" si="5885"/>
        <v>SOLOMON</v>
      </c>
      <c r="D16249" t="str">
        <f t="shared" si="5886"/>
        <v>09</v>
      </c>
      <c r="E16249" t="str">
        <f>"02 - A - 106 - Helen A Flores"</f>
        <v>02 - A - 106 - Helen A Flores</v>
      </c>
      <c r="F16249" t="str">
        <f>"NC STUDY HALL 1"</f>
        <v>NC STUDY HALL 1</v>
      </c>
      <c r="G16249" t="str">
        <f>"21-2101"</f>
        <v>21-2101</v>
      </c>
      <c r="H16249" t="str">
        <f>"A"</f>
        <v>A</v>
      </c>
    </row>
    <row r="16250" spans="1:8" x14ac:dyDescent="0.2">
      <c r="A16250" t="str">
        <f t="shared" si="5883"/>
        <v>0615139282</v>
      </c>
      <c r="B16250" t="str">
        <f t="shared" si="5884"/>
        <v>LUCAS</v>
      </c>
      <c r="C16250" t="str">
        <f t="shared" si="5885"/>
        <v>SOLOMON</v>
      </c>
      <c r="D16250" t="str">
        <f t="shared" si="5886"/>
        <v>09</v>
      </c>
      <c r="E16250" t="str">
        <f>"07 - B - 003 - Brandy N Zdenek"</f>
        <v>07 - B - 003 - Brandy N Zdenek</v>
      </c>
      <c r="F16250" t="str">
        <f>"AICE ENG GEN PAPER 1"</f>
        <v>AICE ENG GEN PAPER 1</v>
      </c>
      <c r="G16250" t="str">
        <f>"17-1704"</f>
        <v>17-1704</v>
      </c>
      <c r="H16250" t="str">
        <f>"B"</f>
        <v>B</v>
      </c>
    </row>
    <row r="16251" spans="1:8" x14ac:dyDescent="0.2">
      <c r="A16251" t="str">
        <f t="shared" si="5883"/>
        <v>0615139282</v>
      </c>
      <c r="B16251" t="str">
        <f t="shared" si="5884"/>
        <v>LUCAS</v>
      </c>
      <c r="C16251" t="str">
        <f t="shared" si="5885"/>
        <v>SOLOMON</v>
      </c>
      <c r="D16251" t="str">
        <f t="shared" si="5886"/>
        <v>09</v>
      </c>
      <c r="E16251" t="str">
        <f>"05 - B - 103 - Eva T Rimmer"</f>
        <v>05 - B - 103 - Eva T Rimmer</v>
      </c>
      <c r="F16251" t="str">
        <f>"CRIMINAL JUST OPS 1"</f>
        <v>CRIMINAL JUST OPS 1</v>
      </c>
      <c r="G16251" t="str">
        <f>"05-523"</f>
        <v>05-523</v>
      </c>
      <c r="H16251" t="str">
        <f>"B"</f>
        <v>B</v>
      </c>
    </row>
    <row r="16252" spans="1:8" x14ac:dyDescent="0.2">
      <c r="A16252" t="str">
        <f t="shared" si="5883"/>
        <v>0615139282</v>
      </c>
      <c r="B16252" t="str">
        <f t="shared" si="5884"/>
        <v>LUCAS</v>
      </c>
      <c r="C16252" t="str">
        <f t="shared" si="5885"/>
        <v>SOLOMON</v>
      </c>
      <c r="D16252" t="str">
        <f t="shared" si="5886"/>
        <v>09</v>
      </c>
      <c r="E16252" t="str">
        <f>"01 - A - 002 - Krystal Marie  Beruty"</f>
        <v>01 - A - 002 - Krystal Marie  Beruty</v>
      </c>
      <c r="F16252" t="str">
        <f>"AICE GLBL PERSP 1 AS"</f>
        <v>AICE GLBL PERSP 1 AS</v>
      </c>
      <c r="G16252" t="str">
        <f>"17-1721"</f>
        <v>17-1721</v>
      </c>
      <c r="H16252" t="str">
        <f>"A"</f>
        <v>A</v>
      </c>
    </row>
    <row r="16253" spans="1:8" x14ac:dyDescent="0.2">
      <c r="A16253" t="str">
        <f t="shared" si="5883"/>
        <v>0615139282</v>
      </c>
      <c r="B16253" t="str">
        <f t="shared" si="5884"/>
        <v>LUCAS</v>
      </c>
      <c r="C16253" t="str">
        <f t="shared" si="5885"/>
        <v>SOLOMON</v>
      </c>
      <c r="D16253" t="str">
        <f t="shared" si="5886"/>
        <v>09</v>
      </c>
      <c r="E16253" t="str">
        <f>"08 - B - 102 - Maried P Ramos"</f>
        <v>08 - B - 102 - Maried P Ramos</v>
      </c>
      <c r="F16253" t="str">
        <f>"ALGEBRA 2 HON"</f>
        <v>ALGEBRA 2 HON</v>
      </c>
      <c r="G16253" t="str">
        <f>"21-2159"</f>
        <v>21-2159</v>
      </c>
      <c r="H16253" t="str">
        <f>"B"</f>
        <v>B</v>
      </c>
    </row>
    <row r="16254" spans="1:8" x14ac:dyDescent="0.2">
      <c r="A16254" t="str">
        <f t="shared" ref="A16254:A16261" si="5887">"0622093291"</f>
        <v>0622093291</v>
      </c>
      <c r="B16254" t="str">
        <f t="shared" ref="B16254:B16261" si="5888">"WALTER"</f>
        <v>WALTER</v>
      </c>
      <c r="C16254" t="str">
        <f t="shared" ref="C16254:C16261" si="5889">"SOLORZANO CASCO"</f>
        <v>SOLORZANO CASCO</v>
      </c>
      <c r="D16254">
        <f>10</f>
        <v>10</v>
      </c>
      <c r="E16254" t="str">
        <f>"04 - A - 105 - Milca  Exantus"</f>
        <v>04 - A - 105 - Milca  Exantus</v>
      </c>
      <c r="F16254" t="str">
        <f>"MATH COLLEGE LIB ART"</f>
        <v>MATH COLLEGE LIB ART</v>
      </c>
      <c r="G16254" t="str">
        <f>"21-2145"</f>
        <v>21-2145</v>
      </c>
      <c r="H16254" t="str">
        <f>"A"</f>
        <v>A</v>
      </c>
    </row>
    <row r="16255" spans="1:8" x14ac:dyDescent="0.2">
      <c r="A16255" t="str">
        <f t="shared" si="5887"/>
        <v>0622093291</v>
      </c>
      <c r="B16255" t="str">
        <f t="shared" si="5888"/>
        <v>WALTER</v>
      </c>
      <c r="C16255" t="str">
        <f t="shared" si="5889"/>
        <v>SOLORZANO CASCO</v>
      </c>
      <c r="D16255">
        <f>10</f>
        <v>10</v>
      </c>
      <c r="E16255" t="str">
        <f>"06 - B - 116 - Jordana K Hass"</f>
        <v>06 - B - 116 - Jordana K Hass</v>
      </c>
      <c r="F16255" t="str">
        <f>"NC STUDY HALL 1"</f>
        <v>NC STUDY HALL 1</v>
      </c>
      <c r="G16255" t="str">
        <f>"08-807"</f>
        <v>08-807</v>
      </c>
      <c r="H16255" t="str">
        <f>"B"</f>
        <v>B</v>
      </c>
    </row>
    <row r="16256" spans="1:8" x14ac:dyDescent="0.2">
      <c r="A16256" t="str">
        <f t="shared" si="5887"/>
        <v>0622093291</v>
      </c>
      <c r="B16256" t="str">
        <f t="shared" si="5888"/>
        <v>WALTER</v>
      </c>
      <c r="C16256" t="str">
        <f t="shared" si="5889"/>
        <v>SOLORZANO CASCO</v>
      </c>
      <c r="D16256">
        <f>10</f>
        <v>10</v>
      </c>
      <c r="E16256" t="str">
        <f>"03 - A - 204 - Lytrell T Dixon"</f>
        <v>03 - A - 204 - Lytrell T Dixon</v>
      </c>
      <c r="F16256" t="str">
        <f>"BIOLOGY 1"</f>
        <v>BIOLOGY 1</v>
      </c>
      <c r="G16256" t="str">
        <f>"08-808"</f>
        <v>08-808</v>
      </c>
      <c r="H16256" t="str">
        <f>"A"</f>
        <v>A</v>
      </c>
    </row>
    <row r="16257" spans="1:8" x14ac:dyDescent="0.2">
      <c r="A16257" t="str">
        <f t="shared" si="5887"/>
        <v>0622093291</v>
      </c>
      <c r="B16257" t="str">
        <f t="shared" si="5888"/>
        <v>WALTER</v>
      </c>
      <c r="C16257" t="str">
        <f t="shared" si="5889"/>
        <v>SOLORZANO CASCO</v>
      </c>
      <c r="D16257">
        <f>10</f>
        <v>10</v>
      </c>
      <c r="E16257" t="str">
        <f>"02 - S1 - A - 101 - Carol S Moore"</f>
        <v>02 - S1 - A - 101 - Carol S Moore</v>
      </c>
      <c r="F16257" t="str">
        <f>"PER CAR SCH DEV 1 LH"</f>
        <v>PER CAR SCH DEV 1 LH</v>
      </c>
      <c r="G16257" t="str">
        <f>"17-1733"</f>
        <v>17-1733</v>
      </c>
      <c r="H16257" t="str">
        <f>"A"</f>
        <v>A</v>
      </c>
    </row>
    <row r="16258" spans="1:8" x14ac:dyDescent="0.2">
      <c r="A16258" t="str">
        <f t="shared" si="5887"/>
        <v>0622093291</v>
      </c>
      <c r="B16258" t="str">
        <f t="shared" si="5888"/>
        <v>WALTER</v>
      </c>
      <c r="C16258" t="str">
        <f t="shared" si="5889"/>
        <v>SOLORZANO CASCO</v>
      </c>
      <c r="D16258">
        <f>10</f>
        <v>10</v>
      </c>
      <c r="E16258" t="str">
        <f>"07 - B - 101 - Jeanne M Bermudez"</f>
        <v>07 - B - 101 - Jeanne M Bermudez</v>
      </c>
      <c r="F16258" t="str">
        <f>"FOUND OF PROGRAM HON"</f>
        <v>FOUND OF PROGRAM HON</v>
      </c>
      <c r="G16258" t="str">
        <f>"21-2141"</f>
        <v>21-2141</v>
      </c>
      <c r="H16258" t="str">
        <f>"B"</f>
        <v>B</v>
      </c>
    </row>
    <row r="16259" spans="1:8" x14ac:dyDescent="0.2">
      <c r="A16259" t="str">
        <f t="shared" si="5887"/>
        <v>0622093291</v>
      </c>
      <c r="B16259" t="str">
        <f t="shared" si="5888"/>
        <v>WALTER</v>
      </c>
      <c r="C16259" t="str">
        <f t="shared" si="5889"/>
        <v>SOLORZANO CASCO</v>
      </c>
      <c r="D16259">
        <f>10</f>
        <v>10</v>
      </c>
      <c r="E16259" t="str">
        <f>"05 - B - 101 - Alejandro  Navarro"</f>
        <v>05 - B - 101 - Alejandro  Navarro</v>
      </c>
      <c r="F16259" t="str">
        <f>"GUITAR 2"</f>
        <v>GUITAR 2</v>
      </c>
      <c r="G16259" t="str">
        <f>"05-504"</f>
        <v>05-504</v>
      </c>
      <c r="H16259" t="str">
        <f>"B"</f>
        <v>B</v>
      </c>
    </row>
    <row r="16260" spans="1:8" x14ac:dyDescent="0.2">
      <c r="A16260" t="str">
        <f t="shared" si="5887"/>
        <v>0622093291</v>
      </c>
      <c r="B16260" t="str">
        <f t="shared" si="5888"/>
        <v>WALTER</v>
      </c>
      <c r="C16260" t="str">
        <f t="shared" si="5889"/>
        <v>SOLORZANO CASCO</v>
      </c>
      <c r="D16260">
        <f>10</f>
        <v>10</v>
      </c>
      <c r="E16260" t="str">
        <f>"01 - A - 101 - Marius D Orsolini"</f>
        <v>01 - A - 101 - Marius D Orsolini</v>
      </c>
      <c r="F16260" t="str">
        <f>"CULINARY ARTS 1"</f>
        <v>CULINARY ARTS 1</v>
      </c>
      <c r="G16260" t="str">
        <f>"21-2115"</f>
        <v>21-2115</v>
      </c>
      <c r="H16260" t="str">
        <f>"A"</f>
        <v>A</v>
      </c>
    </row>
    <row r="16261" spans="1:8" x14ac:dyDescent="0.2">
      <c r="A16261" t="str">
        <f t="shared" si="5887"/>
        <v>0622093291</v>
      </c>
      <c r="B16261" t="str">
        <f t="shared" si="5888"/>
        <v>WALTER</v>
      </c>
      <c r="C16261" t="str">
        <f t="shared" si="5889"/>
        <v>SOLORZANO CASCO</v>
      </c>
      <c r="D16261">
        <f>10</f>
        <v>10</v>
      </c>
      <c r="E16261" t="str">
        <f>"08 - B - 109 - Nikiel  Nesbeth"</f>
        <v>08 - B - 109 - Nikiel  Nesbeth</v>
      </c>
      <c r="F16261" t="str">
        <f>"ENG 2"</f>
        <v>ENG 2</v>
      </c>
      <c r="G16261" t="str">
        <f>"17-1705"</f>
        <v>17-1705</v>
      </c>
      <c r="H16261" t="str">
        <f>"B"</f>
        <v>B</v>
      </c>
    </row>
    <row r="16262" spans="1:8" x14ac:dyDescent="0.2">
      <c r="A16262" t="str">
        <f t="shared" ref="A16262:A16269" si="5890">"0616115023"</f>
        <v>0616115023</v>
      </c>
      <c r="B16262" t="str">
        <f t="shared" ref="B16262:B16269" si="5891">"EMMA"</f>
        <v>EMMA</v>
      </c>
      <c r="C16262" t="str">
        <f t="shared" ref="C16262:C16277" si="5892">"SOMMERKAMP"</f>
        <v>SOMMERKAMP</v>
      </c>
      <c r="D16262" t="str">
        <f t="shared" ref="D16262:D16269" si="5893">"09"</f>
        <v>09</v>
      </c>
      <c r="E16262" t="str">
        <f>"04 - A - 101 - Arthur  Kulawik"</f>
        <v>04 - A - 101 - Arthur  Kulawik</v>
      </c>
      <c r="F16262" t="str">
        <f>"DEBATE 3 HON"</f>
        <v>DEBATE 3 HON</v>
      </c>
      <c r="G16262" t="str">
        <f>"05-506"</f>
        <v>05-506</v>
      </c>
      <c r="H16262" t="str">
        <f>"A"</f>
        <v>A</v>
      </c>
    </row>
    <row r="16263" spans="1:8" x14ac:dyDescent="0.2">
      <c r="A16263" t="str">
        <f t="shared" si="5890"/>
        <v>0616115023</v>
      </c>
      <c r="B16263" t="str">
        <f t="shared" si="5891"/>
        <v>EMMA</v>
      </c>
      <c r="C16263" t="str">
        <f t="shared" si="5892"/>
        <v>SOMMERKAMP</v>
      </c>
      <c r="D16263" t="str">
        <f t="shared" si="5893"/>
        <v>09</v>
      </c>
      <c r="E16263" t="str">
        <f>"06 - B - 102 - Rosa Elaine  Collado-Duff"</f>
        <v>06 - B - 102 - Rosa Elaine  Collado-Duff</v>
      </c>
      <c r="F16263" t="str">
        <f>"SPANISH 3 HON"</f>
        <v>SPANISH 3 HON</v>
      </c>
      <c r="G16263" t="str">
        <f>"09-913"</f>
        <v>09-913</v>
      </c>
      <c r="H16263" t="str">
        <f>"B"</f>
        <v>B</v>
      </c>
    </row>
    <row r="16264" spans="1:8" x14ac:dyDescent="0.2">
      <c r="A16264" t="str">
        <f t="shared" si="5890"/>
        <v>0616115023</v>
      </c>
      <c r="B16264" t="str">
        <f t="shared" si="5891"/>
        <v>EMMA</v>
      </c>
      <c r="C16264" t="str">
        <f t="shared" si="5892"/>
        <v>SOMMERKAMP</v>
      </c>
      <c r="D16264" t="str">
        <f t="shared" si="5893"/>
        <v>09</v>
      </c>
      <c r="E16264" t="str">
        <f>"03 - A - 204 - Norayda D Suarez"</f>
        <v>03 - A - 204 - Norayda D Suarez</v>
      </c>
      <c r="F16264" t="str">
        <f>"ANAT PHYSIO HON"</f>
        <v>ANAT PHYSIO HON</v>
      </c>
      <c r="G16264" t="str">
        <f>"21-2144"</f>
        <v>21-2144</v>
      </c>
      <c r="H16264" t="str">
        <f>"A"</f>
        <v>A</v>
      </c>
    </row>
    <row r="16265" spans="1:8" x14ac:dyDescent="0.2">
      <c r="A16265" t="str">
        <f t="shared" si="5890"/>
        <v>0616115023</v>
      </c>
      <c r="B16265" t="str">
        <f t="shared" si="5891"/>
        <v>EMMA</v>
      </c>
      <c r="C16265" t="str">
        <f t="shared" si="5892"/>
        <v>SOMMERKAMP</v>
      </c>
      <c r="D16265" t="str">
        <f t="shared" si="5893"/>
        <v>09</v>
      </c>
      <c r="E16265" t="str">
        <f>"02 - A - 115 - Lourivaldo  Da Silva"</f>
        <v>02 - A - 115 - Lourivaldo  Da Silva</v>
      </c>
      <c r="F16265" t="str">
        <f>"NC STUDY HALL 1"</f>
        <v>NC STUDY HALL 1</v>
      </c>
      <c r="G16265" t="str">
        <f>"20-2079"</f>
        <v>20-2079</v>
      </c>
      <c r="H16265" t="str">
        <f>"A"</f>
        <v>A</v>
      </c>
    </row>
    <row r="16266" spans="1:8" x14ac:dyDescent="0.2">
      <c r="A16266" t="str">
        <f t="shared" si="5890"/>
        <v>0616115023</v>
      </c>
      <c r="B16266" t="str">
        <f t="shared" si="5891"/>
        <v>EMMA</v>
      </c>
      <c r="C16266" t="str">
        <f t="shared" si="5892"/>
        <v>SOMMERKAMP</v>
      </c>
      <c r="D16266" t="str">
        <f t="shared" si="5893"/>
        <v>09</v>
      </c>
      <c r="E16266" t="str">
        <f>"07 - B - 107 - Marius D Orsolini"</f>
        <v>07 - B - 107 - Marius D Orsolini</v>
      </c>
      <c r="F16266" t="str">
        <f>"CULINARY ARTS 1"</f>
        <v>CULINARY ARTS 1</v>
      </c>
      <c r="G16266" t="str">
        <f>"21-2115"</f>
        <v>21-2115</v>
      </c>
      <c r="H16266" t="str">
        <f>"B"</f>
        <v>B</v>
      </c>
    </row>
    <row r="16267" spans="1:8" x14ac:dyDescent="0.2">
      <c r="A16267" t="str">
        <f t="shared" si="5890"/>
        <v>0616115023</v>
      </c>
      <c r="B16267" t="str">
        <f t="shared" si="5891"/>
        <v>EMMA</v>
      </c>
      <c r="C16267" t="str">
        <f t="shared" si="5892"/>
        <v>SOMMERKAMP</v>
      </c>
      <c r="D16267" t="str">
        <f t="shared" si="5893"/>
        <v>09</v>
      </c>
      <c r="E16267" t="str">
        <f>"05 - B - 103 - Brook E Goren"</f>
        <v>05 - B - 103 - Brook E Goren</v>
      </c>
      <c r="F16267" t="str">
        <f>"PRE-AICE MATH 2 IG"</f>
        <v>PRE-AICE MATH 2 IG</v>
      </c>
      <c r="G16267" t="str">
        <f>"21-2158"</f>
        <v>21-2158</v>
      </c>
      <c r="H16267" t="str">
        <f>"B"</f>
        <v>B</v>
      </c>
    </row>
    <row r="16268" spans="1:8" x14ac:dyDescent="0.2">
      <c r="A16268" t="str">
        <f t="shared" si="5890"/>
        <v>0616115023</v>
      </c>
      <c r="B16268" t="str">
        <f t="shared" si="5891"/>
        <v>EMMA</v>
      </c>
      <c r="C16268" t="str">
        <f t="shared" si="5892"/>
        <v>SOMMERKAMP</v>
      </c>
      <c r="D16268" t="str">
        <f t="shared" si="5893"/>
        <v>09</v>
      </c>
      <c r="E16268" t="str">
        <f>"01 - A - 101 - Rory T Sponsler"</f>
        <v>01 - A - 101 - Rory T Sponsler</v>
      </c>
      <c r="F16268" t="str">
        <f>"PRE-AICE WRLD HST IG"</f>
        <v>PRE-AICE WRLD HST IG</v>
      </c>
      <c r="G16268" t="str">
        <f>"17-1740"</f>
        <v>17-1740</v>
      </c>
      <c r="H16268" t="str">
        <f>"A"</f>
        <v>A</v>
      </c>
    </row>
    <row r="16269" spans="1:8" x14ac:dyDescent="0.2">
      <c r="A16269" t="str">
        <f t="shared" si="5890"/>
        <v>0616115023</v>
      </c>
      <c r="B16269" t="str">
        <f t="shared" si="5891"/>
        <v>EMMA</v>
      </c>
      <c r="C16269" t="str">
        <f t="shared" si="5892"/>
        <v>SOMMERKAMP</v>
      </c>
      <c r="D16269" t="str">
        <f t="shared" si="5893"/>
        <v>09</v>
      </c>
      <c r="E16269" t="str">
        <f>"08 - B - 004 - Cheryl Anne  Berman-Schechter"</f>
        <v>08 - B - 004 - Cheryl Anne  Berman-Schechter</v>
      </c>
      <c r="F16269" t="str">
        <f>"AICE ENG GEN PAPER 1"</f>
        <v>AICE ENG GEN PAPER 1</v>
      </c>
      <c r="G16269" t="str">
        <f>"17-1722"</f>
        <v>17-1722</v>
      </c>
      <c r="H16269" t="str">
        <f>"B"</f>
        <v>B</v>
      </c>
    </row>
    <row r="16270" spans="1:8" x14ac:dyDescent="0.2">
      <c r="A16270" t="str">
        <f t="shared" ref="A16270:A16277" si="5894">"0616122186"</f>
        <v>0616122186</v>
      </c>
      <c r="B16270" t="str">
        <f t="shared" ref="B16270:B16277" si="5895">"OTHAN"</f>
        <v>OTHAN</v>
      </c>
      <c r="C16270" t="str">
        <f t="shared" si="5892"/>
        <v>SOMMERKAMP</v>
      </c>
      <c r="D16270">
        <f>10</f>
        <v>10</v>
      </c>
      <c r="E16270" t="str">
        <f>"04 - A - 101 - Thomas G Handwerg"</f>
        <v>04 - A - 101 - Thomas G Handwerg</v>
      </c>
      <c r="F16270" t="str">
        <f>"MATH COLL ALGEBRA"</f>
        <v>MATH COLL ALGEBRA</v>
      </c>
      <c r="G16270" t="str">
        <f>"21-2146"</f>
        <v>21-2146</v>
      </c>
      <c r="H16270" t="str">
        <f>"A"</f>
        <v>A</v>
      </c>
    </row>
    <row r="16271" spans="1:8" x14ac:dyDescent="0.2">
      <c r="A16271" t="str">
        <f t="shared" si="5894"/>
        <v>0616122186</v>
      </c>
      <c r="B16271" t="str">
        <f t="shared" si="5895"/>
        <v>OTHAN</v>
      </c>
      <c r="C16271" t="str">
        <f t="shared" si="5892"/>
        <v>SOMMERKAMP</v>
      </c>
      <c r="D16271">
        <f>10</f>
        <v>10</v>
      </c>
      <c r="E16271" t="str">
        <f>"06 - B - 103 - Thomas G Handwerg"</f>
        <v>06 - B - 103 - Thomas G Handwerg</v>
      </c>
      <c r="F16271" t="str">
        <f>"NC STUDY HALL 1"</f>
        <v>NC STUDY HALL 1</v>
      </c>
      <c r="G16271" t="str">
        <f>"21-2146"</f>
        <v>21-2146</v>
      </c>
      <c r="H16271" t="str">
        <f>"B"</f>
        <v>B</v>
      </c>
    </row>
    <row r="16272" spans="1:8" x14ac:dyDescent="0.2">
      <c r="A16272" t="str">
        <f t="shared" si="5894"/>
        <v>0616122186</v>
      </c>
      <c r="B16272" t="str">
        <f t="shared" si="5895"/>
        <v>OTHAN</v>
      </c>
      <c r="C16272" t="str">
        <f t="shared" si="5892"/>
        <v>SOMMERKAMP</v>
      </c>
      <c r="D16272">
        <f>10</f>
        <v>10</v>
      </c>
      <c r="E16272" t="str">
        <f>"03 - A - 106 - Krystal Marie  Beruty"</f>
        <v>03 - A - 106 - Krystal Marie  Beruty</v>
      </c>
      <c r="F16272" t="str">
        <f>"AICE PSYCH 1 AS"</f>
        <v>AICE PSYCH 1 AS</v>
      </c>
      <c r="G16272" t="str">
        <f>"17-1721"</f>
        <v>17-1721</v>
      </c>
      <c r="H16272" t="str">
        <f>"A"</f>
        <v>A</v>
      </c>
    </row>
    <row r="16273" spans="1:8" x14ac:dyDescent="0.2">
      <c r="A16273" t="str">
        <f t="shared" si="5894"/>
        <v>0616122186</v>
      </c>
      <c r="B16273" t="str">
        <f t="shared" si="5895"/>
        <v>OTHAN</v>
      </c>
      <c r="C16273" t="str">
        <f t="shared" si="5892"/>
        <v>SOMMERKAMP</v>
      </c>
      <c r="D16273">
        <f>10</f>
        <v>10</v>
      </c>
      <c r="E16273" t="str">
        <f>"02 - A - 201 - Jordana K Hass"</f>
        <v>02 - A - 201 - Jordana K Hass</v>
      </c>
      <c r="F16273" t="str">
        <f>"CHEMISTRY 1"</f>
        <v>CHEMISTRY 1</v>
      </c>
      <c r="G16273" t="str">
        <f>"08-807"</f>
        <v>08-807</v>
      </c>
      <c r="H16273" t="str">
        <f>"A"</f>
        <v>A</v>
      </c>
    </row>
    <row r="16274" spans="1:8" x14ac:dyDescent="0.2">
      <c r="A16274" t="str">
        <f t="shared" si="5894"/>
        <v>0616122186</v>
      </c>
      <c r="B16274" t="str">
        <f t="shared" si="5895"/>
        <v>OTHAN</v>
      </c>
      <c r="C16274" t="str">
        <f t="shared" si="5892"/>
        <v>SOMMERKAMP</v>
      </c>
      <c r="D16274">
        <f>10</f>
        <v>10</v>
      </c>
      <c r="E16274" t="str">
        <f>"07 - B - 107 - Rosa Elaine  Collado-Duff"</f>
        <v>07 - B - 107 - Rosa Elaine  Collado-Duff</v>
      </c>
      <c r="F16274" t="str">
        <f>"PRE-AICE SPAN 2 IG"</f>
        <v>PRE-AICE SPAN 2 IG</v>
      </c>
      <c r="G16274" t="str">
        <f>"09-913"</f>
        <v>09-913</v>
      </c>
      <c r="H16274" t="str">
        <f>"B"</f>
        <v>B</v>
      </c>
    </row>
    <row r="16275" spans="1:8" x14ac:dyDescent="0.2">
      <c r="A16275" t="str">
        <f t="shared" si="5894"/>
        <v>0616122186</v>
      </c>
      <c r="B16275" t="str">
        <f t="shared" si="5895"/>
        <v>OTHAN</v>
      </c>
      <c r="C16275" t="str">
        <f t="shared" si="5892"/>
        <v>SOMMERKAMP</v>
      </c>
      <c r="D16275">
        <f>10</f>
        <v>10</v>
      </c>
      <c r="E16275" t="str">
        <f>"05 - B - 101 - Angela S Adeshina-Morrison"</f>
        <v>05 - B - 101 - Angela S Adeshina-Morrison</v>
      </c>
      <c r="F16275" t="str">
        <f>"MKT MANAGEMENT LH"</f>
        <v>MKT MANAGEMENT LH</v>
      </c>
      <c r="G16275" t="str">
        <f>"05-518"</f>
        <v>05-518</v>
      </c>
      <c r="H16275" t="str">
        <f>"B"</f>
        <v>B</v>
      </c>
    </row>
    <row r="16276" spans="1:8" x14ac:dyDescent="0.2">
      <c r="A16276" t="str">
        <f t="shared" si="5894"/>
        <v>0616122186</v>
      </c>
      <c r="B16276" t="str">
        <f t="shared" si="5895"/>
        <v>OTHAN</v>
      </c>
      <c r="C16276" t="str">
        <f t="shared" si="5892"/>
        <v>SOMMERKAMP</v>
      </c>
      <c r="D16276">
        <f>10</f>
        <v>10</v>
      </c>
      <c r="E16276" t="str">
        <f>"01 - A - 001 - Lenecy  Nodarse"</f>
        <v>01 - A - 001 - Lenecy  Nodarse</v>
      </c>
      <c r="F16276" t="str">
        <f>"AICE EURO HIST 1 AS"</f>
        <v>AICE EURO HIST 1 AS</v>
      </c>
      <c r="G16276" t="str">
        <f>"17-1741"</f>
        <v>17-1741</v>
      </c>
      <c r="H16276" t="str">
        <f>"A"</f>
        <v>A</v>
      </c>
    </row>
    <row r="16277" spans="1:8" x14ac:dyDescent="0.2">
      <c r="A16277" t="str">
        <f t="shared" si="5894"/>
        <v>0616122186</v>
      </c>
      <c r="B16277" t="str">
        <f t="shared" si="5895"/>
        <v>OTHAN</v>
      </c>
      <c r="C16277" t="str">
        <f t="shared" si="5892"/>
        <v>SOMMERKAMP</v>
      </c>
      <c r="D16277">
        <f>10</f>
        <v>10</v>
      </c>
      <c r="E16277" t="str">
        <f>"08 - B - 001 - Jacklyn M James"</f>
        <v>08 - B - 001 - Jacklyn M James</v>
      </c>
      <c r="F16277" t="str">
        <f>"AICE ENG LANG AS"</f>
        <v>AICE ENG LANG AS</v>
      </c>
      <c r="G16277" t="str">
        <f>"17-1731"</f>
        <v>17-1731</v>
      </c>
      <c r="H16277" t="str">
        <f>"B"</f>
        <v>B</v>
      </c>
    </row>
    <row r="16278" spans="1:8" x14ac:dyDescent="0.2">
      <c r="A16278" t="str">
        <f t="shared" ref="A16278:A16285" si="5896">"0625031293"</f>
        <v>0625031293</v>
      </c>
      <c r="B16278" t="str">
        <f t="shared" ref="B16278:B16285" si="5897">"Jhon"</f>
        <v>Jhon</v>
      </c>
      <c r="C16278" t="str">
        <f t="shared" ref="C16278:C16285" si="5898">"Soraca Mesa"</f>
        <v>Soraca Mesa</v>
      </c>
      <c r="D16278">
        <f>10</f>
        <v>10</v>
      </c>
      <c r="E16278" t="str">
        <f>"04 - A - 104 - Helen A Flores"</f>
        <v>04 - A - 104 - Helen A Flores</v>
      </c>
      <c r="F16278" t="str">
        <f>"FDN SKLS MATH 9-12"</f>
        <v>FDN SKLS MATH 9-12</v>
      </c>
      <c r="G16278" t="str">
        <f>"21-2101"</f>
        <v>21-2101</v>
      </c>
      <c r="H16278" t="str">
        <f>"A"</f>
        <v>A</v>
      </c>
    </row>
    <row r="16279" spans="1:8" x14ac:dyDescent="0.2">
      <c r="A16279" t="str">
        <f t="shared" si="5896"/>
        <v>0625031293</v>
      </c>
      <c r="B16279" t="str">
        <f t="shared" si="5897"/>
        <v>Jhon</v>
      </c>
      <c r="C16279" t="str">
        <f t="shared" si="5898"/>
        <v>Soraca Mesa</v>
      </c>
      <c r="D16279">
        <f>10</f>
        <v>10</v>
      </c>
      <c r="E16279" t="str">
        <f>"06 - B - 103 - Vanessa J Liburd"</f>
        <v>06 - B - 103 - Vanessa J Liburd</v>
      </c>
      <c r="F16279" t="str">
        <f>"NC STUDY HALL 1"</f>
        <v>NC STUDY HALL 1</v>
      </c>
      <c r="G16279" t="str">
        <f>"05-519"</f>
        <v>05-519</v>
      </c>
      <c r="H16279" t="str">
        <f>"B"</f>
        <v>B</v>
      </c>
    </row>
    <row r="16280" spans="1:8" x14ac:dyDescent="0.2">
      <c r="A16280" t="str">
        <f t="shared" si="5896"/>
        <v>0625031293</v>
      </c>
      <c r="B16280" t="str">
        <f t="shared" si="5897"/>
        <v>Jhon</v>
      </c>
      <c r="C16280" t="str">
        <f t="shared" si="5898"/>
        <v>Soraca Mesa</v>
      </c>
      <c r="D16280">
        <f>10</f>
        <v>10</v>
      </c>
      <c r="E16280" t="str">
        <f>"03 - A - 105 - Elizabeth Ellen  Moran"</f>
        <v>03 - A - 105 - Elizabeth Ellen  Moran</v>
      </c>
      <c r="F16280" t="str">
        <f>"WORLD HISTORY"</f>
        <v>WORLD HISTORY</v>
      </c>
      <c r="G16280" t="str">
        <f>"17-1752"</f>
        <v>17-1752</v>
      </c>
      <c r="H16280" t="str">
        <f>"A"</f>
        <v>A</v>
      </c>
    </row>
    <row r="16281" spans="1:8" x14ac:dyDescent="0.2">
      <c r="A16281" t="str">
        <f t="shared" si="5896"/>
        <v>0625031293</v>
      </c>
      <c r="B16281" t="str">
        <f t="shared" si="5897"/>
        <v>Jhon</v>
      </c>
      <c r="C16281" t="str">
        <f t="shared" si="5898"/>
        <v>Soraca Mesa</v>
      </c>
      <c r="D16281">
        <f>10</f>
        <v>10</v>
      </c>
      <c r="E16281" t="str">
        <f>"02 - A - 102 - Taraneh C Abreu"</f>
        <v>02 - A - 102 - Taraneh C Abreu</v>
      </c>
      <c r="F16281" t="str">
        <f>"INTENS READ 2"</f>
        <v>INTENS READ 2</v>
      </c>
      <c r="G16281" t="str">
        <f>"17-1713"</f>
        <v>17-1713</v>
      </c>
      <c r="H16281" t="str">
        <f>"A"</f>
        <v>A</v>
      </c>
    </row>
    <row r="16282" spans="1:8" x14ac:dyDescent="0.2">
      <c r="A16282" t="str">
        <f t="shared" si="5896"/>
        <v>0625031293</v>
      </c>
      <c r="B16282" t="str">
        <f t="shared" si="5897"/>
        <v>Jhon</v>
      </c>
      <c r="C16282" t="str">
        <f t="shared" si="5898"/>
        <v>Soraca Mesa</v>
      </c>
      <c r="D16282">
        <f>10</f>
        <v>10</v>
      </c>
      <c r="E16282" t="str">
        <f>"07 - B - 107 - Lytrell T Dixon"</f>
        <v>07 - B - 107 - Lytrell T Dixon</v>
      </c>
      <c r="F16282" t="str">
        <f>"BIOLOGY 1"</f>
        <v>BIOLOGY 1</v>
      </c>
      <c r="G16282" t="str">
        <f>"08-808"</f>
        <v>08-808</v>
      </c>
      <c r="H16282" t="str">
        <f>"B"</f>
        <v>B</v>
      </c>
    </row>
    <row r="16283" spans="1:8" x14ac:dyDescent="0.2">
      <c r="A16283" t="str">
        <f t="shared" si="5896"/>
        <v>0625031293</v>
      </c>
      <c r="B16283" t="str">
        <f t="shared" si="5897"/>
        <v>Jhon</v>
      </c>
      <c r="C16283" t="str">
        <f t="shared" si="5898"/>
        <v>Soraca Mesa</v>
      </c>
      <c r="D16283">
        <f>10</f>
        <v>10</v>
      </c>
      <c r="E16283" t="str">
        <f>"05 - B - 107 - Nikiel  Nesbeth"</f>
        <v>05 - B - 107 - Nikiel  Nesbeth</v>
      </c>
      <c r="F16283" t="str">
        <f>"ENG 2"</f>
        <v>ENG 2</v>
      </c>
      <c r="G16283" t="str">
        <f>"17-1705"</f>
        <v>17-1705</v>
      </c>
      <c r="H16283" t="str">
        <f>"B"</f>
        <v>B</v>
      </c>
    </row>
    <row r="16284" spans="1:8" x14ac:dyDescent="0.2">
      <c r="A16284" t="str">
        <f t="shared" si="5896"/>
        <v>0625031293</v>
      </c>
      <c r="B16284" t="str">
        <f t="shared" si="5897"/>
        <v>Jhon</v>
      </c>
      <c r="C16284" t="str">
        <f t="shared" si="5898"/>
        <v>Soraca Mesa</v>
      </c>
      <c r="D16284">
        <f>10</f>
        <v>10</v>
      </c>
      <c r="E16284" t="str">
        <f>"01 - A - 101 - Vanessa J Pena"</f>
        <v>01 - A - 101 - Vanessa J Pena</v>
      </c>
      <c r="F16284" t="str">
        <f>"DEV LANG ARTS ESOL-R"</f>
        <v>DEV LANG ARTS ESOL-R</v>
      </c>
      <c r="G16284" t="str">
        <f>"09-926"</f>
        <v>09-926</v>
      </c>
      <c r="H16284" t="str">
        <f>"A"</f>
        <v>A</v>
      </c>
    </row>
    <row r="16285" spans="1:8" x14ac:dyDescent="0.2">
      <c r="A16285" t="str">
        <f t="shared" si="5896"/>
        <v>0625031293</v>
      </c>
      <c r="B16285" t="str">
        <f t="shared" si="5897"/>
        <v>Jhon</v>
      </c>
      <c r="C16285" t="str">
        <f t="shared" si="5898"/>
        <v>Soraca Mesa</v>
      </c>
      <c r="D16285">
        <f>10</f>
        <v>10</v>
      </c>
      <c r="E16285" t="str">
        <f>"08 - B - 106 - Helen A Flores"</f>
        <v>08 - B - 106 - Helen A Flores</v>
      </c>
      <c r="F16285" t="str">
        <f>"ALGEBRA 1"</f>
        <v>ALGEBRA 1</v>
      </c>
      <c r="G16285" t="str">
        <f>"21-2101"</f>
        <v>21-2101</v>
      </c>
      <c r="H16285" t="str">
        <f>"B"</f>
        <v>B</v>
      </c>
    </row>
    <row r="16286" spans="1:8" x14ac:dyDescent="0.2">
      <c r="A16286" t="str">
        <f t="shared" ref="A16286:A16293" si="5899">"0613028384"</f>
        <v>0613028384</v>
      </c>
      <c r="B16286" t="str">
        <f t="shared" ref="B16286:B16293" si="5900">"ALESSANDRO"</f>
        <v>ALESSANDRO</v>
      </c>
      <c r="C16286" t="str">
        <f t="shared" ref="C16286:C16301" si="5901">"SORTO"</f>
        <v>SORTO</v>
      </c>
      <c r="D16286">
        <f>12</f>
        <v>12</v>
      </c>
      <c r="E16286" t="str">
        <f>"04 - S1 - A - 105 - Robert O Burger"</f>
        <v>04 - S1 - A - 105 - Robert O Burger</v>
      </c>
      <c r="F16286" t="str">
        <f>"US GOVT"</f>
        <v>US GOVT</v>
      </c>
      <c r="G16286" t="str">
        <f>"17-1755"</f>
        <v>17-1755</v>
      </c>
      <c r="H16286" t="str">
        <f>"A"</f>
        <v>A</v>
      </c>
    </row>
    <row r="16287" spans="1:8" x14ac:dyDescent="0.2">
      <c r="A16287" t="str">
        <f t="shared" si="5899"/>
        <v>0613028384</v>
      </c>
      <c r="B16287" t="str">
        <f t="shared" si="5900"/>
        <v>ALESSANDRO</v>
      </c>
      <c r="C16287" t="str">
        <f t="shared" si="5901"/>
        <v>SORTO</v>
      </c>
      <c r="D16287">
        <f>12</f>
        <v>12</v>
      </c>
      <c r="E16287" t="str">
        <f>"06 - B - 112 - Lisa  Quinn"</f>
        <v>06 - B - 112 - Lisa  Quinn</v>
      </c>
      <c r="F16287" t="str">
        <f>"NC STUDY HALL 1"</f>
        <v>NC STUDY HALL 1</v>
      </c>
      <c r="G16287" t="str">
        <f>"17-1725"</f>
        <v>17-1725</v>
      </c>
      <c r="H16287" t="str">
        <f>"B"</f>
        <v>B</v>
      </c>
    </row>
    <row r="16288" spans="1:8" x14ac:dyDescent="0.2">
      <c r="A16288" t="str">
        <f t="shared" si="5899"/>
        <v>0613028384</v>
      </c>
      <c r="B16288" t="str">
        <f t="shared" si="5900"/>
        <v>ALESSANDRO</v>
      </c>
      <c r="C16288" t="str">
        <f t="shared" si="5901"/>
        <v>SORTO</v>
      </c>
      <c r="D16288">
        <f>12</f>
        <v>12</v>
      </c>
      <c r="E16288" t="str">
        <f>"03 - A - 102 - Thomas G Handwerg"</f>
        <v>03 - A - 102 - Thomas G Handwerg</v>
      </c>
      <c r="F16288" t="str">
        <f>"MATH COLL ALGEBRA"</f>
        <v>MATH COLL ALGEBRA</v>
      </c>
      <c r="G16288" t="str">
        <f>"21-2146"</f>
        <v>21-2146</v>
      </c>
      <c r="H16288" t="str">
        <f>"A"</f>
        <v>A</v>
      </c>
    </row>
    <row r="16289" spans="1:8" x14ac:dyDescent="0.2">
      <c r="A16289" t="str">
        <f t="shared" si="5899"/>
        <v>0613028384</v>
      </c>
      <c r="B16289" t="str">
        <f t="shared" si="5900"/>
        <v>ALESSANDRO</v>
      </c>
      <c r="C16289" t="str">
        <f t="shared" si="5901"/>
        <v>SORTO</v>
      </c>
      <c r="D16289">
        <f>12</f>
        <v>12</v>
      </c>
      <c r="E16289" t="str">
        <f>"02 - A - 101 - Robyn L Trainer"</f>
        <v>02 - A - 101 - Robyn L Trainer</v>
      </c>
      <c r="F16289" t="str">
        <f>"ENG 4"</f>
        <v>ENG 4</v>
      </c>
      <c r="G16289" t="str">
        <f>"17-1734"</f>
        <v>17-1734</v>
      </c>
      <c r="H16289" t="str">
        <f>"A"</f>
        <v>A</v>
      </c>
    </row>
    <row r="16290" spans="1:8" x14ac:dyDescent="0.2">
      <c r="A16290" t="str">
        <f t="shared" si="5899"/>
        <v>0613028384</v>
      </c>
      <c r="B16290" t="str">
        <f t="shared" si="5900"/>
        <v>ALESSANDRO</v>
      </c>
      <c r="C16290" t="str">
        <f t="shared" si="5901"/>
        <v>SORTO</v>
      </c>
      <c r="D16290">
        <f>12</f>
        <v>12</v>
      </c>
      <c r="E16290" t="str">
        <f>"07 - B - 101 - Bruce A Evans"</f>
        <v>07 - B - 101 - Bruce A Evans</v>
      </c>
      <c r="F16290" t="str">
        <f>"FIREFIGHTING 1 LH"</f>
        <v>FIREFIGHTING 1 LH</v>
      </c>
      <c r="G16290" t="str">
        <f>"21-2142"</f>
        <v>21-2142</v>
      </c>
      <c r="H16290" t="str">
        <f>"B"</f>
        <v>B</v>
      </c>
    </row>
    <row r="16291" spans="1:8" x14ac:dyDescent="0.2">
      <c r="A16291" t="str">
        <f t="shared" si="5899"/>
        <v>0613028384</v>
      </c>
      <c r="B16291" t="str">
        <f t="shared" si="5900"/>
        <v>ALESSANDRO</v>
      </c>
      <c r="C16291" t="str">
        <f t="shared" si="5901"/>
        <v>SORTO</v>
      </c>
      <c r="D16291">
        <f>12</f>
        <v>12</v>
      </c>
      <c r="E16291" t="str">
        <f>"05 - B - 204 - Cliffon  Saurel"</f>
        <v>05 - B - 204 - Cliffon  Saurel</v>
      </c>
      <c r="F16291" t="str">
        <f>"PHYSICAL SCI"</f>
        <v>PHYSICAL SCI</v>
      </c>
      <c r="G16291" t="str">
        <f>"05-522"</f>
        <v>05-522</v>
      </c>
      <c r="H16291" t="str">
        <f>"B"</f>
        <v>B</v>
      </c>
    </row>
    <row r="16292" spans="1:8" x14ac:dyDescent="0.2">
      <c r="A16292" t="str">
        <f t="shared" si="5899"/>
        <v>0613028384</v>
      </c>
      <c r="B16292" t="str">
        <f t="shared" si="5900"/>
        <v>ALESSANDRO</v>
      </c>
      <c r="C16292" t="str">
        <f t="shared" si="5901"/>
        <v>SORTO</v>
      </c>
      <c r="D16292">
        <f>12</f>
        <v>12</v>
      </c>
      <c r="E16292" t="str">
        <f>"01 - S1 - A - 101 - Bruce A Evans"</f>
        <v>01 - S1 - A - 101 - Bruce A Evans</v>
      </c>
      <c r="F16292" t="str">
        <f>"ELECTROCARD TECH 3HN"</f>
        <v>ELECTROCARD TECH 3HN</v>
      </c>
      <c r="G16292" t="str">
        <f>"21-2142"</f>
        <v>21-2142</v>
      </c>
      <c r="H16292" t="str">
        <f>"A"</f>
        <v>A</v>
      </c>
    </row>
    <row r="16293" spans="1:8" x14ac:dyDescent="0.2">
      <c r="A16293" t="str">
        <f t="shared" si="5899"/>
        <v>0613028384</v>
      </c>
      <c r="B16293" t="str">
        <f t="shared" si="5900"/>
        <v>ALESSANDRO</v>
      </c>
      <c r="C16293" t="str">
        <f t="shared" si="5901"/>
        <v>SORTO</v>
      </c>
      <c r="D16293">
        <f>12</f>
        <v>12</v>
      </c>
      <c r="E16293" t="str">
        <f>"08 - B - 103 - Joe  Kilpatrick Jr"</f>
        <v>08 - B - 103 - Joe  Kilpatrick Jr</v>
      </c>
      <c r="F16293" t="str">
        <f>"PRE-AICE SPAN 2 IG"</f>
        <v>PRE-AICE SPAN 2 IG</v>
      </c>
      <c r="G16293" t="str">
        <f>"09-912"</f>
        <v>09-912</v>
      </c>
      <c r="H16293" t="str">
        <f>"B"</f>
        <v>B</v>
      </c>
    </row>
    <row r="16294" spans="1:8" x14ac:dyDescent="0.2">
      <c r="A16294" t="str">
        <f t="shared" ref="A16294:A16301" si="5902">"0614128164"</f>
        <v>0614128164</v>
      </c>
      <c r="B16294" t="str">
        <f t="shared" ref="B16294:B16301" si="5903">"BRYAN"</f>
        <v>BRYAN</v>
      </c>
      <c r="C16294" t="str">
        <f t="shared" si="5901"/>
        <v>SORTO</v>
      </c>
      <c r="D16294">
        <f>11</f>
        <v>11</v>
      </c>
      <c r="E16294" t="str">
        <f>"04 - A - 103 - Joe  Kilpatrick Jr"</f>
        <v>04 - A - 103 - Joe  Kilpatrick Jr</v>
      </c>
      <c r="F16294" t="str">
        <f>"PRE-AICE SPAN 1 IG"</f>
        <v>PRE-AICE SPAN 1 IG</v>
      </c>
      <c r="G16294" t="str">
        <f>"09-912"</f>
        <v>09-912</v>
      </c>
      <c r="H16294" t="str">
        <f>"A"</f>
        <v>A</v>
      </c>
    </row>
    <row r="16295" spans="1:8" x14ac:dyDescent="0.2">
      <c r="A16295" t="str">
        <f t="shared" si="5902"/>
        <v>0614128164</v>
      </c>
      <c r="B16295" t="str">
        <f t="shared" si="5903"/>
        <v>BRYAN</v>
      </c>
      <c r="C16295" t="str">
        <f t="shared" si="5901"/>
        <v>SORTO</v>
      </c>
      <c r="D16295">
        <f>11</f>
        <v>11</v>
      </c>
      <c r="E16295" t="str">
        <f>"06 - B - 001 - Samantha J Headley"</f>
        <v>06 - B - 001 - Samantha J Headley</v>
      </c>
      <c r="F16295" t="str">
        <f>"MARINE SCI 1 HON"</f>
        <v>MARINE SCI 1 HON</v>
      </c>
      <c r="G16295" t="str">
        <f>"21-2134"</f>
        <v>21-2134</v>
      </c>
      <c r="H16295" t="str">
        <f>"B"</f>
        <v>B</v>
      </c>
    </row>
    <row r="16296" spans="1:8" x14ac:dyDescent="0.2">
      <c r="A16296" t="str">
        <f t="shared" si="5902"/>
        <v>0614128164</v>
      </c>
      <c r="B16296" t="str">
        <f t="shared" si="5903"/>
        <v>BRYAN</v>
      </c>
      <c r="C16296" t="str">
        <f t="shared" si="5901"/>
        <v>SORTO</v>
      </c>
      <c r="D16296">
        <f>11</f>
        <v>11</v>
      </c>
      <c r="E16296" t="str">
        <f>"03 - A - 104 - Kyle  Robbins"</f>
        <v>03 - A - 104 - Kyle  Robbins</v>
      </c>
      <c r="F16296" t="str">
        <f>"US HISTORY"</f>
        <v>US HISTORY</v>
      </c>
      <c r="G16296" t="str">
        <f>"17-1745"</f>
        <v>17-1745</v>
      </c>
      <c r="H16296" t="str">
        <f>"A"</f>
        <v>A</v>
      </c>
    </row>
    <row r="16297" spans="1:8" x14ac:dyDescent="0.2">
      <c r="A16297" t="str">
        <f t="shared" si="5902"/>
        <v>0614128164</v>
      </c>
      <c r="B16297" t="str">
        <f t="shared" si="5903"/>
        <v>BRYAN</v>
      </c>
      <c r="C16297" t="str">
        <f t="shared" si="5901"/>
        <v>SORTO</v>
      </c>
      <c r="D16297">
        <f>11</f>
        <v>11</v>
      </c>
      <c r="E16297" t="str">
        <f>"02 - A - 113 - Byron G Montenegro"</f>
        <v>02 - A - 113 - Byron G Montenegro</v>
      </c>
      <c r="F16297" t="str">
        <f>"NC STUDY HALL 1"</f>
        <v>NC STUDY HALL 1</v>
      </c>
      <c r="G16297" t="str">
        <f>"21-2144"</f>
        <v>21-2144</v>
      </c>
      <c r="H16297" t="str">
        <f>"A"</f>
        <v>A</v>
      </c>
    </row>
    <row r="16298" spans="1:8" x14ac:dyDescent="0.2">
      <c r="A16298" t="str">
        <f t="shared" si="5902"/>
        <v>0614128164</v>
      </c>
      <c r="B16298" t="str">
        <f t="shared" si="5903"/>
        <v>BRYAN</v>
      </c>
      <c r="C16298" t="str">
        <f t="shared" si="5901"/>
        <v>SORTO</v>
      </c>
      <c r="D16298">
        <f>11</f>
        <v>11</v>
      </c>
      <c r="E16298" t="str">
        <f>"07 - B - 101 - Jeanne M Bermudez"</f>
        <v>07 - B - 101 - Jeanne M Bermudez</v>
      </c>
      <c r="F16298" t="str">
        <f>"FOUND OF PROGRAM HON"</f>
        <v>FOUND OF PROGRAM HON</v>
      </c>
      <c r="G16298" t="str">
        <f>"21-2141"</f>
        <v>21-2141</v>
      </c>
      <c r="H16298" t="str">
        <f>"B"</f>
        <v>B</v>
      </c>
    </row>
    <row r="16299" spans="1:8" x14ac:dyDescent="0.2">
      <c r="A16299" t="str">
        <f t="shared" si="5902"/>
        <v>0614128164</v>
      </c>
      <c r="B16299" t="str">
        <f t="shared" si="5903"/>
        <v>BRYAN</v>
      </c>
      <c r="C16299" t="str">
        <f t="shared" si="5901"/>
        <v>SORTO</v>
      </c>
      <c r="D16299">
        <f>11</f>
        <v>11</v>
      </c>
      <c r="E16299" t="str">
        <f>"05 - B - 106 - Thomas G Handwerg"</f>
        <v>05 - B - 106 - Thomas G Handwerg</v>
      </c>
      <c r="F16299" t="str">
        <f>"MATH COLL ALGEBRA"</f>
        <v>MATH COLL ALGEBRA</v>
      </c>
      <c r="G16299" t="str">
        <f>"21-2146"</f>
        <v>21-2146</v>
      </c>
      <c r="H16299" t="str">
        <f>"B"</f>
        <v>B</v>
      </c>
    </row>
    <row r="16300" spans="1:8" x14ac:dyDescent="0.2">
      <c r="A16300" t="str">
        <f t="shared" si="5902"/>
        <v>0614128164</v>
      </c>
      <c r="B16300" t="str">
        <f t="shared" si="5903"/>
        <v>BRYAN</v>
      </c>
      <c r="C16300" t="str">
        <f t="shared" si="5901"/>
        <v>SORTO</v>
      </c>
      <c r="D16300">
        <f>11</f>
        <v>11</v>
      </c>
      <c r="E16300" t="str">
        <f>"01 - A - 101 - Heidi M Knopp"</f>
        <v>01 - A - 101 - Heidi M Knopp</v>
      </c>
      <c r="F16300" t="str">
        <f>"ENG HON 3"</f>
        <v>ENG HON 3</v>
      </c>
      <c r="G16300" t="str">
        <f>"17-1752"</f>
        <v>17-1752</v>
      </c>
      <c r="H16300" t="str">
        <f>"A"</f>
        <v>A</v>
      </c>
    </row>
    <row r="16301" spans="1:8" x14ac:dyDescent="0.2">
      <c r="A16301" t="str">
        <f t="shared" si="5902"/>
        <v>0614128164</v>
      </c>
      <c r="B16301" t="str">
        <f t="shared" si="5903"/>
        <v>BRYAN</v>
      </c>
      <c r="C16301" t="str">
        <f t="shared" si="5901"/>
        <v>SORTO</v>
      </c>
      <c r="D16301">
        <f>11</f>
        <v>11</v>
      </c>
      <c r="E16301" t="str">
        <f>"08 - S1 - B - 104 - Angela S Adeshina-Morrison"</f>
        <v>08 - S1 - B - 104 - Angela S Adeshina-Morrison</v>
      </c>
      <c r="F16301" t="str">
        <f>"PEER COUN 1"</f>
        <v>PEER COUN 1</v>
      </c>
      <c r="G16301" t="str">
        <f>"05-518"</f>
        <v>05-518</v>
      </c>
      <c r="H16301" t="str">
        <f>"B"</f>
        <v>B</v>
      </c>
    </row>
    <row r="16302" spans="1:8" x14ac:dyDescent="0.2">
      <c r="A16302" t="str">
        <f t="shared" ref="A16302:A16309" si="5904">"0616018084"</f>
        <v>0616018084</v>
      </c>
      <c r="B16302" t="str">
        <f t="shared" ref="B16302:B16309" si="5905">"MATTHEW"</f>
        <v>MATTHEW</v>
      </c>
      <c r="C16302" t="str">
        <f t="shared" ref="C16302:C16309" si="5906">"SORTO MELENDEZ"</f>
        <v>SORTO MELENDEZ</v>
      </c>
      <c r="D16302" t="str">
        <f t="shared" ref="D16302:D16309" si="5907">"09"</f>
        <v>09</v>
      </c>
      <c r="E16302" t="str">
        <f>"04 - A - 106 - Lissa C Frederique"</f>
        <v>04 - A - 106 - Lissa C Frederique</v>
      </c>
      <c r="F16302" t="str">
        <f>"WORLD HISTORY"</f>
        <v>WORLD HISTORY</v>
      </c>
      <c r="G16302" t="str">
        <f>"17-1754"</f>
        <v>17-1754</v>
      </c>
      <c r="H16302" t="str">
        <f>"A"</f>
        <v>A</v>
      </c>
    </row>
    <row r="16303" spans="1:8" x14ac:dyDescent="0.2">
      <c r="A16303" t="str">
        <f t="shared" si="5904"/>
        <v>0616018084</v>
      </c>
      <c r="B16303" t="str">
        <f t="shared" si="5905"/>
        <v>MATTHEW</v>
      </c>
      <c r="C16303" t="str">
        <f t="shared" si="5906"/>
        <v>SORTO MELENDEZ</v>
      </c>
      <c r="D16303" t="str">
        <f t="shared" si="5907"/>
        <v>09</v>
      </c>
      <c r="E16303" t="str">
        <f>"06 - B - 106 - Marius D Orsolini"</f>
        <v>06 - B - 106 - Marius D Orsolini</v>
      </c>
      <c r="F16303" t="str">
        <f>"CULINARY ARTS 1"</f>
        <v>CULINARY ARTS 1</v>
      </c>
      <c r="G16303" t="str">
        <f>"21-2115"</f>
        <v>21-2115</v>
      </c>
      <c r="H16303" t="str">
        <f>"B"</f>
        <v>B</v>
      </c>
    </row>
    <row r="16304" spans="1:8" x14ac:dyDescent="0.2">
      <c r="A16304" t="str">
        <f t="shared" si="5904"/>
        <v>0616018084</v>
      </c>
      <c r="B16304" t="str">
        <f t="shared" si="5905"/>
        <v>MATTHEW</v>
      </c>
      <c r="C16304" t="str">
        <f t="shared" si="5906"/>
        <v>SORTO MELENDEZ</v>
      </c>
      <c r="D16304" t="str">
        <f t="shared" si="5907"/>
        <v>09</v>
      </c>
      <c r="E16304" t="str">
        <f>"03 - A - 102 - Laselleda D Shaw"</f>
        <v>03 - A - 102 - Laselleda D Shaw</v>
      </c>
      <c r="F16304" t="str">
        <f>"INTENS READ 1"</f>
        <v>INTENS READ 1</v>
      </c>
      <c r="G16304" t="str">
        <f>"17-1723"</f>
        <v>17-1723</v>
      </c>
      <c r="H16304" t="str">
        <f>"A"</f>
        <v>A</v>
      </c>
    </row>
    <row r="16305" spans="1:8" x14ac:dyDescent="0.2">
      <c r="A16305" t="str">
        <f t="shared" si="5904"/>
        <v>0616018084</v>
      </c>
      <c r="B16305" t="str">
        <f t="shared" si="5905"/>
        <v>MATTHEW</v>
      </c>
      <c r="C16305" t="str">
        <f t="shared" si="5906"/>
        <v>SORTO MELENDEZ</v>
      </c>
      <c r="D16305" t="str">
        <f t="shared" si="5907"/>
        <v>09</v>
      </c>
      <c r="E16305" t="str">
        <f>"02 - A - 107 - Cerine S Stewart"</f>
        <v>02 - A - 107 - Cerine S Stewart</v>
      </c>
      <c r="F16305" t="str">
        <f>"NC STUDY HALL 1"</f>
        <v>NC STUDY HALL 1</v>
      </c>
      <c r="G16305" t="str">
        <f>"17-1720"</f>
        <v>17-1720</v>
      </c>
      <c r="H16305" t="str">
        <f>"A"</f>
        <v>A</v>
      </c>
    </row>
    <row r="16306" spans="1:8" x14ac:dyDescent="0.2">
      <c r="A16306" t="str">
        <f t="shared" si="5904"/>
        <v>0616018084</v>
      </c>
      <c r="B16306" t="str">
        <f t="shared" si="5905"/>
        <v>MATTHEW</v>
      </c>
      <c r="C16306" t="str">
        <f t="shared" si="5906"/>
        <v>SORTO MELENDEZ</v>
      </c>
      <c r="D16306" t="str">
        <f t="shared" si="5907"/>
        <v>09</v>
      </c>
      <c r="E16306" t="str">
        <f>"07 - B - 003 - Samantha J Headley"</f>
        <v>07 - B - 003 - Samantha J Headley</v>
      </c>
      <c r="F16306" t="str">
        <f>"ENV SCI"</f>
        <v>ENV SCI</v>
      </c>
      <c r="G16306" t="str">
        <f>"08-802"</f>
        <v>08-802</v>
      </c>
      <c r="H16306" t="str">
        <f>"B"</f>
        <v>B</v>
      </c>
    </row>
    <row r="16307" spans="1:8" x14ac:dyDescent="0.2">
      <c r="A16307" t="str">
        <f t="shared" si="5904"/>
        <v>0616018084</v>
      </c>
      <c r="B16307" t="str">
        <f t="shared" si="5905"/>
        <v>MATTHEW</v>
      </c>
      <c r="C16307" t="str">
        <f t="shared" si="5906"/>
        <v>SORTO MELENDEZ</v>
      </c>
      <c r="D16307" t="str">
        <f t="shared" si="5907"/>
        <v>09</v>
      </c>
      <c r="E16307" t="str">
        <f>"05 - B - 105 - Adam Marcus  Drucker"</f>
        <v>05 - B - 105 - Adam Marcus  Drucker</v>
      </c>
      <c r="F16307" t="str">
        <f>"HOPE-PE V"</f>
        <v>HOPE-PE V</v>
      </c>
      <c r="G16307" t="str">
        <f>"04-254"</f>
        <v>04-254</v>
      </c>
      <c r="H16307" t="str">
        <f>"B"</f>
        <v>B</v>
      </c>
    </row>
    <row r="16308" spans="1:8" x14ac:dyDescent="0.2">
      <c r="A16308" t="str">
        <f t="shared" si="5904"/>
        <v>0616018084</v>
      </c>
      <c r="B16308" t="str">
        <f t="shared" si="5905"/>
        <v>MATTHEW</v>
      </c>
      <c r="C16308" t="str">
        <f t="shared" si="5906"/>
        <v>SORTO MELENDEZ</v>
      </c>
      <c r="D16308" t="str">
        <f t="shared" si="5907"/>
        <v>09</v>
      </c>
      <c r="E16308" t="str">
        <f>"01 - A - 102 - Brook E Goren"</f>
        <v>01 - A - 102 - Brook E Goren</v>
      </c>
      <c r="F16308" t="str">
        <f>"PRE-AICE MATH 2 IG"</f>
        <v>PRE-AICE MATH 2 IG</v>
      </c>
      <c r="G16308" t="str">
        <f>"21-2158"</f>
        <v>21-2158</v>
      </c>
      <c r="H16308" t="str">
        <f>"A"</f>
        <v>A</v>
      </c>
    </row>
    <row r="16309" spans="1:8" x14ac:dyDescent="0.2">
      <c r="A16309" t="str">
        <f t="shared" si="5904"/>
        <v>0616018084</v>
      </c>
      <c r="B16309" t="str">
        <f t="shared" si="5905"/>
        <v>MATTHEW</v>
      </c>
      <c r="C16309" t="str">
        <f t="shared" si="5906"/>
        <v>SORTO MELENDEZ</v>
      </c>
      <c r="D16309" t="str">
        <f t="shared" si="5907"/>
        <v>09</v>
      </c>
      <c r="E16309" t="str">
        <f>"08 - B - 108 - Cerine S Stewart"</f>
        <v>08 - B - 108 - Cerine S Stewart</v>
      </c>
      <c r="F16309" t="str">
        <f>"ENG 1"</f>
        <v>ENG 1</v>
      </c>
      <c r="G16309" t="str">
        <f>"17-1720"</f>
        <v>17-1720</v>
      </c>
      <c r="H16309" t="str">
        <f>"B"</f>
        <v>B</v>
      </c>
    </row>
    <row r="16310" spans="1:8" x14ac:dyDescent="0.2">
      <c r="A16310" t="str">
        <f t="shared" ref="A16310:A16317" si="5908">"0615030970"</f>
        <v>0615030970</v>
      </c>
      <c r="B16310" t="str">
        <f t="shared" ref="B16310:B16317" si="5909">"CARMEN"</f>
        <v>CARMEN</v>
      </c>
      <c r="C16310" t="str">
        <f t="shared" ref="C16310:C16317" si="5910">"SOSA"</f>
        <v>SOSA</v>
      </c>
      <c r="D16310">
        <f>11</f>
        <v>11</v>
      </c>
      <c r="E16310" t="str">
        <f>"04 - A - 106 - Marielle A Witting"</f>
        <v>04 - A - 106 - Marielle A Witting</v>
      </c>
      <c r="F16310" t="str">
        <f>"ANAT PHYSIO"</f>
        <v>ANAT PHYSIO</v>
      </c>
      <c r="G16310" t="str">
        <f>"08-805"</f>
        <v>08-805</v>
      </c>
      <c r="H16310" t="str">
        <f>"A"</f>
        <v>A</v>
      </c>
    </row>
    <row r="16311" spans="1:8" x14ac:dyDescent="0.2">
      <c r="A16311" t="str">
        <f t="shared" si="5908"/>
        <v>0615030970</v>
      </c>
      <c r="B16311" t="str">
        <f t="shared" si="5909"/>
        <v>CARMEN</v>
      </c>
      <c r="C16311" t="str">
        <f t="shared" si="5910"/>
        <v>SOSA</v>
      </c>
      <c r="D16311">
        <f>11</f>
        <v>11</v>
      </c>
      <c r="E16311" t="str">
        <f>"06 - B - 202 - Brian M Fitzgerald"</f>
        <v>06 - B - 202 - Brian M Fitzgerald</v>
      </c>
      <c r="F16311" t="str">
        <f>"DRAW 1"</f>
        <v>DRAW 1</v>
      </c>
      <c r="G16311" t="str">
        <f>"09-908"</f>
        <v>09-908</v>
      </c>
      <c r="H16311" t="str">
        <f>"B"</f>
        <v>B</v>
      </c>
    </row>
    <row r="16312" spans="1:8" x14ac:dyDescent="0.2">
      <c r="A16312" t="str">
        <f t="shared" si="5908"/>
        <v>0615030970</v>
      </c>
      <c r="B16312" t="str">
        <f t="shared" si="5909"/>
        <v>CARMEN</v>
      </c>
      <c r="C16312" t="str">
        <f t="shared" si="5910"/>
        <v>SOSA</v>
      </c>
      <c r="D16312">
        <f>11</f>
        <v>11</v>
      </c>
      <c r="E16312" t="str">
        <f>"03 - A - 102 - Lisa  Quinn"</f>
        <v>03 - A - 102 - Lisa  Quinn</v>
      </c>
      <c r="F16312" t="str">
        <f>"ENG 3"</f>
        <v>ENG 3</v>
      </c>
      <c r="G16312" t="str">
        <f>"17-1725"</f>
        <v>17-1725</v>
      </c>
      <c r="H16312" t="str">
        <f>"A"</f>
        <v>A</v>
      </c>
    </row>
    <row r="16313" spans="1:8" x14ac:dyDescent="0.2">
      <c r="A16313" t="str">
        <f t="shared" si="5908"/>
        <v>0615030970</v>
      </c>
      <c r="B16313" t="str">
        <f t="shared" si="5909"/>
        <v>CARMEN</v>
      </c>
      <c r="C16313" t="str">
        <f t="shared" si="5910"/>
        <v>SOSA</v>
      </c>
      <c r="D16313">
        <f>11</f>
        <v>11</v>
      </c>
      <c r="E16313" t="str">
        <f>"02 - A - 108 - Stephen T Ripp"</f>
        <v>02 - A - 108 - Stephen T Ripp</v>
      </c>
      <c r="F16313" t="str">
        <f>"NC STUDY HALL 1"</f>
        <v>NC STUDY HALL 1</v>
      </c>
      <c r="G16313" t="str">
        <f>"17-1744"</f>
        <v>17-1744</v>
      </c>
      <c r="H16313" t="str">
        <f>"A"</f>
        <v>A</v>
      </c>
    </row>
    <row r="16314" spans="1:8" x14ac:dyDescent="0.2">
      <c r="A16314" t="str">
        <f t="shared" si="5908"/>
        <v>0615030970</v>
      </c>
      <c r="B16314" t="str">
        <f t="shared" si="5909"/>
        <v>CARMEN</v>
      </c>
      <c r="C16314" t="str">
        <f t="shared" si="5910"/>
        <v>SOSA</v>
      </c>
      <c r="D16314">
        <f>11</f>
        <v>11</v>
      </c>
      <c r="E16314" t="str">
        <f>"07 - B - 108 - Lauren N Logan"</f>
        <v>07 - B - 108 - Lauren N Logan</v>
      </c>
      <c r="F16314" t="str">
        <f>"US HISTORY"</f>
        <v>US HISTORY</v>
      </c>
      <c r="G16314" t="str">
        <f>"17-1745"</f>
        <v>17-1745</v>
      </c>
      <c r="H16314" t="str">
        <f>"B"</f>
        <v>B</v>
      </c>
    </row>
    <row r="16315" spans="1:8" x14ac:dyDescent="0.2">
      <c r="A16315" t="str">
        <f t="shared" si="5908"/>
        <v>0615030970</v>
      </c>
      <c r="B16315" t="str">
        <f t="shared" si="5909"/>
        <v>CARMEN</v>
      </c>
      <c r="C16315" t="str">
        <f t="shared" si="5910"/>
        <v>SOSA</v>
      </c>
      <c r="D16315">
        <f>11</f>
        <v>11</v>
      </c>
      <c r="E16315" t="str">
        <f>"05 - B - 103 - Nahum  Saint-Preux"</f>
        <v>05 - B - 103 - Nahum  Saint-Preux</v>
      </c>
      <c r="F16315" t="str">
        <f>"INTENS READ 3"</f>
        <v>INTENS READ 3</v>
      </c>
      <c r="G16315" t="str">
        <f>"17-1712"</f>
        <v>17-1712</v>
      </c>
      <c r="H16315" t="str">
        <f>"B"</f>
        <v>B</v>
      </c>
    </row>
    <row r="16316" spans="1:8" x14ac:dyDescent="0.2">
      <c r="A16316" t="str">
        <f t="shared" si="5908"/>
        <v>0615030970</v>
      </c>
      <c r="B16316" t="str">
        <f t="shared" si="5909"/>
        <v>CARMEN</v>
      </c>
      <c r="C16316" t="str">
        <f t="shared" si="5910"/>
        <v>SOSA</v>
      </c>
      <c r="D16316">
        <f>11</f>
        <v>11</v>
      </c>
      <c r="E16316" t="str">
        <f>"01 - A - 102 - Fernando  Vega-Cid"</f>
        <v>01 - A - 102 - Fernando  Vega-Cid</v>
      </c>
      <c r="F16316" t="str">
        <f>"GEOMETRY"</f>
        <v>GEOMETRY</v>
      </c>
      <c r="G16316" t="str">
        <f>"21-2163"</f>
        <v>21-2163</v>
      </c>
      <c r="H16316" t="str">
        <f>"A"</f>
        <v>A</v>
      </c>
    </row>
    <row r="16317" spans="1:8" x14ac:dyDescent="0.2">
      <c r="A16317" t="str">
        <f t="shared" si="5908"/>
        <v>0615030970</v>
      </c>
      <c r="B16317" t="str">
        <f t="shared" si="5909"/>
        <v>CARMEN</v>
      </c>
      <c r="C16317" t="str">
        <f t="shared" si="5910"/>
        <v>SOSA</v>
      </c>
      <c r="D16317">
        <f>11</f>
        <v>11</v>
      </c>
      <c r="E16317" t="str">
        <f>"08 - S1 - B - 104 - Leslie J Barton"</f>
        <v>08 - S1 - B - 104 - Leslie J Barton</v>
      </c>
      <c r="F16317" t="str">
        <f>"TEAM SPORTS 1"</f>
        <v>TEAM SPORTS 1</v>
      </c>
      <c r="G16317" t="str">
        <f>"04-254"</f>
        <v>04-254</v>
      </c>
      <c r="H16317" t="str">
        <f>"B"</f>
        <v>B</v>
      </c>
    </row>
    <row r="16318" spans="1:8" x14ac:dyDescent="0.2">
      <c r="A16318" t="str">
        <f t="shared" ref="A16318:A16325" si="5911">"0613124641"</f>
        <v>0613124641</v>
      </c>
      <c r="B16318" t="str">
        <f t="shared" ref="B16318:B16333" si="5912">"ALEXANDRA"</f>
        <v>ALEXANDRA</v>
      </c>
      <c r="C16318" t="str">
        <f t="shared" ref="C16318:C16333" si="5913">"SOTO"</f>
        <v>SOTO</v>
      </c>
      <c r="D16318">
        <f>12</f>
        <v>12</v>
      </c>
      <c r="E16318" t="str">
        <f>"04 - A - 101 - Brian M Fitzgerald"</f>
        <v>04 - A - 101 - Brian M Fitzgerald</v>
      </c>
      <c r="F16318" t="str">
        <f>"AP 2-D ART &amp; DESIGN"</f>
        <v>AP 2-D ART &amp; DESIGN</v>
      </c>
      <c r="G16318" t="str">
        <f>"09-908"</f>
        <v>09-908</v>
      </c>
      <c r="H16318" t="str">
        <f>"A"</f>
        <v>A</v>
      </c>
    </row>
    <row r="16319" spans="1:8" x14ac:dyDescent="0.2">
      <c r="A16319" t="str">
        <f t="shared" si="5911"/>
        <v>0613124641</v>
      </c>
      <c r="B16319" t="str">
        <f t="shared" si="5912"/>
        <v>ALEXANDRA</v>
      </c>
      <c r="C16319" t="str">
        <f t="shared" si="5913"/>
        <v>SOTO</v>
      </c>
      <c r="D16319">
        <f>12</f>
        <v>12</v>
      </c>
      <c r="E16319" t="str">
        <f>"06 - B - 108 - Jacquelyn M Neeson"</f>
        <v>06 - B - 108 - Jacquelyn M Neeson</v>
      </c>
      <c r="F16319" t="str">
        <f>"NC STUDY HALL 1"</f>
        <v>NC STUDY HALL 1</v>
      </c>
      <c r="G16319" t="str">
        <f>"17-1715"</f>
        <v>17-1715</v>
      </c>
      <c r="H16319" t="str">
        <f>"B"</f>
        <v>B</v>
      </c>
    </row>
    <row r="16320" spans="1:8" x14ac:dyDescent="0.2">
      <c r="A16320" t="str">
        <f t="shared" si="5911"/>
        <v>0613124641</v>
      </c>
      <c r="B16320" t="str">
        <f t="shared" si="5912"/>
        <v>ALEXANDRA</v>
      </c>
      <c r="C16320" t="str">
        <f t="shared" si="5913"/>
        <v>SOTO</v>
      </c>
      <c r="D16320">
        <f>12</f>
        <v>12</v>
      </c>
      <c r="E16320" t="str">
        <f>"03 - A - 103 - Norayda D Suarez"</f>
        <v>03 - A - 103 - Norayda D Suarez</v>
      </c>
      <c r="F16320" t="str">
        <f>"RESEARCH 1 LH"</f>
        <v>RESEARCH 1 LH</v>
      </c>
      <c r="G16320">
        <f>2041</f>
        <v>2041</v>
      </c>
      <c r="H16320" t="str">
        <f>"A"</f>
        <v>A</v>
      </c>
    </row>
    <row r="16321" spans="1:8" x14ac:dyDescent="0.2">
      <c r="A16321" t="str">
        <f t="shared" si="5911"/>
        <v>0613124641</v>
      </c>
      <c r="B16321" t="str">
        <f t="shared" si="5912"/>
        <v>ALEXANDRA</v>
      </c>
      <c r="C16321" t="str">
        <f t="shared" si="5913"/>
        <v>SOTO</v>
      </c>
      <c r="D16321">
        <f>12</f>
        <v>12</v>
      </c>
      <c r="E16321" t="str">
        <f>"02 - A - 201 - Jeanne M Bermudez"</f>
        <v>02 - A - 201 - Jeanne M Bermudez</v>
      </c>
      <c r="F16321" t="str">
        <f>"AP ENV SCI"</f>
        <v>AP ENV SCI</v>
      </c>
      <c r="G16321" t="str">
        <f>"21-2141"</f>
        <v>21-2141</v>
      </c>
      <c r="H16321" t="str">
        <f>"A"</f>
        <v>A</v>
      </c>
    </row>
    <row r="16322" spans="1:8" x14ac:dyDescent="0.2">
      <c r="A16322" t="str">
        <f t="shared" si="5911"/>
        <v>0613124641</v>
      </c>
      <c r="B16322" t="str">
        <f t="shared" si="5912"/>
        <v>ALEXANDRA</v>
      </c>
      <c r="C16322" t="str">
        <f t="shared" si="5913"/>
        <v>SOTO</v>
      </c>
      <c r="D16322">
        <f>12</f>
        <v>12</v>
      </c>
      <c r="E16322" t="str">
        <f>"07 - S1 - B - 102 - Barbara L Segal"</f>
        <v>07 - S1 - B - 102 - Barbara L Segal</v>
      </c>
      <c r="F16322" t="str">
        <f>"AP US GOVT/POL"</f>
        <v>AP US GOVT/POL</v>
      </c>
      <c r="G16322" t="str">
        <f>"17-1742"</f>
        <v>17-1742</v>
      </c>
      <c r="H16322" t="str">
        <f>"B"</f>
        <v>B</v>
      </c>
    </row>
    <row r="16323" spans="1:8" x14ac:dyDescent="0.2">
      <c r="A16323" t="str">
        <f t="shared" si="5911"/>
        <v>0613124641</v>
      </c>
      <c r="B16323" t="str">
        <f t="shared" si="5912"/>
        <v>ALEXANDRA</v>
      </c>
      <c r="C16323" t="str">
        <f t="shared" si="5913"/>
        <v>SOTO</v>
      </c>
      <c r="D16323">
        <f>12</f>
        <v>12</v>
      </c>
      <c r="E16323" t="str">
        <f>"05 - B - 101 - Pamela M Corzo"</f>
        <v>05 - B - 101 - Pamela M Corzo</v>
      </c>
      <c r="F16323" t="str">
        <f>"AP CALCULUS AB"</f>
        <v>AP CALCULUS AB</v>
      </c>
      <c r="G16323" t="str">
        <f>"21-2133"</f>
        <v>21-2133</v>
      </c>
      <c r="H16323" t="str">
        <f>"B"</f>
        <v>B</v>
      </c>
    </row>
    <row r="16324" spans="1:8" x14ac:dyDescent="0.2">
      <c r="A16324" t="str">
        <f t="shared" si="5911"/>
        <v>0613124641</v>
      </c>
      <c r="B16324" t="str">
        <f t="shared" si="5912"/>
        <v>ALEXANDRA</v>
      </c>
      <c r="C16324" t="str">
        <f t="shared" si="5913"/>
        <v>SOTO</v>
      </c>
      <c r="D16324">
        <f>12</f>
        <v>12</v>
      </c>
      <c r="E16324" t="str">
        <f>"01 - A - 101 - Kelly N Panza"</f>
        <v>01 - A - 101 - Kelly N Panza</v>
      </c>
      <c r="F16324" t="str">
        <f>"AP HUMAN GEOG"</f>
        <v>AP HUMAN GEOG</v>
      </c>
      <c r="G16324" t="str">
        <f>"17-1753"</f>
        <v>17-1753</v>
      </c>
      <c r="H16324" t="str">
        <f>"A"</f>
        <v>A</v>
      </c>
    </row>
    <row r="16325" spans="1:8" x14ac:dyDescent="0.2">
      <c r="A16325" t="str">
        <f t="shared" si="5911"/>
        <v>0613124641</v>
      </c>
      <c r="B16325" t="str">
        <f t="shared" si="5912"/>
        <v>ALEXANDRA</v>
      </c>
      <c r="C16325" t="str">
        <f t="shared" si="5913"/>
        <v>SOTO</v>
      </c>
      <c r="D16325">
        <f>12</f>
        <v>12</v>
      </c>
      <c r="E16325" t="str">
        <f>"08 - B - 203 - Courtney E Hambright"</f>
        <v>08 - B - 203 - Courtney E Hambright</v>
      </c>
      <c r="F16325" t="str">
        <f>"AP ENG LIT COMPO"</f>
        <v>AP ENG LIT COMPO</v>
      </c>
      <c r="G16325" t="str">
        <f>"17-1711"</f>
        <v>17-1711</v>
      </c>
      <c r="H16325" t="str">
        <f>"B"</f>
        <v>B</v>
      </c>
    </row>
    <row r="16326" spans="1:8" x14ac:dyDescent="0.2">
      <c r="A16326" t="str">
        <f t="shared" ref="A16326:A16333" si="5914">"0615146085"</f>
        <v>0615146085</v>
      </c>
      <c r="B16326" t="str">
        <f t="shared" si="5912"/>
        <v>ALEXANDRA</v>
      </c>
      <c r="C16326" t="str">
        <f t="shared" si="5913"/>
        <v>SOTO</v>
      </c>
      <c r="D16326">
        <f>10</f>
        <v>10</v>
      </c>
      <c r="E16326" t="str">
        <f>"04 - A - 105 - Jacklyn M James"</f>
        <v>04 - A - 105 - Jacklyn M James</v>
      </c>
      <c r="F16326" t="str">
        <f>"AICE ENG LANG AS"</f>
        <v>AICE ENG LANG AS</v>
      </c>
      <c r="G16326" t="str">
        <f>"17-1731"</f>
        <v>17-1731</v>
      </c>
      <c r="H16326" t="str">
        <f>"A"</f>
        <v>A</v>
      </c>
    </row>
    <row r="16327" spans="1:8" x14ac:dyDescent="0.2">
      <c r="A16327" t="str">
        <f t="shared" si="5914"/>
        <v>0615146085</v>
      </c>
      <c r="B16327" t="str">
        <f t="shared" si="5912"/>
        <v>ALEXANDRA</v>
      </c>
      <c r="C16327" t="str">
        <f t="shared" si="5913"/>
        <v>SOTO</v>
      </c>
      <c r="D16327">
        <f>10</f>
        <v>10</v>
      </c>
      <c r="E16327" t="str">
        <f>"06 - B - 112 - Tina M Jaramillo"</f>
        <v>06 - B - 112 - Tina M Jaramillo</v>
      </c>
      <c r="F16327" t="str">
        <f>"NC STUDY HALL 1"</f>
        <v>NC STUDY HALL 1</v>
      </c>
      <c r="G16327" t="str">
        <f>"17-1706"</f>
        <v>17-1706</v>
      </c>
      <c r="H16327" t="str">
        <f>"B"</f>
        <v>B</v>
      </c>
    </row>
    <row r="16328" spans="1:8" x14ac:dyDescent="0.2">
      <c r="A16328" t="str">
        <f t="shared" si="5914"/>
        <v>0615146085</v>
      </c>
      <c r="B16328" t="str">
        <f t="shared" si="5912"/>
        <v>ALEXANDRA</v>
      </c>
      <c r="C16328" t="str">
        <f t="shared" si="5913"/>
        <v>SOTO</v>
      </c>
      <c r="D16328">
        <f>10</f>
        <v>10</v>
      </c>
      <c r="E16328" t="str">
        <f>"03 - A - 202 - Cheryl L Beach"</f>
        <v>03 - A - 202 - Cheryl L Beach</v>
      </c>
      <c r="F16328" t="str">
        <f>"AICE ENV MGMNT AS"</f>
        <v>AICE ENV MGMNT AS</v>
      </c>
      <c r="G16328" t="str">
        <f>"08-811"</f>
        <v>08-811</v>
      </c>
      <c r="H16328" t="str">
        <f>"A"</f>
        <v>A</v>
      </c>
    </row>
    <row r="16329" spans="1:8" x14ac:dyDescent="0.2">
      <c r="A16329" t="str">
        <f t="shared" si="5914"/>
        <v>0615146085</v>
      </c>
      <c r="B16329" t="str">
        <f t="shared" si="5912"/>
        <v>ALEXANDRA</v>
      </c>
      <c r="C16329" t="str">
        <f t="shared" si="5913"/>
        <v>SOTO</v>
      </c>
      <c r="D16329">
        <f>10</f>
        <v>10</v>
      </c>
      <c r="E16329" t="str">
        <f>"02 - A - 103 - Lenecy  Nodarse"</f>
        <v>02 - A - 103 - Lenecy  Nodarse</v>
      </c>
      <c r="F16329" t="str">
        <f>"AICE EURO HIST 1 AS"</f>
        <v>AICE EURO HIST 1 AS</v>
      </c>
      <c r="G16329" t="str">
        <f>"17-1741"</f>
        <v>17-1741</v>
      </c>
      <c r="H16329" t="str">
        <f>"A"</f>
        <v>A</v>
      </c>
    </row>
    <row r="16330" spans="1:8" x14ac:dyDescent="0.2">
      <c r="A16330" t="str">
        <f t="shared" si="5914"/>
        <v>0615146085</v>
      </c>
      <c r="B16330" t="str">
        <f t="shared" si="5912"/>
        <v>ALEXANDRA</v>
      </c>
      <c r="C16330" t="str">
        <f t="shared" si="5913"/>
        <v>SOTO</v>
      </c>
      <c r="D16330">
        <f>10</f>
        <v>10</v>
      </c>
      <c r="E16330" t="str">
        <f>"07 - B - 101 - Fernando  Vega-Cid"</f>
        <v>07 - B - 101 - Fernando  Vega-Cid</v>
      </c>
      <c r="F16330" t="str">
        <f>"AP PRECALCULUS"</f>
        <v>AP PRECALCULUS</v>
      </c>
      <c r="G16330" t="str">
        <f>"21-2163"</f>
        <v>21-2163</v>
      </c>
      <c r="H16330" t="str">
        <f>"B"</f>
        <v>B</v>
      </c>
    </row>
    <row r="16331" spans="1:8" x14ac:dyDescent="0.2">
      <c r="A16331" t="str">
        <f t="shared" si="5914"/>
        <v>0615146085</v>
      </c>
      <c r="B16331" t="str">
        <f t="shared" si="5912"/>
        <v>ALEXANDRA</v>
      </c>
      <c r="C16331" t="str">
        <f t="shared" si="5913"/>
        <v>SOTO</v>
      </c>
      <c r="D16331">
        <f>10</f>
        <v>10</v>
      </c>
      <c r="E16331" t="str">
        <f>"05 - B - 101 - Jordana K Hass"</f>
        <v>05 - B - 101 - Jordana K Hass</v>
      </c>
      <c r="F16331" t="str">
        <f>"AP COMP SCI PRIN"</f>
        <v>AP COMP SCI PRIN</v>
      </c>
      <c r="G16331" t="str">
        <f>"08-807"</f>
        <v>08-807</v>
      </c>
      <c r="H16331" t="str">
        <f>"B"</f>
        <v>B</v>
      </c>
    </row>
    <row r="16332" spans="1:8" x14ac:dyDescent="0.2">
      <c r="A16332" t="str">
        <f t="shared" si="5914"/>
        <v>0615146085</v>
      </c>
      <c r="B16332" t="str">
        <f t="shared" si="5912"/>
        <v>ALEXANDRA</v>
      </c>
      <c r="C16332" t="str">
        <f t="shared" si="5913"/>
        <v>SOTO</v>
      </c>
      <c r="D16332">
        <f>10</f>
        <v>10</v>
      </c>
      <c r="E16332" t="str">
        <f>"01 - A - 201 - Stefanie S Scher"</f>
        <v>01 - A - 201 - Stefanie S Scher</v>
      </c>
      <c r="F16332" t="str">
        <f>"AICE PSYCH 1 AS"</f>
        <v>AICE PSYCH 1 AS</v>
      </c>
      <c r="G16332" t="str">
        <f>"17-1735"</f>
        <v>17-1735</v>
      </c>
      <c r="H16332" t="str">
        <f>"A"</f>
        <v>A</v>
      </c>
    </row>
    <row r="16333" spans="1:8" x14ac:dyDescent="0.2">
      <c r="A16333" t="str">
        <f t="shared" si="5914"/>
        <v>0615146085</v>
      </c>
      <c r="B16333" t="str">
        <f t="shared" si="5912"/>
        <v>ALEXANDRA</v>
      </c>
      <c r="C16333" t="str">
        <f t="shared" si="5913"/>
        <v>SOTO</v>
      </c>
      <c r="D16333">
        <f>10</f>
        <v>10</v>
      </c>
      <c r="E16333" t="str">
        <f>"08 - B - 103 - Joe  Kilpatrick Jr"</f>
        <v>08 - B - 103 - Joe  Kilpatrick Jr</v>
      </c>
      <c r="F16333" t="str">
        <f>"PRE-AICE SPAN 2 IG"</f>
        <v>PRE-AICE SPAN 2 IG</v>
      </c>
      <c r="G16333" t="str">
        <f>"09-912"</f>
        <v>09-912</v>
      </c>
      <c r="H16333" t="str">
        <f>"B"</f>
        <v>B</v>
      </c>
    </row>
    <row r="16334" spans="1:8" x14ac:dyDescent="0.2">
      <c r="A16334" t="str">
        <f t="shared" ref="A16334:A16341" si="5915">"0616120218"</f>
        <v>0616120218</v>
      </c>
      <c r="B16334" t="str">
        <f t="shared" ref="B16334:B16341" si="5916">"NOAH"</f>
        <v>NOAH</v>
      </c>
      <c r="C16334" t="str">
        <f t="shared" ref="C16334:C16341" si="5917">"SPEARS"</f>
        <v>SPEARS</v>
      </c>
      <c r="D16334" t="str">
        <f t="shared" ref="D16334:D16341" si="5918">"09"</f>
        <v>09</v>
      </c>
      <c r="E16334" t="str">
        <f>"04 - A - 103 - Joe  Kilpatrick Jr"</f>
        <v>04 - A - 103 - Joe  Kilpatrick Jr</v>
      </c>
      <c r="F16334" t="str">
        <f>"PRE-AICE SPAN 1 IG"</f>
        <v>PRE-AICE SPAN 1 IG</v>
      </c>
      <c r="G16334" t="str">
        <f>"09-912"</f>
        <v>09-912</v>
      </c>
      <c r="H16334" t="str">
        <f>"A"</f>
        <v>A</v>
      </c>
    </row>
    <row r="16335" spans="1:8" x14ac:dyDescent="0.2">
      <c r="A16335" t="str">
        <f t="shared" si="5915"/>
        <v>0616120218</v>
      </c>
      <c r="B16335" t="str">
        <f t="shared" si="5916"/>
        <v>NOAH</v>
      </c>
      <c r="C16335" t="str">
        <f t="shared" si="5917"/>
        <v>SPEARS</v>
      </c>
      <c r="D16335" t="str">
        <f t="shared" si="5918"/>
        <v>09</v>
      </c>
      <c r="E16335" t="str">
        <f>"06 - B - 104 - Rory T Sponsler"</f>
        <v>06 - B - 104 - Rory T Sponsler</v>
      </c>
      <c r="F16335" t="str">
        <f>"PRE-AICE WRLD HST IG"</f>
        <v>PRE-AICE WRLD HST IG</v>
      </c>
      <c r="G16335" t="str">
        <f>"17-1740"</f>
        <v>17-1740</v>
      </c>
      <c r="H16335" t="str">
        <f>"B"</f>
        <v>B</v>
      </c>
    </row>
    <row r="16336" spans="1:8" x14ac:dyDescent="0.2">
      <c r="A16336" t="str">
        <f t="shared" si="5915"/>
        <v>0616120218</v>
      </c>
      <c r="B16336" t="str">
        <f t="shared" si="5916"/>
        <v>NOAH</v>
      </c>
      <c r="C16336" t="str">
        <f t="shared" si="5917"/>
        <v>SPEARS</v>
      </c>
      <c r="D16336" t="str">
        <f t="shared" si="5918"/>
        <v>09</v>
      </c>
      <c r="E16336" t="str">
        <f>"03 - A - 103 - Marius D Orsolini"</f>
        <v>03 - A - 103 - Marius D Orsolini</v>
      </c>
      <c r="F16336" t="str">
        <f>"CULINARY ARTS 1"</f>
        <v>CULINARY ARTS 1</v>
      </c>
      <c r="G16336" t="str">
        <f>"21-2115"</f>
        <v>21-2115</v>
      </c>
      <c r="H16336" t="str">
        <f>"A"</f>
        <v>A</v>
      </c>
    </row>
    <row r="16337" spans="1:8" x14ac:dyDescent="0.2">
      <c r="A16337" t="str">
        <f t="shared" si="5915"/>
        <v>0616120218</v>
      </c>
      <c r="B16337" t="str">
        <f t="shared" si="5916"/>
        <v>NOAH</v>
      </c>
      <c r="C16337" t="str">
        <f t="shared" si="5917"/>
        <v>SPEARS</v>
      </c>
      <c r="D16337" t="str">
        <f t="shared" si="5918"/>
        <v>09</v>
      </c>
      <c r="E16337" t="str">
        <f>"02 - A - 107 - Cerine S Stewart"</f>
        <v>02 - A - 107 - Cerine S Stewart</v>
      </c>
      <c r="F16337" t="str">
        <f>"NC STUDY HALL 1"</f>
        <v>NC STUDY HALL 1</v>
      </c>
      <c r="G16337" t="str">
        <f>"17-1720"</f>
        <v>17-1720</v>
      </c>
      <c r="H16337" t="str">
        <f>"A"</f>
        <v>A</v>
      </c>
    </row>
    <row r="16338" spans="1:8" x14ac:dyDescent="0.2">
      <c r="A16338" t="str">
        <f t="shared" si="5915"/>
        <v>0616120218</v>
      </c>
      <c r="B16338" t="str">
        <f t="shared" si="5916"/>
        <v>NOAH</v>
      </c>
      <c r="C16338" t="str">
        <f t="shared" si="5917"/>
        <v>SPEARS</v>
      </c>
      <c r="D16338" t="str">
        <f t="shared" si="5918"/>
        <v>09</v>
      </c>
      <c r="E16338" t="str">
        <f>"07 - B - 003 - Brandy N Zdenek"</f>
        <v>07 - B - 003 - Brandy N Zdenek</v>
      </c>
      <c r="F16338" t="str">
        <f>"AICE ENG GEN PAPER 1"</f>
        <v>AICE ENG GEN PAPER 1</v>
      </c>
      <c r="G16338" t="str">
        <f>"17-1704"</f>
        <v>17-1704</v>
      </c>
      <c r="H16338" t="str">
        <f>"B"</f>
        <v>B</v>
      </c>
    </row>
    <row r="16339" spans="1:8" x14ac:dyDescent="0.2">
      <c r="A16339" t="str">
        <f t="shared" si="5915"/>
        <v>0616120218</v>
      </c>
      <c r="B16339" t="str">
        <f t="shared" si="5916"/>
        <v>NOAH</v>
      </c>
      <c r="C16339" t="str">
        <f t="shared" si="5917"/>
        <v>SPEARS</v>
      </c>
      <c r="D16339" t="str">
        <f t="shared" si="5918"/>
        <v>09</v>
      </c>
      <c r="E16339" t="str">
        <f>"05 - B - 106 - Fernando  Vega-Cid"</f>
        <v>05 - B - 106 - Fernando  Vega-Cid</v>
      </c>
      <c r="F16339" t="str">
        <f>"GEOMETRY"</f>
        <v>GEOMETRY</v>
      </c>
      <c r="G16339" t="str">
        <f>"21-2163"</f>
        <v>21-2163</v>
      </c>
      <c r="H16339" t="str">
        <f>"B"</f>
        <v>B</v>
      </c>
    </row>
    <row r="16340" spans="1:8" x14ac:dyDescent="0.2">
      <c r="A16340" t="str">
        <f t="shared" si="5915"/>
        <v>0616120218</v>
      </c>
      <c r="B16340" t="str">
        <f t="shared" si="5916"/>
        <v>NOAH</v>
      </c>
      <c r="C16340" t="str">
        <f t="shared" si="5917"/>
        <v>SPEARS</v>
      </c>
      <c r="D16340" t="str">
        <f t="shared" si="5918"/>
        <v>09</v>
      </c>
      <c r="E16340" t="str">
        <f>"01 - A - 101 - Samantha L Martinez"</f>
        <v>01 - A - 101 - Samantha L Martinez</v>
      </c>
      <c r="F16340" t="str">
        <f>"MUSIC WORLD"</f>
        <v>MUSIC WORLD</v>
      </c>
      <c r="G16340" t="str">
        <f>"05-505"</f>
        <v>05-505</v>
      </c>
      <c r="H16340" t="str">
        <f>"A"</f>
        <v>A</v>
      </c>
    </row>
    <row r="16341" spans="1:8" x14ac:dyDescent="0.2">
      <c r="A16341" t="str">
        <f t="shared" si="5915"/>
        <v>0616120218</v>
      </c>
      <c r="B16341" t="str">
        <f t="shared" si="5916"/>
        <v>NOAH</v>
      </c>
      <c r="C16341" t="str">
        <f t="shared" si="5917"/>
        <v>SPEARS</v>
      </c>
      <c r="D16341" t="str">
        <f t="shared" si="5918"/>
        <v>09</v>
      </c>
      <c r="E16341" t="str">
        <f>"08 - B - 102 - Josiah I Lacy"</f>
        <v>08 - B - 102 - Josiah I Lacy</v>
      </c>
      <c r="F16341" t="str">
        <f>"ANAT PHYSIO HON"</f>
        <v>ANAT PHYSIO HON</v>
      </c>
      <c r="G16341" t="str">
        <f>"08-801"</f>
        <v>08-801</v>
      </c>
      <c r="H16341" t="str">
        <f>"B"</f>
        <v>B</v>
      </c>
    </row>
    <row r="16342" spans="1:8" x14ac:dyDescent="0.2">
      <c r="A16342" t="str">
        <f t="shared" ref="A16342:A16349" si="5919">"0616068444"</f>
        <v>0616068444</v>
      </c>
      <c r="B16342" t="str">
        <f t="shared" ref="B16342:B16349" si="5920">"ADRIAN"</f>
        <v>ADRIAN</v>
      </c>
      <c r="C16342" t="str">
        <f t="shared" ref="C16342:C16357" si="5921">"SPELLS"</f>
        <v>SPELLS</v>
      </c>
      <c r="D16342">
        <f>10</f>
        <v>10</v>
      </c>
      <c r="E16342" t="str">
        <f>"04 - A - 106 - Lissa C Frederique"</f>
        <v>04 - A - 106 - Lissa C Frederique</v>
      </c>
      <c r="F16342" t="str">
        <f>"WORLD HISTORY"</f>
        <v>WORLD HISTORY</v>
      </c>
      <c r="G16342" t="str">
        <f>"17-1754"</f>
        <v>17-1754</v>
      </c>
      <c r="H16342" t="str">
        <f>"A"</f>
        <v>A</v>
      </c>
    </row>
    <row r="16343" spans="1:8" x14ac:dyDescent="0.2">
      <c r="A16343" t="str">
        <f t="shared" si="5919"/>
        <v>0616068444</v>
      </c>
      <c r="B16343" t="str">
        <f t="shared" si="5920"/>
        <v>ADRIAN</v>
      </c>
      <c r="C16343" t="str">
        <f t="shared" si="5921"/>
        <v>SPELLS</v>
      </c>
      <c r="D16343">
        <f>10</f>
        <v>10</v>
      </c>
      <c r="E16343" t="str">
        <f>"06 - B - 116 - Jordana K Hass"</f>
        <v>06 - B - 116 - Jordana K Hass</v>
      </c>
      <c r="F16343" t="str">
        <f>"NC STUDY HALL 1"</f>
        <v>NC STUDY HALL 1</v>
      </c>
      <c r="G16343" t="str">
        <f>"08-807"</f>
        <v>08-807</v>
      </c>
      <c r="H16343" t="str">
        <f>"B"</f>
        <v>B</v>
      </c>
    </row>
    <row r="16344" spans="1:8" x14ac:dyDescent="0.2">
      <c r="A16344" t="str">
        <f t="shared" si="5919"/>
        <v>0616068444</v>
      </c>
      <c r="B16344" t="str">
        <f t="shared" si="5920"/>
        <v>ADRIAN</v>
      </c>
      <c r="C16344" t="str">
        <f t="shared" si="5921"/>
        <v>SPELLS</v>
      </c>
      <c r="D16344">
        <f>10</f>
        <v>10</v>
      </c>
      <c r="E16344" t="str">
        <f>"03 - A - 103 - Taraneh C Abreu"</f>
        <v>03 - A - 103 - Taraneh C Abreu</v>
      </c>
      <c r="F16344" t="str">
        <f>"INTENS READ 2"</f>
        <v>INTENS READ 2</v>
      </c>
      <c r="G16344" t="str">
        <f>"17-1713"</f>
        <v>17-1713</v>
      </c>
      <c r="H16344" t="str">
        <f>"A"</f>
        <v>A</v>
      </c>
    </row>
    <row r="16345" spans="1:8" x14ac:dyDescent="0.2">
      <c r="A16345" t="str">
        <f t="shared" si="5919"/>
        <v>0616068444</v>
      </c>
      <c r="B16345" t="str">
        <f t="shared" si="5920"/>
        <v>ADRIAN</v>
      </c>
      <c r="C16345" t="str">
        <f t="shared" si="5921"/>
        <v>SPELLS</v>
      </c>
      <c r="D16345">
        <f>10</f>
        <v>10</v>
      </c>
      <c r="E16345" t="str">
        <f>"02 - A - 101 - Christa T Parisi"</f>
        <v>02 - A - 101 - Christa T Parisi</v>
      </c>
      <c r="F16345" t="str">
        <f>"LRNG STRATEGIES 9-12"</f>
        <v>LRNG STRATEGIES 9-12</v>
      </c>
      <c r="G16345" t="str">
        <f>"20-2072"</f>
        <v>20-2072</v>
      </c>
      <c r="H16345" t="str">
        <f>"A"</f>
        <v>A</v>
      </c>
    </row>
    <row r="16346" spans="1:8" x14ac:dyDescent="0.2">
      <c r="A16346" t="str">
        <f t="shared" si="5919"/>
        <v>0616068444</v>
      </c>
      <c r="B16346" t="str">
        <f t="shared" si="5920"/>
        <v>ADRIAN</v>
      </c>
      <c r="C16346" t="str">
        <f t="shared" si="5921"/>
        <v>SPELLS</v>
      </c>
      <c r="D16346">
        <f>10</f>
        <v>10</v>
      </c>
      <c r="E16346" t="str">
        <f>"07 - B - 108 - Jacquelyn M Neeson"</f>
        <v>07 - B - 108 - Jacquelyn M Neeson</v>
      </c>
      <c r="F16346" t="str">
        <f>"ENG 2"</f>
        <v>ENG 2</v>
      </c>
      <c r="G16346" t="str">
        <f>"17-1715"</f>
        <v>17-1715</v>
      </c>
      <c r="H16346" t="str">
        <f>"B"</f>
        <v>B</v>
      </c>
    </row>
    <row r="16347" spans="1:8" x14ac:dyDescent="0.2">
      <c r="A16347" t="str">
        <f t="shared" si="5919"/>
        <v>0616068444</v>
      </c>
      <c r="B16347" t="str">
        <f t="shared" si="5920"/>
        <v>ADRIAN</v>
      </c>
      <c r="C16347" t="str">
        <f t="shared" si="5921"/>
        <v>SPELLS</v>
      </c>
      <c r="D16347">
        <f>10</f>
        <v>10</v>
      </c>
      <c r="E16347" t="str">
        <f>"05 - B - 106 - Milca  Exantus"</f>
        <v>05 - B - 106 - Milca  Exantus</v>
      </c>
      <c r="F16347" t="str">
        <f>"MATH COLLEGE LIB ART"</f>
        <v>MATH COLLEGE LIB ART</v>
      </c>
      <c r="G16347" t="str">
        <f>"21-2145"</f>
        <v>21-2145</v>
      </c>
      <c r="H16347" t="str">
        <f>"B"</f>
        <v>B</v>
      </c>
    </row>
    <row r="16348" spans="1:8" x14ac:dyDescent="0.2">
      <c r="A16348" t="str">
        <f t="shared" si="5919"/>
        <v>0616068444</v>
      </c>
      <c r="B16348" t="str">
        <f t="shared" si="5920"/>
        <v>ADRIAN</v>
      </c>
      <c r="C16348" t="str">
        <f t="shared" si="5921"/>
        <v>SPELLS</v>
      </c>
      <c r="D16348">
        <f>10</f>
        <v>10</v>
      </c>
      <c r="E16348" t="str">
        <f>"01 - A - 102 - Lytrell T Dixon"</f>
        <v>01 - A - 102 - Lytrell T Dixon</v>
      </c>
      <c r="F16348" t="str">
        <f>"BIOLOGY 1"</f>
        <v>BIOLOGY 1</v>
      </c>
      <c r="G16348" t="str">
        <f>"08-808"</f>
        <v>08-808</v>
      </c>
      <c r="H16348" t="str">
        <f>"A"</f>
        <v>A</v>
      </c>
    </row>
    <row r="16349" spans="1:8" x14ac:dyDescent="0.2">
      <c r="A16349" t="str">
        <f t="shared" si="5919"/>
        <v>0616068444</v>
      </c>
      <c r="B16349" t="str">
        <f t="shared" si="5920"/>
        <v>ADRIAN</v>
      </c>
      <c r="C16349" t="str">
        <f t="shared" si="5921"/>
        <v>SPELLS</v>
      </c>
      <c r="D16349">
        <f>10</f>
        <v>10</v>
      </c>
      <c r="E16349" t="str">
        <f>"08 - S1 - B - 104 - Leslie J Barton"</f>
        <v>08 - S1 - B - 104 - Leslie J Barton</v>
      </c>
      <c r="F16349" t="str">
        <f>"TEAM SPORTS 1"</f>
        <v>TEAM SPORTS 1</v>
      </c>
      <c r="G16349" t="str">
        <f>"04-254"</f>
        <v>04-254</v>
      </c>
      <c r="H16349" t="str">
        <f>"B"</f>
        <v>B</v>
      </c>
    </row>
    <row r="16350" spans="1:8" x14ac:dyDescent="0.2">
      <c r="A16350" t="str">
        <f t="shared" ref="A16350:A16357" si="5922">"0617021178"</f>
        <v>0617021178</v>
      </c>
      <c r="B16350" t="str">
        <f t="shared" ref="B16350:B16357" si="5923">"AZARIEE"</f>
        <v>AZARIEE</v>
      </c>
      <c r="C16350" t="str">
        <f t="shared" si="5921"/>
        <v>SPELLS</v>
      </c>
      <c r="D16350" t="str">
        <f t="shared" ref="D16350:D16357" si="5924">"09"</f>
        <v>09</v>
      </c>
      <c r="E16350" t="str">
        <f>"04 - A - 103 - Cerine S Stewart"</f>
        <v>04 - A - 103 - Cerine S Stewart</v>
      </c>
      <c r="F16350" t="str">
        <f>"ENG 1"</f>
        <v>ENG 1</v>
      </c>
      <c r="G16350" t="str">
        <f>"17-1720"</f>
        <v>17-1720</v>
      </c>
      <c r="H16350" t="str">
        <f>"A"</f>
        <v>A</v>
      </c>
    </row>
    <row r="16351" spans="1:8" x14ac:dyDescent="0.2">
      <c r="A16351" t="str">
        <f t="shared" si="5922"/>
        <v>0617021178</v>
      </c>
      <c r="B16351" t="str">
        <f t="shared" si="5923"/>
        <v>AZARIEE</v>
      </c>
      <c r="C16351" t="str">
        <f t="shared" si="5921"/>
        <v>SPELLS</v>
      </c>
      <c r="D16351" t="str">
        <f t="shared" si="5924"/>
        <v>09</v>
      </c>
      <c r="E16351" t="str">
        <f>"06 - S1 - B - 104 - Leslie J Barton"</f>
        <v>06 - S1 - B - 104 - Leslie J Barton</v>
      </c>
      <c r="F16351" t="str">
        <f>"FIRST AID SAFETY"</f>
        <v>FIRST AID SAFETY</v>
      </c>
      <c r="G16351" t="str">
        <f>"05-521"</f>
        <v>05-521</v>
      </c>
      <c r="H16351" t="str">
        <f>"B"</f>
        <v>B</v>
      </c>
    </row>
    <row r="16352" spans="1:8" x14ac:dyDescent="0.2">
      <c r="A16352" t="str">
        <f t="shared" si="5922"/>
        <v>0617021178</v>
      </c>
      <c r="B16352" t="str">
        <f t="shared" si="5923"/>
        <v>AZARIEE</v>
      </c>
      <c r="C16352" t="str">
        <f t="shared" si="5921"/>
        <v>SPELLS</v>
      </c>
      <c r="D16352" t="str">
        <f t="shared" si="5924"/>
        <v>09</v>
      </c>
      <c r="E16352" t="str">
        <f>"03 - A - 101 - Milca  Exantus"</f>
        <v>03 - A - 101 - Milca  Exantus</v>
      </c>
      <c r="F16352" t="str">
        <f>"ALGEBRA 1-A"</f>
        <v>ALGEBRA 1-A</v>
      </c>
      <c r="G16352" t="str">
        <f>"21-2145"</f>
        <v>21-2145</v>
      </c>
      <c r="H16352" t="str">
        <f>"A"</f>
        <v>A</v>
      </c>
    </row>
    <row r="16353" spans="1:8" x14ac:dyDescent="0.2">
      <c r="A16353" t="str">
        <f t="shared" si="5922"/>
        <v>0617021178</v>
      </c>
      <c r="B16353" t="str">
        <f t="shared" si="5923"/>
        <v>AZARIEE</v>
      </c>
      <c r="C16353" t="str">
        <f t="shared" si="5921"/>
        <v>SPELLS</v>
      </c>
      <c r="D16353" t="str">
        <f t="shared" si="5924"/>
        <v>09</v>
      </c>
      <c r="E16353" t="str">
        <f>"02 - A - 111 - Cheryl L Beach"</f>
        <v>02 - A - 111 - Cheryl L Beach</v>
      </c>
      <c r="F16353" t="str">
        <f>"NC STUDY HALL 1"</f>
        <v>NC STUDY HALL 1</v>
      </c>
      <c r="G16353" t="str">
        <f>"08-811"</f>
        <v>08-811</v>
      </c>
      <c r="H16353" t="str">
        <f>"A"</f>
        <v>A</v>
      </c>
    </row>
    <row r="16354" spans="1:8" x14ac:dyDescent="0.2">
      <c r="A16354" t="str">
        <f t="shared" si="5922"/>
        <v>0617021178</v>
      </c>
      <c r="B16354" t="str">
        <f t="shared" si="5923"/>
        <v>AZARIEE</v>
      </c>
      <c r="C16354" t="str">
        <f t="shared" si="5921"/>
        <v>SPELLS</v>
      </c>
      <c r="D16354" t="str">
        <f t="shared" si="5924"/>
        <v>09</v>
      </c>
      <c r="E16354" t="str">
        <f>"07 - B - 105 - Laselleda D Shaw"</f>
        <v>07 - B - 105 - Laselleda D Shaw</v>
      </c>
      <c r="F16354" t="str">
        <f>"INTENS READ 1"</f>
        <v>INTENS READ 1</v>
      </c>
      <c r="G16354" t="str">
        <f>"17-1723"</f>
        <v>17-1723</v>
      </c>
      <c r="H16354" t="str">
        <f>"B"</f>
        <v>B</v>
      </c>
    </row>
    <row r="16355" spans="1:8" x14ac:dyDescent="0.2">
      <c r="A16355" t="str">
        <f t="shared" si="5922"/>
        <v>0617021178</v>
      </c>
      <c r="B16355" t="str">
        <f t="shared" si="5923"/>
        <v>AZARIEE</v>
      </c>
      <c r="C16355" t="str">
        <f t="shared" si="5921"/>
        <v>SPELLS</v>
      </c>
      <c r="D16355" t="str">
        <f t="shared" si="5924"/>
        <v>09</v>
      </c>
      <c r="E16355" t="str">
        <f>"05 - B - 105 - Adam Marcus  Drucker"</f>
        <v>05 - B - 105 - Adam Marcus  Drucker</v>
      </c>
      <c r="F16355" t="str">
        <f>"HOPE-PE V"</f>
        <v>HOPE-PE V</v>
      </c>
      <c r="G16355" t="str">
        <f>"04-254"</f>
        <v>04-254</v>
      </c>
      <c r="H16355" t="str">
        <f>"B"</f>
        <v>B</v>
      </c>
    </row>
    <row r="16356" spans="1:8" x14ac:dyDescent="0.2">
      <c r="A16356" t="str">
        <f t="shared" si="5922"/>
        <v>0617021178</v>
      </c>
      <c r="B16356" t="str">
        <f t="shared" si="5923"/>
        <v>AZARIEE</v>
      </c>
      <c r="C16356" t="str">
        <f t="shared" si="5921"/>
        <v>SPELLS</v>
      </c>
      <c r="D16356" t="str">
        <f t="shared" si="5924"/>
        <v>09</v>
      </c>
      <c r="E16356" t="str">
        <f>"01 - A - 107 - Jazmin S Fletcher"</f>
        <v>01 - A - 107 - Jazmin S Fletcher</v>
      </c>
      <c r="F16356" t="str">
        <f>"WORLD HISTORY"</f>
        <v>WORLD HISTORY</v>
      </c>
      <c r="G16356" t="str">
        <f>"09-909"</f>
        <v>09-909</v>
      </c>
      <c r="H16356" t="str">
        <f>"A"</f>
        <v>A</v>
      </c>
    </row>
    <row r="16357" spans="1:8" x14ac:dyDescent="0.2">
      <c r="A16357" t="str">
        <f t="shared" si="5922"/>
        <v>0617021178</v>
      </c>
      <c r="B16357" t="str">
        <f t="shared" si="5923"/>
        <v>AZARIEE</v>
      </c>
      <c r="C16357" t="str">
        <f t="shared" si="5921"/>
        <v>SPELLS</v>
      </c>
      <c r="D16357" t="str">
        <f t="shared" si="5924"/>
        <v>09</v>
      </c>
      <c r="E16357" t="str">
        <f>"08 - B - 105 - Samantha J Headley"</f>
        <v>08 - B - 105 - Samantha J Headley</v>
      </c>
      <c r="F16357" t="str">
        <f>"ENV SCI"</f>
        <v>ENV SCI</v>
      </c>
      <c r="G16357" t="str">
        <f>"08-802"</f>
        <v>08-802</v>
      </c>
      <c r="H16357" t="str">
        <f>"B"</f>
        <v>B</v>
      </c>
    </row>
    <row r="16358" spans="1:8" x14ac:dyDescent="0.2">
      <c r="A16358" t="str">
        <f t="shared" ref="A16358:A16365" si="5925">"0625049567"</f>
        <v>0625049567</v>
      </c>
      <c r="B16358" t="str">
        <f t="shared" ref="B16358:B16365" si="5926">"BENJAMIN"</f>
        <v>BENJAMIN</v>
      </c>
      <c r="C16358" t="str">
        <f t="shared" ref="C16358:C16365" si="5927">"SPIKES"</f>
        <v>SPIKES</v>
      </c>
      <c r="D16358">
        <f>10</f>
        <v>10</v>
      </c>
      <c r="E16358" t="str">
        <f>"04 - A - 104 - Nikiel  Nesbeth"</f>
        <v>04 - A - 104 - Nikiel  Nesbeth</v>
      </c>
      <c r="F16358" t="str">
        <f>"ENG 2"</f>
        <v>ENG 2</v>
      </c>
      <c r="G16358" t="str">
        <f>"17-1705"</f>
        <v>17-1705</v>
      </c>
      <c r="H16358" t="str">
        <f>"A"</f>
        <v>A</v>
      </c>
    </row>
    <row r="16359" spans="1:8" x14ac:dyDescent="0.2">
      <c r="A16359" t="str">
        <f t="shared" si="5925"/>
        <v>0625049567</v>
      </c>
      <c r="B16359" t="str">
        <f t="shared" si="5926"/>
        <v>BENJAMIN</v>
      </c>
      <c r="C16359" t="str">
        <f t="shared" si="5927"/>
        <v>SPIKES</v>
      </c>
      <c r="D16359">
        <f>10</f>
        <v>10</v>
      </c>
      <c r="E16359" t="str">
        <f>"06 - B - 117 - Daniel S Tyson"</f>
        <v>06 - B - 117 - Daniel S Tyson</v>
      </c>
      <c r="F16359" t="str">
        <f>"NC STUDY HALL 1"</f>
        <v>NC STUDY HALL 1</v>
      </c>
      <c r="G16359" t="str">
        <f>"05-510"</f>
        <v>05-510</v>
      </c>
      <c r="H16359" t="str">
        <f>"B"</f>
        <v>B</v>
      </c>
    </row>
    <row r="16360" spans="1:8" x14ac:dyDescent="0.2">
      <c r="A16360" t="str">
        <f t="shared" si="5925"/>
        <v>0625049567</v>
      </c>
      <c r="B16360" t="str">
        <f t="shared" si="5926"/>
        <v>BENJAMIN</v>
      </c>
      <c r="C16360" t="str">
        <f t="shared" si="5927"/>
        <v>SPIKES</v>
      </c>
      <c r="D16360">
        <f>10</f>
        <v>10</v>
      </c>
      <c r="E16360" t="str">
        <f>"03 - S1 - A - 101 - Arthur  Kulawik"</f>
        <v>03 - S1 - A - 101 - Arthur  Kulawik</v>
      </c>
      <c r="F16360" t="str">
        <f>"PERS FIN &amp; MON MGT H"</f>
        <v>PERS FIN &amp; MON MGT H</v>
      </c>
      <c r="G16360" t="str">
        <f>"05-506"</f>
        <v>05-506</v>
      </c>
      <c r="H16360" t="str">
        <f>"A"</f>
        <v>A</v>
      </c>
    </row>
    <row r="16361" spans="1:8" x14ac:dyDescent="0.2">
      <c r="A16361" t="str">
        <f t="shared" si="5925"/>
        <v>0625049567</v>
      </c>
      <c r="B16361" t="str">
        <f t="shared" si="5926"/>
        <v>BENJAMIN</v>
      </c>
      <c r="C16361" t="str">
        <f t="shared" si="5927"/>
        <v>SPIKES</v>
      </c>
      <c r="D16361">
        <f>10</f>
        <v>10</v>
      </c>
      <c r="E16361" t="str">
        <f>"02 - A - 101 - Brian M Fitzgerald"</f>
        <v>02 - A - 101 - Brian M Fitzgerald</v>
      </c>
      <c r="F16361" t="str">
        <f>"DRAW 1"</f>
        <v>DRAW 1</v>
      </c>
      <c r="G16361" t="str">
        <f>"09-908"</f>
        <v>09-908</v>
      </c>
      <c r="H16361" t="str">
        <f>"A"</f>
        <v>A</v>
      </c>
    </row>
    <row r="16362" spans="1:8" x14ac:dyDescent="0.2">
      <c r="A16362" t="str">
        <f t="shared" si="5925"/>
        <v>0625049567</v>
      </c>
      <c r="B16362" t="str">
        <f t="shared" si="5926"/>
        <v>BENJAMIN</v>
      </c>
      <c r="C16362" t="str">
        <f t="shared" si="5927"/>
        <v>SPIKES</v>
      </c>
      <c r="D16362">
        <f>10</f>
        <v>10</v>
      </c>
      <c r="E16362" t="str">
        <f>"07 - B - 110 - Ferrie J Arostique"</f>
        <v>07 - B - 110 - Ferrie J Arostique</v>
      </c>
      <c r="F16362" t="str">
        <f>"GEOMETRY"</f>
        <v>GEOMETRY</v>
      </c>
      <c r="G16362" t="str">
        <f>"21-2139"</f>
        <v>21-2139</v>
      </c>
      <c r="H16362" t="str">
        <f>"B"</f>
        <v>B</v>
      </c>
    </row>
    <row r="16363" spans="1:8" x14ac:dyDescent="0.2">
      <c r="A16363" t="str">
        <f t="shared" si="5925"/>
        <v>0625049567</v>
      </c>
      <c r="B16363" t="str">
        <f t="shared" si="5926"/>
        <v>BENJAMIN</v>
      </c>
      <c r="C16363" t="str">
        <f t="shared" si="5927"/>
        <v>SPIKES</v>
      </c>
      <c r="D16363">
        <f>10</f>
        <v>10</v>
      </c>
      <c r="E16363" t="str">
        <f>"05 - B - 205 - Lenecy  Nodarse"</f>
        <v>05 - B - 205 - Lenecy  Nodarse</v>
      </c>
      <c r="F16363" t="str">
        <f>"WORLD HISTORY"</f>
        <v>WORLD HISTORY</v>
      </c>
      <c r="G16363" t="str">
        <f>"17-1741"</f>
        <v>17-1741</v>
      </c>
      <c r="H16363" t="str">
        <f>"B"</f>
        <v>B</v>
      </c>
    </row>
    <row r="16364" spans="1:8" x14ac:dyDescent="0.2">
      <c r="A16364" t="str">
        <f t="shared" si="5925"/>
        <v>0625049567</v>
      </c>
      <c r="B16364" t="str">
        <f t="shared" si="5926"/>
        <v>BENJAMIN</v>
      </c>
      <c r="C16364" t="str">
        <f t="shared" si="5927"/>
        <v>SPIKES</v>
      </c>
      <c r="D16364">
        <f>10</f>
        <v>10</v>
      </c>
      <c r="E16364" t="str">
        <f>"01 - A - 102 - Lytrell T Dixon"</f>
        <v>01 - A - 102 - Lytrell T Dixon</v>
      </c>
      <c r="F16364" t="str">
        <f>"BIOLOGY 1"</f>
        <v>BIOLOGY 1</v>
      </c>
      <c r="G16364" t="str">
        <f>"08-808"</f>
        <v>08-808</v>
      </c>
      <c r="H16364" t="str">
        <f>"A"</f>
        <v>A</v>
      </c>
    </row>
    <row r="16365" spans="1:8" x14ac:dyDescent="0.2">
      <c r="A16365" t="str">
        <f t="shared" si="5925"/>
        <v>0625049567</v>
      </c>
      <c r="B16365" t="str">
        <f t="shared" si="5926"/>
        <v>BENJAMIN</v>
      </c>
      <c r="C16365" t="str">
        <f t="shared" si="5927"/>
        <v>SPIKES</v>
      </c>
      <c r="D16365">
        <f>10</f>
        <v>10</v>
      </c>
      <c r="E16365" t="str">
        <f>"08 - B - 001 - Samantha L Martinez"</f>
        <v>08 - B - 001 - Samantha L Martinez</v>
      </c>
      <c r="F16365" t="str">
        <f>"VOCAL ENS 2"</f>
        <v>VOCAL ENS 2</v>
      </c>
      <c r="G16365" t="str">
        <f>"05-505"</f>
        <v>05-505</v>
      </c>
      <c r="H16365" t="str">
        <f>"B"</f>
        <v>B</v>
      </c>
    </row>
    <row r="16366" spans="1:8" x14ac:dyDescent="0.2">
      <c r="A16366" t="str">
        <f t="shared" ref="A16366:A16373" si="5928">"0615143682"</f>
        <v>0615143682</v>
      </c>
      <c r="B16366" t="str">
        <f t="shared" ref="B16366:B16373" si="5929">"JOSEPH"</f>
        <v>JOSEPH</v>
      </c>
      <c r="C16366" t="str">
        <f t="shared" ref="C16366:C16381" si="5930">"SPRING"</f>
        <v>SPRING</v>
      </c>
      <c r="D16366">
        <f>10</f>
        <v>10</v>
      </c>
      <c r="E16366" t="str">
        <f>"04 - A - 201 - Scott A Dethloff"</f>
        <v>04 - A - 201 - Scott A Dethloff</v>
      </c>
      <c r="F16366" t="str">
        <f>"AICE THINK SKLS 1 AS"</f>
        <v>AICE THINK SKLS 1 AS</v>
      </c>
      <c r="G16366" t="str">
        <f>"08-812"</f>
        <v>08-812</v>
      </c>
      <c r="H16366" t="str">
        <f>"A"</f>
        <v>A</v>
      </c>
    </row>
    <row r="16367" spans="1:8" x14ac:dyDescent="0.2">
      <c r="A16367" t="str">
        <f t="shared" si="5928"/>
        <v>0615143682</v>
      </c>
      <c r="B16367" t="str">
        <f t="shared" si="5929"/>
        <v>JOSEPH</v>
      </c>
      <c r="C16367" t="str">
        <f t="shared" si="5930"/>
        <v>SPRING</v>
      </c>
      <c r="D16367">
        <f>10</f>
        <v>10</v>
      </c>
      <c r="E16367" t="str">
        <f>"06 - B - 109 - Semra  Bahadir"</f>
        <v>06 - B - 109 - Semra  Bahadir</v>
      </c>
      <c r="F16367" t="str">
        <f>"NC STUDY HALL 1"</f>
        <v>NC STUDY HALL 1</v>
      </c>
      <c r="G16367" t="str">
        <f>"21-2107"</f>
        <v>21-2107</v>
      </c>
      <c r="H16367" t="str">
        <f>"B"</f>
        <v>B</v>
      </c>
    </row>
    <row r="16368" spans="1:8" x14ac:dyDescent="0.2">
      <c r="A16368" t="str">
        <f t="shared" si="5928"/>
        <v>0615143682</v>
      </c>
      <c r="B16368" t="str">
        <f t="shared" si="5929"/>
        <v>JOSEPH</v>
      </c>
      <c r="C16368" t="str">
        <f t="shared" si="5930"/>
        <v>SPRING</v>
      </c>
      <c r="D16368">
        <f>10</f>
        <v>10</v>
      </c>
      <c r="E16368" t="str">
        <f>"03 - A - 002 - Brandy N Zdenek"</f>
        <v>03 - A - 002 - Brandy N Zdenek</v>
      </c>
      <c r="F16368" t="str">
        <f>"AICE ENG LANG AS"</f>
        <v>AICE ENG LANG AS</v>
      </c>
      <c r="G16368" t="str">
        <f>"17-1704"</f>
        <v>17-1704</v>
      </c>
      <c r="H16368" t="str">
        <f>"A"</f>
        <v>A</v>
      </c>
    </row>
    <row r="16369" spans="1:8" x14ac:dyDescent="0.2">
      <c r="A16369" t="str">
        <f t="shared" si="5928"/>
        <v>0615143682</v>
      </c>
      <c r="B16369" t="str">
        <f t="shared" si="5929"/>
        <v>JOSEPH</v>
      </c>
      <c r="C16369" t="str">
        <f t="shared" si="5930"/>
        <v>SPRING</v>
      </c>
      <c r="D16369">
        <f>10</f>
        <v>10</v>
      </c>
      <c r="E16369" t="str">
        <f>"02 - A - 104 - Joe  Kilpatrick Jr"</f>
        <v>02 - A - 104 - Joe  Kilpatrick Jr</v>
      </c>
      <c r="F16369" t="str">
        <f>"PRE-AICE SPAN 2 IG"</f>
        <v>PRE-AICE SPAN 2 IG</v>
      </c>
      <c r="G16369" t="str">
        <f>"09-912"</f>
        <v>09-912</v>
      </c>
      <c r="H16369" t="str">
        <f>"A"</f>
        <v>A</v>
      </c>
    </row>
    <row r="16370" spans="1:8" x14ac:dyDescent="0.2">
      <c r="A16370" t="str">
        <f t="shared" si="5928"/>
        <v>0615143682</v>
      </c>
      <c r="B16370" t="str">
        <f t="shared" si="5929"/>
        <v>JOSEPH</v>
      </c>
      <c r="C16370" t="str">
        <f t="shared" si="5930"/>
        <v>SPRING</v>
      </c>
      <c r="D16370">
        <f>10</f>
        <v>10</v>
      </c>
      <c r="E16370" t="str">
        <f>"07 - B - 002 - Jordana K Hass"</f>
        <v>07 - B - 002 - Jordana K Hass</v>
      </c>
      <c r="F16370" t="str">
        <f>"CHEMISTRY 1 HON"</f>
        <v>CHEMISTRY 1 HON</v>
      </c>
      <c r="G16370" t="str">
        <f>"08-807"</f>
        <v>08-807</v>
      </c>
      <c r="H16370" t="str">
        <f>"B"</f>
        <v>B</v>
      </c>
    </row>
    <row r="16371" spans="1:8" x14ac:dyDescent="0.2">
      <c r="A16371" t="str">
        <f t="shared" si="5928"/>
        <v>0615143682</v>
      </c>
      <c r="B16371" t="str">
        <f t="shared" si="5929"/>
        <v>JOSEPH</v>
      </c>
      <c r="C16371" t="str">
        <f t="shared" si="5930"/>
        <v>SPRING</v>
      </c>
      <c r="D16371">
        <f>10</f>
        <v>10</v>
      </c>
      <c r="E16371" t="str">
        <f>"05 - B - 104 - Lourivaldo  Da Silva"</f>
        <v>05 - B - 104 - Lourivaldo  Da Silva</v>
      </c>
      <c r="F16371" t="str">
        <f>"PRE-CALCULUS HON"</f>
        <v>PRE-CALCULUS HON</v>
      </c>
      <c r="G16371" t="str">
        <f>"20-2079"</f>
        <v>20-2079</v>
      </c>
      <c r="H16371" t="str">
        <f>"B"</f>
        <v>B</v>
      </c>
    </row>
    <row r="16372" spans="1:8" x14ac:dyDescent="0.2">
      <c r="A16372" t="str">
        <f t="shared" si="5928"/>
        <v>0615143682</v>
      </c>
      <c r="B16372" t="str">
        <f t="shared" si="5929"/>
        <v>JOSEPH</v>
      </c>
      <c r="C16372" t="str">
        <f t="shared" si="5930"/>
        <v>SPRING</v>
      </c>
      <c r="D16372">
        <f>10</f>
        <v>10</v>
      </c>
      <c r="E16372" t="str">
        <f>"01 - A - 201 - Stefanie S Scher"</f>
        <v>01 - A - 201 - Stefanie S Scher</v>
      </c>
      <c r="F16372" t="str">
        <f>"AICE PSYCH 1 AS"</f>
        <v>AICE PSYCH 1 AS</v>
      </c>
      <c r="G16372" t="str">
        <f>"17-1735"</f>
        <v>17-1735</v>
      </c>
      <c r="H16372" t="str">
        <f>"A"</f>
        <v>A</v>
      </c>
    </row>
    <row r="16373" spans="1:8" x14ac:dyDescent="0.2">
      <c r="A16373" t="str">
        <f t="shared" si="5928"/>
        <v>0615143682</v>
      </c>
      <c r="B16373" t="str">
        <f t="shared" si="5929"/>
        <v>JOSEPH</v>
      </c>
      <c r="C16373" t="str">
        <f t="shared" si="5930"/>
        <v>SPRING</v>
      </c>
      <c r="D16373">
        <f>10</f>
        <v>10</v>
      </c>
      <c r="E16373" t="str">
        <f>"08 - B - 201 - Lenecy  Nodarse"</f>
        <v>08 - B - 201 - Lenecy  Nodarse</v>
      </c>
      <c r="F16373" t="str">
        <f>"AICE EURO HIST 1 AS"</f>
        <v>AICE EURO HIST 1 AS</v>
      </c>
      <c r="G16373" t="str">
        <f>"17-1741"</f>
        <v>17-1741</v>
      </c>
      <c r="H16373" t="str">
        <f>"B"</f>
        <v>B</v>
      </c>
    </row>
    <row r="16374" spans="1:8" x14ac:dyDescent="0.2">
      <c r="A16374" t="str">
        <f t="shared" ref="A16374:A16381" si="5931">"0616005271"</f>
        <v>0616005271</v>
      </c>
      <c r="B16374" t="str">
        <f t="shared" ref="B16374:B16381" si="5932">"JOSHUA"</f>
        <v>JOSHUA</v>
      </c>
      <c r="C16374" t="str">
        <f t="shared" si="5930"/>
        <v>SPRING</v>
      </c>
      <c r="D16374" t="str">
        <f t="shared" ref="D16374:D16381" si="5933">"09"</f>
        <v>09</v>
      </c>
      <c r="E16374" t="str">
        <f>"04 - A - 106 - Ferrie J Arostique"</f>
        <v>04 - A - 106 - Ferrie J Arostique</v>
      </c>
      <c r="F16374" t="str">
        <f>"PRE-AICE MATH 2 IG"</f>
        <v>PRE-AICE MATH 2 IG</v>
      </c>
      <c r="G16374" t="str">
        <f>"21-2139"</f>
        <v>21-2139</v>
      </c>
      <c r="H16374" t="str">
        <f>"A"</f>
        <v>A</v>
      </c>
    </row>
    <row r="16375" spans="1:8" x14ac:dyDescent="0.2">
      <c r="A16375" t="str">
        <f t="shared" si="5931"/>
        <v>0616005271</v>
      </c>
      <c r="B16375" t="str">
        <f t="shared" si="5932"/>
        <v>JOSHUA</v>
      </c>
      <c r="C16375" t="str">
        <f t="shared" si="5930"/>
        <v>SPRING</v>
      </c>
      <c r="D16375" t="str">
        <f t="shared" si="5933"/>
        <v>09</v>
      </c>
      <c r="E16375" t="str">
        <f>"06 - B - 105 - Cheryl L Beach"</f>
        <v>06 - B - 105 - Cheryl L Beach</v>
      </c>
      <c r="F16375" t="str">
        <f>"AICE ENV MGMNT AS"</f>
        <v>AICE ENV MGMNT AS</v>
      </c>
      <c r="G16375" t="str">
        <f>"08-811"</f>
        <v>08-811</v>
      </c>
      <c r="H16375" t="str">
        <f>"B"</f>
        <v>B</v>
      </c>
    </row>
    <row r="16376" spans="1:8" x14ac:dyDescent="0.2">
      <c r="A16376" t="str">
        <f t="shared" si="5931"/>
        <v>0616005271</v>
      </c>
      <c r="B16376" t="str">
        <f t="shared" si="5932"/>
        <v>JOSHUA</v>
      </c>
      <c r="C16376" t="str">
        <f t="shared" si="5930"/>
        <v>SPRING</v>
      </c>
      <c r="D16376" t="str">
        <f t="shared" si="5933"/>
        <v>09</v>
      </c>
      <c r="E16376" t="str">
        <f>"03 - A - 103 - Marius D Orsolini"</f>
        <v>03 - A - 103 - Marius D Orsolini</v>
      </c>
      <c r="F16376" t="str">
        <f>"CULINARY ARTS 1"</f>
        <v>CULINARY ARTS 1</v>
      </c>
      <c r="G16376" t="str">
        <f>"21-2115"</f>
        <v>21-2115</v>
      </c>
      <c r="H16376" t="str">
        <f>"A"</f>
        <v>A</v>
      </c>
    </row>
    <row r="16377" spans="1:8" x14ac:dyDescent="0.2">
      <c r="A16377" t="str">
        <f t="shared" si="5931"/>
        <v>0616005271</v>
      </c>
      <c r="B16377" t="str">
        <f t="shared" si="5932"/>
        <v>JOSHUA</v>
      </c>
      <c r="C16377" t="str">
        <f t="shared" si="5930"/>
        <v>SPRING</v>
      </c>
      <c r="D16377" t="str">
        <f t="shared" si="5933"/>
        <v>09</v>
      </c>
      <c r="E16377" t="str">
        <f>"02 - A - 110 - Maried P Ramos"</f>
        <v>02 - A - 110 - Maried P Ramos</v>
      </c>
      <c r="F16377" t="str">
        <f>"NC STUDY HALL 1"</f>
        <v>NC STUDY HALL 1</v>
      </c>
      <c r="G16377" t="str">
        <f>"21-2159"</f>
        <v>21-2159</v>
      </c>
      <c r="H16377" t="str">
        <f>"A"</f>
        <v>A</v>
      </c>
    </row>
    <row r="16378" spans="1:8" x14ac:dyDescent="0.2">
      <c r="A16378" t="str">
        <f t="shared" si="5931"/>
        <v>0616005271</v>
      </c>
      <c r="B16378" t="str">
        <f t="shared" si="5932"/>
        <v>JOSHUA</v>
      </c>
      <c r="C16378" t="str">
        <f t="shared" si="5930"/>
        <v>SPRING</v>
      </c>
      <c r="D16378" t="str">
        <f t="shared" si="5933"/>
        <v>09</v>
      </c>
      <c r="E16378" t="str">
        <f>"07 - B - 105 - Joe  Kilpatrick Jr"</f>
        <v>07 - B - 105 - Joe  Kilpatrick Jr</v>
      </c>
      <c r="F16378" t="str">
        <f>"PRE-AICE SPAN 1 IG"</f>
        <v>PRE-AICE SPAN 1 IG</v>
      </c>
      <c r="G16378" t="str">
        <f>"09-912"</f>
        <v>09-912</v>
      </c>
      <c r="H16378" t="str">
        <f>"B"</f>
        <v>B</v>
      </c>
    </row>
    <row r="16379" spans="1:8" x14ac:dyDescent="0.2">
      <c r="A16379" t="str">
        <f t="shared" si="5931"/>
        <v>0616005271</v>
      </c>
      <c r="B16379" t="str">
        <f t="shared" si="5932"/>
        <v>JOSHUA</v>
      </c>
      <c r="C16379" t="str">
        <f t="shared" si="5930"/>
        <v>SPRING</v>
      </c>
      <c r="D16379" t="str">
        <f t="shared" si="5933"/>
        <v>09</v>
      </c>
      <c r="E16379" t="str">
        <f>"05 - B - 204 - Elizabeth R Walker"</f>
        <v>05 - B - 204 - Elizabeth R Walker</v>
      </c>
      <c r="F16379" t="str">
        <f>"AICE ENG GEN PAPER 1"</f>
        <v>AICE ENG GEN PAPER 1</v>
      </c>
      <c r="G16379" t="str">
        <f>"17-1703"</f>
        <v>17-1703</v>
      </c>
      <c r="H16379" t="str">
        <f>"B"</f>
        <v>B</v>
      </c>
    </row>
    <row r="16380" spans="1:8" x14ac:dyDescent="0.2">
      <c r="A16380" t="str">
        <f t="shared" si="5931"/>
        <v>0616005271</v>
      </c>
      <c r="B16380" t="str">
        <f t="shared" si="5932"/>
        <v>JOSHUA</v>
      </c>
      <c r="C16380" t="str">
        <f t="shared" si="5930"/>
        <v>SPRING</v>
      </c>
      <c r="D16380" t="str">
        <f t="shared" si="5933"/>
        <v>09</v>
      </c>
      <c r="E16380" t="str">
        <f>"01 - A - 006 - Emmily A Sarmiento"</f>
        <v>01 - A - 006 - Emmily A Sarmiento</v>
      </c>
      <c r="F16380" t="str">
        <f>"AICE GLBL PERSP 1 AS"</f>
        <v>AICE GLBL PERSP 1 AS</v>
      </c>
      <c r="G16380" t="str">
        <f>"17-1743"</f>
        <v>17-1743</v>
      </c>
      <c r="H16380" t="str">
        <f>"A"</f>
        <v>A</v>
      </c>
    </row>
    <row r="16381" spans="1:8" x14ac:dyDescent="0.2">
      <c r="A16381" t="str">
        <f t="shared" si="5931"/>
        <v>0616005271</v>
      </c>
      <c r="B16381" t="str">
        <f t="shared" si="5932"/>
        <v>JOSHUA</v>
      </c>
      <c r="C16381" t="str">
        <f t="shared" si="5930"/>
        <v>SPRING</v>
      </c>
      <c r="D16381" t="str">
        <f t="shared" si="5933"/>
        <v>09</v>
      </c>
      <c r="E16381" t="str">
        <f>"08 - B - 105 - Daniel S Tyson"</f>
        <v>08 - B - 105 - Daniel S Tyson</v>
      </c>
      <c r="F16381" t="str">
        <f>"JROTC NAVAL SCI 1"</f>
        <v>JROTC NAVAL SCI 1</v>
      </c>
      <c r="G16381" t="str">
        <f>"05-510"</f>
        <v>05-510</v>
      </c>
      <c r="H16381" t="str">
        <f>"B"</f>
        <v>B</v>
      </c>
    </row>
    <row r="16382" spans="1:8" x14ac:dyDescent="0.2">
      <c r="A16382" t="str">
        <f t="shared" ref="A16382:A16389" si="5934">"0613025626"</f>
        <v>0613025626</v>
      </c>
      <c r="B16382" t="str">
        <f t="shared" ref="B16382:B16389" si="5935">"RA'NAYAH"</f>
        <v>RA'NAYAH</v>
      </c>
      <c r="C16382" t="str">
        <f t="shared" ref="C16382:C16389" si="5936">"SQUIRE"</f>
        <v>SQUIRE</v>
      </c>
      <c r="D16382">
        <f>12</f>
        <v>12</v>
      </c>
      <c r="E16382" t="str">
        <f>"04 - A - 101 - Alejandro  Navarro"</f>
        <v>04 - A - 101 - Alejandro  Navarro</v>
      </c>
      <c r="F16382" t="str">
        <f>"BAND 6 HON"</f>
        <v>BAND 6 HON</v>
      </c>
      <c r="G16382" t="str">
        <f>"05-504"</f>
        <v>05-504</v>
      </c>
      <c r="H16382" t="str">
        <f>"A"</f>
        <v>A</v>
      </c>
    </row>
    <row r="16383" spans="1:8" x14ac:dyDescent="0.2">
      <c r="A16383" t="str">
        <f t="shared" si="5934"/>
        <v>0613025626</v>
      </c>
      <c r="B16383" t="str">
        <f t="shared" si="5935"/>
        <v>RA'NAYAH</v>
      </c>
      <c r="C16383" t="str">
        <f t="shared" si="5936"/>
        <v>SQUIRE</v>
      </c>
      <c r="D16383">
        <f>12</f>
        <v>12</v>
      </c>
      <c r="E16383" t="str">
        <f>"06 - B - 113 - Marielle A Witting"</f>
        <v>06 - B - 113 - Marielle A Witting</v>
      </c>
      <c r="F16383" t="str">
        <f>"NC STUDY HALL 1"</f>
        <v>NC STUDY HALL 1</v>
      </c>
      <c r="G16383" t="str">
        <f>"08-805"</f>
        <v>08-805</v>
      </c>
      <c r="H16383" t="str">
        <f>"B"</f>
        <v>B</v>
      </c>
    </row>
    <row r="16384" spans="1:8" x14ac:dyDescent="0.2">
      <c r="A16384" t="str">
        <f t="shared" si="5934"/>
        <v>0613025626</v>
      </c>
      <c r="B16384" t="str">
        <f t="shared" si="5935"/>
        <v>RA'NAYAH</v>
      </c>
      <c r="C16384" t="str">
        <f t="shared" si="5936"/>
        <v>SQUIRE</v>
      </c>
      <c r="D16384">
        <f>12</f>
        <v>12</v>
      </c>
      <c r="E16384" t="str">
        <f>"03 - A - 106 - Krystal Marie  Beruty"</f>
        <v>03 - A - 106 - Krystal Marie  Beruty</v>
      </c>
      <c r="F16384" t="str">
        <f>"AICE PSYCH 1 AS"</f>
        <v>AICE PSYCH 1 AS</v>
      </c>
      <c r="G16384" t="str">
        <f>"17-1721"</f>
        <v>17-1721</v>
      </c>
      <c r="H16384" t="str">
        <f>"A"</f>
        <v>A</v>
      </c>
    </row>
    <row r="16385" spans="1:8" x14ac:dyDescent="0.2">
      <c r="A16385" t="str">
        <f t="shared" si="5934"/>
        <v>0613025626</v>
      </c>
      <c r="B16385" t="str">
        <f t="shared" si="5935"/>
        <v>RA'NAYAH</v>
      </c>
      <c r="C16385" t="str">
        <f t="shared" si="5936"/>
        <v>SQUIRE</v>
      </c>
      <c r="D16385">
        <f>12</f>
        <v>12</v>
      </c>
      <c r="E16385" t="str">
        <f>"02 - S1 - A - 103 - Barbara L Segal"</f>
        <v>02 - S1 - A - 103 - Barbara L Segal</v>
      </c>
      <c r="F16385" t="str">
        <f>"US GOVT HON"</f>
        <v>US GOVT HON</v>
      </c>
      <c r="G16385" t="str">
        <f>"17-1742"</f>
        <v>17-1742</v>
      </c>
      <c r="H16385" t="str">
        <f>"A"</f>
        <v>A</v>
      </c>
    </row>
    <row r="16386" spans="1:8" x14ac:dyDescent="0.2">
      <c r="A16386" t="str">
        <f t="shared" si="5934"/>
        <v>0613025626</v>
      </c>
      <c r="B16386" t="str">
        <f t="shared" si="5935"/>
        <v>RA'NAYAH</v>
      </c>
      <c r="C16386" t="str">
        <f t="shared" si="5936"/>
        <v>SQUIRE</v>
      </c>
      <c r="D16386">
        <f>12</f>
        <v>12</v>
      </c>
      <c r="E16386" t="str">
        <f>"07 - B - 105 - Robert H Rindner"</f>
        <v>07 - B - 105 - Robert H Rindner</v>
      </c>
      <c r="F16386" t="str">
        <f>"MATH DATA&amp;FIN LIT H"</f>
        <v>MATH DATA&amp;FIN LIT H</v>
      </c>
      <c r="G16386" t="str">
        <f>"21-2160"</f>
        <v>21-2160</v>
      </c>
      <c r="H16386" t="str">
        <f>"B"</f>
        <v>B</v>
      </c>
    </row>
    <row r="16387" spans="1:8" x14ac:dyDescent="0.2">
      <c r="A16387" t="str">
        <f t="shared" si="5934"/>
        <v>0613025626</v>
      </c>
      <c r="B16387" t="str">
        <f t="shared" si="5935"/>
        <v>RA'NAYAH</v>
      </c>
      <c r="C16387" t="str">
        <f t="shared" si="5936"/>
        <v>SQUIRE</v>
      </c>
      <c r="D16387">
        <f>12</f>
        <v>12</v>
      </c>
      <c r="E16387" t="str">
        <f>"05 - B - 103 - Vanessa J Liburd"</f>
        <v>05 - B - 103 - Vanessa J Liburd</v>
      </c>
      <c r="F16387" t="str">
        <f>"PRE-AICE FRENCH 2 IG"</f>
        <v>PRE-AICE FRENCH 2 IG</v>
      </c>
      <c r="G16387" t="str">
        <f>"05-519"</f>
        <v>05-519</v>
      </c>
      <c r="H16387" t="str">
        <f>"B"</f>
        <v>B</v>
      </c>
    </row>
    <row r="16388" spans="1:8" x14ac:dyDescent="0.2">
      <c r="A16388" t="str">
        <f t="shared" si="5934"/>
        <v>0613025626</v>
      </c>
      <c r="B16388" t="str">
        <f t="shared" si="5935"/>
        <v>RA'NAYAH</v>
      </c>
      <c r="C16388" t="str">
        <f t="shared" si="5936"/>
        <v>SQUIRE</v>
      </c>
      <c r="D16388">
        <f>12</f>
        <v>12</v>
      </c>
      <c r="E16388" t="str">
        <f>"01 - A - 101 - Cliffon  Saurel"</f>
        <v>01 - A - 101 - Cliffon  Saurel</v>
      </c>
      <c r="F16388" t="str">
        <f>"PHYSICAL SCI"</f>
        <v>PHYSICAL SCI</v>
      </c>
      <c r="G16388" t="str">
        <f>"05-522"</f>
        <v>05-522</v>
      </c>
      <c r="H16388" t="str">
        <f>"A"</f>
        <v>A</v>
      </c>
    </row>
    <row r="16389" spans="1:8" x14ac:dyDescent="0.2">
      <c r="A16389" t="str">
        <f t="shared" si="5934"/>
        <v>0613025626</v>
      </c>
      <c r="B16389" t="str">
        <f t="shared" si="5935"/>
        <v>RA'NAYAH</v>
      </c>
      <c r="C16389" t="str">
        <f t="shared" si="5936"/>
        <v>SQUIRE</v>
      </c>
      <c r="D16389">
        <f>12</f>
        <v>12</v>
      </c>
      <c r="E16389" t="str">
        <f>"08 - B - 105 - Brandy N Zdenek"</f>
        <v>08 - B - 105 - Brandy N Zdenek</v>
      </c>
      <c r="F16389" t="str">
        <f>"AICE ENG LANG 2 AL"</f>
        <v>AICE ENG LANG 2 AL</v>
      </c>
      <c r="G16389" t="str">
        <f>"17-1704"</f>
        <v>17-1704</v>
      </c>
      <c r="H16389" t="str">
        <f>"B"</f>
        <v>B</v>
      </c>
    </row>
    <row r="16390" spans="1:8" x14ac:dyDescent="0.2">
      <c r="A16390" t="str">
        <f t="shared" ref="A16390:A16397" si="5937">"0614089967"</f>
        <v>0614089967</v>
      </c>
      <c r="B16390" t="str">
        <f t="shared" ref="B16390:B16397" si="5938">"NOLAN"</f>
        <v>NOLAN</v>
      </c>
      <c r="C16390" t="str">
        <f t="shared" ref="C16390:C16405" si="5939">"SRITRAKUL"</f>
        <v>SRITRAKUL</v>
      </c>
      <c r="D16390" t="str">
        <f t="shared" ref="D16390:D16397" si="5940">"09"</f>
        <v>09</v>
      </c>
      <c r="E16390" t="str">
        <f>"04 - A - 101 - Chrystina M Marchionne"</f>
        <v>04 - A - 101 - Chrystina M Marchionne</v>
      </c>
      <c r="F16390" t="str">
        <f>"THEA CIN &amp; FILM LH"</f>
        <v>THEA CIN &amp; FILM LH</v>
      </c>
      <c r="G16390" t="str">
        <f>"05-520"</f>
        <v>05-520</v>
      </c>
      <c r="H16390" t="str">
        <f>"A"</f>
        <v>A</v>
      </c>
    </row>
    <row r="16391" spans="1:8" x14ac:dyDescent="0.2">
      <c r="A16391" t="str">
        <f t="shared" si="5937"/>
        <v>0614089967</v>
      </c>
      <c r="B16391" t="str">
        <f t="shared" si="5938"/>
        <v>NOLAN</v>
      </c>
      <c r="C16391" t="str">
        <f t="shared" si="5939"/>
        <v>SRITRAKUL</v>
      </c>
      <c r="D16391" t="str">
        <f t="shared" si="5940"/>
        <v>09</v>
      </c>
      <c r="E16391" t="str">
        <f>"06 - B - 104 - Lytrell T Dixon"</f>
        <v>06 - B - 104 - Lytrell T Dixon</v>
      </c>
      <c r="F16391" t="str">
        <f>"PRE-AICE BIO IG"</f>
        <v>PRE-AICE BIO IG</v>
      </c>
      <c r="G16391" t="str">
        <f>"08-808"</f>
        <v>08-808</v>
      </c>
      <c r="H16391" t="str">
        <f>"B"</f>
        <v>B</v>
      </c>
    </row>
    <row r="16392" spans="1:8" x14ac:dyDescent="0.2">
      <c r="A16392" t="str">
        <f t="shared" si="5937"/>
        <v>0614089967</v>
      </c>
      <c r="B16392" t="str">
        <f t="shared" si="5938"/>
        <v>NOLAN</v>
      </c>
      <c r="C16392" t="str">
        <f t="shared" si="5939"/>
        <v>SRITRAKUL</v>
      </c>
      <c r="D16392" t="str">
        <f t="shared" si="5940"/>
        <v>09</v>
      </c>
      <c r="E16392" t="str">
        <f>"03 - A - 203 - Elizabeth R Walker"</f>
        <v>03 - A - 203 - Elizabeth R Walker</v>
      </c>
      <c r="F16392" t="str">
        <f>"AICE ENG GEN PAPER 1"</f>
        <v>AICE ENG GEN PAPER 1</v>
      </c>
      <c r="G16392" t="str">
        <f>"17-1703"</f>
        <v>17-1703</v>
      </c>
      <c r="H16392" t="str">
        <f>"A"</f>
        <v>A</v>
      </c>
    </row>
    <row r="16393" spans="1:8" x14ac:dyDescent="0.2">
      <c r="A16393" t="str">
        <f t="shared" si="5937"/>
        <v>0614089967</v>
      </c>
      <c r="B16393" t="str">
        <f t="shared" si="5938"/>
        <v>NOLAN</v>
      </c>
      <c r="C16393" t="str">
        <f t="shared" si="5939"/>
        <v>SRITRAKUL</v>
      </c>
      <c r="D16393" t="str">
        <f t="shared" si="5940"/>
        <v>09</v>
      </c>
      <c r="E16393" t="str">
        <f>"02 - A - 116 - Tina L Lovett"</f>
        <v>02 - A - 116 - Tina L Lovett</v>
      </c>
      <c r="F16393" t="str">
        <f>"NC STUDY HALL 1"</f>
        <v>NC STUDY HALL 1</v>
      </c>
      <c r="G16393" t="str">
        <f>"21-2153"</f>
        <v>21-2153</v>
      </c>
      <c r="H16393" t="str">
        <f>"A"</f>
        <v>A</v>
      </c>
    </row>
    <row r="16394" spans="1:8" x14ac:dyDescent="0.2">
      <c r="A16394" t="str">
        <f t="shared" si="5937"/>
        <v>0614089967</v>
      </c>
      <c r="B16394" t="str">
        <f t="shared" si="5938"/>
        <v>NOLAN</v>
      </c>
      <c r="C16394" t="str">
        <f t="shared" si="5939"/>
        <v>SRITRAKUL</v>
      </c>
      <c r="D16394" t="str">
        <f t="shared" si="5940"/>
        <v>09</v>
      </c>
      <c r="E16394" t="str">
        <f>"07 - B - 107 - Marius D Orsolini"</f>
        <v>07 - B - 107 - Marius D Orsolini</v>
      </c>
      <c r="F16394" t="str">
        <f>"CULINARY ARTS 1"</f>
        <v>CULINARY ARTS 1</v>
      </c>
      <c r="G16394" t="str">
        <f>"21-2115"</f>
        <v>21-2115</v>
      </c>
      <c r="H16394" t="str">
        <f>"B"</f>
        <v>B</v>
      </c>
    </row>
    <row r="16395" spans="1:8" x14ac:dyDescent="0.2">
      <c r="A16395" t="str">
        <f t="shared" si="5937"/>
        <v>0614089967</v>
      </c>
      <c r="B16395" t="str">
        <f t="shared" si="5938"/>
        <v>NOLAN</v>
      </c>
      <c r="C16395" t="str">
        <f t="shared" si="5939"/>
        <v>SRITRAKUL</v>
      </c>
      <c r="D16395" t="str">
        <f t="shared" si="5940"/>
        <v>09</v>
      </c>
      <c r="E16395" t="str">
        <f>"05 - B - 104 - Maried P Ramos"</f>
        <v>05 - B - 104 - Maried P Ramos</v>
      </c>
      <c r="F16395" t="str">
        <f>"PRE-AICE MATH 2 IG"</f>
        <v>PRE-AICE MATH 2 IG</v>
      </c>
      <c r="G16395" t="str">
        <f>"21-2159"</f>
        <v>21-2159</v>
      </c>
      <c r="H16395" t="str">
        <f>"B"</f>
        <v>B</v>
      </c>
    </row>
    <row r="16396" spans="1:8" x14ac:dyDescent="0.2">
      <c r="A16396" t="str">
        <f t="shared" si="5937"/>
        <v>0614089967</v>
      </c>
      <c r="B16396" t="str">
        <f t="shared" si="5938"/>
        <v>NOLAN</v>
      </c>
      <c r="C16396" t="str">
        <f t="shared" si="5939"/>
        <v>SRITRAKUL</v>
      </c>
      <c r="D16396" t="str">
        <f t="shared" si="5940"/>
        <v>09</v>
      </c>
      <c r="E16396" t="str">
        <f>"01 - A - 101 - Rory T Sponsler"</f>
        <v>01 - A - 101 - Rory T Sponsler</v>
      </c>
      <c r="F16396" t="str">
        <f>"PRE-AICE WRLD HST IG"</f>
        <v>PRE-AICE WRLD HST IG</v>
      </c>
      <c r="G16396" t="str">
        <f>"17-1740"</f>
        <v>17-1740</v>
      </c>
      <c r="H16396" t="str">
        <f>"A"</f>
        <v>A</v>
      </c>
    </row>
    <row r="16397" spans="1:8" x14ac:dyDescent="0.2">
      <c r="A16397" t="str">
        <f t="shared" si="5937"/>
        <v>0614089967</v>
      </c>
      <c r="B16397" t="str">
        <f t="shared" si="5938"/>
        <v>NOLAN</v>
      </c>
      <c r="C16397" t="str">
        <f t="shared" si="5939"/>
        <v>SRITRAKUL</v>
      </c>
      <c r="D16397" t="str">
        <f t="shared" si="5940"/>
        <v>09</v>
      </c>
      <c r="E16397" t="str">
        <f>"08 - B - 105 - Daniel S Tyson"</f>
        <v>08 - B - 105 - Daniel S Tyson</v>
      </c>
      <c r="F16397" t="str">
        <f>"JROTC NAVAL SCI 1"</f>
        <v>JROTC NAVAL SCI 1</v>
      </c>
      <c r="G16397" t="str">
        <f>"05-510"</f>
        <v>05-510</v>
      </c>
      <c r="H16397" t="str">
        <f>"B"</f>
        <v>B</v>
      </c>
    </row>
    <row r="16398" spans="1:8" x14ac:dyDescent="0.2">
      <c r="A16398" t="str">
        <f t="shared" ref="A16398:A16405" si="5941">"0614089960"</f>
        <v>0614089960</v>
      </c>
      <c r="B16398" t="str">
        <f t="shared" ref="B16398:B16405" si="5942">"SIANA"</f>
        <v>SIANA</v>
      </c>
      <c r="C16398" t="str">
        <f t="shared" si="5939"/>
        <v>SRITRAKUL</v>
      </c>
      <c r="D16398">
        <f>11</f>
        <v>11</v>
      </c>
      <c r="E16398" t="str">
        <f>"04 - A - 102 - Lisa J London"</f>
        <v>04 - A - 102 - Lisa J London</v>
      </c>
      <c r="F16398" t="str">
        <f>"AP CAPSTONE SEMINAR"</f>
        <v>AP CAPSTONE SEMINAR</v>
      </c>
      <c r="G16398" t="str">
        <f>"17-1714"</f>
        <v>17-1714</v>
      </c>
      <c r="H16398" t="str">
        <f>"A"</f>
        <v>A</v>
      </c>
    </row>
    <row r="16399" spans="1:8" x14ac:dyDescent="0.2">
      <c r="A16399" t="str">
        <f t="shared" si="5941"/>
        <v>0614089960</v>
      </c>
      <c r="B16399" t="str">
        <f t="shared" si="5942"/>
        <v>SIANA</v>
      </c>
      <c r="C16399" t="str">
        <f t="shared" si="5939"/>
        <v>SRITRAKUL</v>
      </c>
      <c r="D16399">
        <f>11</f>
        <v>11</v>
      </c>
      <c r="E16399" t="str">
        <f>"06 - B - 001 - Lourivaldo  Da Silva"</f>
        <v>06 - B - 001 - Lourivaldo  Da Silva</v>
      </c>
      <c r="F16399" t="str">
        <f>"PRE-CALCULUS HON"</f>
        <v>PRE-CALCULUS HON</v>
      </c>
      <c r="G16399" t="str">
        <f>"20-2079"</f>
        <v>20-2079</v>
      </c>
      <c r="H16399" t="str">
        <f>"B"</f>
        <v>B</v>
      </c>
    </row>
    <row r="16400" spans="1:8" x14ac:dyDescent="0.2">
      <c r="A16400" t="str">
        <f t="shared" si="5941"/>
        <v>0614089960</v>
      </c>
      <c r="B16400" t="str">
        <f t="shared" si="5942"/>
        <v>SIANA</v>
      </c>
      <c r="C16400" t="str">
        <f t="shared" si="5939"/>
        <v>SRITRAKUL</v>
      </c>
      <c r="D16400">
        <f>11</f>
        <v>11</v>
      </c>
      <c r="E16400" t="str">
        <f>"03 - A - 102 - Tina M Jaramillo"</f>
        <v>03 - A - 102 - Tina M Jaramillo</v>
      </c>
      <c r="F16400" t="str">
        <f>"AP ENG COMPO"</f>
        <v>AP ENG COMPO</v>
      </c>
      <c r="G16400" t="str">
        <f>"17-1706"</f>
        <v>17-1706</v>
      </c>
      <c r="H16400" t="str">
        <f>"A"</f>
        <v>A</v>
      </c>
    </row>
    <row r="16401" spans="1:8" x14ac:dyDescent="0.2">
      <c r="A16401" t="str">
        <f t="shared" si="5941"/>
        <v>0614089960</v>
      </c>
      <c r="B16401" t="str">
        <f t="shared" si="5942"/>
        <v>SIANA</v>
      </c>
      <c r="C16401" t="str">
        <f t="shared" si="5939"/>
        <v>SRITRAKUL</v>
      </c>
      <c r="D16401">
        <f>11</f>
        <v>11</v>
      </c>
      <c r="E16401" t="str">
        <f>"02 - A - 104 - Dayna M Foster"</f>
        <v>02 - A - 104 - Dayna M Foster</v>
      </c>
      <c r="F16401" t="str">
        <f>"NC STUDY HALL 1"</f>
        <v>NC STUDY HALL 1</v>
      </c>
      <c r="G16401" t="str">
        <f>"21-2109"</f>
        <v>21-2109</v>
      </c>
      <c r="H16401" t="str">
        <f>"A"</f>
        <v>A</v>
      </c>
    </row>
    <row r="16402" spans="1:8" x14ac:dyDescent="0.2">
      <c r="A16402" t="str">
        <f t="shared" si="5941"/>
        <v>0614089960</v>
      </c>
      <c r="B16402" t="str">
        <f t="shared" si="5942"/>
        <v>SIANA</v>
      </c>
      <c r="C16402" t="str">
        <f t="shared" si="5939"/>
        <v>SRITRAKUL</v>
      </c>
      <c r="D16402">
        <f>11</f>
        <v>11</v>
      </c>
      <c r="E16402" t="str">
        <f>"07 - B - 102 - Timothy J Lawrence"</f>
        <v>07 - B - 102 - Timothy J Lawrence</v>
      </c>
      <c r="F16402" t="str">
        <f>"AICE PHYS ED 1 AS"</f>
        <v>AICE PHYS ED 1 AS</v>
      </c>
      <c r="G16402" t="str">
        <f>"05-523"</f>
        <v>05-523</v>
      </c>
      <c r="H16402" t="str">
        <f>"B"</f>
        <v>B</v>
      </c>
    </row>
    <row r="16403" spans="1:8" x14ac:dyDescent="0.2">
      <c r="A16403" t="str">
        <f t="shared" si="5941"/>
        <v>0614089960</v>
      </c>
      <c r="B16403" t="str">
        <f t="shared" si="5942"/>
        <v>SIANA</v>
      </c>
      <c r="C16403" t="str">
        <f t="shared" si="5939"/>
        <v>SRITRAKUL</v>
      </c>
      <c r="D16403">
        <f>11</f>
        <v>11</v>
      </c>
      <c r="E16403" t="str">
        <f>"05 - B - 101 - Jordana K Hass"</f>
        <v>05 - B - 101 - Jordana K Hass</v>
      </c>
      <c r="F16403" t="str">
        <f>"AP COMP SCI PRIN"</f>
        <v>AP COMP SCI PRIN</v>
      </c>
      <c r="G16403" t="str">
        <f>"08-807"</f>
        <v>08-807</v>
      </c>
      <c r="H16403" t="str">
        <f>"B"</f>
        <v>B</v>
      </c>
    </row>
    <row r="16404" spans="1:8" x14ac:dyDescent="0.2">
      <c r="A16404" t="str">
        <f t="shared" si="5941"/>
        <v>0614089960</v>
      </c>
      <c r="B16404" t="str">
        <f t="shared" si="5942"/>
        <v>SIANA</v>
      </c>
      <c r="C16404" t="str">
        <f t="shared" si="5939"/>
        <v>SRITRAKUL</v>
      </c>
      <c r="D16404">
        <f>11</f>
        <v>11</v>
      </c>
      <c r="E16404" t="str">
        <f>"01 - A - 104 - Jerry S Jiampetti"</f>
        <v>01 - A - 104 - Jerry S Jiampetti</v>
      </c>
      <c r="F16404" t="str">
        <f>"US HISTORY HON"</f>
        <v>US HISTORY HON</v>
      </c>
      <c r="G16404" t="str">
        <f>"17-1751"</f>
        <v>17-1751</v>
      </c>
      <c r="H16404" t="str">
        <f>"A"</f>
        <v>A</v>
      </c>
    </row>
    <row r="16405" spans="1:8" x14ac:dyDescent="0.2">
      <c r="A16405" t="str">
        <f t="shared" si="5941"/>
        <v>0614089960</v>
      </c>
      <c r="B16405" t="str">
        <f t="shared" si="5942"/>
        <v>SIANA</v>
      </c>
      <c r="C16405" t="str">
        <f t="shared" si="5939"/>
        <v>SRITRAKUL</v>
      </c>
      <c r="D16405">
        <f>11</f>
        <v>11</v>
      </c>
      <c r="E16405" t="str">
        <f>"08 - B - 202 - Krystal Marie  Beruty"</f>
        <v>08 - B - 202 - Krystal Marie  Beruty</v>
      </c>
      <c r="F16405" t="str">
        <f>"AICE PSYCH 1 AS"</f>
        <v>AICE PSYCH 1 AS</v>
      </c>
      <c r="G16405" t="str">
        <f>"17-1721"</f>
        <v>17-1721</v>
      </c>
      <c r="H16405" t="str">
        <f>"B"</f>
        <v>B</v>
      </c>
    </row>
    <row r="16406" spans="1:8" x14ac:dyDescent="0.2">
      <c r="A16406" t="str">
        <f t="shared" ref="A16406:A16413" si="5943">"0622009448"</f>
        <v>0622009448</v>
      </c>
      <c r="B16406" t="str">
        <f t="shared" ref="B16406:B16413" si="5944">"AAMIYAH"</f>
        <v>AAMIYAH</v>
      </c>
      <c r="C16406" t="str">
        <f t="shared" ref="C16406:C16413" si="5945">"STANLEY-JAMES"</f>
        <v>STANLEY-JAMES</v>
      </c>
      <c r="D16406">
        <f>10</f>
        <v>10</v>
      </c>
      <c r="E16406" t="str">
        <f>"04 - A - 102 - Josiah I Lacy"</f>
        <v>04 - A - 102 - Josiah I Lacy</v>
      </c>
      <c r="F16406" t="str">
        <f>"PRE-AICE BIO IG"</f>
        <v>PRE-AICE BIO IG</v>
      </c>
      <c r="G16406" t="str">
        <f>"08-801"</f>
        <v>08-801</v>
      </c>
      <c r="H16406" t="str">
        <f>"A"</f>
        <v>A</v>
      </c>
    </row>
    <row r="16407" spans="1:8" x14ac:dyDescent="0.2">
      <c r="A16407" t="str">
        <f t="shared" si="5943"/>
        <v>0622009448</v>
      </c>
      <c r="B16407" t="str">
        <f t="shared" si="5944"/>
        <v>AAMIYAH</v>
      </c>
      <c r="C16407" t="str">
        <f t="shared" si="5945"/>
        <v>STANLEY-JAMES</v>
      </c>
      <c r="D16407">
        <f>10</f>
        <v>10</v>
      </c>
      <c r="E16407" t="str">
        <f>"06 - B - 112 - Tina M Jaramillo"</f>
        <v>06 - B - 112 - Tina M Jaramillo</v>
      </c>
      <c r="F16407" t="str">
        <f>"NC STUDY HALL 1"</f>
        <v>NC STUDY HALL 1</v>
      </c>
      <c r="G16407" t="str">
        <f>"17-1706"</f>
        <v>17-1706</v>
      </c>
      <c r="H16407" t="str">
        <f>"B"</f>
        <v>B</v>
      </c>
    </row>
    <row r="16408" spans="1:8" x14ac:dyDescent="0.2">
      <c r="A16408" t="str">
        <f t="shared" si="5943"/>
        <v>0622009448</v>
      </c>
      <c r="B16408" t="str">
        <f t="shared" si="5944"/>
        <v>AAMIYAH</v>
      </c>
      <c r="C16408" t="str">
        <f t="shared" si="5945"/>
        <v>STANLEY-JAMES</v>
      </c>
      <c r="D16408">
        <f>10</f>
        <v>10</v>
      </c>
      <c r="E16408" t="str">
        <f>"03 - A - 201 - Alejandro  Navarro"</f>
        <v>03 - A - 201 - Alejandro  Navarro</v>
      </c>
      <c r="F16408" t="str">
        <f>"BAND 2"</f>
        <v>BAND 2</v>
      </c>
      <c r="G16408" t="str">
        <f>"05-504"</f>
        <v>05-504</v>
      </c>
      <c r="H16408" t="str">
        <f>"A"</f>
        <v>A</v>
      </c>
    </row>
    <row r="16409" spans="1:8" x14ac:dyDescent="0.2">
      <c r="A16409" t="str">
        <f t="shared" si="5943"/>
        <v>0622009448</v>
      </c>
      <c r="B16409" t="str">
        <f t="shared" si="5944"/>
        <v>AAMIYAH</v>
      </c>
      <c r="C16409" t="str">
        <f t="shared" si="5945"/>
        <v>STANLEY-JAMES</v>
      </c>
      <c r="D16409">
        <f>10</f>
        <v>10</v>
      </c>
      <c r="E16409" t="str">
        <f>"02 - A - 102 - Daniel S Tyson"</f>
        <v>02 - A - 102 - Daniel S Tyson</v>
      </c>
      <c r="F16409" t="str">
        <f>"JROTC NAVAL SCI 1"</f>
        <v>JROTC NAVAL SCI 1</v>
      </c>
      <c r="G16409" t="str">
        <f>"05-510"</f>
        <v>05-510</v>
      </c>
      <c r="H16409" t="str">
        <f>"A"</f>
        <v>A</v>
      </c>
    </row>
    <row r="16410" spans="1:8" x14ac:dyDescent="0.2">
      <c r="A16410" t="str">
        <f t="shared" si="5943"/>
        <v>0622009448</v>
      </c>
      <c r="B16410" t="str">
        <f t="shared" si="5944"/>
        <v>AAMIYAH</v>
      </c>
      <c r="C16410" t="str">
        <f t="shared" si="5945"/>
        <v>STANLEY-JAMES</v>
      </c>
      <c r="D16410">
        <f>10</f>
        <v>10</v>
      </c>
      <c r="E16410" t="str">
        <f>"07 - B - 102 - Nikiel  Nesbeth"</f>
        <v>07 - B - 102 - Nikiel  Nesbeth</v>
      </c>
      <c r="F16410" t="str">
        <f>"PRE-AICE ENG LIT IG"</f>
        <v>PRE-AICE ENG LIT IG</v>
      </c>
      <c r="G16410" t="str">
        <f>"17-1705"</f>
        <v>17-1705</v>
      </c>
      <c r="H16410" t="str">
        <f>"B"</f>
        <v>B</v>
      </c>
    </row>
    <row r="16411" spans="1:8" x14ac:dyDescent="0.2">
      <c r="A16411" t="str">
        <f t="shared" si="5943"/>
        <v>0622009448</v>
      </c>
      <c r="B16411" t="str">
        <f t="shared" si="5944"/>
        <v>AAMIYAH</v>
      </c>
      <c r="C16411" t="str">
        <f t="shared" si="5945"/>
        <v>STANLEY-JAMES</v>
      </c>
      <c r="D16411">
        <f>10</f>
        <v>10</v>
      </c>
      <c r="E16411" t="str">
        <f>"05 - B - 106 - Fernando  Vega-Cid"</f>
        <v>05 - B - 106 - Fernando  Vega-Cid</v>
      </c>
      <c r="F16411" t="str">
        <f>"GEOMETRY"</f>
        <v>GEOMETRY</v>
      </c>
      <c r="G16411" t="str">
        <f>"21-2163"</f>
        <v>21-2163</v>
      </c>
      <c r="H16411" t="str">
        <f>"B"</f>
        <v>B</v>
      </c>
    </row>
    <row r="16412" spans="1:8" x14ac:dyDescent="0.2">
      <c r="A16412" t="str">
        <f t="shared" si="5943"/>
        <v>0622009448</v>
      </c>
      <c r="B16412" t="str">
        <f t="shared" si="5944"/>
        <v>AAMIYAH</v>
      </c>
      <c r="C16412" t="str">
        <f t="shared" si="5945"/>
        <v>STANLEY-JAMES</v>
      </c>
      <c r="D16412">
        <f>10</f>
        <v>10</v>
      </c>
      <c r="E16412" t="str">
        <f>"01 - S1 - A - 101 - Lissa C Frederique"</f>
        <v>01 - S1 - A - 101 - Lissa C Frederique</v>
      </c>
      <c r="F16412" t="str">
        <f>"PERS FIN &amp; MON MGT H"</f>
        <v>PERS FIN &amp; MON MGT H</v>
      </c>
      <c r="G16412" t="str">
        <f>"17-1754"</f>
        <v>17-1754</v>
      </c>
      <c r="H16412" t="str">
        <f>"A"</f>
        <v>A</v>
      </c>
    </row>
    <row r="16413" spans="1:8" x14ac:dyDescent="0.2">
      <c r="A16413" t="str">
        <f t="shared" si="5943"/>
        <v>0622009448</v>
      </c>
      <c r="B16413" t="str">
        <f t="shared" si="5944"/>
        <v>AAMIYAH</v>
      </c>
      <c r="C16413" t="str">
        <f t="shared" si="5945"/>
        <v>STANLEY-JAMES</v>
      </c>
      <c r="D16413">
        <f>10</f>
        <v>10</v>
      </c>
      <c r="E16413" t="str">
        <f>"08 - B - 202 - Dorothy D Moore"</f>
        <v>08 - B - 202 - Dorothy D Moore</v>
      </c>
      <c r="F16413" t="str">
        <f>"HEALTH SCI 1/A&amp;P HON"</f>
        <v>HEALTH SCI 1/A&amp;P HON</v>
      </c>
      <c r="G16413" t="str">
        <f>"08-803"</f>
        <v>08-803</v>
      </c>
      <c r="H16413" t="str">
        <f>"B"</f>
        <v>B</v>
      </c>
    </row>
    <row r="16414" spans="1:8" x14ac:dyDescent="0.2">
      <c r="A16414" t="str">
        <f t="shared" ref="A16414:A16421" si="5946">"0626010089"</f>
        <v>0626010089</v>
      </c>
      <c r="B16414" t="str">
        <f t="shared" ref="B16414:B16421" si="5947">"Cheyanne"</f>
        <v>Cheyanne</v>
      </c>
      <c r="C16414" t="str">
        <f t="shared" ref="C16414:C16421" si="5948">"Stanton"</f>
        <v>Stanton</v>
      </c>
      <c r="D16414" t="str">
        <f t="shared" ref="D16414:D16421" si="5949">"09"</f>
        <v>09</v>
      </c>
      <c r="E16414" t="str">
        <f>"04 - A - 103 - Joe  Kilpatrick Jr"</f>
        <v>04 - A - 103 - Joe  Kilpatrick Jr</v>
      </c>
      <c r="F16414" t="str">
        <f>"PRE-AICE SPAN 1 IG"</f>
        <v>PRE-AICE SPAN 1 IG</v>
      </c>
      <c r="G16414" t="str">
        <f>"09-912"</f>
        <v>09-912</v>
      </c>
      <c r="H16414" t="str">
        <f>"A"</f>
        <v>A</v>
      </c>
    </row>
    <row r="16415" spans="1:8" x14ac:dyDescent="0.2">
      <c r="A16415" t="str">
        <f t="shared" si="5946"/>
        <v>0626010089</v>
      </c>
      <c r="B16415" t="str">
        <f t="shared" si="5947"/>
        <v>Cheyanne</v>
      </c>
      <c r="C16415" t="str">
        <f t="shared" si="5948"/>
        <v>Stanton</v>
      </c>
      <c r="D16415" t="str">
        <f t="shared" si="5949"/>
        <v>09</v>
      </c>
      <c r="E16415" t="str">
        <f>"06 - B - 106 - Adam Marcus  Drucker"</f>
        <v>06 - B - 106 - Adam Marcus  Drucker</v>
      </c>
      <c r="F16415" t="str">
        <f>"HOPE-PE V"</f>
        <v>HOPE-PE V</v>
      </c>
      <c r="G16415" t="str">
        <f>"04-254"</f>
        <v>04-254</v>
      </c>
      <c r="H16415" t="str">
        <f>"B"</f>
        <v>B</v>
      </c>
    </row>
    <row r="16416" spans="1:8" x14ac:dyDescent="0.2">
      <c r="A16416" t="str">
        <f t="shared" si="5946"/>
        <v>0626010089</v>
      </c>
      <c r="B16416" t="str">
        <f t="shared" si="5947"/>
        <v>Cheyanne</v>
      </c>
      <c r="C16416" t="str">
        <f t="shared" si="5948"/>
        <v>Stanton</v>
      </c>
      <c r="D16416" t="str">
        <f t="shared" si="5949"/>
        <v>09</v>
      </c>
      <c r="E16416" t="str">
        <f>"03 - A - 005 - Cerine S Stewart"</f>
        <v>03 - A - 005 - Cerine S Stewart</v>
      </c>
      <c r="F16416" t="str">
        <f>"AICE ENG GEN PAPER 1"</f>
        <v>AICE ENG GEN PAPER 1</v>
      </c>
      <c r="G16416" t="str">
        <f>"17-1720"</f>
        <v>17-1720</v>
      </c>
      <c r="H16416" t="str">
        <f>"A"</f>
        <v>A</v>
      </c>
    </row>
    <row r="16417" spans="1:8" x14ac:dyDescent="0.2">
      <c r="A16417" t="str">
        <f t="shared" si="5946"/>
        <v>0626010089</v>
      </c>
      <c r="B16417" t="str">
        <f t="shared" si="5947"/>
        <v>Cheyanne</v>
      </c>
      <c r="C16417" t="str">
        <f t="shared" si="5948"/>
        <v>Stanton</v>
      </c>
      <c r="D16417" t="str">
        <f t="shared" si="5949"/>
        <v>09</v>
      </c>
      <c r="E16417" t="str">
        <f>"02 - A - 114 - Laselleda D Shaw"</f>
        <v>02 - A - 114 - Laselleda D Shaw</v>
      </c>
      <c r="F16417" t="str">
        <f>"NC STUDY HALL 1"</f>
        <v>NC STUDY HALL 1</v>
      </c>
      <c r="G16417" t="str">
        <f>"17-1723"</f>
        <v>17-1723</v>
      </c>
      <c r="H16417" t="str">
        <f>"A"</f>
        <v>A</v>
      </c>
    </row>
    <row r="16418" spans="1:8" x14ac:dyDescent="0.2">
      <c r="A16418" t="str">
        <f t="shared" si="5946"/>
        <v>0626010089</v>
      </c>
      <c r="B16418" t="str">
        <f t="shared" si="5947"/>
        <v>Cheyanne</v>
      </c>
      <c r="C16418" t="str">
        <f t="shared" si="5948"/>
        <v>Stanton</v>
      </c>
      <c r="D16418" t="str">
        <f t="shared" si="5949"/>
        <v>09</v>
      </c>
      <c r="E16418" t="str">
        <f>"07 - B - 105 - Josiah I Lacy"</f>
        <v>07 - B - 105 - Josiah I Lacy</v>
      </c>
      <c r="F16418" t="str">
        <f>"ANAT PHYSIO HON"</f>
        <v>ANAT PHYSIO HON</v>
      </c>
      <c r="G16418" t="str">
        <f>"08-801"</f>
        <v>08-801</v>
      </c>
      <c r="H16418" t="str">
        <f>"B"</f>
        <v>B</v>
      </c>
    </row>
    <row r="16419" spans="1:8" x14ac:dyDescent="0.2">
      <c r="A16419" t="str">
        <f t="shared" si="5946"/>
        <v>0626010089</v>
      </c>
      <c r="B16419" t="str">
        <f t="shared" si="5947"/>
        <v>Cheyanne</v>
      </c>
      <c r="C16419" t="str">
        <f t="shared" si="5948"/>
        <v>Stanton</v>
      </c>
      <c r="D16419" t="str">
        <f t="shared" si="5949"/>
        <v>09</v>
      </c>
      <c r="E16419" t="str">
        <f>"05 - B - 102 - Tina L Lovett"</f>
        <v>05 - B - 102 - Tina L Lovett</v>
      </c>
      <c r="F16419" t="str">
        <f>"PRE-AICE MATH 1 IG"</f>
        <v>PRE-AICE MATH 1 IG</v>
      </c>
      <c r="G16419" t="str">
        <f>"21-2153"</f>
        <v>21-2153</v>
      </c>
      <c r="H16419" t="str">
        <f>"B"</f>
        <v>B</v>
      </c>
    </row>
    <row r="16420" spans="1:8" x14ac:dyDescent="0.2">
      <c r="A16420" t="str">
        <f t="shared" si="5946"/>
        <v>0626010089</v>
      </c>
      <c r="B16420" t="str">
        <f t="shared" si="5947"/>
        <v>Cheyanne</v>
      </c>
      <c r="C16420" t="str">
        <f t="shared" si="5948"/>
        <v>Stanton</v>
      </c>
      <c r="D16420" t="str">
        <f t="shared" si="5949"/>
        <v>09</v>
      </c>
      <c r="E16420" t="str">
        <f>"01 - A - 101 - Rory T Sponsler"</f>
        <v>01 - A - 101 - Rory T Sponsler</v>
      </c>
      <c r="F16420" t="str">
        <f>"PRE-AICE WRLD HST IG"</f>
        <v>PRE-AICE WRLD HST IG</v>
      </c>
      <c r="G16420" t="str">
        <f>"17-1740"</f>
        <v>17-1740</v>
      </c>
      <c r="H16420" t="str">
        <f>"A"</f>
        <v>A</v>
      </c>
    </row>
    <row r="16421" spans="1:8" x14ac:dyDescent="0.2">
      <c r="A16421" t="str">
        <f t="shared" si="5946"/>
        <v>0626010089</v>
      </c>
      <c r="B16421" t="str">
        <f t="shared" si="5947"/>
        <v>Cheyanne</v>
      </c>
      <c r="C16421" t="str">
        <f t="shared" si="5948"/>
        <v>Stanton</v>
      </c>
      <c r="D16421" t="str">
        <f t="shared" si="5949"/>
        <v>09</v>
      </c>
      <c r="E16421" t="str">
        <f>"08 - B - 103 - Jeanne M Bermudez"</f>
        <v>08 - B - 103 - Jeanne M Bermudez</v>
      </c>
      <c r="F16421" t="str">
        <f>"ADVANCED IT HON"</f>
        <v>ADVANCED IT HON</v>
      </c>
      <c r="G16421" t="str">
        <f>"21-2141"</f>
        <v>21-2141</v>
      </c>
      <c r="H16421" t="str">
        <f>"B"</f>
        <v>B</v>
      </c>
    </row>
    <row r="16422" spans="1:8" x14ac:dyDescent="0.2">
      <c r="A16422" t="str">
        <f t="shared" ref="A16422:A16429" si="5950">"0613091302"</f>
        <v>0613091302</v>
      </c>
      <c r="B16422" t="str">
        <f t="shared" ref="B16422:B16429" si="5951">"ROWAN"</f>
        <v>ROWAN</v>
      </c>
      <c r="C16422" t="str">
        <f t="shared" ref="C16422:C16437" si="5952">"STARKS"</f>
        <v>STARKS</v>
      </c>
      <c r="D16422">
        <f>12</f>
        <v>12</v>
      </c>
      <c r="E16422" t="str">
        <f>"04 - A - 102 - Daniel S Katz"</f>
        <v>04 - A - 102 - Daniel S Katz</v>
      </c>
      <c r="F16422" t="str">
        <f>"AICE DRAMA 1 AS LEV"</f>
        <v>AICE DRAMA 1 AS LEV</v>
      </c>
      <c r="G16422" t="str">
        <f>"05-521"</f>
        <v>05-521</v>
      </c>
      <c r="H16422" t="str">
        <f>"A"</f>
        <v>A</v>
      </c>
    </row>
    <row r="16423" spans="1:8" x14ac:dyDescent="0.2">
      <c r="A16423" t="str">
        <f t="shared" si="5950"/>
        <v>0613091302</v>
      </c>
      <c r="B16423" t="str">
        <f t="shared" si="5951"/>
        <v>ROWAN</v>
      </c>
      <c r="C16423" t="str">
        <f t="shared" si="5952"/>
        <v>STARKS</v>
      </c>
      <c r="D16423">
        <f>12</f>
        <v>12</v>
      </c>
      <c r="E16423" t="str">
        <f>"06 - B - 113 - Marielle A Witting"</f>
        <v>06 - B - 113 - Marielle A Witting</v>
      </c>
      <c r="F16423" t="str">
        <f>"NC STUDY HALL 1"</f>
        <v>NC STUDY HALL 1</v>
      </c>
      <c r="G16423" t="str">
        <f>"08-805"</f>
        <v>08-805</v>
      </c>
      <c r="H16423" t="str">
        <f>"B"</f>
        <v>B</v>
      </c>
    </row>
    <row r="16424" spans="1:8" x14ac:dyDescent="0.2">
      <c r="A16424" t="str">
        <f t="shared" si="5950"/>
        <v>0613091302</v>
      </c>
      <c r="B16424" t="str">
        <f t="shared" si="5951"/>
        <v>ROWAN</v>
      </c>
      <c r="C16424" t="str">
        <f t="shared" si="5952"/>
        <v>STARKS</v>
      </c>
      <c r="D16424">
        <f>12</f>
        <v>12</v>
      </c>
      <c r="E16424" t="str">
        <f>"03 - A - 202 - Jeanne M Bermudez"</f>
        <v>03 - A - 202 - Jeanne M Bermudez</v>
      </c>
      <c r="F16424" t="str">
        <f>"PHYSICS 1 HON"</f>
        <v>PHYSICS 1 HON</v>
      </c>
      <c r="G16424" t="str">
        <f>"21-2141"</f>
        <v>21-2141</v>
      </c>
      <c r="H16424" t="str">
        <f>"A"</f>
        <v>A</v>
      </c>
    </row>
    <row r="16425" spans="1:8" x14ac:dyDescent="0.2">
      <c r="A16425" t="str">
        <f t="shared" si="5950"/>
        <v>0613091302</v>
      </c>
      <c r="B16425" t="str">
        <f t="shared" si="5951"/>
        <v>ROWAN</v>
      </c>
      <c r="C16425" t="str">
        <f t="shared" si="5952"/>
        <v>STARKS</v>
      </c>
      <c r="D16425">
        <f>12</f>
        <v>12</v>
      </c>
      <c r="E16425" t="str">
        <f>"02 - A - 101 - Robert H Rindner"</f>
        <v>02 - A - 101 - Robert H Rindner</v>
      </c>
      <c r="F16425" t="str">
        <f>"MATH DATA&amp;FIN LIT H"</f>
        <v>MATH DATA&amp;FIN LIT H</v>
      </c>
      <c r="G16425" t="str">
        <f>"21-2160"</f>
        <v>21-2160</v>
      </c>
      <c r="H16425" t="str">
        <f>"A"</f>
        <v>A</v>
      </c>
    </row>
    <row r="16426" spans="1:8" x14ac:dyDescent="0.2">
      <c r="A16426" t="str">
        <f t="shared" si="5950"/>
        <v>0613091302</v>
      </c>
      <c r="B16426" t="str">
        <f t="shared" si="5951"/>
        <v>ROWAN</v>
      </c>
      <c r="C16426" t="str">
        <f t="shared" si="5952"/>
        <v>STARKS</v>
      </c>
      <c r="D16426">
        <f>12</f>
        <v>12</v>
      </c>
      <c r="E16426" t="str">
        <f>"07 - B - 202 - Chrystina M Marchionne"</f>
        <v>07 - B - 202 - Chrystina M Marchionne</v>
      </c>
      <c r="F16426" t="str">
        <f>"JOURN 1 (YB) LH"</f>
        <v>JOURN 1 (YB) LH</v>
      </c>
      <c r="G16426" t="str">
        <f>"05-520"</f>
        <v>05-520</v>
      </c>
      <c r="H16426" t="str">
        <f>"B"</f>
        <v>B</v>
      </c>
    </row>
    <row r="16427" spans="1:8" x14ac:dyDescent="0.2">
      <c r="A16427" t="str">
        <f t="shared" si="5950"/>
        <v>0613091302</v>
      </c>
      <c r="B16427" t="str">
        <f t="shared" si="5951"/>
        <v>ROWAN</v>
      </c>
      <c r="C16427" t="str">
        <f t="shared" si="5952"/>
        <v>STARKS</v>
      </c>
      <c r="D16427">
        <f>12</f>
        <v>12</v>
      </c>
      <c r="E16427" t="str">
        <f>"05 - S1 - B - 102 - Barbara L Segal"</f>
        <v>05 - S1 - B - 102 - Barbara L Segal</v>
      </c>
      <c r="F16427" t="str">
        <f>"US GOVT HON"</f>
        <v>US GOVT HON</v>
      </c>
      <c r="G16427" t="str">
        <f>"17-1742"</f>
        <v>17-1742</v>
      </c>
      <c r="H16427" t="str">
        <f>"B"</f>
        <v>B</v>
      </c>
    </row>
    <row r="16428" spans="1:8" x14ac:dyDescent="0.2">
      <c r="A16428" t="str">
        <f t="shared" si="5950"/>
        <v>0613091302</v>
      </c>
      <c r="B16428" t="str">
        <f t="shared" si="5951"/>
        <v>ROWAN</v>
      </c>
      <c r="C16428" t="str">
        <f t="shared" si="5952"/>
        <v>STARKS</v>
      </c>
      <c r="D16428">
        <f>12</f>
        <v>12</v>
      </c>
      <c r="E16428" t="str">
        <f>"01 - A - 101 - Brandy N Zdenek"</f>
        <v>01 - A - 101 - Brandy N Zdenek</v>
      </c>
      <c r="F16428" t="str">
        <f>"AICE ENG LANG 2 AL"</f>
        <v>AICE ENG LANG 2 AL</v>
      </c>
      <c r="G16428" t="str">
        <f>"17-1704"</f>
        <v>17-1704</v>
      </c>
      <c r="H16428" t="str">
        <f>"A"</f>
        <v>A</v>
      </c>
    </row>
    <row r="16429" spans="1:8" x14ac:dyDescent="0.2">
      <c r="A16429" t="str">
        <f t="shared" si="5950"/>
        <v>0613091302</v>
      </c>
      <c r="B16429" t="str">
        <f t="shared" si="5951"/>
        <v>ROWAN</v>
      </c>
      <c r="C16429" t="str">
        <f t="shared" si="5952"/>
        <v>STARKS</v>
      </c>
      <c r="D16429">
        <f>12</f>
        <v>12</v>
      </c>
      <c r="E16429" t="str">
        <f>"08 - S1 - B - 104 - Leslie J Barton"</f>
        <v>08 - S1 - B - 104 - Leslie J Barton</v>
      </c>
      <c r="F16429" t="str">
        <f>"TEAM SPORTS 1"</f>
        <v>TEAM SPORTS 1</v>
      </c>
      <c r="G16429" t="str">
        <f>"04-254"</f>
        <v>04-254</v>
      </c>
      <c r="H16429" t="str">
        <f>"B"</f>
        <v>B</v>
      </c>
    </row>
    <row r="16430" spans="1:8" x14ac:dyDescent="0.2">
      <c r="A16430" t="str">
        <f t="shared" ref="A16430:A16437" si="5953">"0613091296"</f>
        <v>0613091296</v>
      </c>
      <c r="B16430" t="str">
        <f t="shared" ref="B16430:B16437" si="5954">"SLOANE"</f>
        <v>SLOANE</v>
      </c>
      <c r="C16430" t="str">
        <f t="shared" si="5952"/>
        <v>STARKS</v>
      </c>
      <c r="D16430">
        <f>12</f>
        <v>12</v>
      </c>
      <c r="E16430" t="str">
        <f>"04 - A - 101 - Christa T Parisi"</f>
        <v>04 - A - 101 - Christa T Parisi</v>
      </c>
      <c r="F16430" t="str">
        <f>"DANCE TECHNQS 4 HON"</f>
        <v>DANCE TECHNQS 4 HON</v>
      </c>
      <c r="G16430" t="str">
        <f>"05-503"</f>
        <v>05-503</v>
      </c>
      <c r="H16430" t="str">
        <f>"A"</f>
        <v>A</v>
      </c>
    </row>
    <row r="16431" spans="1:8" x14ac:dyDescent="0.2">
      <c r="A16431" t="str">
        <f t="shared" si="5953"/>
        <v>0613091296</v>
      </c>
      <c r="B16431" t="str">
        <f t="shared" si="5954"/>
        <v>SLOANE</v>
      </c>
      <c r="C16431" t="str">
        <f t="shared" si="5952"/>
        <v>STARKS</v>
      </c>
      <c r="D16431">
        <f>12</f>
        <v>12</v>
      </c>
      <c r="E16431" t="str">
        <f>"06 - B - 109 - Carol S Moore"</f>
        <v>06 - B - 109 - Carol S Moore</v>
      </c>
      <c r="F16431" t="str">
        <f>"NC STUDY HALL 1"</f>
        <v>NC STUDY HALL 1</v>
      </c>
      <c r="G16431" t="str">
        <f>"17-1733"</f>
        <v>17-1733</v>
      </c>
      <c r="H16431" t="str">
        <f>"B"</f>
        <v>B</v>
      </c>
    </row>
    <row r="16432" spans="1:8" x14ac:dyDescent="0.2">
      <c r="A16432" t="str">
        <f t="shared" si="5953"/>
        <v>0613091296</v>
      </c>
      <c r="B16432" t="str">
        <f t="shared" si="5954"/>
        <v>SLOANE</v>
      </c>
      <c r="C16432" t="str">
        <f t="shared" si="5952"/>
        <v>STARKS</v>
      </c>
      <c r="D16432">
        <f>12</f>
        <v>12</v>
      </c>
      <c r="E16432" t="str">
        <f>"03 - A - 102 - Cliffon  Saurel"</f>
        <v>03 - A - 102 - Cliffon  Saurel</v>
      </c>
      <c r="F16432" t="str">
        <f>"PHYSICAL SCI"</f>
        <v>PHYSICAL SCI</v>
      </c>
      <c r="G16432" t="str">
        <f>"05-522"</f>
        <v>05-522</v>
      </c>
      <c r="H16432" t="str">
        <f>"A"</f>
        <v>A</v>
      </c>
    </row>
    <row r="16433" spans="1:8" x14ac:dyDescent="0.2">
      <c r="A16433" t="str">
        <f t="shared" si="5953"/>
        <v>0613091296</v>
      </c>
      <c r="B16433" t="str">
        <f t="shared" si="5954"/>
        <v>SLOANE</v>
      </c>
      <c r="C16433" t="str">
        <f t="shared" si="5952"/>
        <v>STARKS</v>
      </c>
      <c r="D16433">
        <f>12</f>
        <v>12</v>
      </c>
      <c r="E16433" t="str">
        <f>"02 - A - 102 - Jeffrey S Gallagher"</f>
        <v>02 - A - 102 - Jeffrey S Gallagher</v>
      </c>
      <c r="F16433" t="str">
        <f>"ENG HON 4"</f>
        <v>ENG HON 4</v>
      </c>
      <c r="G16433" t="str">
        <f>"17-1724"</f>
        <v>17-1724</v>
      </c>
      <c r="H16433" t="str">
        <f>"A"</f>
        <v>A</v>
      </c>
    </row>
    <row r="16434" spans="1:8" x14ac:dyDescent="0.2">
      <c r="A16434" t="str">
        <f t="shared" si="5953"/>
        <v>0613091296</v>
      </c>
      <c r="B16434" t="str">
        <f t="shared" si="5954"/>
        <v>SLOANE</v>
      </c>
      <c r="C16434" t="str">
        <f t="shared" si="5952"/>
        <v>STARKS</v>
      </c>
      <c r="D16434">
        <f>12</f>
        <v>12</v>
      </c>
      <c r="E16434" t="str">
        <f>"07 - S1 - B - 107 - Kelly N Panza"</f>
        <v>07 - S1 - B - 107 - Kelly N Panza</v>
      </c>
      <c r="F16434" t="str">
        <f>"US GOVT HON"</f>
        <v>US GOVT HON</v>
      </c>
      <c r="G16434" t="str">
        <f>"17-1753"</f>
        <v>17-1753</v>
      </c>
      <c r="H16434" t="str">
        <f>"B"</f>
        <v>B</v>
      </c>
    </row>
    <row r="16435" spans="1:8" x14ac:dyDescent="0.2">
      <c r="A16435" t="str">
        <f t="shared" si="5953"/>
        <v>0613091296</v>
      </c>
      <c r="B16435" t="str">
        <f t="shared" si="5954"/>
        <v>SLOANE</v>
      </c>
      <c r="C16435" t="str">
        <f t="shared" si="5952"/>
        <v>STARKS</v>
      </c>
      <c r="D16435">
        <f>12</f>
        <v>12</v>
      </c>
      <c r="E16435" t="str">
        <f>"05 - B - 104 - Semra  Bahadir"</f>
        <v>05 - B - 104 - Semra  Bahadir</v>
      </c>
      <c r="F16435" t="str">
        <f>"MATH COLL ALGEBRA"</f>
        <v>MATH COLL ALGEBRA</v>
      </c>
      <c r="G16435" t="str">
        <f>"21-2107"</f>
        <v>21-2107</v>
      </c>
      <c r="H16435" t="str">
        <f>"B"</f>
        <v>B</v>
      </c>
    </row>
    <row r="16436" spans="1:8" x14ac:dyDescent="0.2">
      <c r="A16436" t="str">
        <f t="shared" si="5953"/>
        <v>0613091296</v>
      </c>
      <c r="B16436" t="str">
        <f t="shared" si="5954"/>
        <v>SLOANE</v>
      </c>
      <c r="C16436" t="str">
        <f t="shared" si="5952"/>
        <v>STARKS</v>
      </c>
      <c r="D16436">
        <f>12</f>
        <v>12</v>
      </c>
      <c r="E16436" t="str">
        <f>"01 - A - 101 - Brian M Fitzgerald"</f>
        <v>01 - A - 101 - Brian M Fitzgerald</v>
      </c>
      <c r="F16436" t="str">
        <f>"CERAM/POT 1"</f>
        <v>CERAM/POT 1</v>
      </c>
      <c r="G16436" t="str">
        <f>"09-908"</f>
        <v>09-908</v>
      </c>
      <c r="H16436" t="str">
        <f>"A"</f>
        <v>A</v>
      </c>
    </row>
    <row r="16437" spans="1:8" x14ac:dyDescent="0.2">
      <c r="A16437" t="str">
        <f t="shared" si="5953"/>
        <v>0613091296</v>
      </c>
      <c r="B16437" t="str">
        <f t="shared" si="5954"/>
        <v>SLOANE</v>
      </c>
      <c r="C16437" t="str">
        <f t="shared" si="5952"/>
        <v>STARKS</v>
      </c>
      <c r="D16437">
        <f>12</f>
        <v>12</v>
      </c>
      <c r="E16437" t="str">
        <f>"08 - B - 101 - Jazmin S Fletcher"</f>
        <v>08 - B - 101 - Jazmin S Fletcher</v>
      </c>
      <c r="F16437" t="str">
        <f>"PRE-AICE DRAMA 1G"</f>
        <v>PRE-AICE DRAMA 1G</v>
      </c>
      <c r="G16437" t="str">
        <f>"09-909"</f>
        <v>09-909</v>
      </c>
      <c r="H16437" t="str">
        <f>"B"</f>
        <v>B</v>
      </c>
    </row>
    <row r="16438" spans="1:8" x14ac:dyDescent="0.2">
      <c r="A16438" t="str">
        <f t="shared" ref="A16438:A16445" si="5955">"0615032253"</f>
        <v>0615032253</v>
      </c>
      <c r="B16438" t="str">
        <f t="shared" ref="B16438:B16445" si="5956">"OLIVIYAL"</f>
        <v>OLIVIYAL</v>
      </c>
      <c r="C16438" t="str">
        <f t="shared" ref="C16438:C16445" si="5957">"STEEL"</f>
        <v>STEEL</v>
      </c>
      <c r="D16438">
        <f>10</f>
        <v>10</v>
      </c>
      <c r="E16438" t="str">
        <f>"04 - A - 203 - Cheryl L Beach"</f>
        <v>04 - A - 203 - Cheryl L Beach</v>
      </c>
      <c r="F16438" t="str">
        <f>"AICE ENV MGMNT AS"</f>
        <v>AICE ENV MGMNT AS</v>
      </c>
      <c r="G16438" t="str">
        <f>"08-811"</f>
        <v>08-811</v>
      </c>
      <c r="H16438" t="str">
        <f>"A"</f>
        <v>A</v>
      </c>
    </row>
    <row r="16439" spans="1:8" x14ac:dyDescent="0.2">
      <c r="A16439" t="str">
        <f t="shared" si="5955"/>
        <v>0615032253</v>
      </c>
      <c r="B16439" t="str">
        <f t="shared" si="5956"/>
        <v>OLIVIYAL</v>
      </c>
      <c r="C16439" t="str">
        <f t="shared" si="5957"/>
        <v>STEEL</v>
      </c>
      <c r="D16439">
        <f>10</f>
        <v>10</v>
      </c>
      <c r="E16439" t="str">
        <f>"06 - B - 104 - Robert H Rindner"</f>
        <v>06 - B - 104 - Robert H Rindner</v>
      </c>
      <c r="F16439" t="str">
        <f>"NC STUDY HALL 1"</f>
        <v>NC STUDY HALL 1</v>
      </c>
      <c r="G16439" t="str">
        <f>"21-2160"</f>
        <v>21-2160</v>
      </c>
      <c r="H16439" t="str">
        <f>"B"</f>
        <v>B</v>
      </c>
    </row>
    <row r="16440" spans="1:8" x14ac:dyDescent="0.2">
      <c r="A16440" t="str">
        <f t="shared" si="5955"/>
        <v>0615032253</v>
      </c>
      <c r="B16440" t="str">
        <f t="shared" si="5956"/>
        <v>OLIVIYAL</v>
      </c>
      <c r="C16440" t="str">
        <f t="shared" si="5957"/>
        <v>STEEL</v>
      </c>
      <c r="D16440">
        <f>10</f>
        <v>10</v>
      </c>
      <c r="E16440" t="str">
        <f>"03 - A - 201 - Alejandro  Navarro"</f>
        <v>03 - A - 201 - Alejandro  Navarro</v>
      </c>
      <c r="F16440" t="str">
        <f>"BAND 2"</f>
        <v>BAND 2</v>
      </c>
      <c r="G16440" t="str">
        <f>"05-504"</f>
        <v>05-504</v>
      </c>
      <c r="H16440" t="str">
        <f>"A"</f>
        <v>A</v>
      </c>
    </row>
    <row r="16441" spans="1:8" x14ac:dyDescent="0.2">
      <c r="A16441" t="str">
        <f t="shared" si="5955"/>
        <v>0615032253</v>
      </c>
      <c r="B16441" t="str">
        <f t="shared" si="5956"/>
        <v>OLIVIYAL</v>
      </c>
      <c r="C16441" t="str">
        <f t="shared" si="5957"/>
        <v>STEEL</v>
      </c>
      <c r="D16441">
        <f>10</f>
        <v>10</v>
      </c>
      <c r="E16441" t="str">
        <f>"02 - A - 205 - Emmily A Sarmiento"</f>
        <v>02 - A - 205 - Emmily A Sarmiento</v>
      </c>
      <c r="F16441" t="str">
        <f>"AICE GLBL PERSP 1 AS"</f>
        <v>AICE GLBL PERSP 1 AS</v>
      </c>
      <c r="G16441" t="str">
        <f>"17-1743"</f>
        <v>17-1743</v>
      </c>
      <c r="H16441" t="str">
        <f>"A"</f>
        <v>A</v>
      </c>
    </row>
    <row r="16442" spans="1:8" x14ac:dyDescent="0.2">
      <c r="A16442" t="str">
        <f t="shared" si="5955"/>
        <v>0615032253</v>
      </c>
      <c r="B16442" t="str">
        <f t="shared" si="5956"/>
        <v>OLIVIYAL</v>
      </c>
      <c r="C16442" t="str">
        <f t="shared" si="5957"/>
        <v>STEEL</v>
      </c>
      <c r="D16442">
        <f>10</f>
        <v>10</v>
      </c>
      <c r="E16442" t="str">
        <f>"07 - B - 201 - Alejandro  Navarro"</f>
        <v>07 - B - 201 - Alejandro  Navarro</v>
      </c>
      <c r="F16442" t="str">
        <f>"EURHY 2"</f>
        <v>EURHY 2</v>
      </c>
      <c r="G16442" t="str">
        <f>"05-504"</f>
        <v>05-504</v>
      </c>
      <c r="H16442" t="str">
        <f>"B"</f>
        <v>B</v>
      </c>
    </row>
    <row r="16443" spans="1:8" x14ac:dyDescent="0.2">
      <c r="A16443" t="str">
        <f t="shared" si="5955"/>
        <v>0615032253</v>
      </c>
      <c r="B16443" t="str">
        <f t="shared" si="5956"/>
        <v>OLIVIYAL</v>
      </c>
      <c r="C16443" t="str">
        <f t="shared" si="5957"/>
        <v>STEEL</v>
      </c>
      <c r="D16443">
        <f>10</f>
        <v>10</v>
      </c>
      <c r="E16443" t="str">
        <f>"05 - B - 106 - Courtney E Hambright"</f>
        <v>05 - B - 106 - Courtney E Hambright</v>
      </c>
      <c r="F16443" t="str">
        <f>"AICE ENG LANG AS"</f>
        <v>AICE ENG LANG AS</v>
      </c>
      <c r="G16443" t="str">
        <f>"17-1711"</f>
        <v>17-1711</v>
      </c>
      <c r="H16443" t="str">
        <f>"B"</f>
        <v>B</v>
      </c>
    </row>
    <row r="16444" spans="1:8" x14ac:dyDescent="0.2">
      <c r="A16444" t="str">
        <f t="shared" si="5955"/>
        <v>0615032253</v>
      </c>
      <c r="B16444" t="str">
        <f t="shared" si="5956"/>
        <v>OLIVIYAL</v>
      </c>
      <c r="C16444" t="str">
        <f t="shared" si="5957"/>
        <v>STEEL</v>
      </c>
      <c r="D16444">
        <f>10</f>
        <v>10</v>
      </c>
      <c r="E16444" t="str">
        <f>"01 - A - 101 - Lourivaldo  Da Silva"</f>
        <v>01 - A - 101 - Lourivaldo  Da Silva</v>
      </c>
      <c r="F16444" t="str">
        <f>"ALGEBRA 2 HON"</f>
        <v>ALGEBRA 2 HON</v>
      </c>
      <c r="G16444" t="str">
        <f>"20-2079"</f>
        <v>20-2079</v>
      </c>
      <c r="H16444" t="str">
        <f>"A"</f>
        <v>A</v>
      </c>
    </row>
    <row r="16445" spans="1:8" x14ac:dyDescent="0.2">
      <c r="A16445" t="str">
        <f t="shared" si="5955"/>
        <v>0615032253</v>
      </c>
      <c r="B16445" t="str">
        <f t="shared" si="5956"/>
        <v>OLIVIYAL</v>
      </c>
      <c r="C16445" t="str">
        <f t="shared" si="5957"/>
        <v>STEEL</v>
      </c>
      <c r="D16445">
        <f>10</f>
        <v>10</v>
      </c>
      <c r="E16445" t="str">
        <f>"08 - S1 - B - 001 - Carol S Moore"</f>
        <v>08 - S1 - B - 001 - Carol S Moore</v>
      </c>
      <c r="F16445" t="str">
        <f>"PER CAR SCH DEV 1 LH"</f>
        <v>PER CAR SCH DEV 1 LH</v>
      </c>
      <c r="G16445" t="str">
        <f>"17-1733"</f>
        <v>17-1733</v>
      </c>
      <c r="H16445" t="str">
        <f>"B"</f>
        <v>B</v>
      </c>
    </row>
    <row r="16446" spans="1:8" x14ac:dyDescent="0.2">
      <c r="A16446" t="str">
        <f t="shared" ref="A16446:A16453" si="5958">"0616002841"</f>
        <v>0616002841</v>
      </c>
      <c r="B16446" t="str">
        <f t="shared" ref="B16446:B16453" si="5959">"KHANEIL"</f>
        <v>KHANEIL</v>
      </c>
      <c r="C16446" t="str">
        <f t="shared" ref="C16446:C16453" si="5960">"STEELE"</f>
        <v>STEELE</v>
      </c>
      <c r="D16446">
        <f>10</f>
        <v>10</v>
      </c>
      <c r="E16446" t="str">
        <f>"04 - A - 102 - Fernando  Vega-Cid"</f>
        <v>04 - A - 102 - Fernando  Vega-Cid</v>
      </c>
      <c r="F16446" t="str">
        <f>"PRE-CALCULUS HON"</f>
        <v>PRE-CALCULUS HON</v>
      </c>
      <c r="G16446" t="str">
        <f>"21-2163"</f>
        <v>21-2163</v>
      </c>
      <c r="H16446" t="str">
        <f>"A"</f>
        <v>A</v>
      </c>
    </row>
    <row r="16447" spans="1:8" x14ac:dyDescent="0.2">
      <c r="A16447" t="str">
        <f t="shared" si="5958"/>
        <v>0616002841</v>
      </c>
      <c r="B16447" t="str">
        <f t="shared" si="5959"/>
        <v>KHANEIL</v>
      </c>
      <c r="C16447" t="str">
        <f t="shared" si="5960"/>
        <v>STEELE</v>
      </c>
      <c r="D16447">
        <f>10</f>
        <v>10</v>
      </c>
      <c r="E16447" t="str">
        <f>"06 - B - 107 - Dorothy D Moore"</f>
        <v>06 - B - 107 - Dorothy D Moore</v>
      </c>
      <c r="F16447" t="str">
        <f>"NC STUDY HALL 1"</f>
        <v>NC STUDY HALL 1</v>
      </c>
      <c r="G16447" t="str">
        <f>"08-803"</f>
        <v>08-803</v>
      </c>
      <c r="H16447" t="str">
        <f>"B"</f>
        <v>B</v>
      </c>
    </row>
    <row r="16448" spans="1:8" x14ac:dyDescent="0.2">
      <c r="A16448" t="str">
        <f t="shared" si="5958"/>
        <v>0616002841</v>
      </c>
      <c r="B16448" t="str">
        <f t="shared" si="5959"/>
        <v>KHANEIL</v>
      </c>
      <c r="C16448" t="str">
        <f t="shared" si="5960"/>
        <v>STEELE</v>
      </c>
      <c r="D16448">
        <f>10</f>
        <v>10</v>
      </c>
      <c r="E16448" t="str">
        <f>"03 - S1 - A - 103 - Richard E Dunbar Iii"</f>
        <v>03 - S1 - A - 103 - Richard E Dunbar Iii</v>
      </c>
      <c r="F16448" t="str">
        <f>"WEIGHT TRAIN 1"</f>
        <v>WEIGHT TRAIN 1</v>
      </c>
      <c r="G16448" t="str">
        <f>"05-501"</f>
        <v>05-501</v>
      </c>
      <c r="H16448" t="str">
        <f>"A"</f>
        <v>A</v>
      </c>
    </row>
    <row r="16449" spans="1:8" x14ac:dyDescent="0.2">
      <c r="A16449" t="str">
        <f t="shared" si="5958"/>
        <v>0616002841</v>
      </c>
      <c r="B16449" t="str">
        <f t="shared" si="5959"/>
        <v>KHANEIL</v>
      </c>
      <c r="C16449" t="str">
        <f t="shared" si="5960"/>
        <v>STEELE</v>
      </c>
      <c r="D16449">
        <f>10</f>
        <v>10</v>
      </c>
      <c r="E16449" t="str">
        <f>"02 - A - 104 - Scott A Dethloff"</f>
        <v>02 - A - 104 - Scott A Dethloff</v>
      </c>
      <c r="F16449" t="str">
        <f>"CHEMISTRY 1 HON"</f>
        <v>CHEMISTRY 1 HON</v>
      </c>
      <c r="G16449" t="str">
        <f>"08-812"</f>
        <v>08-812</v>
      </c>
      <c r="H16449" t="str">
        <f>"A"</f>
        <v>A</v>
      </c>
    </row>
    <row r="16450" spans="1:8" x14ac:dyDescent="0.2">
      <c r="A16450" t="str">
        <f t="shared" si="5958"/>
        <v>0616002841</v>
      </c>
      <c r="B16450" t="str">
        <f t="shared" si="5959"/>
        <v>KHANEIL</v>
      </c>
      <c r="C16450" t="str">
        <f t="shared" si="5960"/>
        <v>STEELE</v>
      </c>
      <c r="D16450">
        <f>10</f>
        <v>10</v>
      </c>
      <c r="E16450" t="str">
        <f>"07 - B - 204 - Elizabeth Ellen  Moran"</f>
        <v>07 - B - 204 - Elizabeth Ellen  Moran</v>
      </c>
      <c r="F16450" t="str">
        <f>"AICE EURO HIST 1 AS"</f>
        <v>AICE EURO HIST 1 AS</v>
      </c>
      <c r="G16450" t="str">
        <f>"17-1752"</f>
        <v>17-1752</v>
      </c>
      <c r="H16450" t="str">
        <f>"B"</f>
        <v>B</v>
      </c>
    </row>
    <row r="16451" spans="1:8" x14ac:dyDescent="0.2">
      <c r="A16451" t="str">
        <f t="shared" si="5958"/>
        <v>0616002841</v>
      </c>
      <c r="B16451" t="str">
        <f t="shared" si="5959"/>
        <v>KHANEIL</v>
      </c>
      <c r="C16451" t="str">
        <f t="shared" si="5960"/>
        <v>STEELE</v>
      </c>
      <c r="D16451">
        <f>10</f>
        <v>10</v>
      </c>
      <c r="E16451" t="str">
        <f>"05 - B - 103 - Eva T Rimmer"</f>
        <v>05 - B - 103 - Eva T Rimmer</v>
      </c>
      <c r="F16451" t="str">
        <f>"CRIMINAL JUST OPS 1"</f>
        <v>CRIMINAL JUST OPS 1</v>
      </c>
      <c r="G16451" t="str">
        <f>"05-523"</f>
        <v>05-523</v>
      </c>
      <c r="H16451" t="str">
        <f>"B"</f>
        <v>B</v>
      </c>
    </row>
    <row r="16452" spans="1:8" x14ac:dyDescent="0.2">
      <c r="A16452" t="str">
        <f t="shared" si="5958"/>
        <v>0616002841</v>
      </c>
      <c r="B16452" t="str">
        <f t="shared" si="5959"/>
        <v>KHANEIL</v>
      </c>
      <c r="C16452" t="str">
        <f t="shared" si="5960"/>
        <v>STEELE</v>
      </c>
      <c r="D16452">
        <f>10</f>
        <v>10</v>
      </c>
      <c r="E16452" t="str">
        <f>"01 - A - 101 - Courtney E Hambright"</f>
        <v>01 - A - 101 - Courtney E Hambright</v>
      </c>
      <c r="F16452" t="str">
        <f>"AICE ENG LANG AS"</f>
        <v>AICE ENG LANG AS</v>
      </c>
      <c r="G16452" t="str">
        <f>"17-1711"</f>
        <v>17-1711</v>
      </c>
      <c r="H16452" t="str">
        <f>"A"</f>
        <v>A</v>
      </c>
    </row>
    <row r="16453" spans="1:8" x14ac:dyDescent="0.2">
      <c r="A16453" t="str">
        <f t="shared" si="5958"/>
        <v>0616002841</v>
      </c>
      <c r="B16453" t="str">
        <f t="shared" si="5959"/>
        <v>KHANEIL</v>
      </c>
      <c r="C16453" t="str">
        <f t="shared" si="5960"/>
        <v>STEELE</v>
      </c>
      <c r="D16453">
        <f>10</f>
        <v>10</v>
      </c>
      <c r="E16453" t="str">
        <f>"08 - B - 201 - Stacey A Blecker"</f>
        <v>08 - B - 201 - Stacey A Blecker</v>
      </c>
      <c r="F16453" t="str">
        <f>"AICE SOCIOLOGY 1 AS"</f>
        <v>AICE SOCIOLOGY 1 AS</v>
      </c>
      <c r="G16453" t="str">
        <f>"09-926"</f>
        <v>09-926</v>
      </c>
      <c r="H16453" t="str">
        <f>"B"</f>
        <v>B</v>
      </c>
    </row>
    <row r="16454" spans="1:8" x14ac:dyDescent="0.2">
      <c r="A16454" t="str">
        <f t="shared" ref="A16454:A16461" si="5961">"0616104743"</f>
        <v>0616104743</v>
      </c>
      <c r="B16454" t="str">
        <f t="shared" ref="B16454:B16461" si="5962">"ZOE"</f>
        <v>ZOE</v>
      </c>
      <c r="C16454" t="str">
        <f t="shared" ref="C16454:C16461" si="5963">"STENGEL"</f>
        <v>STENGEL</v>
      </c>
      <c r="D16454" t="str">
        <f t="shared" ref="D16454:D16461" si="5964">"09"</f>
        <v>09</v>
      </c>
      <c r="E16454" t="str">
        <f>"04 - A - 201 - Norayda D Suarez"</f>
        <v>04 - A - 201 - Norayda D Suarez</v>
      </c>
      <c r="F16454" t="str">
        <f>"ANAT PHYSIO HON"</f>
        <v>ANAT PHYSIO HON</v>
      </c>
      <c r="G16454" t="str">
        <f>"21-2142"</f>
        <v>21-2142</v>
      </c>
      <c r="H16454" t="str">
        <f>"A"</f>
        <v>A</v>
      </c>
    </row>
    <row r="16455" spans="1:8" x14ac:dyDescent="0.2">
      <c r="A16455" t="str">
        <f t="shared" si="5961"/>
        <v>0616104743</v>
      </c>
      <c r="B16455" t="str">
        <f t="shared" si="5962"/>
        <v>ZOE</v>
      </c>
      <c r="C16455" t="str">
        <f t="shared" si="5963"/>
        <v>STENGEL</v>
      </c>
      <c r="D16455" t="str">
        <f t="shared" si="5964"/>
        <v>09</v>
      </c>
      <c r="E16455" t="str">
        <f>"06 - B - 105 - Cheryl L Beach"</f>
        <v>06 - B - 105 - Cheryl L Beach</v>
      </c>
      <c r="F16455" t="str">
        <f>"AICE ENV MGMNT AS"</f>
        <v>AICE ENV MGMNT AS</v>
      </c>
      <c r="G16455" t="str">
        <f>"08-811"</f>
        <v>08-811</v>
      </c>
      <c r="H16455" t="str">
        <f>"B"</f>
        <v>B</v>
      </c>
    </row>
    <row r="16456" spans="1:8" x14ac:dyDescent="0.2">
      <c r="A16456" t="str">
        <f t="shared" si="5961"/>
        <v>0616104743</v>
      </c>
      <c r="B16456" t="str">
        <f t="shared" si="5962"/>
        <v>ZOE</v>
      </c>
      <c r="C16456" t="str">
        <f t="shared" si="5963"/>
        <v>STENGEL</v>
      </c>
      <c r="D16456" t="str">
        <f t="shared" si="5964"/>
        <v>09</v>
      </c>
      <c r="E16456" t="str">
        <f>"03 - A - 203 - Elizabeth R Walker"</f>
        <v>03 - A - 203 - Elizabeth R Walker</v>
      </c>
      <c r="F16456" t="str">
        <f>"AICE ENG GEN PAPER 1"</f>
        <v>AICE ENG GEN PAPER 1</v>
      </c>
      <c r="G16456" t="str">
        <f>"17-1703"</f>
        <v>17-1703</v>
      </c>
      <c r="H16456" t="str">
        <f>"A"</f>
        <v>A</v>
      </c>
    </row>
    <row r="16457" spans="1:8" x14ac:dyDescent="0.2">
      <c r="A16457" t="str">
        <f t="shared" si="5961"/>
        <v>0616104743</v>
      </c>
      <c r="B16457" t="str">
        <f t="shared" si="5962"/>
        <v>ZOE</v>
      </c>
      <c r="C16457" t="str">
        <f t="shared" si="5963"/>
        <v>STENGEL</v>
      </c>
      <c r="D16457" t="str">
        <f t="shared" si="5964"/>
        <v>09</v>
      </c>
      <c r="E16457" t="str">
        <f>"02 - A - 108 - Rory T Sponsler"</f>
        <v>02 - A - 108 - Rory T Sponsler</v>
      </c>
      <c r="F16457" t="str">
        <f>"NC STUDY HALL 1"</f>
        <v>NC STUDY HALL 1</v>
      </c>
      <c r="G16457" t="str">
        <f>"17-1740"</f>
        <v>17-1740</v>
      </c>
      <c r="H16457" t="str">
        <f>"A"</f>
        <v>A</v>
      </c>
    </row>
    <row r="16458" spans="1:8" x14ac:dyDescent="0.2">
      <c r="A16458" t="str">
        <f t="shared" si="5961"/>
        <v>0616104743</v>
      </c>
      <c r="B16458" t="str">
        <f t="shared" si="5962"/>
        <v>ZOE</v>
      </c>
      <c r="C16458" t="str">
        <f t="shared" si="5963"/>
        <v>STENGEL</v>
      </c>
      <c r="D16458" t="str">
        <f t="shared" si="5964"/>
        <v>09</v>
      </c>
      <c r="E16458" t="str">
        <f>"07 - B - 107 - Rosa Elaine  Collado-Duff"</f>
        <v>07 - B - 107 - Rosa Elaine  Collado-Duff</v>
      </c>
      <c r="F16458" t="str">
        <f>"PRE-AICE SPAN 2 IG"</f>
        <v>PRE-AICE SPAN 2 IG</v>
      </c>
      <c r="G16458" t="str">
        <f>"09-913"</f>
        <v>09-913</v>
      </c>
      <c r="H16458" t="str">
        <f>"B"</f>
        <v>B</v>
      </c>
    </row>
    <row r="16459" spans="1:8" x14ac:dyDescent="0.2">
      <c r="A16459" t="str">
        <f t="shared" si="5961"/>
        <v>0616104743</v>
      </c>
      <c r="B16459" t="str">
        <f t="shared" si="5962"/>
        <v>ZOE</v>
      </c>
      <c r="C16459" t="str">
        <f t="shared" si="5963"/>
        <v>STENGEL</v>
      </c>
      <c r="D16459" t="str">
        <f t="shared" si="5964"/>
        <v>09</v>
      </c>
      <c r="E16459" t="str">
        <f>"05 - B - 103 - Josiah I Lacy"</f>
        <v>05 - B - 103 - Josiah I Lacy</v>
      </c>
      <c r="F16459" t="str">
        <f>"PRE-AICE BIO IG"</f>
        <v>PRE-AICE BIO IG</v>
      </c>
      <c r="G16459" t="str">
        <f>"08-801"</f>
        <v>08-801</v>
      </c>
      <c r="H16459" t="str">
        <f>"B"</f>
        <v>B</v>
      </c>
    </row>
    <row r="16460" spans="1:8" x14ac:dyDescent="0.2">
      <c r="A16460" t="str">
        <f t="shared" si="5961"/>
        <v>0616104743</v>
      </c>
      <c r="B16460" t="str">
        <f t="shared" si="5962"/>
        <v>ZOE</v>
      </c>
      <c r="C16460" t="str">
        <f t="shared" si="5963"/>
        <v>STENGEL</v>
      </c>
      <c r="D16460" t="str">
        <f t="shared" si="5964"/>
        <v>09</v>
      </c>
      <c r="E16460" t="str">
        <f>"01 - A - 002 - Krystal Marie  Beruty"</f>
        <v>01 - A - 002 - Krystal Marie  Beruty</v>
      </c>
      <c r="F16460" t="str">
        <f>"AICE GLBL PERSP 1 AS"</f>
        <v>AICE GLBL PERSP 1 AS</v>
      </c>
      <c r="G16460" t="str">
        <f>"17-1721"</f>
        <v>17-1721</v>
      </c>
      <c r="H16460" t="str">
        <f>"A"</f>
        <v>A</v>
      </c>
    </row>
    <row r="16461" spans="1:8" x14ac:dyDescent="0.2">
      <c r="A16461" t="str">
        <f t="shared" si="5961"/>
        <v>0616104743</v>
      </c>
      <c r="B16461" t="str">
        <f t="shared" si="5962"/>
        <v>ZOE</v>
      </c>
      <c r="C16461" t="str">
        <f t="shared" si="5963"/>
        <v>STENGEL</v>
      </c>
      <c r="D16461" t="str">
        <f t="shared" si="5964"/>
        <v>09</v>
      </c>
      <c r="E16461" t="str">
        <f>"08 - B - 102 - Maried P Ramos"</f>
        <v>08 - B - 102 - Maried P Ramos</v>
      </c>
      <c r="F16461" t="str">
        <f>"ALGEBRA 2 HON"</f>
        <v>ALGEBRA 2 HON</v>
      </c>
      <c r="G16461" t="str">
        <f>"21-2159"</f>
        <v>21-2159</v>
      </c>
      <c r="H16461" t="str">
        <f>"B"</f>
        <v>B</v>
      </c>
    </row>
    <row r="16462" spans="1:8" x14ac:dyDescent="0.2">
      <c r="A16462" t="str">
        <f t="shared" ref="A16462:A16469" si="5965">"0618005976"</f>
        <v>0618005976</v>
      </c>
      <c r="B16462" t="str">
        <f t="shared" ref="B16462:B16469" si="5966">"EDREIN"</f>
        <v>EDREIN</v>
      </c>
      <c r="C16462" t="str">
        <f t="shared" ref="C16462:C16469" si="5967">"STENORD"</f>
        <v>STENORD</v>
      </c>
      <c r="D16462">
        <f>10</f>
        <v>10</v>
      </c>
      <c r="E16462" t="str">
        <f>"04 - A - 004 - Krystal Marie  Beruty"</f>
        <v>04 - A - 004 - Krystal Marie  Beruty</v>
      </c>
      <c r="F16462" t="str">
        <f>"AICE GLBL PERSP 1 AS"</f>
        <v>AICE GLBL PERSP 1 AS</v>
      </c>
      <c r="G16462" t="str">
        <f>"17-1721"</f>
        <v>17-1721</v>
      </c>
      <c r="H16462" t="str">
        <f>"A"</f>
        <v>A</v>
      </c>
    </row>
    <row r="16463" spans="1:8" x14ac:dyDescent="0.2">
      <c r="A16463" t="str">
        <f t="shared" si="5965"/>
        <v>0618005976</v>
      </c>
      <c r="B16463" t="str">
        <f t="shared" si="5966"/>
        <v>EDREIN</v>
      </c>
      <c r="C16463" t="str">
        <f t="shared" si="5967"/>
        <v>STENORD</v>
      </c>
      <c r="D16463">
        <f>10</f>
        <v>10</v>
      </c>
      <c r="E16463" t="str">
        <f>"06 - B - 112 - Tina M Jaramillo"</f>
        <v>06 - B - 112 - Tina M Jaramillo</v>
      </c>
      <c r="F16463" t="str">
        <f>"NC STUDY HALL 1"</f>
        <v>NC STUDY HALL 1</v>
      </c>
      <c r="G16463" t="str">
        <f>"17-1706"</f>
        <v>17-1706</v>
      </c>
      <c r="H16463" t="str">
        <f>"B"</f>
        <v>B</v>
      </c>
    </row>
    <row r="16464" spans="1:8" x14ac:dyDescent="0.2">
      <c r="A16464" t="str">
        <f t="shared" si="5965"/>
        <v>0618005976</v>
      </c>
      <c r="B16464" t="str">
        <f t="shared" si="5966"/>
        <v>EDREIN</v>
      </c>
      <c r="C16464" t="str">
        <f t="shared" si="5967"/>
        <v>STENORD</v>
      </c>
      <c r="D16464">
        <f>10</f>
        <v>10</v>
      </c>
      <c r="E16464" t="str">
        <f>"03 - A - 202 - Cheryl L Beach"</f>
        <v>03 - A - 202 - Cheryl L Beach</v>
      </c>
      <c r="F16464" t="str">
        <f>"AICE ENV MGMNT AS"</f>
        <v>AICE ENV MGMNT AS</v>
      </c>
      <c r="G16464" t="str">
        <f>"08-811"</f>
        <v>08-811</v>
      </c>
      <c r="H16464" t="str">
        <f>"A"</f>
        <v>A</v>
      </c>
    </row>
    <row r="16465" spans="1:8" x14ac:dyDescent="0.2">
      <c r="A16465" t="str">
        <f t="shared" si="5965"/>
        <v>0618005976</v>
      </c>
      <c r="B16465" t="str">
        <f t="shared" si="5966"/>
        <v>EDREIN</v>
      </c>
      <c r="C16465" t="str">
        <f t="shared" si="5967"/>
        <v>STENORD</v>
      </c>
      <c r="D16465">
        <f>10</f>
        <v>10</v>
      </c>
      <c r="E16465" t="str">
        <f>"02 - S1 - A - 102 - Richard E Dunbar Iii"</f>
        <v>02 - S1 - A - 102 - Richard E Dunbar Iii</v>
      </c>
      <c r="F16465" t="str">
        <f>"WEIGHT TRAIN 1"</f>
        <v>WEIGHT TRAIN 1</v>
      </c>
      <c r="G16465" t="str">
        <f>"05-501"</f>
        <v>05-501</v>
      </c>
      <c r="H16465" t="str">
        <f>"A"</f>
        <v>A</v>
      </c>
    </row>
    <row r="16466" spans="1:8" x14ac:dyDescent="0.2">
      <c r="A16466" t="str">
        <f t="shared" si="5965"/>
        <v>0618005976</v>
      </c>
      <c r="B16466" t="str">
        <f t="shared" si="5966"/>
        <v>EDREIN</v>
      </c>
      <c r="C16466" t="str">
        <f t="shared" si="5967"/>
        <v>STENORD</v>
      </c>
      <c r="D16466">
        <f>10</f>
        <v>10</v>
      </c>
      <c r="E16466" t="str">
        <f>"07 - B - 101 - Samantha L Martinez"</f>
        <v>07 - B - 101 - Samantha L Martinez</v>
      </c>
      <c r="F16466" t="str">
        <f>"KEYBD 1"</f>
        <v>KEYBD 1</v>
      </c>
      <c r="G16466" t="str">
        <f>"05-505"</f>
        <v>05-505</v>
      </c>
      <c r="H16466" t="str">
        <f>"B"</f>
        <v>B</v>
      </c>
    </row>
    <row r="16467" spans="1:8" x14ac:dyDescent="0.2">
      <c r="A16467" t="str">
        <f t="shared" si="5965"/>
        <v>0618005976</v>
      </c>
      <c r="B16467" t="str">
        <f t="shared" si="5966"/>
        <v>EDREIN</v>
      </c>
      <c r="C16467" t="str">
        <f t="shared" si="5967"/>
        <v>STENORD</v>
      </c>
      <c r="D16467">
        <f>10</f>
        <v>10</v>
      </c>
      <c r="E16467" t="str">
        <f>"05 - B - 108 - James H Mccann"</f>
        <v>05 - B - 108 - James H Mccann</v>
      </c>
      <c r="F16467" t="str">
        <f>"ALGEBRA 2"</f>
        <v>ALGEBRA 2</v>
      </c>
      <c r="G16467" t="str">
        <f>"17-1716"</f>
        <v>17-1716</v>
      </c>
      <c r="H16467" t="str">
        <f>"B"</f>
        <v>B</v>
      </c>
    </row>
    <row r="16468" spans="1:8" x14ac:dyDescent="0.2">
      <c r="A16468" t="str">
        <f t="shared" si="5965"/>
        <v>0618005976</v>
      </c>
      <c r="B16468" t="str">
        <f t="shared" si="5966"/>
        <v>EDREIN</v>
      </c>
      <c r="C16468" t="str">
        <f t="shared" si="5967"/>
        <v>STENORD</v>
      </c>
      <c r="D16468">
        <f>10</f>
        <v>10</v>
      </c>
      <c r="E16468" t="str">
        <f>"01 - A - 101 - Jacquelyn M Neeson"</f>
        <v>01 - A - 101 - Jacquelyn M Neeson</v>
      </c>
      <c r="F16468" t="str">
        <f>"AICE ENG GEN PAPER 1"</f>
        <v>AICE ENG GEN PAPER 1</v>
      </c>
      <c r="G16468" t="str">
        <f>"17-1715"</f>
        <v>17-1715</v>
      </c>
      <c r="H16468" t="str">
        <f>"A"</f>
        <v>A</v>
      </c>
    </row>
    <row r="16469" spans="1:8" x14ac:dyDescent="0.2">
      <c r="A16469" t="str">
        <f t="shared" si="5965"/>
        <v>0618005976</v>
      </c>
      <c r="B16469" t="str">
        <f t="shared" si="5966"/>
        <v>EDREIN</v>
      </c>
      <c r="C16469" t="str">
        <f t="shared" si="5967"/>
        <v>STENORD</v>
      </c>
      <c r="D16469">
        <f>10</f>
        <v>10</v>
      </c>
      <c r="E16469" t="str">
        <f>"08 - S1 - B - 105 - James H Mccann"</f>
        <v>08 - S1 - B - 105 - James H Mccann</v>
      </c>
      <c r="F16469" t="str">
        <f>"PERS FIN &amp; MON MGT H"</f>
        <v>PERS FIN &amp; MON MGT H</v>
      </c>
      <c r="G16469" t="str">
        <f>"17-1716"</f>
        <v>17-1716</v>
      </c>
      <c r="H16469" t="str">
        <f>"B"</f>
        <v>B</v>
      </c>
    </row>
    <row r="16470" spans="1:8" x14ac:dyDescent="0.2">
      <c r="A16470" t="str">
        <f t="shared" ref="A16470:A16477" si="5968">"0612117914"</f>
        <v>0612117914</v>
      </c>
      <c r="B16470" t="str">
        <f t="shared" ref="B16470:B16477" si="5969">"JAZMINE"</f>
        <v>JAZMINE</v>
      </c>
      <c r="C16470" t="str">
        <f t="shared" ref="C16470:C16477" si="5970">"STEPHEN"</f>
        <v>STEPHEN</v>
      </c>
      <c r="D16470">
        <f>10</f>
        <v>10</v>
      </c>
      <c r="E16470" t="str">
        <f>"04 - A - 105 - Jacquelyn M Neeson"</f>
        <v>04 - A - 105 - Jacquelyn M Neeson</v>
      </c>
      <c r="F16470" t="str">
        <f>"ENG 2"</f>
        <v>ENG 2</v>
      </c>
      <c r="G16470" t="str">
        <f>"17-1715"</f>
        <v>17-1715</v>
      </c>
      <c r="H16470" t="str">
        <f>"A"</f>
        <v>A</v>
      </c>
    </row>
    <row r="16471" spans="1:8" x14ac:dyDescent="0.2">
      <c r="A16471" t="str">
        <f t="shared" si="5968"/>
        <v>0612117914</v>
      </c>
      <c r="B16471" t="str">
        <f t="shared" si="5969"/>
        <v>JAZMINE</v>
      </c>
      <c r="C16471" t="str">
        <f t="shared" si="5970"/>
        <v>STEPHEN</v>
      </c>
      <c r="D16471">
        <f>10</f>
        <v>10</v>
      </c>
      <c r="E16471" t="str">
        <f>"06 - B - 002 - Lenecy  Nodarse"</f>
        <v>06 - B - 002 - Lenecy  Nodarse</v>
      </c>
      <c r="F16471" t="str">
        <f>"NC STUDY HALL 1"</f>
        <v>NC STUDY HALL 1</v>
      </c>
      <c r="G16471" t="str">
        <f>"17-1741"</f>
        <v>17-1741</v>
      </c>
      <c r="H16471" t="str">
        <f>"B"</f>
        <v>B</v>
      </c>
    </row>
    <row r="16472" spans="1:8" x14ac:dyDescent="0.2">
      <c r="A16472" t="str">
        <f t="shared" si="5968"/>
        <v>0612117914</v>
      </c>
      <c r="B16472" t="str">
        <f t="shared" si="5969"/>
        <v>JAZMINE</v>
      </c>
      <c r="C16472" t="str">
        <f t="shared" si="5970"/>
        <v>STEPHEN</v>
      </c>
      <c r="D16472">
        <f>10</f>
        <v>10</v>
      </c>
      <c r="E16472" t="str">
        <f>"03 - A - 103 - Marius D Orsolini"</f>
        <v>03 - A - 103 - Marius D Orsolini</v>
      </c>
      <c r="F16472" t="str">
        <f>"CULINARY ARTS 1"</f>
        <v>CULINARY ARTS 1</v>
      </c>
      <c r="G16472" t="str">
        <f>"21-2115"</f>
        <v>21-2115</v>
      </c>
      <c r="H16472" t="str">
        <f>"A"</f>
        <v>A</v>
      </c>
    </row>
    <row r="16473" spans="1:8" x14ac:dyDescent="0.2">
      <c r="A16473" t="str">
        <f t="shared" si="5968"/>
        <v>0612117914</v>
      </c>
      <c r="B16473" t="str">
        <f t="shared" si="5969"/>
        <v>JAZMINE</v>
      </c>
      <c r="C16473" t="str">
        <f t="shared" si="5970"/>
        <v>STEPHEN</v>
      </c>
      <c r="D16473">
        <f>10</f>
        <v>10</v>
      </c>
      <c r="E16473" t="str">
        <f>"02 - S1 - A - 101 - James H Mccann"</f>
        <v>02 - S1 - A - 101 - James H Mccann</v>
      </c>
      <c r="F16473" t="str">
        <f>"PERS FIN &amp; MON MGT H"</f>
        <v>PERS FIN &amp; MON MGT H</v>
      </c>
      <c r="G16473" t="str">
        <f>"17-1716"</f>
        <v>17-1716</v>
      </c>
      <c r="H16473" t="str">
        <f>"A"</f>
        <v>A</v>
      </c>
    </row>
    <row r="16474" spans="1:8" x14ac:dyDescent="0.2">
      <c r="A16474" t="str">
        <f t="shared" si="5968"/>
        <v>0612117914</v>
      </c>
      <c r="B16474" t="str">
        <f t="shared" si="5969"/>
        <v>JAZMINE</v>
      </c>
      <c r="C16474" t="str">
        <f t="shared" si="5970"/>
        <v>STEPHEN</v>
      </c>
      <c r="D16474">
        <f>10</f>
        <v>10</v>
      </c>
      <c r="E16474" t="str">
        <f>"07 - B - 107 - Milca  Exantus"</f>
        <v>07 - B - 107 - Milca  Exantus</v>
      </c>
      <c r="F16474" t="str">
        <f>"MATH COLLEGE LIB ART"</f>
        <v>MATH COLLEGE LIB ART</v>
      </c>
      <c r="G16474" t="str">
        <f>"21-2145"</f>
        <v>21-2145</v>
      </c>
      <c r="H16474" t="str">
        <f>"B"</f>
        <v>B</v>
      </c>
    </row>
    <row r="16475" spans="1:8" x14ac:dyDescent="0.2">
      <c r="A16475" t="str">
        <f t="shared" si="5968"/>
        <v>0612117914</v>
      </c>
      <c r="B16475" t="str">
        <f t="shared" si="5969"/>
        <v>JAZMINE</v>
      </c>
      <c r="C16475" t="str">
        <f t="shared" si="5970"/>
        <v>STEPHEN</v>
      </c>
      <c r="D16475">
        <f>10</f>
        <v>10</v>
      </c>
      <c r="E16475" t="str">
        <f>"05 - B - 105 - Taraneh C Abreu"</f>
        <v>05 - B - 105 - Taraneh C Abreu</v>
      </c>
      <c r="F16475" t="str">
        <f>"INTENS READ 2"</f>
        <v>INTENS READ 2</v>
      </c>
      <c r="G16475" t="str">
        <f>"17-1713"</f>
        <v>17-1713</v>
      </c>
      <c r="H16475" t="str">
        <f>"B"</f>
        <v>B</v>
      </c>
    </row>
    <row r="16476" spans="1:8" x14ac:dyDescent="0.2">
      <c r="A16476" t="str">
        <f t="shared" si="5968"/>
        <v>0612117914</v>
      </c>
      <c r="B16476" t="str">
        <f t="shared" si="5969"/>
        <v>JAZMINE</v>
      </c>
      <c r="C16476" t="str">
        <f t="shared" si="5970"/>
        <v>STEPHEN</v>
      </c>
      <c r="D16476">
        <f>10</f>
        <v>10</v>
      </c>
      <c r="E16476" t="str">
        <f>"01 - A - 102 - Lytrell T Dixon"</f>
        <v>01 - A - 102 - Lytrell T Dixon</v>
      </c>
      <c r="F16476" t="str">
        <f>"BIOLOGY 1"</f>
        <v>BIOLOGY 1</v>
      </c>
      <c r="G16476" t="str">
        <f>"08-808"</f>
        <v>08-808</v>
      </c>
      <c r="H16476" t="str">
        <f>"A"</f>
        <v>A</v>
      </c>
    </row>
    <row r="16477" spans="1:8" x14ac:dyDescent="0.2">
      <c r="A16477" t="str">
        <f t="shared" si="5968"/>
        <v>0612117914</v>
      </c>
      <c r="B16477" t="str">
        <f t="shared" si="5969"/>
        <v>JAZMINE</v>
      </c>
      <c r="C16477" t="str">
        <f t="shared" si="5970"/>
        <v>STEPHEN</v>
      </c>
      <c r="D16477">
        <f>10</f>
        <v>10</v>
      </c>
      <c r="E16477" t="str">
        <f>"08 - B - 101 - Alejandro  Navarro"</f>
        <v>08 - B - 101 - Alejandro  Navarro</v>
      </c>
      <c r="F16477" t="str">
        <f>"GUITAR 1"</f>
        <v>GUITAR 1</v>
      </c>
      <c r="G16477" t="str">
        <f>"05-504"</f>
        <v>05-504</v>
      </c>
      <c r="H16477" t="str">
        <f>"B"</f>
        <v>B</v>
      </c>
    </row>
    <row r="16478" spans="1:8" x14ac:dyDescent="0.2">
      <c r="A16478" t="str">
        <f t="shared" ref="A16478:A16485" si="5971">"0616057719"</f>
        <v>0616057719</v>
      </c>
      <c r="B16478" t="str">
        <f t="shared" ref="B16478:B16485" si="5972">"JAYDEN"</f>
        <v>JAYDEN</v>
      </c>
      <c r="C16478" t="str">
        <f t="shared" ref="C16478:C16485" si="5973">"STEPHENE"</f>
        <v>STEPHENE</v>
      </c>
      <c r="D16478" t="str">
        <f t="shared" ref="D16478:D16485" si="5974">"09"</f>
        <v>09</v>
      </c>
      <c r="E16478" t="str">
        <f>"04 - A - 102 - Eva T Rimmer"</f>
        <v>04 - A - 102 - Eva T Rimmer</v>
      </c>
      <c r="F16478" t="str">
        <f>"CRIMINAL JUST OPS 1"</f>
        <v>CRIMINAL JUST OPS 1</v>
      </c>
      <c r="G16478" t="str">
        <f>"05-523"</f>
        <v>05-523</v>
      </c>
      <c r="H16478" t="str">
        <f>"A"</f>
        <v>A</v>
      </c>
    </row>
    <row r="16479" spans="1:8" x14ac:dyDescent="0.2">
      <c r="A16479" t="str">
        <f t="shared" si="5971"/>
        <v>0616057719</v>
      </c>
      <c r="B16479" t="str">
        <f t="shared" si="5972"/>
        <v>JAYDEN</v>
      </c>
      <c r="C16479" t="str">
        <f t="shared" si="5973"/>
        <v>STEPHENE</v>
      </c>
      <c r="D16479" t="str">
        <f t="shared" si="5974"/>
        <v>09</v>
      </c>
      <c r="E16479" t="str">
        <f>"06 - B - 104 - Rory T Sponsler"</f>
        <v>06 - B - 104 - Rory T Sponsler</v>
      </c>
      <c r="F16479" t="str">
        <f>"PRE-AICE WRLD HST IG"</f>
        <v>PRE-AICE WRLD HST IG</v>
      </c>
      <c r="G16479" t="str">
        <f>"17-1740"</f>
        <v>17-1740</v>
      </c>
      <c r="H16479" t="str">
        <f>"B"</f>
        <v>B</v>
      </c>
    </row>
    <row r="16480" spans="1:8" x14ac:dyDescent="0.2">
      <c r="A16480" t="str">
        <f t="shared" si="5971"/>
        <v>0616057719</v>
      </c>
      <c r="B16480" t="str">
        <f t="shared" si="5972"/>
        <v>JAYDEN</v>
      </c>
      <c r="C16480" t="str">
        <f t="shared" si="5973"/>
        <v>STEPHENE</v>
      </c>
      <c r="D16480" t="str">
        <f t="shared" si="5974"/>
        <v>09</v>
      </c>
      <c r="E16480" t="str">
        <f>"03 - A - 005 - Cerine S Stewart"</f>
        <v>03 - A - 005 - Cerine S Stewart</v>
      </c>
      <c r="F16480" t="str">
        <f>"AICE ENG GEN PAPER 1"</f>
        <v>AICE ENG GEN PAPER 1</v>
      </c>
      <c r="G16480" t="str">
        <f>"17-1720"</f>
        <v>17-1720</v>
      </c>
      <c r="H16480" t="str">
        <f>"A"</f>
        <v>A</v>
      </c>
    </row>
    <row r="16481" spans="1:8" x14ac:dyDescent="0.2">
      <c r="A16481" t="str">
        <f t="shared" si="5971"/>
        <v>0616057719</v>
      </c>
      <c r="B16481" t="str">
        <f t="shared" si="5972"/>
        <v>JAYDEN</v>
      </c>
      <c r="C16481" t="str">
        <f t="shared" si="5973"/>
        <v>STEPHENE</v>
      </c>
      <c r="D16481" t="str">
        <f t="shared" si="5974"/>
        <v>09</v>
      </c>
      <c r="E16481" t="str">
        <f>"02 - A - 116 - Tina L Lovett"</f>
        <v>02 - A - 116 - Tina L Lovett</v>
      </c>
      <c r="F16481" t="str">
        <f>"NC STUDY HALL 1"</f>
        <v>NC STUDY HALL 1</v>
      </c>
      <c r="G16481" t="str">
        <f>"21-2153"</f>
        <v>21-2153</v>
      </c>
      <c r="H16481" t="str">
        <f>"A"</f>
        <v>A</v>
      </c>
    </row>
    <row r="16482" spans="1:8" x14ac:dyDescent="0.2">
      <c r="A16482" t="str">
        <f t="shared" si="5971"/>
        <v>0616057719</v>
      </c>
      <c r="B16482" t="str">
        <f t="shared" si="5972"/>
        <v>JAYDEN</v>
      </c>
      <c r="C16482" t="str">
        <f t="shared" si="5973"/>
        <v>STEPHENE</v>
      </c>
      <c r="D16482" t="str">
        <f t="shared" si="5974"/>
        <v>09</v>
      </c>
      <c r="E16482" t="str">
        <f>"07 - B - 001 - Maried P Ramos"</f>
        <v>07 - B - 001 - Maried P Ramos</v>
      </c>
      <c r="F16482" t="str">
        <f>"GEOMETRY"</f>
        <v>GEOMETRY</v>
      </c>
      <c r="G16482" t="str">
        <f>"21-2159"</f>
        <v>21-2159</v>
      </c>
      <c r="H16482" t="str">
        <f>"B"</f>
        <v>B</v>
      </c>
    </row>
    <row r="16483" spans="1:8" x14ac:dyDescent="0.2">
      <c r="A16483" t="str">
        <f t="shared" si="5971"/>
        <v>0616057719</v>
      </c>
      <c r="B16483" t="str">
        <f t="shared" si="5972"/>
        <v>JAYDEN</v>
      </c>
      <c r="C16483" t="str">
        <f t="shared" si="5973"/>
        <v>STEPHENE</v>
      </c>
      <c r="D16483" t="str">
        <f t="shared" si="5974"/>
        <v>09</v>
      </c>
      <c r="E16483" t="str">
        <f>"05 - S1 - B - 102 - Richard E Dunbar Iii"</f>
        <v>05 - S1 - B - 102 - Richard E Dunbar Iii</v>
      </c>
      <c r="F16483" t="str">
        <f>"TEAM SPORTS 1"</f>
        <v>TEAM SPORTS 1</v>
      </c>
      <c r="G16483" t="str">
        <f>"04-254"</f>
        <v>04-254</v>
      </c>
      <c r="H16483" t="str">
        <f>"B"</f>
        <v>B</v>
      </c>
    </row>
    <row r="16484" spans="1:8" x14ac:dyDescent="0.2">
      <c r="A16484" t="str">
        <f t="shared" si="5971"/>
        <v>0616057719</v>
      </c>
      <c r="B16484" t="str">
        <f t="shared" si="5972"/>
        <v>JAYDEN</v>
      </c>
      <c r="C16484" t="str">
        <f t="shared" si="5973"/>
        <v>STEPHENE</v>
      </c>
      <c r="D16484" t="str">
        <f t="shared" si="5974"/>
        <v>09</v>
      </c>
      <c r="E16484" t="str">
        <f>"01 - S1 - A - 101 - Leslie J Barton"</f>
        <v>01 - S1 - A - 101 - Leslie J Barton</v>
      </c>
      <c r="F16484" t="str">
        <f>"FIRST AID SAFETY"</f>
        <v>FIRST AID SAFETY</v>
      </c>
      <c r="G16484" t="str">
        <f>"05-521"</f>
        <v>05-521</v>
      </c>
      <c r="H16484" t="str">
        <f>"A"</f>
        <v>A</v>
      </c>
    </row>
    <row r="16485" spans="1:8" x14ac:dyDescent="0.2">
      <c r="A16485" t="str">
        <f t="shared" si="5971"/>
        <v>0616057719</v>
      </c>
      <c r="B16485" t="str">
        <f t="shared" si="5972"/>
        <v>JAYDEN</v>
      </c>
      <c r="C16485" t="str">
        <f t="shared" si="5973"/>
        <v>STEPHENE</v>
      </c>
      <c r="D16485" t="str">
        <f t="shared" si="5974"/>
        <v>09</v>
      </c>
      <c r="E16485" t="str">
        <f>"08 - B - 202 - Dorothy D Moore"</f>
        <v>08 - B - 202 - Dorothy D Moore</v>
      </c>
      <c r="F16485" t="str">
        <f>"HEALTH SCI 1/A&amp;P HON"</f>
        <v>HEALTH SCI 1/A&amp;P HON</v>
      </c>
      <c r="G16485" t="str">
        <f>"08-803"</f>
        <v>08-803</v>
      </c>
      <c r="H16485" t="str">
        <f>"B"</f>
        <v>B</v>
      </c>
    </row>
    <row r="16486" spans="1:8" x14ac:dyDescent="0.2">
      <c r="A16486" t="str">
        <f t="shared" ref="A16486:A16493" si="5975">"0617021604"</f>
        <v>0617021604</v>
      </c>
      <c r="B16486" t="str">
        <f t="shared" ref="B16486:B16493" si="5976">"RILEY"</f>
        <v>RILEY</v>
      </c>
      <c r="C16486" t="str">
        <f t="shared" ref="C16486:C16493" si="5977">"STEPHENSON"</f>
        <v>STEPHENSON</v>
      </c>
      <c r="D16486">
        <f>11</f>
        <v>11</v>
      </c>
      <c r="E16486" t="str">
        <f>"04 - A - 102 - Lisa J London"</f>
        <v>04 - A - 102 - Lisa J London</v>
      </c>
      <c r="F16486" t="str">
        <f>"AP CAPSTONE SEMINAR"</f>
        <v>AP CAPSTONE SEMINAR</v>
      </c>
      <c r="G16486" t="str">
        <f>"17-1714"</f>
        <v>17-1714</v>
      </c>
      <c r="H16486" t="str">
        <f>"A"</f>
        <v>A</v>
      </c>
    </row>
    <row r="16487" spans="1:8" x14ac:dyDescent="0.2">
      <c r="A16487" t="str">
        <f t="shared" si="5975"/>
        <v>0617021604</v>
      </c>
      <c r="B16487" t="str">
        <f t="shared" si="5976"/>
        <v>RILEY</v>
      </c>
      <c r="C16487" t="str">
        <f t="shared" si="5977"/>
        <v>STEPHENSON</v>
      </c>
      <c r="D16487">
        <f>11</f>
        <v>11</v>
      </c>
      <c r="E16487" t="str">
        <f>"06 - B - 001 - Lourivaldo  Da Silva"</f>
        <v>06 - B - 001 - Lourivaldo  Da Silva</v>
      </c>
      <c r="F16487" t="str">
        <f>"PRE-CALCULUS HON"</f>
        <v>PRE-CALCULUS HON</v>
      </c>
      <c r="G16487" t="str">
        <f>"20-2079"</f>
        <v>20-2079</v>
      </c>
      <c r="H16487" t="str">
        <f>"B"</f>
        <v>B</v>
      </c>
    </row>
    <row r="16488" spans="1:8" x14ac:dyDescent="0.2">
      <c r="A16488" t="str">
        <f t="shared" si="5975"/>
        <v>0617021604</v>
      </c>
      <c r="B16488" t="str">
        <f t="shared" si="5976"/>
        <v>RILEY</v>
      </c>
      <c r="C16488" t="str">
        <f t="shared" si="5977"/>
        <v>STEPHENSON</v>
      </c>
      <c r="D16488">
        <f>11</f>
        <v>11</v>
      </c>
      <c r="E16488" t="str">
        <f>"03 - A - 102 - Tina M Jaramillo"</f>
        <v>03 - A - 102 - Tina M Jaramillo</v>
      </c>
      <c r="F16488" t="str">
        <f>"AP ENG COMPO"</f>
        <v>AP ENG COMPO</v>
      </c>
      <c r="G16488" t="str">
        <f>"17-1706"</f>
        <v>17-1706</v>
      </c>
      <c r="H16488" t="str">
        <f>"A"</f>
        <v>A</v>
      </c>
    </row>
    <row r="16489" spans="1:8" x14ac:dyDescent="0.2">
      <c r="A16489" t="str">
        <f t="shared" si="5975"/>
        <v>0617021604</v>
      </c>
      <c r="B16489" t="str">
        <f t="shared" si="5976"/>
        <v>RILEY</v>
      </c>
      <c r="C16489" t="str">
        <f t="shared" si="5977"/>
        <v>STEPHENSON</v>
      </c>
      <c r="D16489">
        <f>11</f>
        <v>11</v>
      </c>
      <c r="E16489" t="str">
        <f>"02 - A - 105 - Leslie J Barton"</f>
        <v>02 - A - 105 - Leslie J Barton</v>
      </c>
      <c r="F16489" t="str">
        <f>"NC STUDY HALL 1"</f>
        <v>NC STUDY HALL 1</v>
      </c>
      <c r="G16489" t="str">
        <f>"05-521"</f>
        <v>05-521</v>
      </c>
      <c r="H16489" t="str">
        <f>"A"</f>
        <v>A</v>
      </c>
    </row>
    <row r="16490" spans="1:8" x14ac:dyDescent="0.2">
      <c r="A16490" t="str">
        <f t="shared" si="5975"/>
        <v>0617021604</v>
      </c>
      <c r="B16490" t="str">
        <f t="shared" si="5976"/>
        <v>RILEY</v>
      </c>
      <c r="C16490" t="str">
        <f t="shared" si="5977"/>
        <v>STEPHENSON</v>
      </c>
      <c r="D16490">
        <f>11</f>
        <v>11</v>
      </c>
      <c r="E16490" t="str">
        <f>"07 - B - 204 - Stefanie S Scher"</f>
        <v>07 - B - 204 - Stefanie S Scher</v>
      </c>
      <c r="F16490" t="str">
        <f>"AP PSYCH"</f>
        <v>AP PSYCH</v>
      </c>
      <c r="G16490" t="str">
        <f>"17-1735"</f>
        <v>17-1735</v>
      </c>
      <c r="H16490" t="str">
        <f>"B"</f>
        <v>B</v>
      </c>
    </row>
    <row r="16491" spans="1:8" x14ac:dyDescent="0.2">
      <c r="A16491" t="str">
        <f t="shared" si="5975"/>
        <v>0617021604</v>
      </c>
      <c r="B16491" t="str">
        <f t="shared" si="5976"/>
        <v>RILEY</v>
      </c>
      <c r="C16491" t="str">
        <f t="shared" si="5977"/>
        <v>STEPHENSON</v>
      </c>
      <c r="D16491">
        <f>11</f>
        <v>11</v>
      </c>
      <c r="E16491" t="str">
        <f>"05 - B - 103 - Chrystina M Marchionne"</f>
        <v>05 - B - 103 - Chrystina M Marchionne</v>
      </c>
      <c r="F16491" t="str">
        <f>"AICE MEDIA STUDIES A"</f>
        <v>AICE MEDIA STUDIES A</v>
      </c>
      <c r="G16491" t="str">
        <f>"05-520"</f>
        <v>05-520</v>
      </c>
      <c r="H16491" t="str">
        <f>"B"</f>
        <v>B</v>
      </c>
    </row>
    <row r="16492" spans="1:8" x14ac:dyDescent="0.2">
      <c r="A16492" t="str">
        <f t="shared" si="5975"/>
        <v>0617021604</v>
      </c>
      <c r="B16492" t="str">
        <f t="shared" si="5976"/>
        <v>RILEY</v>
      </c>
      <c r="C16492" t="str">
        <f t="shared" si="5977"/>
        <v>STEPHENSON</v>
      </c>
      <c r="D16492">
        <f>11</f>
        <v>11</v>
      </c>
      <c r="E16492" t="str">
        <f>"01 - A - 001 - Stephen T Ripp"</f>
        <v>01 - A - 001 - Stephen T Ripp</v>
      </c>
      <c r="F16492" t="str">
        <f>"AP U.S. HIST"</f>
        <v>AP U.S. HIST</v>
      </c>
      <c r="G16492" t="str">
        <f>"17-1744"</f>
        <v>17-1744</v>
      </c>
      <c r="H16492" t="str">
        <f>"A"</f>
        <v>A</v>
      </c>
    </row>
    <row r="16493" spans="1:8" x14ac:dyDescent="0.2">
      <c r="A16493" t="str">
        <f t="shared" si="5975"/>
        <v>0617021604</v>
      </c>
      <c r="B16493" t="str">
        <f t="shared" si="5976"/>
        <v>RILEY</v>
      </c>
      <c r="C16493" t="str">
        <f t="shared" si="5977"/>
        <v>STEPHENSON</v>
      </c>
      <c r="D16493">
        <f>11</f>
        <v>11</v>
      </c>
      <c r="E16493" t="str">
        <f>"08 - B - 103 - Marielle A Witting"</f>
        <v>08 - B - 103 - Marielle A Witting</v>
      </c>
      <c r="F16493" t="str">
        <f>"AP BIO"</f>
        <v>AP BIO</v>
      </c>
      <c r="G16493" t="str">
        <f>"08-805"</f>
        <v>08-805</v>
      </c>
      <c r="H16493" t="str">
        <f>"B"</f>
        <v>B</v>
      </c>
    </row>
    <row r="16494" spans="1:8" x14ac:dyDescent="0.2">
      <c r="A16494" t="str">
        <f t="shared" ref="A16494:A16501" si="5978">"0617128896"</f>
        <v>0617128896</v>
      </c>
      <c r="B16494" t="str">
        <f t="shared" ref="B16494:B16501" si="5979">"SEBASTIAN"</f>
        <v>SEBASTIAN</v>
      </c>
      <c r="C16494" t="str">
        <f t="shared" ref="C16494:C16501" si="5980">"STETTER"</f>
        <v>STETTER</v>
      </c>
      <c r="D16494" t="str">
        <f t="shared" ref="D16494:D16501" si="5981">"09"</f>
        <v>09</v>
      </c>
      <c r="E16494" t="str">
        <f>"04 - A - 106 - Marielle A Witting"</f>
        <v>04 - A - 106 - Marielle A Witting</v>
      </c>
      <c r="F16494" t="str">
        <f>"ANAT PHYSIO"</f>
        <v>ANAT PHYSIO</v>
      </c>
      <c r="G16494" t="str">
        <f>"08-805"</f>
        <v>08-805</v>
      </c>
      <c r="H16494" t="str">
        <f>"A"</f>
        <v>A</v>
      </c>
    </row>
    <row r="16495" spans="1:8" x14ac:dyDescent="0.2">
      <c r="A16495" t="str">
        <f t="shared" si="5978"/>
        <v>0617128896</v>
      </c>
      <c r="B16495" t="str">
        <f t="shared" si="5979"/>
        <v>SEBASTIAN</v>
      </c>
      <c r="C16495" t="str">
        <f t="shared" si="5980"/>
        <v>STETTER</v>
      </c>
      <c r="D16495" t="str">
        <f t="shared" si="5981"/>
        <v>09</v>
      </c>
      <c r="E16495" t="str">
        <f>"06 - B - 104 - Eva T Rimmer"</f>
        <v>06 - B - 104 - Eva T Rimmer</v>
      </c>
      <c r="F16495" t="str">
        <f>"CRIMINAL JUST OPS 1"</f>
        <v>CRIMINAL JUST OPS 1</v>
      </c>
      <c r="G16495" t="str">
        <f>"05-523"</f>
        <v>05-523</v>
      </c>
      <c r="H16495" t="str">
        <f>"B"</f>
        <v>B</v>
      </c>
    </row>
    <row r="16496" spans="1:8" x14ac:dyDescent="0.2">
      <c r="A16496" t="str">
        <f t="shared" si="5978"/>
        <v>0617128896</v>
      </c>
      <c r="B16496" t="str">
        <f t="shared" si="5979"/>
        <v>SEBASTIAN</v>
      </c>
      <c r="C16496" t="str">
        <f t="shared" si="5980"/>
        <v>STETTER</v>
      </c>
      <c r="D16496" t="str">
        <f t="shared" si="5981"/>
        <v>09</v>
      </c>
      <c r="E16496" t="str">
        <f>"03 - A - 101 - Helen A Flores"</f>
        <v>03 - A - 101 - Helen A Flores</v>
      </c>
      <c r="F16496" t="str">
        <f>"PRE-AICE MATH 1 IG"</f>
        <v>PRE-AICE MATH 1 IG</v>
      </c>
      <c r="G16496" t="str">
        <f>"21-2101"</f>
        <v>21-2101</v>
      </c>
      <c r="H16496" t="str">
        <f>"A"</f>
        <v>A</v>
      </c>
    </row>
    <row r="16497" spans="1:8" x14ac:dyDescent="0.2">
      <c r="A16497" t="str">
        <f t="shared" si="5978"/>
        <v>0617128896</v>
      </c>
      <c r="B16497" t="str">
        <f t="shared" si="5979"/>
        <v>SEBASTIAN</v>
      </c>
      <c r="C16497" t="str">
        <f t="shared" si="5980"/>
        <v>STETTER</v>
      </c>
      <c r="D16497" t="str">
        <f t="shared" si="5981"/>
        <v>09</v>
      </c>
      <c r="E16497" t="str">
        <f>"02 - A - 106 - Helen A Flores"</f>
        <v>02 - A - 106 - Helen A Flores</v>
      </c>
      <c r="F16497" t="str">
        <f>"NC STUDY HALL 1"</f>
        <v>NC STUDY HALL 1</v>
      </c>
      <c r="G16497" t="str">
        <f>"21-2101"</f>
        <v>21-2101</v>
      </c>
      <c r="H16497" t="str">
        <f>"A"</f>
        <v>A</v>
      </c>
    </row>
    <row r="16498" spans="1:8" x14ac:dyDescent="0.2">
      <c r="A16498" t="str">
        <f t="shared" si="5978"/>
        <v>0617128896</v>
      </c>
      <c r="B16498" t="str">
        <f t="shared" si="5979"/>
        <v>SEBASTIAN</v>
      </c>
      <c r="C16498" t="str">
        <f t="shared" si="5980"/>
        <v>STETTER</v>
      </c>
      <c r="D16498" t="str">
        <f t="shared" si="5981"/>
        <v>09</v>
      </c>
      <c r="E16498" t="str">
        <f>"07 - B - 107 - Adam Marcus  Drucker"</f>
        <v>07 - B - 107 - Adam Marcus  Drucker</v>
      </c>
      <c r="F16498" t="str">
        <f>"HOPE-PE V"</f>
        <v>HOPE-PE V</v>
      </c>
      <c r="G16498" t="str">
        <f>"04-254"</f>
        <v>04-254</v>
      </c>
      <c r="H16498" t="str">
        <f>"B"</f>
        <v>B</v>
      </c>
    </row>
    <row r="16499" spans="1:8" x14ac:dyDescent="0.2">
      <c r="A16499" t="str">
        <f t="shared" si="5978"/>
        <v>0617128896</v>
      </c>
      <c r="B16499" t="str">
        <f t="shared" si="5979"/>
        <v>SEBASTIAN</v>
      </c>
      <c r="C16499" t="str">
        <f t="shared" si="5980"/>
        <v>STETTER</v>
      </c>
      <c r="D16499" t="str">
        <f t="shared" si="5981"/>
        <v>09</v>
      </c>
      <c r="E16499" t="str">
        <f>"05 - B - 001 - Laselleda D Shaw"</f>
        <v>05 - B - 001 - Laselleda D Shaw</v>
      </c>
      <c r="F16499" t="str">
        <f>"INTENS READ 1"</f>
        <v>INTENS READ 1</v>
      </c>
      <c r="G16499" t="str">
        <f>"17-1723"</f>
        <v>17-1723</v>
      </c>
      <c r="H16499" t="str">
        <f>"B"</f>
        <v>B</v>
      </c>
    </row>
    <row r="16500" spans="1:8" x14ac:dyDescent="0.2">
      <c r="A16500" t="str">
        <f t="shared" si="5978"/>
        <v>0617128896</v>
      </c>
      <c r="B16500" t="str">
        <f t="shared" si="5979"/>
        <v>SEBASTIAN</v>
      </c>
      <c r="C16500" t="str">
        <f t="shared" si="5980"/>
        <v>STETTER</v>
      </c>
      <c r="D16500" t="str">
        <f t="shared" si="5981"/>
        <v>09</v>
      </c>
      <c r="E16500" t="str">
        <f>"01 - A - 101 - Cerine S Stewart"</f>
        <v>01 - A - 101 - Cerine S Stewart</v>
      </c>
      <c r="F16500" t="str">
        <f>"ENG 1"</f>
        <v>ENG 1</v>
      </c>
      <c r="G16500" t="str">
        <f>"17-1720"</f>
        <v>17-1720</v>
      </c>
      <c r="H16500" t="str">
        <f>"A"</f>
        <v>A</v>
      </c>
    </row>
    <row r="16501" spans="1:8" x14ac:dyDescent="0.2">
      <c r="A16501" t="str">
        <f t="shared" si="5978"/>
        <v>0617128896</v>
      </c>
      <c r="B16501" t="str">
        <f t="shared" si="5979"/>
        <v>SEBASTIAN</v>
      </c>
      <c r="C16501" t="str">
        <f t="shared" si="5980"/>
        <v>STETTER</v>
      </c>
      <c r="D16501" t="str">
        <f t="shared" si="5981"/>
        <v>09</v>
      </c>
      <c r="E16501" t="str">
        <f>"08 - B - 101 - Elizabeth Ellen  Moran"</f>
        <v>08 - B - 101 - Elizabeth Ellen  Moran</v>
      </c>
      <c r="F16501" t="str">
        <f>"WORLD HISTORY"</f>
        <v>WORLD HISTORY</v>
      </c>
      <c r="G16501" t="str">
        <f>"17-1752"</f>
        <v>17-1752</v>
      </c>
      <c r="H16501" t="str">
        <f>"B"</f>
        <v>B</v>
      </c>
    </row>
    <row r="16502" spans="1:8" x14ac:dyDescent="0.2">
      <c r="A16502" t="str">
        <f t="shared" ref="A16502:A16509" si="5982">"0617137834"</f>
        <v>0617137834</v>
      </c>
      <c r="B16502" t="str">
        <f t="shared" ref="B16502:B16509" si="5983">"CAMERON"</f>
        <v>CAMERON</v>
      </c>
      <c r="C16502" t="str">
        <f t="shared" ref="C16502:C16509" si="5984">"STEVENS"</f>
        <v>STEVENS</v>
      </c>
      <c r="D16502">
        <f>11</f>
        <v>11</v>
      </c>
      <c r="E16502" t="str">
        <f>"04 - A - 101 - Jeanne M Bermudez"</f>
        <v>04 - A - 101 - Jeanne M Bermudez</v>
      </c>
      <c r="F16502" t="str">
        <f>"ADVANCED IT HON"</f>
        <v>ADVANCED IT HON</v>
      </c>
      <c r="G16502" t="str">
        <f>"21-2141"</f>
        <v>21-2141</v>
      </c>
      <c r="H16502" t="str">
        <f>"A"</f>
        <v>A</v>
      </c>
    </row>
    <row r="16503" spans="1:8" x14ac:dyDescent="0.2">
      <c r="A16503" t="str">
        <f t="shared" si="5982"/>
        <v>0617137834</v>
      </c>
      <c r="B16503" t="str">
        <f t="shared" si="5983"/>
        <v>CAMERON</v>
      </c>
      <c r="C16503" t="str">
        <f t="shared" si="5984"/>
        <v>STEVENS</v>
      </c>
      <c r="D16503">
        <f>11</f>
        <v>11</v>
      </c>
      <c r="E16503" t="str">
        <f>"06 - B - 104 - Eva T Rimmer"</f>
        <v>06 - B - 104 - Eva T Rimmer</v>
      </c>
      <c r="F16503" t="str">
        <f>"CRIMINAL JUST OPS 1"</f>
        <v>CRIMINAL JUST OPS 1</v>
      </c>
      <c r="G16503" t="str">
        <f>"05-523"</f>
        <v>05-523</v>
      </c>
      <c r="H16503" t="str">
        <f>"B"</f>
        <v>B</v>
      </c>
    </row>
    <row r="16504" spans="1:8" x14ac:dyDescent="0.2">
      <c r="A16504" t="str">
        <f t="shared" si="5982"/>
        <v>0617137834</v>
      </c>
      <c r="B16504" t="str">
        <f t="shared" si="5983"/>
        <v>CAMERON</v>
      </c>
      <c r="C16504" t="str">
        <f t="shared" si="5984"/>
        <v>STEVENS</v>
      </c>
      <c r="D16504">
        <f>11</f>
        <v>11</v>
      </c>
      <c r="E16504" t="str">
        <f>"03 - A - 204 - Lytrell T Dixon"</f>
        <v>03 - A - 204 - Lytrell T Dixon</v>
      </c>
      <c r="F16504" t="str">
        <f>"BIOLOGY 1"</f>
        <v>BIOLOGY 1</v>
      </c>
      <c r="G16504" t="str">
        <f>"08-808"</f>
        <v>08-808</v>
      </c>
      <c r="H16504" t="str">
        <f>"A"</f>
        <v>A</v>
      </c>
    </row>
    <row r="16505" spans="1:8" x14ac:dyDescent="0.2">
      <c r="A16505" t="str">
        <f t="shared" si="5982"/>
        <v>0617137834</v>
      </c>
      <c r="B16505" t="str">
        <f t="shared" si="5983"/>
        <v>CAMERON</v>
      </c>
      <c r="C16505" t="str">
        <f t="shared" si="5984"/>
        <v>STEVENS</v>
      </c>
      <c r="D16505">
        <f>11</f>
        <v>11</v>
      </c>
      <c r="E16505" t="str">
        <f>"02 - A - 108 - Stephen T Ripp"</f>
        <v>02 - A - 108 - Stephen T Ripp</v>
      </c>
      <c r="F16505" t="str">
        <f>"NC STUDY HALL 1"</f>
        <v>NC STUDY HALL 1</v>
      </c>
      <c r="G16505" t="str">
        <f>"17-1744"</f>
        <v>17-1744</v>
      </c>
      <c r="H16505" t="str">
        <f>"A"</f>
        <v>A</v>
      </c>
    </row>
    <row r="16506" spans="1:8" x14ac:dyDescent="0.2">
      <c r="A16506" t="str">
        <f t="shared" si="5982"/>
        <v>0617137834</v>
      </c>
      <c r="B16506" t="str">
        <f t="shared" si="5983"/>
        <v>CAMERON</v>
      </c>
      <c r="C16506" t="str">
        <f t="shared" si="5984"/>
        <v>STEVENS</v>
      </c>
      <c r="D16506">
        <f>11</f>
        <v>11</v>
      </c>
      <c r="E16506" t="str">
        <f>"07 - B - 110 - Ferrie J Arostique"</f>
        <v>07 - B - 110 - Ferrie J Arostique</v>
      </c>
      <c r="F16506" t="str">
        <f>"GEOMETRY"</f>
        <v>GEOMETRY</v>
      </c>
      <c r="G16506" t="str">
        <f>"21-2139"</f>
        <v>21-2139</v>
      </c>
      <c r="H16506" t="str">
        <f>"B"</f>
        <v>B</v>
      </c>
    </row>
    <row r="16507" spans="1:8" x14ac:dyDescent="0.2">
      <c r="A16507" t="str">
        <f t="shared" si="5982"/>
        <v>0617137834</v>
      </c>
      <c r="B16507" t="str">
        <f t="shared" si="5983"/>
        <v>CAMERON</v>
      </c>
      <c r="C16507" t="str">
        <f t="shared" si="5984"/>
        <v>STEVENS</v>
      </c>
      <c r="D16507">
        <f>11</f>
        <v>11</v>
      </c>
      <c r="E16507" t="str">
        <f>"05 - B - 104 - Lisa  Quinn"</f>
        <v>05 - B - 104 - Lisa  Quinn</v>
      </c>
      <c r="F16507" t="str">
        <f>"ENG 3"</f>
        <v>ENG 3</v>
      </c>
      <c r="G16507" t="str">
        <f>"17-1725"</f>
        <v>17-1725</v>
      </c>
      <c r="H16507" t="str">
        <f>"B"</f>
        <v>B</v>
      </c>
    </row>
    <row r="16508" spans="1:8" x14ac:dyDescent="0.2">
      <c r="A16508" t="str">
        <f t="shared" si="5982"/>
        <v>0617137834</v>
      </c>
      <c r="B16508" t="str">
        <f t="shared" si="5983"/>
        <v>CAMERON</v>
      </c>
      <c r="C16508" t="str">
        <f t="shared" si="5984"/>
        <v>STEVENS</v>
      </c>
      <c r="D16508">
        <f>11</f>
        <v>11</v>
      </c>
      <c r="E16508" t="str">
        <f>"01 - A - 101 - Samantha L Martinez"</f>
        <v>01 - A - 101 - Samantha L Martinez</v>
      </c>
      <c r="F16508" t="str">
        <f>"MUSIC WORLD"</f>
        <v>MUSIC WORLD</v>
      </c>
      <c r="G16508" t="str">
        <f>"05-505"</f>
        <v>05-505</v>
      </c>
      <c r="H16508" t="str">
        <f>"A"</f>
        <v>A</v>
      </c>
    </row>
    <row r="16509" spans="1:8" x14ac:dyDescent="0.2">
      <c r="A16509" t="str">
        <f t="shared" si="5982"/>
        <v>0617137834</v>
      </c>
      <c r="B16509" t="str">
        <f t="shared" si="5983"/>
        <v>CAMERON</v>
      </c>
      <c r="C16509" t="str">
        <f t="shared" si="5984"/>
        <v>STEVENS</v>
      </c>
      <c r="D16509">
        <f>11</f>
        <v>11</v>
      </c>
      <c r="E16509" t="str">
        <f>"08 - B - 109 - Lauren N Logan"</f>
        <v>08 - B - 109 - Lauren N Logan</v>
      </c>
      <c r="F16509" t="str">
        <f>"US HISTORY"</f>
        <v>US HISTORY</v>
      </c>
      <c r="G16509" t="str">
        <f>"17-1754"</f>
        <v>17-1754</v>
      </c>
      <c r="H16509" t="str">
        <f>"B"</f>
        <v>B</v>
      </c>
    </row>
    <row r="16510" spans="1:8" x14ac:dyDescent="0.2">
      <c r="A16510" t="str">
        <f t="shared" ref="A16510:A16517" si="5985">"0612133652"</f>
        <v>0612133652</v>
      </c>
      <c r="B16510" t="str">
        <f t="shared" ref="B16510:B16517" si="5986">"KARA"</f>
        <v>KARA</v>
      </c>
      <c r="C16510" t="str">
        <f t="shared" ref="C16510:C16517" si="5987">"STEVENSON"</f>
        <v>STEVENSON</v>
      </c>
      <c r="D16510">
        <f>11</f>
        <v>11</v>
      </c>
      <c r="E16510" t="str">
        <f>"04 - A - 101 - Pamela M Corzo"</f>
        <v>04 - A - 101 - Pamela M Corzo</v>
      </c>
      <c r="F16510" t="str">
        <f>"CALCULUS HON"</f>
        <v>CALCULUS HON</v>
      </c>
      <c r="G16510" t="str">
        <f>"21-2133"</f>
        <v>21-2133</v>
      </c>
      <c r="H16510" t="str">
        <f>"A"</f>
        <v>A</v>
      </c>
    </row>
    <row r="16511" spans="1:8" x14ac:dyDescent="0.2">
      <c r="A16511" t="str">
        <f t="shared" si="5985"/>
        <v>0612133652</v>
      </c>
      <c r="B16511" t="str">
        <f t="shared" si="5986"/>
        <v>KARA</v>
      </c>
      <c r="C16511" t="str">
        <f t="shared" si="5987"/>
        <v>STEVENSON</v>
      </c>
      <c r="D16511">
        <f>11</f>
        <v>11</v>
      </c>
      <c r="E16511" t="str">
        <f>"06 - B - 206 - Jacqueline R Morphet"</f>
        <v>06 - B - 206 - Jacqueline R Morphet</v>
      </c>
      <c r="F16511" t="str">
        <f>"PHYSICS 1 HON"</f>
        <v>PHYSICS 1 HON</v>
      </c>
      <c r="G16511" t="str">
        <f>"21-2138"</f>
        <v>21-2138</v>
      </c>
      <c r="H16511" t="str">
        <f>"B"</f>
        <v>B</v>
      </c>
    </row>
    <row r="16512" spans="1:8" x14ac:dyDescent="0.2">
      <c r="A16512" t="str">
        <f t="shared" si="5985"/>
        <v>0612133652</v>
      </c>
      <c r="B16512" t="str">
        <f t="shared" si="5986"/>
        <v>KARA</v>
      </c>
      <c r="C16512" t="str">
        <f t="shared" si="5987"/>
        <v>STEVENSON</v>
      </c>
      <c r="D16512">
        <f>11</f>
        <v>11</v>
      </c>
      <c r="E16512" t="str">
        <f>"03 - A - 204 - Norayda D Suarez"</f>
        <v>03 - A - 204 - Norayda D Suarez</v>
      </c>
      <c r="F16512" t="str">
        <f>"ANAT PHYSIO HON"</f>
        <v>ANAT PHYSIO HON</v>
      </c>
      <c r="G16512" t="str">
        <f>"21-2144"</f>
        <v>21-2144</v>
      </c>
      <c r="H16512" t="str">
        <f>"A"</f>
        <v>A</v>
      </c>
    </row>
    <row r="16513" spans="1:8" x14ac:dyDescent="0.2">
      <c r="A16513" t="str">
        <f t="shared" si="5985"/>
        <v>0612133652</v>
      </c>
      <c r="B16513" t="str">
        <f t="shared" si="5986"/>
        <v>KARA</v>
      </c>
      <c r="C16513" t="str">
        <f t="shared" si="5987"/>
        <v>STEVENSON</v>
      </c>
      <c r="D16513">
        <f>11</f>
        <v>11</v>
      </c>
      <c r="E16513" t="str">
        <f>"02 - A - 104 - Dayna M Foster"</f>
        <v>02 - A - 104 - Dayna M Foster</v>
      </c>
      <c r="F16513" t="str">
        <f>"NC STUDY HALL 1"</f>
        <v>NC STUDY HALL 1</v>
      </c>
      <c r="G16513" t="str">
        <f>"21-2109"</f>
        <v>21-2109</v>
      </c>
      <c r="H16513" t="str">
        <f>"A"</f>
        <v>A</v>
      </c>
    </row>
    <row r="16514" spans="1:8" x14ac:dyDescent="0.2">
      <c r="A16514" t="str">
        <f t="shared" si="5985"/>
        <v>0612133652</v>
      </c>
      <c r="B16514" t="str">
        <f t="shared" si="5986"/>
        <v>KARA</v>
      </c>
      <c r="C16514" t="str">
        <f t="shared" si="5987"/>
        <v>STEVENSON</v>
      </c>
      <c r="D16514">
        <f>11</f>
        <v>11</v>
      </c>
      <c r="E16514" t="str">
        <f>"07 - B - 103 - Lisa J London"</f>
        <v>07 - B - 103 - Lisa J London</v>
      </c>
      <c r="F16514" t="str">
        <f>"AP CAPSTONE SEMINAR"</f>
        <v>AP CAPSTONE SEMINAR</v>
      </c>
      <c r="G16514" t="str">
        <f>"17-1714"</f>
        <v>17-1714</v>
      </c>
      <c r="H16514" t="str">
        <f>"B"</f>
        <v>B</v>
      </c>
    </row>
    <row r="16515" spans="1:8" x14ac:dyDescent="0.2">
      <c r="A16515" t="str">
        <f t="shared" si="5985"/>
        <v>0612133652</v>
      </c>
      <c r="B16515" t="str">
        <f t="shared" si="5986"/>
        <v>KARA</v>
      </c>
      <c r="C16515" t="str">
        <f t="shared" si="5987"/>
        <v>STEVENSON</v>
      </c>
      <c r="D16515">
        <f>11</f>
        <v>11</v>
      </c>
      <c r="E16515" t="str">
        <f>"05 - B - 103 - Brandy N Zdenek"</f>
        <v>05 - B - 103 - Brandy N Zdenek</v>
      </c>
      <c r="F16515" t="str">
        <f>"AICE ENG LANG 2 AL"</f>
        <v>AICE ENG LANG 2 AL</v>
      </c>
      <c r="G16515" t="str">
        <f>"17-1704"</f>
        <v>17-1704</v>
      </c>
      <c r="H16515" t="str">
        <f>"B"</f>
        <v>B</v>
      </c>
    </row>
    <row r="16516" spans="1:8" x14ac:dyDescent="0.2">
      <c r="A16516" t="str">
        <f t="shared" si="5985"/>
        <v>0612133652</v>
      </c>
      <c r="B16516" t="str">
        <f t="shared" si="5986"/>
        <v>KARA</v>
      </c>
      <c r="C16516" t="str">
        <f t="shared" si="5987"/>
        <v>STEVENSON</v>
      </c>
      <c r="D16516">
        <f>11</f>
        <v>11</v>
      </c>
      <c r="E16516" t="str">
        <f>"01 - A - 001 - Stephen T Ripp"</f>
        <v>01 - A - 001 - Stephen T Ripp</v>
      </c>
      <c r="F16516" t="str">
        <f>"AP U.S. HIST"</f>
        <v>AP U.S. HIST</v>
      </c>
      <c r="G16516" t="str">
        <f>"17-1744"</f>
        <v>17-1744</v>
      </c>
      <c r="H16516" t="str">
        <f>"A"</f>
        <v>A</v>
      </c>
    </row>
    <row r="16517" spans="1:8" x14ac:dyDescent="0.2">
      <c r="A16517" t="str">
        <f t="shared" si="5985"/>
        <v>0612133652</v>
      </c>
      <c r="B16517" t="str">
        <f t="shared" si="5986"/>
        <v>KARA</v>
      </c>
      <c r="C16517" t="str">
        <f t="shared" si="5987"/>
        <v>STEVENSON</v>
      </c>
      <c r="D16517">
        <f>11</f>
        <v>11</v>
      </c>
      <c r="E16517" t="str">
        <f>"08 - B - 201 - Tina M Jaramillo"</f>
        <v>08 - B - 201 - Tina M Jaramillo</v>
      </c>
      <c r="F16517" t="str">
        <f>"CREATIVE WRIT 3 HON"</f>
        <v>CREATIVE WRIT 3 HON</v>
      </c>
      <c r="G16517" t="str">
        <f>"17-1706"</f>
        <v>17-1706</v>
      </c>
      <c r="H16517" t="str">
        <f>"B"</f>
        <v>B</v>
      </c>
    </row>
    <row r="16518" spans="1:8" x14ac:dyDescent="0.2">
      <c r="A16518" t="str">
        <f t="shared" ref="A16518:A16525" si="5988">"0616060776"</f>
        <v>0616060776</v>
      </c>
      <c r="B16518" t="str">
        <f t="shared" ref="B16518:B16525" si="5989">"ALEXANDRIA"</f>
        <v>ALEXANDRIA</v>
      </c>
      <c r="C16518" t="str">
        <f t="shared" ref="C16518:C16533" si="5990">"STEWART"</f>
        <v>STEWART</v>
      </c>
      <c r="D16518">
        <f>10</f>
        <v>10</v>
      </c>
      <c r="E16518" t="str">
        <f>"04 - A - 104 - Marius D Orsolini"</f>
        <v>04 - A - 104 - Marius D Orsolini</v>
      </c>
      <c r="F16518" t="str">
        <f>"CULINARY ARTS 1"</f>
        <v>CULINARY ARTS 1</v>
      </c>
      <c r="G16518" t="str">
        <f>"21-2115"</f>
        <v>21-2115</v>
      </c>
      <c r="H16518" t="str">
        <f>"A"</f>
        <v>A</v>
      </c>
    </row>
    <row r="16519" spans="1:8" x14ac:dyDescent="0.2">
      <c r="A16519" t="str">
        <f t="shared" si="5988"/>
        <v>0616060776</v>
      </c>
      <c r="B16519" t="str">
        <f t="shared" si="5989"/>
        <v>ALEXANDRIA</v>
      </c>
      <c r="C16519" t="str">
        <f t="shared" si="5990"/>
        <v>STEWART</v>
      </c>
      <c r="D16519">
        <f>10</f>
        <v>10</v>
      </c>
      <c r="E16519" t="str">
        <f>"06 - B - 115 - Scott A Dethloff"</f>
        <v>06 - B - 115 - Scott A Dethloff</v>
      </c>
      <c r="F16519" t="str">
        <f>"NC STUDY HALL 1"</f>
        <v>NC STUDY HALL 1</v>
      </c>
      <c r="G16519" t="str">
        <f>"08-812"</f>
        <v>08-812</v>
      </c>
      <c r="H16519" t="str">
        <f>"B"</f>
        <v>B</v>
      </c>
    </row>
    <row r="16520" spans="1:8" x14ac:dyDescent="0.2">
      <c r="A16520" t="str">
        <f t="shared" si="5988"/>
        <v>0616060776</v>
      </c>
      <c r="B16520" t="str">
        <f t="shared" si="5989"/>
        <v>ALEXANDRIA</v>
      </c>
      <c r="C16520" t="str">
        <f t="shared" si="5990"/>
        <v>STEWART</v>
      </c>
      <c r="D16520">
        <f>10</f>
        <v>10</v>
      </c>
      <c r="E16520" t="str">
        <f>"03 - A - 103 - Pamela M Corzo"</f>
        <v>03 - A - 103 - Pamela M Corzo</v>
      </c>
      <c r="F16520" t="str">
        <f>"ALGEBRA 2 HON"</f>
        <v>ALGEBRA 2 HON</v>
      </c>
      <c r="G16520" t="str">
        <f>"21-2133"</f>
        <v>21-2133</v>
      </c>
      <c r="H16520" t="str">
        <f>"A"</f>
        <v>A</v>
      </c>
    </row>
    <row r="16521" spans="1:8" x14ac:dyDescent="0.2">
      <c r="A16521" t="str">
        <f t="shared" si="5988"/>
        <v>0616060776</v>
      </c>
      <c r="B16521" t="str">
        <f t="shared" si="5989"/>
        <v>ALEXANDRIA</v>
      </c>
      <c r="C16521" t="str">
        <f t="shared" si="5990"/>
        <v>STEWART</v>
      </c>
      <c r="D16521">
        <f>10</f>
        <v>10</v>
      </c>
      <c r="E16521" t="str">
        <f>"02 - A - 104 - Joe  Kilpatrick Jr"</f>
        <v>02 - A - 104 - Joe  Kilpatrick Jr</v>
      </c>
      <c r="F16521" t="str">
        <f>"PRE-AICE SPAN 2 IG"</f>
        <v>PRE-AICE SPAN 2 IG</v>
      </c>
      <c r="G16521" t="str">
        <f>"09-912"</f>
        <v>09-912</v>
      </c>
      <c r="H16521" t="str">
        <f>"A"</f>
        <v>A</v>
      </c>
    </row>
    <row r="16522" spans="1:8" x14ac:dyDescent="0.2">
      <c r="A16522" t="str">
        <f t="shared" si="5988"/>
        <v>0616060776</v>
      </c>
      <c r="B16522" t="str">
        <f t="shared" si="5989"/>
        <v>ALEXANDRIA</v>
      </c>
      <c r="C16522" t="str">
        <f t="shared" si="5990"/>
        <v>STEWART</v>
      </c>
      <c r="D16522">
        <f>10</f>
        <v>10</v>
      </c>
      <c r="E16522" t="str">
        <f>"07 - B - 107 - Jacklyn M James"</f>
        <v>07 - B - 107 - Jacklyn M James</v>
      </c>
      <c r="F16522" t="str">
        <f>"AICE ENG LANG AS"</f>
        <v>AICE ENG LANG AS</v>
      </c>
      <c r="G16522" t="str">
        <f>"17-1731"</f>
        <v>17-1731</v>
      </c>
      <c r="H16522" t="str">
        <f>"B"</f>
        <v>B</v>
      </c>
    </row>
    <row r="16523" spans="1:8" x14ac:dyDescent="0.2">
      <c r="A16523" t="str">
        <f t="shared" si="5988"/>
        <v>0616060776</v>
      </c>
      <c r="B16523" t="str">
        <f t="shared" si="5989"/>
        <v>ALEXANDRIA</v>
      </c>
      <c r="C16523" t="str">
        <f t="shared" si="5990"/>
        <v>STEWART</v>
      </c>
      <c r="D16523">
        <f>10</f>
        <v>10</v>
      </c>
      <c r="E16523" t="str">
        <f>"05 - B - 108 - Valerie J Ruwe"</f>
        <v>05 - B - 108 - Valerie J Ruwe</v>
      </c>
      <c r="F16523" t="str">
        <f>"CHEMISTRY 1 HON"</f>
        <v>CHEMISTRY 1 HON</v>
      </c>
      <c r="G16523" t="str">
        <f>"21-2138"</f>
        <v>21-2138</v>
      </c>
      <c r="H16523" t="str">
        <f>"B"</f>
        <v>B</v>
      </c>
    </row>
    <row r="16524" spans="1:8" x14ac:dyDescent="0.2">
      <c r="A16524" t="str">
        <f t="shared" si="5988"/>
        <v>0616060776</v>
      </c>
      <c r="B16524" t="str">
        <f t="shared" si="5989"/>
        <v>ALEXANDRIA</v>
      </c>
      <c r="C16524" t="str">
        <f t="shared" si="5990"/>
        <v>STEWART</v>
      </c>
      <c r="D16524">
        <f>10</f>
        <v>10</v>
      </c>
      <c r="E16524" t="str">
        <f>"01 - A - 201 - Chrystina M Marchionne"</f>
        <v>01 - A - 201 - Chrystina M Marchionne</v>
      </c>
      <c r="F16524" t="str">
        <f>"AICE MEDIASTUDIES AS"</f>
        <v>AICE MEDIASTUDIES AS</v>
      </c>
      <c r="G16524" t="str">
        <f>"05-520"</f>
        <v>05-520</v>
      </c>
      <c r="H16524" t="str">
        <f>"A"</f>
        <v>A</v>
      </c>
    </row>
    <row r="16525" spans="1:8" x14ac:dyDescent="0.2">
      <c r="A16525" t="str">
        <f t="shared" si="5988"/>
        <v>0616060776</v>
      </c>
      <c r="B16525" t="str">
        <f t="shared" si="5989"/>
        <v>ALEXANDRIA</v>
      </c>
      <c r="C16525" t="str">
        <f t="shared" si="5990"/>
        <v>STEWART</v>
      </c>
      <c r="D16525">
        <f>10</f>
        <v>10</v>
      </c>
      <c r="E16525" t="str">
        <f>"08 - B - 201 - Lenecy  Nodarse"</f>
        <v>08 - B - 201 - Lenecy  Nodarse</v>
      </c>
      <c r="F16525" t="str">
        <f>"AICE EURO HIST 1 AS"</f>
        <v>AICE EURO HIST 1 AS</v>
      </c>
      <c r="G16525" t="str">
        <f>"17-1741"</f>
        <v>17-1741</v>
      </c>
      <c r="H16525" t="str">
        <f>"B"</f>
        <v>B</v>
      </c>
    </row>
    <row r="16526" spans="1:8" x14ac:dyDescent="0.2">
      <c r="A16526" t="str">
        <f t="shared" ref="A16526:A16533" si="5991">"0619040057"</f>
        <v>0619040057</v>
      </c>
      <c r="B16526" t="str">
        <f t="shared" ref="B16526:B16533" si="5992">"KENZO"</f>
        <v>KENZO</v>
      </c>
      <c r="C16526" t="str">
        <f t="shared" si="5990"/>
        <v>STEWART</v>
      </c>
      <c r="D16526">
        <f>10</f>
        <v>10</v>
      </c>
      <c r="E16526" t="str">
        <f>"04 - A - 201 - Scott A Dethloff"</f>
        <v>04 - A - 201 - Scott A Dethloff</v>
      </c>
      <c r="F16526" t="str">
        <f>"AICE THINK SKLS 1 AS"</f>
        <v>AICE THINK SKLS 1 AS</v>
      </c>
      <c r="G16526" t="str">
        <f>"08-812"</f>
        <v>08-812</v>
      </c>
      <c r="H16526" t="str">
        <f>"A"</f>
        <v>A</v>
      </c>
    </row>
    <row r="16527" spans="1:8" x14ac:dyDescent="0.2">
      <c r="A16527" t="str">
        <f t="shared" si="5991"/>
        <v>0619040057</v>
      </c>
      <c r="B16527" t="str">
        <f t="shared" si="5992"/>
        <v>KENZO</v>
      </c>
      <c r="C16527" t="str">
        <f t="shared" si="5990"/>
        <v>STEWART</v>
      </c>
      <c r="D16527">
        <f>10</f>
        <v>10</v>
      </c>
      <c r="E16527" t="str">
        <f>"06 - B - 114 - Richard E Dunbar Iii"</f>
        <v>06 - B - 114 - Richard E Dunbar Iii</v>
      </c>
      <c r="F16527" t="str">
        <f>"NC STUDY HALL 1"</f>
        <v>NC STUDY HALL 1</v>
      </c>
      <c r="G16527" t="str">
        <f>"17-1703"</f>
        <v>17-1703</v>
      </c>
      <c r="H16527" t="str">
        <f>"B"</f>
        <v>B</v>
      </c>
    </row>
    <row r="16528" spans="1:8" x14ac:dyDescent="0.2">
      <c r="A16528" t="str">
        <f t="shared" si="5991"/>
        <v>0619040057</v>
      </c>
      <c r="B16528" t="str">
        <f t="shared" si="5992"/>
        <v>KENZO</v>
      </c>
      <c r="C16528" t="str">
        <f t="shared" si="5990"/>
        <v>STEWART</v>
      </c>
      <c r="D16528">
        <f>10</f>
        <v>10</v>
      </c>
      <c r="E16528" t="str">
        <f>"03 - A - 103 - Courtney E Hambright"</f>
        <v>03 - A - 103 - Courtney E Hambright</v>
      </c>
      <c r="F16528" t="str">
        <f>"AICE ENG LANG AS"</f>
        <v>AICE ENG LANG AS</v>
      </c>
      <c r="G16528" t="str">
        <f>"17-1711"</f>
        <v>17-1711</v>
      </c>
      <c r="H16528" t="str">
        <f>"A"</f>
        <v>A</v>
      </c>
    </row>
    <row r="16529" spans="1:8" x14ac:dyDescent="0.2">
      <c r="A16529" t="str">
        <f t="shared" si="5991"/>
        <v>0619040057</v>
      </c>
      <c r="B16529" t="str">
        <f t="shared" si="5992"/>
        <v>KENZO</v>
      </c>
      <c r="C16529" t="str">
        <f t="shared" si="5990"/>
        <v>STEWART</v>
      </c>
      <c r="D16529">
        <f>10</f>
        <v>10</v>
      </c>
      <c r="E16529" t="str">
        <f>"02 - A - 201 - Jordana K Hass"</f>
        <v>02 - A - 201 - Jordana K Hass</v>
      </c>
      <c r="F16529" t="str">
        <f>"CHEMISTRY 1"</f>
        <v>CHEMISTRY 1</v>
      </c>
      <c r="G16529" t="str">
        <f>"08-807"</f>
        <v>08-807</v>
      </c>
      <c r="H16529" t="str">
        <f>"A"</f>
        <v>A</v>
      </c>
    </row>
    <row r="16530" spans="1:8" x14ac:dyDescent="0.2">
      <c r="A16530" t="str">
        <f t="shared" si="5991"/>
        <v>0619040057</v>
      </c>
      <c r="B16530" t="str">
        <f t="shared" si="5992"/>
        <v>KENZO</v>
      </c>
      <c r="C16530" t="str">
        <f t="shared" si="5990"/>
        <v>STEWART</v>
      </c>
      <c r="D16530">
        <f>10</f>
        <v>10</v>
      </c>
      <c r="E16530" t="str">
        <f>"07 - B - 106 - James H Mccann"</f>
        <v>07 - B - 106 - James H Mccann</v>
      </c>
      <c r="F16530" t="str">
        <f>"ALGEBRA 2"</f>
        <v>ALGEBRA 2</v>
      </c>
      <c r="G16530" t="str">
        <f>"17-1716"</f>
        <v>17-1716</v>
      </c>
      <c r="H16530" t="str">
        <f>"B"</f>
        <v>B</v>
      </c>
    </row>
    <row r="16531" spans="1:8" x14ac:dyDescent="0.2">
      <c r="A16531" t="str">
        <f t="shared" si="5991"/>
        <v>0619040057</v>
      </c>
      <c r="B16531" t="str">
        <f t="shared" si="5992"/>
        <v>KENZO</v>
      </c>
      <c r="C16531" t="str">
        <f t="shared" si="5990"/>
        <v>STEWART</v>
      </c>
      <c r="D16531">
        <f>10</f>
        <v>10</v>
      </c>
      <c r="E16531" t="str">
        <f>"05 - B - 203 - Chrystina M Marchionne"</f>
        <v>05 - B - 203 - Chrystina M Marchionne</v>
      </c>
      <c r="F16531" t="str">
        <f>"AICE MEDIASTUDIES AS"</f>
        <v>AICE MEDIASTUDIES AS</v>
      </c>
      <c r="G16531" t="str">
        <f>"05-520"</f>
        <v>05-520</v>
      </c>
      <c r="H16531" t="str">
        <f>"B"</f>
        <v>B</v>
      </c>
    </row>
    <row r="16532" spans="1:8" x14ac:dyDescent="0.2">
      <c r="A16532" t="str">
        <f t="shared" si="5991"/>
        <v>0619040057</v>
      </c>
      <c r="B16532" t="str">
        <f t="shared" si="5992"/>
        <v>KENZO</v>
      </c>
      <c r="C16532" t="str">
        <f t="shared" si="5990"/>
        <v>STEWART</v>
      </c>
      <c r="D16532">
        <f>10</f>
        <v>10</v>
      </c>
      <c r="E16532" t="str">
        <f>"01 - A - 001 - Lenecy  Nodarse"</f>
        <v>01 - A - 001 - Lenecy  Nodarse</v>
      </c>
      <c r="F16532" t="str">
        <f>"AICE EURO HIST 1 AS"</f>
        <v>AICE EURO HIST 1 AS</v>
      </c>
      <c r="G16532" t="str">
        <f>"17-1741"</f>
        <v>17-1741</v>
      </c>
      <c r="H16532" t="str">
        <f>"A"</f>
        <v>A</v>
      </c>
    </row>
    <row r="16533" spans="1:8" x14ac:dyDescent="0.2">
      <c r="A16533" t="str">
        <f t="shared" si="5991"/>
        <v>0619040057</v>
      </c>
      <c r="B16533" t="str">
        <f t="shared" si="5992"/>
        <v>KENZO</v>
      </c>
      <c r="C16533" t="str">
        <f t="shared" si="5990"/>
        <v>STEWART</v>
      </c>
      <c r="D16533">
        <f>10</f>
        <v>10</v>
      </c>
      <c r="E16533" t="str">
        <f>"08 - B - 201 - Tina M Jaramillo"</f>
        <v>08 - B - 201 - Tina M Jaramillo</v>
      </c>
      <c r="F16533" t="str">
        <f>"CREATIVE WRIT 3 HON"</f>
        <v>CREATIVE WRIT 3 HON</v>
      </c>
      <c r="G16533" t="str">
        <f>"17-1706"</f>
        <v>17-1706</v>
      </c>
      <c r="H16533" t="str">
        <f>"B"</f>
        <v>B</v>
      </c>
    </row>
    <row r="16534" spans="1:8" x14ac:dyDescent="0.2">
      <c r="A16534" t="str">
        <f t="shared" ref="A16534:A16541" si="5993">"0614076702"</f>
        <v>0614076702</v>
      </c>
      <c r="B16534" t="str">
        <f t="shared" ref="B16534:B16541" si="5994">"JERRION"</f>
        <v>JERRION</v>
      </c>
      <c r="C16534" t="str">
        <f t="shared" ref="C16534:C16541" si="5995">"ST FLEUR"</f>
        <v>ST FLEUR</v>
      </c>
      <c r="D16534">
        <f>11</f>
        <v>11</v>
      </c>
      <c r="E16534" t="str">
        <f>"04 - A - 101 - Jeanne M Bermudez"</f>
        <v>04 - A - 101 - Jeanne M Bermudez</v>
      </c>
      <c r="F16534" t="str">
        <f>"ADVANCED IT HON"</f>
        <v>ADVANCED IT HON</v>
      </c>
      <c r="G16534" t="str">
        <f>"21-2141"</f>
        <v>21-2141</v>
      </c>
      <c r="H16534" t="str">
        <f>"A"</f>
        <v>A</v>
      </c>
    </row>
    <row r="16535" spans="1:8" x14ac:dyDescent="0.2">
      <c r="A16535" t="str">
        <f t="shared" si="5993"/>
        <v>0614076702</v>
      </c>
      <c r="B16535" t="str">
        <f t="shared" si="5994"/>
        <v>JERRION</v>
      </c>
      <c r="C16535" t="str">
        <f t="shared" si="5995"/>
        <v>ST FLEUR</v>
      </c>
      <c r="D16535">
        <f>11</f>
        <v>11</v>
      </c>
      <c r="E16535" t="str">
        <f>"06 - B - 108 - Milca  Exantus"</f>
        <v>06 - B - 108 - Milca  Exantus</v>
      </c>
      <c r="F16535" t="str">
        <f>"MATH COLLEGE LIB ART"</f>
        <v>MATH COLLEGE LIB ART</v>
      </c>
      <c r="G16535" t="str">
        <f>"21-2145"</f>
        <v>21-2145</v>
      </c>
      <c r="H16535" t="str">
        <f>"B"</f>
        <v>B</v>
      </c>
    </row>
    <row r="16536" spans="1:8" x14ac:dyDescent="0.2">
      <c r="A16536" t="str">
        <f t="shared" si="5993"/>
        <v>0614076702</v>
      </c>
      <c r="B16536" t="str">
        <f t="shared" si="5994"/>
        <v>JERRION</v>
      </c>
      <c r="C16536" t="str">
        <f t="shared" si="5995"/>
        <v>ST FLEUR</v>
      </c>
      <c r="D16536">
        <f>11</f>
        <v>11</v>
      </c>
      <c r="E16536" t="str">
        <f>"03 - A - 103 - Samantha J Headley"</f>
        <v>03 - A - 103 - Samantha J Headley</v>
      </c>
      <c r="F16536" t="str">
        <f>"MARINE SCI 1 HON"</f>
        <v>MARINE SCI 1 HON</v>
      </c>
      <c r="G16536" t="str">
        <f>"21-2134"</f>
        <v>21-2134</v>
      </c>
      <c r="H16536" t="str">
        <f>"A"</f>
        <v>A</v>
      </c>
    </row>
    <row r="16537" spans="1:8" x14ac:dyDescent="0.2">
      <c r="A16537" t="str">
        <f t="shared" si="5993"/>
        <v>0614076702</v>
      </c>
      <c r="B16537" t="str">
        <f t="shared" si="5994"/>
        <v>JERRION</v>
      </c>
      <c r="C16537" t="str">
        <f t="shared" si="5995"/>
        <v>ST FLEUR</v>
      </c>
      <c r="D16537">
        <f>11</f>
        <v>11</v>
      </c>
      <c r="E16537" t="str">
        <f>"02 - A - 107 - Elizabeth Ellen  Moran"</f>
        <v>02 - A - 107 - Elizabeth Ellen  Moran</v>
      </c>
      <c r="F16537" t="str">
        <f>"NC STUDY HALL 1"</f>
        <v>NC STUDY HALL 1</v>
      </c>
      <c r="G16537" t="str">
        <f>"17-1752"</f>
        <v>17-1752</v>
      </c>
      <c r="H16537" t="str">
        <f>"A"</f>
        <v>A</v>
      </c>
    </row>
    <row r="16538" spans="1:8" x14ac:dyDescent="0.2">
      <c r="A16538" t="str">
        <f t="shared" si="5993"/>
        <v>0614076702</v>
      </c>
      <c r="B16538" t="str">
        <f t="shared" si="5994"/>
        <v>JERRION</v>
      </c>
      <c r="C16538" t="str">
        <f t="shared" si="5995"/>
        <v>ST FLEUR</v>
      </c>
      <c r="D16538">
        <f>11</f>
        <v>11</v>
      </c>
      <c r="E16538" t="str">
        <f>"07 - B - 201 - Angela S Adeshina-Morrison"</f>
        <v>07 - B - 201 - Angela S Adeshina-Morrison</v>
      </c>
      <c r="F16538" t="str">
        <f>"BUSINESS OWNER HON"</f>
        <v>BUSINESS OWNER HON</v>
      </c>
      <c r="G16538" t="str">
        <f>"05-518"</f>
        <v>05-518</v>
      </c>
      <c r="H16538" t="str">
        <f>"B"</f>
        <v>B</v>
      </c>
    </row>
    <row r="16539" spans="1:8" x14ac:dyDescent="0.2">
      <c r="A16539" t="str">
        <f t="shared" si="5993"/>
        <v>0614076702</v>
      </c>
      <c r="B16539" t="str">
        <f t="shared" si="5994"/>
        <v>JERRION</v>
      </c>
      <c r="C16539" t="str">
        <f t="shared" si="5995"/>
        <v>ST FLEUR</v>
      </c>
      <c r="D16539">
        <f>11</f>
        <v>11</v>
      </c>
      <c r="E16539" t="str">
        <f>"05 - B - 104 - Lisa  Quinn"</f>
        <v>05 - B - 104 - Lisa  Quinn</v>
      </c>
      <c r="F16539" t="str">
        <f>"ENG 3"</f>
        <v>ENG 3</v>
      </c>
      <c r="G16539" t="str">
        <f>"17-1725"</f>
        <v>17-1725</v>
      </c>
      <c r="H16539" t="str">
        <f>"B"</f>
        <v>B</v>
      </c>
    </row>
    <row r="16540" spans="1:8" x14ac:dyDescent="0.2">
      <c r="A16540" t="str">
        <f t="shared" si="5993"/>
        <v>0614076702</v>
      </c>
      <c r="B16540" t="str">
        <f t="shared" si="5994"/>
        <v>JERRION</v>
      </c>
      <c r="C16540" t="str">
        <f t="shared" si="5995"/>
        <v>ST FLEUR</v>
      </c>
      <c r="D16540">
        <f>11</f>
        <v>11</v>
      </c>
      <c r="E16540" t="str">
        <f>"01 - A - 101 - Kyle  Robbins"</f>
        <v>01 - A - 101 - Kyle  Robbins</v>
      </c>
      <c r="F16540" t="str">
        <f>"US HISTORY"</f>
        <v>US HISTORY</v>
      </c>
      <c r="G16540" t="str">
        <f>"17-1745"</f>
        <v>17-1745</v>
      </c>
      <c r="H16540" t="str">
        <f>"A"</f>
        <v>A</v>
      </c>
    </row>
    <row r="16541" spans="1:8" x14ac:dyDescent="0.2">
      <c r="A16541" t="str">
        <f t="shared" si="5993"/>
        <v>0614076702</v>
      </c>
      <c r="B16541" t="str">
        <f t="shared" si="5994"/>
        <v>JERRION</v>
      </c>
      <c r="C16541" t="str">
        <f t="shared" si="5995"/>
        <v>ST FLEUR</v>
      </c>
      <c r="D16541">
        <f>11</f>
        <v>11</v>
      </c>
      <c r="E16541" t="str">
        <f>"08 - S1 - B - 104 - Richard E Dunbar Iii"</f>
        <v>08 - S1 - B - 104 - Richard E Dunbar Iii</v>
      </c>
      <c r="F16541" t="str">
        <f>"WEIGHT TRAIN 3"</f>
        <v>WEIGHT TRAIN 3</v>
      </c>
      <c r="G16541" t="str">
        <f>"05-501"</f>
        <v>05-501</v>
      </c>
      <c r="H16541" t="str">
        <f>"B"</f>
        <v>B</v>
      </c>
    </row>
    <row r="16542" spans="1:8" x14ac:dyDescent="0.2">
      <c r="A16542" t="str">
        <f t="shared" ref="A16542:A16549" si="5996">"0623120598"</f>
        <v>0623120598</v>
      </c>
      <c r="B16542" t="str">
        <f t="shared" ref="B16542:B16549" si="5997">"GENNISHA"</f>
        <v>GENNISHA</v>
      </c>
      <c r="C16542" t="str">
        <f t="shared" ref="C16542:C16549" si="5998">"ST. FLEUROSE"</f>
        <v>ST. FLEUROSE</v>
      </c>
      <c r="D16542" t="str">
        <f t="shared" ref="D16542:D16549" si="5999">"09"</f>
        <v>09</v>
      </c>
      <c r="E16542" t="str">
        <f>"04 - A - 004 - Krystal Marie  Beruty"</f>
        <v>04 - A - 004 - Krystal Marie  Beruty</v>
      </c>
      <c r="F16542" t="str">
        <f>"AICE GLBL PERSP 1 AS"</f>
        <v>AICE GLBL PERSP 1 AS</v>
      </c>
      <c r="G16542" t="str">
        <f>"17-1721"</f>
        <v>17-1721</v>
      </c>
      <c r="H16542" t="str">
        <f>"A"</f>
        <v>A</v>
      </c>
    </row>
    <row r="16543" spans="1:8" x14ac:dyDescent="0.2">
      <c r="A16543" t="str">
        <f t="shared" si="5996"/>
        <v>0623120598</v>
      </c>
      <c r="B16543" t="str">
        <f t="shared" si="5997"/>
        <v>GENNISHA</v>
      </c>
      <c r="C16543" t="str">
        <f t="shared" si="5998"/>
        <v>ST. FLEUROSE</v>
      </c>
      <c r="D16543" t="str">
        <f t="shared" si="5999"/>
        <v>09</v>
      </c>
      <c r="E16543" t="str">
        <f>"06 - B - 101 - Fernando  Vega-Cid"</f>
        <v>06 - B - 101 - Fernando  Vega-Cid</v>
      </c>
      <c r="F16543" t="str">
        <f>"PRE-AICE MATH 2 IG"</f>
        <v>PRE-AICE MATH 2 IG</v>
      </c>
      <c r="G16543" t="str">
        <f>"21-2163"</f>
        <v>21-2163</v>
      </c>
      <c r="H16543" t="str">
        <f>"B"</f>
        <v>B</v>
      </c>
    </row>
    <row r="16544" spans="1:8" x14ac:dyDescent="0.2">
      <c r="A16544" t="str">
        <f t="shared" si="5996"/>
        <v>0623120598</v>
      </c>
      <c r="B16544" t="str">
        <f t="shared" si="5997"/>
        <v>GENNISHA</v>
      </c>
      <c r="C16544" t="str">
        <f t="shared" si="5998"/>
        <v>ST. FLEUROSE</v>
      </c>
      <c r="D16544" t="str">
        <f t="shared" si="5999"/>
        <v>09</v>
      </c>
      <c r="E16544" t="str">
        <f>"03 - A - 103 - Marius D Orsolini"</f>
        <v>03 - A - 103 - Marius D Orsolini</v>
      </c>
      <c r="F16544" t="str">
        <f>"CULINARY ARTS 1"</f>
        <v>CULINARY ARTS 1</v>
      </c>
      <c r="G16544" t="str">
        <f>"21-2115"</f>
        <v>21-2115</v>
      </c>
      <c r="H16544" t="str">
        <f>"A"</f>
        <v>A</v>
      </c>
    </row>
    <row r="16545" spans="1:8" x14ac:dyDescent="0.2">
      <c r="A16545" t="str">
        <f t="shared" si="5996"/>
        <v>0623120598</v>
      </c>
      <c r="B16545" t="str">
        <f t="shared" si="5997"/>
        <v>GENNISHA</v>
      </c>
      <c r="C16545" t="str">
        <f t="shared" si="5998"/>
        <v>ST. FLEUROSE</v>
      </c>
      <c r="D16545" t="str">
        <f t="shared" si="5999"/>
        <v>09</v>
      </c>
      <c r="E16545" t="str">
        <f>"02 - A - 108 - Rory T Sponsler"</f>
        <v>02 - A - 108 - Rory T Sponsler</v>
      </c>
      <c r="F16545" t="str">
        <f>"NC STUDY HALL 1"</f>
        <v>NC STUDY HALL 1</v>
      </c>
      <c r="G16545" t="str">
        <f>"17-1740"</f>
        <v>17-1740</v>
      </c>
      <c r="H16545" t="str">
        <f>"A"</f>
        <v>A</v>
      </c>
    </row>
    <row r="16546" spans="1:8" x14ac:dyDescent="0.2">
      <c r="A16546" t="str">
        <f t="shared" si="5996"/>
        <v>0623120598</v>
      </c>
      <c r="B16546" t="str">
        <f t="shared" si="5997"/>
        <v>GENNISHA</v>
      </c>
      <c r="C16546" t="str">
        <f t="shared" si="5998"/>
        <v>ST. FLEUROSE</v>
      </c>
      <c r="D16546" t="str">
        <f t="shared" si="5999"/>
        <v>09</v>
      </c>
      <c r="E16546" t="str">
        <f>"07 - B - 105 - Joe  Kilpatrick Jr"</f>
        <v>07 - B - 105 - Joe  Kilpatrick Jr</v>
      </c>
      <c r="F16546" t="str">
        <f>"PRE-AICE SPAN 1 IG"</f>
        <v>PRE-AICE SPAN 1 IG</v>
      </c>
      <c r="G16546" t="str">
        <f>"09-912"</f>
        <v>09-912</v>
      </c>
      <c r="H16546" t="str">
        <f>"B"</f>
        <v>B</v>
      </c>
    </row>
    <row r="16547" spans="1:8" x14ac:dyDescent="0.2">
      <c r="A16547" t="str">
        <f t="shared" si="5996"/>
        <v>0623120598</v>
      </c>
      <c r="B16547" t="str">
        <f t="shared" si="5997"/>
        <v>GENNISHA</v>
      </c>
      <c r="C16547" t="str">
        <f t="shared" si="5998"/>
        <v>ST. FLEUROSE</v>
      </c>
      <c r="D16547" t="str">
        <f t="shared" si="5999"/>
        <v>09</v>
      </c>
      <c r="E16547" t="str">
        <f>"05 - B - 204 - Cheryl L Beach"</f>
        <v>05 - B - 204 - Cheryl L Beach</v>
      </c>
      <c r="F16547" t="str">
        <f>"AICE ENV MGMNT AS"</f>
        <v>AICE ENV MGMNT AS</v>
      </c>
      <c r="G16547" t="str">
        <f>"08-811"</f>
        <v>08-811</v>
      </c>
      <c r="H16547" t="str">
        <f>"B"</f>
        <v>B</v>
      </c>
    </row>
    <row r="16548" spans="1:8" x14ac:dyDescent="0.2">
      <c r="A16548" t="str">
        <f t="shared" si="5996"/>
        <v>0623120598</v>
      </c>
      <c r="B16548" t="str">
        <f t="shared" si="5997"/>
        <v>GENNISHA</v>
      </c>
      <c r="C16548" t="str">
        <f t="shared" si="5998"/>
        <v>ST. FLEUROSE</v>
      </c>
      <c r="D16548" t="str">
        <f t="shared" si="5999"/>
        <v>09</v>
      </c>
      <c r="E16548" t="str">
        <f>"01 - A - 101 - Arthur  Kulawik"</f>
        <v>01 - A - 101 - Arthur  Kulawik</v>
      </c>
      <c r="F16548" t="str">
        <f>"DEBATE 1 LH"</f>
        <v>DEBATE 1 LH</v>
      </c>
      <c r="G16548" t="str">
        <f>"05-506"</f>
        <v>05-506</v>
      </c>
      <c r="H16548" t="str">
        <f>"A"</f>
        <v>A</v>
      </c>
    </row>
    <row r="16549" spans="1:8" x14ac:dyDescent="0.2">
      <c r="A16549" t="str">
        <f t="shared" si="5996"/>
        <v>0623120598</v>
      </c>
      <c r="B16549" t="str">
        <f t="shared" si="5997"/>
        <v>GENNISHA</v>
      </c>
      <c r="C16549" t="str">
        <f t="shared" si="5998"/>
        <v>ST. FLEUROSE</v>
      </c>
      <c r="D16549" t="str">
        <f t="shared" si="5999"/>
        <v>09</v>
      </c>
      <c r="E16549" t="str">
        <f>"08 - B - 201 - Elizabeth R Walker"</f>
        <v>08 - B - 201 - Elizabeth R Walker</v>
      </c>
      <c r="F16549" t="str">
        <f>"AICE ENG GEN PAPER 1"</f>
        <v>AICE ENG GEN PAPER 1</v>
      </c>
      <c r="G16549" t="str">
        <f>"17-1703"</f>
        <v>17-1703</v>
      </c>
      <c r="H16549" t="str">
        <f>"B"</f>
        <v>B</v>
      </c>
    </row>
    <row r="16550" spans="1:8" x14ac:dyDescent="0.2">
      <c r="A16550" t="str">
        <f t="shared" ref="A16550:A16557" si="6000">"0614012063"</f>
        <v>0614012063</v>
      </c>
      <c r="B16550" t="str">
        <f t="shared" ref="B16550:B16557" si="6001">"AMIRI"</f>
        <v>AMIRI</v>
      </c>
      <c r="C16550" t="str">
        <f t="shared" ref="C16550:C16557" si="6002">"STIGGERS"</f>
        <v>STIGGERS</v>
      </c>
      <c r="D16550">
        <f>12</f>
        <v>12</v>
      </c>
      <c r="E16550" t="str">
        <f>"04 - A - 101 - Arthur  Kulawik"</f>
        <v>04 - A - 101 - Arthur  Kulawik</v>
      </c>
      <c r="F16550" t="str">
        <f>"DEBATE 3 HON"</f>
        <v>DEBATE 3 HON</v>
      </c>
      <c r="G16550" t="str">
        <f>"05-506"</f>
        <v>05-506</v>
      </c>
      <c r="H16550" t="str">
        <f>"A"</f>
        <v>A</v>
      </c>
    </row>
    <row r="16551" spans="1:8" x14ac:dyDescent="0.2">
      <c r="A16551" t="str">
        <f t="shared" si="6000"/>
        <v>0614012063</v>
      </c>
      <c r="B16551" t="str">
        <f t="shared" si="6001"/>
        <v>AMIRI</v>
      </c>
      <c r="C16551" t="str">
        <f t="shared" si="6002"/>
        <v>STIGGERS</v>
      </c>
      <c r="D16551">
        <f>12</f>
        <v>12</v>
      </c>
      <c r="E16551" t="str">
        <f>"06 - B - 107 - Pamela M Corzo"</f>
        <v>06 - B - 107 - Pamela M Corzo</v>
      </c>
      <c r="F16551" t="str">
        <f>"NC STUDY HALL 1"</f>
        <v>NC STUDY HALL 1</v>
      </c>
      <c r="G16551" t="str">
        <f>"21-2133"</f>
        <v>21-2133</v>
      </c>
      <c r="H16551" t="str">
        <f>"B"</f>
        <v>B</v>
      </c>
    </row>
    <row r="16552" spans="1:8" x14ac:dyDescent="0.2">
      <c r="A16552" t="str">
        <f t="shared" si="6000"/>
        <v>0614012063</v>
      </c>
      <c r="B16552" t="str">
        <f t="shared" si="6001"/>
        <v>AMIRI</v>
      </c>
      <c r="C16552" t="str">
        <f t="shared" si="6002"/>
        <v>STIGGERS</v>
      </c>
      <c r="D16552">
        <f>12</f>
        <v>12</v>
      </c>
      <c r="E16552" t="str">
        <f>"03 - A - 103 - Samantha J Headley"</f>
        <v>03 - A - 103 - Samantha J Headley</v>
      </c>
      <c r="F16552" t="str">
        <f>"MARINE SCI 1 HON"</f>
        <v>MARINE SCI 1 HON</v>
      </c>
      <c r="G16552" t="str">
        <f>"21-2134"</f>
        <v>21-2134</v>
      </c>
      <c r="H16552" t="str">
        <f>"A"</f>
        <v>A</v>
      </c>
    </row>
    <row r="16553" spans="1:8" x14ac:dyDescent="0.2">
      <c r="A16553" t="str">
        <f t="shared" si="6000"/>
        <v>0614012063</v>
      </c>
      <c r="B16553" t="str">
        <f t="shared" si="6001"/>
        <v>AMIRI</v>
      </c>
      <c r="C16553" t="str">
        <f t="shared" si="6002"/>
        <v>STIGGERS</v>
      </c>
      <c r="D16553">
        <f>12</f>
        <v>12</v>
      </c>
      <c r="E16553" t="str">
        <f>"02 - A - 101 - Robert H Rindner"</f>
        <v>02 - A - 101 - Robert H Rindner</v>
      </c>
      <c r="F16553" t="str">
        <f>"MATH DATA&amp;FIN LIT H"</f>
        <v>MATH DATA&amp;FIN LIT H</v>
      </c>
      <c r="G16553" t="str">
        <f>"21-2160"</f>
        <v>21-2160</v>
      </c>
      <c r="H16553" t="str">
        <f>"A"</f>
        <v>A</v>
      </c>
    </row>
    <row r="16554" spans="1:8" x14ac:dyDescent="0.2">
      <c r="A16554" t="str">
        <f t="shared" si="6000"/>
        <v>0614012063</v>
      </c>
      <c r="B16554" t="str">
        <f t="shared" si="6001"/>
        <v>AMIRI</v>
      </c>
      <c r="C16554" t="str">
        <f t="shared" si="6002"/>
        <v>STIGGERS</v>
      </c>
      <c r="D16554">
        <f>12</f>
        <v>12</v>
      </c>
      <c r="E16554" t="str">
        <f>"07 - S1 - B - 107 - Kelly N Panza"</f>
        <v>07 - S1 - B - 107 - Kelly N Panza</v>
      </c>
      <c r="F16554" t="str">
        <f>"US GOVT HON"</f>
        <v>US GOVT HON</v>
      </c>
      <c r="G16554" t="str">
        <f>"17-1753"</f>
        <v>17-1753</v>
      </c>
      <c r="H16554" t="str">
        <f>"B"</f>
        <v>B</v>
      </c>
    </row>
    <row r="16555" spans="1:8" x14ac:dyDescent="0.2">
      <c r="A16555" t="str">
        <f t="shared" si="6000"/>
        <v>0614012063</v>
      </c>
      <c r="B16555" t="str">
        <f t="shared" si="6001"/>
        <v>AMIRI</v>
      </c>
      <c r="C16555" t="str">
        <f t="shared" si="6002"/>
        <v>STIGGERS</v>
      </c>
      <c r="D16555">
        <f>12</f>
        <v>12</v>
      </c>
      <c r="E16555" t="str">
        <f>"05 - S1 - B - 102 - Richard E Dunbar Iii"</f>
        <v>05 - S1 - B - 102 - Richard E Dunbar Iii</v>
      </c>
      <c r="F16555" t="str">
        <f>"TEAM SPORTS 1"</f>
        <v>TEAM SPORTS 1</v>
      </c>
      <c r="G16555" t="str">
        <f>"04-254"</f>
        <v>04-254</v>
      </c>
      <c r="H16555" t="str">
        <f>"B"</f>
        <v>B</v>
      </c>
    </row>
    <row r="16556" spans="1:8" x14ac:dyDescent="0.2">
      <c r="A16556" t="str">
        <f t="shared" si="6000"/>
        <v>0614012063</v>
      </c>
      <c r="B16556" t="str">
        <f t="shared" si="6001"/>
        <v>AMIRI</v>
      </c>
      <c r="C16556" t="str">
        <f t="shared" si="6002"/>
        <v>STIGGERS</v>
      </c>
      <c r="D16556">
        <f>12</f>
        <v>12</v>
      </c>
      <c r="E16556" t="str">
        <f>"01 - A - 101 - Brandy N Zdenek"</f>
        <v>01 - A - 101 - Brandy N Zdenek</v>
      </c>
      <c r="F16556" t="str">
        <f>"AICE ENG LANG 2 AL"</f>
        <v>AICE ENG LANG 2 AL</v>
      </c>
      <c r="G16556" t="str">
        <f>"17-1704"</f>
        <v>17-1704</v>
      </c>
      <c r="H16556" t="str">
        <f>"A"</f>
        <v>A</v>
      </c>
    </row>
    <row r="16557" spans="1:8" x14ac:dyDescent="0.2">
      <c r="A16557" t="str">
        <f t="shared" si="6000"/>
        <v>0614012063</v>
      </c>
      <c r="B16557" t="str">
        <f t="shared" si="6001"/>
        <v>AMIRI</v>
      </c>
      <c r="C16557" t="str">
        <f t="shared" si="6002"/>
        <v>STIGGERS</v>
      </c>
      <c r="D16557">
        <f>12</f>
        <v>12</v>
      </c>
      <c r="E16557" t="str">
        <f>"08 - S1 - B - 101 - Amy Beth  Broyles"</f>
        <v>08 - S1 - B - 101 - Amy Beth  Broyles</v>
      </c>
      <c r="F16557" t="str">
        <f>"PEER COUN 3"</f>
        <v>PEER COUN 3</v>
      </c>
      <c r="G16557" t="str">
        <f>"17-1713"</f>
        <v>17-1713</v>
      </c>
      <c r="H16557" t="str">
        <f>"B"</f>
        <v>B</v>
      </c>
    </row>
    <row r="16558" spans="1:8" x14ac:dyDescent="0.2">
      <c r="A16558" t="str">
        <f t="shared" ref="A16558:A16565" si="6003">"0614121503"</f>
        <v>0614121503</v>
      </c>
      <c r="B16558" t="str">
        <f t="shared" ref="B16558:B16565" si="6004">"KASEY"</f>
        <v>KASEY</v>
      </c>
      <c r="C16558" t="str">
        <f t="shared" ref="C16558:C16573" si="6005">"STINCHCOMB"</f>
        <v>STINCHCOMB</v>
      </c>
      <c r="D16558">
        <f>11</f>
        <v>11</v>
      </c>
      <c r="E16558" t="str">
        <f>"04 - A - 101 - Brian M Fitzgerald"</f>
        <v>04 - A - 101 - Brian M Fitzgerald</v>
      </c>
      <c r="F16558" t="str">
        <f>"AP 2-D ART &amp; DESIGN"</f>
        <v>AP 2-D ART &amp; DESIGN</v>
      </c>
      <c r="G16558" t="str">
        <f>"09-908"</f>
        <v>09-908</v>
      </c>
      <c r="H16558" t="str">
        <f>"A"</f>
        <v>A</v>
      </c>
    </row>
    <row r="16559" spans="1:8" x14ac:dyDescent="0.2">
      <c r="A16559" t="str">
        <f t="shared" si="6003"/>
        <v>0614121503</v>
      </c>
      <c r="B16559" t="str">
        <f t="shared" si="6004"/>
        <v>KASEY</v>
      </c>
      <c r="C16559" t="str">
        <f t="shared" si="6005"/>
        <v>STINCHCOMB</v>
      </c>
      <c r="D16559">
        <f>11</f>
        <v>11</v>
      </c>
      <c r="E16559" t="str">
        <f>"06 - B - 102 - Rosa Elaine  Collado-Duff"</f>
        <v>06 - B - 102 - Rosa Elaine  Collado-Duff</v>
      </c>
      <c r="F16559" t="str">
        <f>"SPANISH 3 HON"</f>
        <v>SPANISH 3 HON</v>
      </c>
      <c r="G16559" t="str">
        <f>"09-913"</f>
        <v>09-913</v>
      </c>
      <c r="H16559" t="str">
        <f>"B"</f>
        <v>B</v>
      </c>
    </row>
    <row r="16560" spans="1:8" x14ac:dyDescent="0.2">
      <c r="A16560" t="str">
        <f t="shared" si="6003"/>
        <v>0614121503</v>
      </c>
      <c r="B16560" t="str">
        <f t="shared" si="6004"/>
        <v>KASEY</v>
      </c>
      <c r="C16560" t="str">
        <f t="shared" si="6005"/>
        <v>STINCHCOMB</v>
      </c>
      <c r="D16560">
        <f>11</f>
        <v>11</v>
      </c>
      <c r="E16560" t="str">
        <f>"03 - A - 106 - Krystal Marie  Beruty"</f>
        <v>03 - A - 106 - Krystal Marie  Beruty</v>
      </c>
      <c r="F16560" t="str">
        <f>"AICE PSYCH 1 AS"</f>
        <v>AICE PSYCH 1 AS</v>
      </c>
      <c r="G16560" t="str">
        <f>"17-1721"</f>
        <v>17-1721</v>
      </c>
      <c r="H16560" t="str">
        <f>"A"</f>
        <v>A</v>
      </c>
    </row>
    <row r="16561" spans="1:8" x14ac:dyDescent="0.2">
      <c r="A16561" t="str">
        <f t="shared" si="6003"/>
        <v>0614121503</v>
      </c>
      <c r="B16561" t="str">
        <f t="shared" si="6004"/>
        <v>KASEY</v>
      </c>
      <c r="C16561" t="str">
        <f t="shared" si="6005"/>
        <v>STINCHCOMB</v>
      </c>
      <c r="D16561">
        <f>11</f>
        <v>11</v>
      </c>
      <c r="E16561" t="str">
        <f>"02 - A - 104 - Dayna M Foster"</f>
        <v>02 - A - 104 - Dayna M Foster</v>
      </c>
      <c r="F16561" t="str">
        <f>"NC STUDY HALL 1"</f>
        <v>NC STUDY HALL 1</v>
      </c>
      <c r="G16561" t="str">
        <f>"21-2109"</f>
        <v>21-2109</v>
      </c>
      <c r="H16561" t="str">
        <f>"A"</f>
        <v>A</v>
      </c>
    </row>
    <row r="16562" spans="1:8" x14ac:dyDescent="0.2">
      <c r="A16562" t="str">
        <f t="shared" si="6003"/>
        <v>0614121503</v>
      </c>
      <c r="B16562" t="str">
        <f t="shared" si="6004"/>
        <v>KASEY</v>
      </c>
      <c r="C16562" t="str">
        <f t="shared" si="6005"/>
        <v>STINCHCOMB</v>
      </c>
      <c r="D16562">
        <f>11</f>
        <v>11</v>
      </c>
      <c r="E16562" t="str">
        <f>"07 - B - 104 - Jerry S Jiampetti"</f>
        <v>07 - B - 104 - Jerry S Jiampetti</v>
      </c>
      <c r="F16562" t="str">
        <f>"AICE U.S. HIST 1 AS"</f>
        <v>AICE U.S. HIST 1 AS</v>
      </c>
      <c r="G16562" t="str">
        <f>"17-1751"</f>
        <v>17-1751</v>
      </c>
      <c r="H16562" t="str">
        <f>"B"</f>
        <v>B</v>
      </c>
    </row>
    <row r="16563" spans="1:8" x14ac:dyDescent="0.2">
      <c r="A16563" t="str">
        <f t="shared" si="6003"/>
        <v>0614121503</v>
      </c>
      <c r="B16563" t="str">
        <f t="shared" si="6004"/>
        <v>KASEY</v>
      </c>
      <c r="C16563" t="str">
        <f t="shared" si="6005"/>
        <v>STINCHCOMB</v>
      </c>
      <c r="D16563">
        <f>11</f>
        <v>11</v>
      </c>
      <c r="E16563" t="str">
        <f>"05 - B - 103 - Tina M Jaramillo"</f>
        <v>05 - B - 103 - Tina M Jaramillo</v>
      </c>
      <c r="F16563" t="str">
        <f>"AP ENG COMPO"</f>
        <v>AP ENG COMPO</v>
      </c>
      <c r="G16563" t="str">
        <f>"17-1706"</f>
        <v>17-1706</v>
      </c>
      <c r="H16563" t="str">
        <f>"B"</f>
        <v>B</v>
      </c>
    </row>
    <row r="16564" spans="1:8" x14ac:dyDescent="0.2">
      <c r="A16564" t="str">
        <f t="shared" si="6003"/>
        <v>0614121503</v>
      </c>
      <c r="B16564" t="str">
        <f t="shared" si="6004"/>
        <v>KASEY</v>
      </c>
      <c r="C16564" t="str">
        <f t="shared" si="6005"/>
        <v>STINCHCOMB</v>
      </c>
      <c r="D16564">
        <f>11</f>
        <v>11</v>
      </c>
      <c r="E16564" t="str">
        <f>"01 - A - 101 - Thomas G Handwerg"</f>
        <v>01 - A - 101 - Thomas G Handwerg</v>
      </c>
      <c r="F16564" t="str">
        <f>"PROB STAT W/APPS HON"</f>
        <v>PROB STAT W/APPS HON</v>
      </c>
      <c r="G16564" t="str">
        <f>"21-2146"</f>
        <v>21-2146</v>
      </c>
      <c r="H16564" t="str">
        <f>"A"</f>
        <v>A</v>
      </c>
    </row>
    <row r="16565" spans="1:8" x14ac:dyDescent="0.2">
      <c r="A16565" t="str">
        <f t="shared" si="6003"/>
        <v>0614121503</v>
      </c>
      <c r="B16565" t="str">
        <f t="shared" si="6004"/>
        <v>KASEY</v>
      </c>
      <c r="C16565" t="str">
        <f t="shared" si="6005"/>
        <v>STINCHCOMB</v>
      </c>
      <c r="D16565">
        <f>11</f>
        <v>11</v>
      </c>
      <c r="E16565" t="str">
        <f>"08 - B - 201 - Stacey A Blecker"</f>
        <v>08 - B - 201 - Stacey A Blecker</v>
      </c>
      <c r="F16565" t="str">
        <f>"AICE SOCIOLOGY 1 AS"</f>
        <v>AICE SOCIOLOGY 1 AS</v>
      </c>
      <c r="G16565" t="str">
        <f>"09-926"</f>
        <v>09-926</v>
      </c>
      <c r="H16565" t="str">
        <f>"B"</f>
        <v>B</v>
      </c>
    </row>
    <row r="16566" spans="1:8" x14ac:dyDescent="0.2">
      <c r="A16566" t="str">
        <f t="shared" ref="A16566:A16573" si="6006">"0616141055"</f>
        <v>0616141055</v>
      </c>
      <c r="B16566" t="str">
        <f t="shared" ref="B16566:B16573" si="6007">"STELLA"</f>
        <v>STELLA</v>
      </c>
      <c r="C16566" t="str">
        <f t="shared" si="6005"/>
        <v>STINCHCOMB</v>
      </c>
      <c r="D16566" t="str">
        <f t="shared" ref="D16566:D16573" si="6008">"09"</f>
        <v>09</v>
      </c>
      <c r="E16566" t="str">
        <f>"04 - A - 102 - Byron G Montenegro"</f>
        <v>04 - A - 102 - Byron G Montenegro</v>
      </c>
      <c r="F16566" t="str">
        <f>"AICE MARINE SCI 1 AS"</f>
        <v>AICE MARINE SCI 1 AS</v>
      </c>
      <c r="G16566" t="str">
        <f>"21-2144"</f>
        <v>21-2144</v>
      </c>
      <c r="H16566" t="str">
        <f>"A"</f>
        <v>A</v>
      </c>
    </row>
    <row r="16567" spans="1:8" x14ac:dyDescent="0.2">
      <c r="A16567" t="str">
        <f t="shared" si="6006"/>
        <v>0616141055</v>
      </c>
      <c r="B16567" t="str">
        <f t="shared" si="6007"/>
        <v>STELLA</v>
      </c>
      <c r="C16567" t="str">
        <f t="shared" si="6005"/>
        <v>STINCHCOMB</v>
      </c>
      <c r="D16567" t="str">
        <f t="shared" si="6008"/>
        <v>09</v>
      </c>
      <c r="E16567" t="str">
        <f>"06 - B - 106 - Marius D Orsolini"</f>
        <v>06 - B - 106 - Marius D Orsolini</v>
      </c>
      <c r="F16567" t="str">
        <f>"CULINARY ARTS 1"</f>
        <v>CULINARY ARTS 1</v>
      </c>
      <c r="G16567" t="str">
        <f>"21-2115"</f>
        <v>21-2115</v>
      </c>
      <c r="H16567" t="str">
        <f>"B"</f>
        <v>B</v>
      </c>
    </row>
    <row r="16568" spans="1:8" x14ac:dyDescent="0.2">
      <c r="A16568" t="str">
        <f t="shared" si="6006"/>
        <v>0616141055</v>
      </c>
      <c r="B16568" t="str">
        <f t="shared" si="6007"/>
        <v>STELLA</v>
      </c>
      <c r="C16568" t="str">
        <f t="shared" si="6005"/>
        <v>STINCHCOMB</v>
      </c>
      <c r="D16568" t="str">
        <f t="shared" si="6008"/>
        <v>09</v>
      </c>
      <c r="E16568" t="str">
        <f>"03 - A - 101 - Samantha L Martinez"</f>
        <v>03 - A - 101 - Samantha L Martinez</v>
      </c>
      <c r="F16568" t="str">
        <f>"VOCAL ENS 1"</f>
        <v>VOCAL ENS 1</v>
      </c>
      <c r="G16568" t="str">
        <f>"05-505"</f>
        <v>05-505</v>
      </c>
      <c r="H16568" t="str">
        <f>"A"</f>
        <v>A</v>
      </c>
    </row>
    <row r="16569" spans="1:8" x14ac:dyDescent="0.2">
      <c r="A16569" t="str">
        <f t="shared" si="6006"/>
        <v>0616141055</v>
      </c>
      <c r="B16569" t="str">
        <f t="shared" si="6007"/>
        <v>STELLA</v>
      </c>
      <c r="C16569" t="str">
        <f t="shared" si="6005"/>
        <v>STINCHCOMB</v>
      </c>
      <c r="D16569" t="str">
        <f t="shared" si="6008"/>
        <v>09</v>
      </c>
      <c r="E16569" t="str">
        <f>"02 - A - 102 - Samantha J Headley"</f>
        <v>02 - A - 102 - Samantha J Headley</v>
      </c>
      <c r="F16569" t="str">
        <f>"NC STUDY HALL 1"</f>
        <v>NC STUDY HALL 1</v>
      </c>
      <c r="G16569" t="str">
        <f>"21-2134"</f>
        <v>21-2134</v>
      </c>
      <c r="H16569" t="str">
        <f>"A"</f>
        <v>A</v>
      </c>
    </row>
    <row r="16570" spans="1:8" x14ac:dyDescent="0.2">
      <c r="A16570" t="str">
        <f t="shared" si="6006"/>
        <v>0616141055</v>
      </c>
      <c r="B16570" t="str">
        <f t="shared" si="6007"/>
        <v>STELLA</v>
      </c>
      <c r="C16570" t="str">
        <f t="shared" si="6005"/>
        <v>STINCHCOMB</v>
      </c>
      <c r="D16570" t="str">
        <f t="shared" si="6008"/>
        <v>09</v>
      </c>
      <c r="E16570" t="str">
        <f>"07 - B - 207 - Krystal Marie  Beruty"</f>
        <v>07 - B - 207 - Krystal Marie  Beruty</v>
      </c>
      <c r="F16570" t="str">
        <f>"AICE GLBL PERSP 1 AS"</f>
        <v>AICE GLBL PERSP 1 AS</v>
      </c>
      <c r="G16570" t="str">
        <f>"17-1721"</f>
        <v>17-1721</v>
      </c>
      <c r="H16570" t="str">
        <f>"B"</f>
        <v>B</v>
      </c>
    </row>
    <row r="16571" spans="1:8" x14ac:dyDescent="0.2">
      <c r="A16571" t="str">
        <f t="shared" si="6006"/>
        <v>0616141055</v>
      </c>
      <c r="B16571" t="str">
        <f t="shared" si="6007"/>
        <v>STELLA</v>
      </c>
      <c r="C16571" t="str">
        <f t="shared" si="6005"/>
        <v>STINCHCOMB</v>
      </c>
      <c r="D16571" t="str">
        <f t="shared" si="6008"/>
        <v>09</v>
      </c>
      <c r="E16571" t="str">
        <f>"05 - B - 103 - Brook E Goren"</f>
        <v>05 - B - 103 - Brook E Goren</v>
      </c>
      <c r="F16571" t="str">
        <f>"PRE-AICE MATH 2 IG"</f>
        <v>PRE-AICE MATH 2 IG</v>
      </c>
      <c r="G16571" t="str">
        <f>"21-2158"</f>
        <v>21-2158</v>
      </c>
      <c r="H16571" t="str">
        <f>"B"</f>
        <v>B</v>
      </c>
    </row>
    <row r="16572" spans="1:8" x14ac:dyDescent="0.2">
      <c r="A16572" t="str">
        <f t="shared" si="6006"/>
        <v>0616141055</v>
      </c>
      <c r="B16572" t="str">
        <f t="shared" si="6007"/>
        <v>STELLA</v>
      </c>
      <c r="C16572" t="str">
        <f t="shared" si="6005"/>
        <v>STINCHCOMB</v>
      </c>
      <c r="D16572" t="str">
        <f t="shared" si="6008"/>
        <v>09</v>
      </c>
      <c r="E16572" t="str">
        <f>"01 - A - 101 - Joe  Kilpatrick Jr"</f>
        <v>01 - A - 101 - Joe  Kilpatrick Jr</v>
      </c>
      <c r="F16572" t="str">
        <f>"PRE-AICE SPAN 1 IG"</f>
        <v>PRE-AICE SPAN 1 IG</v>
      </c>
      <c r="G16572" t="str">
        <f>"09-912"</f>
        <v>09-912</v>
      </c>
      <c r="H16572" t="str">
        <f>"A"</f>
        <v>A</v>
      </c>
    </row>
    <row r="16573" spans="1:8" x14ac:dyDescent="0.2">
      <c r="A16573" t="str">
        <f t="shared" si="6006"/>
        <v>0616141055</v>
      </c>
      <c r="B16573" t="str">
        <f t="shared" si="6007"/>
        <v>STELLA</v>
      </c>
      <c r="C16573" t="str">
        <f t="shared" si="6005"/>
        <v>STINCHCOMB</v>
      </c>
      <c r="D16573" t="str">
        <f t="shared" si="6008"/>
        <v>09</v>
      </c>
      <c r="E16573" t="str">
        <f>"08 - B - 201 - Elizabeth R Walker"</f>
        <v>08 - B - 201 - Elizabeth R Walker</v>
      </c>
      <c r="F16573" t="str">
        <f>"AICE ENG GEN PAPER 1"</f>
        <v>AICE ENG GEN PAPER 1</v>
      </c>
      <c r="G16573" t="str">
        <f>"17-1703"</f>
        <v>17-1703</v>
      </c>
      <c r="H16573" t="str">
        <f>"B"</f>
        <v>B</v>
      </c>
    </row>
    <row r="16574" spans="1:8" x14ac:dyDescent="0.2">
      <c r="A16574" t="str">
        <f t="shared" ref="A16574:A16581" si="6009">"0614036302"</f>
        <v>0614036302</v>
      </c>
      <c r="B16574" t="str">
        <f t="shared" ref="B16574:B16581" si="6010">"STEPHON"</f>
        <v>STEPHON</v>
      </c>
      <c r="C16574" t="str">
        <f t="shared" ref="C16574:C16581" si="6011">"STINFIL"</f>
        <v>STINFIL</v>
      </c>
      <c r="D16574">
        <f>12</f>
        <v>12</v>
      </c>
      <c r="E16574" t="str">
        <f>"04 - S1 - A - 105 - Robert O Burger"</f>
        <v>04 - S1 - A - 105 - Robert O Burger</v>
      </c>
      <c r="F16574" t="str">
        <f>"US GOVT"</f>
        <v>US GOVT</v>
      </c>
      <c r="G16574" t="str">
        <f>"17-1755"</f>
        <v>17-1755</v>
      </c>
      <c r="H16574" t="str">
        <f>"A"</f>
        <v>A</v>
      </c>
    </row>
    <row r="16575" spans="1:8" x14ac:dyDescent="0.2">
      <c r="A16575" t="str">
        <f t="shared" si="6009"/>
        <v>0614036302</v>
      </c>
      <c r="B16575" t="str">
        <f t="shared" si="6010"/>
        <v>STEPHON</v>
      </c>
      <c r="C16575" t="str">
        <f t="shared" si="6011"/>
        <v>STINFIL</v>
      </c>
      <c r="D16575">
        <f>12</f>
        <v>12</v>
      </c>
      <c r="E16575" t="str">
        <f>"06 - B - 109 - Carol S Moore"</f>
        <v>06 - B - 109 - Carol S Moore</v>
      </c>
      <c r="F16575" t="str">
        <f>"NC STUDY HALL 1"</f>
        <v>NC STUDY HALL 1</v>
      </c>
      <c r="G16575" t="str">
        <f>"17-1733"</f>
        <v>17-1733</v>
      </c>
      <c r="H16575" t="str">
        <f>"B"</f>
        <v>B</v>
      </c>
    </row>
    <row r="16576" spans="1:8" x14ac:dyDescent="0.2">
      <c r="A16576" t="str">
        <f t="shared" si="6009"/>
        <v>0614036302</v>
      </c>
      <c r="B16576" t="str">
        <f t="shared" si="6010"/>
        <v>STEPHON</v>
      </c>
      <c r="C16576" t="str">
        <f t="shared" si="6011"/>
        <v>STINFIL</v>
      </c>
      <c r="D16576">
        <f>12</f>
        <v>12</v>
      </c>
      <c r="E16576" t="str">
        <f>"03 - S1 - A - 102 - Angela S Adeshina-Morrison"</f>
        <v>03 - S1 - A - 102 - Angela S Adeshina-Morrison</v>
      </c>
      <c r="F16576" t="str">
        <f>"PEER COUN 1"</f>
        <v>PEER COUN 1</v>
      </c>
      <c r="G16576" t="str">
        <f>"05-518"</f>
        <v>05-518</v>
      </c>
      <c r="H16576" t="str">
        <f>"A"</f>
        <v>A</v>
      </c>
    </row>
    <row r="16577" spans="1:8" x14ac:dyDescent="0.2">
      <c r="A16577" t="str">
        <f t="shared" si="6009"/>
        <v>0614036302</v>
      </c>
      <c r="B16577" t="str">
        <f t="shared" si="6010"/>
        <v>STEPHON</v>
      </c>
      <c r="C16577" t="str">
        <f t="shared" si="6011"/>
        <v>STINFIL</v>
      </c>
      <c r="D16577">
        <f>12</f>
        <v>12</v>
      </c>
      <c r="E16577" t="str">
        <f>"02 - A - 101 - Robert H Rindner"</f>
        <v>02 - A - 101 - Robert H Rindner</v>
      </c>
      <c r="F16577" t="str">
        <f>"MATH DATA&amp;FIN LIT H"</f>
        <v>MATH DATA&amp;FIN LIT H</v>
      </c>
      <c r="G16577" t="str">
        <f>"21-2160"</f>
        <v>21-2160</v>
      </c>
      <c r="H16577" t="str">
        <f>"A"</f>
        <v>A</v>
      </c>
    </row>
    <row r="16578" spans="1:8" x14ac:dyDescent="0.2">
      <c r="A16578" t="str">
        <f t="shared" si="6009"/>
        <v>0614036302</v>
      </c>
      <c r="B16578" t="str">
        <f t="shared" si="6010"/>
        <v>STEPHON</v>
      </c>
      <c r="C16578" t="str">
        <f t="shared" si="6011"/>
        <v>STINFIL</v>
      </c>
      <c r="D16578">
        <f>12</f>
        <v>12</v>
      </c>
      <c r="E16578" t="str">
        <f>"07 - B - 104 - Robyn L Trainer"</f>
        <v>07 - B - 104 - Robyn L Trainer</v>
      </c>
      <c r="F16578" t="str">
        <f>"ENG 4"</f>
        <v>ENG 4</v>
      </c>
      <c r="G16578" t="str">
        <f>"17-1734"</f>
        <v>17-1734</v>
      </c>
      <c r="H16578" t="str">
        <f>"B"</f>
        <v>B</v>
      </c>
    </row>
    <row r="16579" spans="1:8" x14ac:dyDescent="0.2">
      <c r="A16579" t="str">
        <f t="shared" si="6009"/>
        <v>0614036302</v>
      </c>
      <c r="B16579" t="str">
        <f t="shared" si="6010"/>
        <v>STEPHON</v>
      </c>
      <c r="C16579" t="str">
        <f t="shared" si="6011"/>
        <v>STINFIL</v>
      </c>
      <c r="D16579">
        <f>12</f>
        <v>12</v>
      </c>
      <c r="E16579" t="str">
        <f>"05 - B - 207 - Marielle A Witting"</f>
        <v>05 - B - 207 - Marielle A Witting</v>
      </c>
      <c r="F16579" t="str">
        <f>"ANAT PHYSIO"</f>
        <v>ANAT PHYSIO</v>
      </c>
      <c r="G16579" t="str">
        <f>"08-805"</f>
        <v>08-805</v>
      </c>
      <c r="H16579" t="str">
        <f>"B"</f>
        <v>B</v>
      </c>
    </row>
    <row r="16580" spans="1:8" x14ac:dyDescent="0.2">
      <c r="A16580" t="str">
        <f t="shared" si="6009"/>
        <v>0614036302</v>
      </c>
      <c r="B16580" t="str">
        <f t="shared" si="6010"/>
        <v>STEPHON</v>
      </c>
      <c r="C16580" t="str">
        <f t="shared" si="6011"/>
        <v>STINFIL</v>
      </c>
      <c r="D16580">
        <f>12</f>
        <v>12</v>
      </c>
      <c r="E16580" t="str">
        <f>"01 - S1 - A - 101 - Richard E Dunbar Iii"</f>
        <v>01 - S1 - A - 101 - Richard E Dunbar Iii</v>
      </c>
      <c r="F16580" t="str">
        <f>"WEIGHT TRAIN 3"</f>
        <v>WEIGHT TRAIN 3</v>
      </c>
      <c r="G16580" t="str">
        <f>"05-501"</f>
        <v>05-501</v>
      </c>
      <c r="H16580" t="str">
        <f>"A"</f>
        <v>A</v>
      </c>
    </row>
    <row r="16581" spans="1:8" x14ac:dyDescent="0.2">
      <c r="A16581" t="str">
        <f t="shared" si="6009"/>
        <v>0614036302</v>
      </c>
      <c r="B16581" t="str">
        <f t="shared" si="6010"/>
        <v>STEPHON</v>
      </c>
      <c r="C16581" t="str">
        <f t="shared" si="6011"/>
        <v>STINFIL</v>
      </c>
      <c r="D16581">
        <f>12</f>
        <v>12</v>
      </c>
      <c r="E16581" t="str">
        <f>"08 - B - 201 - Vanessa J Liburd"</f>
        <v>08 - B - 201 - Vanessa J Liburd</v>
      </c>
      <c r="F16581" t="str">
        <f>"FRENCH 3 HON"</f>
        <v>FRENCH 3 HON</v>
      </c>
      <c r="G16581" t="str">
        <f>"05-519"</f>
        <v>05-519</v>
      </c>
      <c r="H16581" t="str">
        <f>"B"</f>
        <v>B</v>
      </c>
    </row>
    <row r="16582" spans="1:8" x14ac:dyDescent="0.2">
      <c r="A16582" t="str">
        <f t="shared" ref="A16582:A16589" si="6012">"0615023251"</f>
        <v>0615023251</v>
      </c>
      <c r="B16582" t="str">
        <f t="shared" ref="B16582:B16589" si="6013">"MYANA"</f>
        <v>MYANA</v>
      </c>
      <c r="C16582" t="str">
        <f t="shared" ref="C16582:C16589" si="6014">"STORM-KITTLER"</f>
        <v>STORM-KITTLER</v>
      </c>
      <c r="D16582">
        <f>11</f>
        <v>11</v>
      </c>
      <c r="E16582" t="str">
        <f>"04 - A - 201 - Christa T Parisi"</f>
        <v>04 - A - 201 - Christa T Parisi</v>
      </c>
      <c r="F16582" t="str">
        <f>"DANCE TECHNQS 3 HON"</f>
        <v>DANCE TECHNQS 3 HON</v>
      </c>
      <c r="G16582" t="str">
        <f>"05-503"</f>
        <v>05-503</v>
      </c>
      <c r="H16582" t="str">
        <f>"A"</f>
        <v>A</v>
      </c>
    </row>
    <row r="16583" spans="1:8" x14ac:dyDescent="0.2">
      <c r="A16583" t="str">
        <f t="shared" si="6012"/>
        <v>0615023251</v>
      </c>
      <c r="B16583" t="str">
        <f t="shared" si="6013"/>
        <v>MYANA</v>
      </c>
      <c r="C16583" t="str">
        <f t="shared" si="6014"/>
        <v>STORM-KITTLER</v>
      </c>
      <c r="D16583">
        <f>11</f>
        <v>11</v>
      </c>
      <c r="E16583" t="str">
        <f>"06 - B - 002 - Kyle  Robbins"</f>
        <v>06 - B - 002 - Kyle  Robbins</v>
      </c>
      <c r="F16583" t="str">
        <f>"US HISTORY HON"</f>
        <v>US HISTORY HON</v>
      </c>
      <c r="G16583" t="str">
        <f>"17-1745"</f>
        <v>17-1745</v>
      </c>
      <c r="H16583" t="str">
        <f>"B"</f>
        <v>B</v>
      </c>
    </row>
    <row r="16584" spans="1:8" x14ac:dyDescent="0.2">
      <c r="A16584" t="str">
        <f t="shared" si="6012"/>
        <v>0615023251</v>
      </c>
      <c r="B16584" t="str">
        <f t="shared" si="6013"/>
        <v>MYANA</v>
      </c>
      <c r="C16584" t="str">
        <f t="shared" si="6014"/>
        <v>STORM-KITTLER</v>
      </c>
      <c r="D16584">
        <f>11</f>
        <v>11</v>
      </c>
      <c r="E16584" t="str">
        <f>"03 - A - 102 - Semra  Bahadir"</f>
        <v>03 - A - 102 - Semra  Bahadir</v>
      </c>
      <c r="F16584" t="str">
        <f>"ALGEBRA 2"</f>
        <v>ALGEBRA 2</v>
      </c>
      <c r="G16584" t="str">
        <f>"21-2107"</f>
        <v>21-2107</v>
      </c>
      <c r="H16584" t="str">
        <f>"A"</f>
        <v>A</v>
      </c>
    </row>
    <row r="16585" spans="1:8" x14ac:dyDescent="0.2">
      <c r="A16585" t="str">
        <f t="shared" si="6012"/>
        <v>0615023251</v>
      </c>
      <c r="B16585" t="str">
        <f t="shared" si="6013"/>
        <v>MYANA</v>
      </c>
      <c r="C16585" t="str">
        <f t="shared" si="6014"/>
        <v>STORM-KITTLER</v>
      </c>
      <c r="D16585">
        <f>11</f>
        <v>11</v>
      </c>
      <c r="E16585" t="str">
        <f>"02 - A - 104 - Dayna M Foster"</f>
        <v>02 - A - 104 - Dayna M Foster</v>
      </c>
      <c r="F16585" t="str">
        <f>"NC STUDY HALL 1"</f>
        <v>NC STUDY HALL 1</v>
      </c>
      <c r="G16585" t="str">
        <f>"21-2109"</f>
        <v>21-2109</v>
      </c>
      <c r="H16585" t="str">
        <f>"A"</f>
        <v>A</v>
      </c>
    </row>
    <row r="16586" spans="1:8" x14ac:dyDescent="0.2">
      <c r="A16586" t="str">
        <f t="shared" si="6012"/>
        <v>0615023251</v>
      </c>
      <c r="B16586" t="str">
        <f t="shared" si="6013"/>
        <v>MYANA</v>
      </c>
      <c r="C16586" t="str">
        <f t="shared" si="6014"/>
        <v>STORM-KITTLER</v>
      </c>
      <c r="D16586">
        <f>11</f>
        <v>11</v>
      </c>
      <c r="E16586" t="str">
        <f>"07 - B - 002 - Jazmin S Fletcher"</f>
        <v>07 - B - 002 - Jazmin S Fletcher</v>
      </c>
      <c r="F16586" t="str">
        <f>"THEATRE 1"</f>
        <v>THEATRE 1</v>
      </c>
      <c r="G16586" t="str">
        <f>"09-909"</f>
        <v>09-909</v>
      </c>
      <c r="H16586" t="str">
        <f>"B"</f>
        <v>B</v>
      </c>
    </row>
    <row r="16587" spans="1:8" x14ac:dyDescent="0.2">
      <c r="A16587" t="str">
        <f t="shared" si="6012"/>
        <v>0615023251</v>
      </c>
      <c r="B16587" t="str">
        <f t="shared" si="6013"/>
        <v>MYANA</v>
      </c>
      <c r="C16587" t="str">
        <f t="shared" si="6014"/>
        <v>STORM-KITTLER</v>
      </c>
      <c r="D16587">
        <f>11</f>
        <v>11</v>
      </c>
      <c r="E16587" t="str">
        <f>"05 - S1 - B - 102 - Richard E Dunbar Iii"</f>
        <v>05 - S1 - B - 102 - Richard E Dunbar Iii</v>
      </c>
      <c r="F16587" t="str">
        <f>"TEAM SPORTS 1"</f>
        <v>TEAM SPORTS 1</v>
      </c>
      <c r="G16587" t="str">
        <f>"04-254"</f>
        <v>04-254</v>
      </c>
      <c r="H16587" t="str">
        <f>"B"</f>
        <v>B</v>
      </c>
    </row>
    <row r="16588" spans="1:8" x14ac:dyDescent="0.2">
      <c r="A16588" t="str">
        <f t="shared" si="6012"/>
        <v>0615023251</v>
      </c>
      <c r="B16588" t="str">
        <f t="shared" si="6013"/>
        <v>MYANA</v>
      </c>
      <c r="C16588" t="str">
        <f t="shared" si="6014"/>
        <v>STORM-KITTLER</v>
      </c>
      <c r="D16588">
        <f>11</f>
        <v>11</v>
      </c>
      <c r="E16588" t="str">
        <f>"01 - A - 101 - Heidi M Knopp"</f>
        <v>01 - A - 101 - Heidi M Knopp</v>
      </c>
      <c r="F16588" t="str">
        <f>"ENG HON 3"</f>
        <v>ENG HON 3</v>
      </c>
      <c r="G16588" t="str">
        <f>"17-1752"</f>
        <v>17-1752</v>
      </c>
      <c r="H16588" t="str">
        <f>"A"</f>
        <v>A</v>
      </c>
    </row>
    <row r="16589" spans="1:8" x14ac:dyDescent="0.2">
      <c r="A16589" t="str">
        <f t="shared" si="6012"/>
        <v>0615023251</v>
      </c>
      <c r="B16589" t="str">
        <f t="shared" si="6013"/>
        <v>MYANA</v>
      </c>
      <c r="C16589" t="str">
        <f t="shared" si="6014"/>
        <v>STORM-KITTLER</v>
      </c>
      <c r="D16589">
        <f>11</f>
        <v>11</v>
      </c>
      <c r="E16589" t="str">
        <f>"08 - B - 001 - Scott A Dethloff"</f>
        <v>08 - B - 001 - Scott A Dethloff</v>
      </c>
      <c r="F16589" t="str">
        <f>"CHEMISTRY 1 HON"</f>
        <v>CHEMISTRY 1 HON</v>
      </c>
      <c r="G16589" t="str">
        <f>"08-812"</f>
        <v>08-812</v>
      </c>
      <c r="H16589" t="str">
        <f>"B"</f>
        <v>B</v>
      </c>
    </row>
    <row r="16590" spans="1:8" x14ac:dyDescent="0.2">
      <c r="A16590" t="str">
        <f t="shared" ref="A16590:A16597" si="6015">"0616042347"</f>
        <v>0616042347</v>
      </c>
      <c r="B16590" t="str">
        <f t="shared" ref="B16590:B16597" si="6016">"SACHA"</f>
        <v>SACHA</v>
      </c>
      <c r="C16590" t="str">
        <f t="shared" ref="C16590:C16597" si="6017">"STOUT"</f>
        <v>STOUT</v>
      </c>
      <c r="D16590">
        <f>11</f>
        <v>11</v>
      </c>
      <c r="E16590" t="str">
        <f>"04 - A - 102 - Fernando  Vega-Cid"</f>
        <v>04 - A - 102 - Fernando  Vega-Cid</v>
      </c>
      <c r="F16590" t="str">
        <f>"PRE-CALCULUS HON"</f>
        <v>PRE-CALCULUS HON</v>
      </c>
      <c r="G16590" t="str">
        <f>"21-2163"</f>
        <v>21-2163</v>
      </c>
      <c r="H16590" t="str">
        <f>"A"</f>
        <v>A</v>
      </c>
    </row>
    <row r="16591" spans="1:8" x14ac:dyDescent="0.2">
      <c r="A16591" t="str">
        <f t="shared" si="6015"/>
        <v>0616042347</v>
      </c>
      <c r="B16591" t="str">
        <f t="shared" si="6016"/>
        <v>SACHA</v>
      </c>
      <c r="C16591" t="str">
        <f t="shared" si="6017"/>
        <v>STOUT</v>
      </c>
      <c r="D16591">
        <f>11</f>
        <v>11</v>
      </c>
      <c r="E16591" t="str">
        <f>"06 - B - 102 - Rosa Elaine  Collado-Duff"</f>
        <v>06 - B - 102 - Rosa Elaine  Collado-Duff</v>
      </c>
      <c r="F16591" t="str">
        <f>"SPANISH 3 HON"</f>
        <v>SPANISH 3 HON</v>
      </c>
      <c r="G16591" t="str">
        <f>"09-913"</f>
        <v>09-913</v>
      </c>
      <c r="H16591" t="str">
        <f>"B"</f>
        <v>B</v>
      </c>
    </row>
    <row r="16592" spans="1:8" x14ac:dyDescent="0.2">
      <c r="A16592" t="str">
        <f t="shared" si="6015"/>
        <v>0616042347</v>
      </c>
      <c r="B16592" t="str">
        <f t="shared" si="6016"/>
        <v>SACHA</v>
      </c>
      <c r="C16592" t="str">
        <f t="shared" si="6017"/>
        <v>STOUT</v>
      </c>
      <c r="D16592">
        <f>11</f>
        <v>11</v>
      </c>
      <c r="E16592" t="str">
        <f>"03 - A - 102 - Tina M Jaramillo"</f>
        <v>03 - A - 102 - Tina M Jaramillo</v>
      </c>
      <c r="F16592" t="str">
        <f>"AP ENG COMPO"</f>
        <v>AP ENG COMPO</v>
      </c>
      <c r="G16592" t="str">
        <f>"17-1706"</f>
        <v>17-1706</v>
      </c>
      <c r="H16592" t="str">
        <f>"A"</f>
        <v>A</v>
      </c>
    </row>
    <row r="16593" spans="1:8" x14ac:dyDescent="0.2">
      <c r="A16593" t="str">
        <f t="shared" si="6015"/>
        <v>0616042347</v>
      </c>
      <c r="B16593" t="str">
        <f t="shared" si="6016"/>
        <v>SACHA</v>
      </c>
      <c r="C16593" t="str">
        <f t="shared" si="6017"/>
        <v>STOUT</v>
      </c>
      <c r="D16593">
        <f>11</f>
        <v>11</v>
      </c>
      <c r="E16593" t="str">
        <f>"02 - A - 108 - Stephen T Ripp"</f>
        <v>02 - A - 108 - Stephen T Ripp</v>
      </c>
      <c r="F16593" t="str">
        <f>"NC STUDY HALL 1"</f>
        <v>NC STUDY HALL 1</v>
      </c>
      <c r="G16593" t="str">
        <f>"17-1744"</f>
        <v>17-1744</v>
      </c>
      <c r="H16593" t="str">
        <f>"A"</f>
        <v>A</v>
      </c>
    </row>
    <row r="16594" spans="1:8" x14ac:dyDescent="0.2">
      <c r="A16594" t="str">
        <f t="shared" si="6015"/>
        <v>0616042347</v>
      </c>
      <c r="B16594" t="str">
        <f t="shared" si="6016"/>
        <v>SACHA</v>
      </c>
      <c r="C16594" t="str">
        <f t="shared" si="6017"/>
        <v>STOUT</v>
      </c>
      <c r="D16594">
        <f>11</f>
        <v>11</v>
      </c>
      <c r="E16594" t="str">
        <f>"07 - B - 101 - Jeanne M Bermudez"</f>
        <v>07 - B - 101 - Jeanne M Bermudez</v>
      </c>
      <c r="F16594" t="str">
        <f>"FOUND OF PROGRAM HON"</f>
        <v>FOUND OF PROGRAM HON</v>
      </c>
      <c r="G16594" t="str">
        <f>"21-2141"</f>
        <v>21-2141</v>
      </c>
      <c r="H16594" t="str">
        <f>"B"</f>
        <v>B</v>
      </c>
    </row>
    <row r="16595" spans="1:8" x14ac:dyDescent="0.2">
      <c r="A16595" t="str">
        <f t="shared" si="6015"/>
        <v>0616042347</v>
      </c>
      <c r="B16595" t="str">
        <f t="shared" si="6016"/>
        <v>SACHA</v>
      </c>
      <c r="C16595" t="str">
        <f t="shared" si="6017"/>
        <v>STOUT</v>
      </c>
      <c r="D16595">
        <f>11</f>
        <v>11</v>
      </c>
      <c r="E16595" t="str">
        <f>"05 - B - 201 - Scott A Dethloff"</f>
        <v>05 - B - 201 - Scott A Dethloff</v>
      </c>
      <c r="F16595" t="str">
        <f>"AP CHEM"</f>
        <v>AP CHEM</v>
      </c>
      <c r="G16595" t="str">
        <f>"08-812"</f>
        <v>08-812</v>
      </c>
      <c r="H16595" t="str">
        <f>"B"</f>
        <v>B</v>
      </c>
    </row>
    <row r="16596" spans="1:8" x14ac:dyDescent="0.2">
      <c r="A16596" t="str">
        <f t="shared" si="6015"/>
        <v>0616042347</v>
      </c>
      <c r="B16596" t="str">
        <f t="shared" si="6016"/>
        <v>SACHA</v>
      </c>
      <c r="C16596" t="str">
        <f t="shared" si="6017"/>
        <v>STOUT</v>
      </c>
      <c r="D16596">
        <f>11</f>
        <v>11</v>
      </c>
      <c r="E16596" t="str">
        <f>"01 - A - 104 - Jerry S Jiampetti"</f>
        <v>01 - A - 104 - Jerry S Jiampetti</v>
      </c>
      <c r="F16596" t="str">
        <f>"US HISTORY HON"</f>
        <v>US HISTORY HON</v>
      </c>
      <c r="G16596" t="str">
        <f>"17-1751"</f>
        <v>17-1751</v>
      </c>
      <c r="H16596" t="str">
        <f>"A"</f>
        <v>A</v>
      </c>
    </row>
    <row r="16597" spans="1:8" x14ac:dyDescent="0.2">
      <c r="A16597" t="str">
        <f t="shared" si="6015"/>
        <v>0616042347</v>
      </c>
      <c r="B16597" t="str">
        <f t="shared" si="6016"/>
        <v>SACHA</v>
      </c>
      <c r="C16597" t="str">
        <f t="shared" si="6017"/>
        <v>STOUT</v>
      </c>
      <c r="D16597">
        <f>11</f>
        <v>11</v>
      </c>
      <c r="E16597" t="str">
        <f>"08 - B - 102 - Jacqueline R Morphet"</f>
        <v>08 - B - 102 - Jacqueline R Morphet</v>
      </c>
      <c r="F16597" t="str">
        <f>"AP PHYSICS 1"</f>
        <v>AP PHYSICS 1</v>
      </c>
      <c r="G16597" t="str">
        <f>"21-2138"</f>
        <v>21-2138</v>
      </c>
      <c r="H16597" t="str">
        <f>"B"</f>
        <v>B</v>
      </c>
    </row>
    <row r="16598" spans="1:8" x14ac:dyDescent="0.2">
      <c r="A16598" t="str">
        <f t="shared" ref="A16598:A16606" si="6018">"0609103852"</f>
        <v>0609103852</v>
      </c>
      <c r="B16598" t="str">
        <f t="shared" ref="B16598:B16606" si="6019">"JEREMIAH"</f>
        <v>JEREMIAH</v>
      </c>
      <c r="C16598" t="str">
        <f t="shared" ref="C16598:C16606" si="6020">"STRIGGLES"</f>
        <v>STRIGGLES</v>
      </c>
      <c r="D16598">
        <f>12</f>
        <v>12</v>
      </c>
      <c r="E16598" t="str">
        <f>"04 - A - 103 - Daniel S Tyson"</f>
        <v>04 - A - 103 - Daniel S Tyson</v>
      </c>
      <c r="F16598" t="str">
        <f>"JROTC NAVAL SCI 4"</f>
        <v>JROTC NAVAL SCI 4</v>
      </c>
      <c r="G16598" t="str">
        <f>"05-510"</f>
        <v>05-510</v>
      </c>
      <c r="H16598" t="str">
        <f>"A"</f>
        <v>A</v>
      </c>
    </row>
    <row r="16599" spans="1:8" x14ac:dyDescent="0.2">
      <c r="A16599" t="str">
        <f t="shared" si="6018"/>
        <v>0609103852</v>
      </c>
      <c r="B16599" t="str">
        <f t="shared" si="6019"/>
        <v>JEREMIAH</v>
      </c>
      <c r="C16599" t="str">
        <f t="shared" si="6020"/>
        <v>STRIGGLES</v>
      </c>
      <c r="D16599">
        <f>12</f>
        <v>12</v>
      </c>
      <c r="E16599" t="str">
        <f>"06 - B - 101 - Justin D Willard"</f>
        <v>06 - B - 101 - Justin D Willard</v>
      </c>
      <c r="F16599" t="str">
        <f>"CAR EXERIENCES: 9-12"</f>
        <v>CAR EXERIENCES: 9-12</v>
      </c>
      <c r="G16599" t="str">
        <f>"21-2111"</f>
        <v>21-2111</v>
      </c>
      <c r="H16599" t="str">
        <f>"B"</f>
        <v>B</v>
      </c>
    </row>
    <row r="16600" spans="1:8" x14ac:dyDescent="0.2">
      <c r="A16600" t="str">
        <f t="shared" si="6018"/>
        <v>0609103852</v>
      </c>
      <c r="B16600" t="str">
        <f t="shared" si="6019"/>
        <v>JEREMIAH</v>
      </c>
      <c r="C16600" t="str">
        <f t="shared" si="6020"/>
        <v>STRIGGLES</v>
      </c>
      <c r="D16600">
        <f>12</f>
        <v>12</v>
      </c>
      <c r="E16600" t="str">
        <f>"03 - A - 101 - Justin D Willard"</f>
        <v>03 - A - 101 - Justin D Willard</v>
      </c>
      <c r="F16600" t="str">
        <f>"SELF-DETERMINATION"</f>
        <v>SELF-DETERMINATION</v>
      </c>
      <c r="G16600" t="str">
        <f>"21-2111"</f>
        <v>21-2111</v>
      </c>
      <c r="H16600" t="str">
        <f>"A"</f>
        <v>A</v>
      </c>
    </row>
    <row r="16601" spans="1:8" x14ac:dyDescent="0.2">
      <c r="A16601" t="str">
        <f t="shared" si="6018"/>
        <v>0609103852</v>
      </c>
      <c r="B16601" t="str">
        <f t="shared" si="6019"/>
        <v>JEREMIAH</v>
      </c>
      <c r="C16601" t="str">
        <f t="shared" si="6020"/>
        <v>STRIGGLES</v>
      </c>
      <c r="D16601">
        <f>12</f>
        <v>12</v>
      </c>
      <c r="E16601" t="str">
        <f>"02 - A - 101 - Justin D Willard"</f>
        <v>02 - A - 101 - Justin D Willard</v>
      </c>
      <c r="F16601" t="str">
        <f>"CAREER ED: 9-12"</f>
        <v>CAREER ED: 9-12</v>
      </c>
      <c r="G16601" t="str">
        <f>"21-2111"</f>
        <v>21-2111</v>
      </c>
      <c r="H16601" t="str">
        <f>"A"</f>
        <v>A</v>
      </c>
    </row>
    <row r="16602" spans="1:8" x14ac:dyDescent="0.2">
      <c r="A16602" t="str">
        <f t="shared" si="6018"/>
        <v>0609103852</v>
      </c>
      <c r="B16602" t="str">
        <f t="shared" si="6019"/>
        <v>JEREMIAH</v>
      </c>
      <c r="C16602" t="str">
        <f t="shared" si="6020"/>
        <v>STRIGGLES</v>
      </c>
      <c r="D16602">
        <f>12</f>
        <v>12</v>
      </c>
      <c r="E16602" t="str">
        <f>"07 - B - 101 - Justin D Willard"</f>
        <v>07 - B - 101 - Justin D Willard</v>
      </c>
      <c r="F16602" t="str">
        <f>"CAR PLACEMENT: 9-12"</f>
        <v>CAR PLACEMENT: 9-12</v>
      </c>
      <c r="G16602" t="str">
        <f>"21-2111"</f>
        <v>21-2111</v>
      </c>
      <c r="H16602" t="str">
        <f>"B"</f>
        <v>B</v>
      </c>
    </row>
    <row r="16603" spans="1:8" x14ac:dyDescent="0.2">
      <c r="A16603" t="str">
        <f t="shared" si="6018"/>
        <v>0609103852</v>
      </c>
      <c r="B16603" t="str">
        <f t="shared" si="6019"/>
        <v>JEREMIAH</v>
      </c>
      <c r="C16603" t="str">
        <f t="shared" si="6020"/>
        <v>STRIGGLES</v>
      </c>
      <c r="D16603">
        <f>12</f>
        <v>12</v>
      </c>
      <c r="E16603" t="str">
        <f>"05 - B - 103 - Justin D Willard"</f>
        <v>05 - B - 103 - Justin D Willard</v>
      </c>
      <c r="F16603" t="str">
        <f>"U SKLS: 9-12"</f>
        <v>U SKLS: 9-12</v>
      </c>
      <c r="G16603" t="str">
        <f>"21-2111"</f>
        <v>21-2111</v>
      </c>
      <c r="H16603" t="str">
        <f>"B"</f>
        <v>B</v>
      </c>
    </row>
    <row r="16604" spans="1:8" x14ac:dyDescent="0.2">
      <c r="A16604" t="str">
        <f t="shared" si="6018"/>
        <v>0609103852</v>
      </c>
      <c r="B16604" t="str">
        <f t="shared" si="6019"/>
        <v>JEREMIAH</v>
      </c>
      <c r="C16604" t="str">
        <f t="shared" si="6020"/>
        <v>STRIGGLES</v>
      </c>
      <c r="D16604">
        <f>12</f>
        <v>12</v>
      </c>
      <c r="E16604" t="str">
        <f>"05 - B - 115 - Karen A Toomer"</f>
        <v>05 - B - 115 - Karen A Toomer</v>
      </c>
      <c r="F16604" t="str">
        <f>"LANG THERAPY"</f>
        <v>LANG THERAPY</v>
      </c>
      <c r="G16604" t="str">
        <f>"21-2110"</f>
        <v>21-2110</v>
      </c>
      <c r="H16604" t="str">
        <f>"B"</f>
        <v>B</v>
      </c>
    </row>
    <row r="16605" spans="1:8" x14ac:dyDescent="0.2">
      <c r="A16605" t="str">
        <f t="shared" si="6018"/>
        <v>0609103852</v>
      </c>
      <c r="B16605" t="str">
        <f t="shared" si="6019"/>
        <v>JEREMIAH</v>
      </c>
      <c r="C16605" t="str">
        <f t="shared" si="6020"/>
        <v>STRIGGLES</v>
      </c>
      <c r="D16605">
        <f>12</f>
        <v>12</v>
      </c>
      <c r="E16605" t="str">
        <f>"01 - A - 101 - Justin D Willard"</f>
        <v>01 - A - 101 - Justin D Willard</v>
      </c>
      <c r="F16605" t="str">
        <f>"PREP AD LIV"</f>
        <v>PREP AD LIV</v>
      </c>
      <c r="G16605" t="str">
        <f>"21-2111"</f>
        <v>21-2111</v>
      </c>
      <c r="H16605" t="str">
        <f>"A"</f>
        <v>A</v>
      </c>
    </row>
    <row r="16606" spans="1:8" x14ac:dyDescent="0.2">
      <c r="A16606" t="str">
        <f t="shared" si="6018"/>
        <v>0609103852</v>
      </c>
      <c r="B16606" t="str">
        <f t="shared" si="6019"/>
        <v>JEREMIAH</v>
      </c>
      <c r="C16606" t="str">
        <f t="shared" si="6020"/>
        <v>STRIGGLES</v>
      </c>
      <c r="D16606">
        <f>12</f>
        <v>12</v>
      </c>
      <c r="E16606" t="str">
        <f>"08 - B - 101 - Jazmin S Fletcher"</f>
        <v>08 - B - 101 - Jazmin S Fletcher</v>
      </c>
      <c r="F16606" t="str">
        <f>"PRE-AICE DRAMA 1G"</f>
        <v>PRE-AICE DRAMA 1G</v>
      </c>
      <c r="G16606" t="str">
        <f>"09-909"</f>
        <v>09-909</v>
      </c>
      <c r="H16606" t="str">
        <f>"B"</f>
        <v>B</v>
      </c>
    </row>
    <row r="16607" spans="1:8" x14ac:dyDescent="0.2">
      <c r="A16607" t="str">
        <f t="shared" ref="A16607:A16614" si="6021">"0613116789"</f>
        <v>0613116789</v>
      </c>
      <c r="B16607" t="str">
        <f t="shared" ref="B16607:B16614" si="6022">"TYLER"</f>
        <v>TYLER</v>
      </c>
      <c r="C16607" t="str">
        <f t="shared" ref="C16607:C16614" si="6023">"STRODE"</f>
        <v>STRODE</v>
      </c>
      <c r="D16607">
        <f>12</f>
        <v>12</v>
      </c>
      <c r="E16607" t="str">
        <f>"04 - S1 - A - 101 - Nahum  Saint-Preux"</f>
        <v>04 - S1 - A - 101 - Nahum  Saint-Preux</v>
      </c>
      <c r="F16607" t="str">
        <f>"CRIT THINK ST SKLS"</f>
        <v>CRIT THINK ST SKLS</v>
      </c>
      <c r="G16607" t="str">
        <f>"17-1712"</f>
        <v>17-1712</v>
      </c>
      <c r="H16607" t="str">
        <f>"A"</f>
        <v>A</v>
      </c>
    </row>
    <row r="16608" spans="1:8" x14ac:dyDescent="0.2">
      <c r="A16608" t="str">
        <f t="shared" si="6021"/>
        <v>0613116789</v>
      </c>
      <c r="B16608" t="str">
        <f t="shared" si="6022"/>
        <v>TYLER</v>
      </c>
      <c r="C16608" t="str">
        <f t="shared" si="6023"/>
        <v>STRODE</v>
      </c>
      <c r="D16608">
        <f>12</f>
        <v>12</v>
      </c>
      <c r="E16608" t="str">
        <f>"06 - B - 111 - James H Mccann"</f>
        <v>06 - B - 111 - James H Mccann</v>
      </c>
      <c r="F16608" t="str">
        <f>"NC STUDY HALL 1"</f>
        <v>NC STUDY HALL 1</v>
      </c>
      <c r="G16608" t="str">
        <f>"17-1716"</f>
        <v>17-1716</v>
      </c>
      <c r="H16608" t="str">
        <f>"B"</f>
        <v>B</v>
      </c>
    </row>
    <row r="16609" spans="1:8" x14ac:dyDescent="0.2">
      <c r="A16609" t="str">
        <f t="shared" si="6021"/>
        <v>0613116789</v>
      </c>
      <c r="B16609" t="str">
        <f t="shared" si="6022"/>
        <v>TYLER</v>
      </c>
      <c r="C16609" t="str">
        <f t="shared" si="6023"/>
        <v>STRODE</v>
      </c>
      <c r="D16609">
        <f>12</f>
        <v>12</v>
      </c>
      <c r="E16609" t="str">
        <f>"03 - A - 101 - Jeffrey S Gallagher"</f>
        <v>03 - A - 101 - Jeffrey S Gallagher</v>
      </c>
      <c r="F16609" t="str">
        <f>"ENG HON 4"</f>
        <v>ENG HON 4</v>
      </c>
      <c r="G16609" t="str">
        <f>"17-1724"</f>
        <v>17-1724</v>
      </c>
      <c r="H16609" t="str">
        <f>"A"</f>
        <v>A</v>
      </c>
    </row>
    <row r="16610" spans="1:8" x14ac:dyDescent="0.2">
      <c r="A16610" t="str">
        <f t="shared" si="6021"/>
        <v>0613116789</v>
      </c>
      <c r="B16610" t="str">
        <f t="shared" si="6022"/>
        <v>TYLER</v>
      </c>
      <c r="C16610" t="str">
        <f t="shared" si="6023"/>
        <v>STRODE</v>
      </c>
      <c r="D16610">
        <f>12</f>
        <v>12</v>
      </c>
      <c r="E16610" t="str">
        <f>"02 - A - 101 - Robert H Rindner"</f>
        <v>02 - A - 101 - Robert H Rindner</v>
      </c>
      <c r="F16610" t="str">
        <f>"MATH DATA&amp;FIN LIT H"</f>
        <v>MATH DATA&amp;FIN LIT H</v>
      </c>
      <c r="G16610" t="str">
        <f>"21-2160"</f>
        <v>21-2160</v>
      </c>
      <c r="H16610" t="str">
        <f>"A"</f>
        <v>A</v>
      </c>
    </row>
    <row r="16611" spans="1:8" x14ac:dyDescent="0.2">
      <c r="A16611" t="str">
        <f t="shared" si="6021"/>
        <v>0613116789</v>
      </c>
      <c r="B16611" t="str">
        <f t="shared" si="6022"/>
        <v>TYLER</v>
      </c>
      <c r="C16611" t="str">
        <f t="shared" si="6023"/>
        <v>STRODE</v>
      </c>
      <c r="D16611">
        <f>12</f>
        <v>12</v>
      </c>
      <c r="E16611" t="str">
        <f>"07 - B - 105 - Cliffon  Saurel"</f>
        <v>07 - B - 105 - Cliffon  Saurel</v>
      </c>
      <c r="F16611" t="str">
        <f>"PHYSICAL SCI"</f>
        <v>PHYSICAL SCI</v>
      </c>
      <c r="G16611" t="str">
        <f>"05-522"</f>
        <v>05-522</v>
      </c>
      <c r="H16611" t="str">
        <f>"B"</f>
        <v>B</v>
      </c>
    </row>
    <row r="16612" spans="1:8" x14ac:dyDescent="0.2">
      <c r="A16612" t="str">
        <f t="shared" si="6021"/>
        <v>0613116789</v>
      </c>
      <c r="B16612" t="str">
        <f t="shared" si="6022"/>
        <v>TYLER</v>
      </c>
      <c r="C16612" t="str">
        <f t="shared" si="6023"/>
        <v>STRODE</v>
      </c>
      <c r="D16612">
        <f>12</f>
        <v>12</v>
      </c>
      <c r="E16612" t="str">
        <f>"05 - B - 103 - Vanessa J Liburd"</f>
        <v>05 - B - 103 - Vanessa J Liburd</v>
      </c>
      <c r="F16612" t="str">
        <f>"PRE-AICE FRENCH 2 IG"</f>
        <v>PRE-AICE FRENCH 2 IG</v>
      </c>
      <c r="G16612" t="str">
        <f>"05-519"</f>
        <v>05-519</v>
      </c>
      <c r="H16612" t="str">
        <f>"B"</f>
        <v>B</v>
      </c>
    </row>
    <row r="16613" spans="1:8" x14ac:dyDescent="0.2">
      <c r="A16613" t="str">
        <f t="shared" si="6021"/>
        <v>0613116789</v>
      </c>
      <c r="B16613" t="str">
        <f t="shared" si="6022"/>
        <v>TYLER</v>
      </c>
      <c r="C16613" t="str">
        <f t="shared" si="6023"/>
        <v>STRODE</v>
      </c>
      <c r="D16613">
        <f>12</f>
        <v>12</v>
      </c>
      <c r="E16613" t="str">
        <f>"01 - A - 101 - Nikiel  Nesbeth"</f>
        <v>01 - A - 101 - Nikiel  Nesbeth</v>
      </c>
      <c r="F16613" t="str">
        <f>"CONST LAW HON"</f>
        <v>CONST LAW HON</v>
      </c>
      <c r="G16613" t="str">
        <f>"17-1705"</f>
        <v>17-1705</v>
      </c>
      <c r="H16613" t="str">
        <f>"A"</f>
        <v>A</v>
      </c>
    </row>
    <row r="16614" spans="1:8" x14ac:dyDescent="0.2">
      <c r="A16614" t="str">
        <f t="shared" si="6021"/>
        <v>0613116789</v>
      </c>
      <c r="B16614" t="str">
        <f t="shared" si="6022"/>
        <v>TYLER</v>
      </c>
      <c r="C16614" t="str">
        <f t="shared" si="6023"/>
        <v>STRODE</v>
      </c>
      <c r="D16614">
        <f>12</f>
        <v>12</v>
      </c>
      <c r="E16614" t="str">
        <f>"08 - S1 - B - 105 - Kelly N Panza"</f>
        <v>08 - S1 - B - 105 - Kelly N Panza</v>
      </c>
      <c r="F16614" t="str">
        <f>"US GOVT HON"</f>
        <v>US GOVT HON</v>
      </c>
      <c r="G16614" t="str">
        <f>"17-1753"</f>
        <v>17-1753</v>
      </c>
      <c r="H16614" t="str">
        <f>"B"</f>
        <v>B</v>
      </c>
    </row>
    <row r="16615" spans="1:8" x14ac:dyDescent="0.2">
      <c r="A16615" t="str">
        <f t="shared" ref="A16615:A16622" si="6024">"0614016602"</f>
        <v>0614016602</v>
      </c>
      <c r="B16615" t="str">
        <f t="shared" ref="B16615:B16622" si="6025">"JAIDA"</f>
        <v>JAIDA</v>
      </c>
      <c r="C16615" t="str">
        <f t="shared" ref="C16615:C16622" si="6026">"STROMAN"</f>
        <v>STROMAN</v>
      </c>
      <c r="D16615">
        <f>12</f>
        <v>12</v>
      </c>
      <c r="E16615" t="str">
        <f>"04 - A - 103 - Cliffon  Saurel"</f>
        <v>04 - A - 103 - Cliffon  Saurel</v>
      </c>
      <c r="F16615" t="str">
        <f>"PHYSICAL SCI"</f>
        <v>PHYSICAL SCI</v>
      </c>
      <c r="G16615" t="str">
        <f>"05-522"</f>
        <v>05-522</v>
      </c>
      <c r="H16615" t="str">
        <f>"A"</f>
        <v>A</v>
      </c>
    </row>
    <row r="16616" spans="1:8" x14ac:dyDescent="0.2">
      <c r="A16616" t="str">
        <f t="shared" si="6024"/>
        <v>0614016602</v>
      </c>
      <c r="B16616" t="str">
        <f t="shared" si="6025"/>
        <v>JAIDA</v>
      </c>
      <c r="C16616" t="str">
        <f t="shared" si="6026"/>
        <v>STROMAN</v>
      </c>
      <c r="D16616">
        <f>12</f>
        <v>12</v>
      </c>
      <c r="E16616" t="str">
        <f>"06 - B - 001 - Robert O Burger"</f>
        <v>06 - B - 001 - Robert O Burger</v>
      </c>
      <c r="F16616" t="str">
        <f>"NC STUDY HALL 1"</f>
        <v>NC STUDY HALL 1</v>
      </c>
      <c r="G16616" t="str">
        <f>"17-1755"</f>
        <v>17-1755</v>
      </c>
      <c r="H16616" t="str">
        <f>"B"</f>
        <v>B</v>
      </c>
    </row>
    <row r="16617" spans="1:8" x14ac:dyDescent="0.2">
      <c r="A16617" t="str">
        <f t="shared" si="6024"/>
        <v>0614016602</v>
      </c>
      <c r="B16617" t="str">
        <f t="shared" si="6025"/>
        <v>JAIDA</v>
      </c>
      <c r="C16617" t="str">
        <f t="shared" si="6026"/>
        <v>STROMAN</v>
      </c>
      <c r="D16617">
        <f>12</f>
        <v>12</v>
      </c>
      <c r="E16617" t="str">
        <f>"03 - A - 201 - Chrystina M Marchionne"</f>
        <v>03 - A - 201 - Chrystina M Marchionne</v>
      </c>
      <c r="F16617" t="str">
        <f>"JOURN 1 (YB) LH"</f>
        <v>JOURN 1 (YB) LH</v>
      </c>
      <c r="G16617" t="str">
        <f>"05-520"</f>
        <v>05-520</v>
      </c>
      <c r="H16617" t="str">
        <f>"A"</f>
        <v>A</v>
      </c>
    </row>
    <row r="16618" spans="1:8" x14ac:dyDescent="0.2">
      <c r="A16618" t="str">
        <f t="shared" si="6024"/>
        <v>0614016602</v>
      </c>
      <c r="B16618" t="str">
        <f t="shared" si="6025"/>
        <v>JAIDA</v>
      </c>
      <c r="C16618" t="str">
        <f t="shared" si="6026"/>
        <v>STROMAN</v>
      </c>
      <c r="D16618">
        <f>12</f>
        <v>12</v>
      </c>
      <c r="E16618" t="str">
        <f>"02 - A - 102 - Jeffrey S Gallagher"</f>
        <v>02 - A - 102 - Jeffrey S Gallagher</v>
      </c>
      <c r="F16618" t="str">
        <f>"ENG HON 4"</f>
        <v>ENG HON 4</v>
      </c>
      <c r="G16618" t="str">
        <f>"17-1724"</f>
        <v>17-1724</v>
      </c>
      <c r="H16618" t="str">
        <f>"A"</f>
        <v>A</v>
      </c>
    </row>
    <row r="16619" spans="1:8" x14ac:dyDescent="0.2">
      <c r="A16619" t="str">
        <f t="shared" si="6024"/>
        <v>0614016602</v>
      </c>
      <c r="B16619" t="str">
        <f t="shared" si="6025"/>
        <v>JAIDA</v>
      </c>
      <c r="C16619" t="str">
        <f t="shared" si="6026"/>
        <v>STROMAN</v>
      </c>
      <c r="D16619">
        <f>12</f>
        <v>12</v>
      </c>
      <c r="E16619" t="str">
        <f>"07 - S1 - B - 103 - Robert O Burger"</f>
        <v>07 - S1 - B - 103 - Robert O Burger</v>
      </c>
      <c r="F16619" t="str">
        <f>"US GOVT"</f>
        <v>US GOVT</v>
      </c>
      <c r="G16619" t="str">
        <f>"17-1755"</f>
        <v>17-1755</v>
      </c>
      <c r="H16619" t="str">
        <f>"B"</f>
        <v>B</v>
      </c>
    </row>
    <row r="16620" spans="1:8" x14ac:dyDescent="0.2">
      <c r="A16620" t="str">
        <f t="shared" si="6024"/>
        <v>0614016602</v>
      </c>
      <c r="B16620" t="str">
        <f t="shared" si="6025"/>
        <v>JAIDA</v>
      </c>
      <c r="C16620" t="str">
        <f t="shared" si="6026"/>
        <v>STROMAN</v>
      </c>
      <c r="D16620">
        <f>12</f>
        <v>12</v>
      </c>
      <c r="E16620" t="str">
        <f>"05 - S1 - B - 102 - Richard E Dunbar Iii"</f>
        <v>05 - S1 - B - 102 - Richard E Dunbar Iii</v>
      </c>
      <c r="F16620" t="str">
        <f>"TEAM SPORTS 1"</f>
        <v>TEAM SPORTS 1</v>
      </c>
      <c r="G16620" t="str">
        <f>"04-254"</f>
        <v>04-254</v>
      </c>
      <c r="H16620" t="str">
        <f>"B"</f>
        <v>B</v>
      </c>
    </row>
    <row r="16621" spans="1:8" x14ac:dyDescent="0.2">
      <c r="A16621" t="str">
        <f t="shared" si="6024"/>
        <v>0614016602</v>
      </c>
      <c r="B16621" t="str">
        <f t="shared" si="6025"/>
        <v>JAIDA</v>
      </c>
      <c r="C16621" t="str">
        <f t="shared" si="6026"/>
        <v>STROMAN</v>
      </c>
      <c r="D16621">
        <f>12</f>
        <v>12</v>
      </c>
      <c r="E16621" t="str">
        <f>"01 - A - 101 - Brian M Fitzgerald"</f>
        <v>01 - A - 101 - Brian M Fitzgerald</v>
      </c>
      <c r="F16621" t="str">
        <f>"CERAM/POT 1"</f>
        <v>CERAM/POT 1</v>
      </c>
      <c r="G16621" t="str">
        <f>"09-908"</f>
        <v>09-908</v>
      </c>
      <c r="H16621" t="str">
        <f>"A"</f>
        <v>A</v>
      </c>
    </row>
    <row r="16622" spans="1:8" x14ac:dyDescent="0.2">
      <c r="A16622" t="str">
        <f t="shared" si="6024"/>
        <v>0614016602</v>
      </c>
      <c r="B16622" t="str">
        <f t="shared" si="6025"/>
        <v>JAIDA</v>
      </c>
      <c r="C16622" t="str">
        <f t="shared" si="6026"/>
        <v>STROMAN</v>
      </c>
      <c r="D16622">
        <f>12</f>
        <v>12</v>
      </c>
      <c r="E16622" t="str">
        <f>"08 - B - 101 - Staci M Newton"</f>
        <v>08 - B - 101 - Staci M Newton</v>
      </c>
      <c r="F16622" t="str">
        <f>"PEER/PARTNERS LRN LH"</f>
        <v>PEER/PARTNERS LRN LH</v>
      </c>
      <c r="G16622" t="str">
        <f>"21-2103"</f>
        <v>21-2103</v>
      </c>
      <c r="H16622" t="str">
        <f>"B"</f>
        <v>B</v>
      </c>
    </row>
    <row r="16623" spans="1:8" x14ac:dyDescent="0.2">
      <c r="A16623" t="str">
        <f t="shared" ref="A16623:A16630" si="6027">"0623083830"</f>
        <v>0623083830</v>
      </c>
      <c r="B16623" t="str">
        <f t="shared" ref="B16623:B16630" si="6028">"JAMES"</f>
        <v>JAMES</v>
      </c>
      <c r="C16623" t="str">
        <f t="shared" ref="C16623:C16630" si="6029">"STRONG"</f>
        <v>STRONG</v>
      </c>
      <c r="D16623" t="str">
        <f t="shared" ref="D16623:D16630" si="6030">"09"</f>
        <v>09</v>
      </c>
      <c r="E16623" t="str">
        <f>"04 - A - 107 - Amy Beth  Broyles"</f>
        <v>04 - A - 107 - Amy Beth  Broyles</v>
      </c>
      <c r="F16623" t="str">
        <f>"ENV SCI"</f>
        <v>ENV SCI</v>
      </c>
      <c r="G16623" t="str">
        <f>"08-802"</f>
        <v>08-802</v>
      </c>
      <c r="H16623" t="str">
        <f>"A"</f>
        <v>A</v>
      </c>
    </row>
    <row r="16624" spans="1:8" x14ac:dyDescent="0.2">
      <c r="A16624" t="str">
        <f t="shared" si="6027"/>
        <v>0623083830</v>
      </c>
      <c r="B16624" t="str">
        <f t="shared" si="6028"/>
        <v>JAMES</v>
      </c>
      <c r="C16624" t="str">
        <f t="shared" si="6029"/>
        <v>STRONG</v>
      </c>
      <c r="D16624" t="str">
        <f t="shared" si="6030"/>
        <v>09</v>
      </c>
      <c r="E16624" t="str">
        <f>"06 - B - 104 - Laselleda D Shaw"</f>
        <v>06 - B - 104 - Laselleda D Shaw</v>
      </c>
      <c r="F16624" t="str">
        <f>"INTENS READ 1"</f>
        <v>INTENS READ 1</v>
      </c>
      <c r="G16624" t="str">
        <f>"17-1723"</f>
        <v>17-1723</v>
      </c>
      <c r="H16624" t="str">
        <f>"B"</f>
        <v>B</v>
      </c>
    </row>
    <row r="16625" spans="1:8" x14ac:dyDescent="0.2">
      <c r="A16625" t="str">
        <f t="shared" si="6027"/>
        <v>0623083830</v>
      </c>
      <c r="B16625" t="str">
        <f t="shared" si="6028"/>
        <v>JAMES</v>
      </c>
      <c r="C16625" t="str">
        <f t="shared" si="6029"/>
        <v>STRONG</v>
      </c>
      <c r="D16625" t="str">
        <f t="shared" si="6030"/>
        <v>09</v>
      </c>
      <c r="E16625" t="str">
        <f>"03 - A - 105 - Cheryl Anne  Berman-Schechter"</f>
        <v>03 - A - 105 - Cheryl Anne  Berman-Schechter</v>
      </c>
      <c r="F16625" t="str">
        <f>"ENG 1"</f>
        <v>ENG 1</v>
      </c>
      <c r="G16625" t="str">
        <f>"17-1722"</f>
        <v>17-1722</v>
      </c>
      <c r="H16625" t="str">
        <f>"A"</f>
        <v>A</v>
      </c>
    </row>
    <row r="16626" spans="1:8" x14ac:dyDescent="0.2">
      <c r="A16626" t="str">
        <f t="shared" si="6027"/>
        <v>0623083830</v>
      </c>
      <c r="B16626" t="str">
        <f t="shared" si="6028"/>
        <v>JAMES</v>
      </c>
      <c r="C16626" t="str">
        <f t="shared" si="6029"/>
        <v>STRONG</v>
      </c>
      <c r="D16626" t="str">
        <f t="shared" si="6030"/>
        <v>09</v>
      </c>
      <c r="E16626" t="str">
        <f>"02 - A - 113 - Amy Beth  Broyles"</f>
        <v>02 - A - 113 - Amy Beth  Broyles</v>
      </c>
      <c r="F16626" t="str">
        <f>"NC STUDY HALL 1"</f>
        <v>NC STUDY HALL 1</v>
      </c>
      <c r="G16626" t="str">
        <f>"08-802"</f>
        <v>08-802</v>
      </c>
      <c r="H16626" t="str">
        <f>"A"</f>
        <v>A</v>
      </c>
    </row>
    <row r="16627" spans="1:8" x14ac:dyDescent="0.2">
      <c r="A16627" t="str">
        <f t="shared" si="6027"/>
        <v>0623083830</v>
      </c>
      <c r="B16627" t="str">
        <f t="shared" si="6028"/>
        <v>JAMES</v>
      </c>
      <c r="C16627" t="str">
        <f t="shared" si="6029"/>
        <v>STRONG</v>
      </c>
      <c r="D16627" t="str">
        <f t="shared" si="6030"/>
        <v>09</v>
      </c>
      <c r="E16627" t="str">
        <f>"07 - B - 002 - Rachel M Montrose"</f>
        <v>07 - B - 002 - Rachel M Montrose</v>
      </c>
      <c r="F16627" t="str">
        <f>"JOURN 1 (NP) LH"</f>
        <v>JOURN 1 (NP) LH</v>
      </c>
      <c r="G16627" t="str">
        <f>"05-521"</f>
        <v>05-521</v>
      </c>
      <c r="H16627" t="str">
        <f>"B"</f>
        <v>B</v>
      </c>
    </row>
    <row r="16628" spans="1:8" x14ac:dyDescent="0.2">
      <c r="A16628" t="str">
        <f t="shared" si="6027"/>
        <v>0623083830</v>
      </c>
      <c r="B16628" t="str">
        <f t="shared" si="6028"/>
        <v>JAMES</v>
      </c>
      <c r="C16628" t="str">
        <f t="shared" si="6029"/>
        <v>STRONG</v>
      </c>
      <c r="D16628" t="str">
        <f t="shared" si="6030"/>
        <v>09</v>
      </c>
      <c r="E16628" t="str">
        <f>"05 - B - 102 - Tina L Lovett"</f>
        <v>05 - B - 102 - Tina L Lovett</v>
      </c>
      <c r="F16628" t="str">
        <f>"PRE-AICE MATH 1 IG"</f>
        <v>PRE-AICE MATH 1 IG</v>
      </c>
      <c r="G16628" t="str">
        <f>"21-2153"</f>
        <v>21-2153</v>
      </c>
      <c r="H16628" t="str">
        <f>"B"</f>
        <v>B</v>
      </c>
    </row>
    <row r="16629" spans="1:8" x14ac:dyDescent="0.2">
      <c r="A16629" t="str">
        <f t="shared" si="6027"/>
        <v>0623083830</v>
      </c>
      <c r="B16629" t="str">
        <f t="shared" si="6028"/>
        <v>JAMES</v>
      </c>
      <c r="C16629" t="str">
        <f t="shared" si="6029"/>
        <v>STRONG</v>
      </c>
      <c r="D16629" t="str">
        <f t="shared" si="6030"/>
        <v>09</v>
      </c>
      <c r="E16629" t="str">
        <f>"01 - A - 101 - Adam Marcus  Drucker"</f>
        <v>01 - A - 101 - Adam Marcus  Drucker</v>
      </c>
      <c r="F16629" t="str">
        <f>"HOPE-PE V"</f>
        <v>HOPE-PE V</v>
      </c>
      <c r="G16629" t="str">
        <f>"04-254"</f>
        <v>04-254</v>
      </c>
      <c r="H16629" t="str">
        <f>"A"</f>
        <v>A</v>
      </c>
    </row>
    <row r="16630" spans="1:8" x14ac:dyDescent="0.2">
      <c r="A16630" t="str">
        <f t="shared" si="6027"/>
        <v>0623083830</v>
      </c>
      <c r="B16630" t="str">
        <f t="shared" si="6028"/>
        <v>JAMES</v>
      </c>
      <c r="C16630" t="str">
        <f t="shared" si="6029"/>
        <v>STRONG</v>
      </c>
      <c r="D16630" t="str">
        <f t="shared" si="6030"/>
        <v>09</v>
      </c>
      <c r="E16630" t="str">
        <f>"08 - B - 101 - Elizabeth Ellen  Moran"</f>
        <v>08 - B - 101 - Elizabeth Ellen  Moran</v>
      </c>
      <c r="F16630" t="str">
        <f>"WORLD HISTORY"</f>
        <v>WORLD HISTORY</v>
      </c>
      <c r="G16630" t="str">
        <f>"17-1752"</f>
        <v>17-1752</v>
      </c>
      <c r="H16630" t="str">
        <f>"B"</f>
        <v>B</v>
      </c>
    </row>
    <row r="16631" spans="1:8" x14ac:dyDescent="0.2">
      <c r="A16631" t="str">
        <f t="shared" ref="A16631:A16638" si="6031">"0614018368"</f>
        <v>0614018368</v>
      </c>
      <c r="B16631" t="str">
        <f t="shared" ref="B16631:B16638" si="6032">"ALLAN"</f>
        <v>ALLAN</v>
      </c>
      <c r="C16631" t="str">
        <f t="shared" ref="C16631:C16638" si="6033">"STUART"</f>
        <v>STUART</v>
      </c>
      <c r="D16631">
        <f>12</f>
        <v>12</v>
      </c>
      <c r="E16631" t="str">
        <f>"04 - A - 101 - Alejandro  Navarro"</f>
        <v>04 - A - 101 - Alejandro  Navarro</v>
      </c>
      <c r="F16631" t="str">
        <f>"BAND 6 HON"</f>
        <v>BAND 6 HON</v>
      </c>
      <c r="G16631" t="str">
        <f>"05-504"</f>
        <v>05-504</v>
      </c>
      <c r="H16631" t="str">
        <f>"A"</f>
        <v>A</v>
      </c>
    </row>
    <row r="16632" spans="1:8" x14ac:dyDescent="0.2">
      <c r="A16632" t="str">
        <f t="shared" si="6031"/>
        <v>0614018368</v>
      </c>
      <c r="B16632" t="str">
        <f t="shared" si="6032"/>
        <v>ALLAN</v>
      </c>
      <c r="C16632" t="str">
        <f t="shared" si="6033"/>
        <v>STUART</v>
      </c>
      <c r="D16632">
        <f>12</f>
        <v>12</v>
      </c>
      <c r="E16632" t="str">
        <f>"06 - B - 001 - Robert O Burger"</f>
        <v>06 - B - 001 - Robert O Burger</v>
      </c>
      <c r="F16632" t="str">
        <f>"NC STUDY HALL 1"</f>
        <v>NC STUDY HALL 1</v>
      </c>
      <c r="G16632" t="str">
        <f>"17-1755"</f>
        <v>17-1755</v>
      </c>
      <c r="H16632" t="str">
        <f>"B"</f>
        <v>B</v>
      </c>
    </row>
    <row r="16633" spans="1:8" x14ac:dyDescent="0.2">
      <c r="A16633" t="str">
        <f t="shared" si="6031"/>
        <v>0614018368</v>
      </c>
      <c r="B16633" t="str">
        <f t="shared" si="6032"/>
        <v>ALLAN</v>
      </c>
      <c r="C16633" t="str">
        <f t="shared" si="6033"/>
        <v>STUART</v>
      </c>
      <c r="D16633">
        <f>12</f>
        <v>12</v>
      </c>
      <c r="E16633" t="str">
        <f>"03 - A - 101 - Lourivaldo  Da Silva"</f>
        <v>03 - A - 101 - Lourivaldo  Da Silva</v>
      </c>
      <c r="F16633" t="str">
        <f>"AP STAT"</f>
        <v>AP STAT</v>
      </c>
      <c r="G16633" t="str">
        <f>"20-2079"</f>
        <v>20-2079</v>
      </c>
      <c r="H16633" t="str">
        <f>"A"</f>
        <v>A</v>
      </c>
    </row>
    <row r="16634" spans="1:8" x14ac:dyDescent="0.2">
      <c r="A16634" t="str">
        <f t="shared" si="6031"/>
        <v>0614018368</v>
      </c>
      <c r="B16634" t="str">
        <f t="shared" si="6032"/>
        <v>ALLAN</v>
      </c>
      <c r="C16634" t="str">
        <f t="shared" si="6033"/>
        <v>STUART</v>
      </c>
      <c r="D16634">
        <f>12</f>
        <v>12</v>
      </c>
      <c r="E16634" t="str">
        <f>"02 - A - 107 - Tina M Jaramillo"</f>
        <v>02 - A - 107 - Tina M Jaramillo</v>
      </c>
      <c r="F16634" t="str">
        <f>"AP ENG LIT COMPO"</f>
        <v>AP ENG LIT COMPO</v>
      </c>
      <c r="G16634" t="str">
        <f>"17-1706"</f>
        <v>17-1706</v>
      </c>
      <c r="H16634" t="str">
        <f>"A"</f>
        <v>A</v>
      </c>
    </row>
    <row r="16635" spans="1:8" x14ac:dyDescent="0.2">
      <c r="A16635" t="str">
        <f t="shared" si="6031"/>
        <v>0614018368</v>
      </c>
      <c r="B16635" t="str">
        <f t="shared" si="6032"/>
        <v>ALLAN</v>
      </c>
      <c r="C16635" t="str">
        <f t="shared" si="6033"/>
        <v>STUART</v>
      </c>
      <c r="D16635">
        <f>12</f>
        <v>12</v>
      </c>
      <c r="E16635" t="str">
        <f>"07 - B - 201 - Angela S Adeshina-Morrison"</f>
        <v>07 - B - 201 - Angela S Adeshina-Morrison</v>
      </c>
      <c r="F16635" t="str">
        <f>"BUSINESS OWNER HON"</f>
        <v>BUSINESS OWNER HON</v>
      </c>
      <c r="G16635" t="str">
        <f>"05-518"</f>
        <v>05-518</v>
      </c>
      <c r="H16635" t="str">
        <f>"B"</f>
        <v>B</v>
      </c>
    </row>
    <row r="16636" spans="1:8" x14ac:dyDescent="0.2">
      <c r="A16636" t="str">
        <f t="shared" si="6031"/>
        <v>0614018368</v>
      </c>
      <c r="B16636" t="str">
        <f t="shared" si="6032"/>
        <v>ALLAN</v>
      </c>
      <c r="C16636" t="str">
        <f t="shared" si="6033"/>
        <v>STUART</v>
      </c>
      <c r="D16636">
        <f>12</f>
        <v>12</v>
      </c>
      <c r="E16636" t="str">
        <f>"05 - B - 105 - Norayda D Suarez"</f>
        <v>05 - B - 105 - Norayda D Suarez</v>
      </c>
      <c r="F16636" t="str">
        <f>"RESEARCH 1 LH"</f>
        <v>RESEARCH 1 LH</v>
      </c>
      <c r="G16636">
        <f>2041</f>
        <v>2041</v>
      </c>
      <c r="H16636" t="str">
        <f>"B"</f>
        <v>B</v>
      </c>
    </row>
    <row r="16637" spans="1:8" x14ac:dyDescent="0.2">
      <c r="A16637" t="str">
        <f t="shared" si="6031"/>
        <v>0614018368</v>
      </c>
      <c r="B16637" t="str">
        <f t="shared" si="6032"/>
        <v>ALLAN</v>
      </c>
      <c r="C16637" t="str">
        <f t="shared" si="6033"/>
        <v>STUART</v>
      </c>
      <c r="D16637">
        <f>12</f>
        <v>12</v>
      </c>
      <c r="E16637" t="str">
        <f>"01 - A - 001 - Dorothy D Moore"</f>
        <v>01 - A - 001 - Dorothy D Moore</v>
      </c>
      <c r="F16637" t="str">
        <f>"ANAT PHYSIO HON"</f>
        <v>ANAT PHYSIO HON</v>
      </c>
      <c r="G16637" t="str">
        <f>"08-803"</f>
        <v>08-803</v>
      </c>
      <c r="H16637" t="str">
        <f>"A"</f>
        <v>A</v>
      </c>
    </row>
    <row r="16638" spans="1:8" x14ac:dyDescent="0.2">
      <c r="A16638" t="str">
        <f t="shared" si="6031"/>
        <v>0614018368</v>
      </c>
      <c r="B16638" t="str">
        <f t="shared" si="6032"/>
        <v>ALLAN</v>
      </c>
      <c r="C16638" t="str">
        <f t="shared" si="6033"/>
        <v>STUART</v>
      </c>
      <c r="D16638">
        <f>12</f>
        <v>12</v>
      </c>
      <c r="E16638" t="str">
        <f>"08 - S1 - B - 105 - Kelly N Panza"</f>
        <v>08 - S1 - B - 105 - Kelly N Panza</v>
      </c>
      <c r="F16638" t="str">
        <f>"US GOVT HON"</f>
        <v>US GOVT HON</v>
      </c>
      <c r="G16638" t="str">
        <f>"17-1753"</f>
        <v>17-1753</v>
      </c>
      <c r="H16638" t="str">
        <f>"B"</f>
        <v>B</v>
      </c>
    </row>
    <row r="16639" spans="1:8" x14ac:dyDescent="0.2">
      <c r="A16639" t="str">
        <f t="shared" ref="A16639:A16646" si="6034">"0615037152"</f>
        <v>0615037152</v>
      </c>
      <c r="B16639" t="str">
        <f t="shared" ref="B16639:B16646" si="6035">"BELLA"</f>
        <v>BELLA</v>
      </c>
      <c r="C16639" t="str">
        <f t="shared" ref="C16639:C16654" si="6036">"STUBBS"</f>
        <v>STUBBS</v>
      </c>
      <c r="D16639">
        <f>11</f>
        <v>11</v>
      </c>
      <c r="E16639" t="str">
        <f>"04 - A - 102 - Jeffrey S Gallagher"</f>
        <v>04 - A - 102 - Jeffrey S Gallagher</v>
      </c>
      <c r="F16639" t="str">
        <f>"ENG HON 3"</f>
        <v>ENG HON 3</v>
      </c>
      <c r="G16639" t="str">
        <f>"17-1724"</f>
        <v>17-1724</v>
      </c>
      <c r="H16639" t="str">
        <f>"A"</f>
        <v>A</v>
      </c>
    </row>
    <row r="16640" spans="1:8" x14ac:dyDescent="0.2">
      <c r="A16640" t="str">
        <f t="shared" si="6034"/>
        <v>0615037152</v>
      </c>
      <c r="B16640" t="str">
        <f t="shared" si="6035"/>
        <v>BELLA</v>
      </c>
      <c r="C16640" t="str">
        <f t="shared" si="6036"/>
        <v>STUBBS</v>
      </c>
      <c r="D16640">
        <f>11</f>
        <v>11</v>
      </c>
      <c r="E16640" t="str">
        <f>"06 - B - 102 - Rosa Elaine  Collado-Duff"</f>
        <v>06 - B - 102 - Rosa Elaine  Collado-Duff</v>
      </c>
      <c r="F16640" t="str">
        <f>"SPANISH 3 HON"</f>
        <v>SPANISH 3 HON</v>
      </c>
      <c r="G16640" t="str">
        <f>"09-913"</f>
        <v>09-913</v>
      </c>
      <c r="H16640" t="str">
        <f>"B"</f>
        <v>B</v>
      </c>
    </row>
    <row r="16641" spans="1:8" x14ac:dyDescent="0.2">
      <c r="A16641" t="str">
        <f t="shared" si="6034"/>
        <v>0615037152</v>
      </c>
      <c r="B16641" t="str">
        <f t="shared" si="6035"/>
        <v>BELLA</v>
      </c>
      <c r="C16641" t="str">
        <f t="shared" si="6036"/>
        <v>STUBBS</v>
      </c>
      <c r="D16641">
        <f>11</f>
        <v>11</v>
      </c>
      <c r="E16641" t="str">
        <f>"03 - A - 101 - Brian M Fitzgerald"</f>
        <v>03 - A - 101 - Brian M Fitzgerald</v>
      </c>
      <c r="F16641" t="str">
        <f>"SCULPT 1"</f>
        <v>SCULPT 1</v>
      </c>
      <c r="G16641" t="str">
        <f>"09-908"</f>
        <v>09-908</v>
      </c>
      <c r="H16641" t="str">
        <f>"A"</f>
        <v>A</v>
      </c>
    </row>
    <row r="16642" spans="1:8" x14ac:dyDescent="0.2">
      <c r="A16642" t="str">
        <f t="shared" si="6034"/>
        <v>0615037152</v>
      </c>
      <c r="B16642" t="str">
        <f t="shared" si="6035"/>
        <v>BELLA</v>
      </c>
      <c r="C16642" t="str">
        <f t="shared" si="6036"/>
        <v>STUBBS</v>
      </c>
      <c r="D16642">
        <f>11</f>
        <v>11</v>
      </c>
      <c r="E16642" t="str">
        <f>"02 - A - 102 - Brook E Goren"</f>
        <v>02 - A - 102 - Brook E Goren</v>
      </c>
      <c r="F16642" t="str">
        <f>"NC STUDY HALL 1"</f>
        <v>NC STUDY HALL 1</v>
      </c>
      <c r="G16642" t="str">
        <f>"21-2158"</f>
        <v>21-2158</v>
      </c>
      <c r="H16642" t="str">
        <f>"A"</f>
        <v>A</v>
      </c>
    </row>
    <row r="16643" spans="1:8" x14ac:dyDescent="0.2">
      <c r="A16643" t="str">
        <f t="shared" si="6034"/>
        <v>0615037152</v>
      </c>
      <c r="B16643" t="str">
        <f t="shared" si="6035"/>
        <v>BELLA</v>
      </c>
      <c r="C16643" t="str">
        <f t="shared" si="6036"/>
        <v>STUBBS</v>
      </c>
      <c r="D16643">
        <f>11</f>
        <v>11</v>
      </c>
      <c r="E16643" t="str">
        <f>"07 - B - 107 - Semra  Bahadir"</f>
        <v>07 - B - 107 - Semra  Bahadir</v>
      </c>
      <c r="F16643" t="str">
        <f>"MATH COLL ALGEBRA"</f>
        <v>MATH COLL ALGEBRA</v>
      </c>
      <c r="G16643" t="str">
        <f>"21-2107"</f>
        <v>21-2107</v>
      </c>
      <c r="H16643" t="str">
        <f>"B"</f>
        <v>B</v>
      </c>
    </row>
    <row r="16644" spans="1:8" x14ac:dyDescent="0.2">
      <c r="A16644" t="str">
        <f t="shared" si="6034"/>
        <v>0615037152</v>
      </c>
      <c r="B16644" t="str">
        <f t="shared" si="6035"/>
        <v>BELLA</v>
      </c>
      <c r="C16644" t="str">
        <f t="shared" si="6036"/>
        <v>STUBBS</v>
      </c>
      <c r="D16644">
        <f>11</f>
        <v>11</v>
      </c>
      <c r="E16644" t="str">
        <f>"05 - B - 108 - Valerie J Ruwe"</f>
        <v>05 - B - 108 - Valerie J Ruwe</v>
      </c>
      <c r="F16644" t="str">
        <f>"CHEMISTRY 1 HON"</f>
        <v>CHEMISTRY 1 HON</v>
      </c>
      <c r="G16644" t="str">
        <f>"21-2138"</f>
        <v>21-2138</v>
      </c>
      <c r="H16644" t="str">
        <f>"B"</f>
        <v>B</v>
      </c>
    </row>
    <row r="16645" spans="1:8" x14ac:dyDescent="0.2">
      <c r="A16645" t="str">
        <f t="shared" si="6034"/>
        <v>0615037152</v>
      </c>
      <c r="B16645" t="str">
        <f t="shared" si="6035"/>
        <v>BELLA</v>
      </c>
      <c r="C16645" t="str">
        <f t="shared" si="6036"/>
        <v>STUBBS</v>
      </c>
      <c r="D16645">
        <f>11</f>
        <v>11</v>
      </c>
      <c r="E16645" t="str">
        <f>"01 - A - 104 - Jerry S Jiampetti"</f>
        <v>01 - A - 104 - Jerry S Jiampetti</v>
      </c>
      <c r="F16645" t="str">
        <f>"US HISTORY HON"</f>
        <v>US HISTORY HON</v>
      </c>
      <c r="G16645" t="str">
        <f>"17-1751"</f>
        <v>17-1751</v>
      </c>
      <c r="H16645" t="str">
        <f>"A"</f>
        <v>A</v>
      </c>
    </row>
    <row r="16646" spans="1:8" x14ac:dyDescent="0.2">
      <c r="A16646" t="str">
        <f t="shared" si="6034"/>
        <v>0615037152</v>
      </c>
      <c r="B16646" t="str">
        <f t="shared" si="6035"/>
        <v>BELLA</v>
      </c>
      <c r="C16646" t="str">
        <f t="shared" si="6036"/>
        <v>STUBBS</v>
      </c>
      <c r="D16646">
        <f>11</f>
        <v>11</v>
      </c>
      <c r="E16646" t="str">
        <f>"08 - B - 101 - Marius D Orsolini"</f>
        <v>08 - B - 101 - Marius D Orsolini</v>
      </c>
      <c r="F16646" t="str">
        <f>"CULINARY ARTS 2"</f>
        <v>CULINARY ARTS 2</v>
      </c>
      <c r="G16646" t="str">
        <f>"21-2115"</f>
        <v>21-2115</v>
      </c>
      <c r="H16646" t="str">
        <f>"B"</f>
        <v>B</v>
      </c>
    </row>
    <row r="16647" spans="1:8" x14ac:dyDescent="0.2">
      <c r="A16647" t="str">
        <f t="shared" ref="A16647:A16654" si="6037">"0615010384"</f>
        <v>0615010384</v>
      </c>
      <c r="B16647" t="str">
        <f t="shared" ref="B16647:B16654" si="6038">"MI'CHALA"</f>
        <v>MI'CHALA</v>
      </c>
      <c r="C16647" t="str">
        <f t="shared" si="6036"/>
        <v>STUBBS</v>
      </c>
      <c r="D16647" t="str">
        <f t="shared" ref="D16647:D16670" si="6039">"09"</f>
        <v>09</v>
      </c>
      <c r="E16647" t="str">
        <f>"04 - A - 102 - Tina L Lovett"</f>
        <v>04 - A - 102 - Tina L Lovett</v>
      </c>
      <c r="F16647" t="str">
        <f>"ALGEBRA 1"</f>
        <v>ALGEBRA 1</v>
      </c>
      <c r="G16647" t="str">
        <f>"21-2153"</f>
        <v>21-2153</v>
      </c>
      <c r="H16647" t="str">
        <f>"A"</f>
        <v>A</v>
      </c>
    </row>
    <row r="16648" spans="1:8" x14ac:dyDescent="0.2">
      <c r="A16648" t="str">
        <f t="shared" si="6037"/>
        <v>0615010384</v>
      </c>
      <c r="B16648" t="str">
        <f t="shared" si="6038"/>
        <v>MI'CHALA</v>
      </c>
      <c r="C16648" t="str">
        <f t="shared" si="6036"/>
        <v>STUBBS</v>
      </c>
      <c r="D16648" t="str">
        <f t="shared" si="6039"/>
        <v>09</v>
      </c>
      <c r="E16648" t="str">
        <f>"06 - B - 002 - Amy Beth  Broyles"</f>
        <v>06 - B - 002 - Amy Beth  Broyles</v>
      </c>
      <c r="F16648" t="str">
        <f>"ENV SCI"</f>
        <v>ENV SCI</v>
      </c>
      <c r="G16648" t="str">
        <f>"08-802"</f>
        <v>08-802</v>
      </c>
      <c r="H16648" t="str">
        <f>"B"</f>
        <v>B</v>
      </c>
    </row>
    <row r="16649" spans="1:8" x14ac:dyDescent="0.2">
      <c r="A16649" t="str">
        <f t="shared" si="6037"/>
        <v>0615010384</v>
      </c>
      <c r="B16649" t="str">
        <f t="shared" si="6038"/>
        <v>MI'CHALA</v>
      </c>
      <c r="C16649" t="str">
        <f t="shared" si="6036"/>
        <v>STUBBS</v>
      </c>
      <c r="D16649" t="str">
        <f t="shared" si="6039"/>
        <v>09</v>
      </c>
      <c r="E16649" t="str">
        <f>"03 - A - 109 - Lissa C Frederique"</f>
        <v>03 - A - 109 - Lissa C Frederique</v>
      </c>
      <c r="F16649" t="str">
        <f>"WORLD HISTORY"</f>
        <v>WORLD HISTORY</v>
      </c>
      <c r="G16649" t="str">
        <f>"17-1754"</f>
        <v>17-1754</v>
      </c>
      <c r="H16649" t="str">
        <f>"A"</f>
        <v>A</v>
      </c>
    </row>
    <row r="16650" spans="1:8" x14ac:dyDescent="0.2">
      <c r="A16650" t="str">
        <f t="shared" si="6037"/>
        <v>0615010384</v>
      </c>
      <c r="B16650" t="str">
        <f t="shared" si="6038"/>
        <v>MI'CHALA</v>
      </c>
      <c r="C16650" t="str">
        <f t="shared" si="6036"/>
        <v>STUBBS</v>
      </c>
      <c r="D16650" t="str">
        <f t="shared" si="6039"/>
        <v>09</v>
      </c>
      <c r="E16650" t="str">
        <f>"02 - A - 103 - Angela S Adeshina-Morrison"</f>
        <v>02 - A - 103 - Angela S Adeshina-Morrison</v>
      </c>
      <c r="F16650" t="str">
        <f>"NC STUDY HALL 1"</f>
        <v>NC STUDY HALL 1</v>
      </c>
      <c r="G16650" t="str">
        <f>"05-518"</f>
        <v>05-518</v>
      </c>
      <c r="H16650" t="str">
        <f>"A"</f>
        <v>A</v>
      </c>
    </row>
    <row r="16651" spans="1:8" x14ac:dyDescent="0.2">
      <c r="A16651" t="str">
        <f t="shared" si="6037"/>
        <v>0615010384</v>
      </c>
      <c r="B16651" t="str">
        <f t="shared" si="6038"/>
        <v>MI'CHALA</v>
      </c>
      <c r="C16651" t="str">
        <f t="shared" si="6036"/>
        <v>STUBBS</v>
      </c>
      <c r="D16651" t="str">
        <f t="shared" si="6039"/>
        <v>09</v>
      </c>
      <c r="E16651" t="str">
        <f>"07 - B - 201 - Angela S Adeshina-Morrison"</f>
        <v>07 - B - 201 - Angela S Adeshina-Morrison</v>
      </c>
      <c r="F16651" t="str">
        <f>"BUSINESS OWNER HON"</f>
        <v>BUSINESS OWNER HON</v>
      </c>
      <c r="G16651" t="str">
        <f>"05-518"</f>
        <v>05-518</v>
      </c>
      <c r="H16651" t="str">
        <f>"B"</f>
        <v>B</v>
      </c>
    </row>
    <row r="16652" spans="1:8" x14ac:dyDescent="0.2">
      <c r="A16652" t="str">
        <f t="shared" si="6037"/>
        <v>0615010384</v>
      </c>
      <c r="B16652" t="str">
        <f t="shared" si="6038"/>
        <v>MI'CHALA</v>
      </c>
      <c r="C16652" t="str">
        <f t="shared" si="6036"/>
        <v>STUBBS</v>
      </c>
      <c r="D16652" t="str">
        <f t="shared" si="6039"/>
        <v>09</v>
      </c>
      <c r="E16652" t="str">
        <f>"05 - B - 001 - Laselleda D Shaw"</f>
        <v>05 - B - 001 - Laselleda D Shaw</v>
      </c>
      <c r="F16652" t="str">
        <f>"INTENS READ 1"</f>
        <v>INTENS READ 1</v>
      </c>
      <c r="G16652" t="str">
        <f>"17-1723"</f>
        <v>17-1723</v>
      </c>
      <c r="H16652" t="str">
        <f>"B"</f>
        <v>B</v>
      </c>
    </row>
    <row r="16653" spans="1:8" x14ac:dyDescent="0.2">
      <c r="A16653" t="str">
        <f t="shared" si="6037"/>
        <v>0615010384</v>
      </c>
      <c r="B16653" t="str">
        <f t="shared" si="6038"/>
        <v>MI'CHALA</v>
      </c>
      <c r="C16653" t="str">
        <f t="shared" si="6036"/>
        <v>STUBBS</v>
      </c>
      <c r="D16653" t="str">
        <f t="shared" si="6039"/>
        <v>09</v>
      </c>
      <c r="E16653" t="str">
        <f>"01 - A - 101 - Cerine S Stewart"</f>
        <v>01 - A - 101 - Cerine S Stewart</v>
      </c>
      <c r="F16653" t="str">
        <f>"ENG 1"</f>
        <v>ENG 1</v>
      </c>
      <c r="G16653" t="str">
        <f>"17-1720"</f>
        <v>17-1720</v>
      </c>
      <c r="H16653" t="str">
        <f>"A"</f>
        <v>A</v>
      </c>
    </row>
    <row r="16654" spans="1:8" x14ac:dyDescent="0.2">
      <c r="A16654" t="str">
        <f t="shared" si="6037"/>
        <v>0615010384</v>
      </c>
      <c r="B16654" t="str">
        <f t="shared" si="6038"/>
        <v>MI'CHALA</v>
      </c>
      <c r="C16654" t="str">
        <f t="shared" si="6036"/>
        <v>STUBBS</v>
      </c>
      <c r="D16654" t="str">
        <f t="shared" si="6039"/>
        <v>09</v>
      </c>
      <c r="E16654" t="str">
        <f>"08 - B - 108 - Tina L Lovett"</f>
        <v>08 - B - 108 - Tina L Lovett</v>
      </c>
      <c r="F16654" t="str">
        <f>"FDN SKLS MATH 9-12"</f>
        <v>FDN SKLS MATH 9-12</v>
      </c>
      <c r="G16654" t="str">
        <f>"21-2153"</f>
        <v>21-2153</v>
      </c>
      <c r="H16654" t="str">
        <f>"B"</f>
        <v>B</v>
      </c>
    </row>
    <row r="16655" spans="1:8" x14ac:dyDescent="0.2">
      <c r="A16655" t="str">
        <f t="shared" ref="A16655:A16662" si="6040">"0623147305"</f>
        <v>0623147305</v>
      </c>
      <c r="B16655" t="str">
        <f t="shared" ref="B16655:B16662" si="6041">"RAELYNN"</f>
        <v>RAELYNN</v>
      </c>
      <c r="C16655" t="str">
        <f t="shared" ref="C16655:C16662" si="6042">"STUEBER"</f>
        <v>STUEBER</v>
      </c>
      <c r="D16655" t="str">
        <f t="shared" si="6039"/>
        <v>09</v>
      </c>
      <c r="E16655" t="str">
        <f>"04 - A - 102 - Elizabeth R Walker"</f>
        <v>04 - A - 102 - Elizabeth R Walker</v>
      </c>
      <c r="F16655" t="str">
        <f>"AICE ENG GEN PAPER 1"</f>
        <v>AICE ENG GEN PAPER 1</v>
      </c>
      <c r="G16655" t="str">
        <f>"17-1703"</f>
        <v>17-1703</v>
      </c>
      <c r="H16655" t="str">
        <f>"A"</f>
        <v>A</v>
      </c>
    </row>
    <row r="16656" spans="1:8" x14ac:dyDescent="0.2">
      <c r="A16656" t="str">
        <f t="shared" si="6040"/>
        <v>0623147305</v>
      </c>
      <c r="B16656" t="str">
        <f t="shared" si="6041"/>
        <v>RAELYNN</v>
      </c>
      <c r="C16656" t="str">
        <f t="shared" si="6042"/>
        <v>STUEBER</v>
      </c>
      <c r="D16656" t="str">
        <f t="shared" si="6039"/>
        <v>09</v>
      </c>
      <c r="E16656" t="str">
        <f>"06 - B - 106 - Marius D Orsolini"</f>
        <v>06 - B - 106 - Marius D Orsolini</v>
      </c>
      <c r="F16656" t="str">
        <f>"CULINARY ARTS 1"</f>
        <v>CULINARY ARTS 1</v>
      </c>
      <c r="G16656" t="str">
        <f>"21-2115"</f>
        <v>21-2115</v>
      </c>
      <c r="H16656" t="str">
        <f>"B"</f>
        <v>B</v>
      </c>
    </row>
    <row r="16657" spans="1:8" x14ac:dyDescent="0.2">
      <c r="A16657" t="str">
        <f t="shared" si="6040"/>
        <v>0623147305</v>
      </c>
      <c r="B16657" t="str">
        <f t="shared" si="6041"/>
        <v>RAELYNN</v>
      </c>
      <c r="C16657" t="str">
        <f t="shared" si="6042"/>
        <v>STUEBER</v>
      </c>
      <c r="D16657" t="str">
        <f t="shared" si="6039"/>
        <v>09</v>
      </c>
      <c r="E16657" t="str">
        <f>"03 - A - 101 - Rosa Elaine  Collado-Duff"</f>
        <v>03 - A - 101 - Rosa Elaine  Collado-Duff</v>
      </c>
      <c r="F16657" t="str">
        <f>"SPANISH 3 HON"</f>
        <v>SPANISH 3 HON</v>
      </c>
      <c r="G16657" t="str">
        <f>"09-913"</f>
        <v>09-913</v>
      </c>
      <c r="H16657" t="str">
        <f>"A"</f>
        <v>A</v>
      </c>
    </row>
    <row r="16658" spans="1:8" x14ac:dyDescent="0.2">
      <c r="A16658" t="str">
        <f t="shared" si="6040"/>
        <v>0623147305</v>
      </c>
      <c r="B16658" t="str">
        <f t="shared" si="6041"/>
        <v>RAELYNN</v>
      </c>
      <c r="C16658" t="str">
        <f t="shared" si="6042"/>
        <v>STUEBER</v>
      </c>
      <c r="D16658" t="str">
        <f t="shared" si="6039"/>
        <v>09</v>
      </c>
      <c r="E16658" t="str">
        <f>"02 - A - 102 - Samantha J Headley"</f>
        <v>02 - A - 102 - Samantha J Headley</v>
      </c>
      <c r="F16658" t="str">
        <f>"NC STUDY HALL 1"</f>
        <v>NC STUDY HALL 1</v>
      </c>
      <c r="G16658" t="str">
        <f>"21-2134"</f>
        <v>21-2134</v>
      </c>
      <c r="H16658" t="str">
        <f>"A"</f>
        <v>A</v>
      </c>
    </row>
    <row r="16659" spans="1:8" x14ac:dyDescent="0.2">
      <c r="A16659" t="str">
        <f t="shared" si="6040"/>
        <v>0623147305</v>
      </c>
      <c r="B16659" t="str">
        <f t="shared" si="6041"/>
        <v>RAELYNN</v>
      </c>
      <c r="C16659" t="str">
        <f t="shared" si="6042"/>
        <v>STUEBER</v>
      </c>
      <c r="D16659" t="str">
        <f t="shared" si="6039"/>
        <v>09</v>
      </c>
      <c r="E16659" t="str">
        <f>"07 - B - 105 - Byron G Montenegro"</f>
        <v>07 - B - 105 - Byron G Montenegro</v>
      </c>
      <c r="F16659" t="str">
        <f>"AICE MARINE SCI 1 AS"</f>
        <v>AICE MARINE SCI 1 AS</v>
      </c>
      <c r="G16659" t="str">
        <f>"21-2144"</f>
        <v>21-2144</v>
      </c>
      <c r="H16659" t="str">
        <f>"B"</f>
        <v>B</v>
      </c>
    </row>
    <row r="16660" spans="1:8" x14ac:dyDescent="0.2">
      <c r="A16660" t="str">
        <f t="shared" si="6040"/>
        <v>0623147305</v>
      </c>
      <c r="B16660" t="str">
        <f t="shared" si="6041"/>
        <v>RAELYNN</v>
      </c>
      <c r="C16660" t="str">
        <f t="shared" si="6042"/>
        <v>STUEBER</v>
      </c>
      <c r="D16660" t="str">
        <f t="shared" si="6039"/>
        <v>09</v>
      </c>
      <c r="E16660" t="str">
        <f>"05 - B - 103 - Brook E Goren"</f>
        <v>05 - B - 103 - Brook E Goren</v>
      </c>
      <c r="F16660" t="str">
        <f>"PRE-AICE MATH 2 IG"</f>
        <v>PRE-AICE MATH 2 IG</v>
      </c>
      <c r="G16660" t="str">
        <f>"21-2158"</f>
        <v>21-2158</v>
      </c>
      <c r="H16660" t="str">
        <f>"B"</f>
        <v>B</v>
      </c>
    </row>
    <row r="16661" spans="1:8" x14ac:dyDescent="0.2">
      <c r="A16661" t="str">
        <f t="shared" si="6040"/>
        <v>0623147305</v>
      </c>
      <c r="B16661" t="str">
        <f t="shared" si="6041"/>
        <v>RAELYNN</v>
      </c>
      <c r="C16661" t="str">
        <f t="shared" si="6042"/>
        <v>STUEBER</v>
      </c>
      <c r="D16661" t="str">
        <f t="shared" si="6039"/>
        <v>09</v>
      </c>
      <c r="E16661" t="str">
        <f>"01 - A - 101 - Josiah I Lacy"</f>
        <v>01 - A - 101 - Josiah I Lacy</v>
      </c>
      <c r="F16661" t="str">
        <f>"PRE-AICE BIO IG"</f>
        <v>PRE-AICE BIO IG</v>
      </c>
      <c r="G16661" t="str">
        <f>"08-801"</f>
        <v>08-801</v>
      </c>
      <c r="H16661" t="str">
        <f>"A"</f>
        <v>A</v>
      </c>
    </row>
    <row r="16662" spans="1:8" x14ac:dyDescent="0.2">
      <c r="A16662" t="str">
        <f t="shared" si="6040"/>
        <v>0623147305</v>
      </c>
      <c r="B16662" t="str">
        <f t="shared" si="6041"/>
        <v>RAELYNN</v>
      </c>
      <c r="C16662" t="str">
        <f t="shared" si="6042"/>
        <v>STUEBER</v>
      </c>
      <c r="D16662" t="str">
        <f t="shared" si="6039"/>
        <v>09</v>
      </c>
      <c r="E16662" t="str">
        <f>"08 - B - 109 - Emmily A Sarmiento"</f>
        <v>08 - B - 109 - Emmily A Sarmiento</v>
      </c>
      <c r="F16662" t="str">
        <f>"AICE GLBL PERSP 1 AS"</f>
        <v>AICE GLBL PERSP 1 AS</v>
      </c>
      <c r="G16662" t="str">
        <f>"17-1743"</f>
        <v>17-1743</v>
      </c>
      <c r="H16662" t="str">
        <f>"B"</f>
        <v>B</v>
      </c>
    </row>
    <row r="16663" spans="1:8" x14ac:dyDescent="0.2">
      <c r="A16663" t="str">
        <f t="shared" ref="A16663:A16670" si="6043">"0616072384"</f>
        <v>0616072384</v>
      </c>
      <c r="B16663" t="str">
        <f t="shared" ref="B16663:B16670" si="6044">"NEIKA"</f>
        <v>NEIKA</v>
      </c>
      <c r="C16663" t="str">
        <f t="shared" ref="C16663:C16670" si="6045">"ST VELUS"</f>
        <v>ST VELUS</v>
      </c>
      <c r="D16663" t="str">
        <f t="shared" si="6039"/>
        <v>09</v>
      </c>
      <c r="E16663" t="str">
        <f>"04 - A - 105 - Carol S Moore"</f>
        <v>04 - A - 105 - Carol S Moore</v>
      </c>
      <c r="F16663" t="str">
        <f>"PRE-AICE WRLD HST IG"</f>
        <v>PRE-AICE WRLD HST IG</v>
      </c>
      <c r="G16663" t="str">
        <f>"17-1733"</f>
        <v>17-1733</v>
      </c>
      <c r="H16663" t="str">
        <f>"A"</f>
        <v>A</v>
      </c>
    </row>
    <row r="16664" spans="1:8" x14ac:dyDescent="0.2">
      <c r="A16664" t="str">
        <f t="shared" si="6043"/>
        <v>0616072384</v>
      </c>
      <c r="B16664" t="str">
        <f t="shared" si="6044"/>
        <v>NEIKA</v>
      </c>
      <c r="C16664" t="str">
        <f t="shared" si="6045"/>
        <v>ST VELUS</v>
      </c>
      <c r="D16664" t="str">
        <f t="shared" si="6039"/>
        <v>09</v>
      </c>
      <c r="E16664" t="str">
        <f>"06 - S1 - B - 102 - Daniel S Katz"</f>
        <v>06 - S1 - B - 102 - Daniel S Katz</v>
      </c>
      <c r="F16664" t="str">
        <f>"COURT PROCED"</f>
        <v>COURT PROCED</v>
      </c>
      <c r="G16664" t="str">
        <f>"21-2156"</f>
        <v>21-2156</v>
      </c>
      <c r="H16664" t="str">
        <f>"B"</f>
        <v>B</v>
      </c>
    </row>
    <row r="16665" spans="1:8" x14ac:dyDescent="0.2">
      <c r="A16665" t="str">
        <f t="shared" si="6043"/>
        <v>0616072384</v>
      </c>
      <c r="B16665" t="str">
        <f t="shared" si="6044"/>
        <v>NEIKA</v>
      </c>
      <c r="C16665" t="str">
        <f t="shared" si="6045"/>
        <v>ST VELUS</v>
      </c>
      <c r="D16665" t="str">
        <f t="shared" si="6039"/>
        <v>09</v>
      </c>
      <c r="E16665" t="str">
        <f>"03 - A - 203 - Elizabeth R Walker"</f>
        <v>03 - A - 203 - Elizabeth R Walker</v>
      </c>
      <c r="F16665" t="str">
        <f>"AICE ENG GEN PAPER 1"</f>
        <v>AICE ENG GEN PAPER 1</v>
      </c>
      <c r="G16665" t="str">
        <f>"17-1703"</f>
        <v>17-1703</v>
      </c>
      <c r="H16665" t="str">
        <f>"A"</f>
        <v>A</v>
      </c>
    </row>
    <row r="16666" spans="1:8" x14ac:dyDescent="0.2">
      <c r="A16666" t="str">
        <f t="shared" si="6043"/>
        <v>0616072384</v>
      </c>
      <c r="B16666" t="str">
        <f t="shared" si="6044"/>
        <v>NEIKA</v>
      </c>
      <c r="C16666" t="str">
        <f t="shared" si="6045"/>
        <v>ST VELUS</v>
      </c>
      <c r="D16666" t="str">
        <f t="shared" si="6039"/>
        <v>09</v>
      </c>
      <c r="E16666" t="str">
        <f>"02 - A - 101 - Josiah I Lacy"</f>
        <v>02 - A - 101 - Josiah I Lacy</v>
      </c>
      <c r="F16666" t="str">
        <f>"NC STUDY HALL 1"</f>
        <v>NC STUDY HALL 1</v>
      </c>
      <c r="G16666" t="str">
        <f>"08-801"</f>
        <v>08-801</v>
      </c>
      <c r="H16666" t="str">
        <f>"A"</f>
        <v>A</v>
      </c>
    </row>
    <row r="16667" spans="1:8" x14ac:dyDescent="0.2">
      <c r="A16667" t="str">
        <f t="shared" si="6043"/>
        <v>0616072384</v>
      </c>
      <c r="B16667" t="str">
        <f t="shared" si="6044"/>
        <v>NEIKA</v>
      </c>
      <c r="C16667" t="str">
        <f t="shared" si="6045"/>
        <v>ST VELUS</v>
      </c>
      <c r="D16667" t="str">
        <f t="shared" si="6039"/>
        <v>09</v>
      </c>
      <c r="E16667" t="str">
        <f>"07 - B - 103 - Vanessa J Liburd"</f>
        <v>07 - B - 103 - Vanessa J Liburd</v>
      </c>
      <c r="F16667" t="str">
        <f>"PRE-AICE FRENCH 1 IG"</f>
        <v>PRE-AICE FRENCH 1 IG</v>
      </c>
      <c r="G16667" t="str">
        <f>"05-519"</f>
        <v>05-519</v>
      </c>
      <c r="H16667" t="str">
        <f>"B"</f>
        <v>B</v>
      </c>
    </row>
    <row r="16668" spans="1:8" x14ac:dyDescent="0.2">
      <c r="A16668" t="str">
        <f t="shared" si="6043"/>
        <v>0616072384</v>
      </c>
      <c r="B16668" t="str">
        <f t="shared" si="6044"/>
        <v>NEIKA</v>
      </c>
      <c r="C16668" t="str">
        <f t="shared" si="6045"/>
        <v>ST VELUS</v>
      </c>
      <c r="D16668" t="str">
        <f t="shared" si="6039"/>
        <v>09</v>
      </c>
      <c r="E16668" t="str">
        <f>"05 - B - 103 - Brook E Goren"</f>
        <v>05 - B - 103 - Brook E Goren</v>
      </c>
      <c r="F16668" t="str">
        <f>"PRE-AICE MATH 2 IG"</f>
        <v>PRE-AICE MATH 2 IG</v>
      </c>
      <c r="G16668" t="str">
        <f>"21-2158"</f>
        <v>21-2158</v>
      </c>
      <c r="H16668" t="str">
        <f>"B"</f>
        <v>B</v>
      </c>
    </row>
    <row r="16669" spans="1:8" x14ac:dyDescent="0.2">
      <c r="A16669" t="str">
        <f t="shared" si="6043"/>
        <v>0616072384</v>
      </c>
      <c r="B16669" t="str">
        <f t="shared" si="6044"/>
        <v>NEIKA</v>
      </c>
      <c r="C16669" t="str">
        <f t="shared" si="6045"/>
        <v>ST VELUS</v>
      </c>
      <c r="D16669" t="str">
        <f t="shared" si="6039"/>
        <v>09</v>
      </c>
      <c r="E16669" t="str">
        <f>"01 - A - 101 - Josiah I Lacy"</f>
        <v>01 - A - 101 - Josiah I Lacy</v>
      </c>
      <c r="F16669" t="str">
        <f>"PRE-AICE BIO IG"</f>
        <v>PRE-AICE BIO IG</v>
      </c>
      <c r="G16669" t="str">
        <f>"08-801"</f>
        <v>08-801</v>
      </c>
      <c r="H16669" t="str">
        <f>"A"</f>
        <v>A</v>
      </c>
    </row>
    <row r="16670" spans="1:8" x14ac:dyDescent="0.2">
      <c r="A16670" t="str">
        <f t="shared" si="6043"/>
        <v>0616072384</v>
      </c>
      <c r="B16670" t="str">
        <f t="shared" si="6044"/>
        <v>NEIKA</v>
      </c>
      <c r="C16670" t="str">
        <f t="shared" si="6045"/>
        <v>ST VELUS</v>
      </c>
      <c r="D16670" t="str">
        <f t="shared" si="6039"/>
        <v>09</v>
      </c>
      <c r="E16670" t="str">
        <f>"08 - S1 - B - 104 - Angela S Adeshina-Morrison"</f>
        <v>08 - S1 - B - 104 - Angela S Adeshina-Morrison</v>
      </c>
      <c r="F16670" t="str">
        <f>"PEER COUN 1"</f>
        <v>PEER COUN 1</v>
      </c>
      <c r="G16670" t="str">
        <f>"05-518"</f>
        <v>05-518</v>
      </c>
      <c r="H16670" t="str">
        <f>"B"</f>
        <v>B</v>
      </c>
    </row>
    <row r="16671" spans="1:8" x14ac:dyDescent="0.2">
      <c r="A16671" t="str">
        <f t="shared" ref="A16671:A16678" si="6046">"0622009478"</f>
        <v>0622009478</v>
      </c>
      <c r="B16671" t="str">
        <f t="shared" ref="B16671:B16678" si="6047">"GENESIS"</f>
        <v>GENESIS</v>
      </c>
      <c r="C16671" t="str">
        <f t="shared" ref="C16671:C16678" si="6048">"SUAREZ BERGGUIST"</f>
        <v>SUAREZ BERGGUIST</v>
      </c>
      <c r="D16671">
        <f>10</f>
        <v>10</v>
      </c>
      <c r="E16671" t="str">
        <f>"04 - A - 203 - Cheryl L Beach"</f>
        <v>04 - A - 203 - Cheryl L Beach</v>
      </c>
      <c r="F16671" t="str">
        <f>"AICE ENV MGMNT AS"</f>
        <v>AICE ENV MGMNT AS</v>
      </c>
      <c r="G16671" t="str">
        <f>"08-811"</f>
        <v>08-811</v>
      </c>
      <c r="H16671" t="str">
        <f>"A"</f>
        <v>A</v>
      </c>
    </row>
    <row r="16672" spans="1:8" x14ac:dyDescent="0.2">
      <c r="A16672" t="str">
        <f t="shared" si="6046"/>
        <v>0622009478</v>
      </c>
      <c r="B16672" t="str">
        <f t="shared" si="6047"/>
        <v>GENESIS</v>
      </c>
      <c r="C16672" t="str">
        <f t="shared" si="6048"/>
        <v>SUAREZ BERGGUIST</v>
      </c>
      <c r="D16672">
        <f>10</f>
        <v>10</v>
      </c>
      <c r="E16672" t="str">
        <f>"06 - B - 110 - Jerry S Jiampetti"</f>
        <v>06 - B - 110 - Jerry S Jiampetti</v>
      </c>
      <c r="F16672" t="str">
        <f>"NC STUDY HALL 1"</f>
        <v>NC STUDY HALL 1</v>
      </c>
      <c r="G16672" t="str">
        <f>"17-1751"</f>
        <v>17-1751</v>
      </c>
      <c r="H16672" t="str">
        <f>"B"</f>
        <v>B</v>
      </c>
    </row>
    <row r="16673" spans="1:8" x14ac:dyDescent="0.2">
      <c r="A16673" t="str">
        <f t="shared" si="6046"/>
        <v>0622009478</v>
      </c>
      <c r="B16673" t="str">
        <f t="shared" si="6047"/>
        <v>GENESIS</v>
      </c>
      <c r="C16673" t="str">
        <f t="shared" si="6048"/>
        <v>SUAREZ BERGGUIST</v>
      </c>
      <c r="D16673">
        <f>10</f>
        <v>10</v>
      </c>
      <c r="E16673" t="str">
        <f>"03 - A - 103 - Jordana K Hass"</f>
        <v>03 - A - 103 - Jordana K Hass</v>
      </c>
      <c r="F16673" t="str">
        <f>"CHEMISTRY 1"</f>
        <v>CHEMISTRY 1</v>
      </c>
      <c r="G16673" t="str">
        <f>"08-807"</f>
        <v>08-807</v>
      </c>
      <c r="H16673" t="str">
        <f>"A"</f>
        <v>A</v>
      </c>
    </row>
    <row r="16674" spans="1:8" x14ac:dyDescent="0.2">
      <c r="A16674" t="str">
        <f t="shared" si="6046"/>
        <v>0622009478</v>
      </c>
      <c r="B16674" t="str">
        <f t="shared" si="6047"/>
        <v>GENESIS</v>
      </c>
      <c r="C16674" t="str">
        <f t="shared" si="6048"/>
        <v>SUAREZ BERGGUIST</v>
      </c>
      <c r="D16674">
        <f>10</f>
        <v>10</v>
      </c>
      <c r="E16674" t="str">
        <f>"02 - A - 102 - Chrystina M Marchionne"</f>
        <v>02 - A - 102 - Chrystina M Marchionne</v>
      </c>
      <c r="F16674" t="str">
        <f>"AICE MEDIASTUDIES AS"</f>
        <v>AICE MEDIASTUDIES AS</v>
      </c>
      <c r="G16674" t="str">
        <f>"05-520"</f>
        <v>05-520</v>
      </c>
      <c r="H16674" t="str">
        <f>"A"</f>
        <v>A</v>
      </c>
    </row>
    <row r="16675" spans="1:8" x14ac:dyDescent="0.2">
      <c r="A16675" t="str">
        <f t="shared" si="6046"/>
        <v>0622009478</v>
      </c>
      <c r="B16675" t="str">
        <f t="shared" si="6047"/>
        <v>GENESIS</v>
      </c>
      <c r="C16675" t="str">
        <f t="shared" si="6048"/>
        <v>SUAREZ BERGGUIST</v>
      </c>
      <c r="D16675">
        <f>10</f>
        <v>10</v>
      </c>
      <c r="E16675" t="str">
        <f>"07 - B - 106 - James H Mccann"</f>
        <v>07 - B - 106 - James H Mccann</v>
      </c>
      <c r="F16675" t="str">
        <f>"ALGEBRA 2"</f>
        <v>ALGEBRA 2</v>
      </c>
      <c r="G16675" t="str">
        <f>"17-1716"</f>
        <v>17-1716</v>
      </c>
      <c r="H16675" t="str">
        <f>"B"</f>
        <v>B</v>
      </c>
    </row>
    <row r="16676" spans="1:8" x14ac:dyDescent="0.2">
      <c r="A16676" t="str">
        <f t="shared" si="6046"/>
        <v>0622009478</v>
      </c>
      <c r="B16676" t="str">
        <f t="shared" si="6047"/>
        <v>GENESIS</v>
      </c>
      <c r="C16676" t="str">
        <f t="shared" si="6048"/>
        <v>SUAREZ BERGGUIST</v>
      </c>
      <c r="D16676">
        <f>10</f>
        <v>10</v>
      </c>
      <c r="E16676" t="str">
        <f>"05 - S1 - B - 102 - Lissa C Frederique"</f>
        <v>05 - S1 - B - 102 - Lissa C Frederique</v>
      </c>
      <c r="F16676" t="str">
        <f>"PERS FIN &amp; MON MGT H"</f>
        <v>PERS FIN &amp; MON MGT H</v>
      </c>
      <c r="G16676" t="str">
        <f>"17-1754"</f>
        <v>17-1754</v>
      </c>
      <c r="H16676" t="str">
        <f>"B"</f>
        <v>B</v>
      </c>
    </row>
    <row r="16677" spans="1:8" x14ac:dyDescent="0.2">
      <c r="A16677" t="str">
        <f t="shared" si="6046"/>
        <v>0622009478</v>
      </c>
      <c r="B16677" t="str">
        <f t="shared" si="6047"/>
        <v>GENESIS</v>
      </c>
      <c r="C16677" t="str">
        <f t="shared" si="6048"/>
        <v>SUAREZ BERGGUIST</v>
      </c>
      <c r="D16677">
        <f>10</f>
        <v>10</v>
      </c>
      <c r="E16677" t="str">
        <f>"01 - A - 006 - Emmily A Sarmiento"</f>
        <v>01 - A - 006 - Emmily A Sarmiento</v>
      </c>
      <c r="F16677" t="str">
        <f>"AICE GLBL PERSP 1 AS"</f>
        <v>AICE GLBL PERSP 1 AS</v>
      </c>
      <c r="G16677" t="str">
        <f>"17-1743"</f>
        <v>17-1743</v>
      </c>
      <c r="H16677" t="str">
        <f>"A"</f>
        <v>A</v>
      </c>
    </row>
    <row r="16678" spans="1:8" x14ac:dyDescent="0.2">
      <c r="A16678" t="str">
        <f t="shared" si="6046"/>
        <v>0622009478</v>
      </c>
      <c r="B16678" t="str">
        <f t="shared" si="6047"/>
        <v>GENESIS</v>
      </c>
      <c r="C16678" t="str">
        <f t="shared" si="6048"/>
        <v>SUAREZ BERGGUIST</v>
      </c>
      <c r="D16678">
        <f>10</f>
        <v>10</v>
      </c>
      <c r="E16678" t="str">
        <f>"08 - B - 001 - Jacklyn M James"</f>
        <v>08 - B - 001 - Jacklyn M James</v>
      </c>
      <c r="F16678" t="str">
        <f>"AICE ENG LANG AS"</f>
        <v>AICE ENG LANG AS</v>
      </c>
      <c r="G16678" t="str">
        <f>"17-1731"</f>
        <v>17-1731</v>
      </c>
      <c r="H16678" t="str">
        <f>"B"</f>
        <v>B</v>
      </c>
    </row>
    <row r="16679" spans="1:8" x14ac:dyDescent="0.2">
      <c r="A16679" t="str">
        <f t="shared" ref="A16679:A16686" si="6049">"0616160396"</f>
        <v>0616160396</v>
      </c>
      <c r="B16679" t="str">
        <f t="shared" ref="B16679:B16686" si="6050">"ROBERTO"</f>
        <v>ROBERTO</v>
      </c>
      <c r="C16679" t="str">
        <f t="shared" ref="C16679:C16686" si="6051">"SUAREZ SORIA"</f>
        <v>SUAREZ SORIA</v>
      </c>
      <c r="D16679" t="str">
        <f t="shared" ref="D16679:D16686" si="6052">"09"</f>
        <v>09</v>
      </c>
      <c r="E16679" t="str">
        <f>"04 - A - 102 - Elizabeth R Walker"</f>
        <v>04 - A - 102 - Elizabeth R Walker</v>
      </c>
      <c r="F16679" t="str">
        <f>"AICE ENG GEN PAPER 1"</f>
        <v>AICE ENG GEN PAPER 1</v>
      </c>
      <c r="G16679" t="str">
        <f>"17-1703"</f>
        <v>17-1703</v>
      </c>
      <c r="H16679" t="str">
        <f>"A"</f>
        <v>A</v>
      </c>
    </row>
    <row r="16680" spans="1:8" x14ac:dyDescent="0.2">
      <c r="A16680" t="str">
        <f t="shared" si="6049"/>
        <v>0616160396</v>
      </c>
      <c r="B16680" t="str">
        <f t="shared" si="6050"/>
        <v>ROBERTO</v>
      </c>
      <c r="C16680" t="str">
        <f t="shared" si="6051"/>
        <v>SUAREZ SORIA</v>
      </c>
      <c r="D16680" t="str">
        <f t="shared" si="6052"/>
        <v>09</v>
      </c>
      <c r="E16680" t="str">
        <f>"06 - B - 104 - Byron G Montenegro"</f>
        <v>06 - B - 104 - Byron G Montenegro</v>
      </c>
      <c r="F16680" t="str">
        <f>"AICE MARINE SCI 1 AS"</f>
        <v>AICE MARINE SCI 1 AS</v>
      </c>
      <c r="G16680" t="str">
        <f>"21-2144"</f>
        <v>21-2144</v>
      </c>
      <c r="H16680" t="str">
        <f>"B"</f>
        <v>B</v>
      </c>
    </row>
    <row r="16681" spans="1:8" x14ac:dyDescent="0.2">
      <c r="A16681" t="str">
        <f t="shared" si="6049"/>
        <v>0616160396</v>
      </c>
      <c r="B16681" t="str">
        <f t="shared" si="6050"/>
        <v>ROBERTO</v>
      </c>
      <c r="C16681" t="str">
        <f t="shared" si="6051"/>
        <v>SUAREZ SORIA</v>
      </c>
      <c r="D16681" t="str">
        <f t="shared" si="6052"/>
        <v>09</v>
      </c>
      <c r="E16681" t="str">
        <f>"03 - S1 - A - 102 - Angela S Adeshina-Morrison"</f>
        <v>03 - S1 - A - 102 - Angela S Adeshina-Morrison</v>
      </c>
      <c r="F16681" t="str">
        <f>"PEER COUN 1"</f>
        <v>PEER COUN 1</v>
      </c>
      <c r="G16681" t="str">
        <f>"05-518"</f>
        <v>05-518</v>
      </c>
      <c r="H16681" t="str">
        <f>"A"</f>
        <v>A</v>
      </c>
    </row>
    <row r="16682" spans="1:8" x14ac:dyDescent="0.2">
      <c r="A16682" t="str">
        <f t="shared" si="6049"/>
        <v>0616160396</v>
      </c>
      <c r="B16682" t="str">
        <f t="shared" si="6050"/>
        <v>ROBERTO</v>
      </c>
      <c r="C16682" t="str">
        <f t="shared" si="6051"/>
        <v>SUAREZ SORIA</v>
      </c>
      <c r="D16682" t="str">
        <f t="shared" si="6052"/>
        <v>09</v>
      </c>
      <c r="E16682" t="str">
        <f>"02 - A - 104 - Lytrell T Dixon"</f>
        <v>02 - A - 104 - Lytrell T Dixon</v>
      </c>
      <c r="F16682" t="str">
        <f>"NC STUDY HALL 1"</f>
        <v>NC STUDY HALL 1</v>
      </c>
      <c r="G16682" t="str">
        <f>"08-808"</f>
        <v>08-808</v>
      </c>
      <c r="H16682" t="str">
        <f>"A"</f>
        <v>A</v>
      </c>
    </row>
    <row r="16683" spans="1:8" x14ac:dyDescent="0.2">
      <c r="A16683" t="str">
        <f t="shared" si="6049"/>
        <v>0616160396</v>
      </c>
      <c r="B16683" t="str">
        <f t="shared" si="6050"/>
        <v>ROBERTO</v>
      </c>
      <c r="C16683" t="str">
        <f t="shared" si="6051"/>
        <v>SUAREZ SORIA</v>
      </c>
      <c r="D16683" t="str">
        <f t="shared" si="6052"/>
        <v>09</v>
      </c>
      <c r="E16683" t="str">
        <f>"07 - B - 101 - Samantha L Martinez"</f>
        <v>07 - B - 101 - Samantha L Martinez</v>
      </c>
      <c r="F16683" t="str">
        <f>"KEYBD 1"</f>
        <v>KEYBD 1</v>
      </c>
      <c r="G16683" t="str">
        <f>"05-505"</f>
        <v>05-505</v>
      </c>
      <c r="H16683" t="str">
        <f>"B"</f>
        <v>B</v>
      </c>
    </row>
    <row r="16684" spans="1:8" x14ac:dyDescent="0.2">
      <c r="A16684" t="str">
        <f t="shared" si="6049"/>
        <v>0616160396</v>
      </c>
      <c r="B16684" t="str">
        <f t="shared" si="6050"/>
        <v>ROBERTO</v>
      </c>
      <c r="C16684" t="str">
        <f t="shared" si="6051"/>
        <v>SUAREZ SORIA</v>
      </c>
      <c r="D16684" t="str">
        <f t="shared" si="6052"/>
        <v>09</v>
      </c>
      <c r="E16684" t="str">
        <f>"05 - B - 003 - Krystal Marie  Beruty"</f>
        <v>05 - B - 003 - Krystal Marie  Beruty</v>
      </c>
      <c r="F16684" t="str">
        <f>"AICE GLBL PERSP 1 AS"</f>
        <v>AICE GLBL PERSP 1 AS</v>
      </c>
      <c r="G16684" t="str">
        <f>"17-1721"</f>
        <v>17-1721</v>
      </c>
      <c r="H16684" t="str">
        <f>"B"</f>
        <v>B</v>
      </c>
    </row>
    <row r="16685" spans="1:8" x14ac:dyDescent="0.2">
      <c r="A16685" t="str">
        <f t="shared" si="6049"/>
        <v>0616160396</v>
      </c>
      <c r="B16685" t="str">
        <f t="shared" si="6050"/>
        <v>ROBERTO</v>
      </c>
      <c r="C16685" t="str">
        <f t="shared" si="6051"/>
        <v>SUAREZ SORIA</v>
      </c>
      <c r="D16685" t="str">
        <f t="shared" si="6052"/>
        <v>09</v>
      </c>
      <c r="E16685" t="str">
        <f>"01 - A - 101 - Maried P Ramos"</f>
        <v>01 - A - 101 - Maried P Ramos</v>
      </c>
      <c r="F16685" t="str">
        <f>"ALGEBRA 2 HON"</f>
        <v>ALGEBRA 2 HON</v>
      </c>
      <c r="G16685" t="str">
        <f>"21-2159"</f>
        <v>21-2159</v>
      </c>
      <c r="H16685" t="str">
        <f>"A"</f>
        <v>A</v>
      </c>
    </row>
    <row r="16686" spans="1:8" x14ac:dyDescent="0.2">
      <c r="A16686" t="str">
        <f t="shared" si="6049"/>
        <v>0616160396</v>
      </c>
      <c r="B16686" t="str">
        <f t="shared" si="6050"/>
        <v>ROBERTO</v>
      </c>
      <c r="C16686" t="str">
        <f t="shared" si="6051"/>
        <v>SUAREZ SORIA</v>
      </c>
      <c r="D16686" t="str">
        <f t="shared" si="6052"/>
        <v>09</v>
      </c>
      <c r="E16686" t="str">
        <f>"08 - S1 - B - 105 - Richard E Dunbar Iii"</f>
        <v>08 - S1 - B - 105 - Richard E Dunbar Iii</v>
      </c>
      <c r="F16686" t="str">
        <f>"WEIGHT TRAIN 1"</f>
        <v>WEIGHT TRAIN 1</v>
      </c>
      <c r="G16686" t="str">
        <f>"05-501"</f>
        <v>05-501</v>
      </c>
      <c r="H16686" t="str">
        <f>"B"</f>
        <v>B</v>
      </c>
    </row>
    <row r="16687" spans="1:8" x14ac:dyDescent="0.2">
      <c r="A16687" t="str">
        <f t="shared" ref="A16687:A16694" si="6053">"0614130851"</f>
        <v>0614130851</v>
      </c>
      <c r="B16687" t="str">
        <f t="shared" ref="B16687:B16694" si="6054">"ELIZABETH"</f>
        <v>ELIZABETH</v>
      </c>
      <c r="C16687" t="str">
        <f t="shared" ref="C16687:C16694" si="6055">"SUASTEGUI PEREZ"</f>
        <v>SUASTEGUI PEREZ</v>
      </c>
      <c r="D16687">
        <f>11</f>
        <v>11</v>
      </c>
      <c r="E16687" t="str">
        <f>"04 - A - 102 - Lisa J London"</f>
        <v>04 - A - 102 - Lisa J London</v>
      </c>
      <c r="F16687" t="str">
        <f>"AP CAPSTONE SEMINAR"</f>
        <v>AP CAPSTONE SEMINAR</v>
      </c>
      <c r="G16687" t="str">
        <f>"17-1714"</f>
        <v>17-1714</v>
      </c>
      <c r="H16687" t="str">
        <f>"A"</f>
        <v>A</v>
      </c>
    </row>
    <row r="16688" spans="1:8" x14ac:dyDescent="0.2">
      <c r="A16688" t="str">
        <f t="shared" si="6053"/>
        <v>0614130851</v>
      </c>
      <c r="B16688" t="str">
        <f t="shared" si="6054"/>
        <v>ELIZABETH</v>
      </c>
      <c r="C16688" t="str">
        <f t="shared" si="6055"/>
        <v>SUASTEGUI PEREZ</v>
      </c>
      <c r="D16688">
        <f>11</f>
        <v>11</v>
      </c>
      <c r="E16688" t="str">
        <f>"06 - B - 105 - Cheryl L Beach"</f>
        <v>06 - B - 105 - Cheryl L Beach</v>
      </c>
      <c r="F16688" t="str">
        <f>"AICE ENV MGMNT AS"</f>
        <v>AICE ENV MGMNT AS</v>
      </c>
      <c r="G16688" t="str">
        <f>"08-811"</f>
        <v>08-811</v>
      </c>
      <c r="H16688" t="str">
        <f>"B"</f>
        <v>B</v>
      </c>
    </row>
    <row r="16689" spans="1:8" x14ac:dyDescent="0.2">
      <c r="A16689" t="str">
        <f t="shared" si="6053"/>
        <v>0614130851</v>
      </c>
      <c r="B16689" t="str">
        <f t="shared" si="6054"/>
        <v>ELIZABETH</v>
      </c>
      <c r="C16689" t="str">
        <f t="shared" si="6055"/>
        <v>SUASTEGUI PEREZ</v>
      </c>
      <c r="D16689">
        <f>11</f>
        <v>11</v>
      </c>
      <c r="E16689" t="str">
        <f>"03 - A - 106 - Krystal Marie  Beruty"</f>
        <v>03 - A - 106 - Krystal Marie  Beruty</v>
      </c>
      <c r="F16689" t="str">
        <f>"AICE PSYCH 1 AS"</f>
        <v>AICE PSYCH 1 AS</v>
      </c>
      <c r="G16689" t="str">
        <f>"17-1721"</f>
        <v>17-1721</v>
      </c>
      <c r="H16689" t="str">
        <f>"A"</f>
        <v>A</v>
      </c>
    </row>
    <row r="16690" spans="1:8" x14ac:dyDescent="0.2">
      <c r="A16690" t="str">
        <f t="shared" si="6053"/>
        <v>0614130851</v>
      </c>
      <c r="B16690" t="str">
        <f t="shared" si="6054"/>
        <v>ELIZABETH</v>
      </c>
      <c r="C16690" t="str">
        <f t="shared" si="6055"/>
        <v>SUASTEGUI PEREZ</v>
      </c>
      <c r="D16690">
        <f>11</f>
        <v>11</v>
      </c>
      <c r="E16690" t="str">
        <f>"02 - A - 102 - Fernando  Vega-Cid"</f>
        <v>02 - A - 102 - Fernando  Vega-Cid</v>
      </c>
      <c r="F16690" t="str">
        <f>"NC STUDY HALL 1"</f>
        <v>NC STUDY HALL 1</v>
      </c>
      <c r="G16690" t="str">
        <f>"21-2163"</f>
        <v>21-2163</v>
      </c>
      <c r="H16690" t="str">
        <f>"A"</f>
        <v>A</v>
      </c>
    </row>
    <row r="16691" spans="1:8" x14ac:dyDescent="0.2">
      <c r="A16691" t="str">
        <f t="shared" si="6053"/>
        <v>0614130851</v>
      </c>
      <c r="B16691" t="str">
        <f t="shared" si="6054"/>
        <v>ELIZABETH</v>
      </c>
      <c r="C16691" t="str">
        <f t="shared" si="6055"/>
        <v>SUASTEGUI PEREZ</v>
      </c>
      <c r="D16691">
        <f>11</f>
        <v>11</v>
      </c>
      <c r="E16691" t="str">
        <f>"07 - B - 102 - Pamela M Corzo"</f>
        <v>07 - B - 102 - Pamela M Corzo</v>
      </c>
      <c r="F16691" t="str">
        <f>"AP CALCULUS AB"</f>
        <v>AP CALCULUS AB</v>
      </c>
      <c r="G16691" t="str">
        <f>"21-2133"</f>
        <v>21-2133</v>
      </c>
      <c r="H16691" t="str">
        <f>"B"</f>
        <v>B</v>
      </c>
    </row>
    <row r="16692" spans="1:8" x14ac:dyDescent="0.2">
      <c r="A16692" t="str">
        <f t="shared" si="6053"/>
        <v>0614130851</v>
      </c>
      <c r="B16692" t="str">
        <f t="shared" si="6054"/>
        <v>ELIZABETH</v>
      </c>
      <c r="C16692" t="str">
        <f t="shared" si="6055"/>
        <v>SUASTEGUI PEREZ</v>
      </c>
      <c r="D16692">
        <f>11</f>
        <v>11</v>
      </c>
      <c r="E16692" t="str">
        <f>"05 - B - 103 - Brandy N Zdenek"</f>
        <v>05 - B - 103 - Brandy N Zdenek</v>
      </c>
      <c r="F16692" t="str">
        <f>"AICE ENG LANG 2 AL"</f>
        <v>AICE ENG LANG 2 AL</v>
      </c>
      <c r="G16692" t="str">
        <f>"17-1704"</f>
        <v>17-1704</v>
      </c>
      <c r="H16692" t="str">
        <f>"B"</f>
        <v>B</v>
      </c>
    </row>
    <row r="16693" spans="1:8" x14ac:dyDescent="0.2">
      <c r="A16693" t="str">
        <f t="shared" si="6053"/>
        <v>0614130851</v>
      </c>
      <c r="B16693" t="str">
        <f t="shared" si="6054"/>
        <v>ELIZABETH</v>
      </c>
      <c r="C16693" t="str">
        <f t="shared" si="6055"/>
        <v>SUASTEGUI PEREZ</v>
      </c>
      <c r="D16693">
        <f>11</f>
        <v>11</v>
      </c>
      <c r="E16693" t="str">
        <f>"01 - A - 504 - Alejandro  Navarro"</f>
        <v>01 - A - 504 - Alejandro  Navarro</v>
      </c>
      <c r="F16693" t="str">
        <f>"BAND 1"</f>
        <v>BAND 1</v>
      </c>
      <c r="G16693" t="str">
        <f>"05-504"</f>
        <v>05-504</v>
      </c>
      <c r="H16693" t="str">
        <f>"A"</f>
        <v>A</v>
      </c>
    </row>
    <row r="16694" spans="1:8" x14ac:dyDescent="0.2">
      <c r="A16694" t="str">
        <f t="shared" si="6053"/>
        <v>0614130851</v>
      </c>
      <c r="B16694" t="str">
        <f t="shared" si="6054"/>
        <v>ELIZABETH</v>
      </c>
      <c r="C16694" t="str">
        <f t="shared" si="6055"/>
        <v>SUASTEGUI PEREZ</v>
      </c>
      <c r="D16694">
        <f>11</f>
        <v>11</v>
      </c>
      <c r="E16694" t="str">
        <f>"08 - B - 001 - Jerry S Jiampetti"</f>
        <v>08 - B - 001 - Jerry S Jiampetti</v>
      </c>
      <c r="F16694" t="str">
        <f>"AICE U.S. HIST 1 AS"</f>
        <v>AICE U.S. HIST 1 AS</v>
      </c>
      <c r="G16694" t="str">
        <f>"17-1751"</f>
        <v>17-1751</v>
      </c>
      <c r="H16694" t="str">
        <f>"B"</f>
        <v>B</v>
      </c>
    </row>
    <row r="16695" spans="1:8" x14ac:dyDescent="0.2">
      <c r="A16695" t="str">
        <f t="shared" ref="A16695:A16702" si="6056">"0614107840"</f>
        <v>0614107840</v>
      </c>
      <c r="B16695" t="str">
        <f t="shared" ref="B16695:B16702" si="6057">"DAVID"</f>
        <v>DAVID</v>
      </c>
      <c r="C16695" t="str">
        <f t="shared" ref="C16695:C16702" si="6058">"SUCIU"</f>
        <v>SUCIU</v>
      </c>
      <c r="D16695">
        <f>11</f>
        <v>11</v>
      </c>
      <c r="E16695" t="str">
        <f>"04 - A - 101 - Stephen T Ripp"</f>
        <v>04 - A - 101 - Stephen T Ripp</v>
      </c>
      <c r="F16695" t="str">
        <f>"AP U.S. HIST"</f>
        <v>AP U.S. HIST</v>
      </c>
      <c r="G16695" t="str">
        <f>"17-1744"</f>
        <v>17-1744</v>
      </c>
      <c r="H16695" t="str">
        <f>"A"</f>
        <v>A</v>
      </c>
    </row>
    <row r="16696" spans="1:8" x14ac:dyDescent="0.2">
      <c r="A16696" t="str">
        <f t="shared" si="6056"/>
        <v>0614107840</v>
      </c>
      <c r="B16696" t="str">
        <f t="shared" si="6057"/>
        <v>DAVID</v>
      </c>
      <c r="C16696" t="str">
        <f t="shared" si="6058"/>
        <v>SUCIU</v>
      </c>
      <c r="D16696">
        <f>11</f>
        <v>11</v>
      </c>
      <c r="E16696" t="str">
        <f>"06 - B - 001 - Lourivaldo  Da Silva"</f>
        <v>06 - B - 001 - Lourivaldo  Da Silva</v>
      </c>
      <c r="F16696" t="str">
        <f>"PRE-CALCULUS HON"</f>
        <v>PRE-CALCULUS HON</v>
      </c>
      <c r="G16696" t="str">
        <f>"20-2079"</f>
        <v>20-2079</v>
      </c>
      <c r="H16696" t="str">
        <f>"B"</f>
        <v>B</v>
      </c>
    </row>
    <row r="16697" spans="1:8" x14ac:dyDescent="0.2">
      <c r="A16697" t="str">
        <f t="shared" si="6056"/>
        <v>0614107840</v>
      </c>
      <c r="B16697" t="str">
        <f t="shared" si="6057"/>
        <v>DAVID</v>
      </c>
      <c r="C16697" t="str">
        <f t="shared" si="6058"/>
        <v>SUCIU</v>
      </c>
      <c r="D16697">
        <f>11</f>
        <v>11</v>
      </c>
      <c r="E16697" t="str">
        <f>"03 - A - 106 - Krystal Marie  Beruty"</f>
        <v>03 - A - 106 - Krystal Marie  Beruty</v>
      </c>
      <c r="F16697" t="str">
        <f>"AICE PSYCH 1 AS"</f>
        <v>AICE PSYCH 1 AS</v>
      </c>
      <c r="G16697" t="str">
        <f>"17-1721"</f>
        <v>17-1721</v>
      </c>
      <c r="H16697" t="str">
        <f>"A"</f>
        <v>A</v>
      </c>
    </row>
    <row r="16698" spans="1:8" x14ac:dyDescent="0.2">
      <c r="A16698" t="str">
        <f t="shared" si="6056"/>
        <v>0614107840</v>
      </c>
      <c r="B16698" t="str">
        <f t="shared" si="6057"/>
        <v>DAVID</v>
      </c>
      <c r="C16698" t="str">
        <f t="shared" si="6058"/>
        <v>SUCIU</v>
      </c>
      <c r="D16698">
        <f>11</f>
        <v>11</v>
      </c>
      <c r="E16698" t="str">
        <f>"02 - A - 117 - Kyle  Robbins"</f>
        <v>02 - A - 117 - Kyle  Robbins</v>
      </c>
      <c r="F16698" t="str">
        <f>"NC STUDY HALL 1"</f>
        <v>NC STUDY HALL 1</v>
      </c>
      <c r="G16698" t="str">
        <f>"17-1745"</f>
        <v>17-1745</v>
      </c>
      <c r="H16698" t="str">
        <f>"A"</f>
        <v>A</v>
      </c>
    </row>
    <row r="16699" spans="1:8" x14ac:dyDescent="0.2">
      <c r="A16699" t="str">
        <f t="shared" si="6056"/>
        <v>0614107840</v>
      </c>
      <c r="B16699" t="str">
        <f t="shared" si="6057"/>
        <v>DAVID</v>
      </c>
      <c r="C16699" t="str">
        <f t="shared" si="6058"/>
        <v>SUCIU</v>
      </c>
      <c r="D16699">
        <f>11</f>
        <v>11</v>
      </c>
      <c r="E16699" t="str">
        <f>"07 - B - 105 - Joe  Kilpatrick Jr"</f>
        <v>07 - B - 105 - Joe  Kilpatrick Jr</v>
      </c>
      <c r="F16699" t="str">
        <f>"PRE-AICE SPAN 1 IG"</f>
        <v>PRE-AICE SPAN 1 IG</v>
      </c>
      <c r="G16699" t="str">
        <f>"09-912"</f>
        <v>09-912</v>
      </c>
      <c r="H16699" t="str">
        <f>"B"</f>
        <v>B</v>
      </c>
    </row>
    <row r="16700" spans="1:8" x14ac:dyDescent="0.2">
      <c r="A16700" t="str">
        <f t="shared" si="6056"/>
        <v>0614107840</v>
      </c>
      <c r="B16700" t="str">
        <f t="shared" si="6057"/>
        <v>DAVID</v>
      </c>
      <c r="C16700" t="str">
        <f t="shared" si="6058"/>
        <v>SUCIU</v>
      </c>
      <c r="D16700">
        <f>11</f>
        <v>11</v>
      </c>
      <c r="E16700" t="str">
        <f>"05 - B - 103 - Brandy N Zdenek"</f>
        <v>05 - B - 103 - Brandy N Zdenek</v>
      </c>
      <c r="F16700" t="str">
        <f>"AICE ENG LANG 2 AL"</f>
        <v>AICE ENG LANG 2 AL</v>
      </c>
      <c r="G16700" t="str">
        <f>"17-1704"</f>
        <v>17-1704</v>
      </c>
      <c r="H16700" t="str">
        <f>"B"</f>
        <v>B</v>
      </c>
    </row>
    <row r="16701" spans="1:8" x14ac:dyDescent="0.2">
      <c r="A16701" t="str">
        <f t="shared" si="6056"/>
        <v>0614107840</v>
      </c>
      <c r="B16701" t="str">
        <f t="shared" si="6057"/>
        <v>DAVID</v>
      </c>
      <c r="C16701" t="str">
        <f t="shared" si="6058"/>
        <v>SUCIU</v>
      </c>
      <c r="D16701">
        <f>11</f>
        <v>11</v>
      </c>
      <c r="E16701" t="str">
        <f>"01 - A - 101 - Lisa J London"</f>
        <v>01 - A - 101 - Lisa J London</v>
      </c>
      <c r="F16701" t="str">
        <f>"AP CAPSTONE SEMINAR"</f>
        <v>AP CAPSTONE SEMINAR</v>
      </c>
      <c r="G16701" t="str">
        <f>"17-1714"</f>
        <v>17-1714</v>
      </c>
      <c r="H16701" t="str">
        <f>"A"</f>
        <v>A</v>
      </c>
    </row>
    <row r="16702" spans="1:8" x14ac:dyDescent="0.2">
      <c r="A16702" t="str">
        <f t="shared" si="6056"/>
        <v>0614107840</v>
      </c>
      <c r="B16702" t="str">
        <f t="shared" si="6057"/>
        <v>DAVID</v>
      </c>
      <c r="C16702" t="str">
        <f t="shared" si="6058"/>
        <v>SUCIU</v>
      </c>
      <c r="D16702">
        <f>11</f>
        <v>11</v>
      </c>
      <c r="E16702" t="str">
        <f>"08 - B - 102 - Jacqueline R Morphet"</f>
        <v>08 - B - 102 - Jacqueline R Morphet</v>
      </c>
      <c r="F16702" t="str">
        <f>"AP PHYSICS 1"</f>
        <v>AP PHYSICS 1</v>
      </c>
      <c r="G16702" t="str">
        <f>"21-2138"</f>
        <v>21-2138</v>
      </c>
      <c r="H16702" t="str">
        <f>"B"</f>
        <v>B</v>
      </c>
    </row>
    <row r="16703" spans="1:8" x14ac:dyDescent="0.2">
      <c r="A16703" t="str">
        <f t="shared" ref="A16703:A16710" si="6059">"0616146346"</f>
        <v>0616146346</v>
      </c>
      <c r="B16703" t="str">
        <f t="shared" ref="B16703:B16710" si="6060">"MIKYLE"</f>
        <v>MIKYLE</v>
      </c>
      <c r="C16703" t="str">
        <f t="shared" ref="C16703:C16710" si="6061">"SUKOO"</f>
        <v>SUKOO</v>
      </c>
      <c r="D16703" t="str">
        <f t="shared" ref="D16703:D16710" si="6062">"09"</f>
        <v>09</v>
      </c>
      <c r="E16703" t="str">
        <f>"04 - A - 102 - Josiah I Lacy"</f>
        <v>04 - A - 102 - Josiah I Lacy</v>
      </c>
      <c r="F16703" t="str">
        <f>"PRE-AICE BIO IG"</f>
        <v>PRE-AICE BIO IG</v>
      </c>
      <c r="G16703" t="str">
        <f>"08-801"</f>
        <v>08-801</v>
      </c>
      <c r="H16703" t="str">
        <f>"A"</f>
        <v>A</v>
      </c>
    </row>
    <row r="16704" spans="1:8" x14ac:dyDescent="0.2">
      <c r="A16704" t="str">
        <f t="shared" si="6059"/>
        <v>0616146346</v>
      </c>
      <c r="B16704" t="str">
        <f t="shared" si="6060"/>
        <v>MIKYLE</v>
      </c>
      <c r="C16704" t="str">
        <f t="shared" si="6061"/>
        <v>SUKOO</v>
      </c>
      <c r="D16704" t="str">
        <f t="shared" si="6062"/>
        <v>09</v>
      </c>
      <c r="E16704" t="str">
        <f>"06 - B - 105 - Cheryl L Beach"</f>
        <v>06 - B - 105 - Cheryl L Beach</v>
      </c>
      <c r="F16704" t="str">
        <f>"AICE ENV MGMNT AS"</f>
        <v>AICE ENV MGMNT AS</v>
      </c>
      <c r="G16704" t="str">
        <f>"08-811"</f>
        <v>08-811</v>
      </c>
      <c r="H16704" t="str">
        <f>"B"</f>
        <v>B</v>
      </c>
    </row>
    <row r="16705" spans="1:8" x14ac:dyDescent="0.2">
      <c r="A16705" t="str">
        <f t="shared" si="6059"/>
        <v>0616146346</v>
      </c>
      <c r="B16705" t="str">
        <f t="shared" si="6060"/>
        <v>MIKYLE</v>
      </c>
      <c r="C16705" t="str">
        <f t="shared" si="6061"/>
        <v>SUKOO</v>
      </c>
      <c r="D16705" t="str">
        <f t="shared" si="6062"/>
        <v>09</v>
      </c>
      <c r="E16705" t="str">
        <f>"03 - A - 103 - Kelly N Panza"</f>
        <v>03 - A - 103 - Kelly N Panza</v>
      </c>
      <c r="F16705" t="str">
        <f>"AICE GLBL PERSP 1 AS"</f>
        <v>AICE GLBL PERSP 1 AS</v>
      </c>
      <c r="G16705" t="str">
        <f>"17-1753"</f>
        <v>17-1753</v>
      </c>
      <c r="H16705" t="str">
        <f>"A"</f>
        <v>A</v>
      </c>
    </row>
    <row r="16706" spans="1:8" x14ac:dyDescent="0.2">
      <c r="A16706" t="str">
        <f t="shared" si="6059"/>
        <v>0616146346</v>
      </c>
      <c r="B16706" t="str">
        <f t="shared" si="6060"/>
        <v>MIKYLE</v>
      </c>
      <c r="C16706" t="str">
        <f t="shared" si="6061"/>
        <v>SUKOO</v>
      </c>
      <c r="D16706" t="str">
        <f t="shared" si="6062"/>
        <v>09</v>
      </c>
      <c r="E16706" t="str">
        <f>"02 - A - 111 - Cheryl L Beach"</f>
        <v>02 - A - 111 - Cheryl L Beach</v>
      </c>
      <c r="F16706" t="str">
        <f>"NC STUDY HALL 1"</f>
        <v>NC STUDY HALL 1</v>
      </c>
      <c r="G16706" t="str">
        <f>"08-811"</f>
        <v>08-811</v>
      </c>
      <c r="H16706" t="str">
        <f>"A"</f>
        <v>A</v>
      </c>
    </row>
    <row r="16707" spans="1:8" x14ac:dyDescent="0.2">
      <c r="A16707" t="str">
        <f t="shared" si="6059"/>
        <v>0616146346</v>
      </c>
      <c r="B16707" t="str">
        <f t="shared" si="6060"/>
        <v>MIKYLE</v>
      </c>
      <c r="C16707" t="str">
        <f t="shared" si="6061"/>
        <v>SUKOO</v>
      </c>
      <c r="D16707" t="str">
        <f t="shared" si="6062"/>
        <v>09</v>
      </c>
      <c r="E16707" t="str">
        <f>"07 - B - 003 - Brandy N Zdenek"</f>
        <v>07 - B - 003 - Brandy N Zdenek</v>
      </c>
      <c r="F16707" t="str">
        <f>"AICE ENG GEN PAPER 1"</f>
        <v>AICE ENG GEN PAPER 1</v>
      </c>
      <c r="G16707" t="str">
        <f>"17-1704"</f>
        <v>17-1704</v>
      </c>
      <c r="H16707" t="str">
        <f>"B"</f>
        <v>B</v>
      </c>
    </row>
    <row r="16708" spans="1:8" x14ac:dyDescent="0.2">
      <c r="A16708" t="str">
        <f t="shared" si="6059"/>
        <v>0616146346</v>
      </c>
      <c r="B16708" t="str">
        <f t="shared" si="6060"/>
        <v>MIKYLE</v>
      </c>
      <c r="C16708" t="str">
        <f t="shared" si="6061"/>
        <v>SUKOO</v>
      </c>
      <c r="D16708" t="str">
        <f t="shared" si="6062"/>
        <v>09</v>
      </c>
      <c r="E16708" t="str">
        <f>"05 - B - 101 - Arthur  Kulawik"</f>
        <v>05 - B - 101 - Arthur  Kulawik</v>
      </c>
      <c r="F16708" t="str">
        <f>"DEBATE 2 LH"</f>
        <v>DEBATE 2 LH</v>
      </c>
      <c r="G16708" t="str">
        <f>"05-506"</f>
        <v>05-506</v>
      </c>
      <c r="H16708" t="str">
        <f>"B"</f>
        <v>B</v>
      </c>
    </row>
    <row r="16709" spans="1:8" x14ac:dyDescent="0.2">
      <c r="A16709" t="str">
        <f t="shared" si="6059"/>
        <v>0616146346</v>
      </c>
      <c r="B16709" t="str">
        <f t="shared" si="6060"/>
        <v>MIKYLE</v>
      </c>
      <c r="C16709" t="str">
        <f t="shared" si="6061"/>
        <v>SUKOO</v>
      </c>
      <c r="D16709" t="str">
        <f t="shared" si="6062"/>
        <v>09</v>
      </c>
      <c r="E16709" t="str">
        <f>"01 - A - 108 - Rosa Elaine  Collado-Duff"</f>
        <v>01 - A - 108 - Rosa Elaine  Collado-Duff</v>
      </c>
      <c r="F16709" t="str">
        <f>"PRE-AICE SPAN 2 IG"</f>
        <v>PRE-AICE SPAN 2 IG</v>
      </c>
      <c r="G16709" t="str">
        <f>"09-913"</f>
        <v>09-913</v>
      </c>
      <c r="H16709" t="str">
        <f>"A"</f>
        <v>A</v>
      </c>
    </row>
    <row r="16710" spans="1:8" x14ac:dyDescent="0.2">
      <c r="A16710" t="str">
        <f t="shared" si="6059"/>
        <v>0616146346</v>
      </c>
      <c r="B16710" t="str">
        <f t="shared" si="6060"/>
        <v>MIKYLE</v>
      </c>
      <c r="C16710" t="str">
        <f t="shared" si="6061"/>
        <v>SUKOO</v>
      </c>
      <c r="D16710" t="str">
        <f t="shared" si="6062"/>
        <v>09</v>
      </c>
      <c r="E16710" t="str">
        <f>"08 - B - 105 - Ferrie J Arostique"</f>
        <v>08 - B - 105 - Ferrie J Arostique</v>
      </c>
      <c r="F16710" t="str">
        <f>"PRE-AICE MATH 2 IG"</f>
        <v>PRE-AICE MATH 2 IG</v>
      </c>
      <c r="G16710" t="str">
        <f>"21-2139"</f>
        <v>21-2139</v>
      </c>
      <c r="H16710" t="str">
        <f>"B"</f>
        <v>B</v>
      </c>
    </row>
    <row r="16711" spans="1:8" x14ac:dyDescent="0.2">
      <c r="A16711" t="str">
        <f t="shared" ref="A16711:A16718" si="6063">"0615042496"</f>
        <v>0615042496</v>
      </c>
      <c r="B16711" t="str">
        <f t="shared" ref="B16711:B16718" si="6064">"NADIA"</f>
        <v>NADIA</v>
      </c>
      <c r="C16711" t="str">
        <f t="shared" ref="C16711:C16726" si="6065">"SULLIVAN"</f>
        <v>SULLIVAN</v>
      </c>
      <c r="D16711">
        <f>11</f>
        <v>11</v>
      </c>
      <c r="E16711" t="str">
        <f>"04 - A - 101 - Stephen T Ripp"</f>
        <v>04 - A - 101 - Stephen T Ripp</v>
      </c>
      <c r="F16711" t="str">
        <f>"AP U.S. HIST"</f>
        <v>AP U.S. HIST</v>
      </c>
      <c r="G16711" t="str">
        <f>"17-1744"</f>
        <v>17-1744</v>
      </c>
      <c r="H16711" t="str">
        <f>"A"</f>
        <v>A</v>
      </c>
    </row>
    <row r="16712" spans="1:8" x14ac:dyDescent="0.2">
      <c r="A16712" t="str">
        <f t="shared" si="6063"/>
        <v>0615042496</v>
      </c>
      <c r="B16712" t="str">
        <f t="shared" si="6064"/>
        <v>NADIA</v>
      </c>
      <c r="C16712" t="str">
        <f t="shared" si="6065"/>
        <v>SULLIVAN</v>
      </c>
      <c r="D16712">
        <f>11</f>
        <v>11</v>
      </c>
      <c r="E16712" t="str">
        <f>"06 - B - 101 - Bruce A Evans"</f>
        <v>06 - B - 101 - Bruce A Evans</v>
      </c>
      <c r="F16712" t="str">
        <f>"EMERG MED RESP 3 HON"</f>
        <v>EMERG MED RESP 3 HON</v>
      </c>
      <c r="G16712" t="str">
        <f>"21-2142"</f>
        <v>21-2142</v>
      </c>
      <c r="H16712" t="str">
        <f>"B"</f>
        <v>B</v>
      </c>
    </row>
    <row r="16713" spans="1:8" x14ac:dyDescent="0.2">
      <c r="A16713" t="str">
        <f t="shared" si="6063"/>
        <v>0615042496</v>
      </c>
      <c r="B16713" t="str">
        <f t="shared" si="6064"/>
        <v>NADIA</v>
      </c>
      <c r="C16713" t="str">
        <f t="shared" si="6065"/>
        <v>SULLIVAN</v>
      </c>
      <c r="D16713">
        <f>11</f>
        <v>11</v>
      </c>
      <c r="E16713" t="str">
        <f>"03 - A - 202 - Bruce A Evans"</f>
        <v>03 - A - 202 - Bruce A Evans</v>
      </c>
      <c r="F16713" t="str">
        <f>"HEALTH SCI FOUND HON"</f>
        <v>HEALTH SCI FOUND HON</v>
      </c>
      <c r="G16713" t="str">
        <f>"21-2142"</f>
        <v>21-2142</v>
      </c>
      <c r="H16713" t="str">
        <f>"A"</f>
        <v>A</v>
      </c>
    </row>
    <row r="16714" spans="1:8" x14ac:dyDescent="0.2">
      <c r="A16714" t="str">
        <f t="shared" si="6063"/>
        <v>0615042496</v>
      </c>
      <c r="B16714" t="str">
        <f t="shared" si="6064"/>
        <v>NADIA</v>
      </c>
      <c r="C16714" t="str">
        <f t="shared" si="6065"/>
        <v>SULLIVAN</v>
      </c>
      <c r="D16714">
        <f>11</f>
        <v>11</v>
      </c>
      <c r="E16714" t="str">
        <f>"02 - A - 107 - Elizabeth Ellen  Moran"</f>
        <v>02 - A - 107 - Elizabeth Ellen  Moran</v>
      </c>
      <c r="F16714" t="str">
        <f>"NC STUDY HALL 1"</f>
        <v>NC STUDY HALL 1</v>
      </c>
      <c r="G16714" t="str">
        <f>"17-1752"</f>
        <v>17-1752</v>
      </c>
      <c r="H16714" t="str">
        <f>"A"</f>
        <v>A</v>
      </c>
    </row>
    <row r="16715" spans="1:8" x14ac:dyDescent="0.2">
      <c r="A16715" t="str">
        <f t="shared" si="6063"/>
        <v>0615042496</v>
      </c>
      <c r="B16715" t="str">
        <f t="shared" si="6064"/>
        <v>NADIA</v>
      </c>
      <c r="C16715" t="str">
        <f t="shared" si="6065"/>
        <v>SULLIVAN</v>
      </c>
      <c r="D16715">
        <f>11</f>
        <v>11</v>
      </c>
      <c r="E16715" t="str">
        <f>"07 - B - 102 - Lourivaldo  Da Silva"</f>
        <v>07 - B - 102 - Lourivaldo  Da Silva</v>
      </c>
      <c r="F16715" t="str">
        <f>"ALGEBRA 2 HON"</f>
        <v>ALGEBRA 2 HON</v>
      </c>
      <c r="G16715" t="str">
        <f>"20-2079"</f>
        <v>20-2079</v>
      </c>
      <c r="H16715" t="str">
        <f>"B"</f>
        <v>B</v>
      </c>
    </row>
    <row r="16716" spans="1:8" x14ac:dyDescent="0.2">
      <c r="A16716" t="str">
        <f t="shared" si="6063"/>
        <v>0615042496</v>
      </c>
      <c r="B16716" t="str">
        <f t="shared" si="6064"/>
        <v>NADIA</v>
      </c>
      <c r="C16716" t="str">
        <f t="shared" si="6065"/>
        <v>SULLIVAN</v>
      </c>
      <c r="D16716">
        <f>11</f>
        <v>11</v>
      </c>
      <c r="E16716" t="str">
        <f>"05 - B - 103 - Tina M Jaramillo"</f>
        <v>05 - B - 103 - Tina M Jaramillo</v>
      </c>
      <c r="F16716" t="str">
        <f>"AP ENG COMPO"</f>
        <v>AP ENG COMPO</v>
      </c>
      <c r="G16716" t="str">
        <f>"17-1706"</f>
        <v>17-1706</v>
      </c>
      <c r="H16716" t="str">
        <f>"B"</f>
        <v>B</v>
      </c>
    </row>
    <row r="16717" spans="1:8" x14ac:dyDescent="0.2">
      <c r="A16717" t="str">
        <f t="shared" si="6063"/>
        <v>0615042496</v>
      </c>
      <c r="B16717" t="str">
        <f t="shared" si="6064"/>
        <v>NADIA</v>
      </c>
      <c r="C16717" t="str">
        <f t="shared" si="6065"/>
        <v>SULLIVAN</v>
      </c>
      <c r="D16717">
        <f>11</f>
        <v>11</v>
      </c>
      <c r="E16717" t="str">
        <f>"01 - A - 103 - Scott A Dethloff"</f>
        <v>01 - A - 103 - Scott A Dethloff</v>
      </c>
      <c r="F16717" t="str">
        <f>"AICE THINK SKLS 1 AS"</f>
        <v>AICE THINK SKLS 1 AS</v>
      </c>
      <c r="G16717" t="str">
        <f>"08-812"</f>
        <v>08-812</v>
      </c>
      <c r="H16717" t="str">
        <f>"A"</f>
        <v>A</v>
      </c>
    </row>
    <row r="16718" spans="1:8" x14ac:dyDescent="0.2">
      <c r="A16718" t="str">
        <f t="shared" si="6063"/>
        <v>0615042496</v>
      </c>
      <c r="B16718" t="str">
        <f t="shared" si="6064"/>
        <v>NADIA</v>
      </c>
      <c r="C16718" t="str">
        <f t="shared" si="6065"/>
        <v>SULLIVAN</v>
      </c>
      <c r="D16718">
        <f>11</f>
        <v>11</v>
      </c>
      <c r="E16718" t="str">
        <f>"08 - B - 103 - Marielle A Witting"</f>
        <v>08 - B - 103 - Marielle A Witting</v>
      </c>
      <c r="F16718" t="str">
        <f>"AP BIO"</f>
        <v>AP BIO</v>
      </c>
      <c r="G16718" t="str">
        <f>"08-805"</f>
        <v>08-805</v>
      </c>
      <c r="H16718" t="str">
        <f>"B"</f>
        <v>B</v>
      </c>
    </row>
    <row r="16719" spans="1:8" x14ac:dyDescent="0.2">
      <c r="A16719" t="str">
        <f t="shared" ref="A16719:A16726" si="6066">"0626000253"</f>
        <v>0626000253</v>
      </c>
      <c r="B16719" t="str">
        <f t="shared" ref="B16719:B16726" si="6067">"NICHOLAS"</f>
        <v>NICHOLAS</v>
      </c>
      <c r="C16719" t="str">
        <f t="shared" si="6065"/>
        <v>SULLIVAN</v>
      </c>
      <c r="D16719">
        <f>11</f>
        <v>11</v>
      </c>
      <c r="E16719" t="str">
        <f>"04 - S1 - A - 103 - James H Mccann"</f>
        <v>04 - S1 - A - 103 - James H Mccann</v>
      </c>
      <c r="F16719" t="str">
        <f>"PERS FIN &amp; MON MGT H"</f>
        <v>PERS FIN &amp; MON MGT H</v>
      </c>
      <c r="G16719" t="str">
        <f>"17-1716"</f>
        <v>17-1716</v>
      </c>
      <c r="H16719" t="str">
        <f>"A"</f>
        <v>A</v>
      </c>
    </row>
    <row r="16720" spans="1:8" x14ac:dyDescent="0.2">
      <c r="A16720" t="str">
        <f t="shared" si="6066"/>
        <v>0626000253</v>
      </c>
      <c r="B16720" t="str">
        <f t="shared" si="6067"/>
        <v>NICHOLAS</v>
      </c>
      <c r="C16720" t="str">
        <f t="shared" si="6065"/>
        <v>SULLIVAN</v>
      </c>
      <c r="D16720">
        <f>11</f>
        <v>11</v>
      </c>
      <c r="E16720" t="str">
        <f>"06 - B - 108 - Milca  Exantus"</f>
        <v>06 - B - 108 - Milca  Exantus</v>
      </c>
      <c r="F16720" t="str">
        <f>"MATH COLLEGE LIB ART"</f>
        <v>MATH COLLEGE LIB ART</v>
      </c>
      <c r="G16720" t="str">
        <f>"21-2145"</f>
        <v>21-2145</v>
      </c>
      <c r="H16720" t="str">
        <f>"B"</f>
        <v>B</v>
      </c>
    </row>
    <row r="16721" spans="1:8" x14ac:dyDescent="0.2">
      <c r="A16721" t="str">
        <f t="shared" si="6066"/>
        <v>0626000253</v>
      </c>
      <c r="B16721" t="str">
        <f t="shared" si="6067"/>
        <v>NICHOLAS</v>
      </c>
      <c r="C16721" t="str">
        <f t="shared" si="6065"/>
        <v>SULLIVAN</v>
      </c>
      <c r="D16721">
        <f>11</f>
        <v>11</v>
      </c>
      <c r="E16721" t="str">
        <f>"03 - A - 102 - Cliffon  Saurel"</f>
        <v>03 - A - 102 - Cliffon  Saurel</v>
      </c>
      <c r="F16721" t="str">
        <f>"PHYSICAL SCI"</f>
        <v>PHYSICAL SCI</v>
      </c>
      <c r="G16721" t="str">
        <f>"05-522"</f>
        <v>05-522</v>
      </c>
      <c r="H16721" t="str">
        <f>"A"</f>
        <v>A</v>
      </c>
    </row>
    <row r="16722" spans="1:8" x14ac:dyDescent="0.2">
      <c r="A16722" t="str">
        <f t="shared" si="6066"/>
        <v>0626000253</v>
      </c>
      <c r="B16722" t="str">
        <f t="shared" si="6067"/>
        <v>NICHOLAS</v>
      </c>
      <c r="C16722" t="str">
        <f t="shared" si="6065"/>
        <v>SULLIVAN</v>
      </c>
      <c r="D16722">
        <f>11</f>
        <v>11</v>
      </c>
      <c r="E16722" t="str">
        <f>"02 - A - 101 - Timothy J Lawrence"</f>
        <v>02 - A - 101 - Timothy J Lawrence</v>
      </c>
      <c r="F16722" t="str">
        <f>"NC STUDY HALL 1"</f>
        <v>NC STUDY HALL 1</v>
      </c>
      <c r="G16722" t="str">
        <f>"05-522"</f>
        <v>05-522</v>
      </c>
      <c r="H16722" t="str">
        <f>"A"</f>
        <v>A</v>
      </c>
    </row>
    <row r="16723" spans="1:8" x14ac:dyDescent="0.2">
      <c r="A16723" t="str">
        <f t="shared" si="6066"/>
        <v>0626000253</v>
      </c>
      <c r="B16723" t="str">
        <f t="shared" si="6067"/>
        <v>NICHOLAS</v>
      </c>
      <c r="C16723" t="str">
        <f t="shared" si="6065"/>
        <v>SULLIVAN</v>
      </c>
      <c r="D16723">
        <f>11</f>
        <v>11</v>
      </c>
      <c r="E16723" t="str">
        <f>"07 - S1 - B - 103 - Leslie J Barton"</f>
        <v>07 - S1 - B - 103 - Leslie J Barton</v>
      </c>
      <c r="F16723" t="str">
        <f>"TEAM SPORTS 1"</f>
        <v>TEAM SPORTS 1</v>
      </c>
      <c r="G16723" t="str">
        <f>"04-254"</f>
        <v>04-254</v>
      </c>
      <c r="H16723" t="str">
        <f>"B"</f>
        <v>B</v>
      </c>
    </row>
    <row r="16724" spans="1:8" x14ac:dyDescent="0.2">
      <c r="A16724" t="str">
        <f t="shared" si="6066"/>
        <v>0626000253</v>
      </c>
      <c r="B16724" t="str">
        <f t="shared" si="6067"/>
        <v>NICHOLAS</v>
      </c>
      <c r="C16724" t="str">
        <f t="shared" si="6065"/>
        <v>SULLIVAN</v>
      </c>
      <c r="D16724">
        <f>11</f>
        <v>11</v>
      </c>
      <c r="E16724" t="str">
        <f>"05 - B - 107 - Elizabeth Ellen  Moran"</f>
        <v>05 - B - 107 - Elizabeth Ellen  Moran</v>
      </c>
      <c r="F16724" t="str">
        <f>"US HISTORY"</f>
        <v>US HISTORY</v>
      </c>
      <c r="G16724" t="str">
        <f>"17-1752"</f>
        <v>17-1752</v>
      </c>
      <c r="H16724" t="str">
        <f>"B"</f>
        <v>B</v>
      </c>
    </row>
    <row r="16725" spans="1:8" x14ac:dyDescent="0.2">
      <c r="A16725" t="str">
        <f t="shared" si="6066"/>
        <v>0626000253</v>
      </c>
      <c r="B16725" t="str">
        <f t="shared" si="6067"/>
        <v>NICHOLAS</v>
      </c>
      <c r="C16725" t="str">
        <f t="shared" si="6065"/>
        <v>SULLIVAN</v>
      </c>
      <c r="D16725">
        <f>11</f>
        <v>11</v>
      </c>
      <c r="E16725" t="str">
        <f>"01 - A - 101 - Nahum  Saint-Preux"</f>
        <v>01 - A - 101 - Nahum  Saint-Preux</v>
      </c>
      <c r="F16725" t="str">
        <f>"INTENS READ 3"</f>
        <v>INTENS READ 3</v>
      </c>
      <c r="G16725" t="str">
        <f>"17-1712"</f>
        <v>17-1712</v>
      </c>
      <c r="H16725" t="str">
        <f>"A"</f>
        <v>A</v>
      </c>
    </row>
    <row r="16726" spans="1:8" x14ac:dyDescent="0.2">
      <c r="A16726" t="str">
        <f t="shared" si="6066"/>
        <v>0626000253</v>
      </c>
      <c r="B16726" t="str">
        <f t="shared" si="6067"/>
        <v>NICHOLAS</v>
      </c>
      <c r="C16726" t="str">
        <f t="shared" si="6065"/>
        <v>SULLIVAN</v>
      </c>
      <c r="D16726">
        <f>11</f>
        <v>11</v>
      </c>
      <c r="E16726" t="str">
        <f>"08 - B - 106 - Lisa  Quinn"</f>
        <v>08 - B - 106 - Lisa  Quinn</v>
      </c>
      <c r="F16726" t="str">
        <f>"ENG 3"</f>
        <v>ENG 3</v>
      </c>
      <c r="G16726" t="str">
        <f>"17-1725"</f>
        <v>17-1725</v>
      </c>
      <c r="H16726" t="str">
        <f>"B"</f>
        <v>B</v>
      </c>
    </row>
    <row r="16727" spans="1:8" x14ac:dyDescent="0.2">
      <c r="A16727" t="str">
        <f t="shared" ref="A16727:A16734" si="6068">"0613086599"</f>
        <v>0613086599</v>
      </c>
      <c r="B16727" t="str">
        <f t="shared" ref="B16727:B16734" si="6069">"JONATHAN"</f>
        <v>JONATHAN</v>
      </c>
      <c r="C16727" t="str">
        <f t="shared" ref="C16727:C16734" si="6070">"SULZER"</f>
        <v>SULZER</v>
      </c>
      <c r="D16727">
        <f>10</f>
        <v>10</v>
      </c>
      <c r="E16727" t="str">
        <f>"04 - A - 203 - Cheryl L Beach"</f>
        <v>04 - A - 203 - Cheryl L Beach</v>
      </c>
      <c r="F16727" t="str">
        <f>"AICE ENV MGMNT AS"</f>
        <v>AICE ENV MGMNT AS</v>
      </c>
      <c r="G16727" t="str">
        <f>"08-811"</f>
        <v>08-811</v>
      </c>
      <c r="H16727" t="str">
        <f>"A"</f>
        <v>A</v>
      </c>
    </row>
    <row r="16728" spans="1:8" x14ac:dyDescent="0.2">
      <c r="A16728" t="str">
        <f t="shared" si="6068"/>
        <v>0613086599</v>
      </c>
      <c r="B16728" t="str">
        <f t="shared" si="6069"/>
        <v>JONATHAN</v>
      </c>
      <c r="C16728" t="str">
        <f t="shared" si="6070"/>
        <v>SULZER</v>
      </c>
      <c r="D16728">
        <f>10</f>
        <v>10</v>
      </c>
      <c r="E16728" t="str">
        <f>"06 - B - 107 - Dorothy D Moore"</f>
        <v>06 - B - 107 - Dorothy D Moore</v>
      </c>
      <c r="F16728" t="str">
        <f>"NC STUDY HALL 1"</f>
        <v>NC STUDY HALL 1</v>
      </c>
      <c r="G16728" t="str">
        <f>"08-803"</f>
        <v>08-803</v>
      </c>
      <c r="H16728" t="str">
        <f>"B"</f>
        <v>B</v>
      </c>
    </row>
    <row r="16729" spans="1:8" x14ac:dyDescent="0.2">
      <c r="A16729" t="str">
        <f t="shared" si="6068"/>
        <v>0613086599</v>
      </c>
      <c r="B16729" t="str">
        <f t="shared" si="6069"/>
        <v>JONATHAN</v>
      </c>
      <c r="C16729" t="str">
        <f t="shared" si="6070"/>
        <v>SULZER</v>
      </c>
      <c r="D16729">
        <f>10</f>
        <v>10</v>
      </c>
      <c r="E16729" t="str">
        <f>"03 - A - 102 - Thomas G Handwerg"</f>
        <v>03 - A - 102 - Thomas G Handwerg</v>
      </c>
      <c r="F16729" t="str">
        <f>"MATH COLL ALGEBRA"</f>
        <v>MATH COLL ALGEBRA</v>
      </c>
      <c r="G16729" t="str">
        <f>"21-2146"</f>
        <v>21-2146</v>
      </c>
      <c r="H16729" t="str">
        <f>"A"</f>
        <v>A</v>
      </c>
    </row>
    <row r="16730" spans="1:8" x14ac:dyDescent="0.2">
      <c r="A16730" t="str">
        <f t="shared" si="6068"/>
        <v>0613086599</v>
      </c>
      <c r="B16730" t="str">
        <f t="shared" si="6069"/>
        <v>JONATHAN</v>
      </c>
      <c r="C16730" t="str">
        <f t="shared" si="6070"/>
        <v>SULZER</v>
      </c>
      <c r="D16730">
        <f>10</f>
        <v>10</v>
      </c>
      <c r="E16730" t="str">
        <f>"02 - A - 205 - Emmily A Sarmiento"</f>
        <v>02 - A - 205 - Emmily A Sarmiento</v>
      </c>
      <c r="F16730" t="str">
        <f>"AICE GLBL PERSP 1 AS"</f>
        <v>AICE GLBL PERSP 1 AS</v>
      </c>
      <c r="G16730" t="str">
        <f>"17-1743"</f>
        <v>17-1743</v>
      </c>
      <c r="H16730" t="str">
        <f>"A"</f>
        <v>A</v>
      </c>
    </row>
    <row r="16731" spans="1:8" x14ac:dyDescent="0.2">
      <c r="A16731" t="str">
        <f t="shared" si="6068"/>
        <v>0613086599</v>
      </c>
      <c r="B16731" t="str">
        <f t="shared" si="6069"/>
        <v>JONATHAN</v>
      </c>
      <c r="C16731" t="str">
        <f t="shared" si="6070"/>
        <v>SULZER</v>
      </c>
      <c r="D16731">
        <f>10</f>
        <v>10</v>
      </c>
      <c r="E16731" t="str">
        <f>"07 - B - 107 - Jacklyn M James"</f>
        <v>07 - B - 107 - Jacklyn M James</v>
      </c>
      <c r="F16731" t="str">
        <f>"AICE ENG LANG AS"</f>
        <v>AICE ENG LANG AS</v>
      </c>
      <c r="G16731" t="str">
        <f>"17-1731"</f>
        <v>17-1731</v>
      </c>
      <c r="H16731" t="str">
        <f>"B"</f>
        <v>B</v>
      </c>
    </row>
    <row r="16732" spans="1:8" x14ac:dyDescent="0.2">
      <c r="A16732" t="str">
        <f t="shared" si="6068"/>
        <v>0613086599</v>
      </c>
      <c r="B16732" t="str">
        <f t="shared" si="6069"/>
        <v>JONATHAN</v>
      </c>
      <c r="C16732" t="str">
        <f t="shared" si="6070"/>
        <v>SULZER</v>
      </c>
      <c r="D16732">
        <f>10</f>
        <v>10</v>
      </c>
      <c r="E16732" t="str">
        <f>"05 - S1 - B - 102 - Carol S Moore"</f>
        <v>05 - S1 - B - 102 - Carol S Moore</v>
      </c>
      <c r="F16732" t="str">
        <f>"PERS FIN &amp; MON MGT H"</f>
        <v>PERS FIN &amp; MON MGT H</v>
      </c>
      <c r="G16732" t="str">
        <f>"17-1733"</f>
        <v>17-1733</v>
      </c>
      <c r="H16732" t="str">
        <f>"B"</f>
        <v>B</v>
      </c>
    </row>
    <row r="16733" spans="1:8" x14ac:dyDescent="0.2">
      <c r="A16733" t="str">
        <f t="shared" si="6068"/>
        <v>0613086599</v>
      </c>
      <c r="B16733" t="str">
        <f t="shared" si="6069"/>
        <v>JONATHAN</v>
      </c>
      <c r="C16733" t="str">
        <f t="shared" si="6070"/>
        <v>SULZER</v>
      </c>
      <c r="D16733">
        <f>10</f>
        <v>10</v>
      </c>
      <c r="E16733" t="str">
        <f>"01 - A - 101 - Eva T Rimmer"</f>
        <v>01 - A - 101 - Eva T Rimmer</v>
      </c>
      <c r="F16733" t="str">
        <f>"CRIMINAL JUST OPS 2"</f>
        <v>CRIMINAL JUST OPS 2</v>
      </c>
      <c r="G16733" t="str">
        <f>"05-523"</f>
        <v>05-523</v>
      </c>
      <c r="H16733" t="str">
        <f>"A"</f>
        <v>A</v>
      </c>
    </row>
    <row r="16734" spans="1:8" x14ac:dyDescent="0.2">
      <c r="A16734" t="str">
        <f t="shared" si="6068"/>
        <v>0613086599</v>
      </c>
      <c r="B16734" t="str">
        <f t="shared" si="6069"/>
        <v>JONATHAN</v>
      </c>
      <c r="C16734" t="str">
        <f t="shared" si="6070"/>
        <v>SULZER</v>
      </c>
      <c r="D16734">
        <f>10</f>
        <v>10</v>
      </c>
      <c r="E16734" t="str">
        <f>"08 - S1 - B - 104 - Leslie J Barton"</f>
        <v>08 - S1 - B - 104 - Leslie J Barton</v>
      </c>
      <c r="F16734" t="str">
        <f>"TEAM SPORTS 1"</f>
        <v>TEAM SPORTS 1</v>
      </c>
      <c r="G16734" t="str">
        <f>"04-254"</f>
        <v>04-254</v>
      </c>
      <c r="H16734" t="str">
        <f>"B"</f>
        <v>B</v>
      </c>
    </row>
    <row r="16735" spans="1:8" x14ac:dyDescent="0.2">
      <c r="A16735" t="str">
        <f t="shared" ref="A16735:A16742" si="6071">"0617072940"</f>
        <v>0617072940</v>
      </c>
      <c r="B16735" t="str">
        <f t="shared" ref="B16735:B16742" si="6072">"KIRA"</f>
        <v>KIRA</v>
      </c>
      <c r="C16735" t="str">
        <f t="shared" ref="C16735:C16742" si="6073">"SVIDER"</f>
        <v>SVIDER</v>
      </c>
      <c r="D16735" t="str">
        <f t="shared" ref="D16735:D16742" si="6074">"09"</f>
        <v>09</v>
      </c>
      <c r="E16735" t="str">
        <f>"04 - A - 106 - Ferrie J Arostique"</f>
        <v>04 - A - 106 - Ferrie J Arostique</v>
      </c>
      <c r="F16735" t="str">
        <f>"PRE-AICE MATH 2 IG"</f>
        <v>PRE-AICE MATH 2 IG</v>
      </c>
      <c r="G16735" t="str">
        <f>"21-2139"</f>
        <v>21-2139</v>
      </c>
      <c r="H16735" t="str">
        <f>"A"</f>
        <v>A</v>
      </c>
    </row>
    <row r="16736" spans="1:8" x14ac:dyDescent="0.2">
      <c r="A16736" t="str">
        <f t="shared" si="6071"/>
        <v>0617072940</v>
      </c>
      <c r="B16736" t="str">
        <f t="shared" si="6072"/>
        <v>KIRA</v>
      </c>
      <c r="C16736" t="str">
        <f t="shared" si="6073"/>
        <v>SVIDER</v>
      </c>
      <c r="D16736" t="str">
        <f t="shared" si="6074"/>
        <v>09</v>
      </c>
      <c r="E16736" t="str">
        <f>"06 - S1 - B - 102 - Daniel S Katz"</f>
        <v>06 - S1 - B - 102 - Daniel S Katz</v>
      </c>
      <c r="F16736" t="str">
        <f>"COURT PROCED"</f>
        <v>COURT PROCED</v>
      </c>
      <c r="G16736" t="str">
        <f>"21-2156"</f>
        <v>21-2156</v>
      </c>
      <c r="H16736" t="str">
        <f>"B"</f>
        <v>B</v>
      </c>
    </row>
    <row r="16737" spans="1:8" x14ac:dyDescent="0.2">
      <c r="A16737" t="str">
        <f t="shared" si="6071"/>
        <v>0617072940</v>
      </c>
      <c r="B16737" t="str">
        <f t="shared" si="6072"/>
        <v>KIRA</v>
      </c>
      <c r="C16737" t="str">
        <f t="shared" si="6073"/>
        <v>SVIDER</v>
      </c>
      <c r="D16737" t="str">
        <f t="shared" si="6074"/>
        <v>09</v>
      </c>
      <c r="E16737" t="str">
        <f>"03 - A - 005 - Cerine S Stewart"</f>
        <v>03 - A - 005 - Cerine S Stewart</v>
      </c>
      <c r="F16737" t="str">
        <f>"AICE ENG GEN PAPER 1"</f>
        <v>AICE ENG GEN PAPER 1</v>
      </c>
      <c r="G16737" t="str">
        <f>"17-1720"</f>
        <v>17-1720</v>
      </c>
      <c r="H16737" t="str">
        <f>"A"</f>
        <v>A</v>
      </c>
    </row>
    <row r="16738" spans="1:8" x14ac:dyDescent="0.2">
      <c r="A16738" t="str">
        <f t="shared" si="6071"/>
        <v>0617072940</v>
      </c>
      <c r="B16738" t="str">
        <f t="shared" si="6072"/>
        <v>KIRA</v>
      </c>
      <c r="C16738" t="str">
        <f t="shared" si="6073"/>
        <v>SVIDER</v>
      </c>
      <c r="D16738" t="str">
        <f t="shared" si="6074"/>
        <v>09</v>
      </c>
      <c r="E16738" t="str">
        <f>"02 - A - 104 - Lytrell T Dixon"</f>
        <v>02 - A - 104 - Lytrell T Dixon</v>
      </c>
      <c r="F16738" t="str">
        <f>"NC STUDY HALL 1"</f>
        <v>NC STUDY HALL 1</v>
      </c>
      <c r="G16738" t="str">
        <f>"08-808"</f>
        <v>08-808</v>
      </c>
      <c r="H16738" t="str">
        <f>"A"</f>
        <v>A</v>
      </c>
    </row>
    <row r="16739" spans="1:8" x14ac:dyDescent="0.2">
      <c r="A16739" t="str">
        <f t="shared" si="6071"/>
        <v>0617072940</v>
      </c>
      <c r="B16739" t="str">
        <f t="shared" si="6072"/>
        <v>KIRA</v>
      </c>
      <c r="C16739" t="str">
        <f t="shared" si="6073"/>
        <v>SVIDER</v>
      </c>
      <c r="D16739" t="str">
        <f t="shared" si="6074"/>
        <v>09</v>
      </c>
      <c r="E16739" t="str">
        <f>"07 - B - 001 - Carol S Moore"</f>
        <v>07 - B - 001 - Carol S Moore</v>
      </c>
      <c r="F16739" t="str">
        <f>"PRE-AICE WRLD HST IG"</f>
        <v>PRE-AICE WRLD HST IG</v>
      </c>
      <c r="G16739" t="str">
        <f>"17-1733"</f>
        <v>17-1733</v>
      </c>
      <c r="H16739" t="str">
        <f>"B"</f>
        <v>B</v>
      </c>
    </row>
    <row r="16740" spans="1:8" x14ac:dyDescent="0.2">
      <c r="A16740" t="str">
        <f t="shared" si="6071"/>
        <v>0617072940</v>
      </c>
      <c r="B16740" t="str">
        <f t="shared" si="6072"/>
        <v>KIRA</v>
      </c>
      <c r="C16740" t="str">
        <f t="shared" si="6073"/>
        <v>SVIDER</v>
      </c>
      <c r="D16740" t="str">
        <f t="shared" si="6074"/>
        <v>09</v>
      </c>
      <c r="E16740" t="str">
        <f>"05 - B - 104 - Joe  Kilpatrick Jr"</f>
        <v>05 - B - 104 - Joe  Kilpatrick Jr</v>
      </c>
      <c r="F16740" t="str">
        <f>"PRE-AICE SPAN 1 IG"</f>
        <v>PRE-AICE SPAN 1 IG</v>
      </c>
      <c r="G16740" t="str">
        <f>"09-912"</f>
        <v>09-912</v>
      </c>
      <c r="H16740" t="str">
        <f>"B"</f>
        <v>B</v>
      </c>
    </row>
    <row r="16741" spans="1:8" x14ac:dyDescent="0.2">
      <c r="A16741" t="str">
        <f t="shared" si="6071"/>
        <v>0617072940</v>
      </c>
      <c r="B16741" t="str">
        <f t="shared" si="6072"/>
        <v>KIRA</v>
      </c>
      <c r="C16741" t="str">
        <f t="shared" si="6073"/>
        <v>SVIDER</v>
      </c>
      <c r="D16741" t="str">
        <f t="shared" si="6074"/>
        <v>09</v>
      </c>
      <c r="E16741" t="str">
        <f>"01 - A - 101 - Josiah I Lacy"</f>
        <v>01 - A - 101 - Josiah I Lacy</v>
      </c>
      <c r="F16741" t="str">
        <f>"PRE-AICE BIO IG"</f>
        <v>PRE-AICE BIO IG</v>
      </c>
      <c r="G16741" t="str">
        <f>"08-801"</f>
        <v>08-801</v>
      </c>
      <c r="H16741" t="str">
        <f>"A"</f>
        <v>A</v>
      </c>
    </row>
    <row r="16742" spans="1:8" x14ac:dyDescent="0.2">
      <c r="A16742" t="str">
        <f t="shared" si="6071"/>
        <v>0617072940</v>
      </c>
      <c r="B16742" t="str">
        <f t="shared" si="6072"/>
        <v>KIRA</v>
      </c>
      <c r="C16742" t="str">
        <f t="shared" si="6073"/>
        <v>SVIDER</v>
      </c>
      <c r="D16742" t="str">
        <f t="shared" si="6074"/>
        <v>09</v>
      </c>
      <c r="E16742" t="str">
        <f>"08 - B - 108 - Adam Marcus  Drucker"</f>
        <v>08 - B - 108 - Adam Marcus  Drucker</v>
      </c>
      <c r="F16742" t="str">
        <f>"HOPE-PE V"</f>
        <v>HOPE-PE V</v>
      </c>
      <c r="G16742" t="str">
        <f>"04-254"</f>
        <v>04-254</v>
      </c>
      <c r="H16742" t="str">
        <f>"B"</f>
        <v>B</v>
      </c>
    </row>
    <row r="16743" spans="1:8" x14ac:dyDescent="0.2">
      <c r="A16743" t="str">
        <f t="shared" ref="A16743:A16750" si="6075">"0620042348"</f>
        <v>0620042348</v>
      </c>
      <c r="B16743" t="str">
        <f t="shared" ref="B16743:B16750" si="6076">"BRIANNA"</f>
        <v>BRIANNA</v>
      </c>
      <c r="C16743" t="str">
        <f t="shared" ref="C16743:C16750" si="6077">"SWABY"</f>
        <v>SWABY</v>
      </c>
      <c r="D16743">
        <f>10</f>
        <v>10</v>
      </c>
      <c r="E16743" t="str">
        <f>"04 - A - 104 - Dayna M Foster"</f>
        <v>04 - A - 104 - Dayna M Foster</v>
      </c>
      <c r="F16743" t="str">
        <f>"ALGEBRA 2"</f>
        <v>ALGEBRA 2</v>
      </c>
      <c r="G16743" t="str">
        <f>"21-2109"</f>
        <v>21-2109</v>
      </c>
      <c r="H16743" t="str">
        <f>"A"</f>
        <v>A</v>
      </c>
    </row>
    <row r="16744" spans="1:8" x14ac:dyDescent="0.2">
      <c r="A16744" t="str">
        <f t="shared" si="6075"/>
        <v>0620042348</v>
      </c>
      <c r="B16744" t="str">
        <f t="shared" si="6076"/>
        <v>BRIANNA</v>
      </c>
      <c r="C16744" t="str">
        <f t="shared" si="6077"/>
        <v>SWABY</v>
      </c>
      <c r="D16744">
        <f>10</f>
        <v>10</v>
      </c>
      <c r="E16744" t="str">
        <f>"06 - B - 112 - Tina M Jaramillo"</f>
        <v>06 - B - 112 - Tina M Jaramillo</v>
      </c>
      <c r="F16744" t="str">
        <f>"NC STUDY HALL 1"</f>
        <v>NC STUDY HALL 1</v>
      </c>
      <c r="G16744" t="str">
        <f>"17-1706"</f>
        <v>17-1706</v>
      </c>
      <c r="H16744" t="str">
        <f>"B"</f>
        <v>B</v>
      </c>
    </row>
    <row r="16745" spans="1:8" x14ac:dyDescent="0.2">
      <c r="A16745" t="str">
        <f t="shared" si="6075"/>
        <v>0620042348</v>
      </c>
      <c r="B16745" t="str">
        <f t="shared" si="6076"/>
        <v>BRIANNA</v>
      </c>
      <c r="C16745" t="str">
        <f t="shared" si="6077"/>
        <v>SWABY</v>
      </c>
      <c r="D16745">
        <f>10</f>
        <v>10</v>
      </c>
      <c r="E16745" t="str">
        <f>"03 - A - 201 - Christa T Parisi"</f>
        <v>03 - A - 201 - Christa T Parisi</v>
      </c>
      <c r="F16745" t="str">
        <f>"DANCE TECHNQS 1"</f>
        <v>DANCE TECHNQS 1</v>
      </c>
      <c r="G16745" t="str">
        <f>"05-503"</f>
        <v>05-503</v>
      </c>
      <c r="H16745" t="str">
        <f>"A"</f>
        <v>A</v>
      </c>
    </row>
    <row r="16746" spans="1:8" x14ac:dyDescent="0.2">
      <c r="A16746" t="str">
        <f t="shared" si="6075"/>
        <v>0620042348</v>
      </c>
      <c r="B16746" t="str">
        <f t="shared" si="6076"/>
        <v>BRIANNA</v>
      </c>
      <c r="C16746" t="str">
        <f t="shared" si="6077"/>
        <v>SWABY</v>
      </c>
      <c r="D16746">
        <f>10</f>
        <v>10</v>
      </c>
      <c r="E16746" t="str">
        <f>"02 - A - 101 - Brian M Fitzgerald"</f>
        <v>02 - A - 101 - Brian M Fitzgerald</v>
      </c>
      <c r="F16746" t="str">
        <f>"DRAW 1"</f>
        <v>DRAW 1</v>
      </c>
      <c r="G16746" t="str">
        <f>"09-908"</f>
        <v>09-908</v>
      </c>
      <c r="H16746" t="str">
        <f>"A"</f>
        <v>A</v>
      </c>
    </row>
    <row r="16747" spans="1:8" x14ac:dyDescent="0.2">
      <c r="A16747" t="str">
        <f t="shared" si="6075"/>
        <v>0620042348</v>
      </c>
      <c r="B16747" t="str">
        <f t="shared" si="6076"/>
        <v>BRIANNA</v>
      </c>
      <c r="C16747" t="str">
        <f t="shared" si="6077"/>
        <v>SWABY</v>
      </c>
      <c r="D16747">
        <f>10</f>
        <v>10</v>
      </c>
      <c r="E16747" t="str">
        <f>"07 - B - 105 - Byron G Montenegro"</f>
        <v>07 - B - 105 - Byron G Montenegro</v>
      </c>
      <c r="F16747" t="str">
        <f>"AICE MARINE SCI 1 AS"</f>
        <v>AICE MARINE SCI 1 AS</v>
      </c>
      <c r="G16747" t="str">
        <f>"21-2144"</f>
        <v>21-2144</v>
      </c>
      <c r="H16747" t="str">
        <f>"B"</f>
        <v>B</v>
      </c>
    </row>
    <row r="16748" spans="1:8" x14ac:dyDescent="0.2">
      <c r="A16748" t="str">
        <f t="shared" si="6075"/>
        <v>0620042348</v>
      </c>
      <c r="B16748" t="str">
        <f t="shared" si="6076"/>
        <v>BRIANNA</v>
      </c>
      <c r="C16748" t="str">
        <f t="shared" si="6077"/>
        <v>SWABY</v>
      </c>
      <c r="D16748">
        <f>10</f>
        <v>10</v>
      </c>
      <c r="E16748" t="str">
        <f>"05 - B - 001 - Kelly N Panza"</f>
        <v>05 - B - 001 - Kelly N Panza</v>
      </c>
      <c r="F16748" t="str">
        <f>"AICE GLBL PERSP 1 AS"</f>
        <v>AICE GLBL PERSP 1 AS</v>
      </c>
      <c r="G16748" t="str">
        <f>"17-1753"</f>
        <v>17-1753</v>
      </c>
      <c r="H16748" t="str">
        <f>"B"</f>
        <v>B</v>
      </c>
    </row>
    <row r="16749" spans="1:8" x14ac:dyDescent="0.2">
      <c r="A16749" t="str">
        <f t="shared" si="6075"/>
        <v>0620042348</v>
      </c>
      <c r="B16749" t="str">
        <f t="shared" si="6076"/>
        <v>BRIANNA</v>
      </c>
      <c r="C16749" t="str">
        <f t="shared" si="6077"/>
        <v>SWABY</v>
      </c>
      <c r="D16749">
        <f>10</f>
        <v>10</v>
      </c>
      <c r="E16749" t="str">
        <f>"01 - A - 201 - Daniel S Tyson"</f>
        <v>01 - A - 201 - Daniel S Tyson</v>
      </c>
      <c r="F16749" t="str">
        <f>"JROTC NAVAL SCI 1"</f>
        <v>JROTC NAVAL SCI 1</v>
      </c>
      <c r="G16749" t="str">
        <f>"05-510"</f>
        <v>05-510</v>
      </c>
      <c r="H16749" t="str">
        <f>"A"</f>
        <v>A</v>
      </c>
    </row>
    <row r="16750" spans="1:8" x14ac:dyDescent="0.2">
      <c r="A16750" t="str">
        <f t="shared" si="6075"/>
        <v>0620042348</v>
      </c>
      <c r="B16750" t="str">
        <f t="shared" si="6076"/>
        <v>BRIANNA</v>
      </c>
      <c r="C16750" t="str">
        <f t="shared" si="6077"/>
        <v>SWABY</v>
      </c>
      <c r="D16750">
        <f>10</f>
        <v>10</v>
      </c>
      <c r="E16750" t="str">
        <f>"08 - B - 102 - Jacquelyn M Neeson"</f>
        <v>08 - B - 102 - Jacquelyn M Neeson</v>
      </c>
      <c r="F16750" t="str">
        <f>"AICE ENG GEN PAPER 1"</f>
        <v>AICE ENG GEN PAPER 1</v>
      </c>
      <c r="G16750" t="str">
        <f>"17-1715"</f>
        <v>17-1715</v>
      </c>
      <c r="H16750" t="str">
        <f>"B"</f>
        <v>B</v>
      </c>
    </row>
    <row r="16751" spans="1:8" x14ac:dyDescent="0.2">
      <c r="A16751" t="str">
        <f t="shared" ref="A16751:A16758" si="6078">"0618030912"</f>
        <v>0618030912</v>
      </c>
      <c r="B16751" t="str">
        <f t="shared" ref="B16751:B16758" si="6079">"ASHER"</f>
        <v>ASHER</v>
      </c>
      <c r="C16751" t="str">
        <f t="shared" ref="C16751:C16758" si="6080">"SWAINSON"</f>
        <v>SWAINSON</v>
      </c>
      <c r="D16751" t="str">
        <f t="shared" ref="D16751:D16774" si="6081">"09"</f>
        <v>09</v>
      </c>
      <c r="E16751" t="str">
        <f>"04 - A - 005 - Emmily A Sarmiento"</f>
        <v>04 - A - 005 - Emmily A Sarmiento</v>
      </c>
      <c r="F16751" t="str">
        <f>"AICE GLBL PERSP 1 AS"</f>
        <v>AICE GLBL PERSP 1 AS</v>
      </c>
      <c r="G16751" t="str">
        <f>"17-1743"</f>
        <v>17-1743</v>
      </c>
      <c r="H16751" t="str">
        <f>"A"</f>
        <v>A</v>
      </c>
    </row>
    <row r="16752" spans="1:8" x14ac:dyDescent="0.2">
      <c r="A16752" t="str">
        <f t="shared" si="6078"/>
        <v>0618030912</v>
      </c>
      <c r="B16752" t="str">
        <f t="shared" si="6079"/>
        <v>ASHER</v>
      </c>
      <c r="C16752" t="str">
        <f t="shared" si="6080"/>
        <v>SWAINSON</v>
      </c>
      <c r="D16752" t="str">
        <f t="shared" si="6081"/>
        <v>09</v>
      </c>
      <c r="E16752" t="str">
        <f>"06 - B - 104 - Byron G Montenegro"</f>
        <v>06 - B - 104 - Byron G Montenegro</v>
      </c>
      <c r="F16752" t="str">
        <f>"AICE MARINE SCI 1 AS"</f>
        <v>AICE MARINE SCI 1 AS</v>
      </c>
      <c r="G16752" t="str">
        <f>"21-2144"</f>
        <v>21-2144</v>
      </c>
      <c r="H16752" t="str">
        <f>"B"</f>
        <v>B</v>
      </c>
    </row>
    <row r="16753" spans="1:8" x14ac:dyDescent="0.2">
      <c r="A16753" t="str">
        <f t="shared" si="6078"/>
        <v>0618030912</v>
      </c>
      <c r="B16753" t="str">
        <f t="shared" si="6079"/>
        <v>ASHER</v>
      </c>
      <c r="C16753" t="str">
        <f t="shared" si="6080"/>
        <v>SWAINSON</v>
      </c>
      <c r="D16753" t="str">
        <f t="shared" si="6081"/>
        <v>09</v>
      </c>
      <c r="E16753" t="str">
        <f>"03 - A - 001 - Maried P Ramos"</f>
        <v>03 - A - 001 - Maried P Ramos</v>
      </c>
      <c r="F16753" t="str">
        <f>"PRE-AICE MATH 2 IG"</f>
        <v>PRE-AICE MATH 2 IG</v>
      </c>
      <c r="G16753" t="str">
        <f>"21-2159"</f>
        <v>21-2159</v>
      </c>
      <c r="H16753" t="str">
        <f>"A"</f>
        <v>A</v>
      </c>
    </row>
    <row r="16754" spans="1:8" x14ac:dyDescent="0.2">
      <c r="A16754" t="str">
        <f t="shared" si="6078"/>
        <v>0618030912</v>
      </c>
      <c r="B16754" t="str">
        <f t="shared" si="6079"/>
        <v>ASHER</v>
      </c>
      <c r="C16754" t="str">
        <f t="shared" si="6080"/>
        <v>SWAINSON</v>
      </c>
      <c r="D16754" t="str">
        <f t="shared" si="6081"/>
        <v>09</v>
      </c>
      <c r="E16754" t="str">
        <f>"02 - A - 110 - Maried P Ramos"</f>
        <v>02 - A - 110 - Maried P Ramos</v>
      </c>
      <c r="F16754" t="str">
        <f>"NC STUDY HALL 1"</f>
        <v>NC STUDY HALL 1</v>
      </c>
      <c r="G16754" t="str">
        <f>"21-2159"</f>
        <v>21-2159</v>
      </c>
      <c r="H16754" t="str">
        <f>"A"</f>
        <v>A</v>
      </c>
    </row>
    <row r="16755" spans="1:8" x14ac:dyDescent="0.2">
      <c r="A16755" t="str">
        <f t="shared" si="6078"/>
        <v>0618030912</v>
      </c>
      <c r="B16755" t="str">
        <f t="shared" si="6079"/>
        <v>ASHER</v>
      </c>
      <c r="C16755" t="str">
        <f t="shared" si="6080"/>
        <v>SWAINSON</v>
      </c>
      <c r="D16755" t="str">
        <f t="shared" si="6081"/>
        <v>09</v>
      </c>
      <c r="E16755" t="str">
        <f>"07 - B - 105 - Joe  Kilpatrick Jr"</f>
        <v>07 - B - 105 - Joe  Kilpatrick Jr</v>
      </c>
      <c r="F16755" t="str">
        <f>"PRE-AICE SPAN 1 IG"</f>
        <v>PRE-AICE SPAN 1 IG</v>
      </c>
      <c r="G16755" t="str">
        <f>"09-912"</f>
        <v>09-912</v>
      </c>
      <c r="H16755" t="str">
        <f>"B"</f>
        <v>B</v>
      </c>
    </row>
    <row r="16756" spans="1:8" x14ac:dyDescent="0.2">
      <c r="A16756" t="str">
        <f t="shared" si="6078"/>
        <v>0618030912</v>
      </c>
      <c r="B16756" t="str">
        <f t="shared" si="6079"/>
        <v>ASHER</v>
      </c>
      <c r="C16756" t="str">
        <f t="shared" si="6080"/>
        <v>SWAINSON</v>
      </c>
      <c r="D16756" t="str">
        <f t="shared" si="6081"/>
        <v>09</v>
      </c>
      <c r="E16756" t="str">
        <f>"05 - B - 103 - Josiah I Lacy"</f>
        <v>05 - B - 103 - Josiah I Lacy</v>
      </c>
      <c r="F16756" t="str">
        <f>"PRE-AICE BIO IG"</f>
        <v>PRE-AICE BIO IG</v>
      </c>
      <c r="G16756" t="str">
        <f>"08-801"</f>
        <v>08-801</v>
      </c>
      <c r="H16756" t="str">
        <f>"B"</f>
        <v>B</v>
      </c>
    </row>
    <row r="16757" spans="1:8" x14ac:dyDescent="0.2">
      <c r="A16757" t="str">
        <f t="shared" si="6078"/>
        <v>0618030912</v>
      </c>
      <c r="B16757" t="str">
        <f t="shared" si="6079"/>
        <v>ASHER</v>
      </c>
      <c r="C16757" t="str">
        <f t="shared" si="6080"/>
        <v>SWAINSON</v>
      </c>
      <c r="D16757" t="str">
        <f t="shared" si="6081"/>
        <v>09</v>
      </c>
      <c r="E16757" t="str">
        <f>"01 - A - 101 - Angela S Adeshina-Morrison"</f>
        <v>01 - A - 101 - Angela S Adeshina-Morrison</v>
      </c>
      <c r="F16757" t="str">
        <f>"MARKETING ESSENTIALS"</f>
        <v>MARKETING ESSENTIALS</v>
      </c>
      <c r="G16757" t="str">
        <f>"05-518"</f>
        <v>05-518</v>
      </c>
      <c r="H16757" t="str">
        <f>"A"</f>
        <v>A</v>
      </c>
    </row>
    <row r="16758" spans="1:8" x14ac:dyDescent="0.2">
      <c r="A16758" t="str">
        <f t="shared" si="6078"/>
        <v>0618030912</v>
      </c>
      <c r="B16758" t="str">
        <f t="shared" si="6079"/>
        <v>ASHER</v>
      </c>
      <c r="C16758" t="str">
        <f t="shared" si="6080"/>
        <v>SWAINSON</v>
      </c>
      <c r="D16758" t="str">
        <f t="shared" si="6081"/>
        <v>09</v>
      </c>
      <c r="E16758" t="str">
        <f>"08 - B - 004 - Cheryl Anne  Berman-Schechter"</f>
        <v>08 - B - 004 - Cheryl Anne  Berman-Schechter</v>
      </c>
      <c r="F16758" t="str">
        <f>"AICE ENG GEN PAPER 1"</f>
        <v>AICE ENG GEN PAPER 1</v>
      </c>
      <c r="G16758" t="str">
        <f>"17-1722"</f>
        <v>17-1722</v>
      </c>
      <c r="H16758" t="str">
        <f>"B"</f>
        <v>B</v>
      </c>
    </row>
    <row r="16759" spans="1:8" x14ac:dyDescent="0.2">
      <c r="A16759" t="str">
        <f t="shared" ref="A16759:A16766" si="6082">"0615017145"</f>
        <v>0615017145</v>
      </c>
      <c r="B16759" t="str">
        <f t="shared" ref="B16759:B16766" si="6083">"SUKAINA"</f>
        <v>SUKAINA</v>
      </c>
      <c r="C16759" t="str">
        <f t="shared" ref="C16759:C16774" si="6084">"SYLVAIN"</f>
        <v>SYLVAIN</v>
      </c>
      <c r="D16759" t="str">
        <f t="shared" si="6081"/>
        <v>09</v>
      </c>
      <c r="E16759" t="str">
        <f>"04 - A - 105 - Carol S Moore"</f>
        <v>04 - A - 105 - Carol S Moore</v>
      </c>
      <c r="F16759" t="str">
        <f>"PRE-AICE WRLD HST IG"</f>
        <v>PRE-AICE WRLD HST IG</v>
      </c>
      <c r="G16759" t="str">
        <f>"17-1733"</f>
        <v>17-1733</v>
      </c>
      <c r="H16759" t="str">
        <f>"A"</f>
        <v>A</v>
      </c>
    </row>
    <row r="16760" spans="1:8" x14ac:dyDescent="0.2">
      <c r="A16760" t="str">
        <f t="shared" si="6082"/>
        <v>0615017145</v>
      </c>
      <c r="B16760" t="str">
        <f t="shared" si="6083"/>
        <v>SUKAINA</v>
      </c>
      <c r="C16760" t="str">
        <f t="shared" si="6084"/>
        <v>SYLVAIN</v>
      </c>
      <c r="D16760" t="str">
        <f t="shared" si="6081"/>
        <v>09</v>
      </c>
      <c r="E16760" t="str">
        <f>"06 - B - 104 - Lytrell T Dixon"</f>
        <v>06 - B - 104 - Lytrell T Dixon</v>
      </c>
      <c r="F16760" t="str">
        <f>"PRE-AICE BIO IG"</f>
        <v>PRE-AICE BIO IG</v>
      </c>
      <c r="G16760" t="str">
        <f>"08-808"</f>
        <v>08-808</v>
      </c>
      <c r="H16760" t="str">
        <f>"B"</f>
        <v>B</v>
      </c>
    </row>
    <row r="16761" spans="1:8" x14ac:dyDescent="0.2">
      <c r="A16761" t="str">
        <f t="shared" si="6082"/>
        <v>0615017145</v>
      </c>
      <c r="B16761" t="str">
        <f t="shared" si="6083"/>
        <v>SUKAINA</v>
      </c>
      <c r="C16761" t="str">
        <f t="shared" si="6084"/>
        <v>SYLVAIN</v>
      </c>
      <c r="D16761" t="str">
        <f t="shared" si="6081"/>
        <v>09</v>
      </c>
      <c r="E16761" t="str">
        <f>"03 - A - 101 - Helen A Flores"</f>
        <v>03 - A - 101 - Helen A Flores</v>
      </c>
      <c r="F16761" t="str">
        <f>"PRE-AICE MATH 1 IG"</f>
        <v>PRE-AICE MATH 1 IG</v>
      </c>
      <c r="G16761" t="str">
        <f>"21-2101"</f>
        <v>21-2101</v>
      </c>
      <c r="H16761" t="str">
        <f>"A"</f>
        <v>A</v>
      </c>
    </row>
    <row r="16762" spans="1:8" x14ac:dyDescent="0.2">
      <c r="A16762" t="str">
        <f t="shared" si="6082"/>
        <v>0615017145</v>
      </c>
      <c r="B16762" t="str">
        <f t="shared" si="6083"/>
        <v>SUKAINA</v>
      </c>
      <c r="C16762" t="str">
        <f t="shared" si="6084"/>
        <v>SYLVAIN</v>
      </c>
      <c r="D16762" t="str">
        <f t="shared" si="6081"/>
        <v>09</v>
      </c>
      <c r="E16762" t="str">
        <f>"02 - A - 111 - Cheryl L Beach"</f>
        <v>02 - A - 111 - Cheryl L Beach</v>
      </c>
      <c r="F16762" t="str">
        <f>"NC STUDY HALL 1"</f>
        <v>NC STUDY HALL 1</v>
      </c>
      <c r="G16762" t="str">
        <f>"08-811"</f>
        <v>08-811</v>
      </c>
      <c r="H16762" t="str">
        <f>"A"</f>
        <v>A</v>
      </c>
    </row>
    <row r="16763" spans="1:8" x14ac:dyDescent="0.2">
      <c r="A16763" t="str">
        <f t="shared" si="6082"/>
        <v>0615017145</v>
      </c>
      <c r="B16763" t="str">
        <f t="shared" si="6083"/>
        <v>SUKAINA</v>
      </c>
      <c r="C16763" t="str">
        <f t="shared" si="6084"/>
        <v>SYLVAIN</v>
      </c>
      <c r="D16763" t="str">
        <f t="shared" si="6081"/>
        <v>09</v>
      </c>
      <c r="E16763" t="str">
        <f>"07 - B - 002 - Jazmin S Fletcher"</f>
        <v>07 - B - 002 - Jazmin S Fletcher</v>
      </c>
      <c r="F16763" t="str">
        <f>"THEATRE 1"</f>
        <v>THEATRE 1</v>
      </c>
      <c r="G16763" t="str">
        <f>"09-909"</f>
        <v>09-909</v>
      </c>
      <c r="H16763" t="str">
        <f>"B"</f>
        <v>B</v>
      </c>
    </row>
    <row r="16764" spans="1:8" x14ac:dyDescent="0.2">
      <c r="A16764" t="str">
        <f t="shared" si="6082"/>
        <v>0615017145</v>
      </c>
      <c r="B16764" t="str">
        <f t="shared" si="6083"/>
        <v>SUKAINA</v>
      </c>
      <c r="C16764" t="str">
        <f t="shared" si="6084"/>
        <v>SYLVAIN</v>
      </c>
      <c r="D16764" t="str">
        <f t="shared" si="6081"/>
        <v>09</v>
      </c>
      <c r="E16764" t="str">
        <f>"05 - B - 204 - Elizabeth R Walker"</f>
        <v>05 - B - 204 - Elizabeth R Walker</v>
      </c>
      <c r="F16764" t="str">
        <f>"AICE ENG GEN PAPER 1"</f>
        <v>AICE ENG GEN PAPER 1</v>
      </c>
      <c r="G16764" t="str">
        <f>"17-1703"</f>
        <v>17-1703</v>
      </c>
      <c r="H16764" t="str">
        <f>"B"</f>
        <v>B</v>
      </c>
    </row>
    <row r="16765" spans="1:8" x14ac:dyDescent="0.2">
      <c r="A16765" t="str">
        <f t="shared" si="6082"/>
        <v>0615017145</v>
      </c>
      <c r="B16765" t="str">
        <f t="shared" si="6083"/>
        <v>SUKAINA</v>
      </c>
      <c r="C16765" t="str">
        <f t="shared" si="6084"/>
        <v>SYLVAIN</v>
      </c>
      <c r="D16765" t="str">
        <f t="shared" si="6081"/>
        <v>09</v>
      </c>
      <c r="E16765" t="str">
        <f>"01 - A - 101 - Marius D Orsolini"</f>
        <v>01 - A - 101 - Marius D Orsolini</v>
      </c>
      <c r="F16765" t="str">
        <f>"CULINARY ARTS 1"</f>
        <v>CULINARY ARTS 1</v>
      </c>
      <c r="G16765" t="str">
        <f>"21-2115"</f>
        <v>21-2115</v>
      </c>
      <c r="H16765" t="str">
        <f>"A"</f>
        <v>A</v>
      </c>
    </row>
    <row r="16766" spans="1:8" x14ac:dyDescent="0.2">
      <c r="A16766" t="str">
        <f t="shared" si="6082"/>
        <v>0615017145</v>
      </c>
      <c r="B16766" t="str">
        <f t="shared" si="6083"/>
        <v>SUKAINA</v>
      </c>
      <c r="C16766" t="str">
        <f t="shared" si="6084"/>
        <v>SYLVAIN</v>
      </c>
      <c r="D16766" t="str">
        <f t="shared" si="6081"/>
        <v>09</v>
      </c>
      <c r="E16766" t="str">
        <f>"08 - B - 108 - Adam Marcus  Drucker"</f>
        <v>08 - B - 108 - Adam Marcus  Drucker</v>
      </c>
      <c r="F16766" t="str">
        <f>"HOPE-PE V"</f>
        <v>HOPE-PE V</v>
      </c>
      <c r="G16766" t="str">
        <f>"04-254"</f>
        <v>04-254</v>
      </c>
      <c r="H16766" t="str">
        <f>"B"</f>
        <v>B</v>
      </c>
    </row>
    <row r="16767" spans="1:8" x14ac:dyDescent="0.2">
      <c r="A16767" t="str">
        <f t="shared" ref="A16767:A16774" si="6085">"0616124412"</f>
        <v>0616124412</v>
      </c>
      <c r="B16767" t="str">
        <f t="shared" ref="B16767:B16774" si="6086">"WADLY"</f>
        <v>WADLY</v>
      </c>
      <c r="C16767" t="str">
        <f t="shared" si="6084"/>
        <v>SYLVAIN</v>
      </c>
      <c r="D16767" t="str">
        <f t="shared" si="6081"/>
        <v>09</v>
      </c>
      <c r="E16767" t="str">
        <f>"04 - A - 104 - Brook E Goren"</f>
        <v>04 - A - 104 - Brook E Goren</v>
      </c>
      <c r="F16767" t="str">
        <f>"ALGEBRA 2 HON"</f>
        <v>ALGEBRA 2 HON</v>
      </c>
      <c r="G16767" t="str">
        <f>"21-2158"</f>
        <v>21-2158</v>
      </c>
      <c r="H16767" t="str">
        <f>"A"</f>
        <v>A</v>
      </c>
    </row>
    <row r="16768" spans="1:8" x14ac:dyDescent="0.2">
      <c r="A16768" t="str">
        <f t="shared" si="6085"/>
        <v>0616124412</v>
      </c>
      <c r="B16768" t="str">
        <f t="shared" si="6086"/>
        <v>WADLY</v>
      </c>
      <c r="C16768" t="str">
        <f t="shared" si="6084"/>
        <v>SYLVAIN</v>
      </c>
      <c r="D16768" t="str">
        <f t="shared" si="6081"/>
        <v>09</v>
      </c>
      <c r="E16768" t="str">
        <f>"06 - B - 105 - Cheryl L Beach"</f>
        <v>06 - B - 105 - Cheryl L Beach</v>
      </c>
      <c r="F16768" t="str">
        <f>"AICE ENV MGMNT AS"</f>
        <v>AICE ENV MGMNT AS</v>
      </c>
      <c r="G16768" t="str">
        <f>"08-811"</f>
        <v>08-811</v>
      </c>
      <c r="H16768" t="str">
        <f>"B"</f>
        <v>B</v>
      </c>
    </row>
    <row r="16769" spans="1:8" x14ac:dyDescent="0.2">
      <c r="A16769" t="str">
        <f t="shared" si="6085"/>
        <v>0616124412</v>
      </c>
      <c r="B16769" t="str">
        <f t="shared" si="6086"/>
        <v>WADLY</v>
      </c>
      <c r="C16769" t="str">
        <f t="shared" si="6084"/>
        <v>SYLVAIN</v>
      </c>
      <c r="D16769" t="str">
        <f t="shared" si="6081"/>
        <v>09</v>
      </c>
      <c r="E16769" t="str">
        <f>"03 - S1 - A - 102 - Angela S Adeshina-Morrison"</f>
        <v>03 - S1 - A - 102 - Angela S Adeshina-Morrison</v>
      </c>
      <c r="F16769" t="str">
        <f>"PEER COUN 1"</f>
        <v>PEER COUN 1</v>
      </c>
      <c r="G16769" t="str">
        <f>"05-518"</f>
        <v>05-518</v>
      </c>
      <c r="H16769" t="str">
        <f>"A"</f>
        <v>A</v>
      </c>
    </row>
    <row r="16770" spans="1:8" x14ac:dyDescent="0.2">
      <c r="A16770" t="str">
        <f t="shared" si="6085"/>
        <v>0616124412</v>
      </c>
      <c r="B16770" t="str">
        <f t="shared" si="6086"/>
        <v>WADLY</v>
      </c>
      <c r="C16770" t="str">
        <f t="shared" si="6084"/>
        <v>SYLVAIN</v>
      </c>
      <c r="D16770" t="str">
        <f t="shared" si="6081"/>
        <v>09</v>
      </c>
      <c r="E16770" t="str">
        <f>"02 - A - 102 - Samantha J Headley"</f>
        <v>02 - A - 102 - Samantha J Headley</v>
      </c>
      <c r="F16770" t="str">
        <f>"NC STUDY HALL 1"</f>
        <v>NC STUDY HALL 1</v>
      </c>
      <c r="G16770" t="str">
        <f>"21-2134"</f>
        <v>21-2134</v>
      </c>
      <c r="H16770" t="str">
        <f>"A"</f>
        <v>A</v>
      </c>
    </row>
    <row r="16771" spans="1:8" x14ac:dyDescent="0.2">
      <c r="A16771" t="str">
        <f t="shared" si="6085"/>
        <v>0616124412</v>
      </c>
      <c r="B16771" t="str">
        <f t="shared" si="6086"/>
        <v>WADLY</v>
      </c>
      <c r="C16771" t="str">
        <f t="shared" si="6084"/>
        <v>SYLVAIN</v>
      </c>
      <c r="D16771" t="str">
        <f t="shared" si="6081"/>
        <v>09</v>
      </c>
      <c r="E16771" t="str">
        <f>"07 - B - 001 - Cheryl Anne  Berman-Schechter"</f>
        <v>07 - B - 001 - Cheryl Anne  Berman-Schechter</v>
      </c>
      <c r="F16771" t="str">
        <f>"AICE ENG GEN PAPER 1"</f>
        <v>AICE ENG GEN PAPER 1</v>
      </c>
      <c r="G16771" t="str">
        <f>"17-1722"</f>
        <v>17-1722</v>
      </c>
      <c r="H16771" t="str">
        <f>"B"</f>
        <v>B</v>
      </c>
    </row>
    <row r="16772" spans="1:8" x14ac:dyDescent="0.2">
      <c r="A16772" t="str">
        <f t="shared" si="6085"/>
        <v>0616124412</v>
      </c>
      <c r="B16772" t="str">
        <f t="shared" si="6086"/>
        <v>WADLY</v>
      </c>
      <c r="C16772" t="str">
        <f t="shared" si="6084"/>
        <v>SYLVAIN</v>
      </c>
      <c r="D16772" t="str">
        <f t="shared" si="6081"/>
        <v>09</v>
      </c>
      <c r="E16772" t="str">
        <f>"05 - B - 105 - Adam Marcus  Drucker"</f>
        <v>05 - B - 105 - Adam Marcus  Drucker</v>
      </c>
      <c r="F16772" t="str">
        <f>"HOPE-PE V"</f>
        <v>HOPE-PE V</v>
      </c>
      <c r="G16772" t="str">
        <f>"04-254"</f>
        <v>04-254</v>
      </c>
      <c r="H16772" t="str">
        <f>"B"</f>
        <v>B</v>
      </c>
    </row>
    <row r="16773" spans="1:8" x14ac:dyDescent="0.2">
      <c r="A16773" t="str">
        <f t="shared" si="6085"/>
        <v>0616124412</v>
      </c>
      <c r="B16773" t="str">
        <f t="shared" si="6086"/>
        <v>WADLY</v>
      </c>
      <c r="C16773" t="str">
        <f t="shared" si="6084"/>
        <v>SYLVAIN</v>
      </c>
      <c r="D16773" t="str">
        <f t="shared" si="6081"/>
        <v>09</v>
      </c>
      <c r="E16773" t="str">
        <f>"01 - A - 101 - Vanessa J Liburd"</f>
        <v>01 - A - 101 - Vanessa J Liburd</v>
      </c>
      <c r="F16773" t="str">
        <f>"PRE-AICE FRENCH 1 IG"</f>
        <v>PRE-AICE FRENCH 1 IG</v>
      </c>
      <c r="G16773" t="str">
        <f>"05-519"</f>
        <v>05-519</v>
      </c>
      <c r="H16773" t="str">
        <f>"A"</f>
        <v>A</v>
      </c>
    </row>
    <row r="16774" spans="1:8" x14ac:dyDescent="0.2">
      <c r="A16774" t="str">
        <f t="shared" si="6085"/>
        <v>0616124412</v>
      </c>
      <c r="B16774" t="str">
        <f t="shared" si="6086"/>
        <v>WADLY</v>
      </c>
      <c r="C16774" t="str">
        <f t="shared" si="6084"/>
        <v>SYLVAIN</v>
      </c>
      <c r="D16774" t="str">
        <f t="shared" si="6081"/>
        <v>09</v>
      </c>
      <c r="E16774" t="str">
        <f>"08 - B - 109 - Emmily A Sarmiento"</f>
        <v>08 - B - 109 - Emmily A Sarmiento</v>
      </c>
      <c r="F16774" t="str">
        <f>"AICE GLBL PERSP 1 AS"</f>
        <v>AICE GLBL PERSP 1 AS</v>
      </c>
      <c r="G16774" t="str">
        <f>"17-1743"</f>
        <v>17-1743</v>
      </c>
      <c r="H16774" t="str">
        <f>"B"</f>
        <v>B</v>
      </c>
    </row>
    <row r="16775" spans="1:8" x14ac:dyDescent="0.2">
      <c r="A16775" t="str">
        <f t="shared" ref="A16775:A16782" si="6087">"0620115039"</f>
        <v>0620115039</v>
      </c>
      <c r="B16775" t="str">
        <f t="shared" ref="B16775:B16782" si="6088">"JACK"</f>
        <v>JACK</v>
      </c>
      <c r="C16775" t="str">
        <f t="shared" ref="C16775:C16782" si="6089">"SYPERT"</f>
        <v>SYPERT</v>
      </c>
      <c r="D16775">
        <f>11</f>
        <v>11</v>
      </c>
      <c r="E16775" t="str">
        <f>"04 - A - 105 - Milca  Exantus"</f>
        <v>04 - A - 105 - Milca  Exantus</v>
      </c>
      <c r="F16775" t="str">
        <f>"MATH COLLEGE LIB ART"</f>
        <v>MATH COLLEGE LIB ART</v>
      </c>
      <c r="G16775" t="str">
        <f>"21-2145"</f>
        <v>21-2145</v>
      </c>
      <c r="H16775" t="str">
        <f>"A"</f>
        <v>A</v>
      </c>
    </row>
    <row r="16776" spans="1:8" x14ac:dyDescent="0.2">
      <c r="A16776" t="str">
        <f t="shared" si="6087"/>
        <v>0620115039</v>
      </c>
      <c r="B16776" t="str">
        <f t="shared" si="6088"/>
        <v>JACK</v>
      </c>
      <c r="C16776" t="str">
        <f t="shared" si="6089"/>
        <v>SYPERT</v>
      </c>
      <c r="D16776">
        <f>11</f>
        <v>11</v>
      </c>
      <c r="E16776" t="str">
        <f>"06 - B - 102 - Angela S Adeshina-Morrison"</f>
        <v>06 - B - 102 - Angela S Adeshina-Morrison</v>
      </c>
      <c r="F16776" t="str">
        <f>"MARKETING ESSENTIALS"</f>
        <v>MARKETING ESSENTIALS</v>
      </c>
      <c r="G16776" t="str">
        <f>"05-518"</f>
        <v>05-518</v>
      </c>
      <c r="H16776" t="str">
        <f>"B"</f>
        <v>B</v>
      </c>
    </row>
    <row r="16777" spans="1:8" x14ac:dyDescent="0.2">
      <c r="A16777" t="str">
        <f t="shared" si="6087"/>
        <v>0620115039</v>
      </c>
      <c r="B16777" t="str">
        <f t="shared" si="6088"/>
        <v>JACK</v>
      </c>
      <c r="C16777" t="str">
        <f t="shared" si="6089"/>
        <v>SYPERT</v>
      </c>
      <c r="D16777">
        <f>11</f>
        <v>11</v>
      </c>
      <c r="E16777" t="str">
        <f>"03 - A - 201 - Joe  Kilpatrick Jr"</f>
        <v>03 - A - 201 - Joe  Kilpatrick Jr</v>
      </c>
      <c r="F16777" t="str">
        <f>"PRE-AICE SPAN 2 IG"</f>
        <v>PRE-AICE SPAN 2 IG</v>
      </c>
      <c r="G16777" t="str">
        <f>"09-912"</f>
        <v>09-912</v>
      </c>
      <c r="H16777" t="str">
        <f>"A"</f>
        <v>A</v>
      </c>
    </row>
    <row r="16778" spans="1:8" x14ac:dyDescent="0.2">
      <c r="A16778" t="str">
        <f t="shared" si="6087"/>
        <v>0620115039</v>
      </c>
      <c r="B16778" t="str">
        <f t="shared" si="6088"/>
        <v>JACK</v>
      </c>
      <c r="C16778" t="str">
        <f t="shared" si="6089"/>
        <v>SYPERT</v>
      </c>
      <c r="D16778">
        <f>11</f>
        <v>11</v>
      </c>
      <c r="E16778" t="str">
        <f>"02 - A - 108 - Stephen T Ripp"</f>
        <v>02 - A - 108 - Stephen T Ripp</v>
      </c>
      <c r="F16778" t="str">
        <f>"NC STUDY HALL 1"</f>
        <v>NC STUDY HALL 1</v>
      </c>
      <c r="G16778" t="str">
        <f>"17-1744"</f>
        <v>17-1744</v>
      </c>
      <c r="H16778" t="str">
        <f>"A"</f>
        <v>A</v>
      </c>
    </row>
    <row r="16779" spans="1:8" x14ac:dyDescent="0.2">
      <c r="A16779" t="str">
        <f t="shared" si="6087"/>
        <v>0620115039</v>
      </c>
      <c r="B16779" t="str">
        <f t="shared" si="6088"/>
        <v>JACK</v>
      </c>
      <c r="C16779" t="str">
        <f t="shared" si="6089"/>
        <v>SYPERT</v>
      </c>
      <c r="D16779">
        <f>11</f>
        <v>11</v>
      </c>
      <c r="E16779" t="str">
        <f>"07 - B - 204 - Scott A Dethloff"</f>
        <v>07 - B - 204 - Scott A Dethloff</v>
      </c>
      <c r="F16779" t="str">
        <f>"CHEMISTRY 1"</f>
        <v>CHEMISTRY 1</v>
      </c>
      <c r="G16779" t="str">
        <f>"08-812"</f>
        <v>08-812</v>
      </c>
      <c r="H16779" t="str">
        <f>"B"</f>
        <v>B</v>
      </c>
    </row>
    <row r="16780" spans="1:8" x14ac:dyDescent="0.2">
      <c r="A16780" t="str">
        <f t="shared" si="6087"/>
        <v>0620115039</v>
      </c>
      <c r="B16780" t="str">
        <f t="shared" si="6088"/>
        <v>JACK</v>
      </c>
      <c r="C16780" t="str">
        <f t="shared" si="6089"/>
        <v>SYPERT</v>
      </c>
      <c r="D16780">
        <f>11</f>
        <v>11</v>
      </c>
      <c r="E16780" t="str">
        <f>"05 - B - 104 - Lisa  Quinn"</f>
        <v>05 - B - 104 - Lisa  Quinn</v>
      </c>
      <c r="F16780" t="str">
        <f>"ENG 3"</f>
        <v>ENG 3</v>
      </c>
      <c r="G16780" t="str">
        <f>"17-1725"</f>
        <v>17-1725</v>
      </c>
      <c r="H16780" t="str">
        <f>"B"</f>
        <v>B</v>
      </c>
    </row>
    <row r="16781" spans="1:8" x14ac:dyDescent="0.2">
      <c r="A16781" t="str">
        <f t="shared" si="6087"/>
        <v>0620115039</v>
      </c>
      <c r="B16781" t="str">
        <f t="shared" si="6088"/>
        <v>JACK</v>
      </c>
      <c r="C16781" t="str">
        <f t="shared" si="6089"/>
        <v>SYPERT</v>
      </c>
      <c r="D16781">
        <f>11</f>
        <v>11</v>
      </c>
      <c r="E16781" t="str">
        <f>"01 - S1 - A - 101 - Richard E Dunbar Iii"</f>
        <v>01 - S1 - A - 101 - Richard E Dunbar Iii</v>
      </c>
      <c r="F16781" t="str">
        <f>"WEIGHT TRAIN 3"</f>
        <v>WEIGHT TRAIN 3</v>
      </c>
      <c r="G16781" t="str">
        <f>"05-501"</f>
        <v>05-501</v>
      </c>
      <c r="H16781" t="str">
        <f>"A"</f>
        <v>A</v>
      </c>
    </row>
    <row r="16782" spans="1:8" x14ac:dyDescent="0.2">
      <c r="A16782" t="str">
        <f t="shared" si="6087"/>
        <v>0620115039</v>
      </c>
      <c r="B16782" t="str">
        <f t="shared" si="6088"/>
        <v>JACK</v>
      </c>
      <c r="C16782" t="str">
        <f t="shared" si="6089"/>
        <v>SYPERT</v>
      </c>
      <c r="D16782">
        <f>11</f>
        <v>11</v>
      </c>
      <c r="E16782" t="str">
        <f>"08 - B - 109 - Lauren N Logan"</f>
        <v>08 - B - 109 - Lauren N Logan</v>
      </c>
      <c r="F16782" t="str">
        <f>"US HISTORY"</f>
        <v>US HISTORY</v>
      </c>
      <c r="G16782" t="str">
        <f>"17-1754"</f>
        <v>17-1754</v>
      </c>
      <c r="H16782" t="str">
        <f>"B"</f>
        <v>B</v>
      </c>
    </row>
    <row r="16783" spans="1:8" x14ac:dyDescent="0.2">
      <c r="A16783" t="str">
        <f t="shared" ref="A16783:A16790" si="6090">"0617006328"</f>
        <v>0617006328</v>
      </c>
      <c r="B16783" t="str">
        <f t="shared" ref="B16783:B16790" si="6091">"MOHAMMAD"</f>
        <v>MOHAMMAD</v>
      </c>
      <c r="C16783" t="str">
        <f t="shared" ref="C16783:C16790" si="6092">"TALUKDER"</f>
        <v>TALUKDER</v>
      </c>
      <c r="D16783" t="str">
        <f t="shared" ref="D16783:D16790" si="6093">"09"</f>
        <v>09</v>
      </c>
      <c r="E16783" t="str">
        <f>"04 - A - 102 - Josiah I Lacy"</f>
        <v>04 - A - 102 - Josiah I Lacy</v>
      </c>
      <c r="F16783" t="str">
        <f>"PRE-AICE BIO IG"</f>
        <v>PRE-AICE BIO IG</v>
      </c>
      <c r="G16783" t="str">
        <f>"08-801"</f>
        <v>08-801</v>
      </c>
      <c r="H16783" t="str">
        <f>"A"</f>
        <v>A</v>
      </c>
    </row>
    <row r="16784" spans="1:8" x14ac:dyDescent="0.2">
      <c r="A16784" t="str">
        <f t="shared" si="6090"/>
        <v>0617006328</v>
      </c>
      <c r="B16784" t="str">
        <f t="shared" si="6091"/>
        <v>MOHAMMAD</v>
      </c>
      <c r="C16784" t="str">
        <f t="shared" si="6092"/>
        <v>TALUKDER</v>
      </c>
      <c r="D16784" t="str">
        <f t="shared" si="6093"/>
        <v>09</v>
      </c>
      <c r="E16784" t="str">
        <f>"06 - B - 104 - Byron G Montenegro"</f>
        <v>06 - B - 104 - Byron G Montenegro</v>
      </c>
      <c r="F16784" t="str">
        <f>"AICE MARINE SCI 1 AS"</f>
        <v>AICE MARINE SCI 1 AS</v>
      </c>
      <c r="G16784" t="str">
        <f>"21-2144"</f>
        <v>21-2144</v>
      </c>
      <c r="H16784" t="str">
        <f>"B"</f>
        <v>B</v>
      </c>
    </row>
    <row r="16785" spans="1:8" x14ac:dyDescent="0.2">
      <c r="A16785" t="str">
        <f t="shared" si="6090"/>
        <v>0617006328</v>
      </c>
      <c r="B16785" t="str">
        <f t="shared" si="6091"/>
        <v>MOHAMMAD</v>
      </c>
      <c r="C16785" t="str">
        <f t="shared" si="6092"/>
        <v>TALUKDER</v>
      </c>
      <c r="D16785" t="str">
        <f t="shared" si="6093"/>
        <v>09</v>
      </c>
      <c r="E16785" t="str">
        <f>"03 - S1 - A - 102 - Angela S Adeshina-Morrison"</f>
        <v>03 - S1 - A - 102 - Angela S Adeshina-Morrison</v>
      </c>
      <c r="F16785" t="str">
        <f>"PEER COUN 1"</f>
        <v>PEER COUN 1</v>
      </c>
      <c r="G16785" t="str">
        <f>"05-518"</f>
        <v>05-518</v>
      </c>
      <c r="H16785" t="str">
        <f>"A"</f>
        <v>A</v>
      </c>
    </row>
    <row r="16786" spans="1:8" x14ac:dyDescent="0.2">
      <c r="A16786" t="str">
        <f t="shared" si="6090"/>
        <v>0617006328</v>
      </c>
      <c r="B16786" t="str">
        <f t="shared" si="6091"/>
        <v>MOHAMMAD</v>
      </c>
      <c r="C16786" t="str">
        <f t="shared" si="6092"/>
        <v>TALUKDER</v>
      </c>
      <c r="D16786" t="str">
        <f t="shared" si="6093"/>
        <v>09</v>
      </c>
      <c r="E16786" t="str">
        <f>"02 - A - 108 - Rory T Sponsler"</f>
        <v>02 - A - 108 - Rory T Sponsler</v>
      </c>
      <c r="F16786" t="str">
        <f>"NC STUDY HALL 1"</f>
        <v>NC STUDY HALL 1</v>
      </c>
      <c r="G16786" t="str">
        <f>"17-1740"</f>
        <v>17-1740</v>
      </c>
      <c r="H16786" t="str">
        <f>"A"</f>
        <v>A</v>
      </c>
    </row>
    <row r="16787" spans="1:8" x14ac:dyDescent="0.2">
      <c r="A16787" t="str">
        <f t="shared" si="6090"/>
        <v>0617006328</v>
      </c>
      <c r="B16787" t="str">
        <f t="shared" si="6091"/>
        <v>MOHAMMAD</v>
      </c>
      <c r="C16787" t="str">
        <f t="shared" si="6092"/>
        <v>TALUKDER</v>
      </c>
      <c r="D16787" t="str">
        <f t="shared" si="6093"/>
        <v>09</v>
      </c>
      <c r="E16787" t="str">
        <f>"07 - B - 107 - Adam Marcus  Drucker"</f>
        <v>07 - B - 107 - Adam Marcus  Drucker</v>
      </c>
      <c r="F16787" t="str">
        <f>"HOPE-PE V"</f>
        <v>HOPE-PE V</v>
      </c>
      <c r="G16787" t="str">
        <f>"04-254"</f>
        <v>04-254</v>
      </c>
      <c r="H16787" t="str">
        <f>"B"</f>
        <v>B</v>
      </c>
    </row>
    <row r="16788" spans="1:8" x14ac:dyDescent="0.2">
      <c r="A16788" t="str">
        <f t="shared" si="6090"/>
        <v>0617006328</v>
      </c>
      <c r="B16788" t="str">
        <f t="shared" si="6091"/>
        <v>MOHAMMAD</v>
      </c>
      <c r="C16788" t="str">
        <f t="shared" si="6092"/>
        <v>TALUKDER</v>
      </c>
      <c r="D16788" t="str">
        <f t="shared" si="6093"/>
        <v>09</v>
      </c>
      <c r="E16788" t="str">
        <f>"05 - B - 102 - Tina L Lovett"</f>
        <v>05 - B - 102 - Tina L Lovett</v>
      </c>
      <c r="F16788" t="str">
        <f>"PRE-AICE MATH 1 IG"</f>
        <v>PRE-AICE MATH 1 IG</v>
      </c>
      <c r="G16788" t="str">
        <f>"21-2153"</f>
        <v>21-2153</v>
      </c>
      <c r="H16788" t="str">
        <f>"B"</f>
        <v>B</v>
      </c>
    </row>
    <row r="16789" spans="1:8" x14ac:dyDescent="0.2">
      <c r="A16789" t="str">
        <f t="shared" si="6090"/>
        <v>0617006328</v>
      </c>
      <c r="B16789" t="str">
        <f t="shared" si="6091"/>
        <v>MOHAMMAD</v>
      </c>
      <c r="C16789" t="str">
        <f t="shared" si="6092"/>
        <v>TALUKDER</v>
      </c>
      <c r="D16789" t="str">
        <f t="shared" si="6093"/>
        <v>09</v>
      </c>
      <c r="E16789" t="str">
        <f>"01 - A - 006 - Emmily A Sarmiento"</f>
        <v>01 - A - 006 - Emmily A Sarmiento</v>
      </c>
      <c r="F16789" t="str">
        <f>"AICE GLBL PERSP 1 AS"</f>
        <v>AICE GLBL PERSP 1 AS</v>
      </c>
      <c r="G16789" t="str">
        <f>"17-1743"</f>
        <v>17-1743</v>
      </c>
      <c r="H16789" t="str">
        <f>"A"</f>
        <v>A</v>
      </c>
    </row>
    <row r="16790" spans="1:8" x14ac:dyDescent="0.2">
      <c r="A16790" t="str">
        <f t="shared" si="6090"/>
        <v>0617006328</v>
      </c>
      <c r="B16790" t="str">
        <f t="shared" si="6091"/>
        <v>MOHAMMAD</v>
      </c>
      <c r="C16790" t="str">
        <f t="shared" si="6092"/>
        <v>TALUKDER</v>
      </c>
      <c r="D16790" t="str">
        <f t="shared" si="6093"/>
        <v>09</v>
      </c>
      <c r="E16790" t="str">
        <f>"08 - B - 201 - Elizabeth R Walker"</f>
        <v>08 - B - 201 - Elizabeth R Walker</v>
      </c>
      <c r="F16790" t="str">
        <f>"AICE ENG GEN PAPER 1"</f>
        <v>AICE ENG GEN PAPER 1</v>
      </c>
      <c r="G16790" t="str">
        <f>"17-1703"</f>
        <v>17-1703</v>
      </c>
      <c r="H16790" t="str">
        <f>"B"</f>
        <v>B</v>
      </c>
    </row>
    <row r="16791" spans="1:8" x14ac:dyDescent="0.2">
      <c r="A16791" t="str">
        <f t="shared" ref="A16791:A16798" si="6094">"0613109461"</f>
        <v>0613109461</v>
      </c>
      <c r="B16791" t="str">
        <f t="shared" ref="B16791:B16798" si="6095">"DYLAN"</f>
        <v>DYLAN</v>
      </c>
      <c r="C16791" t="str">
        <f t="shared" ref="C16791:C16798" si="6096">"TANNER"</f>
        <v>TANNER</v>
      </c>
      <c r="D16791">
        <f>12</f>
        <v>12</v>
      </c>
      <c r="E16791" t="str">
        <f>"04 - A - 201 - Norayda D Suarez"</f>
        <v>04 - A - 201 - Norayda D Suarez</v>
      </c>
      <c r="F16791" t="str">
        <f>"ANAT PHYSIO HON"</f>
        <v>ANAT PHYSIO HON</v>
      </c>
      <c r="G16791" t="str">
        <f>"21-2142"</f>
        <v>21-2142</v>
      </c>
      <c r="H16791" t="str">
        <f>"A"</f>
        <v>A</v>
      </c>
    </row>
    <row r="16792" spans="1:8" x14ac:dyDescent="0.2">
      <c r="A16792" t="str">
        <f t="shared" si="6094"/>
        <v>0613109461</v>
      </c>
      <c r="B16792" t="str">
        <f t="shared" si="6095"/>
        <v>DYLAN</v>
      </c>
      <c r="C16792" t="str">
        <f t="shared" si="6096"/>
        <v>TANNER</v>
      </c>
      <c r="D16792">
        <f>12</f>
        <v>12</v>
      </c>
      <c r="E16792" t="str">
        <f>"06 - B - 114 - Lisa J London"</f>
        <v>06 - B - 114 - Lisa J London</v>
      </c>
      <c r="F16792" t="str">
        <f>"NC STUDY HALL 1"</f>
        <v>NC STUDY HALL 1</v>
      </c>
      <c r="G16792" t="str">
        <f>"17-1714"</f>
        <v>17-1714</v>
      </c>
      <c r="H16792" t="str">
        <f>"B"</f>
        <v>B</v>
      </c>
    </row>
    <row r="16793" spans="1:8" x14ac:dyDescent="0.2">
      <c r="A16793" t="str">
        <f t="shared" si="6094"/>
        <v>0613109461</v>
      </c>
      <c r="B16793" t="str">
        <f t="shared" si="6095"/>
        <v>DYLAN</v>
      </c>
      <c r="C16793" t="str">
        <f t="shared" si="6096"/>
        <v>TANNER</v>
      </c>
      <c r="D16793">
        <f>12</f>
        <v>12</v>
      </c>
      <c r="E16793" t="str">
        <f>"03 - A - 201 - Chrystina M Marchionne"</f>
        <v>03 - A - 201 - Chrystina M Marchionne</v>
      </c>
      <c r="F16793" t="str">
        <f>"JOURN 1 (YB) LH"</f>
        <v>JOURN 1 (YB) LH</v>
      </c>
      <c r="G16793" t="str">
        <f>"05-520"</f>
        <v>05-520</v>
      </c>
      <c r="H16793" t="str">
        <f>"A"</f>
        <v>A</v>
      </c>
    </row>
    <row r="16794" spans="1:8" x14ac:dyDescent="0.2">
      <c r="A16794" t="str">
        <f t="shared" si="6094"/>
        <v>0613109461</v>
      </c>
      <c r="B16794" t="str">
        <f t="shared" si="6095"/>
        <v>DYLAN</v>
      </c>
      <c r="C16794" t="str">
        <f t="shared" si="6096"/>
        <v>TANNER</v>
      </c>
      <c r="D16794">
        <f>12</f>
        <v>12</v>
      </c>
      <c r="E16794" t="str">
        <f>"02 - A - 102 - Jeffrey S Gallagher"</f>
        <v>02 - A - 102 - Jeffrey S Gallagher</v>
      </c>
      <c r="F16794" t="str">
        <f>"ENG HON 4"</f>
        <v>ENG HON 4</v>
      </c>
      <c r="G16794" t="str">
        <f>"17-1724"</f>
        <v>17-1724</v>
      </c>
      <c r="H16794" t="str">
        <f>"A"</f>
        <v>A</v>
      </c>
    </row>
    <row r="16795" spans="1:8" x14ac:dyDescent="0.2">
      <c r="A16795" t="str">
        <f t="shared" si="6094"/>
        <v>0613109461</v>
      </c>
      <c r="B16795" t="str">
        <f t="shared" si="6095"/>
        <v>DYLAN</v>
      </c>
      <c r="C16795" t="str">
        <f t="shared" si="6096"/>
        <v>TANNER</v>
      </c>
      <c r="D16795">
        <f>12</f>
        <v>12</v>
      </c>
      <c r="E16795" t="str">
        <f>"07 - B - 201 - Angela S Adeshina-Morrison"</f>
        <v>07 - B - 201 - Angela S Adeshina-Morrison</v>
      </c>
      <c r="F16795" t="str">
        <f>"BUSINESS OWNER HON"</f>
        <v>BUSINESS OWNER HON</v>
      </c>
      <c r="G16795" t="str">
        <f>"05-518"</f>
        <v>05-518</v>
      </c>
      <c r="H16795" t="str">
        <f>"B"</f>
        <v>B</v>
      </c>
    </row>
    <row r="16796" spans="1:8" x14ac:dyDescent="0.2">
      <c r="A16796" t="str">
        <f t="shared" si="6094"/>
        <v>0613109461</v>
      </c>
      <c r="B16796" t="str">
        <f t="shared" si="6095"/>
        <v>DYLAN</v>
      </c>
      <c r="C16796" t="str">
        <f t="shared" si="6096"/>
        <v>TANNER</v>
      </c>
      <c r="D16796">
        <f>12</f>
        <v>12</v>
      </c>
      <c r="E16796" t="str">
        <f>"05 - S1 - B - 102 - Barbara L Segal"</f>
        <v>05 - S1 - B - 102 - Barbara L Segal</v>
      </c>
      <c r="F16796" t="str">
        <f>"US GOVT HON"</f>
        <v>US GOVT HON</v>
      </c>
      <c r="G16796" t="str">
        <f>"17-1742"</f>
        <v>17-1742</v>
      </c>
      <c r="H16796" t="str">
        <f>"B"</f>
        <v>B</v>
      </c>
    </row>
    <row r="16797" spans="1:8" x14ac:dyDescent="0.2">
      <c r="A16797" t="str">
        <f t="shared" si="6094"/>
        <v>0613109461</v>
      </c>
      <c r="B16797" t="str">
        <f t="shared" si="6095"/>
        <v>DYLAN</v>
      </c>
      <c r="C16797" t="str">
        <f t="shared" si="6096"/>
        <v>TANNER</v>
      </c>
      <c r="D16797">
        <f>12</f>
        <v>12</v>
      </c>
      <c r="E16797" t="str">
        <f>"01 - A - 101 - Thomas G Handwerg"</f>
        <v>01 - A - 101 - Thomas G Handwerg</v>
      </c>
      <c r="F16797" t="str">
        <f>"PROB STAT W/APPS HON"</f>
        <v>PROB STAT W/APPS HON</v>
      </c>
      <c r="G16797" t="str">
        <f>"21-2146"</f>
        <v>21-2146</v>
      </c>
      <c r="H16797" t="str">
        <f>"A"</f>
        <v>A</v>
      </c>
    </row>
    <row r="16798" spans="1:8" x14ac:dyDescent="0.2">
      <c r="A16798" t="str">
        <f t="shared" si="6094"/>
        <v>0613109461</v>
      </c>
      <c r="B16798" t="str">
        <f t="shared" si="6095"/>
        <v>DYLAN</v>
      </c>
      <c r="C16798" t="str">
        <f t="shared" si="6096"/>
        <v>TANNER</v>
      </c>
      <c r="D16798">
        <f>12</f>
        <v>12</v>
      </c>
      <c r="E16798" t="str">
        <f>"08 - S1 - B - 101 - Amy Beth  Broyles"</f>
        <v>08 - S1 - B - 101 - Amy Beth  Broyles</v>
      </c>
      <c r="F16798" t="str">
        <f>"PEER COUN 3"</f>
        <v>PEER COUN 3</v>
      </c>
      <c r="G16798" t="str">
        <f>"17-1713"</f>
        <v>17-1713</v>
      </c>
      <c r="H16798" t="str">
        <f>"B"</f>
        <v>B</v>
      </c>
    </row>
    <row r="16799" spans="1:8" x14ac:dyDescent="0.2">
      <c r="A16799" t="str">
        <f t="shared" ref="A16799:A16806" si="6097">"0616108606"</f>
        <v>0616108606</v>
      </c>
      <c r="B16799" t="str">
        <f t="shared" ref="B16799:B16806" si="6098">"DAIRA"</f>
        <v>DAIRA</v>
      </c>
      <c r="C16799" t="str">
        <f t="shared" ref="C16799:C16806" si="6099">"TAPIA-ATENCIA"</f>
        <v>TAPIA-ATENCIA</v>
      </c>
      <c r="D16799" t="str">
        <f t="shared" ref="D16799:D16806" si="6100">"09"</f>
        <v>09</v>
      </c>
      <c r="E16799" t="str">
        <f>"04 - A - 102 - Elizabeth R Walker"</f>
        <v>04 - A - 102 - Elizabeth R Walker</v>
      </c>
      <c r="F16799" t="str">
        <f>"AICE ENG GEN PAPER 1"</f>
        <v>AICE ENG GEN PAPER 1</v>
      </c>
      <c r="G16799" t="str">
        <f>"17-1703"</f>
        <v>17-1703</v>
      </c>
      <c r="H16799" t="str">
        <f>"A"</f>
        <v>A</v>
      </c>
    </row>
    <row r="16800" spans="1:8" x14ac:dyDescent="0.2">
      <c r="A16800" t="str">
        <f t="shared" si="6097"/>
        <v>0616108606</v>
      </c>
      <c r="B16800" t="str">
        <f t="shared" si="6098"/>
        <v>DAIRA</v>
      </c>
      <c r="C16800" t="str">
        <f t="shared" si="6099"/>
        <v>TAPIA-ATENCIA</v>
      </c>
      <c r="D16800" t="str">
        <f t="shared" si="6100"/>
        <v>09</v>
      </c>
      <c r="E16800" t="str">
        <f>"06 - B - 104 - Rory T Sponsler"</f>
        <v>06 - B - 104 - Rory T Sponsler</v>
      </c>
      <c r="F16800" t="str">
        <f>"PRE-AICE WRLD HST IG"</f>
        <v>PRE-AICE WRLD HST IG</v>
      </c>
      <c r="G16800" t="str">
        <f>"17-1740"</f>
        <v>17-1740</v>
      </c>
      <c r="H16800" t="str">
        <f>"B"</f>
        <v>B</v>
      </c>
    </row>
    <row r="16801" spans="1:8" x14ac:dyDescent="0.2">
      <c r="A16801" t="str">
        <f t="shared" si="6097"/>
        <v>0616108606</v>
      </c>
      <c r="B16801" t="str">
        <f t="shared" si="6098"/>
        <v>DAIRA</v>
      </c>
      <c r="C16801" t="str">
        <f t="shared" si="6099"/>
        <v>TAPIA-ATENCIA</v>
      </c>
      <c r="D16801" t="str">
        <f t="shared" si="6100"/>
        <v>09</v>
      </c>
      <c r="E16801" t="str">
        <f>"03 - S1 - A - 101 - Daniel S Katz"</f>
        <v>03 - S1 - A - 101 - Daniel S Katz</v>
      </c>
      <c r="F16801" t="str">
        <f>"COURT PROCED"</f>
        <v>COURT PROCED</v>
      </c>
      <c r="G16801" t="str">
        <f>"21-2156"</f>
        <v>21-2156</v>
      </c>
      <c r="H16801" t="str">
        <f>"A"</f>
        <v>A</v>
      </c>
    </row>
    <row r="16802" spans="1:8" x14ac:dyDescent="0.2">
      <c r="A16802" t="str">
        <f t="shared" si="6097"/>
        <v>0616108606</v>
      </c>
      <c r="B16802" t="str">
        <f t="shared" si="6098"/>
        <v>DAIRA</v>
      </c>
      <c r="C16802" t="str">
        <f t="shared" si="6099"/>
        <v>TAPIA-ATENCIA</v>
      </c>
      <c r="D16802" t="str">
        <f t="shared" si="6100"/>
        <v>09</v>
      </c>
      <c r="E16802" t="str">
        <f>"02 - A - 115 - Lourivaldo  Da Silva"</f>
        <v>02 - A - 115 - Lourivaldo  Da Silva</v>
      </c>
      <c r="F16802" t="str">
        <f>"NC STUDY HALL 1"</f>
        <v>NC STUDY HALL 1</v>
      </c>
      <c r="G16802" t="str">
        <f>"20-2079"</f>
        <v>20-2079</v>
      </c>
      <c r="H16802" t="str">
        <f>"A"</f>
        <v>A</v>
      </c>
    </row>
    <row r="16803" spans="1:8" x14ac:dyDescent="0.2">
      <c r="A16803" t="str">
        <f t="shared" si="6097"/>
        <v>0616108606</v>
      </c>
      <c r="B16803" t="str">
        <f t="shared" si="6098"/>
        <v>DAIRA</v>
      </c>
      <c r="C16803" t="str">
        <f t="shared" si="6099"/>
        <v>TAPIA-ATENCIA</v>
      </c>
      <c r="D16803" t="str">
        <f t="shared" si="6100"/>
        <v>09</v>
      </c>
      <c r="E16803" t="str">
        <f>"07 - B - 107 - Marius D Orsolini"</f>
        <v>07 - B - 107 - Marius D Orsolini</v>
      </c>
      <c r="F16803" t="str">
        <f>"CULINARY ARTS 1"</f>
        <v>CULINARY ARTS 1</v>
      </c>
      <c r="G16803" t="str">
        <f>"21-2115"</f>
        <v>21-2115</v>
      </c>
      <c r="H16803" t="str">
        <f>"B"</f>
        <v>B</v>
      </c>
    </row>
    <row r="16804" spans="1:8" x14ac:dyDescent="0.2">
      <c r="A16804" t="str">
        <f t="shared" si="6097"/>
        <v>0616108606</v>
      </c>
      <c r="B16804" t="str">
        <f t="shared" si="6098"/>
        <v>DAIRA</v>
      </c>
      <c r="C16804" t="str">
        <f t="shared" si="6099"/>
        <v>TAPIA-ATENCIA</v>
      </c>
      <c r="D16804" t="str">
        <f t="shared" si="6100"/>
        <v>09</v>
      </c>
      <c r="E16804" t="str">
        <f>"05 - B - 104 - Joe  Kilpatrick Jr"</f>
        <v>05 - B - 104 - Joe  Kilpatrick Jr</v>
      </c>
      <c r="F16804" t="str">
        <f>"PRE-AICE SPAN 1 IG"</f>
        <v>PRE-AICE SPAN 1 IG</v>
      </c>
      <c r="G16804" t="str">
        <f>"09-912"</f>
        <v>09-912</v>
      </c>
      <c r="H16804" t="str">
        <f>"B"</f>
        <v>B</v>
      </c>
    </row>
    <row r="16805" spans="1:8" x14ac:dyDescent="0.2">
      <c r="A16805" t="str">
        <f t="shared" si="6097"/>
        <v>0616108606</v>
      </c>
      <c r="B16805" t="str">
        <f t="shared" si="6098"/>
        <v>DAIRA</v>
      </c>
      <c r="C16805" t="str">
        <f t="shared" si="6099"/>
        <v>TAPIA-ATENCIA</v>
      </c>
      <c r="D16805" t="str">
        <f t="shared" si="6100"/>
        <v>09</v>
      </c>
      <c r="E16805" t="str">
        <f>"01 - A - 101 - Maried P Ramos"</f>
        <v>01 - A - 101 - Maried P Ramos</v>
      </c>
      <c r="F16805" t="str">
        <f>"ALGEBRA 2 HON"</f>
        <v>ALGEBRA 2 HON</v>
      </c>
      <c r="G16805" t="str">
        <f>"21-2159"</f>
        <v>21-2159</v>
      </c>
      <c r="H16805" t="str">
        <f>"A"</f>
        <v>A</v>
      </c>
    </row>
    <row r="16806" spans="1:8" x14ac:dyDescent="0.2">
      <c r="A16806" t="str">
        <f t="shared" si="6097"/>
        <v>0616108606</v>
      </c>
      <c r="B16806" t="str">
        <f t="shared" si="6098"/>
        <v>DAIRA</v>
      </c>
      <c r="C16806" t="str">
        <f t="shared" si="6099"/>
        <v>TAPIA-ATENCIA</v>
      </c>
      <c r="D16806" t="str">
        <f t="shared" si="6100"/>
        <v>09</v>
      </c>
      <c r="E16806" t="str">
        <f>"08 - B - 102 - Josiah I Lacy"</f>
        <v>08 - B - 102 - Josiah I Lacy</v>
      </c>
      <c r="F16806" t="str">
        <f>"ANAT PHYSIO HON"</f>
        <v>ANAT PHYSIO HON</v>
      </c>
      <c r="G16806" t="str">
        <f>"08-801"</f>
        <v>08-801</v>
      </c>
      <c r="H16806" t="str">
        <f>"B"</f>
        <v>B</v>
      </c>
    </row>
    <row r="16807" spans="1:8" x14ac:dyDescent="0.2">
      <c r="A16807" t="str">
        <f t="shared" ref="A16807:A16814" si="6101">"0612126784"</f>
        <v>0612126784</v>
      </c>
      <c r="B16807" t="str">
        <f t="shared" ref="B16807:B16814" si="6102">"HAYLIE"</f>
        <v>HAYLIE</v>
      </c>
      <c r="C16807" t="str">
        <f t="shared" ref="C16807:C16814" si="6103">"TAVAREZ"</f>
        <v>TAVAREZ</v>
      </c>
      <c r="D16807">
        <f>11</f>
        <v>11</v>
      </c>
      <c r="E16807" t="str">
        <f>"04 - A - 104 - Dayna M Foster"</f>
        <v>04 - A - 104 - Dayna M Foster</v>
      </c>
      <c r="F16807" t="str">
        <f>"ALGEBRA 2"</f>
        <v>ALGEBRA 2</v>
      </c>
      <c r="G16807" t="str">
        <f>"21-2109"</f>
        <v>21-2109</v>
      </c>
      <c r="H16807" t="str">
        <f>"A"</f>
        <v>A</v>
      </c>
    </row>
    <row r="16808" spans="1:8" x14ac:dyDescent="0.2">
      <c r="A16808" t="str">
        <f t="shared" si="6101"/>
        <v>0612126784</v>
      </c>
      <c r="B16808" t="str">
        <f t="shared" si="6102"/>
        <v>HAYLIE</v>
      </c>
      <c r="C16808" t="str">
        <f t="shared" si="6103"/>
        <v>TAVAREZ</v>
      </c>
      <c r="D16808">
        <f>11</f>
        <v>11</v>
      </c>
      <c r="E16808" t="str">
        <f>"06 - B - 101 - Bruce A Evans"</f>
        <v>06 - B - 101 - Bruce A Evans</v>
      </c>
      <c r="F16808" t="str">
        <f>"EMERG MED RESP 3 HON"</f>
        <v>EMERG MED RESP 3 HON</v>
      </c>
      <c r="G16808" t="str">
        <f>"21-2142"</f>
        <v>21-2142</v>
      </c>
      <c r="H16808" t="str">
        <f>"B"</f>
        <v>B</v>
      </c>
    </row>
    <row r="16809" spans="1:8" x14ac:dyDescent="0.2">
      <c r="A16809" t="str">
        <f t="shared" si="6101"/>
        <v>0612126784</v>
      </c>
      <c r="B16809" t="str">
        <f t="shared" si="6102"/>
        <v>HAYLIE</v>
      </c>
      <c r="C16809" t="str">
        <f t="shared" si="6103"/>
        <v>TAVAREZ</v>
      </c>
      <c r="D16809">
        <f>11</f>
        <v>11</v>
      </c>
      <c r="E16809" t="str">
        <f>"03 - A - 202 - Bruce A Evans"</f>
        <v>03 - A - 202 - Bruce A Evans</v>
      </c>
      <c r="F16809" t="str">
        <f>"HEALTH SCI FOUND HON"</f>
        <v>HEALTH SCI FOUND HON</v>
      </c>
      <c r="G16809" t="str">
        <f>"21-2142"</f>
        <v>21-2142</v>
      </c>
      <c r="H16809" t="str">
        <f>"A"</f>
        <v>A</v>
      </c>
    </row>
    <row r="16810" spans="1:8" x14ac:dyDescent="0.2">
      <c r="A16810" t="str">
        <f t="shared" si="6101"/>
        <v>0612126784</v>
      </c>
      <c r="B16810" t="str">
        <f t="shared" si="6102"/>
        <v>HAYLIE</v>
      </c>
      <c r="C16810" t="str">
        <f t="shared" si="6103"/>
        <v>TAVAREZ</v>
      </c>
      <c r="D16810">
        <f>11</f>
        <v>11</v>
      </c>
      <c r="E16810" t="str">
        <f>"02 - A - 106 - Heidi M Knopp"</f>
        <v>02 - A - 106 - Heidi M Knopp</v>
      </c>
      <c r="F16810" t="str">
        <f>"NC STUDY HALL 1"</f>
        <v>NC STUDY HALL 1</v>
      </c>
      <c r="G16810" t="str">
        <f>"17-1735"</f>
        <v>17-1735</v>
      </c>
      <c r="H16810" t="str">
        <f>"A"</f>
        <v>A</v>
      </c>
    </row>
    <row r="16811" spans="1:8" x14ac:dyDescent="0.2">
      <c r="A16811" t="str">
        <f t="shared" si="6101"/>
        <v>0612126784</v>
      </c>
      <c r="B16811" t="str">
        <f t="shared" si="6102"/>
        <v>HAYLIE</v>
      </c>
      <c r="C16811" t="str">
        <f t="shared" si="6103"/>
        <v>TAVAREZ</v>
      </c>
      <c r="D16811">
        <f>11</f>
        <v>11</v>
      </c>
      <c r="E16811" t="str">
        <f>"07 - B - 104 - Jerry S Jiampetti"</f>
        <v>07 - B - 104 - Jerry S Jiampetti</v>
      </c>
      <c r="F16811" t="str">
        <f>"AICE U.S. HIST 1 AS"</f>
        <v>AICE U.S. HIST 1 AS</v>
      </c>
      <c r="G16811" t="str">
        <f>"17-1751"</f>
        <v>17-1751</v>
      </c>
      <c r="H16811" t="str">
        <f>"B"</f>
        <v>B</v>
      </c>
    </row>
    <row r="16812" spans="1:8" x14ac:dyDescent="0.2">
      <c r="A16812" t="str">
        <f t="shared" si="6101"/>
        <v>0612126784</v>
      </c>
      <c r="B16812" t="str">
        <f t="shared" si="6102"/>
        <v>HAYLIE</v>
      </c>
      <c r="C16812" t="str">
        <f t="shared" si="6103"/>
        <v>TAVAREZ</v>
      </c>
      <c r="D16812">
        <f>11</f>
        <v>11</v>
      </c>
      <c r="E16812" t="str">
        <f>"05 - B - 203 - Chrystina M Marchionne"</f>
        <v>05 - B - 203 - Chrystina M Marchionne</v>
      </c>
      <c r="F16812" t="str">
        <f>"AICE MEDIASTUDIES AS"</f>
        <v>AICE MEDIASTUDIES AS</v>
      </c>
      <c r="G16812" t="str">
        <f>"05-520"</f>
        <v>05-520</v>
      </c>
      <c r="H16812" t="str">
        <f>"B"</f>
        <v>B</v>
      </c>
    </row>
    <row r="16813" spans="1:8" x14ac:dyDescent="0.2">
      <c r="A16813" t="str">
        <f t="shared" si="6101"/>
        <v>0612126784</v>
      </c>
      <c r="B16813" t="str">
        <f t="shared" si="6102"/>
        <v>HAYLIE</v>
      </c>
      <c r="C16813" t="str">
        <f t="shared" si="6103"/>
        <v>TAVAREZ</v>
      </c>
      <c r="D16813">
        <f>11</f>
        <v>11</v>
      </c>
      <c r="E16813" t="str">
        <f>"01 - A - 101 - Jacklyn M James"</f>
        <v>01 - A - 101 - Jacklyn M James</v>
      </c>
      <c r="F16813" t="str">
        <f>"AICE ENG LANG AS"</f>
        <v>AICE ENG LANG AS</v>
      </c>
      <c r="G16813" t="str">
        <f>"17-1731"</f>
        <v>17-1731</v>
      </c>
      <c r="H16813" t="str">
        <f>"A"</f>
        <v>A</v>
      </c>
    </row>
    <row r="16814" spans="1:8" x14ac:dyDescent="0.2">
      <c r="A16814" t="str">
        <f t="shared" si="6101"/>
        <v>0612126784</v>
      </c>
      <c r="B16814" t="str">
        <f t="shared" si="6102"/>
        <v>HAYLIE</v>
      </c>
      <c r="C16814" t="str">
        <f t="shared" si="6103"/>
        <v>TAVAREZ</v>
      </c>
      <c r="D16814">
        <f>11</f>
        <v>11</v>
      </c>
      <c r="E16814" t="str">
        <f>"08 - B - 201 - Stacey A Blecker"</f>
        <v>08 - B - 201 - Stacey A Blecker</v>
      </c>
      <c r="F16814" t="str">
        <f>"AICE SOCIOLOGY 1 AS"</f>
        <v>AICE SOCIOLOGY 1 AS</v>
      </c>
      <c r="G16814" t="str">
        <f>"09-926"</f>
        <v>09-926</v>
      </c>
      <c r="H16814" t="str">
        <f>"B"</f>
        <v>B</v>
      </c>
    </row>
    <row r="16815" spans="1:8" x14ac:dyDescent="0.2">
      <c r="A16815" t="str">
        <f t="shared" ref="A16815:A16822" si="6104">"0622084908"</f>
        <v>0622084908</v>
      </c>
      <c r="B16815" t="str">
        <f t="shared" ref="B16815:B16822" si="6105">"CHATAE"</f>
        <v>CHATAE</v>
      </c>
      <c r="C16815" t="str">
        <f t="shared" ref="C16815:C16855" si="6106">"TAYLOR"</f>
        <v>TAYLOR</v>
      </c>
      <c r="D16815">
        <f>11</f>
        <v>11</v>
      </c>
      <c r="E16815" t="str">
        <f>"04 - A - 106 - Marielle A Witting"</f>
        <v>04 - A - 106 - Marielle A Witting</v>
      </c>
      <c r="F16815" t="str">
        <f>"ANAT PHYSIO"</f>
        <v>ANAT PHYSIO</v>
      </c>
      <c r="G16815" t="str">
        <f>"08-805"</f>
        <v>08-805</v>
      </c>
      <c r="H16815" t="str">
        <f>"A"</f>
        <v>A</v>
      </c>
    </row>
    <row r="16816" spans="1:8" x14ac:dyDescent="0.2">
      <c r="A16816" t="str">
        <f t="shared" si="6104"/>
        <v>0622084908</v>
      </c>
      <c r="B16816" t="str">
        <f t="shared" si="6105"/>
        <v>CHATAE</v>
      </c>
      <c r="C16816" t="str">
        <f t="shared" si="6106"/>
        <v>TAYLOR</v>
      </c>
      <c r="D16816">
        <f>11</f>
        <v>11</v>
      </c>
      <c r="E16816" t="str">
        <f>"06 - B - 108 - Milca  Exantus"</f>
        <v>06 - B - 108 - Milca  Exantus</v>
      </c>
      <c r="F16816" t="str">
        <f>"MATH COLLEGE LIB ART"</f>
        <v>MATH COLLEGE LIB ART</v>
      </c>
      <c r="G16816" t="str">
        <f>"21-2145"</f>
        <v>21-2145</v>
      </c>
      <c r="H16816" t="str">
        <f>"B"</f>
        <v>B</v>
      </c>
    </row>
    <row r="16817" spans="1:8" x14ac:dyDescent="0.2">
      <c r="A16817" t="str">
        <f t="shared" si="6104"/>
        <v>0622084908</v>
      </c>
      <c r="B16817" t="str">
        <f t="shared" si="6105"/>
        <v>CHATAE</v>
      </c>
      <c r="C16817" t="str">
        <f t="shared" si="6106"/>
        <v>TAYLOR</v>
      </c>
      <c r="D16817">
        <f>11</f>
        <v>11</v>
      </c>
      <c r="E16817" t="str">
        <f>"03 - A - 101 - Carleigh R Carmichael"</f>
        <v>03 - A - 101 - Carleigh R Carmichael</v>
      </c>
      <c r="F16817" t="str">
        <f>"LEAD SKLS DEV LH"</f>
        <v>LEAD SKLS DEV LH</v>
      </c>
      <c r="G16817" t="str">
        <f>"20-2072"</f>
        <v>20-2072</v>
      </c>
      <c r="H16817" t="str">
        <f>"A"</f>
        <v>A</v>
      </c>
    </row>
    <row r="16818" spans="1:8" x14ac:dyDescent="0.2">
      <c r="A16818" t="str">
        <f t="shared" si="6104"/>
        <v>0622084908</v>
      </c>
      <c r="B16818" t="str">
        <f t="shared" si="6105"/>
        <v>CHATAE</v>
      </c>
      <c r="C16818" t="str">
        <f t="shared" si="6106"/>
        <v>TAYLOR</v>
      </c>
      <c r="D16818">
        <f>11</f>
        <v>11</v>
      </c>
      <c r="E16818" t="str">
        <f>"02 - A - 103 - Angela S Adeshina-Morrison"</f>
        <v>02 - A - 103 - Angela S Adeshina-Morrison</v>
      </c>
      <c r="F16818" t="str">
        <f>"NC STUDY HALL 1"</f>
        <v>NC STUDY HALL 1</v>
      </c>
      <c r="G16818" t="str">
        <f>"05-518"</f>
        <v>05-518</v>
      </c>
      <c r="H16818" t="str">
        <f>"A"</f>
        <v>A</v>
      </c>
    </row>
    <row r="16819" spans="1:8" x14ac:dyDescent="0.2">
      <c r="A16819" t="str">
        <f t="shared" si="6104"/>
        <v>0622084908</v>
      </c>
      <c r="B16819" t="str">
        <f t="shared" si="6105"/>
        <v>CHATAE</v>
      </c>
      <c r="C16819" t="str">
        <f t="shared" si="6106"/>
        <v>TAYLOR</v>
      </c>
      <c r="D16819">
        <f>11</f>
        <v>11</v>
      </c>
      <c r="E16819" t="str">
        <f>"07 - B - 105 - Joe  Kilpatrick Jr"</f>
        <v>07 - B - 105 - Joe  Kilpatrick Jr</v>
      </c>
      <c r="F16819" t="str">
        <f>"PRE-AICE SPAN 1 IG"</f>
        <v>PRE-AICE SPAN 1 IG</v>
      </c>
      <c r="G16819" t="str">
        <f>"09-912"</f>
        <v>09-912</v>
      </c>
      <c r="H16819" t="str">
        <f>"B"</f>
        <v>B</v>
      </c>
    </row>
    <row r="16820" spans="1:8" x14ac:dyDescent="0.2">
      <c r="A16820" t="str">
        <f t="shared" si="6104"/>
        <v>0622084908</v>
      </c>
      <c r="B16820" t="str">
        <f t="shared" si="6105"/>
        <v>CHATAE</v>
      </c>
      <c r="C16820" t="str">
        <f t="shared" si="6106"/>
        <v>TAYLOR</v>
      </c>
      <c r="D16820">
        <f>11</f>
        <v>11</v>
      </c>
      <c r="E16820" t="str">
        <f>"05 - B - 107 - Elizabeth Ellen  Moran"</f>
        <v>05 - B - 107 - Elizabeth Ellen  Moran</v>
      </c>
      <c r="F16820" t="str">
        <f>"US HISTORY"</f>
        <v>US HISTORY</v>
      </c>
      <c r="G16820" t="str">
        <f>"17-1752"</f>
        <v>17-1752</v>
      </c>
      <c r="H16820" t="str">
        <f>"B"</f>
        <v>B</v>
      </c>
    </row>
    <row r="16821" spans="1:8" x14ac:dyDescent="0.2">
      <c r="A16821" t="str">
        <f t="shared" si="6104"/>
        <v>0622084908</v>
      </c>
      <c r="B16821" t="str">
        <f t="shared" si="6105"/>
        <v>CHATAE</v>
      </c>
      <c r="C16821" t="str">
        <f t="shared" si="6106"/>
        <v>TAYLOR</v>
      </c>
      <c r="D16821">
        <f>11</f>
        <v>11</v>
      </c>
      <c r="E16821" t="str">
        <f>"01 - A - 101 - Nahum  Saint-Preux"</f>
        <v>01 - A - 101 - Nahum  Saint-Preux</v>
      </c>
      <c r="F16821" t="str">
        <f>"INTENS READ 3"</f>
        <v>INTENS READ 3</v>
      </c>
      <c r="G16821" t="str">
        <f>"17-1712"</f>
        <v>17-1712</v>
      </c>
      <c r="H16821" t="str">
        <f>"A"</f>
        <v>A</v>
      </c>
    </row>
    <row r="16822" spans="1:8" x14ac:dyDescent="0.2">
      <c r="A16822" t="str">
        <f t="shared" si="6104"/>
        <v>0622084908</v>
      </c>
      <c r="B16822" t="str">
        <f t="shared" si="6105"/>
        <v>CHATAE</v>
      </c>
      <c r="C16822" t="str">
        <f t="shared" si="6106"/>
        <v>TAYLOR</v>
      </c>
      <c r="D16822">
        <f>11</f>
        <v>11</v>
      </c>
      <c r="E16822" t="str">
        <f>"08 - B - 106 - Lisa  Quinn"</f>
        <v>08 - B - 106 - Lisa  Quinn</v>
      </c>
      <c r="F16822" t="str">
        <f>"ENG 3"</f>
        <v>ENG 3</v>
      </c>
      <c r="G16822" t="str">
        <f>"17-1725"</f>
        <v>17-1725</v>
      </c>
      <c r="H16822" t="str">
        <f>"B"</f>
        <v>B</v>
      </c>
    </row>
    <row r="16823" spans="1:8" x14ac:dyDescent="0.2">
      <c r="A16823" t="str">
        <f t="shared" ref="A16823:A16830" si="6107">"0616075348"</f>
        <v>0616075348</v>
      </c>
      <c r="B16823" t="str">
        <f t="shared" ref="B16823:B16830" si="6108">"JENNIFER"</f>
        <v>JENNIFER</v>
      </c>
      <c r="C16823" t="str">
        <f t="shared" si="6106"/>
        <v>TAYLOR</v>
      </c>
      <c r="D16823" t="str">
        <f t="shared" ref="D16823:D16830" si="6109">"09"</f>
        <v>09</v>
      </c>
      <c r="E16823" t="str">
        <f>"04 - A - 102 - Eva T Rimmer"</f>
        <v>04 - A - 102 - Eva T Rimmer</v>
      </c>
      <c r="F16823" t="str">
        <f>"CRIMINAL JUST OPS 1"</f>
        <v>CRIMINAL JUST OPS 1</v>
      </c>
      <c r="G16823" t="str">
        <f>"05-523"</f>
        <v>05-523</v>
      </c>
      <c r="H16823" t="str">
        <f>"A"</f>
        <v>A</v>
      </c>
    </row>
    <row r="16824" spans="1:8" x14ac:dyDescent="0.2">
      <c r="A16824" t="str">
        <f t="shared" si="6107"/>
        <v>0616075348</v>
      </c>
      <c r="B16824" t="str">
        <f t="shared" si="6108"/>
        <v>JENNIFER</v>
      </c>
      <c r="C16824" t="str">
        <f t="shared" si="6106"/>
        <v>TAYLOR</v>
      </c>
      <c r="D16824" t="str">
        <f t="shared" si="6109"/>
        <v>09</v>
      </c>
      <c r="E16824" t="str">
        <f>"06 - S1 - B - 104 - Leslie J Barton"</f>
        <v>06 - S1 - B - 104 - Leslie J Barton</v>
      </c>
      <c r="F16824" t="str">
        <f>"FIRST AID SAFETY"</f>
        <v>FIRST AID SAFETY</v>
      </c>
      <c r="G16824" t="str">
        <f>"05-521"</f>
        <v>05-521</v>
      </c>
      <c r="H16824" t="str">
        <f>"B"</f>
        <v>B</v>
      </c>
    </row>
    <row r="16825" spans="1:8" x14ac:dyDescent="0.2">
      <c r="A16825" t="str">
        <f t="shared" si="6107"/>
        <v>0616075348</v>
      </c>
      <c r="B16825" t="str">
        <f t="shared" si="6108"/>
        <v>JENNIFER</v>
      </c>
      <c r="C16825" t="str">
        <f t="shared" si="6106"/>
        <v>TAYLOR</v>
      </c>
      <c r="D16825" t="str">
        <f t="shared" si="6109"/>
        <v>09</v>
      </c>
      <c r="E16825" t="str">
        <f>"03 - A - 101 - Helen A Flores"</f>
        <v>03 - A - 101 - Helen A Flores</v>
      </c>
      <c r="F16825" t="str">
        <f>"PRE-AICE MATH 1 IG"</f>
        <v>PRE-AICE MATH 1 IG</v>
      </c>
      <c r="G16825" t="str">
        <f>"21-2101"</f>
        <v>21-2101</v>
      </c>
      <c r="H16825" t="str">
        <f>"A"</f>
        <v>A</v>
      </c>
    </row>
    <row r="16826" spans="1:8" x14ac:dyDescent="0.2">
      <c r="A16826" t="str">
        <f t="shared" si="6107"/>
        <v>0616075348</v>
      </c>
      <c r="B16826" t="str">
        <f t="shared" si="6108"/>
        <v>JENNIFER</v>
      </c>
      <c r="C16826" t="str">
        <f t="shared" si="6106"/>
        <v>TAYLOR</v>
      </c>
      <c r="D16826" t="str">
        <f t="shared" si="6109"/>
        <v>09</v>
      </c>
      <c r="E16826" t="str">
        <f>"02 - A - 108 - Rory T Sponsler"</f>
        <v>02 - A - 108 - Rory T Sponsler</v>
      </c>
      <c r="F16826" t="str">
        <f>"NC STUDY HALL 1"</f>
        <v>NC STUDY HALL 1</v>
      </c>
      <c r="G16826" t="str">
        <f>"17-1740"</f>
        <v>17-1740</v>
      </c>
      <c r="H16826" t="str">
        <f>"A"</f>
        <v>A</v>
      </c>
    </row>
    <row r="16827" spans="1:8" x14ac:dyDescent="0.2">
      <c r="A16827" t="str">
        <f t="shared" si="6107"/>
        <v>0616075348</v>
      </c>
      <c r="B16827" t="str">
        <f t="shared" si="6108"/>
        <v>JENNIFER</v>
      </c>
      <c r="C16827" t="str">
        <f t="shared" si="6106"/>
        <v>TAYLOR</v>
      </c>
      <c r="D16827" t="str">
        <f t="shared" si="6109"/>
        <v>09</v>
      </c>
      <c r="E16827" t="str">
        <f>"07 - B - 002 - Jazmin S Fletcher"</f>
        <v>07 - B - 002 - Jazmin S Fletcher</v>
      </c>
      <c r="F16827" t="str">
        <f>"THEATRE 1"</f>
        <v>THEATRE 1</v>
      </c>
      <c r="G16827" t="str">
        <f>"09-909"</f>
        <v>09-909</v>
      </c>
      <c r="H16827" t="str">
        <f>"B"</f>
        <v>B</v>
      </c>
    </row>
    <row r="16828" spans="1:8" x14ac:dyDescent="0.2">
      <c r="A16828" t="str">
        <f t="shared" si="6107"/>
        <v>0616075348</v>
      </c>
      <c r="B16828" t="str">
        <f t="shared" si="6108"/>
        <v>JENNIFER</v>
      </c>
      <c r="C16828" t="str">
        <f t="shared" si="6106"/>
        <v>TAYLOR</v>
      </c>
      <c r="D16828" t="str">
        <f t="shared" si="6109"/>
        <v>09</v>
      </c>
      <c r="E16828" t="str">
        <f>"05 - B - 103 - Byron G Montenegro"</f>
        <v>05 - B - 103 - Byron G Montenegro</v>
      </c>
      <c r="F16828" t="str">
        <f>"AICE MARINE SCI 1 AS"</f>
        <v>AICE MARINE SCI 1 AS</v>
      </c>
      <c r="G16828" t="str">
        <f>"21-2144"</f>
        <v>21-2144</v>
      </c>
      <c r="H16828" t="str">
        <f>"B"</f>
        <v>B</v>
      </c>
    </row>
    <row r="16829" spans="1:8" x14ac:dyDescent="0.2">
      <c r="A16829" t="str">
        <f t="shared" si="6107"/>
        <v>0616075348</v>
      </c>
      <c r="B16829" t="str">
        <f t="shared" si="6108"/>
        <v>JENNIFER</v>
      </c>
      <c r="C16829" t="str">
        <f t="shared" si="6106"/>
        <v>TAYLOR</v>
      </c>
      <c r="D16829" t="str">
        <f t="shared" si="6109"/>
        <v>09</v>
      </c>
      <c r="E16829" t="str">
        <f>"01 - A - 002 - Krystal Marie  Beruty"</f>
        <v>01 - A - 002 - Krystal Marie  Beruty</v>
      </c>
      <c r="F16829" t="str">
        <f>"AICE GLBL PERSP 1 AS"</f>
        <v>AICE GLBL PERSP 1 AS</v>
      </c>
      <c r="G16829" t="str">
        <f>"17-1721"</f>
        <v>17-1721</v>
      </c>
      <c r="H16829" t="str">
        <f>"A"</f>
        <v>A</v>
      </c>
    </row>
    <row r="16830" spans="1:8" x14ac:dyDescent="0.2">
      <c r="A16830" t="str">
        <f t="shared" si="6107"/>
        <v>0616075348</v>
      </c>
      <c r="B16830" t="str">
        <f t="shared" si="6108"/>
        <v>JENNIFER</v>
      </c>
      <c r="C16830" t="str">
        <f t="shared" si="6106"/>
        <v>TAYLOR</v>
      </c>
      <c r="D16830" t="str">
        <f t="shared" si="6109"/>
        <v>09</v>
      </c>
      <c r="E16830" t="str">
        <f>"08 - B - 201 - Elizabeth R Walker"</f>
        <v>08 - B - 201 - Elizabeth R Walker</v>
      </c>
      <c r="F16830" t="str">
        <f>"AICE ENG GEN PAPER 1"</f>
        <v>AICE ENG GEN PAPER 1</v>
      </c>
      <c r="G16830" t="str">
        <f>"17-1703"</f>
        <v>17-1703</v>
      </c>
      <c r="H16830" t="str">
        <f>"B"</f>
        <v>B</v>
      </c>
    </row>
    <row r="16831" spans="1:8" x14ac:dyDescent="0.2">
      <c r="A16831" t="str">
        <f t="shared" ref="A16831:A16839" si="6110">"0613125568"</f>
        <v>0613125568</v>
      </c>
      <c r="B16831" t="str">
        <f t="shared" ref="B16831:B16839" si="6111">"KYLEE"</f>
        <v>KYLEE</v>
      </c>
      <c r="C16831" t="str">
        <f t="shared" si="6106"/>
        <v>TAYLOR</v>
      </c>
      <c r="D16831">
        <f>12</f>
        <v>12</v>
      </c>
      <c r="E16831" t="str">
        <f>"19 - S1 - MTWHF - B18 - Instructor BC"</f>
        <v>19 - S1 - MTWHF - B18 - Instructor BC</v>
      </c>
      <c r="F16831" t="str">
        <f>"CHILD GUIDANCE"</f>
        <v>CHILD GUIDANCE</v>
      </c>
      <c r="G16831" t="str">
        <f>"60-DE"</f>
        <v>60-DE</v>
      </c>
      <c r="H16831" t="str">
        <f>"-"</f>
        <v>-</v>
      </c>
    </row>
    <row r="16832" spans="1:8" x14ac:dyDescent="0.2">
      <c r="A16832" t="str">
        <f t="shared" si="6110"/>
        <v>0613125568</v>
      </c>
      <c r="B16832" t="str">
        <f t="shared" si="6111"/>
        <v>KYLEE</v>
      </c>
      <c r="C16832" t="str">
        <f t="shared" si="6106"/>
        <v>TAYLOR</v>
      </c>
      <c r="D16832">
        <f>12</f>
        <v>12</v>
      </c>
      <c r="E16832" t="str">
        <f>"04 - S1 - A - 101 - Barbara L Segal"</f>
        <v>04 - S1 - A - 101 - Barbara L Segal</v>
      </c>
      <c r="F16832" t="str">
        <f>"AP US GOVT/POL"</f>
        <v>AP US GOVT/POL</v>
      </c>
      <c r="G16832" t="str">
        <f>"17-1742"</f>
        <v>17-1742</v>
      </c>
      <c r="H16832" t="str">
        <f>"A"</f>
        <v>A</v>
      </c>
    </row>
    <row r="16833" spans="1:8" x14ac:dyDescent="0.2">
      <c r="A16833" t="str">
        <f t="shared" si="6110"/>
        <v>0613125568</v>
      </c>
      <c r="B16833" t="str">
        <f t="shared" si="6111"/>
        <v>KYLEE</v>
      </c>
      <c r="C16833" t="str">
        <f t="shared" si="6106"/>
        <v>TAYLOR</v>
      </c>
      <c r="D16833">
        <f>12</f>
        <v>12</v>
      </c>
      <c r="E16833" t="str">
        <f>"06 - B - 110 - Barbara L Segal"</f>
        <v>06 - B - 110 - Barbara L Segal</v>
      </c>
      <c r="F16833" t="str">
        <f>"NC STUDY HALL 1"</f>
        <v>NC STUDY HALL 1</v>
      </c>
      <c r="G16833" t="str">
        <f>"17-1742"</f>
        <v>17-1742</v>
      </c>
      <c r="H16833" t="str">
        <f>"B"</f>
        <v>B</v>
      </c>
    </row>
    <row r="16834" spans="1:8" x14ac:dyDescent="0.2">
      <c r="A16834" t="str">
        <f t="shared" si="6110"/>
        <v>0613125568</v>
      </c>
      <c r="B16834" t="str">
        <f t="shared" si="6111"/>
        <v>KYLEE</v>
      </c>
      <c r="C16834" t="str">
        <f t="shared" si="6106"/>
        <v>TAYLOR</v>
      </c>
      <c r="D16834">
        <f>12</f>
        <v>12</v>
      </c>
      <c r="E16834" t="str">
        <f>"03 - A - 101 - Lisa J London"</f>
        <v>03 - A - 101 - Lisa J London</v>
      </c>
      <c r="F16834" t="str">
        <f>"AP CAPSTONE RESEARCH"</f>
        <v>AP CAPSTONE RESEARCH</v>
      </c>
      <c r="G16834" t="str">
        <f>"17-1714"</f>
        <v>17-1714</v>
      </c>
      <c r="H16834" t="str">
        <f>"A"</f>
        <v>A</v>
      </c>
    </row>
    <row r="16835" spans="1:8" x14ac:dyDescent="0.2">
      <c r="A16835" t="str">
        <f t="shared" si="6110"/>
        <v>0613125568</v>
      </c>
      <c r="B16835" t="str">
        <f t="shared" si="6111"/>
        <v>KYLEE</v>
      </c>
      <c r="C16835" t="str">
        <f t="shared" si="6106"/>
        <v>TAYLOR</v>
      </c>
      <c r="D16835">
        <f>12</f>
        <v>12</v>
      </c>
      <c r="E16835" t="str">
        <f>"02 - A - 204 - Jacqueline R Morphet"</f>
        <v>02 - A - 204 - Jacqueline R Morphet</v>
      </c>
      <c r="F16835" t="str">
        <f>"PHYSICS 1 HON"</f>
        <v>PHYSICS 1 HON</v>
      </c>
      <c r="G16835" t="str">
        <f>"21-2138"</f>
        <v>21-2138</v>
      </c>
      <c r="H16835" t="str">
        <f>"A"</f>
        <v>A</v>
      </c>
    </row>
    <row r="16836" spans="1:8" x14ac:dyDescent="0.2">
      <c r="A16836" t="str">
        <f t="shared" si="6110"/>
        <v>0613125568</v>
      </c>
      <c r="B16836" t="str">
        <f t="shared" si="6111"/>
        <v>KYLEE</v>
      </c>
      <c r="C16836" t="str">
        <f t="shared" si="6106"/>
        <v>TAYLOR</v>
      </c>
      <c r="D16836">
        <f>12</f>
        <v>12</v>
      </c>
      <c r="E16836" t="str">
        <f>"07 - B - 105 - Robert H Rindner"</f>
        <v>07 - B - 105 - Robert H Rindner</v>
      </c>
      <c r="F16836" t="str">
        <f>"MATH DATA&amp;FIN LIT H"</f>
        <v>MATH DATA&amp;FIN LIT H</v>
      </c>
      <c r="G16836" t="str">
        <f>"21-2160"</f>
        <v>21-2160</v>
      </c>
      <c r="H16836" t="str">
        <f>"B"</f>
        <v>B</v>
      </c>
    </row>
    <row r="16837" spans="1:8" x14ac:dyDescent="0.2">
      <c r="A16837" t="str">
        <f t="shared" si="6110"/>
        <v>0613125568</v>
      </c>
      <c r="B16837" t="str">
        <f t="shared" si="6111"/>
        <v>KYLEE</v>
      </c>
      <c r="C16837" t="str">
        <f t="shared" si="6106"/>
        <v>TAYLOR</v>
      </c>
      <c r="D16837">
        <f>12</f>
        <v>12</v>
      </c>
      <c r="E16837" t="str">
        <f>"05 - B - 102 - Dorothy D Moore"</f>
        <v>05 - B - 102 - Dorothy D Moore</v>
      </c>
      <c r="F16837" t="str">
        <f>"FORC SCI 1 LH"</f>
        <v>FORC SCI 1 LH</v>
      </c>
      <c r="G16837" t="str">
        <f>"08-803"</f>
        <v>08-803</v>
      </c>
      <c r="H16837" t="str">
        <f>"B"</f>
        <v>B</v>
      </c>
    </row>
    <row r="16838" spans="1:8" x14ac:dyDescent="0.2">
      <c r="A16838" t="str">
        <f t="shared" si="6110"/>
        <v>0613125568</v>
      </c>
      <c r="B16838" t="str">
        <f t="shared" si="6111"/>
        <v>KYLEE</v>
      </c>
      <c r="C16838" t="str">
        <f t="shared" si="6106"/>
        <v>TAYLOR</v>
      </c>
      <c r="D16838">
        <f>12</f>
        <v>12</v>
      </c>
      <c r="E16838" t="str">
        <f>"01 - A - 101 - Kelly N Panza"</f>
        <v>01 - A - 101 - Kelly N Panza</v>
      </c>
      <c r="F16838" t="str">
        <f>"AP HUMAN GEOG"</f>
        <v>AP HUMAN GEOG</v>
      </c>
      <c r="G16838" t="str">
        <f>"17-1753"</f>
        <v>17-1753</v>
      </c>
      <c r="H16838" t="str">
        <f>"A"</f>
        <v>A</v>
      </c>
    </row>
    <row r="16839" spans="1:8" x14ac:dyDescent="0.2">
      <c r="A16839" t="str">
        <f t="shared" si="6110"/>
        <v>0613125568</v>
      </c>
      <c r="B16839" t="str">
        <f t="shared" si="6111"/>
        <v>KYLEE</v>
      </c>
      <c r="C16839" t="str">
        <f t="shared" si="6106"/>
        <v>TAYLOR</v>
      </c>
      <c r="D16839">
        <f>12</f>
        <v>12</v>
      </c>
      <c r="E16839" t="str">
        <f>"08 - B - 203 - Courtney E Hambright"</f>
        <v>08 - B - 203 - Courtney E Hambright</v>
      </c>
      <c r="F16839" t="str">
        <f>"AP ENG LIT COMPO"</f>
        <v>AP ENG LIT COMPO</v>
      </c>
      <c r="G16839" t="str">
        <f>"17-1711"</f>
        <v>17-1711</v>
      </c>
      <c r="H16839" t="str">
        <f>"B"</f>
        <v>B</v>
      </c>
    </row>
    <row r="16840" spans="1:8" x14ac:dyDescent="0.2">
      <c r="A16840" t="str">
        <f t="shared" ref="A16840:A16847" si="6112">"0616006621"</f>
        <v>0616006621</v>
      </c>
      <c r="B16840" t="str">
        <f t="shared" ref="B16840:B16847" si="6113">"MALEAH"</f>
        <v>MALEAH</v>
      </c>
      <c r="C16840" t="str">
        <f t="shared" si="6106"/>
        <v>TAYLOR</v>
      </c>
      <c r="D16840">
        <f>10</f>
        <v>10</v>
      </c>
      <c r="E16840" t="str">
        <f>"04 - A - 203 - Cheryl L Beach"</f>
        <v>04 - A - 203 - Cheryl L Beach</v>
      </c>
      <c r="F16840" t="str">
        <f>"AICE ENV MGMNT AS"</f>
        <v>AICE ENV MGMNT AS</v>
      </c>
      <c r="G16840" t="str">
        <f>"08-811"</f>
        <v>08-811</v>
      </c>
      <c r="H16840" t="str">
        <f>"A"</f>
        <v>A</v>
      </c>
    </row>
    <row r="16841" spans="1:8" x14ac:dyDescent="0.2">
      <c r="A16841" t="str">
        <f t="shared" si="6112"/>
        <v>0616006621</v>
      </c>
      <c r="B16841" t="str">
        <f t="shared" si="6113"/>
        <v>MALEAH</v>
      </c>
      <c r="C16841" t="str">
        <f t="shared" si="6106"/>
        <v>TAYLOR</v>
      </c>
      <c r="D16841">
        <f>10</f>
        <v>10</v>
      </c>
      <c r="E16841" t="str">
        <f>"06 - B - 117 - Daniel S Tyson"</f>
        <v>06 - B - 117 - Daniel S Tyson</v>
      </c>
      <c r="F16841" t="str">
        <f>"NC STUDY HALL 1"</f>
        <v>NC STUDY HALL 1</v>
      </c>
      <c r="G16841" t="str">
        <f>"05-510"</f>
        <v>05-510</v>
      </c>
      <c r="H16841" t="str">
        <f>"B"</f>
        <v>B</v>
      </c>
    </row>
    <row r="16842" spans="1:8" x14ac:dyDescent="0.2">
      <c r="A16842" t="str">
        <f t="shared" si="6112"/>
        <v>0616006621</v>
      </c>
      <c r="B16842" t="str">
        <f t="shared" si="6113"/>
        <v>MALEAH</v>
      </c>
      <c r="C16842" t="str">
        <f t="shared" si="6106"/>
        <v>TAYLOR</v>
      </c>
      <c r="D16842">
        <f>10</f>
        <v>10</v>
      </c>
      <c r="E16842" t="str">
        <f>"03 - A - 101 - Eva T Rimmer"</f>
        <v>03 - A - 101 - Eva T Rimmer</v>
      </c>
      <c r="F16842" t="str">
        <f>"CRIMINAL JUST OPS 1"</f>
        <v>CRIMINAL JUST OPS 1</v>
      </c>
      <c r="G16842" t="str">
        <f>"05-523"</f>
        <v>05-523</v>
      </c>
      <c r="H16842" t="str">
        <f>"A"</f>
        <v>A</v>
      </c>
    </row>
    <row r="16843" spans="1:8" x14ac:dyDescent="0.2">
      <c r="A16843" t="str">
        <f t="shared" si="6112"/>
        <v>0616006621</v>
      </c>
      <c r="B16843" t="str">
        <f t="shared" si="6113"/>
        <v>MALEAH</v>
      </c>
      <c r="C16843" t="str">
        <f t="shared" si="6106"/>
        <v>TAYLOR</v>
      </c>
      <c r="D16843">
        <f>10</f>
        <v>10</v>
      </c>
      <c r="E16843" t="str">
        <f>"02 - S1 - A - 101 - Carol S Moore"</f>
        <v>02 - S1 - A - 101 - Carol S Moore</v>
      </c>
      <c r="F16843" t="str">
        <f>"PER CAR SCH DEV 1 LH"</f>
        <v>PER CAR SCH DEV 1 LH</v>
      </c>
      <c r="G16843" t="str">
        <f>"17-1733"</f>
        <v>17-1733</v>
      </c>
      <c r="H16843" t="str">
        <f>"A"</f>
        <v>A</v>
      </c>
    </row>
    <row r="16844" spans="1:8" x14ac:dyDescent="0.2">
      <c r="A16844" t="str">
        <f t="shared" si="6112"/>
        <v>0616006621</v>
      </c>
      <c r="B16844" t="str">
        <f t="shared" si="6113"/>
        <v>MALEAH</v>
      </c>
      <c r="C16844" t="str">
        <f t="shared" si="6106"/>
        <v>TAYLOR</v>
      </c>
      <c r="D16844">
        <f>10</f>
        <v>10</v>
      </c>
      <c r="E16844" t="str">
        <f>"07 - B - 107 - Milca  Exantus"</f>
        <v>07 - B - 107 - Milca  Exantus</v>
      </c>
      <c r="F16844" t="str">
        <f>"MATH COLLEGE LIB ART"</f>
        <v>MATH COLLEGE LIB ART</v>
      </c>
      <c r="G16844" t="str">
        <f>"21-2145"</f>
        <v>21-2145</v>
      </c>
      <c r="H16844" t="str">
        <f>"B"</f>
        <v>B</v>
      </c>
    </row>
    <row r="16845" spans="1:8" x14ac:dyDescent="0.2">
      <c r="A16845" t="str">
        <f t="shared" si="6112"/>
        <v>0616006621</v>
      </c>
      <c r="B16845" t="str">
        <f t="shared" si="6113"/>
        <v>MALEAH</v>
      </c>
      <c r="C16845" t="str">
        <f t="shared" si="6106"/>
        <v>TAYLOR</v>
      </c>
      <c r="D16845">
        <f>10</f>
        <v>10</v>
      </c>
      <c r="E16845" t="str">
        <f>"05 - B - 106 - Courtney E Hambright"</f>
        <v>05 - B - 106 - Courtney E Hambright</v>
      </c>
      <c r="F16845" t="str">
        <f>"AICE ENG LANG AS"</f>
        <v>AICE ENG LANG AS</v>
      </c>
      <c r="G16845" t="str">
        <f>"17-1711"</f>
        <v>17-1711</v>
      </c>
      <c r="H16845" t="str">
        <f>"B"</f>
        <v>B</v>
      </c>
    </row>
    <row r="16846" spans="1:8" x14ac:dyDescent="0.2">
      <c r="A16846" t="str">
        <f t="shared" si="6112"/>
        <v>0616006621</v>
      </c>
      <c r="B16846" t="str">
        <f t="shared" si="6113"/>
        <v>MALEAH</v>
      </c>
      <c r="C16846" t="str">
        <f t="shared" si="6106"/>
        <v>TAYLOR</v>
      </c>
      <c r="D16846">
        <f>10</f>
        <v>10</v>
      </c>
      <c r="E16846" t="str">
        <f>"01 - A - 002 - Krystal Marie  Beruty"</f>
        <v>01 - A - 002 - Krystal Marie  Beruty</v>
      </c>
      <c r="F16846" t="str">
        <f>"AICE GLBL PERSP 1 AS"</f>
        <v>AICE GLBL PERSP 1 AS</v>
      </c>
      <c r="G16846" t="str">
        <f>"17-1721"</f>
        <v>17-1721</v>
      </c>
      <c r="H16846" t="str">
        <f>"A"</f>
        <v>A</v>
      </c>
    </row>
    <row r="16847" spans="1:8" x14ac:dyDescent="0.2">
      <c r="A16847" t="str">
        <f t="shared" si="6112"/>
        <v>0616006621</v>
      </c>
      <c r="B16847" t="str">
        <f t="shared" si="6113"/>
        <v>MALEAH</v>
      </c>
      <c r="C16847" t="str">
        <f t="shared" si="6106"/>
        <v>TAYLOR</v>
      </c>
      <c r="D16847">
        <f>10</f>
        <v>10</v>
      </c>
      <c r="E16847" t="str">
        <f>"08 - B - 103 - Joe  Kilpatrick Jr"</f>
        <v>08 - B - 103 - Joe  Kilpatrick Jr</v>
      </c>
      <c r="F16847" t="str">
        <f>"PRE-AICE SPAN 2 IG"</f>
        <v>PRE-AICE SPAN 2 IG</v>
      </c>
      <c r="G16847" t="str">
        <f>"09-912"</f>
        <v>09-912</v>
      </c>
      <c r="H16847" t="str">
        <f>"B"</f>
        <v>B</v>
      </c>
    </row>
    <row r="16848" spans="1:8" x14ac:dyDescent="0.2">
      <c r="A16848" t="str">
        <f t="shared" ref="A16848:A16855" si="6114">"0614033669"</f>
        <v>0614033669</v>
      </c>
      <c r="B16848" t="str">
        <f t="shared" ref="B16848:B16855" si="6115">"MAXIMUS"</f>
        <v>MAXIMUS</v>
      </c>
      <c r="C16848" t="str">
        <f t="shared" si="6106"/>
        <v>TAYLOR</v>
      </c>
      <c r="D16848">
        <f>12</f>
        <v>12</v>
      </c>
      <c r="E16848" t="str">
        <f>"04 - A - 104 - Robert H Rindner"</f>
        <v>04 - A - 104 - Robert H Rindner</v>
      </c>
      <c r="F16848" t="str">
        <f>"MATH DATA&amp;FIN LIT H"</f>
        <v>MATH DATA&amp;FIN LIT H</v>
      </c>
      <c r="G16848" t="str">
        <f>"21-2160"</f>
        <v>21-2160</v>
      </c>
      <c r="H16848" t="str">
        <f>"A"</f>
        <v>A</v>
      </c>
    </row>
    <row r="16849" spans="1:8" x14ac:dyDescent="0.2">
      <c r="A16849" t="str">
        <f t="shared" si="6114"/>
        <v>0614033669</v>
      </c>
      <c r="B16849" t="str">
        <f t="shared" si="6115"/>
        <v>MAXIMUS</v>
      </c>
      <c r="C16849" t="str">
        <f t="shared" si="6106"/>
        <v>TAYLOR</v>
      </c>
      <c r="D16849">
        <f>12</f>
        <v>12</v>
      </c>
      <c r="E16849" t="str">
        <f>"06 - B - 101 - Cliffon  Saurel"</f>
        <v>06 - B - 101 - Cliffon  Saurel</v>
      </c>
      <c r="F16849" t="str">
        <f>"NC STUDY HALL 1"</f>
        <v>NC STUDY HALL 1</v>
      </c>
      <c r="G16849" t="str">
        <f>"05-522"</f>
        <v>05-522</v>
      </c>
      <c r="H16849" t="str">
        <f>"B"</f>
        <v>B</v>
      </c>
    </row>
    <row r="16850" spans="1:8" x14ac:dyDescent="0.2">
      <c r="A16850" t="str">
        <f t="shared" si="6114"/>
        <v>0614033669</v>
      </c>
      <c r="B16850" t="str">
        <f t="shared" si="6115"/>
        <v>MAXIMUS</v>
      </c>
      <c r="C16850" t="str">
        <f t="shared" si="6106"/>
        <v>TAYLOR</v>
      </c>
      <c r="D16850">
        <f>12</f>
        <v>12</v>
      </c>
      <c r="E16850" t="str">
        <f>"03 - A - 101 - Brian M Fitzgerald"</f>
        <v>03 - A - 101 - Brian M Fitzgerald</v>
      </c>
      <c r="F16850" t="str">
        <f>"SCULPT 1"</f>
        <v>SCULPT 1</v>
      </c>
      <c r="G16850" t="str">
        <f>"09-908"</f>
        <v>09-908</v>
      </c>
      <c r="H16850" t="str">
        <f>"A"</f>
        <v>A</v>
      </c>
    </row>
    <row r="16851" spans="1:8" x14ac:dyDescent="0.2">
      <c r="A16851" t="str">
        <f t="shared" si="6114"/>
        <v>0614033669</v>
      </c>
      <c r="B16851" t="str">
        <f t="shared" si="6115"/>
        <v>MAXIMUS</v>
      </c>
      <c r="C16851" t="str">
        <f t="shared" si="6106"/>
        <v>TAYLOR</v>
      </c>
      <c r="D16851">
        <f>12</f>
        <v>12</v>
      </c>
      <c r="E16851" t="str">
        <f>"02 - A - 102 - Daniel S Tyson"</f>
        <v>02 - A - 102 - Daniel S Tyson</v>
      </c>
      <c r="F16851" t="str">
        <f>"JROTC NAVAL SCI 3"</f>
        <v>JROTC NAVAL SCI 3</v>
      </c>
      <c r="G16851" t="str">
        <f>"05-510"</f>
        <v>05-510</v>
      </c>
      <c r="H16851" t="str">
        <f>"A"</f>
        <v>A</v>
      </c>
    </row>
    <row r="16852" spans="1:8" x14ac:dyDescent="0.2">
      <c r="A16852" t="str">
        <f t="shared" si="6114"/>
        <v>0614033669</v>
      </c>
      <c r="B16852" t="str">
        <f t="shared" si="6115"/>
        <v>MAXIMUS</v>
      </c>
      <c r="C16852" t="str">
        <f t="shared" si="6106"/>
        <v>TAYLOR</v>
      </c>
      <c r="D16852">
        <f>12</f>
        <v>12</v>
      </c>
      <c r="E16852" t="str">
        <f>"07 - S1 - B - 102 - Barbara L Segal"</f>
        <v>07 - S1 - B - 102 - Barbara L Segal</v>
      </c>
      <c r="F16852" t="str">
        <f>"AP US GOVT/POL"</f>
        <v>AP US GOVT/POL</v>
      </c>
      <c r="G16852" t="str">
        <f>"17-1742"</f>
        <v>17-1742</v>
      </c>
      <c r="H16852" t="str">
        <f>"B"</f>
        <v>B</v>
      </c>
    </row>
    <row r="16853" spans="1:8" x14ac:dyDescent="0.2">
      <c r="A16853" t="str">
        <f t="shared" si="6114"/>
        <v>0614033669</v>
      </c>
      <c r="B16853" t="str">
        <f t="shared" si="6115"/>
        <v>MAXIMUS</v>
      </c>
      <c r="C16853" t="str">
        <f t="shared" si="6106"/>
        <v>TAYLOR</v>
      </c>
      <c r="D16853">
        <f>12</f>
        <v>12</v>
      </c>
      <c r="E16853" t="str">
        <f>"05 - B - 101 - Jordana K Hass"</f>
        <v>05 - B - 101 - Jordana K Hass</v>
      </c>
      <c r="F16853" t="str">
        <f>"AP COMP SCI PRIN"</f>
        <v>AP COMP SCI PRIN</v>
      </c>
      <c r="G16853" t="str">
        <f>"08-807"</f>
        <v>08-807</v>
      </c>
      <c r="H16853" t="str">
        <f>"B"</f>
        <v>B</v>
      </c>
    </row>
    <row r="16854" spans="1:8" x14ac:dyDescent="0.2">
      <c r="A16854" t="str">
        <f t="shared" si="6114"/>
        <v>0614033669</v>
      </c>
      <c r="B16854" t="str">
        <f t="shared" si="6115"/>
        <v>MAXIMUS</v>
      </c>
      <c r="C16854" t="str">
        <f t="shared" si="6106"/>
        <v>TAYLOR</v>
      </c>
      <c r="D16854">
        <f>12</f>
        <v>12</v>
      </c>
      <c r="E16854" t="str">
        <f>"01 - A - 101 - Marielle A Witting"</f>
        <v>01 - A - 101 - Marielle A Witting</v>
      </c>
      <c r="F16854" t="str">
        <f>"AP BIO"</f>
        <v>AP BIO</v>
      </c>
      <c r="G16854" t="str">
        <f>"08-805"</f>
        <v>08-805</v>
      </c>
      <c r="H16854" t="str">
        <f>"A"</f>
        <v>A</v>
      </c>
    </row>
    <row r="16855" spans="1:8" x14ac:dyDescent="0.2">
      <c r="A16855" t="str">
        <f t="shared" si="6114"/>
        <v>0614033669</v>
      </c>
      <c r="B16855" t="str">
        <f t="shared" si="6115"/>
        <v>MAXIMUS</v>
      </c>
      <c r="C16855" t="str">
        <f t="shared" si="6106"/>
        <v>TAYLOR</v>
      </c>
      <c r="D16855">
        <f>12</f>
        <v>12</v>
      </c>
      <c r="E16855" t="str">
        <f>"08 - B - 203 - Courtney E Hambright"</f>
        <v>08 - B - 203 - Courtney E Hambright</v>
      </c>
      <c r="F16855" t="str">
        <f>"AP ENG LIT COMPO"</f>
        <v>AP ENG LIT COMPO</v>
      </c>
      <c r="G16855" t="str">
        <f>"17-1711"</f>
        <v>17-1711</v>
      </c>
      <c r="H16855" t="str">
        <f>"B"</f>
        <v>B</v>
      </c>
    </row>
    <row r="16856" spans="1:8" x14ac:dyDescent="0.2">
      <c r="A16856" t="str">
        <f t="shared" ref="A16856:A16863" si="6116">"0616103144"</f>
        <v>0616103144</v>
      </c>
      <c r="B16856" t="str">
        <f t="shared" ref="B16856:B16863" si="6117">"LIVANA"</f>
        <v>LIVANA</v>
      </c>
      <c r="C16856" t="str">
        <f t="shared" ref="C16856:C16863" si="6118">"TAZIOLI SANDOVAL"</f>
        <v>TAZIOLI SANDOVAL</v>
      </c>
      <c r="D16856" t="str">
        <f t="shared" ref="D16856:D16863" si="6119">"09"</f>
        <v>09</v>
      </c>
      <c r="E16856" t="str">
        <f>"04 - A - 104 - Brook E Goren"</f>
        <v>04 - A - 104 - Brook E Goren</v>
      </c>
      <c r="F16856" t="str">
        <f>"ALGEBRA 2 HON"</f>
        <v>ALGEBRA 2 HON</v>
      </c>
      <c r="G16856" t="str">
        <f>"21-2158"</f>
        <v>21-2158</v>
      </c>
      <c r="H16856" t="str">
        <f>"A"</f>
        <v>A</v>
      </c>
    </row>
    <row r="16857" spans="1:8" x14ac:dyDescent="0.2">
      <c r="A16857" t="str">
        <f t="shared" si="6116"/>
        <v>0616103144</v>
      </c>
      <c r="B16857" t="str">
        <f t="shared" si="6117"/>
        <v>LIVANA</v>
      </c>
      <c r="C16857" t="str">
        <f t="shared" si="6118"/>
        <v>TAZIOLI SANDOVAL</v>
      </c>
      <c r="D16857" t="str">
        <f t="shared" si="6119"/>
        <v>09</v>
      </c>
      <c r="E16857" t="str">
        <f>"06 - B - 106 - Marius D Orsolini"</f>
        <v>06 - B - 106 - Marius D Orsolini</v>
      </c>
      <c r="F16857" t="str">
        <f>"CULINARY ARTS 1"</f>
        <v>CULINARY ARTS 1</v>
      </c>
      <c r="G16857" t="str">
        <f>"21-2115"</f>
        <v>21-2115</v>
      </c>
      <c r="H16857" t="str">
        <f>"B"</f>
        <v>B</v>
      </c>
    </row>
    <row r="16858" spans="1:8" x14ac:dyDescent="0.2">
      <c r="A16858" t="str">
        <f t="shared" si="6116"/>
        <v>0616103144</v>
      </c>
      <c r="B16858" t="str">
        <f t="shared" si="6117"/>
        <v>LIVANA</v>
      </c>
      <c r="C16858" t="str">
        <f t="shared" si="6118"/>
        <v>TAZIOLI SANDOVAL</v>
      </c>
      <c r="D16858" t="str">
        <f t="shared" si="6119"/>
        <v>09</v>
      </c>
      <c r="E16858" t="str">
        <f>"03 - A - 101 - Eva T Rimmer"</f>
        <v>03 - A - 101 - Eva T Rimmer</v>
      </c>
      <c r="F16858" t="str">
        <f>"CRIMINAL JUST OPS 1"</f>
        <v>CRIMINAL JUST OPS 1</v>
      </c>
      <c r="G16858" t="str">
        <f>"05-523"</f>
        <v>05-523</v>
      </c>
      <c r="H16858" t="str">
        <f>"A"</f>
        <v>A</v>
      </c>
    </row>
    <row r="16859" spans="1:8" x14ac:dyDescent="0.2">
      <c r="A16859" t="str">
        <f t="shared" si="6116"/>
        <v>0616103144</v>
      </c>
      <c r="B16859" t="str">
        <f t="shared" si="6117"/>
        <v>LIVANA</v>
      </c>
      <c r="C16859" t="str">
        <f t="shared" si="6118"/>
        <v>TAZIOLI SANDOVAL</v>
      </c>
      <c r="D16859" t="str">
        <f t="shared" si="6119"/>
        <v>09</v>
      </c>
      <c r="E16859" t="str">
        <f>"02 - A - 115 - Lourivaldo  Da Silva"</f>
        <v>02 - A - 115 - Lourivaldo  Da Silva</v>
      </c>
      <c r="F16859" t="str">
        <f>"NC STUDY HALL 1"</f>
        <v>NC STUDY HALL 1</v>
      </c>
      <c r="G16859" t="str">
        <f>"20-2079"</f>
        <v>20-2079</v>
      </c>
      <c r="H16859" t="str">
        <f>"A"</f>
        <v>A</v>
      </c>
    </row>
    <row r="16860" spans="1:8" x14ac:dyDescent="0.2">
      <c r="A16860" t="str">
        <f t="shared" si="6116"/>
        <v>0616103144</v>
      </c>
      <c r="B16860" t="str">
        <f t="shared" si="6117"/>
        <v>LIVANA</v>
      </c>
      <c r="C16860" t="str">
        <f t="shared" si="6118"/>
        <v>TAZIOLI SANDOVAL</v>
      </c>
      <c r="D16860" t="str">
        <f t="shared" si="6119"/>
        <v>09</v>
      </c>
      <c r="E16860" t="str">
        <f>"07 - B - 207 - Krystal Marie  Beruty"</f>
        <v>07 - B - 207 - Krystal Marie  Beruty</v>
      </c>
      <c r="F16860" t="str">
        <f>"AICE GLBL PERSP 1 AS"</f>
        <v>AICE GLBL PERSP 1 AS</v>
      </c>
      <c r="G16860" t="str">
        <f>"17-1721"</f>
        <v>17-1721</v>
      </c>
      <c r="H16860" t="str">
        <f>"B"</f>
        <v>B</v>
      </c>
    </row>
    <row r="16861" spans="1:8" x14ac:dyDescent="0.2">
      <c r="A16861" t="str">
        <f t="shared" si="6116"/>
        <v>0616103144</v>
      </c>
      <c r="B16861" t="str">
        <f t="shared" si="6117"/>
        <v>LIVANA</v>
      </c>
      <c r="C16861" t="str">
        <f t="shared" si="6118"/>
        <v>TAZIOLI SANDOVAL</v>
      </c>
      <c r="D16861" t="str">
        <f t="shared" si="6119"/>
        <v>09</v>
      </c>
      <c r="E16861" t="str">
        <f>"05 - B - 101 - Brian M Fitzgerald"</f>
        <v>05 - B - 101 - Brian M Fitzgerald</v>
      </c>
      <c r="F16861" t="str">
        <f>"PAINT 1"</f>
        <v>PAINT 1</v>
      </c>
      <c r="G16861" t="str">
        <f>"09-908"</f>
        <v>09-908</v>
      </c>
      <c r="H16861" t="str">
        <f>"B"</f>
        <v>B</v>
      </c>
    </row>
    <row r="16862" spans="1:8" x14ac:dyDescent="0.2">
      <c r="A16862" t="str">
        <f t="shared" si="6116"/>
        <v>0616103144</v>
      </c>
      <c r="B16862" t="str">
        <f t="shared" si="6117"/>
        <v>LIVANA</v>
      </c>
      <c r="C16862" t="str">
        <f t="shared" si="6118"/>
        <v>TAZIOLI SANDOVAL</v>
      </c>
      <c r="D16862" t="str">
        <f t="shared" si="6119"/>
        <v>09</v>
      </c>
      <c r="E16862" t="str">
        <f>"01 - A - 201 - Cheryl L Beach"</f>
        <v>01 - A - 201 - Cheryl L Beach</v>
      </c>
      <c r="F16862" t="str">
        <f>"AICE ENV MGMNT AS"</f>
        <v>AICE ENV MGMNT AS</v>
      </c>
      <c r="G16862" t="str">
        <f>"08-811"</f>
        <v>08-811</v>
      </c>
      <c r="H16862" t="str">
        <f>"A"</f>
        <v>A</v>
      </c>
    </row>
    <row r="16863" spans="1:8" x14ac:dyDescent="0.2">
      <c r="A16863" t="str">
        <f t="shared" si="6116"/>
        <v>0616103144</v>
      </c>
      <c r="B16863" t="str">
        <f t="shared" si="6117"/>
        <v>LIVANA</v>
      </c>
      <c r="C16863" t="str">
        <f t="shared" si="6118"/>
        <v>TAZIOLI SANDOVAL</v>
      </c>
      <c r="D16863" t="str">
        <f t="shared" si="6119"/>
        <v>09</v>
      </c>
      <c r="E16863" t="str">
        <f>"08 - B - 201 - Elizabeth R Walker"</f>
        <v>08 - B - 201 - Elizabeth R Walker</v>
      </c>
      <c r="F16863" t="str">
        <f>"AICE ENG GEN PAPER 1"</f>
        <v>AICE ENG GEN PAPER 1</v>
      </c>
      <c r="G16863" t="str">
        <f>"17-1703"</f>
        <v>17-1703</v>
      </c>
      <c r="H16863" t="str">
        <f>"B"</f>
        <v>B</v>
      </c>
    </row>
    <row r="16864" spans="1:8" x14ac:dyDescent="0.2">
      <c r="A16864" t="str">
        <f t="shared" ref="A16864:A16871" si="6120">"0614133166"</f>
        <v>0614133166</v>
      </c>
      <c r="B16864" t="str">
        <f t="shared" ref="B16864:B16871" si="6121">"JENNIFER"</f>
        <v>JENNIFER</v>
      </c>
      <c r="C16864" t="str">
        <f t="shared" ref="C16864:C16871" si="6122">"TEJADA-ALARCCON"</f>
        <v>TEJADA-ALARCCON</v>
      </c>
      <c r="D16864">
        <f>11</f>
        <v>11</v>
      </c>
      <c r="E16864" t="str">
        <f>"04 - A - 102 - Brandy N Zdenek"</f>
        <v>04 - A - 102 - Brandy N Zdenek</v>
      </c>
      <c r="F16864" t="str">
        <f>"AICE ENG LANG 2 AL"</f>
        <v>AICE ENG LANG 2 AL</v>
      </c>
      <c r="G16864" t="str">
        <f>"17-1704"</f>
        <v>17-1704</v>
      </c>
      <c r="H16864" t="str">
        <f>"A"</f>
        <v>A</v>
      </c>
    </row>
    <row r="16865" spans="1:8" x14ac:dyDescent="0.2">
      <c r="A16865" t="str">
        <f t="shared" si="6120"/>
        <v>0614133166</v>
      </c>
      <c r="B16865" t="str">
        <f t="shared" si="6121"/>
        <v>JENNIFER</v>
      </c>
      <c r="C16865" t="str">
        <f t="shared" si="6122"/>
        <v>TEJADA-ALARCCON</v>
      </c>
      <c r="D16865">
        <f>11</f>
        <v>11</v>
      </c>
      <c r="E16865" t="str">
        <f>"06 - S1 - B - 102 - Daniel S Katz"</f>
        <v>06 - S1 - B - 102 - Daniel S Katz</v>
      </c>
      <c r="F16865" t="str">
        <f>"COURT PROCED"</f>
        <v>COURT PROCED</v>
      </c>
      <c r="G16865" t="str">
        <f>"21-2156"</f>
        <v>21-2156</v>
      </c>
      <c r="H16865" t="str">
        <f>"B"</f>
        <v>B</v>
      </c>
    </row>
    <row r="16866" spans="1:8" x14ac:dyDescent="0.2">
      <c r="A16866" t="str">
        <f t="shared" si="6120"/>
        <v>0614133166</v>
      </c>
      <c r="B16866" t="str">
        <f t="shared" si="6121"/>
        <v>JENNIFER</v>
      </c>
      <c r="C16866" t="str">
        <f t="shared" si="6122"/>
        <v>TEJADA-ALARCCON</v>
      </c>
      <c r="D16866">
        <f>11</f>
        <v>11</v>
      </c>
      <c r="E16866" t="str">
        <f>"03 - A - 103 - Jordana K Hass"</f>
        <v>03 - A - 103 - Jordana K Hass</v>
      </c>
      <c r="F16866" t="str">
        <f>"CHEMISTRY 1"</f>
        <v>CHEMISTRY 1</v>
      </c>
      <c r="G16866" t="str">
        <f>"08-807"</f>
        <v>08-807</v>
      </c>
      <c r="H16866" t="str">
        <f>"A"</f>
        <v>A</v>
      </c>
    </row>
    <row r="16867" spans="1:8" x14ac:dyDescent="0.2">
      <c r="A16867" t="str">
        <f t="shared" si="6120"/>
        <v>0614133166</v>
      </c>
      <c r="B16867" t="str">
        <f t="shared" si="6121"/>
        <v>JENNIFER</v>
      </c>
      <c r="C16867" t="str">
        <f t="shared" si="6122"/>
        <v>TEJADA-ALARCCON</v>
      </c>
      <c r="D16867">
        <f>11</f>
        <v>11</v>
      </c>
      <c r="E16867" t="str">
        <f>"02 - A - 112 - Brandy N Zdenek"</f>
        <v>02 - A - 112 - Brandy N Zdenek</v>
      </c>
      <c r="F16867" t="str">
        <f>"NC STUDY HALL 1"</f>
        <v>NC STUDY HALL 1</v>
      </c>
      <c r="G16867" t="str">
        <f>"17-1704"</f>
        <v>17-1704</v>
      </c>
      <c r="H16867" t="str">
        <f>"A"</f>
        <v>A</v>
      </c>
    </row>
    <row r="16868" spans="1:8" x14ac:dyDescent="0.2">
      <c r="A16868" t="str">
        <f t="shared" si="6120"/>
        <v>0614133166</v>
      </c>
      <c r="B16868" t="str">
        <f t="shared" si="6121"/>
        <v>JENNIFER</v>
      </c>
      <c r="C16868" t="str">
        <f t="shared" si="6122"/>
        <v>TEJADA-ALARCCON</v>
      </c>
      <c r="D16868">
        <f>11</f>
        <v>11</v>
      </c>
      <c r="E16868" t="str">
        <f>"07 - B - 102 - Thomas G Handwerg"</f>
        <v>07 - B - 102 - Thomas G Handwerg</v>
      </c>
      <c r="F16868" t="str">
        <f>"PROB STAT W/APPS HON"</f>
        <v>PROB STAT W/APPS HON</v>
      </c>
      <c r="G16868" t="str">
        <f>"21-2146"</f>
        <v>21-2146</v>
      </c>
      <c r="H16868" t="str">
        <f>"B"</f>
        <v>B</v>
      </c>
    </row>
    <row r="16869" spans="1:8" x14ac:dyDescent="0.2">
      <c r="A16869" t="str">
        <f t="shared" si="6120"/>
        <v>0614133166</v>
      </c>
      <c r="B16869" t="str">
        <f t="shared" si="6121"/>
        <v>JENNIFER</v>
      </c>
      <c r="C16869" t="str">
        <f t="shared" si="6122"/>
        <v>TEJADA-ALARCCON</v>
      </c>
      <c r="D16869">
        <f>11</f>
        <v>11</v>
      </c>
      <c r="E16869" t="str">
        <f>"05 - B - 102 - Jerry S Jiampetti"</f>
        <v>05 - B - 102 - Jerry S Jiampetti</v>
      </c>
      <c r="F16869" t="str">
        <f>"AICE U.S. HIST 1 AS"</f>
        <v>AICE U.S. HIST 1 AS</v>
      </c>
      <c r="G16869" t="str">
        <f>"17-1751"</f>
        <v>17-1751</v>
      </c>
      <c r="H16869" t="str">
        <f>"B"</f>
        <v>B</v>
      </c>
    </row>
    <row r="16870" spans="1:8" x14ac:dyDescent="0.2">
      <c r="A16870" t="str">
        <f t="shared" si="6120"/>
        <v>0614133166</v>
      </c>
      <c r="B16870" t="str">
        <f t="shared" si="6121"/>
        <v>JENNIFER</v>
      </c>
      <c r="C16870" t="str">
        <f t="shared" si="6122"/>
        <v>TEJADA-ALARCCON</v>
      </c>
      <c r="D16870">
        <f>11</f>
        <v>11</v>
      </c>
      <c r="E16870" t="str">
        <f>"01 - A - 101 - Lisa J London"</f>
        <v>01 - A - 101 - Lisa J London</v>
      </c>
      <c r="F16870" t="str">
        <f>"AP CAPSTONE SEMINAR"</f>
        <v>AP CAPSTONE SEMINAR</v>
      </c>
      <c r="G16870" t="str">
        <f>"17-1714"</f>
        <v>17-1714</v>
      </c>
      <c r="H16870" t="str">
        <f>"A"</f>
        <v>A</v>
      </c>
    </row>
    <row r="16871" spans="1:8" x14ac:dyDescent="0.2">
      <c r="A16871" t="str">
        <f t="shared" si="6120"/>
        <v>0614133166</v>
      </c>
      <c r="B16871" t="str">
        <f t="shared" si="6121"/>
        <v>JENNIFER</v>
      </c>
      <c r="C16871" t="str">
        <f t="shared" si="6122"/>
        <v>TEJADA-ALARCCON</v>
      </c>
      <c r="D16871">
        <f>11</f>
        <v>11</v>
      </c>
      <c r="E16871" t="str">
        <f>"08 - B - 201 - Vanessa J Liburd"</f>
        <v>08 - B - 201 - Vanessa J Liburd</v>
      </c>
      <c r="F16871" t="str">
        <f>"FRENCH 3 HON"</f>
        <v>FRENCH 3 HON</v>
      </c>
      <c r="G16871" t="str">
        <f>"05-519"</f>
        <v>05-519</v>
      </c>
      <c r="H16871" t="str">
        <f>"B"</f>
        <v>B</v>
      </c>
    </row>
    <row r="16872" spans="1:8" x14ac:dyDescent="0.2">
      <c r="A16872" t="str">
        <f t="shared" ref="A16872:A16879" si="6123">"0625039825"</f>
        <v>0625039825</v>
      </c>
      <c r="B16872" t="str">
        <f t="shared" ref="B16872:B16879" si="6124">"CARLA"</f>
        <v>CARLA</v>
      </c>
      <c r="C16872" t="str">
        <f t="shared" ref="C16872:C16879" si="6125">"TELES FONSECA"</f>
        <v>TELES FONSECA</v>
      </c>
      <c r="D16872">
        <f>11</f>
        <v>11</v>
      </c>
      <c r="E16872" t="str">
        <f>"04 - A - 103 - Cliffon  Saurel"</f>
        <v>04 - A - 103 - Cliffon  Saurel</v>
      </c>
      <c r="F16872" t="str">
        <f>"PHYSICAL SCI"</f>
        <v>PHYSICAL SCI</v>
      </c>
      <c r="G16872" t="str">
        <f>"05-522"</f>
        <v>05-522</v>
      </c>
      <c r="H16872" t="str">
        <f>"A"</f>
        <v>A</v>
      </c>
    </row>
    <row r="16873" spans="1:8" x14ac:dyDescent="0.2">
      <c r="A16873" t="str">
        <f t="shared" si="6123"/>
        <v>0625039825</v>
      </c>
      <c r="B16873" t="str">
        <f t="shared" si="6124"/>
        <v>CARLA</v>
      </c>
      <c r="C16873" t="str">
        <f t="shared" si="6125"/>
        <v>TELES FONSECA</v>
      </c>
      <c r="D16873">
        <f>11</f>
        <v>11</v>
      </c>
      <c r="E16873" t="str">
        <f>"06 - B - 104 - Nahum  Saint-Preux"</f>
        <v>06 - B - 104 - Nahum  Saint-Preux</v>
      </c>
      <c r="F16873" t="str">
        <f>"INTENS READ 3"</f>
        <v>INTENS READ 3</v>
      </c>
      <c r="G16873" t="str">
        <f>"17-1712"</f>
        <v>17-1712</v>
      </c>
      <c r="H16873" t="str">
        <f>"B"</f>
        <v>B</v>
      </c>
    </row>
    <row r="16874" spans="1:8" x14ac:dyDescent="0.2">
      <c r="A16874" t="str">
        <f t="shared" si="6123"/>
        <v>0625039825</v>
      </c>
      <c r="B16874" t="str">
        <f t="shared" si="6124"/>
        <v>CARLA</v>
      </c>
      <c r="C16874" t="str">
        <f t="shared" si="6125"/>
        <v>TELES FONSECA</v>
      </c>
      <c r="D16874">
        <f>11</f>
        <v>11</v>
      </c>
      <c r="E16874" t="str">
        <f>"03 - A - 104 - Fernando  Vega-Cid"</f>
        <v>03 - A - 104 - Fernando  Vega-Cid</v>
      </c>
      <c r="F16874" t="str">
        <f>"GEOMETRY"</f>
        <v>GEOMETRY</v>
      </c>
      <c r="G16874" t="str">
        <f>"21-2163"</f>
        <v>21-2163</v>
      </c>
      <c r="H16874" t="str">
        <f>"A"</f>
        <v>A</v>
      </c>
    </row>
    <row r="16875" spans="1:8" x14ac:dyDescent="0.2">
      <c r="A16875" t="str">
        <f t="shared" si="6123"/>
        <v>0625039825</v>
      </c>
      <c r="B16875" t="str">
        <f t="shared" si="6124"/>
        <v>CARLA</v>
      </c>
      <c r="C16875" t="str">
        <f t="shared" si="6125"/>
        <v>TELES FONSECA</v>
      </c>
      <c r="D16875">
        <f>11</f>
        <v>11</v>
      </c>
      <c r="E16875" t="str">
        <f>"02 - A - 109 - Daniel S Katz"</f>
        <v>02 - A - 109 - Daniel S Katz</v>
      </c>
      <c r="F16875" t="str">
        <f>"NC STUDY HALL 1"</f>
        <v>NC STUDY HALL 1</v>
      </c>
      <c r="G16875" t="str">
        <f>"21-2156"</f>
        <v>21-2156</v>
      </c>
      <c r="H16875" t="str">
        <f>"A"</f>
        <v>A</v>
      </c>
    </row>
    <row r="16876" spans="1:8" x14ac:dyDescent="0.2">
      <c r="A16876" t="str">
        <f t="shared" si="6123"/>
        <v>0625039825</v>
      </c>
      <c r="B16876" t="str">
        <f t="shared" si="6124"/>
        <v>CARLA</v>
      </c>
      <c r="C16876" t="str">
        <f t="shared" si="6125"/>
        <v>TELES FONSECA</v>
      </c>
      <c r="D16876">
        <f>11</f>
        <v>11</v>
      </c>
      <c r="E16876" t="str">
        <f>"07 - B - 108 - Lauren N Logan"</f>
        <v>07 - B - 108 - Lauren N Logan</v>
      </c>
      <c r="F16876" t="str">
        <f>"US HISTORY"</f>
        <v>US HISTORY</v>
      </c>
      <c r="G16876" t="str">
        <f>"17-1745"</f>
        <v>17-1745</v>
      </c>
      <c r="H16876" t="str">
        <f>"B"</f>
        <v>B</v>
      </c>
    </row>
    <row r="16877" spans="1:8" x14ac:dyDescent="0.2">
      <c r="A16877" t="str">
        <f t="shared" si="6123"/>
        <v>0625039825</v>
      </c>
      <c r="B16877" t="str">
        <f t="shared" si="6124"/>
        <v>CARLA</v>
      </c>
      <c r="C16877" t="str">
        <f t="shared" si="6125"/>
        <v>TELES FONSECA</v>
      </c>
      <c r="D16877">
        <f>11</f>
        <v>11</v>
      </c>
      <c r="E16877" t="str">
        <f>"05 - B - 102 - Vanessa J Pena"</f>
        <v>05 - B - 102 - Vanessa J Pena</v>
      </c>
      <c r="F16877" t="str">
        <f>"DEV LANG ARTS ESOL-R"</f>
        <v>DEV LANG ARTS ESOL-R</v>
      </c>
      <c r="G16877" t="str">
        <f>"09-926"</f>
        <v>09-926</v>
      </c>
      <c r="H16877" t="str">
        <f>"B"</f>
        <v>B</v>
      </c>
    </row>
    <row r="16878" spans="1:8" x14ac:dyDescent="0.2">
      <c r="A16878" t="str">
        <f t="shared" si="6123"/>
        <v>0625039825</v>
      </c>
      <c r="B16878" t="str">
        <f t="shared" si="6124"/>
        <v>CARLA</v>
      </c>
      <c r="C16878" t="str">
        <f t="shared" si="6125"/>
        <v>TELES FONSECA</v>
      </c>
      <c r="D16878">
        <f>11</f>
        <v>11</v>
      </c>
      <c r="E16878" t="str">
        <f>"01 - A - 101 - Lisa  Quinn"</f>
        <v>01 - A - 101 - Lisa  Quinn</v>
      </c>
      <c r="F16878" t="str">
        <f>"ENG 3"</f>
        <v>ENG 3</v>
      </c>
      <c r="G16878" t="str">
        <f>"17-1725"</f>
        <v>17-1725</v>
      </c>
      <c r="H16878" t="str">
        <f>"A"</f>
        <v>A</v>
      </c>
    </row>
    <row r="16879" spans="1:8" x14ac:dyDescent="0.2">
      <c r="A16879" t="str">
        <f t="shared" si="6123"/>
        <v>0625039825</v>
      </c>
      <c r="B16879" t="str">
        <f t="shared" si="6124"/>
        <v>CARLA</v>
      </c>
      <c r="C16879" t="str">
        <f t="shared" si="6125"/>
        <v>TELES FONSECA</v>
      </c>
      <c r="D16879">
        <f>11</f>
        <v>11</v>
      </c>
      <c r="E16879" t="str">
        <f>"08 - B - 101 - Elizabeth Ellen  Moran"</f>
        <v>08 - B - 101 - Elizabeth Ellen  Moran</v>
      </c>
      <c r="F16879" t="str">
        <f>"WORLD HISTORY"</f>
        <v>WORLD HISTORY</v>
      </c>
      <c r="G16879" t="str">
        <f>"17-1752"</f>
        <v>17-1752</v>
      </c>
      <c r="H16879" t="str">
        <f>"B"</f>
        <v>B</v>
      </c>
    </row>
    <row r="16880" spans="1:8" x14ac:dyDescent="0.2">
      <c r="A16880" t="str">
        <f t="shared" ref="A16880:A16887" si="6126">"0625021329"</f>
        <v>0625021329</v>
      </c>
      <c r="B16880" t="str">
        <f t="shared" ref="B16880:B16887" si="6127">"Gustavo"</f>
        <v>Gustavo</v>
      </c>
      <c r="C16880" t="str">
        <f t="shared" ref="C16880:C16887" si="6128">"Teran"</f>
        <v>Teran</v>
      </c>
      <c r="D16880">
        <f>11</f>
        <v>11</v>
      </c>
      <c r="E16880" t="str">
        <f>"04 - A - 102 - Elizabeth Ellen  Moran"</f>
        <v>04 - A - 102 - Elizabeth Ellen  Moran</v>
      </c>
      <c r="F16880" t="str">
        <f>"US HISTORY"</f>
        <v>US HISTORY</v>
      </c>
      <c r="G16880" t="str">
        <f>"17-1752"</f>
        <v>17-1752</v>
      </c>
      <c r="H16880" t="str">
        <f>"A"</f>
        <v>A</v>
      </c>
    </row>
    <row r="16881" spans="1:8" x14ac:dyDescent="0.2">
      <c r="A16881" t="str">
        <f t="shared" si="6126"/>
        <v>0625021329</v>
      </c>
      <c r="B16881" t="str">
        <f t="shared" si="6127"/>
        <v>Gustavo</v>
      </c>
      <c r="C16881" t="str">
        <f t="shared" si="6128"/>
        <v>Teran</v>
      </c>
      <c r="D16881">
        <f>11</f>
        <v>11</v>
      </c>
      <c r="E16881" t="str">
        <f>"06 - B - 105 - Arthur  Kulawik"</f>
        <v>06 - B - 105 - Arthur  Kulawik</v>
      </c>
      <c r="F16881" t="str">
        <f>"ENG 3"</f>
        <v>ENG 3</v>
      </c>
      <c r="G16881" t="str">
        <f>"05-506"</f>
        <v>05-506</v>
      </c>
      <c r="H16881" t="str">
        <f>"B"</f>
        <v>B</v>
      </c>
    </row>
    <row r="16882" spans="1:8" x14ac:dyDescent="0.2">
      <c r="A16882" t="str">
        <f t="shared" si="6126"/>
        <v>0625021329</v>
      </c>
      <c r="B16882" t="str">
        <f t="shared" si="6127"/>
        <v>Gustavo</v>
      </c>
      <c r="C16882" t="str">
        <f t="shared" si="6128"/>
        <v>Teran</v>
      </c>
      <c r="D16882">
        <f>11</f>
        <v>11</v>
      </c>
      <c r="E16882" t="str">
        <f>"03 - A - 103 - Pamela M Corzo"</f>
        <v>03 - A - 103 - Pamela M Corzo</v>
      </c>
      <c r="F16882" t="str">
        <f>"ALGEBRA 2 HON"</f>
        <v>ALGEBRA 2 HON</v>
      </c>
      <c r="G16882" t="str">
        <f>"21-2133"</f>
        <v>21-2133</v>
      </c>
      <c r="H16882" t="str">
        <f>"A"</f>
        <v>A</v>
      </c>
    </row>
    <row r="16883" spans="1:8" x14ac:dyDescent="0.2">
      <c r="A16883" t="str">
        <f t="shared" si="6126"/>
        <v>0625021329</v>
      </c>
      <c r="B16883" t="str">
        <f t="shared" si="6127"/>
        <v>Gustavo</v>
      </c>
      <c r="C16883" t="str">
        <f t="shared" si="6128"/>
        <v>Teran</v>
      </c>
      <c r="D16883">
        <f>11</f>
        <v>11</v>
      </c>
      <c r="E16883" t="str">
        <f>"02 - A - 113 - Byron G Montenegro"</f>
        <v>02 - A - 113 - Byron G Montenegro</v>
      </c>
      <c r="F16883" t="str">
        <f>"NC STUDY HALL 1"</f>
        <v>NC STUDY HALL 1</v>
      </c>
      <c r="G16883" t="str">
        <f>"21-2144"</f>
        <v>21-2144</v>
      </c>
      <c r="H16883" t="str">
        <f>"A"</f>
        <v>A</v>
      </c>
    </row>
    <row r="16884" spans="1:8" x14ac:dyDescent="0.2">
      <c r="A16884" t="str">
        <f t="shared" si="6126"/>
        <v>0625021329</v>
      </c>
      <c r="B16884" t="str">
        <f t="shared" si="6127"/>
        <v>Gustavo</v>
      </c>
      <c r="C16884" t="str">
        <f t="shared" si="6128"/>
        <v>Teran</v>
      </c>
      <c r="D16884">
        <f>11</f>
        <v>11</v>
      </c>
      <c r="E16884" t="str">
        <f>"07 - B - 105 - Cliffon  Saurel"</f>
        <v>07 - B - 105 - Cliffon  Saurel</v>
      </c>
      <c r="F16884" t="str">
        <f>"PHYSICAL SCI"</f>
        <v>PHYSICAL SCI</v>
      </c>
      <c r="G16884" t="str">
        <f>"05-522"</f>
        <v>05-522</v>
      </c>
      <c r="H16884" t="str">
        <f>"B"</f>
        <v>B</v>
      </c>
    </row>
    <row r="16885" spans="1:8" x14ac:dyDescent="0.2">
      <c r="A16885" t="str">
        <f t="shared" si="6126"/>
        <v>0625021329</v>
      </c>
      <c r="B16885" t="str">
        <f t="shared" si="6127"/>
        <v>Gustavo</v>
      </c>
      <c r="C16885" t="str">
        <f t="shared" si="6128"/>
        <v>Teran</v>
      </c>
      <c r="D16885">
        <f>11</f>
        <v>11</v>
      </c>
      <c r="E16885" t="str">
        <f>"05 - B - 106 - Fernando  Vega-Cid"</f>
        <v>05 - B - 106 - Fernando  Vega-Cid</v>
      </c>
      <c r="F16885" t="str">
        <f>"GEOMETRY"</f>
        <v>GEOMETRY</v>
      </c>
      <c r="G16885" t="str">
        <f>"21-2163"</f>
        <v>21-2163</v>
      </c>
      <c r="H16885" t="str">
        <f>"B"</f>
        <v>B</v>
      </c>
    </row>
    <row r="16886" spans="1:8" x14ac:dyDescent="0.2">
      <c r="A16886" t="str">
        <f t="shared" si="6126"/>
        <v>0625021329</v>
      </c>
      <c r="B16886" t="str">
        <f t="shared" si="6127"/>
        <v>Gustavo</v>
      </c>
      <c r="C16886" t="str">
        <f t="shared" si="6128"/>
        <v>Teran</v>
      </c>
      <c r="D16886">
        <f>11</f>
        <v>11</v>
      </c>
      <c r="E16886" t="str">
        <f>"01 - A - 101 - Nahum  Saint-Preux"</f>
        <v>01 - A - 101 - Nahum  Saint-Preux</v>
      </c>
      <c r="F16886" t="str">
        <f>"INTENS READ 3"</f>
        <v>INTENS READ 3</v>
      </c>
      <c r="G16886" t="str">
        <f>"17-1712"</f>
        <v>17-1712</v>
      </c>
      <c r="H16886" t="str">
        <f>"A"</f>
        <v>A</v>
      </c>
    </row>
    <row r="16887" spans="1:8" x14ac:dyDescent="0.2">
      <c r="A16887" t="str">
        <f t="shared" si="6126"/>
        <v>0625021329</v>
      </c>
      <c r="B16887" t="str">
        <f t="shared" si="6127"/>
        <v>Gustavo</v>
      </c>
      <c r="C16887" t="str">
        <f t="shared" si="6128"/>
        <v>Teran</v>
      </c>
      <c r="D16887">
        <f>11</f>
        <v>11</v>
      </c>
      <c r="E16887" t="str">
        <f>"08 - B - 101 - Rosa Elaine  Collado-Duff"</f>
        <v>08 - B - 101 - Rosa Elaine  Collado-Duff</v>
      </c>
      <c r="F16887" t="str">
        <f>"AP SPANISH LANG &amp; CU"</f>
        <v>AP SPANISH LANG &amp; CU</v>
      </c>
      <c r="G16887" t="str">
        <f>"09-913"</f>
        <v>09-913</v>
      </c>
      <c r="H16887" t="str">
        <f>"B"</f>
        <v>B</v>
      </c>
    </row>
    <row r="16888" spans="1:8" x14ac:dyDescent="0.2">
      <c r="A16888" t="str">
        <f t="shared" ref="A16888:A16896" si="6129">"0611142070"</f>
        <v>0611142070</v>
      </c>
      <c r="B16888" t="str">
        <f t="shared" ref="B16888:B16896" si="6130">"REMONDO"</f>
        <v>REMONDO</v>
      </c>
      <c r="C16888" t="str">
        <f t="shared" ref="C16888:C16896" si="6131">"TERNIER"</f>
        <v>TERNIER</v>
      </c>
      <c r="D16888">
        <f>12</f>
        <v>12</v>
      </c>
      <c r="E16888" t="str">
        <f>"04 - A - 102 - Tiffany L Colon"</f>
        <v>04 - A - 102 - Tiffany L Colon</v>
      </c>
      <c r="F16888" t="str">
        <f>"U SKLS: SOC&amp;EMO 9-12"</f>
        <v>U SKLS: SOC&amp;EMO 9-12</v>
      </c>
      <c r="G16888">
        <f>2044</f>
        <v>2044</v>
      </c>
      <c r="H16888" t="str">
        <f>"A"</f>
        <v>A</v>
      </c>
    </row>
    <row r="16889" spans="1:8" x14ac:dyDescent="0.2">
      <c r="A16889" t="str">
        <f t="shared" si="6129"/>
        <v>0611142070</v>
      </c>
      <c r="B16889" t="str">
        <f t="shared" si="6130"/>
        <v>REMONDO</v>
      </c>
      <c r="C16889" t="str">
        <f t="shared" si="6131"/>
        <v>TERNIER</v>
      </c>
      <c r="D16889">
        <f>12</f>
        <v>12</v>
      </c>
      <c r="E16889" t="str">
        <f>"04 - A - 114 - Karen A Toomer"</f>
        <v>04 - A - 114 - Karen A Toomer</v>
      </c>
      <c r="F16889" t="str">
        <f>"LANG THERAPY"</f>
        <v>LANG THERAPY</v>
      </c>
      <c r="G16889" t="str">
        <f>"21-2110"</f>
        <v>21-2110</v>
      </c>
      <c r="H16889" t="str">
        <f>"A"</f>
        <v>A</v>
      </c>
    </row>
    <row r="16890" spans="1:8" x14ac:dyDescent="0.2">
      <c r="A16890" t="str">
        <f t="shared" si="6129"/>
        <v>0611142070</v>
      </c>
      <c r="B16890" t="str">
        <f t="shared" si="6130"/>
        <v>REMONDO</v>
      </c>
      <c r="C16890" t="str">
        <f t="shared" si="6131"/>
        <v>TERNIER</v>
      </c>
      <c r="D16890">
        <f>12</f>
        <v>12</v>
      </c>
      <c r="E16890" t="str">
        <f>"06 - B - 101 - Tiffany L Colon"</f>
        <v>06 - B - 101 - Tiffany L Colon</v>
      </c>
      <c r="F16890" t="str">
        <f>"CAR EXERIENCES: 9-12"</f>
        <v>CAR EXERIENCES: 9-12</v>
      </c>
      <c r="G16890">
        <f>2044</f>
        <v>2044</v>
      </c>
      <c r="H16890" t="str">
        <f>"B"</f>
        <v>B</v>
      </c>
    </row>
    <row r="16891" spans="1:8" x14ac:dyDescent="0.2">
      <c r="A16891" t="str">
        <f t="shared" si="6129"/>
        <v>0611142070</v>
      </c>
      <c r="B16891" t="str">
        <f t="shared" si="6130"/>
        <v>REMONDO</v>
      </c>
      <c r="C16891" t="str">
        <f t="shared" si="6131"/>
        <v>TERNIER</v>
      </c>
      <c r="D16891">
        <f>12</f>
        <v>12</v>
      </c>
      <c r="E16891" t="str">
        <f>"03 - A - 101 - Tiffany L Colon"</f>
        <v>03 - A - 101 - Tiffany L Colon</v>
      </c>
      <c r="F16891" t="str">
        <f>"SELF-DETERMINATION"</f>
        <v>SELF-DETERMINATION</v>
      </c>
      <c r="G16891">
        <f>2044</f>
        <v>2044</v>
      </c>
      <c r="H16891" t="str">
        <f>"A"</f>
        <v>A</v>
      </c>
    </row>
    <row r="16892" spans="1:8" x14ac:dyDescent="0.2">
      <c r="A16892" t="str">
        <f t="shared" si="6129"/>
        <v>0611142070</v>
      </c>
      <c r="B16892" t="str">
        <f t="shared" si="6130"/>
        <v>REMONDO</v>
      </c>
      <c r="C16892" t="str">
        <f t="shared" si="6131"/>
        <v>TERNIER</v>
      </c>
      <c r="D16892">
        <f>12</f>
        <v>12</v>
      </c>
      <c r="E16892" t="str">
        <f>"02 - A - 102 - Tiffany L Colon"</f>
        <v>02 - A - 102 - Tiffany L Colon</v>
      </c>
      <c r="F16892" t="str">
        <f>"CAREER ED: 9-12"</f>
        <v>CAREER ED: 9-12</v>
      </c>
      <c r="G16892">
        <f>2044</f>
        <v>2044</v>
      </c>
      <c r="H16892" t="str">
        <f>"A"</f>
        <v>A</v>
      </c>
    </row>
    <row r="16893" spans="1:8" x14ac:dyDescent="0.2">
      <c r="A16893" t="str">
        <f t="shared" si="6129"/>
        <v>0611142070</v>
      </c>
      <c r="B16893" t="str">
        <f t="shared" si="6130"/>
        <v>REMONDO</v>
      </c>
      <c r="C16893" t="str">
        <f t="shared" si="6131"/>
        <v>TERNIER</v>
      </c>
      <c r="D16893">
        <f>12</f>
        <v>12</v>
      </c>
      <c r="E16893" t="str">
        <f>"07 - B - 101 - Tiffany L Colon"</f>
        <v>07 - B - 101 - Tiffany L Colon</v>
      </c>
      <c r="F16893" t="str">
        <f>"CAR PLACEMENT: 9-12"</f>
        <v>CAR PLACEMENT: 9-12</v>
      </c>
      <c r="G16893">
        <f>2044</f>
        <v>2044</v>
      </c>
      <c r="H16893" t="str">
        <f>"B"</f>
        <v>B</v>
      </c>
    </row>
    <row r="16894" spans="1:8" x14ac:dyDescent="0.2">
      <c r="A16894" t="str">
        <f t="shared" si="6129"/>
        <v>0611142070</v>
      </c>
      <c r="B16894" t="str">
        <f t="shared" si="6130"/>
        <v>REMONDO</v>
      </c>
      <c r="C16894" t="str">
        <f t="shared" si="6131"/>
        <v>TERNIER</v>
      </c>
      <c r="D16894">
        <f>12</f>
        <v>12</v>
      </c>
      <c r="E16894" t="str">
        <f>"05 - B - 102 - Tiffany L Colon"</f>
        <v>05 - B - 102 - Tiffany L Colon</v>
      </c>
      <c r="F16894" t="str">
        <f>"U SKLS: 9-12"</f>
        <v>U SKLS: 9-12</v>
      </c>
      <c r="G16894">
        <f>2044</f>
        <v>2044</v>
      </c>
      <c r="H16894" t="str">
        <f>"B"</f>
        <v>B</v>
      </c>
    </row>
    <row r="16895" spans="1:8" x14ac:dyDescent="0.2">
      <c r="A16895" t="str">
        <f t="shared" si="6129"/>
        <v>0611142070</v>
      </c>
      <c r="B16895" t="str">
        <f t="shared" si="6130"/>
        <v>REMONDO</v>
      </c>
      <c r="C16895" t="str">
        <f t="shared" si="6131"/>
        <v>TERNIER</v>
      </c>
      <c r="D16895">
        <f>12</f>
        <v>12</v>
      </c>
      <c r="E16895" t="str">
        <f>"01 - A - 101 - Tiffany L Colon"</f>
        <v>01 - A - 101 - Tiffany L Colon</v>
      </c>
      <c r="F16895" t="str">
        <f>"PREP AD LIV"</f>
        <v>PREP AD LIV</v>
      </c>
      <c r="G16895">
        <f>2044</f>
        <v>2044</v>
      </c>
      <c r="H16895" t="str">
        <f>"A"</f>
        <v>A</v>
      </c>
    </row>
    <row r="16896" spans="1:8" x14ac:dyDescent="0.2">
      <c r="A16896" t="str">
        <f t="shared" si="6129"/>
        <v>0611142070</v>
      </c>
      <c r="B16896" t="str">
        <f t="shared" si="6130"/>
        <v>REMONDO</v>
      </c>
      <c r="C16896" t="str">
        <f t="shared" si="6131"/>
        <v>TERNIER</v>
      </c>
      <c r="D16896">
        <f>12</f>
        <v>12</v>
      </c>
      <c r="E16896" t="str">
        <f>"08 - B - 101 - Gail S Markowitz"</f>
        <v>08 - B - 101 - Gail S Markowitz</v>
      </c>
      <c r="F16896" t="str">
        <f>"U SKLS: SOC&amp;EMO 9-12"</f>
        <v>U SKLS: SOC&amp;EMO 9-12</v>
      </c>
      <c r="G16896">
        <f>1730</f>
        <v>1730</v>
      </c>
      <c r="H16896" t="str">
        <f>"B"</f>
        <v>B</v>
      </c>
    </row>
    <row r="16897" spans="1:8" x14ac:dyDescent="0.2">
      <c r="A16897" t="str">
        <f t="shared" ref="A16897:A16904" si="6132">"0625049662"</f>
        <v>0625049662</v>
      </c>
      <c r="B16897" t="str">
        <f t="shared" ref="B16897:B16904" si="6133">"EDUARDO"</f>
        <v>EDUARDO</v>
      </c>
      <c r="C16897" t="str">
        <f t="shared" ref="C16897:C16904" si="6134">"TERRONES"</f>
        <v>TERRONES</v>
      </c>
      <c r="D16897" t="str">
        <f t="shared" ref="D16897:D16912" si="6135">"09"</f>
        <v>09</v>
      </c>
      <c r="E16897" t="str">
        <f>"04 - S1 - A - 101 - Leslie J Barton"</f>
        <v>04 - S1 - A - 101 - Leslie J Barton</v>
      </c>
      <c r="F16897" t="str">
        <f>"TEAM SPORTS 1"</f>
        <v>TEAM SPORTS 1</v>
      </c>
      <c r="G16897" t="str">
        <f>"04-254"</f>
        <v>04-254</v>
      </c>
      <c r="H16897" t="str">
        <f>"A"</f>
        <v>A</v>
      </c>
    </row>
    <row r="16898" spans="1:8" x14ac:dyDescent="0.2">
      <c r="A16898" t="str">
        <f t="shared" si="6132"/>
        <v>0625049662</v>
      </c>
      <c r="B16898" t="str">
        <f t="shared" si="6133"/>
        <v>EDUARDO</v>
      </c>
      <c r="C16898" t="str">
        <f t="shared" si="6134"/>
        <v>TERRONES</v>
      </c>
      <c r="D16898" t="str">
        <f t="shared" si="6135"/>
        <v>09</v>
      </c>
      <c r="E16898" t="str">
        <f>"06 - B - 101 - Fernando  Vega-Cid"</f>
        <v>06 - B - 101 - Fernando  Vega-Cid</v>
      </c>
      <c r="F16898" t="str">
        <f>"PRE-AICE MATH 2 IG"</f>
        <v>PRE-AICE MATH 2 IG</v>
      </c>
      <c r="G16898" t="str">
        <f>"21-2163"</f>
        <v>21-2163</v>
      </c>
      <c r="H16898" t="str">
        <f>"B"</f>
        <v>B</v>
      </c>
    </row>
    <row r="16899" spans="1:8" x14ac:dyDescent="0.2">
      <c r="A16899" t="str">
        <f t="shared" si="6132"/>
        <v>0625049662</v>
      </c>
      <c r="B16899" t="str">
        <f t="shared" si="6133"/>
        <v>EDUARDO</v>
      </c>
      <c r="C16899" t="str">
        <f t="shared" si="6134"/>
        <v>TERRONES</v>
      </c>
      <c r="D16899" t="str">
        <f t="shared" si="6135"/>
        <v>09</v>
      </c>
      <c r="E16899" t="str">
        <f>"03 - A - 103 - Marius D Orsolini"</f>
        <v>03 - A - 103 - Marius D Orsolini</v>
      </c>
      <c r="F16899" t="str">
        <f>"CULINARY ARTS 1"</f>
        <v>CULINARY ARTS 1</v>
      </c>
      <c r="G16899" t="str">
        <f>"21-2115"</f>
        <v>21-2115</v>
      </c>
      <c r="H16899" t="str">
        <f>"A"</f>
        <v>A</v>
      </c>
    </row>
    <row r="16900" spans="1:8" x14ac:dyDescent="0.2">
      <c r="A16900" t="str">
        <f t="shared" si="6132"/>
        <v>0625049662</v>
      </c>
      <c r="B16900" t="str">
        <f t="shared" si="6133"/>
        <v>EDUARDO</v>
      </c>
      <c r="C16900" t="str">
        <f t="shared" si="6134"/>
        <v>TERRONES</v>
      </c>
      <c r="D16900" t="str">
        <f t="shared" si="6135"/>
        <v>09</v>
      </c>
      <c r="E16900" t="str">
        <f>"02 - A - 105 - Elizabeth R Walker"</f>
        <v>02 - A - 105 - Elizabeth R Walker</v>
      </c>
      <c r="F16900" t="str">
        <f>"NC STUDY HALL 1"</f>
        <v>NC STUDY HALL 1</v>
      </c>
      <c r="G16900" t="str">
        <f>"17-1703"</f>
        <v>17-1703</v>
      </c>
      <c r="H16900" t="str">
        <f>"A"</f>
        <v>A</v>
      </c>
    </row>
    <row r="16901" spans="1:8" x14ac:dyDescent="0.2">
      <c r="A16901" t="str">
        <f t="shared" si="6132"/>
        <v>0625049662</v>
      </c>
      <c r="B16901" t="str">
        <f t="shared" si="6133"/>
        <v>EDUARDO</v>
      </c>
      <c r="C16901" t="str">
        <f t="shared" si="6134"/>
        <v>TERRONES</v>
      </c>
      <c r="D16901" t="str">
        <f t="shared" si="6135"/>
        <v>09</v>
      </c>
      <c r="E16901" t="str">
        <f>"07 - B - 105 - Paige Lauren  Brochu"</f>
        <v>07 - B - 105 - Paige Lauren  Brochu</v>
      </c>
      <c r="F16901" t="str">
        <f>"PRE-AICE BIO IG"</f>
        <v>PRE-AICE BIO IG</v>
      </c>
      <c r="G16901" t="str">
        <f>"21-2134"</f>
        <v>21-2134</v>
      </c>
      <c r="H16901" t="str">
        <f>"B"</f>
        <v>B</v>
      </c>
    </row>
    <row r="16902" spans="1:8" x14ac:dyDescent="0.2">
      <c r="A16902" t="str">
        <f t="shared" si="6132"/>
        <v>0625049662</v>
      </c>
      <c r="B16902" t="str">
        <f t="shared" si="6133"/>
        <v>EDUARDO</v>
      </c>
      <c r="C16902" t="str">
        <f t="shared" si="6134"/>
        <v>TERRONES</v>
      </c>
      <c r="D16902" t="str">
        <f t="shared" si="6135"/>
        <v>09</v>
      </c>
      <c r="E16902" t="str">
        <f>"05 - B - 103 - Rory T Sponsler"</f>
        <v>05 - B - 103 - Rory T Sponsler</v>
      </c>
      <c r="F16902" t="str">
        <f>"PRE-AICE WRLD HST IG"</f>
        <v>PRE-AICE WRLD HST IG</v>
      </c>
      <c r="G16902" t="str">
        <f>"17-1740"</f>
        <v>17-1740</v>
      </c>
      <c r="H16902" t="str">
        <f>"B"</f>
        <v>B</v>
      </c>
    </row>
    <row r="16903" spans="1:8" x14ac:dyDescent="0.2">
      <c r="A16903" t="str">
        <f t="shared" si="6132"/>
        <v>0625049662</v>
      </c>
      <c r="B16903" t="str">
        <f t="shared" si="6133"/>
        <v>EDUARDO</v>
      </c>
      <c r="C16903" t="str">
        <f t="shared" si="6134"/>
        <v>TERRONES</v>
      </c>
      <c r="D16903" t="str">
        <f t="shared" si="6135"/>
        <v>09</v>
      </c>
      <c r="E16903" t="str">
        <f>"01 - A - 101 - Cheryl Anne  Berman-Schechter"</f>
        <v>01 - A - 101 - Cheryl Anne  Berman-Schechter</v>
      </c>
      <c r="F16903" t="str">
        <f>"PRE-AICE ENG LANG IG"</f>
        <v>PRE-AICE ENG LANG IG</v>
      </c>
      <c r="G16903" t="str">
        <f>"17-1722"</f>
        <v>17-1722</v>
      </c>
      <c r="H16903" t="str">
        <f>"A"</f>
        <v>A</v>
      </c>
    </row>
    <row r="16904" spans="1:8" x14ac:dyDescent="0.2">
      <c r="A16904" t="str">
        <f t="shared" si="6132"/>
        <v>0625049662</v>
      </c>
      <c r="B16904" t="str">
        <f t="shared" si="6133"/>
        <v>EDUARDO</v>
      </c>
      <c r="C16904" t="str">
        <f t="shared" si="6134"/>
        <v>TERRONES</v>
      </c>
      <c r="D16904" t="str">
        <f t="shared" si="6135"/>
        <v>09</v>
      </c>
      <c r="E16904" t="str">
        <f>"08 - B - 101 - Staci M Newton"</f>
        <v>08 - B - 101 - Staci M Newton</v>
      </c>
      <c r="F16904" t="str">
        <f>"PEER/PARTNERS LRN LH"</f>
        <v>PEER/PARTNERS LRN LH</v>
      </c>
      <c r="G16904" t="str">
        <f>"21-2103"</f>
        <v>21-2103</v>
      </c>
      <c r="H16904" t="str">
        <f>"B"</f>
        <v>B</v>
      </c>
    </row>
    <row r="16905" spans="1:8" x14ac:dyDescent="0.2">
      <c r="A16905" t="str">
        <f t="shared" ref="A16905:A16912" si="6136">"0625032194"</f>
        <v>0625032194</v>
      </c>
      <c r="B16905" t="str">
        <f t="shared" ref="B16905:B16912" si="6137">"Nadia"</f>
        <v>Nadia</v>
      </c>
      <c r="C16905" t="str">
        <f t="shared" ref="C16905:C16912" si="6138">"Teubler"</f>
        <v>Teubler</v>
      </c>
      <c r="D16905" t="str">
        <f t="shared" si="6135"/>
        <v>09</v>
      </c>
      <c r="E16905" t="str">
        <f>"04 - A - 104 - Helen A Flores"</f>
        <v>04 - A - 104 - Helen A Flores</v>
      </c>
      <c r="F16905" t="str">
        <f>"FDN SKLS MATH 9-12"</f>
        <v>FDN SKLS MATH 9-12</v>
      </c>
      <c r="G16905" t="str">
        <f>"21-2101"</f>
        <v>21-2101</v>
      </c>
      <c r="H16905" t="str">
        <f>"A"</f>
        <v>A</v>
      </c>
    </row>
    <row r="16906" spans="1:8" x14ac:dyDescent="0.2">
      <c r="A16906" t="str">
        <f t="shared" si="6136"/>
        <v>0625032194</v>
      </c>
      <c r="B16906" t="str">
        <f t="shared" si="6137"/>
        <v>Nadia</v>
      </c>
      <c r="C16906" t="str">
        <f t="shared" si="6138"/>
        <v>Teubler</v>
      </c>
      <c r="D16906" t="str">
        <f t="shared" si="6135"/>
        <v>09</v>
      </c>
      <c r="E16906" t="str">
        <f>"06 - S1 - B - 104 - Leslie J Barton"</f>
        <v>06 - S1 - B - 104 - Leslie J Barton</v>
      </c>
      <c r="F16906" t="str">
        <f>"FIRST AID SAFETY"</f>
        <v>FIRST AID SAFETY</v>
      </c>
      <c r="G16906" t="str">
        <f>"05-521"</f>
        <v>05-521</v>
      </c>
      <c r="H16906" t="str">
        <f>"B"</f>
        <v>B</v>
      </c>
    </row>
    <row r="16907" spans="1:8" x14ac:dyDescent="0.2">
      <c r="A16907" t="str">
        <f t="shared" si="6136"/>
        <v>0625032194</v>
      </c>
      <c r="B16907" t="str">
        <f t="shared" si="6137"/>
        <v>Nadia</v>
      </c>
      <c r="C16907" t="str">
        <f t="shared" si="6138"/>
        <v>Teubler</v>
      </c>
      <c r="D16907" t="str">
        <f t="shared" si="6135"/>
        <v>09</v>
      </c>
      <c r="E16907" t="str">
        <f>"03 - A - 105 - Elizabeth Ellen  Moran"</f>
        <v>03 - A - 105 - Elizabeth Ellen  Moran</v>
      </c>
      <c r="F16907" t="str">
        <f>"WORLD HISTORY"</f>
        <v>WORLD HISTORY</v>
      </c>
      <c r="G16907" t="str">
        <f>"17-1752"</f>
        <v>17-1752</v>
      </c>
      <c r="H16907" t="str">
        <f>"A"</f>
        <v>A</v>
      </c>
    </row>
    <row r="16908" spans="1:8" x14ac:dyDescent="0.2">
      <c r="A16908" t="str">
        <f t="shared" si="6136"/>
        <v>0625032194</v>
      </c>
      <c r="B16908" t="str">
        <f t="shared" si="6137"/>
        <v>Nadia</v>
      </c>
      <c r="C16908" t="str">
        <f t="shared" si="6138"/>
        <v>Teubler</v>
      </c>
      <c r="D16908" t="str">
        <f t="shared" si="6135"/>
        <v>09</v>
      </c>
      <c r="E16908" t="str">
        <f>"02 - A - 102 - Fernando  Vega-Cid"</f>
        <v>02 - A - 102 - Fernando  Vega-Cid</v>
      </c>
      <c r="F16908" t="str">
        <f>"NC STUDY HALL 1"</f>
        <v>NC STUDY HALL 1</v>
      </c>
      <c r="G16908" t="str">
        <f>"21-2163"</f>
        <v>21-2163</v>
      </c>
      <c r="H16908" t="str">
        <f>"A"</f>
        <v>A</v>
      </c>
    </row>
    <row r="16909" spans="1:8" x14ac:dyDescent="0.2">
      <c r="A16909" t="str">
        <f t="shared" si="6136"/>
        <v>0625032194</v>
      </c>
      <c r="B16909" t="str">
        <f t="shared" si="6137"/>
        <v>Nadia</v>
      </c>
      <c r="C16909" t="str">
        <f t="shared" si="6138"/>
        <v>Teubler</v>
      </c>
      <c r="D16909" t="str">
        <f t="shared" si="6135"/>
        <v>09</v>
      </c>
      <c r="E16909" t="str">
        <f>"07 - B - 003 - Samantha J Headley"</f>
        <v>07 - B - 003 - Samantha J Headley</v>
      </c>
      <c r="F16909" t="str">
        <f>"ENV SCI"</f>
        <v>ENV SCI</v>
      </c>
      <c r="G16909" t="str">
        <f>"08-802"</f>
        <v>08-802</v>
      </c>
      <c r="H16909" t="str">
        <f>"B"</f>
        <v>B</v>
      </c>
    </row>
    <row r="16910" spans="1:8" x14ac:dyDescent="0.2">
      <c r="A16910" t="str">
        <f t="shared" si="6136"/>
        <v>0625032194</v>
      </c>
      <c r="B16910" t="str">
        <f t="shared" si="6137"/>
        <v>Nadia</v>
      </c>
      <c r="C16910" t="str">
        <f t="shared" si="6138"/>
        <v>Teubler</v>
      </c>
      <c r="D16910" t="str">
        <f t="shared" si="6135"/>
        <v>09</v>
      </c>
      <c r="E16910" t="str">
        <f>"05 - B - 105 - Adam Marcus  Drucker"</f>
        <v>05 - B - 105 - Adam Marcus  Drucker</v>
      </c>
      <c r="F16910" t="str">
        <f>"HOPE-PE V"</f>
        <v>HOPE-PE V</v>
      </c>
      <c r="G16910" t="str">
        <f>"04-254"</f>
        <v>04-254</v>
      </c>
      <c r="H16910" t="str">
        <f>"B"</f>
        <v>B</v>
      </c>
    </row>
    <row r="16911" spans="1:8" x14ac:dyDescent="0.2">
      <c r="A16911" t="str">
        <f t="shared" si="6136"/>
        <v>0625032194</v>
      </c>
      <c r="B16911" t="str">
        <f t="shared" si="6137"/>
        <v>Nadia</v>
      </c>
      <c r="C16911" t="str">
        <f t="shared" si="6138"/>
        <v>Teubler</v>
      </c>
      <c r="D16911" t="str">
        <f t="shared" si="6135"/>
        <v>09</v>
      </c>
      <c r="E16911" t="str">
        <f>"01 - A - 101 - Cerine S Stewart"</f>
        <v>01 - A - 101 - Cerine S Stewart</v>
      </c>
      <c r="F16911" t="str">
        <f>"ENG 1"</f>
        <v>ENG 1</v>
      </c>
      <c r="G16911" t="str">
        <f>"17-1720"</f>
        <v>17-1720</v>
      </c>
      <c r="H16911" t="str">
        <f>"A"</f>
        <v>A</v>
      </c>
    </row>
    <row r="16912" spans="1:8" x14ac:dyDescent="0.2">
      <c r="A16912" t="str">
        <f t="shared" si="6136"/>
        <v>0625032194</v>
      </c>
      <c r="B16912" t="str">
        <f t="shared" si="6137"/>
        <v>Nadia</v>
      </c>
      <c r="C16912" t="str">
        <f t="shared" si="6138"/>
        <v>Teubler</v>
      </c>
      <c r="D16912" t="str">
        <f t="shared" si="6135"/>
        <v>09</v>
      </c>
      <c r="E16912" t="str">
        <f>"08 - B - 106 - Helen A Flores"</f>
        <v>08 - B - 106 - Helen A Flores</v>
      </c>
      <c r="F16912" t="str">
        <f>"ALGEBRA 1"</f>
        <v>ALGEBRA 1</v>
      </c>
      <c r="G16912" t="str">
        <f>"21-2101"</f>
        <v>21-2101</v>
      </c>
      <c r="H16912" t="str">
        <f>"B"</f>
        <v>B</v>
      </c>
    </row>
    <row r="16913" spans="1:8" x14ac:dyDescent="0.2">
      <c r="A16913" t="str">
        <f t="shared" ref="A16913:A16920" si="6139">"0614123164"</f>
        <v>0614123164</v>
      </c>
      <c r="B16913" t="str">
        <f t="shared" ref="B16913:B16920" si="6140">"OLIVER"</f>
        <v>OLIVER</v>
      </c>
      <c r="C16913" t="str">
        <f t="shared" ref="C16913:C16920" si="6141">"THACKHAM"</f>
        <v>THACKHAM</v>
      </c>
      <c r="D16913">
        <f>10</f>
        <v>10</v>
      </c>
      <c r="E16913" t="str">
        <f>"04 - A - 103 - Lourivaldo  Da Silva"</f>
        <v>04 - A - 103 - Lourivaldo  Da Silva</v>
      </c>
      <c r="F16913" t="str">
        <f>"PRE-CALCULUS HON"</f>
        <v>PRE-CALCULUS HON</v>
      </c>
      <c r="G16913" t="str">
        <f>"20-2079"</f>
        <v>20-2079</v>
      </c>
      <c r="H16913" t="str">
        <f>"A"</f>
        <v>A</v>
      </c>
    </row>
    <row r="16914" spans="1:8" x14ac:dyDescent="0.2">
      <c r="A16914" t="str">
        <f t="shared" si="6139"/>
        <v>0614123164</v>
      </c>
      <c r="B16914" t="str">
        <f t="shared" si="6140"/>
        <v>OLIVER</v>
      </c>
      <c r="C16914" t="str">
        <f t="shared" si="6141"/>
        <v>THACKHAM</v>
      </c>
      <c r="D16914">
        <f>10</f>
        <v>10</v>
      </c>
      <c r="E16914" t="str">
        <f>"06 - B - 112 - Tina M Jaramillo"</f>
        <v>06 - B - 112 - Tina M Jaramillo</v>
      </c>
      <c r="F16914" t="str">
        <f>"NC STUDY HALL 1"</f>
        <v>NC STUDY HALL 1</v>
      </c>
      <c r="G16914" t="str">
        <f>"17-1706"</f>
        <v>17-1706</v>
      </c>
      <c r="H16914" t="str">
        <f>"B"</f>
        <v>B</v>
      </c>
    </row>
    <row r="16915" spans="1:8" x14ac:dyDescent="0.2">
      <c r="A16915" t="str">
        <f t="shared" si="6139"/>
        <v>0614123164</v>
      </c>
      <c r="B16915" t="str">
        <f t="shared" si="6140"/>
        <v>OLIVER</v>
      </c>
      <c r="C16915" t="str">
        <f t="shared" si="6141"/>
        <v>THACKHAM</v>
      </c>
      <c r="D16915">
        <f>10</f>
        <v>10</v>
      </c>
      <c r="E16915" t="str">
        <f>"03 - A - 002 - Lenecy  Nodarse"</f>
        <v>03 - A - 002 - Lenecy  Nodarse</v>
      </c>
      <c r="F16915" t="str">
        <f>"AICE EURO HIST 1 AS"</f>
        <v>AICE EURO HIST 1 AS</v>
      </c>
      <c r="G16915" t="str">
        <f>"17-1741"</f>
        <v>17-1741</v>
      </c>
      <c r="H16915" t="str">
        <f>"A"</f>
        <v>A</v>
      </c>
    </row>
    <row r="16916" spans="1:8" x14ac:dyDescent="0.2">
      <c r="A16916" t="str">
        <f t="shared" si="6139"/>
        <v>0614123164</v>
      </c>
      <c r="B16916" t="str">
        <f t="shared" si="6140"/>
        <v>OLIVER</v>
      </c>
      <c r="C16916" t="str">
        <f t="shared" si="6141"/>
        <v>THACKHAM</v>
      </c>
      <c r="D16916">
        <f>10</f>
        <v>10</v>
      </c>
      <c r="E16916" t="str">
        <f>"02 - A - 104 - Scott A Dethloff"</f>
        <v>02 - A - 104 - Scott A Dethloff</v>
      </c>
      <c r="F16916" t="str">
        <f>"CHEMISTRY 1 HON"</f>
        <v>CHEMISTRY 1 HON</v>
      </c>
      <c r="G16916" t="str">
        <f>"08-812"</f>
        <v>08-812</v>
      </c>
      <c r="H16916" t="str">
        <f>"A"</f>
        <v>A</v>
      </c>
    </row>
    <row r="16917" spans="1:8" x14ac:dyDescent="0.2">
      <c r="A16917" t="str">
        <f t="shared" si="6139"/>
        <v>0614123164</v>
      </c>
      <c r="B16917" t="str">
        <f t="shared" si="6140"/>
        <v>OLIVER</v>
      </c>
      <c r="C16917" t="str">
        <f t="shared" si="6141"/>
        <v>THACKHAM</v>
      </c>
      <c r="D16917">
        <f>10</f>
        <v>10</v>
      </c>
      <c r="E16917" t="str">
        <f>"07 - B - 102 - Timothy J Lawrence"</f>
        <v>07 - B - 102 - Timothy J Lawrence</v>
      </c>
      <c r="F16917" t="str">
        <f>"AICE PHYS ED 1 AS"</f>
        <v>AICE PHYS ED 1 AS</v>
      </c>
      <c r="G16917" t="str">
        <f>"05-523"</f>
        <v>05-523</v>
      </c>
      <c r="H16917" t="str">
        <f>"B"</f>
        <v>B</v>
      </c>
    </row>
    <row r="16918" spans="1:8" x14ac:dyDescent="0.2">
      <c r="A16918" t="str">
        <f t="shared" si="6139"/>
        <v>0614123164</v>
      </c>
      <c r="B16918" t="str">
        <f t="shared" si="6140"/>
        <v>OLIVER</v>
      </c>
      <c r="C16918" t="str">
        <f t="shared" si="6141"/>
        <v>THACKHAM</v>
      </c>
      <c r="D16918">
        <f>10</f>
        <v>10</v>
      </c>
      <c r="E16918" t="str">
        <f>"05 - B - 106 - Courtney E Hambright"</f>
        <v>05 - B - 106 - Courtney E Hambright</v>
      </c>
      <c r="F16918" t="str">
        <f>"AICE ENG LANG AS"</f>
        <v>AICE ENG LANG AS</v>
      </c>
      <c r="G16918" t="str">
        <f>"17-1711"</f>
        <v>17-1711</v>
      </c>
      <c r="H16918" t="str">
        <f>"B"</f>
        <v>B</v>
      </c>
    </row>
    <row r="16919" spans="1:8" x14ac:dyDescent="0.2">
      <c r="A16919" t="str">
        <f t="shared" si="6139"/>
        <v>0614123164</v>
      </c>
      <c r="B16919" t="str">
        <f t="shared" si="6140"/>
        <v>OLIVER</v>
      </c>
      <c r="C16919" t="str">
        <f t="shared" si="6141"/>
        <v>THACKHAM</v>
      </c>
      <c r="D16919">
        <f>10</f>
        <v>10</v>
      </c>
      <c r="E16919" t="str">
        <f>"01 - A - 108 - Rosa Elaine  Collado-Duff"</f>
        <v>01 - A - 108 - Rosa Elaine  Collado-Duff</v>
      </c>
      <c r="F16919" t="str">
        <f>"PRE-AICE SPAN 2 IG"</f>
        <v>PRE-AICE SPAN 2 IG</v>
      </c>
      <c r="G16919" t="str">
        <f>"09-913"</f>
        <v>09-913</v>
      </c>
      <c r="H16919" t="str">
        <f>"A"</f>
        <v>A</v>
      </c>
    </row>
    <row r="16920" spans="1:8" x14ac:dyDescent="0.2">
      <c r="A16920" t="str">
        <f t="shared" si="6139"/>
        <v>0614123164</v>
      </c>
      <c r="B16920" t="str">
        <f t="shared" si="6140"/>
        <v>OLIVER</v>
      </c>
      <c r="C16920" t="str">
        <f t="shared" si="6141"/>
        <v>THACKHAM</v>
      </c>
      <c r="D16920">
        <f>10</f>
        <v>10</v>
      </c>
      <c r="E16920" t="str">
        <f>"08 - B - 206 - Daniel S Katz"</f>
        <v>08 - B - 206 - Daniel S Katz</v>
      </c>
      <c r="F16920" t="str">
        <f>"AICE MEDIASTUDIES AS"</f>
        <v>AICE MEDIASTUDIES AS</v>
      </c>
      <c r="G16920" t="str">
        <f>"05-521"</f>
        <v>05-521</v>
      </c>
      <c r="H16920" t="str">
        <f>"B"</f>
        <v>B</v>
      </c>
    </row>
    <row r="16921" spans="1:8" x14ac:dyDescent="0.2">
      <c r="A16921" t="str">
        <f t="shared" ref="A16921:A16928" si="6142">"0611046591"</f>
        <v>0611046591</v>
      </c>
      <c r="B16921" t="str">
        <f t="shared" ref="B16921:B16928" si="6143">"LATEVIEN"</f>
        <v>LATEVIEN</v>
      </c>
      <c r="C16921" t="str">
        <f t="shared" ref="C16921:C16928" si="6144">"THARPE"</f>
        <v>THARPE</v>
      </c>
      <c r="D16921">
        <f>12</f>
        <v>12</v>
      </c>
      <c r="E16921" t="str">
        <f>"04 - A - 103 - Cliffon  Saurel"</f>
        <v>04 - A - 103 - Cliffon  Saurel</v>
      </c>
      <c r="F16921" t="str">
        <f>"PHYSICAL SCI"</f>
        <v>PHYSICAL SCI</v>
      </c>
      <c r="G16921" t="str">
        <f>"05-522"</f>
        <v>05-522</v>
      </c>
      <c r="H16921" t="str">
        <f>"A"</f>
        <v>A</v>
      </c>
    </row>
    <row r="16922" spans="1:8" x14ac:dyDescent="0.2">
      <c r="A16922" t="str">
        <f t="shared" si="6142"/>
        <v>0611046591</v>
      </c>
      <c r="B16922" t="str">
        <f t="shared" si="6143"/>
        <v>LATEVIEN</v>
      </c>
      <c r="C16922" t="str">
        <f t="shared" si="6144"/>
        <v>THARPE</v>
      </c>
      <c r="D16922">
        <f>12</f>
        <v>12</v>
      </c>
      <c r="E16922" t="str">
        <f>"06 - B - 101 - Cliffon  Saurel"</f>
        <v>06 - B - 101 - Cliffon  Saurel</v>
      </c>
      <c r="F16922" t="str">
        <f>"NC STUDY HALL 1"</f>
        <v>NC STUDY HALL 1</v>
      </c>
      <c r="G16922" t="str">
        <f>"05-522"</f>
        <v>05-522</v>
      </c>
      <c r="H16922" t="str">
        <f>"B"</f>
        <v>B</v>
      </c>
    </row>
    <row r="16923" spans="1:8" x14ac:dyDescent="0.2">
      <c r="A16923" t="str">
        <f t="shared" si="6142"/>
        <v>0611046591</v>
      </c>
      <c r="B16923" t="str">
        <f t="shared" si="6143"/>
        <v>LATEVIEN</v>
      </c>
      <c r="C16923" t="str">
        <f t="shared" si="6144"/>
        <v>THARPE</v>
      </c>
      <c r="D16923">
        <f>12</f>
        <v>12</v>
      </c>
      <c r="E16923" t="str">
        <f>"03 - S1 - A - 002 - Barbara L Segal"</f>
        <v>03 - S1 - A - 002 - Barbara L Segal</v>
      </c>
      <c r="F16923" t="str">
        <f>"US GOVT"</f>
        <v>US GOVT</v>
      </c>
      <c r="G16923" t="str">
        <f>"17-1742"</f>
        <v>17-1742</v>
      </c>
      <c r="H16923" t="str">
        <f>"A"</f>
        <v>A</v>
      </c>
    </row>
    <row r="16924" spans="1:8" x14ac:dyDescent="0.2">
      <c r="A16924" t="str">
        <f t="shared" si="6142"/>
        <v>0611046591</v>
      </c>
      <c r="B16924" t="str">
        <f t="shared" si="6143"/>
        <v>LATEVIEN</v>
      </c>
      <c r="C16924" t="str">
        <f t="shared" si="6144"/>
        <v>THARPE</v>
      </c>
      <c r="D16924">
        <f>12</f>
        <v>12</v>
      </c>
      <c r="E16924" t="str">
        <f>"02 - A - 105 - Semra  Bahadir"</f>
        <v>02 - A - 105 - Semra  Bahadir</v>
      </c>
      <c r="F16924" t="str">
        <f>"ALGEBRA 2"</f>
        <v>ALGEBRA 2</v>
      </c>
      <c r="G16924" t="str">
        <f>"21-2107"</f>
        <v>21-2107</v>
      </c>
      <c r="H16924" t="str">
        <f>"A"</f>
        <v>A</v>
      </c>
    </row>
    <row r="16925" spans="1:8" x14ac:dyDescent="0.2">
      <c r="A16925" t="str">
        <f t="shared" si="6142"/>
        <v>0611046591</v>
      </c>
      <c r="B16925" t="str">
        <f t="shared" si="6143"/>
        <v>LATEVIEN</v>
      </c>
      <c r="C16925" t="str">
        <f t="shared" si="6144"/>
        <v>THARPE</v>
      </c>
      <c r="D16925">
        <f>12</f>
        <v>12</v>
      </c>
      <c r="E16925" t="str">
        <f>"07 - B - 104 - Robyn L Trainer"</f>
        <v>07 - B - 104 - Robyn L Trainer</v>
      </c>
      <c r="F16925" t="str">
        <f>"ENG 4"</f>
        <v>ENG 4</v>
      </c>
      <c r="G16925" t="str">
        <f>"17-1734"</f>
        <v>17-1734</v>
      </c>
      <c r="H16925" t="str">
        <f>"B"</f>
        <v>B</v>
      </c>
    </row>
    <row r="16926" spans="1:8" x14ac:dyDescent="0.2">
      <c r="A16926" t="str">
        <f t="shared" si="6142"/>
        <v>0611046591</v>
      </c>
      <c r="B16926" t="str">
        <f t="shared" si="6143"/>
        <v>LATEVIEN</v>
      </c>
      <c r="C16926" t="str">
        <f t="shared" si="6144"/>
        <v>THARPE</v>
      </c>
      <c r="D16926">
        <f>12</f>
        <v>12</v>
      </c>
      <c r="E16926" t="str">
        <f>"05 - B - 205 - Rosa Elaine  Collado-Duff"</f>
        <v>05 - B - 205 - Rosa Elaine  Collado-Duff</v>
      </c>
      <c r="F16926" t="str">
        <f>"PRE-AICE SPAN 2 IG"</f>
        <v>PRE-AICE SPAN 2 IG</v>
      </c>
      <c r="G16926" t="str">
        <f>"09-913"</f>
        <v>09-913</v>
      </c>
      <c r="H16926" t="str">
        <f>"B"</f>
        <v>B</v>
      </c>
    </row>
    <row r="16927" spans="1:8" x14ac:dyDescent="0.2">
      <c r="A16927" t="str">
        <f t="shared" si="6142"/>
        <v>0611046591</v>
      </c>
      <c r="B16927" t="str">
        <f t="shared" si="6143"/>
        <v>LATEVIEN</v>
      </c>
      <c r="C16927" t="str">
        <f t="shared" si="6144"/>
        <v>THARPE</v>
      </c>
      <c r="D16927">
        <f>12</f>
        <v>12</v>
      </c>
      <c r="E16927" t="str">
        <f>"01 - A - 504 - Alejandro  Navarro"</f>
        <v>01 - A - 504 - Alejandro  Navarro</v>
      </c>
      <c r="F16927" t="str">
        <f>"BAND 1"</f>
        <v>BAND 1</v>
      </c>
      <c r="G16927" t="str">
        <f>"05-504"</f>
        <v>05-504</v>
      </c>
      <c r="H16927" t="str">
        <f>"A"</f>
        <v>A</v>
      </c>
    </row>
    <row r="16928" spans="1:8" x14ac:dyDescent="0.2">
      <c r="A16928" t="str">
        <f t="shared" si="6142"/>
        <v>0611046591</v>
      </c>
      <c r="B16928" t="str">
        <f t="shared" si="6143"/>
        <v>LATEVIEN</v>
      </c>
      <c r="C16928" t="str">
        <f t="shared" si="6144"/>
        <v>THARPE</v>
      </c>
      <c r="D16928">
        <f>12</f>
        <v>12</v>
      </c>
      <c r="E16928" t="str">
        <f>"08 - S1 - B - 105 - Richard E Dunbar Iii"</f>
        <v>08 - S1 - B - 105 - Richard E Dunbar Iii</v>
      </c>
      <c r="F16928" t="str">
        <f>"WEIGHT TRAIN 1"</f>
        <v>WEIGHT TRAIN 1</v>
      </c>
      <c r="G16928" t="str">
        <f>"05-501"</f>
        <v>05-501</v>
      </c>
      <c r="H16928" t="str">
        <f>"B"</f>
        <v>B</v>
      </c>
    </row>
    <row r="16929" spans="1:8" x14ac:dyDescent="0.2">
      <c r="A16929" t="str">
        <f t="shared" ref="A16929:A16936" si="6145">"0615055218"</f>
        <v>0615055218</v>
      </c>
      <c r="B16929" t="str">
        <f t="shared" ref="B16929:B16936" si="6146">"FRADNESHA"</f>
        <v>FRADNESHA</v>
      </c>
      <c r="C16929" t="str">
        <f t="shared" ref="C16929:C16936" si="6147">"THEAGENE"</f>
        <v>THEAGENE</v>
      </c>
      <c r="D16929">
        <f>11</f>
        <v>11</v>
      </c>
      <c r="E16929" t="str">
        <f>"04 - A - 102 - Jeffrey S Gallagher"</f>
        <v>04 - A - 102 - Jeffrey S Gallagher</v>
      </c>
      <c r="F16929" t="str">
        <f>"ENG HON 3"</f>
        <v>ENG HON 3</v>
      </c>
      <c r="G16929" t="str">
        <f>"17-1724"</f>
        <v>17-1724</v>
      </c>
      <c r="H16929" t="str">
        <f>"A"</f>
        <v>A</v>
      </c>
    </row>
    <row r="16930" spans="1:8" x14ac:dyDescent="0.2">
      <c r="A16930" t="str">
        <f t="shared" si="6145"/>
        <v>0615055218</v>
      </c>
      <c r="B16930" t="str">
        <f t="shared" si="6146"/>
        <v>FRADNESHA</v>
      </c>
      <c r="C16930" t="str">
        <f t="shared" si="6147"/>
        <v>THEAGENE</v>
      </c>
      <c r="D16930">
        <f>11</f>
        <v>11</v>
      </c>
      <c r="E16930" t="str">
        <f>"06 - S1 - B - 104 - Leslie J Barton"</f>
        <v>06 - S1 - B - 104 - Leslie J Barton</v>
      </c>
      <c r="F16930" t="str">
        <f>"FIRST AID SAFETY"</f>
        <v>FIRST AID SAFETY</v>
      </c>
      <c r="G16930" t="str">
        <f>"05-521"</f>
        <v>05-521</v>
      </c>
      <c r="H16930" t="str">
        <f>"B"</f>
        <v>B</v>
      </c>
    </row>
    <row r="16931" spans="1:8" x14ac:dyDescent="0.2">
      <c r="A16931" t="str">
        <f t="shared" si="6145"/>
        <v>0615055218</v>
      </c>
      <c r="B16931" t="str">
        <f t="shared" si="6146"/>
        <v>FRADNESHA</v>
      </c>
      <c r="C16931" t="str">
        <f t="shared" si="6147"/>
        <v>THEAGENE</v>
      </c>
      <c r="D16931">
        <f>11</f>
        <v>11</v>
      </c>
      <c r="E16931" t="str">
        <f>"03 - A - 103 - Pamela M Corzo"</f>
        <v>03 - A - 103 - Pamela M Corzo</v>
      </c>
      <c r="F16931" t="str">
        <f>"ALGEBRA 2 HON"</f>
        <v>ALGEBRA 2 HON</v>
      </c>
      <c r="G16931" t="str">
        <f>"21-2133"</f>
        <v>21-2133</v>
      </c>
      <c r="H16931" t="str">
        <f>"A"</f>
        <v>A</v>
      </c>
    </row>
    <row r="16932" spans="1:8" x14ac:dyDescent="0.2">
      <c r="A16932" t="str">
        <f t="shared" si="6145"/>
        <v>0615055218</v>
      </c>
      <c r="B16932" t="str">
        <f t="shared" si="6146"/>
        <v>FRADNESHA</v>
      </c>
      <c r="C16932" t="str">
        <f t="shared" si="6147"/>
        <v>THEAGENE</v>
      </c>
      <c r="D16932">
        <f>11</f>
        <v>11</v>
      </c>
      <c r="E16932" t="str">
        <f>"02 - A - 112 - Brandy N Zdenek"</f>
        <v>02 - A - 112 - Brandy N Zdenek</v>
      </c>
      <c r="F16932" t="str">
        <f>"NC STUDY HALL 1"</f>
        <v>NC STUDY HALL 1</v>
      </c>
      <c r="G16932" t="str">
        <f>"17-1704"</f>
        <v>17-1704</v>
      </c>
      <c r="H16932" t="str">
        <f>"A"</f>
        <v>A</v>
      </c>
    </row>
    <row r="16933" spans="1:8" x14ac:dyDescent="0.2">
      <c r="A16933" t="str">
        <f t="shared" si="6145"/>
        <v>0615055218</v>
      </c>
      <c r="B16933" t="str">
        <f t="shared" si="6146"/>
        <v>FRADNESHA</v>
      </c>
      <c r="C16933" t="str">
        <f t="shared" si="6147"/>
        <v>THEAGENE</v>
      </c>
      <c r="D16933">
        <f>11</f>
        <v>11</v>
      </c>
      <c r="E16933" t="str">
        <f>"07 - S1 - B - 103 - Leslie J Barton"</f>
        <v>07 - S1 - B - 103 - Leslie J Barton</v>
      </c>
      <c r="F16933" t="str">
        <f>"TEAM SPORTS 1"</f>
        <v>TEAM SPORTS 1</v>
      </c>
      <c r="G16933" t="str">
        <f>"04-254"</f>
        <v>04-254</v>
      </c>
      <c r="H16933" t="str">
        <f>"B"</f>
        <v>B</v>
      </c>
    </row>
    <row r="16934" spans="1:8" x14ac:dyDescent="0.2">
      <c r="A16934" t="str">
        <f t="shared" si="6145"/>
        <v>0615055218</v>
      </c>
      <c r="B16934" t="str">
        <f t="shared" si="6146"/>
        <v>FRADNESHA</v>
      </c>
      <c r="C16934" t="str">
        <f t="shared" si="6147"/>
        <v>THEAGENE</v>
      </c>
      <c r="D16934">
        <f>11</f>
        <v>11</v>
      </c>
      <c r="E16934" t="str">
        <f>"05 - S1 - B - 102 - Lissa C Frederique"</f>
        <v>05 - S1 - B - 102 - Lissa C Frederique</v>
      </c>
      <c r="F16934" t="str">
        <f>"PERS FIN &amp; MON MGT H"</f>
        <v>PERS FIN &amp; MON MGT H</v>
      </c>
      <c r="G16934" t="str">
        <f>"17-1754"</f>
        <v>17-1754</v>
      </c>
      <c r="H16934" t="str">
        <f>"B"</f>
        <v>B</v>
      </c>
    </row>
    <row r="16935" spans="1:8" x14ac:dyDescent="0.2">
      <c r="A16935" t="str">
        <f t="shared" si="6145"/>
        <v>0615055218</v>
      </c>
      <c r="B16935" t="str">
        <f t="shared" si="6146"/>
        <v>FRADNESHA</v>
      </c>
      <c r="C16935" t="str">
        <f t="shared" si="6147"/>
        <v>THEAGENE</v>
      </c>
      <c r="D16935">
        <f>11</f>
        <v>11</v>
      </c>
      <c r="E16935" t="str">
        <f>"01 - A - 001 - Dorothy D Moore"</f>
        <v>01 - A - 001 - Dorothy D Moore</v>
      </c>
      <c r="F16935" t="str">
        <f>"ANAT PHYSIO HON"</f>
        <v>ANAT PHYSIO HON</v>
      </c>
      <c r="G16935" t="str">
        <f>"08-803"</f>
        <v>08-803</v>
      </c>
      <c r="H16935" t="str">
        <f>"A"</f>
        <v>A</v>
      </c>
    </row>
    <row r="16936" spans="1:8" x14ac:dyDescent="0.2">
      <c r="A16936" t="str">
        <f t="shared" si="6145"/>
        <v>0615055218</v>
      </c>
      <c r="B16936" t="str">
        <f t="shared" si="6146"/>
        <v>FRADNESHA</v>
      </c>
      <c r="C16936" t="str">
        <f t="shared" si="6147"/>
        <v>THEAGENE</v>
      </c>
      <c r="D16936">
        <f>11</f>
        <v>11</v>
      </c>
      <c r="E16936" t="str">
        <f>"08 - B - 103 - Joe  Kilpatrick Jr"</f>
        <v>08 - B - 103 - Joe  Kilpatrick Jr</v>
      </c>
      <c r="F16936" t="str">
        <f>"PRE-AICE SPAN 2 IG"</f>
        <v>PRE-AICE SPAN 2 IG</v>
      </c>
      <c r="G16936" t="str">
        <f>"09-912"</f>
        <v>09-912</v>
      </c>
      <c r="H16936" t="str">
        <f>"B"</f>
        <v>B</v>
      </c>
    </row>
    <row r="16937" spans="1:8" x14ac:dyDescent="0.2">
      <c r="A16937" t="str">
        <f t="shared" ref="A16937:A16944" si="6148">"0615115824"</f>
        <v>0615115824</v>
      </c>
      <c r="B16937" t="str">
        <f t="shared" ref="B16937:B16944" si="6149">"KEISHA"</f>
        <v>KEISHA</v>
      </c>
      <c r="C16937" t="str">
        <f t="shared" ref="C16937:C16960" si="6150">"THERVIL"</f>
        <v>THERVIL</v>
      </c>
      <c r="D16937">
        <f>10</f>
        <v>10</v>
      </c>
      <c r="E16937" t="str">
        <f>"04 - A - 105 - Jacklyn M James"</f>
        <v>04 - A - 105 - Jacklyn M James</v>
      </c>
      <c r="F16937" t="str">
        <f>"AICE ENG LANG AS"</f>
        <v>AICE ENG LANG AS</v>
      </c>
      <c r="G16937" t="str">
        <f>"17-1731"</f>
        <v>17-1731</v>
      </c>
      <c r="H16937" t="str">
        <f>"A"</f>
        <v>A</v>
      </c>
    </row>
    <row r="16938" spans="1:8" x14ac:dyDescent="0.2">
      <c r="A16938" t="str">
        <f t="shared" si="6148"/>
        <v>0615115824</v>
      </c>
      <c r="B16938" t="str">
        <f t="shared" si="6149"/>
        <v>KEISHA</v>
      </c>
      <c r="C16938" t="str">
        <f t="shared" si="6150"/>
        <v>THERVIL</v>
      </c>
      <c r="D16938">
        <f>10</f>
        <v>10</v>
      </c>
      <c r="E16938" t="str">
        <f>"06 - B - 103 - Thomas G Handwerg"</f>
        <v>06 - B - 103 - Thomas G Handwerg</v>
      </c>
      <c r="F16938" t="str">
        <f>"NC STUDY HALL 1"</f>
        <v>NC STUDY HALL 1</v>
      </c>
      <c r="G16938" t="str">
        <f>"21-2146"</f>
        <v>21-2146</v>
      </c>
      <c r="H16938" t="str">
        <f>"B"</f>
        <v>B</v>
      </c>
    </row>
    <row r="16939" spans="1:8" x14ac:dyDescent="0.2">
      <c r="A16939" t="str">
        <f t="shared" si="6148"/>
        <v>0615115824</v>
      </c>
      <c r="B16939" t="str">
        <f t="shared" si="6149"/>
        <v>KEISHA</v>
      </c>
      <c r="C16939" t="str">
        <f t="shared" si="6150"/>
        <v>THERVIL</v>
      </c>
      <c r="D16939">
        <f>10</f>
        <v>10</v>
      </c>
      <c r="E16939" t="str">
        <f>"03 - A - 104 - Brook E Goren"</f>
        <v>03 - A - 104 - Brook E Goren</v>
      </c>
      <c r="F16939" t="str">
        <f>"ALGEBRA 2 HON"</f>
        <v>ALGEBRA 2 HON</v>
      </c>
      <c r="G16939" t="str">
        <f>"21-2158"</f>
        <v>21-2158</v>
      </c>
      <c r="H16939" t="str">
        <f>"A"</f>
        <v>A</v>
      </c>
    </row>
    <row r="16940" spans="1:8" x14ac:dyDescent="0.2">
      <c r="A16940" t="str">
        <f t="shared" si="6148"/>
        <v>0615115824</v>
      </c>
      <c r="B16940" t="str">
        <f t="shared" si="6149"/>
        <v>KEISHA</v>
      </c>
      <c r="C16940" t="str">
        <f t="shared" si="6150"/>
        <v>THERVIL</v>
      </c>
      <c r="D16940">
        <f>10</f>
        <v>10</v>
      </c>
      <c r="E16940" t="str">
        <f>"02 - A - 102 - Chrystina M Marchionne"</f>
        <v>02 - A - 102 - Chrystina M Marchionne</v>
      </c>
      <c r="F16940" t="str">
        <f>"AICE MEDIASTUDIES AS"</f>
        <v>AICE MEDIASTUDIES AS</v>
      </c>
      <c r="G16940" t="str">
        <f>"05-520"</f>
        <v>05-520</v>
      </c>
      <c r="H16940" t="str">
        <f>"A"</f>
        <v>A</v>
      </c>
    </row>
    <row r="16941" spans="1:8" x14ac:dyDescent="0.2">
      <c r="A16941" t="str">
        <f t="shared" si="6148"/>
        <v>0615115824</v>
      </c>
      <c r="B16941" t="str">
        <f t="shared" si="6149"/>
        <v>KEISHA</v>
      </c>
      <c r="C16941" t="str">
        <f t="shared" si="6150"/>
        <v>THERVIL</v>
      </c>
      <c r="D16941">
        <f>10</f>
        <v>10</v>
      </c>
      <c r="E16941" t="str">
        <f>"07 - B - 102 - Timothy J Lawrence"</f>
        <v>07 - B - 102 - Timothy J Lawrence</v>
      </c>
      <c r="F16941" t="str">
        <f>"AICE PHYS ED 1 AS"</f>
        <v>AICE PHYS ED 1 AS</v>
      </c>
      <c r="G16941" t="str">
        <f>"05-523"</f>
        <v>05-523</v>
      </c>
      <c r="H16941" t="str">
        <f>"B"</f>
        <v>B</v>
      </c>
    </row>
    <row r="16942" spans="1:8" x14ac:dyDescent="0.2">
      <c r="A16942" t="str">
        <f t="shared" si="6148"/>
        <v>0615115824</v>
      </c>
      <c r="B16942" t="str">
        <f t="shared" si="6149"/>
        <v>KEISHA</v>
      </c>
      <c r="C16942" t="str">
        <f t="shared" si="6150"/>
        <v>THERVIL</v>
      </c>
      <c r="D16942">
        <f>10</f>
        <v>10</v>
      </c>
      <c r="E16942" t="str">
        <f>"05 - B - 108 - Valerie J Ruwe"</f>
        <v>05 - B - 108 - Valerie J Ruwe</v>
      </c>
      <c r="F16942" t="str">
        <f>"CHEMISTRY 1 HON"</f>
        <v>CHEMISTRY 1 HON</v>
      </c>
      <c r="G16942" t="str">
        <f>"21-2138"</f>
        <v>21-2138</v>
      </c>
      <c r="H16942" t="str">
        <f>"B"</f>
        <v>B</v>
      </c>
    </row>
    <row r="16943" spans="1:8" x14ac:dyDescent="0.2">
      <c r="A16943" t="str">
        <f t="shared" si="6148"/>
        <v>0615115824</v>
      </c>
      <c r="B16943" t="str">
        <f t="shared" si="6149"/>
        <v>KEISHA</v>
      </c>
      <c r="C16943" t="str">
        <f t="shared" si="6150"/>
        <v>THERVIL</v>
      </c>
      <c r="D16943">
        <f>10</f>
        <v>10</v>
      </c>
      <c r="E16943" t="str">
        <f>"01 - A - 001 - Lenecy  Nodarse"</f>
        <v>01 - A - 001 - Lenecy  Nodarse</v>
      </c>
      <c r="F16943" t="str">
        <f>"AICE EURO HIST 1 AS"</f>
        <v>AICE EURO HIST 1 AS</v>
      </c>
      <c r="G16943" t="str">
        <f>"17-1741"</f>
        <v>17-1741</v>
      </c>
      <c r="H16943" t="str">
        <f>"A"</f>
        <v>A</v>
      </c>
    </row>
    <row r="16944" spans="1:8" x14ac:dyDescent="0.2">
      <c r="A16944" t="str">
        <f t="shared" si="6148"/>
        <v>0615115824</v>
      </c>
      <c r="B16944" t="str">
        <f t="shared" si="6149"/>
        <v>KEISHA</v>
      </c>
      <c r="C16944" t="str">
        <f t="shared" si="6150"/>
        <v>THERVIL</v>
      </c>
      <c r="D16944">
        <f>10</f>
        <v>10</v>
      </c>
      <c r="E16944" t="str">
        <f>"08 - B - 201 - Tina M Jaramillo"</f>
        <v>08 - B - 201 - Tina M Jaramillo</v>
      </c>
      <c r="F16944" t="str">
        <f>"CREATIVE WRIT 3 HON"</f>
        <v>CREATIVE WRIT 3 HON</v>
      </c>
      <c r="G16944" t="str">
        <f>"17-1706"</f>
        <v>17-1706</v>
      </c>
      <c r="H16944" t="str">
        <f>"B"</f>
        <v>B</v>
      </c>
    </row>
    <row r="16945" spans="1:8" x14ac:dyDescent="0.2">
      <c r="A16945" t="str">
        <f t="shared" ref="A16945:A16952" si="6151">"0614040266"</f>
        <v>0614040266</v>
      </c>
      <c r="B16945" t="str">
        <f t="shared" ref="B16945:B16952" si="6152">"LYNE"</f>
        <v>LYNE</v>
      </c>
      <c r="C16945" t="str">
        <f t="shared" si="6150"/>
        <v>THERVIL</v>
      </c>
      <c r="D16945">
        <f>12</f>
        <v>12</v>
      </c>
      <c r="E16945" t="str">
        <f>"04 - A - 205 - Jacqueline R Morphet"</f>
        <v>04 - A - 205 - Jacqueline R Morphet</v>
      </c>
      <c r="F16945" t="str">
        <f>"PHYSICS 1 HON"</f>
        <v>PHYSICS 1 HON</v>
      </c>
      <c r="G16945" t="str">
        <f>"21-2138"</f>
        <v>21-2138</v>
      </c>
      <c r="H16945" t="str">
        <f>"A"</f>
        <v>A</v>
      </c>
    </row>
    <row r="16946" spans="1:8" x14ac:dyDescent="0.2">
      <c r="A16946" t="str">
        <f t="shared" si="6151"/>
        <v>0614040266</v>
      </c>
      <c r="B16946" t="str">
        <f t="shared" si="6152"/>
        <v>LYNE</v>
      </c>
      <c r="C16946" t="str">
        <f t="shared" si="6150"/>
        <v>THERVIL</v>
      </c>
      <c r="D16946">
        <f>12</f>
        <v>12</v>
      </c>
      <c r="E16946" t="str">
        <f>"06 - B - 001 - Robert O Burger"</f>
        <v>06 - B - 001 - Robert O Burger</v>
      </c>
      <c r="F16946" t="str">
        <f>"NC STUDY HALL 1"</f>
        <v>NC STUDY HALL 1</v>
      </c>
      <c r="G16946" t="str">
        <f>"17-1755"</f>
        <v>17-1755</v>
      </c>
      <c r="H16946" t="str">
        <f>"B"</f>
        <v>B</v>
      </c>
    </row>
    <row r="16947" spans="1:8" x14ac:dyDescent="0.2">
      <c r="A16947" t="str">
        <f t="shared" si="6151"/>
        <v>0614040266</v>
      </c>
      <c r="B16947" t="str">
        <f t="shared" si="6152"/>
        <v>LYNE</v>
      </c>
      <c r="C16947" t="str">
        <f t="shared" si="6150"/>
        <v>THERVIL</v>
      </c>
      <c r="D16947">
        <f>12</f>
        <v>12</v>
      </c>
      <c r="E16947" t="str">
        <f>"03 - A - 101 - Lourivaldo  Da Silva"</f>
        <v>03 - A - 101 - Lourivaldo  Da Silva</v>
      </c>
      <c r="F16947" t="str">
        <f>"AP STAT"</f>
        <v>AP STAT</v>
      </c>
      <c r="G16947" t="str">
        <f>"20-2079"</f>
        <v>20-2079</v>
      </c>
      <c r="H16947" t="str">
        <f>"A"</f>
        <v>A</v>
      </c>
    </row>
    <row r="16948" spans="1:8" x14ac:dyDescent="0.2">
      <c r="A16948" t="str">
        <f t="shared" si="6151"/>
        <v>0614040266</v>
      </c>
      <c r="B16948" t="str">
        <f t="shared" si="6152"/>
        <v>LYNE</v>
      </c>
      <c r="C16948" t="str">
        <f t="shared" si="6150"/>
        <v>THERVIL</v>
      </c>
      <c r="D16948">
        <f>12</f>
        <v>12</v>
      </c>
      <c r="E16948" t="str">
        <f>"02 - A - 102 - Norayda D Suarez"</f>
        <v>02 - A - 102 - Norayda D Suarez</v>
      </c>
      <c r="F16948" t="str">
        <f>"RESEARCH 1 LH"</f>
        <v>RESEARCH 1 LH</v>
      </c>
      <c r="G16948">
        <f>2041</f>
        <v>2041</v>
      </c>
      <c r="H16948" t="str">
        <f>"A"</f>
        <v>A</v>
      </c>
    </row>
    <row r="16949" spans="1:8" x14ac:dyDescent="0.2">
      <c r="A16949" t="str">
        <f t="shared" si="6151"/>
        <v>0614040266</v>
      </c>
      <c r="B16949" t="str">
        <f t="shared" si="6152"/>
        <v>LYNE</v>
      </c>
      <c r="C16949" t="str">
        <f t="shared" si="6150"/>
        <v>THERVIL</v>
      </c>
      <c r="D16949">
        <f>12</f>
        <v>12</v>
      </c>
      <c r="E16949" t="str">
        <f>"07 - B - 204 - Stefanie S Scher"</f>
        <v>07 - B - 204 - Stefanie S Scher</v>
      </c>
      <c r="F16949" t="str">
        <f>"AP PSYCH"</f>
        <v>AP PSYCH</v>
      </c>
      <c r="G16949" t="str">
        <f>"17-1735"</f>
        <v>17-1735</v>
      </c>
      <c r="H16949" t="str">
        <f>"B"</f>
        <v>B</v>
      </c>
    </row>
    <row r="16950" spans="1:8" x14ac:dyDescent="0.2">
      <c r="A16950" t="str">
        <f t="shared" si="6151"/>
        <v>0614040266</v>
      </c>
      <c r="B16950" t="str">
        <f t="shared" si="6152"/>
        <v>LYNE</v>
      </c>
      <c r="C16950" t="str">
        <f t="shared" si="6150"/>
        <v>THERVIL</v>
      </c>
      <c r="D16950">
        <f>12</f>
        <v>12</v>
      </c>
      <c r="E16950" t="str">
        <f>"05 - S1 - B - 103 - Stephen T Ripp"</f>
        <v>05 - S1 - B - 103 - Stephen T Ripp</v>
      </c>
      <c r="F16950" t="str">
        <f>"AP US GOVT/POL"</f>
        <v>AP US GOVT/POL</v>
      </c>
      <c r="G16950" t="str">
        <f>"17-1744"</f>
        <v>17-1744</v>
      </c>
      <c r="H16950" t="str">
        <f>"B"</f>
        <v>B</v>
      </c>
    </row>
    <row r="16951" spans="1:8" x14ac:dyDescent="0.2">
      <c r="A16951" t="str">
        <f t="shared" si="6151"/>
        <v>0614040266</v>
      </c>
      <c r="B16951" t="str">
        <f t="shared" si="6152"/>
        <v>LYNE</v>
      </c>
      <c r="C16951" t="str">
        <f t="shared" si="6150"/>
        <v>THERVIL</v>
      </c>
      <c r="D16951">
        <f>12</f>
        <v>12</v>
      </c>
      <c r="E16951" t="str">
        <f>"01 - A - 204 - Tina M Jaramillo"</f>
        <v>01 - A - 204 - Tina M Jaramillo</v>
      </c>
      <c r="F16951" t="str">
        <f>"AP ENG LIT COMPO"</f>
        <v>AP ENG LIT COMPO</v>
      </c>
      <c r="G16951" t="str">
        <f>"17-1706"</f>
        <v>17-1706</v>
      </c>
      <c r="H16951" t="str">
        <f>"A"</f>
        <v>A</v>
      </c>
    </row>
    <row r="16952" spans="1:8" x14ac:dyDescent="0.2">
      <c r="A16952" t="str">
        <f t="shared" si="6151"/>
        <v>0614040266</v>
      </c>
      <c r="B16952" t="str">
        <f t="shared" si="6152"/>
        <v>LYNE</v>
      </c>
      <c r="C16952" t="str">
        <f t="shared" si="6150"/>
        <v>THERVIL</v>
      </c>
      <c r="D16952">
        <f>12</f>
        <v>12</v>
      </c>
      <c r="E16952" t="str">
        <f>"08 - B - 102 - Lisa J London"</f>
        <v>08 - B - 102 - Lisa J London</v>
      </c>
      <c r="F16952" t="str">
        <f>"AP CAPSTONE RESEARCH"</f>
        <v>AP CAPSTONE RESEARCH</v>
      </c>
      <c r="G16952" t="str">
        <f>"17-1714"</f>
        <v>17-1714</v>
      </c>
      <c r="H16952" t="str">
        <f>"B"</f>
        <v>B</v>
      </c>
    </row>
    <row r="16953" spans="1:8" x14ac:dyDescent="0.2">
      <c r="A16953" t="str">
        <f t="shared" ref="A16953:A16960" si="6153">"0613068971"</f>
        <v>0613068971</v>
      </c>
      <c r="B16953" t="str">
        <f t="shared" ref="B16953:B16960" si="6154">"MYTANA"</f>
        <v>MYTANA</v>
      </c>
      <c r="C16953" t="str">
        <f t="shared" si="6150"/>
        <v>THERVIL</v>
      </c>
      <c r="D16953">
        <f>12</f>
        <v>12</v>
      </c>
      <c r="E16953" t="str">
        <f>"04 - A - 101 - Thomas G Handwerg"</f>
        <v>04 - A - 101 - Thomas G Handwerg</v>
      </c>
      <c r="F16953" t="str">
        <f>"MATH COLL ALGEBRA"</f>
        <v>MATH COLL ALGEBRA</v>
      </c>
      <c r="G16953" t="str">
        <f>"21-2146"</f>
        <v>21-2146</v>
      </c>
      <c r="H16953" t="str">
        <f>"A"</f>
        <v>A</v>
      </c>
    </row>
    <row r="16954" spans="1:8" x14ac:dyDescent="0.2">
      <c r="A16954" t="str">
        <f t="shared" si="6153"/>
        <v>0613068971</v>
      </c>
      <c r="B16954" t="str">
        <f t="shared" si="6154"/>
        <v>MYTANA</v>
      </c>
      <c r="C16954" t="str">
        <f t="shared" si="6150"/>
        <v>THERVIL</v>
      </c>
      <c r="D16954">
        <f>12</f>
        <v>12</v>
      </c>
      <c r="E16954" t="str">
        <f>"06 - B - 113 - Marielle A Witting"</f>
        <v>06 - B - 113 - Marielle A Witting</v>
      </c>
      <c r="F16954" t="str">
        <f>"NC STUDY HALL 1"</f>
        <v>NC STUDY HALL 1</v>
      </c>
      <c r="G16954" t="str">
        <f>"08-805"</f>
        <v>08-805</v>
      </c>
      <c r="H16954" t="str">
        <f>"B"</f>
        <v>B</v>
      </c>
    </row>
    <row r="16955" spans="1:8" x14ac:dyDescent="0.2">
      <c r="A16955" t="str">
        <f t="shared" si="6153"/>
        <v>0613068971</v>
      </c>
      <c r="B16955" t="str">
        <f t="shared" si="6154"/>
        <v>MYTANA</v>
      </c>
      <c r="C16955" t="str">
        <f t="shared" si="6150"/>
        <v>THERVIL</v>
      </c>
      <c r="D16955">
        <f>12</f>
        <v>12</v>
      </c>
      <c r="E16955" t="str">
        <f>"03 - A - 101 - Samantha L Martinez"</f>
        <v>03 - A - 101 - Samantha L Martinez</v>
      </c>
      <c r="F16955" t="str">
        <f>"VOCAL ENS 1"</f>
        <v>VOCAL ENS 1</v>
      </c>
      <c r="G16955" t="str">
        <f>"05-505"</f>
        <v>05-505</v>
      </c>
      <c r="H16955" t="str">
        <f>"A"</f>
        <v>A</v>
      </c>
    </row>
    <row r="16956" spans="1:8" x14ac:dyDescent="0.2">
      <c r="A16956" t="str">
        <f t="shared" si="6153"/>
        <v>0613068971</v>
      </c>
      <c r="B16956" t="str">
        <f t="shared" si="6154"/>
        <v>MYTANA</v>
      </c>
      <c r="C16956" t="str">
        <f t="shared" si="6150"/>
        <v>THERVIL</v>
      </c>
      <c r="D16956">
        <f>12</f>
        <v>12</v>
      </c>
      <c r="E16956" t="str">
        <f>"02 - A - 101 - Robyn L Trainer"</f>
        <v>02 - A - 101 - Robyn L Trainer</v>
      </c>
      <c r="F16956" t="str">
        <f>"ENG 4"</f>
        <v>ENG 4</v>
      </c>
      <c r="G16956" t="str">
        <f>"17-1734"</f>
        <v>17-1734</v>
      </c>
      <c r="H16956" t="str">
        <f>"A"</f>
        <v>A</v>
      </c>
    </row>
    <row r="16957" spans="1:8" x14ac:dyDescent="0.2">
      <c r="A16957" t="str">
        <f t="shared" si="6153"/>
        <v>0613068971</v>
      </c>
      <c r="B16957" t="str">
        <f t="shared" si="6154"/>
        <v>MYTANA</v>
      </c>
      <c r="C16957" t="str">
        <f t="shared" si="6150"/>
        <v>THERVIL</v>
      </c>
      <c r="D16957">
        <f>12</f>
        <v>12</v>
      </c>
      <c r="E16957" t="str">
        <f>"07 - S1 - B - 103 - Robert O Burger"</f>
        <v>07 - S1 - B - 103 - Robert O Burger</v>
      </c>
      <c r="F16957" t="str">
        <f>"US GOVT"</f>
        <v>US GOVT</v>
      </c>
      <c r="G16957" t="str">
        <f>"17-1755"</f>
        <v>17-1755</v>
      </c>
      <c r="H16957" t="str">
        <f>"B"</f>
        <v>B</v>
      </c>
    </row>
    <row r="16958" spans="1:8" x14ac:dyDescent="0.2">
      <c r="A16958" t="str">
        <f t="shared" si="6153"/>
        <v>0613068971</v>
      </c>
      <c r="B16958" t="str">
        <f t="shared" si="6154"/>
        <v>MYTANA</v>
      </c>
      <c r="C16958" t="str">
        <f t="shared" si="6150"/>
        <v>THERVIL</v>
      </c>
      <c r="D16958">
        <f>12</f>
        <v>12</v>
      </c>
      <c r="E16958" t="str">
        <f>"05 - B - 204 - Cliffon  Saurel"</f>
        <v>05 - B - 204 - Cliffon  Saurel</v>
      </c>
      <c r="F16958" t="str">
        <f>"PHYSICAL SCI"</f>
        <v>PHYSICAL SCI</v>
      </c>
      <c r="G16958" t="str">
        <f>"05-522"</f>
        <v>05-522</v>
      </c>
      <c r="H16958" t="str">
        <f>"B"</f>
        <v>B</v>
      </c>
    </row>
    <row r="16959" spans="1:8" x14ac:dyDescent="0.2">
      <c r="A16959" t="str">
        <f t="shared" si="6153"/>
        <v>0613068971</v>
      </c>
      <c r="B16959" t="str">
        <f t="shared" si="6154"/>
        <v>MYTANA</v>
      </c>
      <c r="C16959" t="str">
        <f t="shared" si="6150"/>
        <v>THERVIL</v>
      </c>
      <c r="D16959">
        <f>12</f>
        <v>12</v>
      </c>
      <c r="E16959" t="str">
        <f>"01 - S1 - A - 101 - Leslie J Barton"</f>
        <v>01 - S1 - A - 101 - Leslie J Barton</v>
      </c>
      <c r="F16959" t="str">
        <f>"FIRST AID SAFETY"</f>
        <v>FIRST AID SAFETY</v>
      </c>
      <c r="G16959" t="str">
        <f>"05-521"</f>
        <v>05-521</v>
      </c>
      <c r="H16959" t="str">
        <f>"A"</f>
        <v>A</v>
      </c>
    </row>
    <row r="16960" spans="1:8" x14ac:dyDescent="0.2">
      <c r="A16960" t="str">
        <f t="shared" si="6153"/>
        <v>0613068971</v>
      </c>
      <c r="B16960" t="str">
        <f t="shared" si="6154"/>
        <v>MYTANA</v>
      </c>
      <c r="C16960" t="str">
        <f t="shared" si="6150"/>
        <v>THERVIL</v>
      </c>
      <c r="D16960">
        <f>12</f>
        <v>12</v>
      </c>
      <c r="E16960" t="str">
        <f>"08 - B - 103 - Joe  Kilpatrick Jr"</f>
        <v>08 - B - 103 - Joe  Kilpatrick Jr</v>
      </c>
      <c r="F16960" t="str">
        <f>"PRE-AICE SPAN 2 IG"</f>
        <v>PRE-AICE SPAN 2 IG</v>
      </c>
      <c r="G16960" t="str">
        <f>"09-912"</f>
        <v>09-912</v>
      </c>
      <c r="H16960" t="str">
        <f>"B"</f>
        <v>B</v>
      </c>
    </row>
    <row r="16961" spans="1:8" x14ac:dyDescent="0.2">
      <c r="A16961" t="str">
        <f t="shared" ref="A16961:A16968" si="6155">"0626008317"</f>
        <v>0626008317</v>
      </c>
      <c r="B16961" t="str">
        <f t="shared" ref="B16961:B16968" si="6156">"Lashawna"</f>
        <v>Lashawna</v>
      </c>
      <c r="C16961" t="str">
        <f t="shared" ref="C16961:C16968" si="6157">"Thomas"</f>
        <v>Thomas</v>
      </c>
      <c r="D16961">
        <f>11</f>
        <v>11</v>
      </c>
      <c r="E16961" t="str">
        <f>"04 - A - 102 - Elizabeth Ellen  Moran"</f>
        <v>04 - A - 102 - Elizabeth Ellen  Moran</v>
      </c>
      <c r="F16961" t="str">
        <f>"US HISTORY"</f>
        <v>US HISTORY</v>
      </c>
      <c r="G16961" t="str">
        <f>"17-1752"</f>
        <v>17-1752</v>
      </c>
      <c r="H16961" t="str">
        <f>"A"</f>
        <v>A</v>
      </c>
    </row>
    <row r="16962" spans="1:8" x14ac:dyDescent="0.2">
      <c r="A16962" t="str">
        <f t="shared" si="6155"/>
        <v>0626008317</v>
      </c>
      <c r="B16962" t="str">
        <f t="shared" si="6156"/>
        <v>Lashawna</v>
      </c>
      <c r="C16962" t="str">
        <f t="shared" si="6157"/>
        <v>Thomas</v>
      </c>
      <c r="D16962">
        <f>11</f>
        <v>11</v>
      </c>
      <c r="E16962" t="str">
        <f>"06 - B - 202 - Brian M Fitzgerald"</f>
        <v>06 - B - 202 - Brian M Fitzgerald</v>
      </c>
      <c r="F16962" t="str">
        <f>"DRAW 1"</f>
        <v>DRAW 1</v>
      </c>
      <c r="G16962" t="str">
        <f>"09-908"</f>
        <v>09-908</v>
      </c>
      <c r="H16962" t="str">
        <f>"B"</f>
        <v>B</v>
      </c>
    </row>
    <row r="16963" spans="1:8" x14ac:dyDescent="0.2">
      <c r="A16963" t="str">
        <f t="shared" si="6155"/>
        <v>0626008317</v>
      </c>
      <c r="B16963" t="str">
        <f t="shared" si="6156"/>
        <v>Lashawna</v>
      </c>
      <c r="C16963" t="str">
        <f t="shared" si="6157"/>
        <v>Thomas</v>
      </c>
      <c r="D16963">
        <f>11</f>
        <v>11</v>
      </c>
      <c r="E16963" t="str">
        <f>"03 - A - 102 - Lisa  Quinn"</f>
        <v>03 - A - 102 - Lisa  Quinn</v>
      </c>
      <c r="F16963" t="str">
        <f>"ENG 3"</f>
        <v>ENG 3</v>
      </c>
      <c r="G16963" t="str">
        <f>"17-1725"</f>
        <v>17-1725</v>
      </c>
      <c r="H16963" t="str">
        <f>"A"</f>
        <v>A</v>
      </c>
    </row>
    <row r="16964" spans="1:8" x14ac:dyDescent="0.2">
      <c r="A16964" t="str">
        <f t="shared" si="6155"/>
        <v>0626008317</v>
      </c>
      <c r="B16964" t="str">
        <f t="shared" si="6156"/>
        <v>Lashawna</v>
      </c>
      <c r="C16964" t="str">
        <f t="shared" si="6157"/>
        <v>Thomas</v>
      </c>
      <c r="D16964">
        <f>11</f>
        <v>11</v>
      </c>
      <c r="E16964" t="str">
        <f>"02 - A - 105 - Leslie J Barton"</f>
        <v>02 - A - 105 - Leslie J Barton</v>
      </c>
      <c r="F16964" t="str">
        <f>"NC STUDY HALL 1"</f>
        <v>NC STUDY HALL 1</v>
      </c>
      <c r="G16964" t="str">
        <f>"05-521"</f>
        <v>05-521</v>
      </c>
      <c r="H16964" t="str">
        <f>"A"</f>
        <v>A</v>
      </c>
    </row>
    <row r="16965" spans="1:8" x14ac:dyDescent="0.2">
      <c r="A16965" t="str">
        <f t="shared" si="6155"/>
        <v>0626008317</v>
      </c>
      <c r="B16965" t="str">
        <f t="shared" si="6156"/>
        <v>Lashawna</v>
      </c>
      <c r="C16965" t="str">
        <f t="shared" si="6157"/>
        <v>Thomas</v>
      </c>
      <c r="D16965">
        <f>11</f>
        <v>11</v>
      </c>
      <c r="E16965" t="str">
        <f>"07 - B - 107 - Lytrell T Dixon"</f>
        <v>07 - B - 107 - Lytrell T Dixon</v>
      </c>
      <c r="F16965" t="str">
        <f>"BIOLOGY 1"</f>
        <v>BIOLOGY 1</v>
      </c>
      <c r="G16965" t="str">
        <f>"08-808"</f>
        <v>08-808</v>
      </c>
      <c r="H16965" t="str">
        <f>"B"</f>
        <v>B</v>
      </c>
    </row>
    <row r="16966" spans="1:8" x14ac:dyDescent="0.2">
      <c r="A16966" t="str">
        <f t="shared" si="6155"/>
        <v>0626008317</v>
      </c>
      <c r="B16966" t="str">
        <f t="shared" si="6156"/>
        <v>Lashawna</v>
      </c>
      <c r="C16966" t="str">
        <f t="shared" si="6157"/>
        <v>Thomas</v>
      </c>
      <c r="D16966">
        <f>11</f>
        <v>11</v>
      </c>
      <c r="E16966" t="str">
        <f>"05 - B - 103 - Nahum  Saint-Preux"</f>
        <v>05 - B - 103 - Nahum  Saint-Preux</v>
      </c>
      <c r="F16966" t="str">
        <f>"INTENS READ 3"</f>
        <v>INTENS READ 3</v>
      </c>
      <c r="G16966" t="str">
        <f>"17-1712"</f>
        <v>17-1712</v>
      </c>
      <c r="H16966" t="str">
        <f>"B"</f>
        <v>B</v>
      </c>
    </row>
    <row r="16967" spans="1:8" x14ac:dyDescent="0.2">
      <c r="A16967" t="str">
        <f t="shared" si="6155"/>
        <v>0626008317</v>
      </c>
      <c r="B16967" t="str">
        <f t="shared" si="6156"/>
        <v>Lashawna</v>
      </c>
      <c r="C16967" t="str">
        <f t="shared" si="6157"/>
        <v>Thomas</v>
      </c>
      <c r="D16967">
        <f>11</f>
        <v>11</v>
      </c>
      <c r="E16967" t="str">
        <f>"01 - A - 102 - Fernando  Vega-Cid"</f>
        <v>01 - A - 102 - Fernando  Vega-Cid</v>
      </c>
      <c r="F16967" t="str">
        <f>"GEOMETRY"</f>
        <v>GEOMETRY</v>
      </c>
      <c r="G16967" t="str">
        <f>"21-2163"</f>
        <v>21-2163</v>
      </c>
      <c r="H16967" t="str">
        <f>"A"</f>
        <v>A</v>
      </c>
    </row>
    <row r="16968" spans="1:8" x14ac:dyDescent="0.2">
      <c r="A16968" t="str">
        <f t="shared" si="6155"/>
        <v>0626008317</v>
      </c>
      <c r="B16968" t="str">
        <f t="shared" si="6156"/>
        <v>Lashawna</v>
      </c>
      <c r="C16968" t="str">
        <f t="shared" si="6157"/>
        <v>Thomas</v>
      </c>
      <c r="D16968">
        <f>11</f>
        <v>11</v>
      </c>
      <c r="E16968" t="str">
        <f>"08 - S1 - B - 105 - James H Mccann"</f>
        <v>08 - S1 - B - 105 - James H Mccann</v>
      </c>
      <c r="F16968" t="str">
        <f>"PERS FIN &amp; MON MGT H"</f>
        <v>PERS FIN &amp; MON MGT H</v>
      </c>
      <c r="G16968" t="str">
        <f>"17-1716"</f>
        <v>17-1716</v>
      </c>
      <c r="H16968" t="str">
        <f>"B"</f>
        <v>B</v>
      </c>
    </row>
    <row r="16969" spans="1:8" x14ac:dyDescent="0.2">
      <c r="A16969" t="str">
        <f t="shared" ref="A16969:A16976" si="6158">"0616013836"</f>
        <v>0616013836</v>
      </c>
      <c r="B16969" t="str">
        <f t="shared" ref="B16969:B16976" si="6159">"CASSANDRA"</f>
        <v>CASSANDRA</v>
      </c>
      <c r="C16969" t="str">
        <f t="shared" ref="C16969:C17000" si="6160">"THOMAS"</f>
        <v>THOMAS</v>
      </c>
      <c r="D16969">
        <f>11</f>
        <v>11</v>
      </c>
      <c r="E16969" t="str">
        <f>"04 - S1 - A - 103 - Rory T Sponsler"</f>
        <v>04 - S1 - A - 103 - Rory T Sponsler</v>
      </c>
      <c r="F16969" t="str">
        <f>"WOMENS STUDIES LH"</f>
        <v>WOMENS STUDIES LH</v>
      </c>
      <c r="G16969" t="str">
        <f>"17-1740"</f>
        <v>17-1740</v>
      </c>
      <c r="H16969" t="str">
        <f>"A"</f>
        <v>A</v>
      </c>
    </row>
    <row r="16970" spans="1:8" x14ac:dyDescent="0.2">
      <c r="A16970" t="str">
        <f t="shared" si="6158"/>
        <v>0616013836</v>
      </c>
      <c r="B16970" t="str">
        <f t="shared" si="6159"/>
        <v>CASSANDRA</v>
      </c>
      <c r="C16970" t="str">
        <f t="shared" si="6160"/>
        <v>THOMAS</v>
      </c>
      <c r="D16970">
        <f>11</f>
        <v>11</v>
      </c>
      <c r="E16970" t="str">
        <f>"06 - B - 204 - Chrystina M Marchionne"</f>
        <v>06 - B - 204 - Chrystina M Marchionne</v>
      </c>
      <c r="F16970" t="str">
        <f>"AICE MEDIASTUDIES AS"</f>
        <v>AICE MEDIASTUDIES AS</v>
      </c>
      <c r="G16970" t="str">
        <f>"05-520"</f>
        <v>05-520</v>
      </c>
      <c r="H16970" t="str">
        <f>"B"</f>
        <v>B</v>
      </c>
    </row>
    <row r="16971" spans="1:8" x14ac:dyDescent="0.2">
      <c r="A16971" t="str">
        <f t="shared" si="6158"/>
        <v>0616013836</v>
      </c>
      <c r="B16971" t="str">
        <f t="shared" si="6159"/>
        <v>CASSANDRA</v>
      </c>
      <c r="C16971" t="str">
        <f t="shared" si="6160"/>
        <v>THOMAS</v>
      </c>
      <c r="D16971">
        <f>11</f>
        <v>11</v>
      </c>
      <c r="E16971" t="str">
        <f>"03 - A - 101 - Scott A Dethloff"</f>
        <v>03 - A - 101 - Scott A Dethloff</v>
      </c>
      <c r="F16971" t="str">
        <f>"CHEMISTRY 1 HON"</f>
        <v>CHEMISTRY 1 HON</v>
      </c>
      <c r="G16971" t="str">
        <f>"08-812"</f>
        <v>08-812</v>
      </c>
      <c r="H16971" t="str">
        <f>"A"</f>
        <v>A</v>
      </c>
    </row>
    <row r="16972" spans="1:8" x14ac:dyDescent="0.2">
      <c r="A16972" t="str">
        <f t="shared" si="6158"/>
        <v>0616013836</v>
      </c>
      <c r="B16972" t="str">
        <f t="shared" si="6159"/>
        <v>CASSANDRA</v>
      </c>
      <c r="C16972" t="str">
        <f t="shared" si="6160"/>
        <v>THOMAS</v>
      </c>
      <c r="D16972">
        <f>11</f>
        <v>11</v>
      </c>
      <c r="E16972" t="str">
        <f>"02 - A - 104 - Dayna M Foster"</f>
        <v>02 - A - 104 - Dayna M Foster</v>
      </c>
      <c r="F16972" t="str">
        <f>"NC STUDY HALL 1"</f>
        <v>NC STUDY HALL 1</v>
      </c>
      <c r="G16972" t="str">
        <f>"21-2109"</f>
        <v>21-2109</v>
      </c>
      <c r="H16972" t="str">
        <f>"A"</f>
        <v>A</v>
      </c>
    </row>
    <row r="16973" spans="1:8" x14ac:dyDescent="0.2">
      <c r="A16973" t="str">
        <f t="shared" si="6158"/>
        <v>0616013836</v>
      </c>
      <c r="B16973" t="str">
        <f t="shared" si="6159"/>
        <v>CASSANDRA</v>
      </c>
      <c r="C16973" t="str">
        <f t="shared" si="6160"/>
        <v>THOMAS</v>
      </c>
      <c r="D16973">
        <f>11</f>
        <v>11</v>
      </c>
      <c r="E16973" t="str">
        <f>"07 - B - 102 - Thomas G Handwerg"</f>
        <v>07 - B - 102 - Thomas G Handwerg</v>
      </c>
      <c r="F16973" t="str">
        <f>"PROB STAT W/APPS HON"</f>
        <v>PROB STAT W/APPS HON</v>
      </c>
      <c r="G16973" t="str">
        <f>"21-2146"</f>
        <v>21-2146</v>
      </c>
      <c r="H16973" t="str">
        <f>"B"</f>
        <v>B</v>
      </c>
    </row>
    <row r="16974" spans="1:8" x14ac:dyDescent="0.2">
      <c r="A16974" t="str">
        <f t="shared" si="6158"/>
        <v>0616013836</v>
      </c>
      <c r="B16974" t="str">
        <f t="shared" si="6159"/>
        <v>CASSANDRA</v>
      </c>
      <c r="C16974" t="str">
        <f t="shared" si="6160"/>
        <v>THOMAS</v>
      </c>
      <c r="D16974">
        <f>11</f>
        <v>11</v>
      </c>
      <c r="E16974" t="str">
        <f>"05 - B - 102 - Jerry S Jiampetti"</f>
        <v>05 - B - 102 - Jerry S Jiampetti</v>
      </c>
      <c r="F16974" t="str">
        <f>"AICE U.S. HIST 1 AS"</f>
        <v>AICE U.S. HIST 1 AS</v>
      </c>
      <c r="G16974" t="str">
        <f>"17-1751"</f>
        <v>17-1751</v>
      </c>
      <c r="H16974" t="str">
        <f>"B"</f>
        <v>B</v>
      </c>
    </row>
    <row r="16975" spans="1:8" x14ac:dyDescent="0.2">
      <c r="A16975" t="str">
        <f t="shared" si="6158"/>
        <v>0616013836</v>
      </c>
      <c r="B16975" t="str">
        <f t="shared" si="6159"/>
        <v>CASSANDRA</v>
      </c>
      <c r="C16975" t="str">
        <f t="shared" si="6160"/>
        <v>THOMAS</v>
      </c>
      <c r="D16975">
        <f>11</f>
        <v>11</v>
      </c>
      <c r="E16975" t="str">
        <f>"01 - A - 101 - Brandy N Zdenek"</f>
        <v>01 - A - 101 - Brandy N Zdenek</v>
      </c>
      <c r="F16975" t="str">
        <f>"AICE ENG LANG 2 AL"</f>
        <v>AICE ENG LANG 2 AL</v>
      </c>
      <c r="G16975" t="str">
        <f>"17-1704"</f>
        <v>17-1704</v>
      </c>
      <c r="H16975" t="str">
        <f>"A"</f>
        <v>A</v>
      </c>
    </row>
    <row r="16976" spans="1:8" x14ac:dyDescent="0.2">
      <c r="A16976" t="str">
        <f t="shared" si="6158"/>
        <v>0616013836</v>
      </c>
      <c r="B16976" t="str">
        <f t="shared" si="6159"/>
        <v>CASSANDRA</v>
      </c>
      <c r="C16976" t="str">
        <f t="shared" si="6160"/>
        <v>THOMAS</v>
      </c>
      <c r="D16976">
        <f>11</f>
        <v>11</v>
      </c>
      <c r="E16976" t="str">
        <f>"08 - B - 205 - Daniel S Tyson"</f>
        <v>08 - B - 205 - Daniel S Tyson</v>
      </c>
      <c r="F16976" t="str">
        <f>"JROTC NAVAL SCI 3"</f>
        <v>JROTC NAVAL SCI 3</v>
      </c>
      <c r="G16976" t="str">
        <f>"05-510"</f>
        <v>05-510</v>
      </c>
      <c r="H16976" t="str">
        <f>"B"</f>
        <v>B</v>
      </c>
    </row>
    <row r="16977" spans="1:8" x14ac:dyDescent="0.2">
      <c r="A16977" t="str">
        <f t="shared" ref="A16977:A16984" si="6161">"0616067370"</f>
        <v>0616067370</v>
      </c>
      <c r="B16977" t="str">
        <f t="shared" ref="B16977:B16984" si="6162">"E'YANA"</f>
        <v>E'YANA</v>
      </c>
      <c r="C16977" t="str">
        <f t="shared" si="6160"/>
        <v>THOMAS</v>
      </c>
      <c r="D16977">
        <f>10</f>
        <v>10</v>
      </c>
      <c r="E16977" t="str">
        <f>"04 - A - 201 - Vanessa J Liburd"</f>
        <v>04 - A - 201 - Vanessa J Liburd</v>
      </c>
      <c r="F16977" t="str">
        <f>"FRENCH 4 HON"</f>
        <v>FRENCH 4 HON</v>
      </c>
      <c r="G16977" t="str">
        <f>"05-519"</f>
        <v>05-519</v>
      </c>
      <c r="H16977" t="str">
        <f>"A"</f>
        <v>A</v>
      </c>
    </row>
    <row r="16978" spans="1:8" x14ac:dyDescent="0.2">
      <c r="A16978" t="str">
        <f t="shared" si="6161"/>
        <v>0616067370</v>
      </c>
      <c r="B16978" t="str">
        <f t="shared" si="6162"/>
        <v>E'YANA</v>
      </c>
      <c r="C16978" t="str">
        <f t="shared" si="6160"/>
        <v>THOMAS</v>
      </c>
      <c r="D16978">
        <f>10</f>
        <v>10</v>
      </c>
      <c r="E16978" t="str">
        <f>"06 - B - 116 - Jordana K Hass"</f>
        <v>06 - B - 116 - Jordana K Hass</v>
      </c>
      <c r="F16978" t="str">
        <f>"NC STUDY HALL 1"</f>
        <v>NC STUDY HALL 1</v>
      </c>
      <c r="G16978" t="str">
        <f>"08-807"</f>
        <v>08-807</v>
      </c>
      <c r="H16978" t="str">
        <f>"B"</f>
        <v>B</v>
      </c>
    </row>
    <row r="16979" spans="1:8" x14ac:dyDescent="0.2">
      <c r="A16979" t="str">
        <f t="shared" si="6161"/>
        <v>0616067370</v>
      </c>
      <c r="B16979" t="str">
        <f t="shared" si="6162"/>
        <v>E'YANA</v>
      </c>
      <c r="C16979" t="str">
        <f t="shared" si="6160"/>
        <v>THOMAS</v>
      </c>
      <c r="D16979">
        <f>10</f>
        <v>10</v>
      </c>
      <c r="E16979" t="str">
        <f>"03 - A - 102 - Semra  Bahadir"</f>
        <v>03 - A - 102 - Semra  Bahadir</v>
      </c>
      <c r="F16979" t="str">
        <f>"ALGEBRA 2"</f>
        <v>ALGEBRA 2</v>
      </c>
      <c r="G16979" t="str">
        <f>"21-2107"</f>
        <v>21-2107</v>
      </c>
      <c r="H16979" t="str">
        <f>"A"</f>
        <v>A</v>
      </c>
    </row>
    <row r="16980" spans="1:8" x14ac:dyDescent="0.2">
      <c r="A16980" t="str">
        <f t="shared" si="6161"/>
        <v>0616067370</v>
      </c>
      <c r="B16980" t="str">
        <f t="shared" si="6162"/>
        <v>E'YANA</v>
      </c>
      <c r="C16980" t="str">
        <f t="shared" si="6160"/>
        <v>THOMAS</v>
      </c>
      <c r="D16980">
        <f>10</f>
        <v>10</v>
      </c>
      <c r="E16980" t="str">
        <f>"02 - A - 103 - Dorothy D Moore"</f>
        <v>02 - A - 103 - Dorothy D Moore</v>
      </c>
      <c r="F16980" t="str">
        <f>"ANAT PHYSIO HON"</f>
        <v>ANAT PHYSIO HON</v>
      </c>
      <c r="G16980" t="str">
        <f>"08-803"</f>
        <v>08-803</v>
      </c>
      <c r="H16980" t="str">
        <f>"A"</f>
        <v>A</v>
      </c>
    </row>
    <row r="16981" spans="1:8" x14ac:dyDescent="0.2">
      <c r="A16981" t="str">
        <f t="shared" si="6161"/>
        <v>0616067370</v>
      </c>
      <c r="B16981" t="str">
        <f t="shared" si="6162"/>
        <v>E'YANA</v>
      </c>
      <c r="C16981" t="str">
        <f t="shared" si="6160"/>
        <v>THOMAS</v>
      </c>
      <c r="D16981">
        <f>10</f>
        <v>10</v>
      </c>
      <c r="E16981" t="str">
        <f>"07 - B - 102 - Nikiel  Nesbeth"</f>
        <v>07 - B - 102 - Nikiel  Nesbeth</v>
      </c>
      <c r="F16981" t="str">
        <f>"PRE-AICE ENG LIT IG"</f>
        <v>PRE-AICE ENG LIT IG</v>
      </c>
      <c r="G16981" t="str">
        <f>"17-1705"</f>
        <v>17-1705</v>
      </c>
      <c r="H16981" t="str">
        <f>"B"</f>
        <v>B</v>
      </c>
    </row>
    <row r="16982" spans="1:8" x14ac:dyDescent="0.2">
      <c r="A16982" t="str">
        <f t="shared" si="6161"/>
        <v>0616067370</v>
      </c>
      <c r="B16982" t="str">
        <f t="shared" si="6162"/>
        <v>E'YANA</v>
      </c>
      <c r="C16982" t="str">
        <f t="shared" si="6160"/>
        <v>THOMAS</v>
      </c>
      <c r="D16982">
        <f>10</f>
        <v>10</v>
      </c>
      <c r="E16982" t="str">
        <f>"05 - B - 101 - Arthur  Kulawik"</f>
        <v>05 - B - 101 - Arthur  Kulawik</v>
      </c>
      <c r="F16982" t="str">
        <f>"DEBATE 2 LH"</f>
        <v>DEBATE 2 LH</v>
      </c>
      <c r="G16982" t="str">
        <f>"05-506"</f>
        <v>05-506</v>
      </c>
      <c r="H16982" t="str">
        <f>"B"</f>
        <v>B</v>
      </c>
    </row>
    <row r="16983" spans="1:8" x14ac:dyDescent="0.2">
      <c r="A16983" t="str">
        <f t="shared" si="6161"/>
        <v>0616067370</v>
      </c>
      <c r="B16983" t="str">
        <f t="shared" si="6162"/>
        <v>E'YANA</v>
      </c>
      <c r="C16983" t="str">
        <f t="shared" si="6160"/>
        <v>THOMAS</v>
      </c>
      <c r="D16983">
        <f>10</f>
        <v>10</v>
      </c>
      <c r="E16983" t="str">
        <f>"01 - A - 101 - Rory T Sponsler"</f>
        <v>01 - A - 101 - Rory T Sponsler</v>
      </c>
      <c r="F16983" t="str">
        <f>"PRE-AICE WRLD HST IG"</f>
        <v>PRE-AICE WRLD HST IG</v>
      </c>
      <c r="G16983" t="str">
        <f>"17-1740"</f>
        <v>17-1740</v>
      </c>
      <c r="H16983" t="str">
        <f>"A"</f>
        <v>A</v>
      </c>
    </row>
    <row r="16984" spans="1:8" x14ac:dyDescent="0.2">
      <c r="A16984" t="str">
        <f t="shared" si="6161"/>
        <v>0616067370</v>
      </c>
      <c r="B16984" t="str">
        <f t="shared" si="6162"/>
        <v>E'YANA</v>
      </c>
      <c r="C16984" t="str">
        <f t="shared" si="6160"/>
        <v>THOMAS</v>
      </c>
      <c r="D16984">
        <f>10</f>
        <v>10</v>
      </c>
      <c r="E16984" t="str">
        <f>"08 - S1 - B - 001 - Carol S Moore"</f>
        <v>08 - S1 - B - 001 - Carol S Moore</v>
      </c>
      <c r="F16984" t="str">
        <f>"PER CAR SCH DEV 1 LH"</f>
        <v>PER CAR SCH DEV 1 LH</v>
      </c>
      <c r="G16984" t="str">
        <f>"17-1733"</f>
        <v>17-1733</v>
      </c>
      <c r="H16984" t="str">
        <f>"B"</f>
        <v>B</v>
      </c>
    </row>
    <row r="16985" spans="1:8" x14ac:dyDescent="0.2">
      <c r="A16985" t="str">
        <f t="shared" ref="A16985:A16993" si="6163">"0614041887"</f>
        <v>0614041887</v>
      </c>
      <c r="B16985" t="str">
        <f t="shared" ref="B16985:B16993" si="6164">"JAYSONNA"</f>
        <v>JAYSONNA</v>
      </c>
      <c r="C16985" t="str">
        <f t="shared" si="6160"/>
        <v>THOMAS</v>
      </c>
      <c r="D16985">
        <f>11</f>
        <v>11</v>
      </c>
      <c r="E16985" t="str">
        <f>"04 - S1 - A - 101 - Nahum  Saint-Preux"</f>
        <v>04 - S1 - A - 101 - Nahum  Saint-Preux</v>
      </c>
      <c r="F16985" t="str">
        <f>"CRIT THINK ST SKLS"</f>
        <v>CRIT THINK ST SKLS</v>
      </c>
      <c r="G16985" t="str">
        <f>"17-1712"</f>
        <v>17-1712</v>
      </c>
      <c r="H16985" t="str">
        <f>"A"</f>
        <v>A</v>
      </c>
    </row>
    <row r="16986" spans="1:8" x14ac:dyDescent="0.2">
      <c r="A16986" t="str">
        <f t="shared" si="6163"/>
        <v>0614041887</v>
      </c>
      <c r="B16986" t="str">
        <f t="shared" si="6164"/>
        <v>JAYSONNA</v>
      </c>
      <c r="C16986" t="str">
        <f t="shared" si="6160"/>
        <v>THOMAS</v>
      </c>
      <c r="D16986">
        <f>11</f>
        <v>11</v>
      </c>
      <c r="E16986" t="str">
        <f>"06 - B - 106 - Adam Marcus  Drucker"</f>
        <v>06 - B - 106 - Adam Marcus  Drucker</v>
      </c>
      <c r="F16986" t="str">
        <f>"HOPE-PE V"</f>
        <v>HOPE-PE V</v>
      </c>
      <c r="G16986" t="str">
        <f>"04-254"</f>
        <v>04-254</v>
      </c>
      <c r="H16986" t="str">
        <f>"B"</f>
        <v>B</v>
      </c>
    </row>
    <row r="16987" spans="1:8" x14ac:dyDescent="0.2">
      <c r="A16987" t="str">
        <f t="shared" si="6163"/>
        <v>0614041887</v>
      </c>
      <c r="B16987" t="str">
        <f t="shared" si="6164"/>
        <v>JAYSONNA</v>
      </c>
      <c r="C16987" t="str">
        <f t="shared" si="6160"/>
        <v>THOMAS</v>
      </c>
      <c r="D16987">
        <f>11</f>
        <v>11</v>
      </c>
      <c r="E16987" t="str">
        <f>"03 - A - 103 - Jazmin S Fletcher"</f>
        <v>03 - A - 103 - Jazmin S Fletcher</v>
      </c>
      <c r="F16987" t="str">
        <f>"THEATRE 2"</f>
        <v>THEATRE 2</v>
      </c>
      <c r="G16987" t="str">
        <f>"09-909"</f>
        <v>09-909</v>
      </c>
      <c r="H16987" t="str">
        <f>"A"</f>
        <v>A</v>
      </c>
    </row>
    <row r="16988" spans="1:8" x14ac:dyDescent="0.2">
      <c r="A16988" t="str">
        <f t="shared" si="6163"/>
        <v>0614041887</v>
      </c>
      <c r="B16988" t="str">
        <f t="shared" si="6164"/>
        <v>JAYSONNA</v>
      </c>
      <c r="C16988" t="str">
        <f t="shared" si="6160"/>
        <v>THOMAS</v>
      </c>
      <c r="D16988">
        <f>11</f>
        <v>11</v>
      </c>
      <c r="E16988" t="str">
        <f>"02 - A - 001 - Courtney E Hambright"</f>
        <v>02 - A - 001 - Courtney E Hambright</v>
      </c>
      <c r="F16988" t="str">
        <f>"NC STUDY HALL 1"</f>
        <v>NC STUDY HALL 1</v>
      </c>
      <c r="G16988" t="str">
        <f>"17-1711"</f>
        <v>17-1711</v>
      </c>
      <c r="H16988" t="str">
        <f>"A"</f>
        <v>A</v>
      </c>
    </row>
    <row r="16989" spans="1:8" x14ac:dyDescent="0.2">
      <c r="A16989" t="str">
        <f t="shared" si="6163"/>
        <v>0614041887</v>
      </c>
      <c r="B16989" t="str">
        <f t="shared" si="6164"/>
        <v>JAYSONNA</v>
      </c>
      <c r="C16989" t="str">
        <f t="shared" si="6160"/>
        <v>THOMAS</v>
      </c>
      <c r="D16989">
        <f>11</f>
        <v>11</v>
      </c>
      <c r="E16989" t="str">
        <f>"02 - A - 112 - Karen A Toomer"</f>
        <v>02 - A - 112 - Karen A Toomer</v>
      </c>
      <c r="F16989" t="str">
        <f>"LANG THERAPY"</f>
        <v>LANG THERAPY</v>
      </c>
      <c r="G16989" t="str">
        <f>"21-2110"</f>
        <v>21-2110</v>
      </c>
      <c r="H16989" t="str">
        <f>"A"</f>
        <v>A</v>
      </c>
    </row>
    <row r="16990" spans="1:8" x14ac:dyDescent="0.2">
      <c r="A16990" t="str">
        <f t="shared" si="6163"/>
        <v>0614041887</v>
      </c>
      <c r="B16990" t="str">
        <f t="shared" si="6164"/>
        <v>JAYSONNA</v>
      </c>
      <c r="C16990" t="str">
        <f t="shared" si="6160"/>
        <v>THOMAS</v>
      </c>
      <c r="D16990">
        <f>11</f>
        <v>11</v>
      </c>
      <c r="E16990" t="str">
        <f>"07 - B - 110 - Ferrie J Arostique"</f>
        <v>07 - B - 110 - Ferrie J Arostique</v>
      </c>
      <c r="F16990" t="str">
        <f>"GEOMETRY"</f>
        <v>GEOMETRY</v>
      </c>
      <c r="G16990" t="str">
        <f>"21-2139"</f>
        <v>21-2139</v>
      </c>
      <c r="H16990" t="str">
        <f>"B"</f>
        <v>B</v>
      </c>
    </row>
    <row r="16991" spans="1:8" x14ac:dyDescent="0.2">
      <c r="A16991" t="str">
        <f t="shared" si="6163"/>
        <v>0614041887</v>
      </c>
      <c r="B16991" t="str">
        <f t="shared" si="6164"/>
        <v>JAYSONNA</v>
      </c>
      <c r="C16991" t="str">
        <f t="shared" si="6160"/>
        <v>THOMAS</v>
      </c>
      <c r="D16991">
        <f>11</f>
        <v>11</v>
      </c>
      <c r="E16991" t="str">
        <f>"05 - B - 102 - Robyn L Trainer"</f>
        <v>05 - B - 102 - Robyn L Trainer</v>
      </c>
      <c r="F16991" t="str">
        <f>"ENG 4"</f>
        <v>ENG 4</v>
      </c>
      <c r="G16991" t="str">
        <f>"17-1734"</f>
        <v>17-1734</v>
      </c>
      <c r="H16991" t="str">
        <f>"B"</f>
        <v>B</v>
      </c>
    </row>
    <row r="16992" spans="1:8" x14ac:dyDescent="0.2">
      <c r="A16992" t="str">
        <f t="shared" si="6163"/>
        <v>0614041887</v>
      </c>
      <c r="B16992" t="str">
        <f t="shared" si="6164"/>
        <v>JAYSONNA</v>
      </c>
      <c r="C16992" t="str">
        <f t="shared" si="6160"/>
        <v>THOMAS</v>
      </c>
      <c r="D16992">
        <f>11</f>
        <v>11</v>
      </c>
      <c r="E16992" t="str">
        <f>"01 - A - 101 - Cliffon  Saurel"</f>
        <v>01 - A - 101 - Cliffon  Saurel</v>
      </c>
      <c r="F16992" t="str">
        <f>"PHYSICAL SCI"</f>
        <v>PHYSICAL SCI</v>
      </c>
      <c r="G16992" t="str">
        <f>"05-522"</f>
        <v>05-522</v>
      </c>
      <c r="H16992" t="str">
        <f>"A"</f>
        <v>A</v>
      </c>
    </row>
    <row r="16993" spans="1:8" x14ac:dyDescent="0.2">
      <c r="A16993" t="str">
        <f t="shared" si="6163"/>
        <v>0614041887</v>
      </c>
      <c r="B16993" t="str">
        <f t="shared" si="6164"/>
        <v>JAYSONNA</v>
      </c>
      <c r="C16993" t="str">
        <f t="shared" si="6160"/>
        <v>THOMAS</v>
      </c>
      <c r="D16993">
        <f>11</f>
        <v>11</v>
      </c>
      <c r="E16993" t="str">
        <f>"08 - B - 109 - Lauren N Logan"</f>
        <v>08 - B - 109 - Lauren N Logan</v>
      </c>
      <c r="F16993" t="str">
        <f>"US HISTORY"</f>
        <v>US HISTORY</v>
      </c>
      <c r="G16993" t="str">
        <f>"17-1754"</f>
        <v>17-1754</v>
      </c>
      <c r="H16993" t="str">
        <f>"B"</f>
        <v>B</v>
      </c>
    </row>
    <row r="16994" spans="1:8" x14ac:dyDescent="0.2">
      <c r="A16994" t="str">
        <f t="shared" ref="A16994:A17001" si="6165">"0615011313"</f>
        <v>0615011313</v>
      </c>
      <c r="B16994" t="str">
        <f t="shared" ref="B16994:B17001" si="6166">"LYRIC"</f>
        <v>LYRIC</v>
      </c>
      <c r="C16994" t="str">
        <f t="shared" si="6160"/>
        <v>THOMAS</v>
      </c>
      <c r="D16994">
        <f>10</f>
        <v>10</v>
      </c>
      <c r="E16994" t="str">
        <f>"04 - A - 102 - Eva T Rimmer"</f>
        <v>04 - A - 102 - Eva T Rimmer</v>
      </c>
      <c r="F16994" t="str">
        <f>"CRIMINAL JUST OPS 1"</f>
        <v>CRIMINAL JUST OPS 1</v>
      </c>
      <c r="G16994" t="str">
        <f>"05-523"</f>
        <v>05-523</v>
      </c>
      <c r="H16994" t="str">
        <f>"A"</f>
        <v>A</v>
      </c>
    </row>
    <row r="16995" spans="1:8" x14ac:dyDescent="0.2">
      <c r="A16995" t="str">
        <f t="shared" si="6165"/>
        <v>0615011313</v>
      </c>
      <c r="B16995" t="str">
        <f t="shared" si="6166"/>
        <v>LYRIC</v>
      </c>
      <c r="C16995" t="str">
        <f t="shared" si="6160"/>
        <v>THOMAS</v>
      </c>
      <c r="D16995">
        <f>10</f>
        <v>10</v>
      </c>
      <c r="E16995" t="str">
        <f>"06 - B - 105 - Jeffrey S Gallagher"</f>
        <v>06 - B - 105 - Jeffrey S Gallagher</v>
      </c>
      <c r="F16995" t="str">
        <f>"NC STUDY HALL 1"</f>
        <v>NC STUDY HALL 1</v>
      </c>
      <c r="G16995" t="str">
        <f>"17-1724"</f>
        <v>17-1724</v>
      </c>
      <c r="H16995" t="str">
        <f>"B"</f>
        <v>B</v>
      </c>
    </row>
    <row r="16996" spans="1:8" x14ac:dyDescent="0.2">
      <c r="A16996" t="str">
        <f t="shared" si="6165"/>
        <v>0615011313</v>
      </c>
      <c r="B16996" t="str">
        <f t="shared" si="6166"/>
        <v>LYRIC</v>
      </c>
      <c r="C16996" t="str">
        <f t="shared" si="6160"/>
        <v>THOMAS</v>
      </c>
      <c r="D16996">
        <f>10</f>
        <v>10</v>
      </c>
      <c r="E16996" t="str">
        <f>"03 - A - 002 - Nikiel  Nesbeth"</f>
        <v>03 - A - 002 - Nikiel  Nesbeth</v>
      </c>
      <c r="F16996" t="str">
        <f>"PRE-AICE ENG LIT IG"</f>
        <v>PRE-AICE ENG LIT IG</v>
      </c>
      <c r="G16996" t="str">
        <f>"17-1705"</f>
        <v>17-1705</v>
      </c>
      <c r="H16996" t="str">
        <f>"A"</f>
        <v>A</v>
      </c>
    </row>
    <row r="16997" spans="1:8" x14ac:dyDescent="0.2">
      <c r="A16997" t="str">
        <f t="shared" si="6165"/>
        <v>0615011313</v>
      </c>
      <c r="B16997" t="str">
        <f t="shared" si="6166"/>
        <v>LYRIC</v>
      </c>
      <c r="C16997" t="str">
        <f t="shared" si="6160"/>
        <v>THOMAS</v>
      </c>
      <c r="D16997">
        <f>10</f>
        <v>10</v>
      </c>
      <c r="E16997" t="str">
        <f>"02 - A - 104 - Joe  Kilpatrick Jr"</f>
        <v>02 - A - 104 - Joe  Kilpatrick Jr</v>
      </c>
      <c r="F16997" t="str">
        <f>"PRE-AICE SPAN 2 IG"</f>
        <v>PRE-AICE SPAN 2 IG</v>
      </c>
      <c r="G16997" t="str">
        <f>"09-912"</f>
        <v>09-912</v>
      </c>
      <c r="H16997" t="str">
        <f>"A"</f>
        <v>A</v>
      </c>
    </row>
    <row r="16998" spans="1:8" x14ac:dyDescent="0.2">
      <c r="A16998" t="str">
        <f t="shared" si="6165"/>
        <v>0615011313</v>
      </c>
      <c r="B16998" t="str">
        <f t="shared" si="6166"/>
        <v>LYRIC</v>
      </c>
      <c r="C16998" t="str">
        <f t="shared" si="6160"/>
        <v>THOMAS</v>
      </c>
      <c r="D16998">
        <f>10</f>
        <v>10</v>
      </c>
      <c r="E16998" t="str">
        <f>"07 - B - 001 - Maried P Ramos"</f>
        <v>07 - B - 001 - Maried P Ramos</v>
      </c>
      <c r="F16998" t="str">
        <f>"GEOMETRY"</f>
        <v>GEOMETRY</v>
      </c>
      <c r="G16998" t="str">
        <f>"21-2159"</f>
        <v>21-2159</v>
      </c>
      <c r="H16998" t="str">
        <f>"B"</f>
        <v>B</v>
      </c>
    </row>
    <row r="16999" spans="1:8" x14ac:dyDescent="0.2">
      <c r="A16999" t="str">
        <f t="shared" si="6165"/>
        <v>0615011313</v>
      </c>
      <c r="B16999" t="str">
        <f t="shared" si="6166"/>
        <v>LYRIC</v>
      </c>
      <c r="C16999" t="str">
        <f t="shared" si="6160"/>
        <v>THOMAS</v>
      </c>
      <c r="D16999">
        <f>10</f>
        <v>10</v>
      </c>
      <c r="E16999" t="str">
        <f>"05 - B - 108 - Valerie J Ruwe"</f>
        <v>05 - B - 108 - Valerie J Ruwe</v>
      </c>
      <c r="F16999" t="str">
        <f>"CHEMISTRY 1 HON"</f>
        <v>CHEMISTRY 1 HON</v>
      </c>
      <c r="G16999" t="str">
        <f>"21-2138"</f>
        <v>21-2138</v>
      </c>
      <c r="H16999" t="str">
        <f>"B"</f>
        <v>B</v>
      </c>
    </row>
    <row r="17000" spans="1:8" x14ac:dyDescent="0.2">
      <c r="A17000" t="str">
        <f t="shared" si="6165"/>
        <v>0615011313</v>
      </c>
      <c r="B17000" t="str">
        <f t="shared" si="6166"/>
        <v>LYRIC</v>
      </c>
      <c r="C17000" t="str">
        <f t="shared" si="6160"/>
        <v>THOMAS</v>
      </c>
      <c r="D17000">
        <f>10</f>
        <v>10</v>
      </c>
      <c r="E17000" t="str">
        <f>"01 - A - 101 - Rory T Sponsler"</f>
        <v>01 - A - 101 - Rory T Sponsler</v>
      </c>
      <c r="F17000" t="str">
        <f>"PRE-AICE WRLD HST IG"</f>
        <v>PRE-AICE WRLD HST IG</v>
      </c>
      <c r="G17000" t="str">
        <f>"17-1740"</f>
        <v>17-1740</v>
      </c>
      <c r="H17000" t="str">
        <f>"A"</f>
        <v>A</v>
      </c>
    </row>
    <row r="17001" spans="1:8" x14ac:dyDescent="0.2">
      <c r="A17001" t="str">
        <f t="shared" si="6165"/>
        <v>0615011313</v>
      </c>
      <c r="B17001" t="str">
        <f t="shared" si="6166"/>
        <v>LYRIC</v>
      </c>
      <c r="C17001" t="str">
        <f t="shared" ref="C17001:C17018" si="6167">"THOMAS"</f>
        <v>THOMAS</v>
      </c>
      <c r="D17001">
        <f>10</f>
        <v>10</v>
      </c>
      <c r="E17001" t="str">
        <f>"08 - B - 102 - Josiah I Lacy"</f>
        <v>08 - B - 102 - Josiah I Lacy</v>
      </c>
      <c r="F17001" t="str">
        <f>"ANAT PHYSIO HON"</f>
        <v>ANAT PHYSIO HON</v>
      </c>
      <c r="G17001" t="str">
        <f>"08-801"</f>
        <v>08-801</v>
      </c>
      <c r="H17001" t="str">
        <f>"B"</f>
        <v>B</v>
      </c>
    </row>
    <row r="17002" spans="1:8" x14ac:dyDescent="0.2">
      <c r="A17002" t="str">
        <f t="shared" ref="A17002:A17009" si="6168">"0613101099"</f>
        <v>0613101099</v>
      </c>
      <c r="B17002" t="str">
        <f t="shared" ref="B17002:B17009" si="6169">"MALIK"</f>
        <v>MALIK</v>
      </c>
      <c r="C17002" t="str">
        <f t="shared" si="6167"/>
        <v>THOMAS</v>
      </c>
      <c r="D17002">
        <f>12</f>
        <v>12</v>
      </c>
      <c r="E17002" t="str">
        <f>"04 - S1 - A - 105 - Robert O Burger"</f>
        <v>04 - S1 - A - 105 - Robert O Burger</v>
      </c>
      <c r="F17002" t="str">
        <f>"US GOVT"</f>
        <v>US GOVT</v>
      </c>
      <c r="G17002" t="str">
        <f>"17-1755"</f>
        <v>17-1755</v>
      </c>
      <c r="H17002" t="str">
        <f>"A"</f>
        <v>A</v>
      </c>
    </row>
    <row r="17003" spans="1:8" x14ac:dyDescent="0.2">
      <c r="A17003" t="str">
        <f t="shared" si="6168"/>
        <v>0613101099</v>
      </c>
      <c r="B17003" t="str">
        <f t="shared" si="6169"/>
        <v>MALIK</v>
      </c>
      <c r="C17003" t="str">
        <f t="shared" si="6167"/>
        <v>THOMAS</v>
      </c>
      <c r="D17003">
        <f>12</f>
        <v>12</v>
      </c>
      <c r="E17003" t="str">
        <f>"06 - B - 103 - Stefanie S Scher"</f>
        <v>06 - B - 103 - Stefanie S Scher</v>
      </c>
      <c r="F17003" t="str">
        <f>"NC STUDY HALL 1"</f>
        <v>NC STUDY HALL 1</v>
      </c>
      <c r="G17003" t="str">
        <f>"17-1735"</f>
        <v>17-1735</v>
      </c>
      <c r="H17003" t="str">
        <f>"B"</f>
        <v>B</v>
      </c>
    </row>
    <row r="17004" spans="1:8" x14ac:dyDescent="0.2">
      <c r="A17004" t="str">
        <f t="shared" si="6168"/>
        <v>0613101099</v>
      </c>
      <c r="B17004" t="str">
        <f t="shared" si="6169"/>
        <v>MALIK</v>
      </c>
      <c r="C17004" t="str">
        <f t="shared" si="6167"/>
        <v>THOMAS</v>
      </c>
      <c r="D17004">
        <f>12</f>
        <v>12</v>
      </c>
      <c r="E17004" t="str">
        <f>"03 - A - 101 - Dorothy D Moore"</f>
        <v>03 - A - 101 - Dorothy D Moore</v>
      </c>
      <c r="F17004" t="str">
        <f>"FORC SCI 1 LH"</f>
        <v>FORC SCI 1 LH</v>
      </c>
      <c r="G17004" t="str">
        <f>"08-803"</f>
        <v>08-803</v>
      </c>
      <c r="H17004" t="str">
        <f>"A"</f>
        <v>A</v>
      </c>
    </row>
    <row r="17005" spans="1:8" x14ac:dyDescent="0.2">
      <c r="A17005" t="str">
        <f t="shared" si="6168"/>
        <v>0613101099</v>
      </c>
      <c r="B17005" t="str">
        <f t="shared" si="6169"/>
        <v>MALIK</v>
      </c>
      <c r="C17005" t="str">
        <f t="shared" si="6167"/>
        <v>THOMAS</v>
      </c>
      <c r="D17005">
        <f>12</f>
        <v>12</v>
      </c>
      <c r="E17005" t="str">
        <f>"02 - A - 101 - Robyn L Trainer"</f>
        <v>02 - A - 101 - Robyn L Trainer</v>
      </c>
      <c r="F17005" t="str">
        <f>"ENG 4"</f>
        <v>ENG 4</v>
      </c>
      <c r="G17005" t="str">
        <f>"17-1734"</f>
        <v>17-1734</v>
      </c>
      <c r="H17005" t="str">
        <f>"A"</f>
        <v>A</v>
      </c>
    </row>
    <row r="17006" spans="1:8" x14ac:dyDescent="0.2">
      <c r="A17006" t="str">
        <f t="shared" si="6168"/>
        <v>0613101099</v>
      </c>
      <c r="B17006" t="str">
        <f t="shared" si="6169"/>
        <v>MALIK</v>
      </c>
      <c r="C17006" t="str">
        <f t="shared" si="6167"/>
        <v>THOMAS</v>
      </c>
      <c r="D17006">
        <f>12</f>
        <v>12</v>
      </c>
      <c r="E17006" t="str">
        <f>"07 - B - 102 - Tina L Lovett"</f>
        <v>07 - B - 102 - Tina L Lovett</v>
      </c>
      <c r="F17006" t="str">
        <f>"MATH DATA &amp; FIN LIT"</f>
        <v>MATH DATA &amp; FIN LIT</v>
      </c>
      <c r="G17006" t="str">
        <f>"21-2153"</f>
        <v>21-2153</v>
      </c>
      <c r="H17006" t="str">
        <f>"B"</f>
        <v>B</v>
      </c>
    </row>
    <row r="17007" spans="1:8" x14ac:dyDescent="0.2">
      <c r="A17007" t="str">
        <f t="shared" si="6168"/>
        <v>0613101099</v>
      </c>
      <c r="B17007" t="str">
        <f t="shared" si="6169"/>
        <v>MALIK</v>
      </c>
      <c r="C17007" t="str">
        <f t="shared" si="6167"/>
        <v>THOMAS</v>
      </c>
      <c r="D17007">
        <f>12</f>
        <v>12</v>
      </c>
      <c r="E17007" t="str">
        <f>"05 - B - 101 - Angela S Adeshina-Morrison"</f>
        <v>05 - B - 101 - Angela S Adeshina-Morrison</v>
      </c>
      <c r="F17007" t="str">
        <f>"MKT APPLCTNS LH"</f>
        <v>MKT APPLCTNS LH</v>
      </c>
      <c r="G17007" t="str">
        <f>"05-518"</f>
        <v>05-518</v>
      </c>
      <c r="H17007" t="str">
        <f>"B"</f>
        <v>B</v>
      </c>
    </row>
    <row r="17008" spans="1:8" x14ac:dyDescent="0.2">
      <c r="A17008" t="str">
        <f t="shared" si="6168"/>
        <v>0613101099</v>
      </c>
      <c r="B17008" t="str">
        <f t="shared" si="6169"/>
        <v>MALIK</v>
      </c>
      <c r="C17008" t="str">
        <f t="shared" si="6167"/>
        <v>THOMAS</v>
      </c>
      <c r="D17008">
        <f>12</f>
        <v>12</v>
      </c>
      <c r="E17008" t="str">
        <f>"01 - A - 101 - Joe  Kilpatrick Jr"</f>
        <v>01 - A - 101 - Joe  Kilpatrick Jr</v>
      </c>
      <c r="F17008" t="str">
        <f>"PRE-AICE SPAN 1 IG"</f>
        <v>PRE-AICE SPAN 1 IG</v>
      </c>
      <c r="G17008" t="str">
        <f>"09-912"</f>
        <v>09-912</v>
      </c>
      <c r="H17008" t="str">
        <f>"A"</f>
        <v>A</v>
      </c>
    </row>
    <row r="17009" spans="1:8" x14ac:dyDescent="0.2">
      <c r="A17009" t="str">
        <f t="shared" si="6168"/>
        <v>0613101099</v>
      </c>
      <c r="B17009" t="str">
        <f t="shared" si="6169"/>
        <v>MALIK</v>
      </c>
      <c r="C17009" t="str">
        <f t="shared" si="6167"/>
        <v>THOMAS</v>
      </c>
      <c r="D17009">
        <f>12</f>
        <v>12</v>
      </c>
      <c r="E17009" t="str">
        <f>"08 - S1 - B - 104 - Leslie J Barton"</f>
        <v>08 - S1 - B - 104 - Leslie J Barton</v>
      </c>
      <c r="F17009" t="str">
        <f>"TEAM SPORTS 1"</f>
        <v>TEAM SPORTS 1</v>
      </c>
      <c r="G17009" t="str">
        <f>"04-254"</f>
        <v>04-254</v>
      </c>
      <c r="H17009" t="str">
        <f>"B"</f>
        <v>B</v>
      </c>
    </row>
    <row r="17010" spans="1:8" x14ac:dyDescent="0.2">
      <c r="A17010" t="str">
        <f t="shared" ref="A17010:A17018" si="6170">"0613107976"</f>
        <v>0613107976</v>
      </c>
      <c r="B17010" t="str">
        <f t="shared" ref="B17010:B17018" si="6171">"WILLIAM"</f>
        <v>WILLIAM</v>
      </c>
      <c r="C17010" t="str">
        <f t="shared" si="6167"/>
        <v>THOMAS</v>
      </c>
      <c r="D17010">
        <f>10</f>
        <v>10</v>
      </c>
      <c r="E17010" t="str">
        <f>"04 - S1 - A - 104 - Richard E Dunbar Iii"</f>
        <v>04 - S1 - A - 104 - Richard E Dunbar Iii</v>
      </c>
      <c r="F17010" t="str">
        <f>"WEIGHT TRAIN 1"</f>
        <v>WEIGHT TRAIN 1</v>
      </c>
      <c r="G17010" t="str">
        <f>"05-501"</f>
        <v>05-501</v>
      </c>
      <c r="H17010" t="str">
        <f>"A"</f>
        <v>A</v>
      </c>
    </row>
    <row r="17011" spans="1:8" x14ac:dyDescent="0.2">
      <c r="A17011" t="str">
        <f t="shared" si="6170"/>
        <v>0613107976</v>
      </c>
      <c r="B17011" t="str">
        <f t="shared" si="6171"/>
        <v>WILLIAM</v>
      </c>
      <c r="C17011" t="str">
        <f t="shared" si="6167"/>
        <v>THOMAS</v>
      </c>
      <c r="D17011">
        <f>10</f>
        <v>10</v>
      </c>
      <c r="E17011" t="str">
        <f>"06 - B - 004 - Robert O Burger"</f>
        <v>06 - B - 004 - Robert O Burger</v>
      </c>
      <c r="F17011" t="str">
        <f>"NC STUDY HALL 1"</f>
        <v>NC STUDY HALL 1</v>
      </c>
      <c r="G17011" t="str">
        <f>"17-1755"</f>
        <v>17-1755</v>
      </c>
      <c r="H17011" t="str">
        <f>"B"</f>
        <v>B</v>
      </c>
    </row>
    <row r="17012" spans="1:8" x14ac:dyDescent="0.2">
      <c r="A17012" t="str">
        <f t="shared" si="6170"/>
        <v>0613107976</v>
      </c>
      <c r="B17012" t="str">
        <f t="shared" si="6171"/>
        <v>WILLIAM</v>
      </c>
      <c r="C17012" t="str">
        <f t="shared" si="6167"/>
        <v>THOMAS</v>
      </c>
      <c r="D17012">
        <f>10</f>
        <v>10</v>
      </c>
      <c r="E17012" t="str">
        <f>"06 - B - 106 - Eric  Lopapa"</f>
        <v>06 - B - 106 - Eric  Lopapa</v>
      </c>
      <c r="F17012" t="str">
        <f>"LANG THERAPY"</f>
        <v>LANG THERAPY</v>
      </c>
      <c r="G17012" t="str">
        <f>"21-2110"</f>
        <v>21-2110</v>
      </c>
      <c r="H17012" t="str">
        <f>"B"</f>
        <v>B</v>
      </c>
    </row>
    <row r="17013" spans="1:8" x14ac:dyDescent="0.2">
      <c r="A17013" t="str">
        <f t="shared" si="6170"/>
        <v>0613107976</v>
      </c>
      <c r="B17013" t="str">
        <f t="shared" si="6171"/>
        <v>WILLIAM</v>
      </c>
      <c r="C17013" t="str">
        <f t="shared" si="6167"/>
        <v>THOMAS</v>
      </c>
      <c r="D17013">
        <f>10</f>
        <v>10</v>
      </c>
      <c r="E17013" t="str">
        <f>"03 - A - 206 - Josiah I Lacy"</f>
        <v>03 - A - 206 - Josiah I Lacy</v>
      </c>
      <c r="F17013" t="str">
        <f>"BIOLOGY 1"</f>
        <v>BIOLOGY 1</v>
      </c>
      <c r="G17013" t="str">
        <f>"08-801"</f>
        <v>08-801</v>
      </c>
      <c r="H17013" t="str">
        <f>"A"</f>
        <v>A</v>
      </c>
    </row>
    <row r="17014" spans="1:8" x14ac:dyDescent="0.2">
      <c r="A17014" t="str">
        <f t="shared" si="6170"/>
        <v>0613107976</v>
      </c>
      <c r="B17014" t="str">
        <f t="shared" si="6171"/>
        <v>WILLIAM</v>
      </c>
      <c r="C17014" t="str">
        <f t="shared" si="6167"/>
        <v>THOMAS</v>
      </c>
      <c r="D17014">
        <f>10</f>
        <v>10</v>
      </c>
      <c r="E17014" t="str">
        <f>"02 - A - 101 - Christa T Parisi"</f>
        <v>02 - A - 101 - Christa T Parisi</v>
      </c>
      <c r="F17014" t="str">
        <f>"LRNG STRATEGIES 9-12"</f>
        <v>LRNG STRATEGIES 9-12</v>
      </c>
      <c r="G17014" t="str">
        <f>"20-2072"</f>
        <v>20-2072</v>
      </c>
      <c r="H17014" t="str">
        <f>"A"</f>
        <v>A</v>
      </c>
    </row>
    <row r="17015" spans="1:8" x14ac:dyDescent="0.2">
      <c r="A17015" t="str">
        <f t="shared" si="6170"/>
        <v>0613107976</v>
      </c>
      <c r="B17015" t="str">
        <f t="shared" si="6171"/>
        <v>WILLIAM</v>
      </c>
      <c r="C17015" t="str">
        <f t="shared" si="6167"/>
        <v>THOMAS</v>
      </c>
      <c r="D17015">
        <f>10</f>
        <v>10</v>
      </c>
      <c r="E17015" t="str">
        <f>"07 - B - 107 - Milca  Exantus"</f>
        <v>07 - B - 107 - Milca  Exantus</v>
      </c>
      <c r="F17015" t="str">
        <f>"MATH COLLEGE LIB ART"</f>
        <v>MATH COLLEGE LIB ART</v>
      </c>
      <c r="G17015" t="str">
        <f>"21-2145"</f>
        <v>21-2145</v>
      </c>
      <c r="H17015" t="str">
        <f>"B"</f>
        <v>B</v>
      </c>
    </row>
    <row r="17016" spans="1:8" x14ac:dyDescent="0.2">
      <c r="A17016" t="str">
        <f t="shared" si="6170"/>
        <v>0613107976</v>
      </c>
      <c r="B17016" t="str">
        <f t="shared" si="6171"/>
        <v>WILLIAM</v>
      </c>
      <c r="C17016" t="str">
        <f t="shared" si="6167"/>
        <v>THOMAS</v>
      </c>
      <c r="D17016">
        <f>10</f>
        <v>10</v>
      </c>
      <c r="E17016" t="str">
        <f>"05 - B - 101 - Brian M Fitzgerald"</f>
        <v>05 - B - 101 - Brian M Fitzgerald</v>
      </c>
      <c r="F17016" t="str">
        <f>"PAINT 1"</f>
        <v>PAINT 1</v>
      </c>
      <c r="G17016" t="str">
        <f>"09-908"</f>
        <v>09-908</v>
      </c>
      <c r="H17016" t="str">
        <f>"B"</f>
        <v>B</v>
      </c>
    </row>
    <row r="17017" spans="1:8" x14ac:dyDescent="0.2">
      <c r="A17017" t="str">
        <f t="shared" si="6170"/>
        <v>0613107976</v>
      </c>
      <c r="B17017" t="str">
        <f t="shared" si="6171"/>
        <v>WILLIAM</v>
      </c>
      <c r="C17017" t="str">
        <f t="shared" si="6167"/>
        <v>THOMAS</v>
      </c>
      <c r="D17017">
        <f>10</f>
        <v>10</v>
      </c>
      <c r="E17017" t="str">
        <f>"01 - S1 - A - 101 - Carol S Moore"</f>
        <v>01 - S1 - A - 101 - Carol S Moore</v>
      </c>
      <c r="F17017" t="str">
        <f>"PERS FIN &amp; MON MGT H"</f>
        <v>PERS FIN &amp; MON MGT H</v>
      </c>
      <c r="G17017" t="str">
        <f>"17-1733"</f>
        <v>17-1733</v>
      </c>
      <c r="H17017" t="str">
        <f>"A"</f>
        <v>A</v>
      </c>
    </row>
    <row r="17018" spans="1:8" x14ac:dyDescent="0.2">
      <c r="A17018" t="str">
        <f t="shared" si="6170"/>
        <v>0613107976</v>
      </c>
      <c r="B17018" t="str">
        <f t="shared" si="6171"/>
        <v>WILLIAM</v>
      </c>
      <c r="C17018" t="str">
        <f t="shared" si="6167"/>
        <v>THOMAS</v>
      </c>
      <c r="D17018">
        <f>10</f>
        <v>10</v>
      </c>
      <c r="E17018" t="str">
        <f>"08 - B - 109 - Nikiel  Nesbeth"</f>
        <v>08 - B - 109 - Nikiel  Nesbeth</v>
      </c>
      <c r="F17018" t="str">
        <f>"ENG 2"</f>
        <v>ENG 2</v>
      </c>
      <c r="G17018" t="str">
        <f>"17-1705"</f>
        <v>17-1705</v>
      </c>
      <c r="H17018" t="str">
        <f>"B"</f>
        <v>B</v>
      </c>
    </row>
    <row r="17019" spans="1:8" x14ac:dyDescent="0.2">
      <c r="A17019" t="str">
        <f t="shared" ref="A17019:A17026" si="6172">"0619016732"</f>
        <v>0619016732</v>
      </c>
      <c r="B17019" t="str">
        <f t="shared" ref="B17019:B17026" si="6173">"AMARE"</f>
        <v>AMARE</v>
      </c>
      <c r="C17019" t="str">
        <f t="shared" ref="C17019:C17042" si="6174">"THOMPSON"</f>
        <v>THOMPSON</v>
      </c>
      <c r="D17019" t="str">
        <f t="shared" ref="D17019:D17026" si="6175">"09"</f>
        <v>09</v>
      </c>
      <c r="E17019" t="str">
        <f>"04 - A - 102 - Samantha J Headley"</f>
        <v>04 - A - 102 - Samantha J Headley</v>
      </c>
      <c r="F17019" t="str">
        <f>"MARINE SCI 1 HON"</f>
        <v>MARINE SCI 1 HON</v>
      </c>
      <c r="G17019" t="str">
        <f>"21-2134"</f>
        <v>21-2134</v>
      </c>
      <c r="H17019" t="str">
        <f>"A"</f>
        <v>A</v>
      </c>
    </row>
    <row r="17020" spans="1:8" x14ac:dyDescent="0.2">
      <c r="A17020" t="str">
        <f t="shared" si="6172"/>
        <v>0619016732</v>
      </c>
      <c r="B17020" t="str">
        <f t="shared" si="6173"/>
        <v>AMARE</v>
      </c>
      <c r="C17020" t="str">
        <f t="shared" si="6174"/>
        <v>THOMPSON</v>
      </c>
      <c r="D17020" t="str">
        <f t="shared" si="6175"/>
        <v>09</v>
      </c>
      <c r="E17020" t="str">
        <f>"06 - S1 - B - 102 - Daniel S Katz"</f>
        <v>06 - S1 - B - 102 - Daniel S Katz</v>
      </c>
      <c r="F17020" t="str">
        <f>"COURT PROCED"</f>
        <v>COURT PROCED</v>
      </c>
      <c r="G17020" t="str">
        <f>"21-2156"</f>
        <v>21-2156</v>
      </c>
      <c r="H17020" t="str">
        <f>"B"</f>
        <v>B</v>
      </c>
    </row>
    <row r="17021" spans="1:8" x14ac:dyDescent="0.2">
      <c r="A17021" t="str">
        <f t="shared" si="6172"/>
        <v>0619016732</v>
      </c>
      <c r="B17021" t="str">
        <f t="shared" si="6173"/>
        <v>AMARE</v>
      </c>
      <c r="C17021" t="str">
        <f t="shared" si="6174"/>
        <v>THOMPSON</v>
      </c>
      <c r="D17021" t="str">
        <f t="shared" si="6175"/>
        <v>09</v>
      </c>
      <c r="E17021" t="str">
        <f>"03 - A - 102 - Laselleda D Shaw"</f>
        <v>03 - A - 102 - Laselleda D Shaw</v>
      </c>
      <c r="F17021" t="str">
        <f>"INTENS READ 1"</f>
        <v>INTENS READ 1</v>
      </c>
      <c r="G17021" t="str">
        <f>"17-1723"</f>
        <v>17-1723</v>
      </c>
      <c r="H17021" t="str">
        <f>"A"</f>
        <v>A</v>
      </c>
    </row>
    <row r="17022" spans="1:8" x14ac:dyDescent="0.2">
      <c r="A17022" t="str">
        <f t="shared" si="6172"/>
        <v>0619016732</v>
      </c>
      <c r="B17022" t="str">
        <f t="shared" si="6173"/>
        <v>AMARE</v>
      </c>
      <c r="C17022" t="str">
        <f t="shared" si="6174"/>
        <v>THOMPSON</v>
      </c>
      <c r="D17022" t="str">
        <f t="shared" si="6175"/>
        <v>09</v>
      </c>
      <c r="E17022" t="str">
        <f>"02 - A - 102 - Samantha J Headley"</f>
        <v>02 - A - 102 - Samantha J Headley</v>
      </c>
      <c r="F17022" t="str">
        <f>"NC STUDY HALL 1"</f>
        <v>NC STUDY HALL 1</v>
      </c>
      <c r="G17022" t="str">
        <f>"21-2134"</f>
        <v>21-2134</v>
      </c>
      <c r="H17022" t="str">
        <f>"A"</f>
        <v>A</v>
      </c>
    </row>
    <row r="17023" spans="1:8" x14ac:dyDescent="0.2">
      <c r="A17023" t="str">
        <f t="shared" si="6172"/>
        <v>0619016732</v>
      </c>
      <c r="B17023" t="str">
        <f t="shared" si="6173"/>
        <v>AMARE</v>
      </c>
      <c r="C17023" t="str">
        <f t="shared" si="6174"/>
        <v>THOMPSON</v>
      </c>
      <c r="D17023" t="str">
        <f t="shared" si="6175"/>
        <v>09</v>
      </c>
      <c r="E17023" t="str">
        <f>"07 - B - 104 - Lissa C Frederique"</f>
        <v>07 - B - 104 - Lissa C Frederique</v>
      </c>
      <c r="F17023" t="str">
        <f>"WORLD HISTORY"</f>
        <v>WORLD HISTORY</v>
      </c>
      <c r="G17023" t="str">
        <f>"17-1754"</f>
        <v>17-1754</v>
      </c>
      <c r="H17023" t="str">
        <f>"B"</f>
        <v>B</v>
      </c>
    </row>
    <row r="17024" spans="1:8" x14ac:dyDescent="0.2">
      <c r="A17024" t="str">
        <f t="shared" si="6172"/>
        <v>0619016732</v>
      </c>
      <c r="B17024" t="str">
        <f t="shared" si="6173"/>
        <v>AMARE</v>
      </c>
      <c r="C17024" t="str">
        <f t="shared" si="6174"/>
        <v>THOMPSON</v>
      </c>
      <c r="D17024" t="str">
        <f t="shared" si="6175"/>
        <v>09</v>
      </c>
      <c r="E17024" t="str">
        <f>"05 - B - 105 - Adam Marcus  Drucker"</f>
        <v>05 - B - 105 - Adam Marcus  Drucker</v>
      </c>
      <c r="F17024" t="str">
        <f>"HOPE-PE V"</f>
        <v>HOPE-PE V</v>
      </c>
      <c r="G17024" t="str">
        <f>"04-254"</f>
        <v>04-254</v>
      </c>
      <c r="H17024" t="str">
        <f>"B"</f>
        <v>B</v>
      </c>
    </row>
    <row r="17025" spans="1:8" x14ac:dyDescent="0.2">
      <c r="A17025" t="str">
        <f t="shared" si="6172"/>
        <v>0619016732</v>
      </c>
      <c r="B17025" t="str">
        <f t="shared" si="6173"/>
        <v>AMARE</v>
      </c>
      <c r="C17025" t="str">
        <f t="shared" si="6174"/>
        <v>THOMPSON</v>
      </c>
      <c r="D17025" t="str">
        <f t="shared" si="6175"/>
        <v>09</v>
      </c>
      <c r="E17025" t="str">
        <f>"01 - A - 101 - Cerine S Stewart"</f>
        <v>01 - A - 101 - Cerine S Stewart</v>
      </c>
      <c r="F17025" t="str">
        <f>"ENG 1"</f>
        <v>ENG 1</v>
      </c>
      <c r="G17025" t="str">
        <f>"17-1720"</f>
        <v>17-1720</v>
      </c>
      <c r="H17025" t="str">
        <f>"A"</f>
        <v>A</v>
      </c>
    </row>
    <row r="17026" spans="1:8" x14ac:dyDescent="0.2">
      <c r="A17026" t="str">
        <f t="shared" si="6172"/>
        <v>0619016732</v>
      </c>
      <c r="B17026" t="str">
        <f t="shared" si="6173"/>
        <v>AMARE</v>
      </c>
      <c r="C17026" t="str">
        <f t="shared" si="6174"/>
        <v>THOMPSON</v>
      </c>
      <c r="D17026" t="str">
        <f t="shared" si="6175"/>
        <v>09</v>
      </c>
      <c r="E17026" t="str">
        <f>"08 - B - 105 - Ferrie J Arostique"</f>
        <v>08 - B - 105 - Ferrie J Arostique</v>
      </c>
      <c r="F17026" t="str">
        <f>"PRE-AICE MATH 2 IG"</f>
        <v>PRE-AICE MATH 2 IG</v>
      </c>
      <c r="G17026" t="str">
        <f>"21-2139"</f>
        <v>21-2139</v>
      </c>
      <c r="H17026" t="str">
        <f>"B"</f>
        <v>B</v>
      </c>
    </row>
    <row r="17027" spans="1:8" x14ac:dyDescent="0.2">
      <c r="A17027" t="str">
        <f t="shared" ref="A17027:A17034" si="6176">"0618030609"</f>
        <v>0618030609</v>
      </c>
      <c r="B17027" t="str">
        <f t="shared" ref="B17027:B17034" si="6177">"CYPRESS"</f>
        <v>CYPRESS</v>
      </c>
      <c r="C17027" t="str">
        <f t="shared" si="6174"/>
        <v>THOMPSON</v>
      </c>
      <c r="D17027">
        <f>11</f>
        <v>11</v>
      </c>
      <c r="E17027" t="str">
        <f>"04 - A - 101 - Thomas G Handwerg"</f>
        <v>04 - A - 101 - Thomas G Handwerg</v>
      </c>
      <c r="F17027" t="str">
        <f>"MATH COLL ALGEBRA"</f>
        <v>MATH COLL ALGEBRA</v>
      </c>
      <c r="G17027" t="str">
        <f>"21-2146"</f>
        <v>21-2146</v>
      </c>
      <c r="H17027" t="str">
        <f>"A"</f>
        <v>A</v>
      </c>
    </row>
    <row r="17028" spans="1:8" x14ac:dyDescent="0.2">
      <c r="A17028" t="str">
        <f t="shared" si="6176"/>
        <v>0618030609</v>
      </c>
      <c r="B17028" t="str">
        <f t="shared" si="6177"/>
        <v>CYPRESS</v>
      </c>
      <c r="C17028" t="str">
        <f t="shared" si="6174"/>
        <v>THOMPSON</v>
      </c>
      <c r="D17028">
        <f>11</f>
        <v>11</v>
      </c>
      <c r="E17028" t="str">
        <f>"06 - B - 206 - Jacqueline R Morphet"</f>
        <v>06 - B - 206 - Jacqueline R Morphet</v>
      </c>
      <c r="F17028" t="str">
        <f>"PHYSICS 1 HON"</f>
        <v>PHYSICS 1 HON</v>
      </c>
      <c r="G17028" t="str">
        <f>"21-2138"</f>
        <v>21-2138</v>
      </c>
      <c r="H17028" t="str">
        <f>"B"</f>
        <v>B</v>
      </c>
    </row>
    <row r="17029" spans="1:8" x14ac:dyDescent="0.2">
      <c r="A17029" t="str">
        <f t="shared" si="6176"/>
        <v>0618030609</v>
      </c>
      <c r="B17029" t="str">
        <f t="shared" si="6177"/>
        <v>CYPRESS</v>
      </c>
      <c r="C17029" t="str">
        <f t="shared" si="6174"/>
        <v>THOMPSON</v>
      </c>
      <c r="D17029">
        <f>11</f>
        <v>11</v>
      </c>
      <c r="E17029" t="str">
        <f>"03 - A - 106 - Krystal Marie  Beruty"</f>
        <v>03 - A - 106 - Krystal Marie  Beruty</v>
      </c>
      <c r="F17029" t="str">
        <f>"AICE PSYCH 1 AS"</f>
        <v>AICE PSYCH 1 AS</v>
      </c>
      <c r="G17029" t="str">
        <f>"17-1721"</f>
        <v>17-1721</v>
      </c>
      <c r="H17029" t="str">
        <f>"A"</f>
        <v>A</v>
      </c>
    </row>
    <row r="17030" spans="1:8" x14ac:dyDescent="0.2">
      <c r="A17030" t="str">
        <f t="shared" si="6176"/>
        <v>0618030609</v>
      </c>
      <c r="B17030" t="str">
        <f t="shared" si="6177"/>
        <v>CYPRESS</v>
      </c>
      <c r="C17030" t="str">
        <f t="shared" si="6174"/>
        <v>THOMPSON</v>
      </c>
      <c r="D17030">
        <f>11</f>
        <v>11</v>
      </c>
      <c r="E17030" t="str">
        <f>"02 - A - 106 - Heidi M Knopp"</f>
        <v>02 - A - 106 - Heidi M Knopp</v>
      </c>
      <c r="F17030" t="str">
        <f>"NC STUDY HALL 1"</f>
        <v>NC STUDY HALL 1</v>
      </c>
      <c r="G17030" t="str">
        <f>"17-1735"</f>
        <v>17-1735</v>
      </c>
      <c r="H17030" t="str">
        <f>"A"</f>
        <v>A</v>
      </c>
    </row>
    <row r="17031" spans="1:8" x14ac:dyDescent="0.2">
      <c r="A17031" t="str">
        <f t="shared" si="6176"/>
        <v>0618030609</v>
      </c>
      <c r="B17031" t="str">
        <f t="shared" si="6177"/>
        <v>CYPRESS</v>
      </c>
      <c r="C17031" t="str">
        <f t="shared" si="6174"/>
        <v>THOMPSON</v>
      </c>
      <c r="D17031">
        <f>11</f>
        <v>11</v>
      </c>
      <c r="E17031" t="str">
        <f>"07 - B - 104 - Jerry S Jiampetti"</f>
        <v>07 - B - 104 - Jerry S Jiampetti</v>
      </c>
      <c r="F17031" t="str">
        <f>"AICE U.S. HIST 1 AS"</f>
        <v>AICE U.S. HIST 1 AS</v>
      </c>
      <c r="G17031" t="str">
        <f>"17-1751"</f>
        <v>17-1751</v>
      </c>
      <c r="H17031" t="str">
        <f>"B"</f>
        <v>B</v>
      </c>
    </row>
    <row r="17032" spans="1:8" x14ac:dyDescent="0.2">
      <c r="A17032" t="str">
        <f t="shared" si="6176"/>
        <v>0618030609</v>
      </c>
      <c r="B17032" t="str">
        <f t="shared" si="6177"/>
        <v>CYPRESS</v>
      </c>
      <c r="C17032" t="str">
        <f t="shared" si="6174"/>
        <v>THOMPSON</v>
      </c>
      <c r="D17032">
        <f>11</f>
        <v>11</v>
      </c>
      <c r="E17032" t="str">
        <f>"05 - B - 203 - Chrystina M Marchionne"</f>
        <v>05 - B - 203 - Chrystina M Marchionne</v>
      </c>
      <c r="F17032" t="str">
        <f>"AICE MEDIASTUDIES AS"</f>
        <v>AICE MEDIASTUDIES AS</v>
      </c>
      <c r="G17032" t="str">
        <f>"05-520"</f>
        <v>05-520</v>
      </c>
      <c r="H17032" t="str">
        <f>"B"</f>
        <v>B</v>
      </c>
    </row>
    <row r="17033" spans="1:8" x14ac:dyDescent="0.2">
      <c r="A17033" t="str">
        <f t="shared" si="6176"/>
        <v>0618030609</v>
      </c>
      <c r="B17033" t="str">
        <f t="shared" si="6177"/>
        <v>CYPRESS</v>
      </c>
      <c r="C17033" t="str">
        <f t="shared" si="6174"/>
        <v>THOMPSON</v>
      </c>
      <c r="D17033">
        <f>11</f>
        <v>11</v>
      </c>
      <c r="E17033" t="str">
        <f>"01 - A - 101 - Jacklyn M James"</f>
        <v>01 - A - 101 - Jacklyn M James</v>
      </c>
      <c r="F17033" t="str">
        <f>"AICE ENG LANG AS"</f>
        <v>AICE ENG LANG AS</v>
      </c>
      <c r="G17033" t="str">
        <f>"17-1731"</f>
        <v>17-1731</v>
      </c>
      <c r="H17033" t="str">
        <f>"A"</f>
        <v>A</v>
      </c>
    </row>
    <row r="17034" spans="1:8" x14ac:dyDescent="0.2">
      <c r="A17034" t="str">
        <f t="shared" si="6176"/>
        <v>0618030609</v>
      </c>
      <c r="B17034" t="str">
        <f t="shared" si="6177"/>
        <v>CYPRESS</v>
      </c>
      <c r="C17034" t="str">
        <f t="shared" si="6174"/>
        <v>THOMPSON</v>
      </c>
      <c r="D17034">
        <f>11</f>
        <v>11</v>
      </c>
      <c r="E17034" t="str">
        <f>"08 - B - 101 - Marius D Orsolini"</f>
        <v>08 - B - 101 - Marius D Orsolini</v>
      </c>
      <c r="F17034" t="str">
        <f>"CULINARY ARTS 2"</f>
        <v>CULINARY ARTS 2</v>
      </c>
      <c r="G17034" t="str">
        <f>"21-2115"</f>
        <v>21-2115</v>
      </c>
      <c r="H17034" t="str">
        <f>"B"</f>
        <v>B</v>
      </c>
    </row>
    <row r="17035" spans="1:8" x14ac:dyDescent="0.2">
      <c r="A17035" t="str">
        <f t="shared" ref="A17035:A17042" si="6178">"0614107584"</f>
        <v>0614107584</v>
      </c>
      <c r="B17035" t="str">
        <f t="shared" ref="B17035:B17042" si="6179">"KENO"</f>
        <v>KENO</v>
      </c>
      <c r="C17035" t="str">
        <f t="shared" si="6174"/>
        <v>THOMPSON</v>
      </c>
      <c r="D17035">
        <f>11</f>
        <v>11</v>
      </c>
      <c r="E17035" t="str">
        <f>"04 - A - 101 - Jerry S Jiampetti"</f>
        <v>04 - A - 101 - Jerry S Jiampetti</v>
      </c>
      <c r="F17035" t="str">
        <f>"AICE U.S. HIST 1 AS"</f>
        <v>AICE U.S. HIST 1 AS</v>
      </c>
      <c r="G17035" t="str">
        <f>"17-1751"</f>
        <v>17-1751</v>
      </c>
      <c r="H17035" t="str">
        <f>"A"</f>
        <v>A</v>
      </c>
    </row>
    <row r="17036" spans="1:8" x14ac:dyDescent="0.2">
      <c r="A17036" t="str">
        <f t="shared" si="6178"/>
        <v>0614107584</v>
      </c>
      <c r="B17036" t="str">
        <f t="shared" si="6179"/>
        <v>KENO</v>
      </c>
      <c r="C17036" t="str">
        <f t="shared" si="6174"/>
        <v>THOMPSON</v>
      </c>
      <c r="D17036">
        <f>11</f>
        <v>11</v>
      </c>
      <c r="E17036" t="str">
        <f>"06 - B - 102 - Angela S Adeshina-Morrison"</f>
        <v>06 - B - 102 - Angela S Adeshina-Morrison</v>
      </c>
      <c r="F17036" t="str">
        <f>"MARKETING ESSENTIALS"</f>
        <v>MARKETING ESSENTIALS</v>
      </c>
      <c r="G17036" t="str">
        <f>"05-518"</f>
        <v>05-518</v>
      </c>
      <c r="H17036" t="str">
        <f>"B"</f>
        <v>B</v>
      </c>
    </row>
    <row r="17037" spans="1:8" x14ac:dyDescent="0.2">
      <c r="A17037" t="str">
        <f t="shared" si="6178"/>
        <v>0614107584</v>
      </c>
      <c r="B17037" t="str">
        <f t="shared" si="6179"/>
        <v>KENO</v>
      </c>
      <c r="C17037" t="str">
        <f t="shared" si="6174"/>
        <v>THOMPSON</v>
      </c>
      <c r="D17037">
        <f>11</f>
        <v>11</v>
      </c>
      <c r="E17037" t="str">
        <f>"03 - A - 202 - Jeanne M Bermudez"</f>
        <v>03 - A - 202 - Jeanne M Bermudez</v>
      </c>
      <c r="F17037" t="str">
        <f>"PHYSICS 1 HON"</f>
        <v>PHYSICS 1 HON</v>
      </c>
      <c r="G17037" t="str">
        <f>"21-2141"</f>
        <v>21-2141</v>
      </c>
      <c r="H17037" t="str">
        <f>"A"</f>
        <v>A</v>
      </c>
    </row>
    <row r="17038" spans="1:8" x14ac:dyDescent="0.2">
      <c r="A17038" t="str">
        <f t="shared" si="6178"/>
        <v>0614107584</v>
      </c>
      <c r="B17038" t="str">
        <f t="shared" si="6179"/>
        <v>KENO</v>
      </c>
      <c r="C17038" t="str">
        <f t="shared" si="6174"/>
        <v>THOMPSON</v>
      </c>
      <c r="D17038">
        <f>11</f>
        <v>11</v>
      </c>
      <c r="E17038" t="str">
        <f>"02 - A - 113 - Byron G Montenegro"</f>
        <v>02 - A - 113 - Byron G Montenegro</v>
      </c>
      <c r="F17038" t="str">
        <f>"NC STUDY HALL 1"</f>
        <v>NC STUDY HALL 1</v>
      </c>
      <c r="G17038" t="str">
        <f>"21-2144"</f>
        <v>21-2144</v>
      </c>
      <c r="H17038" t="str">
        <f>"A"</f>
        <v>A</v>
      </c>
    </row>
    <row r="17039" spans="1:8" x14ac:dyDescent="0.2">
      <c r="A17039" t="str">
        <f t="shared" si="6178"/>
        <v>0614107584</v>
      </c>
      <c r="B17039" t="str">
        <f t="shared" si="6179"/>
        <v>KENO</v>
      </c>
      <c r="C17039" t="str">
        <f t="shared" si="6174"/>
        <v>THOMPSON</v>
      </c>
      <c r="D17039">
        <f>11</f>
        <v>11</v>
      </c>
      <c r="E17039" t="str">
        <f>"07 - B - 107 - Semra  Bahadir"</f>
        <v>07 - B - 107 - Semra  Bahadir</v>
      </c>
      <c r="F17039" t="str">
        <f>"MATH COLL ALGEBRA"</f>
        <v>MATH COLL ALGEBRA</v>
      </c>
      <c r="G17039" t="str">
        <f>"21-2107"</f>
        <v>21-2107</v>
      </c>
      <c r="H17039" t="str">
        <f>"B"</f>
        <v>B</v>
      </c>
    </row>
    <row r="17040" spans="1:8" x14ac:dyDescent="0.2">
      <c r="A17040" t="str">
        <f t="shared" si="6178"/>
        <v>0614107584</v>
      </c>
      <c r="B17040" t="str">
        <f t="shared" si="6179"/>
        <v>KENO</v>
      </c>
      <c r="C17040" t="str">
        <f t="shared" si="6174"/>
        <v>THOMPSON</v>
      </c>
      <c r="D17040">
        <f>11</f>
        <v>11</v>
      </c>
      <c r="E17040" t="str">
        <f>"05 - B - 102 - Jacklyn M James"</f>
        <v>05 - B - 102 - Jacklyn M James</v>
      </c>
      <c r="F17040" t="str">
        <f>"AICE ENG LANG AS"</f>
        <v>AICE ENG LANG AS</v>
      </c>
      <c r="G17040" t="str">
        <f>"17-1731"</f>
        <v>17-1731</v>
      </c>
      <c r="H17040" t="str">
        <f>"B"</f>
        <v>B</v>
      </c>
    </row>
    <row r="17041" spans="1:8" x14ac:dyDescent="0.2">
      <c r="A17041" t="str">
        <f t="shared" si="6178"/>
        <v>0614107584</v>
      </c>
      <c r="B17041" t="str">
        <f t="shared" si="6179"/>
        <v>KENO</v>
      </c>
      <c r="C17041" t="str">
        <f t="shared" si="6174"/>
        <v>THOMPSON</v>
      </c>
      <c r="D17041">
        <f>11</f>
        <v>11</v>
      </c>
      <c r="E17041" t="str">
        <f>"01 - A - 101 - Adam Marcus  Drucker"</f>
        <v>01 - A - 101 - Adam Marcus  Drucker</v>
      </c>
      <c r="F17041" t="str">
        <f>"HOPE-PE V"</f>
        <v>HOPE-PE V</v>
      </c>
      <c r="G17041" t="str">
        <f>"04-254"</f>
        <v>04-254</v>
      </c>
      <c r="H17041" t="str">
        <f>"A"</f>
        <v>A</v>
      </c>
    </row>
    <row r="17042" spans="1:8" x14ac:dyDescent="0.2">
      <c r="A17042" t="str">
        <f t="shared" si="6178"/>
        <v>0614107584</v>
      </c>
      <c r="B17042" t="str">
        <f t="shared" si="6179"/>
        <v>KENO</v>
      </c>
      <c r="C17042" t="str">
        <f t="shared" si="6174"/>
        <v>THOMPSON</v>
      </c>
      <c r="D17042">
        <f>11</f>
        <v>11</v>
      </c>
      <c r="E17042" t="str">
        <f>"08 - B - 101 - Eva T Rimmer"</f>
        <v>08 - B - 101 - Eva T Rimmer</v>
      </c>
      <c r="F17042" t="str">
        <f>"CRIM JUST OPS 3 HON"</f>
        <v>CRIM JUST OPS 3 HON</v>
      </c>
      <c r="G17042" t="str">
        <f>"05-523"</f>
        <v>05-523</v>
      </c>
      <c r="H17042" t="str">
        <f>"B"</f>
        <v>B</v>
      </c>
    </row>
    <row r="17043" spans="1:8" x14ac:dyDescent="0.2">
      <c r="A17043" t="str">
        <f t="shared" ref="A17043:A17050" si="6180">"0614131783"</f>
        <v>0614131783</v>
      </c>
      <c r="B17043" t="str">
        <f t="shared" ref="B17043:B17050" si="6181">"JASMINE"</f>
        <v>JASMINE</v>
      </c>
      <c r="C17043" t="str">
        <f t="shared" ref="C17043:C17050" si="6182">"THOMPSON-HAMILTON"</f>
        <v>THOMPSON-HAMILTON</v>
      </c>
      <c r="D17043">
        <f>11</f>
        <v>11</v>
      </c>
      <c r="E17043" t="str">
        <f>"04 - A - 102 - Brandy N Zdenek"</f>
        <v>04 - A - 102 - Brandy N Zdenek</v>
      </c>
      <c r="F17043" t="str">
        <f>"AICE ENG LANG 2 AL"</f>
        <v>AICE ENG LANG 2 AL</v>
      </c>
      <c r="G17043" t="str">
        <f>"17-1704"</f>
        <v>17-1704</v>
      </c>
      <c r="H17043" t="str">
        <f>"A"</f>
        <v>A</v>
      </c>
    </row>
    <row r="17044" spans="1:8" x14ac:dyDescent="0.2">
      <c r="A17044" t="str">
        <f t="shared" si="6180"/>
        <v>0614131783</v>
      </c>
      <c r="B17044" t="str">
        <f t="shared" si="6181"/>
        <v>JASMINE</v>
      </c>
      <c r="C17044" t="str">
        <f t="shared" si="6182"/>
        <v>THOMPSON-HAMILTON</v>
      </c>
      <c r="D17044">
        <f>11</f>
        <v>11</v>
      </c>
      <c r="E17044" t="str">
        <f>"06 - B - 206 - Jacqueline R Morphet"</f>
        <v>06 - B - 206 - Jacqueline R Morphet</v>
      </c>
      <c r="F17044" t="str">
        <f>"PHYSICS 1 HON"</f>
        <v>PHYSICS 1 HON</v>
      </c>
      <c r="G17044" t="str">
        <f>"21-2138"</f>
        <v>21-2138</v>
      </c>
      <c r="H17044" t="str">
        <f>"B"</f>
        <v>B</v>
      </c>
    </row>
    <row r="17045" spans="1:8" x14ac:dyDescent="0.2">
      <c r="A17045" t="str">
        <f t="shared" si="6180"/>
        <v>0614131783</v>
      </c>
      <c r="B17045" t="str">
        <f t="shared" si="6181"/>
        <v>JASMINE</v>
      </c>
      <c r="C17045" t="str">
        <f t="shared" si="6182"/>
        <v>THOMPSON-HAMILTON</v>
      </c>
      <c r="D17045">
        <f>11</f>
        <v>11</v>
      </c>
      <c r="E17045" t="str">
        <f>"03 - A - 101 - Timothy J Lawrence"</f>
        <v>03 - A - 101 - Timothy J Lawrence</v>
      </c>
      <c r="F17045" t="str">
        <f>"AICE PHYS ED 1 AS"</f>
        <v>AICE PHYS ED 1 AS</v>
      </c>
      <c r="G17045" t="str">
        <f>"05-519"</f>
        <v>05-519</v>
      </c>
      <c r="H17045" t="str">
        <f>"A"</f>
        <v>A</v>
      </c>
    </row>
    <row r="17046" spans="1:8" x14ac:dyDescent="0.2">
      <c r="A17046" t="str">
        <f t="shared" si="6180"/>
        <v>0614131783</v>
      </c>
      <c r="B17046" t="str">
        <f t="shared" si="6181"/>
        <v>JASMINE</v>
      </c>
      <c r="C17046" t="str">
        <f t="shared" si="6182"/>
        <v>THOMPSON-HAMILTON</v>
      </c>
      <c r="D17046">
        <f>11</f>
        <v>11</v>
      </c>
      <c r="E17046" t="str">
        <f>"02 - A - 103 - Kelly N Panza"</f>
        <v>02 - A - 103 - Kelly N Panza</v>
      </c>
      <c r="F17046" t="str">
        <f>"NC STUDY HALL 1"</f>
        <v>NC STUDY HALL 1</v>
      </c>
      <c r="G17046" t="str">
        <f>"17-1753"</f>
        <v>17-1753</v>
      </c>
      <c r="H17046" t="str">
        <f>"A"</f>
        <v>A</v>
      </c>
    </row>
    <row r="17047" spans="1:8" x14ac:dyDescent="0.2">
      <c r="A17047" t="str">
        <f t="shared" si="6180"/>
        <v>0614131783</v>
      </c>
      <c r="B17047" t="str">
        <f t="shared" si="6181"/>
        <v>JASMINE</v>
      </c>
      <c r="C17047" t="str">
        <f t="shared" si="6182"/>
        <v>THOMPSON-HAMILTON</v>
      </c>
      <c r="D17047">
        <f>11</f>
        <v>11</v>
      </c>
      <c r="E17047" t="str">
        <f>"07 - B - 104 - Jerry S Jiampetti"</f>
        <v>07 - B - 104 - Jerry S Jiampetti</v>
      </c>
      <c r="F17047" t="str">
        <f>"AICE U.S. HIST 1 AS"</f>
        <v>AICE U.S. HIST 1 AS</v>
      </c>
      <c r="G17047" t="str">
        <f>"17-1751"</f>
        <v>17-1751</v>
      </c>
      <c r="H17047" t="str">
        <f>"B"</f>
        <v>B</v>
      </c>
    </row>
    <row r="17048" spans="1:8" x14ac:dyDescent="0.2">
      <c r="A17048" t="str">
        <f t="shared" si="6180"/>
        <v>0614131783</v>
      </c>
      <c r="B17048" t="str">
        <f t="shared" si="6181"/>
        <v>JASMINE</v>
      </c>
      <c r="C17048" t="str">
        <f t="shared" si="6182"/>
        <v>THOMPSON-HAMILTON</v>
      </c>
      <c r="D17048">
        <f>11</f>
        <v>11</v>
      </c>
      <c r="E17048" t="str">
        <f>"05 - B - 108 - James H Mccann"</f>
        <v>05 - B - 108 - James H Mccann</v>
      </c>
      <c r="F17048" t="str">
        <f>"ALGEBRA 2"</f>
        <v>ALGEBRA 2</v>
      </c>
      <c r="G17048" t="str">
        <f>"17-1716"</f>
        <v>17-1716</v>
      </c>
      <c r="H17048" t="str">
        <f>"B"</f>
        <v>B</v>
      </c>
    </row>
    <row r="17049" spans="1:8" x14ac:dyDescent="0.2">
      <c r="A17049" t="str">
        <f t="shared" si="6180"/>
        <v>0614131783</v>
      </c>
      <c r="B17049" t="str">
        <f t="shared" si="6181"/>
        <v>JASMINE</v>
      </c>
      <c r="C17049" t="str">
        <f t="shared" si="6182"/>
        <v>THOMPSON-HAMILTON</v>
      </c>
      <c r="D17049">
        <f>11</f>
        <v>11</v>
      </c>
      <c r="E17049" t="str">
        <f>"01 - A - 201 - Chrystina M Marchionne"</f>
        <v>01 - A - 201 - Chrystina M Marchionne</v>
      </c>
      <c r="F17049" t="str">
        <f>"AICE MEDIASTUDIES AS"</f>
        <v>AICE MEDIASTUDIES AS</v>
      </c>
      <c r="G17049" t="str">
        <f>"05-520"</f>
        <v>05-520</v>
      </c>
      <c r="H17049" t="str">
        <f>"A"</f>
        <v>A</v>
      </c>
    </row>
    <row r="17050" spans="1:8" x14ac:dyDescent="0.2">
      <c r="A17050" t="str">
        <f t="shared" si="6180"/>
        <v>0614131783</v>
      </c>
      <c r="B17050" t="str">
        <f t="shared" si="6181"/>
        <v>JASMINE</v>
      </c>
      <c r="C17050" t="str">
        <f t="shared" si="6182"/>
        <v>THOMPSON-HAMILTON</v>
      </c>
      <c r="D17050">
        <f>11</f>
        <v>11</v>
      </c>
      <c r="E17050" t="str">
        <f>"08 - B - 201 - Stacey A Blecker"</f>
        <v>08 - B - 201 - Stacey A Blecker</v>
      </c>
      <c r="F17050" t="str">
        <f>"AICE SOCIOLOGY 1 AS"</f>
        <v>AICE SOCIOLOGY 1 AS</v>
      </c>
      <c r="G17050" t="str">
        <f>"09-926"</f>
        <v>09-926</v>
      </c>
      <c r="H17050" t="str">
        <f>"B"</f>
        <v>B</v>
      </c>
    </row>
    <row r="17051" spans="1:8" x14ac:dyDescent="0.2">
      <c r="A17051" t="str">
        <f t="shared" ref="A17051:A17058" si="6183">"0620069078"</f>
        <v>0620069078</v>
      </c>
      <c r="B17051" t="str">
        <f t="shared" ref="B17051:B17058" si="6184">"AMERIS"</f>
        <v>AMERIS</v>
      </c>
      <c r="C17051" t="str">
        <f t="shared" ref="C17051:C17058" si="6185">"THURMOND"</f>
        <v>THURMOND</v>
      </c>
      <c r="D17051" t="str">
        <f t="shared" ref="D17051:D17066" si="6186">"09"</f>
        <v>09</v>
      </c>
      <c r="E17051" t="str">
        <f>"04 - A - 107 - Amy Beth  Broyles"</f>
        <v>04 - A - 107 - Amy Beth  Broyles</v>
      </c>
      <c r="F17051" t="str">
        <f>"ENV SCI"</f>
        <v>ENV SCI</v>
      </c>
      <c r="G17051" t="str">
        <f>"08-802"</f>
        <v>08-802</v>
      </c>
      <c r="H17051" t="str">
        <f>"A"</f>
        <v>A</v>
      </c>
    </row>
    <row r="17052" spans="1:8" x14ac:dyDescent="0.2">
      <c r="A17052" t="str">
        <f t="shared" si="6183"/>
        <v>0620069078</v>
      </c>
      <c r="B17052" t="str">
        <f t="shared" si="6184"/>
        <v>AMERIS</v>
      </c>
      <c r="C17052" t="str">
        <f t="shared" si="6185"/>
        <v>THURMOND</v>
      </c>
      <c r="D17052" t="str">
        <f t="shared" si="6186"/>
        <v>09</v>
      </c>
      <c r="E17052" t="str">
        <f>"06 - B - 105 - Dayna M Foster"</f>
        <v>06 - B - 105 - Dayna M Foster</v>
      </c>
      <c r="F17052" t="str">
        <f>"ALGEBRA 1"</f>
        <v>ALGEBRA 1</v>
      </c>
      <c r="G17052" t="str">
        <f>"21-2109"</f>
        <v>21-2109</v>
      </c>
      <c r="H17052" t="str">
        <f>"B"</f>
        <v>B</v>
      </c>
    </row>
    <row r="17053" spans="1:8" x14ac:dyDescent="0.2">
      <c r="A17053" t="str">
        <f t="shared" si="6183"/>
        <v>0620069078</v>
      </c>
      <c r="B17053" t="str">
        <f t="shared" si="6184"/>
        <v>AMERIS</v>
      </c>
      <c r="C17053" t="str">
        <f t="shared" si="6185"/>
        <v>THURMOND</v>
      </c>
      <c r="D17053" t="str">
        <f t="shared" si="6186"/>
        <v>09</v>
      </c>
      <c r="E17053" t="str">
        <f>"03 - A - 101 - Dayna M Foster"</f>
        <v>03 - A - 101 - Dayna M Foster</v>
      </c>
      <c r="F17053" t="str">
        <f>"FDN SKLS MATH 9-12"</f>
        <v>FDN SKLS MATH 9-12</v>
      </c>
      <c r="G17053" t="str">
        <f>"21-2109"</f>
        <v>21-2109</v>
      </c>
      <c r="H17053" t="str">
        <f>"A"</f>
        <v>A</v>
      </c>
    </row>
    <row r="17054" spans="1:8" x14ac:dyDescent="0.2">
      <c r="A17054" t="str">
        <f t="shared" si="6183"/>
        <v>0620069078</v>
      </c>
      <c r="B17054" t="str">
        <f t="shared" si="6184"/>
        <v>AMERIS</v>
      </c>
      <c r="C17054" t="str">
        <f t="shared" si="6185"/>
        <v>THURMOND</v>
      </c>
      <c r="D17054" t="str">
        <f t="shared" si="6186"/>
        <v>09</v>
      </c>
      <c r="E17054" t="str">
        <f>"02 - A - 108 - Rory T Sponsler"</f>
        <v>02 - A - 108 - Rory T Sponsler</v>
      </c>
      <c r="F17054" t="str">
        <f>"NC STUDY HALL 1"</f>
        <v>NC STUDY HALL 1</v>
      </c>
      <c r="G17054" t="str">
        <f>"17-1740"</f>
        <v>17-1740</v>
      </c>
      <c r="H17054" t="str">
        <f>"A"</f>
        <v>A</v>
      </c>
    </row>
    <row r="17055" spans="1:8" x14ac:dyDescent="0.2">
      <c r="A17055" t="str">
        <f t="shared" si="6183"/>
        <v>0620069078</v>
      </c>
      <c r="B17055" t="str">
        <f t="shared" si="6184"/>
        <v>AMERIS</v>
      </c>
      <c r="C17055" t="str">
        <f t="shared" si="6185"/>
        <v>THURMOND</v>
      </c>
      <c r="D17055" t="str">
        <f t="shared" si="6186"/>
        <v>09</v>
      </c>
      <c r="E17055" t="str">
        <f>"07 - B - 107 - Cerine S Stewart"</f>
        <v>07 - B - 107 - Cerine S Stewart</v>
      </c>
      <c r="F17055" t="str">
        <f>"ENG 1"</f>
        <v>ENG 1</v>
      </c>
      <c r="G17055" t="str">
        <f>"17-1720"</f>
        <v>17-1720</v>
      </c>
      <c r="H17055" t="str">
        <f>"B"</f>
        <v>B</v>
      </c>
    </row>
    <row r="17056" spans="1:8" x14ac:dyDescent="0.2">
      <c r="A17056" t="str">
        <f t="shared" si="6183"/>
        <v>0620069078</v>
      </c>
      <c r="B17056" t="str">
        <f t="shared" si="6184"/>
        <v>AMERIS</v>
      </c>
      <c r="C17056" t="str">
        <f t="shared" si="6185"/>
        <v>THURMOND</v>
      </c>
      <c r="D17056" t="str">
        <f t="shared" si="6186"/>
        <v>09</v>
      </c>
      <c r="E17056" t="str">
        <f>"05 - B - 001 - Laselleda D Shaw"</f>
        <v>05 - B - 001 - Laselleda D Shaw</v>
      </c>
      <c r="F17056" t="str">
        <f>"INTENS READ 1"</f>
        <v>INTENS READ 1</v>
      </c>
      <c r="G17056" t="str">
        <f>"17-1723"</f>
        <v>17-1723</v>
      </c>
      <c r="H17056" t="str">
        <f>"B"</f>
        <v>B</v>
      </c>
    </row>
    <row r="17057" spans="1:8" x14ac:dyDescent="0.2">
      <c r="A17057" t="str">
        <f t="shared" si="6183"/>
        <v>0620069078</v>
      </c>
      <c r="B17057" t="str">
        <f t="shared" si="6184"/>
        <v>AMERIS</v>
      </c>
      <c r="C17057" t="str">
        <f t="shared" si="6185"/>
        <v>THURMOND</v>
      </c>
      <c r="D17057" t="str">
        <f t="shared" si="6186"/>
        <v>09</v>
      </c>
      <c r="E17057" t="str">
        <f>"01 - A - 107 - Jazmin S Fletcher"</f>
        <v>01 - A - 107 - Jazmin S Fletcher</v>
      </c>
      <c r="F17057" t="str">
        <f>"WORLD HISTORY"</f>
        <v>WORLD HISTORY</v>
      </c>
      <c r="G17057" t="str">
        <f>"09-909"</f>
        <v>09-909</v>
      </c>
      <c r="H17057" t="str">
        <f>"A"</f>
        <v>A</v>
      </c>
    </row>
    <row r="17058" spans="1:8" x14ac:dyDescent="0.2">
      <c r="A17058" t="str">
        <f t="shared" si="6183"/>
        <v>0620069078</v>
      </c>
      <c r="B17058" t="str">
        <f t="shared" si="6184"/>
        <v>AMERIS</v>
      </c>
      <c r="C17058" t="str">
        <f t="shared" si="6185"/>
        <v>THURMOND</v>
      </c>
      <c r="D17058" t="str">
        <f t="shared" si="6186"/>
        <v>09</v>
      </c>
      <c r="E17058" t="str">
        <f>"08 - B - 101 - Jazmin S Fletcher"</f>
        <v>08 - B - 101 - Jazmin S Fletcher</v>
      </c>
      <c r="F17058" t="str">
        <f>"PRE-AICE DRAMA 1G"</f>
        <v>PRE-AICE DRAMA 1G</v>
      </c>
      <c r="G17058" t="str">
        <f>"09-909"</f>
        <v>09-909</v>
      </c>
      <c r="H17058" t="str">
        <f>"B"</f>
        <v>B</v>
      </c>
    </row>
    <row r="17059" spans="1:8" x14ac:dyDescent="0.2">
      <c r="A17059" t="str">
        <f t="shared" ref="A17059:A17066" si="6187">"0617063490"</f>
        <v>0617063490</v>
      </c>
      <c r="B17059" t="str">
        <f t="shared" ref="B17059:B17066" si="6188">"AVRYNNE"</f>
        <v>AVRYNNE</v>
      </c>
      <c r="C17059" t="str">
        <f t="shared" ref="C17059:C17066" si="6189">"TIERNEY"</f>
        <v>TIERNEY</v>
      </c>
      <c r="D17059" t="str">
        <f t="shared" si="6186"/>
        <v>09</v>
      </c>
      <c r="E17059" t="str">
        <f>"04 - A - 102 - Byron G Montenegro"</f>
        <v>04 - A - 102 - Byron G Montenegro</v>
      </c>
      <c r="F17059" t="str">
        <f>"AICE MARINE SCI 1 AS"</f>
        <v>AICE MARINE SCI 1 AS</v>
      </c>
      <c r="G17059" t="str">
        <f>"21-2144"</f>
        <v>21-2144</v>
      </c>
      <c r="H17059" t="str">
        <f>"A"</f>
        <v>A</v>
      </c>
    </row>
    <row r="17060" spans="1:8" x14ac:dyDescent="0.2">
      <c r="A17060" t="str">
        <f t="shared" si="6187"/>
        <v>0617063490</v>
      </c>
      <c r="B17060" t="str">
        <f t="shared" si="6188"/>
        <v>AVRYNNE</v>
      </c>
      <c r="C17060" t="str">
        <f t="shared" si="6189"/>
        <v>TIERNEY</v>
      </c>
      <c r="D17060" t="str">
        <f t="shared" si="6186"/>
        <v>09</v>
      </c>
      <c r="E17060" t="str">
        <f>"06 - B - 102 - Rosa Elaine  Collado-Duff"</f>
        <v>06 - B - 102 - Rosa Elaine  Collado-Duff</v>
      </c>
      <c r="F17060" t="str">
        <f>"SPANISH 3 HON"</f>
        <v>SPANISH 3 HON</v>
      </c>
      <c r="G17060" t="str">
        <f>"09-913"</f>
        <v>09-913</v>
      </c>
      <c r="H17060" t="str">
        <f>"B"</f>
        <v>B</v>
      </c>
    </row>
    <row r="17061" spans="1:8" x14ac:dyDescent="0.2">
      <c r="A17061" t="str">
        <f t="shared" si="6187"/>
        <v>0617063490</v>
      </c>
      <c r="B17061" t="str">
        <f t="shared" si="6188"/>
        <v>AVRYNNE</v>
      </c>
      <c r="C17061" t="str">
        <f t="shared" si="6189"/>
        <v>TIERNEY</v>
      </c>
      <c r="D17061" t="str">
        <f t="shared" si="6186"/>
        <v>09</v>
      </c>
      <c r="E17061" t="str">
        <f>"03 - A - 101 - Samantha L Martinez"</f>
        <v>03 - A - 101 - Samantha L Martinez</v>
      </c>
      <c r="F17061" t="str">
        <f>"VOCAL ENS 1"</f>
        <v>VOCAL ENS 1</v>
      </c>
      <c r="G17061" t="str">
        <f>"05-505"</f>
        <v>05-505</v>
      </c>
      <c r="H17061" t="str">
        <f>"A"</f>
        <v>A</v>
      </c>
    </row>
    <row r="17062" spans="1:8" x14ac:dyDescent="0.2">
      <c r="A17062" t="str">
        <f t="shared" si="6187"/>
        <v>0617063490</v>
      </c>
      <c r="B17062" t="str">
        <f t="shared" si="6188"/>
        <v>AVRYNNE</v>
      </c>
      <c r="C17062" t="str">
        <f t="shared" si="6189"/>
        <v>TIERNEY</v>
      </c>
      <c r="D17062" t="str">
        <f t="shared" si="6186"/>
        <v>09</v>
      </c>
      <c r="E17062" t="str">
        <f>"02 - A - 102 - Samantha J Headley"</f>
        <v>02 - A - 102 - Samantha J Headley</v>
      </c>
      <c r="F17062" t="str">
        <f>"NC STUDY HALL 1"</f>
        <v>NC STUDY HALL 1</v>
      </c>
      <c r="G17062" t="str">
        <f>"21-2134"</f>
        <v>21-2134</v>
      </c>
      <c r="H17062" t="str">
        <f>"A"</f>
        <v>A</v>
      </c>
    </row>
    <row r="17063" spans="1:8" x14ac:dyDescent="0.2">
      <c r="A17063" t="str">
        <f t="shared" si="6187"/>
        <v>0617063490</v>
      </c>
      <c r="B17063" t="str">
        <f t="shared" si="6188"/>
        <v>AVRYNNE</v>
      </c>
      <c r="C17063" t="str">
        <f t="shared" si="6189"/>
        <v>TIERNEY</v>
      </c>
      <c r="D17063" t="str">
        <f t="shared" si="6186"/>
        <v>09</v>
      </c>
      <c r="E17063" t="str">
        <f>"07 - B - 001 - Cheryl Anne  Berman-Schechter"</f>
        <v>07 - B - 001 - Cheryl Anne  Berman-Schechter</v>
      </c>
      <c r="F17063" t="str">
        <f>"AICE ENG GEN PAPER 1"</f>
        <v>AICE ENG GEN PAPER 1</v>
      </c>
      <c r="G17063" t="str">
        <f>"17-1722"</f>
        <v>17-1722</v>
      </c>
      <c r="H17063" t="str">
        <f>"B"</f>
        <v>B</v>
      </c>
    </row>
    <row r="17064" spans="1:8" x14ac:dyDescent="0.2">
      <c r="A17064" t="str">
        <f t="shared" si="6187"/>
        <v>0617063490</v>
      </c>
      <c r="B17064" t="str">
        <f t="shared" si="6188"/>
        <v>AVRYNNE</v>
      </c>
      <c r="C17064" t="str">
        <f t="shared" si="6189"/>
        <v>TIERNEY</v>
      </c>
      <c r="D17064" t="str">
        <f t="shared" si="6186"/>
        <v>09</v>
      </c>
      <c r="E17064" t="str">
        <f>"05 - B - 001 - Kelly N Panza"</f>
        <v>05 - B - 001 - Kelly N Panza</v>
      </c>
      <c r="F17064" t="str">
        <f>"AICE GLBL PERSP 1 AS"</f>
        <v>AICE GLBL PERSP 1 AS</v>
      </c>
      <c r="G17064" t="str">
        <f>"17-1753"</f>
        <v>17-1753</v>
      </c>
      <c r="H17064" t="str">
        <f>"B"</f>
        <v>B</v>
      </c>
    </row>
    <row r="17065" spans="1:8" x14ac:dyDescent="0.2">
      <c r="A17065" t="str">
        <f t="shared" si="6187"/>
        <v>0617063490</v>
      </c>
      <c r="B17065" t="str">
        <f t="shared" si="6188"/>
        <v>AVRYNNE</v>
      </c>
      <c r="C17065" t="str">
        <f t="shared" si="6189"/>
        <v>TIERNEY</v>
      </c>
      <c r="D17065" t="str">
        <f t="shared" si="6186"/>
        <v>09</v>
      </c>
      <c r="E17065" t="str">
        <f>"01 - A - 101 - Samantha L Martinez"</f>
        <v>01 - A - 101 - Samantha L Martinez</v>
      </c>
      <c r="F17065" t="str">
        <f>"MUSIC WORLD"</f>
        <v>MUSIC WORLD</v>
      </c>
      <c r="G17065" t="str">
        <f>"05-505"</f>
        <v>05-505</v>
      </c>
      <c r="H17065" t="str">
        <f>"A"</f>
        <v>A</v>
      </c>
    </row>
    <row r="17066" spans="1:8" x14ac:dyDescent="0.2">
      <c r="A17066" t="str">
        <f t="shared" si="6187"/>
        <v>0617063490</v>
      </c>
      <c r="B17066" t="str">
        <f t="shared" si="6188"/>
        <v>AVRYNNE</v>
      </c>
      <c r="C17066" t="str">
        <f t="shared" si="6189"/>
        <v>TIERNEY</v>
      </c>
      <c r="D17066" t="str">
        <f t="shared" si="6186"/>
        <v>09</v>
      </c>
      <c r="E17066" t="str">
        <f>"08 - B - 102 - Maried P Ramos"</f>
        <v>08 - B - 102 - Maried P Ramos</v>
      </c>
      <c r="F17066" t="str">
        <f>"ALGEBRA 2 HON"</f>
        <v>ALGEBRA 2 HON</v>
      </c>
      <c r="G17066" t="str">
        <f>"21-2159"</f>
        <v>21-2159</v>
      </c>
      <c r="H17066" t="str">
        <f>"B"</f>
        <v>B</v>
      </c>
    </row>
    <row r="17067" spans="1:8" x14ac:dyDescent="0.2">
      <c r="A17067" t="str">
        <f t="shared" ref="A17067:A17074" si="6190">"0623077947"</f>
        <v>0623077947</v>
      </c>
      <c r="B17067" t="str">
        <f t="shared" ref="B17067:B17074" si="6191">"AVA"</f>
        <v>AVA</v>
      </c>
      <c r="C17067" t="str">
        <f t="shared" ref="C17067:C17074" si="6192">"TIKASINGH"</f>
        <v>TIKASINGH</v>
      </c>
      <c r="D17067">
        <f>11</f>
        <v>11</v>
      </c>
      <c r="E17067" t="str">
        <f>"04 - A - 101 - Jerry S Jiampetti"</f>
        <v>04 - A - 101 - Jerry S Jiampetti</v>
      </c>
      <c r="F17067" t="str">
        <f>"AICE U.S. HIST 1 AS"</f>
        <v>AICE U.S. HIST 1 AS</v>
      </c>
      <c r="G17067" t="str">
        <f>"17-1751"</f>
        <v>17-1751</v>
      </c>
      <c r="H17067" t="str">
        <f>"A"</f>
        <v>A</v>
      </c>
    </row>
    <row r="17068" spans="1:8" x14ac:dyDescent="0.2">
      <c r="A17068" t="str">
        <f t="shared" si="6190"/>
        <v>0623077947</v>
      </c>
      <c r="B17068" t="str">
        <f t="shared" si="6191"/>
        <v>AVA</v>
      </c>
      <c r="C17068" t="str">
        <f t="shared" si="6192"/>
        <v>TIKASINGH</v>
      </c>
      <c r="D17068">
        <f>11</f>
        <v>11</v>
      </c>
      <c r="E17068" t="str">
        <f>"06 - B - 001 - Lourivaldo  Da Silva"</f>
        <v>06 - B - 001 - Lourivaldo  Da Silva</v>
      </c>
      <c r="F17068" t="str">
        <f>"PRE-CALCULUS HON"</f>
        <v>PRE-CALCULUS HON</v>
      </c>
      <c r="G17068" t="str">
        <f>"20-2079"</f>
        <v>20-2079</v>
      </c>
      <c r="H17068" t="str">
        <f>"B"</f>
        <v>B</v>
      </c>
    </row>
    <row r="17069" spans="1:8" x14ac:dyDescent="0.2">
      <c r="A17069" t="str">
        <f t="shared" si="6190"/>
        <v>0623077947</v>
      </c>
      <c r="B17069" t="str">
        <f t="shared" si="6191"/>
        <v>AVA</v>
      </c>
      <c r="C17069" t="str">
        <f t="shared" si="6192"/>
        <v>TIKASINGH</v>
      </c>
      <c r="D17069">
        <f>11</f>
        <v>11</v>
      </c>
      <c r="E17069" t="str">
        <f>"03 - A - 202 - Jeanne M Bermudez"</f>
        <v>03 - A - 202 - Jeanne M Bermudez</v>
      </c>
      <c r="F17069" t="str">
        <f>"PHYSICS 1 HON"</f>
        <v>PHYSICS 1 HON</v>
      </c>
      <c r="G17069" t="str">
        <f>"21-2141"</f>
        <v>21-2141</v>
      </c>
      <c r="H17069" t="str">
        <f>"A"</f>
        <v>A</v>
      </c>
    </row>
    <row r="17070" spans="1:8" x14ac:dyDescent="0.2">
      <c r="A17070" t="str">
        <f t="shared" si="6190"/>
        <v>0623077947</v>
      </c>
      <c r="B17070" t="str">
        <f t="shared" si="6191"/>
        <v>AVA</v>
      </c>
      <c r="C17070" t="str">
        <f t="shared" si="6192"/>
        <v>TIKASINGH</v>
      </c>
      <c r="D17070">
        <f>11</f>
        <v>11</v>
      </c>
      <c r="E17070" t="str">
        <f>"02 - A - 001 - Courtney E Hambright"</f>
        <v>02 - A - 001 - Courtney E Hambright</v>
      </c>
      <c r="F17070" t="str">
        <f>"NC STUDY HALL 1"</f>
        <v>NC STUDY HALL 1</v>
      </c>
      <c r="G17070" t="str">
        <f>"17-1711"</f>
        <v>17-1711</v>
      </c>
      <c r="H17070" t="str">
        <f>"A"</f>
        <v>A</v>
      </c>
    </row>
    <row r="17071" spans="1:8" x14ac:dyDescent="0.2">
      <c r="A17071" t="str">
        <f t="shared" si="6190"/>
        <v>0623077947</v>
      </c>
      <c r="B17071" t="str">
        <f t="shared" si="6191"/>
        <v>AVA</v>
      </c>
      <c r="C17071" t="str">
        <f t="shared" si="6192"/>
        <v>TIKASINGH</v>
      </c>
      <c r="D17071">
        <f>11</f>
        <v>11</v>
      </c>
      <c r="E17071" t="str">
        <f>"07 - B - 204 - Stefanie S Scher"</f>
        <v>07 - B - 204 - Stefanie S Scher</v>
      </c>
      <c r="F17071" t="str">
        <f>"AP PSYCH"</f>
        <v>AP PSYCH</v>
      </c>
      <c r="G17071" t="str">
        <f>"17-1735"</f>
        <v>17-1735</v>
      </c>
      <c r="H17071" t="str">
        <f>"B"</f>
        <v>B</v>
      </c>
    </row>
    <row r="17072" spans="1:8" x14ac:dyDescent="0.2">
      <c r="A17072" t="str">
        <f t="shared" si="6190"/>
        <v>0623077947</v>
      </c>
      <c r="B17072" t="str">
        <f t="shared" si="6191"/>
        <v>AVA</v>
      </c>
      <c r="C17072" t="str">
        <f t="shared" si="6192"/>
        <v>TIKASINGH</v>
      </c>
      <c r="D17072">
        <f>11</f>
        <v>11</v>
      </c>
      <c r="E17072" t="str">
        <f>"05 - B - 202 - Daniel S Katz"</f>
        <v>05 - B - 202 - Daniel S Katz</v>
      </c>
      <c r="F17072" t="str">
        <f>"EXEC INTERN 3 LH"</f>
        <v>EXEC INTERN 3 LH</v>
      </c>
      <c r="G17072" t="str">
        <f>"21-2156"</f>
        <v>21-2156</v>
      </c>
      <c r="H17072" t="str">
        <f>"B"</f>
        <v>B</v>
      </c>
    </row>
    <row r="17073" spans="1:8" x14ac:dyDescent="0.2">
      <c r="A17073" t="str">
        <f t="shared" si="6190"/>
        <v>0623077947</v>
      </c>
      <c r="B17073" t="str">
        <f t="shared" si="6191"/>
        <v>AVA</v>
      </c>
      <c r="C17073" t="str">
        <f t="shared" si="6192"/>
        <v>TIKASINGH</v>
      </c>
      <c r="D17073">
        <f>11</f>
        <v>11</v>
      </c>
      <c r="E17073" t="str">
        <f>"01 - A - 101 - Lisa J London"</f>
        <v>01 - A - 101 - Lisa J London</v>
      </c>
      <c r="F17073" t="str">
        <f>"AP CAPSTONE SEMINAR"</f>
        <v>AP CAPSTONE SEMINAR</v>
      </c>
      <c r="G17073" t="str">
        <f>"17-1714"</f>
        <v>17-1714</v>
      </c>
      <c r="H17073" t="str">
        <f>"A"</f>
        <v>A</v>
      </c>
    </row>
    <row r="17074" spans="1:8" x14ac:dyDescent="0.2">
      <c r="A17074" t="str">
        <f t="shared" si="6190"/>
        <v>0623077947</v>
      </c>
      <c r="B17074" t="str">
        <f t="shared" si="6191"/>
        <v>AVA</v>
      </c>
      <c r="C17074" t="str">
        <f t="shared" si="6192"/>
        <v>TIKASINGH</v>
      </c>
      <c r="D17074">
        <f>11</f>
        <v>11</v>
      </c>
      <c r="E17074" t="str">
        <f>"08 - B - 105 - Brandy N Zdenek"</f>
        <v>08 - B - 105 - Brandy N Zdenek</v>
      </c>
      <c r="F17074" t="str">
        <f>"AICE ENG LANG 2 AL"</f>
        <v>AICE ENG LANG 2 AL</v>
      </c>
      <c r="G17074" t="str">
        <f>"17-1704"</f>
        <v>17-1704</v>
      </c>
      <c r="H17074" t="str">
        <f>"B"</f>
        <v>B</v>
      </c>
    </row>
    <row r="17075" spans="1:8" x14ac:dyDescent="0.2">
      <c r="A17075" t="str">
        <f t="shared" ref="A17075:A17082" si="6193">"0624031734"</f>
        <v>0624031734</v>
      </c>
      <c r="B17075" t="str">
        <f t="shared" ref="B17075:B17082" si="6194">"TASHUN"</f>
        <v>TASHUN</v>
      </c>
      <c r="C17075" t="str">
        <f t="shared" ref="C17075:C17082" si="6195">"TILLERY"</f>
        <v>TILLERY</v>
      </c>
      <c r="D17075" t="str">
        <f t="shared" ref="D17075:D17082" si="6196">"09"</f>
        <v>09</v>
      </c>
      <c r="E17075" t="str">
        <f>"04 - A - 102 - Samantha L Martinez"</f>
        <v>04 - A - 102 - Samantha L Martinez</v>
      </c>
      <c r="F17075" t="str">
        <f>"KEYBD 1"</f>
        <v>KEYBD 1</v>
      </c>
      <c r="G17075" t="str">
        <f>"05-505"</f>
        <v>05-505</v>
      </c>
      <c r="H17075" t="str">
        <f>"A"</f>
        <v>A</v>
      </c>
    </row>
    <row r="17076" spans="1:8" x14ac:dyDescent="0.2">
      <c r="A17076" t="str">
        <f t="shared" si="6193"/>
        <v>0624031734</v>
      </c>
      <c r="B17076" t="str">
        <f t="shared" si="6194"/>
        <v>TASHUN</v>
      </c>
      <c r="C17076" t="str">
        <f t="shared" si="6195"/>
        <v>TILLERY</v>
      </c>
      <c r="D17076" t="str">
        <f t="shared" si="6196"/>
        <v>09</v>
      </c>
      <c r="E17076" t="str">
        <f>"06 - B - 002 - Amy Beth  Broyles"</f>
        <v>06 - B - 002 - Amy Beth  Broyles</v>
      </c>
      <c r="F17076" t="str">
        <f>"ENV SCI"</f>
        <v>ENV SCI</v>
      </c>
      <c r="G17076" t="str">
        <f>"08-802"</f>
        <v>08-802</v>
      </c>
      <c r="H17076" t="str">
        <f>"B"</f>
        <v>B</v>
      </c>
    </row>
    <row r="17077" spans="1:8" x14ac:dyDescent="0.2">
      <c r="A17077" t="str">
        <f t="shared" si="6193"/>
        <v>0624031734</v>
      </c>
      <c r="B17077" t="str">
        <f t="shared" si="6194"/>
        <v>TASHUN</v>
      </c>
      <c r="C17077" t="str">
        <f t="shared" si="6195"/>
        <v>TILLERY</v>
      </c>
      <c r="D17077" t="str">
        <f t="shared" si="6196"/>
        <v>09</v>
      </c>
      <c r="E17077" t="str">
        <f>"03 - A - 105 - Cheryl Anne  Berman-Schechter"</f>
        <v>03 - A - 105 - Cheryl Anne  Berman-Schechter</v>
      </c>
      <c r="F17077" t="str">
        <f>"ENG 1"</f>
        <v>ENG 1</v>
      </c>
      <c r="G17077" t="str">
        <f>"17-1722"</f>
        <v>17-1722</v>
      </c>
      <c r="H17077" t="str">
        <f>"A"</f>
        <v>A</v>
      </c>
    </row>
    <row r="17078" spans="1:8" x14ac:dyDescent="0.2">
      <c r="A17078" t="str">
        <f t="shared" si="6193"/>
        <v>0624031734</v>
      </c>
      <c r="B17078" t="str">
        <f t="shared" si="6194"/>
        <v>TASHUN</v>
      </c>
      <c r="C17078" t="str">
        <f t="shared" si="6195"/>
        <v>TILLERY</v>
      </c>
      <c r="D17078" t="str">
        <f t="shared" si="6196"/>
        <v>09</v>
      </c>
      <c r="E17078" t="str">
        <f>"02 - A - 110 - Maried P Ramos"</f>
        <v>02 - A - 110 - Maried P Ramos</v>
      </c>
      <c r="F17078" t="str">
        <f>"NC STUDY HALL 1"</f>
        <v>NC STUDY HALL 1</v>
      </c>
      <c r="G17078" t="str">
        <f>"21-2159"</f>
        <v>21-2159</v>
      </c>
      <c r="H17078" t="str">
        <f>"A"</f>
        <v>A</v>
      </c>
    </row>
    <row r="17079" spans="1:8" x14ac:dyDescent="0.2">
      <c r="A17079" t="str">
        <f t="shared" si="6193"/>
        <v>0624031734</v>
      </c>
      <c r="B17079" t="str">
        <f t="shared" si="6194"/>
        <v>TASHUN</v>
      </c>
      <c r="C17079" t="str">
        <f t="shared" si="6195"/>
        <v>TILLERY</v>
      </c>
      <c r="D17079" t="str">
        <f t="shared" si="6196"/>
        <v>09</v>
      </c>
      <c r="E17079" t="str">
        <f>"07 - B - 001 - Maried P Ramos"</f>
        <v>07 - B - 001 - Maried P Ramos</v>
      </c>
      <c r="F17079" t="str">
        <f>"GEOMETRY"</f>
        <v>GEOMETRY</v>
      </c>
      <c r="G17079" t="str">
        <f>"21-2159"</f>
        <v>21-2159</v>
      </c>
      <c r="H17079" t="str">
        <f>"B"</f>
        <v>B</v>
      </c>
    </row>
    <row r="17080" spans="1:8" x14ac:dyDescent="0.2">
      <c r="A17080" t="str">
        <f t="shared" si="6193"/>
        <v>0624031734</v>
      </c>
      <c r="B17080" t="str">
        <f t="shared" si="6194"/>
        <v>TASHUN</v>
      </c>
      <c r="C17080" t="str">
        <f t="shared" si="6195"/>
        <v>TILLERY</v>
      </c>
      <c r="D17080" t="str">
        <f t="shared" si="6196"/>
        <v>09</v>
      </c>
      <c r="E17080" t="str">
        <f>"05 - B - 105 - Adam Marcus  Drucker"</f>
        <v>05 - B - 105 - Adam Marcus  Drucker</v>
      </c>
      <c r="F17080" t="str">
        <f>"HOPE-PE V"</f>
        <v>HOPE-PE V</v>
      </c>
      <c r="G17080" t="str">
        <f>"04-254"</f>
        <v>04-254</v>
      </c>
      <c r="H17080" t="str">
        <f>"B"</f>
        <v>B</v>
      </c>
    </row>
    <row r="17081" spans="1:8" x14ac:dyDescent="0.2">
      <c r="A17081" t="str">
        <f t="shared" si="6193"/>
        <v>0624031734</v>
      </c>
      <c r="B17081" t="str">
        <f t="shared" si="6194"/>
        <v>TASHUN</v>
      </c>
      <c r="C17081" t="str">
        <f t="shared" si="6195"/>
        <v>TILLERY</v>
      </c>
      <c r="D17081" t="str">
        <f t="shared" si="6196"/>
        <v>09</v>
      </c>
      <c r="E17081" t="str">
        <f>"01 - A - 101 - Samantha L Martinez"</f>
        <v>01 - A - 101 - Samantha L Martinez</v>
      </c>
      <c r="F17081" t="str">
        <f>"MUSIC WORLD"</f>
        <v>MUSIC WORLD</v>
      </c>
      <c r="G17081" t="str">
        <f>"05-505"</f>
        <v>05-505</v>
      </c>
      <c r="H17081" t="str">
        <f>"A"</f>
        <v>A</v>
      </c>
    </row>
    <row r="17082" spans="1:8" x14ac:dyDescent="0.2">
      <c r="A17082" t="str">
        <f t="shared" si="6193"/>
        <v>0624031734</v>
      </c>
      <c r="B17082" t="str">
        <f t="shared" si="6194"/>
        <v>TASHUN</v>
      </c>
      <c r="C17082" t="str">
        <f t="shared" si="6195"/>
        <v>TILLERY</v>
      </c>
      <c r="D17082" t="str">
        <f t="shared" si="6196"/>
        <v>09</v>
      </c>
      <c r="E17082" t="str">
        <f>"08 - B - 101 - Elizabeth Ellen  Moran"</f>
        <v>08 - B - 101 - Elizabeth Ellen  Moran</v>
      </c>
      <c r="F17082" t="str">
        <f>"WORLD HISTORY"</f>
        <v>WORLD HISTORY</v>
      </c>
      <c r="G17082" t="str">
        <f>"17-1752"</f>
        <v>17-1752</v>
      </c>
      <c r="H17082" t="str">
        <f>"B"</f>
        <v>B</v>
      </c>
    </row>
    <row r="17083" spans="1:8" x14ac:dyDescent="0.2">
      <c r="A17083" t="str">
        <f t="shared" ref="A17083:A17090" si="6197">"0624004335"</f>
        <v>0624004335</v>
      </c>
      <c r="B17083" t="str">
        <f t="shared" ref="B17083:B17090" si="6198">"EZRA"</f>
        <v>EZRA</v>
      </c>
      <c r="C17083" t="str">
        <f t="shared" ref="C17083:C17090" si="6199">"TILLMAN"</f>
        <v>TILLMAN</v>
      </c>
      <c r="D17083">
        <f>11</f>
        <v>11</v>
      </c>
      <c r="E17083" t="str">
        <f>"04 - A - 103 - Lisa  Quinn"</f>
        <v>04 - A - 103 - Lisa  Quinn</v>
      </c>
      <c r="F17083" t="str">
        <f>"ENG 3"</f>
        <v>ENG 3</v>
      </c>
      <c r="G17083" t="str">
        <f>"17-1725"</f>
        <v>17-1725</v>
      </c>
      <c r="H17083" t="str">
        <f>"A"</f>
        <v>A</v>
      </c>
    </row>
    <row r="17084" spans="1:8" x14ac:dyDescent="0.2">
      <c r="A17084" t="str">
        <f t="shared" si="6197"/>
        <v>0624004335</v>
      </c>
      <c r="B17084" t="str">
        <f t="shared" si="6198"/>
        <v>EZRA</v>
      </c>
      <c r="C17084" t="str">
        <f t="shared" si="6199"/>
        <v>TILLMAN</v>
      </c>
      <c r="D17084">
        <f>11</f>
        <v>11</v>
      </c>
      <c r="E17084" t="str">
        <f>"06 - B - 103 - Helen A Flores"</f>
        <v>06 - B - 103 - Helen A Flores</v>
      </c>
      <c r="F17084" t="str">
        <f>"ALGEBRA 2"</f>
        <v>ALGEBRA 2</v>
      </c>
      <c r="G17084" t="str">
        <f>"21-2101"</f>
        <v>21-2101</v>
      </c>
      <c r="H17084" t="str">
        <f>"B"</f>
        <v>B</v>
      </c>
    </row>
    <row r="17085" spans="1:8" x14ac:dyDescent="0.2">
      <c r="A17085" t="str">
        <f t="shared" si="6197"/>
        <v>0624004335</v>
      </c>
      <c r="B17085" t="str">
        <f t="shared" si="6198"/>
        <v>EZRA</v>
      </c>
      <c r="C17085" t="str">
        <f t="shared" si="6199"/>
        <v>TILLMAN</v>
      </c>
      <c r="D17085">
        <f>11</f>
        <v>11</v>
      </c>
      <c r="E17085" t="str">
        <f>"03 - A - 102 - Nahum  Saint-Preux"</f>
        <v>03 - A - 102 - Nahum  Saint-Preux</v>
      </c>
      <c r="F17085" t="str">
        <f>"INTENS READ 3"</f>
        <v>INTENS READ 3</v>
      </c>
      <c r="G17085" t="str">
        <f>"17-1712"</f>
        <v>17-1712</v>
      </c>
      <c r="H17085" t="str">
        <f>"A"</f>
        <v>A</v>
      </c>
    </row>
    <row r="17086" spans="1:8" x14ac:dyDescent="0.2">
      <c r="A17086" t="str">
        <f t="shared" si="6197"/>
        <v>0624004335</v>
      </c>
      <c r="B17086" t="str">
        <f t="shared" si="6198"/>
        <v>EZRA</v>
      </c>
      <c r="C17086" t="str">
        <f t="shared" si="6199"/>
        <v>TILLMAN</v>
      </c>
      <c r="D17086">
        <f>11</f>
        <v>11</v>
      </c>
      <c r="E17086" t="str">
        <f>"02 - A - 117 - Kyle  Robbins"</f>
        <v>02 - A - 117 - Kyle  Robbins</v>
      </c>
      <c r="F17086" t="str">
        <f>"NC STUDY HALL 1"</f>
        <v>NC STUDY HALL 1</v>
      </c>
      <c r="G17086" t="str">
        <f>"17-1745"</f>
        <v>17-1745</v>
      </c>
      <c r="H17086" t="str">
        <f>"A"</f>
        <v>A</v>
      </c>
    </row>
    <row r="17087" spans="1:8" x14ac:dyDescent="0.2">
      <c r="A17087" t="str">
        <f t="shared" si="6197"/>
        <v>0624004335</v>
      </c>
      <c r="B17087" t="str">
        <f t="shared" si="6198"/>
        <v>EZRA</v>
      </c>
      <c r="C17087" t="str">
        <f t="shared" si="6199"/>
        <v>TILLMAN</v>
      </c>
      <c r="D17087">
        <f>11</f>
        <v>11</v>
      </c>
      <c r="E17087" t="str">
        <f>"07 - B - 105 - Cliffon  Saurel"</f>
        <v>07 - B - 105 - Cliffon  Saurel</v>
      </c>
      <c r="F17087" t="str">
        <f>"PHYSICAL SCI"</f>
        <v>PHYSICAL SCI</v>
      </c>
      <c r="G17087" t="str">
        <f>"05-522"</f>
        <v>05-522</v>
      </c>
      <c r="H17087" t="str">
        <f>"B"</f>
        <v>B</v>
      </c>
    </row>
    <row r="17088" spans="1:8" x14ac:dyDescent="0.2">
      <c r="A17088" t="str">
        <f t="shared" si="6197"/>
        <v>0624004335</v>
      </c>
      <c r="B17088" t="str">
        <f t="shared" si="6198"/>
        <v>EZRA</v>
      </c>
      <c r="C17088" t="str">
        <f t="shared" si="6199"/>
        <v>TILLMAN</v>
      </c>
      <c r="D17088">
        <f>11</f>
        <v>11</v>
      </c>
      <c r="E17088" t="str">
        <f>"05 - B - 101 - Angela S Adeshina-Morrison"</f>
        <v>05 - B - 101 - Angela S Adeshina-Morrison</v>
      </c>
      <c r="F17088" t="str">
        <f>"MKT APPLCTNS LH"</f>
        <v>MKT APPLCTNS LH</v>
      </c>
      <c r="G17088" t="str">
        <f>"05-518"</f>
        <v>05-518</v>
      </c>
      <c r="H17088" t="str">
        <f>"B"</f>
        <v>B</v>
      </c>
    </row>
    <row r="17089" spans="1:8" x14ac:dyDescent="0.2">
      <c r="A17089" t="str">
        <f t="shared" si="6197"/>
        <v>0624004335</v>
      </c>
      <c r="B17089" t="str">
        <f t="shared" si="6198"/>
        <v>EZRA</v>
      </c>
      <c r="C17089" t="str">
        <f t="shared" si="6199"/>
        <v>TILLMAN</v>
      </c>
      <c r="D17089">
        <f>11</f>
        <v>11</v>
      </c>
      <c r="E17089" t="str">
        <f>"01 - S1 - A - 101 - Richard E Dunbar Iii"</f>
        <v>01 - S1 - A - 101 - Richard E Dunbar Iii</v>
      </c>
      <c r="F17089" t="str">
        <f>"WEIGHT TRAIN 3"</f>
        <v>WEIGHT TRAIN 3</v>
      </c>
      <c r="G17089" t="str">
        <f>"05-501"</f>
        <v>05-501</v>
      </c>
      <c r="H17089" t="str">
        <f>"A"</f>
        <v>A</v>
      </c>
    </row>
    <row r="17090" spans="1:8" x14ac:dyDescent="0.2">
      <c r="A17090" t="str">
        <f t="shared" si="6197"/>
        <v>0624004335</v>
      </c>
      <c r="B17090" t="str">
        <f t="shared" si="6198"/>
        <v>EZRA</v>
      </c>
      <c r="C17090" t="str">
        <f t="shared" si="6199"/>
        <v>TILLMAN</v>
      </c>
      <c r="D17090">
        <f>11</f>
        <v>11</v>
      </c>
      <c r="E17090" t="str">
        <f>"08 - B - 109 - Lauren N Logan"</f>
        <v>08 - B - 109 - Lauren N Logan</v>
      </c>
      <c r="F17090" t="str">
        <f>"US HISTORY"</f>
        <v>US HISTORY</v>
      </c>
      <c r="G17090" t="str">
        <f>"17-1754"</f>
        <v>17-1754</v>
      </c>
      <c r="H17090" t="str">
        <f>"B"</f>
        <v>B</v>
      </c>
    </row>
    <row r="17091" spans="1:8" x14ac:dyDescent="0.2">
      <c r="A17091" t="str">
        <f t="shared" ref="A17091:A17098" si="6200">"0613132292"</f>
        <v>0613132292</v>
      </c>
      <c r="B17091" t="str">
        <f t="shared" ref="B17091:B17098" si="6201">"MYRIANE"</f>
        <v>MYRIANE</v>
      </c>
      <c r="C17091" t="str">
        <f t="shared" ref="C17091:C17098" si="6202">"TILUS"</f>
        <v>TILUS</v>
      </c>
      <c r="D17091">
        <f>10</f>
        <v>10</v>
      </c>
      <c r="E17091" t="str">
        <f>"04 - A - 005 - Emmily A Sarmiento"</f>
        <v>04 - A - 005 - Emmily A Sarmiento</v>
      </c>
      <c r="F17091" t="str">
        <f>"AICE GLBL PERSP 1 AS"</f>
        <v>AICE GLBL PERSP 1 AS</v>
      </c>
      <c r="G17091" t="str">
        <f>"17-1743"</f>
        <v>17-1743</v>
      </c>
      <c r="H17091" t="str">
        <f>"A"</f>
        <v>A</v>
      </c>
    </row>
    <row r="17092" spans="1:8" x14ac:dyDescent="0.2">
      <c r="A17092" t="str">
        <f t="shared" si="6200"/>
        <v>0613132292</v>
      </c>
      <c r="B17092" t="str">
        <f t="shared" si="6201"/>
        <v>MYRIANE</v>
      </c>
      <c r="C17092" t="str">
        <f t="shared" si="6202"/>
        <v>TILUS</v>
      </c>
      <c r="D17092">
        <f>10</f>
        <v>10</v>
      </c>
      <c r="E17092" t="str">
        <f>"06 - B - 119 - Nikiel  Nesbeth"</f>
        <v>06 - B - 119 - Nikiel  Nesbeth</v>
      </c>
      <c r="F17092" t="str">
        <f>"NC STUDY HALL 1"</f>
        <v>NC STUDY HALL 1</v>
      </c>
      <c r="G17092" t="str">
        <f>"17-1705"</f>
        <v>17-1705</v>
      </c>
      <c r="H17092" t="str">
        <f>"B"</f>
        <v>B</v>
      </c>
    </row>
    <row r="17093" spans="1:8" x14ac:dyDescent="0.2">
      <c r="A17093" t="str">
        <f t="shared" si="6200"/>
        <v>0613132292</v>
      </c>
      <c r="B17093" t="str">
        <f t="shared" si="6201"/>
        <v>MYRIANE</v>
      </c>
      <c r="C17093" t="str">
        <f t="shared" si="6202"/>
        <v>TILUS</v>
      </c>
      <c r="D17093">
        <f>10</f>
        <v>10</v>
      </c>
      <c r="E17093" t="str">
        <f>"03 - A - 202 - Cheryl L Beach"</f>
        <v>03 - A - 202 - Cheryl L Beach</v>
      </c>
      <c r="F17093" t="str">
        <f>"AICE ENV MGMNT AS"</f>
        <v>AICE ENV MGMNT AS</v>
      </c>
      <c r="G17093" t="str">
        <f>"08-811"</f>
        <v>08-811</v>
      </c>
      <c r="H17093" t="str">
        <f>"A"</f>
        <v>A</v>
      </c>
    </row>
    <row r="17094" spans="1:8" x14ac:dyDescent="0.2">
      <c r="A17094" t="str">
        <f t="shared" si="6200"/>
        <v>0613132292</v>
      </c>
      <c r="B17094" t="str">
        <f t="shared" si="6201"/>
        <v>MYRIANE</v>
      </c>
      <c r="C17094" t="str">
        <f t="shared" si="6202"/>
        <v>TILUS</v>
      </c>
      <c r="D17094">
        <f>10</f>
        <v>10</v>
      </c>
      <c r="E17094" t="str">
        <f>"02 - A - 102 - Vanessa J Liburd"</f>
        <v>02 - A - 102 - Vanessa J Liburd</v>
      </c>
      <c r="F17094" t="str">
        <f>"PRE-AICE FRENCH 2 IG"</f>
        <v>PRE-AICE FRENCH 2 IG</v>
      </c>
      <c r="G17094" t="str">
        <f>"05-519"</f>
        <v>05-519</v>
      </c>
      <c r="H17094" t="str">
        <f>"A"</f>
        <v>A</v>
      </c>
    </row>
    <row r="17095" spans="1:8" x14ac:dyDescent="0.2">
      <c r="A17095" t="str">
        <f t="shared" si="6200"/>
        <v>0613132292</v>
      </c>
      <c r="B17095" t="str">
        <f t="shared" si="6201"/>
        <v>MYRIANE</v>
      </c>
      <c r="C17095" t="str">
        <f t="shared" si="6202"/>
        <v>TILUS</v>
      </c>
      <c r="D17095">
        <f>10</f>
        <v>10</v>
      </c>
      <c r="E17095" t="str">
        <f>"07 - B - 107 - Marius D Orsolini"</f>
        <v>07 - B - 107 - Marius D Orsolini</v>
      </c>
      <c r="F17095" t="str">
        <f>"CULINARY ARTS 1"</f>
        <v>CULINARY ARTS 1</v>
      </c>
      <c r="G17095" t="str">
        <f>"21-2115"</f>
        <v>21-2115</v>
      </c>
      <c r="H17095" t="str">
        <f>"B"</f>
        <v>B</v>
      </c>
    </row>
    <row r="17096" spans="1:8" x14ac:dyDescent="0.2">
      <c r="A17096" t="str">
        <f t="shared" si="6200"/>
        <v>0613132292</v>
      </c>
      <c r="B17096" t="str">
        <f t="shared" si="6201"/>
        <v>MYRIANE</v>
      </c>
      <c r="C17096" t="str">
        <f t="shared" si="6202"/>
        <v>TILUS</v>
      </c>
      <c r="D17096">
        <f>10</f>
        <v>10</v>
      </c>
      <c r="E17096" t="str">
        <f>"05 - B - 103 - Brook E Goren"</f>
        <v>05 - B - 103 - Brook E Goren</v>
      </c>
      <c r="F17096" t="str">
        <f>"PRE-AICE MATH 2 IG"</f>
        <v>PRE-AICE MATH 2 IG</v>
      </c>
      <c r="G17096" t="str">
        <f>"21-2158"</f>
        <v>21-2158</v>
      </c>
      <c r="H17096" t="str">
        <f>"B"</f>
        <v>B</v>
      </c>
    </row>
    <row r="17097" spans="1:8" x14ac:dyDescent="0.2">
      <c r="A17097" t="str">
        <f t="shared" si="6200"/>
        <v>0613132292</v>
      </c>
      <c r="B17097" t="str">
        <f t="shared" si="6201"/>
        <v>MYRIANE</v>
      </c>
      <c r="C17097" t="str">
        <f t="shared" si="6202"/>
        <v>TILUS</v>
      </c>
      <c r="D17097">
        <f>10</f>
        <v>10</v>
      </c>
      <c r="E17097" t="str">
        <f>"01 - A - 101 - Jacquelyn M Neeson"</f>
        <v>01 - A - 101 - Jacquelyn M Neeson</v>
      </c>
      <c r="F17097" t="str">
        <f>"AICE ENG GEN PAPER 1"</f>
        <v>AICE ENG GEN PAPER 1</v>
      </c>
      <c r="G17097" t="str">
        <f>"17-1715"</f>
        <v>17-1715</v>
      </c>
      <c r="H17097" t="str">
        <f>"A"</f>
        <v>A</v>
      </c>
    </row>
    <row r="17098" spans="1:8" x14ac:dyDescent="0.2">
      <c r="A17098" t="str">
        <f t="shared" si="6200"/>
        <v>0613132292</v>
      </c>
      <c r="B17098" t="str">
        <f t="shared" si="6201"/>
        <v>MYRIANE</v>
      </c>
      <c r="C17098" t="str">
        <f t="shared" si="6202"/>
        <v>TILUS</v>
      </c>
      <c r="D17098">
        <f>10</f>
        <v>10</v>
      </c>
      <c r="E17098" t="str">
        <f>"08 - S1 - B - 001 - Carol S Moore"</f>
        <v>08 - S1 - B - 001 - Carol S Moore</v>
      </c>
      <c r="F17098" t="str">
        <f>"PER CAR SCH DEV 1 LH"</f>
        <v>PER CAR SCH DEV 1 LH</v>
      </c>
      <c r="G17098" t="str">
        <f>"17-1733"</f>
        <v>17-1733</v>
      </c>
      <c r="H17098" t="str">
        <f>"B"</f>
        <v>B</v>
      </c>
    </row>
    <row r="17099" spans="1:8" x14ac:dyDescent="0.2">
      <c r="A17099" t="str">
        <f t="shared" ref="A17099:A17106" si="6203">"0615046279"</f>
        <v>0615046279</v>
      </c>
      <c r="B17099" t="str">
        <f t="shared" ref="B17099:B17106" si="6204">"MAKAY'LAH"</f>
        <v>MAKAY'LAH</v>
      </c>
      <c r="C17099" t="str">
        <f t="shared" ref="C17099:C17106" si="6205">"TIMANE"</f>
        <v>TIMANE</v>
      </c>
      <c r="D17099" t="str">
        <f t="shared" ref="D17099:D17106" si="6206">"09"</f>
        <v>09</v>
      </c>
      <c r="E17099" t="str">
        <f>"04 - A - 107 - Amy Beth  Broyles"</f>
        <v>04 - A - 107 - Amy Beth  Broyles</v>
      </c>
      <c r="F17099" t="str">
        <f>"ENV SCI"</f>
        <v>ENV SCI</v>
      </c>
      <c r="G17099" t="str">
        <f>"08-802"</f>
        <v>08-802</v>
      </c>
      <c r="H17099" t="str">
        <f>"A"</f>
        <v>A</v>
      </c>
    </row>
    <row r="17100" spans="1:8" x14ac:dyDescent="0.2">
      <c r="A17100" t="str">
        <f t="shared" si="6203"/>
        <v>0615046279</v>
      </c>
      <c r="B17100" t="str">
        <f t="shared" si="6204"/>
        <v>MAKAY'LAH</v>
      </c>
      <c r="C17100" t="str">
        <f t="shared" si="6205"/>
        <v>TIMANE</v>
      </c>
      <c r="D17100" t="str">
        <f t="shared" si="6206"/>
        <v>09</v>
      </c>
      <c r="E17100" t="str">
        <f>"06 - B - 105 - Dayna M Foster"</f>
        <v>06 - B - 105 - Dayna M Foster</v>
      </c>
      <c r="F17100" t="str">
        <f>"ALGEBRA 1"</f>
        <v>ALGEBRA 1</v>
      </c>
      <c r="G17100" t="str">
        <f>"21-2109"</f>
        <v>21-2109</v>
      </c>
      <c r="H17100" t="str">
        <f>"B"</f>
        <v>B</v>
      </c>
    </row>
    <row r="17101" spans="1:8" x14ac:dyDescent="0.2">
      <c r="A17101" t="str">
        <f t="shared" si="6203"/>
        <v>0615046279</v>
      </c>
      <c r="B17101" t="str">
        <f t="shared" si="6204"/>
        <v>MAKAY'LAH</v>
      </c>
      <c r="C17101" t="str">
        <f t="shared" si="6205"/>
        <v>TIMANE</v>
      </c>
      <c r="D17101" t="str">
        <f t="shared" si="6206"/>
        <v>09</v>
      </c>
      <c r="E17101" t="str">
        <f>"03 - A - 101 - Dayna M Foster"</f>
        <v>03 - A - 101 - Dayna M Foster</v>
      </c>
      <c r="F17101" t="str">
        <f>"FDN SKLS MATH 9-12"</f>
        <v>FDN SKLS MATH 9-12</v>
      </c>
      <c r="G17101" t="str">
        <f>"21-2109"</f>
        <v>21-2109</v>
      </c>
      <c r="H17101" t="str">
        <f>"A"</f>
        <v>A</v>
      </c>
    </row>
    <row r="17102" spans="1:8" x14ac:dyDescent="0.2">
      <c r="A17102" t="str">
        <f t="shared" si="6203"/>
        <v>0615046279</v>
      </c>
      <c r="B17102" t="str">
        <f t="shared" si="6204"/>
        <v>MAKAY'LAH</v>
      </c>
      <c r="C17102" t="str">
        <f t="shared" si="6205"/>
        <v>TIMANE</v>
      </c>
      <c r="D17102" t="str">
        <f t="shared" si="6206"/>
        <v>09</v>
      </c>
      <c r="E17102" t="str">
        <f>"02 - A - 103 - Angela S Adeshina-Morrison"</f>
        <v>02 - A - 103 - Angela S Adeshina-Morrison</v>
      </c>
      <c r="F17102" t="str">
        <f>"NC STUDY HALL 1"</f>
        <v>NC STUDY HALL 1</v>
      </c>
      <c r="G17102" t="str">
        <f>"05-518"</f>
        <v>05-518</v>
      </c>
      <c r="H17102" t="str">
        <f>"A"</f>
        <v>A</v>
      </c>
    </row>
    <row r="17103" spans="1:8" x14ac:dyDescent="0.2">
      <c r="A17103" t="str">
        <f t="shared" si="6203"/>
        <v>0615046279</v>
      </c>
      <c r="B17103" t="str">
        <f t="shared" si="6204"/>
        <v>MAKAY'LAH</v>
      </c>
      <c r="C17103" t="str">
        <f t="shared" si="6205"/>
        <v>TIMANE</v>
      </c>
      <c r="D17103" t="str">
        <f t="shared" si="6206"/>
        <v>09</v>
      </c>
      <c r="E17103" t="str">
        <f>"07 - B - 104 - Lissa C Frederique"</f>
        <v>07 - B - 104 - Lissa C Frederique</v>
      </c>
      <c r="F17103" t="str">
        <f>"WORLD HISTORY"</f>
        <v>WORLD HISTORY</v>
      </c>
      <c r="G17103" t="str">
        <f>"17-1754"</f>
        <v>17-1754</v>
      </c>
      <c r="H17103" t="str">
        <f>"B"</f>
        <v>B</v>
      </c>
    </row>
    <row r="17104" spans="1:8" x14ac:dyDescent="0.2">
      <c r="A17104" t="str">
        <f t="shared" si="6203"/>
        <v>0615046279</v>
      </c>
      <c r="B17104" t="str">
        <f t="shared" si="6204"/>
        <v>MAKAY'LAH</v>
      </c>
      <c r="C17104" t="str">
        <f t="shared" si="6205"/>
        <v>TIMANE</v>
      </c>
      <c r="D17104" t="str">
        <f t="shared" si="6206"/>
        <v>09</v>
      </c>
      <c r="E17104" t="str">
        <f>"05 - B - 104 - Cerine S Stewart"</f>
        <v>05 - B - 104 - Cerine S Stewart</v>
      </c>
      <c r="F17104" t="str">
        <f>"ENG 1"</f>
        <v>ENG 1</v>
      </c>
      <c r="G17104" t="str">
        <f>"17-1720"</f>
        <v>17-1720</v>
      </c>
      <c r="H17104" t="str">
        <f>"B"</f>
        <v>B</v>
      </c>
    </row>
    <row r="17105" spans="1:8" x14ac:dyDescent="0.2">
      <c r="A17105" t="str">
        <f t="shared" si="6203"/>
        <v>0615046279</v>
      </c>
      <c r="B17105" t="str">
        <f t="shared" si="6204"/>
        <v>MAKAY'LAH</v>
      </c>
      <c r="C17105" t="str">
        <f t="shared" si="6205"/>
        <v>TIMANE</v>
      </c>
      <c r="D17105" t="str">
        <f t="shared" si="6206"/>
        <v>09</v>
      </c>
      <c r="E17105" t="str">
        <f>"01 - S1 - A - 101 - Leslie J Barton"</f>
        <v>01 - S1 - A - 101 - Leslie J Barton</v>
      </c>
      <c r="F17105" t="str">
        <f>"FIRST AID SAFETY"</f>
        <v>FIRST AID SAFETY</v>
      </c>
      <c r="G17105" t="str">
        <f>"05-521"</f>
        <v>05-521</v>
      </c>
      <c r="H17105" t="str">
        <f>"A"</f>
        <v>A</v>
      </c>
    </row>
    <row r="17106" spans="1:8" x14ac:dyDescent="0.2">
      <c r="A17106" t="str">
        <f t="shared" si="6203"/>
        <v>0615046279</v>
      </c>
      <c r="B17106" t="str">
        <f t="shared" si="6204"/>
        <v>MAKAY'LAH</v>
      </c>
      <c r="C17106" t="str">
        <f t="shared" si="6205"/>
        <v>TIMANE</v>
      </c>
      <c r="D17106" t="str">
        <f t="shared" si="6206"/>
        <v>09</v>
      </c>
      <c r="E17106" t="str">
        <f>"08 - B - 106 - Laselleda D Shaw"</f>
        <v>08 - B - 106 - Laselleda D Shaw</v>
      </c>
      <c r="F17106" t="str">
        <f>"INTENS READ 1"</f>
        <v>INTENS READ 1</v>
      </c>
      <c r="G17106" t="str">
        <f>"17-1723"</f>
        <v>17-1723</v>
      </c>
      <c r="H17106" t="str">
        <f>"B"</f>
        <v>B</v>
      </c>
    </row>
    <row r="17107" spans="1:8" x14ac:dyDescent="0.2">
      <c r="A17107" t="str">
        <f t="shared" ref="A17107:A17114" si="6207">"0616063311"</f>
        <v>0616063311</v>
      </c>
      <c r="B17107" t="str">
        <f t="shared" ref="B17107:B17114" si="6208">"SEBASTIAN"</f>
        <v>SEBASTIAN</v>
      </c>
      <c r="C17107" t="str">
        <f t="shared" ref="C17107:C17114" si="6209">"TIMOFTI"</f>
        <v>TIMOFTI</v>
      </c>
      <c r="D17107">
        <f>10</f>
        <v>10</v>
      </c>
      <c r="E17107" t="str">
        <f>"04 - A - 205 - Jacqueline R Morphet"</f>
        <v>04 - A - 205 - Jacqueline R Morphet</v>
      </c>
      <c r="F17107" t="str">
        <f>"PHYSICS 1 HON"</f>
        <v>PHYSICS 1 HON</v>
      </c>
      <c r="G17107" t="str">
        <f>"21-2138"</f>
        <v>21-2138</v>
      </c>
      <c r="H17107" t="str">
        <f>"A"</f>
        <v>A</v>
      </c>
    </row>
    <row r="17108" spans="1:8" x14ac:dyDescent="0.2">
      <c r="A17108" t="str">
        <f t="shared" si="6207"/>
        <v>0616063311</v>
      </c>
      <c r="B17108" t="str">
        <f t="shared" si="6208"/>
        <v>SEBASTIAN</v>
      </c>
      <c r="C17108" t="str">
        <f t="shared" si="6209"/>
        <v>TIMOFTI</v>
      </c>
      <c r="D17108">
        <f>10</f>
        <v>10</v>
      </c>
      <c r="E17108" t="str">
        <f>"06 - B - 112 - Tina M Jaramillo"</f>
        <v>06 - B - 112 - Tina M Jaramillo</v>
      </c>
      <c r="F17108" t="str">
        <f>"NC STUDY HALL 1"</f>
        <v>NC STUDY HALL 1</v>
      </c>
      <c r="G17108" t="str">
        <f>"17-1706"</f>
        <v>17-1706</v>
      </c>
      <c r="H17108" t="str">
        <f>"B"</f>
        <v>B</v>
      </c>
    </row>
    <row r="17109" spans="1:8" x14ac:dyDescent="0.2">
      <c r="A17109" t="str">
        <f t="shared" si="6207"/>
        <v>0616063311</v>
      </c>
      <c r="B17109" t="str">
        <f t="shared" si="6208"/>
        <v>SEBASTIAN</v>
      </c>
      <c r="C17109" t="str">
        <f t="shared" si="6209"/>
        <v>TIMOFTI</v>
      </c>
      <c r="D17109">
        <f>10</f>
        <v>10</v>
      </c>
      <c r="E17109" t="str">
        <f>"03 - A - 203 - Stefanie S Scher"</f>
        <v>03 - A - 203 - Stefanie S Scher</v>
      </c>
      <c r="F17109" t="str">
        <f>"AP PSYCH"</f>
        <v>AP PSYCH</v>
      </c>
      <c r="G17109" t="str">
        <f>"17-1735"</f>
        <v>17-1735</v>
      </c>
      <c r="H17109" t="str">
        <f>"A"</f>
        <v>A</v>
      </c>
    </row>
    <row r="17110" spans="1:8" x14ac:dyDescent="0.2">
      <c r="A17110" t="str">
        <f t="shared" si="6207"/>
        <v>0616063311</v>
      </c>
      <c r="B17110" t="str">
        <f t="shared" si="6208"/>
        <v>SEBASTIAN</v>
      </c>
      <c r="C17110" t="str">
        <f t="shared" si="6209"/>
        <v>TIMOFTI</v>
      </c>
      <c r="D17110">
        <f>10</f>
        <v>10</v>
      </c>
      <c r="E17110" t="str">
        <f>"02 - A - 104 - Scott A Dethloff"</f>
        <v>02 - A - 104 - Scott A Dethloff</v>
      </c>
      <c r="F17110" t="str">
        <f>"CHEMISTRY 1 HON"</f>
        <v>CHEMISTRY 1 HON</v>
      </c>
      <c r="G17110" t="str">
        <f>"08-812"</f>
        <v>08-812</v>
      </c>
      <c r="H17110" t="str">
        <f>"A"</f>
        <v>A</v>
      </c>
    </row>
    <row r="17111" spans="1:8" x14ac:dyDescent="0.2">
      <c r="A17111" t="str">
        <f t="shared" si="6207"/>
        <v>0616063311</v>
      </c>
      <c r="B17111" t="str">
        <f t="shared" si="6208"/>
        <v>SEBASTIAN</v>
      </c>
      <c r="C17111" t="str">
        <f t="shared" si="6209"/>
        <v>TIMOFTI</v>
      </c>
      <c r="D17111">
        <f>10</f>
        <v>10</v>
      </c>
      <c r="E17111" t="str">
        <f>"07 - B - 101 - Fernando  Vega-Cid"</f>
        <v>07 - B - 101 - Fernando  Vega-Cid</v>
      </c>
      <c r="F17111" t="str">
        <f>"AP PRECALCULUS"</f>
        <v>AP PRECALCULUS</v>
      </c>
      <c r="G17111" t="str">
        <f>"21-2163"</f>
        <v>21-2163</v>
      </c>
      <c r="H17111" t="str">
        <f>"B"</f>
        <v>B</v>
      </c>
    </row>
    <row r="17112" spans="1:8" x14ac:dyDescent="0.2">
      <c r="A17112" t="str">
        <f t="shared" si="6207"/>
        <v>0616063311</v>
      </c>
      <c r="B17112" t="str">
        <f t="shared" si="6208"/>
        <v>SEBASTIAN</v>
      </c>
      <c r="C17112" t="str">
        <f t="shared" si="6209"/>
        <v>TIMOFTI</v>
      </c>
      <c r="D17112">
        <f>10</f>
        <v>10</v>
      </c>
      <c r="E17112" t="str">
        <f>"05 - B - 101 - Jordana K Hass"</f>
        <v>05 - B - 101 - Jordana K Hass</v>
      </c>
      <c r="F17112" t="str">
        <f>"AP COMP SCI PRIN"</f>
        <v>AP COMP SCI PRIN</v>
      </c>
      <c r="G17112" t="str">
        <f>"08-807"</f>
        <v>08-807</v>
      </c>
      <c r="H17112" t="str">
        <f>"B"</f>
        <v>B</v>
      </c>
    </row>
    <row r="17113" spans="1:8" x14ac:dyDescent="0.2">
      <c r="A17113" t="str">
        <f t="shared" si="6207"/>
        <v>0616063311</v>
      </c>
      <c r="B17113" t="str">
        <f t="shared" si="6208"/>
        <v>SEBASTIAN</v>
      </c>
      <c r="C17113" t="str">
        <f t="shared" si="6209"/>
        <v>TIMOFTI</v>
      </c>
      <c r="D17113">
        <f>10</f>
        <v>10</v>
      </c>
      <c r="E17113" t="str">
        <f>"01 - A - 101 - Kelly N Panza"</f>
        <v>01 - A - 101 - Kelly N Panza</v>
      </c>
      <c r="F17113" t="str">
        <f>"AP HUMAN GEOG"</f>
        <v>AP HUMAN GEOG</v>
      </c>
      <c r="G17113" t="str">
        <f>"17-1753"</f>
        <v>17-1753</v>
      </c>
      <c r="H17113" t="str">
        <f>"A"</f>
        <v>A</v>
      </c>
    </row>
    <row r="17114" spans="1:8" x14ac:dyDescent="0.2">
      <c r="A17114" t="str">
        <f t="shared" si="6207"/>
        <v>0616063311</v>
      </c>
      <c r="B17114" t="str">
        <f t="shared" si="6208"/>
        <v>SEBASTIAN</v>
      </c>
      <c r="C17114" t="str">
        <f t="shared" si="6209"/>
        <v>TIMOFTI</v>
      </c>
      <c r="D17114">
        <f>10</f>
        <v>10</v>
      </c>
      <c r="E17114" t="str">
        <f>"08 - B - 102 - Jacquelyn M Neeson"</f>
        <v>08 - B - 102 - Jacquelyn M Neeson</v>
      </c>
      <c r="F17114" t="str">
        <f>"AICE ENG GEN PAPER 1"</f>
        <v>AICE ENG GEN PAPER 1</v>
      </c>
      <c r="G17114" t="str">
        <f>"17-1715"</f>
        <v>17-1715</v>
      </c>
      <c r="H17114" t="str">
        <f>"B"</f>
        <v>B</v>
      </c>
    </row>
    <row r="17115" spans="1:8" x14ac:dyDescent="0.2">
      <c r="A17115" t="str">
        <f t="shared" ref="A17115:A17122" si="6210">"0624075690"</f>
        <v>0624075690</v>
      </c>
      <c r="B17115" t="str">
        <f t="shared" ref="B17115:B17122" si="6211">"ANNE-CORIE"</f>
        <v>ANNE-CORIE</v>
      </c>
      <c r="C17115" t="str">
        <f t="shared" ref="C17115:C17122" si="6212">"TIMOTHEE"</f>
        <v>TIMOTHEE</v>
      </c>
      <c r="D17115">
        <f>10</f>
        <v>10</v>
      </c>
      <c r="E17115" t="str">
        <f>"04 - A - 205 - Lytrell T Dixon"</f>
        <v>04 - A - 205 - Lytrell T Dixon</v>
      </c>
      <c r="F17115" t="str">
        <f>"BIOLOGY 1"</f>
        <v>BIOLOGY 1</v>
      </c>
      <c r="G17115" t="str">
        <f>"08-808"</f>
        <v>08-808</v>
      </c>
      <c r="H17115" t="str">
        <f>"A"</f>
        <v>A</v>
      </c>
    </row>
    <row r="17116" spans="1:8" x14ac:dyDescent="0.2">
      <c r="A17116" t="str">
        <f t="shared" si="6210"/>
        <v>0624075690</v>
      </c>
      <c r="B17116" t="str">
        <f t="shared" si="6211"/>
        <v>ANNE-CORIE</v>
      </c>
      <c r="C17116" t="str">
        <f t="shared" si="6212"/>
        <v>TIMOTHEE</v>
      </c>
      <c r="D17116">
        <f>10</f>
        <v>10</v>
      </c>
      <c r="E17116" t="str">
        <f>"06 - B - 103 - Vanessa J Liburd"</f>
        <v>06 - B - 103 - Vanessa J Liburd</v>
      </c>
      <c r="F17116" t="str">
        <f>"NC STUDY HALL 1"</f>
        <v>NC STUDY HALL 1</v>
      </c>
      <c r="G17116" t="str">
        <f>"05-519"</f>
        <v>05-519</v>
      </c>
      <c r="H17116" t="str">
        <f>"B"</f>
        <v>B</v>
      </c>
    </row>
    <row r="17117" spans="1:8" x14ac:dyDescent="0.2">
      <c r="A17117" t="str">
        <f t="shared" si="6210"/>
        <v>0624075690</v>
      </c>
      <c r="B17117" t="str">
        <f t="shared" si="6211"/>
        <v>ANNE-CORIE</v>
      </c>
      <c r="C17117" t="str">
        <f t="shared" si="6212"/>
        <v>TIMOTHEE</v>
      </c>
      <c r="D17117">
        <f>10</f>
        <v>10</v>
      </c>
      <c r="E17117" t="str">
        <f>"03 - S1 - A - 102 - Angela S Adeshina-Morrison"</f>
        <v>03 - S1 - A - 102 - Angela S Adeshina-Morrison</v>
      </c>
      <c r="F17117" t="str">
        <f>"PEER COUN 1"</f>
        <v>PEER COUN 1</v>
      </c>
      <c r="G17117" t="str">
        <f>"05-518"</f>
        <v>05-518</v>
      </c>
      <c r="H17117" t="str">
        <f>"A"</f>
        <v>A</v>
      </c>
    </row>
    <row r="17118" spans="1:8" x14ac:dyDescent="0.2">
      <c r="A17118" t="str">
        <f t="shared" si="6210"/>
        <v>0624075690</v>
      </c>
      <c r="B17118" t="str">
        <f t="shared" si="6211"/>
        <v>ANNE-CORIE</v>
      </c>
      <c r="C17118" t="str">
        <f t="shared" si="6212"/>
        <v>TIMOTHEE</v>
      </c>
      <c r="D17118">
        <f>10</f>
        <v>10</v>
      </c>
      <c r="E17118" t="str">
        <f>"02 - A - 102 - Adam Marcus  Drucker"</f>
        <v>02 - A - 102 - Adam Marcus  Drucker</v>
      </c>
      <c r="F17118" t="str">
        <f>"HOPE-PE V"</f>
        <v>HOPE-PE V</v>
      </c>
      <c r="G17118" t="str">
        <f>"04-254"</f>
        <v>04-254</v>
      </c>
      <c r="H17118" t="str">
        <f>"A"</f>
        <v>A</v>
      </c>
    </row>
    <row r="17119" spans="1:8" x14ac:dyDescent="0.2">
      <c r="A17119" t="str">
        <f t="shared" si="6210"/>
        <v>0624075690</v>
      </c>
      <c r="B17119" t="str">
        <f t="shared" si="6211"/>
        <v>ANNE-CORIE</v>
      </c>
      <c r="C17119" t="str">
        <f t="shared" si="6212"/>
        <v>TIMOTHEE</v>
      </c>
      <c r="D17119">
        <f>10</f>
        <v>10</v>
      </c>
      <c r="E17119" t="str">
        <f>"07 - B - 108 - Jacquelyn M Neeson"</f>
        <v>07 - B - 108 - Jacquelyn M Neeson</v>
      </c>
      <c r="F17119" t="str">
        <f>"ENG 2"</f>
        <v>ENG 2</v>
      </c>
      <c r="G17119" t="str">
        <f>"17-1715"</f>
        <v>17-1715</v>
      </c>
      <c r="H17119" t="str">
        <f>"B"</f>
        <v>B</v>
      </c>
    </row>
    <row r="17120" spans="1:8" x14ac:dyDescent="0.2">
      <c r="A17120" t="str">
        <f t="shared" si="6210"/>
        <v>0624075690</v>
      </c>
      <c r="B17120" t="str">
        <f t="shared" si="6211"/>
        <v>ANNE-CORIE</v>
      </c>
      <c r="C17120" t="str">
        <f t="shared" si="6212"/>
        <v>TIMOTHEE</v>
      </c>
      <c r="D17120">
        <f>10</f>
        <v>10</v>
      </c>
      <c r="E17120" t="str">
        <f>"05 - B - 109 - Ferrie J Arostique"</f>
        <v>05 - B - 109 - Ferrie J Arostique</v>
      </c>
      <c r="F17120" t="str">
        <f>"GEOMETRY"</f>
        <v>GEOMETRY</v>
      </c>
      <c r="G17120" t="str">
        <f>"21-2139"</f>
        <v>21-2139</v>
      </c>
      <c r="H17120" t="str">
        <f>"B"</f>
        <v>B</v>
      </c>
    </row>
    <row r="17121" spans="1:8" x14ac:dyDescent="0.2">
      <c r="A17121" t="str">
        <f t="shared" si="6210"/>
        <v>0624075690</v>
      </c>
      <c r="B17121" t="str">
        <f t="shared" si="6211"/>
        <v>ANNE-CORIE</v>
      </c>
      <c r="C17121" t="str">
        <f t="shared" si="6212"/>
        <v>TIMOTHEE</v>
      </c>
      <c r="D17121">
        <f>10</f>
        <v>10</v>
      </c>
      <c r="E17121" t="str">
        <f>"01 - S1 - A - 101 - Lissa C Frederique"</f>
        <v>01 - S1 - A - 101 - Lissa C Frederique</v>
      </c>
      <c r="F17121" t="str">
        <f>"PERS FIN &amp; MON MGT H"</f>
        <v>PERS FIN &amp; MON MGT H</v>
      </c>
      <c r="G17121" t="str">
        <f>"17-1754"</f>
        <v>17-1754</v>
      </c>
      <c r="H17121" t="str">
        <f>"A"</f>
        <v>A</v>
      </c>
    </row>
    <row r="17122" spans="1:8" x14ac:dyDescent="0.2">
      <c r="A17122" t="str">
        <f t="shared" si="6210"/>
        <v>0624075690</v>
      </c>
      <c r="B17122" t="str">
        <f t="shared" si="6211"/>
        <v>ANNE-CORIE</v>
      </c>
      <c r="C17122" t="str">
        <f t="shared" si="6212"/>
        <v>TIMOTHEE</v>
      </c>
      <c r="D17122">
        <f>10</f>
        <v>10</v>
      </c>
      <c r="E17122" t="str">
        <f>"08 - B - 201 - Vanessa J Liburd"</f>
        <v>08 - B - 201 - Vanessa J Liburd</v>
      </c>
      <c r="F17122" t="str">
        <f>"FRENCH 3 HON"</f>
        <v>FRENCH 3 HON</v>
      </c>
      <c r="G17122" t="str">
        <f>"05-519"</f>
        <v>05-519</v>
      </c>
      <c r="H17122" t="str">
        <f>"B"</f>
        <v>B</v>
      </c>
    </row>
    <row r="17123" spans="1:8" x14ac:dyDescent="0.2">
      <c r="A17123" t="str">
        <f t="shared" ref="A17123:A17130" si="6213">"0616146376"</f>
        <v>0616146376</v>
      </c>
      <c r="B17123" t="str">
        <f t="shared" ref="B17123:B17130" si="6214">"YOMARIS"</f>
        <v>YOMARIS</v>
      </c>
      <c r="C17123" t="str">
        <f t="shared" ref="C17123:C17130" si="6215">"TIRADO"</f>
        <v>TIRADO</v>
      </c>
      <c r="D17123" t="str">
        <f t="shared" ref="D17123:D17130" si="6216">"09"</f>
        <v>09</v>
      </c>
      <c r="E17123" t="str">
        <f>"04 - A - 103 - Cerine S Stewart"</f>
        <v>04 - A - 103 - Cerine S Stewart</v>
      </c>
      <c r="F17123" t="str">
        <f>"ENG 1"</f>
        <v>ENG 1</v>
      </c>
      <c r="G17123" t="str">
        <f>"17-1720"</f>
        <v>17-1720</v>
      </c>
      <c r="H17123" t="str">
        <f>"A"</f>
        <v>A</v>
      </c>
    </row>
    <row r="17124" spans="1:8" x14ac:dyDescent="0.2">
      <c r="A17124" t="str">
        <f t="shared" si="6213"/>
        <v>0616146376</v>
      </c>
      <c r="B17124" t="str">
        <f t="shared" si="6214"/>
        <v>YOMARIS</v>
      </c>
      <c r="C17124" t="str">
        <f t="shared" si="6215"/>
        <v>TIRADO</v>
      </c>
      <c r="D17124" t="str">
        <f t="shared" si="6216"/>
        <v>09</v>
      </c>
      <c r="E17124" t="str">
        <f>"06 - B - 002 - Amy Beth  Broyles"</f>
        <v>06 - B - 002 - Amy Beth  Broyles</v>
      </c>
      <c r="F17124" t="str">
        <f>"ENV SCI"</f>
        <v>ENV SCI</v>
      </c>
      <c r="G17124" t="str">
        <f>"08-802"</f>
        <v>08-802</v>
      </c>
      <c r="H17124" t="str">
        <f>"B"</f>
        <v>B</v>
      </c>
    </row>
    <row r="17125" spans="1:8" x14ac:dyDescent="0.2">
      <c r="A17125" t="str">
        <f t="shared" si="6213"/>
        <v>0616146376</v>
      </c>
      <c r="B17125" t="str">
        <f t="shared" si="6214"/>
        <v>YOMARIS</v>
      </c>
      <c r="C17125" t="str">
        <f t="shared" si="6215"/>
        <v>TIRADO</v>
      </c>
      <c r="D17125" t="str">
        <f t="shared" si="6216"/>
        <v>09</v>
      </c>
      <c r="E17125" t="str">
        <f>"03 - A - 101 - Helen A Flores"</f>
        <v>03 - A - 101 - Helen A Flores</v>
      </c>
      <c r="F17125" t="str">
        <f>"PRE-AICE MATH 1 IG"</f>
        <v>PRE-AICE MATH 1 IG</v>
      </c>
      <c r="G17125" t="str">
        <f>"21-2101"</f>
        <v>21-2101</v>
      </c>
      <c r="H17125" t="str">
        <f>"A"</f>
        <v>A</v>
      </c>
    </row>
    <row r="17126" spans="1:8" x14ac:dyDescent="0.2">
      <c r="A17126" t="str">
        <f t="shared" si="6213"/>
        <v>0616146376</v>
      </c>
      <c r="B17126" t="str">
        <f t="shared" si="6214"/>
        <v>YOMARIS</v>
      </c>
      <c r="C17126" t="str">
        <f t="shared" si="6215"/>
        <v>TIRADO</v>
      </c>
      <c r="D17126" t="str">
        <f t="shared" si="6216"/>
        <v>09</v>
      </c>
      <c r="E17126" t="str">
        <f>"02 - A - 104 - Lytrell T Dixon"</f>
        <v>02 - A - 104 - Lytrell T Dixon</v>
      </c>
      <c r="F17126" t="str">
        <f>"NC STUDY HALL 1"</f>
        <v>NC STUDY HALL 1</v>
      </c>
      <c r="G17126" t="str">
        <f>"08-808"</f>
        <v>08-808</v>
      </c>
      <c r="H17126" t="str">
        <f>"A"</f>
        <v>A</v>
      </c>
    </row>
    <row r="17127" spans="1:8" x14ac:dyDescent="0.2">
      <c r="A17127" t="str">
        <f t="shared" si="6213"/>
        <v>0616146376</v>
      </c>
      <c r="B17127" t="str">
        <f t="shared" si="6214"/>
        <v>YOMARIS</v>
      </c>
      <c r="C17127" t="str">
        <f t="shared" si="6215"/>
        <v>TIRADO</v>
      </c>
      <c r="D17127" t="str">
        <f t="shared" si="6216"/>
        <v>09</v>
      </c>
      <c r="E17127" t="str">
        <f>"07 - B - 104 - Lissa C Frederique"</f>
        <v>07 - B - 104 - Lissa C Frederique</v>
      </c>
      <c r="F17127" t="str">
        <f>"WORLD HISTORY"</f>
        <v>WORLD HISTORY</v>
      </c>
      <c r="G17127" t="str">
        <f>"17-1754"</f>
        <v>17-1754</v>
      </c>
      <c r="H17127" t="str">
        <f>"B"</f>
        <v>B</v>
      </c>
    </row>
    <row r="17128" spans="1:8" x14ac:dyDescent="0.2">
      <c r="A17128" t="str">
        <f t="shared" si="6213"/>
        <v>0616146376</v>
      </c>
      <c r="B17128" t="str">
        <f t="shared" si="6214"/>
        <v>YOMARIS</v>
      </c>
      <c r="C17128" t="str">
        <f t="shared" si="6215"/>
        <v>TIRADO</v>
      </c>
      <c r="D17128" t="str">
        <f t="shared" si="6216"/>
        <v>09</v>
      </c>
      <c r="E17128" t="str">
        <f>"05 - B - 103 - Eva T Rimmer"</f>
        <v>05 - B - 103 - Eva T Rimmer</v>
      </c>
      <c r="F17128" t="str">
        <f>"CRIMINAL JUST OPS 1"</f>
        <v>CRIMINAL JUST OPS 1</v>
      </c>
      <c r="G17128" t="str">
        <f>"05-523"</f>
        <v>05-523</v>
      </c>
      <c r="H17128" t="str">
        <f>"B"</f>
        <v>B</v>
      </c>
    </row>
    <row r="17129" spans="1:8" x14ac:dyDescent="0.2">
      <c r="A17129" t="str">
        <f t="shared" si="6213"/>
        <v>0616146376</v>
      </c>
      <c r="B17129" t="str">
        <f t="shared" si="6214"/>
        <v>YOMARIS</v>
      </c>
      <c r="C17129" t="str">
        <f t="shared" si="6215"/>
        <v>TIRADO</v>
      </c>
      <c r="D17129" t="str">
        <f t="shared" si="6216"/>
        <v>09</v>
      </c>
      <c r="E17129" t="str">
        <f>"01 - A - 101 - Adam Marcus  Drucker"</f>
        <v>01 - A - 101 - Adam Marcus  Drucker</v>
      </c>
      <c r="F17129" t="str">
        <f>"HOPE-PE V"</f>
        <v>HOPE-PE V</v>
      </c>
      <c r="G17129" t="str">
        <f>"04-254"</f>
        <v>04-254</v>
      </c>
      <c r="H17129" t="str">
        <f>"A"</f>
        <v>A</v>
      </c>
    </row>
    <row r="17130" spans="1:8" x14ac:dyDescent="0.2">
      <c r="A17130" t="str">
        <f t="shared" si="6213"/>
        <v>0616146376</v>
      </c>
      <c r="B17130" t="str">
        <f t="shared" si="6214"/>
        <v>YOMARIS</v>
      </c>
      <c r="C17130" t="str">
        <f t="shared" si="6215"/>
        <v>TIRADO</v>
      </c>
      <c r="D17130" t="str">
        <f t="shared" si="6216"/>
        <v>09</v>
      </c>
      <c r="E17130" t="str">
        <f>"08 - B - 106 - Laselleda D Shaw"</f>
        <v>08 - B - 106 - Laselleda D Shaw</v>
      </c>
      <c r="F17130" t="str">
        <f>"INTENS READ 1"</f>
        <v>INTENS READ 1</v>
      </c>
      <c r="G17130" t="str">
        <f>"17-1723"</f>
        <v>17-1723</v>
      </c>
      <c r="H17130" t="str">
        <f>"B"</f>
        <v>B</v>
      </c>
    </row>
    <row r="17131" spans="1:8" x14ac:dyDescent="0.2">
      <c r="A17131" t="str">
        <f t="shared" ref="A17131:A17138" si="6217">"0610090187"</f>
        <v>0610090187</v>
      </c>
      <c r="B17131" t="str">
        <f t="shared" ref="B17131:B17138" si="6218">"MADDEN"</f>
        <v>MADDEN</v>
      </c>
      <c r="C17131" t="str">
        <f t="shared" ref="C17131:C17138" si="6219">"TITUS"</f>
        <v>TITUS</v>
      </c>
      <c r="D17131">
        <f>11</f>
        <v>11</v>
      </c>
      <c r="E17131" t="str">
        <f>"04 - S1 - A - 107 - Richard E Dunbar Iii"</f>
        <v>04 - S1 - A - 107 - Richard E Dunbar Iii</v>
      </c>
      <c r="F17131" t="str">
        <f>"WEIGHT TRAIN 3"</f>
        <v>WEIGHT TRAIN 3</v>
      </c>
      <c r="G17131" t="str">
        <f>"05-501"</f>
        <v>05-501</v>
      </c>
      <c r="H17131" t="str">
        <f>"A"</f>
        <v>A</v>
      </c>
    </row>
    <row r="17132" spans="1:8" x14ac:dyDescent="0.2">
      <c r="A17132" t="str">
        <f t="shared" si="6217"/>
        <v>0610090187</v>
      </c>
      <c r="B17132" t="str">
        <f t="shared" si="6218"/>
        <v>MADDEN</v>
      </c>
      <c r="C17132" t="str">
        <f t="shared" si="6219"/>
        <v>TITUS</v>
      </c>
      <c r="D17132">
        <f>11</f>
        <v>11</v>
      </c>
      <c r="E17132" t="str">
        <f>"06 - B - 001 - Lourivaldo  Da Silva"</f>
        <v>06 - B - 001 - Lourivaldo  Da Silva</v>
      </c>
      <c r="F17132" t="str">
        <f>"PRE-CALCULUS HON"</f>
        <v>PRE-CALCULUS HON</v>
      </c>
      <c r="G17132" t="str">
        <f>"20-2079"</f>
        <v>20-2079</v>
      </c>
      <c r="H17132" t="str">
        <f>"B"</f>
        <v>B</v>
      </c>
    </row>
    <row r="17133" spans="1:8" x14ac:dyDescent="0.2">
      <c r="A17133" t="str">
        <f t="shared" si="6217"/>
        <v>0610090187</v>
      </c>
      <c r="B17133" t="str">
        <f t="shared" si="6218"/>
        <v>MADDEN</v>
      </c>
      <c r="C17133" t="str">
        <f t="shared" si="6219"/>
        <v>TITUS</v>
      </c>
      <c r="D17133">
        <f>11</f>
        <v>11</v>
      </c>
      <c r="E17133" t="str">
        <f>"03 - A - 106 - Jerry S Jiampetti"</f>
        <v>03 - A - 106 - Jerry S Jiampetti</v>
      </c>
      <c r="F17133" t="str">
        <f>"US HISTORY HON"</f>
        <v>US HISTORY HON</v>
      </c>
      <c r="G17133" t="str">
        <f>"17-1751"</f>
        <v>17-1751</v>
      </c>
      <c r="H17133" t="str">
        <f>"A"</f>
        <v>A</v>
      </c>
    </row>
    <row r="17134" spans="1:8" x14ac:dyDescent="0.2">
      <c r="A17134" t="str">
        <f t="shared" si="6217"/>
        <v>0610090187</v>
      </c>
      <c r="B17134" t="str">
        <f t="shared" si="6218"/>
        <v>MADDEN</v>
      </c>
      <c r="C17134" t="str">
        <f t="shared" si="6219"/>
        <v>TITUS</v>
      </c>
      <c r="D17134">
        <f>11</f>
        <v>11</v>
      </c>
      <c r="E17134" t="str">
        <f>"02 - A - 101 - Timothy J Lawrence"</f>
        <v>02 - A - 101 - Timothy J Lawrence</v>
      </c>
      <c r="F17134" t="str">
        <f>"NC STUDY HALL 1"</f>
        <v>NC STUDY HALL 1</v>
      </c>
      <c r="G17134" t="str">
        <f>"05-522"</f>
        <v>05-522</v>
      </c>
      <c r="H17134" t="str">
        <f>"A"</f>
        <v>A</v>
      </c>
    </row>
    <row r="17135" spans="1:8" x14ac:dyDescent="0.2">
      <c r="A17135" t="str">
        <f t="shared" si="6217"/>
        <v>0610090187</v>
      </c>
      <c r="B17135" t="str">
        <f t="shared" si="6218"/>
        <v>MADDEN</v>
      </c>
      <c r="C17135" t="str">
        <f t="shared" si="6219"/>
        <v>TITUS</v>
      </c>
      <c r="D17135">
        <f>11</f>
        <v>11</v>
      </c>
      <c r="E17135" t="str">
        <f>"07 - B - 002 - Jordana K Hass"</f>
        <v>07 - B - 002 - Jordana K Hass</v>
      </c>
      <c r="F17135" t="str">
        <f>"CHEMISTRY 1 HON"</f>
        <v>CHEMISTRY 1 HON</v>
      </c>
      <c r="G17135" t="str">
        <f>"08-807"</f>
        <v>08-807</v>
      </c>
      <c r="H17135" t="str">
        <f>"B"</f>
        <v>B</v>
      </c>
    </row>
    <row r="17136" spans="1:8" x14ac:dyDescent="0.2">
      <c r="A17136" t="str">
        <f t="shared" si="6217"/>
        <v>0610090187</v>
      </c>
      <c r="B17136" t="str">
        <f t="shared" si="6218"/>
        <v>MADDEN</v>
      </c>
      <c r="C17136" t="str">
        <f t="shared" si="6219"/>
        <v>TITUS</v>
      </c>
      <c r="D17136">
        <f>11</f>
        <v>11</v>
      </c>
      <c r="E17136" t="str">
        <f>"05 - B - 103 - Heidi M Knopp"</f>
        <v>05 - B - 103 - Heidi M Knopp</v>
      </c>
      <c r="F17136" t="str">
        <f>"ENG HON 3"</f>
        <v>ENG HON 3</v>
      </c>
      <c r="G17136" t="str">
        <f>"17-1723"</f>
        <v>17-1723</v>
      </c>
      <c r="H17136" t="str">
        <f>"B"</f>
        <v>B</v>
      </c>
    </row>
    <row r="17137" spans="1:8" x14ac:dyDescent="0.2">
      <c r="A17137" t="str">
        <f t="shared" si="6217"/>
        <v>0610090187</v>
      </c>
      <c r="B17137" t="str">
        <f t="shared" si="6218"/>
        <v>MADDEN</v>
      </c>
      <c r="C17137" t="str">
        <f t="shared" si="6219"/>
        <v>TITUS</v>
      </c>
      <c r="D17137">
        <f>11</f>
        <v>11</v>
      </c>
      <c r="E17137" t="str">
        <f>"01 - A - 101 - Eva T Rimmer"</f>
        <v>01 - A - 101 - Eva T Rimmer</v>
      </c>
      <c r="F17137" t="str">
        <f>"CRIMINAL JUST OPS 2"</f>
        <v>CRIMINAL JUST OPS 2</v>
      </c>
      <c r="G17137" t="str">
        <f>"05-523"</f>
        <v>05-523</v>
      </c>
      <c r="H17137" t="str">
        <f>"A"</f>
        <v>A</v>
      </c>
    </row>
    <row r="17138" spans="1:8" x14ac:dyDescent="0.2">
      <c r="A17138" t="str">
        <f t="shared" si="6217"/>
        <v>0610090187</v>
      </c>
      <c r="B17138" t="str">
        <f t="shared" si="6218"/>
        <v>MADDEN</v>
      </c>
      <c r="C17138" t="str">
        <f t="shared" si="6219"/>
        <v>TITUS</v>
      </c>
      <c r="D17138">
        <f>11</f>
        <v>11</v>
      </c>
      <c r="E17138" t="str">
        <f>"08 - S1 - B - 001 - Carol S Moore"</f>
        <v>08 - S1 - B - 001 - Carol S Moore</v>
      </c>
      <c r="F17138" t="str">
        <f>"PER CAR SCH DEV 1 LH"</f>
        <v>PER CAR SCH DEV 1 LH</v>
      </c>
      <c r="G17138" t="str">
        <f>"17-1733"</f>
        <v>17-1733</v>
      </c>
      <c r="H17138" t="str">
        <f>"B"</f>
        <v>B</v>
      </c>
    </row>
    <row r="17139" spans="1:8" x14ac:dyDescent="0.2">
      <c r="A17139" t="str">
        <f t="shared" ref="A17139:A17146" si="6220">"0625027482"</f>
        <v>0625027482</v>
      </c>
      <c r="B17139" t="str">
        <f t="shared" ref="B17139:B17146" si="6221">"Pranay"</f>
        <v>Pranay</v>
      </c>
      <c r="C17139" t="str">
        <f t="shared" ref="C17139:C17146" si="6222">"Tiwari"</f>
        <v>Tiwari</v>
      </c>
      <c r="D17139">
        <f>10</f>
        <v>10</v>
      </c>
      <c r="E17139" t="str">
        <f>"04 - A - 205 - Lytrell T Dixon"</f>
        <v>04 - A - 205 - Lytrell T Dixon</v>
      </c>
      <c r="F17139" t="str">
        <f>"BIOLOGY 1"</f>
        <v>BIOLOGY 1</v>
      </c>
      <c r="G17139" t="str">
        <f>"08-808"</f>
        <v>08-808</v>
      </c>
      <c r="H17139" t="str">
        <f>"A"</f>
        <v>A</v>
      </c>
    </row>
    <row r="17140" spans="1:8" x14ac:dyDescent="0.2">
      <c r="A17140" t="str">
        <f t="shared" si="6220"/>
        <v>0625027482</v>
      </c>
      <c r="B17140" t="str">
        <f t="shared" si="6221"/>
        <v>Pranay</v>
      </c>
      <c r="C17140" t="str">
        <f t="shared" si="6222"/>
        <v>Tiwari</v>
      </c>
      <c r="D17140">
        <f>10</f>
        <v>10</v>
      </c>
      <c r="E17140" t="str">
        <f>"06 - B - 105 - Jeffrey S Gallagher"</f>
        <v>06 - B - 105 - Jeffrey S Gallagher</v>
      </c>
      <c r="F17140" t="str">
        <f>"NC STUDY HALL 1"</f>
        <v>NC STUDY HALL 1</v>
      </c>
      <c r="G17140" t="str">
        <f>"17-1724"</f>
        <v>17-1724</v>
      </c>
      <c r="H17140" t="str">
        <f>"B"</f>
        <v>B</v>
      </c>
    </row>
    <row r="17141" spans="1:8" x14ac:dyDescent="0.2">
      <c r="A17141" t="str">
        <f t="shared" si="6220"/>
        <v>0625027482</v>
      </c>
      <c r="B17141" t="str">
        <f t="shared" si="6221"/>
        <v>Pranay</v>
      </c>
      <c r="C17141" t="str">
        <f t="shared" si="6222"/>
        <v>Tiwari</v>
      </c>
      <c r="D17141">
        <f>10</f>
        <v>10</v>
      </c>
      <c r="E17141" t="str">
        <f>"03 - A - 001 - Maried P Ramos"</f>
        <v>03 - A - 001 - Maried P Ramos</v>
      </c>
      <c r="F17141" t="str">
        <f>"PRE-AICE MATH 2 IG"</f>
        <v>PRE-AICE MATH 2 IG</v>
      </c>
      <c r="G17141" t="str">
        <f>"21-2159"</f>
        <v>21-2159</v>
      </c>
      <c r="H17141" t="str">
        <f>"A"</f>
        <v>A</v>
      </c>
    </row>
    <row r="17142" spans="1:8" x14ac:dyDescent="0.2">
      <c r="A17142" t="str">
        <f t="shared" si="6220"/>
        <v>0625027482</v>
      </c>
      <c r="B17142" t="str">
        <f t="shared" si="6221"/>
        <v>Pranay</v>
      </c>
      <c r="C17142" t="str">
        <f t="shared" si="6222"/>
        <v>Tiwari</v>
      </c>
      <c r="D17142">
        <f>10</f>
        <v>10</v>
      </c>
      <c r="E17142" t="str">
        <f>"02 - A - 102 - Daniel S Tyson"</f>
        <v>02 - A - 102 - Daniel S Tyson</v>
      </c>
      <c r="F17142" t="str">
        <f>"JROTC NAVAL SCI 1"</f>
        <v>JROTC NAVAL SCI 1</v>
      </c>
      <c r="G17142" t="str">
        <f>"05-510"</f>
        <v>05-510</v>
      </c>
      <c r="H17142" t="str">
        <f>"A"</f>
        <v>A</v>
      </c>
    </row>
    <row r="17143" spans="1:8" x14ac:dyDescent="0.2">
      <c r="A17143" t="str">
        <f t="shared" si="6220"/>
        <v>0625027482</v>
      </c>
      <c r="B17143" t="str">
        <f t="shared" si="6221"/>
        <v>Pranay</v>
      </c>
      <c r="C17143" t="str">
        <f t="shared" si="6222"/>
        <v>Tiwari</v>
      </c>
      <c r="D17143">
        <f>10</f>
        <v>10</v>
      </c>
      <c r="E17143" t="str">
        <f>"07 - B - 105 - Joe  Kilpatrick Jr"</f>
        <v>07 - B - 105 - Joe  Kilpatrick Jr</v>
      </c>
      <c r="F17143" t="str">
        <f>"PRE-AICE SPAN 1 IG"</f>
        <v>PRE-AICE SPAN 1 IG</v>
      </c>
      <c r="G17143" t="str">
        <f>"09-912"</f>
        <v>09-912</v>
      </c>
      <c r="H17143" t="str">
        <f>"B"</f>
        <v>B</v>
      </c>
    </row>
    <row r="17144" spans="1:8" x14ac:dyDescent="0.2">
      <c r="A17144" t="str">
        <f t="shared" si="6220"/>
        <v>0625027482</v>
      </c>
      <c r="B17144" t="str">
        <f t="shared" si="6221"/>
        <v>Pranay</v>
      </c>
      <c r="C17144" t="str">
        <f t="shared" si="6222"/>
        <v>Tiwari</v>
      </c>
      <c r="D17144">
        <f>10</f>
        <v>10</v>
      </c>
      <c r="E17144" t="str">
        <f>"05 - S1 - B - 102 - Carol S Moore"</f>
        <v>05 - S1 - B - 102 - Carol S Moore</v>
      </c>
      <c r="F17144" t="str">
        <f>"PERS FIN &amp; MON MGT H"</f>
        <v>PERS FIN &amp; MON MGT H</v>
      </c>
      <c r="G17144" t="str">
        <f>"17-1733"</f>
        <v>17-1733</v>
      </c>
      <c r="H17144" t="str">
        <f>"B"</f>
        <v>B</v>
      </c>
    </row>
    <row r="17145" spans="1:8" x14ac:dyDescent="0.2">
      <c r="A17145" t="str">
        <f t="shared" si="6220"/>
        <v>0625027482</v>
      </c>
      <c r="B17145" t="str">
        <f t="shared" si="6221"/>
        <v>Pranay</v>
      </c>
      <c r="C17145" t="str">
        <f t="shared" si="6222"/>
        <v>Tiwari</v>
      </c>
      <c r="D17145">
        <f>10</f>
        <v>10</v>
      </c>
      <c r="E17145" t="str">
        <f>"01 - A - 101 - Jacquelyn M Neeson"</f>
        <v>01 - A - 101 - Jacquelyn M Neeson</v>
      </c>
      <c r="F17145" t="str">
        <f>"AICE ENG GEN PAPER 1"</f>
        <v>AICE ENG GEN PAPER 1</v>
      </c>
      <c r="G17145" t="str">
        <f>"17-1715"</f>
        <v>17-1715</v>
      </c>
      <c r="H17145" t="str">
        <f>"A"</f>
        <v>A</v>
      </c>
    </row>
    <row r="17146" spans="1:8" x14ac:dyDescent="0.2">
      <c r="A17146" t="str">
        <f t="shared" si="6220"/>
        <v>0625027482</v>
      </c>
      <c r="B17146" t="str">
        <f t="shared" si="6221"/>
        <v>Pranay</v>
      </c>
      <c r="C17146" t="str">
        <f t="shared" si="6222"/>
        <v>Tiwari</v>
      </c>
      <c r="D17146">
        <f>10</f>
        <v>10</v>
      </c>
      <c r="E17146" t="str">
        <f>"08 - B - 101 - Alejandro  Navarro"</f>
        <v>08 - B - 101 - Alejandro  Navarro</v>
      </c>
      <c r="F17146" t="str">
        <f>"GUITAR 1"</f>
        <v>GUITAR 1</v>
      </c>
      <c r="G17146" t="str">
        <f>"05-504"</f>
        <v>05-504</v>
      </c>
      <c r="H17146" t="str">
        <f>"B"</f>
        <v>B</v>
      </c>
    </row>
    <row r="17147" spans="1:8" x14ac:dyDescent="0.2">
      <c r="A17147" t="str">
        <f t="shared" ref="A17147:A17154" si="6223">"0615037323"</f>
        <v>0615037323</v>
      </c>
      <c r="B17147" t="str">
        <f t="shared" ref="B17147:B17154" si="6224">"BRIANNA"</f>
        <v>BRIANNA</v>
      </c>
      <c r="C17147" t="str">
        <f t="shared" ref="C17147:C17154" si="6225">"TOLTIN"</f>
        <v>TOLTIN</v>
      </c>
      <c r="D17147">
        <f>11</f>
        <v>11</v>
      </c>
      <c r="E17147" t="str">
        <f>"04 - A - 102 - Lisa J London"</f>
        <v>04 - A - 102 - Lisa J London</v>
      </c>
      <c r="F17147" t="str">
        <f>"AP CAPSTONE SEMINAR"</f>
        <v>AP CAPSTONE SEMINAR</v>
      </c>
      <c r="G17147" t="str">
        <f>"17-1714"</f>
        <v>17-1714</v>
      </c>
      <c r="H17147" t="str">
        <f>"A"</f>
        <v>A</v>
      </c>
    </row>
    <row r="17148" spans="1:8" x14ac:dyDescent="0.2">
      <c r="A17148" t="str">
        <f t="shared" si="6223"/>
        <v>0615037323</v>
      </c>
      <c r="B17148" t="str">
        <f t="shared" si="6224"/>
        <v>BRIANNA</v>
      </c>
      <c r="C17148" t="str">
        <f t="shared" si="6225"/>
        <v>TOLTIN</v>
      </c>
      <c r="D17148">
        <f>11</f>
        <v>11</v>
      </c>
      <c r="E17148" t="str">
        <f>"06 - B - 001 - Lourivaldo  Da Silva"</f>
        <v>06 - B - 001 - Lourivaldo  Da Silva</v>
      </c>
      <c r="F17148" t="str">
        <f>"PRE-CALCULUS HON"</f>
        <v>PRE-CALCULUS HON</v>
      </c>
      <c r="G17148" t="str">
        <f>"20-2079"</f>
        <v>20-2079</v>
      </c>
      <c r="H17148" t="str">
        <f>"B"</f>
        <v>B</v>
      </c>
    </row>
    <row r="17149" spans="1:8" x14ac:dyDescent="0.2">
      <c r="A17149" t="str">
        <f t="shared" si="6223"/>
        <v>0615037323</v>
      </c>
      <c r="B17149" t="str">
        <f t="shared" si="6224"/>
        <v>BRIANNA</v>
      </c>
      <c r="C17149" t="str">
        <f t="shared" si="6225"/>
        <v>TOLTIN</v>
      </c>
      <c r="D17149">
        <f>11</f>
        <v>11</v>
      </c>
      <c r="E17149" t="str">
        <f>"03 - A - 203 - Stefanie S Scher"</f>
        <v>03 - A - 203 - Stefanie S Scher</v>
      </c>
      <c r="F17149" t="str">
        <f>"AP PSYCH"</f>
        <v>AP PSYCH</v>
      </c>
      <c r="G17149" t="str">
        <f>"17-1735"</f>
        <v>17-1735</v>
      </c>
      <c r="H17149" t="str">
        <f>"A"</f>
        <v>A</v>
      </c>
    </row>
    <row r="17150" spans="1:8" x14ac:dyDescent="0.2">
      <c r="A17150" t="str">
        <f t="shared" si="6223"/>
        <v>0615037323</v>
      </c>
      <c r="B17150" t="str">
        <f t="shared" si="6224"/>
        <v>BRIANNA</v>
      </c>
      <c r="C17150" t="str">
        <f t="shared" si="6225"/>
        <v>TOLTIN</v>
      </c>
      <c r="D17150">
        <f>11</f>
        <v>11</v>
      </c>
      <c r="E17150" t="str">
        <f>"02 - A - 103 - Angela S Adeshina-Morrison"</f>
        <v>02 - A - 103 - Angela S Adeshina-Morrison</v>
      </c>
      <c r="F17150" t="str">
        <f>"NC STUDY HALL 1"</f>
        <v>NC STUDY HALL 1</v>
      </c>
      <c r="G17150" t="str">
        <f>"05-518"</f>
        <v>05-518</v>
      </c>
      <c r="H17150" t="str">
        <f>"A"</f>
        <v>A</v>
      </c>
    </row>
    <row r="17151" spans="1:8" x14ac:dyDescent="0.2">
      <c r="A17151" t="str">
        <f t="shared" si="6223"/>
        <v>0615037323</v>
      </c>
      <c r="B17151" t="str">
        <f t="shared" si="6224"/>
        <v>BRIANNA</v>
      </c>
      <c r="C17151" t="str">
        <f t="shared" si="6225"/>
        <v>TOLTIN</v>
      </c>
      <c r="D17151">
        <f>11</f>
        <v>11</v>
      </c>
      <c r="E17151" t="str">
        <f>"07 - B - 105 - Josiah I Lacy"</f>
        <v>07 - B - 105 - Josiah I Lacy</v>
      </c>
      <c r="F17151" t="str">
        <f>"ANAT PHYSIO HON"</f>
        <v>ANAT PHYSIO HON</v>
      </c>
      <c r="G17151" t="str">
        <f>"08-801"</f>
        <v>08-801</v>
      </c>
      <c r="H17151" t="str">
        <f>"B"</f>
        <v>B</v>
      </c>
    </row>
    <row r="17152" spans="1:8" x14ac:dyDescent="0.2">
      <c r="A17152" t="str">
        <f t="shared" si="6223"/>
        <v>0615037323</v>
      </c>
      <c r="B17152" t="str">
        <f t="shared" si="6224"/>
        <v>BRIANNA</v>
      </c>
      <c r="C17152" t="str">
        <f t="shared" si="6225"/>
        <v>TOLTIN</v>
      </c>
      <c r="D17152">
        <f>11</f>
        <v>11</v>
      </c>
      <c r="E17152" t="str">
        <f>"05 - B - 103 - Brandy N Zdenek"</f>
        <v>05 - B - 103 - Brandy N Zdenek</v>
      </c>
      <c r="F17152" t="str">
        <f>"AICE ENG LANG 2 AL"</f>
        <v>AICE ENG LANG 2 AL</v>
      </c>
      <c r="G17152" t="str">
        <f>"17-1704"</f>
        <v>17-1704</v>
      </c>
      <c r="H17152" t="str">
        <f>"B"</f>
        <v>B</v>
      </c>
    </row>
    <row r="17153" spans="1:8" x14ac:dyDescent="0.2">
      <c r="A17153" t="str">
        <f t="shared" si="6223"/>
        <v>0615037323</v>
      </c>
      <c r="B17153" t="str">
        <f t="shared" si="6224"/>
        <v>BRIANNA</v>
      </c>
      <c r="C17153" t="str">
        <f t="shared" si="6225"/>
        <v>TOLTIN</v>
      </c>
      <c r="D17153">
        <f>11</f>
        <v>11</v>
      </c>
      <c r="E17153" t="str">
        <f>"01 - A - 001 - Stephen T Ripp"</f>
        <v>01 - A - 001 - Stephen T Ripp</v>
      </c>
      <c r="F17153" t="str">
        <f>"AP U.S. HIST"</f>
        <v>AP U.S. HIST</v>
      </c>
      <c r="G17153" t="str">
        <f>"17-1744"</f>
        <v>17-1744</v>
      </c>
      <c r="H17153" t="str">
        <f>"A"</f>
        <v>A</v>
      </c>
    </row>
    <row r="17154" spans="1:8" x14ac:dyDescent="0.2">
      <c r="A17154" t="str">
        <f t="shared" si="6223"/>
        <v>0615037323</v>
      </c>
      <c r="B17154" t="str">
        <f t="shared" si="6224"/>
        <v>BRIANNA</v>
      </c>
      <c r="C17154" t="str">
        <f t="shared" si="6225"/>
        <v>TOLTIN</v>
      </c>
      <c r="D17154">
        <f>11</f>
        <v>11</v>
      </c>
      <c r="E17154" t="str">
        <f>"08 - B - 201 - Stacey A Blecker"</f>
        <v>08 - B - 201 - Stacey A Blecker</v>
      </c>
      <c r="F17154" t="str">
        <f>"AICE SOCIOLOGY 1 AS"</f>
        <v>AICE SOCIOLOGY 1 AS</v>
      </c>
      <c r="G17154" t="str">
        <f>"09-926"</f>
        <v>09-926</v>
      </c>
      <c r="H17154" t="str">
        <f>"B"</f>
        <v>B</v>
      </c>
    </row>
    <row r="17155" spans="1:8" x14ac:dyDescent="0.2">
      <c r="A17155" t="str">
        <f t="shared" ref="A17155:A17162" si="6226">"0622096637"</f>
        <v>0622096637</v>
      </c>
      <c r="B17155" t="str">
        <f t="shared" ref="B17155:B17162" si="6227">"DEJANAA"</f>
        <v>DEJANAA</v>
      </c>
      <c r="C17155" t="str">
        <f t="shared" ref="C17155:C17162" si="6228">"TOMLINSON"</f>
        <v>TOMLINSON</v>
      </c>
      <c r="D17155">
        <f>11</f>
        <v>11</v>
      </c>
      <c r="E17155" t="str">
        <f>"04 - A - 103 - Daniel S Tyson"</f>
        <v>04 - A - 103 - Daniel S Tyson</v>
      </c>
      <c r="F17155" t="str">
        <f>"JROTC NAVAL SCI 3"</f>
        <v>JROTC NAVAL SCI 3</v>
      </c>
      <c r="G17155" t="str">
        <f>"05-510"</f>
        <v>05-510</v>
      </c>
      <c r="H17155" t="str">
        <f>"A"</f>
        <v>A</v>
      </c>
    </row>
    <row r="17156" spans="1:8" x14ac:dyDescent="0.2">
      <c r="A17156" t="str">
        <f t="shared" si="6226"/>
        <v>0622096637</v>
      </c>
      <c r="B17156" t="str">
        <f t="shared" si="6227"/>
        <v>DEJANAA</v>
      </c>
      <c r="C17156" t="str">
        <f t="shared" si="6228"/>
        <v>TOMLINSON</v>
      </c>
      <c r="D17156">
        <f>11</f>
        <v>11</v>
      </c>
      <c r="E17156" t="str">
        <f>"06 - B - 104 - Eva T Rimmer"</f>
        <v>06 - B - 104 - Eva T Rimmer</v>
      </c>
      <c r="F17156" t="str">
        <f>"CRIMINAL JUST OPS 1"</f>
        <v>CRIMINAL JUST OPS 1</v>
      </c>
      <c r="G17156" t="str">
        <f>"05-523"</f>
        <v>05-523</v>
      </c>
      <c r="H17156" t="str">
        <f>"B"</f>
        <v>B</v>
      </c>
    </row>
    <row r="17157" spans="1:8" x14ac:dyDescent="0.2">
      <c r="A17157" t="str">
        <f t="shared" si="6226"/>
        <v>0622096637</v>
      </c>
      <c r="B17157" t="str">
        <f t="shared" si="6227"/>
        <v>DEJANAA</v>
      </c>
      <c r="C17157" t="str">
        <f t="shared" si="6228"/>
        <v>TOMLINSON</v>
      </c>
      <c r="D17157">
        <f>11</f>
        <v>11</v>
      </c>
      <c r="E17157" t="str">
        <f>"03 - A - 104 - Kyle  Robbins"</f>
        <v>03 - A - 104 - Kyle  Robbins</v>
      </c>
      <c r="F17157" t="str">
        <f>"US HISTORY"</f>
        <v>US HISTORY</v>
      </c>
      <c r="G17157" t="str">
        <f>"17-1745"</f>
        <v>17-1745</v>
      </c>
      <c r="H17157" t="str">
        <f>"A"</f>
        <v>A</v>
      </c>
    </row>
    <row r="17158" spans="1:8" x14ac:dyDescent="0.2">
      <c r="A17158" t="str">
        <f t="shared" si="6226"/>
        <v>0622096637</v>
      </c>
      <c r="B17158" t="str">
        <f t="shared" si="6227"/>
        <v>DEJANAA</v>
      </c>
      <c r="C17158" t="str">
        <f t="shared" si="6228"/>
        <v>TOMLINSON</v>
      </c>
      <c r="D17158">
        <f>11</f>
        <v>11</v>
      </c>
      <c r="E17158" t="str">
        <f>"02 - A - 107 - Elizabeth Ellen  Moran"</f>
        <v>02 - A - 107 - Elizabeth Ellen  Moran</v>
      </c>
      <c r="F17158" t="str">
        <f>"NC STUDY HALL 1"</f>
        <v>NC STUDY HALL 1</v>
      </c>
      <c r="G17158" t="str">
        <f>"17-1752"</f>
        <v>17-1752</v>
      </c>
      <c r="H17158" t="str">
        <f>"A"</f>
        <v>A</v>
      </c>
    </row>
    <row r="17159" spans="1:8" x14ac:dyDescent="0.2">
      <c r="A17159" t="str">
        <f t="shared" si="6226"/>
        <v>0622096637</v>
      </c>
      <c r="B17159" t="str">
        <f t="shared" si="6227"/>
        <v>DEJANAA</v>
      </c>
      <c r="C17159" t="str">
        <f t="shared" si="6228"/>
        <v>TOMLINSON</v>
      </c>
      <c r="D17159">
        <f>11</f>
        <v>11</v>
      </c>
      <c r="E17159" t="str">
        <f>"07 - B - 102 - Lourivaldo  Da Silva"</f>
        <v>07 - B - 102 - Lourivaldo  Da Silva</v>
      </c>
      <c r="F17159" t="str">
        <f>"ALGEBRA 2 HON"</f>
        <v>ALGEBRA 2 HON</v>
      </c>
      <c r="G17159" t="str">
        <f>"20-2079"</f>
        <v>20-2079</v>
      </c>
      <c r="H17159" t="str">
        <f>"B"</f>
        <v>B</v>
      </c>
    </row>
    <row r="17160" spans="1:8" x14ac:dyDescent="0.2">
      <c r="A17160" t="str">
        <f t="shared" si="6226"/>
        <v>0622096637</v>
      </c>
      <c r="B17160" t="str">
        <f t="shared" si="6227"/>
        <v>DEJANAA</v>
      </c>
      <c r="C17160" t="str">
        <f t="shared" si="6228"/>
        <v>TOMLINSON</v>
      </c>
      <c r="D17160">
        <f>11</f>
        <v>11</v>
      </c>
      <c r="E17160" t="str">
        <f>"05 - B - 104 - Lisa  Quinn"</f>
        <v>05 - B - 104 - Lisa  Quinn</v>
      </c>
      <c r="F17160" t="str">
        <f>"ENG 3"</f>
        <v>ENG 3</v>
      </c>
      <c r="G17160" t="str">
        <f>"17-1725"</f>
        <v>17-1725</v>
      </c>
      <c r="H17160" t="str">
        <f>"B"</f>
        <v>B</v>
      </c>
    </row>
    <row r="17161" spans="1:8" x14ac:dyDescent="0.2">
      <c r="A17161" t="str">
        <f t="shared" si="6226"/>
        <v>0622096637</v>
      </c>
      <c r="B17161" t="str">
        <f t="shared" si="6227"/>
        <v>DEJANAA</v>
      </c>
      <c r="C17161" t="str">
        <f t="shared" si="6228"/>
        <v>TOMLINSON</v>
      </c>
      <c r="D17161">
        <f>11</f>
        <v>11</v>
      </c>
      <c r="E17161" t="str">
        <f>"01 - A - 107 - Valerie J Ruwe"</f>
        <v>01 - A - 107 - Valerie J Ruwe</v>
      </c>
      <c r="F17161" t="str">
        <f>"CHEMISTRY 1 HON"</f>
        <v>CHEMISTRY 1 HON</v>
      </c>
      <c r="G17161" t="str">
        <f>"21-2134"</f>
        <v>21-2134</v>
      </c>
      <c r="H17161" t="str">
        <f>"A"</f>
        <v>A</v>
      </c>
    </row>
    <row r="17162" spans="1:8" x14ac:dyDescent="0.2">
      <c r="A17162" t="str">
        <f t="shared" si="6226"/>
        <v>0622096637</v>
      </c>
      <c r="B17162" t="str">
        <f t="shared" si="6227"/>
        <v>DEJANAA</v>
      </c>
      <c r="C17162" t="str">
        <f t="shared" si="6228"/>
        <v>TOMLINSON</v>
      </c>
      <c r="D17162">
        <f>11</f>
        <v>11</v>
      </c>
      <c r="E17162" t="str">
        <f>"08 - S1 - B - 102 - Nahum  Saint-Preux"</f>
        <v>08 - S1 - B - 102 - Nahum  Saint-Preux</v>
      </c>
      <c r="F17162" t="str">
        <f>"CRIT THINK ST SKLS"</f>
        <v>CRIT THINK ST SKLS</v>
      </c>
      <c r="G17162" t="str">
        <f>"17-1712"</f>
        <v>17-1712</v>
      </c>
      <c r="H17162" t="str">
        <f>"B"</f>
        <v>B</v>
      </c>
    </row>
    <row r="17163" spans="1:8" x14ac:dyDescent="0.2">
      <c r="A17163" t="str">
        <f t="shared" ref="A17163:A17170" si="6229">"0616063626"</f>
        <v>0616063626</v>
      </c>
      <c r="B17163" t="str">
        <f t="shared" ref="B17163:B17170" si="6230">"ADRIEL"</f>
        <v>ADRIEL</v>
      </c>
      <c r="C17163" t="str">
        <f t="shared" ref="C17163:C17203" si="6231">"TORRES"</f>
        <v>TORRES</v>
      </c>
      <c r="D17163">
        <f>10</f>
        <v>10</v>
      </c>
      <c r="E17163" t="str">
        <f>"04 - A - 104 - Courtney E Hambright"</f>
        <v>04 - A - 104 - Courtney E Hambright</v>
      </c>
      <c r="F17163" t="str">
        <f>"AICE ENG LANG AS"</f>
        <v>AICE ENG LANG AS</v>
      </c>
      <c r="G17163" t="str">
        <f>"17-1711"</f>
        <v>17-1711</v>
      </c>
      <c r="H17163" t="str">
        <f>"A"</f>
        <v>A</v>
      </c>
    </row>
    <row r="17164" spans="1:8" x14ac:dyDescent="0.2">
      <c r="A17164" t="str">
        <f t="shared" si="6229"/>
        <v>0616063626</v>
      </c>
      <c r="B17164" t="str">
        <f t="shared" si="6230"/>
        <v>ADRIEL</v>
      </c>
      <c r="C17164" t="str">
        <f t="shared" si="6231"/>
        <v>TORRES</v>
      </c>
      <c r="D17164">
        <f>10</f>
        <v>10</v>
      </c>
      <c r="E17164" t="str">
        <f>"06 - B - 110 - Jerry S Jiampetti"</f>
        <v>06 - B - 110 - Jerry S Jiampetti</v>
      </c>
      <c r="F17164" t="str">
        <f>"NC STUDY HALL 1"</f>
        <v>NC STUDY HALL 1</v>
      </c>
      <c r="G17164" t="str">
        <f>"17-1751"</f>
        <v>17-1751</v>
      </c>
      <c r="H17164" t="str">
        <f>"B"</f>
        <v>B</v>
      </c>
    </row>
    <row r="17165" spans="1:8" x14ac:dyDescent="0.2">
      <c r="A17165" t="str">
        <f t="shared" si="6229"/>
        <v>0616063626</v>
      </c>
      <c r="B17165" t="str">
        <f t="shared" si="6230"/>
        <v>ADRIEL</v>
      </c>
      <c r="C17165" t="str">
        <f t="shared" si="6231"/>
        <v>TORRES</v>
      </c>
      <c r="D17165">
        <f>10</f>
        <v>10</v>
      </c>
      <c r="E17165" t="str">
        <f>"03 - A - 101 - Timothy J Lawrence"</f>
        <v>03 - A - 101 - Timothy J Lawrence</v>
      </c>
      <c r="F17165" t="str">
        <f>"AICE PHYS ED 1 AS"</f>
        <v>AICE PHYS ED 1 AS</v>
      </c>
      <c r="G17165" t="str">
        <f>"05-519"</f>
        <v>05-519</v>
      </c>
      <c r="H17165" t="str">
        <f>"A"</f>
        <v>A</v>
      </c>
    </row>
    <row r="17166" spans="1:8" x14ac:dyDescent="0.2">
      <c r="A17166" t="str">
        <f t="shared" si="6229"/>
        <v>0616063626</v>
      </c>
      <c r="B17166" t="str">
        <f t="shared" si="6230"/>
        <v>ADRIEL</v>
      </c>
      <c r="C17166" t="str">
        <f t="shared" si="6231"/>
        <v>TORRES</v>
      </c>
      <c r="D17166">
        <f>10</f>
        <v>10</v>
      </c>
      <c r="E17166" t="str">
        <f>"02 - A - 103 - Lenecy  Nodarse"</f>
        <v>02 - A - 103 - Lenecy  Nodarse</v>
      </c>
      <c r="F17166" t="str">
        <f>"AICE EURO HIST 1 AS"</f>
        <v>AICE EURO HIST 1 AS</v>
      </c>
      <c r="G17166" t="str">
        <f>"17-1741"</f>
        <v>17-1741</v>
      </c>
      <c r="H17166" t="str">
        <f>"A"</f>
        <v>A</v>
      </c>
    </row>
    <row r="17167" spans="1:8" x14ac:dyDescent="0.2">
      <c r="A17167" t="str">
        <f t="shared" si="6229"/>
        <v>0616063626</v>
      </c>
      <c r="B17167" t="str">
        <f t="shared" si="6230"/>
        <v>ADRIEL</v>
      </c>
      <c r="C17167" t="str">
        <f t="shared" si="6231"/>
        <v>TORRES</v>
      </c>
      <c r="D17167">
        <f>10</f>
        <v>10</v>
      </c>
      <c r="E17167" t="str">
        <f>"07 - B - 101 - Fernando  Vega-Cid"</f>
        <v>07 - B - 101 - Fernando  Vega-Cid</v>
      </c>
      <c r="F17167" t="str">
        <f>"AP PRECALCULUS"</f>
        <v>AP PRECALCULUS</v>
      </c>
      <c r="G17167" t="str">
        <f>"21-2163"</f>
        <v>21-2163</v>
      </c>
      <c r="H17167" t="str">
        <f>"B"</f>
        <v>B</v>
      </c>
    </row>
    <row r="17168" spans="1:8" x14ac:dyDescent="0.2">
      <c r="A17168" t="str">
        <f t="shared" si="6229"/>
        <v>0616063626</v>
      </c>
      <c r="B17168" t="str">
        <f t="shared" si="6230"/>
        <v>ADRIEL</v>
      </c>
      <c r="C17168" t="str">
        <f t="shared" si="6231"/>
        <v>TORRES</v>
      </c>
      <c r="D17168">
        <f>10</f>
        <v>10</v>
      </c>
      <c r="E17168" t="str">
        <f>"05 - B - 103 - Vanessa J Liburd"</f>
        <v>05 - B - 103 - Vanessa J Liburd</v>
      </c>
      <c r="F17168" t="str">
        <f>"PRE-AICE FRENCH 2 IG"</f>
        <v>PRE-AICE FRENCH 2 IG</v>
      </c>
      <c r="G17168" t="str">
        <f>"05-519"</f>
        <v>05-519</v>
      </c>
      <c r="H17168" t="str">
        <f>"B"</f>
        <v>B</v>
      </c>
    </row>
    <row r="17169" spans="1:8" x14ac:dyDescent="0.2">
      <c r="A17169" t="str">
        <f t="shared" si="6229"/>
        <v>0616063626</v>
      </c>
      <c r="B17169" t="str">
        <f t="shared" si="6230"/>
        <v>ADRIEL</v>
      </c>
      <c r="C17169" t="str">
        <f t="shared" si="6231"/>
        <v>TORRES</v>
      </c>
      <c r="D17169">
        <f>10</f>
        <v>10</v>
      </c>
      <c r="E17169" t="str">
        <f>"01 - A - 201 - Jeanne M Bermudez"</f>
        <v>01 - A - 201 - Jeanne M Bermudez</v>
      </c>
      <c r="F17169" t="str">
        <f>"PHYSICS 1 HON"</f>
        <v>PHYSICS 1 HON</v>
      </c>
      <c r="G17169" t="str">
        <f>"21-2141"</f>
        <v>21-2141</v>
      </c>
      <c r="H17169" t="str">
        <f>"A"</f>
        <v>A</v>
      </c>
    </row>
    <row r="17170" spans="1:8" x14ac:dyDescent="0.2">
      <c r="A17170" t="str">
        <f t="shared" si="6229"/>
        <v>0616063626</v>
      </c>
      <c r="B17170" t="str">
        <f t="shared" si="6230"/>
        <v>ADRIEL</v>
      </c>
      <c r="C17170" t="str">
        <f t="shared" si="6231"/>
        <v>TORRES</v>
      </c>
      <c r="D17170">
        <f>10</f>
        <v>10</v>
      </c>
      <c r="E17170" t="str">
        <f>"08 - B - 202 - Krystal Marie  Beruty"</f>
        <v>08 - B - 202 - Krystal Marie  Beruty</v>
      </c>
      <c r="F17170" t="str">
        <f>"AICE PSYCH 1 AS"</f>
        <v>AICE PSYCH 1 AS</v>
      </c>
      <c r="G17170" t="str">
        <f>"17-1721"</f>
        <v>17-1721</v>
      </c>
      <c r="H17170" t="str">
        <f>"B"</f>
        <v>B</v>
      </c>
    </row>
    <row r="17171" spans="1:8" x14ac:dyDescent="0.2">
      <c r="A17171" t="str">
        <f t="shared" ref="A17171:A17179" si="6232">"0613131760"</f>
        <v>0613131760</v>
      </c>
      <c r="B17171" t="str">
        <f t="shared" ref="B17171:B17179" si="6233">"ANGELY"</f>
        <v>ANGELY</v>
      </c>
      <c r="C17171" t="str">
        <f t="shared" si="6231"/>
        <v>TORRES</v>
      </c>
      <c r="D17171">
        <f>12</f>
        <v>12</v>
      </c>
      <c r="E17171" t="str">
        <f>"04 - A - 103 - Cliffon  Saurel"</f>
        <v>04 - A - 103 - Cliffon  Saurel</v>
      </c>
      <c r="F17171" t="str">
        <f>"PHYSICAL SCI"</f>
        <v>PHYSICAL SCI</v>
      </c>
      <c r="G17171" t="str">
        <f>"05-522"</f>
        <v>05-522</v>
      </c>
      <c r="H17171" t="str">
        <f>"A"</f>
        <v>A</v>
      </c>
    </row>
    <row r="17172" spans="1:8" x14ac:dyDescent="0.2">
      <c r="A17172" t="str">
        <f t="shared" si="6232"/>
        <v>0613131760</v>
      </c>
      <c r="B17172" t="str">
        <f t="shared" si="6233"/>
        <v>ANGELY</v>
      </c>
      <c r="C17172" t="str">
        <f t="shared" si="6231"/>
        <v>TORRES</v>
      </c>
      <c r="D17172">
        <f>12</f>
        <v>12</v>
      </c>
      <c r="E17172" t="str">
        <f>"06 - B - 111 - James H Mccann"</f>
        <v>06 - B - 111 - James H Mccann</v>
      </c>
      <c r="F17172" t="str">
        <f>"NC STUDY HALL 1"</f>
        <v>NC STUDY HALL 1</v>
      </c>
      <c r="G17172" t="str">
        <f>"17-1716"</f>
        <v>17-1716</v>
      </c>
      <c r="H17172" t="str">
        <f>"B"</f>
        <v>B</v>
      </c>
    </row>
    <row r="17173" spans="1:8" x14ac:dyDescent="0.2">
      <c r="A17173" t="str">
        <f t="shared" si="6232"/>
        <v>0613131760</v>
      </c>
      <c r="B17173" t="str">
        <f t="shared" si="6233"/>
        <v>ANGELY</v>
      </c>
      <c r="C17173" t="str">
        <f t="shared" si="6231"/>
        <v>TORRES</v>
      </c>
      <c r="D17173">
        <f>12</f>
        <v>12</v>
      </c>
      <c r="E17173" t="str">
        <f>"06 - B - 116 - Karen A Toomer"</f>
        <v>06 - B - 116 - Karen A Toomer</v>
      </c>
      <c r="F17173" t="str">
        <f>"LANG THERAPY"</f>
        <v>LANG THERAPY</v>
      </c>
      <c r="G17173" t="str">
        <f>"21-2110"</f>
        <v>21-2110</v>
      </c>
      <c r="H17173" t="str">
        <f>"B"</f>
        <v>B</v>
      </c>
    </row>
    <row r="17174" spans="1:8" x14ac:dyDescent="0.2">
      <c r="A17174" t="str">
        <f t="shared" si="6232"/>
        <v>0613131760</v>
      </c>
      <c r="B17174" t="str">
        <f t="shared" si="6233"/>
        <v>ANGELY</v>
      </c>
      <c r="C17174" t="str">
        <f t="shared" si="6231"/>
        <v>TORRES</v>
      </c>
      <c r="D17174">
        <f>12</f>
        <v>12</v>
      </c>
      <c r="E17174" t="str">
        <f>"03 - A - 201 - Emmily A Sarmiento"</f>
        <v>03 - A - 201 - Emmily A Sarmiento</v>
      </c>
      <c r="F17174" t="str">
        <f>"LEAD SKLS DEV LH"</f>
        <v>LEAD SKLS DEV LH</v>
      </c>
      <c r="G17174" t="str">
        <f>"17-1743"</f>
        <v>17-1743</v>
      </c>
      <c r="H17174" t="str">
        <f>"A"</f>
        <v>A</v>
      </c>
    </row>
    <row r="17175" spans="1:8" x14ac:dyDescent="0.2">
      <c r="A17175" t="str">
        <f t="shared" si="6232"/>
        <v>0613131760</v>
      </c>
      <c r="B17175" t="str">
        <f t="shared" si="6233"/>
        <v>ANGELY</v>
      </c>
      <c r="C17175" t="str">
        <f t="shared" si="6231"/>
        <v>TORRES</v>
      </c>
      <c r="D17175">
        <f>12</f>
        <v>12</v>
      </c>
      <c r="E17175" t="str">
        <f>"02 - A - 105 - Semra  Bahadir"</f>
        <v>02 - A - 105 - Semra  Bahadir</v>
      </c>
      <c r="F17175" t="str">
        <f>"ALGEBRA 2"</f>
        <v>ALGEBRA 2</v>
      </c>
      <c r="G17175" t="str">
        <f>"21-2107"</f>
        <v>21-2107</v>
      </c>
      <c r="H17175" t="str">
        <f>"A"</f>
        <v>A</v>
      </c>
    </row>
    <row r="17176" spans="1:8" x14ac:dyDescent="0.2">
      <c r="A17176" t="str">
        <f t="shared" si="6232"/>
        <v>0613131760</v>
      </c>
      <c r="B17176" t="str">
        <f t="shared" si="6233"/>
        <v>ANGELY</v>
      </c>
      <c r="C17176" t="str">
        <f t="shared" si="6231"/>
        <v>TORRES</v>
      </c>
      <c r="D17176">
        <f>12</f>
        <v>12</v>
      </c>
      <c r="E17176" t="str">
        <f>"07 - S1 - B - 103 - Robert O Burger"</f>
        <v>07 - S1 - B - 103 - Robert O Burger</v>
      </c>
      <c r="F17176" t="str">
        <f>"US GOVT"</f>
        <v>US GOVT</v>
      </c>
      <c r="G17176" t="str">
        <f>"17-1755"</f>
        <v>17-1755</v>
      </c>
      <c r="H17176" t="str">
        <f>"B"</f>
        <v>B</v>
      </c>
    </row>
    <row r="17177" spans="1:8" x14ac:dyDescent="0.2">
      <c r="A17177" t="str">
        <f t="shared" si="6232"/>
        <v>0613131760</v>
      </c>
      <c r="B17177" t="str">
        <f t="shared" si="6233"/>
        <v>ANGELY</v>
      </c>
      <c r="C17177" t="str">
        <f t="shared" si="6231"/>
        <v>TORRES</v>
      </c>
      <c r="D17177">
        <f>12</f>
        <v>12</v>
      </c>
      <c r="E17177" t="str">
        <f>"05 - B - 102 - Robyn L Trainer"</f>
        <v>05 - B - 102 - Robyn L Trainer</v>
      </c>
      <c r="F17177" t="str">
        <f>"ENG 4"</f>
        <v>ENG 4</v>
      </c>
      <c r="G17177" t="str">
        <f>"17-1734"</f>
        <v>17-1734</v>
      </c>
      <c r="H17177" t="str">
        <f>"B"</f>
        <v>B</v>
      </c>
    </row>
    <row r="17178" spans="1:8" x14ac:dyDescent="0.2">
      <c r="A17178" t="str">
        <f t="shared" si="6232"/>
        <v>0613131760</v>
      </c>
      <c r="B17178" t="str">
        <f t="shared" si="6233"/>
        <v>ANGELY</v>
      </c>
      <c r="C17178" t="str">
        <f t="shared" si="6231"/>
        <v>TORRES</v>
      </c>
      <c r="D17178">
        <f>12</f>
        <v>12</v>
      </c>
      <c r="E17178" t="str">
        <f>"01 - S1 - A - 101 - Bruce A Evans"</f>
        <v>01 - S1 - A - 101 - Bruce A Evans</v>
      </c>
      <c r="F17178" t="str">
        <f>"ELECTROCARD TECH 3HN"</f>
        <v>ELECTROCARD TECH 3HN</v>
      </c>
      <c r="G17178" t="str">
        <f>"21-2142"</f>
        <v>21-2142</v>
      </c>
      <c r="H17178" t="str">
        <f>"A"</f>
        <v>A</v>
      </c>
    </row>
    <row r="17179" spans="1:8" x14ac:dyDescent="0.2">
      <c r="A17179" t="str">
        <f t="shared" si="6232"/>
        <v>0613131760</v>
      </c>
      <c r="B17179" t="str">
        <f t="shared" si="6233"/>
        <v>ANGELY</v>
      </c>
      <c r="C17179" t="str">
        <f t="shared" si="6231"/>
        <v>TORRES</v>
      </c>
      <c r="D17179">
        <f>12</f>
        <v>12</v>
      </c>
      <c r="E17179" t="str">
        <f>"08 - S1 - B - 102 - Nahum  Saint-Preux"</f>
        <v>08 - S1 - B - 102 - Nahum  Saint-Preux</v>
      </c>
      <c r="F17179" t="str">
        <f>"CRIT THINK ST SKLS"</f>
        <v>CRIT THINK ST SKLS</v>
      </c>
      <c r="G17179" t="str">
        <f>"17-1712"</f>
        <v>17-1712</v>
      </c>
      <c r="H17179" t="str">
        <f>"B"</f>
        <v>B</v>
      </c>
    </row>
    <row r="17180" spans="1:8" x14ac:dyDescent="0.2">
      <c r="A17180" t="str">
        <f t="shared" ref="A17180:A17187" si="6234">"0616054329"</f>
        <v>0616054329</v>
      </c>
      <c r="B17180" t="str">
        <f t="shared" ref="B17180:B17187" si="6235">"ANNELYSE"</f>
        <v>ANNELYSE</v>
      </c>
      <c r="C17180" t="str">
        <f t="shared" si="6231"/>
        <v>TORRES</v>
      </c>
      <c r="D17180">
        <f>10</f>
        <v>10</v>
      </c>
      <c r="E17180" t="str">
        <f>"04 - A - 101 - Arthur  Kulawik"</f>
        <v>04 - A - 101 - Arthur  Kulawik</v>
      </c>
      <c r="F17180" t="str">
        <f>"DEBATE 3 HON"</f>
        <v>DEBATE 3 HON</v>
      </c>
      <c r="G17180" t="str">
        <f>"05-506"</f>
        <v>05-506</v>
      </c>
      <c r="H17180" t="str">
        <f>"A"</f>
        <v>A</v>
      </c>
    </row>
    <row r="17181" spans="1:8" x14ac:dyDescent="0.2">
      <c r="A17181" t="str">
        <f t="shared" si="6234"/>
        <v>0616054329</v>
      </c>
      <c r="B17181" t="str">
        <f t="shared" si="6235"/>
        <v>ANNELYSE</v>
      </c>
      <c r="C17181" t="str">
        <f t="shared" si="6231"/>
        <v>TORRES</v>
      </c>
      <c r="D17181">
        <f>10</f>
        <v>10</v>
      </c>
      <c r="E17181" t="str">
        <f>"06 - B - 113 - Joe  Kilpatrick Jr"</f>
        <v>06 - B - 113 - Joe  Kilpatrick Jr</v>
      </c>
      <c r="F17181" t="str">
        <f>"NC STUDY HALL 1"</f>
        <v>NC STUDY HALL 1</v>
      </c>
      <c r="G17181" t="str">
        <f>"09-912"</f>
        <v>09-912</v>
      </c>
      <c r="H17181" t="str">
        <f>"B"</f>
        <v>B</v>
      </c>
    </row>
    <row r="17182" spans="1:8" x14ac:dyDescent="0.2">
      <c r="A17182" t="str">
        <f t="shared" si="6234"/>
        <v>0616054329</v>
      </c>
      <c r="B17182" t="str">
        <f t="shared" si="6235"/>
        <v>ANNELYSE</v>
      </c>
      <c r="C17182" t="str">
        <f t="shared" si="6231"/>
        <v>TORRES</v>
      </c>
      <c r="D17182">
        <f>10</f>
        <v>10</v>
      </c>
      <c r="E17182" t="str">
        <f>"03 - A - 101 - Rosa Elaine  Collado-Duff"</f>
        <v>03 - A - 101 - Rosa Elaine  Collado-Duff</v>
      </c>
      <c r="F17182" t="str">
        <f>"SPANISH 3 HON"</f>
        <v>SPANISH 3 HON</v>
      </c>
      <c r="G17182" t="str">
        <f>"09-913"</f>
        <v>09-913</v>
      </c>
      <c r="H17182" t="str">
        <f>"A"</f>
        <v>A</v>
      </c>
    </row>
    <row r="17183" spans="1:8" x14ac:dyDescent="0.2">
      <c r="A17183" t="str">
        <f t="shared" si="6234"/>
        <v>0616054329</v>
      </c>
      <c r="B17183" t="str">
        <f t="shared" si="6235"/>
        <v>ANNELYSE</v>
      </c>
      <c r="C17183" t="str">
        <f t="shared" si="6231"/>
        <v>TORRES</v>
      </c>
      <c r="D17183">
        <f>10</f>
        <v>10</v>
      </c>
      <c r="E17183" t="str">
        <f>"02 - A - 102 - Nikiel  Nesbeth"</f>
        <v>02 - A - 102 - Nikiel  Nesbeth</v>
      </c>
      <c r="F17183" t="str">
        <f>"ENG 2"</f>
        <v>ENG 2</v>
      </c>
      <c r="G17183" t="str">
        <f>"17-1705"</f>
        <v>17-1705</v>
      </c>
      <c r="H17183" t="str">
        <f>"A"</f>
        <v>A</v>
      </c>
    </row>
    <row r="17184" spans="1:8" x14ac:dyDescent="0.2">
      <c r="A17184" t="str">
        <f t="shared" si="6234"/>
        <v>0616054329</v>
      </c>
      <c r="B17184" t="str">
        <f t="shared" si="6235"/>
        <v>ANNELYSE</v>
      </c>
      <c r="C17184" t="str">
        <f t="shared" si="6231"/>
        <v>TORRES</v>
      </c>
      <c r="D17184">
        <f>10</f>
        <v>10</v>
      </c>
      <c r="E17184" t="str">
        <f>"07 - S1 - B - 102 - Arthur  Kulawik"</f>
        <v>07 - S1 - B - 102 - Arthur  Kulawik</v>
      </c>
      <c r="F17184" t="str">
        <f>"PERS FIN &amp; MON MGT H"</f>
        <v>PERS FIN &amp; MON MGT H</v>
      </c>
      <c r="G17184" t="str">
        <f>"05-506"</f>
        <v>05-506</v>
      </c>
      <c r="H17184" t="str">
        <f>"B"</f>
        <v>B</v>
      </c>
    </row>
    <row r="17185" spans="1:8" x14ac:dyDescent="0.2">
      <c r="A17185" t="str">
        <f t="shared" si="6234"/>
        <v>0616054329</v>
      </c>
      <c r="B17185" t="str">
        <f t="shared" si="6235"/>
        <v>ANNELYSE</v>
      </c>
      <c r="C17185" t="str">
        <f t="shared" si="6231"/>
        <v>TORRES</v>
      </c>
      <c r="D17185">
        <f>10</f>
        <v>10</v>
      </c>
      <c r="E17185" t="str">
        <f>"05 - B - 105 - Taraneh C Abreu"</f>
        <v>05 - B - 105 - Taraneh C Abreu</v>
      </c>
      <c r="F17185" t="str">
        <f>"INTENS READ 2"</f>
        <v>INTENS READ 2</v>
      </c>
      <c r="G17185" t="str">
        <f>"17-1713"</f>
        <v>17-1713</v>
      </c>
      <c r="H17185" t="str">
        <f>"B"</f>
        <v>B</v>
      </c>
    </row>
    <row r="17186" spans="1:8" x14ac:dyDescent="0.2">
      <c r="A17186" t="str">
        <f t="shared" si="6234"/>
        <v>0616054329</v>
      </c>
      <c r="B17186" t="str">
        <f t="shared" si="6235"/>
        <v>ANNELYSE</v>
      </c>
      <c r="C17186" t="str">
        <f t="shared" si="6231"/>
        <v>TORRES</v>
      </c>
      <c r="D17186">
        <f>10</f>
        <v>10</v>
      </c>
      <c r="E17186" t="str">
        <f>"01 - A - 101 - Lourivaldo  Da Silva"</f>
        <v>01 - A - 101 - Lourivaldo  Da Silva</v>
      </c>
      <c r="F17186" t="str">
        <f>"ALGEBRA 2 HON"</f>
        <v>ALGEBRA 2 HON</v>
      </c>
      <c r="G17186" t="str">
        <f>"20-2079"</f>
        <v>20-2079</v>
      </c>
      <c r="H17186" t="str">
        <f>"A"</f>
        <v>A</v>
      </c>
    </row>
    <row r="17187" spans="1:8" x14ac:dyDescent="0.2">
      <c r="A17187" t="str">
        <f t="shared" si="6234"/>
        <v>0616054329</v>
      </c>
      <c r="B17187" t="str">
        <f t="shared" si="6235"/>
        <v>ANNELYSE</v>
      </c>
      <c r="C17187" t="str">
        <f t="shared" si="6231"/>
        <v>TORRES</v>
      </c>
      <c r="D17187">
        <f>10</f>
        <v>10</v>
      </c>
      <c r="E17187" t="str">
        <f>"08 - B - 001 - Lytrell T Dixon"</f>
        <v>08 - B - 001 - Lytrell T Dixon</v>
      </c>
      <c r="F17187" t="str">
        <f>"BIOLOGY 1"</f>
        <v>BIOLOGY 1</v>
      </c>
      <c r="G17187" t="str">
        <f>"08-808"</f>
        <v>08-808</v>
      </c>
      <c r="H17187" t="str">
        <f>"B"</f>
        <v>B</v>
      </c>
    </row>
    <row r="17188" spans="1:8" x14ac:dyDescent="0.2">
      <c r="A17188" t="str">
        <f t="shared" ref="A17188:A17195" si="6236">"0613138378"</f>
        <v>0613138378</v>
      </c>
      <c r="B17188" t="str">
        <f t="shared" ref="B17188:B17195" si="6237">"ASHLEY"</f>
        <v>ASHLEY</v>
      </c>
      <c r="C17188" t="str">
        <f t="shared" si="6231"/>
        <v>TORRES</v>
      </c>
      <c r="D17188">
        <f>12</f>
        <v>12</v>
      </c>
      <c r="E17188" t="str">
        <f>"04 - A - 101 - Jeanne M Bermudez"</f>
        <v>04 - A - 101 - Jeanne M Bermudez</v>
      </c>
      <c r="F17188" t="str">
        <f>"ADVANCED IT HON"</f>
        <v>ADVANCED IT HON</v>
      </c>
      <c r="G17188" t="str">
        <f>"21-2141"</f>
        <v>21-2141</v>
      </c>
      <c r="H17188" t="str">
        <f>"A"</f>
        <v>A</v>
      </c>
    </row>
    <row r="17189" spans="1:8" x14ac:dyDescent="0.2">
      <c r="A17189" t="str">
        <f t="shared" si="6236"/>
        <v>0613138378</v>
      </c>
      <c r="B17189" t="str">
        <f t="shared" si="6237"/>
        <v>ASHLEY</v>
      </c>
      <c r="C17189" t="str">
        <f t="shared" si="6231"/>
        <v>TORRES</v>
      </c>
      <c r="D17189">
        <f>12</f>
        <v>12</v>
      </c>
      <c r="E17189" t="str">
        <f>"06 - B - 108 - Jacquelyn M Neeson"</f>
        <v>06 - B - 108 - Jacquelyn M Neeson</v>
      </c>
      <c r="F17189" t="str">
        <f>"NC STUDY HALL 1"</f>
        <v>NC STUDY HALL 1</v>
      </c>
      <c r="G17189" t="str">
        <f>"17-1715"</f>
        <v>17-1715</v>
      </c>
      <c r="H17189" t="str">
        <f>"B"</f>
        <v>B</v>
      </c>
    </row>
    <row r="17190" spans="1:8" x14ac:dyDescent="0.2">
      <c r="A17190" t="str">
        <f t="shared" si="6236"/>
        <v>0613138378</v>
      </c>
      <c r="B17190" t="str">
        <f t="shared" si="6237"/>
        <v>ASHLEY</v>
      </c>
      <c r="C17190" t="str">
        <f t="shared" si="6231"/>
        <v>TORRES</v>
      </c>
      <c r="D17190">
        <f>12</f>
        <v>12</v>
      </c>
      <c r="E17190" t="str">
        <f>"03 - A - 101 - Tina L Lovett"</f>
        <v>03 - A - 101 - Tina L Lovett</v>
      </c>
      <c r="F17190" t="str">
        <f>"MATH DATA &amp; FIN LIT"</f>
        <v>MATH DATA &amp; FIN LIT</v>
      </c>
      <c r="G17190" t="str">
        <f>"21-2153"</f>
        <v>21-2153</v>
      </c>
      <c r="H17190" t="str">
        <f>"A"</f>
        <v>A</v>
      </c>
    </row>
    <row r="17191" spans="1:8" x14ac:dyDescent="0.2">
      <c r="A17191" t="str">
        <f t="shared" si="6236"/>
        <v>0613138378</v>
      </c>
      <c r="B17191" t="str">
        <f t="shared" si="6237"/>
        <v>ASHLEY</v>
      </c>
      <c r="C17191" t="str">
        <f t="shared" si="6231"/>
        <v>TORRES</v>
      </c>
      <c r="D17191">
        <f>12</f>
        <v>12</v>
      </c>
      <c r="E17191" t="str">
        <f>"02 - S1 - A - 104 - Robert O Burger"</f>
        <v>02 - S1 - A - 104 - Robert O Burger</v>
      </c>
      <c r="F17191" t="str">
        <f>"US GOVT"</f>
        <v>US GOVT</v>
      </c>
      <c r="G17191" t="str">
        <f>"17-1755"</f>
        <v>17-1755</v>
      </c>
      <c r="H17191" t="str">
        <f>"A"</f>
        <v>A</v>
      </c>
    </row>
    <row r="17192" spans="1:8" x14ac:dyDescent="0.2">
      <c r="A17192" t="str">
        <f t="shared" si="6236"/>
        <v>0613138378</v>
      </c>
      <c r="B17192" t="str">
        <f t="shared" si="6237"/>
        <v>ASHLEY</v>
      </c>
      <c r="C17192" t="str">
        <f t="shared" si="6231"/>
        <v>TORRES</v>
      </c>
      <c r="D17192">
        <f>12</f>
        <v>12</v>
      </c>
      <c r="E17192" t="str">
        <f>"07 - B - 103 - Nahum  Saint-Preux"</f>
        <v>07 - B - 103 - Nahum  Saint-Preux</v>
      </c>
      <c r="F17192" t="str">
        <f>"INTENS READ 4"</f>
        <v>INTENS READ 4</v>
      </c>
      <c r="G17192" t="str">
        <f>"17-1712"</f>
        <v>17-1712</v>
      </c>
      <c r="H17192" t="str">
        <f>"B"</f>
        <v>B</v>
      </c>
    </row>
    <row r="17193" spans="1:8" x14ac:dyDescent="0.2">
      <c r="A17193" t="str">
        <f t="shared" si="6236"/>
        <v>0613138378</v>
      </c>
      <c r="B17193" t="str">
        <f t="shared" si="6237"/>
        <v>ASHLEY</v>
      </c>
      <c r="C17193" t="str">
        <f t="shared" si="6231"/>
        <v>TORRES</v>
      </c>
      <c r="D17193">
        <f>12</f>
        <v>12</v>
      </c>
      <c r="E17193" t="str">
        <f>"05 - B - 102 - Emmily A Sarmiento"</f>
        <v>05 - B - 102 - Emmily A Sarmiento</v>
      </c>
      <c r="F17193" t="str">
        <f>"LEADER STRATS HONORS"</f>
        <v>LEADER STRATS HONORS</v>
      </c>
      <c r="G17193" t="str">
        <f>"17-1743"</f>
        <v>17-1743</v>
      </c>
      <c r="H17193" t="str">
        <f>"B"</f>
        <v>B</v>
      </c>
    </row>
    <row r="17194" spans="1:8" x14ac:dyDescent="0.2">
      <c r="A17194" t="str">
        <f t="shared" si="6236"/>
        <v>0613138378</v>
      </c>
      <c r="B17194" t="str">
        <f t="shared" si="6237"/>
        <v>ASHLEY</v>
      </c>
      <c r="C17194" t="str">
        <f t="shared" si="6231"/>
        <v>TORRES</v>
      </c>
      <c r="D17194">
        <f>12</f>
        <v>12</v>
      </c>
      <c r="E17194" t="str">
        <f>"01 - A - 101 - Cliffon  Saurel"</f>
        <v>01 - A - 101 - Cliffon  Saurel</v>
      </c>
      <c r="F17194" t="str">
        <f>"PHYSICAL SCI"</f>
        <v>PHYSICAL SCI</v>
      </c>
      <c r="G17194" t="str">
        <f>"05-522"</f>
        <v>05-522</v>
      </c>
      <c r="H17194" t="str">
        <f>"A"</f>
        <v>A</v>
      </c>
    </row>
    <row r="17195" spans="1:8" x14ac:dyDescent="0.2">
      <c r="A17195" t="str">
        <f t="shared" si="6236"/>
        <v>0613138378</v>
      </c>
      <c r="B17195" t="str">
        <f t="shared" si="6237"/>
        <v>ASHLEY</v>
      </c>
      <c r="C17195" t="str">
        <f t="shared" si="6231"/>
        <v>TORRES</v>
      </c>
      <c r="D17195">
        <f>12</f>
        <v>12</v>
      </c>
      <c r="E17195" t="str">
        <f>"08 - B - 206 - Robyn L Trainer"</f>
        <v>08 - B - 206 - Robyn L Trainer</v>
      </c>
      <c r="F17195" t="str">
        <f>"ENG 4: FL COLL PREP"</f>
        <v>ENG 4: FL COLL PREP</v>
      </c>
      <c r="G17195" t="str">
        <f>"17-1734"</f>
        <v>17-1734</v>
      </c>
      <c r="H17195" t="str">
        <f>"B"</f>
        <v>B</v>
      </c>
    </row>
    <row r="17196" spans="1:8" x14ac:dyDescent="0.2">
      <c r="A17196" t="str">
        <f t="shared" ref="A17196:A17203" si="6238">"0612085061"</f>
        <v>0612085061</v>
      </c>
      <c r="B17196" t="str">
        <f t="shared" ref="B17196:B17203" si="6239">"LYDIA"</f>
        <v>LYDIA</v>
      </c>
      <c r="C17196" t="str">
        <f t="shared" si="6231"/>
        <v>TORRES</v>
      </c>
      <c r="D17196">
        <f>11</f>
        <v>11</v>
      </c>
      <c r="E17196" t="str">
        <f>"04 - A - 101 - Jerry S Jiampetti"</f>
        <v>04 - A - 101 - Jerry S Jiampetti</v>
      </c>
      <c r="F17196" t="str">
        <f>"AICE U.S. HIST 1 AS"</f>
        <v>AICE U.S. HIST 1 AS</v>
      </c>
      <c r="G17196" t="str">
        <f>"17-1751"</f>
        <v>17-1751</v>
      </c>
      <c r="H17196" t="str">
        <f>"A"</f>
        <v>A</v>
      </c>
    </row>
    <row r="17197" spans="1:8" x14ac:dyDescent="0.2">
      <c r="A17197" t="str">
        <f t="shared" si="6238"/>
        <v>0612085061</v>
      </c>
      <c r="B17197" t="str">
        <f t="shared" si="6239"/>
        <v>LYDIA</v>
      </c>
      <c r="C17197" t="str">
        <f t="shared" si="6231"/>
        <v>TORRES</v>
      </c>
      <c r="D17197">
        <f>11</f>
        <v>11</v>
      </c>
      <c r="E17197" t="str">
        <f>"06 - B - 204 - Chrystina M Marchionne"</f>
        <v>06 - B - 204 - Chrystina M Marchionne</v>
      </c>
      <c r="F17197" t="str">
        <f>"AICE MEDIASTUDIES AS"</f>
        <v>AICE MEDIASTUDIES AS</v>
      </c>
      <c r="G17197" t="str">
        <f>"05-520"</f>
        <v>05-520</v>
      </c>
      <c r="H17197" t="str">
        <f>"B"</f>
        <v>B</v>
      </c>
    </row>
    <row r="17198" spans="1:8" x14ac:dyDescent="0.2">
      <c r="A17198" t="str">
        <f t="shared" si="6238"/>
        <v>0612085061</v>
      </c>
      <c r="B17198" t="str">
        <f t="shared" si="6239"/>
        <v>LYDIA</v>
      </c>
      <c r="C17198" t="str">
        <f t="shared" si="6231"/>
        <v>TORRES</v>
      </c>
      <c r="D17198">
        <f>11</f>
        <v>11</v>
      </c>
      <c r="E17198" t="str">
        <f>"03 - A - 102 - Tina M Jaramillo"</f>
        <v>03 - A - 102 - Tina M Jaramillo</v>
      </c>
      <c r="F17198" t="str">
        <f>"AP ENG COMPO"</f>
        <v>AP ENG COMPO</v>
      </c>
      <c r="G17198" t="str">
        <f>"17-1706"</f>
        <v>17-1706</v>
      </c>
      <c r="H17198" t="str">
        <f>"A"</f>
        <v>A</v>
      </c>
    </row>
    <row r="17199" spans="1:8" x14ac:dyDescent="0.2">
      <c r="A17199" t="str">
        <f t="shared" si="6238"/>
        <v>0612085061</v>
      </c>
      <c r="B17199" t="str">
        <f t="shared" si="6239"/>
        <v>LYDIA</v>
      </c>
      <c r="C17199" t="str">
        <f t="shared" si="6231"/>
        <v>TORRES</v>
      </c>
      <c r="D17199">
        <f>11</f>
        <v>11</v>
      </c>
      <c r="E17199" t="str">
        <f>"02 - A - 105 - Leslie J Barton"</f>
        <v>02 - A - 105 - Leslie J Barton</v>
      </c>
      <c r="F17199" t="str">
        <f>"NC STUDY HALL 1"</f>
        <v>NC STUDY HALL 1</v>
      </c>
      <c r="G17199" t="str">
        <f>"05-521"</f>
        <v>05-521</v>
      </c>
      <c r="H17199" t="str">
        <f>"A"</f>
        <v>A</v>
      </c>
    </row>
    <row r="17200" spans="1:8" x14ac:dyDescent="0.2">
      <c r="A17200" t="str">
        <f t="shared" si="6238"/>
        <v>0612085061</v>
      </c>
      <c r="B17200" t="str">
        <f t="shared" si="6239"/>
        <v>LYDIA</v>
      </c>
      <c r="C17200" t="str">
        <f t="shared" si="6231"/>
        <v>TORRES</v>
      </c>
      <c r="D17200">
        <f>11</f>
        <v>11</v>
      </c>
      <c r="E17200" t="str">
        <f>"07 - B - 204 - Stefanie S Scher"</f>
        <v>07 - B - 204 - Stefanie S Scher</v>
      </c>
      <c r="F17200" t="str">
        <f>"AP PSYCH"</f>
        <v>AP PSYCH</v>
      </c>
      <c r="G17200" t="str">
        <f>"17-1735"</f>
        <v>17-1735</v>
      </c>
      <c r="H17200" t="str">
        <f>"B"</f>
        <v>B</v>
      </c>
    </row>
    <row r="17201" spans="1:8" x14ac:dyDescent="0.2">
      <c r="A17201" t="str">
        <f t="shared" si="6238"/>
        <v>0612085061</v>
      </c>
      <c r="B17201" t="str">
        <f t="shared" si="6239"/>
        <v>LYDIA</v>
      </c>
      <c r="C17201" t="str">
        <f t="shared" si="6231"/>
        <v>TORRES</v>
      </c>
      <c r="D17201">
        <f>11</f>
        <v>11</v>
      </c>
      <c r="E17201" t="str">
        <f>"05 - B - 201 - Lisa J London"</f>
        <v>05 - B - 201 - Lisa J London</v>
      </c>
      <c r="F17201" t="str">
        <f>"COMPRE LAW HON"</f>
        <v>COMPRE LAW HON</v>
      </c>
      <c r="G17201" t="str">
        <f>"17-1714"</f>
        <v>17-1714</v>
      </c>
      <c r="H17201" t="str">
        <f>"B"</f>
        <v>B</v>
      </c>
    </row>
    <row r="17202" spans="1:8" x14ac:dyDescent="0.2">
      <c r="A17202" t="str">
        <f t="shared" si="6238"/>
        <v>0612085061</v>
      </c>
      <c r="B17202" t="str">
        <f t="shared" si="6239"/>
        <v>LYDIA</v>
      </c>
      <c r="C17202" t="str">
        <f t="shared" si="6231"/>
        <v>TORRES</v>
      </c>
      <c r="D17202">
        <f>11</f>
        <v>11</v>
      </c>
      <c r="E17202" t="str">
        <f>"01 - A - 103 - Semra  Bahadir"</f>
        <v>01 - A - 103 - Semra  Bahadir</v>
      </c>
      <c r="F17202" t="str">
        <f>"MATH COLL ALGEBRA"</f>
        <v>MATH COLL ALGEBRA</v>
      </c>
      <c r="G17202" t="str">
        <f>"21-2107"</f>
        <v>21-2107</v>
      </c>
      <c r="H17202" t="str">
        <f>"A"</f>
        <v>A</v>
      </c>
    </row>
    <row r="17203" spans="1:8" x14ac:dyDescent="0.2">
      <c r="A17203" t="str">
        <f t="shared" si="6238"/>
        <v>0612085061</v>
      </c>
      <c r="B17203" t="str">
        <f t="shared" si="6239"/>
        <v>LYDIA</v>
      </c>
      <c r="C17203" t="str">
        <f t="shared" si="6231"/>
        <v>TORRES</v>
      </c>
      <c r="D17203">
        <f>11</f>
        <v>11</v>
      </c>
      <c r="E17203" t="str">
        <f>"08 - B - 201 - Tina M Jaramillo"</f>
        <v>08 - B - 201 - Tina M Jaramillo</v>
      </c>
      <c r="F17203" t="str">
        <f>"CREATIVE WRIT 3 HON"</f>
        <v>CREATIVE WRIT 3 HON</v>
      </c>
      <c r="G17203" t="str">
        <f>"17-1706"</f>
        <v>17-1706</v>
      </c>
      <c r="H17203" t="str">
        <f>"B"</f>
        <v>B</v>
      </c>
    </row>
    <row r="17204" spans="1:8" x14ac:dyDescent="0.2">
      <c r="A17204" t="str">
        <f t="shared" ref="A17204:A17211" si="6240">"0615140768"</f>
        <v>0615140768</v>
      </c>
      <c r="B17204" t="str">
        <f t="shared" ref="B17204:B17211" si="6241">"ALEXA"</f>
        <v>ALEXA</v>
      </c>
      <c r="C17204" t="str">
        <f t="shared" ref="C17204:C17211" si="6242">"TORRES SAENZ"</f>
        <v>TORRES SAENZ</v>
      </c>
      <c r="D17204">
        <f>10</f>
        <v>10</v>
      </c>
      <c r="E17204" t="str">
        <f>"04 - S1 - A - 103 - James H Mccann"</f>
        <v>04 - S1 - A - 103 - James H Mccann</v>
      </c>
      <c r="F17204" t="str">
        <f>"PERS FIN &amp; MON MGT H"</f>
        <v>PERS FIN &amp; MON MGT H</v>
      </c>
      <c r="G17204" t="str">
        <f>"17-1716"</f>
        <v>17-1716</v>
      </c>
      <c r="H17204" t="str">
        <f>"A"</f>
        <v>A</v>
      </c>
    </row>
    <row r="17205" spans="1:8" x14ac:dyDescent="0.2">
      <c r="A17205" t="str">
        <f t="shared" si="6240"/>
        <v>0615140768</v>
      </c>
      <c r="B17205" t="str">
        <f t="shared" si="6241"/>
        <v>ALEXA</v>
      </c>
      <c r="C17205" t="str">
        <f t="shared" si="6242"/>
        <v>TORRES SAENZ</v>
      </c>
      <c r="D17205">
        <f>10</f>
        <v>10</v>
      </c>
      <c r="E17205" t="str">
        <f>"06 - B - 108 - Jacklyn M James"</f>
        <v>06 - B - 108 - Jacklyn M James</v>
      </c>
      <c r="F17205" t="str">
        <f>"NC STUDY HALL 1"</f>
        <v>NC STUDY HALL 1</v>
      </c>
      <c r="G17205" t="str">
        <f>"17-1731"</f>
        <v>17-1731</v>
      </c>
      <c r="H17205" t="str">
        <f>"B"</f>
        <v>B</v>
      </c>
    </row>
    <row r="17206" spans="1:8" x14ac:dyDescent="0.2">
      <c r="A17206" t="str">
        <f t="shared" si="6240"/>
        <v>0615140768</v>
      </c>
      <c r="B17206" t="str">
        <f t="shared" si="6241"/>
        <v>ALEXA</v>
      </c>
      <c r="C17206" t="str">
        <f t="shared" si="6242"/>
        <v>TORRES SAENZ</v>
      </c>
      <c r="D17206">
        <f>10</f>
        <v>10</v>
      </c>
      <c r="E17206" t="str">
        <f>"03 - A - 201 - Joe  Kilpatrick Jr"</f>
        <v>03 - A - 201 - Joe  Kilpatrick Jr</v>
      </c>
      <c r="F17206" t="str">
        <f>"PRE-AICE SPAN 2 IG"</f>
        <v>PRE-AICE SPAN 2 IG</v>
      </c>
      <c r="G17206" t="str">
        <f>"09-912"</f>
        <v>09-912</v>
      </c>
      <c r="H17206" t="str">
        <f>"A"</f>
        <v>A</v>
      </c>
    </row>
    <row r="17207" spans="1:8" x14ac:dyDescent="0.2">
      <c r="A17207" t="str">
        <f t="shared" si="6240"/>
        <v>0615140768</v>
      </c>
      <c r="B17207" t="str">
        <f t="shared" si="6241"/>
        <v>ALEXA</v>
      </c>
      <c r="C17207" t="str">
        <f t="shared" si="6242"/>
        <v>TORRES SAENZ</v>
      </c>
      <c r="D17207">
        <f>10</f>
        <v>10</v>
      </c>
      <c r="E17207" t="str">
        <f>"02 - A - 102 - Nikiel  Nesbeth"</f>
        <v>02 - A - 102 - Nikiel  Nesbeth</v>
      </c>
      <c r="F17207" t="str">
        <f>"ENG 2"</f>
        <v>ENG 2</v>
      </c>
      <c r="G17207" t="str">
        <f>"17-1705"</f>
        <v>17-1705</v>
      </c>
      <c r="H17207" t="str">
        <f>"A"</f>
        <v>A</v>
      </c>
    </row>
    <row r="17208" spans="1:8" x14ac:dyDescent="0.2">
      <c r="A17208" t="str">
        <f t="shared" si="6240"/>
        <v>0615140768</v>
      </c>
      <c r="B17208" t="str">
        <f t="shared" si="6241"/>
        <v>ALEXA</v>
      </c>
      <c r="C17208" t="str">
        <f t="shared" si="6242"/>
        <v>TORRES SAENZ</v>
      </c>
      <c r="D17208">
        <f>10</f>
        <v>10</v>
      </c>
      <c r="E17208" t="str">
        <f>"07 - B - 107 - Milca  Exantus"</f>
        <v>07 - B - 107 - Milca  Exantus</v>
      </c>
      <c r="F17208" t="str">
        <f>"MATH COLLEGE LIB ART"</f>
        <v>MATH COLLEGE LIB ART</v>
      </c>
      <c r="G17208" t="str">
        <f>"21-2145"</f>
        <v>21-2145</v>
      </c>
      <c r="H17208" t="str">
        <f>"B"</f>
        <v>B</v>
      </c>
    </row>
    <row r="17209" spans="1:8" x14ac:dyDescent="0.2">
      <c r="A17209" t="str">
        <f t="shared" si="6240"/>
        <v>0615140768</v>
      </c>
      <c r="B17209" t="str">
        <f t="shared" si="6241"/>
        <v>ALEXA</v>
      </c>
      <c r="C17209" t="str">
        <f t="shared" si="6242"/>
        <v>TORRES SAENZ</v>
      </c>
      <c r="D17209">
        <f>10</f>
        <v>10</v>
      </c>
      <c r="E17209" t="str">
        <f>"05 - S1 - B - 103 - Leslie J Barton"</f>
        <v>05 - S1 - B - 103 - Leslie J Barton</v>
      </c>
      <c r="F17209" t="str">
        <f>"FIRST AID SAFETY"</f>
        <v>FIRST AID SAFETY</v>
      </c>
      <c r="G17209" t="str">
        <f>"05-521"</f>
        <v>05-521</v>
      </c>
      <c r="H17209" t="str">
        <f>"B"</f>
        <v>B</v>
      </c>
    </row>
    <row r="17210" spans="1:8" x14ac:dyDescent="0.2">
      <c r="A17210" t="str">
        <f t="shared" si="6240"/>
        <v>0615140768</v>
      </c>
      <c r="B17210" t="str">
        <f t="shared" si="6241"/>
        <v>ALEXA</v>
      </c>
      <c r="C17210" t="str">
        <f t="shared" si="6242"/>
        <v>TORRES SAENZ</v>
      </c>
      <c r="D17210">
        <f>10</f>
        <v>10</v>
      </c>
      <c r="E17210" t="str">
        <f>"01 - A - 102 - Lytrell T Dixon"</f>
        <v>01 - A - 102 - Lytrell T Dixon</v>
      </c>
      <c r="F17210" t="str">
        <f>"BIOLOGY 1"</f>
        <v>BIOLOGY 1</v>
      </c>
      <c r="G17210" t="str">
        <f>"08-808"</f>
        <v>08-808</v>
      </c>
      <c r="H17210" t="str">
        <f>"A"</f>
        <v>A</v>
      </c>
    </row>
    <row r="17211" spans="1:8" x14ac:dyDescent="0.2">
      <c r="A17211" t="str">
        <f t="shared" si="6240"/>
        <v>0615140768</v>
      </c>
      <c r="B17211" t="str">
        <f t="shared" si="6241"/>
        <v>ALEXA</v>
      </c>
      <c r="C17211" t="str">
        <f t="shared" si="6242"/>
        <v>TORRES SAENZ</v>
      </c>
      <c r="D17211">
        <f>10</f>
        <v>10</v>
      </c>
      <c r="E17211" t="str">
        <f>"08 - B - 105 - Daniel S Tyson"</f>
        <v>08 - B - 105 - Daniel S Tyson</v>
      </c>
      <c r="F17211" t="str">
        <f>"JROTC NAVAL SCI 2"</f>
        <v>JROTC NAVAL SCI 2</v>
      </c>
      <c r="G17211" t="str">
        <f>"05-510"</f>
        <v>05-510</v>
      </c>
      <c r="H17211" t="str">
        <f>"B"</f>
        <v>B</v>
      </c>
    </row>
    <row r="17212" spans="1:8" x14ac:dyDescent="0.2">
      <c r="A17212" t="str">
        <f t="shared" ref="A17212:A17219" si="6243">"0617005033"</f>
        <v>0617005033</v>
      </c>
      <c r="B17212" t="str">
        <f t="shared" ref="B17212:B17219" si="6244">"BARBARA"</f>
        <v>BARBARA</v>
      </c>
      <c r="C17212" t="str">
        <f t="shared" ref="C17212:C17227" si="6245">"TOUTOUTE"</f>
        <v>TOUTOUTE</v>
      </c>
      <c r="D17212" t="str">
        <f t="shared" ref="D17212:D17235" si="6246">"09"</f>
        <v>09</v>
      </c>
      <c r="E17212" t="str">
        <f>"04 - A - 103 - Daniel S Tyson"</f>
        <v>04 - A - 103 - Daniel S Tyson</v>
      </c>
      <c r="F17212" t="str">
        <f>"JROTC NAVAL SCI 1"</f>
        <v>JROTC NAVAL SCI 1</v>
      </c>
      <c r="G17212" t="str">
        <f>"05-510"</f>
        <v>05-510</v>
      </c>
      <c r="H17212" t="str">
        <f>"A"</f>
        <v>A</v>
      </c>
    </row>
    <row r="17213" spans="1:8" x14ac:dyDescent="0.2">
      <c r="A17213" t="str">
        <f t="shared" si="6243"/>
        <v>0617005033</v>
      </c>
      <c r="B17213" t="str">
        <f t="shared" si="6244"/>
        <v>BARBARA</v>
      </c>
      <c r="C17213" t="str">
        <f t="shared" si="6245"/>
        <v>TOUTOUTE</v>
      </c>
      <c r="D17213" t="str">
        <f t="shared" si="6246"/>
        <v>09</v>
      </c>
      <c r="E17213" t="str">
        <f>"06 - B - 105 - Dayna M Foster"</f>
        <v>06 - B - 105 - Dayna M Foster</v>
      </c>
      <c r="F17213" t="str">
        <f>"ALGEBRA 1"</f>
        <v>ALGEBRA 1</v>
      </c>
      <c r="G17213" t="str">
        <f>"21-2109"</f>
        <v>21-2109</v>
      </c>
      <c r="H17213" t="str">
        <f>"B"</f>
        <v>B</v>
      </c>
    </row>
    <row r="17214" spans="1:8" x14ac:dyDescent="0.2">
      <c r="A17214" t="str">
        <f t="shared" si="6243"/>
        <v>0617005033</v>
      </c>
      <c r="B17214" t="str">
        <f t="shared" si="6244"/>
        <v>BARBARA</v>
      </c>
      <c r="C17214" t="str">
        <f t="shared" si="6245"/>
        <v>TOUTOUTE</v>
      </c>
      <c r="D17214" t="str">
        <f t="shared" si="6246"/>
        <v>09</v>
      </c>
      <c r="E17214" t="str">
        <f>"03 - A - 101 - Dayna M Foster"</f>
        <v>03 - A - 101 - Dayna M Foster</v>
      </c>
      <c r="F17214" t="str">
        <f>"FDN SKLS MATH 9-12"</f>
        <v>FDN SKLS MATH 9-12</v>
      </c>
      <c r="G17214" t="str">
        <f>"21-2109"</f>
        <v>21-2109</v>
      </c>
      <c r="H17214" t="str">
        <f>"A"</f>
        <v>A</v>
      </c>
    </row>
    <row r="17215" spans="1:8" x14ac:dyDescent="0.2">
      <c r="A17215" t="str">
        <f t="shared" si="6243"/>
        <v>0617005033</v>
      </c>
      <c r="B17215" t="str">
        <f t="shared" si="6244"/>
        <v>BARBARA</v>
      </c>
      <c r="C17215" t="str">
        <f t="shared" si="6245"/>
        <v>TOUTOUTE</v>
      </c>
      <c r="D17215" t="str">
        <f t="shared" si="6246"/>
        <v>09</v>
      </c>
      <c r="E17215" t="str">
        <f>"02 - A - 111 - Cheryl L Beach"</f>
        <v>02 - A - 111 - Cheryl L Beach</v>
      </c>
      <c r="F17215" t="str">
        <f>"NC STUDY HALL 1"</f>
        <v>NC STUDY HALL 1</v>
      </c>
      <c r="G17215" t="str">
        <f>"08-811"</f>
        <v>08-811</v>
      </c>
      <c r="H17215" t="str">
        <f>"A"</f>
        <v>A</v>
      </c>
    </row>
    <row r="17216" spans="1:8" x14ac:dyDescent="0.2">
      <c r="A17216" t="str">
        <f t="shared" si="6243"/>
        <v>0617005033</v>
      </c>
      <c r="B17216" t="str">
        <f t="shared" si="6244"/>
        <v>BARBARA</v>
      </c>
      <c r="C17216" t="str">
        <f t="shared" si="6245"/>
        <v>TOUTOUTE</v>
      </c>
      <c r="D17216" t="str">
        <f t="shared" si="6246"/>
        <v>09</v>
      </c>
      <c r="E17216" t="str">
        <f>"07 - B - 105 - Paige Lauren  Brochu"</f>
        <v>07 - B - 105 - Paige Lauren  Brochu</v>
      </c>
      <c r="F17216" t="str">
        <f>"PRE-AICE BIO IG"</f>
        <v>PRE-AICE BIO IG</v>
      </c>
      <c r="G17216" t="str">
        <f>"21-2134"</f>
        <v>21-2134</v>
      </c>
      <c r="H17216" t="str">
        <f>"B"</f>
        <v>B</v>
      </c>
    </row>
    <row r="17217" spans="1:8" x14ac:dyDescent="0.2">
      <c r="A17217" t="str">
        <f t="shared" si="6243"/>
        <v>0617005033</v>
      </c>
      <c r="B17217" t="str">
        <f t="shared" si="6244"/>
        <v>BARBARA</v>
      </c>
      <c r="C17217" t="str">
        <f t="shared" si="6245"/>
        <v>TOUTOUTE</v>
      </c>
      <c r="D17217" t="str">
        <f t="shared" si="6246"/>
        <v>09</v>
      </c>
      <c r="E17217" t="str">
        <f>"05 - S1 - B - 103 - Leslie J Barton"</f>
        <v>05 - S1 - B - 103 - Leslie J Barton</v>
      </c>
      <c r="F17217" t="str">
        <f>"FIRST AID SAFETY"</f>
        <v>FIRST AID SAFETY</v>
      </c>
      <c r="G17217" t="str">
        <f>"05-521"</f>
        <v>05-521</v>
      </c>
      <c r="H17217" t="str">
        <f>"B"</f>
        <v>B</v>
      </c>
    </row>
    <row r="17218" spans="1:8" x14ac:dyDescent="0.2">
      <c r="A17218" t="str">
        <f t="shared" si="6243"/>
        <v>0617005033</v>
      </c>
      <c r="B17218" t="str">
        <f t="shared" si="6244"/>
        <v>BARBARA</v>
      </c>
      <c r="C17218" t="str">
        <f t="shared" si="6245"/>
        <v>TOUTOUTE</v>
      </c>
      <c r="D17218" t="str">
        <f t="shared" si="6246"/>
        <v>09</v>
      </c>
      <c r="E17218" t="str">
        <f>"01 - A - 101 - Cheryl Anne  Berman-Schechter"</f>
        <v>01 - A - 101 - Cheryl Anne  Berman-Schechter</v>
      </c>
      <c r="F17218" t="str">
        <f>"PRE-AICE ENG LANG IG"</f>
        <v>PRE-AICE ENG LANG IG</v>
      </c>
      <c r="G17218" t="str">
        <f>"17-1722"</f>
        <v>17-1722</v>
      </c>
      <c r="H17218" t="str">
        <f>"A"</f>
        <v>A</v>
      </c>
    </row>
    <row r="17219" spans="1:8" x14ac:dyDescent="0.2">
      <c r="A17219" t="str">
        <f t="shared" si="6243"/>
        <v>0617005033</v>
      </c>
      <c r="B17219" t="str">
        <f t="shared" si="6244"/>
        <v>BARBARA</v>
      </c>
      <c r="C17219" t="str">
        <f t="shared" si="6245"/>
        <v>TOUTOUTE</v>
      </c>
      <c r="D17219" t="str">
        <f t="shared" si="6246"/>
        <v>09</v>
      </c>
      <c r="E17219" t="str">
        <f>"08 - B - 109 - Rory T Sponsler"</f>
        <v>08 - B - 109 - Rory T Sponsler</v>
      </c>
      <c r="F17219" t="str">
        <f>"PRE-AICE WRLD HST IG"</f>
        <v>PRE-AICE WRLD HST IG</v>
      </c>
      <c r="G17219" t="str">
        <f>"17-1740"</f>
        <v>17-1740</v>
      </c>
      <c r="H17219" t="str">
        <f>"B"</f>
        <v>B</v>
      </c>
    </row>
    <row r="17220" spans="1:8" x14ac:dyDescent="0.2">
      <c r="A17220" t="str">
        <f t="shared" ref="A17220:A17227" si="6247">"0617023696"</f>
        <v>0617023696</v>
      </c>
      <c r="B17220" t="str">
        <f t="shared" ref="B17220:B17227" si="6248">"SHERRYKA"</f>
        <v>SHERRYKA</v>
      </c>
      <c r="C17220" t="str">
        <f t="shared" si="6245"/>
        <v>TOUTOUTE</v>
      </c>
      <c r="D17220" t="str">
        <f t="shared" si="6246"/>
        <v>09</v>
      </c>
      <c r="E17220" t="str">
        <f>"04 - A - 106 - Ferrie J Arostique"</f>
        <v>04 - A - 106 - Ferrie J Arostique</v>
      </c>
      <c r="F17220" t="str">
        <f>"PRE-AICE MATH 2 IG"</f>
        <v>PRE-AICE MATH 2 IG</v>
      </c>
      <c r="G17220" t="str">
        <f>"21-2139"</f>
        <v>21-2139</v>
      </c>
      <c r="H17220" t="str">
        <f>"A"</f>
        <v>A</v>
      </c>
    </row>
    <row r="17221" spans="1:8" x14ac:dyDescent="0.2">
      <c r="A17221" t="str">
        <f t="shared" si="6247"/>
        <v>0617023696</v>
      </c>
      <c r="B17221" t="str">
        <f t="shared" si="6248"/>
        <v>SHERRYKA</v>
      </c>
      <c r="C17221" t="str">
        <f t="shared" si="6245"/>
        <v>TOUTOUTE</v>
      </c>
      <c r="D17221" t="str">
        <f t="shared" si="6246"/>
        <v>09</v>
      </c>
      <c r="E17221" t="str">
        <f>"06 - B - 104 - Rory T Sponsler"</f>
        <v>06 - B - 104 - Rory T Sponsler</v>
      </c>
      <c r="F17221" t="str">
        <f>"PRE-AICE WRLD HST IG"</f>
        <v>PRE-AICE WRLD HST IG</v>
      </c>
      <c r="G17221" t="str">
        <f>"17-1740"</f>
        <v>17-1740</v>
      </c>
      <c r="H17221" t="str">
        <f>"B"</f>
        <v>B</v>
      </c>
    </row>
    <row r="17222" spans="1:8" x14ac:dyDescent="0.2">
      <c r="A17222" t="str">
        <f t="shared" si="6247"/>
        <v>0617023696</v>
      </c>
      <c r="B17222" t="str">
        <f t="shared" si="6248"/>
        <v>SHERRYKA</v>
      </c>
      <c r="C17222" t="str">
        <f t="shared" si="6245"/>
        <v>TOUTOUTE</v>
      </c>
      <c r="D17222" t="str">
        <f t="shared" si="6246"/>
        <v>09</v>
      </c>
      <c r="E17222" t="str">
        <f>"03 - A - 103 - Marius D Orsolini"</f>
        <v>03 - A - 103 - Marius D Orsolini</v>
      </c>
      <c r="F17222" t="str">
        <f>"CULINARY ARTS 1"</f>
        <v>CULINARY ARTS 1</v>
      </c>
      <c r="G17222" t="str">
        <f>"21-2115"</f>
        <v>21-2115</v>
      </c>
      <c r="H17222" t="str">
        <f>"A"</f>
        <v>A</v>
      </c>
    </row>
    <row r="17223" spans="1:8" x14ac:dyDescent="0.2">
      <c r="A17223" t="str">
        <f t="shared" si="6247"/>
        <v>0617023696</v>
      </c>
      <c r="B17223" t="str">
        <f t="shared" si="6248"/>
        <v>SHERRYKA</v>
      </c>
      <c r="C17223" t="str">
        <f t="shared" si="6245"/>
        <v>TOUTOUTE</v>
      </c>
      <c r="D17223" t="str">
        <f t="shared" si="6246"/>
        <v>09</v>
      </c>
      <c r="E17223" t="str">
        <f>"02 - A - 102 - Samantha J Headley"</f>
        <v>02 - A - 102 - Samantha J Headley</v>
      </c>
      <c r="F17223" t="str">
        <f>"NC STUDY HALL 1"</f>
        <v>NC STUDY HALL 1</v>
      </c>
      <c r="G17223" t="str">
        <f>"21-2134"</f>
        <v>21-2134</v>
      </c>
      <c r="H17223" t="str">
        <f>"A"</f>
        <v>A</v>
      </c>
    </row>
    <row r="17224" spans="1:8" x14ac:dyDescent="0.2">
      <c r="A17224" t="str">
        <f t="shared" si="6247"/>
        <v>0617023696</v>
      </c>
      <c r="B17224" t="str">
        <f t="shared" si="6248"/>
        <v>SHERRYKA</v>
      </c>
      <c r="C17224" t="str">
        <f t="shared" si="6245"/>
        <v>TOUTOUTE</v>
      </c>
      <c r="D17224" t="str">
        <f t="shared" si="6246"/>
        <v>09</v>
      </c>
      <c r="E17224" t="str">
        <f>"07 - B - 105 - Josiah I Lacy"</f>
        <v>07 - B - 105 - Josiah I Lacy</v>
      </c>
      <c r="F17224" t="str">
        <f>"ANAT PHYSIO HON"</f>
        <v>ANAT PHYSIO HON</v>
      </c>
      <c r="G17224" t="str">
        <f>"08-801"</f>
        <v>08-801</v>
      </c>
      <c r="H17224" t="str">
        <f>"B"</f>
        <v>B</v>
      </c>
    </row>
    <row r="17225" spans="1:8" x14ac:dyDescent="0.2">
      <c r="A17225" t="str">
        <f t="shared" si="6247"/>
        <v>0617023696</v>
      </c>
      <c r="B17225" t="str">
        <f t="shared" si="6248"/>
        <v>SHERRYKA</v>
      </c>
      <c r="C17225" t="str">
        <f t="shared" si="6245"/>
        <v>TOUTOUTE</v>
      </c>
      <c r="D17225" t="str">
        <f t="shared" si="6246"/>
        <v>09</v>
      </c>
      <c r="E17225" t="str">
        <f>"05 - B - 204 - Elizabeth R Walker"</f>
        <v>05 - B - 204 - Elizabeth R Walker</v>
      </c>
      <c r="F17225" t="str">
        <f>"AICE ENG GEN PAPER 1"</f>
        <v>AICE ENG GEN PAPER 1</v>
      </c>
      <c r="G17225" t="str">
        <f>"17-1703"</f>
        <v>17-1703</v>
      </c>
      <c r="H17225" t="str">
        <f>"B"</f>
        <v>B</v>
      </c>
    </row>
    <row r="17226" spans="1:8" x14ac:dyDescent="0.2">
      <c r="A17226" t="str">
        <f t="shared" si="6247"/>
        <v>0617023696</v>
      </c>
      <c r="B17226" t="str">
        <f t="shared" si="6248"/>
        <v>SHERRYKA</v>
      </c>
      <c r="C17226" t="str">
        <f t="shared" si="6245"/>
        <v>TOUTOUTE</v>
      </c>
      <c r="D17226" t="str">
        <f t="shared" si="6246"/>
        <v>09</v>
      </c>
      <c r="E17226" t="str">
        <f>"01 - S1 - A - 101 - Leslie J Barton"</f>
        <v>01 - S1 - A - 101 - Leslie J Barton</v>
      </c>
      <c r="F17226" t="str">
        <f>"FIRST AID SAFETY"</f>
        <v>FIRST AID SAFETY</v>
      </c>
      <c r="G17226" t="str">
        <f>"05-521"</f>
        <v>05-521</v>
      </c>
      <c r="H17226" t="str">
        <f>"A"</f>
        <v>A</v>
      </c>
    </row>
    <row r="17227" spans="1:8" x14ac:dyDescent="0.2">
      <c r="A17227" t="str">
        <f t="shared" si="6247"/>
        <v>0617023696</v>
      </c>
      <c r="B17227" t="str">
        <f t="shared" si="6248"/>
        <v>SHERRYKA</v>
      </c>
      <c r="C17227" t="str">
        <f t="shared" si="6245"/>
        <v>TOUTOUTE</v>
      </c>
      <c r="D17227" t="str">
        <f t="shared" si="6246"/>
        <v>09</v>
      </c>
      <c r="E17227" t="str">
        <f>"08 - S1 - B - 105 - Richard E Dunbar Iii"</f>
        <v>08 - S1 - B - 105 - Richard E Dunbar Iii</v>
      </c>
      <c r="F17227" t="str">
        <f>"WEIGHT TRAIN 1"</f>
        <v>WEIGHT TRAIN 1</v>
      </c>
      <c r="G17227" t="str">
        <f>"05-501"</f>
        <v>05-501</v>
      </c>
      <c r="H17227" t="str">
        <f>"B"</f>
        <v>B</v>
      </c>
    </row>
    <row r="17228" spans="1:8" x14ac:dyDescent="0.2">
      <c r="A17228" t="str">
        <f t="shared" ref="A17228:A17235" si="6249">"0620107146"</f>
        <v>0620107146</v>
      </c>
      <c r="B17228" t="str">
        <f t="shared" ref="B17228:B17235" si="6250">"NAM-ANH"</f>
        <v>NAM-ANH</v>
      </c>
      <c r="C17228" t="str">
        <f t="shared" ref="C17228:C17235" si="6251">"TRAN"</f>
        <v>TRAN</v>
      </c>
      <c r="D17228" t="str">
        <f t="shared" si="6246"/>
        <v>09</v>
      </c>
      <c r="E17228" t="str">
        <f>"04 - A - 102 - Josiah I Lacy"</f>
        <v>04 - A - 102 - Josiah I Lacy</v>
      </c>
      <c r="F17228" t="str">
        <f>"PRE-AICE BIO IG"</f>
        <v>PRE-AICE BIO IG</v>
      </c>
      <c r="G17228" t="str">
        <f>"08-801"</f>
        <v>08-801</v>
      </c>
      <c r="H17228" t="str">
        <f>"A"</f>
        <v>A</v>
      </c>
    </row>
    <row r="17229" spans="1:8" x14ac:dyDescent="0.2">
      <c r="A17229" t="str">
        <f t="shared" si="6249"/>
        <v>0620107146</v>
      </c>
      <c r="B17229" t="str">
        <f t="shared" si="6250"/>
        <v>NAM-ANH</v>
      </c>
      <c r="C17229" t="str">
        <f t="shared" si="6251"/>
        <v>TRAN</v>
      </c>
      <c r="D17229" t="str">
        <f t="shared" si="6246"/>
        <v>09</v>
      </c>
      <c r="E17229" t="str">
        <f>"06 - B - 202 - Samantha L Martinez"</f>
        <v>06 - B - 202 - Samantha L Martinez</v>
      </c>
      <c r="F17229" t="str">
        <f>"GUITAR 1"</f>
        <v>GUITAR 1</v>
      </c>
      <c r="G17229" t="str">
        <f>"05-505"</f>
        <v>05-505</v>
      </c>
      <c r="H17229" t="str">
        <f>"B"</f>
        <v>B</v>
      </c>
    </row>
    <row r="17230" spans="1:8" x14ac:dyDescent="0.2">
      <c r="A17230" t="str">
        <f t="shared" si="6249"/>
        <v>0620107146</v>
      </c>
      <c r="B17230" t="str">
        <f t="shared" si="6250"/>
        <v>NAM-ANH</v>
      </c>
      <c r="C17230" t="str">
        <f t="shared" si="6251"/>
        <v>TRAN</v>
      </c>
      <c r="D17230" t="str">
        <f t="shared" si="6246"/>
        <v>09</v>
      </c>
      <c r="E17230" t="str">
        <f>"03 - A - 102 - Rory T Sponsler"</f>
        <v>03 - A - 102 - Rory T Sponsler</v>
      </c>
      <c r="F17230" t="str">
        <f>"PRE-AICE WRLD HST IG"</f>
        <v>PRE-AICE WRLD HST IG</v>
      </c>
      <c r="G17230" t="str">
        <f>"17-1740"</f>
        <v>17-1740</v>
      </c>
      <c r="H17230" t="str">
        <f>"A"</f>
        <v>A</v>
      </c>
    </row>
    <row r="17231" spans="1:8" x14ac:dyDescent="0.2">
      <c r="A17231" t="str">
        <f t="shared" si="6249"/>
        <v>0620107146</v>
      </c>
      <c r="B17231" t="str">
        <f t="shared" si="6250"/>
        <v>NAM-ANH</v>
      </c>
      <c r="C17231" t="str">
        <f t="shared" si="6251"/>
        <v>TRAN</v>
      </c>
      <c r="D17231" t="str">
        <f t="shared" si="6246"/>
        <v>09</v>
      </c>
      <c r="E17231" t="str">
        <f>"02 - A - 102 - Samantha J Headley"</f>
        <v>02 - A - 102 - Samantha J Headley</v>
      </c>
      <c r="F17231" t="str">
        <f>"NC STUDY HALL 1"</f>
        <v>NC STUDY HALL 1</v>
      </c>
      <c r="G17231" t="str">
        <f>"21-2134"</f>
        <v>21-2134</v>
      </c>
      <c r="H17231" t="str">
        <f>"A"</f>
        <v>A</v>
      </c>
    </row>
    <row r="17232" spans="1:8" x14ac:dyDescent="0.2">
      <c r="A17232" t="str">
        <f t="shared" si="6249"/>
        <v>0620107146</v>
      </c>
      <c r="B17232" t="str">
        <f t="shared" si="6250"/>
        <v>NAM-ANH</v>
      </c>
      <c r="C17232" t="str">
        <f t="shared" si="6251"/>
        <v>TRAN</v>
      </c>
      <c r="D17232" t="str">
        <f t="shared" si="6246"/>
        <v>09</v>
      </c>
      <c r="E17232" t="str">
        <f>"07 - B - 107 - Brook E Goren"</f>
        <v>07 - B - 107 - Brook E Goren</v>
      </c>
      <c r="F17232" t="str">
        <f>"PRE-AICE MATH 2 IG"</f>
        <v>PRE-AICE MATH 2 IG</v>
      </c>
      <c r="G17232" t="str">
        <f>"21-2158"</f>
        <v>21-2158</v>
      </c>
      <c r="H17232" t="str">
        <f>"B"</f>
        <v>B</v>
      </c>
    </row>
    <row r="17233" spans="1:8" x14ac:dyDescent="0.2">
      <c r="A17233" t="str">
        <f t="shared" si="6249"/>
        <v>0620107146</v>
      </c>
      <c r="B17233" t="str">
        <f t="shared" si="6250"/>
        <v>NAM-ANH</v>
      </c>
      <c r="C17233" t="str">
        <f t="shared" si="6251"/>
        <v>TRAN</v>
      </c>
      <c r="D17233" t="str">
        <f t="shared" si="6246"/>
        <v>09</v>
      </c>
      <c r="E17233" t="str">
        <f>"05 - B - 101 - Brian M Fitzgerald"</f>
        <v>05 - B - 101 - Brian M Fitzgerald</v>
      </c>
      <c r="F17233" t="str">
        <f>"PAINT 1"</f>
        <v>PAINT 1</v>
      </c>
      <c r="G17233" t="str">
        <f>"09-908"</f>
        <v>09-908</v>
      </c>
      <c r="H17233" t="str">
        <f>"B"</f>
        <v>B</v>
      </c>
    </row>
    <row r="17234" spans="1:8" x14ac:dyDescent="0.2">
      <c r="A17234" t="str">
        <f t="shared" si="6249"/>
        <v>0620107146</v>
      </c>
      <c r="B17234" t="str">
        <f t="shared" si="6250"/>
        <v>NAM-ANH</v>
      </c>
      <c r="C17234" t="str">
        <f t="shared" si="6251"/>
        <v>TRAN</v>
      </c>
      <c r="D17234" t="str">
        <f t="shared" si="6246"/>
        <v>09</v>
      </c>
      <c r="E17234" t="str">
        <f>"01 - A - 101 - Elizabeth R Walker"</f>
        <v>01 - A - 101 - Elizabeth R Walker</v>
      </c>
      <c r="F17234" t="str">
        <f>"AICE ENG GEN PAPER 1"</f>
        <v>AICE ENG GEN PAPER 1</v>
      </c>
      <c r="G17234" t="str">
        <f>"17-1703"</f>
        <v>17-1703</v>
      </c>
      <c r="H17234" t="str">
        <f>"A"</f>
        <v>A</v>
      </c>
    </row>
    <row r="17235" spans="1:8" x14ac:dyDescent="0.2">
      <c r="A17235" t="str">
        <f t="shared" si="6249"/>
        <v>0620107146</v>
      </c>
      <c r="B17235" t="str">
        <f t="shared" si="6250"/>
        <v>NAM-ANH</v>
      </c>
      <c r="C17235" t="str">
        <f t="shared" si="6251"/>
        <v>TRAN</v>
      </c>
      <c r="D17235" t="str">
        <f t="shared" si="6246"/>
        <v>09</v>
      </c>
      <c r="E17235" t="str">
        <f>"08 - B - 108 - Adam Marcus  Drucker"</f>
        <v>08 - B - 108 - Adam Marcus  Drucker</v>
      </c>
      <c r="F17235" t="str">
        <f>"HOPE-PE V"</f>
        <v>HOPE-PE V</v>
      </c>
      <c r="G17235" t="str">
        <f>"04-254"</f>
        <v>04-254</v>
      </c>
      <c r="H17235" t="str">
        <f>"B"</f>
        <v>B</v>
      </c>
    </row>
    <row r="17236" spans="1:8" x14ac:dyDescent="0.2">
      <c r="A17236" t="str">
        <f t="shared" ref="A17236:A17244" si="6252">"0609116444"</f>
        <v>0609116444</v>
      </c>
      <c r="B17236" t="str">
        <f t="shared" ref="B17236:B17244" si="6253">"MARIO"</f>
        <v>MARIO</v>
      </c>
      <c r="C17236" t="str">
        <f t="shared" ref="C17236:C17244" si="6254">"TRANA"</f>
        <v>TRANA</v>
      </c>
      <c r="D17236">
        <f>12</f>
        <v>12</v>
      </c>
      <c r="E17236" t="str">
        <f>"04 - A - 102 - Tiffany L Colon"</f>
        <v>04 - A - 102 - Tiffany L Colon</v>
      </c>
      <c r="F17236" t="str">
        <f>"U SKLS: SOC&amp;EMO 9-12"</f>
        <v>U SKLS: SOC&amp;EMO 9-12</v>
      </c>
      <c r="G17236">
        <f>2044</f>
        <v>2044</v>
      </c>
      <c r="H17236" t="str">
        <f>"A"</f>
        <v>A</v>
      </c>
    </row>
    <row r="17237" spans="1:8" x14ac:dyDescent="0.2">
      <c r="A17237" t="str">
        <f t="shared" si="6252"/>
        <v>0609116444</v>
      </c>
      <c r="B17237" t="str">
        <f t="shared" si="6253"/>
        <v>MARIO</v>
      </c>
      <c r="C17237" t="str">
        <f t="shared" si="6254"/>
        <v>TRANA</v>
      </c>
      <c r="D17237">
        <f>12</f>
        <v>12</v>
      </c>
      <c r="E17237" t="str">
        <f>"04 - A - 114 - Karen A Toomer"</f>
        <v>04 - A - 114 - Karen A Toomer</v>
      </c>
      <c r="F17237" t="str">
        <f>"LANG THERAPY"</f>
        <v>LANG THERAPY</v>
      </c>
      <c r="G17237" t="str">
        <f>"21-2110"</f>
        <v>21-2110</v>
      </c>
      <c r="H17237" t="str">
        <f>"A"</f>
        <v>A</v>
      </c>
    </row>
    <row r="17238" spans="1:8" x14ac:dyDescent="0.2">
      <c r="A17238" t="str">
        <f t="shared" si="6252"/>
        <v>0609116444</v>
      </c>
      <c r="B17238" t="str">
        <f t="shared" si="6253"/>
        <v>MARIO</v>
      </c>
      <c r="C17238" t="str">
        <f t="shared" si="6254"/>
        <v>TRANA</v>
      </c>
      <c r="D17238">
        <f>12</f>
        <v>12</v>
      </c>
      <c r="E17238" t="str">
        <f>"06 - B - 101 - Tiffany L Colon"</f>
        <v>06 - B - 101 - Tiffany L Colon</v>
      </c>
      <c r="F17238" t="str">
        <f>"CAR EXERIENCES: 9-12"</f>
        <v>CAR EXERIENCES: 9-12</v>
      </c>
      <c r="G17238">
        <f>2044</f>
        <v>2044</v>
      </c>
      <c r="H17238" t="str">
        <f>"B"</f>
        <v>B</v>
      </c>
    </row>
    <row r="17239" spans="1:8" x14ac:dyDescent="0.2">
      <c r="A17239" t="str">
        <f t="shared" si="6252"/>
        <v>0609116444</v>
      </c>
      <c r="B17239" t="str">
        <f t="shared" si="6253"/>
        <v>MARIO</v>
      </c>
      <c r="C17239" t="str">
        <f t="shared" si="6254"/>
        <v>TRANA</v>
      </c>
      <c r="D17239">
        <f>12</f>
        <v>12</v>
      </c>
      <c r="E17239" t="str">
        <f>"03 - A - 101 - Tiffany L Colon"</f>
        <v>03 - A - 101 - Tiffany L Colon</v>
      </c>
      <c r="F17239" t="str">
        <f>"SELF-DETERMINATION"</f>
        <v>SELF-DETERMINATION</v>
      </c>
      <c r="G17239">
        <f>2044</f>
        <v>2044</v>
      </c>
      <c r="H17239" t="str">
        <f>"A"</f>
        <v>A</v>
      </c>
    </row>
    <row r="17240" spans="1:8" x14ac:dyDescent="0.2">
      <c r="A17240" t="str">
        <f t="shared" si="6252"/>
        <v>0609116444</v>
      </c>
      <c r="B17240" t="str">
        <f t="shared" si="6253"/>
        <v>MARIO</v>
      </c>
      <c r="C17240" t="str">
        <f t="shared" si="6254"/>
        <v>TRANA</v>
      </c>
      <c r="D17240">
        <f>12</f>
        <v>12</v>
      </c>
      <c r="E17240" t="str">
        <f>"02 - A - 102 - Tiffany L Colon"</f>
        <v>02 - A - 102 - Tiffany L Colon</v>
      </c>
      <c r="F17240" t="str">
        <f>"CAREER ED: 9-12"</f>
        <v>CAREER ED: 9-12</v>
      </c>
      <c r="G17240">
        <f>2044</f>
        <v>2044</v>
      </c>
      <c r="H17240" t="str">
        <f>"A"</f>
        <v>A</v>
      </c>
    </row>
    <row r="17241" spans="1:8" x14ac:dyDescent="0.2">
      <c r="A17241" t="str">
        <f t="shared" si="6252"/>
        <v>0609116444</v>
      </c>
      <c r="B17241" t="str">
        <f t="shared" si="6253"/>
        <v>MARIO</v>
      </c>
      <c r="C17241" t="str">
        <f t="shared" si="6254"/>
        <v>TRANA</v>
      </c>
      <c r="D17241">
        <f>12</f>
        <v>12</v>
      </c>
      <c r="E17241" t="str">
        <f>"07 - B - 101 - Tiffany L Colon"</f>
        <v>07 - B - 101 - Tiffany L Colon</v>
      </c>
      <c r="F17241" t="str">
        <f>"CAR PLACEMENT: 9-12"</f>
        <v>CAR PLACEMENT: 9-12</v>
      </c>
      <c r="G17241">
        <f>2044</f>
        <v>2044</v>
      </c>
      <c r="H17241" t="str">
        <f>"B"</f>
        <v>B</v>
      </c>
    </row>
    <row r="17242" spans="1:8" x14ac:dyDescent="0.2">
      <c r="A17242" t="str">
        <f t="shared" si="6252"/>
        <v>0609116444</v>
      </c>
      <c r="B17242" t="str">
        <f t="shared" si="6253"/>
        <v>MARIO</v>
      </c>
      <c r="C17242" t="str">
        <f t="shared" si="6254"/>
        <v>TRANA</v>
      </c>
      <c r="D17242">
        <f>12</f>
        <v>12</v>
      </c>
      <c r="E17242" t="str">
        <f>"05 - B - 102 - Tiffany L Colon"</f>
        <v>05 - B - 102 - Tiffany L Colon</v>
      </c>
      <c r="F17242" t="str">
        <f>"U SKLS: 9-12"</f>
        <v>U SKLS: 9-12</v>
      </c>
      <c r="G17242">
        <f>2044</f>
        <v>2044</v>
      </c>
      <c r="H17242" t="str">
        <f>"B"</f>
        <v>B</v>
      </c>
    </row>
    <row r="17243" spans="1:8" x14ac:dyDescent="0.2">
      <c r="A17243" t="str">
        <f t="shared" si="6252"/>
        <v>0609116444</v>
      </c>
      <c r="B17243" t="str">
        <f t="shared" si="6253"/>
        <v>MARIO</v>
      </c>
      <c r="C17243" t="str">
        <f t="shared" si="6254"/>
        <v>TRANA</v>
      </c>
      <c r="D17243">
        <f>12</f>
        <v>12</v>
      </c>
      <c r="E17243" t="str">
        <f>"01 - A - 101 - Tiffany L Colon"</f>
        <v>01 - A - 101 - Tiffany L Colon</v>
      </c>
      <c r="F17243" t="str">
        <f>"PREP AD LIV"</f>
        <v>PREP AD LIV</v>
      </c>
      <c r="G17243">
        <f>2044</f>
        <v>2044</v>
      </c>
      <c r="H17243" t="str">
        <f>"A"</f>
        <v>A</v>
      </c>
    </row>
    <row r="17244" spans="1:8" x14ac:dyDescent="0.2">
      <c r="A17244" t="str">
        <f t="shared" si="6252"/>
        <v>0609116444</v>
      </c>
      <c r="B17244" t="str">
        <f t="shared" si="6253"/>
        <v>MARIO</v>
      </c>
      <c r="C17244" t="str">
        <f t="shared" si="6254"/>
        <v>TRANA</v>
      </c>
      <c r="D17244">
        <f>12</f>
        <v>12</v>
      </c>
      <c r="E17244" t="str">
        <f>"08 - B - 101 - Gail S Markowitz"</f>
        <v>08 - B - 101 - Gail S Markowitz</v>
      </c>
      <c r="F17244" t="str">
        <f>"U SKLS: SOC&amp;EMO 9-12"</f>
        <v>U SKLS: SOC&amp;EMO 9-12</v>
      </c>
      <c r="G17244">
        <f>1730</f>
        <v>1730</v>
      </c>
      <c r="H17244" t="str">
        <f>"B"</f>
        <v>B</v>
      </c>
    </row>
    <row r="17245" spans="1:8" x14ac:dyDescent="0.2">
      <c r="A17245" t="str">
        <f t="shared" ref="A17245:A17252" si="6255">"0613038610"</f>
        <v>0613038610</v>
      </c>
      <c r="B17245" t="str">
        <f t="shared" ref="B17245:B17252" si="6256">"ALESHA"</f>
        <v>ALESHA</v>
      </c>
      <c r="C17245" t="str">
        <f t="shared" ref="C17245:C17252" si="6257">"TREASURE"</f>
        <v>TREASURE</v>
      </c>
      <c r="D17245">
        <f>12</f>
        <v>12</v>
      </c>
      <c r="E17245" t="str">
        <f>"04 - A - 102 - Jordana K Hass"</f>
        <v>04 - A - 102 - Jordana K Hass</v>
      </c>
      <c r="F17245" t="str">
        <f>"CHEMISTRY 1"</f>
        <v>CHEMISTRY 1</v>
      </c>
      <c r="G17245" t="str">
        <f>"08-807"</f>
        <v>08-807</v>
      </c>
      <c r="H17245" t="str">
        <f>"A"</f>
        <v>A</v>
      </c>
    </row>
    <row r="17246" spans="1:8" x14ac:dyDescent="0.2">
      <c r="A17246" t="str">
        <f t="shared" si="6255"/>
        <v>0613038610</v>
      </c>
      <c r="B17246" t="str">
        <f t="shared" si="6256"/>
        <v>ALESHA</v>
      </c>
      <c r="C17246" t="str">
        <f t="shared" si="6257"/>
        <v>TREASURE</v>
      </c>
      <c r="D17246">
        <f>12</f>
        <v>12</v>
      </c>
      <c r="E17246" t="str">
        <f>"06 - B - 113 - Marielle A Witting"</f>
        <v>06 - B - 113 - Marielle A Witting</v>
      </c>
      <c r="F17246" t="str">
        <f>"NC STUDY HALL 1"</f>
        <v>NC STUDY HALL 1</v>
      </c>
      <c r="G17246" t="str">
        <f>"08-805"</f>
        <v>08-805</v>
      </c>
      <c r="H17246" t="str">
        <f>"B"</f>
        <v>B</v>
      </c>
    </row>
    <row r="17247" spans="1:8" x14ac:dyDescent="0.2">
      <c r="A17247" t="str">
        <f t="shared" si="6255"/>
        <v>0613038610</v>
      </c>
      <c r="B17247" t="str">
        <f t="shared" si="6256"/>
        <v>ALESHA</v>
      </c>
      <c r="C17247" t="str">
        <f t="shared" si="6257"/>
        <v>TREASURE</v>
      </c>
      <c r="D17247">
        <f>12</f>
        <v>12</v>
      </c>
      <c r="E17247" t="str">
        <f>"03 - A - 101 - Brian M Fitzgerald"</f>
        <v>03 - A - 101 - Brian M Fitzgerald</v>
      </c>
      <c r="F17247" t="str">
        <f>"SCULPT 1"</f>
        <v>SCULPT 1</v>
      </c>
      <c r="G17247" t="str">
        <f>"09-908"</f>
        <v>09-908</v>
      </c>
      <c r="H17247" t="str">
        <f>"A"</f>
        <v>A</v>
      </c>
    </row>
    <row r="17248" spans="1:8" x14ac:dyDescent="0.2">
      <c r="A17248" t="str">
        <f t="shared" si="6255"/>
        <v>0613038610</v>
      </c>
      <c r="B17248" t="str">
        <f t="shared" si="6256"/>
        <v>ALESHA</v>
      </c>
      <c r="C17248" t="str">
        <f t="shared" si="6257"/>
        <v>TREASURE</v>
      </c>
      <c r="D17248">
        <f>12</f>
        <v>12</v>
      </c>
      <c r="E17248" t="str">
        <f>"02 - A - 102 - Jeffrey S Gallagher"</f>
        <v>02 - A - 102 - Jeffrey S Gallagher</v>
      </c>
      <c r="F17248" t="str">
        <f>"ENG HON 4"</f>
        <v>ENG HON 4</v>
      </c>
      <c r="G17248" t="str">
        <f>"17-1724"</f>
        <v>17-1724</v>
      </c>
      <c r="H17248" t="str">
        <f>"A"</f>
        <v>A</v>
      </c>
    </row>
    <row r="17249" spans="1:8" x14ac:dyDescent="0.2">
      <c r="A17249" t="str">
        <f t="shared" si="6255"/>
        <v>0613038610</v>
      </c>
      <c r="B17249" t="str">
        <f t="shared" si="6256"/>
        <v>ALESHA</v>
      </c>
      <c r="C17249" t="str">
        <f t="shared" si="6257"/>
        <v>TREASURE</v>
      </c>
      <c r="D17249">
        <f>12</f>
        <v>12</v>
      </c>
      <c r="E17249" t="str">
        <f>"07 - B - 102 - Thomas G Handwerg"</f>
        <v>07 - B - 102 - Thomas G Handwerg</v>
      </c>
      <c r="F17249" t="str">
        <f>"PROB STAT W/APPS HON"</f>
        <v>PROB STAT W/APPS HON</v>
      </c>
      <c r="G17249" t="str">
        <f>"21-2146"</f>
        <v>21-2146</v>
      </c>
      <c r="H17249" t="str">
        <f>"B"</f>
        <v>B</v>
      </c>
    </row>
    <row r="17250" spans="1:8" x14ac:dyDescent="0.2">
      <c r="A17250" t="str">
        <f t="shared" si="6255"/>
        <v>0613038610</v>
      </c>
      <c r="B17250" t="str">
        <f t="shared" si="6256"/>
        <v>ALESHA</v>
      </c>
      <c r="C17250" t="str">
        <f t="shared" si="6257"/>
        <v>TREASURE</v>
      </c>
      <c r="D17250">
        <f>12</f>
        <v>12</v>
      </c>
      <c r="E17250" t="str">
        <f>"05 - S1 - B - 102 - Barbara L Segal"</f>
        <v>05 - S1 - B - 102 - Barbara L Segal</v>
      </c>
      <c r="F17250" t="str">
        <f>"US GOVT HON"</f>
        <v>US GOVT HON</v>
      </c>
      <c r="G17250" t="str">
        <f>"17-1742"</f>
        <v>17-1742</v>
      </c>
      <c r="H17250" t="str">
        <f>"B"</f>
        <v>B</v>
      </c>
    </row>
    <row r="17251" spans="1:8" x14ac:dyDescent="0.2">
      <c r="A17251" t="str">
        <f t="shared" si="6255"/>
        <v>0613038610</v>
      </c>
      <c r="B17251" t="str">
        <f t="shared" si="6256"/>
        <v>ALESHA</v>
      </c>
      <c r="C17251" t="str">
        <f t="shared" si="6257"/>
        <v>TREASURE</v>
      </c>
      <c r="D17251">
        <f>12</f>
        <v>12</v>
      </c>
      <c r="E17251" t="str">
        <f>"01 - A - 101 - Kelly N Panza"</f>
        <v>01 - A - 101 - Kelly N Panza</v>
      </c>
      <c r="F17251" t="str">
        <f>"AP HUMAN GEOG"</f>
        <v>AP HUMAN GEOG</v>
      </c>
      <c r="G17251" t="str">
        <f>"17-1753"</f>
        <v>17-1753</v>
      </c>
      <c r="H17251" t="str">
        <f>"A"</f>
        <v>A</v>
      </c>
    </row>
    <row r="17252" spans="1:8" x14ac:dyDescent="0.2">
      <c r="A17252" t="str">
        <f t="shared" si="6255"/>
        <v>0613038610</v>
      </c>
      <c r="B17252" t="str">
        <f t="shared" si="6256"/>
        <v>ALESHA</v>
      </c>
      <c r="C17252" t="str">
        <f t="shared" si="6257"/>
        <v>TREASURE</v>
      </c>
      <c r="D17252">
        <f>12</f>
        <v>12</v>
      </c>
      <c r="E17252" t="str">
        <f>"08 - B - 101 - Eva T Rimmer"</f>
        <v>08 - B - 101 - Eva T Rimmer</v>
      </c>
      <c r="F17252" t="str">
        <f>"CRIM JUST OPS 3 HON"</f>
        <v>CRIM JUST OPS 3 HON</v>
      </c>
      <c r="G17252" t="str">
        <f>"05-523"</f>
        <v>05-523</v>
      </c>
      <c r="H17252" t="str">
        <f>"B"</f>
        <v>B</v>
      </c>
    </row>
    <row r="17253" spans="1:8" x14ac:dyDescent="0.2">
      <c r="A17253" t="str">
        <f t="shared" ref="A17253:A17261" si="6258">"0610042650"</f>
        <v>0610042650</v>
      </c>
      <c r="B17253" t="str">
        <f t="shared" ref="B17253:B17261" si="6259">"DEMETRIUS"</f>
        <v>DEMETRIUS</v>
      </c>
      <c r="C17253" t="str">
        <f t="shared" ref="C17253:C17261" si="6260">"TUCKER"</f>
        <v>TUCKER</v>
      </c>
      <c r="D17253">
        <f>12</f>
        <v>12</v>
      </c>
      <c r="E17253" t="str">
        <f>"04 - A - 102 - Tiffany L Colon"</f>
        <v>04 - A - 102 - Tiffany L Colon</v>
      </c>
      <c r="F17253" t="str">
        <f>"U SKLS: SOC&amp;EMO 9-12"</f>
        <v>U SKLS: SOC&amp;EMO 9-12</v>
      </c>
      <c r="G17253">
        <f>2044</f>
        <v>2044</v>
      </c>
      <c r="H17253" t="str">
        <f>"A"</f>
        <v>A</v>
      </c>
    </row>
    <row r="17254" spans="1:8" x14ac:dyDescent="0.2">
      <c r="A17254" t="str">
        <f t="shared" si="6258"/>
        <v>0610042650</v>
      </c>
      <c r="B17254" t="str">
        <f t="shared" si="6259"/>
        <v>DEMETRIUS</v>
      </c>
      <c r="C17254" t="str">
        <f t="shared" si="6260"/>
        <v>TUCKER</v>
      </c>
      <c r="D17254">
        <f>12</f>
        <v>12</v>
      </c>
      <c r="E17254" t="str">
        <f>"04 - A - 114 - Karen A Toomer"</f>
        <v>04 - A - 114 - Karen A Toomer</v>
      </c>
      <c r="F17254" t="str">
        <f>"LANG THERAPY"</f>
        <v>LANG THERAPY</v>
      </c>
      <c r="G17254" t="str">
        <f>"21-2110"</f>
        <v>21-2110</v>
      </c>
      <c r="H17254" t="str">
        <f>"A"</f>
        <v>A</v>
      </c>
    </row>
    <row r="17255" spans="1:8" x14ac:dyDescent="0.2">
      <c r="A17255" t="str">
        <f t="shared" si="6258"/>
        <v>0610042650</v>
      </c>
      <c r="B17255" t="str">
        <f t="shared" si="6259"/>
        <v>DEMETRIUS</v>
      </c>
      <c r="C17255" t="str">
        <f t="shared" si="6260"/>
        <v>TUCKER</v>
      </c>
      <c r="D17255">
        <f>12</f>
        <v>12</v>
      </c>
      <c r="E17255" t="str">
        <f>"06 - B - 101 - Gail S Markowitz"</f>
        <v>06 - B - 101 - Gail S Markowitz</v>
      </c>
      <c r="F17255" t="str">
        <f>"CAR EXERIENCES: 9-12"</f>
        <v>CAR EXERIENCES: 9-12</v>
      </c>
      <c r="G17255">
        <f>1730</f>
        <v>1730</v>
      </c>
      <c r="H17255" t="str">
        <f>"B"</f>
        <v>B</v>
      </c>
    </row>
    <row r="17256" spans="1:8" x14ac:dyDescent="0.2">
      <c r="A17256" t="str">
        <f t="shared" si="6258"/>
        <v>0610042650</v>
      </c>
      <c r="B17256" t="str">
        <f t="shared" si="6259"/>
        <v>DEMETRIUS</v>
      </c>
      <c r="C17256" t="str">
        <f t="shared" si="6260"/>
        <v>TUCKER</v>
      </c>
      <c r="D17256">
        <f>12</f>
        <v>12</v>
      </c>
      <c r="E17256" t="str">
        <f>"03 - A - 101 - Gail S Markowitz"</f>
        <v>03 - A - 101 - Gail S Markowitz</v>
      </c>
      <c r="F17256" t="str">
        <f>"SELF-DETERMINATION"</f>
        <v>SELF-DETERMINATION</v>
      </c>
      <c r="G17256">
        <f>1730</f>
        <v>1730</v>
      </c>
      <c r="H17256" t="str">
        <f>"A"</f>
        <v>A</v>
      </c>
    </row>
    <row r="17257" spans="1:8" x14ac:dyDescent="0.2">
      <c r="A17257" t="str">
        <f t="shared" si="6258"/>
        <v>0610042650</v>
      </c>
      <c r="B17257" t="str">
        <f t="shared" si="6259"/>
        <v>DEMETRIUS</v>
      </c>
      <c r="C17257" t="str">
        <f t="shared" si="6260"/>
        <v>TUCKER</v>
      </c>
      <c r="D17257">
        <f>12</f>
        <v>12</v>
      </c>
      <c r="E17257" t="str">
        <f>"02 - A - 101 - Gail S Markowitz"</f>
        <v>02 - A - 101 - Gail S Markowitz</v>
      </c>
      <c r="F17257" t="str">
        <f>"CAREER ED: 9-12"</f>
        <v>CAREER ED: 9-12</v>
      </c>
      <c r="G17257">
        <f>1730</f>
        <v>1730</v>
      </c>
      <c r="H17257" t="str">
        <f>"A"</f>
        <v>A</v>
      </c>
    </row>
    <row r="17258" spans="1:8" x14ac:dyDescent="0.2">
      <c r="A17258" t="str">
        <f t="shared" si="6258"/>
        <v>0610042650</v>
      </c>
      <c r="B17258" t="str">
        <f t="shared" si="6259"/>
        <v>DEMETRIUS</v>
      </c>
      <c r="C17258" t="str">
        <f t="shared" si="6260"/>
        <v>TUCKER</v>
      </c>
      <c r="D17258">
        <f>12</f>
        <v>12</v>
      </c>
      <c r="E17258" t="str">
        <f>"07 - B - 101 - Gail S Markowitz"</f>
        <v>07 - B - 101 - Gail S Markowitz</v>
      </c>
      <c r="F17258" t="str">
        <f>"CAR PLACEMENT: 9-12"</f>
        <v>CAR PLACEMENT: 9-12</v>
      </c>
      <c r="G17258">
        <f>1730</f>
        <v>1730</v>
      </c>
      <c r="H17258" t="str">
        <f>"B"</f>
        <v>B</v>
      </c>
    </row>
    <row r="17259" spans="1:8" x14ac:dyDescent="0.2">
      <c r="A17259" t="str">
        <f t="shared" si="6258"/>
        <v>0610042650</v>
      </c>
      <c r="B17259" t="str">
        <f t="shared" si="6259"/>
        <v>DEMETRIUS</v>
      </c>
      <c r="C17259" t="str">
        <f t="shared" si="6260"/>
        <v>TUCKER</v>
      </c>
      <c r="D17259">
        <f>12</f>
        <v>12</v>
      </c>
      <c r="E17259" t="str">
        <f>"05 - B - 101 - Gail S Markowitz"</f>
        <v>05 - B - 101 - Gail S Markowitz</v>
      </c>
      <c r="F17259" t="str">
        <f>"U SKLS: 9-12"</f>
        <v>U SKLS: 9-12</v>
      </c>
      <c r="G17259">
        <f>1730</f>
        <v>1730</v>
      </c>
      <c r="H17259" t="str">
        <f>"B"</f>
        <v>B</v>
      </c>
    </row>
    <row r="17260" spans="1:8" x14ac:dyDescent="0.2">
      <c r="A17260" t="str">
        <f t="shared" si="6258"/>
        <v>0610042650</v>
      </c>
      <c r="B17260" t="str">
        <f t="shared" si="6259"/>
        <v>DEMETRIUS</v>
      </c>
      <c r="C17260" t="str">
        <f t="shared" si="6260"/>
        <v>TUCKER</v>
      </c>
      <c r="D17260">
        <f>12</f>
        <v>12</v>
      </c>
      <c r="E17260" t="str">
        <f>"01 - A - 101 - Gail S Markowitz"</f>
        <v>01 - A - 101 - Gail S Markowitz</v>
      </c>
      <c r="F17260" t="str">
        <f>"PREP AD LIV"</f>
        <v>PREP AD LIV</v>
      </c>
      <c r="G17260">
        <f>1730</f>
        <v>1730</v>
      </c>
      <c r="H17260" t="str">
        <f>"A"</f>
        <v>A</v>
      </c>
    </row>
    <row r="17261" spans="1:8" x14ac:dyDescent="0.2">
      <c r="A17261" t="str">
        <f t="shared" si="6258"/>
        <v>0610042650</v>
      </c>
      <c r="B17261" t="str">
        <f t="shared" si="6259"/>
        <v>DEMETRIUS</v>
      </c>
      <c r="C17261" t="str">
        <f t="shared" si="6260"/>
        <v>TUCKER</v>
      </c>
      <c r="D17261">
        <f>12</f>
        <v>12</v>
      </c>
      <c r="E17261" t="str">
        <f>"08 - B - 101 - Gail S Markowitz"</f>
        <v>08 - B - 101 - Gail S Markowitz</v>
      </c>
      <c r="F17261" t="str">
        <f>"U SKLS: SOC&amp;EMO 9-12"</f>
        <v>U SKLS: SOC&amp;EMO 9-12</v>
      </c>
      <c r="G17261">
        <f>1730</f>
        <v>1730</v>
      </c>
      <c r="H17261" t="str">
        <f>"B"</f>
        <v>B</v>
      </c>
    </row>
    <row r="17262" spans="1:8" x14ac:dyDescent="0.2">
      <c r="A17262" t="str">
        <f t="shared" ref="A17262:A17269" si="6261">"0616121898"</f>
        <v>0616121898</v>
      </c>
      <c r="B17262" t="str">
        <f t="shared" ref="B17262:B17269" si="6262">"DELANO"</f>
        <v>DELANO</v>
      </c>
      <c r="C17262" t="str">
        <f t="shared" ref="C17262:C17269" si="6263">"TULLOCH"</f>
        <v>TULLOCH</v>
      </c>
      <c r="D17262" t="str">
        <f t="shared" ref="D17262:D17269" si="6264">"09"</f>
        <v>09</v>
      </c>
      <c r="E17262" t="str">
        <f>"04 - A - 106 - Ferrie J Arostique"</f>
        <v>04 - A - 106 - Ferrie J Arostique</v>
      </c>
      <c r="F17262" t="str">
        <f>"PRE-AICE MATH 2 IG"</f>
        <v>PRE-AICE MATH 2 IG</v>
      </c>
      <c r="G17262" t="str">
        <f>"21-2139"</f>
        <v>21-2139</v>
      </c>
      <c r="H17262" t="str">
        <f>"A"</f>
        <v>A</v>
      </c>
    </row>
    <row r="17263" spans="1:8" x14ac:dyDescent="0.2">
      <c r="A17263" t="str">
        <f t="shared" si="6261"/>
        <v>0616121898</v>
      </c>
      <c r="B17263" t="str">
        <f t="shared" si="6262"/>
        <v>DELANO</v>
      </c>
      <c r="C17263" t="str">
        <f t="shared" si="6263"/>
        <v>TULLOCH</v>
      </c>
      <c r="D17263" t="str">
        <f t="shared" si="6264"/>
        <v>09</v>
      </c>
      <c r="E17263" t="str">
        <f>"06 - B - 202 - Samantha L Martinez"</f>
        <v>06 - B - 202 - Samantha L Martinez</v>
      </c>
      <c r="F17263" t="str">
        <f>"GUITAR 1"</f>
        <v>GUITAR 1</v>
      </c>
      <c r="G17263" t="str">
        <f>"05-505"</f>
        <v>05-505</v>
      </c>
      <c r="H17263" t="str">
        <f>"B"</f>
        <v>B</v>
      </c>
    </row>
    <row r="17264" spans="1:8" x14ac:dyDescent="0.2">
      <c r="A17264" t="str">
        <f t="shared" si="6261"/>
        <v>0616121898</v>
      </c>
      <c r="B17264" t="str">
        <f t="shared" si="6262"/>
        <v>DELANO</v>
      </c>
      <c r="C17264" t="str">
        <f t="shared" si="6263"/>
        <v>TULLOCH</v>
      </c>
      <c r="D17264" t="str">
        <f t="shared" si="6264"/>
        <v>09</v>
      </c>
      <c r="E17264" t="str">
        <f>"03 - A - 101 - Brian M Fitzgerald"</f>
        <v>03 - A - 101 - Brian M Fitzgerald</v>
      </c>
      <c r="F17264" t="str">
        <f>"SCULPT 1"</f>
        <v>SCULPT 1</v>
      </c>
      <c r="G17264" t="str">
        <f>"09-908"</f>
        <v>09-908</v>
      </c>
      <c r="H17264" t="str">
        <f>"A"</f>
        <v>A</v>
      </c>
    </row>
    <row r="17265" spans="1:8" x14ac:dyDescent="0.2">
      <c r="A17265" t="str">
        <f t="shared" si="6261"/>
        <v>0616121898</v>
      </c>
      <c r="B17265" t="str">
        <f t="shared" si="6262"/>
        <v>DELANO</v>
      </c>
      <c r="C17265" t="str">
        <f t="shared" si="6263"/>
        <v>TULLOCH</v>
      </c>
      <c r="D17265" t="str">
        <f t="shared" si="6264"/>
        <v>09</v>
      </c>
      <c r="E17265" t="str">
        <f>"02 - A - 116 - Tina L Lovett"</f>
        <v>02 - A - 116 - Tina L Lovett</v>
      </c>
      <c r="F17265" t="str">
        <f>"NC STUDY HALL 1"</f>
        <v>NC STUDY HALL 1</v>
      </c>
      <c r="G17265" t="str">
        <f>"21-2153"</f>
        <v>21-2153</v>
      </c>
      <c r="H17265" t="str">
        <f>"A"</f>
        <v>A</v>
      </c>
    </row>
    <row r="17266" spans="1:8" x14ac:dyDescent="0.2">
      <c r="A17266" t="str">
        <f t="shared" si="6261"/>
        <v>0616121898</v>
      </c>
      <c r="B17266" t="str">
        <f t="shared" si="6262"/>
        <v>DELANO</v>
      </c>
      <c r="C17266" t="str">
        <f t="shared" si="6263"/>
        <v>TULLOCH</v>
      </c>
      <c r="D17266" t="str">
        <f t="shared" si="6264"/>
        <v>09</v>
      </c>
      <c r="E17266" t="str">
        <f>"07 - B - 103 - Vanessa J Liburd"</f>
        <v>07 - B - 103 - Vanessa J Liburd</v>
      </c>
      <c r="F17266" t="str">
        <f>"PRE-AICE FRENCH 1 IG"</f>
        <v>PRE-AICE FRENCH 1 IG</v>
      </c>
      <c r="G17266" t="str">
        <f>"05-519"</f>
        <v>05-519</v>
      </c>
      <c r="H17266" t="str">
        <f>"B"</f>
        <v>B</v>
      </c>
    </row>
    <row r="17267" spans="1:8" x14ac:dyDescent="0.2">
      <c r="A17267" t="str">
        <f t="shared" si="6261"/>
        <v>0616121898</v>
      </c>
      <c r="B17267" t="str">
        <f t="shared" si="6262"/>
        <v>DELANO</v>
      </c>
      <c r="C17267" t="str">
        <f t="shared" si="6263"/>
        <v>TULLOCH</v>
      </c>
      <c r="D17267" t="str">
        <f t="shared" si="6264"/>
        <v>09</v>
      </c>
      <c r="E17267" t="str">
        <f>"05 - B - 002 - Cheryl Anne  Berman-Schechter"</f>
        <v>05 - B - 002 - Cheryl Anne  Berman-Schechter</v>
      </c>
      <c r="F17267" t="str">
        <f>"AICE ENG GEN PAPER 1"</f>
        <v>AICE ENG GEN PAPER 1</v>
      </c>
      <c r="G17267" t="str">
        <f>"17-1722"</f>
        <v>17-1722</v>
      </c>
      <c r="H17267" t="str">
        <f>"B"</f>
        <v>B</v>
      </c>
    </row>
    <row r="17268" spans="1:8" x14ac:dyDescent="0.2">
      <c r="A17268" t="str">
        <f t="shared" si="6261"/>
        <v>0616121898</v>
      </c>
      <c r="B17268" t="str">
        <f t="shared" si="6262"/>
        <v>DELANO</v>
      </c>
      <c r="C17268" t="str">
        <f t="shared" si="6263"/>
        <v>TULLOCH</v>
      </c>
      <c r="D17268" t="str">
        <f t="shared" si="6264"/>
        <v>09</v>
      </c>
      <c r="E17268" t="str">
        <f>"01 - A - 101 - Josiah I Lacy"</f>
        <v>01 - A - 101 - Josiah I Lacy</v>
      </c>
      <c r="F17268" t="str">
        <f>"PRE-AICE BIO IG"</f>
        <v>PRE-AICE BIO IG</v>
      </c>
      <c r="G17268" t="str">
        <f>"08-801"</f>
        <v>08-801</v>
      </c>
      <c r="H17268" t="str">
        <f>"A"</f>
        <v>A</v>
      </c>
    </row>
    <row r="17269" spans="1:8" x14ac:dyDescent="0.2">
      <c r="A17269" t="str">
        <f t="shared" si="6261"/>
        <v>0616121898</v>
      </c>
      <c r="B17269" t="str">
        <f t="shared" si="6262"/>
        <v>DELANO</v>
      </c>
      <c r="C17269" t="str">
        <f t="shared" si="6263"/>
        <v>TULLOCH</v>
      </c>
      <c r="D17269" t="str">
        <f t="shared" si="6264"/>
        <v>09</v>
      </c>
      <c r="E17269" t="str">
        <f>"08 - B - 109 - Rory T Sponsler"</f>
        <v>08 - B - 109 - Rory T Sponsler</v>
      </c>
      <c r="F17269" t="str">
        <f>"PRE-AICE WRLD HST IG"</f>
        <v>PRE-AICE WRLD HST IG</v>
      </c>
      <c r="G17269" t="str">
        <f>"17-1740"</f>
        <v>17-1740</v>
      </c>
      <c r="H17269" t="str">
        <f>"B"</f>
        <v>B</v>
      </c>
    </row>
    <row r="17270" spans="1:8" x14ac:dyDescent="0.2">
      <c r="A17270" t="str">
        <f t="shared" ref="A17270:A17277" si="6265">"0613083742"</f>
        <v>0613083742</v>
      </c>
      <c r="B17270" t="str">
        <f t="shared" ref="B17270:B17277" si="6266">"KEYANA"</f>
        <v>KEYANA</v>
      </c>
      <c r="C17270" t="str">
        <f t="shared" ref="C17270:C17277" si="6267">"TURENNE"</f>
        <v>TURENNE</v>
      </c>
      <c r="D17270">
        <f>12</f>
        <v>12</v>
      </c>
      <c r="E17270" t="str">
        <f>"04 - S1 - A - 101 - Nahum  Saint-Preux"</f>
        <v>04 - S1 - A - 101 - Nahum  Saint-Preux</v>
      </c>
      <c r="F17270" t="str">
        <f>"CRIT THINK ST SKLS"</f>
        <v>CRIT THINK ST SKLS</v>
      </c>
      <c r="G17270" t="str">
        <f>"17-1712"</f>
        <v>17-1712</v>
      </c>
      <c r="H17270" t="str">
        <f>"A"</f>
        <v>A</v>
      </c>
    </row>
    <row r="17271" spans="1:8" x14ac:dyDescent="0.2">
      <c r="A17271" t="str">
        <f t="shared" si="6265"/>
        <v>0613083742</v>
      </c>
      <c r="B17271" t="str">
        <f t="shared" si="6266"/>
        <v>KEYANA</v>
      </c>
      <c r="C17271" t="str">
        <f t="shared" si="6267"/>
        <v>TURENNE</v>
      </c>
      <c r="D17271">
        <f>12</f>
        <v>12</v>
      </c>
      <c r="E17271" t="str">
        <f>"06 - B - 112 - Lisa  Quinn"</f>
        <v>06 - B - 112 - Lisa  Quinn</v>
      </c>
      <c r="F17271" t="str">
        <f>"NC STUDY HALL 1"</f>
        <v>NC STUDY HALL 1</v>
      </c>
      <c r="G17271" t="str">
        <f>"17-1725"</f>
        <v>17-1725</v>
      </c>
      <c r="H17271" t="str">
        <f>"B"</f>
        <v>B</v>
      </c>
    </row>
    <row r="17272" spans="1:8" x14ac:dyDescent="0.2">
      <c r="A17272" t="str">
        <f t="shared" si="6265"/>
        <v>0613083742</v>
      </c>
      <c r="B17272" t="str">
        <f t="shared" si="6266"/>
        <v>KEYANA</v>
      </c>
      <c r="C17272" t="str">
        <f t="shared" si="6267"/>
        <v>TURENNE</v>
      </c>
      <c r="D17272">
        <f>12</f>
        <v>12</v>
      </c>
      <c r="E17272" t="str">
        <f>"03 - A - 103 - Samantha J Headley"</f>
        <v>03 - A - 103 - Samantha J Headley</v>
      </c>
      <c r="F17272" t="str">
        <f>"MARINE SCI 1 HON"</f>
        <v>MARINE SCI 1 HON</v>
      </c>
      <c r="G17272" t="str">
        <f>"21-2134"</f>
        <v>21-2134</v>
      </c>
      <c r="H17272" t="str">
        <f>"A"</f>
        <v>A</v>
      </c>
    </row>
    <row r="17273" spans="1:8" x14ac:dyDescent="0.2">
      <c r="A17273" t="str">
        <f t="shared" si="6265"/>
        <v>0613083742</v>
      </c>
      <c r="B17273" t="str">
        <f t="shared" si="6266"/>
        <v>KEYANA</v>
      </c>
      <c r="C17273" t="str">
        <f t="shared" si="6267"/>
        <v>TURENNE</v>
      </c>
      <c r="D17273">
        <f>12</f>
        <v>12</v>
      </c>
      <c r="E17273" t="str">
        <f>"02 - A - 102 - Bruce A Evans"</f>
        <v>02 - A - 102 - Bruce A Evans</v>
      </c>
      <c r="F17273" t="str">
        <f>"EMERG MED RESP 3 HON"</f>
        <v>EMERG MED RESP 3 HON</v>
      </c>
      <c r="G17273" t="str">
        <f>"21-2142"</f>
        <v>21-2142</v>
      </c>
      <c r="H17273" t="str">
        <f>"A"</f>
        <v>A</v>
      </c>
    </row>
    <row r="17274" spans="1:8" x14ac:dyDescent="0.2">
      <c r="A17274" t="str">
        <f t="shared" si="6265"/>
        <v>0613083742</v>
      </c>
      <c r="B17274" t="str">
        <f t="shared" si="6266"/>
        <v>KEYANA</v>
      </c>
      <c r="C17274" t="str">
        <f t="shared" si="6267"/>
        <v>TURENNE</v>
      </c>
      <c r="D17274">
        <f>12</f>
        <v>12</v>
      </c>
      <c r="E17274" t="str">
        <f>"07 - B - 105 - Robert H Rindner"</f>
        <v>07 - B - 105 - Robert H Rindner</v>
      </c>
      <c r="F17274" t="str">
        <f>"MATH DATA&amp;FIN LIT H"</f>
        <v>MATH DATA&amp;FIN LIT H</v>
      </c>
      <c r="G17274" t="str">
        <f>"21-2160"</f>
        <v>21-2160</v>
      </c>
      <c r="H17274" t="str">
        <f>"B"</f>
        <v>B</v>
      </c>
    </row>
    <row r="17275" spans="1:8" x14ac:dyDescent="0.2">
      <c r="A17275" t="str">
        <f t="shared" si="6265"/>
        <v>0613083742</v>
      </c>
      <c r="B17275" t="str">
        <f t="shared" si="6266"/>
        <v>KEYANA</v>
      </c>
      <c r="C17275" t="str">
        <f t="shared" si="6267"/>
        <v>TURENNE</v>
      </c>
      <c r="D17275">
        <f>12</f>
        <v>12</v>
      </c>
      <c r="E17275" t="str">
        <f>"05 - B - 201 - Bruce A Evans"</f>
        <v>05 - B - 201 - Bruce A Evans</v>
      </c>
      <c r="F17275" t="str">
        <f>"HEALTH SCI FOUND HON"</f>
        <v>HEALTH SCI FOUND HON</v>
      </c>
      <c r="G17275" t="str">
        <f>"21-2142"</f>
        <v>21-2142</v>
      </c>
      <c r="H17275" t="str">
        <f>"B"</f>
        <v>B</v>
      </c>
    </row>
    <row r="17276" spans="1:8" x14ac:dyDescent="0.2">
      <c r="A17276" t="str">
        <f t="shared" si="6265"/>
        <v>0613083742</v>
      </c>
      <c r="B17276" t="str">
        <f t="shared" si="6266"/>
        <v>KEYANA</v>
      </c>
      <c r="C17276" t="str">
        <f t="shared" si="6267"/>
        <v>TURENNE</v>
      </c>
      <c r="D17276">
        <f>12</f>
        <v>12</v>
      </c>
      <c r="E17276" t="str">
        <f>"01 - A - 103 - Jeffrey S Gallagher"</f>
        <v>01 - A - 103 - Jeffrey S Gallagher</v>
      </c>
      <c r="F17276" t="str">
        <f>"ENG HON 4"</f>
        <v>ENG HON 4</v>
      </c>
      <c r="G17276" t="str">
        <f>"17-1724"</f>
        <v>17-1724</v>
      </c>
      <c r="H17276" t="str">
        <f>"A"</f>
        <v>A</v>
      </c>
    </row>
    <row r="17277" spans="1:8" x14ac:dyDescent="0.2">
      <c r="A17277" t="str">
        <f t="shared" si="6265"/>
        <v>0613083742</v>
      </c>
      <c r="B17277" t="str">
        <f t="shared" si="6266"/>
        <v>KEYANA</v>
      </c>
      <c r="C17277" t="str">
        <f t="shared" si="6267"/>
        <v>TURENNE</v>
      </c>
      <c r="D17277">
        <f>12</f>
        <v>12</v>
      </c>
      <c r="E17277" t="str">
        <f>"08 - S1 - B - 105 - Kelly N Panza"</f>
        <v>08 - S1 - B - 105 - Kelly N Panza</v>
      </c>
      <c r="F17277" t="str">
        <f>"US GOVT HON"</f>
        <v>US GOVT HON</v>
      </c>
      <c r="G17277" t="str">
        <f>"17-1753"</f>
        <v>17-1753</v>
      </c>
      <c r="H17277" t="str">
        <f>"B"</f>
        <v>B</v>
      </c>
    </row>
    <row r="17278" spans="1:8" x14ac:dyDescent="0.2">
      <c r="A17278" t="str">
        <f t="shared" ref="A17278:A17285" si="6268">"0615074992"</f>
        <v>0615074992</v>
      </c>
      <c r="B17278" t="str">
        <f t="shared" ref="B17278:B17285" si="6269">"RICKI-LEE"</f>
        <v>RICKI-LEE</v>
      </c>
      <c r="C17278" t="str">
        <f t="shared" ref="C17278:C17285" si="6270">"TURNQUEST"</f>
        <v>TURNQUEST</v>
      </c>
      <c r="D17278">
        <f>11</f>
        <v>11</v>
      </c>
      <c r="E17278" t="str">
        <f>"04 - A - 105 - Milca  Exantus"</f>
        <v>04 - A - 105 - Milca  Exantus</v>
      </c>
      <c r="F17278" t="str">
        <f>"MATH COLLEGE LIB ART"</f>
        <v>MATH COLLEGE LIB ART</v>
      </c>
      <c r="G17278" t="str">
        <f>"21-2145"</f>
        <v>21-2145</v>
      </c>
      <c r="H17278" t="str">
        <f>"A"</f>
        <v>A</v>
      </c>
    </row>
    <row r="17279" spans="1:8" x14ac:dyDescent="0.2">
      <c r="A17279" t="str">
        <f t="shared" si="6268"/>
        <v>0615074992</v>
      </c>
      <c r="B17279" t="str">
        <f t="shared" si="6269"/>
        <v>RICKI-LEE</v>
      </c>
      <c r="C17279" t="str">
        <f t="shared" si="6270"/>
        <v>TURNQUEST</v>
      </c>
      <c r="D17279">
        <f>11</f>
        <v>11</v>
      </c>
      <c r="E17279" t="str">
        <f>"06 - B - 105 - Cheryl L Beach"</f>
        <v>06 - B - 105 - Cheryl L Beach</v>
      </c>
      <c r="F17279" t="str">
        <f>"AICE ENV MGMNT AS"</f>
        <v>AICE ENV MGMNT AS</v>
      </c>
      <c r="G17279" t="str">
        <f>"08-811"</f>
        <v>08-811</v>
      </c>
      <c r="H17279" t="str">
        <f>"B"</f>
        <v>B</v>
      </c>
    </row>
    <row r="17280" spans="1:8" x14ac:dyDescent="0.2">
      <c r="A17280" t="str">
        <f t="shared" si="6268"/>
        <v>0615074992</v>
      </c>
      <c r="B17280" t="str">
        <f t="shared" si="6269"/>
        <v>RICKI-LEE</v>
      </c>
      <c r="C17280" t="str">
        <f t="shared" si="6270"/>
        <v>TURNQUEST</v>
      </c>
      <c r="D17280">
        <f>11</f>
        <v>11</v>
      </c>
      <c r="E17280" t="str">
        <f>"03 - A - 201 - Christa T Parisi"</f>
        <v>03 - A - 201 - Christa T Parisi</v>
      </c>
      <c r="F17280" t="str">
        <f>"DANCE TECHNQS 1"</f>
        <v>DANCE TECHNQS 1</v>
      </c>
      <c r="G17280" t="str">
        <f>"05-503"</f>
        <v>05-503</v>
      </c>
      <c r="H17280" t="str">
        <f>"A"</f>
        <v>A</v>
      </c>
    </row>
    <row r="17281" spans="1:8" x14ac:dyDescent="0.2">
      <c r="A17281" t="str">
        <f t="shared" si="6268"/>
        <v>0615074992</v>
      </c>
      <c r="B17281" t="str">
        <f t="shared" si="6269"/>
        <v>RICKI-LEE</v>
      </c>
      <c r="C17281" t="str">
        <f t="shared" si="6270"/>
        <v>TURNQUEST</v>
      </c>
      <c r="D17281">
        <f>11</f>
        <v>11</v>
      </c>
      <c r="E17281" t="str">
        <f>"02 - A - 114 - Eva T Rimmer"</f>
        <v>02 - A - 114 - Eva T Rimmer</v>
      </c>
      <c r="F17281" t="str">
        <f>"NC STUDY HALL 1"</f>
        <v>NC STUDY HALL 1</v>
      </c>
      <c r="G17281" t="str">
        <f>"05-523"</f>
        <v>05-523</v>
      </c>
      <c r="H17281" t="str">
        <f>"A"</f>
        <v>A</v>
      </c>
    </row>
    <row r="17282" spans="1:8" x14ac:dyDescent="0.2">
      <c r="A17282" t="str">
        <f t="shared" si="6268"/>
        <v>0615074992</v>
      </c>
      <c r="B17282" t="str">
        <f t="shared" si="6269"/>
        <v>RICKI-LEE</v>
      </c>
      <c r="C17282" t="str">
        <f t="shared" si="6270"/>
        <v>TURNQUEST</v>
      </c>
      <c r="D17282">
        <f>11</f>
        <v>11</v>
      </c>
      <c r="E17282" t="str">
        <f>"07 - B - 101 - Samantha L Martinez"</f>
        <v>07 - B - 101 - Samantha L Martinez</v>
      </c>
      <c r="F17282" t="str">
        <f>"KEYBD 1"</f>
        <v>KEYBD 1</v>
      </c>
      <c r="G17282" t="str">
        <f>"05-505"</f>
        <v>05-505</v>
      </c>
      <c r="H17282" t="str">
        <f>"B"</f>
        <v>B</v>
      </c>
    </row>
    <row r="17283" spans="1:8" x14ac:dyDescent="0.2">
      <c r="A17283" t="str">
        <f t="shared" si="6268"/>
        <v>0615074992</v>
      </c>
      <c r="B17283" t="str">
        <f t="shared" si="6269"/>
        <v>RICKI-LEE</v>
      </c>
      <c r="C17283" t="str">
        <f t="shared" si="6270"/>
        <v>TURNQUEST</v>
      </c>
      <c r="D17283">
        <f>11</f>
        <v>11</v>
      </c>
      <c r="E17283" t="str">
        <f>"05 - B - 102 - Jacklyn M James"</f>
        <v>05 - B - 102 - Jacklyn M James</v>
      </c>
      <c r="F17283" t="str">
        <f>"AICE ENG LANG AS"</f>
        <v>AICE ENG LANG AS</v>
      </c>
      <c r="G17283" t="str">
        <f>"17-1731"</f>
        <v>17-1731</v>
      </c>
      <c r="H17283" t="str">
        <f>"B"</f>
        <v>B</v>
      </c>
    </row>
    <row r="17284" spans="1:8" x14ac:dyDescent="0.2">
      <c r="A17284" t="str">
        <f t="shared" si="6268"/>
        <v>0615074992</v>
      </c>
      <c r="B17284" t="str">
        <f t="shared" si="6269"/>
        <v>RICKI-LEE</v>
      </c>
      <c r="C17284" t="str">
        <f t="shared" si="6270"/>
        <v>TURNQUEST</v>
      </c>
      <c r="D17284">
        <f>11</f>
        <v>11</v>
      </c>
      <c r="E17284" t="str">
        <f>"01 - A - 001 - Brian M Fitzgerald"</f>
        <v>01 - A - 001 - Brian M Fitzgerald</v>
      </c>
      <c r="F17284" t="str">
        <f>"CERAM/POT 2"</f>
        <v>CERAM/POT 2</v>
      </c>
      <c r="G17284" t="str">
        <f>"09-908"</f>
        <v>09-908</v>
      </c>
      <c r="H17284" t="str">
        <f>"A"</f>
        <v>A</v>
      </c>
    </row>
    <row r="17285" spans="1:8" x14ac:dyDescent="0.2">
      <c r="A17285" t="str">
        <f t="shared" si="6268"/>
        <v>0615074992</v>
      </c>
      <c r="B17285" t="str">
        <f t="shared" si="6269"/>
        <v>RICKI-LEE</v>
      </c>
      <c r="C17285" t="str">
        <f t="shared" si="6270"/>
        <v>TURNQUEST</v>
      </c>
      <c r="D17285">
        <f>11</f>
        <v>11</v>
      </c>
      <c r="E17285" t="str">
        <f>"08 - B - 001 - Jerry S Jiampetti"</f>
        <v>08 - B - 001 - Jerry S Jiampetti</v>
      </c>
      <c r="F17285" t="str">
        <f>"AICE U.S. HIST 1 AS"</f>
        <v>AICE U.S. HIST 1 AS</v>
      </c>
      <c r="G17285" t="str">
        <f>"17-1751"</f>
        <v>17-1751</v>
      </c>
      <c r="H17285" t="str">
        <f>"B"</f>
        <v>B</v>
      </c>
    </row>
    <row r="17286" spans="1:8" x14ac:dyDescent="0.2">
      <c r="A17286" t="str">
        <f t="shared" ref="A17286:A17293" si="6271">"0616035525"</f>
        <v>0616035525</v>
      </c>
      <c r="B17286" t="str">
        <f t="shared" ref="B17286:B17293" si="6272">"KADEN"</f>
        <v>KADEN</v>
      </c>
      <c r="C17286" t="str">
        <f t="shared" ref="C17286:C17293" si="6273">"TUSKA"</f>
        <v>TUSKA</v>
      </c>
      <c r="D17286">
        <f>10</f>
        <v>10</v>
      </c>
      <c r="E17286" t="str">
        <f>"04 - A - 104 - Courtney E Hambright"</f>
        <v>04 - A - 104 - Courtney E Hambright</v>
      </c>
      <c r="F17286" t="str">
        <f>"AICE ENG LANG AS"</f>
        <v>AICE ENG LANG AS</v>
      </c>
      <c r="G17286" t="str">
        <f>"17-1711"</f>
        <v>17-1711</v>
      </c>
      <c r="H17286" t="str">
        <f>"A"</f>
        <v>A</v>
      </c>
    </row>
    <row r="17287" spans="1:8" x14ac:dyDescent="0.2">
      <c r="A17287" t="str">
        <f t="shared" si="6271"/>
        <v>0616035525</v>
      </c>
      <c r="B17287" t="str">
        <f t="shared" si="6272"/>
        <v>KADEN</v>
      </c>
      <c r="C17287" t="str">
        <f t="shared" si="6273"/>
        <v>TUSKA</v>
      </c>
      <c r="D17287">
        <f>10</f>
        <v>10</v>
      </c>
      <c r="E17287" t="str">
        <f>"06 - B - 108 - Jacklyn M James"</f>
        <v>06 - B - 108 - Jacklyn M James</v>
      </c>
      <c r="F17287" t="str">
        <f>"NC STUDY HALL 1"</f>
        <v>NC STUDY HALL 1</v>
      </c>
      <c r="G17287" t="str">
        <f>"17-1731"</f>
        <v>17-1731</v>
      </c>
      <c r="H17287" t="str">
        <f>"B"</f>
        <v>B</v>
      </c>
    </row>
    <row r="17288" spans="1:8" x14ac:dyDescent="0.2">
      <c r="A17288" t="str">
        <f t="shared" si="6271"/>
        <v>0616035525</v>
      </c>
      <c r="B17288" t="str">
        <f t="shared" si="6272"/>
        <v>KADEN</v>
      </c>
      <c r="C17288" t="str">
        <f t="shared" si="6273"/>
        <v>TUSKA</v>
      </c>
      <c r="D17288">
        <f>10</f>
        <v>10</v>
      </c>
      <c r="E17288" t="str">
        <f>"03 - A - 202 - Cheryl L Beach"</f>
        <v>03 - A - 202 - Cheryl L Beach</v>
      </c>
      <c r="F17288" t="str">
        <f>"AICE ENV MGMNT AS"</f>
        <v>AICE ENV MGMNT AS</v>
      </c>
      <c r="G17288" t="str">
        <f>"08-811"</f>
        <v>08-811</v>
      </c>
      <c r="H17288" t="str">
        <f>"A"</f>
        <v>A</v>
      </c>
    </row>
    <row r="17289" spans="1:8" x14ac:dyDescent="0.2">
      <c r="A17289" t="str">
        <f t="shared" si="6271"/>
        <v>0616035525</v>
      </c>
      <c r="B17289" t="str">
        <f t="shared" si="6272"/>
        <v>KADEN</v>
      </c>
      <c r="C17289" t="str">
        <f t="shared" si="6273"/>
        <v>TUSKA</v>
      </c>
      <c r="D17289">
        <f>10</f>
        <v>10</v>
      </c>
      <c r="E17289" t="str">
        <f>"02 - A - 104 - Joe  Kilpatrick Jr"</f>
        <v>02 - A - 104 - Joe  Kilpatrick Jr</v>
      </c>
      <c r="F17289" t="str">
        <f>"PRE-AICE SPAN 2 IG"</f>
        <v>PRE-AICE SPAN 2 IG</v>
      </c>
      <c r="G17289" t="str">
        <f>"09-912"</f>
        <v>09-912</v>
      </c>
      <c r="H17289" t="str">
        <f>"A"</f>
        <v>A</v>
      </c>
    </row>
    <row r="17290" spans="1:8" x14ac:dyDescent="0.2">
      <c r="A17290" t="str">
        <f t="shared" si="6271"/>
        <v>0616035525</v>
      </c>
      <c r="B17290" t="str">
        <f t="shared" si="6272"/>
        <v>KADEN</v>
      </c>
      <c r="C17290" t="str">
        <f t="shared" si="6273"/>
        <v>TUSKA</v>
      </c>
      <c r="D17290">
        <f>10</f>
        <v>10</v>
      </c>
      <c r="E17290" t="str">
        <f>"07 - S1 - B - 102 - Arthur  Kulawik"</f>
        <v>07 - S1 - B - 102 - Arthur  Kulawik</v>
      </c>
      <c r="F17290" t="str">
        <f>"PERS FIN &amp; MON MGT H"</f>
        <v>PERS FIN &amp; MON MGT H</v>
      </c>
      <c r="G17290" t="str">
        <f>"05-506"</f>
        <v>05-506</v>
      </c>
      <c r="H17290" t="str">
        <f>"B"</f>
        <v>B</v>
      </c>
    </row>
    <row r="17291" spans="1:8" x14ac:dyDescent="0.2">
      <c r="A17291" t="str">
        <f t="shared" si="6271"/>
        <v>0616035525</v>
      </c>
      <c r="B17291" t="str">
        <f t="shared" si="6272"/>
        <v>KADEN</v>
      </c>
      <c r="C17291" t="str">
        <f t="shared" si="6273"/>
        <v>TUSKA</v>
      </c>
      <c r="D17291">
        <f>10</f>
        <v>10</v>
      </c>
      <c r="E17291" t="str">
        <f>"05 - B - 101 - Alejandro  Navarro"</f>
        <v>05 - B - 101 - Alejandro  Navarro</v>
      </c>
      <c r="F17291" t="str">
        <f>"GUITAR 2"</f>
        <v>GUITAR 2</v>
      </c>
      <c r="G17291" t="str">
        <f>"05-504"</f>
        <v>05-504</v>
      </c>
      <c r="H17291" t="str">
        <f>"B"</f>
        <v>B</v>
      </c>
    </row>
    <row r="17292" spans="1:8" x14ac:dyDescent="0.2">
      <c r="A17292" t="str">
        <f t="shared" si="6271"/>
        <v>0616035525</v>
      </c>
      <c r="B17292" t="str">
        <f t="shared" si="6272"/>
        <v>KADEN</v>
      </c>
      <c r="C17292" t="str">
        <f t="shared" si="6273"/>
        <v>TUSKA</v>
      </c>
      <c r="D17292">
        <f>10</f>
        <v>10</v>
      </c>
      <c r="E17292" t="str">
        <f>"01 - A - 006 - Emmily A Sarmiento"</f>
        <v>01 - A - 006 - Emmily A Sarmiento</v>
      </c>
      <c r="F17292" t="str">
        <f>"AICE GLBL PERSP 1 AS"</f>
        <v>AICE GLBL PERSP 1 AS</v>
      </c>
      <c r="G17292" t="str">
        <f>"17-1743"</f>
        <v>17-1743</v>
      </c>
      <c r="H17292" t="str">
        <f>"A"</f>
        <v>A</v>
      </c>
    </row>
    <row r="17293" spans="1:8" x14ac:dyDescent="0.2">
      <c r="A17293" t="str">
        <f t="shared" si="6271"/>
        <v>0616035525</v>
      </c>
      <c r="B17293" t="str">
        <f t="shared" si="6272"/>
        <v>KADEN</v>
      </c>
      <c r="C17293" t="str">
        <f t="shared" si="6273"/>
        <v>TUSKA</v>
      </c>
      <c r="D17293">
        <f>10</f>
        <v>10</v>
      </c>
      <c r="E17293" t="str">
        <f>"08 - B - 107 - Dayna M Foster"</f>
        <v>08 - B - 107 - Dayna M Foster</v>
      </c>
      <c r="F17293" t="str">
        <f>"ALGEBRA 2"</f>
        <v>ALGEBRA 2</v>
      </c>
      <c r="G17293" t="str">
        <f>"21-2109"</f>
        <v>21-2109</v>
      </c>
      <c r="H17293" t="str">
        <f>"B"</f>
        <v>B</v>
      </c>
    </row>
    <row r="17294" spans="1:8" x14ac:dyDescent="0.2">
      <c r="A17294" t="str">
        <f t="shared" ref="A17294:A17301" si="6274">"0615095782"</f>
        <v>0615095782</v>
      </c>
      <c r="B17294" t="str">
        <f t="shared" ref="B17294:B17301" si="6275">"TYLER"</f>
        <v>TYLER</v>
      </c>
      <c r="C17294" t="str">
        <f t="shared" ref="C17294:C17301" si="6276">"TWELLS"</f>
        <v>TWELLS</v>
      </c>
      <c r="D17294">
        <f>11</f>
        <v>11</v>
      </c>
      <c r="E17294" t="str">
        <f>"04 - A - 101 - Stefanie S Scher"</f>
        <v>04 - A - 101 - Stefanie S Scher</v>
      </c>
      <c r="F17294" t="str">
        <f>"AP PSYCH"</f>
        <v>AP PSYCH</v>
      </c>
      <c r="G17294" t="str">
        <f>"17-1735"</f>
        <v>17-1735</v>
      </c>
      <c r="H17294" t="str">
        <f>"A"</f>
        <v>A</v>
      </c>
    </row>
    <row r="17295" spans="1:8" x14ac:dyDescent="0.2">
      <c r="A17295" t="str">
        <f t="shared" si="6274"/>
        <v>0615095782</v>
      </c>
      <c r="B17295" t="str">
        <f t="shared" si="6275"/>
        <v>TYLER</v>
      </c>
      <c r="C17295" t="str">
        <f t="shared" si="6276"/>
        <v>TWELLS</v>
      </c>
      <c r="D17295">
        <f>11</f>
        <v>11</v>
      </c>
      <c r="E17295" t="str">
        <f>"06 - B - 102 - Rosa Elaine  Collado-Duff"</f>
        <v>06 - B - 102 - Rosa Elaine  Collado-Duff</v>
      </c>
      <c r="F17295" t="str">
        <f>"SPANISH 3 HON"</f>
        <v>SPANISH 3 HON</v>
      </c>
      <c r="G17295" t="str">
        <f>"09-913"</f>
        <v>09-913</v>
      </c>
      <c r="H17295" t="str">
        <f>"B"</f>
        <v>B</v>
      </c>
    </row>
    <row r="17296" spans="1:8" x14ac:dyDescent="0.2">
      <c r="A17296" t="str">
        <f t="shared" si="6274"/>
        <v>0615095782</v>
      </c>
      <c r="B17296" t="str">
        <f t="shared" si="6275"/>
        <v>TYLER</v>
      </c>
      <c r="C17296" t="str">
        <f t="shared" si="6276"/>
        <v>TWELLS</v>
      </c>
      <c r="D17296">
        <f>11</f>
        <v>11</v>
      </c>
      <c r="E17296" t="str">
        <f>"03 - A - 204 - Norayda D Suarez"</f>
        <v>03 - A - 204 - Norayda D Suarez</v>
      </c>
      <c r="F17296" t="str">
        <f>"ANAT PHYSIO HON"</f>
        <v>ANAT PHYSIO HON</v>
      </c>
      <c r="G17296" t="str">
        <f>"21-2144"</f>
        <v>21-2144</v>
      </c>
      <c r="H17296" t="str">
        <f>"A"</f>
        <v>A</v>
      </c>
    </row>
    <row r="17297" spans="1:8" x14ac:dyDescent="0.2">
      <c r="A17297" t="str">
        <f t="shared" si="6274"/>
        <v>0615095782</v>
      </c>
      <c r="B17297" t="str">
        <f t="shared" si="6275"/>
        <v>TYLER</v>
      </c>
      <c r="C17297" t="str">
        <f t="shared" si="6276"/>
        <v>TWELLS</v>
      </c>
      <c r="D17297">
        <f>11</f>
        <v>11</v>
      </c>
      <c r="E17297" t="str">
        <f>"02 - A - 112 - Brandy N Zdenek"</f>
        <v>02 - A - 112 - Brandy N Zdenek</v>
      </c>
      <c r="F17297" t="str">
        <f>"NC STUDY HALL 1"</f>
        <v>NC STUDY HALL 1</v>
      </c>
      <c r="G17297" t="str">
        <f>"17-1704"</f>
        <v>17-1704</v>
      </c>
      <c r="H17297" t="str">
        <f>"A"</f>
        <v>A</v>
      </c>
    </row>
    <row r="17298" spans="1:8" x14ac:dyDescent="0.2">
      <c r="A17298" t="str">
        <f t="shared" si="6274"/>
        <v>0615095782</v>
      </c>
      <c r="B17298" t="str">
        <f t="shared" si="6275"/>
        <v>TYLER</v>
      </c>
      <c r="C17298" t="str">
        <f t="shared" si="6276"/>
        <v>TWELLS</v>
      </c>
      <c r="D17298">
        <f>11</f>
        <v>11</v>
      </c>
      <c r="E17298" t="str">
        <f>"07 - B - 107 - Semra  Bahadir"</f>
        <v>07 - B - 107 - Semra  Bahadir</v>
      </c>
      <c r="F17298" t="str">
        <f>"MATH COLL ALGEBRA"</f>
        <v>MATH COLL ALGEBRA</v>
      </c>
      <c r="G17298" t="str">
        <f>"21-2107"</f>
        <v>21-2107</v>
      </c>
      <c r="H17298" t="str">
        <f>"B"</f>
        <v>B</v>
      </c>
    </row>
    <row r="17299" spans="1:8" x14ac:dyDescent="0.2">
      <c r="A17299" t="str">
        <f t="shared" si="6274"/>
        <v>0615095782</v>
      </c>
      <c r="B17299" t="str">
        <f t="shared" si="6275"/>
        <v>TYLER</v>
      </c>
      <c r="C17299" t="str">
        <f t="shared" si="6276"/>
        <v>TWELLS</v>
      </c>
      <c r="D17299">
        <f>11</f>
        <v>11</v>
      </c>
      <c r="E17299" t="str">
        <f>"05 - B - 103 - Tina M Jaramillo"</f>
        <v>05 - B - 103 - Tina M Jaramillo</v>
      </c>
      <c r="F17299" t="str">
        <f>"AP ENG COMPO"</f>
        <v>AP ENG COMPO</v>
      </c>
      <c r="G17299" t="str">
        <f>"17-1706"</f>
        <v>17-1706</v>
      </c>
      <c r="H17299" t="str">
        <f>"B"</f>
        <v>B</v>
      </c>
    </row>
    <row r="17300" spans="1:8" x14ac:dyDescent="0.2">
      <c r="A17300" t="str">
        <f t="shared" si="6274"/>
        <v>0615095782</v>
      </c>
      <c r="B17300" t="str">
        <f t="shared" si="6275"/>
        <v>TYLER</v>
      </c>
      <c r="C17300" t="str">
        <f t="shared" si="6276"/>
        <v>TWELLS</v>
      </c>
      <c r="D17300">
        <f>11</f>
        <v>11</v>
      </c>
      <c r="E17300" t="str">
        <f>"01 - A - 101 - Lisa J London"</f>
        <v>01 - A - 101 - Lisa J London</v>
      </c>
      <c r="F17300" t="str">
        <f>"AP CAPSTONE SEMINAR"</f>
        <v>AP CAPSTONE SEMINAR</v>
      </c>
      <c r="G17300" t="str">
        <f>"17-1714"</f>
        <v>17-1714</v>
      </c>
      <c r="H17300" t="str">
        <f>"A"</f>
        <v>A</v>
      </c>
    </row>
    <row r="17301" spans="1:8" x14ac:dyDescent="0.2">
      <c r="A17301" t="str">
        <f t="shared" si="6274"/>
        <v>0615095782</v>
      </c>
      <c r="B17301" t="str">
        <f t="shared" si="6275"/>
        <v>TYLER</v>
      </c>
      <c r="C17301" t="str">
        <f t="shared" si="6276"/>
        <v>TWELLS</v>
      </c>
      <c r="D17301">
        <f>11</f>
        <v>11</v>
      </c>
      <c r="E17301" t="str">
        <f>"08 - B - 001 - Jerry S Jiampetti"</f>
        <v>08 - B - 001 - Jerry S Jiampetti</v>
      </c>
      <c r="F17301" t="str">
        <f>"AICE U.S. HIST 1 AS"</f>
        <v>AICE U.S. HIST 1 AS</v>
      </c>
      <c r="G17301" t="str">
        <f>"17-1751"</f>
        <v>17-1751</v>
      </c>
      <c r="H17301" t="str">
        <f>"B"</f>
        <v>B</v>
      </c>
    </row>
    <row r="17302" spans="1:8" x14ac:dyDescent="0.2">
      <c r="A17302" t="str">
        <f t="shared" ref="A17302:A17309" si="6277">"0613096866"</f>
        <v>0613096866</v>
      </c>
      <c r="B17302" t="str">
        <f t="shared" ref="B17302:B17309" si="6278">"LAGARIOUS"</f>
        <v>LAGARIOUS</v>
      </c>
      <c r="C17302" t="str">
        <f t="shared" ref="C17302:C17309" si="6279">"TYLER"</f>
        <v>TYLER</v>
      </c>
      <c r="D17302">
        <f>12</f>
        <v>12</v>
      </c>
      <c r="E17302" t="str">
        <f>"04 - A - 205 - Jacqueline R Morphet"</f>
        <v>04 - A - 205 - Jacqueline R Morphet</v>
      </c>
      <c r="F17302" t="str">
        <f>"PHYSICS 1 HON"</f>
        <v>PHYSICS 1 HON</v>
      </c>
      <c r="G17302" t="str">
        <f>"21-2138"</f>
        <v>21-2138</v>
      </c>
      <c r="H17302" t="str">
        <f>"A"</f>
        <v>A</v>
      </c>
    </row>
    <row r="17303" spans="1:8" x14ac:dyDescent="0.2">
      <c r="A17303" t="str">
        <f t="shared" si="6277"/>
        <v>0613096866</v>
      </c>
      <c r="B17303" t="str">
        <f t="shared" si="6278"/>
        <v>LAGARIOUS</v>
      </c>
      <c r="C17303" t="str">
        <f t="shared" si="6279"/>
        <v>TYLER</v>
      </c>
      <c r="D17303">
        <f>12</f>
        <v>12</v>
      </c>
      <c r="E17303" t="str">
        <f>"06 - B - 101 - Lenecy  Nodarse"</f>
        <v>06 - B - 101 - Lenecy  Nodarse</v>
      </c>
      <c r="F17303" t="str">
        <f>"NC STUDY HALL 1"</f>
        <v>NC STUDY HALL 1</v>
      </c>
      <c r="G17303" t="str">
        <f>"17-1741"</f>
        <v>17-1741</v>
      </c>
      <c r="H17303" t="str">
        <f>"B"</f>
        <v>B</v>
      </c>
    </row>
    <row r="17304" spans="1:8" x14ac:dyDescent="0.2">
      <c r="A17304" t="str">
        <f t="shared" si="6277"/>
        <v>0613096866</v>
      </c>
      <c r="B17304" t="str">
        <f t="shared" si="6278"/>
        <v>LAGARIOUS</v>
      </c>
      <c r="C17304" t="str">
        <f t="shared" si="6279"/>
        <v>TYLER</v>
      </c>
      <c r="D17304">
        <f>12</f>
        <v>12</v>
      </c>
      <c r="E17304" t="str">
        <f>"03 - A - 101 - Lourivaldo  Da Silva"</f>
        <v>03 - A - 101 - Lourivaldo  Da Silva</v>
      </c>
      <c r="F17304" t="str">
        <f>"AP STAT"</f>
        <v>AP STAT</v>
      </c>
      <c r="G17304" t="str">
        <f>"20-2079"</f>
        <v>20-2079</v>
      </c>
      <c r="H17304" t="str">
        <f>"A"</f>
        <v>A</v>
      </c>
    </row>
    <row r="17305" spans="1:8" x14ac:dyDescent="0.2">
      <c r="A17305" t="str">
        <f t="shared" si="6277"/>
        <v>0613096866</v>
      </c>
      <c r="B17305" t="str">
        <f t="shared" si="6278"/>
        <v>LAGARIOUS</v>
      </c>
      <c r="C17305" t="str">
        <f t="shared" si="6279"/>
        <v>TYLER</v>
      </c>
      <c r="D17305">
        <f>12</f>
        <v>12</v>
      </c>
      <c r="E17305" t="str">
        <f>"02 - A - 107 - Tina M Jaramillo"</f>
        <v>02 - A - 107 - Tina M Jaramillo</v>
      </c>
      <c r="F17305" t="str">
        <f>"AP ENG LIT COMPO"</f>
        <v>AP ENG LIT COMPO</v>
      </c>
      <c r="G17305" t="str">
        <f>"17-1706"</f>
        <v>17-1706</v>
      </c>
      <c r="H17305" t="str">
        <f>"A"</f>
        <v>A</v>
      </c>
    </row>
    <row r="17306" spans="1:8" x14ac:dyDescent="0.2">
      <c r="A17306" t="str">
        <f t="shared" si="6277"/>
        <v>0613096866</v>
      </c>
      <c r="B17306" t="str">
        <f t="shared" si="6278"/>
        <v>LAGARIOUS</v>
      </c>
      <c r="C17306" t="str">
        <f t="shared" si="6279"/>
        <v>TYLER</v>
      </c>
      <c r="D17306">
        <f>12</f>
        <v>12</v>
      </c>
      <c r="E17306" t="str">
        <f>"07 - S1 - B - 107 - Kelly N Panza"</f>
        <v>07 - S1 - B - 107 - Kelly N Panza</v>
      </c>
      <c r="F17306" t="str">
        <f>"US GOVT HON"</f>
        <v>US GOVT HON</v>
      </c>
      <c r="G17306" t="str">
        <f>"17-1753"</f>
        <v>17-1753</v>
      </c>
      <c r="H17306" t="str">
        <f>"B"</f>
        <v>B</v>
      </c>
    </row>
    <row r="17307" spans="1:8" x14ac:dyDescent="0.2">
      <c r="A17307" t="str">
        <f t="shared" si="6277"/>
        <v>0613096866</v>
      </c>
      <c r="B17307" t="str">
        <f t="shared" si="6278"/>
        <v>LAGARIOUS</v>
      </c>
      <c r="C17307" t="str">
        <f t="shared" si="6279"/>
        <v>TYLER</v>
      </c>
      <c r="D17307">
        <f>12</f>
        <v>12</v>
      </c>
      <c r="E17307" t="str">
        <f>"05 - B - 102 - Dorothy D Moore"</f>
        <v>05 - B - 102 - Dorothy D Moore</v>
      </c>
      <c r="F17307" t="str">
        <f>"FORC SCI 1 LH"</f>
        <v>FORC SCI 1 LH</v>
      </c>
      <c r="G17307" t="str">
        <f>"08-803"</f>
        <v>08-803</v>
      </c>
      <c r="H17307" t="str">
        <f>"B"</f>
        <v>B</v>
      </c>
    </row>
    <row r="17308" spans="1:8" x14ac:dyDescent="0.2">
      <c r="A17308" t="str">
        <f t="shared" si="6277"/>
        <v>0613096866</v>
      </c>
      <c r="B17308" t="str">
        <f t="shared" si="6278"/>
        <v>LAGARIOUS</v>
      </c>
      <c r="C17308" t="str">
        <f t="shared" si="6279"/>
        <v>TYLER</v>
      </c>
      <c r="D17308">
        <f>12</f>
        <v>12</v>
      </c>
      <c r="E17308" t="str">
        <f>"01 - A - 101 - Nikiel  Nesbeth"</f>
        <v>01 - A - 101 - Nikiel  Nesbeth</v>
      </c>
      <c r="F17308" t="str">
        <f>"CONST LAW HON"</f>
        <v>CONST LAW HON</v>
      </c>
      <c r="G17308" t="str">
        <f>"17-1705"</f>
        <v>17-1705</v>
      </c>
      <c r="H17308" t="str">
        <f>"A"</f>
        <v>A</v>
      </c>
    </row>
    <row r="17309" spans="1:8" x14ac:dyDescent="0.2">
      <c r="A17309" t="str">
        <f t="shared" si="6277"/>
        <v>0613096866</v>
      </c>
      <c r="B17309" t="str">
        <f t="shared" si="6278"/>
        <v>LAGARIOUS</v>
      </c>
      <c r="C17309" t="str">
        <f t="shared" si="6279"/>
        <v>TYLER</v>
      </c>
      <c r="D17309">
        <f>12</f>
        <v>12</v>
      </c>
      <c r="E17309" t="str">
        <f>"08 - B - 102 - Lisa J London"</f>
        <v>08 - B - 102 - Lisa J London</v>
      </c>
      <c r="F17309" t="str">
        <f>"AP CAPSTONE RESEARCH"</f>
        <v>AP CAPSTONE RESEARCH</v>
      </c>
      <c r="G17309" t="str">
        <f>"17-1714"</f>
        <v>17-1714</v>
      </c>
      <c r="H17309" t="str">
        <f>"B"</f>
        <v>B</v>
      </c>
    </row>
    <row r="17310" spans="1:8" x14ac:dyDescent="0.2">
      <c r="A17310" t="str">
        <f t="shared" ref="A17310:A17317" si="6280">"0616137713"</f>
        <v>0616137713</v>
      </c>
      <c r="B17310" t="str">
        <f t="shared" ref="B17310:B17317" si="6281">"SOREN"</f>
        <v>SOREN</v>
      </c>
      <c r="C17310" t="str">
        <f t="shared" ref="C17310:C17317" si="6282">"UEBRIG"</f>
        <v>UEBRIG</v>
      </c>
      <c r="D17310" t="str">
        <f t="shared" ref="D17310:D17325" si="6283">"09"</f>
        <v>09</v>
      </c>
      <c r="E17310" t="str">
        <f>"04 - A - 105 - Carol S Moore"</f>
        <v>04 - A - 105 - Carol S Moore</v>
      </c>
      <c r="F17310" t="str">
        <f>"PRE-AICE WRLD HST IG"</f>
        <v>PRE-AICE WRLD HST IG</v>
      </c>
      <c r="G17310" t="str">
        <f>"17-1733"</f>
        <v>17-1733</v>
      </c>
      <c r="H17310" t="str">
        <f>"A"</f>
        <v>A</v>
      </c>
    </row>
    <row r="17311" spans="1:8" x14ac:dyDescent="0.2">
      <c r="A17311" t="str">
        <f t="shared" si="6280"/>
        <v>0616137713</v>
      </c>
      <c r="B17311" t="str">
        <f t="shared" si="6281"/>
        <v>SOREN</v>
      </c>
      <c r="C17311" t="str">
        <f t="shared" si="6282"/>
        <v>UEBRIG</v>
      </c>
      <c r="D17311" t="str">
        <f t="shared" si="6283"/>
        <v>09</v>
      </c>
      <c r="E17311" t="str">
        <f>"06 - B - 106 - Adam Marcus  Drucker"</f>
        <v>06 - B - 106 - Adam Marcus  Drucker</v>
      </c>
      <c r="F17311" t="str">
        <f>"HOPE-PE V"</f>
        <v>HOPE-PE V</v>
      </c>
      <c r="G17311" t="str">
        <f>"04-254"</f>
        <v>04-254</v>
      </c>
      <c r="H17311" t="str">
        <f>"B"</f>
        <v>B</v>
      </c>
    </row>
    <row r="17312" spans="1:8" x14ac:dyDescent="0.2">
      <c r="A17312" t="str">
        <f t="shared" si="6280"/>
        <v>0616137713</v>
      </c>
      <c r="B17312" t="str">
        <f t="shared" si="6281"/>
        <v>SOREN</v>
      </c>
      <c r="C17312" t="str">
        <f t="shared" si="6282"/>
        <v>UEBRIG</v>
      </c>
      <c r="D17312" t="str">
        <f t="shared" si="6283"/>
        <v>09</v>
      </c>
      <c r="E17312" t="str">
        <f>"03 - A - 101 - Scott A Dethloff"</f>
        <v>03 - A - 101 - Scott A Dethloff</v>
      </c>
      <c r="F17312" t="str">
        <f>"CHEMISTRY 1 HON"</f>
        <v>CHEMISTRY 1 HON</v>
      </c>
      <c r="G17312" t="str">
        <f>"08-812"</f>
        <v>08-812</v>
      </c>
      <c r="H17312" t="str">
        <f>"A"</f>
        <v>A</v>
      </c>
    </row>
    <row r="17313" spans="1:8" x14ac:dyDescent="0.2">
      <c r="A17313" t="str">
        <f t="shared" si="6280"/>
        <v>0616137713</v>
      </c>
      <c r="B17313" t="str">
        <f t="shared" si="6281"/>
        <v>SOREN</v>
      </c>
      <c r="C17313" t="str">
        <f t="shared" si="6282"/>
        <v>UEBRIG</v>
      </c>
      <c r="D17313" t="str">
        <f t="shared" si="6283"/>
        <v>09</v>
      </c>
      <c r="E17313" t="str">
        <f>"02 - A - 111 - Cheryl L Beach"</f>
        <v>02 - A - 111 - Cheryl L Beach</v>
      </c>
      <c r="F17313" t="str">
        <f>"NC STUDY HALL 1"</f>
        <v>NC STUDY HALL 1</v>
      </c>
      <c r="G17313" t="str">
        <f>"08-811"</f>
        <v>08-811</v>
      </c>
      <c r="H17313" t="str">
        <f>"A"</f>
        <v>A</v>
      </c>
    </row>
    <row r="17314" spans="1:8" x14ac:dyDescent="0.2">
      <c r="A17314" t="str">
        <f t="shared" si="6280"/>
        <v>0616137713</v>
      </c>
      <c r="B17314" t="str">
        <f t="shared" si="6281"/>
        <v>SOREN</v>
      </c>
      <c r="C17314" t="str">
        <f t="shared" si="6282"/>
        <v>UEBRIG</v>
      </c>
      <c r="D17314" t="str">
        <f t="shared" si="6283"/>
        <v>09</v>
      </c>
      <c r="E17314" t="str">
        <f>"07 - B - 105 - Joe  Kilpatrick Jr"</f>
        <v>07 - B - 105 - Joe  Kilpatrick Jr</v>
      </c>
      <c r="F17314" t="str">
        <f>"PRE-AICE SPAN 1 IG"</f>
        <v>PRE-AICE SPAN 1 IG</v>
      </c>
      <c r="G17314" t="str">
        <f>"09-912"</f>
        <v>09-912</v>
      </c>
      <c r="H17314" t="str">
        <f>"B"</f>
        <v>B</v>
      </c>
    </row>
    <row r="17315" spans="1:8" x14ac:dyDescent="0.2">
      <c r="A17315" t="str">
        <f t="shared" si="6280"/>
        <v>0616137713</v>
      </c>
      <c r="B17315" t="str">
        <f t="shared" si="6281"/>
        <v>SOREN</v>
      </c>
      <c r="C17315" t="str">
        <f t="shared" si="6282"/>
        <v>UEBRIG</v>
      </c>
      <c r="D17315" t="str">
        <f t="shared" si="6283"/>
        <v>09</v>
      </c>
      <c r="E17315" t="str">
        <f>"05 - B - 201 - Lisa J London"</f>
        <v>05 - B - 201 - Lisa J London</v>
      </c>
      <c r="F17315" t="str">
        <f>"COMPRE LAW HON"</f>
        <v>COMPRE LAW HON</v>
      </c>
      <c r="G17315" t="str">
        <f>"17-1714"</f>
        <v>17-1714</v>
      </c>
      <c r="H17315" t="str">
        <f>"B"</f>
        <v>B</v>
      </c>
    </row>
    <row r="17316" spans="1:8" x14ac:dyDescent="0.2">
      <c r="A17316" t="str">
        <f t="shared" si="6280"/>
        <v>0616137713</v>
      </c>
      <c r="B17316" t="str">
        <f t="shared" si="6281"/>
        <v>SOREN</v>
      </c>
      <c r="C17316" t="str">
        <f t="shared" si="6282"/>
        <v>UEBRIG</v>
      </c>
      <c r="D17316" t="str">
        <f t="shared" si="6283"/>
        <v>09</v>
      </c>
      <c r="E17316" t="str">
        <f>"01 - A - 101 - Elizabeth R Walker"</f>
        <v>01 - A - 101 - Elizabeth R Walker</v>
      </c>
      <c r="F17316" t="str">
        <f>"AICE ENG GEN PAPER 1"</f>
        <v>AICE ENG GEN PAPER 1</v>
      </c>
      <c r="G17316" t="str">
        <f>"17-1703"</f>
        <v>17-1703</v>
      </c>
      <c r="H17316" t="str">
        <f>"A"</f>
        <v>A</v>
      </c>
    </row>
    <row r="17317" spans="1:8" x14ac:dyDescent="0.2">
      <c r="A17317" t="str">
        <f t="shared" si="6280"/>
        <v>0616137713</v>
      </c>
      <c r="B17317" t="str">
        <f t="shared" si="6281"/>
        <v>SOREN</v>
      </c>
      <c r="C17317" t="str">
        <f t="shared" si="6282"/>
        <v>UEBRIG</v>
      </c>
      <c r="D17317" t="str">
        <f t="shared" si="6283"/>
        <v>09</v>
      </c>
      <c r="E17317" t="str">
        <f>"08 - B - 102 - Maried P Ramos"</f>
        <v>08 - B - 102 - Maried P Ramos</v>
      </c>
      <c r="F17317" t="str">
        <f>"ALGEBRA 2 HON"</f>
        <v>ALGEBRA 2 HON</v>
      </c>
      <c r="G17317" t="str">
        <f>"21-2159"</f>
        <v>21-2159</v>
      </c>
      <c r="H17317" t="str">
        <f>"B"</f>
        <v>B</v>
      </c>
    </row>
    <row r="17318" spans="1:8" x14ac:dyDescent="0.2">
      <c r="A17318" t="str">
        <f t="shared" ref="A17318:A17325" si="6284">"0612098072"</f>
        <v>0612098072</v>
      </c>
      <c r="B17318" t="str">
        <f t="shared" ref="B17318:B17325" si="6285">"KENIA"</f>
        <v>KENIA</v>
      </c>
      <c r="C17318" t="str">
        <f t="shared" ref="C17318:C17325" si="6286">"UMANA DIAZ"</f>
        <v>UMANA DIAZ</v>
      </c>
      <c r="D17318" t="str">
        <f t="shared" si="6283"/>
        <v>09</v>
      </c>
      <c r="E17318" t="str">
        <f>"04 - A - 104 - Brook E Goren"</f>
        <v>04 - A - 104 - Brook E Goren</v>
      </c>
      <c r="F17318" t="str">
        <f>"ALGEBRA 2 HON"</f>
        <v>ALGEBRA 2 HON</v>
      </c>
      <c r="G17318" t="str">
        <f>"21-2158"</f>
        <v>21-2158</v>
      </c>
      <c r="H17318" t="str">
        <f>"A"</f>
        <v>A</v>
      </c>
    </row>
    <row r="17319" spans="1:8" x14ac:dyDescent="0.2">
      <c r="A17319" t="str">
        <f t="shared" si="6284"/>
        <v>0612098072</v>
      </c>
      <c r="B17319" t="str">
        <f t="shared" si="6285"/>
        <v>KENIA</v>
      </c>
      <c r="C17319" t="str">
        <f t="shared" si="6286"/>
        <v>UMANA DIAZ</v>
      </c>
      <c r="D17319" t="str">
        <f t="shared" si="6283"/>
        <v>09</v>
      </c>
      <c r="E17319" t="str">
        <f>"06 - B - 105 - Cheryl L Beach"</f>
        <v>06 - B - 105 - Cheryl L Beach</v>
      </c>
      <c r="F17319" t="str">
        <f>"AICE ENV MGMNT AS"</f>
        <v>AICE ENV MGMNT AS</v>
      </c>
      <c r="G17319" t="str">
        <f>"08-811"</f>
        <v>08-811</v>
      </c>
      <c r="H17319" t="str">
        <f>"B"</f>
        <v>B</v>
      </c>
    </row>
    <row r="17320" spans="1:8" x14ac:dyDescent="0.2">
      <c r="A17320" t="str">
        <f t="shared" si="6284"/>
        <v>0612098072</v>
      </c>
      <c r="B17320" t="str">
        <f t="shared" si="6285"/>
        <v>KENIA</v>
      </c>
      <c r="C17320" t="str">
        <f t="shared" si="6286"/>
        <v>UMANA DIAZ</v>
      </c>
      <c r="D17320" t="str">
        <f t="shared" si="6283"/>
        <v>09</v>
      </c>
      <c r="E17320" t="str">
        <f>"03 - A - 101 - Samantha L Martinez"</f>
        <v>03 - A - 101 - Samantha L Martinez</v>
      </c>
      <c r="F17320" t="str">
        <f>"VOCAL ENS 1"</f>
        <v>VOCAL ENS 1</v>
      </c>
      <c r="G17320" t="str">
        <f>"05-505"</f>
        <v>05-505</v>
      </c>
      <c r="H17320" t="str">
        <f>"A"</f>
        <v>A</v>
      </c>
    </row>
    <row r="17321" spans="1:8" x14ac:dyDescent="0.2">
      <c r="A17321" t="str">
        <f t="shared" si="6284"/>
        <v>0612098072</v>
      </c>
      <c r="B17321" t="str">
        <f t="shared" si="6285"/>
        <v>KENIA</v>
      </c>
      <c r="C17321" t="str">
        <f t="shared" si="6286"/>
        <v>UMANA DIAZ</v>
      </c>
      <c r="D17321" t="str">
        <f t="shared" si="6283"/>
        <v>09</v>
      </c>
      <c r="E17321" t="str">
        <f>"02 - A - 103 - Arthur  Kulawik"</f>
        <v>02 - A - 103 - Arthur  Kulawik</v>
      </c>
      <c r="F17321" t="str">
        <f>"NC STUDY HALL 1"</f>
        <v>NC STUDY HALL 1</v>
      </c>
      <c r="G17321" t="str">
        <f>"05-506"</f>
        <v>05-506</v>
      </c>
      <c r="H17321" t="str">
        <f>"A"</f>
        <v>A</v>
      </c>
    </row>
    <row r="17322" spans="1:8" x14ac:dyDescent="0.2">
      <c r="A17322" t="str">
        <f t="shared" si="6284"/>
        <v>0612098072</v>
      </c>
      <c r="B17322" t="str">
        <f t="shared" si="6285"/>
        <v>KENIA</v>
      </c>
      <c r="C17322" t="str">
        <f t="shared" si="6286"/>
        <v>UMANA DIAZ</v>
      </c>
      <c r="D17322" t="str">
        <f t="shared" si="6283"/>
        <v>09</v>
      </c>
      <c r="E17322" t="str">
        <f>"07 - B - 207 - Krystal Marie  Beruty"</f>
        <v>07 - B - 207 - Krystal Marie  Beruty</v>
      </c>
      <c r="F17322" t="str">
        <f>"AICE GLBL PERSP 1 AS"</f>
        <v>AICE GLBL PERSP 1 AS</v>
      </c>
      <c r="G17322" t="str">
        <f>"17-1721"</f>
        <v>17-1721</v>
      </c>
      <c r="H17322" t="str">
        <f>"B"</f>
        <v>B</v>
      </c>
    </row>
    <row r="17323" spans="1:8" x14ac:dyDescent="0.2">
      <c r="A17323" t="str">
        <f t="shared" si="6284"/>
        <v>0612098072</v>
      </c>
      <c r="B17323" t="str">
        <f t="shared" si="6285"/>
        <v>KENIA</v>
      </c>
      <c r="C17323" t="str">
        <f t="shared" si="6286"/>
        <v>UMANA DIAZ</v>
      </c>
      <c r="D17323" t="str">
        <f t="shared" si="6283"/>
        <v>09</v>
      </c>
      <c r="E17323" t="str">
        <f>"05 - B - 205 - Rosa Elaine  Collado-Duff"</f>
        <v>05 - B - 205 - Rosa Elaine  Collado-Duff</v>
      </c>
      <c r="F17323" t="str">
        <f>"PRE-AICE SPAN 2 IG"</f>
        <v>PRE-AICE SPAN 2 IG</v>
      </c>
      <c r="G17323" t="str">
        <f>"09-913"</f>
        <v>09-913</v>
      </c>
      <c r="H17323" t="str">
        <f>"B"</f>
        <v>B</v>
      </c>
    </row>
    <row r="17324" spans="1:8" x14ac:dyDescent="0.2">
      <c r="A17324" t="str">
        <f t="shared" si="6284"/>
        <v>0612098072</v>
      </c>
      <c r="B17324" t="str">
        <f t="shared" si="6285"/>
        <v>KENIA</v>
      </c>
      <c r="C17324" t="str">
        <f t="shared" si="6286"/>
        <v>UMANA DIAZ</v>
      </c>
      <c r="D17324" t="str">
        <f t="shared" si="6283"/>
        <v>09</v>
      </c>
      <c r="E17324" t="str">
        <f>"01 - A - 101 - Brian M Fitzgerald"</f>
        <v>01 - A - 101 - Brian M Fitzgerald</v>
      </c>
      <c r="F17324" t="str">
        <f>"CERAM/POT 1"</f>
        <v>CERAM/POT 1</v>
      </c>
      <c r="G17324" t="str">
        <f>"09-908"</f>
        <v>09-908</v>
      </c>
      <c r="H17324" t="str">
        <f>"A"</f>
        <v>A</v>
      </c>
    </row>
    <row r="17325" spans="1:8" x14ac:dyDescent="0.2">
      <c r="A17325" t="str">
        <f t="shared" si="6284"/>
        <v>0612098072</v>
      </c>
      <c r="B17325" t="str">
        <f t="shared" si="6285"/>
        <v>KENIA</v>
      </c>
      <c r="C17325" t="str">
        <f t="shared" si="6286"/>
        <v>UMANA DIAZ</v>
      </c>
      <c r="D17325" t="str">
        <f t="shared" si="6283"/>
        <v>09</v>
      </c>
      <c r="E17325" t="str">
        <f>"08 - B - 201 - Elizabeth R Walker"</f>
        <v>08 - B - 201 - Elizabeth R Walker</v>
      </c>
      <c r="F17325" t="str">
        <f>"AICE ENG GEN PAPER 1"</f>
        <v>AICE ENG GEN PAPER 1</v>
      </c>
      <c r="G17325" t="str">
        <f>"17-1703"</f>
        <v>17-1703</v>
      </c>
      <c r="H17325" t="str">
        <f>"B"</f>
        <v>B</v>
      </c>
    </row>
    <row r="17326" spans="1:8" x14ac:dyDescent="0.2">
      <c r="A17326" t="str">
        <f t="shared" ref="A17326:A17334" si="6287">"0615097156"</f>
        <v>0615097156</v>
      </c>
      <c r="B17326" t="str">
        <f t="shared" ref="B17326:B17334" si="6288">"BROOKLYN"</f>
        <v>BROOKLYN</v>
      </c>
      <c r="C17326" t="str">
        <f t="shared" ref="C17326:C17334" si="6289">"UNG-PINEIRO"</f>
        <v>UNG-PINEIRO</v>
      </c>
      <c r="D17326">
        <f>10</f>
        <v>10</v>
      </c>
      <c r="E17326" t="str">
        <f>"19 - S1 - MTWHF - B18 - Instructor BC"</f>
        <v>19 - S1 - MTWHF - B18 - Instructor BC</v>
      </c>
      <c r="F17326" t="str">
        <f>"CALC &amp; ANALYT GEO II"</f>
        <v>CALC &amp; ANALYT GEO II</v>
      </c>
      <c r="G17326" t="str">
        <f>"60-DE"</f>
        <v>60-DE</v>
      </c>
      <c r="H17326" t="str">
        <f>"-"</f>
        <v>-</v>
      </c>
    </row>
    <row r="17327" spans="1:8" x14ac:dyDescent="0.2">
      <c r="A17327" t="str">
        <f t="shared" si="6287"/>
        <v>0615097156</v>
      </c>
      <c r="B17327" t="str">
        <f t="shared" si="6288"/>
        <v>BROOKLYN</v>
      </c>
      <c r="C17327" t="str">
        <f t="shared" si="6289"/>
        <v>UNG-PINEIRO</v>
      </c>
      <c r="D17327">
        <f>10</f>
        <v>10</v>
      </c>
      <c r="E17327" t="str">
        <f>"04 - A - 105 - Jacklyn M James"</f>
        <v>04 - A - 105 - Jacklyn M James</v>
      </c>
      <c r="F17327" t="str">
        <f>"AICE ENG LANG AS"</f>
        <v>AICE ENG LANG AS</v>
      </c>
      <c r="G17327" t="str">
        <f>"17-1731"</f>
        <v>17-1731</v>
      </c>
      <c r="H17327" t="str">
        <f>"A"</f>
        <v>A</v>
      </c>
    </row>
    <row r="17328" spans="1:8" x14ac:dyDescent="0.2">
      <c r="A17328" t="str">
        <f t="shared" si="6287"/>
        <v>0615097156</v>
      </c>
      <c r="B17328" t="str">
        <f t="shared" si="6288"/>
        <v>BROOKLYN</v>
      </c>
      <c r="C17328" t="str">
        <f t="shared" si="6289"/>
        <v>UNG-PINEIRO</v>
      </c>
      <c r="D17328">
        <f>10</f>
        <v>10</v>
      </c>
      <c r="E17328" t="str">
        <f>"06 - B - 107 - Dorothy D Moore"</f>
        <v>06 - B - 107 - Dorothy D Moore</v>
      </c>
      <c r="F17328" t="str">
        <f>"NC STUDY HALL 1"</f>
        <v>NC STUDY HALL 1</v>
      </c>
      <c r="G17328" t="str">
        <f>"08-803"</f>
        <v>08-803</v>
      </c>
      <c r="H17328" t="str">
        <f>"B"</f>
        <v>B</v>
      </c>
    </row>
    <row r="17329" spans="1:8" x14ac:dyDescent="0.2">
      <c r="A17329" t="str">
        <f t="shared" si="6287"/>
        <v>0615097156</v>
      </c>
      <c r="B17329" t="str">
        <f t="shared" si="6288"/>
        <v>BROOKLYN</v>
      </c>
      <c r="C17329" t="str">
        <f t="shared" si="6289"/>
        <v>UNG-PINEIRO</v>
      </c>
      <c r="D17329">
        <f>10</f>
        <v>10</v>
      </c>
      <c r="E17329" t="str">
        <f>"03 - A - 101 - Timothy J Lawrence"</f>
        <v>03 - A - 101 - Timothy J Lawrence</v>
      </c>
      <c r="F17329" t="str">
        <f>"AICE PHYS ED 1 AS"</f>
        <v>AICE PHYS ED 1 AS</v>
      </c>
      <c r="G17329" t="str">
        <f>"05-519"</f>
        <v>05-519</v>
      </c>
      <c r="H17329" t="str">
        <f>"A"</f>
        <v>A</v>
      </c>
    </row>
    <row r="17330" spans="1:8" x14ac:dyDescent="0.2">
      <c r="A17330" t="str">
        <f t="shared" si="6287"/>
        <v>0615097156</v>
      </c>
      <c r="B17330" t="str">
        <f t="shared" si="6288"/>
        <v>BROOKLYN</v>
      </c>
      <c r="C17330" t="str">
        <f t="shared" si="6289"/>
        <v>UNG-PINEIRO</v>
      </c>
      <c r="D17330">
        <f>10</f>
        <v>10</v>
      </c>
      <c r="E17330" t="str">
        <f>"02 - A - 104 - Joe  Kilpatrick Jr"</f>
        <v>02 - A - 104 - Joe  Kilpatrick Jr</v>
      </c>
      <c r="F17330" t="str">
        <f>"PRE-AICE SPAN 2 IG"</f>
        <v>PRE-AICE SPAN 2 IG</v>
      </c>
      <c r="G17330" t="str">
        <f>"09-912"</f>
        <v>09-912</v>
      </c>
      <c r="H17330" t="str">
        <f>"A"</f>
        <v>A</v>
      </c>
    </row>
    <row r="17331" spans="1:8" x14ac:dyDescent="0.2">
      <c r="A17331" t="str">
        <f t="shared" si="6287"/>
        <v>0615097156</v>
      </c>
      <c r="B17331" t="str">
        <f t="shared" si="6288"/>
        <v>BROOKLYN</v>
      </c>
      <c r="C17331" t="str">
        <f t="shared" si="6289"/>
        <v>UNG-PINEIRO</v>
      </c>
      <c r="D17331">
        <f>10</f>
        <v>10</v>
      </c>
      <c r="E17331" t="str">
        <f>"07 - B - 204 - Stefanie S Scher"</f>
        <v>07 - B - 204 - Stefanie S Scher</v>
      </c>
      <c r="F17331" t="str">
        <f>"AP PSYCH"</f>
        <v>AP PSYCH</v>
      </c>
      <c r="G17331" t="str">
        <f>"17-1735"</f>
        <v>17-1735</v>
      </c>
      <c r="H17331" t="str">
        <f>"B"</f>
        <v>B</v>
      </c>
    </row>
    <row r="17332" spans="1:8" x14ac:dyDescent="0.2">
      <c r="A17332" t="str">
        <f t="shared" si="6287"/>
        <v>0615097156</v>
      </c>
      <c r="B17332" t="str">
        <f t="shared" si="6288"/>
        <v>BROOKLYN</v>
      </c>
      <c r="C17332" t="str">
        <f t="shared" si="6289"/>
        <v>UNG-PINEIRO</v>
      </c>
      <c r="D17332">
        <f>10</f>
        <v>10</v>
      </c>
      <c r="E17332" t="str">
        <f>"05 - B - 101 - Jordana K Hass"</f>
        <v>05 - B - 101 - Jordana K Hass</v>
      </c>
      <c r="F17332" t="str">
        <f>"AP COMP SCI PRIN"</f>
        <v>AP COMP SCI PRIN</v>
      </c>
      <c r="G17332" t="str">
        <f>"08-807"</f>
        <v>08-807</v>
      </c>
      <c r="H17332" t="str">
        <f>"B"</f>
        <v>B</v>
      </c>
    </row>
    <row r="17333" spans="1:8" x14ac:dyDescent="0.2">
      <c r="A17333" t="str">
        <f t="shared" si="6287"/>
        <v>0615097156</v>
      </c>
      <c r="B17333" t="str">
        <f t="shared" si="6288"/>
        <v>BROOKLYN</v>
      </c>
      <c r="C17333" t="str">
        <f t="shared" si="6289"/>
        <v>UNG-PINEIRO</v>
      </c>
      <c r="D17333">
        <f>10</f>
        <v>10</v>
      </c>
      <c r="E17333" t="str">
        <f>"01 - A - 107 - Valerie J Ruwe"</f>
        <v>01 - A - 107 - Valerie J Ruwe</v>
      </c>
      <c r="F17333" t="str">
        <f>"CHEMISTRY 1 HON"</f>
        <v>CHEMISTRY 1 HON</v>
      </c>
      <c r="G17333" t="str">
        <f>"21-2134"</f>
        <v>21-2134</v>
      </c>
      <c r="H17333" t="str">
        <f>"A"</f>
        <v>A</v>
      </c>
    </row>
    <row r="17334" spans="1:8" x14ac:dyDescent="0.2">
      <c r="A17334" t="str">
        <f t="shared" si="6287"/>
        <v>0615097156</v>
      </c>
      <c r="B17334" t="str">
        <f t="shared" si="6288"/>
        <v>BROOKLYN</v>
      </c>
      <c r="C17334" t="str">
        <f t="shared" si="6289"/>
        <v>UNG-PINEIRO</v>
      </c>
      <c r="D17334">
        <f>10</f>
        <v>10</v>
      </c>
      <c r="E17334" t="str">
        <f>"08 - B - 201 - Lenecy  Nodarse"</f>
        <v>08 - B - 201 - Lenecy  Nodarse</v>
      </c>
      <c r="F17334" t="str">
        <f>"AICE EURO HIST 1 AS"</f>
        <v>AICE EURO HIST 1 AS</v>
      </c>
      <c r="G17334" t="str">
        <f>"17-1741"</f>
        <v>17-1741</v>
      </c>
      <c r="H17334" t="str">
        <f>"B"</f>
        <v>B</v>
      </c>
    </row>
    <row r="17335" spans="1:8" x14ac:dyDescent="0.2">
      <c r="A17335" t="str">
        <f t="shared" ref="A17335:A17342" si="6290">"0617029912"</f>
        <v>0617029912</v>
      </c>
      <c r="B17335" t="str">
        <f t="shared" ref="B17335:B17342" si="6291">"JONATHAN"</f>
        <v>JONATHAN</v>
      </c>
      <c r="C17335" t="str">
        <f t="shared" ref="C17335:C17342" si="6292">"URQUILLA GOMEZ"</f>
        <v>URQUILLA GOMEZ</v>
      </c>
      <c r="D17335" t="str">
        <f t="shared" ref="D17335:D17342" si="6293">"09"</f>
        <v>09</v>
      </c>
      <c r="E17335" t="str">
        <f>"04 - A - 201 - Norayda D Suarez"</f>
        <v>04 - A - 201 - Norayda D Suarez</v>
      </c>
      <c r="F17335" t="str">
        <f>"ANAT PHYSIO HON"</f>
        <v>ANAT PHYSIO HON</v>
      </c>
      <c r="G17335" t="str">
        <f>"21-2142"</f>
        <v>21-2142</v>
      </c>
      <c r="H17335" t="str">
        <f>"A"</f>
        <v>A</v>
      </c>
    </row>
    <row r="17336" spans="1:8" x14ac:dyDescent="0.2">
      <c r="A17336" t="str">
        <f t="shared" si="6290"/>
        <v>0617029912</v>
      </c>
      <c r="B17336" t="str">
        <f t="shared" si="6291"/>
        <v>JONATHAN</v>
      </c>
      <c r="C17336" t="str">
        <f t="shared" si="6292"/>
        <v>URQUILLA GOMEZ</v>
      </c>
      <c r="D17336" t="str">
        <f t="shared" si="6293"/>
        <v>09</v>
      </c>
      <c r="E17336" t="str">
        <f>"06 - B - 104 - Eva T Rimmer"</f>
        <v>06 - B - 104 - Eva T Rimmer</v>
      </c>
      <c r="F17336" t="str">
        <f>"CRIMINAL JUST OPS 1"</f>
        <v>CRIMINAL JUST OPS 1</v>
      </c>
      <c r="G17336" t="str">
        <f>"05-523"</f>
        <v>05-523</v>
      </c>
      <c r="H17336" t="str">
        <f>"B"</f>
        <v>B</v>
      </c>
    </row>
    <row r="17337" spans="1:8" x14ac:dyDescent="0.2">
      <c r="A17337" t="str">
        <f t="shared" si="6290"/>
        <v>0617029912</v>
      </c>
      <c r="B17337" t="str">
        <f t="shared" si="6291"/>
        <v>JONATHAN</v>
      </c>
      <c r="C17337" t="str">
        <f t="shared" si="6292"/>
        <v>URQUILLA GOMEZ</v>
      </c>
      <c r="D17337" t="str">
        <f t="shared" si="6293"/>
        <v>09</v>
      </c>
      <c r="E17337" t="str">
        <f>"03 - A - 201 - Emmily A Sarmiento"</f>
        <v>03 - A - 201 - Emmily A Sarmiento</v>
      </c>
      <c r="F17337" t="str">
        <f>"LEAD SKLS DEV LH"</f>
        <v>LEAD SKLS DEV LH</v>
      </c>
      <c r="G17337" t="str">
        <f>"17-1743"</f>
        <v>17-1743</v>
      </c>
      <c r="H17337" t="str">
        <f>"A"</f>
        <v>A</v>
      </c>
    </row>
    <row r="17338" spans="1:8" x14ac:dyDescent="0.2">
      <c r="A17338" t="str">
        <f t="shared" si="6290"/>
        <v>0617029912</v>
      </c>
      <c r="B17338" t="str">
        <f t="shared" si="6291"/>
        <v>JONATHAN</v>
      </c>
      <c r="C17338" t="str">
        <f t="shared" si="6292"/>
        <v>URQUILLA GOMEZ</v>
      </c>
      <c r="D17338" t="str">
        <f t="shared" si="6293"/>
        <v>09</v>
      </c>
      <c r="E17338" t="str">
        <f>"02 - A - 104 - Lytrell T Dixon"</f>
        <v>02 - A - 104 - Lytrell T Dixon</v>
      </c>
      <c r="F17338" t="str">
        <f>"NC STUDY HALL 1"</f>
        <v>NC STUDY HALL 1</v>
      </c>
      <c r="G17338" t="str">
        <f>"08-808"</f>
        <v>08-808</v>
      </c>
      <c r="H17338" t="str">
        <f>"A"</f>
        <v>A</v>
      </c>
    </row>
    <row r="17339" spans="1:8" x14ac:dyDescent="0.2">
      <c r="A17339" t="str">
        <f t="shared" si="6290"/>
        <v>0617029912</v>
      </c>
      <c r="B17339" t="str">
        <f t="shared" si="6291"/>
        <v>JONATHAN</v>
      </c>
      <c r="C17339" t="str">
        <f t="shared" si="6292"/>
        <v>URQUILLA GOMEZ</v>
      </c>
      <c r="D17339" t="str">
        <f t="shared" si="6293"/>
        <v>09</v>
      </c>
      <c r="E17339" t="str">
        <f>"07 - B - 202 - Chrystina M Marchionne"</f>
        <v>07 - B - 202 - Chrystina M Marchionne</v>
      </c>
      <c r="F17339" t="str">
        <f>"JOURN 1 (YB) LH"</f>
        <v>JOURN 1 (YB) LH</v>
      </c>
      <c r="G17339" t="str">
        <f>"05-520"</f>
        <v>05-520</v>
      </c>
      <c r="H17339" t="str">
        <f>"B"</f>
        <v>B</v>
      </c>
    </row>
    <row r="17340" spans="1:8" x14ac:dyDescent="0.2">
      <c r="A17340" t="str">
        <f t="shared" si="6290"/>
        <v>0617029912</v>
      </c>
      <c r="B17340" t="str">
        <f t="shared" si="6291"/>
        <v>JONATHAN</v>
      </c>
      <c r="C17340" t="str">
        <f t="shared" si="6292"/>
        <v>URQUILLA GOMEZ</v>
      </c>
      <c r="D17340" t="str">
        <f t="shared" si="6293"/>
        <v>09</v>
      </c>
      <c r="E17340" t="str">
        <f>"05 - B - 106 - Fernando  Vega-Cid"</f>
        <v>05 - B - 106 - Fernando  Vega-Cid</v>
      </c>
      <c r="F17340" t="str">
        <f>"GEOMETRY"</f>
        <v>GEOMETRY</v>
      </c>
      <c r="G17340" t="str">
        <f>"21-2163"</f>
        <v>21-2163</v>
      </c>
      <c r="H17340" t="str">
        <f>"B"</f>
        <v>B</v>
      </c>
    </row>
    <row r="17341" spans="1:8" x14ac:dyDescent="0.2">
      <c r="A17341" t="str">
        <f t="shared" si="6290"/>
        <v>0617029912</v>
      </c>
      <c r="B17341" t="str">
        <f t="shared" si="6291"/>
        <v>JONATHAN</v>
      </c>
      <c r="C17341" t="str">
        <f t="shared" si="6292"/>
        <v>URQUILLA GOMEZ</v>
      </c>
      <c r="D17341" t="str">
        <f t="shared" si="6293"/>
        <v>09</v>
      </c>
      <c r="E17341" t="str">
        <f>"01 - A - 101 - Rory T Sponsler"</f>
        <v>01 - A - 101 - Rory T Sponsler</v>
      </c>
      <c r="F17341" t="str">
        <f>"PRE-AICE WRLD HST IG"</f>
        <v>PRE-AICE WRLD HST IG</v>
      </c>
      <c r="G17341" t="str">
        <f>"17-1740"</f>
        <v>17-1740</v>
      </c>
      <c r="H17341" t="str">
        <f>"A"</f>
        <v>A</v>
      </c>
    </row>
    <row r="17342" spans="1:8" x14ac:dyDescent="0.2">
      <c r="A17342" t="str">
        <f t="shared" si="6290"/>
        <v>0617029912</v>
      </c>
      <c r="B17342" t="str">
        <f t="shared" si="6291"/>
        <v>JONATHAN</v>
      </c>
      <c r="C17342" t="str">
        <f t="shared" si="6292"/>
        <v>URQUILLA GOMEZ</v>
      </c>
      <c r="D17342" t="str">
        <f t="shared" si="6293"/>
        <v>09</v>
      </c>
      <c r="E17342" t="str">
        <f>"08 - B - 004 - Cheryl Anne  Berman-Schechter"</f>
        <v>08 - B - 004 - Cheryl Anne  Berman-Schechter</v>
      </c>
      <c r="F17342" t="str">
        <f>"AICE ENG GEN PAPER 1"</f>
        <v>AICE ENG GEN PAPER 1</v>
      </c>
      <c r="G17342" t="str">
        <f>"17-1722"</f>
        <v>17-1722</v>
      </c>
      <c r="H17342" t="str">
        <f>"B"</f>
        <v>B</v>
      </c>
    </row>
    <row r="17343" spans="1:8" x14ac:dyDescent="0.2">
      <c r="A17343" t="str">
        <f t="shared" ref="A17343:A17350" si="6294">"0614125534"</f>
        <v>0614125534</v>
      </c>
      <c r="B17343" t="str">
        <f t="shared" ref="B17343:B17350" si="6295">"AARON"</f>
        <v>AARON</v>
      </c>
      <c r="C17343" t="str">
        <f t="shared" ref="C17343:C17350" si="6296">"UZCATEGUI-ALVAREZ"</f>
        <v>UZCATEGUI-ALVAREZ</v>
      </c>
      <c r="D17343">
        <f>11</f>
        <v>11</v>
      </c>
      <c r="E17343" t="str">
        <f>"04 - A - 102 - Fernando  Vega-Cid"</f>
        <v>04 - A - 102 - Fernando  Vega-Cid</v>
      </c>
      <c r="F17343" t="str">
        <f>"PRE-CALCULUS HON"</f>
        <v>PRE-CALCULUS HON</v>
      </c>
      <c r="G17343" t="str">
        <f>"21-2163"</f>
        <v>21-2163</v>
      </c>
      <c r="H17343" t="str">
        <f>"A"</f>
        <v>A</v>
      </c>
    </row>
    <row r="17344" spans="1:8" x14ac:dyDescent="0.2">
      <c r="A17344" t="str">
        <f t="shared" si="6294"/>
        <v>0614125534</v>
      </c>
      <c r="B17344" t="str">
        <f t="shared" si="6295"/>
        <v>AARON</v>
      </c>
      <c r="C17344" t="str">
        <f t="shared" si="6296"/>
        <v>UZCATEGUI-ALVAREZ</v>
      </c>
      <c r="D17344">
        <f>11</f>
        <v>11</v>
      </c>
      <c r="E17344" t="str">
        <f>"06 - B - 104 - Brandy N Zdenek"</f>
        <v>06 - B - 104 - Brandy N Zdenek</v>
      </c>
      <c r="F17344" t="str">
        <f>"AICE ENG LANG 2 AL"</f>
        <v>AICE ENG LANG 2 AL</v>
      </c>
      <c r="G17344" t="str">
        <f>"17-1704"</f>
        <v>17-1704</v>
      </c>
      <c r="H17344" t="str">
        <f>"B"</f>
        <v>B</v>
      </c>
    </row>
    <row r="17345" spans="1:8" x14ac:dyDescent="0.2">
      <c r="A17345" t="str">
        <f t="shared" si="6294"/>
        <v>0614125534</v>
      </c>
      <c r="B17345" t="str">
        <f t="shared" si="6295"/>
        <v>AARON</v>
      </c>
      <c r="C17345" t="str">
        <f t="shared" si="6296"/>
        <v>UZCATEGUI-ALVAREZ</v>
      </c>
      <c r="D17345">
        <f>11</f>
        <v>11</v>
      </c>
      <c r="E17345" t="str">
        <f>"03 - A - 202 - Jeanne M Bermudez"</f>
        <v>03 - A - 202 - Jeanne M Bermudez</v>
      </c>
      <c r="F17345" t="str">
        <f>"PHYSICS 1 HON"</f>
        <v>PHYSICS 1 HON</v>
      </c>
      <c r="G17345" t="str">
        <f>"21-2141"</f>
        <v>21-2141</v>
      </c>
      <c r="H17345" t="str">
        <f>"A"</f>
        <v>A</v>
      </c>
    </row>
    <row r="17346" spans="1:8" x14ac:dyDescent="0.2">
      <c r="A17346" t="str">
        <f t="shared" si="6294"/>
        <v>0614125534</v>
      </c>
      <c r="B17346" t="str">
        <f t="shared" si="6295"/>
        <v>AARON</v>
      </c>
      <c r="C17346" t="str">
        <f t="shared" si="6296"/>
        <v>UZCATEGUI-ALVAREZ</v>
      </c>
      <c r="D17346">
        <f>11</f>
        <v>11</v>
      </c>
      <c r="E17346" t="str">
        <f>"02 - A - 113 - Byron G Montenegro"</f>
        <v>02 - A - 113 - Byron G Montenegro</v>
      </c>
      <c r="F17346" t="str">
        <f>"NC STUDY HALL 1"</f>
        <v>NC STUDY HALL 1</v>
      </c>
      <c r="G17346" t="str">
        <f>"21-2144"</f>
        <v>21-2144</v>
      </c>
      <c r="H17346" t="str">
        <f>"A"</f>
        <v>A</v>
      </c>
    </row>
    <row r="17347" spans="1:8" x14ac:dyDescent="0.2">
      <c r="A17347" t="str">
        <f t="shared" si="6294"/>
        <v>0614125534</v>
      </c>
      <c r="B17347" t="str">
        <f t="shared" si="6295"/>
        <v>AARON</v>
      </c>
      <c r="C17347" t="str">
        <f t="shared" si="6296"/>
        <v>UZCATEGUI-ALVAREZ</v>
      </c>
      <c r="D17347">
        <f>11</f>
        <v>11</v>
      </c>
      <c r="E17347" t="str">
        <f>"07 - B - 103 - Lisa J London"</f>
        <v>07 - B - 103 - Lisa J London</v>
      </c>
      <c r="F17347" t="str">
        <f>"AP CAPSTONE SEMINAR"</f>
        <v>AP CAPSTONE SEMINAR</v>
      </c>
      <c r="G17347" t="str">
        <f>"17-1714"</f>
        <v>17-1714</v>
      </c>
      <c r="H17347" t="str">
        <f>"B"</f>
        <v>B</v>
      </c>
    </row>
    <row r="17348" spans="1:8" x14ac:dyDescent="0.2">
      <c r="A17348" t="str">
        <f t="shared" si="6294"/>
        <v>0614125534</v>
      </c>
      <c r="B17348" t="str">
        <f t="shared" si="6295"/>
        <v>AARON</v>
      </c>
      <c r="C17348" t="str">
        <f t="shared" si="6296"/>
        <v>UZCATEGUI-ALVAREZ</v>
      </c>
      <c r="D17348">
        <f>11</f>
        <v>11</v>
      </c>
      <c r="E17348" t="str">
        <f>"05 - B - 101 - Jordana K Hass"</f>
        <v>05 - B - 101 - Jordana K Hass</v>
      </c>
      <c r="F17348" t="str">
        <f>"AP COMP SCI PRIN"</f>
        <v>AP COMP SCI PRIN</v>
      </c>
      <c r="G17348" t="str">
        <f>"08-807"</f>
        <v>08-807</v>
      </c>
      <c r="H17348" t="str">
        <f>"B"</f>
        <v>B</v>
      </c>
    </row>
    <row r="17349" spans="1:8" x14ac:dyDescent="0.2">
      <c r="A17349" t="str">
        <f t="shared" si="6294"/>
        <v>0614125534</v>
      </c>
      <c r="B17349" t="str">
        <f t="shared" si="6295"/>
        <v>AARON</v>
      </c>
      <c r="C17349" t="str">
        <f t="shared" si="6296"/>
        <v>UZCATEGUI-ALVAREZ</v>
      </c>
      <c r="D17349">
        <f>11</f>
        <v>11</v>
      </c>
      <c r="E17349" t="str">
        <f>"01 - A - 001 - Stephen T Ripp"</f>
        <v>01 - A - 001 - Stephen T Ripp</v>
      </c>
      <c r="F17349" t="str">
        <f>"AP U.S. HIST"</f>
        <v>AP U.S. HIST</v>
      </c>
      <c r="G17349" t="str">
        <f>"17-1744"</f>
        <v>17-1744</v>
      </c>
      <c r="H17349" t="str">
        <f>"A"</f>
        <v>A</v>
      </c>
    </row>
    <row r="17350" spans="1:8" x14ac:dyDescent="0.2">
      <c r="A17350" t="str">
        <f t="shared" si="6294"/>
        <v>0614125534</v>
      </c>
      <c r="B17350" t="str">
        <f t="shared" si="6295"/>
        <v>AARON</v>
      </c>
      <c r="C17350" t="str">
        <f t="shared" si="6296"/>
        <v>UZCATEGUI-ALVAREZ</v>
      </c>
      <c r="D17350">
        <f>11</f>
        <v>11</v>
      </c>
      <c r="E17350" t="str">
        <f>"08 - B - 101 - Jordana K Hass"</f>
        <v>08 - B - 101 - Jordana K Hass</v>
      </c>
      <c r="F17350" t="str">
        <f>"AICE INFO TECH 1 AS"</f>
        <v>AICE INFO TECH 1 AS</v>
      </c>
      <c r="G17350" t="str">
        <f>"08-807"</f>
        <v>08-807</v>
      </c>
      <c r="H17350" t="str">
        <f>"B"</f>
        <v>B</v>
      </c>
    </row>
    <row r="17351" spans="1:8" x14ac:dyDescent="0.2">
      <c r="A17351" t="str">
        <f t="shared" ref="A17351:A17358" si="6297">"0614025335"</f>
        <v>0614025335</v>
      </c>
      <c r="B17351" t="str">
        <f t="shared" ref="B17351:B17358" si="6298">"RENOVIA"</f>
        <v>RENOVIA</v>
      </c>
      <c r="C17351" t="str">
        <f t="shared" ref="C17351:C17358" si="6299">"VALBRUN"</f>
        <v>VALBRUN</v>
      </c>
      <c r="D17351">
        <f>12</f>
        <v>12</v>
      </c>
      <c r="E17351" t="str">
        <f>"04 - A - 201 - Christa T Parisi"</f>
        <v>04 - A - 201 - Christa T Parisi</v>
      </c>
      <c r="F17351" t="str">
        <f>"DANCE TECHNQS 3 HON"</f>
        <v>DANCE TECHNQS 3 HON</v>
      </c>
      <c r="G17351" t="str">
        <f>"05-503"</f>
        <v>05-503</v>
      </c>
      <c r="H17351" t="str">
        <f>"A"</f>
        <v>A</v>
      </c>
    </row>
    <row r="17352" spans="1:8" x14ac:dyDescent="0.2">
      <c r="A17352" t="str">
        <f t="shared" si="6297"/>
        <v>0614025335</v>
      </c>
      <c r="B17352" t="str">
        <f t="shared" si="6298"/>
        <v>RENOVIA</v>
      </c>
      <c r="C17352" t="str">
        <f t="shared" si="6299"/>
        <v>VALBRUN</v>
      </c>
      <c r="D17352">
        <f>12</f>
        <v>12</v>
      </c>
      <c r="E17352" t="str">
        <f>"06 - B - 106 - Taraneh C Abreu"</f>
        <v>06 - B - 106 - Taraneh C Abreu</v>
      </c>
      <c r="F17352" t="str">
        <f>"NC STUDY HALL 1"</f>
        <v>NC STUDY HALL 1</v>
      </c>
      <c r="G17352" t="str">
        <f>"17-1713"</f>
        <v>17-1713</v>
      </c>
      <c r="H17352" t="str">
        <f>"B"</f>
        <v>B</v>
      </c>
    </row>
    <row r="17353" spans="1:8" x14ac:dyDescent="0.2">
      <c r="A17353" t="str">
        <f t="shared" si="6297"/>
        <v>0614025335</v>
      </c>
      <c r="B17353" t="str">
        <f t="shared" si="6298"/>
        <v>RENOVIA</v>
      </c>
      <c r="C17353" t="str">
        <f t="shared" si="6299"/>
        <v>VALBRUN</v>
      </c>
      <c r="D17353">
        <f>12</f>
        <v>12</v>
      </c>
      <c r="E17353" t="str">
        <f>"03 - A - 202 - Jeanne M Bermudez"</f>
        <v>03 - A - 202 - Jeanne M Bermudez</v>
      </c>
      <c r="F17353" t="str">
        <f>"PHYSICS 1 HON"</f>
        <v>PHYSICS 1 HON</v>
      </c>
      <c r="G17353" t="str">
        <f>"21-2141"</f>
        <v>21-2141</v>
      </c>
      <c r="H17353" t="str">
        <f>"A"</f>
        <v>A</v>
      </c>
    </row>
    <row r="17354" spans="1:8" x14ac:dyDescent="0.2">
      <c r="A17354" t="str">
        <f t="shared" si="6297"/>
        <v>0614025335</v>
      </c>
      <c r="B17354" t="str">
        <f t="shared" si="6298"/>
        <v>RENOVIA</v>
      </c>
      <c r="C17354" t="str">
        <f t="shared" si="6299"/>
        <v>VALBRUN</v>
      </c>
      <c r="D17354">
        <f>12</f>
        <v>12</v>
      </c>
      <c r="E17354" t="str">
        <f>"02 - A - 101 - Robert H Rindner"</f>
        <v>02 - A - 101 - Robert H Rindner</v>
      </c>
      <c r="F17354" t="str">
        <f>"MATH DATA&amp;FIN LIT H"</f>
        <v>MATH DATA&amp;FIN LIT H</v>
      </c>
      <c r="G17354" t="str">
        <f>"21-2160"</f>
        <v>21-2160</v>
      </c>
      <c r="H17354" t="str">
        <f>"A"</f>
        <v>A</v>
      </c>
    </row>
    <row r="17355" spans="1:8" x14ac:dyDescent="0.2">
      <c r="A17355" t="str">
        <f t="shared" si="6297"/>
        <v>0614025335</v>
      </c>
      <c r="B17355" t="str">
        <f t="shared" si="6298"/>
        <v>RENOVIA</v>
      </c>
      <c r="C17355" t="str">
        <f t="shared" si="6299"/>
        <v>VALBRUN</v>
      </c>
      <c r="D17355">
        <f>12</f>
        <v>12</v>
      </c>
      <c r="E17355" t="str">
        <f>"07 - B - 101 - Lisa  Quinn"</f>
        <v>07 - B - 101 - Lisa  Quinn</v>
      </c>
      <c r="F17355" t="str">
        <f>"RESEARCH 1"</f>
        <v>RESEARCH 1</v>
      </c>
      <c r="G17355" t="str">
        <f>"17-1725"</f>
        <v>17-1725</v>
      </c>
      <c r="H17355" t="str">
        <f>"B"</f>
        <v>B</v>
      </c>
    </row>
    <row r="17356" spans="1:8" x14ac:dyDescent="0.2">
      <c r="A17356" t="str">
        <f t="shared" si="6297"/>
        <v>0614025335</v>
      </c>
      <c r="B17356" t="str">
        <f t="shared" si="6298"/>
        <v>RENOVIA</v>
      </c>
      <c r="C17356" t="str">
        <f t="shared" si="6299"/>
        <v>VALBRUN</v>
      </c>
      <c r="D17356">
        <f>12</f>
        <v>12</v>
      </c>
      <c r="E17356" t="str">
        <f>"05 - S1 - B - 102 - Barbara L Segal"</f>
        <v>05 - S1 - B - 102 - Barbara L Segal</v>
      </c>
      <c r="F17356" t="str">
        <f>"US GOVT HON"</f>
        <v>US GOVT HON</v>
      </c>
      <c r="G17356" t="str">
        <f>"17-1742"</f>
        <v>17-1742</v>
      </c>
      <c r="H17356" t="str">
        <f>"B"</f>
        <v>B</v>
      </c>
    </row>
    <row r="17357" spans="1:8" x14ac:dyDescent="0.2">
      <c r="A17357" t="str">
        <f t="shared" si="6297"/>
        <v>0614025335</v>
      </c>
      <c r="B17357" t="str">
        <f t="shared" si="6298"/>
        <v>RENOVIA</v>
      </c>
      <c r="C17357" t="str">
        <f t="shared" si="6299"/>
        <v>VALBRUN</v>
      </c>
      <c r="D17357">
        <f>12</f>
        <v>12</v>
      </c>
      <c r="E17357" t="str">
        <f>"01 - A - 101 - Nikiel  Nesbeth"</f>
        <v>01 - A - 101 - Nikiel  Nesbeth</v>
      </c>
      <c r="F17357" t="str">
        <f>"CONST LAW HON"</f>
        <v>CONST LAW HON</v>
      </c>
      <c r="G17357" t="str">
        <f>"17-1705"</f>
        <v>17-1705</v>
      </c>
      <c r="H17357" t="str">
        <f>"A"</f>
        <v>A</v>
      </c>
    </row>
    <row r="17358" spans="1:8" x14ac:dyDescent="0.2">
      <c r="A17358" t="str">
        <f t="shared" si="6297"/>
        <v>0614025335</v>
      </c>
      <c r="B17358" t="str">
        <f t="shared" si="6298"/>
        <v>RENOVIA</v>
      </c>
      <c r="C17358" t="str">
        <f t="shared" si="6299"/>
        <v>VALBRUN</v>
      </c>
      <c r="D17358">
        <f>12</f>
        <v>12</v>
      </c>
      <c r="E17358" t="str">
        <f>"08 - B - 105 - Jeffrey S Gallagher"</f>
        <v>08 - B - 105 - Jeffrey S Gallagher</v>
      </c>
      <c r="F17358" t="str">
        <f>"ENG HON 4"</f>
        <v>ENG HON 4</v>
      </c>
      <c r="G17358" t="str">
        <f>"17-1724"</f>
        <v>17-1724</v>
      </c>
      <c r="H17358" t="str">
        <f>"B"</f>
        <v>B</v>
      </c>
    </row>
    <row r="17359" spans="1:8" x14ac:dyDescent="0.2">
      <c r="A17359" t="str">
        <f t="shared" ref="A17359:A17366" si="6300">"0616043667"</f>
        <v>0616043667</v>
      </c>
      <c r="B17359" t="str">
        <f t="shared" ref="B17359:B17366" si="6301">"DESTINY"</f>
        <v>DESTINY</v>
      </c>
      <c r="C17359" t="str">
        <f t="shared" ref="C17359:C17366" si="6302">"VALCOURT"</f>
        <v>VALCOURT</v>
      </c>
      <c r="D17359">
        <f>10</f>
        <v>10</v>
      </c>
      <c r="E17359" t="str">
        <f>"04 - A - 102 - Samantha J Headley"</f>
        <v>04 - A - 102 - Samantha J Headley</v>
      </c>
      <c r="F17359" t="str">
        <f>"MARINE SCI 1 HON"</f>
        <v>MARINE SCI 1 HON</v>
      </c>
      <c r="G17359" t="str">
        <f>"21-2134"</f>
        <v>21-2134</v>
      </c>
      <c r="H17359" t="str">
        <f>"A"</f>
        <v>A</v>
      </c>
    </row>
    <row r="17360" spans="1:8" x14ac:dyDescent="0.2">
      <c r="A17360" t="str">
        <f t="shared" si="6300"/>
        <v>0616043667</v>
      </c>
      <c r="B17360" t="str">
        <f t="shared" si="6301"/>
        <v>DESTINY</v>
      </c>
      <c r="C17360" t="str">
        <f t="shared" si="6302"/>
        <v>VALCOURT</v>
      </c>
      <c r="D17360">
        <f>10</f>
        <v>10</v>
      </c>
      <c r="E17360" t="str">
        <f>"06 - B - 103 - Thomas G Handwerg"</f>
        <v>06 - B - 103 - Thomas G Handwerg</v>
      </c>
      <c r="F17360" t="str">
        <f>"NC STUDY HALL 1"</f>
        <v>NC STUDY HALL 1</v>
      </c>
      <c r="G17360" t="str">
        <f>"21-2146"</f>
        <v>21-2146</v>
      </c>
      <c r="H17360" t="str">
        <f>"B"</f>
        <v>B</v>
      </c>
    </row>
    <row r="17361" spans="1:8" x14ac:dyDescent="0.2">
      <c r="A17361" t="str">
        <f t="shared" si="6300"/>
        <v>0616043667</v>
      </c>
      <c r="B17361" t="str">
        <f t="shared" si="6301"/>
        <v>DESTINY</v>
      </c>
      <c r="C17361" t="str">
        <f t="shared" si="6302"/>
        <v>VALCOURT</v>
      </c>
      <c r="D17361">
        <f>10</f>
        <v>10</v>
      </c>
      <c r="E17361" t="str">
        <f>"03 - A - 103 - Marius D Orsolini"</f>
        <v>03 - A - 103 - Marius D Orsolini</v>
      </c>
      <c r="F17361" t="str">
        <f>"CULINARY ARTS 1"</f>
        <v>CULINARY ARTS 1</v>
      </c>
      <c r="G17361" t="str">
        <f>"21-2115"</f>
        <v>21-2115</v>
      </c>
      <c r="H17361" t="str">
        <f>"A"</f>
        <v>A</v>
      </c>
    </row>
    <row r="17362" spans="1:8" x14ac:dyDescent="0.2">
      <c r="A17362" t="str">
        <f t="shared" si="6300"/>
        <v>0616043667</v>
      </c>
      <c r="B17362" t="str">
        <f t="shared" si="6301"/>
        <v>DESTINY</v>
      </c>
      <c r="C17362" t="str">
        <f t="shared" si="6302"/>
        <v>VALCOURT</v>
      </c>
      <c r="D17362">
        <f>10</f>
        <v>10</v>
      </c>
      <c r="E17362" t="str">
        <f>"02 - A - 102 - Adam Marcus  Drucker"</f>
        <v>02 - A - 102 - Adam Marcus  Drucker</v>
      </c>
      <c r="F17362" t="str">
        <f>"HOPE-PE V"</f>
        <v>HOPE-PE V</v>
      </c>
      <c r="G17362" t="str">
        <f>"04-254"</f>
        <v>04-254</v>
      </c>
      <c r="H17362" t="str">
        <f>"A"</f>
        <v>A</v>
      </c>
    </row>
    <row r="17363" spans="1:8" x14ac:dyDescent="0.2">
      <c r="A17363" t="str">
        <f t="shared" si="6300"/>
        <v>0616043667</v>
      </c>
      <c r="B17363" t="str">
        <f t="shared" si="6301"/>
        <v>DESTINY</v>
      </c>
      <c r="C17363" t="str">
        <f t="shared" si="6302"/>
        <v>VALCOURT</v>
      </c>
      <c r="D17363">
        <f>10</f>
        <v>10</v>
      </c>
      <c r="E17363" t="str">
        <f>"07 - B - 207 - Krystal Marie  Beruty"</f>
        <v>07 - B - 207 - Krystal Marie  Beruty</v>
      </c>
      <c r="F17363" t="str">
        <f>"AICE GLBL PERSP 1 AS"</f>
        <v>AICE GLBL PERSP 1 AS</v>
      </c>
      <c r="G17363" t="str">
        <f>"17-1721"</f>
        <v>17-1721</v>
      </c>
      <c r="H17363" t="str">
        <f>"B"</f>
        <v>B</v>
      </c>
    </row>
    <row r="17364" spans="1:8" x14ac:dyDescent="0.2">
      <c r="A17364" t="str">
        <f t="shared" si="6300"/>
        <v>0616043667</v>
      </c>
      <c r="B17364" t="str">
        <f t="shared" si="6301"/>
        <v>DESTINY</v>
      </c>
      <c r="C17364" t="str">
        <f t="shared" si="6302"/>
        <v>VALCOURT</v>
      </c>
      <c r="D17364">
        <f>10</f>
        <v>10</v>
      </c>
      <c r="E17364" t="str">
        <f>"05 - S1 - B - 102 - Carol S Moore"</f>
        <v>05 - S1 - B - 102 - Carol S Moore</v>
      </c>
      <c r="F17364" t="str">
        <f>"PERS FIN &amp; MON MGT H"</f>
        <v>PERS FIN &amp; MON MGT H</v>
      </c>
      <c r="G17364" t="str">
        <f>"17-1733"</f>
        <v>17-1733</v>
      </c>
      <c r="H17364" t="str">
        <f>"B"</f>
        <v>B</v>
      </c>
    </row>
    <row r="17365" spans="1:8" x14ac:dyDescent="0.2">
      <c r="A17365" t="str">
        <f t="shared" si="6300"/>
        <v>0616043667</v>
      </c>
      <c r="B17365" t="str">
        <f t="shared" si="6301"/>
        <v>DESTINY</v>
      </c>
      <c r="C17365" t="str">
        <f t="shared" si="6302"/>
        <v>VALCOURT</v>
      </c>
      <c r="D17365">
        <f>10</f>
        <v>10</v>
      </c>
      <c r="E17365" t="str">
        <f>"01 - A - 101 - Lourivaldo  Da Silva"</f>
        <v>01 - A - 101 - Lourivaldo  Da Silva</v>
      </c>
      <c r="F17365" t="str">
        <f>"ALGEBRA 2 HON"</f>
        <v>ALGEBRA 2 HON</v>
      </c>
      <c r="G17365" t="str">
        <f>"20-2079"</f>
        <v>20-2079</v>
      </c>
      <c r="H17365" t="str">
        <f>"A"</f>
        <v>A</v>
      </c>
    </row>
    <row r="17366" spans="1:8" x14ac:dyDescent="0.2">
      <c r="A17366" t="str">
        <f t="shared" si="6300"/>
        <v>0616043667</v>
      </c>
      <c r="B17366" t="str">
        <f t="shared" si="6301"/>
        <v>DESTINY</v>
      </c>
      <c r="C17366" t="str">
        <f t="shared" si="6302"/>
        <v>VALCOURT</v>
      </c>
      <c r="D17366">
        <f>10</f>
        <v>10</v>
      </c>
      <c r="E17366" t="str">
        <f>"08 - B - 102 - Jacquelyn M Neeson"</f>
        <v>08 - B - 102 - Jacquelyn M Neeson</v>
      </c>
      <c r="F17366" t="str">
        <f>"AICE ENG GEN PAPER 1"</f>
        <v>AICE ENG GEN PAPER 1</v>
      </c>
      <c r="G17366" t="str">
        <f>"17-1715"</f>
        <v>17-1715</v>
      </c>
      <c r="H17366" t="str">
        <f>"B"</f>
        <v>B</v>
      </c>
    </row>
    <row r="17367" spans="1:8" x14ac:dyDescent="0.2">
      <c r="A17367" t="str">
        <f t="shared" ref="A17367:A17374" si="6303">"0616107183"</f>
        <v>0616107183</v>
      </c>
      <c r="B17367" t="str">
        <f t="shared" ref="B17367:B17374" si="6304">"ELI"</f>
        <v>ELI</v>
      </c>
      <c r="C17367" t="str">
        <f t="shared" ref="C17367:C17382" si="6305">"VALDES"</f>
        <v>VALDES</v>
      </c>
      <c r="D17367" t="str">
        <f t="shared" ref="D17367:D17374" si="6306">"09"</f>
        <v>09</v>
      </c>
      <c r="E17367" t="str">
        <f>"04 - A - 101 - Jeanne M Bermudez"</f>
        <v>04 - A - 101 - Jeanne M Bermudez</v>
      </c>
      <c r="F17367" t="str">
        <f>"ADVANCED IT HON"</f>
        <v>ADVANCED IT HON</v>
      </c>
      <c r="G17367" t="str">
        <f>"21-2141"</f>
        <v>21-2141</v>
      </c>
      <c r="H17367" t="str">
        <f>"A"</f>
        <v>A</v>
      </c>
    </row>
    <row r="17368" spans="1:8" x14ac:dyDescent="0.2">
      <c r="A17368" t="str">
        <f t="shared" si="6303"/>
        <v>0616107183</v>
      </c>
      <c r="B17368" t="str">
        <f t="shared" si="6304"/>
        <v>ELI</v>
      </c>
      <c r="C17368" t="str">
        <f t="shared" si="6305"/>
        <v>VALDES</v>
      </c>
      <c r="D17368" t="str">
        <f t="shared" si="6306"/>
        <v>09</v>
      </c>
      <c r="E17368" t="str">
        <f>"06 - B - 106 - Marius D Orsolini"</f>
        <v>06 - B - 106 - Marius D Orsolini</v>
      </c>
      <c r="F17368" t="str">
        <f>"CULINARY ARTS 1"</f>
        <v>CULINARY ARTS 1</v>
      </c>
      <c r="G17368" t="str">
        <f>"21-2115"</f>
        <v>21-2115</v>
      </c>
      <c r="H17368" t="str">
        <f>"B"</f>
        <v>B</v>
      </c>
    </row>
    <row r="17369" spans="1:8" x14ac:dyDescent="0.2">
      <c r="A17369" t="str">
        <f t="shared" si="6303"/>
        <v>0616107183</v>
      </c>
      <c r="B17369" t="str">
        <f t="shared" si="6304"/>
        <v>ELI</v>
      </c>
      <c r="C17369" t="str">
        <f t="shared" si="6305"/>
        <v>VALDES</v>
      </c>
      <c r="D17369" t="str">
        <f t="shared" si="6306"/>
        <v>09</v>
      </c>
      <c r="E17369" t="str">
        <f>"03 - A - 103 - Kelly N Panza"</f>
        <v>03 - A - 103 - Kelly N Panza</v>
      </c>
      <c r="F17369" t="str">
        <f>"AICE GLBL PERSP 1 AS"</f>
        <v>AICE GLBL PERSP 1 AS</v>
      </c>
      <c r="G17369" t="str">
        <f>"17-1753"</f>
        <v>17-1753</v>
      </c>
      <c r="H17369" t="str">
        <f>"A"</f>
        <v>A</v>
      </c>
    </row>
    <row r="17370" spans="1:8" x14ac:dyDescent="0.2">
      <c r="A17370" t="str">
        <f t="shared" si="6303"/>
        <v>0616107183</v>
      </c>
      <c r="B17370" t="str">
        <f t="shared" si="6304"/>
        <v>ELI</v>
      </c>
      <c r="C17370" t="str">
        <f t="shared" si="6305"/>
        <v>VALDES</v>
      </c>
      <c r="D17370" t="str">
        <f t="shared" si="6306"/>
        <v>09</v>
      </c>
      <c r="E17370" t="str">
        <f>"02 - A - 106 - Helen A Flores"</f>
        <v>02 - A - 106 - Helen A Flores</v>
      </c>
      <c r="F17370" t="str">
        <f>"NC STUDY HALL 1"</f>
        <v>NC STUDY HALL 1</v>
      </c>
      <c r="G17370" t="str">
        <f>"21-2101"</f>
        <v>21-2101</v>
      </c>
      <c r="H17370" t="str">
        <f>"A"</f>
        <v>A</v>
      </c>
    </row>
    <row r="17371" spans="1:8" x14ac:dyDescent="0.2">
      <c r="A17371" t="str">
        <f t="shared" si="6303"/>
        <v>0616107183</v>
      </c>
      <c r="B17371" t="str">
        <f t="shared" si="6304"/>
        <v>ELI</v>
      </c>
      <c r="C17371" t="str">
        <f t="shared" si="6305"/>
        <v>VALDES</v>
      </c>
      <c r="D17371" t="str">
        <f t="shared" si="6306"/>
        <v>09</v>
      </c>
      <c r="E17371" t="str">
        <f>"07 - B - 107 - Brook E Goren"</f>
        <v>07 - B - 107 - Brook E Goren</v>
      </c>
      <c r="F17371" t="str">
        <f>"PRE-AICE MATH 2 IG"</f>
        <v>PRE-AICE MATH 2 IG</v>
      </c>
      <c r="G17371" t="str">
        <f>"21-2158"</f>
        <v>21-2158</v>
      </c>
      <c r="H17371" t="str">
        <f>"B"</f>
        <v>B</v>
      </c>
    </row>
    <row r="17372" spans="1:8" x14ac:dyDescent="0.2">
      <c r="A17372" t="str">
        <f t="shared" si="6303"/>
        <v>0616107183</v>
      </c>
      <c r="B17372" t="str">
        <f t="shared" si="6304"/>
        <v>ELI</v>
      </c>
      <c r="C17372" t="str">
        <f t="shared" si="6305"/>
        <v>VALDES</v>
      </c>
      <c r="D17372" t="str">
        <f t="shared" si="6306"/>
        <v>09</v>
      </c>
      <c r="E17372" t="str">
        <f>"05 - B - 103 - Byron G Montenegro"</f>
        <v>05 - B - 103 - Byron G Montenegro</v>
      </c>
      <c r="F17372" t="str">
        <f>"AICE MARINE SCI 1 AS"</f>
        <v>AICE MARINE SCI 1 AS</v>
      </c>
      <c r="G17372" t="str">
        <f>"21-2144"</f>
        <v>21-2144</v>
      </c>
      <c r="H17372" t="str">
        <f>"B"</f>
        <v>B</v>
      </c>
    </row>
    <row r="17373" spans="1:8" x14ac:dyDescent="0.2">
      <c r="A17373" t="str">
        <f t="shared" si="6303"/>
        <v>0616107183</v>
      </c>
      <c r="B17373" t="str">
        <f t="shared" si="6304"/>
        <v>ELI</v>
      </c>
      <c r="C17373" t="str">
        <f t="shared" si="6305"/>
        <v>VALDES</v>
      </c>
      <c r="D17373" t="str">
        <f t="shared" si="6306"/>
        <v>09</v>
      </c>
      <c r="E17373" t="str">
        <f>"01 - A - 101 - Elizabeth R Walker"</f>
        <v>01 - A - 101 - Elizabeth R Walker</v>
      </c>
      <c r="F17373" t="str">
        <f>"AICE ENG GEN PAPER 1"</f>
        <v>AICE ENG GEN PAPER 1</v>
      </c>
      <c r="G17373" t="str">
        <f>"17-1703"</f>
        <v>17-1703</v>
      </c>
      <c r="H17373" t="str">
        <f>"A"</f>
        <v>A</v>
      </c>
    </row>
    <row r="17374" spans="1:8" x14ac:dyDescent="0.2">
      <c r="A17374" t="str">
        <f t="shared" si="6303"/>
        <v>0616107183</v>
      </c>
      <c r="B17374" t="str">
        <f t="shared" si="6304"/>
        <v>ELI</v>
      </c>
      <c r="C17374" t="str">
        <f t="shared" si="6305"/>
        <v>VALDES</v>
      </c>
      <c r="D17374" t="str">
        <f t="shared" si="6306"/>
        <v>09</v>
      </c>
      <c r="E17374" t="str">
        <f>"08 - B - 101 - Alejandro  Navarro"</f>
        <v>08 - B - 101 - Alejandro  Navarro</v>
      </c>
      <c r="F17374" t="str">
        <f>"GUITAR 1"</f>
        <v>GUITAR 1</v>
      </c>
      <c r="G17374" t="str">
        <f>"05-504"</f>
        <v>05-504</v>
      </c>
      <c r="H17374" t="str">
        <f>"B"</f>
        <v>B</v>
      </c>
    </row>
    <row r="17375" spans="1:8" x14ac:dyDescent="0.2">
      <c r="A17375" t="str">
        <f t="shared" ref="A17375:A17382" si="6307">"0614141505"</f>
        <v>0614141505</v>
      </c>
      <c r="B17375" t="str">
        <f t="shared" ref="B17375:B17382" si="6308">"ETHAN"</f>
        <v>ETHAN</v>
      </c>
      <c r="C17375" t="str">
        <f t="shared" si="6305"/>
        <v>VALDES</v>
      </c>
      <c r="D17375">
        <f>11</f>
        <v>11</v>
      </c>
      <c r="E17375" t="str">
        <f>"04 - A - 103 - Daniel S Tyson"</f>
        <v>04 - A - 103 - Daniel S Tyson</v>
      </c>
      <c r="F17375" t="str">
        <f>"JROTC NAVAL SCI 1"</f>
        <v>JROTC NAVAL SCI 1</v>
      </c>
      <c r="G17375" t="str">
        <f>"05-510"</f>
        <v>05-510</v>
      </c>
      <c r="H17375" t="str">
        <f>"A"</f>
        <v>A</v>
      </c>
    </row>
    <row r="17376" spans="1:8" x14ac:dyDescent="0.2">
      <c r="A17376" t="str">
        <f t="shared" si="6307"/>
        <v>0614141505</v>
      </c>
      <c r="B17376" t="str">
        <f t="shared" si="6308"/>
        <v>ETHAN</v>
      </c>
      <c r="C17376" t="str">
        <f t="shared" si="6305"/>
        <v>VALDES</v>
      </c>
      <c r="D17376">
        <f>11</f>
        <v>11</v>
      </c>
      <c r="E17376" t="str">
        <f>"06 - B - 204 - Chrystina M Marchionne"</f>
        <v>06 - B - 204 - Chrystina M Marchionne</v>
      </c>
      <c r="F17376" t="str">
        <f>"AICE MEDIASTUDIES AS"</f>
        <v>AICE MEDIASTUDIES AS</v>
      </c>
      <c r="G17376" t="str">
        <f>"05-520"</f>
        <v>05-520</v>
      </c>
      <c r="H17376" t="str">
        <f>"B"</f>
        <v>B</v>
      </c>
    </row>
    <row r="17377" spans="1:8" x14ac:dyDescent="0.2">
      <c r="A17377" t="str">
        <f t="shared" si="6307"/>
        <v>0614141505</v>
      </c>
      <c r="B17377" t="str">
        <f t="shared" si="6308"/>
        <v>ETHAN</v>
      </c>
      <c r="C17377" t="str">
        <f t="shared" si="6305"/>
        <v>VALDES</v>
      </c>
      <c r="D17377">
        <f>11</f>
        <v>11</v>
      </c>
      <c r="E17377" t="str">
        <f>"03 - A - 101 - Jacqueline R Morphet"</f>
        <v>03 - A - 101 - Jacqueline R Morphet</v>
      </c>
      <c r="F17377" t="str">
        <f>"AP PHYSICS 1"</f>
        <v>AP PHYSICS 1</v>
      </c>
      <c r="G17377" t="str">
        <f>"21-2138"</f>
        <v>21-2138</v>
      </c>
      <c r="H17377" t="str">
        <f>"A"</f>
        <v>A</v>
      </c>
    </row>
    <row r="17378" spans="1:8" x14ac:dyDescent="0.2">
      <c r="A17378" t="str">
        <f t="shared" si="6307"/>
        <v>0614141505</v>
      </c>
      <c r="B17378" t="str">
        <f t="shared" si="6308"/>
        <v>ETHAN</v>
      </c>
      <c r="C17378" t="str">
        <f t="shared" si="6305"/>
        <v>VALDES</v>
      </c>
      <c r="D17378">
        <f>11</f>
        <v>11</v>
      </c>
      <c r="E17378" t="str">
        <f>"02 - A - 104 - Dayna M Foster"</f>
        <v>02 - A - 104 - Dayna M Foster</v>
      </c>
      <c r="F17378" t="str">
        <f>"NC STUDY HALL 1"</f>
        <v>NC STUDY HALL 1</v>
      </c>
      <c r="G17378" t="str">
        <f>"21-2109"</f>
        <v>21-2109</v>
      </c>
      <c r="H17378" t="str">
        <f>"A"</f>
        <v>A</v>
      </c>
    </row>
    <row r="17379" spans="1:8" x14ac:dyDescent="0.2">
      <c r="A17379" t="str">
        <f t="shared" si="6307"/>
        <v>0614141505</v>
      </c>
      <c r="B17379" t="str">
        <f t="shared" si="6308"/>
        <v>ETHAN</v>
      </c>
      <c r="C17379" t="str">
        <f t="shared" si="6305"/>
        <v>VALDES</v>
      </c>
      <c r="D17379">
        <f>11</f>
        <v>11</v>
      </c>
      <c r="E17379" t="str">
        <f>"07 - B - 102 - Timothy J Lawrence"</f>
        <v>07 - B - 102 - Timothy J Lawrence</v>
      </c>
      <c r="F17379" t="str">
        <f>"AICE PHYS ED 1 AS"</f>
        <v>AICE PHYS ED 1 AS</v>
      </c>
      <c r="G17379" t="str">
        <f>"05-523"</f>
        <v>05-523</v>
      </c>
      <c r="H17379" t="str">
        <f>"B"</f>
        <v>B</v>
      </c>
    </row>
    <row r="17380" spans="1:8" x14ac:dyDescent="0.2">
      <c r="A17380" t="str">
        <f t="shared" si="6307"/>
        <v>0614141505</v>
      </c>
      <c r="B17380" t="str">
        <f t="shared" si="6308"/>
        <v>ETHAN</v>
      </c>
      <c r="C17380" t="str">
        <f t="shared" si="6305"/>
        <v>VALDES</v>
      </c>
      <c r="D17380">
        <f>11</f>
        <v>11</v>
      </c>
      <c r="E17380" t="str">
        <f>"05 - B - 102 - Jerry S Jiampetti"</f>
        <v>05 - B - 102 - Jerry S Jiampetti</v>
      </c>
      <c r="F17380" t="str">
        <f>"AICE U.S. HIST 1 AS"</f>
        <v>AICE U.S. HIST 1 AS</v>
      </c>
      <c r="G17380" t="str">
        <f>"17-1751"</f>
        <v>17-1751</v>
      </c>
      <c r="H17380" t="str">
        <f>"B"</f>
        <v>B</v>
      </c>
    </row>
    <row r="17381" spans="1:8" x14ac:dyDescent="0.2">
      <c r="A17381" t="str">
        <f t="shared" si="6307"/>
        <v>0614141505</v>
      </c>
      <c r="B17381" t="str">
        <f t="shared" si="6308"/>
        <v>ETHAN</v>
      </c>
      <c r="C17381" t="str">
        <f t="shared" si="6305"/>
        <v>VALDES</v>
      </c>
      <c r="D17381">
        <f>11</f>
        <v>11</v>
      </c>
      <c r="E17381" t="str">
        <f>"01 - A - 101 - Jacklyn M James"</f>
        <v>01 - A - 101 - Jacklyn M James</v>
      </c>
      <c r="F17381" t="str">
        <f>"AICE ENG LANG AS"</f>
        <v>AICE ENG LANG AS</v>
      </c>
      <c r="G17381" t="str">
        <f>"17-1731"</f>
        <v>17-1731</v>
      </c>
      <c r="H17381" t="str">
        <f>"A"</f>
        <v>A</v>
      </c>
    </row>
    <row r="17382" spans="1:8" x14ac:dyDescent="0.2">
      <c r="A17382" t="str">
        <f t="shared" si="6307"/>
        <v>0614141505</v>
      </c>
      <c r="B17382" t="str">
        <f t="shared" si="6308"/>
        <v>ETHAN</v>
      </c>
      <c r="C17382" t="str">
        <f t="shared" si="6305"/>
        <v>VALDES</v>
      </c>
      <c r="D17382">
        <f>11</f>
        <v>11</v>
      </c>
      <c r="E17382" t="str">
        <f>"08 - B - 105 - Semra  Bahadir"</f>
        <v>08 - B - 105 - Semra  Bahadir</v>
      </c>
      <c r="F17382" t="str">
        <f>"MATH COLL ALGEBRA"</f>
        <v>MATH COLL ALGEBRA</v>
      </c>
      <c r="G17382" t="str">
        <f>"21-2107"</f>
        <v>21-2107</v>
      </c>
      <c r="H17382" t="str">
        <f>"B"</f>
        <v>B</v>
      </c>
    </row>
    <row r="17383" spans="1:8" x14ac:dyDescent="0.2">
      <c r="A17383" t="str">
        <f t="shared" ref="A17383:A17390" si="6309">"0613116106"</f>
        <v>0613116106</v>
      </c>
      <c r="B17383" t="str">
        <f t="shared" ref="B17383:B17390" si="6310">"SOFIA"</f>
        <v>SOFIA</v>
      </c>
      <c r="C17383" t="str">
        <f t="shared" ref="C17383:C17390" si="6311">"VALENZUELA-RIVERA"</f>
        <v>VALENZUELA-RIVERA</v>
      </c>
      <c r="D17383">
        <f>10</f>
        <v>10</v>
      </c>
      <c r="E17383" t="str">
        <f>"04 - A - 201 - Alejandro  Navarro"</f>
        <v>04 - A - 201 - Alejandro  Navarro</v>
      </c>
      <c r="F17383" t="str">
        <f>"BAND 4"</f>
        <v>BAND 4</v>
      </c>
      <c r="G17383" t="str">
        <f>"05-504"</f>
        <v>05-504</v>
      </c>
      <c r="H17383" t="str">
        <f>"A"</f>
        <v>A</v>
      </c>
    </row>
    <row r="17384" spans="1:8" x14ac:dyDescent="0.2">
      <c r="A17384" t="str">
        <f t="shared" si="6309"/>
        <v>0613116106</v>
      </c>
      <c r="B17384" t="str">
        <f t="shared" si="6310"/>
        <v>SOFIA</v>
      </c>
      <c r="C17384" t="str">
        <f t="shared" si="6311"/>
        <v>VALENZUELA-RIVERA</v>
      </c>
      <c r="D17384">
        <f>10</f>
        <v>10</v>
      </c>
      <c r="E17384" t="str">
        <f>"06 - B - 114 - Richard E Dunbar Iii"</f>
        <v>06 - B - 114 - Richard E Dunbar Iii</v>
      </c>
      <c r="F17384" t="str">
        <f>"NC STUDY HALL 1"</f>
        <v>NC STUDY HALL 1</v>
      </c>
      <c r="G17384" t="str">
        <f>"17-1703"</f>
        <v>17-1703</v>
      </c>
      <c r="H17384" t="str">
        <f>"B"</f>
        <v>B</v>
      </c>
    </row>
    <row r="17385" spans="1:8" x14ac:dyDescent="0.2">
      <c r="A17385" t="str">
        <f t="shared" si="6309"/>
        <v>0613116106</v>
      </c>
      <c r="B17385" t="str">
        <f t="shared" si="6310"/>
        <v>SOFIA</v>
      </c>
      <c r="C17385" t="str">
        <f t="shared" si="6311"/>
        <v>VALENZUELA-RIVERA</v>
      </c>
      <c r="D17385">
        <f>10</f>
        <v>10</v>
      </c>
      <c r="E17385" t="str">
        <f>"03 - A - 103 - Pamela M Corzo"</f>
        <v>03 - A - 103 - Pamela M Corzo</v>
      </c>
      <c r="F17385" t="str">
        <f>"ALGEBRA 2 HON"</f>
        <v>ALGEBRA 2 HON</v>
      </c>
      <c r="G17385" t="str">
        <f>"21-2133"</f>
        <v>21-2133</v>
      </c>
      <c r="H17385" t="str">
        <f>"A"</f>
        <v>A</v>
      </c>
    </row>
    <row r="17386" spans="1:8" x14ac:dyDescent="0.2">
      <c r="A17386" t="str">
        <f t="shared" si="6309"/>
        <v>0613116106</v>
      </c>
      <c r="B17386" t="str">
        <f t="shared" si="6310"/>
        <v>SOFIA</v>
      </c>
      <c r="C17386" t="str">
        <f t="shared" si="6311"/>
        <v>VALENZUELA-RIVERA</v>
      </c>
      <c r="D17386">
        <f>10</f>
        <v>10</v>
      </c>
      <c r="E17386" t="str">
        <f>"02 - A - 102 - Jacklyn M James"</f>
        <v>02 - A - 102 - Jacklyn M James</v>
      </c>
      <c r="F17386" t="str">
        <f>"AICE ENG LANG AS"</f>
        <v>AICE ENG LANG AS</v>
      </c>
      <c r="G17386" t="str">
        <f>"17-1731"</f>
        <v>17-1731</v>
      </c>
      <c r="H17386" t="str">
        <f>"A"</f>
        <v>A</v>
      </c>
    </row>
    <row r="17387" spans="1:8" x14ac:dyDescent="0.2">
      <c r="A17387" t="str">
        <f t="shared" si="6309"/>
        <v>0613116106</v>
      </c>
      <c r="B17387" t="str">
        <f t="shared" si="6310"/>
        <v>SOFIA</v>
      </c>
      <c r="C17387" t="str">
        <f t="shared" si="6311"/>
        <v>VALENZUELA-RIVERA</v>
      </c>
      <c r="D17387">
        <f>10</f>
        <v>10</v>
      </c>
      <c r="E17387" t="str">
        <f>"07 - B - 002 - Jordana K Hass"</f>
        <v>07 - B - 002 - Jordana K Hass</v>
      </c>
      <c r="F17387" t="str">
        <f>"CHEMISTRY 1 HON"</f>
        <v>CHEMISTRY 1 HON</v>
      </c>
      <c r="G17387" t="str">
        <f>"08-807"</f>
        <v>08-807</v>
      </c>
      <c r="H17387" t="str">
        <f>"B"</f>
        <v>B</v>
      </c>
    </row>
    <row r="17388" spans="1:8" x14ac:dyDescent="0.2">
      <c r="A17388" t="str">
        <f t="shared" si="6309"/>
        <v>0613116106</v>
      </c>
      <c r="B17388" t="str">
        <f t="shared" si="6310"/>
        <v>SOFIA</v>
      </c>
      <c r="C17388" t="str">
        <f t="shared" si="6311"/>
        <v>VALENZUELA-RIVERA</v>
      </c>
      <c r="D17388">
        <f>10</f>
        <v>10</v>
      </c>
      <c r="E17388" t="str">
        <f>"05 - B - 104 - Joe  Kilpatrick Jr"</f>
        <v>05 - B - 104 - Joe  Kilpatrick Jr</v>
      </c>
      <c r="F17388" t="str">
        <f>"PRE-AICE SPAN 1 IG"</f>
        <v>PRE-AICE SPAN 1 IG</v>
      </c>
      <c r="G17388" t="str">
        <f>"09-912"</f>
        <v>09-912</v>
      </c>
      <c r="H17388" t="str">
        <f>"B"</f>
        <v>B</v>
      </c>
    </row>
    <row r="17389" spans="1:8" x14ac:dyDescent="0.2">
      <c r="A17389" t="str">
        <f t="shared" si="6309"/>
        <v>0613116106</v>
      </c>
      <c r="B17389" t="str">
        <f t="shared" si="6310"/>
        <v>SOFIA</v>
      </c>
      <c r="C17389" t="str">
        <f t="shared" si="6311"/>
        <v>VALENZUELA-RIVERA</v>
      </c>
      <c r="D17389">
        <f>10</f>
        <v>10</v>
      </c>
      <c r="E17389" t="str">
        <f>"01 - A - 101 - Eva T Rimmer"</f>
        <v>01 - A - 101 - Eva T Rimmer</v>
      </c>
      <c r="F17389" t="str">
        <f>"CRIMINAL JUST OPS 2"</f>
        <v>CRIMINAL JUST OPS 2</v>
      </c>
      <c r="G17389" t="str">
        <f>"05-523"</f>
        <v>05-523</v>
      </c>
      <c r="H17389" t="str">
        <f>"A"</f>
        <v>A</v>
      </c>
    </row>
    <row r="17390" spans="1:8" x14ac:dyDescent="0.2">
      <c r="A17390" t="str">
        <f t="shared" si="6309"/>
        <v>0613116106</v>
      </c>
      <c r="B17390" t="str">
        <f t="shared" si="6310"/>
        <v>SOFIA</v>
      </c>
      <c r="C17390" t="str">
        <f t="shared" si="6311"/>
        <v>VALENZUELA-RIVERA</v>
      </c>
      <c r="D17390">
        <f>10</f>
        <v>10</v>
      </c>
      <c r="E17390" t="str">
        <f>"08 - B - 201 - Lenecy  Nodarse"</f>
        <v>08 - B - 201 - Lenecy  Nodarse</v>
      </c>
      <c r="F17390" t="str">
        <f>"AICE EURO HIST 1 AS"</f>
        <v>AICE EURO HIST 1 AS</v>
      </c>
      <c r="G17390" t="str">
        <f>"17-1741"</f>
        <v>17-1741</v>
      </c>
      <c r="H17390" t="str">
        <f>"B"</f>
        <v>B</v>
      </c>
    </row>
    <row r="17391" spans="1:8" x14ac:dyDescent="0.2">
      <c r="A17391" t="str">
        <f t="shared" ref="A17391:A17398" si="6312">"0622108571"</f>
        <v>0622108571</v>
      </c>
      <c r="B17391" t="str">
        <f t="shared" ref="B17391:B17398" si="6313">"ALBERT"</f>
        <v>ALBERT</v>
      </c>
      <c r="C17391" t="str">
        <f t="shared" ref="C17391:C17398" si="6314">"VALLE"</f>
        <v>VALLE</v>
      </c>
      <c r="D17391" t="str">
        <f t="shared" ref="D17391:D17430" si="6315">"09"</f>
        <v>09</v>
      </c>
      <c r="E17391" t="str">
        <f>"04 - A - 102 - Tina L Lovett"</f>
        <v>04 - A - 102 - Tina L Lovett</v>
      </c>
      <c r="F17391" t="str">
        <f>"ALGEBRA 1"</f>
        <v>ALGEBRA 1</v>
      </c>
      <c r="G17391" t="str">
        <f>"21-2153"</f>
        <v>21-2153</v>
      </c>
      <c r="H17391" t="str">
        <f>"A"</f>
        <v>A</v>
      </c>
    </row>
    <row r="17392" spans="1:8" x14ac:dyDescent="0.2">
      <c r="A17392" t="str">
        <f t="shared" si="6312"/>
        <v>0622108571</v>
      </c>
      <c r="B17392" t="str">
        <f t="shared" si="6313"/>
        <v>ALBERT</v>
      </c>
      <c r="C17392" t="str">
        <f t="shared" si="6314"/>
        <v>VALLE</v>
      </c>
      <c r="D17392" t="str">
        <f t="shared" si="6315"/>
        <v>09</v>
      </c>
      <c r="E17392" t="str">
        <f>"06 - B - 102 - Angela S Adeshina-Morrison"</f>
        <v>06 - B - 102 - Angela S Adeshina-Morrison</v>
      </c>
      <c r="F17392" t="str">
        <f>"MARKETING ESSENTIALS"</f>
        <v>MARKETING ESSENTIALS</v>
      </c>
      <c r="G17392" t="str">
        <f>"05-518"</f>
        <v>05-518</v>
      </c>
      <c r="H17392" t="str">
        <f>"B"</f>
        <v>B</v>
      </c>
    </row>
    <row r="17393" spans="1:8" x14ac:dyDescent="0.2">
      <c r="A17393" t="str">
        <f t="shared" si="6312"/>
        <v>0622108571</v>
      </c>
      <c r="B17393" t="str">
        <f t="shared" si="6313"/>
        <v>ALBERT</v>
      </c>
      <c r="C17393" t="str">
        <f t="shared" si="6314"/>
        <v>VALLE</v>
      </c>
      <c r="D17393" t="str">
        <f t="shared" si="6315"/>
        <v>09</v>
      </c>
      <c r="E17393" t="str">
        <f>"03 - A - 109 - Lissa C Frederique"</f>
        <v>03 - A - 109 - Lissa C Frederique</v>
      </c>
      <c r="F17393" t="str">
        <f>"WORLD HISTORY"</f>
        <v>WORLD HISTORY</v>
      </c>
      <c r="G17393" t="str">
        <f>"17-1754"</f>
        <v>17-1754</v>
      </c>
      <c r="H17393" t="str">
        <f>"A"</f>
        <v>A</v>
      </c>
    </row>
    <row r="17394" spans="1:8" x14ac:dyDescent="0.2">
      <c r="A17394" t="str">
        <f t="shared" si="6312"/>
        <v>0622108571</v>
      </c>
      <c r="B17394" t="str">
        <f t="shared" si="6313"/>
        <v>ALBERT</v>
      </c>
      <c r="C17394" t="str">
        <f t="shared" si="6314"/>
        <v>VALLE</v>
      </c>
      <c r="D17394" t="str">
        <f t="shared" si="6315"/>
        <v>09</v>
      </c>
      <c r="E17394" t="str">
        <f>"02 - A - 108 - Rory T Sponsler"</f>
        <v>02 - A - 108 - Rory T Sponsler</v>
      </c>
      <c r="F17394" t="str">
        <f>"NC STUDY HALL 1"</f>
        <v>NC STUDY HALL 1</v>
      </c>
      <c r="G17394" t="str">
        <f>"17-1740"</f>
        <v>17-1740</v>
      </c>
      <c r="H17394" t="str">
        <f>"A"</f>
        <v>A</v>
      </c>
    </row>
    <row r="17395" spans="1:8" x14ac:dyDescent="0.2">
      <c r="A17395" t="str">
        <f t="shared" si="6312"/>
        <v>0622108571</v>
      </c>
      <c r="B17395" t="str">
        <f t="shared" si="6313"/>
        <v>ALBERT</v>
      </c>
      <c r="C17395" t="str">
        <f t="shared" si="6314"/>
        <v>VALLE</v>
      </c>
      <c r="D17395" t="str">
        <f t="shared" si="6315"/>
        <v>09</v>
      </c>
      <c r="E17395" t="str">
        <f>"07 - B - 107 - Cerine S Stewart"</f>
        <v>07 - B - 107 - Cerine S Stewart</v>
      </c>
      <c r="F17395" t="str">
        <f>"ENG 1"</f>
        <v>ENG 1</v>
      </c>
      <c r="G17395" t="str">
        <f>"17-1720"</f>
        <v>17-1720</v>
      </c>
      <c r="H17395" t="str">
        <f>"B"</f>
        <v>B</v>
      </c>
    </row>
    <row r="17396" spans="1:8" x14ac:dyDescent="0.2">
      <c r="A17396" t="str">
        <f t="shared" si="6312"/>
        <v>0622108571</v>
      </c>
      <c r="B17396" t="str">
        <f t="shared" si="6313"/>
        <v>ALBERT</v>
      </c>
      <c r="C17396" t="str">
        <f t="shared" si="6314"/>
        <v>VALLE</v>
      </c>
      <c r="D17396" t="str">
        <f t="shared" si="6315"/>
        <v>09</v>
      </c>
      <c r="E17396" t="str">
        <f>"05 - B - 001 - Laselleda D Shaw"</f>
        <v>05 - B - 001 - Laselleda D Shaw</v>
      </c>
      <c r="F17396" t="str">
        <f>"INTENS READ 1"</f>
        <v>INTENS READ 1</v>
      </c>
      <c r="G17396" t="str">
        <f>"17-1723"</f>
        <v>17-1723</v>
      </c>
      <c r="H17396" t="str">
        <f>"B"</f>
        <v>B</v>
      </c>
    </row>
    <row r="17397" spans="1:8" x14ac:dyDescent="0.2">
      <c r="A17397" t="str">
        <f t="shared" si="6312"/>
        <v>0622108571</v>
      </c>
      <c r="B17397" t="str">
        <f t="shared" si="6313"/>
        <v>ALBERT</v>
      </c>
      <c r="C17397" t="str">
        <f t="shared" si="6314"/>
        <v>VALLE</v>
      </c>
      <c r="D17397" t="str">
        <f t="shared" si="6315"/>
        <v>09</v>
      </c>
      <c r="E17397" t="str">
        <f>"01 - A - 103 - Amy Beth  Broyles"</f>
        <v>01 - A - 103 - Amy Beth  Broyles</v>
      </c>
      <c r="F17397" t="str">
        <f>"ENV SCI"</f>
        <v>ENV SCI</v>
      </c>
      <c r="G17397" t="str">
        <f>"08-802"</f>
        <v>08-802</v>
      </c>
      <c r="H17397" t="str">
        <f>"A"</f>
        <v>A</v>
      </c>
    </row>
    <row r="17398" spans="1:8" x14ac:dyDescent="0.2">
      <c r="A17398" t="str">
        <f t="shared" si="6312"/>
        <v>0622108571</v>
      </c>
      <c r="B17398" t="str">
        <f t="shared" si="6313"/>
        <v>ALBERT</v>
      </c>
      <c r="C17398" t="str">
        <f t="shared" si="6314"/>
        <v>VALLE</v>
      </c>
      <c r="D17398" t="str">
        <f t="shared" si="6315"/>
        <v>09</v>
      </c>
      <c r="E17398" t="str">
        <f>"08 - B - 108 - Tina L Lovett"</f>
        <v>08 - B - 108 - Tina L Lovett</v>
      </c>
      <c r="F17398" t="str">
        <f>"FDN SKLS MATH 9-12"</f>
        <v>FDN SKLS MATH 9-12</v>
      </c>
      <c r="G17398" t="str">
        <f>"21-2153"</f>
        <v>21-2153</v>
      </c>
      <c r="H17398" t="str">
        <f>"B"</f>
        <v>B</v>
      </c>
    </row>
    <row r="17399" spans="1:8" x14ac:dyDescent="0.2">
      <c r="A17399" t="str">
        <f t="shared" ref="A17399:A17406" si="6316">"0617014737"</f>
        <v>0617014737</v>
      </c>
      <c r="B17399" t="str">
        <f t="shared" ref="B17399:B17406" si="6317">"LINCOLN"</f>
        <v>LINCOLN</v>
      </c>
      <c r="C17399" t="str">
        <f t="shared" ref="C17399:C17406" si="6318">"VANVLEET"</f>
        <v>VANVLEET</v>
      </c>
      <c r="D17399" t="str">
        <f t="shared" si="6315"/>
        <v>09</v>
      </c>
      <c r="E17399" t="str">
        <f>"04 - A - 107 - Amy Beth  Broyles"</f>
        <v>04 - A - 107 - Amy Beth  Broyles</v>
      </c>
      <c r="F17399" t="str">
        <f>"ENV SCI"</f>
        <v>ENV SCI</v>
      </c>
      <c r="G17399" t="str">
        <f>"08-802"</f>
        <v>08-802</v>
      </c>
      <c r="H17399" t="str">
        <f>"A"</f>
        <v>A</v>
      </c>
    </row>
    <row r="17400" spans="1:8" x14ac:dyDescent="0.2">
      <c r="A17400" t="str">
        <f t="shared" si="6316"/>
        <v>0617014737</v>
      </c>
      <c r="B17400" t="str">
        <f t="shared" si="6317"/>
        <v>LINCOLN</v>
      </c>
      <c r="C17400" t="str">
        <f t="shared" si="6318"/>
        <v>VANVLEET</v>
      </c>
      <c r="D17400" t="str">
        <f t="shared" si="6315"/>
        <v>09</v>
      </c>
      <c r="E17400" t="str">
        <f>"06 - S1 - B - 104 - Leslie J Barton"</f>
        <v>06 - S1 - B - 104 - Leslie J Barton</v>
      </c>
      <c r="F17400" t="str">
        <f>"FIRST AID SAFETY"</f>
        <v>FIRST AID SAFETY</v>
      </c>
      <c r="G17400" t="str">
        <f>"05-521"</f>
        <v>05-521</v>
      </c>
      <c r="H17400" t="str">
        <f>"B"</f>
        <v>B</v>
      </c>
    </row>
    <row r="17401" spans="1:8" x14ac:dyDescent="0.2">
      <c r="A17401" t="str">
        <f t="shared" si="6316"/>
        <v>0617014737</v>
      </c>
      <c r="B17401" t="str">
        <f t="shared" si="6317"/>
        <v>LINCOLN</v>
      </c>
      <c r="C17401" t="str">
        <f t="shared" si="6318"/>
        <v>VANVLEET</v>
      </c>
      <c r="D17401" t="str">
        <f t="shared" si="6315"/>
        <v>09</v>
      </c>
      <c r="E17401" t="str">
        <f>"03 - A - 105 - Elizabeth Ellen  Moran"</f>
        <v>03 - A - 105 - Elizabeth Ellen  Moran</v>
      </c>
      <c r="F17401" t="str">
        <f>"WORLD HISTORY"</f>
        <v>WORLD HISTORY</v>
      </c>
      <c r="G17401" t="str">
        <f>"17-1752"</f>
        <v>17-1752</v>
      </c>
      <c r="H17401" t="str">
        <f>"A"</f>
        <v>A</v>
      </c>
    </row>
    <row r="17402" spans="1:8" x14ac:dyDescent="0.2">
      <c r="A17402" t="str">
        <f t="shared" si="6316"/>
        <v>0617014737</v>
      </c>
      <c r="B17402" t="str">
        <f t="shared" si="6317"/>
        <v>LINCOLN</v>
      </c>
      <c r="C17402" t="str">
        <f t="shared" si="6318"/>
        <v>VANVLEET</v>
      </c>
      <c r="D17402" t="str">
        <f t="shared" si="6315"/>
        <v>09</v>
      </c>
      <c r="E17402" t="str">
        <f>"02 - A - 107 - Cerine S Stewart"</f>
        <v>02 - A - 107 - Cerine S Stewart</v>
      </c>
      <c r="F17402" t="str">
        <f>"NC STUDY HALL 1"</f>
        <v>NC STUDY HALL 1</v>
      </c>
      <c r="G17402" t="str">
        <f>"17-1720"</f>
        <v>17-1720</v>
      </c>
      <c r="H17402" t="str">
        <f>"A"</f>
        <v>A</v>
      </c>
    </row>
    <row r="17403" spans="1:8" x14ac:dyDescent="0.2">
      <c r="A17403" t="str">
        <f t="shared" si="6316"/>
        <v>0617014737</v>
      </c>
      <c r="B17403" t="str">
        <f t="shared" si="6317"/>
        <v>LINCOLN</v>
      </c>
      <c r="C17403" t="str">
        <f t="shared" si="6318"/>
        <v>VANVLEET</v>
      </c>
      <c r="D17403" t="str">
        <f t="shared" si="6315"/>
        <v>09</v>
      </c>
      <c r="E17403" t="str">
        <f>"07 - B - 001 - Maried P Ramos"</f>
        <v>07 - B - 001 - Maried P Ramos</v>
      </c>
      <c r="F17403" t="str">
        <f>"GEOMETRY"</f>
        <v>GEOMETRY</v>
      </c>
      <c r="G17403" t="str">
        <f>"21-2159"</f>
        <v>21-2159</v>
      </c>
      <c r="H17403" t="str">
        <f>"B"</f>
        <v>B</v>
      </c>
    </row>
    <row r="17404" spans="1:8" x14ac:dyDescent="0.2">
      <c r="A17404" t="str">
        <f t="shared" si="6316"/>
        <v>0617014737</v>
      </c>
      <c r="B17404" t="str">
        <f t="shared" si="6317"/>
        <v>LINCOLN</v>
      </c>
      <c r="C17404" t="str">
        <f t="shared" si="6318"/>
        <v>VANVLEET</v>
      </c>
      <c r="D17404" t="str">
        <f t="shared" si="6315"/>
        <v>09</v>
      </c>
      <c r="E17404" t="str">
        <f>"05 - B - 001 - Laselleda D Shaw"</f>
        <v>05 - B - 001 - Laselleda D Shaw</v>
      </c>
      <c r="F17404" t="str">
        <f>"INTENS READ 1"</f>
        <v>INTENS READ 1</v>
      </c>
      <c r="G17404" t="str">
        <f>"17-1723"</f>
        <v>17-1723</v>
      </c>
      <c r="H17404" t="str">
        <f>"B"</f>
        <v>B</v>
      </c>
    </row>
    <row r="17405" spans="1:8" x14ac:dyDescent="0.2">
      <c r="A17405" t="str">
        <f t="shared" si="6316"/>
        <v>0617014737</v>
      </c>
      <c r="B17405" t="str">
        <f t="shared" si="6317"/>
        <v>LINCOLN</v>
      </c>
      <c r="C17405" t="str">
        <f t="shared" si="6318"/>
        <v>VANVLEET</v>
      </c>
      <c r="D17405" t="str">
        <f t="shared" si="6315"/>
        <v>09</v>
      </c>
      <c r="E17405" t="str">
        <f>"01 - A - 101 - Nikiel  Nesbeth"</f>
        <v>01 - A - 101 - Nikiel  Nesbeth</v>
      </c>
      <c r="F17405" t="str">
        <f>"CONST LAW HON"</f>
        <v>CONST LAW HON</v>
      </c>
      <c r="G17405" t="str">
        <f>"17-1705"</f>
        <v>17-1705</v>
      </c>
      <c r="H17405" t="str">
        <f>"A"</f>
        <v>A</v>
      </c>
    </row>
    <row r="17406" spans="1:8" x14ac:dyDescent="0.2">
      <c r="A17406" t="str">
        <f t="shared" si="6316"/>
        <v>0617014737</v>
      </c>
      <c r="B17406" t="str">
        <f t="shared" si="6317"/>
        <v>LINCOLN</v>
      </c>
      <c r="C17406" t="str">
        <f t="shared" si="6318"/>
        <v>VANVLEET</v>
      </c>
      <c r="D17406" t="str">
        <f t="shared" si="6315"/>
        <v>09</v>
      </c>
      <c r="E17406" t="str">
        <f>"08 - B - 108 - Cerine S Stewart"</f>
        <v>08 - B - 108 - Cerine S Stewart</v>
      </c>
      <c r="F17406" t="str">
        <f>"ENG 1"</f>
        <v>ENG 1</v>
      </c>
      <c r="G17406" t="str">
        <f>"17-1720"</f>
        <v>17-1720</v>
      </c>
      <c r="H17406" t="str">
        <f>"B"</f>
        <v>B</v>
      </c>
    </row>
    <row r="17407" spans="1:8" x14ac:dyDescent="0.2">
      <c r="A17407" t="str">
        <f t="shared" ref="A17407:A17414" si="6319">"0625014450"</f>
        <v>0625014450</v>
      </c>
      <c r="B17407" t="str">
        <f t="shared" ref="B17407:B17414" si="6320">"Ca'Mya"</f>
        <v>Ca'Mya</v>
      </c>
      <c r="C17407" t="str">
        <f t="shared" ref="C17407:C17414" si="6321">"Variance"</f>
        <v>Variance</v>
      </c>
      <c r="D17407" t="str">
        <f t="shared" si="6315"/>
        <v>09</v>
      </c>
      <c r="E17407" t="str">
        <f>"04 - A - 103 - Lenecy  Nodarse"</f>
        <v>04 - A - 103 - Lenecy  Nodarse</v>
      </c>
      <c r="F17407" t="str">
        <f>"WORLD HISTORY"</f>
        <v>WORLD HISTORY</v>
      </c>
      <c r="G17407" t="str">
        <f>"17-1741"</f>
        <v>17-1741</v>
      </c>
      <c r="H17407" t="str">
        <f>"A"</f>
        <v>A</v>
      </c>
    </row>
    <row r="17408" spans="1:8" x14ac:dyDescent="0.2">
      <c r="A17408" t="str">
        <f t="shared" si="6319"/>
        <v>0625014450</v>
      </c>
      <c r="B17408" t="str">
        <f t="shared" si="6320"/>
        <v>Ca'Mya</v>
      </c>
      <c r="C17408" t="str">
        <f t="shared" si="6321"/>
        <v>Variance</v>
      </c>
      <c r="D17408" t="str">
        <f t="shared" si="6315"/>
        <v>09</v>
      </c>
      <c r="E17408" t="str">
        <f>"06 - B - 102 - Angela S Adeshina-Morrison"</f>
        <v>06 - B - 102 - Angela S Adeshina-Morrison</v>
      </c>
      <c r="F17408" t="str">
        <f>"MARKETING ESSENTIALS"</f>
        <v>MARKETING ESSENTIALS</v>
      </c>
      <c r="G17408" t="str">
        <f>"05-518"</f>
        <v>05-518</v>
      </c>
      <c r="H17408" t="str">
        <f>"B"</f>
        <v>B</v>
      </c>
    </row>
    <row r="17409" spans="1:8" x14ac:dyDescent="0.2">
      <c r="A17409" t="str">
        <f t="shared" si="6319"/>
        <v>0625014450</v>
      </c>
      <c r="B17409" t="str">
        <f t="shared" si="6320"/>
        <v>Ca'Mya</v>
      </c>
      <c r="C17409" t="str">
        <f t="shared" si="6321"/>
        <v>Variance</v>
      </c>
      <c r="D17409" t="str">
        <f t="shared" si="6315"/>
        <v>09</v>
      </c>
      <c r="E17409" t="str">
        <f>"03 - A - 102 - Laselleda D Shaw"</f>
        <v>03 - A - 102 - Laselleda D Shaw</v>
      </c>
      <c r="F17409" t="str">
        <f>"INTENS READ 1"</f>
        <v>INTENS READ 1</v>
      </c>
      <c r="G17409" t="str">
        <f>"17-1723"</f>
        <v>17-1723</v>
      </c>
      <c r="H17409" t="str">
        <f>"A"</f>
        <v>A</v>
      </c>
    </row>
    <row r="17410" spans="1:8" x14ac:dyDescent="0.2">
      <c r="A17410" t="str">
        <f t="shared" si="6319"/>
        <v>0625014450</v>
      </c>
      <c r="B17410" t="str">
        <f t="shared" si="6320"/>
        <v>Ca'Mya</v>
      </c>
      <c r="C17410" t="str">
        <f t="shared" si="6321"/>
        <v>Variance</v>
      </c>
      <c r="D17410" t="str">
        <f t="shared" si="6315"/>
        <v>09</v>
      </c>
      <c r="E17410" t="str">
        <f>"02 - A - 103 - Arthur  Kulawik"</f>
        <v>02 - A - 103 - Arthur  Kulawik</v>
      </c>
      <c r="F17410" t="str">
        <f>"NC STUDY HALL 1"</f>
        <v>NC STUDY HALL 1</v>
      </c>
      <c r="G17410" t="str">
        <f>"05-506"</f>
        <v>05-506</v>
      </c>
      <c r="H17410" t="str">
        <f>"A"</f>
        <v>A</v>
      </c>
    </row>
    <row r="17411" spans="1:8" x14ac:dyDescent="0.2">
      <c r="A17411" t="str">
        <f t="shared" si="6319"/>
        <v>0625014450</v>
      </c>
      <c r="B17411" t="str">
        <f t="shared" si="6320"/>
        <v>Ca'Mya</v>
      </c>
      <c r="C17411" t="str">
        <f t="shared" si="6321"/>
        <v>Variance</v>
      </c>
      <c r="D17411" t="str">
        <f t="shared" si="6315"/>
        <v>09</v>
      </c>
      <c r="E17411" t="str">
        <f>"07 - B - 107 - Cerine S Stewart"</f>
        <v>07 - B - 107 - Cerine S Stewart</v>
      </c>
      <c r="F17411" t="str">
        <f>"ENG 1"</f>
        <v>ENG 1</v>
      </c>
      <c r="G17411" t="str">
        <f>"17-1720"</f>
        <v>17-1720</v>
      </c>
      <c r="H17411" t="str">
        <f>"B"</f>
        <v>B</v>
      </c>
    </row>
    <row r="17412" spans="1:8" x14ac:dyDescent="0.2">
      <c r="A17412" t="str">
        <f t="shared" si="6319"/>
        <v>0625014450</v>
      </c>
      <c r="B17412" t="str">
        <f t="shared" si="6320"/>
        <v>Ca'Mya</v>
      </c>
      <c r="C17412" t="str">
        <f t="shared" si="6321"/>
        <v>Variance</v>
      </c>
      <c r="D17412" t="str">
        <f t="shared" si="6315"/>
        <v>09</v>
      </c>
      <c r="E17412" t="str">
        <f>"05 - B - 102 - Tina L Lovett"</f>
        <v>05 - B - 102 - Tina L Lovett</v>
      </c>
      <c r="F17412" t="str">
        <f>"PRE-AICE MATH 1 IG"</f>
        <v>PRE-AICE MATH 1 IG</v>
      </c>
      <c r="G17412" t="str">
        <f>"21-2153"</f>
        <v>21-2153</v>
      </c>
      <c r="H17412" t="str">
        <f>"B"</f>
        <v>B</v>
      </c>
    </row>
    <row r="17413" spans="1:8" x14ac:dyDescent="0.2">
      <c r="A17413" t="str">
        <f t="shared" si="6319"/>
        <v>0625014450</v>
      </c>
      <c r="B17413" t="str">
        <f t="shared" si="6320"/>
        <v>Ca'Mya</v>
      </c>
      <c r="C17413" t="str">
        <f t="shared" si="6321"/>
        <v>Variance</v>
      </c>
      <c r="D17413" t="str">
        <f t="shared" si="6315"/>
        <v>09</v>
      </c>
      <c r="E17413" t="str">
        <f>"01 - A - 101 - Adam Marcus  Drucker"</f>
        <v>01 - A - 101 - Adam Marcus  Drucker</v>
      </c>
      <c r="F17413" t="str">
        <f>"HOPE-PE V"</f>
        <v>HOPE-PE V</v>
      </c>
      <c r="G17413" t="str">
        <f>"04-254"</f>
        <v>04-254</v>
      </c>
      <c r="H17413" t="str">
        <f>"A"</f>
        <v>A</v>
      </c>
    </row>
    <row r="17414" spans="1:8" x14ac:dyDescent="0.2">
      <c r="A17414" t="str">
        <f t="shared" si="6319"/>
        <v>0625014450</v>
      </c>
      <c r="B17414" t="str">
        <f t="shared" si="6320"/>
        <v>Ca'Mya</v>
      </c>
      <c r="C17414" t="str">
        <f t="shared" si="6321"/>
        <v>Variance</v>
      </c>
      <c r="D17414" t="str">
        <f t="shared" si="6315"/>
        <v>09</v>
      </c>
      <c r="E17414" t="str">
        <f>"08 - B - 105 - Samantha J Headley"</f>
        <v>08 - B - 105 - Samantha J Headley</v>
      </c>
      <c r="F17414" t="str">
        <f>"ENV SCI"</f>
        <v>ENV SCI</v>
      </c>
      <c r="G17414" t="str">
        <f>"08-802"</f>
        <v>08-802</v>
      </c>
      <c r="H17414" t="str">
        <f>"B"</f>
        <v>B</v>
      </c>
    </row>
    <row r="17415" spans="1:8" x14ac:dyDescent="0.2">
      <c r="A17415" t="str">
        <f t="shared" ref="A17415:A17422" si="6322">"0616069089"</f>
        <v>0616069089</v>
      </c>
      <c r="B17415" t="str">
        <f t="shared" ref="B17415:B17422" si="6323">"BRYAN"</f>
        <v>BRYAN</v>
      </c>
      <c r="C17415" t="str">
        <f t="shared" ref="C17415:C17438" si="6324">"VASQUEZ"</f>
        <v>VASQUEZ</v>
      </c>
      <c r="D17415" t="str">
        <f t="shared" si="6315"/>
        <v>09</v>
      </c>
      <c r="E17415" t="str">
        <f>"04 - A - 101 - Jeanne M Bermudez"</f>
        <v>04 - A - 101 - Jeanne M Bermudez</v>
      </c>
      <c r="F17415" t="str">
        <f>"ADVANCED IT HON"</f>
        <v>ADVANCED IT HON</v>
      </c>
      <c r="G17415" t="str">
        <f>"21-2141"</f>
        <v>21-2141</v>
      </c>
      <c r="H17415" t="str">
        <f>"A"</f>
        <v>A</v>
      </c>
    </row>
    <row r="17416" spans="1:8" x14ac:dyDescent="0.2">
      <c r="A17416" t="str">
        <f t="shared" si="6322"/>
        <v>0616069089</v>
      </c>
      <c r="B17416" t="str">
        <f t="shared" si="6323"/>
        <v>BRYAN</v>
      </c>
      <c r="C17416" t="str">
        <f t="shared" si="6324"/>
        <v>VASQUEZ</v>
      </c>
      <c r="D17416" t="str">
        <f t="shared" si="6315"/>
        <v>09</v>
      </c>
      <c r="E17416" t="str">
        <f>"06 - B - 104 - Lytrell T Dixon"</f>
        <v>06 - B - 104 - Lytrell T Dixon</v>
      </c>
      <c r="F17416" t="str">
        <f>"PRE-AICE BIO IG"</f>
        <v>PRE-AICE BIO IG</v>
      </c>
      <c r="G17416" t="str">
        <f>"08-808"</f>
        <v>08-808</v>
      </c>
      <c r="H17416" t="str">
        <f>"B"</f>
        <v>B</v>
      </c>
    </row>
    <row r="17417" spans="1:8" x14ac:dyDescent="0.2">
      <c r="A17417" t="str">
        <f t="shared" si="6322"/>
        <v>0616069089</v>
      </c>
      <c r="B17417" t="str">
        <f t="shared" si="6323"/>
        <v>BRYAN</v>
      </c>
      <c r="C17417" t="str">
        <f t="shared" si="6324"/>
        <v>VASQUEZ</v>
      </c>
      <c r="D17417" t="str">
        <f t="shared" si="6315"/>
        <v>09</v>
      </c>
      <c r="E17417" t="str">
        <f>"03 - A - 102 - Rory T Sponsler"</f>
        <v>03 - A - 102 - Rory T Sponsler</v>
      </c>
      <c r="F17417" t="str">
        <f>"PRE-AICE WRLD HST IG"</f>
        <v>PRE-AICE WRLD HST IG</v>
      </c>
      <c r="G17417" t="str">
        <f>"17-1740"</f>
        <v>17-1740</v>
      </c>
      <c r="H17417" t="str">
        <f>"A"</f>
        <v>A</v>
      </c>
    </row>
    <row r="17418" spans="1:8" x14ac:dyDescent="0.2">
      <c r="A17418" t="str">
        <f t="shared" si="6322"/>
        <v>0616069089</v>
      </c>
      <c r="B17418" t="str">
        <f t="shared" si="6323"/>
        <v>BRYAN</v>
      </c>
      <c r="C17418" t="str">
        <f t="shared" si="6324"/>
        <v>VASQUEZ</v>
      </c>
      <c r="D17418" t="str">
        <f t="shared" si="6315"/>
        <v>09</v>
      </c>
      <c r="E17418" t="str">
        <f>"02 - A - 114 - Laselleda D Shaw"</f>
        <v>02 - A - 114 - Laselleda D Shaw</v>
      </c>
      <c r="F17418" t="str">
        <f>"NC STUDY HALL 1"</f>
        <v>NC STUDY HALL 1</v>
      </c>
      <c r="G17418" t="str">
        <f>"17-1723"</f>
        <v>17-1723</v>
      </c>
      <c r="H17418" t="str">
        <f>"A"</f>
        <v>A</v>
      </c>
    </row>
    <row r="17419" spans="1:8" x14ac:dyDescent="0.2">
      <c r="A17419" t="str">
        <f t="shared" si="6322"/>
        <v>0616069089</v>
      </c>
      <c r="B17419" t="str">
        <f t="shared" si="6323"/>
        <v>BRYAN</v>
      </c>
      <c r="C17419" t="str">
        <f t="shared" si="6324"/>
        <v>VASQUEZ</v>
      </c>
      <c r="D17419" t="str">
        <f t="shared" si="6315"/>
        <v>09</v>
      </c>
      <c r="E17419" t="str">
        <f>"07 - B - 001 - Cheryl Anne  Berman-Schechter"</f>
        <v>07 - B - 001 - Cheryl Anne  Berman-Schechter</v>
      </c>
      <c r="F17419" t="str">
        <f>"AICE ENG GEN PAPER 1"</f>
        <v>AICE ENG GEN PAPER 1</v>
      </c>
      <c r="G17419" t="str">
        <f>"17-1722"</f>
        <v>17-1722</v>
      </c>
      <c r="H17419" t="str">
        <f>"B"</f>
        <v>B</v>
      </c>
    </row>
    <row r="17420" spans="1:8" x14ac:dyDescent="0.2">
      <c r="A17420" t="str">
        <f t="shared" si="6322"/>
        <v>0616069089</v>
      </c>
      <c r="B17420" t="str">
        <f t="shared" si="6323"/>
        <v>BRYAN</v>
      </c>
      <c r="C17420" t="str">
        <f t="shared" si="6324"/>
        <v>VASQUEZ</v>
      </c>
      <c r="D17420" t="str">
        <f t="shared" si="6315"/>
        <v>09</v>
      </c>
      <c r="E17420" t="str">
        <f>"05 - B - 102 - Tina L Lovett"</f>
        <v>05 - B - 102 - Tina L Lovett</v>
      </c>
      <c r="F17420" t="str">
        <f>"PRE-AICE MATH 1 IG"</f>
        <v>PRE-AICE MATH 1 IG</v>
      </c>
      <c r="G17420" t="str">
        <f>"21-2153"</f>
        <v>21-2153</v>
      </c>
      <c r="H17420" t="str">
        <f>"B"</f>
        <v>B</v>
      </c>
    </row>
    <row r="17421" spans="1:8" x14ac:dyDescent="0.2">
      <c r="A17421" t="str">
        <f t="shared" si="6322"/>
        <v>0616069089</v>
      </c>
      <c r="B17421" t="str">
        <f t="shared" si="6323"/>
        <v>BRYAN</v>
      </c>
      <c r="C17421" t="str">
        <f t="shared" si="6324"/>
        <v>VASQUEZ</v>
      </c>
      <c r="D17421" t="str">
        <f t="shared" si="6315"/>
        <v>09</v>
      </c>
      <c r="E17421" t="str">
        <f>"01 - A - 101 - Adam Marcus  Drucker"</f>
        <v>01 - A - 101 - Adam Marcus  Drucker</v>
      </c>
      <c r="F17421" t="str">
        <f>"HOPE-PE V"</f>
        <v>HOPE-PE V</v>
      </c>
      <c r="G17421" t="str">
        <f>"04-254"</f>
        <v>04-254</v>
      </c>
      <c r="H17421" t="str">
        <f>"A"</f>
        <v>A</v>
      </c>
    </row>
    <row r="17422" spans="1:8" x14ac:dyDescent="0.2">
      <c r="A17422" t="str">
        <f t="shared" si="6322"/>
        <v>0616069089</v>
      </c>
      <c r="B17422" t="str">
        <f t="shared" si="6323"/>
        <v>BRYAN</v>
      </c>
      <c r="C17422" t="str">
        <f t="shared" si="6324"/>
        <v>VASQUEZ</v>
      </c>
      <c r="D17422" t="str">
        <f t="shared" si="6315"/>
        <v>09</v>
      </c>
      <c r="E17422" t="str">
        <f>"08 - S1 - B - 104 - Angela S Adeshina-Morrison"</f>
        <v>08 - S1 - B - 104 - Angela S Adeshina-Morrison</v>
      </c>
      <c r="F17422" t="str">
        <f>"PEER COUN 1"</f>
        <v>PEER COUN 1</v>
      </c>
      <c r="G17422" t="str">
        <f>"05-518"</f>
        <v>05-518</v>
      </c>
      <c r="H17422" t="str">
        <f>"B"</f>
        <v>B</v>
      </c>
    </row>
    <row r="17423" spans="1:8" x14ac:dyDescent="0.2">
      <c r="A17423" t="str">
        <f t="shared" ref="A17423:A17430" si="6325">"0623087721"</f>
        <v>0623087721</v>
      </c>
      <c r="B17423" t="str">
        <f t="shared" ref="B17423:B17430" si="6326">"NAOMI"</f>
        <v>NAOMI</v>
      </c>
      <c r="C17423" t="str">
        <f t="shared" si="6324"/>
        <v>VASQUEZ</v>
      </c>
      <c r="D17423" t="str">
        <f t="shared" si="6315"/>
        <v>09</v>
      </c>
      <c r="E17423" t="str">
        <f>"04 - A - 104 - Adam Marcus  Drucker"</f>
        <v>04 - A - 104 - Adam Marcus  Drucker</v>
      </c>
      <c r="F17423" t="str">
        <f>"HOPE-PE V"</f>
        <v>HOPE-PE V</v>
      </c>
      <c r="G17423" t="str">
        <f>"04-254"</f>
        <v>04-254</v>
      </c>
      <c r="H17423" t="str">
        <f>"A"</f>
        <v>A</v>
      </c>
    </row>
    <row r="17424" spans="1:8" x14ac:dyDescent="0.2">
      <c r="A17424" t="str">
        <f t="shared" si="6325"/>
        <v>0623087721</v>
      </c>
      <c r="B17424" t="str">
        <f t="shared" si="6326"/>
        <v>NAOMI</v>
      </c>
      <c r="C17424" t="str">
        <f t="shared" si="6324"/>
        <v>VASQUEZ</v>
      </c>
      <c r="D17424" t="str">
        <f t="shared" si="6315"/>
        <v>09</v>
      </c>
      <c r="E17424" t="str">
        <f>"06 - B - 105 - Dayna M Foster"</f>
        <v>06 - B - 105 - Dayna M Foster</v>
      </c>
      <c r="F17424" t="str">
        <f>"ALGEBRA 1"</f>
        <v>ALGEBRA 1</v>
      </c>
      <c r="G17424" t="str">
        <f>"21-2109"</f>
        <v>21-2109</v>
      </c>
      <c r="H17424" t="str">
        <f>"B"</f>
        <v>B</v>
      </c>
    </row>
    <row r="17425" spans="1:8" x14ac:dyDescent="0.2">
      <c r="A17425" t="str">
        <f t="shared" si="6325"/>
        <v>0623087721</v>
      </c>
      <c r="B17425" t="str">
        <f t="shared" si="6326"/>
        <v>NAOMI</v>
      </c>
      <c r="C17425" t="str">
        <f t="shared" si="6324"/>
        <v>VASQUEZ</v>
      </c>
      <c r="D17425" t="str">
        <f t="shared" si="6315"/>
        <v>09</v>
      </c>
      <c r="E17425" t="str">
        <f>"03 - A - 101 - Dayna M Foster"</f>
        <v>03 - A - 101 - Dayna M Foster</v>
      </c>
      <c r="F17425" t="str">
        <f>"FDN SKLS MATH 9-12"</f>
        <v>FDN SKLS MATH 9-12</v>
      </c>
      <c r="G17425" t="str">
        <f>"21-2109"</f>
        <v>21-2109</v>
      </c>
      <c r="H17425" t="str">
        <f>"A"</f>
        <v>A</v>
      </c>
    </row>
    <row r="17426" spans="1:8" x14ac:dyDescent="0.2">
      <c r="A17426" t="str">
        <f t="shared" si="6325"/>
        <v>0623087721</v>
      </c>
      <c r="B17426" t="str">
        <f t="shared" si="6326"/>
        <v>NAOMI</v>
      </c>
      <c r="C17426" t="str">
        <f t="shared" si="6324"/>
        <v>VASQUEZ</v>
      </c>
      <c r="D17426" t="str">
        <f t="shared" si="6315"/>
        <v>09</v>
      </c>
      <c r="E17426" t="str">
        <f>"02 - A - 106 - Helen A Flores"</f>
        <v>02 - A - 106 - Helen A Flores</v>
      </c>
      <c r="F17426" t="str">
        <f>"NC STUDY HALL 1"</f>
        <v>NC STUDY HALL 1</v>
      </c>
      <c r="G17426" t="str">
        <f>"21-2101"</f>
        <v>21-2101</v>
      </c>
      <c r="H17426" t="str">
        <f>"A"</f>
        <v>A</v>
      </c>
    </row>
    <row r="17427" spans="1:8" x14ac:dyDescent="0.2">
      <c r="A17427" t="str">
        <f t="shared" si="6325"/>
        <v>0623087721</v>
      </c>
      <c r="B17427" t="str">
        <f t="shared" si="6326"/>
        <v>NAOMI</v>
      </c>
      <c r="C17427" t="str">
        <f t="shared" si="6324"/>
        <v>VASQUEZ</v>
      </c>
      <c r="D17427" t="str">
        <f t="shared" si="6315"/>
        <v>09</v>
      </c>
      <c r="E17427" t="str">
        <f>"07 - B - 001 - Cheryl Anne  Berman-Schechter"</f>
        <v>07 - B - 001 - Cheryl Anne  Berman-Schechter</v>
      </c>
      <c r="F17427" t="str">
        <f>"AICE ENG GEN PAPER 1"</f>
        <v>AICE ENG GEN PAPER 1</v>
      </c>
      <c r="G17427" t="str">
        <f>"17-1722"</f>
        <v>17-1722</v>
      </c>
      <c r="H17427" t="str">
        <f>"B"</f>
        <v>B</v>
      </c>
    </row>
    <row r="17428" spans="1:8" x14ac:dyDescent="0.2">
      <c r="A17428" t="str">
        <f t="shared" si="6325"/>
        <v>0623087721</v>
      </c>
      <c r="B17428" t="str">
        <f t="shared" si="6326"/>
        <v>NAOMI</v>
      </c>
      <c r="C17428" t="str">
        <f t="shared" si="6324"/>
        <v>VASQUEZ</v>
      </c>
      <c r="D17428" t="str">
        <f t="shared" si="6315"/>
        <v>09</v>
      </c>
      <c r="E17428" t="str">
        <f>"05 - B - 103 - Rory T Sponsler"</f>
        <v>05 - B - 103 - Rory T Sponsler</v>
      </c>
      <c r="F17428" t="str">
        <f>"PRE-AICE WRLD HST IG"</f>
        <v>PRE-AICE WRLD HST IG</v>
      </c>
      <c r="G17428" t="str">
        <f>"17-1740"</f>
        <v>17-1740</v>
      </c>
      <c r="H17428" t="str">
        <f>"B"</f>
        <v>B</v>
      </c>
    </row>
    <row r="17429" spans="1:8" x14ac:dyDescent="0.2">
      <c r="A17429" t="str">
        <f t="shared" si="6325"/>
        <v>0623087721</v>
      </c>
      <c r="B17429" t="str">
        <f t="shared" si="6326"/>
        <v>NAOMI</v>
      </c>
      <c r="C17429" t="str">
        <f t="shared" si="6324"/>
        <v>VASQUEZ</v>
      </c>
      <c r="D17429" t="str">
        <f t="shared" si="6315"/>
        <v>09</v>
      </c>
      <c r="E17429" t="str">
        <f>"01 - A - 101 - Josiah I Lacy"</f>
        <v>01 - A - 101 - Josiah I Lacy</v>
      </c>
      <c r="F17429" t="str">
        <f>"PRE-AICE BIO IG"</f>
        <v>PRE-AICE BIO IG</v>
      </c>
      <c r="G17429" t="str">
        <f>"08-801"</f>
        <v>08-801</v>
      </c>
      <c r="H17429" t="str">
        <f>"A"</f>
        <v>A</v>
      </c>
    </row>
    <row r="17430" spans="1:8" x14ac:dyDescent="0.2">
      <c r="A17430" t="str">
        <f t="shared" si="6325"/>
        <v>0623087721</v>
      </c>
      <c r="B17430" t="str">
        <f t="shared" si="6326"/>
        <v>NAOMI</v>
      </c>
      <c r="C17430" t="str">
        <f t="shared" si="6324"/>
        <v>VASQUEZ</v>
      </c>
      <c r="D17430" t="str">
        <f t="shared" si="6315"/>
        <v>09</v>
      </c>
      <c r="E17430" t="str">
        <f>"08 - B - 202 - Dorothy D Moore"</f>
        <v>08 - B - 202 - Dorothy D Moore</v>
      </c>
      <c r="F17430" t="str">
        <f>"HEALTH SCI 1/A&amp;P HON"</f>
        <v>HEALTH SCI 1/A&amp;P HON</v>
      </c>
      <c r="G17430" t="str">
        <f>"08-803"</f>
        <v>08-803</v>
      </c>
      <c r="H17430" t="str">
        <f>"B"</f>
        <v>B</v>
      </c>
    </row>
    <row r="17431" spans="1:8" x14ac:dyDescent="0.2">
      <c r="A17431" t="str">
        <f t="shared" ref="A17431:A17438" si="6327">"0614063666"</f>
        <v>0614063666</v>
      </c>
      <c r="B17431" t="str">
        <f t="shared" ref="B17431:B17438" si="6328">"RYAN"</f>
        <v>RYAN</v>
      </c>
      <c r="C17431" t="str">
        <f t="shared" si="6324"/>
        <v>VASQUEZ</v>
      </c>
      <c r="D17431">
        <f>11</f>
        <v>11</v>
      </c>
      <c r="E17431" t="str">
        <f>"04 - A - 102 - Elizabeth Ellen  Moran"</f>
        <v>04 - A - 102 - Elizabeth Ellen  Moran</v>
      </c>
      <c r="F17431" t="str">
        <f>"US HISTORY"</f>
        <v>US HISTORY</v>
      </c>
      <c r="G17431" t="str">
        <f>"17-1752"</f>
        <v>17-1752</v>
      </c>
      <c r="H17431" t="str">
        <f>"A"</f>
        <v>A</v>
      </c>
    </row>
    <row r="17432" spans="1:8" x14ac:dyDescent="0.2">
      <c r="A17432" t="str">
        <f t="shared" si="6327"/>
        <v>0614063666</v>
      </c>
      <c r="B17432" t="str">
        <f t="shared" si="6328"/>
        <v>RYAN</v>
      </c>
      <c r="C17432" t="str">
        <f t="shared" si="6324"/>
        <v>VASQUEZ</v>
      </c>
      <c r="D17432">
        <f>11</f>
        <v>11</v>
      </c>
      <c r="E17432" t="str">
        <f>"06 - B - 202 - Brian M Fitzgerald"</f>
        <v>06 - B - 202 - Brian M Fitzgerald</v>
      </c>
      <c r="F17432" t="str">
        <f>"DRAW 1"</f>
        <v>DRAW 1</v>
      </c>
      <c r="G17432" t="str">
        <f>"09-908"</f>
        <v>09-908</v>
      </c>
      <c r="H17432" t="str">
        <f>"B"</f>
        <v>B</v>
      </c>
    </row>
    <row r="17433" spans="1:8" x14ac:dyDescent="0.2">
      <c r="A17433" t="str">
        <f t="shared" si="6327"/>
        <v>0614063666</v>
      </c>
      <c r="B17433" t="str">
        <f t="shared" si="6328"/>
        <v>RYAN</v>
      </c>
      <c r="C17433" t="str">
        <f t="shared" si="6324"/>
        <v>VASQUEZ</v>
      </c>
      <c r="D17433">
        <f>11</f>
        <v>11</v>
      </c>
      <c r="E17433" t="str">
        <f>"03 - A - 201 - Joe  Kilpatrick Jr"</f>
        <v>03 - A - 201 - Joe  Kilpatrick Jr</v>
      </c>
      <c r="F17433" t="str">
        <f>"PRE-AICE SPAN 2 IG"</f>
        <v>PRE-AICE SPAN 2 IG</v>
      </c>
      <c r="G17433" t="str">
        <f>"09-912"</f>
        <v>09-912</v>
      </c>
      <c r="H17433" t="str">
        <f>"A"</f>
        <v>A</v>
      </c>
    </row>
    <row r="17434" spans="1:8" x14ac:dyDescent="0.2">
      <c r="A17434" t="str">
        <f t="shared" si="6327"/>
        <v>0614063666</v>
      </c>
      <c r="B17434" t="str">
        <f t="shared" si="6328"/>
        <v>RYAN</v>
      </c>
      <c r="C17434" t="str">
        <f t="shared" si="6324"/>
        <v>VASQUEZ</v>
      </c>
      <c r="D17434">
        <f>11</f>
        <v>11</v>
      </c>
      <c r="E17434" t="str">
        <f>"02 - A - 001 - Courtney E Hambright"</f>
        <v>02 - A - 001 - Courtney E Hambright</v>
      </c>
      <c r="F17434" t="str">
        <f>"NC STUDY HALL 1"</f>
        <v>NC STUDY HALL 1</v>
      </c>
      <c r="G17434" t="str">
        <f>"17-1711"</f>
        <v>17-1711</v>
      </c>
      <c r="H17434" t="str">
        <f>"A"</f>
        <v>A</v>
      </c>
    </row>
    <row r="17435" spans="1:8" x14ac:dyDescent="0.2">
      <c r="A17435" t="str">
        <f t="shared" si="6327"/>
        <v>0614063666</v>
      </c>
      <c r="B17435" t="str">
        <f t="shared" si="6328"/>
        <v>RYAN</v>
      </c>
      <c r="C17435" t="str">
        <f t="shared" si="6324"/>
        <v>VASQUEZ</v>
      </c>
      <c r="D17435">
        <f>11</f>
        <v>11</v>
      </c>
      <c r="E17435" t="str">
        <f>"07 - B - 204 - Scott A Dethloff"</f>
        <v>07 - B - 204 - Scott A Dethloff</v>
      </c>
      <c r="F17435" t="str">
        <f>"CHEMISTRY 1"</f>
        <v>CHEMISTRY 1</v>
      </c>
      <c r="G17435" t="str">
        <f>"08-812"</f>
        <v>08-812</v>
      </c>
      <c r="H17435" t="str">
        <f>"B"</f>
        <v>B</v>
      </c>
    </row>
    <row r="17436" spans="1:8" x14ac:dyDescent="0.2">
      <c r="A17436" t="str">
        <f t="shared" si="6327"/>
        <v>0614063666</v>
      </c>
      <c r="B17436" t="str">
        <f t="shared" si="6328"/>
        <v>RYAN</v>
      </c>
      <c r="C17436" t="str">
        <f t="shared" si="6324"/>
        <v>VASQUEZ</v>
      </c>
      <c r="D17436">
        <f>11</f>
        <v>11</v>
      </c>
      <c r="E17436" t="str">
        <f>"05 - B - 104 - Lisa  Quinn"</f>
        <v>05 - B - 104 - Lisa  Quinn</v>
      </c>
      <c r="F17436" t="str">
        <f>"ENG 3"</f>
        <v>ENG 3</v>
      </c>
      <c r="G17436" t="str">
        <f>"17-1725"</f>
        <v>17-1725</v>
      </c>
      <c r="H17436" t="str">
        <f>"B"</f>
        <v>B</v>
      </c>
    </row>
    <row r="17437" spans="1:8" x14ac:dyDescent="0.2">
      <c r="A17437" t="str">
        <f t="shared" si="6327"/>
        <v>0614063666</v>
      </c>
      <c r="B17437" t="str">
        <f t="shared" si="6328"/>
        <v>RYAN</v>
      </c>
      <c r="C17437" t="str">
        <f t="shared" si="6324"/>
        <v>VASQUEZ</v>
      </c>
      <c r="D17437">
        <f>11</f>
        <v>11</v>
      </c>
      <c r="E17437" t="str">
        <f>"01 - S1 - A - 101 - Richard E Dunbar Iii"</f>
        <v>01 - S1 - A - 101 - Richard E Dunbar Iii</v>
      </c>
      <c r="F17437" t="str">
        <f>"WEIGHT TRAIN 1"</f>
        <v>WEIGHT TRAIN 1</v>
      </c>
      <c r="G17437" t="str">
        <f>"05-501"</f>
        <v>05-501</v>
      </c>
      <c r="H17437" t="str">
        <f>"A"</f>
        <v>A</v>
      </c>
    </row>
    <row r="17438" spans="1:8" x14ac:dyDescent="0.2">
      <c r="A17438" t="str">
        <f t="shared" si="6327"/>
        <v>0614063666</v>
      </c>
      <c r="B17438" t="str">
        <f t="shared" si="6328"/>
        <v>RYAN</v>
      </c>
      <c r="C17438" t="str">
        <f t="shared" si="6324"/>
        <v>VASQUEZ</v>
      </c>
      <c r="D17438">
        <f>11</f>
        <v>11</v>
      </c>
      <c r="E17438" t="str">
        <f>"08 - B - 107 - Brook E Goren"</f>
        <v>08 - B - 107 - Brook E Goren</v>
      </c>
      <c r="F17438" t="str">
        <f>"GEOMETRY"</f>
        <v>GEOMETRY</v>
      </c>
      <c r="G17438" t="str">
        <f>"21-2158"</f>
        <v>21-2158</v>
      </c>
      <c r="H17438" t="str">
        <f>"B"</f>
        <v>B</v>
      </c>
    </row>
    <row r="17439" spans="1:8" x14ac:dyDescent="0.2">
      <c r="A17439" t="str">
        <f t="shared" ref="A17439:A17446" si="6329">"0613116205"</f>
        <v>0613116205</v>
      </c>
      <c r="B17439" t="str">
        <f t="shared" ref="B17439:B17446" si="6330">"ADEN"</f>
        <v>ADEN</v>
      </c>
      <c r="C17439" t="str">
        <f t="shared" ref="C17439:C17454" si="6331">"VASSOR"</f>
        <v>VASSOR</v>
      </c>
      <c r="D17439">
        <f>12</f>
        <v>12</v>
      </c>
      <c r="E17439" t="str">
        <f>"04 - A - 104 - Robert H Rindner"</f>
        <v>04 - A - 104 - Robert H Rindner</v>
      </c>
      <c r="F17439" t="str">
        <f>"MATH DATA&amp;FIN LIT H"</f>
        <v>MATH DATA&amp;FIN LIT H</v>
      </c>
      <c r="G17439" t="str">
        <f>"21-2160"</f>
        <v>21-2160</v>
      </c>
      <c r="H17439" t="str">
        <f>"A"</f>
        <v>A</v>
      </c>
    </row>
    <row r="17440" spans="1:8" x14ac:dyDescent="0.2">
      <c r="A17440" t="str">
        <f t="shared" si="6329"/>
        <v>0613116205</v>
      </c>
      <c r="B17440" t="str">
        <f t="shared" si="6330"/>
        <v>ADEN</v>
      </c>
      <c r="C17440" t="str">
        <f t="shared" si="6331"/>
        <v>VASSOR</v>
      </c>
      <c r="D17440">
        <f>12</f>
        <v>12</v>
      </c>
      <c r="E17440" t="str">
        <f>"06 - B - 105 - Robyn L Trainer"</f>
        <v>06 - B - 105 - Robyn L Trainer</v>
      </c>
      <c r="F17440" t="str">
        <f>"NC STUDY HALL 1"</f>
        <v>NC STUDY HALL 1</v>
      </c>
      <c r="G17440" t="str">
        <f>"17-1734"</f>
        <v>17-1734</v>
      </c>
      <c r="H17440" t="str">
        <f>"B"</f>
        <v>B</v>
      </c>
    </row>
    <row r="17441" spans="1:8" x14ac:dyDescent="0.2">
      <c r="A17441" t="str">
        <f t="shared" si="6329"/>
        <v>0613116205</v>
      </c>
      <c r="B17441" t="str">
        <f t="shared" si="6330"/>
        <v>ADEN</v>
      </c>
      <c r="C17441" t="str">
        <f t="shared" si="6331"/>
        <v>VASSOR</v>
      </c>
      <c r="D17441">
        <f>12</f>
        <v>12</v>
      </c>
      <c r="E17441" t="str">
        <f>"03 - A - 201 - Joe  Kilpatrick Jr"</f>
        <v>03 - A - 201 - Joe  Kilpatrick Jr</v>
      </c>
      <c r="F17441" t="str">
        <f>"PRE-AICE SPAN 2 IG"</f>
        <v>PRE-AICE SPAN 2 IG</v>
      </c>
      <c r="G17441" t="str">
        <f>"09-912"</f>
        <v>09-912</v>
      </c>
      <c r="H17441" t="str">
        <f>"A"</f>
        <v>A</v>
      </c>
    </row>
    <row r="17442" spans="1:8" x14ac:dyDescent="0.2">
      <c r="A17442" t="str">
        <f t="shared" si="6329"/>
        <v>0613116205</v>
      </c>
      <c r="B17442" t="str">
        <f t="shared" si="6330"/>
        <v>ADEN</v>
      </c>
      <c r="C17442" t="str">
        <f t="shared" si="6331"/>
        <v>VASSOR</v>
      </c>
      <c r="D17442">
        <f>12</f>
        <v>12</v>
      </c>
      <c r="E17442" t="str">
        <f>"02 - A - 204 - Jacqueline R Morphet"</f>
        <v>02 - A - 204 - Jacqueline R Morphet</v>
      </c>
      <c r="F17442" t="str">
        <f>"PHYSICS 1 HON"</f>
        <v>PHYSICS 1 HON</v>
      </c>
      <c r="G17442" t="str">
        <f>"21-2138"</f>
        <v>21-2138</v>
      </c>
      <c r="H17442" t="str">
        <f>"A"</f>
        <v>A</v>
      </c>
    </row>
    <row r="17443" spans="1:8" x14ac:dyDescent="0.2">
      <c r="A17443" t="str">
        <f t="shared" si="6329"/>
        <v>0613116205</v>
      </c>
      <c r="B17443" t="str">
        <f t="shared" si="6330"/>
        <v>ADEN</v>
      </c>
      <c r="C17443" t="str">
        <f t="shared" si="6331"/>
        <v>VASSOR</v>
      </c>
      <c r="D17443">
        <f>12</f>
        <v>12</v>
      </c>
      <c r="E17443" t="str">
        <f>"07 - B - 101 - Samantha L Martinez"</f>
        <v>07 - B - 101 - Samantha L Martinez</v>
      </c>
      <c r="F17443" t="str">
        <f>"KEYBD 1"</f>
        <v>KEYBD 1</v>
      </c>
      <c r="G17443" t="str">
        <f>"05-505"</f>
        <v>05-505</v>
      </c>
      <c r="H17443" t="str">
        <f>"B"</f>
        <v>B</v>
      </c>
    </row>
    <row r="17444" spans="1:8" x14ac:dyDescent="0.2">
      <c r="A17444" t="str">
        <f t="shared" si="6329"/>
        <v>0613116205</v>
      </c>
      <c r="B17444" t="str">
        <f t="shared" si="6330"/>
        <v>ADEN</v>
      </c>
      <c r="C17444" t="str">
        <f t="shared" si="6331"/>
        <v>VASSOR</v>
      </c>
      <c r="D17444">
        <f>12</f>
        <v>12</v>
      </c>
      <c r="E17444" t="str">
        <f>"05 - S1 - B - 102 - Robert O Burger"</f>
        <v>05 - S1 - B - 102 - Robert O Burger</v>
      </c>
      <c r="F17444" t="str">
        <f>"US GOVT"</f>
        <v>US GOVT</v>
      </c>
      <c r="G17444" t="str">
        <f>"17-1755"</f>
        <v>17-1755</v>
      </c>
      <c r="H17444" t="str">
        <f>"B"</f>
        <v>B</v>
      </c>
    </row>
    <row r="17445" spans="1:8" x14ac:dyDescent="0.2">
      <c r="A17445" t="str">
        <f t="shared" si="6329"/>
        <v>0613116205</v>
      </c>
      <c r="B17445" t="str">
        <f t="shared" si="6330"/>
        <v>ADEN</v>
      </c>
      <c r="C17445" t="str">
        <f t="shared" si="6331"/>
        <v>VASSOR</v>
      </c>
      <c r="D17445">
        <f>12</f>
        <v>12</v>
      </c>
      <c r="E17445" t="str">
        <f>"01 - A - 103 - Jeffrey S Gallagher"</f>
        <v>01 - A - 103 - Jeffrey S Gallagher</v>
      </c>
      <c r="F17445" t="str">
        <f>"ENG HON 4"</f>
        <v>ENG HON 4</v>
      </c>
      <c r="G17445" t="str">
        <f>"17-1724"</f>
        <v>17-1724</v>
      </c>
      <c r="H17445" t="str">
        <f>"A"</f>
        <v>A</v>
      </c>
    </row>
    <row r="17446" spans="1:8" x14ac:dyDescent="0.2">
      <c r="A17446" t="str">
        <f t="shared" si="6329"/>
        <v>0613116205</v>
      </c>
      <c r="B17446" t="str">
        <f t="shared" si="6330"/>
        <v>ADEN</v>
      </c>
      <c r="C17446" t="str">
        <f t="shared" si="6331"/>
        <v>VASSOR</v>
      </c>
      <c r="D17446">
        <f>12</f>
        <v>12</v>
      </c>
      <c r="E17446" t="str">
        <f>"08 - S1 - B - 105 - Richard E Dunbar Iii"</f>
        <v>08 - S1 - B - 105 - Richard E Dunbar Iii</v>
      </c>
      <c r="F17446" t="str">
        <f>"WEIGHT TRAIN 1"</f>
        <v>WEIGHT TRAIN 1</v>
      </c>
      <c r="G17446" t="str">
        <f>"05-501"</f>
        <v>05-501</v>
      </c>
      <c r="H17446" t="str">
        <f>"B"</f>
        <v>B</v>
      </c>
    </row>
    <row r="17447" spans="1:8" x14ac:dyDescent="0.2">
      <c r="A17447" t="str">
        <f t="shared" ref="A17447:A17454" si="6332">"0615057943"</f>
        <v>0615057943</v>
      </c>
      <c r="B17447" t="str">
        <f t="shared" ref="B17447:B17454" si="6333">"JAMIN"</f>
        <v>JAMIN</v>
      </c>
      <c r="C17447" t="str">
        <f t="shared" si="6331"/>
        <v>VASSOR</v>
      </c>
      <c r="D17447">
        <f>10</f>
        <v>10</v>
      </c>
      <c r="E17447" t="str">
        <f>"04 - S1 - A - 101 - Kyle  Robbins"</f>
        <v>04 - S1 - A - 101 - Kyle  Robbins</v>
      </c>
      <c r="F17447" t="str">
        <f>"PERS FIN &amp; MON MGT H"</f>
        <v>PERS FIN &amp; MON MGT H</v>
      </c>
      <c r="G17447" t="str">
        <f>"17-1745"</f>
        <v>17-1745</v>
      </c>
      <c r="H17447" t="str">
        <f>"A"</f>
        <v>A</v>
      </c>
    </row>
    <row r="17448" spans="1:8" x14ac:dyDescent="0.2">
      <c r="A17448" t="str">
        <f t="shared" si="6332"/>
        <v>0615057943</v>
      </c>
      <c r="B17448" t="str">
        <f t="shared" si="6333"/>
        <v>JAMIN</v>
      </c>
      <c r="C17448" t="str">
        <f t="shared" si="6331"/>
        <v>VASSOR</v>
      </c>
      <c r="D17448">
        <f>10</f>
        <v>10</v>
      </c>
      <c r="E17448" t="str">
        <f>"06 - B - 105 - Jeffrey S Gallagher"</f>
        <v>06 - B - 105 - Jeffrey S Gallagher</v>
      </c>
      <c r="F17448" t="str">
        <f>"NC STUDY HALL 1"</f>
        <v>NC STUDY HALL 1</v>
      </c>
      <c r="G17448" t="str">
        <f>"17-1724"</f>
        <v>17-1724</v>
      </c>
      <c r="H17448" t="str">
        <f>"B"</f>
        <v>B</v>
      </c>
    </row>
    <row r="17449" spans="1:8" x14ac:dyDescent="0.2">
      <c r="A17449" t="str">
        <f t="shared" si="6332"/>
        <v>0615057943</v>
      </c>
      <c r="B17449" t="str">
        <f t="shared" si="6333"/>
        <v>JAMIN</v>
      </c>
      <c r="C17449" t="str">
        <f t="shared" si="6331"/>
        <v>VASSOR</v>
      </c>
      <c r="D17449">
        <f>10</f>
        <v>10</v>
      </c>
      <c r="E17449" t="str">
        <f>"03 - A - 103 - Marius D Orsolini"</f>
        <v>03 - A - 103 - Marius D Orsolini</v>
      </c>
      <c r="F17449" t="str">
        <f>"CULINARY ARTS 1"</f>
        <v>CULINARY ARTS 1</v>
      </c>
      <c r="G17449" t="str">
        <f>"21-2115"</f>
        <v>21-2115</v>
      </c>
      <c r="H17449" t="str">
        <f>"A"</f>
        <v>A</v>
      </c>
    </row>
    <row r="17450" spans="1:8" x14ac:dyDescent="0.2">
      <c r="A17450" t="str">
        <f t="shared" si="6332"/>
        <v>0615057943</v>
      </c>
      <c r="B17450" t="str">
        <f t="shared" si="6333"/>
        <v>JAMIN</v>
      </c>
      <c r="C17450" t="str">
        <f t="shared" si="6331"/>
        <v>VASSOR</v>
      </c>
      <c r="D17450">
        <f>10</f>
        <v>10</v>
      </c>
      <c r="E17450" t="str">
        <f>"02 - A - 102 - Vanessa J Liburd"</f>
        <v>02 - A - 102 - Vanessa J Liburd</v>
      </c>
      <c r="F17450" t="str">
        <f>"PRE-AICE FRENCH 2 IG"</f>
        <v>PRE-AICE FRENCH 2 IG</v>
      </c>
      <c r="G17450" t="str">
        <f>"05-519"</f>
        <v>05-519</v>
      </c>
      <c r="H17450" t="str">
        <f>"A"</f>
        <v>A</v>
      </c>
    </row>
    <row r="17451" spans="1:8" x14ac:dyDescent="0.2">
      <c r="A17451" t="str">
        <f t="shared" si="6332"/>
        <v>0615057943</v>
      </c>
      <c r="B17451" t="str">
        <f t="shared" si="6333"/>
        <v>JAMIN</v>
      </c>
      <c r="C17451" t="str">
        <f t="shared" si="6331"/>
        <v>VASSOR</v>
      </c>
      <c r="D17451">
        <f>10</f>
        <v>10</v>
      </c>
      <c r="E17451" t="str">
        <f>"07 - B - 102 - Nikiel  Nesbeth"</f>
        <v>07 - B - 102 - Nikiel  Nesbeth</v>
      </c>
      <c r="F17451" t="str">
        <f>"PRE-AICE ENG LIT IG"</f>
        <v>PRE-AICE ENG LIT IG</v>
      </c>
      <c r="G17451" t="str">
        <f>"17-1705"</f>
        <v>17-1705</v>
      </c>
      <c r="H17451" t="str">
        <f>"B"</f>
        <v>B</v>
      </c>
    </row>
    <row r="17452" spans="1:8" x14ac:dyDescent="0.2">
      <c r="A17452" t="str">
        <f t="shared" si="6332"/>
        <v>0615057943</v>
      </c>
      <c r="B17452" t="str">
        <f t="shared" si="6333"/>
        <v>JAMIN</v>
      </c>
      <c r="C17452" t="str">
        <f t="shared" si="6331"/>
        <v>VASSOR</v>
      </c>
      <c r="D17452">
        <f>10</f>
        <v>10</v>
      </c>
      <c r="E17452" t="str">
        <f>"05 - B - 207 - Marielle A Witting"</f>
        <v>05 - B - 207 - Marielle A Witting</v>
      </c>
      <c r="F17452" t="str">
        <f>"ANAT PHYSIO"</f>
        <v>ANAT PHYSIO</v>
      </c>
      <c r="G17452" t="str">
        <f>"08-805"</f>
        <v>08-805</v>
      </c>
      <c r="H17452" t="str">
        <f>"B"</f>
        <v>B</v>
      </c>
    </row>
    <row r="17453" spans="1:8" x14ac:dyDescent="0.2">
      <c r="A17453" t="str">
        <f t="shared" si="6332"/>
        <v>0615057943</v>
      </c>
      <c r="B17453" t="str">
        <f t="shared" si="6333"/>
        <v>JAMIN</v>
      </c>
      <c r="C17453" t="str">
        <f t="shared" si="6331"/>
        <v>VASSOR</v>
      </c>
      <c r="D17453">
        <f>10</f>
        <v>10</v>
      </c>
      <c r="E17453" t="str">
        <f>"01 - A - 101 - Lourivaldo  Da Silva"</f>
        <v>01 - A - 101 - Lourivaldo  Da Silva</v>
      </c>
      <c r="F17453" t="str">
        <f>"ALGEBRA 2 HON"</f>
        <v>ALGEBRA 2 HON</v>
      </c>
      <c r="G17453" t="str">
        <f>"20-2079"</f>
        <v>20-2079</v>
      </c>
      <c r="H17453" t="str">
        <f>"A"</f>
        <v>A</v>
      </c>
    </row>
    <row r="17454" spans="1:8" x14ac:dyDescent="0.2">
      <c r="A17454" t="str">
        <f t="shared" si="6332"/>
        <v>0615057943</v>
      </c>
      <c r="B17454" t="str">
        <f t="shared" si="6333"/>
        <v>JAMIN</v>
      </c>
      <c r="C17454" t="str">
        <f t="shared" si="6331"/>
        <v>VASSOR</v>
      </c>
      <c r="D17454">
        <f>10</f>
        <v>10</v>
      </c>
      <c r="E17454" t="str">
        <f>"08 - B - 108 - Adam Marcus  Drucker"</f>
        <v>08 - B - 108 - Adam Marcus  Drucker</v>
      </c>
      <c r="F17454" t="str">
        <f>"HOPE-PE V"</f>
        <v>HOPE-PE V</v>
      </c>
      <c r="G17454" t="str">
        <f>"04-254"</f>
        <v>04-254</v>
      </c>
      <c r="H17454" t="str">
        <f>"B"</f>
        <v>B</v>
      </c>
    </row>
    <row r="17455" spans="1:8" x14ac:dyDescent="0.2">
      <c r="A17455" t="str">
        <f t="shared" ref="A17455:A17462" si="6334">"0616021256"</f>
        <v>0616021256</v>
      </c>
      <c r="B17455" t="str">
        <f t="shared" ref="B17455:B17462" si="6335">"BRONX"</f>
        <v>BRONX</v>
      </c>
      <c r="C17455" t="str">
        <f t="shared" ref="C17455:C17462" si="6336">"VAZQUEZ"</f>
        <v>VAZQUEZ</v>
      </c>
      <c r="D17455">
        <f>10</f>
        <v>10</v>
      </c>
      <c r="E17455" t="str">
        <f>"04 - A - 104 - Nikiel  Nesbeth"</f>
        <v>04 - A - 104 - Nikiel  Nesbeth</v>
      </c>
      <c r="F17455" t="str">
        <f>"ENG 2"</f>
        <v>ENG 2</v>
      </c>
      <c r="G17455" t="str">
        <f>"17-1705"</f>
        <v>17-1705</v>
      </c>
      <c r="H17455" t="str">
        <f>"A"</f>
        <v>A</v>
      </c>
    </row>
    <row r="17456" spans="1:8" x14ac:dyDescent="0.2">
      <c r="A17456" t="str">
        <f t="shared" si="6334"/>
        <v>0616021256</v>
      </c>
      <c r="B17456" t="str">
        <f t="shared" si="6335"/>
        <v>BRONX</v>
      </c>
      <c r="C17456" t="str">
        <f t="shared" si="6336"/>
        <v>VAZQUEZ</v>
      </c>
      <c r="D17456">
        <f>10</f>
        <v>10</v>
      </c>
      <c r="E17456" t="str">
        <f>"06 - B - 002 - Lenecy  Nodarse"</f>
        <v>06 - B - 002 - Lenecy  Nodarse</v>
      </c>
      <c r="F17456" t="str">
        <f>"NC STUDY HALL 1"</f>
        <v>NC STUDY HALL 1</v>
      </c>
      <c r="G17456" t="str">
        <f>"17-1741"</f>
        <v>17-1741</v>
      </c>
      <c r="H17456" t="str">
        <f>"B"</f>
        <v>B</v>
      </c>
    </row>
    <row r="17457" spans="1:8" x14ac:dyDescent="0.2">
      <c r="A17457" t="str">
        <f t="shared" si="6334"/>
        <v>0616021256</v>
      </c>
      <c r="B17457" t="str">
        <f t="shared" si="6335"/>
        <v>BRONX</v>
      </c>
      <c r="C17457" t="str">
        <f t="shared" si="6336"/>
        <v>VAZQUEZ</v>
      </c>
      <c r="D17457">
        <f>10</f>
        <v>10</v>
      </c>
      <c r="E17457" t="str">
        <f>"03 - S1 - A - 102 - Angela S Adeshina-Morrison"</f>
        <v>03 - S1 - A - 102 - Angela S Adeshina-Morrison</v>
      </c>
      <c r="F17457" t="str">
        <f>"PEER COUN 1"</f>
        <v>PEER COUN 1</v>
      </c>
      <c r="G17457" t="str">
        <f>"05-518"</f>
        <v>05-518</v>
      </c>
      <c r="H17457" t="str">
        <f>"A"</f>
        <v>A</v>
      </c>
    </row>
    <row r="17458" spans="1:8" x14ac:dyDescent="0.2">
      <c r="A17458" t="str">
        <f t="shared" si="6334"/>
        <v>0616021256</v>
      </c>
      <c r="B17458" t="str">
        <f t="shared" si="6335"/>
        <v>BRONX</v>
      </c>
      <c r="C17458" t="str">
        <f t="shared" si="6336"/>
        <v>VAZQUEZ</v>
      </c>
      <c r="D17458">
        <f>10</f>
        <v>10</v>
      </c>
      <c r="E17458" t="str">
        <f>"02 - A - 001 - Alejandro  Navarro"</f>
        <v>02 - A - 001 - Alejandro  Navarro</v>
      </c>
      <c r="F17458" t="str">
        <f>"BAND 1"</f>
        <v>BAND 1</v>
      </c>
      <c r="G17458" t="str">
        <f>"05-504"</f>
        <v>05-504</v>
      </c>
      <c r="H17458" t="str">
        <f>"A"</f>
        <v>A</v>
      </c>
    </row>
    <row r="17459" spans="1:8" x14ac:dyDescent="0.2">
      <c r="A17459" t="str">
        <f t="shared" si="6334"/>
        <v>0616021256</v>
      </c>
      <c r="B17459" t="str">
        <f t="shared" si="6335"/>
        <v>BRONX</v>
      </c>
      <c r="C17459" t="str">
        <f t="shared" si="6336"/>
        <v>VAZQUEZ</v>
      </c>
      <c r="D17459">
        <f>10</f>
        <v>10</v>
      </c>
      <c r="E17459" t="str">
        <f>"07 - S1 - B - 102 - Arthur  Kulawik"</f>
        <v>07 - S1 - B - 102 - Arthur  Kulawik</v>
      </c>
      <c r="F17459" t="str">
        <f>"PERS FIN &amp; MON MGT H"</f>
        <v>PERS FIN &amp; MON MGT H</v>
      </c>
      <c r="G17459" t="str">
        <f>"05-506"</f>
        <v>05-506</v>
      </c>
      <c r="H17459" t="str">
        <f>"B"</f>
        <v>B</v>
      </c>
    </row>
    <row r="17460" spans="1:8" x14ac:dyDescent="0.2">
      <c r="A17460" t="str">
        <f t="shared" si="6334"/>
        <v>0616021256</v>
      </c>
      <c r="B17460" t="str">
        <f t="shared" si="6335"/>
        <v>BRONX</v>
      </c>
      <c r="C17460" t="str">
        <f t="shared" si="6336"/>
        <v>VAZQUEZ</v>
      </c>
      <c r="D17460">
        <f>10</f>
        <v>10</v>
      </c>
      <c r="E17460" t="str">
        <f>"05 - S1 - B - 102 - Richard E Dunbar Iii"</f>
        <v>05 - S1 - B - 102 - Richard E Dunbar Iii</v>
      </c>
      <c r="F17460" t="str">
        <f>"TEAM SPORTS 1"</f>
        <v>TEAM SPORTS 1</v>
      </c>
      <c r="G17460" t="str">
        <f>"04-254"</f>
        <v>04-254</v>
      </c>
      <c r="H17460" t="str">
        <f>"B"</f>
        <v>B</v>
      </c>
    </row>
    <row r="17461" spans="1:8" x14ac:dyDescent="0.2">
      <c r="A17461" t="str">
        <f t="shared" si="6334"/>
        <v>0616021256</v>
      </c>
      <c r="B17461" t="str">
        <f t="shared" si="6335"/>
        <v>BRONX</v>
      </c>
      <c r="C17461" t="str">
        <f t="shared" si="6336"/>
        <v>VAZQUEZ</v>
      </c>
      <c r="D17461">
        <f>10</f>
        <v>10</v>
      </c>
      <c r="E17461" t="str">
        <f>"01 - A - 101 - Ferrie J Arostique"</f>
        <v>01 - A - 101 - Ferrie J Arostique</v>
      </c>
      <c r="F17461" t="str">
        <f>"GEOMETRY"</f>
        <v>GEOMETRY</v>
      </c>
      <c r="G17461" t="str">
        <f>"21-2139"</f>
        <v>21-2139</v>
      </c>
      <c r="H17461" t="str">
        <f>"A"</f>
        <v>A</v>
      </c>
    </row>
    <row r="17462" spans="1:8" x14ac:dyDescent="0.2">
      <c r="A17462" t="str">
        <f t="shared" si="6334"/>
        <v>0616021256</v>
      </c>
      <c r="B17462" t="str">
        <f t="shared" si="6335"/>
        <v>BRONX</v>
      </c>
      <c r="C17462" t="str">
        <f t="shared" si="6336"/>
        <v>VAZQUEZ</v>
      </c>
      <c r="D17462">
        <f>10</f>
        <v>10</v>
      </c>
      <c r="E17462" t="str">
        <f>"08 - B - 108 - Paige Lauren  Brochu"</f>
        <v>08 - B - 108 - Paige Lauren  Brochu</v>
      </c>
      <c r="F17462" t="str">
        <f>"BIOLOGY 1"</f>
        <v>BIOLOGY 1</v>
      </c>
      <c r="G17462" t="str">
        <f>"21-2134"</f>
        <v>21-2134</v>
      </c>
      <c r="H17462" t="str">
        <f>"B"</f>
        <v>B</v>
      </c>
    </row>
    <row r="17463" spans="1:8" x14ac:dyDescent="0.2">
      <c r="A17463" t="str">
        <f t="shared" ref="A17463:A17470" si="6337">"0615029805"</f>
        <v>0615029805</v>
      </c>
      <c r="B17463" t="str">
        <f t="shared" ref="B17463:B17470" si="6338">"COLTON"</f>
        <v>COLTON</v>
      </c>
      <c r="C17463" t="str">
        <f t="shared" ref="C17463:C17478" si="6339">"VAZQUEZ MONTELEON"</f>
        <v>VAZQUEZ MONTELEON</v>
      </c>
      <c r="D17463">
        <f>11</f>
        <v>11</v>
      </c>
      <c r="E17463" t="str">
        <f>"04 - S1 - A - 103 - James H Mccann"</f>
        <v>04 - S1 - A - 103 - James H Mccann</v>
      </c>
      <c r="F17463" t="str">
        <f>"PERS FIN &amp; MON MGT H"</f>
        <v>PERS FIN &amp; MON MGT H</v>
      </c>
      <c r="G17463" t="str">
        <f>"17-1716"</f>
        <v>17-1716</v>
      </c>
      <c r="H17463" t="str">
        <f>"A"</f>
        <v>A</v>
      </c>
    </row>
    <row r="17464" spans="1:8" x14ac:dyDescent="0.2">
      <c r="A17464" t="str">
        <f t="shared" si="6337"/>
        <v>0615029805</v>
      </c>
      <c r="B17464" t="str">
        <f t="shared" si="6338"/>
        <v>COLTON</v>
      </c>
      <c r="C17464" t="str">
        <f t="shared" si="6339"/>
        <v>VAZQUEZ MONTELEON</v>
      </c>
      <c r="D17464">
        <f>11</f>
        <v>11</v>
      </c>
      <c r="E17464" t="str">
        <f>"06 - B - 104 - Brandy N Zdenek"</f>
        <v>06 - B - 104 - Brandy N Zdenek</v>
      </c>
      <c r="F17464" t="str">
        <f>"AICE ENG LANG 2 AL"</f>
        <v>AICE ENG LANG 2 AL</v>
      </c>
      <c r="G17464" t="str">
        <f>"17-1704"</f>
        <v>17-1704</v>
      </c>
      <c r="H17464" t="str">
        <f>"B"</f>
        <v>B</v>
      </c>
    </row>
    <row r="17465" spans="1:8" x14ac:dyDescent="0.2">
      <c r="A17465" t="str">
        <f t="shared" si="6337"/>
        <v>0615029805</v>
      </c>
      <c r="B17465" t="str">
        <f t="shared" si="6338"/>
        <v>COLTON</v>
      </c>
      <c r="C17465" t="str">
        <f t="shared" si="6339"/>
        <v>VAZQUEZ MONTELEON</v>
      </c>
      <c r="D17465">
        <f>11</f>
        <v>11</v>
      </c>
      <c r="E17465" t="str">
        <f>"03 - A - 102 - Thomas G Handwerg"</f>
        <v>03 - A - 102 - Thomas G Handwerg</v>
      </c>
      <c r="F17465" t="str">
        <f>"MATH COLL ALGEBRA"</f>
        <v>MATH COLL ALGEBRA</v>
      </c>
      <c r="G17465" t="str">
        <f>"21-2146"</f>
        <v>21-2146</v>
      </c>
      <c r="H17465" t="str">
        <f>"A"</f>
        <v>A</v>
      </c>
    </row>
    <row r="17466" spans="1:8" x14ac:dyDescent="0.2">
      <c r="A17466" t="str">
        <f t="shared" si="6337"/>
        <v>0615029805</v>
      </c>
      <c r="B17466" t="str">
        <f t="shared" si="6338"/>
        <v>COLTON</v>
      </c>
      <c r="C17466" t="str">
        <f t="shared" si="6339"/>
        <v>VAZQUEZ MONTELEON</v>
      </c>
      <c r="D17466">
        <f>11</f>
        <v>11</v>
      </c>
      <c r="E17466" t="str">
        <f>"02 - A - 108 - Stephen T Ripp"</f>
        <v>02 - A - 108 - Stephen T Ripp</v>
      </c>
      <c r="F17466" t="str">
        <f>"NC STUDY HALL 1"</f>
        <v>NC STUDY HALL 1</v>
      </c>
      <c r="G17466" t="str">
        <f>"17-1744"</f>
        <v>17-1744</v>
      </c>
      <c r="H17466" t="str">
        <f>"A"</f>
        <v>A</v>
      </c>
    </row>
    <row r="17467" spans="1:8" x14ac:dyDescent="0.2">
      <c r="A17467" t="str">
        <f t="shared" si="6337"/>
        <v>0615029805</v>
      </c>
      <c r="B17467" t="str">
        <f t="shared" si="6338"/>
        <v>COLTON</v>
      </c>
      <c r="C17467" t="str">
        <f t="shared" si="6339"/>
        <v>VAZQUEZ MONTELEON</v>
      </c>
      <c r="D17467">
        <f>11</f>
        <v>11</v>
      </c>
      <c r="E17467" t="str">
        <f>"07 - S1 - B - 103 - Leslie J Barton"</f>
        <v>07 - S1 - B - 103 - Leslie J Barton</v>
      </c>
      <c r="F17467" t="str">
        <f>"TEAM SPORTS 1"</f>
        <v>TEAM SPORTS 1</v>
      </c>
      <c r="G17467" t="str">
        <f>"04-254"</f>
        <v>04-254</v>
      </c>
      <c r="H17467" t="str">
        <f>"B"</f>
        <v>B</v>
      </c>
    </row>
    <row r="17468" spans="1:8" x14ac:dyDescent="0.2">
      <c r="A17468" t="str">
        <f t="shared" si="6337"/>
        <v>0615029805</v>
      </c>
      <c r="B17468" t="str">
        <f t="shared" si="6338"/>
        <v>COLTON</v>
      </c>
      <c r="C17468" t="str">
        <f t="shared" si="6339"/>
        <v>VAZQUEZ MONTELEON</v>
      </c>
      <c r="D17468">
        <f>11</f>
        <v>11</v>
      </c>
      <c r="E17468" t="str">
        <f>"05 - B - 102 - Jerry S Jiampetti"</f>
        <v>05 - B - 102 - Jerry S Jiampetti</v>
      </c>
      <c r="F17468" t="str">
        <f>"AICE U.S. HIST 1 AS"</f>
        <v>AICE U.S. HIST 1 AS</v>
      </c>
      <c r="G17468" t="str">
        <f>"17-1751"</f>
        <v>17-1751</v>
      </c>
      <c r="H17468" t="str">
        <f>"B"</f>
        <v>B</v>
      </c>
    </row>
    <row r="17469" spans="1:8" x14ac:dyDescent="0.2">
      <c r="A17469" t="str">
        <f t="shared" si="6337"/>
        <v>0615029805</v>
      </c>
      <c r="B17469" t="str">
        <f t="shared" si="6338"/>
        <v>COLTON</v>
      </c>
      <c r="C17469" t="str">
        <f t="shared" si="6339"/>
        <v>VAZQUEZ MONTELEON</v>
      </c>
      <c r="D17469">
        <f>11</f>
        <v>11</v>
      </c>
      <c r="E17469" t="str">
        <f>"01 - A - 201 - Jeanne M Bermudez"</f>
        <v>01 - A - 201 - Jeanne M Bermudez</v>
      </c>
      <c r="F17469" t="str">
        <f>"PHYSICS 1 HON"</f>
        <v>PHYSICS 1 HON</v>
      </c>
      <c r="G17469" t="str">
        <f>"21-2141"</f>
        <v>21-2141</v>
      </c>
      <c r="H17469" t="str">
        <f>"A"</f>
        <v>A</v>
      </c>
    </row>
    <row r="17470" spans="1:8" x14ac:dyDescent="0.2">
      <c r="A17470" t="str">
        <f t="shared" si="6337"/>
        <v>0615029805</v>
      </c>
      <c r="B17470" t="str">
        <f t="shared" si="6338"/>
        <v>COLTON</v>
      </c>
      <c r="C17470" t="str">
        <f t="shared" si="6339"/>
        <v>VAZQUEZ MONTELEON</v>
      </c>
      <c r="D17470">
        <f>11</f>
        <v>11</v>
      </c>
      <c r="E17470" t="str">
        <f>"08 - B - 101 - Jordana K Hass"</f>
        <v>08 - B - 101 - Jordana K Hass</v>
      </c>
      <c r="F17470" t="str">
        <f>"AICE INFO TECH 1 AS"</f>
        <v>AICE INFO TECH 1 AS</v>
      </c>
      <c r="G17470" t="str">
        <f>"08-807"</f>
        <v>08-807</v>
      </c>
      <c r="H17470" t="str">
        <f>"B"</f>
        <v>B</v>
      </c>
    </row>
    <row r="17471" spans="1:8" x14ac:dyDescent="0.2">
      <c r="A17471" t="str">
        <f t="shared" ref="A17471:A17478" si="6340">"0617056935"</f>
        <v>0617056935</v>
      </c>
      <c r="B17471" t="str">
        <f t="shared" ref="B17471:B17478" si="6341">"NICO"</f>
        <v>NICO</v>
      </c>
      <c r="C17471" t="str">
        <f t="shared" si="6339"/>
        <v>VAZQUEZ MONTELEON</v>
      </c>
      <c r="D17471" t="str">
        <f t="shared" ref="D17471:D17478" si="6342">"09"</f>
        <v>09</v>
      </c>
      <c r="E17471" t="str">
        <f>"04 - A - 104 - Adam Marcus  Drucker"</f>
        <v>04 - A - 104 - Adam Marcus  Drucker</v>
      </c>
      <c r="F17471" t="str">
        <f>"HOPE-PE V"</f>
        <v>HOPE-PE V</v>
      </c>
      <c r="G17471" t="str">
        <f>"04-254"</f>
        <v>04-254</v>
      </c>
      <c r="H17471" t="str">
        <f>"A"</f>
        <v>A</v>
      </c>
    </row>
    <row r="17472" spans="1:8" x14ac:dyDescent="0.2">
      <c r="A17472" t="str">
        <f t="shared" si="6340"/>
        <v>0617056935</v>
      </c>
      <c r="B17472" t="str">
        <f t="shared" si="6341"/>
        <v>NICO</v>
      </c>
      <c r="C17472" t="str">
        <f t="shared" si="6339"/>
        <v>VAZQUEZ MONTELEON</v>
      </c>
      <c r="D17472" t="str">
        <f t="shared" si="6342"/>
        <v>09</v>
      </c>
      <c r="E17472" t="str">
        <f>"06 - B - 102 - Angela S Adeshina-Morrison"</f>
        <v>06 - B - 102 - Angela S Adeshina-Morrison</v>
      </c>
      <c r="F17472" t="str">
        <f>"MARKETING ESSENTIALS"</f>
        <v>MARKETING ESSENTIALS</v>
      </c>
      <c r="G17472" t="str">
        <f>"05-518"</f>
        <v>05-518</v>
      </c>
      <c r="H17472" t="str">
        <f>"B"</f>
        <v>B</v>
      </c>
    </row>
    <row r="17473" spans="1:8" x14ac:dyDescent="0.2">
      <c r="A17473" t="str">
        <f t="shared" si="6340"/>
        <v>0617056935</v>
      </c>
      <c r="B17473" t="str">
        <f t="shared" si="6341"/>
        <v>NICO</v>
      </c>
      <c r="C17473" t="str">
        <f t="shared" si="6339"/>
        <v>VAZQUEZ MONTELEON</v>
      </c>
      <c r="D17473" t="str">
        <f t="shared" si="6342"/>
        <v>09</v>
      </c>
      <c r="E17473" t="str">
        <f>"03 - A - 101 - Helen A Flores"</f>
        <v>03 - A - 101 - Helen A Flores</v>
      </c>
      <c r="F17473" t="str">
        <f>"PRE-AICE MATH 1 IG"</f>
        <v>PRE-AICE MATH 1 IG</v>
      </c>
      <c r="G17473" t="str">
        <f>"21-2101"</f>
        <v>21-2101</v>
      </c>
      <c r="H17473" t="str">
        <f>"A"</f>
        <v>A</v>
      </c>
    </row>
    <row r="17474" spans="1:8" x14ac:dyDescent="0.2">
      <c r="A17474" t="str">
        <f t="shared" si="6340"/>
        <v>0617056935</v>
      </c>
      <c r="B17474" t="str">
        <f t="shared" si="6341"/>
        <v>NICO</v>
      </c>
      <c r="C17474" t="str">
        <f t="shared" si="6339"/>
        <v>VAZQUEZ MONTELEON</v>
      </c>
      <c r="D17474" t="str">
        <f t="shared" si="6342"/>
        <v>09</v>
      </c>
      <c r="E17474" t="str">
        <f>"02 - A - 108 - Rory T Sponsler"</f>
        <v>02 - A - 108 - Rory T Sponsler</v>
      </c>
      <c r="F17474" t="str">
        <f>"NC STUDY HALL 1"</f>
        <v>NC STUDY HALL 1</v>
      </c>
      <c r="G17474" t="str">
        <f>"17-1740"</f>
        <v>17-1740</v>
      </c>
      <c r="H17474" t="str">
        <f>"A"</f>
        <v>A</v>
      </c>
    </row>
    <row r="17475" spans="1:8" x14ac:dyDescent="0.2">
      <c r="A17475" t="str">
        <f t="shared" si="6340"/>
        <v>0617056935</v>
      </c>
      <c r="B17475" t="str">
        <f t="shared" si="6341"/>
        <v>NICO</v>
      </c>
      <c r="C17475" t="str">
        <f t="shared" si="6339"/>
        <v>VAZQUEZ MONTELEON</v>
      </c>
      <c r="D17475" t="str">
        <f t="shared" si="6342"/>
        <v>09</v>
      </c>
      <c r="E17475" t="str">
        <f>"07 - B - 001 - Cheryl Anne  Berman-Schechter"</f>
        <v>07 - B - 001 - Cheryl Anne  Berman-Schechter</v>
      </c>
      <c r="F17475" t="str">
        <f>"AICE ENG GEN PAPER 1"</f>
        <v>AICE ENG GEN PAPER 1</v>
      </c>
      <c r="G17475" t="str">
        <f>"17-1722"</f>
        <v>17-1722</v>
      </c>
      <c r="H17475" t="str">
        <f>"B"</f>
        <v>B</v>
      </c>
    </row>
    <row r="17476" spans="1:8" x14ac:dyDescent="0.2">
      <c r="A17476" t="str">
        <f t="shared" si="6340"/>
        <v>0617056935</v>
      </c>
      <c r="B17476" t="str">
        <f t="shared" si="6341"/>
        <v>NICO</v>
      </c>
      <c r="C17476" t="str">
        <f t="shared" si="6339"/>
        <v>VAZQUEZ MONTELEON</v>
      </c>
      <c r="D17476" t="str">
        <f t="shared" si="6342"/>
        <v>09</v>
      </c>
      <c r="E17476" t="str">
        <f>"05 - B - 103 - Josiah I Lacy"</f>
        <v>05 - B - 103 - Josiah I Lacy</v>
      </c>
      <c r="F17476" t="str">
        <f>"PRE-AICE BIO IG"</f>
        <v>PRE-AICE BIO IG</v>
      </c>
      <c r="G17476" t="str">
        <f>"08-801"</f>
        <v>08-801</v>
      </c>
      <c r="H17476" t="str">
        <f>"B"</f>
        <v>B</v>
      </c>
    </row>
    <row r="17477" spans="1:8" x14ac:dyDescent="0.2">
      <c r="A17477" t="str">
        <f t="shared" si="6340"/>
        <v>0617056935</v>
      </c>
      <c r="B17477" t="str">
        <f t="shared" si="6341"/>
        <v>NICO</v>
      </c>
      <c r="C17477" t="str">
        <f t="shared" si="6339"/>
        <v>VAZQUEZ MONTELEON</v>
      </c>
      <c r="D17477" t="str">
        <f t="shared" si="6342"/>
        <v>09</v>
      </c>
      <c r="E17477" t="str">
        <f>"01 - A - 101 - Rory T Sponsler"</f>
        <v>01 - A - 101 - Rory T Sponsler</v>
      </c>
      <c r="F17477" t="str">
        <f>"PRE-AICE WRLD HST IG"</f>
        <v>PRE-AICE WRLD HST IG</v>
      </c>
      <c r="G17477" t="str">
        <f>"17-1740"</f>
        <v>17-1740</v>
      </c>
      <c r="H17477" t="str">
        <f>"A"</f>
        <v>A</v>
      </c>
    </row>
    <row r="17478" spans="1:8" x14ac:dyDescent="0.2">
      <c r="A17478" t="str">
        <f t="shared" si="6340"/>
        <v>0617056935</v>
      </c>
      <c r="B17478" t="str">
        <f t="shared" si="6341"/>
        <v>NICO</v>
      </c>
      <c r="C17478" t="str">
        <f t="shared" si="6339"/>
        <v>VAZQUEZ MONTELEON</v>
      </c>
      <c r="D17478" t="str">
        <f t="shared" si="6342"/>
        <v>09</v>
      </c>
      <c r="E17478" t="str">
        <f>"08 - S1 - B - 104 - Angela S Adeshina-Morrison"</f>
        <v>08 - S1 - B - 104 - Angela S Adeshina-Morrison</v>
      </c>
      <c r="F17478" t="str">
        <f>"PEER COUN 1"</f>
        <v>PEER COUN 1</v>
      </c>
      <c r="G17478" t="str">
        <f>"05-518"</f>
        <v>05-518</v>
      </c>
      <c r="H17478" t="str">
        <f>"B"</f>
        <v>B</v>
      </c>
    </row>
    <row r="17479" spans="1:8" x14ac:dyDescent="0.2">
      <c r="A17479" t="str">
        <f t="shared" ref="A17479:A17486" si="6343">"0614005032"</f>
        <v>0614005032</v>
      </c>
      <c r="B17479" t="str">
        <f t="shared" ref="B17479:B17486" si="6344">"TRISTAN"</f>
        <v>TRISTAN</v>
      </c>
      <c r="C17479" t="str">
        <f t="shared" ref="C17479:C17494" si="6345">"VEGA"</f>
        <v>VEGA</v>
      </c>
      <c r="D17479">
        <f>12</f>
        <v>12</v>
      </c>
      <c r="E17479" t="str">
        <f>"04 - S1 - A - 105 - Robert O Burger"</f>
        <v>04 - S1 - A - 105 - Robert O Burger</v>
      </c>
      <c r="F17479" t="str">
        <f>"US GOVT"</f>
        <v>US GOVT</v>
      </c>
      <c r="G17479" t="str">
        <f>"17-1755"</f>
        <v>17-1755</v>
      </c>
      <c r="H17479" t="str">
        <f>"A"</f>
        <v>A</v>
      </c>
    </row>
    <row r="17480" spans="1:8" x14ac:dyDescent="0.2">
      <c r="A17480" t="str">
        <f t="shared" si="6343"/>
        <v>0614005032</v>
      </c>
      <c r="B17480" t="str">
        <f t="shared" si="6344"/>
        <v>TRISTAN</v>
      </c>
      <c r="C17480" t="str">
        <f t="shared" si="6345"/>
        <v>VEGA</v>
      </c>
      <c r="D17480">
        <f>12</f>
        <v>12</v>
      </c>
      <c r="E17480" t="str">
        <f>"06 - B - 102 - Andrea A Amison"</f>
        <v>06 - B - 102 - Andrea A Amison</v>
      </c>
      <c r="F17480" t="str">
        <f>"NC STUDY HALL 1"</f>
        <v>NC STUDY HALL 1</v>
      </c>
      <c r="G17480" t="str">
        <f>"09-922C"</f>
        <v>09-922C</v>
      </c>
      <c r="H17480" t="str">
        <f>"B"</f>
        <v>B</v>
      </c>
    </row>
    <row r="17481" spans="1:8" x14ac:dyDescent="0.2">
      <c r="A17481" t="str">
        <f t="shared" si="6343"/>
        <v>0614005032</v>
      </c>
      <c r="B17481" t="str">
        <f t="shared" si="6344"/>
        <v>TRISTAN</v>
      </c>
      <c r="C17481" t="str">
        <f t="shared" si="6345"/>
        <v>VEGA</v>
      </c>
      <c r="D17481">
        <f>12</f>
        <v>12</v>
      </c>
      <c r="E17481" t="str">
        <f>"03 - A - 102 - Cliffon  Saurel"</f>
        <v>03 - A - 102 - Cliffon  Saurel</v>
      </c>
      <c r="F17481" t="str">
        <f>"PHYSICAL SCI"</f>
        <v>PHYSICAL SCI</v>
      </c>
      <c r="G17481" t="str">
        <f>"05-522"</f>
        <v>05-522</v>
      </c>
      <c r="H17481" t="str">
        <f>"A"</f>
        <v>A</v>
      </c>
    </row>
    <row r="17482" spans="1:8" x14ac:dyDescent="0.2">
      <c r="A17482" t="str">
        <f t="shared" si="6343"/>
        <v>0614005032</v>
      </c>
      <c r="B17482" t="str">
        <f t="shared" si="6344"/>
        <v>TRISTAN</v>
      </c>
      <c r="C17482" t="str">
        <f t="shared" si="6345"/>
        <v>VEGA</v>
      </c>
      <c r="D17482">
        <f>12</f>
        <v>12</v>
      </c>
      <c r="E17482" t="str">
        <f>"02 - A - 101 - Robyn L Trainer"</f>
        <v>02 - A - 101 - Robyn L Trainer</v>
      </c>
      <c r="F17482" t="str">
        <f>"ENG 4"</f>
        <v>ENG 4</v>
      </c>
      <c r="G17482" t="str">
        <f>"17-1734"</f>
        <v>17-1734</v>
      </c>
      <c r="H17482" t="str">
        <f>"A"</f>
        <v>A</v>
      </c>
    </row>
    <row r="17483" spans="1:8" x14ac:dyDescent="0.2">
      <c r="A17483" t="str">
        <f t="shared" si="6343"/>
        <v>0614005032</v>
      </c>
      <c r="B17483" t="str">
        <f t="shared" si="6344"/>
        <v>TRISTAN</v>
      </c>
      <c r="C17483" t="str">
        <f t="shared" si="6345"/>
        <v>VEGA</v>
      </c>
      <c r="D17483">
        <f>12</f>
        <v>12</v>
      </c>
      <c r="E17483" t="str">
        <f>"07 - B - 101 - Bruce A Evans"</f>
        <v>07 - B - 101 - Bruce A Evans</v>
      </c>
      <c r="F17483" t="str">
        <f>"FIREFIGHTING 1 LH"</f>
        <v>FIREFIGHTING 1 LH</v>
      </c>
      <c r="G17483" t="str">
        <f>"21-2142"</f>
        <v>21-2142</v>
      </c>
      <c r="H17483" t="str">
        <f>"B"</f>
        <v>B</v>
      </c>
    </row>
    <row r="17484" spans="1:8" x14ac:dyDescent="0.2">
      <c r="A17484" t="str">
        <f t="shared" si="6343"/>
        <v>0614005032</v>
      </c>
      <c r="B17484" t="str">
        <f t="shared" si="6344"/>
        <v>TRISTAN</v>
      </c>
      <c r="C17484" t="str">
        <f t="shared" si="6345"/>
        <v>VEGA</v>
      </c>
      <c r="D17484">
        <f>12</f>
        <v>12</v>
      </c>
      <c r="E17484" t="str">
        <f>"05 - B - 104 - Semra  Bahadir"</f>
        <v>05 - B - 104 - Semra  Bahadir</v>
      </c>
      <c r="F17484" t="str">
        <f>"MATH COLL ALGEBRA"</f>
        <v>MATH COLL ALGEBRA</v>
      </c>
      <c r="G17484" t="str">
        <f>"21-2107"</f>
        <v>21-2107</v>
      </c>
      <c r="H17484" t="str">
        <f>"B"</f>
        <v>B</v>
      </c>
    </row>
    <row r="17485" spans="1:8" x14ac:dyDescent="0.2">
      <c r="A17485" t="str">
        <f t="shared" si="6343"/>
        <v>0614005032</v>
      </c>
      <c r="B17485" t="str">
        <f t="shared" si="6344"/>
        <v>TRISTAN</v>
      </c>
      <c r="C17485" t="str">
        <f t="shared" si="6345"/>
        <v>VEGA</v>
      </c>
      <c r="D17485">
        <f>12</f>
        <v>12</v>
      </c>
      <c r="E17485" t="str">
        <f>"01 - S1 - A - 101 - Bruce A Evans"</f>
        <v>01 - S1 - A - 101 - Bruce A Evans</v>
      </c>
      <c r="F17485" t="str">
        <f>"ELECTROCARD TECH 3HN"</f>
        <v>ELECTROCARD TECH 3HN</v>
      </c>
      <c r="G17485" t="str">
        <f>"21-2142"</f>
        <v>21-2142</v>
      </c>
      <c r="H17485" t="str">
        <f>"A"</f>
        <v>A</v>
      </c>
    </row>
    <row r="17486" spans="1:8" x14ac:dyDescent="0.2">
      <c r="A17486" t="str">
        <f t="shared" si="6343"/>
        <v>0614005032</v>
      </c>
      <c r="B17486" t="str">
        <f t="shared" si="6344"/>
        <v>TRISTAN</v>
      </c>
      <c r="C17486" t="str">
        <f t="shared" si="6345"/>
        <v>VEGA</v>
      </c>
      <c r="D17486">
        <f>12</f>
        <v>12</v>
      </c>
      <c r="E17486" t="str">
        <f>"08 - B - 101 - Alejandro  Navarro"</f>
        <v>08 - B - 101 - Alejandro  Navarro</v>
      </c>
      <c r="F17486" t="str">
        <f>"GUITAR 1"</f>
        <v>GUITAR 1</v>
      </c>
      <c r="G17486" t="str">
        <f>"05-504"</f>
        <v>05-504</v>
      </c>
      <c r="H17486" t="str">
        <f>"B"</f>
        <v>B</v>
      </c>
    </row>
    <row r="17487" spans="1:8" x14ac:dyDescent="0.2">
      <c r="A17487" t="str">
        <f t="shared" ref="A17487:A17494" si="6346">"0608128922"</f>
        <v>0608128922</v>
      </c>
      <c r="B17487" t="str">
        <f t="shared" ref="B17487:B17494" si="6347">"TRISTIAN"</f>
        <v>TRISTIAN</v>
      </c>
      <c r="C17487" t="str">
        <f t="shared" si="6345"/>
        <v>VEGA</v>
      </c>
      <c r="D17487">
        <f>11</f>
        <v>11</v>
      </c>
      <c r="E17487" t="str">
        <f>"04 - A - 103 - Joe  Kilpatrick Jr"</f>
        <v>04 - A - 103 - Joe  Kilpatrick Jr</v>
      </c>
      <c r="F17487" t="str">
        <f>"PRE-AICE SPAN 1 IG"</f>
        <v>PRE-AICE SPAN 1 IG</v>
      </c>
      <c r="G17487" t="str">
        <f>"09-912"</f>
        <v>09-912</v>
      </c>
      <c r="H17487" t="str">
        <f>"A"</f>
        <v>A</v>
      </c>
    </row>
    <row r="17488" spans="1:8" x14ac:dyDescent="0.2">
      <c r="A17488" t="str">
        <f t="shared" si="6346"/>
        <v>0608128922</v>
      </c>
      <c r="B17488" t="str">
        <f t="shared" si="6347"/>
        <v>TRISTIAN</v>
      </c>
      <c r="C17488" t="str">
        <f t="shared" si="6345"/>
        <v>VEGA</v>
      </c>
      <c r="D17488">
        <f>11</f>
        <v>11</v>
      </c>
      <c r="E17488" t="str">
        <f>"06 - B - 108 - Milca  Exantus"</f>
        <v>06 - B - 108 - Milca  Exantus</v>
      </c>
      <c r="F17488" t="str">
        <f>"MATH COLLEGE LIB ART"</f>
        <v>MATH COLLEGE LIB ART</v>
      </c>
      <c r="G17488" t="str">
        <f>"21-2145"</f>
        <v>21-2145</v>
      </c>
      <c r="H17488" t="str">
        <f>"B"</f>
        <v>B</v>
      </c>
    </row>
    <row r="17489" spans="1:8" x14ac:dyDescent="0.2">
      <c r="A17489" t="str">
        <f t="shared" si="6346"/>
        <v>0608128922</v>
      </c>
      <c r="B17489" t="str">
        <f t="shared" si="6347"/>
        <v>TRISTIAN</v>
      </c>
      <c r="C17489" t="str">
        <f t="shared" si="6345"/>
        <v>VEGA</v>
      </c>
      <c r="D17489">
        <f>11</f>
        <v>11</v>
      </c>
      <c r="E17489" t="str">
        <f>"03 - A - 102 - Nahum  Saint-Preux"</f>
        <v>03 - A - 102 - Nahum  Saint-Preux</v>
      </c>
      <c r="F17489" t="str">
        <f>"INTENS READ 3"</f>
        <v>INTENS READ 3</v>
      </c>
      <c r="G17489" t="str">
        <f>"17-1712"</f>
        <v>17-1712</v>
      </c>
      <c r="H17489" t="str">
        <f>"A"</f>
        <v>A</v>
      </c>
    </row>
    <row r="17490" spans="1:8" x14ac:dyDescent="0.2">
      <c r="A17490" t="str">
        <f t="shared" si="6346"/>
        <v>0608128922</v>
      </c>
      <c r="B17490" t="str">
        <f t="shared" si="6347"/>
        <v>TRISTIAN</v>
      </c>
      <c r="C17490" t="str">
        <f t="shared" si="6345"/>
        <v>VEGA</v>
      </c>
      <c r="D17490">
        <f>11</f>
        <v>11</v>
      </c>
      <c r="E17490" t="str">
        <f>"02 - A - 112 - Brandy N Zdenek"</f>
        <v>02 - A - 112 - Brandy N Zdenek</v>
      </c>
      <c r="F17490" t="str">
        <f>"NC STUDY HALL 1"</f>
        <v>NC STUDY HALL 1</v>
      </c>
      <c r="G17490" t="str">
        <f>"17-1704"</f>
        <v>17-1704</v>
      </c>
      <c r="H17490" t="str">
        <f>"A"</f>
        <v>A</v>
      </c>
    </row>
    <row r="17491" spans="1:8" x14ac:dyDescent="0.2">
      <c r="A17491" t="str">
        <f t="shared" si="6346"/>
        <v>0608128922</v>
      </c>
      <c r="B17491" t="str">
        <f t="shared" si="6347"/>
        <v>TRISTIAN</v>
      </c>
      <c r="C17491" t="str">
        <f t="shared" si="6345"/>
        <v>VEGA</v>
      </c>
      <c r="D17491">
        <f>11</f>
        <v>11</v>
      </c>
      <c r="E17491" t="str">
        <f>"07 - B - 204 - Scott A Dethloff"</f>
        <v>07 - B - 204 - Scott A Dethloff</v>
      </c>
      <c r="F17491" t="str">
        <f>"CHEMISTRY 1"</f>
        <v>CHEMISTRY 1</v>
      </c>
      <c r="G17491" t="str">
        <f>"08-812"</f>
        <v>08-812</v>
      </c>
      <c r="H17491" t="str">
        <f>"B"</f>
        <v>B</v>
      </c>
    </row>
    <row r="17492" spans="1:8" x14ac:dyDescent="0.2">
      <c r="A17492" t="str">
        <f t="shared" si="6346"/>
        <v>0608128922</v>
      </c>
      <c r="B17492" t="str">
        <f t="shared" si="6347"/>
        <v>TRISTIAN</v>
      </c>
      <c r="C17492" t="str">
        <f t="shared" si="6345"/>
        <v>VEGA</v>
      </c>
      <c r="D17492">
        <f>11</f>
        <v>11</v>
      </c>
      <c r="E17492" t="str">
        <f>"05 - B - 104 - Lisa  Quinn"</f>
        <v>05 - B - 104 - Lisa  Quinn</v>
      </c>
      <c r="F17492" t="str">
        <f>"ENG 3"</f>
        <v>ENG 3</v>
      </c>
      <c r="G17492" t="str">
        <f>"17-1725"</f>
        <v>17-1725</v>
      </c>
      <c r="H17492" t="str">
        <f>"B"</f>
        <v>B</v>
      </c>
    </row>
    <row r="17493" spans="1:8" x14ac:dyDescent="0.2">
      <c r="A17493" t="str">
        <f t="shared" si="6346"/>
        <v>0608128922</v>
      </c>
      <c r="B17493" t="str">
        <f t="shared" si="6347"/>
        <v>TRISTIAN</v>
      </c>
      <c r="C17493" t="str">
        <f t="shared" si="6345"/>
        <v>VEGA</v>
      </c>
      <c r="D17493">
        <f>11</f>
        <v>11</v>
      </c>
      <c r="E17493" t="str">
        <f>"01 - A - 101 - Kyle  Robbins"</f>
        <v>01 - A - 101 - Kyle  Robbins</v>
      </c>
      <c r="F17493" t="str">
        <f>"US HISTORY"</f>
        <v>US HISTORY</v>
      </c>
      <c r="G17493" t="str">
        <f>"17-1745"</f>
        <v>17-1745</v>
      </c>
      <c r="H17493" t="str">
        <f>"A"</f>
        <v>A</v>
      </c>
    </row>
    <row r="17494" spans="1:8" x14ac:dyDescent="0.2">
      <c r="A17494" t="str">
        <f t="shared" si="6346"/>
        <v>0608128922</v>
      </c>
      <c r="B17494" t="str">
        <f t="shared" si="6347"/>
        <v>TRISTIAN</v>
      </c>
      <c r="C17494" t="str">
        <f t="shared" si="6345"/>
        <v>VEGA</v>
      </c>
      <c r="D17494">
        <f>11</f>
        <v>11</v>
      </c>
      <c r="E17494" t="str">
        <f>"08 - S1 - B - 104 - Leslie J Barton"</f>
        <v>08 - S1 - B - 104 - Leslie J Barton</v>
      </c>
      <c r="F17494" t="str">
        <f>"TEAM SPORTS 1"</f>
        <v>TEAM SPORTS 1</v>
      </c>
      <c r="G17494" t="str">
        <f>"04-254"</f>
        <v>04-254</v>
      </c>
      <c r="H17494" t="str">
        <f>"B"</f>
        <v>B</v>
      </c>
    </row>
    <row r="17495" spans="1:8" x14ac:dyDescent="0.2">
      <c r="A17495" t="str">
        <f t="shared" ref="A17495:A17502" si="6348">"0624074580"</f>
        <v>0624074580</v>
      </c>
      <c r="B17495" t="str">
        <f t="shared" ref="B17495:B17502" si="6349">"ARIANA"</f>
        <v>ARIANA</v>
      </c>
      <c r="C17495" t="str">
        <f t="shared" ref="C17495:C17502" si="6350">"VEGA BERCOVA"</f>
        <v>VEGA BERCOVA</v>
      </c>
      <c r="D17495">
        <f>10</f>
        <v>10</v>
      </c>
      <c r="E17495" t="str">
        <f>"04 - A - 203 - Cheryl L Beach"</f>
        <v>04 - A - 203 - Cheryl L Beach</v>
      </c>
      <c r="F17495" t="str">
        <f>"AICE ENV MGMNT AS"</f>
        <v>AICE ENV MGMNT AS</v>
      </c>
      <c r="G17495" t="str">
        <f>"08-811"</f>
        <v>08-811</v>
      </c>
      <c r="H17495" t="str">
        <f>"A"</f>
        <v>A</v>
      </c>
    </row>
    <row r="17496" spans="1:8" x14ac:dyDescent="0.2">
      <c r="A17496" t="str">
        <f t="shared" si="6348"/>
        <v>0624074580</v>
      </c>
      <c r="B17496" t="str">
        <f t="shared" si="6349"/>
        <v>ARIANA</v>
      </c>
      <c r="C17496" t="str">
        <f t="shared" si="6350"/>
        <v>VEGA BERCOVA</v>
      </c>
      <c r="D17496">
        <f>10</f>
        <v>10</v>
      </c>
      <c r="E17496" t="str">
        <f>"06 - B - 118 - Jeanne M Bermudez"</f>
        <v>06 - B - 118 - Jeanne M Bermudez</v>
      </c>
      <c r="F17496" t="str">
        <f>"NC STUDY HALL 1"</f>
        <v>NC STUDY HALL 1</v>
      </c>
      <c r="G17496" t="str">
        <f>"21-2141"</f>
        <v>21-2141</v>
      </c>
      <c r="H17496" t="str">
        <f>"B"</f>
        <v>B</v>
      </c>
    </row>
    <row r="17497" spans="1:8" x14ac:dyDescent="0.2">
      <c r="A17497" t="str">
        <f t="shared" si="6348"/>
        <v>0624074580</v>
      </c>
      <c r="B17497" t="str">
        <f t="shared" si="6349"/>
        <v>ARIANA</v>
      </c>
      <c r="C17497" t="str">
        <f t="shared" si="6350"/>
        <v>VEGA BERCOVA</v>
      </c>
      <c r="D17497">
        <f>10</f>
        <v>10</v>
      </c>
      <c r="E17497" t="str">
        <f>"03 - S1 - A - 101 - Daniel S Katz"</f>
        <v>03 - S1 - A - 101 - Daniel S Katz</v>
      </c>
      <c r="F17497" t="str">
        <f>"COURT PROCED"</f>
        <v>COURT PROCED</v>
      </c>
      <c r="G17497" t="str">
        <f>"21-2156"</f>
        <v>21-2156</v>
      </c>
      <c r="H17497" t="str">
        <f>"A"</f>
        <v>A</v>
      </c>
    </row>
    <row r="17498" spans="1:8" x14ac:dyDescent="0.2">
      <c r="A17498" t="str">
        <f t="shared" si="6348"/>
        <v>0624074580</v>
      </c>
      <c r="B17498" t="str">
        <f t="shared" si="6349"/>
        <v>ARIANA</v>
      </c>
      <c r="C17498" t="str">
        <f t="shared" si="6350"/>
        <v>VEGA BERCOVA</v>
      </c>
      <c r="D17498">
        <f>10</f>
        <v>10</v>
      </c>
      <c r="E17498" t="str">
        <f>"02 - A - 103 - Dorothy D Moore"</f>
        <v>02 - A - 103 - Dorothy D Moore</v>
      </c>
      <c r="F17498" t="str">
        <f>"ANAT PHYSIO HON"</f>
        <v>ANAT PHYSIO HON</v>
      </c>
      <c r="G17498" t="str">
        <f>"08-803"</f>
        <v>08-803</v>
      </c>
      <c r="H17498" t="str">
        <f>"A"</f>
        <v>A</v>
      </c>
    </row>
    <row r="17499" spans="1:8" x14ac:dyDescent="0.2">
      <c r="A17499" t="str">
        <f t="shared" si="6348"/>
        <v>0624074580</v>
      </c>
      <c r="B17499" t="str">
        <f t="shared" si="6349"/>
        <v>ARIANA</v>
      </c>
      <c r="C17499" t="str">
        <f t="shared" si="6350"/>
        <v>VEGA BERCOVA</v>
      </c>
      <c r="D17499">
        <f>10</f>
        <v>10</v>
      </c>
      <c r="E17499" t="str">
        <f>"07 - B - 107 - Jacklyn M James"</f>
        <v>07 - B - 107 - Jacklyn M James</v>
      </c>
      <c r="F17499" t="str">
        <f>"AICE ENG LANG AS"</f>
        <v>AICE ENG LANG AS</v>
      </c>
      <c r="G17499" t="str">
        <f>"17-1731"</f>
        <v>17-1731</v>
      </c>
      <c r="H17499" t="str">
        <f>"B"</f>
        <v>B</v>
      </c>
    </row>
    <row r="17500" spans="1:8" x14ac:dyDescent="0.2">
      <c r="A17500" t="str">
        <f t="shared" si="6348"/>
        <v>0624074580</v>
      </c>
      <c r="B17500" t="str">
        <f t="shared" si="6349"/>
        <v>ARIANA</v>
      </c>
      <c r="C17500" t="str">
        <f t="shared" si="6350"/>
        <v>VEGA BERCOVA</v>
      </c>
      <c r="D17500">
        <f>10</f>
        <v>10</v>
      </c>
      <c r="E17500" t="str">
        <f>"05 - B - 109 - Ferrie J Arostique"</f>
        <v>05 - B - 109 - Ferrie J Arostique</v>
      </c>
      <c r="F17500" t="str">
        <f>"GEOMETRY"</f>
        <v>GEOMETRY</v>
      </c>
      <c r="G17500" t="str">
        <f>"21-2139"</f>
        <v>21-2139</v>
      </c>
      <c r="H17500" t="str">
        <f>"B"</f>
        <v>B</v>
      </c>
    </row>
    <row r="17501" spans="1:8" x14ac:dyDescent="0.2">
      <c r="A17501" t="str">
        <f t="shared" si="6348"/>
        <v>0624074580</v>
      </c>
      <c r="B17501" t="str">
        <f t="shared" si="6349"/>
        <v>ARIANA</v>
      </c>
      <c r="C17501" t="str">
        <f t="shared" si="6350"/>
        <v>VEGA BERCOVA</v>
      </c>
      <c r="D17501">
        <f>10</f>
        <v>10</v>
      </c>
      <c r="E17501" t="str">
        <f>"01 - A - 101 - Rory T Sponsler"</f>
        <v>01 - A - 101 - Rory T Sponsler</v>
      </c>
      <c r="F17501" t="str">
        <f>"PRE-AICE WRLD HST IG"</f>
        <v>PRE-AICE WRLD HST IG</v>
      </c>
      <c r="G17501" t="str">
        <f>"17-1740"</f>
        <v>17-1740</v>
      </c>
      <c r="H17501" t="str">
        <f>"A"</f>
        <v>A</v>
      </c>
    </row>
    <row r="17502" spans="1:8" x14ac:dyDescent="0.2">
      <c r="A17502" t="str">
        <f t="shared" si="6348"/>
        <v>0624074580</v>
      </c>
      <c r="B17502" t="str">
        <f t="shared" si="6349"/>
        <v>ARIANA</v>
      </c>
      <c r="C17502" t="str">
        <f t="shared" si="6350"/>
        <v>VEGA BERCOVA</v>
      </c>
      <c r="D17502">
        <f>10</f>
        <v>10</v>
      </c>
      <c r="E17502" t="str">
        <f>"08 - B - 101 - Jordana K Hass"</f>
        <v>08 - B - 101 - Jordana K Hass</v>
      </c>
      <c r="F17502" t="str">
        <f>"AICE INFO TECH 1 AS"</f>
        <v>AICE INFO TECH 1 AS</v>
      </c>
      <c r="G17502" t="str">
        <f>"08-807"</f>
        <v>08-807</v>
      </c>
      <c r="H17502" t="str">
        <f>"B"</f>
        <v>B</v>
      </c>
    </row>
    <row r="17503" spans="1:8" x14ac:dyDescent="0.2">
      <c r="A17503" t="str">
        <f t="shared" ref="A17503:A17510" si="6351">"0624109032"</f>
        <v>0624109032</v>
      </c>
      <c r="B17503" t="str">
        <f t="shared" ref="B17503:B17510" si="6352">"ASHLEY"</f>
        <v>ASHLEY</v>
      </c>
      <c r="C17503" t="str">
        <f t="shared" ref="C17503:C17510" si="6353">"VEGA GODOS"</f>
        <v>VEGA GODOS</v>
      </c>
      <c r="D17503">
        <f>11</f>
        <v>11</v>
      </c>
      <c r="E17503" t="str">
        <f>"04 - A - 102 - Elizabeth Ellen  Moran"</f>
        <v>04 - A - 102 - Elizabeth Ellen  Moran</v>
      </c>
      <c r="F17503" t="str">
        <f>"US HISTORY"</f>
        <v>US HISTORY</v>
      </c>
      <c r="G17503" t="str">
        <f>"17-1752"</f>
        <v>17-1752</v>
      </c>
      <c r="H17503" t="str">
        <f>"A"</f>
        <v>A</v>
      </c>
    </row>
    <row r="17504" spans="1:8" x14ac:dyDescent="0.2">
      <c r="A17504" t="str">
        <f t="shared" si="6351"/>
        <v>0624109032</v>
      </c>
      <c r="B17504" t="str">
        <f t="shared" si="6352"/>
        <v>ASHLEY</v>
      </c>
      <c r="C17504" t="str">
        <f t="shared" si="6353"/>
        <v>VEGA GODOS</v>
      </c>
      <c r="D17504">
        <f>11</f>
        <v>11</v>
      </c>
      <c r="E17504" t="str">
        <f>"06 - B - 105 - Arthur  Kulawik"</f>
        <v>06 - B - 105 - Arthur  Kulawik</v>
      </c>
      <c r="F17504" t="str">
        <f>"ENG 3"</f>
        <v>ENG 3</v>
      </c>
      <c r="G17504" t="str">
        <f>"05-506"</f>
        <v>05-506</v>
      </c>
      <c r="H17504" t="str">
        <f>"B"</f>
        <v>B</v>
      </c>
    </row>
    <row r="17505" spans="1:8" x14ac:dyDescent="0.2">
      <c r="A17505" t="str">
        <f t="shared" si="6351"/>
        <v>0624109032</v>
      </c>
      <c r="B17505" t="str">
        <f t="shared" si="6352"/>
        <v>ASHLEY</v>
      </c>
      <c r="C17505" t="str">
        <f t="shared" si="6353"/>
        <v>VEGA GODOS</v>
      </c>
      <c r="D17505">
        <f>11</f>
        <v>11</v>
      </c>
      <c r="E17505" t="str">
        <f>"03 - A - 201 - Emmily A Sarmiento"</f>
        <v>03 - A - 201 - Emmily A Sarmiento</v>
      </c>
      <c r="F17505" t="str">
        <f>"LEAD SKLS DEV LH"</f>
        <v>LEAD SKLS DEV LH</v>
      </c>
      <c r="G17505" t="str">
        <f>"17-1743"</f>
        <v>17-1743</v>
      </c>
      <c r="H17505" t="str">
        <f>"A"</f>
        <v>A</v>
      </c>
    </row>
    <row r="17506" spans="1:8" x14ac:dyDescent="0.2">
      <c r="A17506" t="str">
        <f t="shared" si="6351"/>
        <v>0624109032</v>
      </c>
      <c r="B17506" t="str">
        <f t="shared" si="6352"/>
        <v>ASHLEY</v>
      </c>
      <c r="C17506" t="str">
        <f t="shared" si="6353"/>
        <v>VEGA GODOS</v>
      </c>
      <c r="D17506">
        <f>11</f>
        <v>11</v>
      </c>
      <c r="E17506" t="str">
        <f>"02 - A - 107 - Elizabeth Ellen  Moran"</f>
        <v>02 - A - 107 - Elizabeth Ellen  Moran</v>
      </c>
      <c r="F17506" t="str">
        <f>"NC STUDY HALL 1"</f>
        <v>NC STUDY HALL 1</v>
      </c>
      <c r="G17506" t="str">
        <f>"17-1752"</f>
        <v>17-1752</v>
      </c>
      <c r="H17506" t="str">
        <f>"A"</f>
        <v>A</v>
      </c>
    </row>
    <row r="17507" spans="1:8" x14ac:dyDescent="0.2">
      <c r="A17507" t="str">
        <f t="shared" si="6351"/>
        <v>0624109032</v>
      </c>
      <c r="B17507" t="str">
        <f t="shared" si="6352"/>
        <v>ASHLEY</v>
      </c>
      <c r="C17507" t="str">
        <f t="shared" si="6353"/>
        <v>VEGA GODOS</v>
      </c>
      <c r="D17507">
        <f>11</f>
        <v>11</v>
      </c>
      <c r="E17507" t="str">
        <f>"07 - B - 104 - Marielle A Witting"</f>
        <v>07 - B - 104 - Marielle A Witting</v>
      </c>
      <c r="F17507" t="str">
        <f>"ANAT PHYSIO"</f>
        <v>ANAT PHYSIO</v>
      </c>
      <c r="G17507" t="str">
        <f>"08-805"</f>
        <v>08-805</v>
      </c>
      <c r="H17507" t="str">
        <f>"B"</f>
        <v>B</v>
      </c>
    </row>
    <row r="17508" spans="1:8" x14ac:dyDescent="0.2">
      <c r="A17508" t="str">
        <f t="shared" si="6351"/>
        <v>0624109032</v>
      </c>
      <c r="B17508" t="str">
        <f t="shared" si="6352"/>
        <v>ASHLEY</v>
      </c>
      <c r="C17508" t="str">
        <f t="shared" si="6353"/>
        <v>VEGA GODOS</v>
      </c>
      <c r="D17508">
        <f>11</f>
        <v>11</v>
      </c>
      <c r="E17508" t="str">
        <f>"05 - B - 106 - Fernando  Vega-Cid"</f>
        <v>05 - B - 106 - Fernando  Vega-Cid</v>
      </c>
      <c r="F17508" t="str">
        <f>"GEOMETRY"</f>
        <v>GEOMETRY</v>
      </c>
      <c r="G17508" t="str">
        <f>"21-2163"</f>
        <v>21-2163</v>
      </c>
      <c r="H17508" t="str">
        <f>"B"</f>
        <v>B</v>
      </c>
    </row>
    <row r="17509" spans="1:8" x14ac:dyDescent="0.2">
      <c r="A17509" t="str">
        <f t="shared" si="6351"/>
        <v>0624109032</v>
      </c>
      <c r="B17509" t="str">
        <f t="shared" si="6352"/>
        <v>ASHLEY</v>
      </c>
      <c r="C17509" t="str">
        <f t="shared" si="6353"/>
        <v>VEGA GODOS</v>
      </c>
      <c r="D17509">
        <f>11</f>
        <v>11</v>
      </c>
      <c r="E17509" t="str">
        <f>"01 - A - 101 - Vanessa J Pena"</f>
        <v>01 - A - 101 - Vanessa J Pena</v>
      </c>
      <c r="F17509" t="str">
        <f>"DEV LANG ARTS ESOL-R"</f>
        <v>DEV LANG ARTS ESOL-R</v>
      </c>
      <c r="G17509" t="str">
        <f>"09-926"</f>
        <v>09-926</v>
      </c>
      <c r="H17509" t="str">
        <f>"A"</f>
        <v>A</v>
      </c>
    </row>
    <row r="17510" spans="1:8" x14ac:dyDescent="0.2">
      <c r="A17510" t="str">
        <f t="shared" si="6351"/>
        <v>0624109032</v>
      </c>
      <c r="B17510" t="str">
        <f t="shared" si="6352"/>
        <v>ASHLEY</v>
      </c>
      <c r="C17510" t="str">
        <f t="shared" si="6353"/>
        <v>VEGA GODOS</v>
      </c>
      <c r="D17510">
        <f>11</f>
        <v>11</v>
      </c>
      <c r="E17510" t="str">
        <f>"08 - S1 - B - 104 - Leslie J Barton"</f>
        <v>08 - S1 - B - 104 - Leslie J Barton</v>
      </c>
      <c r="F17510" t="str">
        <f>"TEAM SPORTS 1"</f>
        <v>TEAM SPORTS 1</v>
      </c>
      <c r="G17510" t="str">
        <f>"04-254"</f>
        <v>04-254</v>
      </c>
      <c r="H17510" t="str">
        <f>"B"</f>
        <v>B</v>
      </c>
    </row>
    <row r="17511" spans="1:8" x14ac:dyDescent="0.2">
      <c r="A17511" t="str">
        <f t="shared" ref="A17511:A17518" si="6354">"0624107337"</f>
        <v>0624107337</v>
      </c>
      <c r="B17511" t="str">
        <f t="shared" ref="B17511:B17518" si="6355">"STEPHANY"</f>
        <v>STEPHANY</v>
      </c>
      <c r="C17511" t="str">
        <f t="shared" ref="C17511:C17518" si="6356">"VEGA SARANGO"</f>
        <v>VEGA SARANGO</v>
      </c>
      <c r="D17511" t="str">
        <f t="shared" ref="D17511:D17526" si="6357">"09"</f>
        <v>09</v>
      </c>
      <c r="E17511" t="str">
        <f>"04 - A - 106 - Lissa C Frederique"</f>
        <v>04 - A - 106 - Lissa C Frederique</v>
      </c>
      <c r="F17511" t="str">
        <f>"WORLD HISTORY"</f>
        <v>WORLD HISTORY</v>
      </c>
      <c r="G17511" t="str">
        <f>"17-1754"</f>
        <v>17-1754</v>
      </c>
      <c r="H17511" t="str">
        <f>"A"</f>
        <v>A</v>
      </c>
    </row>
    <row r="17512" spans="1:8" x14ac:dyDescent="0.2">
      <c r="A17512" t="str">
        <f t="shared" si="6354"/>
        <v>0624107337</v>
      </c>
      <c r="B17512" t="str">
        <f t="shared" si="6355"/>
        <v>STEPHANY</v>
      </c>
      <c r="C17512" t="str">
        <f t="shared" si="6356"/>
        <v>VEGA SARANGO</v>
      </c>
      <c r="D17512" t="str">
        <f t="shared" si="6357"/>
        <v>09</v>
      </c>
      <c r="E17512" t="str">
        <f>"06 - B - 002 - Amy Beth  Broyles"</f>
        <v>06 - B - 002 - Amy Beth  Broyles</v>
      </c>
      <c r="F17512" t="str">
        <f>"ENV SCI"</f>
        <v>ENV SCI</v>
      </c>
      <c r="G17512" t="str">
        <f>"08-802"</f>
        <v>08-802</v>
      </c>
      <c r="H17512" t="str">
        <f>"B"</f>
        <v>B</v>
      </c>
    </row>
    <row r="17513" spans="1:8" x14ac:dyDescent="0.2">
      <c r="A17513" t="str">
        <f t="shared" si="6354"/>
        <v>0624107337</v>
      </c>
      <c r="B17513" t="str">
        <f t="shared" si="6355"/>
        <v>STEPHANY</v>
      </c>
      <c r="C17513" t="str">
        <f t="shared" si="6356"/>
        <v>VEGA SARANGO</v>
      </c>
      <c r="D17513" t="str">
        <f t="shared" si="6357"/>
        <v>09</v>
      </c>
      <c r="E17513" t="str">
        <f>"03 - A - 101 - Samantha L Martinez"</f>
        <v>03 - A - 101 - Samantha L Martinez</v>
      </c>
      <c r="F17513" t="str">
        <f>"VOCAL ENS 1"</f>
        <v>VOCAL ENS 1</v>
      </c>
      <c r="G17513" t="str">
        <f>"05-505"</f>
        <v>05-505</v>
      </c>
      <c r="H17513" t="str">
        <f>"A"</f>
        <v>A</v>
      </c>
    </row>
    <row r="17514" spans="1:8" x14ac:dyDescent="0.2">
      <c r="A17514" t="str">
        <f t="shared" si="6354"/>
        <v>0624107337</v>
      </c>
      <c r="B17514" t="str">
        <f t="shared" si="6355"/>
        <v>STEPHANY</v>
      </c>
      <c r="C17514" t="str">
        <f t="shared" si="6356"/>
        <v>VEGA SARANGO</v>
      </c>
      <c r="D17514" t="str">
        <f t="shared" si="6357"/>
        <v>09</v>
      </c>
      <c r="E17514" t="str">
        <f>"02 - A - 102 - Fernando  Vega-Cid"</f>
        <v>02 - A - 102 - Fernando  Vega-Cid</v>
      </c>
      <c r="F17514" t="str">
        <f>"NC STUDY HALL 1"</f>
        <v>NC STUDY HALL 1</v>
      </c>
      <c r="G17514" t="str">
        <f>"21-2163"</f>
        <v>21-2163</v>
      </c>
      <c r="H17514" t="str">
        <f>"A"</f>
        <v>A</v>
      </c>
    </row>
    <row r="17515" spans="1:8" x14ac:dyDescent="0.2">
      <c r="A17515" t="str">
        <f t="shared" si="6354"/>
        <v>0624107337</v>
      </c>
      <c r="B17515" t="str">
        <f t="shared" si="6355"/>
        <v>STEPHANY</v>
      </c>
      <c r="C17515" t="str">
        <f t="shared" si="6356"/>
        <v>VEGA SARANGO</v>
      </c>
      <c r="D17515" t="str">
        <f t="shared" si="6357"/>
        <v>09</v>
      </c>
      <c r="E17515" t="str">
        <f>"07 - B - 106 - Dayna M Foster"</f>
        <v>07 - B - 106 - Dayna M Foster</v>
      </c>
      <c r="F17515" t="str">
        <f>"FDN SKLS MATH 9-12"</f>
        <v>FDN SKLS MATH 9-12</v>
      </c>
      <c r="G17515" t="str">
        <f>"21-2109"</f>
        <v>21-2109</v>
      </c>
      <c r="H17515" t="str">
        <f>"B"</f>
        <v>B</v>
      </c>
    </row>
    <row r="17516" spans="1:8" x14ac:dyDescent="0.2">
      <c r="A17516" t="str">
        <f t="shared" si="6354"/>
        <v>0624107337</v>
      </c>
      <c r="B17516" t="str">
        <f t="shared" si="6355"/>
        <v>STEPHANY</v>
      </c>
      <c r="C17516" t="str">
        <f t="shared" si="6356"/>
        <v>VEGA SARANGO</v>
      </c>
      <c r="D17516" t="str">
        <f t="shared" si="6357"/>
        <v>09</v>
      </c>
      <c r="E17516" t="str">
        <f>"05 - B - 102 - Vanessa J Pena"</f>
        <v>05 - B - 102 - Vanessa J Pena</v>
      </c>
      <c r="F17516" t="str">
        <f>"DEV LANG ARTS ESOL-R"</f>
        <v>DEV LANG ARTS ESOL-R</v>
      </c>
      <c r="G17516" t="str">
        <f>"09-926"</f>
        <v>09-926</v>
      </c>
      <c r="H17516" t="str">
        <f>"B"</f>
        <v>B</v>
      </c>
    </row>
    <row r="17517" spans="1:8" x14ac:dyDescent="0.2">
      <c r="A17517" t="str">
        <f t="shared" si="6354"/>
        <v>0624107337</v>
      </c>
      <c r="B17517" t="str">
        <f t="shared" si="6355"/>
        <v>STEPHANY</v>
      </c>
      <c r="C17517" t="str">
        <f t="shared" si="6356"/>
        <v>VEGA SARANGO</v>
      </c>
      <c r="D17517" t="str">
        <f t="shared" si="6357"/>
        <v>09</v>
      </c>
      <c r="E17517" t="str">
        <f>"01 - A - 108 - Dayna M Foster"</f>
        <v>01 - A - 108 - Dayna M Foster</v>
      </c>
      <c r="F17517" t="str">
        <f>"ALGEBRA 1"</f>
        <v>ALGEBRA 1</v>
      </c>
      <c r="G17517" t="str">
        <f>"21-2109"</f>
        <v>21-2109</v>
      </c>
      <c r="H17517" t="str">
        <f>"A"</f>
        <v>A</v>
      </c>
    </row>
    <row r="17518" spans="1:8" x14ac:dyDescent="0.2">
      <c r="A17518" t="str">
        <f t="shared" si="6354"/>
        <v>0624107337</v>
      </c>
      <c r="B17518" t="str">
        <f t="shared" si="6355"/>
        <v>STEPHANY</v>
      </c>
      <c r="C17518" t="str">
        <f t="shared" si="6356"/>
        <v>VEGA SARANGO</v>
      </c>
      <c r="D17518" t="str">
        <f t="shared" si="6357"/>
        <v>09</v>
      </c>
      <c r="E17518" t="str">
        <f>"08 - B - 108 - Cerine S Stewart"</f>
        <v>08 - B - 108 - Cerine S Stewart</v>
      </c>
      <c r="F17518" t="str">
        <f>"ENG 1"</f>
        <v>ENG 1</v>
      </c>
      <c r="G17518" t="str">
        <f>"17-1720"</f>
        <v>17-1720</v>
      </c>
      <c r="H17518" t="str">
        <f>"B"</f>
        <v>B</v>
      </c>
    </row>
    <row r="17519" spans="1:8" x14ac:dyDescent="0.2">
      <c r="A17519" t="str">
        <f t="shared" ref="A17519:A17526" si="6358">"0616103948"</f>
        <v>0616103948</v>
      </c>
      <c r="B17519" t="str">
        <f t="shared" ref="B17519:B17526" si="6359">"CAMILA"</f>
        <v>CAMILA</v>
      </c>
      <c r="C17519" t="str">
        <f t="shared" ref="C17519:C17543" si="6360">"VELEZ"</f>
        <v>VELEZ</v>
      </c>
      <c r="D17519" t="str">
        <f t="shared" si="6357"/>
        <v>09</v>
      </c>
      <c r="E17519" t="str">
        <f>"04 - A - 104 - Brook E Goren"</f>
        <v>04 - A - 104 - Brook E Goren</v>
      </c>
      <c r="F17519" t="str">
        <f>"ALGEBRA 2 HON"</f>
        <v>ALGEBRA 2 HON</v>
      </c>
      <c r="G17519" t="str">
        <f>"21-2158"</f>
        <v>21-2158</v>
      </c>
      <c r="H17519" t="str">
        <f>"A"</f>
        <v>A</v>
      </c>
    </row>
    <row r="17520" spans="1:8" x14ac:dyDescent="0.2">
      <c r="A17520" t="str">
        <f t="shared" si="6358"/>
        <v>0616103948</v>
      </c>
      <c r="B17520" t="str">
        <f t="shared" si="6359"/>
        <v>CAMILA</v>
      </c>
      <c r="C17520" t="str">
        <f t="shared" si="6360"/>
        <v>VELEZ</v>
      </c>
      <c r="D17520" t="str">
        <f t="shared" si="6357"/>
        <v>09</v>
      </c>
      <c r="E17520" t="str">
        <f>"06 - S1 - B - 104 - Leslie J Barton"</f>
        <v>06 - S1 - B - 104 - Leslie J Barton</v>
      </c>
      <c r="F17520" t="str">
        <f>"FIRST AID SAFETY"</f>
        <v>FIRST AID SAFETY</v>
      </c>
      <c r="G17520" t="str">
        <f>"05-521"</f>
        <v>05-521</v>
      </c>
      <c r="H17520" t="str">
        <f>"B"</f>
        <v>B</v>
      </c>
    </row>
    <row r="17521" spans="1:8" x14ac:dyDescent="0.2">
      <c r="A17521" t="str">
        <f t="shared" si="6358"/>
        <v>0616103948</v>
      </c>
      <c r="B17521" t="str">
        <f t="shared" si="6359"/>
        <v>CAMILA</v>
      </c>
      <c r="C17521" t="str">
        <f t="shared" si="6360"/>
        <v>VELEZ</v>
      </c>
      <c r="D17521" t="str">
        <f t="shared" si="6357"/>
        <v>09</v>
      </c>
      <c r="E17521" t="str">
        <f>"03 - A - 201 - Chrystina M Marchionne"</f>
        <v>03 - A - 201 - Chrystina M Marchionne</v>
      </c>
      <c r="F17521" t="str">
        <f>"JOURN 1 (YB) LH"</f>
        <v>JOURN 1 (YB) LH</v>
      </c>
      <c r="G17521" t="str">
        <f>"05-520"</f>
        <v>05-520</v>
      </c>
      <c r="H17521" t="str">
        <f>"A"</f>
        <v>A</v>
      </c>
    </row>
    <row r="17522" spans="1:8" x14ac:dyDescent="0.2">
      <c r="A17522" t="str">
        <f t="shared" si="6358"/>
        <v>0616103948</v>
      </c>
      <c r="B17522" t="str">
        <f t="shared" si="6359"/>
        <v>CAMILA</v>
      </c>
      <c r="C17522" t="str">
        <f t="shared" si="6360"/>
        <v>VELEZ</v>
      </c>
      <c r="D17522" t="str">
        <f t="shared" si="6357"/>
        <v>09</v>
      </c>
      <c r="E17522" t="str">
        <f>"02 - A - 107 - Cerine S Stewart"</f>
        <v>02 - A - 107 - Cerine S Stewart</v>
      </c>
      <c r="F17522" t="str">
        <f>"NC STUDY HALL 1"</f>
        <v>NC STUDY HALL 1</v>
      </c>
      <c r="G17522" t="str">
        <f>"17-1720"</f>
        <v>17-1720</v>
      </c>
      <c r="H17522" t="str">
        <f>"A"</f>
        <v>A</v>
      </c>
    </row>
    <row r="17523" spans="1:8" x14ac:dyDescent="0.2">
      <c r="A17523" t="str">
        <f t="shared" si="6358"/>
        <v>0616103948</v>
      </c>
      <c r="B17523" t="str">
        <f t="shared" si="6359"/>
        <v>CAMILA</v>
      </c>
      <c r="C17523" t="str">
        <f t="shared" si="6360"/>
        <v>VELEZ</v>
      </c>
      <c r="D17523" t="str">
        <f t="shared" si="6357"/>
        <v>09</v>
      </c>
      <c r="E17523" t="str">
        <f>"07 - B - 103 - Vanessa J Liburd"</f>
        <v>07 - B - 103 - Vanessa J Liburd</v>
      </c>
      <c r="F17523" t="str">
        <f>"PRE-AICE FRENCH 1 IG"</f>
        <v>PRE-AICE FRENCH 1 IG</v>
      </c>
      <c r="G17523" t="str">
        <f>"05-519"</f>
        <v>05-519</v>
      </c>
      <c r="H17523" t="str">
        <f>"B"</f>
        <v>B</v>
      </c>
    </row>
    <row r="17524" spans="1:8" x14ac:dyDescent="0.2">
      <c r="A17524" t="str">
        <f t="shared" si="6358"/>
        <v>0616103948</v>
      </c>
      <c r="B17524" t="str">
        <f t="shared" si="6359"/>
        <v>CAMILA</v>
      </c>
      <c r="C17524" t="str">
        <f t="shared" si="6360"/>
        <v>VELEZ</v>
      </c>
      <c r="D17524" t="str">
        <f t="shared" si="6357"/>
        <v>09</v>
      </c>
      <c r="E17524" t="str">
        <f>"05 - B - 204 - Elizabeth R Walker"</f>
        <v>05 - B - 204 - Elizabeth R Walker</v>
      </c>
      <c r="F17524" t="str">
        <f>"AICE ENG GEN PAPER 1"</f>
        <v>AICE ENG GEN PAPER 1</v>
      </c>
      <c r="G17524" t="str">
        <f>"17-1703"</f>
        <v>17-1703</v>
      </c>
      <c r="H17524" t="str">
        <f>"B"</f>
        <v>B</v>
      </c>
    </row>
    <row r="17525" spans="1:8" x14ac:dyDescent="0.2">
      <c r="A17525" t="str">
        <f t="shared" si="6358"/>
        <v>0616103948</v>
      </c>
      <c r="B17525" t="str">
        <f t="shared" si="6359"/>
        <v>CAMILA</v>
      </c>
      <c r="C17525" t="str">
        <f t="shared" si="6360"/>
        <v>VELEZ</v>
      </c>
      <c r="D17525" t="str">
        <f t="shared" si="6357"/>
        <v>09</v>
      </c>
      <c r="E17525" t="str">
        <f>"01 - A - 101 - Josiah I Lacy"</f>
        <v>01 - A - 101 - Josiah I Lacy</v>
      </c>
      <c r="F17525" t="str">
        <f>"PRE-AICE BIO IG"</f>
        <v>PRE-AICE BIO IG</v>
      </c>
      <c r="G17525" t="str">
        <f>"08-801"</f>
        <v>08-801</v>
      </c>
      <c r="H17525" t="str">
        <f>"A"</f>
        <v>A</v>
      </c>
    </row>
    <row r="17526" spans="1:8" x14ac:dyDescent="0.2">
      <c r="A17526" t="str">
        <f t="shared" si="6358"/>
        <v>0616103948</v>
      </c>
      <c r="B17526" t="str">
        <f t="shared" si="6359"/>
        <v>CAMILA</v>
      </c>
      <c r="C17526" t="str">
        <f t="shared" si="6360"/>
        <v>VELEZ</v>
      </c>
      <c r="D17526" t="str">
        <f t="shared" si="6357"/>
        <v>09</v>
      </c>
      <c r="E17526" t="str">
        <f>"08 - B - 109 - Rory T Sponsler"</f>
        <v>08 - B - 109 - Rory T Sponsler</v>
      </c>
      <c r="F17526" t="str">
        <f>"PRE-AICE WRLD HST IG"</f>
        <v>PRE-AICE WRLD HST IG</v>
      </c>
      <c r="G17526" t="str">
        <f>"17-1740"</f>
        <v>17-1740</v>
      </c>
      <c r="H17526" t="str">
        <f>"B"</f>
        <v>B</v>
      </c>
    </row>
    <row r="17527" spans="1:8" x14ac:dyDescent="0.2">
      <c r="A17527" t="str">
        <f t="shared" ref="A17527:A17534" si="6361">"0624040686"</f>
        <v>0624040686</v>
      </c>
      <c r="B17527" t="str">
        <f t="shared" ref="B17527:B17534" si="6362">"LUCAS"</f>
        <v>LUCAS</v>
      </c>
      <c r="C17527" t="str">
        <f t="shared" si="6360"/>
        <v>VELEZ</v>
      </c>
      <c r="D17527">
        <f>10</f>
        <v>10</v>
      </c>
      <c r="E17527" t="str">
        <f>"04 - A - 101 - Rosa Elaine  Collado-Duff"</f>
        <v>04 - A - 101 - Rosa Elaine  Collado-Duff</v>
      </c>
      <c r="F17527" t="str">
        <f>"AICE SPAN LANG AS"</f>
        <v>AICE SPAN LANG AS</v>
      </c>
      <c r="G17527" t="str">
        <f>"09-913"</f>
        <v>09-913</v>
      </c>
      <c r="H17527" t="str">
        <f>"A"</f>
        <v>A</v>
      </c>
    </row>
    <row r="17528" spans="1:8" x14ac:dyDescent="0.2">
      <c r="A17528" t="str">
        <f t="shared" si="6361"/>
        <v>0624040686</v>
      </c>
      <c r="B17528" t="str">
        <f t="shared" si="6362"/>
        <v>LUCAS</v>
      </c>
      <c r="C17528" t="str">
        <f t="shared" si="6360"/>
        <v>VELEZ</v>
      </c>
      <c r="D17528">
        <f>10</f>
        <v>10</v>
      </c>
      <c r="E17528" t="str">
        <f>"06 - B - 117 - Daniel S Tyson"</f>
        <v>06 - B - 117 - Daniel S Tyson</v>
      </c>
      <c r="F17528" t="str">
        <f>"NC STUDY HALL 1"</f>
        <v>NC STUDY HALL 1</v>
      </c>
      <c r="G17528" t="str">
        <f>"05-510"</f>
        <v>05-510</v>
      </c>
      <c r="H17528" t="str">
        <f>"B"</f>
        <v>B</v>
      </c>
    </row>
    <row r="17529" spans="1:8" x14ac:dyDescent="0.2">
      <c r="A17529" t="str">
        <f t="shared" si="6361"/>
        <v>0624040686</v>
      </c>
      <c r="B17529" t="str">
        <f t="shared" si="6362"/>
        <v>LUCAS</v>
      </c>
      <c r="C17529" t="str">
        <f t="shared" si="6360"/>
        <v>VELEZ</v>
      </c>
      <c r="D17529">
        <f>10</f>
        <v>10</v>
      </c>
      <c r="E17529" t="str">
        <f>"03 - A - 101 - Scott A Dethloff"</f>
        <v>03 - A - 101 - Scott A Dethloff</v>
      </c>
      <c r="F17529" t="str">
        <f>"CHEMISTRY 1 HON"</f>
        <v>CHEMISTRY 1 HON</v>
      </c>
      <c r="G17529" t="str">
        <f>"08-812"</f>
        <v>08-812</v>
      </c>
      <c r="H17529" t="str">
        <f>"A"</f>
        <v>A</v>
      </c>
    </row>
    <row r="17530" spans="1:8" x14ac:dyDescent="0.2">
      <c r="A17530" t="str">
        <f t="shared" si="6361"/>
        <v>0624040686</v>
      </c>
      <c r="B17530" t="str">
        <f t="shared" si="6362"/>
        <v>LUCAS</v>
      </c>
      <c r="C17530" t="str">
        <f t="shared" si="6360"/>
        <v>VELEZ</v>
      </c>
      <c r="D17530">
        <f>10</f>
        <v>10</v>
      </c>
      <c r="E17530" t="str">
        <f>"02 - A - 105 - Semra  Bahadir"</f>
        <v>02 - A - 105 - Semra  Bahadir</v>
      </c>
      <c r="F17530" t="str">
        <f>"ALGEBRA 2"</f>
        <v>ALGEBRA 2</v>
      </c>
      <c r="G17530" t="str">
        <f>"21-2107"</f>
        <v>21-2107</v>
      </c>
      <c r="H17530" t="str">
        <f>"A"</f>
        <v>A</v>
      </c>
    </row>
    <row r="17531" spans="1:8" x14ac:dyDescent="0.2">
      <c r="A17531" t="str">
        <f t="shared" si="6361"/>
        <v>0624040686</v>
      </c>
      <c r="B17531" t="str">
        <f t="shared" si="6362"/>
        <v>LUCAS</v>
      </c>
      <c r="C17531" t="str">
        <f t="shared" si="6360"/>
        <v>VELEZ</v>
      </c>
      <c r="D17531">
        <f>10</f>
        <v>10</v>
      </c>
      <c r="E17531" t="str">
        <f>"07 - B - 107 - Jacklyn M James"</f>
        <v>07 - B - 107 - Jacklyn M James</v>
      </c>
      <c r="F17531" t="str">
        <f>"AICE ENG LANG AS"</f>
        <v>AICE ENG LANG AS</v>
      </c>
      <c r="G17531" t="str">
        <f>"17-1731"</f>
        <v>17-1731</v>
      </c>
      <c r="H17531" t="str">
        <f>"B"</f>
        <v>B</v>
      </c>
    </row>
    <row r="17532" spans="1:8" x14ac:dyDescent="0.2">
      <c r="A17532" t="str">
        <f t="shared" si="6361"/>
        <v>0624040686</v>
      </c>
      <c r="B17532" t="str">
        <f t="shared" si="6362"/>
        <v>LUCAS</v>
      </c>
      <c r="C17532" t="str">
        <f t="shared" si="6360"/>
        <v>VELEZ</v>
      </c>
      <c r="D17532">
        <f>10</f>
        <v>10</v>
      </c>
      <c r="E17532" t="str">
        <f>"05 - B - 101 - Jordana K Hass"</f>
        <v>05 - B - 101 - Jordana K Hass</v>
      </c>
      <c r="F17532" t="str">
        <f>"AP COMP SCI PRIN"</f>
        <v>AP COMP SCI PRIN</v>
      </c>
      <c r="G17532" t="str">
        <f>"08-807"</f>
        <v>08-807</v>
      </c>
      <c r="H17532" t="str">
        <f>"B"</f>
        <v>B</v>
      </c>
    </row>
    <row r="17533" spans="1:8" x14ac:dyDescent="0.2">
      <c r="A17533" t="str">
        <f t="shared" si="6361"/>
        <v>0624040686</v>
      </c>
      <c r="B17533" t="str">
        <f t="shared" si="6362"/>
        <v>LUCAS</v>
      </c>
      <c r="C17533" t="str">
        <f t="shared" si="6360"/>
        <v>VELEZ</v>
      </c>
      <c r="D17533">
        <f>10</f>
        <v>10</v>
      </c>
      <c r="E17533" t="str">
        <f>"01 - A - 001 - Lenecy  Nodarse"</f>
        <v>01 - A - 001 - Lenecy  Nodarse</v>
      </c>
      <c r="F17533" t="str">
        <f>"AICE EURO HIST 1 AS"</f>
        <v>AICE EURO HIST 1 AS</v>
      </c>
      <c r="G17533" t="str">
        <f>"17-1741"</f>
        <v>17-1741</v>
      </c>
      <c r="H17533" t="str">
        <f>"A"</f>
        <v>A</v>
      </c>
    </row>
    <row r="17534" spans="1:8" x14ac:dyDescent="0.2">
      <c r="A17534" t="str">
        <f t="shared" si="6361"/>
        <v>0624040686</v>
      </c>
      <c r="B17534" t="str">
        <f t="shared" si="6362"/>
        <v>LUCAS</v>
      </c>
      <c r="C17534" t="str">
        <f t="shared" si="6360"/>
        <v>VELEZ</v>
      </c>
      <c r="D17534">
        <f>10</f>
        <v>10</v>
      </c>
      <c r="E17534" t="str">
        <f>"08 - S1 - B - 001 - Carol S Moore"</f>
        <v>08 - S1 - B - 001 - Carol S Moore</v>
      </c>
      <c r="F17534" t="str">
        <f>"PER CAR SCH DEV 1 LH"</f>
        <v>PER CAR SCH DEV 1 LH</v>
      </c>
      <c r="G17534" t="str">
        <f>"17-1733"</f>
        <v>17-1733</v>
      </c>
      <c r="H17534" t="str">
        <f>"B"</f>
        <v>B</v>
      </c>
    </row>
    <row r="17535" spans="1:8" x14ac:dyDescent="0.2">
      <c r="A17535" t="str">
        <f t="shared" ref="A17535:A17543" si="6363">"0617040770"</f>
        <v>0617040770</v>
      </c>
      <c r="B17535" t="str">
        <f t="shared" ref="B17535:B17543" si="6364">"MICHAEL"</f>
        <v>MICHAEL</v>
      </c>
      <c r="C17535" t="str">
        <f t="shared" si="6360"/>
        <v>VELEZ</v>
      </c>
      <c r="D17535" t="str">
        <f t="shared" ref="D17535:D17543" si="6365">"09"</f>
        <v>09</v>
      </c>
      <c r="E17535" t="str">
        <f>"04 - A - 101 - Chrystina M Marchionne"</f>
        <v>04 - A - 101 - Chrystina M Marchionne</v>
      </c>
      <c r="F17535" t="str">
        <f>"THEA CIN &amp; FILM LH"</f>
        <v>THEA CIN &amp; FILM LH</v>
      </c>
      <c r="G17535" t="str">
        <f>"05-520"</f>
        <v>05-520</v>
      </c>
      <c r="H17535" t="str">
        <f>"A"</f>
        <v>A</v>
      </c>
    </row>
    <row r="17536" spans="1:8" x14ac:dyDescent="0.2">
      <c r="A17536" t="str">
        <f t="shared" si="6363"/>
        <v>0617040770</v>
      </c>
      <c r="B17536" t="str">
        <f t="shared" si="6364"/>
        <v>MICHAEL</v>
      </c>
      <c r="C17536" t="str">
        <f t="shared" si="6360"/>
        <v>VELEZ</v>
      </c>
      <c r="D17536" t="str">
        <f t="shared" si="6365"/>
        <v>09</v>
      </c>
      <c r="E17536" t="str">
        <f>"06 - B - 105 - Cerine S Stewart"</f>
        <v>06 - B - 105 - Cerine S Stewart</v>
      </c>
      <c r="F17536" t="str">
        <f>"AICE ENG GEN PAPER 1"</f>
        <v>AICE ENG GEN PAPER 1</v>
      </c>
      <c r="G17536" t="str">
        <f>"17-1720"</f>
        <v>17-1720</v>
      </c>
      <c r="H17536" t="str">
        <f>"B"</f>
        <v>B</v>
      </c>
    </row>
    <row r="17537" spans="1:8" x14ac:dyDescent="0.2">
      <c r="A17537" t="str">
        <f t="shared" si="6363"/>
        <v>0617040770</v>
      </c>
      <c r="B17537" t="str">
        <f t="shared" si="6364"/>
        <v>MICHAEL</v>
      </c>
      <c r="C17537" t="str">
        <f t="shared" si="6360"/>
        <v>VELEZ</v>
      </c>
      <c r="D17537" t="str">
        <f t="shared" si="6365"/>
        <v>09</v>
      </c>
      <c r="E17537" t="str">
        <f>"03 - A - 103 - Samantha J Headley"</f>
        <v>03 - A - 103 - Samantha J Headley</v>
      </c>
      <c r="F17537" t="str">
        <f>"MARINE SCI 1 HON"</f>
        <v>MARINE SCI 1 HON</v>
      </c>
      <c r="G17537" t="str">
        <f>"21-2134"</f>
        <v>21-2134</v>
      </c>
      <c r="H17537" t="str">
        <f>"A"</f>
        <v>A</v>
      </c>
    </row>
    <row r="17538" spans="1:8" x14ac:dyDescent="0.2">
      <c r="A17538" t="str">
        <f t="shared" si="6363"/>
        <v>0617040770</v>
      </c>
      <c r="B17538" t="str">
        <f t="shared" si="6364"/>
        <v>MICHAEL</v>
      </c>
      <c r="C17538" t="str">
        <f t="shared" si="6360"/>
        <v>VELEZ</v>
      </c>
      <c r="D17538" t="str">
        <f t="shared" si="6365"/>
        <v>09</v>
      </c>
      <c r="E17538" t="str">
        <f>"02 - A - 108 - Rory T Sponsler"</f>
        <v>02 - A - 108 - Rory T Sponsler</v>
      </c>
      <c r="F17538" t="str">
        <f>"NC STUDY HALL 1"</f>
        <v>NC STUDY HALL 1</v>
      </c>
      <c r="G17538" t="str">
        <f>"17-1740"</f>
        <v>17-1740</v>
      </c>
      <c r="H17538" t="str">
        <f>"A"</f>
        <v>A</v>
      </c>
    </row>
    <row r="17539" spans="1:8" x14ac:dyDescent="0.2">
      <c r="A17539" t="str">
        <f t="shared" si="6363"/>
        <v>0617040770</v>
      </c>
      <c r="B17539" t="str">
        <f t="shared" si="6364"/>
        <v>MICHAEL</v>
      </c>
      <c r="C17539" t="str">
        <f t="shared" si="6360"/>
        <v>VELEZ</v>
      </c>
      <c r="D17539" t="str">
        <f t="shared" si="6365"/>
        <v>09</v>
      </c>
      <c r="E17539" t="str">
        <f>"02 - A - 102 - Eric  Lopapa"</f>
        <v>02 - A - 102 - Eric  Lopapa</v>
      </c>
      <c r="F17539" t="str">
        <f>"LANG THERAPY"</f>
        <v>LANG THERAPY</v>
      </c>
      <c r="G17539" t="str">
        <f>"21-2110"</f>
        <v>21-2110</v>
      </c>
      <c r="H17539" t="str">
        <f>"A"</f>
        <v>A</v>
      </c>
    </row>
    <row r="17540" spans="1:8" x14ac:dyDescent="0.2">
      <c r="A17540" t="str">
        <f t="shared" si="6363"/>
        <v>0617040770</v>
      </c>
      <c r="B17540" t="str">
        <f t="shared" si="6364"/>
        <v>MICHAEL</v>
      </c>
      <c r="C17540" t="str">
        <f t="shared" si="6360"/>
        <v>VELEZ</v>
      </c>
      <c r="D17540" t="str">
        <f t="shared" si="6365"/>
        <v>09</v>
      </c>
      <c r="E17540" t="str">
        <f>"07 - B - 101 - Jeanne M Bermudez"</f>
        <v>07 - B - 101 - Jeanne M Bermudez</v>
      </c>
      <c r="F17540" t="str">
        <f>"FOUND OF PROGRAM HON"</f>
        <v>FOUND OF PROGRAM HON</v>
      </c>
      <c r="G17540" t="str">
        <f>"21-2141"</f>
        <v>21-2141</v>
      </c>
      <c r="H17540" t="str">
        <f>"B"</f>
        <v>B</v>
      </c>
    </row>
    <row r="17541" spans="1:8" x14ac:dyDescent="0.2">
      <c r="A17541" t="str">
        <f t="shared" si="6363"/>
        <v>0617040770</v>
      </c>
      <c r="B17541" t="str">
        <f t="shared" si="6364"/>
        <v>MICHAEL</v>
      </c>
      <c r="C17541" t="str">
        <f t="shared" si="6360"/>
        <v>VELEZ</v>
      </c>
      <c r="D17541" t="str">
        <f t="shared" si="6365"/>
        <v>09</v>
      </c>
      <c r="E17541" t="str">
        <f>"05 - B - 104 - Maried P Ramos"</f>
        <v>05 - B - 104 - Maried P Ramos</v>
      </c>
      <c r="F17541" t="str">
        <f>"PRE-AICE MATH 2 IG"</f>
        <v>PRE-AICE MATH 2 IG</v>
      </c>
      <c r="G17541" t="str">
        <f>"21-2159"</f>
        <v>21-2159</v>
      </c>
      <c r="H17541" t="str">
        <f>"B"</f>
        <v>B</v>
      </c>
    </row>
    <row r="17542" spans="1:8" x14ac:dyDescent="0.2">
      <c r="A17542" t="str">
        <f t="shared" si="6363"/>
        <v>0617040770</v>
      </c>
      <c r="B17542" t="str">
        <f t="shared" si="6364"/>
        <v>MICHAEL</v>
      </c>
      <c r="C17542" t="str">
        <f t="shared" si="6360"/>
        <v>VELEZ</v>
      </c>
      <c r="D17542" t="str">
        <f t="shared" si="6365"/>
        <v>09</v>
      </c>
      <c r="E17542" t="str">
        <f>"01 - A - 101 - Rory T Sponsler"</f>
        <v>01 - A - 101 - Rory T Sponsler</v>
      </c>
      <c r="F17542" t="str">
        <f>"PRE-AICE WRLD HST IG"</f>
        <v>PRE-AICE WRLD HST IG</v>
      </c>
      <c r="G17542" t="str">
        <f>"17-1740"</f>
        <v>17-1740</v>
      </c>
      <c r="H17542" t="str">
        <f>"A"</f>
        <v>A</v>
      </c>
    </row>
    <row r="17543" spans="1:8" x14ac:dyDescent="0.2">
      <c r="A17543" t="str">
        <f t="shared" si="6363"/>
        <v>0617040770</v>
      </c>
      <c r="B17543" t="str">
        <f t="shared" si="6364"/>
        <v>MICHAEL</v>
      </c>
      <c r="C17543" t="str">
        <f t="shared" si="6360"/>
        <v>VELEZ</v>
      </c>
      <c r="D17543" t="str">
        <f t="shared" si="6365"/>
        <v>09</v>
      </c>
      <c r="E17543" t="str">
        <f>"08 - B - 202 - Dorothy D Moore"</f>
        <v>08 - B - 202 - Dorothy D Moore</v>
      </c>
      <c r="F17543" t="str">
        <f>"HEALTH SCI 1/A&amp;P HON"</f>
        <v>HEALTH SCI 1/A&amp;P HON</v>
      </c>
      <c r="G17543" t="str">
        <f>"08-803"</f>
        <v>08-803</v>
      </c>
      <c r="H17543" t="str">
        <f>"B"</f>
        <v>B</v>
      </c>
    </row>
    <row r="17544" spans="1:8" x14ac:dyDescent="0.2">
      <c r="A17544" t="str">
        <f t="shared" ref="A17544:A17551" si="6366">"0615114197"</f>
        <v>0615114197</v>
      </c>
      <c r="B17544" t="str">
        <f t="shared" ref="B17544:B17551" si="6367">"JAIDEN"</f>
        <v>JAIDEN</v>
      </c>
      <c r="C17544" t="str">
        <f t="shared" ref="C17544:C17551" si="6368">"VENTURA"</f>
        <v>VENTURA</v>
      </c>
      <c r="D17544">
        <f>10</f>
        <v>10</v>
      </c>
      <c r="E17544" t="str">
        <f>"04 - A - 102 - Byron G Montenegro"</f>
        <v>04 - A - 102 - Byron G Montenegro</v>
      </c>
      <c r="F17544" t="str">
        <f>"AICE MARINE SCI 1 AS"</f>
        <v>AICE MARINE SCI 1 AS</v>
      </c>
      <c r="G17544" t="str">
        <f>"21-2144"</f>
        <v>21-2144</v>
      </c>
      <c r="H17544" t="str">
        <f>"A"</f>
        <v>A</v>
      </c>
    </row>
    <row r="17545" spans="1:8" x14ac:dyDescent="0.2">
      <c r="A17545" t="str">
        <f t="shared" si="6366"/>
        <v>0615114197</v>
      </c>
      <c r="B17545" t="str">
        <f t="shared" si="6367"/>
        <v>JAIDEN</v>
      </c>
      <c r="C17545" t="str">
        <f t="shared" si="6368"/>
        <v>VENTURA</v>
      </c>
      <c r="D17545">
        <f>10</f>
        <v>10</v>
      </c>
      <c r="E17545" t="str">
        <f>"06 - B - 119 - Nikiel  Nesbeth"</f>
        <v>06 - B - 119 - Nikiel  Nesbeth</v>
      </c>
      <c r="F17545" t="str">
        <f>"NC STUDY HALL 1"</f>
        <v>NC STUDY HALL 1</v>
      </c>
      <c r="G17545" t="str">
        <f>"17-1705"</f>
        <v>17-1705</v>
      </c>
      <c r="H17545" t="str">
        <f>"B"</f>
        <v>B</v>
      </c>
    </row>
    <row r="17546" spans="1:8" x14ac:dyDescent="0.2">
      <c r="A17546" t="str">
        <f t="shared" si="6366"/>
        <v>0615114197</v>
      </c>
      <c r="B17546" t="str">
        <f t="shared" si="6367"/>
        <v>JAIDEN</v>
      </c>
      <c r="C17546" t="str">
        <f t="shared" si="6368"/>
        <v>VENTURA</v>
      </c>
      <c r="D17546">
        <f>10</f>
        <v>10</v>
      </c>
      <c r="E17546" t="str">
        <f>"03 - A - 201 - Joe  Kilpatrick Jr"</f>
        <v>03 - A - 201 - Joe  Kilpatrick Jr</v>
      </c>
      <c r="F17546" t="str">
        <f>"PRE-AICE SPAN 2 IG"</f>
        <v>PRE-AICE SPAN 2 IG</v>
      </c>
      <c r="G17546" t="str">
        <f>"09-912"</f>
        <v>09-912</v>
      </c>
      <c r="H17546" t="str">
        <f>"A"</f>
        <v>A</v>
      </c>
    </row>
    <row r="17547" spans="1:8" x14ac:dyDescent="0.2">
      <c r="A17547" t="str">
        <f t="shared" si="6366"/>
        <v>0615114197</v>
      </c>
      <c r="B17547" t="str">
        <f t="shared" si="6367"/>
        <v>JAIDEN</v>
      </c>
      <c r="C17547" t="str">
        <f t="shared" si="6368"/>
        <v>VENTURA</v>
      </c>
      <c r="D17547">
        <f>10</f>
        <v>10</v>
      </c>
      <c r="E17547" t="str">
        <f>"02 - A - 104 - Scott A Dethloff"</f>
        <v>02 - A - 104 - Scott A Dethloff</v>
      </c>
      <c r="F17547" t="str">
        <f>"CHEMISTRY 1 HON"</f>
        <v>CHEMISTRY 1 HON</v>
      </c>
      <c r="G17547" t="str">
        <f>"08-812"</f>
        <v>08-812</v>
      </c>
      <c r="H17547" t="str">
        <f>"A"</f>
        <v>A</v>
      </c>
    </row>
    <row r="17548" spans="1:8" x14ac:dyDescent="0.2">
      <c r="A17548" t="str">
        <f t="shared" si="6366"/>
        <v>0615114197</v>
      </c>
      <c r="B17548" t="str">
        <f t="shared" si="6367"/>
        <v>JAIDEN</v>
      </c>
      <c r="C17548" t="str">
        <f t="shared" si="6368"/>
        <v>VENTURA</v>
      </c>
      <c r="D17548">
        <f>10</f>
        <v>10</v>
      </c>
      <c r="E17548" t="str">
        <f>"07 - B - 102 - Lourivaldo  Da Silva"</f>
        <v>07 - B - 102 - Lourivaldo  Da Silva</v>
      </c>
      <c r="F17548" t="str">
        <f>"ALGEBRA 2 HON"</f>
        <v>ALGEBRA 2 HON</v>
      </c>
      <c r="G17548" t="str">
        <f>"20-2079"</f>
        <v>20-2079</v>
      </c>
      <c r="H17548" t="str">
        <f>"B"</f>
        <v>B</v>
      </c>
    </row>
    <row r="17549" spans="1:8" x14ac:dyDescent="0.2">
      <c r="A17549" t="str">
        <f t="shared" si="6366"/>
        <v>0615114197</v>
      </c>
      <c r="B17549" t="str">
        <f t="shared" si="6367"/>
        <v>JAIDEN</v>
      </c>
      <c r="C17549" t="str">
        <f t="shared" si="6368"/>
        <v>VENTURA</v>
      </c>
      <c r="D17549">
        <f>10</f>
        <v>10</v>
      </c>
      <c r="E17549" t="str">
        <f>"05 - B - 106 - Courtney E Hambright"</f>
        <v>05 - B - 106 - Courtney E Hambright</v>
      </c>
      <c r="F17549" t="str">
        <f>"AICE ENG LANG AS"</f>
        <v>AICE ENG LANG AS</v>
      </c>
      <c r="G17549" t="str">
        <f>"17-1711"</f>
        <v>17-1711</v>
      </c>
      <c r="H17549" t="str">
        <f>"B"</f>
        <v>B</v>
      </c>
    </row>
    <row r="17550" spans="1:8" x14ac:dyDescent="0.2">
      <c r="A17550" t="str">
        <f t="shared" si="6366"/>
        <v>0615114197</v>
      </c>
      <c r="B17550" t="str">
        <f t="shared" si="6367"/>
        <v>JAIDEN</v>
      </c>
      <c r="C17550" t="str">
        <f t="shared" si="6368"/>
        <v>VENTURA</v>
      </c>
      <c r="D17550">
        <f>10</f>
        <v>10</v>
      </c>
      <c r="E17550" t="str">
        <f>"01 - S1 - A - 101 - Carol S Moore"</f>
        <v>01 - S1 - A - 101 - Carol S Moore</v>
      </c>
      <c r="F17550" t="str">
        <f>"PERS FIN &amp; MON MGT H"</f>
        <v>PERS FIN &amp; MON MGT H</v>
      </c>
      <c r="G17550" t="str">
        <f>"17-1733"</f>
        <v>17-1733</v>
      </c>
      <c r="H17550" t="str">
        <f>"A"</f>
        <v>A</v>
      </c>
    </row>
    <row r="17551" spans="1:8" x14ac:dyDescent="0.2">
      <c r="A17551" t="str">
        <f t="shared" si="6366"/>
        <v>0615114197</v>
      </c>
      <c r="B17551" t="str">
        <f t="shared" si="6367"/>
        <v>JAIDEN</v>
      </c>
      <c r="C17551" t="str">
        <f t="shared" si="6368"/>
        <v>VENTURA</v>
      </c>
      <c r="D17551">
        <f>10</f>
        <v>10</v>
      </c>
      <c r="E17551" t="str">
        <f>"08 - B - 201 - Lenecy  Nodarse"</f>
        <v>08 - B - 201 - Lenecy  Nodarse</v>
      </c>
      <c r="F17551" t="str">
        <f>"AICE EURO HIST 1 AS"</f>
        <v>AICE EURO HIST 1 AS</v>
      </c>
      <c r="G17551" t="str">
        <f>"17-1741"</f>
        <v>17-1741</v>
      </c>
      <c r="H17551" t="str">
        <f>"B"</f>
        <v>B</v>
      </c>
    </row>
    <row r="17552" spans="1:8" x14ac:dyDescent="0.2">
      <c r="A17552" t="str">
        <f t="shared" ref="A17552:A17559" si="6369">"0616133203"</f>
        <v>0616133203</v>
      </c>
      <c r="B17552" t="str">
        <f t="shared" ref="B17552:B17559" si="6370">"ADALYSE"</f>
        <v>ADALYSE</v>
      </c>
      <c r="C17552" t="str">
        <f t="shared" ref="C17552:C17559" si="6371">"VERDEJO"</f>
        <v>VERDEJO</v>
      </c>
      <c r="D17552">
        <f>10</f>
        <v>10</v>
      </c>
      <c r="E17552" t="str">
        <f>"04 - A - 205 - Jacqueline R Morphet"</f>
        <v>04 - A - 205 - Jacqueline R Morphet</v>
      </c>
      <c r="F17552" t="str">
        <f>"PHYSICS 1 HON"</f>
        <v>PHYSICS 1 HON</v>
      </c>
      <c r="G17552" t="str">
        <f>"21-2138"</f>
        <v>21-2138</v>
      </c>
      <c r="H17552" t="str">
        <f>"A"</f>
        <v>A</v>
      </c>
    </row>
    <row r="17553" spans="1:8" x14ac:dyDescent="0.2">
      <c r="A17553" t="str">
        <f t="shared" si="6369"/>
        <v>0616133203</v>
      </c>
      <c r="B17553" t="str">
        <f t="shared" si="6370"/>
        <v>ADALYSE</v>
      </c>
      <c r="C17553" t="str">
        <f t="shared" si="6371"/>
        <v>VERDEJO</v>
      </c>
      <c r="D17553">
        <f>10</f>
        <v>10</v>
      </c>
      <c r="E17553" t="str">
        <f>"06 - B - 116 - Jordana K Hass"</f>
        <v>06 - B - 116 - Jordana K Hass</v>
      </c>
      <c r="F17553" t="str">
        <f>"NC STUDY HALL 1"</f>
        <v>NC STUDY HALL 1</v>
      </c>
      <c r="G17553" t="str">
        <f>"08-807"</f>
        <v>08-807</v>
      </c>
      <c r="H17553" t="str">
        <f>"B"</f>
        <v>B</v>
      </c>
    </row>
    <row r="17554" spans="1:8" x14ac:dyDescent="0.2">
      <c r="A17554" t="str">
        <f t="shared" si="6369"/>
        <v>0616133203</v>
      </c>
      <c r="B17554" t="str">
        <f t="shared" si="6370"/>
        <v>ADALYSE</v>
      </c>
      <c r="C17554" t="str">
        <f t="shared" si="6371"/>
        <v>VERDEJO</v>
      </c>
      <c r="D17554">
        <f>10</f>
        <v>10</v>
      </c>
      <c r="E17554" t="str">
        <f>"03 - A - 103 - Courtney E Hambright"</f>
        <v>03 - A - 103 - Courtney E Hambright</v>
      </c>
      <c r="F17554" t="str">
        <f>"AICE ENG LANG AS"</f>
        <v>AICE ENG LANG AS</v>
      </c>
      <c r="G17554" t="str">
        <f>"17-1711"</f>
        <v>17-1711</v>
      </c>
      <c r="H17554" t="str">
        <f>"A"</f>
        <v>A</v>
      </c>
    </row>
    <row r="17555" spans="1:8" x14ac:dyDescent="0.2">
      <c r="A17555" t="str">
        <f t="shared" si="6369"/>
        <v>0616133203</v>
      </c>
      <c r="B17555" t="str">
        <f t="shared" si="6370"/>
        <v>ADALYSE</v>
      </c>
      <c r="C17555" t="str">
        <f t="shared" si="6371"/>
        <v>VERDEJO</v>
      </c>
      <c r="D17555">
        <f>10</f>
        <v>10</v>
      </c>
      <c r="E17555" t="str">
        <f>"02 - A - 104 - Joe  Kilpatrick Jr"</f>
        <v>02 - A - 104 - Joe  Kilpatrick Jr</v>
      </c>
      <c r="F17555" t="str">
        <f>"PRE-AICE SPAN 2 IG"</f>
        <v>PRE-AICE SPAN 2 IG</v>
      </c>
      <c r="G17555" t="str">
        <f>"09-912"</f>
        <v>09-912</v>
      </c>
      <c r="H17555" t="str">
        <f>"A"</f>
        <v>A</v>
      </c>
    </row>
    <row r="17556" spans="1:8" x14ac:dyDescent="0.2">
      <c r="A17556" t="str">
        <f t="shared" si="6369"/>
        <v>0616133203</v>
      </c>
      <c r="B17556" t="str">
        <f t="shared" si="6370"/>
        <v>ADALYSE</v>
      </c>
      <c r="C17556" t="str">
        <f t="shared" si="6371"/>
        <v>VERDEJO</v>
      </c>
      <c r="D17556">
        <f>10</f>
        <v>10</v>
      </c>
      <c r="E17556" t="str">
        <f>"07 - B - 204 - Elizabeth Ellen  Moran"</f>
        <v>07 - B - 204 - Elizabeth Ellen  Moran</v>
      </c>
      <c r="F17556" t="str">
        <f>"AICE EURO HIST 1 AS"</f>
        <v>AICE EURO HIST 1 AS</v>
      </c>
      <c r="G17556" t="str">
        <f>"17-1752"</f>
        <v>17-1752</v>
      </c>
      <c r="H17556" t="str">
        <f>"B"</f>
        <v>B</v>
      </c>
    </row>
    <row r="17557" spans="1:8" x14ac:dyDescent="0.2">
      <c r="A17557" t="str">
        <f t="shared" si="6369"/>
        <v>0616133203</v>
      </c>
      <c r="B17557" t="str">
        <f t="shared" si="6370"/>
        <v>ADALYSE</v>
      </c>
      <c r="C17557" t="str">
        <f t="shared" si="6371"/>
        <v>VERDEJO</v>
      </c>
      <c r="D17557">
        <f>10</f>
        <v>10</v>
      </c>
      <c r="E17557" t="str">
        <f>"05 - B - 203 - Chrystina M Marchionne"</f>
        <v>05 - B - 203 - Chrystina M Marchionne</v>
      </c>
      <c r="F17557" t="str">
        <f>"AICE MEDIASTUDIES AS"</f>
        <v>AICE MEDIASTUDIES AS</v>
      </c>
      <c r="G17557" t="str">
        <f>"05-520"</f>
        <v>05-520</v>
      </c>
      <c r="H17557" t="str">
        <f>"B"</f>
        <v>B</v>
      </c>
    </row>
    <row r="17558" spans="1:8" x14ac:dyDescent="0.2">
      <c r="A17558" t="str">
        <f t="shared" si="6369"/>
        <v>0616133203</v>
      </c>
      <c r="B17558" t="str">
        <f t="shared" si="6370"/>
        <v>ADALYSE</v>
      </c>
      <c r="C17558" t="str">
        <f t="shared" si="6371"/>
        <v>VERDEJO</v>
      </c>
      <c r="D17558">
        <f>10</f>
        <v>10</v>
      </c>
      <c r="E17558" t="str">
        <f>"01 - A - 102 - Brook E Goren"</f>
        <v>01 - A - 102 - Brook E Goren</v>
      </c>
      <c r="F17558" t="str">
        <f>"PRE-AICE MATH 2 IG"</f>
        <v>PRE-AICE MATH 2 IG</v>
      </c>
      <c r="G17558" t="str">
        <f>"21-2158"</f>
        <v>21-2158</v>
      </c>
      <c r="H17558" t="str">
        <f>"A"</f>
        <v>A</v>
      </c>
    </row>
    <row r="17559" spans="1:8" x14ac:dyDescent="0.2">
      <c r="A17559" t="str">
        <f t="shared" si="6369"/>
        <v>0616133203</v>
      </c>
      <c r="B17559" t="str">
        <f t="shared" si="6370"/>
        <v>ADALYSE</v>
      </c>
      <c r="C17559" t="str">
        <f t="shared" si="6371"/>
        <v>VERDEJO</v>
      </c>
      <c r="D17559">
        <f>10</f>
        <v>10</v>
      </c>
      <c r="E17559" t="str">
        <f>"08 - B - 101 - Jordana K Hass"</f>
        <v>08 - B - 101 - Jordana K Hass</v>
      </c>
      <c r="F17559" t="str">
        <f>"AICE INFO TECH 1 AS"</f>
        <v>AICE INFO TECH 1 AS</v>
      </c>
      <c r="G17559" t="str">
        <f>"08-807"</f>
        <v>08-807</v>
      </c>
      <c r="H17559" t="str">
        <f>"B"</f>
        <v>B</v>
      </c>
    </row>
    <row r="17560" spans="1:8" x14ac:dyDescent="0.2">
      <c r="A17560" t="str">
        <f t="shared" ref="A17560:A17567" si="6372">"0615034372"</f>
        <v>0615034372</v>
      </c>
      <c r="B17560" t="str">
        <f t="shared" ref="B17560:B17567" si="6373">"ALTEISHA"</f>
        <v>ALTEISHA</v>
      </c>
      <c r="C17560" t="str">
        <f t="shared" ref="C17560:C17567" si="6374">"VERDUL"</f>
        <v>VERDUL</v>
      </c>
      <c r="D17560">
        <f>11</f>
        <v>11</v>
      </c>
      <c r="E17560" t="str">
        <f>"04 - A - 103 - Lisa  Quinn"</f>
        <v>04 - A - 103 - Lisa  Quinn</v>
      </c>
      <c r="F17560" t="str">
        <f>"ENG 3"</f>
        <v>ENG 3</v>
      </c>
      <c r="G17560" t="str">
        <f>"17-1725"</f>
        <v>17-1725</v>
      </c>
      <c r="H17560" t="str">
        <f>"A"</f>
        <v>A</v>
      </c>
    </row>
    <row r="17561" spans="1:8" x14ac:dyDescent="0.2">
      <c r="A17561" t="str">
        <f t="shared" si="6372"/>
        <v>0615034372</v>
      </c>
      <c r="B17561" t="str">
        <f t="shared" si="6373"/>
        <v>ALTEISHA</v>
      </c>
      <c r="C17561" t="str">
        <f t="shared" si="6374"/>
        <v>VERDUL</v>
      </c>
      <c r="D17561">
        <f>11</f>
        <v>11</v>
      </c>
      <c r="E17561" t="str">
        <f>"06 - B - 108 - Milca  Exantus"</f>
        <v>06 - B - 108 - Milca  Exantus</v>
      </c>
      <c r="F17561" t="str">
        <f>"MATH COLLEGE LIB ART"</f>
        <v>MATH COLLEGE LIB ART</v>
      </c>
      <c r="G17561" t="str">
        <f>"21-2145"</f>
        <v>21-2145</v>
      </c>
      <c r="H17561" t="str">
        <f>"B"</f>
        <v>B</v>
      </c>
    </row>
    <row r="17562" spans="1:8" x14ac:dyDescent="0.2">
      <c r="A17562" t="str">
        <f t="shared" si="6372"/>
        <v>0615034372</v>
      </c>
      <c r="B17562" t="str">
        <f t="shared" si="6373"/>
        <v>ALTEISHA</v>
      </c>
      <c r="C17562" t="str">
        <f t="shared" si="6374"/>
        <v>VERDUL</v>
      </c>
      <c r="D17562">
        <f>11</f>
        <v>11</v>
      </c>
      <c r="E17562" t="str">
        <f>"03 - A - 201 - Alejandro  Navarro"</f>
        <v>03 - A - 201 - Alejandro  Navarro</v>
      </c>
      <c r="F17562" t="str">
        <f>"BAND 2"</f>
        <v>BAND 2</v>
      </c>
      <c r="G17562" t="str">
        <f>"05-504"</f>
        <v>05-504</v>
      </c>
      <c r="H17562" t="str">
        <f>"A"</f>
        <v>A</v>
      </c>
    </row>
    <row r="17563" spans="1:8" x14ac:dyDescent="0.2">
      <c r="A17563" t="str">
        <f t="shared" si="6372"/>
        <v>0615034372</v>
      </c>
      <c r="B17563" t="str">
        <f t="shared" si="6373"/>
        <v>ALTEISHA</v>
      </c>
      <c r="C17563" t="str">
        <f t="shared" si="6374"/>
        <v>VERDUL</v>
      </c>
      <c r="D17563">
        <f>11</f>
        <v>11</v>
      </c>
      <c r="E17563" t="str">
        <f>"02 - A - 103 - Kelly N Panza"</f>
        <v>02 - A - 103 - Kelly N Panza</v>
      </c>
      <c r="F17563" t="str">
        <f>"NC STUDY HALL 1"</f>
        <v>NC STUDY HALL 1</v>
      </c>
      <c r="G17563" t="str">
        <f>"17-1753"</f>
        <v>17-1753</v>
      </c>
      <c r="H17563" t="str">
        <f>"A"</f>
        <v>A</v>
      </c>
    </row>
    <row r="17564" spans="1:8" x14ac:dyDescent="0.2">
      <c r="A17564" t="str">
        <f t="shared" si="6372"/>
        <v>0615034372</v>
      </c>
      <c r="B17564" t="str">
        <f t="shared" si="6373"/>
        <v>ALTEISHA</v>
      </c>
      <c r="C17564" t="str">
        <f t="shared" si="6374"/>
        <v>VERDUL</v>
      </c>
      <c r="D17564">
        <f>11</f>
        <v>11</v>
      </c>
      <c r="E17564" t="str">
        <f>"07 - B - 105 - Cliffon  Saurel"</f>
        <v>07 - B - 105 - Cliffon  Saurel</v>
      </c>
      <c r="F17564" t="str">
        <f>"PHYSICAL SCI"</f>
        <v>PHYSICAL SCI</v>
      </c>
      <c r="G17564" t="str">
        <f>"05-522"</f>
        <v>05-522</v>
      </c>
      <c r="H17564" t="str">
        <f>"B"</f>
        <v>B</v>
      </c>
    </row>
    <row r="17565" spans="1:8" x14ac:dyDescent="0.2">
      <c r="A17565" t="str">
        <f t="shared" si="6372"/>
        <v>0615034372</v>
      </c>
      <c r="B17565" t="str">
        <f t="shared" si="6373"/>
        <v>ALTEISHA</v>
      </c>
      <c r="C17565" t="str">
        <f t="shared" si="6374"/>
        <v>VERDUL</v>
      </c>
      <c r="D17565">
        <f>11</f>
        <v>11</v>
      </c>
      <c r="E17565" t="str">
        <f>"05 - B - 103 - Nahum  Saint-Preux"</f>
        <v>05 - B - 103 - Nahum  Saint-Preux</v>
      </c>
      <c r="F17565" t="str">
        <f>"INTENS READ 3"</f>
        <v>INTENS READ 3</v>
      </c>
      <c r="G17565" t="str">
        <f>"17-1712"</f>
        <v>17-1712</v>
      </c>
      <c r="H17565" t="str">
        <f>"B"</f>
        <v>B</v>
      </c>
    </row>
    <row r="17566" spans="1:8" x14ac:dyDescent="0.2">
      <c r="A17566" t="str">
        <f t="shared" si="6372"/>
        <v>0615034372</v>
      </c>
      <c r="B17566" t="str">
        <f t="shared" si="6373"/>
        <v>ALTEISHA</v>
      </c>
      <c r="C17566" t="str">
        <f t="shared" si="6374"/>
        <v>VERDUL</v>
      </c>
      <c r="D17566">
        <f>11</f>
        <v>11</v>
      </c>
      <c r="E17566" t="str">
        <f>"01 - A - 101 - Adam Marcus  Drucker"</f>
        <v>01 - A - 101 - Adam Marcus  Drucker</v>
      </c>
      <c r="F17566" t="str">
        <f>"HOPE-PE V"</f>
        <v>HOPE-PE V</v>
      </c>
      <c r="G17566" t="str">
        <f>"04-254"</f>
        <v>04-254</v>
      </c>
      <c r="H17566" t="str">
        <f>"A"</f>
        <v>A</v>
      </c>
    </row>
    <row r="17567" spans="1:8" x14ac:dyDescent="0.2">
      <c r="A17567" t="str">
        <f t="shared" si="6372"/>
        <v>0615034372</v>
      </c>
      <c r="B17567" t="str">
        <f t="shared" si="6373"/>
        <v>ALTEISHA</v>
      </c>
      <c r="C17567" t="str">
        <f t="shared" si="6374"/>
        <v>VERDUL</v>
      </c>
      <c r="D17567">
        <f>11</f>
        <v>11</v>
      </c>
      <c r="E17567" t="str">
        <f>"08 - B - 109 - Lauren N Logan"</f>
        <v>08 - B - 109 - Lauren N Logan</v>
      </c>
      <c r="F17567" t="str">
        <f>"US HISTORY"</f>
        <v>US HISTORY</v>
      </c>
      <c r="G17567" t="str">
        <f>"17-1754"</f>
        <v>17-1754</v>
      </c>
      <c r="H17567" t="str">
        <f>"B"</f>
        <v>B</v>
      </c>
    </row>
    <row r="17568" spans="1:8" x14ac:dyDescent="0.2">
      <c r="A17568" t="str">
        <f t="shared" ref="A17568:A17575" si="6375">"0614009980"</f>
        <v>0614009980</v>
      </c>
      <c r="B17568" t="str">
        <f t="shared" ref="B17568:B17575" si="6376">"ANGELA"</f>
        <v>ANGELA</v>
      </c>
      <c r="C17568" t="str">
        <f t="shared" ref="C17568:C17575" si="6377">"VERTINORD"</f>
        <v>VERTINORD</v>
      </c>
      <c r="D17568">
        <f>12</f>
        <v>12</v>
      </c>
      <c r="E17568" t="str">
        <f>"04 - A - 101 - Christa T Parisi"</f>
        <v>04 - A - 101 - Christa T Parisi</v>
      </c>
      <c r="F17568" t="str">
        <f>"DANCE TECHNQS 4 HON"</f>
        <v>DANCE TECHNQS 4 HON</v>
      </c>
      <c r="G17568" t="str">
        <f>"05-503"</f>
        <v>05-503</v>
      </c>
      <c r="H17568" t="str">
        <f>"A"</f>
        <v>A</v>
      </c>
    </row>
    <row r="17569" spans="1:8" x14ac:dyDescent="0.2">
      <c r="A17569" t="str">
        <f t="shared" si="6375"/>
        <v>0614009980</v>
      </c>
      <c r="B17569" t="str">
        <f t="shared" si="6376"/>
        <v>ANGELA</v>
      </c>
      <c r="C17569" t="str">
        <f t="shared" si="6377"/>
        <v>VERTINORD</v>
      </c>
      <c r="D17569">
        <f>12</f>
        <v>12</v>
      </c>
      <c r="E17569" t="str">
        <f>"06 - B - 102 - Ferrie J Arostique"</f>
        <v>06 - B - 102 - Ferrie J Arostique</v>
      </c>
      <c r="F17569" t="str">
        <f>"NC STUDY HALL 1"</f>
        <v>NC STUDY HALL 1</v>
      </c>
      <c r="G17569" t="str">
        <f>"21-2139"</f>
        <v>21-2139</v>
      </c>
      <c r="H17569" t="str">
        <f>"B"</f>
        <v>B</v>
      </c>
    </row>
    <row r="17570" spans="1:8" x14ac:dyDescent="0.2">
      <c r="A17570" t="str">
        <f t="shared" si="6375"/>
        <v>0614009980</v>
      </c>
      <c r="B17570" t="str">
        <f t="shared" si="6376"/>
        <v>ANGELA</v>
      </c>
      <c r="C17570" t="str">
        <f t="shared" si="6377"/>
        <v>VERTINORD</v>
      </c>
      <c r="D17570">
        <f>12</f>
        <v>12</v>
      </c>
      <c r="E17570" t="str">
        <f>"03 - A - 204 - Norayda D Suarez"</f>
        <v>03 - A - 204 - Norayda D Suarez</v>
      </c>
      <c r="F17570" t="str">
        <f>"ANAT PHYSIO HON"</f>
        <v>ANAT PHYSIO HON</v>
      </c>
      <c r="G17570" t="str">
        <f>"21-2144"</f>
        <v>21-2144</v>
      </c>
      <c r="H17570" t="str">
        <f>"A"</f>
        <v>A</v>
      </c>
    </row>
    <row r="17571" spans="1:8" x14ac:dyDescent="0.2">
      <c r="A17571" t="str">
        <f t="shared" si="6375"/>
        <v>0614009980</v>
      </c>
      <c r="B17571" t="str">
        <f t="shared" si="6376"/>
        <v>ANGELA</v>
      </c>
      <c r="C17571" t="str">
        <f t="shared" si="6377"/>
        <v>VERTINORD</v>
      </c>
      <c r="D17571">
        <f>12</f>
        <v>12</v>
      </c>
      <c r="E17571" t="str">
        <f>"02 - A - 107 - Tina M Jaramillo"</f>
        <v>02 - A - 107 - Tina M Jaramillo</v>
      </c>
      <c r="F17571" t="str">
        <f>"AP ENG LIT COMPO"</f>
        <v>AP ENG LIT COMPO</v>
      </c>
      <c r="G17571" t="str">
        <f>"17-1706"</f>
        <v>17-1706</v>
      </c>
      <c r="H17571" t="str">
        <f>"A"</f>
        <v>A</v>
      </c>
    </row>
    <row r="17572" spans="1:8" x14ac:dyDescent="0.2">
      <c r="A17572" t="str">
        <f t="shared" si="6375"/>
        <v>0614009980</v>
      </c>
      <c r="B17572" t="str">
        <f t="shared" si="6376"/>
        <v>ANGELA</v>
      </c>
      <c r="C17572" t="str">
        <f t="shared" si="6377"/>
        <v>VERTINORD</v>
      </c>
      <c r="D17572">
        <f>12</f>
        <v>12</v>
      </c>
      <c r="E17572" t="str">
        <f>"07 - S1 - B - 102 - Barbara L Segal"</f>
        <v>07 - S1 - B - 102 - Barbara L Segal</v>
      </c>
      <c r="F17572" t="str">
        <f>"AP US GOVT/POL"</f>
        <v>AP US GOVT/POL</v>
      </c>
      <c r="G17572" t="str">
        <f>"17-1742"</f>
        <v>17-1742</v>
      </c>
      <c r="H17572" t="str">
        <f>"B"</f>
        <v>B</v>
      </c>
    </row>
    <row r="17573" spans="1:8" x14ac:dyDescent="0.2">
      <c r="A17573" t="str">
        <f t="shared" si="6375"/>
        <v>0614009980</v>
      </c>
      <c r="B17573" t="str">
        <f t="shared" si="6376"/>
        <v>ANGELA</v>
      </c>
      <c r="C17573" t="str">
        <f t="shared" si="6377"/>
        <v>VERTINORD</v>
      </c>
      <c r="D17573">
        <f>12</f>
        <v>12</v>
      </c>
      <c r="E17573" t="str">
        <f>"05 - B - 001 - Stefanie S Scher"</f>
        <v>05 - B - 001 - Stefanie S Scher</v>
      </c>
      <c r="F17573" t="str">
        <f>"AICE PSYCH 1 AS"</f>
        <v>AICE PSYCH 1 AS</v>
      </c>
      <c r="G17573" t="str">
        <f>"17-1735"</f>
        <v>17-1735</v>
      </c>
      <c r="H17573" t="str">
        <f>"B"</f>
        <v>B</v>
      </c>
    </row>
    <row r="17574" spans="1:8" x14ac:dyDescent="0.2">
      <c r="A17574" t="str">
        <f t="shared" si="6375"/>
        <v>0614009980</v>
      </c>
      <c r="B17574" t="str">
        <f t="shared" si="6376"/>
        <v>ANGELA</v>
      </c>
      <c r="C17574" t="str">
        <f t="shared" si="6377"/>
        <v>VERTINORD</v>
      </c>
      <c r="D17574">
        <f>12</f>
        <v>12</v>
      </c>
      <c r="E17574" t="str">
        <f>"01 - A - 101 - Thomas G Handwerg"</f>
        <v>01 - A - 101 - Thomas G Handwerg</v>
      </c>
      <c r="F17574" t="str">
        <f>"PROB STAT W/APPS HON"</f>
        <v>PROB STAT W/APPS HON</v>
      </c>
      <c r="G17574" t="str">
        <f>"21-2146"</f>
        <v>21-2146</v>
      </c>
      <c r="H17574" t="str">
        <f>"A"</f>
        <v>A</v>
      </c>
    </row>
    <row r="17575" spans="1:8" x14ac:dyDescent="0.2">
      <c r="A17575" t="str">
        <f t="shared" si="6375"/>
        <v>0614009980</v>
      </c>
      <c r="B17575" t="str">
        <f t="shared" si="6376"/>
        <v>ANGELA</v>
      </c>
      <c r="C17575" t="str">
        <f t="shared" si="6377"/>
        <v>VERTINORD</v>
      </c>
      <c r="D17575">
        <f>12</f>
        <v>12</v>
      </c>
      <c r="E17575" t="str">
        <f>"08 - B - 201 - Vanessa J Liburd"</f>
        <v>08 - B - 201 - Vanessa J Liburd</v>
      </c>
      <c r="F17575" t="str">
        <f>"FRENCH 3 HON"</f>
        <v>FRENCH 3 HON</v>
      </c>
      <c r="G17575" t="str">
        <f>"05-519"</f>
        <v>05-519</v>
      </c>
      <c r="H17575" t="str">
        <f>"B"</f>
        <v>B</v>
      </c>
    </row>
    <row r="17576" spans="1:8" x14ac:dyDescent="0.2">
      <c r="A17576" t="str">
        <f t="shared" ref="A17576:A17583" si="6378">"0611132619"</f>
        <v>0611132619</v>
      </c>
      <c r="B17576" t="str">
        <f t="shared" ref="B17576:B17583" si="6379">"ALEXANDRA"</f>
        <v>ALEXANDRA</v>
      </c>
      <c r="C17576" t="str">
        <f t="shared" ref="C17576:C17583" si="6380">"VIELE"</f>
        <v>VIELE</v>
      </c>
      <c r="D17576">
        <f>12</f>
        <v>12</v>
      </c>
      <c r="E17576" t="str">
        <f>"04 - A - 101 - Thomas G Handwerg"</f>
        <v>04 - A - 101 - Thomas G Handwerg</v>
      </c>
      <c r="F17576" t="str">
        <f>"MATH COLL ALGEBRA"</f>
        <v>MATH COLL ALGEBRA</v>
      </c>
      <c r="G17576" t="str">
        <f>"21-2146"</f>
        <v>21-2146</v>
      </c>
      <c r="H17576" t="str">
        <f>"A"</f>
        <v>A</v>
      </c>
    </row>
    <row r="17577" spans="1:8" x14ac:dyDescent="0.2">
      <c r="A17577" t="str">
        <f t="shared" si="6378"/>
        <v>0611132619</v>
      </c>
      <c r="B17577" t="str">
        <f t="shared" si="6379"/>
        <v>ALEXANDRA</v>
      </c>
      <c r="C17577" t="str">
        <f t="shared" si="6380"/>
        <v>VIELE</v>
      </c>
      <c r="D17577">
        <f>12</f>
        <v>12</v>
      </c>
      <c r="E17577" t="str">
        <f>"06 - B - 103 - Stefanie S Scher"</f>
        <v>06 - B - 103 - Stefanie S Scher</v>
      </c>
      <c r="F17577" t="str">
        <f>"NC STUDY HALL 1"</f>
        <v>NC STUDY HALL 1</v>
      </c>
      <c r="G17577" t="str">
        <f>"17-1735"</f>
        <v>17-1735</v>
      </c>
      <c r="H17577" t="str">
        <f>"B"</f>
        <v>B</v>
      </c>
    </row>
    <row r="17578" spans="1:8" x14ac:dyDescent="0.2">
      <c r="A17578" t="str">
        <f t="shared" si="6378"/>
        <v>0611132619</v>
      </c>
      <c r="B17578" t="str">
        <f t="shared" si="6379"/>
        <v>ALEXANDRA</v>
      </c>
      <c r="C17578" t="str">
        <f t="shared" si="6380"/>
        <v>VIELE</v>
      </c>
      <c r="D17578">
        <f>12</f>
        <v>12</v>
      </c>
      <c r="E17578" t="str">
        <f>"03 - A - 103 - Samantha J Headley"</f>
        <v>03 - A - 103 - Samantha J Headley</v>
      </c>
      <c r="F17578" t="str">
        <f>"MARINE SCI 1 HON"</f>
        <v>MARINE SCI 1 HON</v>
      </c>
      <c r="G17578" t="str">
        <f>"21-2134"</f>
        <v>21-2134</v>
      </c>
      <c r="H17578" t="str">
        <f>"A"</f>
        <v>A</v>
      </c>
    </row>
    <row r="17579" spans="1:8" x14ac:dyDescent="0.2">
      <c r="A17579" t="str">
        <f t="shared" si="6378"/>
        <v>0611132619</v>
      </c>
      <c r="B17579" t="str">
        <f t="shared" si="6379"/>
        <v>ALEXANDRA</v>
      </c>
      <c r="C17579" t="str">
        <f t="shared" si="6380"/>
        <v>VIELE</v>
      </c>
      <c r="D17579">
        <f>12</f>
        <v>12</v>
      </c>
      <c r="E17579" t="str">
        <f>"02 - S1 - A - 104 - Robert O Burger"</f>
        <v>02 - S1 - A - 104 - Robert O Burger</v>
      </c>
      <c r="F17579" t="str">
        <f>"US GOVT"</f>
        <v>US GOVT</v>
      </c>
      <c r="G17579" t="str">
        <f>"17-1755"</f>
        <v>17-1755</v>
      </c>
      <c r="H17579" t="str">
        <f>"A"</f>
        <v>A</v>
      </c>
    </row>
    <row r="17580" spans="1:8" x14ac:dyDescent="0.2">
      <c r="A17580" t="str">
        <f t="shared" si="6378"/>
        <v>0611132619</v>
      </c>
      <c r="B17580" t="str">
        <f t="shared" si="6379"/>
        <v>ALEXANDRA</v>
      </c>
      <c r="C17580" t="str">
        <f t="shared" si="6380"/>
        <v>VIELE</v>
      </c>
      <c r="D17580">
        <f>12</f>
        <v>12</v>
      </c>
      <c r="E17580" t="str">
        <f>"07 - S1 - B - 107 - Richard E Dunbar Iii"</f>
        <v>07 - S1 - B - 107 - Richard E Dunbar Iii</v>
      </c>
      <c r="F17580" t="str">
        <f>"WEIGHT TRAIN 1"</f>
        <v>WEIGHT TRAIN 1</v>
      </c>
      <c r="G17580" t="str">
        <f>"05-501"</f>
        <v>05-501</v>
      </c>
      <c r="H17580" t="str">
        <f>"B"</f>
        <v>B</v>
      </c>
    </row>
    <row r="17581" spans="1:8" x14ac:dyDescent="0.2">
      <c r="A17581" t="str">
        <f t="shared" si="6378"/>
        <v>0611132619</v>
      </c>
      <c r="B17581" t="str">
        <f t="shared" si="6379"/>
        <v>ALEXANDRA</v>
      </c>
      <c r="C17581" t="str">
        <f t="shared" si="6380"/>
        <v>VIELE</v>
      </c>
      <c r="D17581">
        <f>12</f>
        <v>12</v>
      </c>
      <c r="E17581" t="str">
        <f>"05 - B - 101 - Angela S Adeshina-Morrison"</f>
        <v>05 - B - 101 - Angela S Adeshina-Morrison</v>
      </c>
      <c r="F17581" t="str">
        <f>"MKT MANAGEMENT LH"</f>
        <v>MKT MANAGEMENT LH</v>
      </c>
      <c r="G17581" t="str">
        <f>"05-518"</f>
        <v>05-518</v>
      </c>
      <c r="H17581" t="str">
        <f>"B"</f>
        <v>B</v>
      </c>
    </row>
    <row r="17582" spans="1:8" x14ac:dyDescent="0.2">
      <c r="A17582" t="str">
        <f t="shared" si="6378"/>
        <v>0611132619</v>
      </c>
      <c r="B17582" t="str">
        <f t="shared" si="6379"/>
        <v>ALEXANDRA</v>
      </c>
      <c r="C17582" t="str">
        <f t="shared" si="6380"/>
        <v>VIELE</v>
      </c>
      <c r="D17582">
        <f>12</f>
        <v>12</v>
      </c>
      <c r="E17582" t="str">
        <f>"01 - A - 103 - Robyn L Trainer"</f>
        <v>01 - A - 103 - Robyn L Trainer</v>
      </c>
      <c r="F17582" t="str">
        <f>"ENG 4"</f>
        <v>ENG 4</v>
      </c>
      <c r="G17582" t="str">
        <f>"17-1734"</f>
        <v>17-1734</v>
      </c>
      <c r="H17582" t="str">
        <f>"A"</f>
        <v>A</v>
      </c>
    </row>
    <row r="17583" spans="1:8" x14ac:dyDescent="0.2">
      <c r="A17583" t="str">
        <f t="shared" si="6378"/>
        <v>0611132619</v>
      </c>
      <c r="B17583" t="str">
        <f t="shared" si="6379"/>
        <v>ALEXANDRA</v>
      </c>
      <c r="C17583" t="str">
        <f t="shared" si="6380"/>
        <v>VIELE</v>
      </c>
      <c r="D17583">
        <f>12</f>
        <v>12</v>
      </c>
      <c r="E17583" t="str">
        <f>"08 - B - 001 - Chrystina M Marchionne"</f>
        <v>08 - B - 001 - Chrystina M Marchionne</v>
      </c>
      <c r="F17583" t="str">
        <f>"JOURN 1 (YB) LH"</f>
        <v>JOURN 1 (YB) LH</v>
      </c>
      <c r="G17583" t="str">
        <f>"05-520"</f>
        <v>05-520</v>
      </c>
      <c r="H17583" t="str">
        <f>"B"</f>
        <v>B</v>
      </c>
    </row>
    <row r="17584" spans="1:8" x14ac:dyDescent="0.2">
      <c r="A17584" t="str">
        <f t="shared" ref="A17584:A17591" si="6381">"0615145797"</f>
        <v>0615145797</v>
      </c>
      <c r="B17584" t="str">
        <f t="shared" ref="B17584:B17591" si="6382">"MALEAH"</f>
        <v>MALEAH</v>
      </c>
      <c r="C17584" t="str">
        <f t="shared" ref="C17584:C17591" si="6383">"VILBRUN"</f>
        <v>VILBRUN</v>
      </c>
      <c r="D17584">
        <f>10</f>
        <v>10</v>
      </c>
      <c r="E17584" t="str">
        <f>"04 - A - 102 - Fernando  Vega-Cid"</f>
        <v>04 - A - 102 - Fernando  Vega-Cid</v>
      </c>
      <c r="F17584" t="str">
        <f>"PRE-CALCULUS HON"</f>
        <v>PRE-CALCULUS HON</v>
      </c>
      <c r="G17584" t="str">
        <f>"21-2163"</f>
        <v>21-2163</v>
      </c>
      <c r="H17584" t="str">
        <f>"A"</f>
        <v>A</v>
      </c>
    </row>
    <row r="17585" spans="1:8" x14ac:dyDescent="0.2">
      <c r="A17585" t="str">
        <f t="shared" si="6381"/>
        <v>0615145797</v>
      </c>
      <c r="B17585" t="str">
        <f t="shared" si="6382"/>
        <v>MALEAH</v>
      </c>
      <c r="C17585" t="str">
        <f t="shared" si="6383"/>
        <v>VILBRUN</v>
      </c>
      <c r="D17585">
        <f>10</f>
        <v>10</v>
      </c>
      <c r="E17585" t="str">
        <f>"06 - B - 112 - Tina M Jaramillo"</f>
        <v>06 - B - 112 - Tina M Jaramillo</v>
      </c>
      <c r="F17585" t="str">
        <f>"NC STUDY HALL 1"</f>
        <v>NC STUDY HALL 1</v>
      </c>
      <c r="G17585" t="str">
        <f>"17-1706"</f>
        <v>17-1706</v>
      </c>
      <c r="H17585" t="str">
        <f>"B"</f>
        <v>B</v>
      </c>
    </row>
    <row r="17586" spans="1:8" x14ac:dyDescent="0.2">
      <c r="A17586" t="str">
        <f t="shared" si="6381"/>
        <v>0615145797</v>
      </c>
      <c r="B17586" t="str">
        <f t="shared" si="6382"/>
        <v>MALEAH</v>
      </c>
      <c r="C17586" t="str">
        <f t="shared" si="6383"/>
        <v>VILBRUN</v>
      </c>
      <c r="D17586">
        <f>10</f>
        <v>10</v>
      </c>
      <c r="E17586" t="str">
        <f>"03 - S1 - A - 101 - Daniel S Katz"</f>
        <v>03 - S1 - A - 101 - Daniel S Katz</v>
      </c>
      <c r="F17586" t="str">
        <f>"COURT PROCED"</f>
        <v>COURT PROCED</v>
      </c>
      <c r="G17586" t="str">
        <f>"21-2156"</f>
        <v>21-2156</v>
      </c>
      <c r="H17586" t="str">
        <f>"A"</f>
        <v>A</v>
      </c>
    </row>
    <row r="17587" spans="1:8" x14ac:dyDescent="0.2">
      <c r="A17587" t="str">
        <f t="shared" si="6381"/>
        <v>0615145797</v>
      </c>
      <c r="B17587" t="str">
        <f t="shared" si="6382"/>
        <v>MALEAH</v>
      </c>
      <c r="C17587" t="str">
        <f t="shared" si="6383"/>
        <v>VILBRUN</v>
      </c>
      <c r="D17587">
        <f>10</f>
        <v>10</v>
      </c>
      <c r="E17587" t="str">
        <f>"02 - A - 104 - Scott A Dethloff"</f>
        <v>02 - A - 104 - Scott A Dethloff</v>
      </c>
      <c r="F17587" t="str">
        <f>"CHEMISTRY 1 HON"</f>
        <v>CHEMISTRY 1 HON</v>
      </c>
      <c r="G17587" t="str">
        <f>"08-812"</f>
        <v>08-812</v>
      </c>
      <c r="H17587" t="str">
        <f>"A"</f>
        <v>A</v>
      </c>
    </row>
    <row r="17588" spans="1:8" x14ac:dyDescent="0.2">
      <c r="A17588" t="str">
        <f t="shared" si="6381"/>
        <v>0615145797</v>
      </c>
      <c r="B17588" t="str">
        <f t="shared" si="6382"/>
        <v>MALEAH</v>
      </c>
      <c r="C17588" t="str">
        <f t="shared" si="6383"/>
        <v>VILBRUN</v>
      </c>
      <c r="D17588">
        <f>10</f>
        <v>10</v>
      </c>
      <c r="E17588" t="str">
        <f>"07 - B - 204 - Elizabeth Ellen  Moran"</f>
        <v>07 - B - 204 - Elizabeth Ellen  Moran</v>
      </c>
      <c r="F17588" t="str">
        <f>"AICE EURO HIST 1 AS"</f>
        <v>AICE EURO HIST 1 AS</v>
      </c>
      <c r="G17588" t="str">
        <f>"17-1752"</f>
        <v>17-1752</v>
      </c>
      <c r="H17588" t="str">
        <f>"B"</f>
        <v>B</v>
      </c>
    </row>
    <row r="17589" spans="1:8" x14ac:dyDescent="0.2">
      <c r="A17589" t="str">
        <f t="shared" si="6381"/>
        <v>0615145797</v>
      </c>
      <c r="B17589" t="str">
        <f t="shared" si="6382"/>
        <v>MALEAH</v>
      </c>
      <c r="C17589" t="str">
        <f t="shared" si="6383"/>
        <v>VILBRUN</v>
      </c>
      <c r="D17589">
        <f>10</f>
        <v>10</v>
      </c>
      <c r="E17589" t="str">
        <f>"05 - B - 106 - Courtney E Hambright"</f>
        <v>05 - B - 106 - Courtney E Hambright</v>
      </c>
      <c r="F17589" t="str">
        <f>"AICE ENG LANG AS"</f>
        <v>AICE ENG LANG AS</v>
      </c>
      <c r="G17589" t="str">
        <f>"17-1711"</f>
        <v>17-1711</v>
      </c>
      <c r="H17589" t="str">
        <f>"B"</f>
        <v>B</v>
      </c>
    </row>
    <row r="17590" spans="1:8" x14ac:dyDescent="0.2">
      <c r="A17590" t="str">
        <f t="shared" si="6381"/>
        <v>0615145797</v>
      </c>
      <c r="B17590" t="str">
        <f t="shared" si="6382"/>
        <v>MALEAH</v>
      </c>
      <c r="C17590" t="str">
        <f t="shared" si="6383"/>
        <v>VILBRUN</v>
      </c>
      <c r="D17590">
        <f>10</f>
        <v>10</v>
      </c>
      <c r="E17590" t="str">
        <f>"01 - A - 201 - Stefanie S Scher"</f>
        <v>01 - A - 201 - Stefanie S Scher</v>
      </c>
      <c r="F17590" t="str">
        <f>"AICE PSYCH 1 AS"</f>
        <v>AICE PSYCH 1 AS</v>
      </c>
      <c r="G17590" t="str">
        <f>"17-1735"</f>
        <v>17-1735</v>
      </c>
      <c r="H17590" t="str">
        <f>"A"</f>
        <v>A</v>
      </c>
    </row>
    <row r="17591" spans="1:8" x14ac:dyDescent="0.2">
      <c r="A17591" t="str">
        <f t="shared" si="6381"/>
        <v>0615145797</v>
      </c>
      <c r="B17591" t="str">
        <f t="shared" si="6382"/>
        <v>MALEAH</v>
      </c>
      <c r="C17591" t="str">
        <f t="shared" si="6383"/>
        <v>VILBRUN</v>
      </c>
      <c r="D17591">
        <f>10</f>
        <v>10</v>
      </c>
      <c r="E17591" t="str">
        <f>"08 - B - 105 - Daniel S Tyson"</f>
        <v>08 - B - 105 - Daniel S Tyson</v>
      </c>
      <c r="F17591" t="str">
        <f>"JROTC NAVAL SCI 1"</f>
        <v>JROTC NAVAL SCI 1</v>
      </c>
      <c r="G17591" t="str">
        <f>"05-510"</f>
        <v>05-510</v>
      </c>
      <c r="H17591" t="str">
        <f>"B"</f>
        <v>B</v>
      </c>
    </row>
    <row r="17592" spans="1:8" x14ac:dyDescent="0.2">
      <c r="A17592" t="str">
        <f t="shared" ref="A17592:A17599" si="6384">"0613111467"</f>
        <v>0613111467</v>
      </c>
      <c r="B17592" t="str">
        <f t="shared" ref="B17592:B17599" si="6385">"HEMERSON"</f>
        <v>HEMERSON</v>
      </c>
      <c r="C17592" t="str">
        <f t="shared" ref="C17592:C17599" si="6386">"VILIS"</f>
        <v>VILIS</v>
      </c>
      <c r="D17592">
        <f>12</f>
        <v>12</v>
      </c>
      <c r="E17592" t="str">
        <f>"04 - A - 101 - Thomas G Handwerg"</f>
        <v>04 - A - 101 - Thomas G Handwerg</v>
      </c>
      <c r="F17592" t="str">
        <f>"MATH COLL ALGEBRA"</f>
        <v>MATH COLL ALGEBRA</v>
      </c>
      <c r="G17592" t="str">
        <f>"21-2146"</f>
        <v>21-2146</v>
      </c>
      <c r="H17592" t="str">
        <f>"A"</f>
        <v>A</v>
      </c>
    </row>
    <row r="17593" spans="1:8" x14ac:dyDescent="0.2">
      <c r="A17593" t="str">
        <f t="shared" si="6384"/>
        <v>0613111467</v>
      </c>
      <c r="B17593" t="str">
        <f t="shared" si="6385"/>
        <v>HEMERSON</v>
      </c>
      <c r="C17593" t="str">
        <f t="shared" si="6386"/>
        <v>VILIS</v>
      </c>
      <c r="D17593">
        <f>12</f>
        <v>12</v>
      </c>
      <c r="E17593" t="str">
        <f>"06 - B - 102 - Andrea A Amison"</f>
        <v>06 - B - 102 - Andrea A Amison</v>
      </c>
      <c r="F17593" t="str">
        <f>"NC STUDY HALL 1"</f>
        <v>NC STUDY HALL 1</v>
      </c>
      <c r="G17593" t="str">
        <f>"09-922C"</f>
        <v>09-922C</v>
      </c>
      <c r="H17593" t="str">
        <f>"B"</f>
        <v>B</v>
      </c>
    </row>
    <row r="17594" spans="1:8" x14ac:dyDescent="0.2">
      <c r="A17594" t="str">
        <f t="shared" si="6384"/>
        <v>0613111467</v>
      </c>
      <c r="B17594" t="str">
        <f t="shared" si="6385"/>
        <v>HEMERSON</v>
      </c>
      <c r="C17594" t="str">
        <f t="shared" si="6386"/>
        <v>VILIS</v>
      </c>
      <c r="D17594">
        <f>12</f>
        <v>12</v>
      </c>
      <c r="E17594" t="str">
        <f>"03 - A - 101 - Chrystina M Marchionne"</f>
        <v>03 - A - 101 - Chrystina M Marchionne</v>
      </c>
      <c r="F17594" t="str">
        <f>"JOURN 2 (YB) LH"</f>
        <v>JOURN 2 (YB) LH</v>
      </c>
      <c r="G17594" t="str">
        <f>"05-520"</f>
        <v>05-520</v>
      </c>
      <c r="H17594" t="str">
        <f>"A"</f>
        <v>A</v>
      </c>
    </row>
    <row r="17595" spans="1:8" x14ac:dyDescent="0.2">
      <c r="A17595" t="str">
        <f t="shared" si="6384"/>
        <v>0613111467</v>
      </c>
      <c r="B17595" t="str">
        <f t="shared" si="6385"/>
        <v>HEMERSON</v>
      </c>
      <c r="C17595" t="str">
        <f t="shared" si="6386"/>
        <v>VILIS</v>
      </c>
      <c r="D17595">
        <f>12</f>
        <v>12</v>
      </c>
      <c r="E17595" t="str">
        <f>"02 - A - 101 - Brian M Fitzgerald"</f>
        <v>02 - A - 101 - Brian M Fitzgerald</v>
      </c>
      <c r="F17595" t="str">
        <f>"DRAW 1"</f>
        <v>DRAW 1</v>
      </c>
      <c r="G17595" t="str">
        <f>"09-908"</f>
        <v>09-908</v>
      </c>
      <c r="H17595" t="str">
        <f>"A"</f>
        <v>A</v>
      </c>
    </row>
    <row r="17596" spans="1:8" x14ac:dyDescent="0.2">
      <c r="A17596" t="str">
        <f t="shared" si="6384"/>
        <v>0613111467</v>
      </c>
      <c r="B17596" t="str">
        <f t="shared" si="6385"/>
        <v>HEMERSON</v>
      </c>
      <c r="C17596" t="str">
        <f t="shared" si="6386"/>
        <v>VILIS</v>
      </c>
      <c r="D17596">
        <f>12</f>
        <v>12</v>
      </c>
      <c r="E17596" t="str">
        <f>"07 - B - 104 - Marielle A Witting"</f>
        <v>07 - B - 104 - Marielle A Witting</v>
      </c>
      <c r="F17596" t="str">
        <f>"ANAT PHYSIO"</f>
        <v>ANAT PHYSIO</v>
      </c>
      <c r="G17596" t="str">
        <f>"08-805"</f>
        <v>08-805</v>
      </c>
      <c r="H17596" t="str">
        <f>"B"</f>
        <v>B</v>
      </c>
    </row>
    <row r="17597" spans="1:8" x14ac:dyDescent="0.2">
      <c r="A17597" t="str">
        <f t="shared" si="6384"/>
        <v>0613111467</v>
      </c>
      <c r="B17597" t="str">
        <f t="shared" si="6385"/>
        <v>HEMERSON</v>
      </c>
      <c r="C17597" t="str">
        <f t="shared" si="6386"/>
        <v>VILIS</v>
      </c>
      <c r="D17597">
        <f>12</f>
        <v>12</v>
      </c>
      <c r="E17597" t="str">
        <f>"05 - S1 - B - 102 - Robert O Burger"</f>
        <v>05 - S1 - B - 102 - Robert O Burger</v>
      </c>
      <c r="F17597" t="str">
        <f>"US GOVT"</f>
        <v>US GOVT</v>
      </c>
      <c r="G17597" t="str">
        <f>"17-1755"</f>
        <v>17-1755</v>
      </c>
      <c r="H17597" t="str">
        <f>"B"</f>
        <v>B</v>
      </c>
    </row>
    <row r="17598" spans="1:8" x14ac:dyDescent="0.2">
      <c r="A17598" t="str">
        <f t="shared" si="6384"/>
        <v>0613111467</v>
      </c>
      <c r="B17598" t="str">
        <f t="shared" si="6385"/>
        <v>HEMERSON</v>
      </c>
      <c r="C17598" t="str">
        <f t="shared" si="6386"/>
        <v>VILIS</v>
      </c>
      <c r="D17598">
        <f>12</f>
        <v>12</v>
      </c>
      <c r="E17598" t="str">
        <f>"01 - A - 103 - Robyn L Trainer"</f>
        <v>01 - A - 103 - Robyn L Trainer</v>
      </c>
      <c r="F17598" t="str">
        <f>"ENG 4"</f>
        <v>ENG 4</v>
      </c>
      <c r="G17598" t="str">
        <f>"17-1734"</f>
        <v>17-1734</v>
      </c>
      <c r="H17598" t="str">
        <f>"A"</f>
        <v>A</v>
      </c>
    </row>
    <row r="17599" spans="1:8" x14ac:dyDescent="0.2">
      <c r="A17599" t="str">
        <f t="shared" si="6384"/>
        <v>0613111467</v>
      </c>
      <c r="B17599" t="str">
        <f t="shared" si="6385"/>
        <v>HEMERSON</v>
      </c>
      <c r="C17599" t="str">
        <f t="shared" si="6386"/>
        <v>VILIS</v>
      </c>
      <c r="D17599">
        <f>12</f>
        <v>12</v>
      </c>
      <c r="E17599" t="str">
        <f>"08 - S1 - B - 101 - Amy Beth  Broyles"</f>
        <v>08 - S1 - B - 101 - Amy Beth  Broyles</v>
      </c>
      <c r="F17599" t="str">
        <f>"PEER COUN 3"</f>
        <v>PEER COUN 3</v>
      </c>
      <c r="G17599" t="str">
        <f>"17-1713"</f>
        <v>17-1713</v>
      </c>
      <c r="H17599" t="str">
        <f>"B"</f>
        <v>B</v>
      </c>
    </row>
    <row r="17600" spans="1:8" x14ac:dyDescent="0.2">
      <c r="A17600" t="str">
        <f t="shared" ref="A17600:A17607" si="6387">"0610095577"</f>
        <v>0610095577</v>
      </c>
      <c r="B17600" t="str">
        <f t="shared" ref="B17600:B17607" si="6388">"ABIGAIL"</f>
        <v>ABIGAIL</v>
      </c>
      <c r="C17600" t="str">
        <f t="shared" ref="C17600:C17631" si="6389">"VILLATORO"</f>
        <v>VILLATORO</v>
      </c>
      <c r="D17600">
        <f>10</f>
        <v>10</v>
      </c>
      <c r="E17600" t="str">
        <f>"04 - A - 104 - Courtney E Hambright"</f>
        <v>04 - A - 104 - Courtney E Hambright</v>
      </c>
      <c r="F17600" t="str">
        <f>"AICE ENG LANG AS"</f>
        <v>AICE ENG LANG AS</v>
      </c>
      <c r="G17600" t="str">
        <f>"17-1711"</f>
        <v>17-1711</v>
      </c>
      <c r="H17600" t="str">
        <f>"A"</f>
        <v>A</v>
      </c>
    </row>
    <row r="17601" spans="1:8" x14ac:dyDescent="0.2">
      <c r="A17601" t="str">
        <f t="shared" si="6387"/>
        <v>0610095577</v>
      </c>
      <c r="B17601" t="str">
        <f t="shared" si="6388"/>
        <v>ABIGAIL</v>
      </c>
      <c r="C17601" t="str">
        <f t="shared" si="6389"/>
        <v>VILLATORO</v>
      </c>
      <c r="D17601">
        <f>10</f>
        <v>10</v>
      </c>
      <c r="E17601" t="str">
        <f>"06 - B - 119 - Nikiel  Nesbeth"</f>
        <v>06 - B - 119 - Nikiel  Nesbeth</v>
      </c>
      <c r="F17601" t="str">
        <f>"NC STUDY HALL 1"</f>
        <v>NC STUDY HALL 1</v>
      </c>
      <c r="G17601" t="str">
        <f>"17-1705"</f>
        <v>17-1705</v>
      </c>
      <c r="H17601" t="str">
        <f>"B"</f>
        <v>B</v>
      </c>
    </row>
    <row r="17602" spans="1:8" x14ac:dyDescent="0.2">
      <c r="A17602" t="str">
        <f t="shared" si="6387"/>
        <v>0610095577</v>
      </c>
      <c r="B17602" t="str">
        <f t="shared" si="6388"/>
        <v>ABIGAIL</v>
      </c>
      <c r="C17602" t="str">
        <f t="shared" si="6389"/>
        <v>VILLATORO</v>
      </c>
      <c r="D17602">
        <f>10</f>
        <v>10</v>
      </c>
      <c r="E17602" t="str">
        <f>"03 - A - 104 - Brook E Goren"</f>
        <v>03 - A - 104 - Brook E Goren</v>
      </c>
      <c r="F17602" t="str">
        <f>"ALGEBRA 2 HON"</f>
        <v>ALGEBRA 2 HON</v>
      </c>
      <c r="G17602" t="str">
        <f>"21-2158"</f>
        <v>21-2158</v>
      </c>
      <c r="H17602" t="str">
        <f>"A"</f>
        <v>A</v>
      </c>
    </row>
    <row r="17603" spans="1:8" x14ac:dyDescent="0.2">
      <c r="A17603" t="str">
        <f t="shared" si="6387"/>
        <v>0610095577</v>
      </c>
      <c r="B17603" t="str">
        <f t="shared" si="6388"/>
        <v>ABIGAIL</v>
      </c>
      <c r="C17603" t="str">
        <f t="shared" si="6389"/>
        <v>VILLATORO</v>
      </c>
      <c r="D17603">
        <f>10</f>
        <v>10</v>
      </c>
      <c r="E17603" t="str">
        <f>"02 - A - 103 - Lenecy  Nodarse"</f>
        <v>02 - A - 103 - Lenecy  Nodarse</v>
      </c>
      <c r="F17603" t="str">
        <f>"AICE EURO HIST 1 AS"</f>
        <v>AICE EURO HIST 1 AS</v>
      </c>
      <c r="G17603" t="str">
        <f>"17-1741"</f>
        <v>17-1741</v>
      </c>
      <c r="H17603" t="str">
        <f>"A"</f>
        <v>A</v>
      </c>
    </row>
    <row r="17604" spans="1:8" x14ac:dyDescent="0.2">
      <c r="A17604" t="str">
        <f t="shared" si="6387"/>
        <v>0610095577</v>
      </c>
      <c r="B17604" t="str">
        <f t="shared" si="6388"/>
        <v>ABIGAIL</v>
      </c>
      <c r="C17604" t="str">
        <f t="shared" si="6389"/>
        <v>VILLATORO</v>
      </c>
      <c r="D17604">
        <f>10</f>
        <v>10</v>
      </c>
      <c r="E17604" t="str">
        <f>"07 - B - 202 - Chrystina M Marchionne"</f>
        <v>07 - B - 202 - Chrystina M Marchionne</v>
      </c>
      <c r="F17604" t="str">
        <f>"JOURN 1 (YB) LH"</f>
        <v>JOURN 1 (YB) LH</v>
      </c>
      <c r="G17604" t="str">
        <f>"05-520"</f>
        <v>05-520</v>
      </c>
      <c r="H17604" t="str">
        <f>"B"</f>
        <v>B</v>
      </c>
    </row>
    <row r="17605" spans="1:8" x14ac:dyDescent="0.2">
      <c r="A17605" t="str">
        <f t="shared" si="6387"/>
        <v>0610095577</v>
      </c>
      <c r="B17605" t="str">
        <f t="shared" si="6388"/>
        <v>ABIGAIL</v>
      </c>
      <c r="C17605" t="str">
        <f t="shared" si="6389"/>
        <v>VILLATORO</v>
      </c>
      <c r="D17605">
        <f>10</f>
        <v>10</v>
      </c>
      <c r="E17605" t="str">
        <f>"05 - B - 205 - Rosa Elaine  Collado-Duff"</f>
        <v>05 - B - 205 - Rosa Elaine  Collado-Duff</v>
      </c>
      <c r="F17605" t="str">
        <f>"PRE-AICE SPAN 2 IG"</f>
        <v>PRE-AICE SPAN 2 IG</v>
      </c>
      <c r="G17605" t="str">
        <f>"09-913"</f>
        <v>09-913</v>
      </c>
      <c r="H17605" t="str">
        <f>"B"</f>
        <v>B</v>
      </c>
    </row>
    <row r="17606" spans="1:8" x14ac:dyDescent="0.2">
      <c r="A17606" t="str">
        <f t="shared" si="6387"/>
        <v>0610095577</v>
      </c>
      <c r="B17606" t="str">
        <f t="shared" si="6388"/>
        <v>ABIGAIL</v>
      </c>
      <c r="C17606" t="str">
        <f t="shared" si="6389"/>
        <v>VILLATORO</v>
      </c>
      <c r="D17606">
        <f>10</f>
        <v>10</v>
      </c>
      <c r="E17606" t="str">
        <f>"01 - A - 201 - Chrystina M Marchionne"</f>
        <v>01 - A - 201 - Chrystina M Marchionne</v>
      </c>
      <c r="F17606" t="str">
        <f>"AICE MEDIASTUDIES AS"</f>
        <v>AICE MEDIASTUDIES AS</v>
      </c>
      <c r="G17606" t="str">
        <f>"05-520"</f>
        <v>05-520</v>
      </c>
      <c r="H17606" t="str">
        <f>"A"</f>
        <v>A</v>
      </c>
    </row>
    <row r="17607" spans="1:8" x14ac:dyDescent="0.2">
      <c r="A17607" t="str">
        <f t="shared" si="6387"/>
        <v>0610095577</v>
      </c>
      <c r="B17607" t="str">
        <f t="shared" si="6388"/>
        <v>ABIGAIL</v>
      </c>
      <c r="C17607" t="str">
        <f t="shared" si="6389"/>
        <v>VILLATORO</v>
      </c>
      <c r="D17607">
        <f>10</f>
        <v>10</v>
      </c>
      <c r="E17607" t="str">
        <f>"08 - B - 001 - Scott A Dethloff"</f>
        <v>08 - B - 001 - Scott A Dethloff</v>
      </c>
      <c r="F17607" t="str">
        <f>"CHEMISTRY 1 HON"</f>
        <v>CHEMISTRY 1 HON</v>
      </c>
      <c r="G17607" t="str">
        <f>"08-812"</f>
        <v>08-812</v>
      </c>
      <c r="H17607" t="str">
        <f>"B"</f>
        <v>B</v>
      </c>
    </row>
    <row r="17608" spans="1:8" x14ac:dyDescent="0.2">
      <c r="A17608" t="str">
        <f t="shared" ref="A17608:A17615" si="6390">"0617006646"</f>
        <v>0617006646</v>
      </c>
      <c r="B17608" t="str">
        <f t="shared" ref="B17608:B17615" si="6391">"ANNALIA"</f>
        <v>ANNALIA</v>
      </c>
      <c r="C17608" t="str">
        <f t="shared" si="6389"/>
        <v>VILLATORO</v>
      </c>
      <c r="D17608" t="str">
        <f t="shared" ref="D17608:D17623" si="6392">"09"</f>
        <v>09</v>
      </c>
      <c r="E17608" t="str">
        <f>"04 - A - 105 - Carol S Moore"</f>
        <v>04 - A - 105 - Carol S Moore</v>
      </c>
      <c r="F17608" t="str">
        <f>"PRE-AICE WRLD HST IG"</f>
        <v>PRE-AICE WRLD HST IG</v>
      </c>
      <c r="G17608" t="str">
        <f>"17-1733"</f>
        <v>17-1733</v>
      </c>
      <c r="H17608" t="str">
        <f>"A"</f>
        <v>A</v>
      </c>
    </row>
    <row r="17609" spans="1:8" x14ac:dyDescent="0.2">
      <c r="A17609" t="str">
        <f t="shared" si="6390"/>
        <v>0617006646</v>
      </c>
      <c r="B17609" t="str">
        <f t="shared" si="6391"/>
        <v>ANNALIA</v>
      </c>
      <c r="C17609" t="str">
        <f t="shared" si="6389"/>
        <v>VILLATORO</v>
      </c>
      <c r="D17609" t="str">
        <f t="shared" si="6392"/>
        <v>09</v>
      </c>
      <c r="E17609" t="str">
        <f>"06 - B - 105 - Dayna M Foster"</f>
        <v>06 - B - 105 - Dayna M Foster</v>
      </c>
      <c r="F17609" t="str">
        <f>"ALGEBRA 1"</f>
        <v>ALGEBRA 1</v>
      </c>
      <c r="G17609" t="str">
        <f>"21-2109"</f>
        <v>21-2109</v>
      </c>
      <c r="H17609" t="str">
        <f>"B"</f>
        <v>B</v>
      </c>
    </row>
    <row r="17610" spans="1:8" x14ac:dyDescent="0.2">
      <c r="A17610" t="str">
        <f t="shared" si="6390"/>
        <v>0617006646</v>
      </c>
      <c r="B17610" t="str">
        <f t="shared" si="6391"/>
        <v>ANNALIA</v>
      </c>
      <c r="C17610" t="str">
        <f t="shared" si="6389"/>
        <v>VILLATORO</v>
      </c>
      <c r="D17610" t="str">
        <f t="shared" si="6392"/>
        <v>09</v>
      </c>
      <c r="E17610" t="str">
        <f>"03 - A - 101 - Dayna M Foster"</f>
        <v>03 - A - 101 - Dayna M Foster</v>
      </c>
      <c r="F17610" t="str">
        <f>"FDN SKLS MATH 9-12"</f>
        <v>FDN SKLS MATH 9-12</v>
      </c>
      <c r="G17610" t="str">
        <f>"21-2109"</f>
        <v>21-2109</v>
      </c>
      <c r="H17610" t="str">
        <f>"A"</f>
        <v>A</v>
      </c>
    </row>
    <row r="17611" spans="1:8" x14ac:dyDescent="0.2">
      <c r="A17611" t="str">
        <f t="shared" si="6390"/>
        <v>0617006646</v>
      </c>
      <c r="B17611" t="str">
        <f t="shared" si="6391"/>
        <v>ANNALIA</v>
      </c>
      <c r="C17611" t="str">
        <f t="shared" si="6389"/>
        <v>VILLATORO</v>
      </c>
      <c r="D17611" t="str">
        <f t="shared" si="6392"/>
        <v>09</v>
      </c>
      <c r="E17611" t="str">
        <f>"02 - A - 115 - Lourivaldo  Da Silva"</f>
        <v>02 - A - 115 - Lourivaldo  Da Silva</v>
      </c>
      <c r="F17611" t="str">
        <f>"NC STUDY HALL 1"</f>
        <v>NC STUDY HALL 1</v>
      </c>
      <c r="G17611" t="str">
        <f>"20-2079"</f>
        <v>20-2079</v>
      </c>
      <c r="H17611" t="str">
        <f>"A"</f>
        <v>A</v>
      </c>
    </row>
    <row r="17612" spans="1:8" x14ac:dyDescent="0.2">
      <c r="A17612" t="str">
        <f t="shared" si="6390"/>
        <v>0617006646</v>
      </c>
      <c r="B17612" t="str">
        <f t="shared" si="6391"/>
        <v>ANNALIA</v>
      </c>
      <c r="C17612" t="str">
        <f t="shared" si="6389"/>
        <v>VILLATORO</v>
      </c>
      <c r="D17612" t="str">
        <f t="shared" si="6392"/>
        <v>09</v>
      </c>
      <c r="E17612" t="str">
        <f>"07 - B - 103 - Vanessa J Liburd"</f>
        <v>07 - B - 103 - Vanessa J Liburd</v>
      </c>
      <c r="F17612" t="str">
        <f>"PRE-AICE FRENCH 1 IG"</f>
        <v>PRE-AICE FRENCH 1 IG</v>
      </c>
      <c r="G17612" t="str">
        <f>"05-519"</f>
        <v>05-519</v>
      </c>
      <c r="H17612" t="str">
        <f>"B"</f>
        <v>B</v>
      </c>
    </row>
    <row r="17613" spans="1:8" x14ac:dyDescent="0.2">
      <c r="A17613" t="str">
        <f t="shared" si="6390"/>
        <v>0617006646</v>
      </c>
      <c r="B17613" t="str">
        <f t="shared" si="6391"/>
        <v>ANNALIA</v>
      </c>
      <c r="C17613" t="str">
        <f t="shared" si="6389"/>
        <v>VILLATORO</v>
      </c>
      <c r="D17613" t="str">
        <f t="shared" si="6392"/>
        <v>09</v>
      </c>
      <c r="E17613" t="str">
        <f>"05 - B - 103 - Josiah I Lacy"</f>
        <v>05 - B - 103 - Josiah I Lacy</v>
      </c>
      <c r="F17613" t="str">
        <f>"PRE-AICE BIO IG"</f>
        <v>PRE-AICE BIO IG</v>
      </c>
      <c r="G17613" t="str">
        <f>"08-801"</f>
        <v>08-801</v>
      </c>
      <c r="H17613" t="str">
        <f>"B"</f>
        <v>B</v>
      </c>
    </row>
    <row r="17614" spans="1:8" x14ac:dyDescent="0.2">
      <c r="A17614" t="str">
        <f t="shared" si="6390"/>
        <v>0617006646</v>
      </c>
      <c r="B17614" t="str">
        <f t="shared" si="6391"/>
        <v>ANNALIA</v>
      </c>
      <c r="C17614" t="str">
        <f t="shared" si="6389"/>
        <v>VILLATORO</v>
      </c>
      <c r="D17614" t="str">
        <f t="shared" si="6392"/>
        <v>09</v>
      </c>
      <c r="E17614" t="str">
        <f>"01 - A - 101 - Cheryl Anne  Berman-Schechter"</f>
        <v>01 - A - 101 - Cheryl Anne  Berman-Schechter</v>
      </c>
      <c r="F17614" t="str">
        <f>"PRE-AICE ENG LANG IG"</f>
        <v>PRE-AICE ENG LANG IG</v>
      </c>
      <c r="G17614" t="str">
        <f>"17-1722"</f>
        <v>17-1722</v>
      </c>
      <c r="H17614" t="str">
        <f>"A"</f>
        <v>A</v>
      </c>
    </row>
    <row r="17615" spans="1:8" x14ac:dyDescent="0.2">
      <c r="A17615" t="str">
        <f t="shared" si="6390"/>
        <v>0617006646</v>
      </c>
      <c r="B17615" t="str">
        <f t="shared" si="6391"/>
        <v>ANNALIA</v>
      </c>
      <c r="C17615" t="str">
        <f t="shared" si="6389"/>
        <v>VILLATORO</v>
      </c>
      <c r="D17615" t="str">
        <f t="shared" si="6392"/>
        <v>09</v>
      </c>
      <c r="E17615" t="str">
        <f>"08 - B - 108 - Adam Marcus  Drucker"</f>
        <v>08 - B - 108 - Adam Marcus  Drucker</v>
      </c>
      <c r="F17615" t="str">
        <f>"HOPE-PE V"</f>
        <v>HOPE-PE V</v>
      </c>
      <c r="G17615" t="str">
        <f>"04-254"</f>
        <v>04-254</v>
      </c>
      <c r="H17615" t="str">
        <f>"B"</f>
        <v>B</v>
      </c>
    </row>
    <row r="17616" spans="1:8" x14ac:dyDescent="0.2">
      <c r="A17616" t="str">
        <f t="shared" ref="A17616:A17623" si="6393">"0617006628"</f>
        <v>0617006628</v>
      </c>
      <c r="B17616" t="str">
        <f t="shared" ref="B17616:B17623" si="6394">"ANNALISE"</f>
        <v>ANNALISE</v>
      </c>
      <c r="C17616" t="str">
        <f t="shared" si="6389"/>
        <v>VILLATORO</v>
      </c>
      <c r="D17616" t="str">
        <f t="shared" si="6392"/>
        <v>09</v>
      </c>
      <c r="E17616" t="str">
        <f>"04 - A - 102 - Josiah I Lacy"</f>
        <v>04 - A - 102 - Josiah I Lacy</v>
      </c>
      <c r="F17616" t="str">
        <f>"PRE-AICE BIO IG"</f>
        <v>PRE-AICE BIO IG</v>
      </c>
      <c r="G17616" t="str">
        <f>"08-801"</f>
        <v>08-801</v>
      </c>
      <c r="H17616" t="str">
        <f>"A"</f>
        <v>A</v>
      </c>
    </row>
    <row r="17617" spans="1:8" x14ac:dyDescent="0.2">
      <c r="A17617" t="str">
        <f t="shared" si="6393"/>
        <v>0617006628</v>
      </c>
      <c r="B17617" t="str">
        <f t="shared" si="6394"/>
        <v>ANNALISE</v>
      </c>
      <c r="C17617" t="str">
        <f t="shared" si="6389"/>
        <v>VILLATORO</v>
      </c>
      <c r="D17617" t="str">
        <f t="shared" si="6392"/>
        <v>09</v>
      </c>
      <c r="E17617" t="str">
        <f>"06 - S1 - B - 104 - Leslie J Barton"</f>
        <v>06 - S1 - B - 104 - Leslie J Barton</v>
      </c>
      <c r="F17617" t="str">
        <f>"FIRST AID SAFETY"</f>
        <v>FIRST AID SAFETY</v>
      </c>
      <c r="G17617" t="str">
        <f>"05-521"</f>
        <v>05-521</v>
      </c>
      <c r="H17617" t="str">
        <f>"B"</f>
        <v>B</v>
      </c>
    </row>
    <row r="17618" spans="1:8" x14ac:dyDescent="0.2">
      <c r="A17618" t="str">
        <f t="shared" si="6393"/>
        <v>0617006628</v>
      </c>
      <c r="B17618" t="str">
        <f t="shared" si="6394"/>
        <v>ANNALISE</v>
      </c>
      <c r="C17618" t="str">
        <f t="shared" si="6389"/>
        <v>VILLATORO</v>
      </c>
      <c r="D17618" t="str">
        <f t="shared" si="6392"/>
        <v>09</v>
      </c>
      <c r="E17618" t="str">
        <f>"03 - A - 101 - Milca  Exantus"</f>
        <v>03 - A - 101 - Milca  Exantus</v>
      </c>
      <c r="F17618" t="str">
        <f>"ALGEBRA 1-A"</f>
        <v>ALGEBRA 1-A</v>
      </c>
      <c r="G17618" t="str">
        <f>"21-2145"</f>
        <v>21-2145</v>
      </c>
      <c r="H17618" t="str">
        <f>"A"</f>
        <v>A</v>
      </c>
    </row>
    <row r="17619" spans="1:8" x14ac:dyDescent="0.2">
      <c r="A17619" t="str">
        <f t="shared" si="6393"/>
        <v>0617006628</v>
      </c>
      <c r="B17619" t="str">
        <f t="shared" si="6394"/>
        <v>ANNALISE</v>
      </c>
      <c r="C17619" t="str">
        <f t="shared" si="6389"/>
        <v>VILLATORO</v>
      </c>
      <c r="D17619" t="str">
        <f t="shared" si="6392"/>
        <v>09</v>
      </c>
      <c r="E17619" t="str">
        <f>"02 - A - 101 - Josiah I Lacy"</f>
        <v>02 - A - 101 - Josiah I Lacy</v>
      </c>
      <c r="F17619" t="str">
        <f>"NC STUDY HALL 1"</f>
        <v>NC STUDY HALL 1</v>
      </c>
      <c r="G17619" t="str">
        <f>"08-801"</f>
        <v>08-801</v>
      </c>
      <c r="H17619" t="str">
        <f>"A"</f>
        <v>A</v>
      </c>
    </row>
    <row r="17620" spans="1:8" x14ac:dyDescent="0.2">
      <c r="A17620" t="str">
        <f t="shared" si="6393"/>
        <v>0617006628</v>
      </c>
      <c r="B17620" t="str">
        <f t="shared" si="6394"/>
        <v>ANNALISE</v>
      </c>
      <c r="C17620" t="str">
        <f t="shared" si="6389"/>
        <v>VILLATORO</v>
      </c>
      <c r="D17620" t="str">
        <f t="shared" si="6392"/>
        <v>09</v>
      </c>
      <c r="E17620" t="str">
        <f>"07 - B - 101 - Jeanne M Bermudez"</f>
        <v>07 - B - 101 - Jeanne M Bermudez</v>
      </c>
      <c r="F17620" t="str">
        <f>"FOUND OF PROGRAM HON"</f>
        <v>FOUND OF PROGRAM HON</v>
      </c>
      <c r="G17620" t="str">
        <f>"21-2141"</f>
        <v>21-2141</v>
      </c>
      <c r="H17620" t="str">
        <f>"B"</f>
        <v>B</v>
      </c>
    </row>
    <row r="17621" spans="1:8" x14ac:dyDescent="0.2">
      <c r="A17621" t="str">
        <f t="shared" si="6393"/>
        <v>0617006628</v>
      </c>
      <c r="B17621" t="str">
        <f t="shared" si="6394"/>
        <v>ANNALISE</v>
      </c>
      <c r="C17621" t="str">
        <f t="shared" si="6389"/>
        <v>VILLATORO</v>
      </c>
      <c r="D17621" t="str">
        <f t="shared" si="6392"/>
        <v>09</v>
      </c>
      <c r="E17621" t="str">
        <f>"05 - B - 103 - Rory T Sponsler"</f>
        <v>05 - B - 103 - Rory T Sponsler</v>
      </c>
      <c r="F17621" t="str">
        <f>"PRE-AICE WRLD HST IG"</f>
        <v>PRE-AICE WRLD HST IG</v>
      </c>
      <c r="G17621" t="str">
        <f>"17-1740"</f>
        <v>17-1740</v>
      </c>
      <c r="H17621" t="str">
        <f>"B"</f>
        <v>B</v>
      </c>
    </row>
    <row r="17622" spans="1:8" x14ac:dyDescent="0.2">
      <c r="A17622" t="str">
        <f t="shared" si="6393"/>
        <v>0617006628</v>
      </c>
      <c r="B17622" t="str">
        <f t="shared" si="6394"/>
        <v>ANNALISE</v>
      </c>
      <c r="C17622" t="str">
        <f t="shared" si="6389"/>
        <v>VILLATORO</v>
      </c>
      <c r="D17622" t="str">
        <f t="shared" si="6392"/>
        <v>09</v>
      </c>
      <c r="E17622" t="str">
        <f>"01 - A - 101 - Cheryl Anne  Berman-Schechter"</f>
        <v>01 - A - 101 - Cheryl Anne  Berman-Schechter</v>
      </c>
      <c r="F17622" t="str">
        <f>"PRE-AICE ENG LANG IG"</f>
        <v>PRE-AICE ENG LANG IG</v>
      </c>
      <c r="G17622" t="str">
        <f>"17-1722"</f>
        <v>17-1722</v>
      </c>
      <c r="H17622" t="str">
        <f>"A"</f>
        <v>A</v>
      </c>
    </row>
    <row r="17623" spans="1:8" x14ac:dyDescent="0.2">
      <c r="A17623" t="str">
        <f t="shared" si="6393"/>
        <v>0617006628</v>
      </c>
      <c r="B17623" t="str">
        <f t="shared" si="6394"/>
        <v>ANNALISE</v>
      </c>
      <c r="C17623" t="str">
        <f t="shared" si="6389"/>
        <v>VILLATORO</v>
      </c>
      <c r="D17623" t="str">
        <f t="shared" si="6392"/>
        <v>09</v>
      </c>
      <c r="E17623" t="str">
        <f>"08 - B - 105 - Daniel S Tyson"</f>
        <v>08 - B - 105 - Daniel S Tyson</v>
      </c>
      <c r="F17623" t="str">
        <f>"JROTC NAVAL SCI 1"</f>
        <v>JROTC NAVAL SCI 1</v>
      </c>
      <c r="G17623" t="str">
        <f>"05-510"</f>
        <v>05-510</v>
      </c>
      <c r="H17623" t="str">
        <f>"B"</f>
        <v>B</v>
      </c>
    </row>
    <row r="17624" spans="1:8" x14ac:dyDescent="0.2">
      <c r="A17624" t="str">
        <f t="shared" ref="A17624:A17631" si="6395">"0616143928"</f>
        <v>0616143928</v>
      </c>
      <c r="B17624" t="str">
        <f t="shared" ref="B17624:B17631" si="6396">"JOSHUA"</f>
        <v>JOSHUA</v>
      </c>
      <c r="C17624" t="str">
        <f t="shared" si="6389"/>
        <v>VILLATORO</v>
      </c>
      <c r="D17624">
        <f>11</f>
        <v>11</v>
      </c>
      <c r="E17624" t="str">
        <f>"04 - A - 104 - Adam Marcus  Drucker"</f>
        <v>04 - A - 104 - Adam Marcus  Drucker</v>
      </c>
      <c r="F17624" t="str">
        <f>"HOPE-PE V"</f>
        <v>HOPE-PE V</v>
      </c>
      <c r="G17624" t="str">
        <f>"04-254"</f>
        <v>04-254</v>
      </c>
      <c r="H17624" t="str">
        <f>"A"</f>
        <v>A</v>
      </c>
    </row>
    <row r="17625" spans="1:8" x14ac:dyDescent="0.2">
      <c r="A17625" t="str">
        <f t="shared" si="6395"/>
        <v>0616143928</v>
      </c>
      <c r="B17625" t="str">
        <f t="shared" si="6396"/>
        <v>JOSHUA</v>
      </c>
      <c r="C17625" t="str">
        <f t="shared" si="6389"/>
        <v>VILLATORO</v>
      </c>
      <c r="D17625">
        <f>11</f>
        <v>11</v>
      </c>
      <c r="E17625" t="str">
        <f>"06 - B - 104 - Nahum  Saint-Preux"</f>
        <v>06 - B - 104 - Nahum  Saint-Preux</v>
      </c>
      <c r="F17625" t="str">
        <f>"INTENS READ 3"</f>
        <v>INTENS READ 3</v>
      </c>
      <c r="G17625" t="str">
        <f>"17-1712"</f>
        <v>17-1712</v>
      </c>
      <c r="H17625" t="str">
        <f>"B"</f>
        <v>B</v>
      </c>
    </row>
    <row r="17626" spans="1:8" x14ac:dyDescent="0.2">
      <c r="A17626" t="str">
        <f t="shared" si="6395"/>
        <v>0616143928</v>
      </c>
      <c r="B17626" t="str">
        <f t="shared" si="6396"/>
        <v>JOSHUA</v>
      </c>
      <c r="C17626" t="str">
        <f t="shared" si="6389"/>
        <v>VILLATORO</v>
      </c>
      <c r="D17626">
        <f>11</f>
        <v>11</v>
      </c>
      <c r="E17626" t="str">
        <f>"03 - A - 104 - Kyle  Robbins"</f>
        <v>03 - A - 104 - Kyle  Robbins</v>
      </c>
      <c r="F17626" t="str">
        <f>"US HISTORY"</f>
        <v>US HISTORY</v>
      </c>
      <c r="G17626" t="str">
        <f>"17-1745"</f>
        <v>17-1745</v>
      </c>
      <c r="H17626" t="str">
        <f>"A"</f>
        <v>A</v>
      </c>
    </row>
    <row r="17627" spans="1:8" x14ac:dyDescent="0.2">
      <c r="A17627" t="str">
        <f t="shared" si="6395"/>
        <v>0616143928</v>
      </c>
      <c r="B17627" t="str">
        <f t="shared" si="6396"/>
        <v>JOSHUA</v>
      </c>
      <c r="C17627" t="str">
        <f t="shared" si="6389"/>
        <v>VILLATORO</v>
      </c>
      <c r="D17627">
        <f>11</f>
        <v>11</v>
      </c>
      <c r="E17627" t="str">
        <f>"02 - A - 102 - Brook E Goren"</f>
        <v>02 - A - 102 - Brook E Goren</v>
      </c>
      <c r="F17627" t="str">
        <f>"NC STUDY HALL 1"</f>
        <v>NC STUDY HALL 1</v>
      </c>
      <c r="G17627" t="str">
        <f>"21-2158"</f>
        <v>21-2158</v>
      </c>
      <c r="H17627" t="str">
        <f>"A"</f>
        <v>A</v>
      </c>
    </row>
    <row r="17628" spans="1:8" x14ac:dyDescent="0.2">
      <c r="A17628" t="str">
        <f t="shared" si="6395"/>
        <v>0616143928</v>
      </c>
      <c r="B17628" t="str">
        <f t="shared" si="6396"/>
        <v>JOSHUA</v>
      </c>
      <c r="C17628" t="str">
        <f t="shared" si="6389"/>
        <v>VILLATORO</v>
      </c>
      <c r="D17628">
        <f>11</f>
        <v>11</v>
      </c>
      <c r="E17628" t="str">
        <f>"07 - B - 105 - Cliffon  Saurel"</f>
        <v>07 - B - 105 - Cliffon  Saurel</v>
      </c>
      <c r="F17628" t="str">
        <f>"PHYSICAL SCI"</f>
        <v>PHYSICAL SCI</v>
      </c>
      <c r="G17628" t="str">
        <f>"05-522"</f>
        <v>05-522</v>
      </c>
      <c r="H17628" t="str">
        <f>"B"</f>
        <v>B</v>
      </c>
    </row>
    <row r="17629" spans="1:8" x14ac:dyDescent="0.2">
      <c r="A17629" t="str">
        <f t="shared" si="6395"/>
        <v>0616143928</v>
      </c>
      <c r="B17629" t="str">
        <f t="shared" si="6396"/>
        <v>JOSHUA</v>
      </c>
      <c r="C17629" t="str">
        <f t="shared" si="6389"/>
        <v>VILLATORO</v>
      </c>
      <c r="D17629">
        <f>11</f>
        <v>11</v>
      </c>
      <c r="E17629" t="str">
        <f>"05 - B - 106 - Fernando  Vega-Cid"</f>
        <v>05 - B - 106 - Fernando  Vega-Cid</v>
      </c>
      <c r="F17629" t="str">
        <f>"GEOMETRY"</f>
        <v>GEOMETRY</v>
      </c>
      <c r="G17629" t="str">
        <f>"21-2163"</f>
        <v>21-2163</v>
      </c>
      <c r="H17629" t="str">
        <f>"B"</f>
        <v>B</v>
      </c>
    </row>
    <row r="17630" spans="1:8" x14ac:dyDescent="0.2">
      <c r="A17630" t="str">
        <f t="shared" si="6395"/>
        <v>0616143928</v>
      </c>
      <c r="B17630" t="str">
        <f t="shared" si="6396"/>
        <v>JOSHUA</v>
      </c>
      <c r="C17630" t="str">
        <f t="shared" si="6389"/>
        <v>VILLATORO</v>
      </c>
      <c r="D17630">
        <f>11</f>
        <v>11</v>
      </c>
      <c r="E17630" t="str">
        <f>"01 - A - 108 - Rosa Elaine  Collado-Duff"</f>
        <v>01 - A - 108 - Rosa Elaine  Collado-Duff</v>
      </c>
      <c r="F17630" t="str">
        <f>"PRE-AICE SPAN 2 IG"</f>
        <v>PRE-AICE SPAN 2 IG</v>
      </c>
      <c r="G17630" t="str">
        <f>"09-913"</f>
        <v>09-913</v>
      </c>
      <c r="H17630" t="str">
        <f>"A"</f>
        <v>A</v>
      </c>
    </row>
    <row r="17631" spans="1:8" x14ac:dyDescent="0.2">
      <c r="A17631" t="str">
        <f t="shared" si="6395"/>
        <v>0616143928</v>
      </c>
      <c r="B17631" t="str">
        <f t="shared" si="6396"/>
        <v>JOSHUA</v>
      </c>
      <c r="C17631" t="str">
        <f t="shared" si="6389"/>
        <v>VILLATORO</v>
      </c>
      <c r="D17631">
        <f>11</f>
        <v>11</v>
      </c>
      <c r="E17631" t="str">
        <f>"08 - B - 106 - Lisa  Quinn"</f>
        <v>08 - B - 106 - Lisa  Quinn</v>
      </c>
      <c r="F17631" t="str">
        <f>"ENG 3"</f>
        <v>ENG 3</v>
      </c>
      <c r="G17631" t="str">
        <f>"17-1725"</f>
        <v>17-1725</v>
      </c>
      <c r="H17631" t="str">
        <f>"B"</f>
        <v>B</v>
      </c>
    </row>
    <row r="17632" spans="1:8" x14ac:dyDescent="0.2">
      <c r="A17632" t="str">
        <f t="shared" ref="A17632:A17639" si="6397">"0623053236"</f>
        <v>0623053236</v>
      </c>
      <c r="B17632" t="str">
        <f t="shared" ref="B17632:B17639" si="6398">"DAMARIS"</f>
        <v>DAMARIS</v>
      </c>
      <c r="C17632" t="str">
        <f t="shared" ref="C17632:C17647" si="6399">"VILLATORO BENITEZ"</f>
        <v>VILLATORO BENITEZ</v>
      </c>
      <c r="D17632">
        <f>12</f>
        <v>12</v>
      </c>
      <c r="E17632" t="str">
        <f>"04 - S1 - A - 101 - Nahum  Saint-Preux"</f>
        <v>04 - S1 - A - 101 - Nahum  Saint-Preux</v>
      </c>
      <c r="F17632" t="str">
        <f>"CRIT THINK ST SKLS"</f>
        <v>CRIT THINK ST SKLS</v>
      </c>
      <c r="G17632" t="str">
        <f>"17-1712"</f>
        <v>17-1712</v>
      </c>
      <c r="H17632" t="str">
        <f>"A"</f>
        <v>A</v>
      </c>
    </row>
    <row r="17633" spans="1:8" x14ac:dyDescent="0.2">
      <c r="A17633" t="str">
        <f t="shared" si="6397"/>
        <v>0623053236</v>
      </c>
      <c r="B17633" t="str">
        <f t="shared" si="6398"/>
        <v>DAMARIS</v>
      </c>
      <c r="C17633" t="str">
        <f t="shared" si="6399"/>
        <v>VILLATORO BENITEZ</v>
      </c>
      <c r="D17633">
        <f>12</f>
        <v>12</v>
      </c>
      <c r="E17633" t="str">
        <f>"06 - B - 110 - Barbara L Segal"</f>
        <v>06 - B - 110 - Barbara L Segal</v>
      </c>
      <c r="F17633" t="str">
        <f>"NC STUDY HALL 1"</f>
        <v>NC STUDY HALL 1</v>
      </c>
      <c r="G17633" t="str">
        <f>"17-1742"</f>
        <v>17-1742</v>
      </c>
      <c r="H17633" t="str">
        <f>"B"</f>
        <v>B</v>
      </c>
    </row>
    <row r="17634" spans="1:8" x14ac:dyDescent="0.2">
      <c r="A17634" t="str">
        <f t="shared" si="6397"/>
        <v>0623053236</v>
      </c>
      <c r="B17634" t="str">
        <f t="shared" si="6398"/>
        <v>DAMARIS</v>
      </c>
      <c r="C17634" t="str">
        <f t="shared" si="6399"/>
        <v>VILLATORO BENITEZ</v>
      </c>
      <c r="D17634">
        <f>12</f>
        <v>12</v>
      </c>
      <c r="E17634" t="str">
        <f>"03 - A - 208 - Marielle A Witting"</f>
        <v>03 - A - 208 - Marielle A Witting</v>
      </c>
      <c r="F17634" t="str">
        <f>"ANAT PHYSIO"</f>
        <v>ANAT PHYSIO</v>
      </c>
      <c r="G17634" t="str">
        <f>"08-805"</f>
        <v>08-805</v>
      </c>
      <c r="H17634" t="str">
        <f>"A"</f>
        <v>A</v>
      </c>
    </row>
    <row r="17635" spans="1:8" x14ac:dyDescent="0.2">
      <c r="A17635" t="str">
        <f t="shared" si="6397"/>
        <v>0623053236</v>
      </c>
      <c r="B17635" t="str">
        <f t="shared" si="6398"/>
        <v>DAMARIS</v>
      </c>
      <c r="C17635" t="str">
        <f t="shared" si="6399"/>
        <v>VILLATORO BENITEZ</v>
      </c>
      <c r="D17635">
        <f>12</f>
        <v>12</v>
      </c>
      <c r="E17635" t="str">
        <f>"02 - A - 101 - Nahum  Saint-Preux"</f>
        <v>02 - A - 101 - Nahum  Saint-Preux</v>
      </c>
      <c r="F17635" t="str">
        <f>"INTENS READ 4"</f>
        <v>INTENS READ 4</v>
      </c>
      <c r="G17635" t="str">
        <f>"17-1712"</f>
        <v>17-1712</v>
      </c>
      <c r="H17635" t="str">
        <f>"A"</f>
        <v>A</v>
      </c>
    </row>
    <row r="17636" spans="1:8" x14ac:dyDescent="0.2">
      <c r="A17636" t="str">
        <f t="shared" si="6397"/>
        <v>0623053236</v>
      </c>
      <c r="B17636" t="str">
        <f t="shared" si="6398"/>
        <v>DAMARIS</v>
      </c>
      <c r="C17636" t="str">
        <f t="shared" si="6399"/>
        <v>VILLATORO BENITEZ</v>
      </c>
      <c r="D17636">
        <f>12</f>
        <v>12</v>
      </c>
      <c r="E17636" t="str">
        <f>"07 - B - 102 - Tina L Lovett"</f>
        <v>07 - B - 102 - Tina L Lovett</v>
      </c>
      <c r="F17636" t="str">
        <f>"MATH DATA &amp; FIN LIT"</f>
        <v>MATH DATA &amp; FIN LIT</v>
      </c>
      <c r="G17636" t="str">
        <f>"21-2153"</f>
        <v>21-2153</v>
      </c>
      <c r="H17636" t="str">
        <f>"B"</f>
        <v>B</v>
      </c>
    </row>
    <row r="17637" spans="1:8" x14ac:dyDescent="0.2">
      <c r="A17637" t="str">
        <f t="shared" si="6397"/>
        <v>0623053236</v>
      </c>
      <c r="B17637" t="str">
        <f t="shared" si="6398"/>
        <v>DAMARIS</v>
      </c>
      <c r="C17637" t="str">
        <f t="shared" si="6399"/>
        <v>VILLATORO BENITEZ</v>
      </c>
      <c r="D17637">
        <f>12</f>
        <v>12</v>
      </c>
      <c r="E17637" t="str">
        <f>"05 - S1 - B - 102 - Richard E Dunbar Iii"</f>
        <v>05 - S1 - B - 102 - Richard E Dunbar Iii</v>
      </c>
      <c r="F17637" t="str">
        <f>"TEAM SPORTS 1"</f>
        <v>TEAM SPORTS 1</v>
      </c>
      <c r="G17637" t="str">
        <f>"04-254"</f>
        <v>04-254</v>
      </c>
      <c r="H17637" t="str">
        <f>"B"</f>
        <v>B</v>
      </c>
    </row>
    <row r="17638" spans="1:8" x14ac:dyDescent="0.2">
      <c r="A17638" t="str">
        <f t="shared" si="6397"/>
        <v>0623053236</v>
      </c>
      <c r="B17638" t="str">
        <f t="shared" si="6398"/>
        <v>DAMARIS</v>
      </c>
      <c r="C17638" t="str">
        <f t="shared" si="6399"/>
        <v>VILLATORO BENITEZ</v>
      </c>
      <c r="D17638">
        <f>12</f>
        <v>12</v>
      </c>
      <c r="E17638" t="str">
        <f>"01 - S1 - A - 101 - Robert O Burger"</f>
        <v>01 - S1 - A - 101 - Robert O Burger</v>
      </c>
      <c r="F17638" t="str">
        <f>"US GOVT"</f>
        <v>US GOVT</v>
      </c>
      <c r="G17638" t="str">
        <f>"17-1755"</f>
        <v>17-1755</v>
      </c>
      <c r="H17638" t="str">
        <f>"A"</f>
        <v>A</v>
      </c>
    </row>
    <row r="17639" spans="1:8" x14ac:dyDescent="0.2">
      <c r="A17639" t="str">
        <f t="shared" si="6397"/>
        <v>0623053236</v>
      </c>
      <c r="B17639" t="str">
        <f t="shared" si="6398"/>
        <v>DAMARIS</v>
      </c>
      <c r="C17639" t="str">
        <f t="shared" si="6399"/>
        <v>VILLATORO BENITEZ</v>
      </c>
      <c r="D17639">
        <f>12</f>
        <v>12</v>
      </c>
      <c r="E17639" t="str">
        <f>"08 - B - 206 - Robyn L Trainer"</f>
        <v>08 - B - 206 - Robyn L Trainer</v>
      </c>
      <c r="F17639" t="str">
        <f>"ENG 4: FL COLL PREP"</f>
        <v>ENG 4: FL COLL PREP</v>
      </c>
      <c r="G17639" t="str">
        <f>"17-1734"</f>
        <v>17-1734</v>
      </c>
      <c r="H17639" t="str">
        <f>"B"</f>
        <v>B</v>
      </c>
    </row>
    <row r="17640" spans="1:8" x14ac:dyDescent="0.2">
      <c r="A17640" t="str">
        <f t="shared" ref="A17640:A17647" si="6400">"0623053065"</f>
        <v>0623053065</v>
      </c>
      <c r="B17640" t="str">
        <f t="shared" ref="B17640:B17647" si="6401">"SINDY"</f>
        <v>SINDY</v>
      </c>
      <c r="C17640" t="str">
        <f t="shared" si="6399"/>
        <v>VILLATORO BENITEZ</v>
      </c>
      <c r="D17640">
        <f>12</f>
        <v>12</v>
      </c>
      <c r="E17640" t="str">
        <f>"04 - A - 205 - Robyn L Trainer"</f>
        <v>04 - A - 205 - Robyn L Trainer</v>
      </c>
      <c r="F17640" t="str">
        <f>"ENG 4: FL COLL PREP"</f>
        <v>ENG 4: FL COLL PREP</v>
      </c>
      <c r="G17640" t="str">
        <f>"17-1734"</f>
        <v>17-1734</v>
      </c>
      <c r="H17640" t="str">
        <f>"A"</f>
        <v>A</v>
      </c>
    </row>
    <row r="17641" spans="1:8" x14ac:dyDescent="0.2">
      <c r="A17641" t="str">
        <f t="shared" si="6400"/>
        <v>0623053065</v>
      </c>
      <c r="B17641" t="str">
        <f t="shared" si="6401"/>
        <v>SINDY</v>
      </c>
      <c r="C17641" t="str">
        <f t="shared" si="6399"/>
        <v>VILLATORO BENITEZ</v>
      </c>
      <c r="D17641">
        <f>12</f>
        <v>12</v>
      </c>
      <c r="E17641" t="str">
        <f>"06 - B - 104 - Lissa C Frederique"</f>
        <v>06 - B - 104 - Lissa C Frederique</v>
      </c>
      <c r="F17641" t="str">
        <f>"NC STUDY HALL 1"</f>
        <v>NC STUDY HALL 1</v>
      </c>
      <c r="G17641" t="str">
        <f>"17-1754"</f>
        <v>17-1754</v>
      </c>
      <c r="H17641" t="str">
        <f>"B"</f>
        <v>B</v>
      </c>
    </row>
    <row r="17642" spans="1:8" x14ac:dyDescent="0.2">
      <c r="A17642" t="str">
        <f t="shared" si="6400"/>
        <v>0623053065</v>
      </c>
      <c r="B17642" t="str">
        <f t="shared" si="6401"/>
        <v>SINDY</v>
      </c>
      <c r="C17642" t="str">
        <f t="shared" si="6399"/>
        <v>VILLATORO BENITEZ</v>
      </c>
      <c r="D17642">
        <f>12</f>
        <v>12</v>
      </c>
      <c r="E17642" t="str">
        <f>"03 - A - 101 - Tina L Lovett"</f>
        <v>03 - A - 101 - Tina L Lovett</v>
      </c>
      <c r="F17642" t="str">
        <f>"MATH DATA &amp; FIN LIT"</f>
        <v>MATH DATA &amp; FIN LIT</v>
      </c>
      <c r="G17642" t="str">
        <f>"21-2153"</f>
        <v>21-2153</v>
      </c>
      <c r="H17642" t="str">
        <f>"A"</f>
        <v>A</v>
      </c>
    </row>
    <row r="17643" spans="1:8" x14ac:dyDescent="0.2">
      <c r="A17643" t="str">
        <f t="shared" si="6400"/>
        <v>0623053065</v>
      </c>
      <c r="B17643" t="str">
        <f t="shared" si="6401"/>
        <v>SINDY</v>
      </c>
      <c r="C17643" t="str">
        <f t="shared" si="6399"/>
        <v>VILLATORO BENITEZ</v>
      </c>
      <c r="D17643">
        <f>12</f>
        <v>12</v>
      </c>
      <c r="E17643" t="str">
        <f>"02 - A - 101 - Nahum  Saint-Preux"</f>
        <v>02 - A - 101 - Nahum  Saint-Preux</v>
      </c>
      <c r="F17643" t="str">
        <f>"INTENS READ 4"</f>
        <v>INTENS READ 4</v>
      </c>
      <c r="G17643" t="str">
        <f>"17-1712"</f>
        <v>17-1712</v>
      </c>
      <c r="H17643" t="str">
        <f>"A"</f>
        <v>A</v>
      </c>
    </row>
    <row r="17644" spans="1:8" x14ac:dyDescent="0.2">
      <c r="A17644" t="str">
        <f t="shared" si="6400"/>
        <v>0623053065</v>
      </c>
      <c r="B17644" t="str">
        <f t="shared" si="6401"/>
        <v>SINDY</v>
      </c>
      <c r="C17644" t="str">
        <f t="shared" si="6399"/>
        <v>VILLATORO BENITEZ</v>
      </c>
      <c r="D17644">
        <f>12</f>
        <v>12</v>
      </c>
      <c r="E17644" t="str">
        <f>"07 - S1 - B - 103 - Leslie J Barton"</f>
        <v>07 - S1 - B - 103 - Leslie J Barton</v>
      </c>
      <c r="F17644" t="str">
        <f>"TEAM SPORTS 1"</f>
        <v>TEAM SPORTS 1</v>
      </c>
      <c r="G17644" t="str">
        <f>"04-254"</f>
        <v>04-254</v>
      </c>
      <c r="H17644" t="str">
        <f>"B"</f>
        <v>B</v>
      </c>
    </row>
    <row r="17645" spans="1:8" x14ac:dyDescent="0.2">
      <c r="A17645" t="str">
        <f t="shared" si="6400"/>
        <v>0623053065</v>
      </c>
      <c r="B17645" t="str">
        <f t="shared" si="6401"/>
        <v>SINDY</v>
      </c>
      <c r="C17645" t="str">
        <f t="shared" si="6399"/>
        <v>VILLATORO BENITEZ</v>
      </c>
      <c r="D17645">
        <f>12</f>
        <v>12</v>
      </c>
      <c r="E17645" t="str">
        <f>"05 - B - 207 - Marielle A Witting"</f>
        <v>05 - B - 207 - Marielle A Witting</v>
      </c>
      <c r="F17645" t="str">
        <f>"ANAT PHYSIO"</f>
        <v>ANAT PHYSIO</v>
      </c>
      <c r="G17645" t="str">
        <f>"08-805"</f>
        <v>08-805</v>
      </c>
      <c r="H17645" t="str">
        <f>"B"</f>
        <v>B</v>
      </c>
    </row>
    <row r="17646" spans="1:8" x14ac:dyDescent="0.2">
      <c r="A17646" t="str">
        <f t="shared" si="6400"/>
        <v>0623053065</v>
      </c>
      <c r="B17646" t="str">
        <f t="shared" si="6401"/>
        <v>SINDY</v>
      </c>
      <c r="C17646" t="str">
        <f t="shared" si="6399"/>
        <v>VILLATORO BENITEZ</v>
      </c>
      <c r="D17646">
        <f>12</f>
        <v>12</v>
      </c>
      <c r="E17646" t="str">
        <f>"01 - S1 - A - 101 - Robert O Burger"</f>
        <v>01 - S1 - A - 101 - Robert O Burger</v>
      </c>
      <c r="F17646" t="str">
        <f>"US GOVT"</f>
        <v>US GOVT</v>
      </c>
      <c r="G17646" t="str">
        <f>"17-1755"</f>
        <v>17-1755</v>
      </c>
      <c r="H17646" t="str">
        <f>"A"</f>
        <v>A</v>
      </c>
    </row>
    <row r="17647" spans="1:8" x14ac:dyDescent="0.2">
      <c r="A17647" t="str">
        <f t="shared" si="6400"/>
        <v>0623053065</v>
      </c>
      <c r="B17647" t="str">
        <f t="shared" si="6401"/>
        <v>SINDY</v>
      </c>
      <c r="C17647" t="str">
        <f t="shared" si="6399"/>
        <v>VILLATORO BENITEZ</v>
      </c>
      <c r="D17647">
        <f>12</f>
        <v>12</v>
      </c>
      <c r="E17647" t="str">
        <f>"08 - B - 101 - Rosa Elaine  Collado-Duff"</f>
        <v>08 - B - 101 - Rosa Elaine  Collado-Duff</v>
      </c>
      <c r="F17647" t="str">
        <f>"AP SPANISH LANG &amp; CU"</f>
        <v>AP SPANISH LANG &amp; CU</v>
      </c>
      <c r="G17647" t="str">
        <f>"09-913"</f>
        <v>09-913</v>
      </c>
      <c r="H17647" t="str">
        <f>"B"</f>
        <v>B</v>
      </c>
    </row>
    <row r="17648" spans="1:8" x14ac:dyDescent="0.2">
      <c r="A17648" t="str">
        <f t="shared" ref="A17648:A17656" si="6402">"0615093344"</f>
        <v>0615093344</v>
      </c>
      <c r="B17648" t="str">
        <f t="shared" ref="B17648:B17656" si="6403">"NICOLE"</f>
        <v>NICOLE</v>
      </c>
      <c r="C17648" t="str">
        <f t="shared" ref="C17648:C17656" si="6404">"VINASCO-MARTINEZ"</f>
        <v>VINASCO-MARTINEZ</v>
      </c>
      <c r="D17648" t="str">
        <f t="shared" ref="D17648:D17664" si="6405">"09"</f>
        <v>09</v>
      </c>
      <c r="E17648" t="str">
        <f>"04 - A - 102 - Josiah I Lacy"</f>
        <v>04 - A - 102 - Josiah I Lacy</v>
      </c>
      <c r="F17648" t="str">
        <f>"PRE-AICE BIO IG"</f>
        <v>PRE-AICE BIO IG</v>
      </c>
      <c r="G17648" t="str">
        <f>"08-801"</f>
        <v>08-801</v>
      </c>
      <c r="H17648" t="str">
        <f>"A"</f>
        <v>A</v>
      </c>
    </row>
    <row r="17649" spans="1:8" x14ac:dyDescent="0.2">
      <c r="A17649" t="str">
        <f t="shared" si="6402"/>
        <v>0615093344</v>
      </c>
      <c r="B17649" t="str">
        <f t="shared" si="6403"/>
        <v>NICOLE</v>
      </c>
      <c r="C17649" t="str">
        <f t="shared" si="6404"/>
        <v>VINASCO-MARTINEZ</v>
      </c>
      <c r="D17649" t="str">
        <f t="shared" si="6405"/>
        <v>09</v>
      </c>
      <c r="E17649" t="str">
        <f>"06 - B - 101 - Fernando  Vega-Cid"</f>
        <v>06 - B - 101 - Fernando  Vega-Cid</v>
      </c>
      <c r="F17649" t="str">
        <f>"PRE-AICE MATH 2 IG"</f>
        <v>PRE-AICE MATH 2 IG</v>
      </c>
      <c r="G17649" t="str">
        <f>"21-2163"</f>
        <v>21-2163</v>
      </c>
      <c r="H17649" t="str">
        <f>"B"</f>
        <v>B</v>
      </c>
    </row>
    <row r="17650" spans="1:8" x14ac:dyDescent="0.2">
      <c r="A17650" t="str">
        <f t="shared" si="6402"/>
        <v>0615093344</v>
      </c>
      <c r="B17650" t="str">
        <f t="shared" si="6403"/>
        <v>NICOLE</v>
      </c>
      <c r="C17650" t="str">
        <f t="shared" si="6404"/>
        <v>VINASCO-MARTINEZ</v>
      </c>
      <c r="D17650" t="str">
        <f t="shared" si="6405"/>
        <v>09</v>
      </c>
      <c r="E17650" t="str">
        <f>"03 - A - 102 - Rory T Sponsler"</f>
        <v>03 - A - 102 - Rory T Sponsler</v>
      </c>
      <c r="F17650" t="str">
        <f>"PRE-AICE WRLD HST IG"</f>
        <v>PRE-AICE WRLD HST IG</v>
      </c>
      <c r="G17650" t="str">
        <f>"17-1740"</f>
        <v>17-1740</v>
      </c>
      <c r="H17650" t="str">
        <f>"A"</f>
        <v>A</v>
      </c>
    </row>
    <row r="17651" spans="1:8" x14ac:dyDescent="0.2">
      <c r="A17651" t="str">
        <f t="shared" si="6402"/>
        <v>0615093344</v>
      </c>
      <c r="B17651" t="str">
        <f t="shared" si="6403"/>
        <v>NICOLE</v>
      </c>
      <c r="C17651" t="str">
        <f t="shared" si="6404"/>
        <v>VINASCO-MARTINEZ</v>
      </c>
      <c r="D17651" t="str">
        <f t="shared" si="6405"/>
        <v>09</v>
      </c>
      <c r="E17651" t="str">
        <f>"02 - A - 102 - Samantha J Headley"</f>
        <v>02 - A - 102 - Samantha J Headley</v>
      </c>
      <c r="F17651" t="str">
        <f>"NC STUDY HALL 1"</f>
        <v>NC STUDY HALL 1</v>
      </c>
      <c r="G17651" t="str">
        <f>"21-2134"</f>
        <v>21-2134</v>
      </c>
      <c r="H17651" t="str">
        <f>"A"</f>
        <v>A</v>
      </c>
    </row>
    <row r="17652" spans="1:8" x14ac:dyDescent="0.2">
      <c r="A17652" t="str">
        <f t="shared" si="6402"/>
        <v>0615093344</v>
      </c>
      <c r="B17652" t="str">
        <f t="shared" si="6403"/>
        <v>NICOLE</v>
      </c>
      <c r="C17652" t="str">
        <f t="shared" si="6404"/>
        <v>VINASCO-MARTINEZ</v>
      </c>
      <c r="D17652" t="str">
        <f t="shared" si="6405"/>
        <v>09</v>
      </c>
      <c r="E17652" t="str">
        <f>"02 - A - 102 - Eric  Lopapa"</f>
        <v>02 - A - 102 - Eric  Lopapa</v>
      </c>
      <c r="F17652" t="str">
        <f>"LANG THERAPY"</f>
        <v>LANG THERAPY</v>
      </c>
      <c r="G17652" t="str">
        <f>"21-2110"</f>
        <v>21-2110</v>
      </c>
      <c r="H17652" t="str">
        <f>"A"</f>
        <v>A</v>
      </c>
    </row>
    <row r="17653" spans="1:8" x14ac:dyDescent="0.2">
      <c r="A17653" t="str">
        <f t="shared" si="6402"/>
        <v>0615093344</v>
      </c>
      <c r="B17653" t="str">
        <f t="shared" si="6403"/>
        <v>NICOLE</v>
      </c>
      <c r="C17653" t="str">
        <f t="shared" si="6404"/>
        <v>VINASCO-MARTINEZ</v>
      </c>
      <c r="D17653" t="str">
        <f t="shared" si="6405"/>
        <v>09</v>
      </c>
      <c r="E17653" t="str">
        <f>"07 - B - 105 - Joe  Kilpatrick Jr"</f>
        <v>07 - B - 105 - Joe  Kilpatrick Jr</v>
      </c>
      <c r="F17653" t="str">
        <f>"PRE-AICE SPAN 1 IG"</f>
        <v>PRE-AICE SPAN 1 IG</v>
      </c>
      <c r="G17653" t="str">
        <f>"09-912"</f>
        <v>09-912</v>
      </c>
      <c r="H17653" t="str">
        <f>"B"</f>
        <v>B</v>
      </c>
    </row>
    <row r="17654" spans="1:8" x14ac:dyDescent="0.2">
      <c r="A17654" t="str">
        <f t="shared" si="6402"/>
        <v>0615093344</v>
      </c>
      <c r="B17654" t="str">
        <f t="shared" si="6403"/>
        <v>NICOLE</v>
      </c>
      <c r="C17654" t="str">
        <f t="shared" si="6404"/>
        <v>VINASCO-MARTINEZ</v>
      </c>
      <c r="D17654" t="str">
        <f t="shared" si="6405"/>
        <v>09</v>
      </c>
      <c r="E17654" t="str">
        <f>"05 - B - 105 - Marius D Orsolini"</f>
        <v>05 - B - 105 - Marius D Orsolini</v>
      </c>
      <c r="F17654" t="str">
        <f>"CULINARY ARTS 1"</f>
        <v>CULINARY ARTS 1</v>
      </c>
      <c r="G17654" t="str">
        <f>"21-2115"</f>
        <v>21-2115</v>
      </c>
      <c r="H17654" t="str">
        <f>"B"</f>
        <v>B</v>
      </c>
    </row>
    <row r="17655" spans="1:8" x14ac:dyDescent="0.2">
      <c r="A17655" t="str">
        <f t="shared" si="6402"/>
        <v>0615093344</v>
      </c>
      <c r="B17655" t="str">
        <f t="shared" si="6403"/>
        <v>NICOLE</v>
      </c>
      <c r="C17655" t="str">
        <f t="shared" si="6404"/>
        <v>VINASCO-MARTINEZ</v>
      </c>
      <c r="D17655" t="str">
        <f t="shared" si="6405"/>
        <v>09</v>
      </c>
      <c r="E17655" t="str">
        <f>"01 - A - 101 - Elizabeth R Walker"</f>
        <v>01 - A - 101 - Elizabeth R Walker</v>
      </c>
      <c r="F17655" t="str">
        <f>"AICE ENG GEN PAPER 1"</f>
        <v>AICE ENG GEN PAPER 1</v>
      </c>
      <c r="G17655" t="str">
        <f>"17-1703"</f>
        <v>17-1703</v>
      </c>
      <c r="H17655" t="str">
        <f>"A"</f>
        <v>A</v>
      </c>
    </row>
    <row r="17656" spans="1:8" x14ac:dyDescent="0.2">
      <c r="A17656" t="str">
        <f t="shared" si="6402"/>
        <v>0615093344</v>
      </c>
      <c r="B17656" t="str">
        <f t="shared" si="6403"/>
        <v>NICOLE</v>
      </c>
      <c r="C17656" t="str">
        <f t="shared" si="6404"/>
        <v>VINASCO-MARTINEZ</v>
      </c>
      <c r="D17656" t="str">
        <f t="shared" si="6405"/>
        <v>09</v>
      </c>
      <c r="E17656" t="str">
        <f>"08 - B - 103 - Jeanne M Bermudez"</f>
        <v>08 - B - 103 - Jeanne M Bermudez</v>
      </c>
      <c r="F17656" t="str">
        <f>"ADVANCED IT HON"</f>
        <v>ADVANCED IT HON</v>
      </c>
      <c r="G17656" t="str">
        <f>"21-2141"</f>
        <v>21-2141</v>
      </c>
      <c r="H17656" t="str">
        <f>"B"</f>
        <v>B</v>
      </c>
    </row>
    <row r="17657" spans="1:8" x14ac:dyDescent="0.2">
      <c r="A17657" t="str">
        <f t="shared" ref="A17657:A17664" si="6406">"0613084177"</f>
        <v>0613084177</v>
      </c>
      <c r="B17657" t="str">
        <f t="shared" ref="B17657:B17664" si="6407">"JADEN"</f>
        <v>JADEN</v>
      </c>
      <c r="C17657" t="str">
        <f t="shared" ref="C17657:C17664" si="6408">"VINSON"</f>
        <v>VINSON</v>
      </c>
      <c r="D17657" t="str">
        <f t="shared" si="6405"/>
        <v>09</v>
      </c>
      <c r="E17657" t="str">
        <f>"04 - A - 104 - Helen A Flores"</f>
        <v>04 - A - 104 - Helen A Flores</v>
      </c>
      <c r="F17657" t="str">
        <f>"FDN SKLS MATH 9-12"</f>
        <v>FDN SKLS MATH 9-12</v>
      </c>
      <c r="G17657" t="str">
        <f>"21-2101"</f>
        <v>21-2101</v>
      </c>
      <c r="H17657" t="str">
        <f>"A"</f>
        <v>A</v>
      </c>
    </row>
    <row r="17658" spans="1:8" x14ac:dyDescent="0.2">
      <c r="A17658" t="str">
        <f t="shared" si="6406"/>
        <v>0613084177</v>
      </c>
      <c r="B17658" t="str">
        <f t="shared" si="6407"/>
        <v>JADEN</v>
      </c>
      <c r="C17658" t="str">
        <f t="shared" si="6408"/>
        <v>VINSON</v>
      </c>
      <c r="D17658" t="str">
        <f t="shared" si="6405"/>
        <v>09</v>
      </c>
      <c r="E17658" t="str">
        <f>"06 - B - 102 - Angela S Adeshina-Morrison"</f>
        <v>06 - B - 102 - Angela S Adeshina-Morrison</v>
      </c>
      <c r="F17658" t="str">
        <f>"MARKETING ESSENTIALS"</f>
        <v>MARKETING ESSENTIALS</v>
      </c>
      <c r="G17658" t="str">
        <f>"05-518"</f>
        <v>05-518</v>
      </c>
      <c r="H17658" t="str">
        <f>"B"</f>
        <v>B</v>
      </c>
    </row>
    <row r="17659" spans="1:8" x14ac:dyDescent="0.2">
      <c r="A17659" t="str">
        <f t="shared" si="6406"/>
        <v>0613084177</v>
      </c>
      <c r="B17659" t="str">
        <f t="shared" si="6407"/>
        <v>JADEN</v>
      </c>
      <c r="C17659" t="str">
        <f t="shared" si="6408"/>
        <v>VINSON</v>
      </c>
      <c r="D17659" t="str">
        <f t="shared" si="6405"/>
        <v>09</v>
      </c>
      <c r="E17659" t="str">
        <f>"03 - A - 109 - Lissa C Frederique"</f>
        <v>03 - A - 109 - Lissa C Frederique</v>
      </c>
      <c r="F17659" t="str">
        <f>"WORLD HISTORY"</f>
        <v>WORLD HISTORY</v>
      </c>
      <c r="G17659" t="str">
        <f>"17-1754"</f>
        <v>17-1754</v>
      </c>
      <c r="H17659" t="str">
        <f>"A"</f>
        <v>A</v>
      </c>
    </row>
    <row r="17660" spans="1:8" x14ac:dyDescent="0.2">
      <c r="A17660" t="str">
        <f t="shared" si="6406"/>
        <v>0613084177</v>
      </c>
      <c r="B17660" t="str">
        <f t="shared" si="6407"/>
        <v>JADEN</v>
      </c>
      <c r="C17660" t="str">
        <f t="shared" si="6408"/>
        <v>VINSON</v>
      </c>
      <c r="D17660" t="str">
        <f t="shared" si="6405"/>
        <v>09</v>
      </c>
      <c r="E17660" t="str">
        <f>"02 - A - 114 - Laselleda D Shaw"</f>
        <v>02 - A - 114 - Laselleda D Shaw</v>
      </c>
      <c r="F17660" t="str">
        <f>"NC STUDY HALL 1"</f>
        <v>NC STUDY HALL 1</v>
      </c>
      <c r="G17660" t="str">
        <f>"17-1723"</f>
        <v>17-1723</v>
      </c>
      <c r="H17660" t="str">
        <f>"A"</f>
        <v>A</v>
      </c>
    </row>
    <row r="17661" spans="1:8" x14ac:dyDescent="0.2">
      <c r="A17661" t="str">
        <f t="shared" si="6406"/>
        <v>0613084177</v>
      </c>
      <c r="B17661" t="str">
        <f t="shared" si="6407"/>
        <v>JADEN</v>
      </c>
      <c r="C17661" t="str">
        <f t="shared" si="6408"/>
        <v>VINSON</v>
      </c>
      <c r="D17661" t="str">
        <f t="shared" si="6405"/>
        <v>09</v>
      </c>
      <c r="E17661" t="str">
        <f>"07 - B - 107 - Cerine S Stewart"</f>
        <v>07 - B - 107 - Cerine S Stewart</v>
      </c>
      <c r="F17661" t="str">
        <f>"ENG 1"</f>
        <v>ENG 1</v>
      </c>
      <c r="G17661" t="str">
        <f>"17-1720"</f>
        <v>17-1720</v>
      </c>
      <c r="H17661" t="str">
        <f>"B"</f>
        <v>B</v>
      </c>
    </row>
    <row r="17662" spans="1:8" x14ac:dyDescent="0.2">
      <c r="A17662" t="str">
        <f t="shared" si="6406"/>
        <v>0613084177</v>
      </c>
      <c r="B17662" t="str">
        <f t="shared" si="6407"/>
        <v>JADEN</v>
      </c>
      <c r="C17662" t="str">
        <f t="shared" si="6408"/>
        <v>VINSON</v>
      </c>
      <c r="D17662" t="str">
        <f t="shared" si="6405"/>
        <v>09</v>
      </c>
      <c r="E17662" t="str">
        <f>"05 - B - 001 - Laselleda D Shaw"</f>
        <v>05 - B - 001 - Laselleda D Shaw</v>
      </c>
      <c r="F17662" t="str">
        <f>"INTENS READ 1"</f>
        <v>INTENS READ 1</v>
      </c>
      <c r="G17662" t="str">
        <f>"17-1723"</f>
        <v>17-1723</v>
      </c>
      <c r="H17662" t="str">
        <f>"B"</f>
        <v>B</v>
      </c>
    </row>
    <row r="17663" spans="1:8" x14ac:dyDescent="0.2">
      <c r="A17663" t="str">
        <f t="shared" si="6406"/>
        <v>0613084177</v>
      </c>
      <c r="B17663" t="str">
        <f t="shared" si="6407"/>
        <v>JADEN</v>
      </c>
      <c r="C17663" t="str">
        <f t="shared" si="6408"/>
        <v>VINSON</v>
      </c>
      <c r="D17663" t="str">
        <f t="shared" si="6405"/>
        <v>09</v>
      </c>
      <c r="E17663" t="str">
        <f>"01 - A - 103 - Amy Beth  Broyles"</f>
        <v>01 - A - 103 - Amy Beth  Broyles</v>
      </c>
      <c r="F17663" t="str">
        <f>"ENV SCI"</f>
        <v>ENV SCI</v>
      </c>
      <c r="G17663" t="str">
        <f>"08-802"</f>
        <v>08-802</v>
      </c>
      <c r="H17663" t="str">
        <f>"A"</f>
        <v>A</v>
      </c>
    </row>
    <row r="17664" spans="1:8" x14ac:dyDescent="0.2">
      <c r="A17664" t="str">
        <f t="shared" si="6406"/>
        <v>0613084177</v>
      </c>
      <c r="B17664" t="str">
        <f t="shared" si="6407"/>
        <v>JADEN</v>
      </c>
      <c r="C17664" t="str">
        <f t="shared" si="6408"/>
        <v>VINSON</v>
      </c>
      <c r="D17664" t="str">
        <f t="shared" si="6405"/>
        <v>09</v>
      </c>
      <c r="E17664" t="str">
        <f>"08 - B - 106 - Helen A Flores"</f>
        <v>08 - B - 106 - Helen A Flores</v>
      </c>
      <c r="F17664" t="str">
        <f>"ALGEBRA 1"</f>
        <v>ALGEBRA 1</v>
      </c>
      <c r="G17664" t="str">
        <f>"21-2101"</f>
        <v>21-2101</v>
      </c>
      <c r="H17664" t="str">
        <f>"B"</f>
        <v>B</v>
      </c>
    </row>
    <row r="17665" spans="1:8" x14ac:dyDescent="0.2">
      <c r="A17665" t="str">
        <f t="shared" ref="A17665:A17672" si="6409">"0614106904"</f>
        <v>0614106904</v>
      </c>
      <c r="B17665" t="str">
        <f t="shared" ref="B17665:B17672" si="6410">"VALERIA"</f>
        <v>VALERIA</v>
      </c>
      <c r="C17665" t="str">
        <f t="shared" ref="C17665:C17672" si="6411">"VISCARRA"</f>
        <v>VISCARRA</v>
      </c>
      <c r="D17665">
        <f>11</f>
        <v>11</v>
      </c>
      <c r="E17665" t="str">
        <f>"04 - A - 101 - Jerry S Jiampetti"</f>
        <v>04 - A - 101 - Jerry S Jiampetti</v>
      </c>
      <c r="F17665" t="str">
        <f>"AICE U.S. HIST 1 AS"</f>
        <v>AICE U.S. HIST 1 AS</v>
      </c>
      <c r="G17665" t="str">
        <f>"17-1751"</f>
        <v>17-1751</v>
      </c>
      <c r="H17665" t="str">
        <f>"A"</f>
        <v>A</v>
      </c>
    </row>
    <row r="17666" spans="1:8" x14ac:dyDescent="0.2">
      <c r="A17666" t="str">
        <f t="shared" si="6409"/>
        <v>0614106904</v>
      </c>
      <c r="B17666" t="str">
        <f t="shared" si="6410"/>
        <v>VALERIA</v>
      </c>
      <c r="C17666" t="str">
        <f t="shared" si="6411"/>
        <v>VISCARRA</v>
      </c>
      <c r="D17666">
        <f>11</f>
        <v>11</v>
      </c>
      <c r="E17666" t="str">
        <f>"06 - B - 204 - Chrystina M Marchionne"</f>
        <v>06 - B - 204 - Chrystina M Marchionne</v>
      </c>
      <c r="F17666" t="str">
        <f>"AICE MEDIASTUDIES AS"</f>
        <v>AICE MEDIASTUDIES AS</v>
      </c>
      <c r="G17666" t="str">
        <f>"05-520"</f>
        <v>05-520</v>
      </c>
      <c r="H17666" t="str">
        <f>"B"</f>
        <v>B</v>
      </c>
    </row>
    <row r="17667" spans="1:8" x14ac:dyDescent="0.2">
      <c r="A17667" t="str">
        <f t="shared" si="6409"/>
        <v>0614106904</v>
      </c>
      <c r="B17667" t="str">
        <f t="shared" si="6410"/>
        <v>VALERIA</v>
      </c>
      <c r="C17667" t="str">
        <f t="shared" si="6411"/>
        <v>VISCARRA</v>
      </c>
      <c r="D17667">
        <f>11</f>
        <v>11</v>
      </c>
      <c r="E17667" t="str">
        <f>"03 - A - 102 - Thomas G Handwerg"</f>
        <v>03 - A - 102 - Thomas G Handwerg</v>
      </c>
      <c r="F17667" t="str">
        <f>"MATH COLL ALGEBRA"</f>
        <v>MATH COLL ALGEBRA</v>
      </c>
      <c r="G17667" t="str">
        <f>"21-2146"</f>
        <v>21-2146</v>
      </c>
      <c r="H17667" t="str">
        <f>"A"</f>
        <v>A</v>
      </c>
    </row>
    <row r="17668" spans="1:8" x14ac:dyDescent="0.2">
      <c r="A17668" t="str">
        <f t="shared" si="6409"/>
        <v>0614106904</v>
      </c>
      <c r="B17668" t="str">
        <f t="shared" si="6410"/>
        <v>VALERIA</v>
      </c>
      <c r="C17668" t="str">
        <f t="shared" si="6411"/>
        <v>VISCARRA</v>
      </c>
      <c r="D17668">
        <f>11</f>
        <v>11</v>
      </c>
      <c r="E17668" t="str">
        <f>"02 - A - 101 - Timothy J Lawrence"</f>
        <v>02 - A - 101 - Timothy J Lawrence</v>
      </c>
      <c r="F17668" t="str">
        <f>"NC STUDY HALL 1"</f>
        <v>NC STUDY HALL 1</v>
      </c>
      <c r="G17668" t="str">
        <f>"05-522"</f>
        <v>05-522</v>
      </c>
      <c r="H17668" t="str">
        <f>"A"</f>
        <v>A</v>
      </c>
    </row>
    <row r="17669" spans="1:8" x14ac:dyDescent="0.2">
      <c r="A17669" t="str">
        <f t="shared" si="6409"/>
        <v>0614106904</v>
      </c>
      <c r="B17669" t="str">
        <f t="shared" si="6410"/>
        <v>VALERIA</v>
      </c>
      <c r="C17669" t="str">
        <f t="shared" si="6411"/>
        <v>VISCARRA</v>
      </c>
      <c r="D17669">
        <f>11</f>
        <v>11</v>
      </c>
      <c r="E17669" t="str">
        <f>"07 - B - 204 - Scott A Dethloff"</f>
        <v>07 - B - 204 - Scott A Dethloff</v>
      </c>
      <c r="F17669" t="str">
        <f>"CHEMISTRY 1"</f>
        <v>CHEMISTRY 1</v>
      </c>
      <c r="G17669" t="str">
        <f>"08-812"</f>
        <v>08-812</v>
      </c>
      <c r="H17669" t="str">
        <f>"B"</f>
        <v>B</v>
      </c>
    </row>
    <row r="17670" spans="1:8" x14ac:dyDescent="0.2">
      <c r="A17670" t="str">
        <f t="shared" si="6409"/>
        <v>0614106904</v>
      </c>
      <c r="B17670" t="str">
        <f t="shared" si="6410"/>
        <v>VALERIA</v>
      </c>
      <c r="C17670" t="str">
        <f t="shared" si="6411"/>
        <v>VISCARRA</v>
      </c>
      <c r="D17670">
        <f>11</f>
        <v>11</v>
      </c>
      <c r="E17670" t="str">
        <f>"05 - B - 102 - Jacklyn M James"</f>
        <v>05 - B - 102 - Jacklyn M James</v>
      </c>
      <c r="F17670" t="str">
        <f>"AICE ENG LANG AS"</f>
        <v>AICE ENG LANG AS</v>
      </c>
      <c r="G17670" t="str">
        <f>"17-1731"</f>
        <v>17-1731</v>
      </c>
      <c r="H17670" t="str">
        <f>"B"</f>
        <v>B</v>
      </c>
    </row>
    <row r="17671" spans="1:8" x14ac:dyDescent="0.2">
      <c r="A17671" t="str">
        <f t="shared" si="6409"/>
        <v>0614106904</v>
      </c>
      <c r="B17671" t="str">
        <f t="shared" si="6410"/>
        <v>VALERIA</v>
      </c>
      <c r="C17671" t="str">
        <f t="shared" si="6411"/>
        <v>VISCARRA</v>
      </c>
      <c r="D17671">
        <f>11</f>
        <v>11</v>
      </c>
      <c r="E17671" t="str">
        <f>"01 - A - 001 - Brian M Fitzgerald"</f>
        <v>01 - A - 001 - Brian M Fitzgerald</v>
      </c>
      <c r="F17671" t="str">
        <f>"CERAM/POT 2"</f>
        <v>CERAM/POT 2</v>
      </c>
      <c r="G17671" t="str">
        <f>"09-908"</f>
        <v>09-908</v>
      </c>
      <c r="H17671" t="str">
        <f>"A"</f>
        <v>A</v>
      </c>
    </row>
    <row r="17672" spans="1:8" x14ac:dyDescent="0.2">
      <c r="A17672" t="str">
        <f t="shared" si="6409"/>
        <v>0614106904</v>
      </c>
      <c r="B17672" t="str">
        <f t="shared" si="6410"/>
        <v>VALERIA</v>
      </c>
      <c r="C17672" t="str">
        <f t="shared" si="6411"/>
        <v>VISCARRA</v>
      </c>
      <c r="D17672">
        <f>11</f>
        <v>11</v>
      </c>
      <c r="E17672" t="str">
        <f>"08 - B - 201 - Stacey A Blecker"</f>
        <v>08 - B - 201 - Stacey A Blecker</v>
      </c>
      <c r="F17672" t="str">
        <f>"AICE SOCIOLOGY 1 AS"</f>
        <v>AICE SOCIOLOGY 1 AS</v>
      </c>
      <c r="G17672" t="str">
        <f>"09-926"</f>
        <v>09-926</v>
      </c>
      <c r="H17672" t="str">
        <f>"B"</f>
        <v>B</v>
      </c>
    </row>
    <row r="17673" spans="1:8" x14ac:dyDescent="0.2">
      <c r="A17673" t="str">
        <f t="shared" ref="A17673:A17680" si="6412">"0615146787"</f>
        <v>0615146787</v>
      </c>
      <c r="B17673" t="str">
        <f t="shared" ref="B17673:B17680" si="6413">"JAKOBUS"</f>
        <v>JAKOBUS</v>
      </c>
      <c r="C17673" t="str">
        <f t="shared" ref="C17673:C17680" si="6414">"VISSER"</f>
        <v>VISSER</v>
      </c>
      <c r="D17673">
        <f>10</f>
        <v>10</v>
      </c>
      <c r="E17673" t="str">
        <f>"04 - A - 104 - Dayna M Foster"</f>
        <v>04 - A - 104 - Dayna M Foster</v>
      </c>
      <c r="F17673" t="str">
        <f>"ALGEBRA 2"</f>
        <v>ALGEBRA 2</v>
      </c>
      <c r="G17673" t="str">
        <f>"21-2109"</f>
        <v>21-2109</v>
      </c>
      <c r="H17673" t="str">
        <f>"A"</f>
        <v>A</v>
      </c>
    </row>
    <row r="17674" spans="1:8" x14ac:dyDescent="0.2">
      <c r="A17674" t="str">
        <f t="shared" si="6412"/>
        <v>0615146787</v>
      </c>
      <c r="B17674" t="str">
        <f t="shared" si="6413"/>
        <v>JAKOBUS</v>
      </c>
      <c r="C17674" t="str">
        <f t="shared" si="6414"/>
        <v>VISSER</v>
      </c>
      <c r="D17674">
        <f>10</f>
        <v>10</v>
      </c>
      <c r="E17674" t="str">
        <f>"06 - B - 107 - Dorothy D Moore"</f>
        <v>06 - B - 107 - Dorothy D Moore</v>
      </c>
      <c r="F17674" t="str">
        <f>"NC STUDY HALL 1"</f>
        <v>NC STUDY HALL 1</v>
      </c>
      <c r="G17674" t="str">
        <f>"08-803"</f>
        <v>08-803</v>
      </c>
      <c r="H17674" t="str">
        <f>"B"</f>
        <v>B</v>
      </c>
    </row>
    <row r="17675" spans="1:8" x14ac:dyDescent="0.2">
      <c r="A17675" t="str">
        <f t="shared" si="6412"/>
        <v>0615146787</v>
      </c>
      <c r="B17675" t="str">
        <f t="shared" si="6413"/>
        <v>JAKOBUS</v>
      </c>
      <c r="C17675" t="str">
        <f t="shared" si="6414"/>
        <v>VISSER</v>
      </c>
      <c r="D17675">
        <f>10</f>
        <v>10</v>
      </c>
      <c r="E17675" t="str">
        <f>"03 - A - 002 - Brandy N Zdenek"</f>
        <v>03 - A - 002 - Brandy N Zdenek</v>
      </c>
      <c r="F17675" t="str">
        <f>"AICE ENG LANG AS"</f>
        <v>AICE ENG LANG AS</v>
      </c>
      <c r="G17675" t="str">
        <f>"17-1704"</f>
        <v>17-1704</v>
      </c>
      <c r="H17675" t="str">
        <f>"A"</f>
        <v>A</v>
      </c>
    </row>
    <row r="17676" spans="1:8" x14ac:dyDescent="0.2">
      <c r="A17676" t="str">
        <f t="shared" si="6412"/>
        <v>0615146787</v>
      </c>
      <c r="B17676" t="str">
        <f t="shared" si="6413"/>
        <v>JAKOBUS</v>
      </c>
      <c r="C17676" t="str">
        <f t="shared" si="6414"/>
        <v>VISSER</v>
      </c>
      <c r="D17676">
        <f>10</f>
        <v>10</v>
      </c>
      <c r="E17676" t="str">
        <f>"02 - A - 201 - Jordana K Hass"</f>
        <v>02 - A - 201 - Jordana K Hass</v>
      </c>
      <c r="F17676" t="str">
        <f>"CHEMISTRY 1"</f>
        <v>CHEMISTRY 1</v>
      </c>
      <c r="G17676" t="str">
        <f>"08-807"</f>
        <v>08-807</v>
      </c>
      <c r="H17676" t="str">
        <f>"A"</f>
        <v>A</v>
      </c>
    </row>
    <row r="17677" spans="1:8" x14ac:dyDescent="0.2">
      <c r="A17677" t="str">
        <f t="shared" si="6412"/>
        <v>0615146787</v>
      </c>
      <c r="B17677" t="str">
        <f t="shared" si="6413"/>
        <v>JAKOBUS</v>
      </c>
      <c r="C17677" t="str">
        <f t="shared" si="6414"/>
        <v>VISSER</v>
      </c>
      <c r="D17677">
        <f>10</f>
        <v>10</v>
      </c>
      <c r="E17677" t="str">
        <f>"07 - S1 - B - 102 - Arthur  Kulawik"</f>
        <v>07 - S1 - B - 102 - Arthur  Kulawik</v>
      </c>
      <c r="F17677" t="str">
        <f>"PERS FIN &amp; MON MGT H"</f>
        <v>PERS FIN &amp; MON MGT H</v>
      </c>
      <c r="G17677" t="str">
        <f>"05-506"</f>
        <v>05-506</v>
      </c>
      <c r="H17677" t="str">
        <f>"B"</f>
        <v>B</v>
      </c>
    </row>
    <row r="17678" spans="1:8" x14ac:dyDescent="0.2">
      <c r="A17678" t="str">
        <f t="shared" si="6412"/>
        <v>0615146787</v>
      </c>
      <c r="B17678" t="str">
        <f t="shared" si="6413"/>
        <v>JAKOBUS</v>
      </c>
      <c r="C17678" t="str">
        <f t="shared" si="6414"/>
        <v>VISSER</v>
      </c>
      <c r="D17678">
        <f>10</f>
        <v>10</v>
      </c>
      <c r="E17678" t="str">
        <f>"05 - B - 003 - Krystal Marie  Beruty"</f>
        <v>05 - B - 003 - Krystal Marie  Beruty</v>
      </c>
      <c r="F17678" t="str">
        <f>"AICE GLBL PERSP 1 AS"</f>
        <v>AICE GLBL PERSP 1 AS</v>
      </c>
      <c r="G17678" t="str">
        <f>"17-1721"</f>
        <v>17-1721</v>
      </c>
      <c r="H17678" t="str">
        <f>"B"</f>
        <v>B</v>
      </c>
    </row>
    <row r="17679" spans="1:8" x14ac:dyDescent="0.2">
      <c r="A17679" t="str">
        <f t="shared" si="6412"/>
        <v>0615146787</v>
      </c>
      <c r="B17679" t="str">
        <f t="shared" si="6413"/>
        <v>JAKOBUS</v>
      </c>
      <c r="C17679" t="str">
        <f t="shared" si="6414"/>
        <v>VISSER</v>
      </c>
      <c r="D17679">
        <f>10</f>
        <v>10</v>
      </c>
      <c r="E17679" t="str">
        <f>"01 - A - 101 - Taraneh C Abreu"</f>
        <v>01 - A - 101 - Taraneh C Abreu</v>
      </c>
      <c r="F17679" t="str">
        <f>"INTENS READ 2"</f>
        <v>INTENS READ 2</v>
      </c>
      <c r="G17679" t="str">
        <f>"17-1713"</f>
        <v>17-1713</v>
      </c>
      <c r="H17679" t="str">
        <f>"A"</f>
        <v>A</v>
      </c>
    </row>
    <row r="17680" spans="1:8" x14ac:dyDescent="0.2">
      <c r="A17680" t="str">
        <f t="shared" si="6412"/>
        <v>0615146787</v>
      </c>
      <c r="B17680" t="str">
        <f t="shared" si="6413"/>
        <v>JAKOBUS</v>
      </c>
      <c r="C17680" t="str">
        <f t="shared" si="6414"/>
        <v>VISSER</v>
      </c>
      <c r="D17680">
        <f>10</f>
        <v>10</v>
      </c>
      <c r="E17680" t="str">
        <f>"08 - B - 105 - Daniel S Tyson"</f>
        <v>08 - B - 105 - Daniel S Tyson</v>
      </c>
      <c r="F17680" t="str">
        <f>"JROTC NAVAL SCI 2"</f>
        <v>JROTC NAVAL SCI 2</v>
      </c>
      <c r="G17680" t="str">
        <f>"05-510"</f>
        <v>05-510</v>
      </c>
      <c r="H17680" t="str">
        <f>"B"</f>
        <v>B</v>
      </c>
    </row>
    <row r="17681" spans="1:8" x14ac:dyDescent="0.2">
      <c r="A17681" t="str">
        <f t="shared" ref="A17681:A17688" si="6415">"0611119200"</f>
        <v>0611119200</v>
      </c>
      <c r="B17681" t="str">
        <f t="shared" ref="B17681:B17688" si="6416">"CHANCE"</f>
        <v>CHANCE</v>
      </c>
      <c r="C17681" t="str">
        <f t="shared" ref="C17681:C17688" si="6417">"VITAL"</f>
        <v>VITAL</v>
      </c>
      <c r="D17681">
        <f>12</f>
        <v>12</v>
      </c>
      <c r="E17681" t="str">
        <f>"04 - S1 - A - 101 - Nahum  Saint-Preux"</f>
        <v>04 - S1 - A - 101 - Nahum  Saint-Preux</v>
      </c>
      <c r="F17681" t="str">
        <f>"CRIT THINK ST SKLS"</f>
        <v>CRIT THINK ST SKLS</v>
      </c>
      <c r="G17681" t="str">
        <f>"17-1712"</f>
        <v>17-1712</v>
      </c>
      <c r="H17681" t="str">
        <f>"A"</f>
        <v>A</v>
      </c>
    </row>
    <row r="17682" spans="1:8" x14ac:dyDescent="0.2">
      <c r="A17682" t="str">
        <f t="shared" si="6415"/>
        <v>0611119200</v>
      </c>
      <c r="B17682" t="str">
        <f t="shared" si="6416"/>
        <v>CHANCE</v>
      </c>
      <c r="C17682" t="str">
        <f t="shared" si="6417"/>
        <v>VITAL</v>
      </c>
      <c r="D17682">
        <f>12</f>
        <v>12</v>
      </c>
      <c r="E17682" t="str">
        <f>"06 - B - 108 - Jacquelyn M Neeson"</f>
        <v>06 - B - 108 - Jacquelyn M Neeson</v>
      </c>
      <c r="F17682" t="str">
        <f>"NC STUDY HALL 1"</f>
        <v>NC STUDY HALL 1</v>
      </c>
      <c r="G17682" t="str">
        <f>"17-1715"</f>
        <v>17-1715</v>
      </c>
      <c r="H17682" t="str">
        <f>"B"</f>
        <v>B</v>
      </c>
    </row>
    <row r="17683" spans="1:8" x14ac:dyDescent="0.2">
      <c r="A17683" t="str">
        <f t="shared" si="6415"/>
        <v>0611119200</v>
      </c>
      <c r="B17683" t="str">
        <f t="shared" si="6416"/>
        <v>CHANCE</v>
      </c>
      <c r="C17683" t="str">
        <f t="shared" si="6417"/>
        <v>VITAL</v>
      </c>
      <c r="D17683">
        <f>12</f>
        <v>12</v>
      </c>
      <c r="E17683" t="str">
        <f>"03 - A - 102 - Semra  Bahadir"</f>
        <v>03 - A - 102 - Semra  Bahadir</v>
      </c>
      <c r="F17683" t="str">
        <f>"ALGEBRA 2"</f>
        <v>ALGEBRA 2</v>
      </c>
      <c r="G17683" t="str">
        <f>"21-2107"</f>
        <v>21-2107</v>
      </c>
      <c r="H17683" t="str">
        <f>"A"</f>
        <v>A</v>
      </c>
    </row>
    <row r="17684" spans="1:8" x14ac:dyDescent="0.2">
      <c r="A17684" t="str">
        <f t="shared" si="6415"/>
        <v>0611119200</v>
      </c>
      <c r="B17684" t="str">
        <f t="shared" si="6416"/>
        <v>CHANCE</v>
      </c>
      <c r="C17684" t="str">
        <f t="shared" si="6417"/>
        <v>VITAL</v>
      </c>
      <c r="D17684">
        <f>12</f>
        <v>12</v>
      </c>
      <c r="E17684" t="str">
        <f>"02 - A - 102 - Daniel S Tyson"</f>
        <v>02 - A - 102 - Daniel S Tyson</v>
      </c>
      <c r="F17684" t="str">
        <f>"JROTC NAVAL SCI 4"</f>
        <v>JROTC NAVAL SCI 4</v>
      </c>
      <c r="G17684" t="str">
        <f>"05-510"</f>
        <v>05-510</v>
      </c>
      <c r="H17684" t="str">
        <f>"A"</f>
        <v>A</v>
      </c>
    </row>
    <row r="17685" spans="1:8" x14ac:dyDescent="0.2">
      <c r="A17685" t="str">
        <f t="shared" si="6415"/>
        <v>0611119200</v>
      </c>
      <c r="B17685" t="str">
        <f t="shared" si="6416"/>
        <v>CHANCE</v>
      </c>
      <c r="C17685" t="str">
        <f t="shared" si="6417"/>
        <v>VITAL</v>
      </c>
      <c r="D17685">
        <f>12</f>
        <v>12</v>
      </c>
      <c r="E17685" t="str">
        <f>"07 - S1 - B - 103 - Robert O Burger"</f>
        <v>07 - S1 - B - 103 - Robert O Burger</v>
      </c>
      <c r="F17685" t="str">
        <f>"US GOVT"</f>
        <v>US GOVT</v>
      </c>
      <c r="G17685" t="str">
        <f>"17-1755"</f>
        <v>17-1755</v>
      </c>
      <c r="H17685" t="str">
        <f>"B"</f>
        <v>B</v>
      </c>
    </row>
    <row r="17686" spans="1:8" x14ac:dyDescent="0.2">
      <c r="A17686" t="str">
        <f t="shared" si="6415"/>
        <v>0611119200</v>
      </c>
      <c r="B17686" t="str">
        <f t="shared" si="6416"/>
        <v>CHANCE</v>
      </c>
      <c r="C17686" t="str">
        <f t="shared" si="6417"/>
        <v>VITAL</v>
      </c>
      <c r="D17686">
        <f>12</f>
        <v>12</v>
      </c>
      <c r="E17686" t="str">
        <f>"05 - B - 204 - Cliffon  Saurel"</f>
        <v>05 - B - 204 - Cliffon  Saurel</v>
      </c>
      <c r="F17686" t="str">
        <f>"PHYSICAL SCI"</f>
        <v>PHYSICAL SCI</v>
      </c>
      <c r="G17686" t="str">
        <f>"05-522"</f>
        <v>05-522</v>
      </c>
      <c r="H17686" t="str">
        <f>"B"</f>
        <v>B</v>
      </c>
    </row>
    <row r="17687" spans="1:8" x14ac:dyDescent="0.2">
      <c r="A17687" t="str">
        <f t="shared" si="6415"/>
        <v>0611119200</v>
      </c>
      <c r="B17687" t="str">
        <f t="shared" si="6416"/>
        <v>CHANCE</v>
      </c>
      <c r="C17687" t="str">
        <f t="shared" si="6417"/>
        <v>VITAL</v>
      </c>
      <c r="D17687">
        <f>12</f>
        <v>12</v>
      </c>
      <c r="E17687" t="str">
        <f>"01 - A - 103 - Robyn L Trainer"</f>
        <v>01 - A - 103 - Robyn L Trainer</v>
      </c>
      <c r="F17687" t="str">
        <f>"ENG 4"</f>
        <v>ENG 4</v>
      </c>
      <c r="G17687" t="str">
        <f>"17-1734"</f>
        <v>17-1734</v>
      </c>
      <c r="H17687" t="str">
        <f>"A"</f>
        <v>A</v>
      </c>
    </row>
    <row r="17688" spans="1:8" x14ac:dyDescent="0.2">
      <c r="A17688" t="str">
        <f t="shared" si="6415"/>
        <v>0611119200</v>
      </c>
      <c r="B17688" t="str">
        <f t="shared" si="6416"/>
        <v>CHANCE</v>
      </c>
      <c r="C17688" t="str">
        <f t="shared" si="6417"/>
        <v>VITAL</v>
      </c>
      <c r="D17688">
        <f>12</f>
        <v>12</v>
      </c>
      <c r="E17688" t="str">
        <f>"08 - B - 102 - Carleigh R Carmichael"</f>
        <v>08 - B - 102 - Carleigh R Carmichael</v>
      </c>
      <c r="F17688" t="str">
        <f>"LRNG STRATEGIES 9-12"</f>
        <v>LRNG STRATEGIES 9-12</v>
      </c>
      <c r="G17688" t="str">
        <f>"20-2072"</f>
        <v>20-2072</v>
      </c>
      <c r="H17688" t="str">
        <f>"B"</f>
        <v>B</v>
      </c>
    </row>
    <row r="17689" spans="1:8" x14ac:dyDescent="0.2">
      <c r="A17689" t="str">
        <f t="shared" ref="A17689:A17696" si="6418">"0625031112"</f>
        <v>0625031112</v>
      </c>
      <c r="B17689" t="str">
        <f t="shared" ref="B17689:B17696" si="6419">"Gabriela"</f>
        <v>Gabriela</v>
      </c>
      <c r="C17689" t="str">
        <f t="shared" ref="C17689:C17696" si="6420">"Viteri"</f>
        <v>Viteri</v>
      </c>
      <c r="D17689">
        <f>11</f>
        <v>11</v>
      </c>
      <c r="E17689" t="str">
        <f>"04 - A - 205 - Lytrell T Dixon"</f>
        <v>04 - A - 205 - Lytrell T Dixon</v>
      </c>
      <c r="F17689" t="str">
        <f>"BIOLOGY 1"</f>
        <v>BIOLOGY 1</v>
      </c>
      <c r="G17689" t="str">
        <f>"08-808"</f>
        <v>08-808</v>
      </c>
      <c r="H17689" t="str">
        <f>"A"</f>
        <v>A</v>
      </c>
    </row>
    <row r="17690" spans="1:8" x14ac:dyDescent="0.2">
      <c r="A17690" t="str">
        <f t="shared" si="6418"/>
        <v>0625031112</v>
      </c>
      <c r="B17690" t="str">
        <f t="shared" si="6419"/>
        <v>Gabriela</v>
      </c>
      <c r="C17690" t="str">
        <f t="shared" si="6420"/>
        <v>Viteri</v>
      </c>
      <c r="D17690">
        <f>11</f>
        <v>11</v>
      </c>
      <c r="E17690" t="str">
        <f>"06 - B - 105 - Arthur  Kulawik"</f>
        <v>06 - B - 105 - Arthur  Kulawik</v>
      </c>
      <c r="F17690" t="str">
        <f>"ENG 3"</f>
        <v>ENG 3</v>
      </c>
      <c r="G17690" t="str">
        <f>"05-506"</f>
        <v>05-506</v>
      </c>
      <c r="H17690" t="str">
        <f>"B"</f>
        <v>B</v>
      </c>
    </row>
    <row r="17691" spans="1:8" x14ac:dyDescent="0.2">
      <c r="A17691" t="str">
        <f t="shared" si="6418"/>
        <v>0625031112</v>
      </c>
      <c r="B17691" t="str">
        <f t="shared" si="6419"/>
        <v>Gabriela</v>
      </c>
      <c r="C17691" t="str">
        <f t="shared" si="6420"/>
        <v>Viteri</v>
      </c>
      <c r="D17691">
        <f>11</f>
        <v>11</v>
      </c>
      <c r="E17691" t="str">
        <f>"03 - A - 104 - Fernando  Vega-Cid"</f>
        <v>03 - A - 104 - Fernando  Vega-Cid</v>
      </c>
      <c r="F17691" t="str">
        <f>"GEOMETRY"</f>
        <v>GEOMETRY</v>
      </c>
      <c r="G17691" t="str">
        <f>"21-2163"</f>
        <v>21-2163</v>
      </c>
      <c r="H17691" t="str">
        <f>"A"</f>
        <v>A</v>
      </c>
    </row>
    <row r="17692" spans="1:8" x14ac:dyDescent="0.2">
      <c r="A17692" t="str">
        <f t="shared" si="6418"/>
        <v>0625031112</v>
      </c>
      <c r="B17692" t="str">
        <f t="shared" si="6419"/>
        <v>Gabriela</v>
      </c>
      <c r="C17692" t="str">
        <f t="shared" si="6420"/>
        <v>Viteri</v>
      </c>
      <c r="D17692">
        <f>11</f>
        <v>11</v>
      </c>
      <c r="E17692" t="str">
        <f>"02 - A - 117 - Kyle  Robbins"</f>
        <v>02 - A - 117 - Kyle  Robbins</v>
      </c>
      <c r="F17692" t="str">
        <f>"NC STUDY HALL 1"</f>
        <v>NC STUDY HALL 1</v>
      </c>
      <c r="G17692" t="str">
        <f>"17-1745"</f>
        <v>17-1745</v>
      </c>
      <c r="H17692" t="str">
        <f>"A"</f>
        <v>A</v>
      </c>
    </row>
    <row r="17693" spans="1:8" x14ac:dyDescent="0.2">
      <c r="A17693" t="str">
        <f t="shared" si="6418"/>
        <v>0625031112</v>
      </c>
      <c r="B17693" t="str">
        <f t="shared" si="6419"/>
        <v>Gabriela</v>
      </c>
      <c r="C17693" t="str">
        <f t="shared" si="6420"/>
        <v>Viteri</v>
      </c>
      <c r="D17693">
        <f>11</f>
        <v>11</v>
      </c>
      <c r="E17693" t="str">
        <f>"07 - B - 108 - Lauren N Logan"</f>
        <v>07 - B - 108 - Lauren N Logan</v>
      </c>
      <c r="F17693" t="str">
        <f>"US HISTORY"</f>
        <v>US HISTORY</v>
      </c>
      <c r="G17693" t="str">
        <f>"17-1745"</f>
        <v>17-1745</v>
      </c>
      <c r="H17693" t="str">
        <f>"B"</f>
        <v>B</v>
      </c>
    </row>
    <row r="17694" spans="1:8" x14ac:dyDescent="0.2">
      <c r="A17694" t="str">
        <f t="shared" si="6418"/>
        <v>0625031112</v>
      </c>
      <c r="B17694" t="str">
        <f t="shared" si="6419"/>
        <v>Gabriela</v>
      </c>
      <c r="C17694" t="str">
        <f t="shared" si="6420"/>
        <v>Viteri</v>
      </c>
      <c r="D17694">
        <f>11</f>
        <v>11</v>
      </c>
      <c r="E17694" t="str">
        <f>"05 - B - 103 - Nahum  Saint-Preux"</f>
        <v>05 - B - 103 - Nahum  Saint-Preux</v>
      </c>
      <c r="F17694" t="str">
        <f>"INTENS READ 3"</f>
        <v>INTENS READ 3</v>
      </c>
      <c r="G17694" t="str">
        <f>"17-1712"</f>
        <v>17-1712</v>
      </c>
      <c r="H17694" t="str">
        <f>"B"</f>
        <v>B</v>
      </c>
    </row>
    <row r="17695" spans="1:8" x14ac:dyDescent="0.2">
      <c r="A17695" t="str">
        <f t="shared" si="6418"/>
        <v>0625031112</v>
      </c>
      <c r="B17695" t="str">
        <f t="shared" si="6419"/>
        <v>Gabriela</v>
      </c>
      <c r="C17695" t="str">
        <f t="shared" si="6420"/>
        <v>Viteri</v>
      </c>
      <c r="D17695">
        <f>11</f>
        <v>11</v>
      </c>
      <c r="E17695" t="str">
        <f>"01 - S1 - A - 101 - Leslie J Barton"</f>
        <v>01 - S1 - A - 101 - Leslie J Barton</v>
      </c>
      <c r="F17695" t="str">
        <f>"FIRST AID SAFETY"</f>
        <v>FIRST AID SAFETY</v>
      </c>
      <c r="G17695" t="str">
        <f>"05-521"</f>
        <v>05-521</v>
      </c>
      <c r="H17695" t="str">
        <f>"A"</f>
        <v>A</v>
      </c>
    </row>
    <row r="17696" spans="1:8" x14ac:dyDescent="0.2">
      <c r="A17696" t="str">
        <f t="shared" si="6418"/>
        <v>0625031112</v>
      </c>
      <c r="B17696" t="str">
        <f t="shared" si="6419"/>
        <v>Gabriela</v>
      </c>
      <c r="C17696" t="str">
        <f t="shared" si="6420"/>
        <v>Viteri</v>
      </c>
      <c r="D17696">
        <f>11</f>
        <v>11</v>
      </c>
      <c r="E17696" t="str">
        <f>"08 - B - 101 - Rosa Elaine  Collado-Duff"</f>
        <v>08 - B - 101 - Rosa Elaine  Collado-Duff</v>
      </c>
      <c r="F17696" t="str">
        <f>"AP SPANISH LANG &amp; CU"</f>
        <v>AP SPANISH LANG &amp; CU</v>
      </c>
      <c r="G17696" t="str">
        <f>"09-913"</f>
        <v>09-913</v>
      </c>
      <c r="H17696" t="str">
        <f>"B"</f>
        <v>B</v>
      </c>
    </row>
    <row r="17697" spans="1:8" x14ac:dyDescent="0.2">
      <c r="A17697" t="str">
        <f t="shared" ref="A17697:A17704" si="6421">"0623048562"</f>
        <v>0623048562</v>
      </c>
      <c r="B17697" t="str">
        <f t="shared" ref="B17697:B17704" si="6422">"YURII"</f>
        <v>YURII</v>
      </c>
      <c r="C17697" t="str">
        <f t="shared" ref="C17697:C17704" si="6423">"VITIV"</f>
        <v>VITIV</v>
      </c>
      <c r="D17697">
        <f>11</f>
        <v>11</v>
      </c>
      <c r="E17697" t="str">
        <f>"04 - A - 102 - Elizabeth Ellen  Moran"</f>
        <v>04 - A - 102 - Elizabeth Ellen  Moran</v>
      </c>
      <c r="F17697" t="str">
        <f>"US HISTORY"</f>
        <v>US HISTORY</v>
      </c>
      <c r="G17697" t="str">
        <f>"17-1752"</f>
        <v>17-1752</v>
      </c>
      <c r="H17697" t="str">
        <f>"A"</f>
        <v>A</v>
      </c>
    </row>
    <row r="17698" spans="1:8" x14ac:dyDescent="0.2">
      <c r="A17698" t="str">
        <f t="shared" si="6421"/>
        <v>0623048562</v>
      </c>
      <c r="B17698" t="str">
        <f t="shared" si="6422"/>
        <v>YURII</v>
      </c>
      <c r="C17698" t="str">
        <f t="shared" si="6423"/>
        <v>VITIV</v>
      </c>
      <c r="D17698">
        <f>11</f>
        <v>11</v>
      </c>
      <c r="E17698" t="str">
        <f>"06 - B - 202 - Samantha L Martinez"</f>
        <v>06 - B - 202 - Samantha L Martinez</v>
      </c>
      <c r="F17698" t="str">
        <f>"GUITAR 1"</f>
        <v>GUITAR 1</v>
      </c>
      <c r="G17698" t="str">
        <f>"05-505"</f>
        <v>05-505</v>
      </c>
      <c r="H17698" t="str">
        <f>"B"</f>
        <v>B</v>
      </c>
    </row>
    <row r="17699" spans="1:8" x14ac:dyDescent="0.2">
      <c r="A17699" t="str">
        <f t="shared" si="6421"/>
        <v>0623048562</v>
      </c>
      <c r="B17699" t="str">
        <f t="shared" si="6422"/>
        <v>YURII</v>
      </c>
      <c r="C17699" t="str">
        <f t="shared" si="6423"/>
        <v>VITIV</v>
      </c>
      <c r="D17699">
        <f>11</f>
        <v>11</v>
      </c>
      <c r="E17699" t="str">
        <f>"03 - A - 102 - Lisa  Quinn"</f>
        <v>03 - A - 102 - Lisa  Quinn</v>
      </c>
      <c r="F17699" t="str">
        <f>"ENG 3"</f>
        <v>ENG 3</v>
      </c>
      <c r="G17699" t="str">
        <f>"17-1725"</f>
        <v>17-1725</v>
      </c>
      <c r="H17699" t="str">
        <f>"A"</f>
        <v>A</v>
      </c>
    </row>
    <row r="17700" spans="1:8" x14ac:dyDescent="0.2">
      <c r="A17700" t="str">
        <f t="shared" si="6421"/>
        <v>0623048562</v>
      </c>
      <c r="B17700" t="str">
        <f t="shared" si="6422"/>
        <v>YURII</v>
      </c>
      <c r="C17700" t="str">
        <f t="shared" si="6423"/>
        <v>VITIV</v>
      </c>
      <c r="D17700">
        <f>11</f>
        <v>11</v>
      </c>
      <c r="E17700" t="str">
        <f>"02 - A - 107 - Elizabeth Ellen  Moran"</f>
        <v>02 - A - 107 - Elizabeth Ellen  Moran</v>
      </c>
      <c r="F17700" t="str">
        <f>"NC STUDY HALL 1"</f>
        <v>NC STUDY HALL 1</v>
      </c>
      <c r="G17700" t="str">
        <f>"17-1752"</f>
        <v>17-1752</v>
      </c>
      <c r="H17700" t="str">
        <f>"A"</f>
        <v>A</v>
      </c>
    </row>
    <row r="17701" spans="1:8" x14ac:dyDescent="0.2">
      <c r="A17701" t="str">
        <f t="shared" si="6421"/>
        <v>0623048562</v>
      </c>
      <c r="B17701" t="str">
        <f t="shared" si="6422"/>
        <v>YURII</v>
      </c>
      <c r="C17701" t="str">
        <f t="shared" si="6423"/>
        <v>VITIV</v>
      </c>
      <c r="D17701">
        <f>11</f>
        <v>11</v>
      </c>
      <c r="E17701" t="str">
        <f>"07 - B - 105 - Cliffon  Saurel"</f>
        <v>07 - B - 105 - Cliffon  Saurel</v>
      </c>
      <c r="F17701" t="str">
        <f>"PHYSICAL SCI"</f>
        <v>PHYSICAL SCI</v>
      </c>
      <c r="G17701" t="str">
        <f>"05-522"</f>
        <v>05-522</v>
      </c>
      <c r="H17701" t="str">
        <f>"B"</f>
        <v>B</v>
      </c>
    </row>
    <row r="17702" spans="1:8" x14ac:dyDescent="0.2">
      <c r="A17702" t="str">
        <f t="shared" si="6421"/>
        <v>0623048562</v>
      </c>
      <c r="B17702" t="str">
        <f t="shared" si="6422"/>
        <v>YURII</v>
      </c>
      <c r="C17702" t="str">
        <f t="shared" si="6423"/>
        <v>VITIV</v>
      </c>
      <c r="D17702">
        <f>11</f>
        <v>11</v>
      </c>
      <c r="E17702" t="str">
        <f>"05 - B - 103 - Nahum  Saint-Preux"</f>
        <v>05 - B - 103 - Nahum  Saint-Preux</v>
      </c>
      <c r="F17702" t="str">
        <f>"INTENS READ 3"</f>
        <v>INTENS READ 3</v>
      </c>
      <c r="G17702" t="str">
        <f>"17-1712"</f>
        <v>17-1712</v>
      </c>
      <c r="H17702" t="str">
        <f>"B"</f>
        <v>B</v>
      </c>
    </row>
    <row r="17703" spans="1:8" x14ac:dyDescent="0.2">
      <c r="A17703" t="str">
        <f t="shared" si="6421"/>
        <v>0623048562</v>
      </c>
      <c r="B17703" t="str">
        <f t="shared" si="6422"/>
        <v>YURII</v>
      </c>
      <c r="C17703" t="str">
        <f t="shared" si="6423"/>
        <v>VITIV</v>
      </c>
      <c r="D17703">
        <f>11</f>
        <v>11</v>
      </c>
      <c r="E17703" t="str">
        <f>"01 - A - 101 - Ferrie J Arostique"</f>
        <v>01 - A - 101 - Ferrie J Arostique</v>
      </c>
      <c r="F17703" t="str">
        <f>"GEOMETRY"</f>
        <v>GEOMETRY</v>
      </c>
      <c r="G17703" t="str">
        <f>"21-2139"</f>
        <v>21-2139</v>
      </c>
      <c r="H17703" t="str">
        <f>"A"</f>
        <v>A</v>
      </c>
    </row>
    <row r="17704" spans="1:8" x14ac:dyDescent="0.2">
      <c r="A17704" t="str">
        <f t="shared" si="6421"/>
        <v>0623048562</v>
      </c>
      <c r="B17704" t="str">
        <f t="shared" si="6422"/>
        <v>YURII</v>
      </c>
      <c r="C17704" t="str">
        <f t="shared" si="6423"/>
        <v>VITIV</v>
      </c>
      <c r="D17704">
        <f>11</f>
        <v>11</v>
      </c>
      <c r="E17704" t="str">
        <f>"08 - B - 105 - Daniel S Tyson"</f>
        <v>08 - B - 105 - Daniel S Tyson</v>
      </c>
      <c r="F17704" t="str">
        <f>"JROTC NAVAL SCI 1"</f>
        <v>JROTC NAVAL SCI 1</v>
      </c>
      <c r="G17704" t="str">
        <f>"05-510"</f>
        <v>05-510</v>
      </c>
      <c r="H17704" t="str">
        <f>"B"</f>
        <v>B</v>
      </c>
    </row>
    <row r="17705" spans="1:8" x14ac:dyDescent="0.2">
      <c r="A17705" t="str">
        <f t="shared" ref="A17705:A17712" si="6424">"0624048447"</f>
        <v>0624048447</v>
      </c>
      <c r="B17705" t="str">
        <f t="shared" ref="B17705:B17712" si="6425">"KEVIN"</f>
        <v>KEVIN</v>
      </c>
      <c r="C17705" t="str">
        <f t="shared" ref="C17705:C17712" si="6426">"VIVAS"</f>
        <v>VIVAS</v>
      </c>
      <c r="D17705">
        <f>10</f>
        <v>10</v>
      </c>
      <c r="E17705" t="str">
        <f>"04 - A - 105 - Milca  Exantus"</f>
        <v>04 - A - 105 - Milca  Exantus</v>
      </c>
      <c r="F17705" t="str">
        <f>"MATH COLLEGE LIB ART"</f>
        <v>MATH COLLEGE LIB ART</v>
      </c>
      <c r="G17705" t="str">
        <f>"21-2145"</f>
        <v>21-2145</v>
      </c>
      <c r="H17705" t="str">
        <f>"A"</f>
        <v>A</v>
      </c>
    </row>
    <row r="17706" spans="1:8" x14ac:dyDescent="0.2">
      <c r="A17706" t="str">
        <f t="shared" si="6424"/>
        <v>0624048447</v>
      </c>
      <c r="B17706" t="str">
        <f t="shared" si="6425"/>
        <v>KEVIN</v>
      </c>
      <c r="C17706" t="str">
        <f t="shared" si="6426"/>
        <v>VIVAS</v>
      </c>
      <c r="D17706">
        <f>10</f>
        <v>10</v>
      </c>
      <c r="E17706" t="str">
        <f>"06 - B - 104 - Robert H Rindner"</f>
        <v>06 - B - 104 - Robert H Rindner</v>
      </c>
      <c r="F17706" t="str">
        <f>"NC STUDY HALL 1"</f>
        <v>NC STUDY HALL 1</v>
      </c>
      <c r="G17706" t="str">
        <f>"21-2160"</f>
        <v>21-2160</v>
      </c>
      <c r="H17706" t="str">
        <f>"B"</f>
        <v>B</v>
      </c>
    </row>
    <row r="17707" spans="1:8" x14ac:dyDescent="0.2">
      <c r="A17707" t="str">
        <f t="shared" si="6424"/>
        <v>0624048447</v>
      </c>
      <c r="B17707" t="str">
        <f t="shared" si="6425"/>
        <v>KEVIN</v>
      </c>
      <c r="C17707" t="str">
        <f t="shared" si="6426"/>
        <v>VIVAS</v>
      </c>
      <c r="D17707">
        <f>10</f>
        <v>10</v>
      </c>
      <c r="E17707" t="str">
        <f>"03 - S1 - A - 102 - Angela S Adeshina-Morrison"</f>
        <v>03 - S1 - A - 102 - Angela S Adeshina-Morrison</v>
      </c>
      <c r="F17707" t="str">
        <f>"PEER COUN 1"</f>
        <v>PEER COUN 1</v>
      </c>
      <c r="G17707" t="str">
        <f>"05-518"</f>
        <v>05-518</v>
      </c>
      <c r="H17707" t="str">
        <f>"A"</f>
        <v>A</v>
      </c>
    </row>
    <row r="17708" spans="1:8" x14ac:dyDescent="0.2">
      <c r="A17708" t="str">
        <f t="shared" si="6424"/>
        <v>0624048447</v>
      </c>
      <c r="B17708" t="str">
        <f t="shared" si="6425"/>
        <v>KEVIN</v>
      </c>
      <c r="C17708" t="str">
        <f t="shared" si="6426"/>
        <v>VIVAS</v>
      </c>
      <c r="D17708">
        <f>10</f>
        <v>10</v>
      </c>
      <c r="E17708" t="str">
        <f>"02 - A - 101 - Brian M Fitzgerald"</f>
        <v>02 - A - 101 - Brian M Fitzgerald</v>
      </c>
      <c r="F17708" t="str">
        <f>"DRAW 1"</f>
        <v>DRAW 1</v>
      </c>
      <c r="G17708" t="str">
        <f>"09-908"</f>
        <v>09-908</v>
      </c>
      <c r="H17708" t="str">
        <f>"A"</f>
        <v>A</v>
      </c>
    </row>
    <row r="17709" spans="1:8" x14ac:dyDescent="0.2">
      <c r="A17709" t="str">
        <f t="shared" si="6424"/>
        <v>0624048447</v>
      </c>
      <c r="B17709" t="str">
        <f t="shared" si="6425"/>
        <v>KEVIN</v>
      </c>
      <c r="C17709" t="str">
        <f t="shared" si="6426"/>
        <v>VIVAS</v>
      </c>
      <c r="D17709">
        <f>10</f>
        <v>10</v>
      </c>
      <c r="E17709" t="str">
        <f>"07 - B - 108 - Jacquelyn M Neeson"</f>
        <v>07 - B - 108 - Jacquelyn M Neeson</v>
      </c>
      <c r="F17709" t="str">
        <f>"ENG 2"</f>
        <v>ENG 2</v>
      </c>
      <c r="G17709" t="str">
        <f>"17-1715"</f>
        <v>17-1715</v>
      </c>
      <c r="H17709" t="str">
        <f>"B"</f>
        <v>B</v>
      </c>
    </row>
    <row r="17710" spans="1:8" x14ac:dyDescent="0.2">
      <c r="A17710" t="str">
        <f t="shared" si="6424"/>
        <v>0624048447</v>
      </c>
      <c r="B17710" t="str">
        <f t="shared" si="6425"/>
        <v>KEVIN</v>
      </c>
      <c r="C17710" t="str">
        <f t="shared" si="6426"/>
        <v>VIVAS</v>
      </c>
      <c r="D17710">
        <f>10</f>
        <v>10</v>
      </c>
      <c r="E17710" t="str">
        <f>"05 - B - 205 - Lenecy  Nodarse"</f>
        <v>05 - B - 205 - Lenecy  Nodarse</v>
      </c>
      <c r="F17710" t="str">
        <f>"WORLD HISTORY"</f>
        <v>WORLD HISTORY</v>
      </c>
      <c r="G17710" t="str">
        <f>"17-1741"</f>
        <v>17-1741</v>
      </c>
      <c r="H17710" t="str">
        <f>"B"</f>
        <v>B</v>
      </c>
    </row>
    <row r="17711" spans="1:8" x14ac:dyDescent="0.2">
      <c r="A17711" t="str">
        <f t="shared" si="6424"/>
        <v>0624048447</v>
      </c>
      <c r="B17711" t="str">
        <f t="shared" si="6425"/>
        <v>KEVIN</v>
      </c>
      <c r="C17711" t="str">
        <f t="shared" si="6426"/>
        <v>VIVAS</v>
      </c>
      <c r="D17711">
        <f>10</f>
        <v>10</v>
      </c>
      <c r="E17711" t="str">
        <f>"01 - A - 101 - Vanessa J Pena"</f>
        <v>01 - A - 101 - Vanessa J Pena</v>
      </c>
      <c r="F17711" t="str">
        <f>"DEV LANG ARTS ESOL-R"</f>
        <v>DEV LANG ARTS ESOL-R</v>
      </c>
      <c r="G17711" t="str">
        <f>"09-926"</f>
        <v>09-926</v>
      </c>
      <c r="H17711" t="str">
        <f>"A"</f>
        <v>A</v>
      </c>
    </row>
    <row r="17712" spans="1:8" x14ac:dyDescent="0.2">
      <c r="A17712" t="str">
        <f t="shared" si="6424"/>
        <v>0624048447</v>
      </c>
      <c r="B17712" t="str">
        <f t="shared" si="6425"/>
        <v>KEVIN</v>
      </c>
      <c r="C17712" t="str">
        <f t="shared" si="6426"/>
        <v>VIVAS</v>
      </c>
      <c r="D17712">
        <f>10</f>
        <v>10</v>
      </c>
      <c r="E17712" t="str">
        <f>"08 - B - 001 - Lytrell T Dixon"</f>
        <v>08 - B - 001 - Lytrell T Dixon</v>
      </c>
      <c r="F17712" t="str">
        <f>"BIOLOGY 1"</f>
        <v>BIOLOGY 1</v>
      </c>
      <c r="G17712" t="str">
        <f>"08-808"</f>
        <v>08-808</v>
      </c>
      <c r="H17712" t="str">
        <f>"B"</f>
        <v>B</v>
      </c>
    </row>
    <row r="17713" spans="1:8" x14ac:dyDescent="0.2">
      <c r="A17713" t="str">
        <f t="shared" ref="A17713:A17720" si="6427">"0614057369"</f>
        <v>0614057369</v>
      </c>
      <c r="B17713" t="str">
        <f t="shared" ref="B17713:B17720" si="6428">"ELINA"</f>
        <v>ELINA</v>
      </c>
      <c r="C17713" t="str">
        <f t="shared" ref="C17713:C17720" si="6429">"VIXAMAR"</f>
        <v>VIXAMAR</v>
      </c>
      <c r="D17713">
        <f>12</f>
        <v>12</v>
      </c>
      <c r="E17713" t="str">
        <f>"04 - A - 201 - Vanessa J Liburd"</f>
        <v>04 - A - 201 - Vanessa J Liburd</v>
      </c>
      <c r="F17713" t="str">
        <f>"FRENCH 4 HON"</f>
        <v>FRENCH 4 HON</v>
      </c>
      <c r="G17713" t="str">
        <f>"05-519"</f>
        <v>05-519</v>
      </c>
      <c r="H17713" t="str">
        <f>"A"</f>
        <v>A</v>
      </c>
    </row>
    <row r="17714" spans="1:8" x14ac:dyDescent="0.2">
      <c r="A17714" t="str">
        <f t="shared" si="6427"/>
        <v>0614057369</v>
      </c>
      <c r="B17714" t="str">
        <f t="shared" si="6428"/>
        <v>ELINA</v>
      </c>
      <c r="C17714" t="str">
        <f t="shared" si="6429"/>
        <v>VIXAMAR</v>
      </c>
      <c r="D17714">
        <f>12</f>
        <v>12</v>
      </c>
      <c r="E17714" t="str">
        <f>"06 - B - 113 - Marielle A Witting"</f>
        <v>06 - B - 113 - Marielle A Witting</v>
      </c>
      <c r="F17714" t="str">
        <f>"NC STUDY HALL 1"</f>
        <v>NC STUDY HALL 1</v>
      </c>
      <c r="G17714" t="str">
        <f>"08-805"</f>
        <v>08-805</v>
      </c>
      <c r="H17714" t="str">
        <f>"B"</f>
        <v>B</v>
      </c>
    </row>
    <row r="17715" spans="1:8" x14ac:dyDescent="0.2">
      <c r="A17715" t="str">
        <f t="shared" si="6427"/>
        <v>0614057369</v>
      </c>
      <c r="B17715" t="str">
        <f t="shared" si="6428"/>
        <v>ELINA</v>
      </c>
      <c r="C17715" t="str">
        <f t="shared" si="6429"/>
        <v>VIXAMAR</v>
      </c>
      <c r="D17715">
        <f>12</f>
        <v>12</v>
      </c>
      <c r="E17715" t="str">
        <f>"03 - A - 103 - Samantha J Headley"</f>
        <v>03 - A - 103 - Samantha J Headley</v>
      </c>
      <c r="F17715" t="str">
        <f>"MARINE SCI 1 HON"</f>
        <v>MARINE SCI 1 HON</v>
      </c>
      <c r="G17715" t="str">
        <f>"21-2134"</f>
        <v>21-2134</v>
      </c>
      <c r="H17715" t="str">
        <f>"A"</f>
        <v>A</v>
      </c>
    </row>
    <row r="17716" spans="1:8" x14ac:dyDescent="0.2">
      <c r="A17716" t="str">
        <f t="shared" si="6427"/>
        <v>0614057369</v>
      </c>
      <c r="B17716" t="str">
        <f t="shared" si="6428"/>
        <v>ELINA</v>
      </c>
      <c r="C17716" t="str">
        <f t="shared" si="6429"/>
        <v>VIXAMAR</v>
      </c>
      <c r="D17716">
        <f>12</f>
        <v>12</v>
      </c>
      <c r="E17716" t="str">
        <f>"02 - S1 - A - 103 - Barbara L Segal"</f>
        <v>02 - S1 - A - 103 - Barbara L Segal</v>
      </c>
      <c r="F17716" t="str">
        <f>"US GOVT HON"</f>
        <v>US GOVT HON</v>
      </c>
      <c r="G17716" t="str">
        <f>"17-1742"</f>
        <v>17-1742</v>
      </c>
      <c r="H17716" t="str">
        <f>"A"</f>
        <v>A</v>
      </c>
    </row>
    <row r="17717" spans="1:8" x14ac:dyDescent="0.2">
      <c r="A17717" t="str">
        <f t="shared" si="6427"/>
        <v>0614057369</v>
      </c>
      <c r="B17717" t="str">
        <f t="shared" si="6428"/>
        <v>ELINA</v>
      </c>
      <c r="C17717" t="str">
        <f t="shared" si="6429"/>
        <v>VIXAMAR</v>
      </c>
      <c r="D17717">
        <f>12</f>
        <v>12</v>
      </c>
      <c r="E17717" t="str">
        <f>"07 - B - 101 - Bruce A Evans"</f>
        <v>07 - B - 101 - Bruce A Evans</v>
      </c>
      <c r="F17717" t="str">
        <f>"FIREFIGHTING 1 LH"</f>
        <v>FIREFIGHTING 1 LH</v>
      </c>
      <c r="G17717" t="str">
        <f>"21-2142"</f>
        <v>21-2142</v>
      </c>
      <c r="H17717" t="str">
        <f>"B"</f>
        <v>B</v>
      </c>
    </row>
    <row r="17718" spans="1:8" x14ac:dyDescent="0.2">
      <c r="A17718" t="str">
        <f t="shared" si="6427"/>
        <v>0614057369</v>
      </c>
      <c r="B17718" t="str">
        <f t="shared" si="6428"/>
        <v>ELINA</v>
      </c>
      <c r="C17718" t="str">
        <f t="shared" si="6429"/>
        <v>VIXAMAR</v>
      </c>
      <c r="D17718">
        <f>12</f>
        <v>12</v>
      </c>
      <c r="E17718" t="str">
        <f>"05 - B - 104 - Jeffrey S Gallagher"</f>
        <v>05 - B - 104 - Jeffrey S Gallagher</v>
      </c>
      <c r="F17718" t="str">
        <f>"ENG HON 4"</f>
        <v>ENG HON 4</v>
      </c>
      <c r="G17718" t="str">
        <f>"17-1724"</f>
        <v>17-1724</v>
      </c>
      <c r="H17718" t="str">
        <f>"B"</f>
        <v>B</v>
      </c>
    </row>
    <row r="17719" spans="1:8" x14ac:dyDescent="0.2">
      <c r="A17719" t="str">
        <f t="shared" si="6427"/>
        <v>0614057369</v>
      </c>
      <c r="B17719" t="str">
        <f t="shared" si="6428"/>
        <v>ELINA</v>
      </c>
      <c r="C17719" t="str">
        <f t="shared" si="6429"/>
        <v>VIXAMAR</v>
      </c>
      <c r="D17719">
        <f>12</f>
        <v>12</v>
      </c>
      <c r="E17719" t="str">
        <f>"01 - A - 101 - Thomas G Handwerg"</f>
        <v>01 - A - 101 - Thomas G Handwerg</v>
      </c>
      <c r="F17719" t="str">
        <f>"PROB STAT W/APPS HON"</f>
        <v>PROB STAT W/APPS HON</v>
      </c>
      <c r="G17719" t="str">
        <f>"21-2146"</f>
        <v>21-2146</v>
      </c>
      <c r="H17719" t="str">
        <f>"A"</f>
        <v>A</v>
      </c>
    </row>
    <row r="17720" spans="1:8" x14ac:dyDescent="0.2">
      <c r="A17720" t="str">
        <f t="shared" si="6427"/>
        <v>0614057369</v>
      </c>
      <c r="B17720" t="str">
        <f t="shared" si="6428"/>
        <v>ELINA</v>
      </c>
      <c r="C17720" t="str">
        <f t="shared" si="6429"/>
        <v>VIXAMAR</v>
      </c>
      <c r="D17720">
        <f>12</f>
        <v>12</v>
      </c>
      <c r="E17720" t="str">
        <f>"08 - B - 101 - Samantha L Martinez"</f>
        <v>08 - B - 101 - Samantha L Martinez</v>
      </c>
      <c r="F17720" t="str">
        <f>"VOCAL ENS 3"</f>
        <v>VOCAL ENS 3</v>
      </c>
      <c r="G17720" t="str">
        <f>"05-505"</f>
        <v>05-505</v>
      </c>
      <c r="H17720" t="str">
        <f>"B"</f>
        <v>B</v>
      </c>
    </row>
    <row r="17721" spans="1:8" x14ac:dyDescent="0.2">
      <c r="A17721" t="str">
        <f t="shared" ref="A17721:A17728" si="6430">"0613119938"</f>
        <v>0613119938</v>
      </c>
      <c r="B17721" t="str">
        <f t="shared" ref="B17721:B17728" si="6431">"KATHERINE"</f>
        <v>KATHERINE</v>
      </c>
      <c r="C17721" t="str">
        <f t="shared" ref="C17721:C17728" si="6432">"VOET"</f>
        <v>VOET</v>
      </c>
      <c r="D17721">
        <f>12</f>
        <v>12</v>
      </c>
      <c r="E17721" t="str">
        <f>"04 - A - 106 - Tina M Jaramillo"</f>
        <v>04 - A - 106 - Tina M Jaramillo</v>
      </c>
      <c r="F17721" t="str">
        <f>"AP ENG LIT COMPO"</f>
        <v>AP ENG LIT COMPO</v>
      </c>
      <c r="G17721" t="str">
        <f>"17-1706"</f>
        <v>17-1706</v>
      </c>
      <c r="H17721" t="str">
        <f>"A"</f>
        <v>A</v>
      </c>
    </row>
    <row r="17722" spans="1:8" x14ac:dyDescent="0.2">
      <c r="A17722" t="str">
        <f t="shared" si="6430"/>
        <v>0613119938</v>
      </c>
      <c r="B17722" t="str">
        <f t="shared" si="6431"/>
        <v>KATHERINE</v>
      </c>
      <c r="C17722" t="str">
        <f t="shared" si="6432"/>
        <v>VOET</v>
      </c>
      <c r="D17722">
        <f>12</f>
        <v>12</v>
      </c>
      <c r="E17722" t="str">
        <f>"06 - B - 111 - James H Mccann"</f>
        <v>06 - B - 111 - James H Mccann</v>
      </c>
      <c r="F17722" t="str">
        <f>"NC STUDY HALL 1"</f>
        <v>NC STUDY HALL 1</v>
      </c>
      <c r="G17722" t="str">
        <f>"17-1716"</f>
        <v>17-1716</v>
      </c>
      <c r="H17722" t="str">
        <f>"B"</f>
        <v>B</v>
      </c>
    </row>
    <row r="17723" spans="1:8" x14ac:dyDescent="0.2">
      <c r="A17723" t="str">
        <f t="shared" si="6430"/>
        <v>0613119938</v>
      </c>
      <c r="B17723" t="str">
        <f t="shared" si="6431"/>
        <v>KATHERINE</v>
      </c>
      <c r="C17723" t="str">
        <f t="shared" si="6432"/>
        <v>VOET</v>
      </c>
      <c r="D17723">
        <f>12</f>
        <v>12</v>
      </c>
      <c r="E17723" t="str">
        <f>"03 - A - 101 - Jacqueline R Morphet"</f>
        <v>03 - A - 101 - Jacqueline R Morphet</v>
      </c>
      <c r="F17723" t="str">
        <f>"AP PHYSICS 1"</f>
        <v>AP PHYSICS 1</v>
      </c>
      <c r="G17723" t="str">
        <f>"21-2138"</f>
        <v>21-2138</v>
      </c>
      <c r="H17723" t="str">
        <f>"A"</f>
        <v>A</v>
      </c>
    </row>
    <row r="17724" spans="1:8" x14ac:dyDescent="0.2">
      <c r="A17724" t="str">
        <f t="shared" si="6430"/>
        <v>0613119938</v>
      </c>
      <c r="B17724" t="str">
        <f t="shared" si="6431"/>
        <v>KATHERINE</v>
      </c>
      <c r="C17724" t="str">
        <f t="shared" si="6432"/>
        <v>VOET</v>
      </c>
      <c r="D17724">
        <f>12</f>
        <v>12</v>
      </c>
      <c r="E17724" t="str">
        <f>"02 - A - 201 - Jeanne M Bermudez"</f>
        <v>02 - A - 201 - Jeanne M Bermudez</v>
      </c>
      <c r="F17724" t="str">
        <f>"AP ENV SCI"</f>
        <v>AP ENV SCI</v>
      </c>
      <c r="G17724" t="str">
        <f>"21-2141"</f>
        <v>21-2141</v>
      </c>
      <c r="H17724" t="str">
        <f>"A"</f>
        <v>A</v>
      </c>
    </row>
    <row r="17725" spans="1:8" x14ac:dyDescent="0.2">
      <c r="A17725" t="str">
        <f t="shared" si="6430"/>
        <v>0613119938</v>
      </c>
      <c r="B17725" t="str">
        <f t="shared" si="6431"/>
        <v>KATHERINE</v>
      </c>
      <c r="C17725" t="str">
        <f t="shared" si="6432"/>
        <v>VOET</v>
      </c>
      <c r="D17725">
        <f>12</f>
        <v>12</v>
      </c>
      <c r="E17725" t="str">
        <f>"07 - S1 - B - 101 - Stephen T Ripp"</f>
        <v>07 - S1 - B - 101 - Stephen T Ripp</v>
      </c>
      <c r="F17725" t="str">
        <f>"AP US GOVT/POL"</f>
        <v>AP US GOVT/POL</v>
      </c>
      <c r="G17725" t="str">
        <f>"17-1744"</f>
        <v>17-1744</v>
      </c>
      <c r="H17725" t="str">
        <f>"B"</f>
        <v>B</v>
      </c>
    </row>
    <row r="17726" spans="1:8" x14ac:dyDescent="0.2">
      <c r="A17726" t="str">
        <f t="shared" si="6430"/>
        <v>0613119938</v>
      </c>
      <c r="B17726" t="str">
        <f t="shared" si="6431"/>
        <v>KATHERINE</v>
      </c>
      <c r="C17726" t="str">
        <f t="shared" si="6432"/>
        <v>VOET</v>
      </c>
      <c r="D17726">
        <f>12</f>
        <v>12</v>
      </c>
      <c r="E17726" t="str">
        <f>"05 - B - 105 - Norayda D Suarez"</f>
        <v>05 - B - 105 - Norayda D Suarez</v>
      </c>
      <c r="F17726" t="str">
        <f>"RESEARCH 1 LH"</f>
        <v>RESEARCH 1 LH</v>
      </c>
      <c r="G17726">
        <f>2041</f>
        <v>2041</v>
      </c>
      <c r="H17726" t="str">
        <f>"B"</f>
        <v>B</v>
      </c>
    </row>
    <row r="17727" spans="1:8" x14ac:dyDescent="0.2">
      <c r="A17727" t="str">
        <f t="shared" si="6430"/>
        <v>0613119938</v>
      </c>
      <c r="B17727" t="str">
        <f t="shared" si="6431"/>
        <v>KATHERINE</v>
      </c>
      <c r="C17727" t="str">
        <f t="shared" si="6432"/>
        <v>VOET</v>
      </c>
      <c r="D17727">
        <f>12</f>
        <v>12</v>
      </c>
      <c r="E17727" t="str">
        <f>"01 - A - 201 - Pamela M Corzo"</f>
        <v>01 - A - 201 - Pamela M Corzo</v>
      </c>
      <c r="F17727" t="str">
        <f>"AP CALCULUS BC"</f>
        <v>AP CALCULUS BC</v>
      </c>
      <c r="G17727" t="str">
        <f>"21-2133"</f>
        <v>21-2133</v>
      </c>
      <c r="H17727" t="str">
        <f>"A"</f>
        <v>A</v>
      </c>
    </row>
    <row r="17728" spans="1:8" x14ac:dyDescent="0.2">
      <c r="A17728" t="str">
        <f t="shared" si="6430"/>
        <v>0613119938</v>
      </c>
      <c r="B17728" t="str">
        <f t="shared" si="6431"/>
        <v>KATHERINE</v>
      </c>
      <c r="C17728" t="str">
        <f t="shared" si="6432"/>
        <v>VOET</v>
      </c>
      <c r="D17728">
        <f>12</f>
        <v>12</v>
      </c>
      <c r="E17728" t="str">
        <f>"08 - B - 102 - Lisa J London"</f>
        <v>08 - B - 102 - Lisa J London</v>
      </c>
      <c r="F17728" t="str">
        <f>"AP CAPSTONE RESEARCH"</f>
        <v>AP CAPSTONE RESEARCH</v>
      </c>
      <c r="G17728" t="str">
        <f>"17-1714"</f>
        <v>17-1714</v>
      </c>
      <c r="H17728" t="str">
        <f>"B"</f>
        <v>B</v>
      </c>
    </row>
    <row r="17729" spans="1:8" x14ac:dyDescent="0.2">
      <c r="A17729" t="str">
        <f t="shared" ref="A17729:A17736" si="6433">"0617036207"</f>
        <v>0617036207</v>
      </c>
      <c r="B17729" t="str">
        <f t="shared" ref="B17729:B17736" si="6434">"KAITLYN"</f>
        <v>KAITLYN</v>
      </c>
      <c r="C17729" t="str">
        <f t="shared" ref="C17729:C17736" si="6435">"VOYTENKOV"</f>
        <v>VOYTENKOV</v>
      </c>
      <c r="D17729" t="str">
        <f t="shared" ref="D17729:D17760" si="6436">"09"</f>
        <v>09</v>
      </c>
      <c r="E17729" t="str">
        <f>"04 - A - 201 - Dorothy D Moore"</f>
        <v>04 - A - 201 - Dorothy D Moore</v>
      </c>
      <c r="F17729" t="str">
        <f>"HEALTH SCI 1/A&amp;P HON"</f>
        <v>HEALTH SCI 1/A&amp;P HON</v>
      </c>
      <c r="G17729" t="str">
        <f>"08-803"</f>
        <v>08-803</v>
      </c>
      <c r="H17729" t="str">
        <f>"A"</f>
        <v>A</v>
      </c>
    </row>
    <row r="17730" spans="1:8" x14ac:dyDescent="0.2">
      <c r="A17730" t="str">
        <f t="shared" si="6433"/>
        <v>0617036207</v>
      </c>
      <c r="B17730" t="str">
        <f t="shared" si="6434"/>
        <v>KAITLYN</v>
      </c>
      <c r="C17730" t="str">
        <f t="shared" si="6435"/>
        <v>VOYTENKOV</v>
      </c>
      <c r="D17730" t="str">
        <f t="shared" si="6436"/>
        <v>09</v>
      </c>
      <c r="E17730" t="str">
        <f>"06 - B - 202 - Samantha L Martinez"</f>
        <v>06 - B - 202 - Samantha L Martinez</v>
      </c>
      <c r="F17730" t="str">
        <f>"GUITAR 1"</f>
        <v>GUITAR 1</v>
      </c>
      <c r="G17730" t="str">
        <f>"05-505"</f>
        <v>05-505</v>
      </c>
      <c r="H17730" t="str">
        <f>"B"</f>
        <v>B</v>
      </c>
    </row>
    <row r="17731" spans="1:8" x14ac:dyDescent="0.2">
      <c r="A17731" t="str">
        <f t="shared" si="6433"/>
        <v>0617036207</v>
      </c>
      <c r="B17731" t="str">
        <f t="shared" si="6434"/>
        <v>KAITLYN</v>
      </c>
      <c r="C17731" t="str">
        <f t="shared" si="6435"/>
        <v>VOYTENKOV</v>
      </c>
      <c r="D17731" t="str">
        <f t="shared" si="6436"/>
        <v>09</v>
      </c>
      <c r="E17731" t="str">
        <f>"03 - A - 103 - Kelly N Panza"</f>
        <v>03 - A - 103 - Kelly N Panza</v>
      </c>
      <c r="F17731" t="str">
        <f>"AICE GLBL PERSP 1 AS"</f>
        <v>AICE GLBL PERSP 1 AS</v>
      </c>
      <c r="G17731" t="str">
        <f>"17-1753"</f>
        <v>17-1753</v>
      </c>
      <c r="H17731" t="str">
        <f>"A"</f>
        <v>A</v>
      </c>
    </row>
    <row r="17732" spans="1:8" x14ac:dyDescent="0.2">
      <c r="A17732" t="str">
        <f t="shared" si="6433"/>
        <v>0617036207</v>
      </c>
      <c r="B17732" t="str">
        <f t="shared" si="6434"/>
        <v>KAITLYN</v>
      </c>
      <c r="C17732" t="str">
        <f t="shared" si="6435"/>
        <v>VOYTENKOV</v>
      </c>
      <c r="D17732" t="str">
        <f t="shared" si="6436"/>
        <v>09</v>
      </c>
      <c r="E17732" t="str">
        <f>"02 - A - 116 - Tina L Lovett"</f>
        <v>02 - A - 116 - Tina L Lovett</v>
      </c>
      <c r="F17732" t="str">
        <f>"NC STUDY HALL 1"</f>
        <v>NC STUDY HALL 1</v>
      </c>
      <c r="G17732" t="str">
        <f>"21-2153"</f>
        <v>21-2153</v>
      </c>
      <c r="H17732" t="str">
        <f>"A"</f>
        <v>A</v>
      </c>
    </row>
    <row r="17733" spans="1:8" x14ac:dyDescent="0.2">
      <c r="A17733" t="str">
        <f t="shared" si="6433"/>
        <v>0617036207</v>
      </c>
      <c r="B17733" t="str">
        <f t="shared" si="6434"/>
        <v>KAITLYN</v>
      </c>
      <c r="C17733" t="str">
        <f t="shared" si="6435"/>
        <v>VOYTENKOV</v>
      </c>
      <c r="D17733" t="str">
        <f t="shared" si="6436"/>
        <v>09</v>
      </c>
      <c r="E17733" t="str">
        <f>"07 - B - 105 - Byron G Montenegro"</f>
        <v>07 - B - 105 - Byron G Montenegro</v>
      </c>
      <c r="F17733" t="str">
        <f>"AICE MARINE SCI 1 AS"</f>
        <v>AICE MARINE SCI 1 AS</v>
      </c>
      <c r="G17733" t="str">
        <f>"21-2144"</f>
        <v>21-2144</v>
      </c>
      <c r="H17733" t="str">
        <f>"B"</f>
        <v>B</v>
      </c>
    </row>
    <row r="17734" spans="1:8" x14ac:dyDescent="0.2">
      <c r="A17734" t="str">
        <f t="shared" si="6433"/>
        <v>0617036207</v>
      </c>
      <c r="B17734" t="str">
        <f t="shared" si="6434"/>
        <v>KAITLYN</v>
      </c>
      <c r="C17734" t="str">
        <f t="shared" si="6435"/>
        <v>VOYTENKOV</v>
      </c>
      <c r="D17734" t="str">
        <f t="shared" si="6436"/>
        <v>09</v>
      </c>
      <c r="E17734" t="str">
        <f>"05 - B - 204 - Elizabeth R Walker"</f>
        <v>05 - B - 204 - Elizabeth R Walker</v>
      </c>
      <c r="F17734" t="str">
        <f>"AICE ENG GEN PAPER 1"</f>
        <v>AICE ENG GEN PAPER 1</v>
      </c>
      <c r="G17734" t="str">
        <f>"17-1703"</f>
        <v>17-1703</v>
      </c>
      <c r="H17734" t="str">
        <f>"B"</f>
        <v>B</v>
      </c>
    </row>
    <row r="17735" spans="1:8" x14ac:dyDescent="0.2">
      <c r="A17735" t="str">
        <f t="shared" si="6433"/>
        <v>0617036207</v>
      </c>
      <c r="B17735" t="str">
        <f t="shared" si="6434"/>
        <v>KAITLYN</v>
      </c>
      <c r="C17735" t="str">
        <f t="shared" si="6435"/>
        <v>VOYTENKOV</v>
      </c>
      <c r="D17735" t="str">
        <f t="shared" si="6436"/>
        <v>09</v>
      </c>
      <c r="E17735" t="str">
        <f>"01 - A - 101 - Arthur  Kulawik"</f>
        <v>01 - A - 101 - Arthur  Kulawik</v>
      </c>
      <c r="F17735" t="str">
        <f>"DEBATE 1 LH"</f>
        <v>DEBATE 1 LH</v>
      </c>
      <c r="G17735" t="str">
        <f>"05-506"</f>
        <v>05-506</v>
      </c>
      <c r="H17735" t="str">
        <f>"A"</f>
        <v>A</v>
      </c>
    </row>
    <row r="17736" spans="1:8" x14ac:dyDescent="0.2">
      <c r="A17736" t="str">
        <f t="shared" si="6433"/>
        <v>0617036207</v>
      </c>
      <c r="B17736" t="str">
        <f t="shared" si="6434"/>
        <v>KAITLYN</v>
      </c>
      <c r="C17736" t="str">
        <f t="shared" si="6435"/>
        <v>VOYTENKOV</v>
      </c>
      <c r="D17736" t="str">
        <f t="shared" si="6436"/>
        <v>09</v>
      </c>
      <c r="E17736" t="str">
        <f>"08 - B - 102 - Maried P Ramos"</f>
        <v>08 - B - 102 - Maried P Ramos</v>
      </c>
      <c r="F17736" t="str">
        <f>"ALGEBRA 2 HON"</f>
        <v>ALGEBRA 2 HON</v>
      </c>
      <c r="G17736" t="str">
        <f>"21-2159"</f>
        <v>21-2159</v>
      </c>
      <c r="H17736" t="str">
        <f>"B"</f>
        <v>B</v>
      </c>
    </row>
    <row r="17737" spans="1:8" x14ac:dyDescent="0.2">
      <c r="A17737" t="str">
        <f t="shared" ref="A17737:A17744" si="6437">"0617085613"</f>
        <v>0617085613</v>
      </c>
      <c r="B17737" t="str">
        <f t="shared" ref="B17737:B17744" si="6438">"ALEKSANDRA"</f>
        <v>ALEKSANDRA</v>
      </c>
      <c r="C17737" t="str">
        <f t="shared" ref="C17737:C17752" si="6439">"WAAS"</f>
        <v>WAAS</v>
      </c>
      <c r="D17737" t="str">
        <f t="shared" si="6436"/>
        <v>09</v>
      </c>
      <c r="E17737" t="str">
        <f>"04 - A - 101 - Jeanne M Bermudez"</f>
        <v>04 - A - 101 - Jeanne M Bermudez</v>
      </c>
      <c r="F17737" t="str">
        <f>"ADVANCED IT HON"</f>
        <v>ADVANCED IT HON</v>
      </c>
      <c r="G17737" t="str">
        <f>"21-2141"</f>
        <v>21-2141</v>
      </c>
      <c r="H17737" t="str">
        <f>"A"</f>
        <v>A</v>
      </c>
    </row>
    <row r="17738" spans="1:8" x14ac:dyDescent="0.2">
      <c r="A17738" t="str">
        <f t="shared" si="6437"/>
        <v>0617085613</v>
      </c>
      <c r="B17738" t="str">
        <f t="shared" si="6438"/>
        <v>ALEKSANDRA</v>
      </c>
      <c r="C17738" t="str">
        <f t="shared" si="6439"/>
        <v>WAAS</v>
      </c>
      <c r="D17738" t="str">
        <f t="shared" si="6436"/>
        <v>09</v>
      </c>
      <c r="E17738" t="str">
        <f>"06 - B - 110 - Krystal Marie  Beruty"</f>
        <v>06 - B - 110 - Krystal Marie  Beruty</v>
      </c>
      <c r="F17738" t="str">
        <f>"AICE GLBL PERSP 1 AS"</f>
        <v>AICE GLBL PERSP 1 AS</v>
      </c>
      <c r="G17738" t="str">
        <f>"17-1721"</f>
        <v>17-1721</v>
      </c>
      <c r="H17738" t="str">
        <f>"B"</f>
        <v>B</v>
      </c>
    </row>
    <row r="17739" spans="1:8" x14ac:dyDescent="0.2">
      <c r="A17739" t="str">
        <f t="shared" si="6437"/>
        <v>0617085613</v>
      </c>
      <c r="B17739" t="str">
        <f t="shared" si="6438"/>
        <v>ALEKSANDRA</v>
      </c>
      <c r="C17739" t="str">
        <f t="shared" si="6439"/>
        <v>WAAS</v>
      </c>
      <c r="D17739" t="str">
        <f t="shared" si="6436"/>
        <v>09</v>
      </c>
      <c r="E17739" t="str">
        <f>"03 - A - 005 - Cerine S Stewart"</f>
        <v>03 - A - 005 - Cerine S Stewart</v>
      </c>
      <c r="F17739" t="str">
        <f>"AICE ENG GEN PAPER 1"</f>
        <v>AICE ENG GEN PAPER 1</v>
      </c>
      <c r="G17739" t="str">
        <f>"17-1720"</f>
        <v>17-1720</v>
      </c>
      <c r="H17739" t="str">
        <f>"A"</f>
        <v>A</v>
      </c>
    </row>
    <row r="17740" spans="1:8" x14ac:dyDescent="0.2">
      <c r="A17740" t="str">
        <f t="shared" si="6437"/>
        <v>0617085613</v>
      </c>
      <c r="B17740" t="str">
        <f t="shared" si="6438"/>
        <v>ALEKSANDRA</v>
      </c>
      <c r="C17740" t="str">
        <f t="shared" si="6439"/>
        <v>WAAS</v>
      </c>
      <c r="D17740" t="str">
        <f t="shared" si="6436"/>
        <v>09</v>
      </c>
      <c r="E17740" t="str">
        <f>"02 - A - 112 - Cheryl Anne  Berman-Schechter"</f>
        <v>02 - A - 112 - Cheryl Anne  Berman-Schechter</v>
      </c>
      <c r="F17740" t="str">
        <f>"NC STUDY HALL 1"</f>
        <v>NC STUDY HALL 1</v>
      </c>
      <c r="G17740" t="str">
        <f>"17-1722"</f>
        <v>17-1722</v>
      </c>
      <c r="H17740" t="str">
        <f>"A"</f>
        <v>A</v>
      </c>
    </row>
    <row r="17741" spans="1:8" x14ac:dyDescent="0.2">
      <c r="A17741" t="str">
        <f t="shared" si="6437"/>
        <v>0617085613</v>
      </c>
      <c r="B17741" t="str">
        <f t="shared" si="6438"/>
        <v>ALEKSANDRA</v>
      </c>
      <c r="C17741" t="str">
        <f t="shared" si="6439"/>
        <v>WAAS</v>
      </c>
      <c r="D17741" t="str">
        <f t="shared" si="6436"/>
        <v>09</v>
      </c>
      <c r="E17741" t="str">
        <f>"07 - B - 105 - Byron G Montenegro"</f>
        <v>07 - B - 105 - Byron G Montenegro</v>
      </c>
      <c r="F17741" t="str">
        <f>"AICE MARINE SCI 1 AS"</f>
        <v>AICE MARINE SCI 1 AS</v>
      </c>
      <c r="G17741" t="str">
        <f>"21-2144"</f>
        <v>21-2144</v>
      </c>
      <c r="H17741" t="str">
        <f>"B"</f>
        <v>B</v>
      </c>
    </row>
    <row r="17742" spans="1:8" x14ac:dyDescent="0.2">
      <c r="A17742" t="str">
        <f t="shared" si="6437"/>
        <v>0617085613</v>
      </c>
      <c r="B17742" t="str">
        <f t="shared" si="6438"/>
        <v>ALEKSANDRA</v>
      </c>
      <c r="C17742" t="str">
        <f t="shared" si="6439"/>
        <v>WAAS</v>
      </c>
      <c r="D17742" t="str">
        <f t="shared" si="6436"/>
        <v>09</v>
      </c>
      <c r="E17742" t="str">
        <f>"05 - B - 101 - Arthur  Kulawik"</f>
        <v>05 - B - 101 - Arthur  Kulawik</v>
      </c>
      <c r="F17742" t="str">
        <f>"DEBATE 2 LH"</f>
        <v>DEBATE 2 LH</v>
      </c>
      <c r="G17742" t="str">
        <f>"05-506"</f>
        <v>05-506</v>
      </c>
      <c r="H17742" t="str">
        <f>"B"</f>
        <v>B</v>
      </c>
    </row>
    <row r="17743" spans="1:8" x14ac:dyDescent="0.2">
      <c r="A17743" t="str">
        <f t="shared" si="6437"/>
        <v>0617085613</v>
      </c>
      <c r="B17743" t="str">
        <f t="shared" si="6438"/>
        <v>ALEKSANDRA</v>
      </c>
      <c r="C17743" t="str">
        <f t="shared" si="6439"/>
        <v>WAAS</v>
      </c>
      <c r="D17743" t="str">
        <f t="shared" si="6436"/>
        <v>09</v>
      </c>
      <c r="E17743" t="str">
        <f>"01 - A - 101 - Joe  Kilpatrick Jr"</f>
        <v>01 - A - 101 - Joe  Kilpatrick Jr</v>
      </c>
      <c r="F17743" t="str">
        <f>"PRE-AICE SPAN 1 IG"</f>
        <v>PRE-AICE SPAN 1 IG</v>
      </c>
      <c r="G17743" t="str">
        <f>"09-912"</f>
        <v>09-912</v>
      </c>
      <c r="H17743" t="str">
        <f>"A"</f>
        <v>A</v>
      </c>
    </row>
    <row r="17744" spans="1:8" x14ac:dyDescent="0.2">
      <c r="A17744" t="str">
        <f t="shared" si="6437"/>
        <v>0617085613</v>
      </c>
      <c r="B17744" t="str">
        <f t="shared" si="6438"/>
        <v>ALEKSANDRA</v>
      </c>
      <c r="C17744" t="str">
        <f t="shared" si="6439"/>
        <v>WAAS</v>
      </c>
      <c r="D17744" t="str">
        <f t="shared" si="6436"/>
        <v>09</v>
      </c>
      <c r="E17744" t="str">
        <f>"08 - B - 102 - Maried P Ramos"</f>
        <v>08 - B - 102 - Maried P Ramos</v>
      </c>
      <c r="F17744" t="str">
        <f>"ALGEBRA 2 HON"</f>
        <v>ALGEBRA 2 HON</v>
      </c>
      <c r="G17744" t="str">
        <f>"21-2159"</f>
        <v>21-2159</v>
      </c>
      <c r="H17744" t="str">
        <f>"B"</f>
        <v>B</v>
      </c>
    </row>
    <row r="17745" spans="1:8" x14ac:dyDescent="0.2">
      <c r="A17745" t="str">
        <f t="shared" ref="A17745:A17752" si="6440">"0616103987"</f>
        <v>0616103987</v>
      </c>
      <c r="B17745" t="str">
        <f t="shared" ref="B17745:B17752" si="6441">"MELINA"</f>
        <v>MELINA</v>
      </c>
      <c r="C17745" t="str">
        <f t="shared" si="6439"/>
        <v>WAAS</v>
      </c>
      <c r="D17745" t="str">
        <f t="shared" si="6436"/>
        <v>09</v>
      </c>
      <c r="E17745" t="str">
        <f>"04 - A - 103 - Joe  Kilpatrick Jr"</f>
        <v>04 - A - 103 - Joe  Kilpatrick Jr</v>
      </c>
      <c r="F17745" t="str">
        <f>"PRE-AICE SPAN 1 IG"</f>
        <v>PRE-AICE SPAN 1 IG</v>
      </c>
      <c r="G17745" t="str">
        <f>"09-912"</f>
        <v>09-912</v>
      </c>
      <c r="H17745" t="str">
        <f>"A"</f>
        <v>A</v>
      </c>
    </row>
    <row r="17746" spans="1:8" x14ac:dyDescent="0.2">
      <c r="A17746" t="str">
        <f t="shared" si="6440"/>
        <v>0616103987</v>
      </c>
      <c r="B17746" t="str">
        <f t="shared" si="6441"/>
        <v>MELINA</v>
      </c>
      <c r="C17746" t="str">
        <f t="shared" si="6439"/>
        <v>WAAS</v>
      </c>
      <c r="D17746" t="str">
        <f t="shared" si="6436"/>
        <v>09</v>
      </c>
      <c r="E17746" t="str">
        <f>"06 - B - 106 - Marius D Orsolini"</f>
        <v>06 - B - 106 - Marius D Orsolini</v>
      </c>
      <c r="F17746" t="str">
        <f>"CULINARY ARTS 1"</f>
        <v>CULINARY ARTS 1</v>
      </c>
      <c r="G17746" t="str">
        <f>"21-2115"</f>
        <v>21-2115</v>
      </c>
      <c r="H17746" t="str">
        <f>"B"</f>
        <v>B</v>
      </c>
    </row>
    <row r="17747" spans="1:8" x14ac:dyDescent="0.2">
      <c r="A17747" t="str">
        <f t="shared" si="6440"/>
        <v>0616103987</v>
      </c>
      <c r="B17747" t="str">
        <f t="shared" si="6441"/>
        <v>MELINA</v>
      </c>
      <c r="C17747" t="str">
        <f t="shared" si="6439"/>
        <v>WAAS</v>
      </c>
      <c r="D17747" t="str">
        <f t="shared" si="6436"/>
        <v>09</v>
      </c>
      <c r="E17747" t="str">
        <f>"03 - A - 103 - Kelly N Panza"</f>
        <v>03 - A - 103 - Kelly N Panza</v>
      </c>
      <c r="F17747" t="str">
        <f>"AICE GLBL PERSP 1 AS"</f>
        <v>AICE GLBL PERSP 1 AS</v>
      </c>
      <c r="G17747" t="str">
        <f>"17-1753"</f>
        <v>17-1753</v>
      </c>
      <c r="H17747" t="str">
        <f>"A"</f>
        <v>A</v>
      </c>
    </row>
    <row r="17748" spans="1:8" x14ac:dyDescent="0.2">
      <c r="A17748" t="str">
        <f t="shared" si="6440"/>
        <v>0616103987</v>
      </c>
      <c r="B17748" t="str">
        <f t="shared" si="6441"/>
        <v>MELINA</v>
      </c>
      <c r="C17748" t="str">
        <f t="shared" si="6439"/>
        <v>WAAS</v>
      </c>
      <c r="D17748" t="str">
        <f t="shared" si="6436"/>
        <v>09</v>
      </c>
      <c r="E17748" t="str">
        <f>"02 - A - 107 - Cerine S Stewart"</f>
        <v>02 - A - 107 - Cerine S Stewart</v>
      </c>
      <c r="F17748" t="str">
        <f>"NC STUDY HALL 1"</f>
        <v>NC STUDY HALL 1</v>
      </c>
      <c r="G17748" t="str">
        <f>"17-1720"</f>
        <v>17-1720</v>
      </c>
      <c r="H17748" t="str">
        <f>"A"</f>
        <v>A</v>
      </c>
    </row>
    <row r="17749" spans="1:8" x14ac:dyDescent="0.2">
      <c r="A17749" t="str">
        <f t="shared" si="6440"/>
        <v>0616103987</v>
      </c>
      <c r="B17749" t="str">
        <f t="shared" si="6441"/>
        <v>MELINA</v>
      </c>
      <c r="C17749" t="str">
        <f t="shared" si="6439"/>
        <v>WAAS</v>
      </c>
      <c r="D17749" t="str">
        <f t="shared" si="6436"/>
        <v>09</v>
      </c>
      <c r="E17749" t="str">
        <f>"07 - B - 105 - Byron G Montenegro"</f>
        <v>07 - B - 105 - Byron G Montenegro</v>
      </c>
      <c r="F17749" t="str">
        <f>"AICE MARINE SCI 1 AS"</f>
        <v>AICE MARINE SCI 1 AS</v>
      </c>
      <c r="G17749" t="str">
        <f>"21-2144"</f>
        <v>21-2144</v>
      </c>
      <c r="H17749" t="str">
        <f>"B"</f>
        <v>B</v>
      </c>
    </row>
    <row r="17750" spans="1:8" x14ac:dyDescent="0.2">
      <c r="A17750" t="str">
        <f t="shared" si="6440"/>
        <v>0616103987</v>
      </c>
      <c r="B17750" t="str">
        <f t="shared" si="6441"/>
        <v>MELINA</v>
      </c>
      <c r="C17750" t="str">
        <f t="shared" si="6439"/>
        <v>WAAS</v>
      </c>
      <c r="D17750" t="str">
        <f t="shared" si="6436"/>
        <v>09</v>
      </c>
      <c r="E17750" t="str">
        <f>"05 - B - 101 - Arthur  Kulawik"</f>
        <v>05 - B - 101 - Arthur  Kulawik</v>
      </c>
      <c r="F17750" t="str">
        <f>"DEBATE 2 LH"</f>
        <v>DEBATE 2 LH</v>
      </c>
      <c r="G17750" t="str">
        <f>"05-506"</f>
        <v>05-506</v>
      </c>
      <c r="H17750" t="str">
        <f>"B"</f>
        <v>B</v>
      </c>
    </row>
    <row r="17751" spans="1:8" x14ac:dyDescent="0.2">
      <c r="A17751" t="str">
        <f t="shared" si="6440"/>
        <v>0616103987</v>
      </c>
      <c r="B17751" t="str">
        <f t="shared" si="6441"/>
        <v>MELINA</v>
      </c>
      <c r="C17751" t="str">
        <f t="shared" si="6439"/>
        <v>WAAS</v>
      </c>
      <c r="D17751" t="str">
        <f t="shared" si="6436"/>
        <v>09</v>
      </c>
      <c r="E17751" t="str">
        <f>"01 - A - 101 - Maried P Ramos"</f>
        <v>01 - A - 101 - Maried P Ramos</v>
      </c>
      <c r="F17751" t="str">
        <f>"ALGEBRA 2 HON"</f>
        <v>ALGEBRA 2 HON</v>
      </c>
      <c r="G17751" t="str">
        <f>"21-2159"</f>
        <v>21-2159</v>
      </c>
      <c r="H17751" t="str">
        <f>"A"</f>
        <v>A</v>
      </c>
    </row>
    <row r="17752" spans="1:8" x14ac:dyDescent="0.2">
      <c r="A17752" t="str">
        <f t="shared" si="6440"/>
        <v>0616103987</v>
      </c>
      <c r="B17752" t="str">
        <f t="shared" si="6441"/>
        <v>MELINA</v>
      </c>
      <c r="C17752" t="str">
        <f t="shared" si="6439"/>
        <v>WAAS</v>
      </c>
      <c r="D17752" t="str">
        <f t="shared" si="6436"/>
        <v>09</v>
      </c>
      <c r="E17752" t="str">
        <f>"08 - B - 004 - Cheryl Anne  Berman-Schechter"</f>
        <v>08 - B - 004 - Cheryl Anne  Berman-Schechter</v>
      </c>
      <c r="F17752" t="str">
        <f>"AICE ENG GEN PAPER 1"</f>
        <v>AICE ENG GEN PAPER 1</v>
      </c>
      <c r="G17752" t="str">
        <f>"17-1722"</f>
        <v>17-1722</v>
      </c>
      <c r="H17752" t="str">
        <f>"B"</f>
        <v>B</v>
      </c>
    </row>
    <row r="17753" spans="1:8" x14ac:dyDescent="0.2">
      <c r="A17753" t="str">
        <f t="shared" ref="A17753:A17760" si="6442">"0616055523"</f>
        <v>0616055523</v>
      </c>
      <c r="B17753" t="str">
        <f t="shared" ref="B17753:B17760" si="6443">"KYLEE"</f>
        <v>KYLEE</v>
      </c>
      <c r="C17753" t="str">
        <f t="shared" ref="C17753:C17760" si="6444">"WADE"</f>
        <v>WADE</v>
      </c>
      <c r="D17753" t="str">
        <f t="shared" si="6436"/>
        <v>09</v>
      </c>
      <c r="E17753" t="str">
        <f>"04 - A - 104 - Adam Marcus  Drucker"</f>
        <v>04 - A - 104 - Adam Marcus  Drucker</v>
      </c>
      <c r="F17753" t="str">
        <f>"HOPE-PE V"</f>
        <v>HOPE-PE V</v>
      </c>
      <c r="G17753" t="str">
        <f>"04-254"</f>
        <v>04-254</v>
      </c>
      <c r="H17753" t="str">
        <f>"A"</f>
        <v>A</v>
      </c>
    </row>
    <row r="17754" spans="1:8" x14ac:dyDescent="0.2">
      <c r="A17754" t="str">
        <f t="shared" si="6442"/>
        <v>0616055523</v>
      </c>
      <c r="B17754" t="str">
        <f t="shared" si="6443"/>
        <v>KYLEE</v>
      </c>
      <c r="C17754" t="str">
        <f t="shared" si="6444"/>
        <v>WADE</v>
      </c>
      <c r="D17754" t="str">
        <f t="shared" si="6436"/>
        <v>09</v>
      </c>
      <c r="E17754" t="str">
        <f>"06 - B - 105 - Tina L Lovett"</f>
        <v>06 - B - 105 - Tina L Lovett</v>
      </c>
      <c r="F17754" t="str">
        <f>"FDN SKLS MATH 9-12"</f>
        <v>FDN SKLS MATH 9-12</v>
      </c>
      <c r="G17754" t="str">
        <f>"21-2153"</f>
        <v>21-2153</v>
      </c>
      <c r="H17754" t="str">
        <f>"B"</f>
        <v>B</v>
      </c>
    </row>
    <row r="17755" spans="1:8" x14ac:dyDescent="0.2">
      <c r="A17755" t="str">
        <f t="shared" si="6442"/>
        <v>0616055523</v>
      </c>
      <c r="B17755" t="str">
        <f t="shared" si="6443"/>
        <v>KYLEE</v>
      </c>
      <c r="C17755" t="str">
        <f t="shared" si="6444"/>
        <v>WADE</v>
      </c>
      <c r="D17755" t="str">
        <f t="shared" si="6436"/>
        <v>09</v>
      </c>
      <c r="E17755" t="str">
        <f>"03 - S1 - A - 101 - Arthur  Kulawik"</f>
        <v>03 - S1 - A - 101 - Arthur  Kulawik</v>
      </c>
      <c r="F17755" t="str">
        <f>"PERS FIN &amp; MON MGT H"</f>
        <v>PERS FIN &amp; MON MGT H</v>
      </c>
      <c r="G17755" t="str">
        <f>"05-506"</f>
        <v>05-506</v>
      </c>
      <c r="H17755" t="str">
        <f>"A"</f>
        <v>A</v>
      </c>
    </row>
    <row r="17756" spans="1:8" x14ac:dyDescent="0.2">
      <c r="A17756" t="str">
        <f t="shared" si="6442"/>
        <v>0616055523</v>
      </c>
      <c r="B17756" t="str">
        <f t="shared" si="6443"/>
        <v>KYLEE</v>
      </c>
      <c r="C17756" t="str">
        <f t="shared" si="6444"/>
        <v>WADE</v>
      </c>
      <c r="D17756" t="str">
        <f t="shared" si="6436"/>
        <v>09</v>
      </c>
      <c r="E17756" t="str">
        <f>"02 - A - 112 - Cheryl Anne  Berman-Schechter"</f>
        <v>02 - A - 112 - Cheryl Anne  Berman-Schechter</v>
      </c>
      <c r="F17756" t="str">
        <f>"NC STUDY HALL 1"</f>
        <v>NC STUDY HALL 1</v>
      </c>
      <c r="G17756" t="str">
        <f>"17-1722"</f>
        <v>17-1722</v>
      </c>
      <c r="H17756" t="str">
        <f>"A"</f>
        <v>A</v>
      </c>
    </row>
    <row r="17757" spans="1:8" x14ac:dyDescent="0.2">
      <c r="A17757" t="str">
        <f t="shared" si="6442"/>
        <v>0616055523</v>
      </c>
      <c r="B17757" t="str">
        <f t="shared" si="6443"/>
        <v>KYLEE</v>
      </c>
      <c r="C17757" t="str">
        <f t="shared" si="6444"/>
        <v>WADE</v>
      </c>
      <c r="D17757" t="str">
        <f t="shared" si="6436"/>
        <v>09</v>
      </c>
      <c r="E17757" t="str">
        <f>"07 - B - 003 - Samantha J Headley"</f>
        <v>07 - B - 003 - Samantha J Headley</v>
      </c>
      <c r="F17757" t="str">
        <f>"ENV SCI"</f>
        <v>ENV SCI</v>
      </c>
      <c r="G17757" t="str">
        <f>"08-802"</f>
        <v>08-802</v>
      </c>
      <c r="H17757" t="str">
        <f>"B"</f>
        <v>B</v>
      </c>
    </row>
    <row r="17758" spans="1:8" x14ac:dyDescent="0.2">
      <c r="A17758" t="str">
        <f t="shared" si="6442"/>
        <v>0616055523</v>
      </c>
      <c r="B17758" t="str">
        <f t="shared" si="6443"/>
        <v>KYLEE</v>
      </c>
      <c r="C17758" t="str">
        <f t="shared" si="6444"/>
        <v>WADE</v>
      </c>
      <c r="D17758" t="str">
        <f t="shared" si="6436"/>
        <v>09</v>
      </c>
      <c r="E17758" t="str">
        <f>"05 - B - 104 - Cerine S Stewart"</f>
        <v>05 - B - 104 - Cerine S Stewart</v>
      </c>
      <c r="F17758" t="str">
        <f>"ENG 1"</f>
        <v>ENG 1</v>
      </c>
      <c r="G17758" t="str">
        <f>"17-1720"</f>
        <v>17-1720</v>
      </c>
      <c r="H17758" t="str">
        <f>"B"</f>
        <v>B</v>
      </c>
    </row>
    <row r="17759" spans="1:8" x14ac:dyDescent="0.2">
      <c r="A17759" t="str">
        <f t="shared" si="6442"/>
        <v>0616055523</v>
      </c>
      <c r="B17759" t="str">
        <f t="shared" si="6443"/>
        <v>KYLEE</v>
      </c>
      <c r="C17759" t="str">
        <f t="shared" si="6444"/>
        <v>WADE</v>
      </c>
      <c r="D17759" t="str">
        <f t="shared" si="6436"/>
        <v>09</v>
      </c>
      <c r="E17759" t="str">
        <f>"01 - A - 101 - Tina L Lovett"</f>
        <v>01 - A - 101 - Tina L Lovett</v>
      </c>
      <c r="F17759" t="str">
        <f>"ALGEBRA 1"</f>
        <v>ALGEBRA 1</v>
      </c>
      <c r="G17759" t="str">
        <f>"21-2153"</f>
        <v>21-2153</v>
      </c>
      <c r="H17759" t="str">
        <f>"A"</f>
        <v>A</v>
      </c>
    </row>
    <row r="17760" spans="1:8" x14ac:dyDescent="0.2">
      <c r="A17760" t="str">
        <f t="shared" si="6442"/>
        <v>0616055523</v>
      </c>
      <c r="B17760" t="str">
        <f t="shared" si="6443"/>
        <v>KYLEE</v>
      </c>
      <c r="C17760" t="str">
        <f t="shared" si="6444"/>
        <v>WADE</v>
      </c>
      <c r="D17760" t="str">
        <f t="shared" si="6436"/>
        <v>09</v>
      </c>
      <c r="E17760" t="str">
        <f>"08 - B - 101 - Elizabeth Ellen  Moran"</f>
        <v>08 - B - 101 - Elizabeth Ellen  Moran</v>
      </c>
      <c r="F17760" t="str">
        <f>"WORLD HISTORY"</f>
        <v>WORLD HISTORY</v>
      </c>
      <c r="G17760" t="str">
        <f>"17-1752"</f>
        <v>17-1752</v>
      </c>
      <c r="H17760" t="str">
        <f>"B"</f>
        <v>B</v>
      </c>
    </row>
    <row r="17761" spans="1:8" x14ac:dyDescent="0.2">
      <c r="A17761" t="str">
        <f t="shared" ref="A17761:A17768" si="6445">"0613104573"</f>
        <v>0613104573</v>
      </c>
      <c r="B17761" t="str">
        <f t="shared" ref="B17761:B17768" si="6446">"THOMAS"</f>
        <v>THOMAS</v>
      </c>
      <c r="C17761" t="str">
        <f t="shared" ref="C17761:C17768" si="6447">"WADLOW"</f>
        <v>WADLOW</v>
      </c>
      <c r="D17761">
        <f>12</f>
        <v>12</v>
      </c>
      <c r="E17761" t="str">
        <f>"04 - A - 104 - Robert H Rindner"</f>
        <v>04 - A - 104 - Robert H Rindner</v>
      </c>
      <c r="F17761" t="str">
        <f>"MATH DATA&amp;FIN LIT H"</f>
        <v>MATH DATA&amp;FIN LIT H</v>
      </c>
      <c r="G17761" t="str">
        <f>"21-2160"</f>
        <v>21-2160</v>
      </c>
      <c r="H17761" t="str">
        <f>"A"</f>
        <v>A</v>
      </c>
    </row>
    <row r="17762" spans="1:8" x14ac:dyDescent="0.2">
      <c r="A17762" t="str">
        <f t="shared" si="6445"/>
        <v>0613104573</v>
      </c>
      <c r="B17762" t="str">
        <f t="shared" si="6446"/>
        <v>THOMAS</v>
      </c>
      <c r="C17762" t="str">
        <f t="shared" si="6447"/>
        <v>WADLOW</v>
      </c>
      <c r="D17762">
        <f>12</f>
        <v>12</v>
      </c>
      <c r="E17762" t="str">
        <f>"06 - B - 109 - Carol S Moore"</f>
        <v>06 - B - 109 - Carol S Moore</v>
      </c>
      <c r="F17762" t="str">
        <f>"NC STUDY HALL 1"</f>
        <v>NC STUDY HALL 1</v>
      </c>
      <c r="G17762" t="str">
        <f>"17-1733"</f>
        <v>17-1733</v>
      </c>
      <c r="H17762" t="str">
        <f>"B"</f>
        <v>B</v>
      </c>
    </row>
    <row r="17763" spans="1:8" x14ac:dyDescent="0.2">
      <c r="A17763" t="str">
        <f t="shared" si="6445"/>
        <v>0613104573</v>
      </c>
      <c r="B17763" t="str">
        <f t="shared" si="6446"/>
        <v>THOMAS</v>
      </c>
      <c r="C17763" t="str">
        <f t="shared" si="6447"/>
        <v>WADLOW</v>
      </c>
      <c r="D17763">
        <f>12</f>
        <v>12</v>
      </c>
      <c r="E17763" t="str">
        <f>"03 - S1 - A - 102 - Angela S Adeshina-Morrison"</f>
        <v>03 - S1 - A - 102 - Angela S Adeshina-Morrison</v>
      </c>
      <c r="F17763" t="str">
        <f>"PEER COUN 1"</f>
        <v>PEER COUN 1</v>
      </c>
      <c r="G17763" t="str">
        <f>"05-518"</f>
        <v>05-518</v>
      </c>
      <c r="H17763" t="str">
        <f>"A"</f>
        <v>A</v>
      </c>
    </row>
    <row r="17764" spans="1:8" x14ac:dyDescent="0.2">
      <c r="A17764" t="str">
        <f t="shared" si="6445"/>
        <v>0613104573</v>
      </c>
      <c r="B17764" t="str">
        <f t="shared" si="6446"/>
        <v>THOMAS</v>
      </c>
      <c r="C17764" t="str">
        <f t="shared" si="6447"/>
        <v>WADLOW</v>
      </c>
      <c r="D17764">
        <f>12</f>
        <v>12</v>
      </c>
      <c r="E17764" t="str">
        <f>"02 - S1 - A - 102 - Richard E Dunbar Iii"</f>
        <v>02 - S1 - A - 102 - Richard E Dunbar Iii</v>
      </c>
      <c r="F17764" t="str">
        <f>"WEIGHT TRAIN 3"</f>
        <v>WEIGHT TRAIN 3</v>
      </c>
      <c r="G17764" t="str">
        <f>"05-501"</f>
        <v>05-501</v>
      </c>
      <c r="H17764" t="str">
        <f>"A"</f>
        <v>A</v>
      </c>
    </row>
    <row r="17765" spans="1:8" x14ac:dyDescent="0.2">
      <c r="A17765" t="str">
        <f t="shared" si="6445"/>
        <v>0613104573</v>
      </c>
      <c r="B17765" t="str">
        <f t="shared" si="6446"/>
        <v>THOMAS</v>
      </c>
      <c r="C17765" t="str">
        <f t="shared" si="6447"/>
        <v>WADLOW</v>
      </c>
      <c r="D17765">
        <f>12</f>
        <v>12</v>
      </c>
      <c r="E17765" t="str">
        <f>"07 - B - 104 - Robyn L Trainer"</f>
        <v>07 - B - 104 - Robyn L Trainer</v>
      </c>
      <c r="F17765" t="str">
        <f>"ENG 4"</f>
        <v>ENG 4</v>
      </c>
      <c r="G17765" t="str">
        <f>"17-1734"</f>
        <v>17-1734</v>
      </c>
      <c r="H17765" t="str">
        <f>"B"</f>
        <v>B</v>
      </c>
    </row>
    <row r="17766" spans="1:8" x14ac:dyDescent="0.2">
      <c r="A17766" t="str">
        <f t="shared" si="6445"/>
        <v>0613104573</v>
      </c>
      <c r="B17766" t="str">
        <f t="shared" si="6446"/>
        <v>THOMAS</v>
      </c>
      <c r="C17766" t="str">
        <f t="shared" si="6447"/>
        <v>WADLOW</v>
      </c>
      <c r="D17766">
        <f>12</f>
        <v>12</v>
      </c>
      <c r="E17766" t="str">
        <f>"05 - B - 207 - Marielle A Witting"</f>
        <v>05 - B - 207 - Marielle A Witting</v>
      </c>
      <c r="F17766" t="str">
        <f>"ANAT PHYSIO"</f>
        <v>ANAT PHYSIO</v>
      </c>
      <c r="G17766" t="str">
        <f>"08-805"</f>
        <v>08-805</v>
      </c>
      <c r="H17766" t="str">
        <f>"B"</f>
        <v>B</v>
      </c>
    </row>
    <row r="17767" spans="1:8" x14ac:dyDescent="0.2">
      <c r="A17767" t="str">
        <f t="shared" si="6445"/>
        <v>0613104573</v>
      </c>
      <c r="B17767" t="str">
        <f t="shared" si="6446"/>
        <v>THOMAS</v>
      </c>
      <c r="C17767" t="str">
        <f t="shared" si="6447"/>
        <v>WADLOW</v>
      </c>
      <c r="D17767">
        <f>12</f>
        <v>12</v>
      </c>
      <c r="E17767" t="str">
        <f>"01 - S1 - A - 101 - Robert O Burger"</f>
        <v>01 - S1 - A - 101 - Robert O Burger</v>
      </c>
      <c r="F17767" t="str">
        <f>"US GOVT"</f>
        <v>US GOVT</v>
      </c>
      <c r="G17767" t="str">
        <f>"17-1755"</f>
        <v>17-1755</v>
      </c>
      <c r="H17767" t="str">
        <f>"A"</f>
        <v>A</v>
      </c>
    </row>
    <row r="17768" spans="1:8" x14ac:dyDescent="0.2">
      <c r="A17768" t="str">
        <f t="shared" si="6445"/>
        <v>0613104573</v>
      </c>
      <c r="B17768" t="str">
        <f t="shared" si="6446"/>
        <v>THOMAS</v>
      </c>
      <c r="C17768" t="str">
        <f t="shared" si="6447"/>
        <v>WADLOW</v>
      </c>
      <c r="D17768">
        <f>12</f>
        <v>12</v>
      </c>
      <c r="E17768" t="str">
        <f>"08 - S1 - B - 102 - Nahum  Saint-Preux"</f>
        <v>08 - S1 - B - 102 - Nahum  Saint-Preux</v>
      </c>
      <c r="F17768" t="str">
        <f>"CRIT THINK ST SKLS"</f>
        <v>CRIT THINK ST SKLS</v>
      </c>
      <c r="G17768" t="str">
        <f>"17-1712"</f>
        <v>17-1712</v>
      </c>
      <c r="H17768" t="str">
        <f>"B"</f>
        <v>B</v>
      </c>
    </row>
    <row r="17769" spans="1:8" x14ac:dyDescent="0.2">
      <c r="A17769" t="str">
        <f t="shared" ref="A17769:A17776" si="6448">"0626006439"</f>
        <v>0626006439</v>
      </c>
      <c r="B17769" t="str">
        <f t="shared" ref="B17769:B17776" si="6449">"Jayden"</f>
        <v>Jayden</v>
      </c>
      <c r="C17769" t="str">
        <f t="shared" ref="C17769:C17776" si="6450">"Walker"</f>
        <v>Walker</v>
      </c>
      <c r="D17769">
        <f>11</f>
        <v>11</v>
      </c>
      <c r="E17769" t="str">
        <f>"04 - A - 101 - Stephen T Ripp"</f>
        <v>04 - A - 101 - Stephen T Ripp</v>
      </c>
      <c r="F17769" t="str">
        <f>"AP U.S. HIST"</f>
        <v>AP U.S. HIST</v>
      </c>
      <c r="G17769" t="str">
        <f>"17-1744"</f>
        <v>17-1744</v>
      </c>
      <c r="H17769" t="str">
        <f>"A"</f>
        <v>A</v>
      </c>
    </row>
    <row r="17770" spans="1:8" x14ac:dyDescent="0.2">
      <c r="A17770" t="str">
        <f t="shared" si="6448"/>
        <v>0626006439</v>
      </c>
      <c r="B17770" t="str">
        <f t="shared" si="6449"/>
        <v>Jayden</v>
      </c>
      <c r="C17770" t="str">
        <f t="shared" si="6450"/>
        <v>Walker</v>
      </c>
      <c r="D17770">
        <f>11</f>
        <v>11</v>
      </c>
      <c r="E17770" t="str">
        <f>"06 - S1 - B - 102 - Daniel S Katz"</f>
        <v>06 - S1 - B - 102 - Daniel S Katz</v>
      </c>
      <c r="F17770" t="str">
        <f>"COURT PROCED"</f>
        <v>COURT PROCED</v>
      </c>
      <c r="G17770" t="str">
        <f>"21-2156"</f>
        <v>21-2156</v>
      </c>
      <c r="H17770" t="str">
        <f>"B"</f>
        <v>B</v>
      </c>
    </row>
    <row r="17771" spans="1:8" x14ac:dyDescent="0.2">
      <c r="A17771" t="str">
        <f t="shared" si="6448"/>
        <v>0626006439</v>
      </c>
      <c r="B17771" t="str">
        <f t="shared" si="6449"/>
        <v>Jayden</v>
      </c>
      <c r="C17771" t="str">
        <f t="shared" si="6450"/>
        <v>Walker</v>
      </c>
      <c r="D17771">
        <f>11</f>
        <v>11</v>
      </c>
      <c r="E17771" t="str">
        <f>"03 - A - 201 - Joe  Kilpatrick Jr"</f>
        <v>03 - A - 201 - Joe  Kilpatrick Jr</v>
      </c>
      <c r="F17771" t="str">
        <f>"PRE-AICE SPAN 2 IG"</f>
        <v>PRE-AICE SPAN 2 IG</v>
      </c>
      <c r="G17771" t="str">
        <f>"09-912"</f>
        <v>09-912</v>
      </c>
      <c r="H17771" t="str">
        <f>"A"</f>
        <v>A</v>
      </c>
    </row>
    <row r="17772" spans="1:8" x14ac:dyDescent="0.2">
      <c r="A17772" t="str">
        <f t="shared" si="6448"/>
        <v>0626006439</v>
      </c>
      <c r="B17772" t="str">
        <f t="shared" si="6449"/>
        <v>Jayden</v>
      </c>
      <c r="C17772" t="str">
        <f t="shared" si="6450"/>
        <v>Walker</v>
      </c>
      <c r="D17772">
        <f>11</f>
        <v>11</v>
      </c>
      <c r="E17772" t="str">
        <f>"02 - A - 001 - Courtney E Hambright"</f>
        <v>02 - A - 001 - Courtney E Hambright</v>
      </c>
      <c r="F17772" t="str">
        <f>"NC STUDY HALL 1"</f>
        <v>NC STUDY HALL 1</v>
      </c>
      <c r="G17772" t="str">
        <f>"17-1711"</f>
        <v>17-1711</v>
      </c>
      <c r="H17772" t="str">
        <f>"A"</f>
        <v>A</v>
      </c>
    </row>
    <row r="17773" spans="1:8" x14ac:dyDescent="0.2">
      <c r="A17773" t="str">
        <f t="shared" si="6448"/>
        <v>0626006439</v>
      </c>
      <c r="B17773" t="str">
        <f t="shared" si="6449"/>
        <v>Jayden</v>
      </c>
      <c r="C17773" t="str">
        <f t="shared" si="6450"/>
        <v>Walker</v>
      </c>
      <c r="D17773">
        <f>11</f>
        <v>11</v>
      </c>
      <c r="E17773" t="str">
        <f>"07 - B - 106 - James H Mccann"</f>
        <v>07 - B - 106 - James H Mccann</v>
      </c>
      <c r="F17773" t="str">
        <f>"ALGEBRA 2"</f>
        <v>ALGEBRA 2</v>
      </c>
      <c r="G17773" t="str">
        <f>"17-1716"</f>
        <v>17-1716</v>
      </c>
      <c r="H17773" t="str">
        <f>"B"</f>
        <v>B</v>
      </c>
    </row>
    <row r="17774" spans="1:8" x14ac:dyDescent="0.2">
      <c r="A17774" t="str">
        <f t="shared" si="6448"/>
        <v>0626006439</v>
      </c>
      <c r="B17774" t="str">
        <f t="shared" si="6449"/>
        <v>Jayden</v>
      </c>
      <c r="C17774" t="str">
        <f t="shared" si="6450"/>
        <v>Walker</v>
      </c>
      <c r="D17774">
        <f>11</f>
        <v>11</v>
      </c>
      <c r="E17774" t="str">
        <f>"05 - B - 103 - Tina M Jaramillo"</f>
        <v>05 - B - 103 - Tina M Jaramillo</v>
      </c>
      <c r="F17774" t="str">
        <f>"AP ENG COMPO"</f>
        <v>AP ENG COMPO</v>
      </c>
      <c r="G17774" t="str">
        <f>"17-1706"</f>
        <v>17-1706</v>
      </c>
      <c r="H17774" t="str">
        <f>"B"</f>
        <v>B</v>
      </c>
    </row>
    <row r="17775" spans="1:8" x14ac:dyDescent="0.2">
      <c r="A17775" t="str">
        <f t="shared" si="6448"/>
        <v>0626006439</v>
      </c>
      <c r="B17775" t="str">
        <f t="shared" si="6449"/>
        <v>Jayden</v>
      </c>
      <c r="C17775" t="str">
        <f t="shared" si="6450"/>
        <v>Walker</v>
      </c>
      <c r="D17775">
        <f>11</f>
        <v>11</v>
      </c>
      <c r="E17775" t="str">
        <f>"01 - A - 101 - Marielle A Witting"</f>
        <v>01 - A - 101 - Marielle A Witting</v>
      </c>
      <c r="F17775" t="str">
        <f>"AP BIO"</f>
        <v>AP BIO</v>
      </c>
      <c r="G17775" t="str">
        <f>"08-805"</f>
        <v>08-805</v>
      </c>
      <c r="H17775" t="str">
        <f>"A"</f>
        <v>A</v>
      </c>
    </row>
    <row r="17776" spans="1:8" x14ac:dyDescent="0.2">
      <c r="A17776" t="str">
        <f t="shared" si="6448"/>
        <v>0626006439</v>
      </c>
      <c r="B17776" t="str">
        <f t="shared" si="6449"/>
        <v>Jayden</v>
      </c>
      <c r="C17776" t="str">
        <f t="shared" si="6450"/>
        <v>Walker</v>
      </c>
      <c r="D17776">
        <f>11</f>
        <v>11</v>
      </c>
      <c r="E17776" t="str">
        <f>"08 - B - 101 - Jazmin S Fletcher"</f>
        <v>08 - B - 101 - Jazmin S Fletcher</v>
      </c>
      <c r="F17776" t="str">
        <f>"PRE-AICE DRAMA 1G"</f>
        <v>PRE-AICE DRAMA 1G</v>
      </c>
      <c r="G17776" t="str">
        <f>"09-909"</f>
        <v>09-909</v>
      </c>
      <c r="H17776" t="str">
        <f>"B"</f>
        <v>B</v>
      </c>
    </row>
    <row r="17777" spans="1:8" x14ac:dyDescent="0.2">
      <c r="A17777" t="str">
        <f t="shared" ref="A17777:A17784" si="6451">"0615026233"</f>
        <v>0615026233</v>
      </c>
      <c r="B17777" t="str">
        <f t="shared" ref="B17777:B17784" si="6452">"ADORA"</f>
        <v>ADORA</v>
      </c>
      <c r="C17777" t="str">
        <f t="shared" ref="C17777:C17816" si="6453">"WALKER"</f>
        <v>WALKER</v>
      </c>
      <c r="D17777">
        <f>11</f>
        <v>11</v>
      </c>
      <c r="E17777" t="str">
        <f>"04 - A - 101 - Jeanne M Bermudez"</f>
        <v>04 - A - 101 - Jeanne M Bermudez</v>
      </c>
      <c r="F17777" t="str">
        <f>"ADVANCED IT HON"</f>
        <v>ADVANCED IT HON</v>
      </c>
      <c r="G17777" t="str">
        <f>"21-2141"</f>
        <v>21-2141</v>
      </c>
      <c r="H17777" t="str">
        <f>"A"</f>
        <v>A</v>
      </c>
    </row>
    <row r="17778" spans="1:8" x14ac:dyDescent="0.2">
      <c r="A17778" t="str">
        <f t="shared" si="6451"/>
        <v>0615026233</v>
      </c>
      <c r="B17778" t="str">
        <f t="shared" si="6452"/>
        <v>ADORA</v>
      </c>
      <c r="C17778" t="str">
        <f t="shared" si="6453"/>
        <v>WALKER</v>
      </c>
      <c r="D17778">
        <f>11</f>
        <v>11</v>
      </c>
      <c r="E17778" t="str">
        <f>"06 - B - 108 - Milca  Exantus"</f>
        <v>06 - B - 108 - Milca  Exantus</v>
      </c>
      <c r="F17778" t="str">
        <f>"MATH COLLEGE LIB ART"</f>
        <v>MATH COLLEGE LIB ART</v>
      </c>
      <c r="G17778" t="str">
        <f>"21-2145"</f>
        <v>21-2145</v>
      </c>
      <c r="H17778" t="str">
        <f>"B"</f>
        <v>B</v>
      </c>
    </row>
    <row r="17779" spans="1:8" x14ac:dyDescent="0.2">
      <c r="A17779" t="str">
        <f t="shared" si="6451"/>
        <v>0615026233</v>
      </c>
      <c r="B17779" t="str">
        <f t="shared" si="6452"/>
        <v>ADORA</v>
      </c>
      <c r="C17779" t="str">
        <f t="shared" si="6453"/>
        <v>WALKER</v>
      </c>
      <c r="D17779">
        <f>11</f>
        <v>11</v>
      </c>
      <c r="E17779" t="str">
        <f>"03 - A - 106 - Jerry S Jiampetti"</f>
        <v>03 - A - 106 - Jerry S Jiampetti</v>
      </c>
      <c r="F17779" t="str">
        <f>"US HISTORY HON"</f>
        <v>US HISTORY HON</v>
      </c>
      <c r="G17779" t="str">
        <f>"17-1751"</f>
        <v>17-1751</v>
      </c>
      <c r="H17779" t="str">
        <f>"A"</f>
        <v>A</v>
      </c>
    </row>
    <row r="17780" spans="1:8" x14ac:dyDescent="0.2">
      <c r="A17780" t="str">
        <f t="shared" si="6451"/>
        <v>0615026233</v>
      </c>
      <c r="B17780" t="str">
        <f t="shared" si="6452"/>
        <v>ADORA</v>
      </c>
      <c r="C17780" t="str">
        <f t="shared" si="6453"/>
        <v>WALKER</v>
      </c>
      <c r="D17780">
        <f>11</f>
        <v>11</v>
      </c>
      <c r="E17780" t="str">
        <f>"02 - A - 105 - Leslie J Barton"</f>
        <v>02 - A - 105 - Leslie J Barton</v>
      </c>
      <c r="F17780" t="str">
        <f>"NC STUDY HALL 1"</f>
        <v>NC STUDY HALL 1</v>
      </c>
      <c r="G17780" t="str">
        <f>"05-521"</f>
        <v>05-521</v>
      </c>
      <c r="H17780" t="str">
        <f>"A"</f>
        <v>A</v>
      </c>
    </row>
    <row r="17781" spans="1:8" x14ac:dyDescent="0.2">
      <c r="A17781" t="str">
        <f t="shared" si="6451"/>
        <v>0615026233</v>
      </c>
      <c r="B17781" t="str">
        <f t="shared" si="6452"/>
        <v>ADORA</v>
      </c>
      <c r="C17781" t="str">
        <f t="shared" si="6453"/>
        <v>WALKER</v>
      </c>
      <c r="D17781">
        <f>11</f>
        <v>11</v>
      </c>
      <c r="E17781" t="str">
        <f>"07 - B - 104 - Marielle A Witting"</f>
        <v>07 - B - 104 - Marielle A Witting</v>
      </c>
      <c r="F17781" t="str">
        <f>"ANAT PHYSIO"</f>
        <v>ANAT PHYSIO</v>
      </c>
      <c r="G17781" t="str">
        <f>"08-805"</f>
        <v>08-805</v>
      </c>
      <c r="H17781" t="str">
        <f>"B"</f>
        <v>B</v>
      </c>
    </row>
    <row r="17782" spans="1:8" x14ac:dyDescent="0.2">
      <c r="A17782" t="str">
        <f t="shared" si="6451"/>
        <v>0615026233</v>
      </c>
      <c r="B17782" t="str">
        <f t="shared" si="6452"/>
        <v>ADORA</v>
      </c>
      <c r="C17782" t="str">
        <f t="shared" si="6453"/>
        <v>WALKER</v>
      </c>
      <c r="D17782">
        <f>11</f>
        <v>11</v>
      </c>
      <c r="E17782" t="str">
        <f>"05 - B - 001 - Stefanie S Scher"</f>
        <v>05 - B - 001 - Stefanie S Scher</v>
      </c>
      <c r="F17782" t="str">
        <f>"AICE PSYCH 1 AS"</f>
        <v>AICE PSYCH 1 AS</v>
      </c>
      <c r="G17782" t="str">
        <f>"17-1735"</f>
        <v>17-1735</v>
      </c>
      <c r="H17782" t="str">
        <f>"B"</f>
        <v>B</v>
      </c>
    </row>
    <row r="17783" spans="1:8" x14ac:dyDescent="0.2">
      <c r="A17783" t="str">
        <f t="shared" si="6451"/>
        <v>0615026233</v>
      </c>
      <c r="B17783" t="str">
        <f t="shared" si="6452"/>
        <v>ADORA</v>
      </c>
      <c r="C17783" t="str">
        <f t="shared" si="6453"/>
        <v>WALKER</v>
      </c>
      <c r="D17783">
        <f>11</f>
        <v>11</v>
      </c>
      <c r="E17783" t="str">
        <f>"01 - A - 101 - Jacklyn M James"</f>
        <v>01 - A - 101 - Jacklyn M James</v>
      </c>
      <c r="F17783" t="str">
        <f>"AICE ENG LANG AS"</f>
        <v>AICE ENG LANG AS</v>
      </c>
      <c r="G17783" t="str">
        <f>"17-1731"</f>
        <v>17-1731</v>
      </c>
      <c r="H17783" t="str">
        <f>"A"</f>
        <v>A</v>
      </c>
    </row>
    <row r="17784" spans="1:8" x14ac:dyDescent="0.2">
      <c r="A17784" t="str">
        <f t="shared" si="6451"/>
        <v>0615026233</v>
      </c>
      <c r="B17784" t="str">
        <f t="shared" si="6452"/>
        <v>ADORA</v>
      </c>
      <c r="C17784" t="str">
        <f t="shared" si="6453"/>
        <v>WALKER</v>
      </c>
      <c r="D17784">
        <f>11</f>
        <v>11</v>
      </c>
      <c r="E17784" t="str">
        <f>"08 - B - 103 - Chrystina M Marchionne"</f>
        <v>08 - B - 103 - Chrystina M Marchionne</v>
      </c>
      <c r="F17784" t="str">
        <f>"JOURN 3 (YB) LH"</f>
        <v>JOURN 3 (YB) LH</v>
      </c>
      <c r="G17784" t="str">
        <f>"05-520"</f>
        <v>05-520</v>
      </c>
      <c r="H17784" t="str">
        <f>"B"</f>
        <v>B</v>
      </c>
    </row>
    <row r="17785" spans="1:8" x14ac:dyDescent="0.2">
      <c r="A17785" t="str">
        <f t="shared" ref="A17785:A17792" si="6454">"0614100388"</f>
        <v>0614100388</v>
      </c>
      <c r="B17785" t="str">
        <f t="shared" ref="B17785:B17792" si="6455">"BRIA"</f>
        <v>BRIA</v>
      </c>
      <c r="C17785" t="str">
        <f t="shared" si="6453"/>
        <v>WALKER</v>
      </c>
      <c r="D17785">
        <f>11</f>
        <v>11</v>
      </c>
      <c r="E17785" t="str">
        <f>"04 - A - 102 - Elizabeth Ellen  Moran"</f>
        <v>04 - A - 102 - Elizabeth Ellen  Moran</v>
      </c>
      <c r="F17785" t="str">
        <f>"US HISTORY"</f>
        <v>US HISTORY</v>
      </c>
      <c r="G17785" t="str">
        <f>"17-1752"</f>
        <v>17-1752</v>
      </c>
      <c r="H17785" t="str">
        <f>"A"</f>
        <v>A</v>
      </c>
    </row>
    <row r="17786" spans="1:8" x14ac:dyDescent="0.2">
      <c r="A17786" t="str">
        <f t="shared" si="6454"/>
        <v>0614100388</v>
      </c>
      <c r="B17786" t="str">
        <f t="shared" si="6455"/>
        <v>BRIA</v>
      </c>
      <c r="C17786" t="str">
        <f t="shared" si="6453"/>
        <v>WALKER</v>
      </c>
      <c r="D17786">
        <f>11</f>
        <v>11</v>
      </c>
      <c r="E17786" t="str">
        <f>"06 - B - 108 - Milca  Exantus"</f>
        <v>06 - B - 108 - Milca  Exantus</v>
      </c>
      <c r="F17786" t="str">
        <f>"MATH COLLEGE LIB ART"</f>
        <v>MATH COLLEGE LIB ART</v>
      </c>
      <c r="G17786" t="str">
        <f>"21-2145"</f>
        <v>21-2145</v>
      </c>
      <c r="H17786" t="str">
        <f>"B"</f>
        <v>B</v>
      </c>
    </row>
    <row r="17787" spans="1:8" x14ac:dyDescent="0.2">
      <c r="A17787" t="str">
        <f t="shared" si="6454"/>
        <v>0614100388</v>
      </c>
      <c r="B17787" t="str">
        <f t="shared" si="6455"/>
        <v>BRIA</v>
      </c>
      <c r="C17787" t="str">
        <f t="shared" si="6453"/>
        <v>WALKER</v>
      </c>
      <c r="D17787">
        <f>11</f>
        <v>11</v>
      </c>
      <c r="E17787" t="str">
        <f>"03 - A - 102 - Cliffon  Saurel"</f>
        <v>03 - A - 102 - Cliffon  Saurel</v>
      </c>
      <c r="F17787" t="str">
        <f>"PHYSICAL SCI"</f>
        <v>PHYSICAL SCI</v>
      </c>
      <c r="G17787" t="str">
        <f>"05-522"</f>
        <v>05-522</v>
      </c>
      <c r="H17787" t="str">
        <f>"A"</f>
        <v>A</v>
      </c>
    </row>
    <row r="17788" spans="1:8" x14ac:dyDescent="0.2">
      <c r="A17788" t="str">
        <f t="shared" si="6454"/>
        <v>0614100388</v>
      </c>
      <c r="B17788" t="str">
        <f t="shared" si="6455"/>
        <v>BRIA</v>
      </c>
      <c r="C17788" t="str">
        <f t="shared" si="6453"/>
        <v>WALKER</v>
      </c>
      <c r="D17788">
        <f>11</f>
        <v>11</v>
      </c>
      <c r="E17788" t="str">
        <f>"02 - A - 106 - Heidi M Knopp"</f>
        <v>02 - A - 106 - Heidi M Knopp</v>
      </c>
      <c r="F17788" t="str">
        <f>"NC STUDY HALL 1"</f>
        <v>NC STUDY HALL 1</v>
      </c>
      <c r="G17788" t="str">
        <f>"17-1735"</f>
        <v>17-1735</v>
      </c>
      <c r="H17788" t="str">
        <f>"A"</f>
        <v>A</v>
      </c>
    </row>
    <row r="17789" spans="1:8" x14ac:dyDescent="0.2">
      <c r="A17789" t="str">
        <f t="shared" si="6454"/>
        <v>0614100388</v>
      </c>
      <c r="B17789" t="str">
        <f t="shared" si="6455"/>
        <v>BRIA</v>
      </c>
      <c r="C17789" t="str">
        <f t="shared" si="6453"/>
        <v>WALKER</v>
      </c>
      <c r="D17789">
        <f>11</f>
        <v>11</v>
      </c>
      <c r="E17789" t="str">
        <f>"07 - B - 202 - Chrystina M Marchionne"</f>
        <v>07 - B - 202 - Chrystina M Marchionne</v>
      </c>
      <c r="F17789" t="str">
        <f>"JOURN 1 (YB) LH"</f>
        <v>JOURN 1 (YB) LH</v>
      </c>
      <c r="G17789" t="str">
        <f>"05-520"</f>
        <v>05-520</v>
      </c>
      <c r="H17789" t="str">
        <f>"B"</f>
        <v>B</v>
      </c>
    </row>
    <row r="17790" spans="1:8" x14ac:dyDescent="0.2">
      <c r="A17790" t="str">
        <f t="shared" si="6454"/>
        <v>0614100388</v>
      </c>
      <c r="B17790" t="str">
        <f t="shared" si="6455"/>
        <v>BRIA</v>
      </c>
      <c r="C17790" t="str">
        <f t="shared" si="6453"/>
        <v>WALKER</v>
      </c>
      <c r="D17790">
        <f>11</f>
        <v>11</v>
      </c>
      <c r="E17790" t="str">
        <f>"05 - B - 201 - Jazmin S Fletcher"</f>
        <v>05 - B - 201 - Jazmin S Fletcher</v>
      </c>
      <c r="F17790" t="str">
        <f>"THEATRE 1"</f>
        <v>THEATRE 1</v>
      </c>
      <c r="G17790" t="str">
        <f>"09-909"</f>
        <v>09-909</v>
      </c>
      <c r="H17790" t="str">
        <f>"B"</f>
        <v>B</v>
      </c>
    </row>
    <row r="17791" spans="1:8" x14ac:dyDescent="0.2">
      <c r="A17791" t="str">
        <f t="shared" si="6454"/>
        <v>0614100388</v>
      </c>
      <c r="B17791" t="str">
        <f t="shared" si="6455"/>
        <v>BRIA</v>
      </c>
      <c r="C17791" t="str">
        <f t="shared" si="6453"/>
        <v>WALKER</v>
      </c>
      <c r="D17791">
        <f>11</f>
        <v>11</v>
      </c>
      <c r="E17791" t="str">
        <f>"01 - A - 101 - Lisa  Quinn"</f>
        <v>01 - A - 101 - Lisa  Quinn</v>
      </c>
      <c r="F17791" t="str">
        <f>"ENG 3"</f>
        <v>ENG 3</v>
      </c>
      <c r="G17791" t="str">
        <f>"17-1725"</f>
        <v>17-1725</v>
      </c>
      <c r="H17791" t="str">
        <f>"A"</f>
        <v>A</v>
      </c>
    </row>
    <row r="17792" spans="1:8" x14ac:dyDescent="0.2">
      <c r="A17792" t="str">
        <f t="shared" si="6454"/>
        <v>0614100388</v>
      </c>
      <c r="B17792" t="str">
        <f t="shared" si="6455"/>
        <v>BRIA</v>
      </c>
      <c r="C17792" t="str">
        <f t="shared" si="6453"/>
        <v>WALKER</v>
      </c>
      <c r="D17792">
        <f>11</f>
        <v>11</v>
      </c>
      <c r="E17792" t="str">
        <f>"08 - B - 101 - Jazmin S Fletcher"</f>
        <v>08 - B - 101 - Jazmin S Fletcher</v>
      </c>
      <c r="F17792" t="str">
        <f>"PRE-AICE DRAMA 1G"</f>
        <v>PRE-AICE DRAMA 1G</v>
      </c>
      <c r="G17792" t="str">
        <f>"09-909"</f>
        <v>09-909</v>
      </c>
      <c r="H17792" t="str">
        <f>"B"</f>
        <v>B</v>
      </c>
    </row>
    <row r="17793" spans="1:8" x14ac:dyDescent="0.2">
      <c r="A17793" t="str">
        <f t="shared" ref="A17793:A17800" si="6456">"0614083523"</f>
        <v>0614083523</v>
      </c>
      <c r="B17793" t="str">
        <f t="shared" ref="B17793:B17800" si="6457">"JAHEIM"</f>
        <v>JAHEIM</v>
      </c>
      <c r="C17793" t="str">
        <f t="shared" si="6453"/>
        <v>WALKER</v>
      </c>
      <c r="D17793">
        <f>10</f>
        <v>10</v>
      </c>
      <c r="E17793" t="str">
        <f>"04 - S1 - A - 104 - Richard E Dunbar Iii"</f>
        <v>04 - S1 - A - 104 - Richard E Dunbar Iii</v>
      </c>
      <c r="F17793" t="str">
        <f>"WEIGHT TRAIN 1"</f>
        <v>WEIGHT TRAIN 1</v>
      </c>
      <c r="G17793" t="str">
        <f>"05-501"</f>
        <v>05-501</v>
      </c>
      <c r="H17793" t="str">
        <f>"A"</f>
        <v>A</v>
      </c>
    </row>
    <row r="17794" spans="1:8" x14ac:dyDescent="0.2">
      <c r="A17794" t="str">
        <f t="shared" si="6456"/>
        <v>0614083523</v>
      </c>
      <c r="B17794" t="str">
        <f t="shared" si="6457"/>
        <v>JAHEIM</v>
      </c>
      <c r="C17794" t="str">
        <f t="shared" si="6453"/>
        <v>WALKER</v>
      </c>
      <c r="D17794">
        <f>10</f>
        <v>10</v>
      </c>
      <c r="E17794" t="str">
        <f>"06 - B - 004 - Robert O Burger"</f>
        <v>06 - B - 004 - Robert O Burger</v>
      </c>
      <c r="F17794" t="str">
        <f>"NC STUDY HALL 1"</f>
        <v>NC STUDY HALL 1</v>
      </c>
      <c r="G17794" t="str">
        <f>"17-1755"</f>
        <v>17-1755</v>
      </c>
      <c r="H17794" t="str">
        <f>"B"</f>
        <v>B</v>
      </c>
    </row>
    <row r="17795" spans="1:8" x14ac:dyDescent="0.2">
      <c r="A17795" t="str">
        <f t="shared" si="6456"/>
        <v>0614083523</v>
      </c>
      <c r="B17795" t="str">
        <f t="shared" si="6457"/>
        <v>JAHEIM</v>
      </c>
      <c r="C17795" t="str">
        <f t="shared" si="6453"/>
        <v>WALKER</v>
      </c>
      <c r="D17795">
        <f>10</f>
        <v>10</v>
      </c>
      <c r="E17795" t="str">
        <f>"03 - A - 204 - Lytrell T Dixon"</f>
        <v>03 - A - 204 - Lytrell T Dixon</v>
      </c>
      <c r="F17795" t="str">
        <f>"BIOLOGY 1"</f>
        <v>BIOLOGY 1</v>
      </c>
      <c r="G17795" t="str">
        <f>"08-808"</f>
        <v>08-808</v>
      </c>
      <c r="H17795" t="str">
        <f>"A"</f>
        <v>A</v>
      </c>
    </row>
    <row r="17796" spans="1:8" x14ac:dyDescent="0.2">
      <c r="A17796" t="str">
        <f t="shared" si="6456"/>
        <v>0614083523</v>
      </c>
      <c r="B17796" t="str">
        <f t="shared" si="6457"/>
        <v>JAHEIM</v>
      </c>
      <c r="C17796" t="str">
        <f t="shared" si="6453"/>
        <v>WALKER</v>
      </c>
      <c r="D17796">
        <f>10</f>
        <v>10</v>
      </c>
      <c r="E17796" t="str">
        <f>"02 - S1 - A - 101 - Carol S Moore"</f>
        <v>02 - S1 - A - 101 - Carol S Moore</v>
      </c>
      <c r="F17796" t="str">
        <f>"PER CAR SCH DEV 1 LH"</f>
        <v>PER CAR SCH DEV 1 LH</v>
      </c>
      <c r="G17796" t="str">
        <f>"17-1733"</f>
        <v>17-1733</v>
      </c>
      <c r="H17796" t="str">
        <f>"A"</f>
        <v>A</v>
      </c>
    </row>
    <row r="17797" spans="1:8" x14ac:dyDescent="0.2">
      <c r="A17797" t="str">
        <f t="shared" si="6456"/>
        <v>0614083523</v>
      </c>
      <c r="B17797" t="str">
        <f t="shared" si="6457"/>
        <v>JAHEIM</v>
      </c>
      <c r="C17797" t="str">
        <f t="shared" si="6453"/>
        <v>WALKER</v>
      </c>
      <c r="D17797">
        <f>10</f>
        <v>10</v>
      </c>
      <c r="E17797" t="str">
        <f>"07 - B - 107 - Helen A Flores"</f>
        <v>07 - B - 107 - Helen A Flores</v>
      </c>
      <c r="F17797" t="str">
        <f>"ALGEBRA 1"</f>
        <v>ALGEBRA 1</v>
      </c>
      <c r="G17797" t="str">
        <f>"21-2101"</f>
        <v>21-2101</v>
      </c>
      <c r="H17797" t="str">
        <f>"B"</f>
        <v>B</v>
      </c>
    </row>
    <row r="17798" spans="1:8" x14ac:dyDescent="0.2">
      <c r="A17798" t="str">
        <f t="shared" si="6456"/>
        <v>0614083523</v>
      </c>
      <c r="B17798" t="str">
        <f t="shared" si="6457"/>
        <v>JAHEIM</v>
      </c>
      <c r="C17798" t="str">
        <f t="shared" si="6453"/>
        <v>WALKER</v>
      </c>
      <c r="D17798">
        <f>10</f>
        <v>10</v>
      </c>
      <c r="E17798" t="str">
        <f>"05 - B - 105 - Taraneh C Abreu"</f>
        <v>05 - B - 105 - Taraneh C Abreu</v>
      </c>
      <c r="F17798" t="str">
        <f>"INTENS READ 2"</f>
        <v>INTENS READ 2</v>
      </c>
      <c r="G17798" t="str">
        <f>"17-1713"</f>
        <v>17-1713</v>
      </c>
      <c r="H17798" t="str">
        <f>"B"</f>
        <v>B</v>
      </c>
    </row>
    <row r="17799" spans="1:8" x14ac:dyDescent="0.2">
      <c r="A17799" t="str">
        <f t="shared" si="6456"/>
        <v>0614083523</v>
      </c>
      <c r="B17799" t="str">
        <f t="shared" si="6457"/>
        <v>JAHEIM</v>
      </c>
      <c r="C17799" t="str">
        <f t="shared" si="6453"/>
        <v>WALKER</v>
      </c>
      <c r="D17799">
        <f>10</f>
        <v>10</v>
      </c>
      <c r="E17799" t="str">
        <f>"01 - A - 102 - Helen A Flores"</f>
        <v>01 - A - 102 - Helen A Flores</v>
      </c>
      <c r="F17799" t="str">
        <f>"FDN SKLS MATH 9-12"</f>
        <v>FDN SKLS MATH 9-12</v>
      </c>
      <c r="G17799" t="str">
        <f>"21-2101"</f>
        <v>21-2101</v>
      </c>
      <c r="H17799" t="str">
        <f>"A"</f>
        <v>A</v>
      </c>
    </row>
    <row r="17800" spans="1:8" x14ac:dyDescent="0.2">
      <c r="A17800" t="str">
        <f t="shared" si="6456"/>
        <v>0614083523</v>
      </c>
      <c r="B17800" t="str">
        <f t="shared" si="6457"/>
        <v>JAHEIM</v>
      </c>
      <c r="C17800" t="str">
        <f t="shared" si="6453"/>
        <v>WALKER</v>
      </c>
      <c r="D17800">
        <f>10</f>
        <v>10</v>
      </c>
      <c r="E17800" t="str">
        <f>"08 - B - 109 - Nikiel  Nesbeth"</f>
        <v>08 - B - 109 - Nikiel  Nesbeth</v>
      </c>
      <c r="F17800" t="str">
        <f>"ENG 2"</f>
        <v>ENG 2</v>
      </c>
      <c r="G17800" t="str">
        <f>"17-1705"</f>
        <v>17-1705</v>
      </c>
      <c r="H17800" t="str">
        <f>"B"</f>
        <v>B</v>
      </c>
    </row>
    <row r="17801" spans="1:8" x14ac:dyDescent="0.2">
      <c r="A17801" t="str">
        <f t="shared" ref="A17801:A17808" si="6458">"0614066074"</f>
        <v>0614066074</v>
      </c>
      <c r="B17801" t="str">
        <f t="shared" ref="B17801:B17808" si="6459">"JAKAYLA"</f>
        <v>JAKAYLA</v>
      </c>
      <c r="C17801" t="str">
        <f t="shared" si="6453"/>
        <v>WALKER</v>
      </c>
      <c r="D17801">
        <f>12</f>
        <v>12</v>
      </c>
      <c r="E17801" t="str">
        <f>"04 - A - 101 - Stefanie S Scher"</f>
        <v>04 - A - 101 - Stefanie S Scher</v>
      </c>
      <c r="F17801" t="str">
        <f>"AP PSYCH"</f>
        <v>AP PSYCH</v>
      </c>
      <c r="G17801" t="str">
        <f>"17-1735"</f>
        <v>17-1735</v>
      </c>
      <c r="H17801" t="str">
        <f>"A"</f>
        <v>A</v>
      </c>
    </row>
    <row r="17802" spans="1:8" x14ac:dyDescent="0.2">
      <c r="A17802" t="str">
        <f t="shared" si="6458"/>
        <v>0614066074</v>
      </c>
      <c r="B17802" t="str">
        <f t="shared" si="6459"/>
        <v>JAKAYLA</v>
      </c>
      <c r="C17802" t="str">
        <f t="shared" si="6453"/>
        <v>WALKER</v>
      </c>
      <c r="D17802">
        <f>12</f>
        <v>12</v>
      </c>
      <c r="E17802" t="str">
        <f>"06 - B - 111 - James H Mccann"</f>
        <v>06 - B - 111 - James H Mccann</v>
      </c>
      <c r="F17802" t="str">
        <f>"NC STUDY HALL 1"</f>
        <v>NC STUDY HALL 1</v>
      </c>
      <c r="G17802" t="str">
        <f>"17-1716"</f>
        <v>17-1716</v>
      </c>
      <c r="H17802" t="str">
        <f>"B"</f>
        <v>B</v>
      </c>
    </row>
    <row r="17803" spans="1:8" x14ac:dyDescent="0.2">
      <c r="A17803" t="str">
        <f t="shared" si="6458"/>
        <v>0614066074</v>
      </c>
      <c r="B17803" t="str">
        <f t="shared" si="6459"/>
        <v>JAKAYLA</v>
      </c>
      <c r="C17803" t="str">
        <f t="shared" si="6453"/>
        <v>WALKER</v>
      </c>
      <c r="D17803">
        <f>12</f>
        <v>12</v>
      </c>
      <c r="E17803" t="str">
        <f>"03 - A - 202 - Jeanne M Bermudez"</f>
        <v>03 - A - 202 - Jeanne M Bermudez</v>
      </c>
      <c r="F17803" t="str">
        <f>"PHYSICS 1 HON"</f>
        <v>PHYSICS 1 HON</v>
      </c>
      <c r="G17803" t="str">
        <f>"21-2141"</f>
        <v>21-2141</v>
      </c>
      <c r="H17803" t="str">
        <f>"A"</f>
        <v>A</v>
      </c>
    </row>
    <row r="17804" spans="1:8" x14ac:dyDescent="0.2">
      <c r="A17804" t="str">
        <f t="shared" si="6458"/>
        <v>0614066074</v>
      </c>
      <c r="B17804" t="str">
        <f t="shared" si="6459"/>
        <v>JAKAYLA</v>
      </c>
      <c r="C17804" t="str">
        <f t="shared" si="6453"/>
        <v>WALKER</v>
      </c>
      <c r="D17804">
        <f>12</f>
        <v>12</v>
      </c>
      <c r="E17804" t="str">
        <f>"02 - A - 101 - Robert H Rindner"</f>
        <v>02 - A - 101 - Robert H Rindner</v>
      </c>
      <c r="F17804" t="str">
        <f>"MATH DATA&amp;FIN LIT H"</f>
        <v>MATH DATA&amp;FIN LIT H</v>
      </c>
      <c r="G17804" t="str">
        <f>"21-2160"</f>
        <v>21-2160</v>
      </c>
      <c r="H17804" t="str">
        <f>"A"</f>
        <v>A</v>
      </c>
    </row>
    <row r="17805" spans="1:8" x14ac:dyDescent="0.2">
      <c r="A17805" t="str">
        <f t="shared" si="6458"/>
        <v>0614066074</v>
      </c>
      <c r="B17805" t="str">
        <f t="shared" si="6459"/>
        <v>JAKAYLA</v>
      </c>
      <c r="C17805" t="str">
        <f t="shared" si="6453"/>
        <v>WALKER</v>
      </c>
      <c r="D17805">
        <f>12</f>
        <v>12</v>
      </c>
      <c r="E17805" t="str">
        <f>"07 - B - 102 - Courtney E Hambright"</f>
        <v>07 - B - 102 - Courtney E Hambright</v>
      </c>
      <c r="F17805" t="str">
        <f>"AP ENG LIT COMPO"</f>
        <v>AP ENG LIT COMPO</v>
      </c>
      <c r="G17805" t="str">
        <f>"17-1711"</f>
        <v>17-1711</v>
      </c>
      <c r="H17805" t="str">
        <f>"B"</f>
        <v>B</v>
      </c>
    </row>
    <row r="17806" spans="1:8" x14ac:dyDescent="0.2">
      <c r="A17806" t="str">
        <f t="shared" si="6458"/>
        <v>0614066074</v>
      </c>
      <c r="B17806" t="str">
        <f t="shared" si="6459"/>
        <v>JAKAYLA</v>
      </c>
      <c r="C17806" t="str">
        <f t="shared" si="6453"/>
        <v>WALKER</v>
      </c>
      <c r="D17806">
        <f>12</f>
        <v>12</v>
      </c>
      <c r="E17806" t="str">
        <f>"05 - S1 - B - 102 - Barbara L Segal"</f>
        <v>05 - S1 - B - 102 - Barbara L Segal</v>
      </c>
      <c r="F17806" t="str">
        <f>"US GOVT HON"</f>
        <v>US GOVT HON</v>
      </c>
      <c r="G17806" t="str">
        <f>"17-1742"</f>
        <v>17-1742</v>
      </c>
      <c r="H17806" t="str">
        <f>"B"</f>
        <v>B</v>
      </c>
    </row>
    <row r="17807" spans="1:8" x14ac:dyDescent="0.2">
      <c r="A17807" t="str">
        <f t="shared" si="6458"/>
        <v>0614066074</v>
      </c>
      <c r="B17807" t="str">
        <f t="shared" si="6459"/>
        <v>JAKAYLA</v>
      </c>
      <c r="C17807" t="str">
        <f t="shared" si="6453"/>
        <v>WALKER</v>
      </c>
      <c r="D17807">
        <f>12</f>
        <v>12</v>
      </c>
      <c r="E17807" t="str">
        <f>"01 - A - 103 - Scott A Dethloff"</f>
        <v>01 - A - 103 - Scott A Dethloff</v>
      </c>
      <c r="F17807" t="str">
        <f>"AICE THINK SKLS 1 AS"</f>
        <v>AICE THINK SKLS 1 AS</v>
      </c>
      <c r="G17807" t="str">
        <f>"08-812"</f>
        <v>08-812</v>
      </c>
      <c r="H17807" t="str">
        <f>"A"</f>
        <v>A</v>
      </c>
    </row>
    <row r="17808" spans="1:8" x14ac:dyDescent="0.2">
      <c r="A17808" t="str">
        <f t="shared" si="6458"/>
        <v>0614066074</v>
      </c>
      <c r="B17808" t="str">
        <f t="shared" si="6459"/>
        <v>JAKAYLA</v>
      </c>
      <c r="C17808" t="str">
        <f t="shared" si="6453"/>
        <v>WALKER</v>
      </c>
      <c r="D17808">
        <f>12</f>
        <v>12</v>
      </c>
      <c r="E17808" t="str">
        <f>"08 - B - 201 - Tina M Jaramillo"</f>
        <v>08 - B - 201 - Tina M Jaramillo</v>
      </c>
      <c r="F17808" t="str">
        <f>"CREATIVE WRIT 3 HON"</f>
        <v>CREATIVE WRIT 3 HON</v>
      </c>
      <c r="G17808" t="str">
        <f>"17-1706"</f>
        <v>17-1706</v>
      </c>
      <c r="H17808" t="str">
        <f>"B"</f>
        <v>B</v>
      </c>
    </row>
    <row r="17809" spans="1:8" x14ac:dyDescent="0.2">
      <c r="A17809" t="str">
        <f t="shared" ref="A17809:A17816" si="6460">"0615145194"</f>
        <v>0615145194</v>
      </c>
      <c r="B17809" t="str">
        <f t="shared" ref="B17809:B17816" si="6461">"NIA"</f>
        <v>NIA</v>
      </c>
      <c r="C17809" t="str">
        <f t="shared" si="6453"/>
        <v>WALKER</v>
      </c>
      <c r="D17809">
        <f>10</f>
        <v>10</v>
      </c>
      <c r="E17809" t="str">
        <f>"04 - A - 104 - Dayna M Foster"</f>
        <v>04 - A - 104 - Dayna M Foster</v>
      </c>
      <c r="F17809" t="str">
        <f>"ALGEBRA 2"</f>
        <v>ALGEBRA 2</v>
      </c>
      <c r="G17809" t="str">
        <f>"21-2109"</f>
        <v>21-2109</v>
      </c>
      <c r="H17809" t="str">
        <f>"A"</f>
        <v>A</v>
      </c>
    </row>
    <row r="17810" spans="1:8" x14ac:dyDescent="0.2">
      <c r="A17810" t="str">
        <f t="shared" si="6460"/>
        <v>0615145194</v>
      </c>
      <c r="B17810" t="str">
        <f t="shared" si="6461"/>
        <v>NIA</v>
      </c>
      <c r="C17810" t="str">
        <f t="shared" si="6453"/>
        <v>WALKER</v>
      </c>
      <c r="D17810">
        <f>10</f>
        <v>10</v>
      </c>
      <c r="E17810" t="str">
        <f>"06 - B - 119 - Nikiel  Nesbeth"</f>
        <v>06 - B - 119 - Nikiel  Nesbeth</v>
      </c>
      <c r="F17810" t="str">
        <f>"NC STUDY HALL 1"</f>
        <v>NC STUDY HALL 1</v>
      </c>
      <c r="G17810" t="str">
        <f>"17-1705"</f>
        <v>17-1705</v>
      </c>
      <c r="H17810" t="str">
        <f>"B"</f>
        <v>B</v>
      </c>
    </row>
    <row r="17811" spans="1:8" x14ac:dyDescent="0.2">
      <c r="A17811" t="str">
        <f t="shared" si="6460"/>
        <v>0615145194</v>
      </c>
      <c r="B17811" t="str">
        <f t="shared" si="6461"/>
        <v>NIA</v>
      </c>
      <c r="C17811" t="str">
        <f t="shared" si="6453"/>
        <v>WALKER</v>
      </c>
      <c r="D17811">
        <f>10</f>
        <v>10</v>
      </c>
      <c r="E17811" t="str">
        <f>"03 - A - 002 - Lenecy  Nodarse"</f>
        <v>03 - A - 002 - Lenecy  Nodarse</v>
      </c>
      <c r="F17811" t="str">
        <f>"AICE EURO HIST 1 AS"</f>
        <v>AICE EURO HIST 1 AS</v>
      </c>
      <c r="G17811" t="str">
        <f>"17-1741"</f>
        <v>17-1741</v>
      </c>
      <c r="H17811" t="str">
        <f>"A"</f>
        <v>A</v>
      </c>
    </row>
    <row r="17812" spans="1:8" x14ac:dyDescent="0.2">
      <c r="A17812" t="str">
        <f t="shared" si="6460"/>
        <v>0615145194</v>
      </c>
      <c r="B17812" t="str">
        <f t="shared" si="6461"/>
        <v>NIA</v>
      </c>
      <c r="C17812" t="str">
        <f t="shared" si="6453"/>
        <v>WALKER</v>
      </c>
      <c r="D17812">
        <f>10</f>
        <v>10</v>
      </c>
      <c r="E17812" t="str">
        <f>"02 - S1 - A - 101 - Carol S Moore"</f>
        <v>02 - S1 - A - 101 - Carol S Moore</v>
      </c>
      <c r="F17812" t="str">
        <f>"PER CAR SCH DEV 1 LH"</f>
        <v>PER CAR SCH DEV 1 LH</v>
      </c>
      <c r="G17812" t="str">
        <f>"17-1733"</f>
        <v>17-1733</v>
      </c>
      <c r="H17812" t="str">
        <f>"A"</f>
        <v>A</v>
      </c>
    </row>
    <row r="17813" spans="1:8" x14ac:dyDescent="0.2">
      <c r="A17813" t="str">
        <f t="shared" si="6460"/>
        <v>0615145194</v>
      </c>
      <c r="B17813" t="str">
        <f t="shared" si="6461"/>
        <v>NIA</v>
      </c>
      <c r="C17813" t="str">
        <f t="shared" si="6453"/>
        <v>WALKER</v>
      </c>
      <c r="D17813">
        <f>10</f>
        <v>10</v>
      </c>
      <c r="E17813" t="str">
        <f>"07 - B - 102 - Timothy J Lawrence"</f>
        <v>07 - B - 102 - Timothy J Lawrence</v>
      </c>
      <c r="F17813" t="str">
        <f>"AICE PHYS ED 1 AS"</f>
        <v>AICE PHYS ED 1 AS</v>
      </c>
      <c r="G17813" t="str">
        <f>"05-523"</f>
        <v>05-523</v>
      </c>
      <c r="H17813" t="str">
        <f>"B"</f>
        <v>B</v>
      </c>
    </row>
    <row r="17814" spans="1:8" x14ac:dyDescent="0.2">
      <c r="A17814" t="str">
        <f t="shared" si="6460"/>
        <v>0615145194</v>
      </c>
      <c r="B17814" t="str">
        <f t="shared" si="6461"/>
        <v>NIA</v>
      </c>
      <c r="C17814" t="str">
        <f t="shared" si="6453"/>
        <v>WALKER</v>
      </c>
      <c r="D17814">
        <f>10</f>
        <v>10</v>
      </c>
      <c r="E17814" t="str">
        <f>"05 - B - 102 - Dorothy D Moore"</f>
        <v>05 - B - 102 - Dorothy D Moore</v>
      </c>
      <c r="F17814" t="str">
        <f>"FORC SCI 1 LH"</f>
        <v>FORC SCI 1 LH</v>
      </c>
      <c r="G17814" t="str">
        <f>"08-803"</f>
        <v>08-803</v>
      </c>
      <c r="H17814" t="str">
        <f>"B"</f>
        <v>B</v>
      </c>
    </row>
    <row r="17815" spans="1:8" x14ac:dyDescent="0.2">
      <c r="A17815" t="str">
        <f t="shared" si="6460"/>
        <v>0615145194</v>
      </c>
      <c r="B17815" t="str">
        <f t="shared" si="6461"/>
        <v>NIA</v>
      </c>
      <c r="C17815" t="str">
        <f t="shared" si="6453"/>
        <v>WALKER</v>
      </c>
      <c r="D17815">
        <f>10</f>
        <v>10</v>
      </c>
      <c r="E17815" t="str">
        <f>"01 - A - 001 - Dorothy D Moore"</f>
        <v>01 - A - 001 - Dorothy D Moore</v>
      </c>
      <c r="F17815" t="str">
        <f>"ANAT PHYSIO HON"</f>
        <v>ANAT PHYSIO HON</v>
      </c>
      <c r="G17815" t="str">
        <f>"08-803"</f>
        <v>08-803</v>
      </c>
      <c r="H17815" t="str">
        <f>"A"</f>
        <v>A</v>
      </c>
    </row>
    <row r="17816" spans="1:8" x14ac:dyDescent="0.2">
      <c r="A17816" t="str">
        <f t="shared" si="6460"/>
        <v>0615145194</v>
      </c>
      <c r="B17816" t="str">
        <f t="shared" si="6461"/>
        <v>NIA</v>
      </c>
      <c r="C17816" t="str">
        <f t="shared" si="6453"/>
        <v>WALKER</v>
      </c>
      <c r="D17816">
        <f>10</f>
        <v>10</v>
      </c>
      <c r="E17816" t="str">
        <f>"08 - B - 001 - Jacklyn M James"</f>
        <v>08 - B - 001 - Jacklyn M James</v>
      </c>
      <c r="F17816" t="str">
        <f>"AICE ENG LANG AS"</f>
        <v>AICE ENG LANG AS</v>
      </c>
      <c r="G17816" t="str">
        <f>"17-1731"</f>
        <v>17-1731</v>
      </c>
      <c r="H17816" t="str">
        <f>"B"</f>
        <v>B</v>
      </c>
    </row>
    <row r="17817" spans="1:8" x14ac:dyDescent="0.2">
      <c r="A17817" t="str">
        <f t="shared" ref="A17817:A17824" si="6462">"0616022291"</f>
        <v>0616022291</v>
      </c>
      <c r="B17817" t="str">
        <f t="shared" ref="B17817:B17824" si="6463">"AJAH"</f>
        <v>AJAH</v>
      </c>
      <c r="C17817" t="str">
        <f t="shared" ref="C17817:C17824" si="6464">"WALTERS"</f>
        <v>WALTERS</v>
      </c>
      <c r="D17817">
        <f>11</f>
        <v>11</v>
      </c>
      <c r="E17817" t="str">
        <f>"04 - A - 101 - Stephen T Ripp"</f>
        <v>04 - A - 101 - Stephen T Ripp</v>
      </c>
      <c r="F17817" t="str">
        <f>"AP U.S. HIST"</f>
        <v>AP U.S. HIST</v>
      </c>
      <c r="G17817" t="str">
        <f>"17-1744"</f>
        <v>17-1744</v>
      </c>
      <c r="H17817" t="str">
        <f>"A"</f>
        <v>A</v>
      </c>
    </row>
    <row r="17818" spans="1:8" x14ac:dyDescent="0.2">
      <c r="A17818" t="str">
        <f t="shared" si="6462"/>
        <v>0616022291</v>
      </c>
      <c r="B17818" t="str">
        <f t="shared" si="6463"/>
        <v>AJAH</v>
      </c>
      <c r="C17818" t="str">
        <f t="shared" si="6464"/>
        <v>WALTERS</v>
      </c>
      <c r="D17818">
        <f>11</f>
        <v>11</v>
      </c>
      <c r="E17818" t="str">
        <f>"06 - B - 206 - Jacqueline R Morphet"</f>
        <v>06 - B - 206 - Jacqueline R Morphet</v>
      </c>
      <c r="F17818" t="str">
        <f>"PHYSICS 1 HON"</f>
        <v>PHYSICS 1 HON</v>
      </c>
      <c r="G17818" t="str">
        <f>"21-2138"</f>
        <v>21-2138</v>
      </c>
      <c r="H17818" t="str">
        <f>"B"</f>
        <v>B</v>
      </c>
    </row>
    <row r="17819" spans="1:8" x14ac:dyDescent="0.2">
      <c r="A17819" t="str">
        <f t="shared" si="6462"/>
        <v>0616022291</v>
      </c>
      <c r="B17819" t="str">
        <f t="shared" si="6463"/>
        <v>AJAH</v>
      </c>
      <c r="C17819" t="str">
        <f t="shared" si="6464"/>
        <v>WALTERS</v>
      </c>
      <c r="D17819">
        <f>11</f>
        <v>11</v>
      </c>
      <c r="E17819" t="str">
        <f>"03 - A - 106 - Krystal Marie  Beruty"</f>
        <v>03 - A - 106 - Krystal Marie  Beruty</v>
      </c>
      <c r="F17819" t="str">
        <f>"AICE PSYCH 1 AS"</f>
        <v>AICE PSYCH 1 AS</v>
      </c>
      <c r="G17819" t="str">
        <f>"17-1721"</f>
        <v>17-1721</v>
      </c>
      <c r="H17819" t="str">
        <f>"A"</f>
        <v>A</v>
      </c>
    </row>
    <row r="17820" spans="1:8" x14ac:dyDescent="0.2">
      <c r="A17820" t="str">
        <f t="shared" si="6462"/>
        <v>0616022291</v>
      </c>
      <c r="B17820" t="str">
        <f t="shared" si="6463"/>
        <v>AJAH</v>
      </c>
      <c r="C17820" t="str">
        <f t="shared" si="6464"/>
        <v>WALTERS</v>
      </c>
      <c r="D17820">
        <f>11</f>
        <v>11</v>
      </c>
      <c r="E17820" t="str">
        <f>"02 - A - 101 - Milca  Exantus"</f>
        <v>02 - A - 101 - Milca  Exantus</v>
      </c>
      <c r="F17820" t="str">
        <f>"NC STUDY HALL 1"</f>
        <v>NC STUDY HALL 1</v>
      </c>
      <c r="G17820" t="str">
        <f>"21-2145"</f>
        <v>21-2145</v>
      </c>
      <c r="H17820" t="str">
        <f>"A"</f>
        <v>A</v>
      </c>
    </row>
    <row r="17821" spans="1:8" x14ac:dyDescent="0.2">
      <c r="A17821" t="str">
        <f t="shared" si="6462"/>
        <v>0616022291</v>
      </c>
      <c r="B17821" t="str">
        <f t="shared" si="6463"/>
        <v>AJAH</v>
      </c>
      <c r="C17821" t="str">
        <f t="shared" si="6464"/>
        <v>WALTERS</v>
      </c>
      <c r="D17821">
        <f>11</f>
        <v>11</v>
      </c>
      <c r="E17821" t="str">
        <f>"07 - B - 107 - Semra  Bahadir"</f>
        <v>07 - B - 107 - Semra  Bahadir</v>
      </c>
      <c r="F17821" t="str">
        <f>"MATH COLL ALGEBRA"</f>
        <v>MATH COLL ALGEBRA</v>
      </c>
      <c r="G17821" t="str">
        <f>"21-2107"</f>
        <v>21-2107</v>
      </c>
      <c r="H17821" t="str">
        <f>"B"</f>
        <v>B</v>
      </c>
    </row>
    <row r="17822" spans="1:8" x14ac:dyDescent="0.2">
      <c r="A17822" t="str">
        <f t="shared" si="6462"/>
        <v>0616022291</v>
      </c>
      <c r="B17822" t="str">
        <f t="shared" si="6463"/>
        <v>AJAH</v>
      </c>
      <c r="C17822" t="str">
        <f t="shared" si="6464"/>
        <v>WALTERS</v>
      </c>
      <c r="D17822">
        <f>11</f>
        <v>11</v>
      </c>
      <c r="E17822" t="str">
        <f>"05 - B - 102 - Dorothy D Moore"</f>
        <v>05 - B - 102 - Dorothy D Moore</v>
      </c>
      <c r="F17822" t="str">
        <f>"FORC SCI 1 LH"</f>
        <v>FORC SCI 1 LH</v>
      </c>
      <c r="G17822" t="str">
        <f>"08-803"</f>
        <v>08-803</v>
      </c>
      <c r="H17822" t="str">
        <f>"B"</f>
        <v>B</v>
      </c>
    </row>
    <row r="17823" spans="1:8" x14ac:dyDescent="0.2">
      <c r="A17823" t="str">
        <f t="shared" si="6462"/>
        <v>0616022291</v>
      </c>
      <c r="B17823" t="str">
        <f t="shared" si="6463"/>
        <v>AJAH</v>
      </c>
      <c r="C17823" t="str">
        <f t="shared" si="6464"/>
        <v>WALTERS</v>
      </c>
      <c r="D17823">
        <f>11</f>
        <v>11</v>
      </c>
      <c r="E17823" t="str">
        <f>"01 - A - 101 - Brandy N Zdenek"</f>
        <v>01 - A - 101 - Brandy N Zdenek</v>
      </c>
      <c r="F17823" t="str">
        <f>"AICE ENG LANG 2 AL"</f>
        <v>AICE ENG LANG 2 AL</v>
      </c>
      <c r="G17823" t="str">
        <f>"17-1704"</f>
        <v>17-1704</v>
      </c>
      <c r="H17823" t="str">
        <f>"A"</f>
        <v>A</v>
      </c>
    </row>
    <row r="17824" spans="1:8" x14ac:dyDescent="0.2">
      <c r="A17824" t="str">
        <f t="shared" si="6462"/>
        <v>0616022291</v>
      </c>
      <c r="B17824" t="str">
        <f t="shared" si="6463"/>
        <v>AJAH</v>
      </c>
      <c r="C17824" t="str">
        <f t="shared" si="6464"/>
        <v>WALTERS</v>
      </c>
      <c r="D17824">
        <f>11</f>
        <v>11</v>
      </c>
      <c r="E17824" t="str">
        <f>"08 - B - 201 - Stacey A Blecker"</f>
        <v>08 - B - 201 - Stacey A Blecker</v>
      </c>
      <c r="F17824" t="str">
        <f>"AICE SOCIOLOGY 1 AS"</f>
        <v>AICE SOCIOLOGY 1 AS</v>
      </c>
      <c r="G17824" t="str">
        <f>"09-926"</f>
        <v>09-926</v>
      </c>
      <c r="H17824" t="str">
        <f>"B"</f>
        <v>B</v>
      </c>
    </row>
    <row r="17825" spans="1:8" x14ac:dyDescent="0.2">
      <c r="A17825" t="str">
        <f t="shared" ref="A17825:A17832" si="6465">"0617018955"</f>
        <v>0617018955</v>
      </c>
      <c r="B17825" t="str">
        <f t="shared" ref="B17825:B17832" si="6466">"LONDON"</f>
        <v>LONDON</v>
      </c>
      <c r="C17825" t="str">
        <f t="shared" ref="C17825:C17832" si="6467">"WALTON"</f>
        <v>WALTON</v>
      </c>
      <c r="D17825" t="str">
        <f t="shared" ref="D17825:D17850" si="6468">"09"</f>
        <v>09</v>
      </c>
      <c r="E17825" t="str">
        <f>"04 - A - 103 - Daniel S Tyson"</f>
        <v>04 - A - 103 - Daniel S Tyson</v>
      </c>
      <c r="F17825" t="str">
        <f>"JROTC NAVAL SCI 1"</f>
        <v>JROTC NAVAL SCI 1</v>
      </c>
      <c r="G17825" t="str">
        <f>"05-510"</f>
        <v>05-510</v>
      </c>
      <c r="H17825" t="str">
        <f>"A"</f>
        <v>A</v>
      </c>
    </row>
    <row r="17826" spans="1:8" x14ac:dyDescent="0.2">
      <c r="A17826" t="str">
        <f t="shared" si="6465"/>
        <v>0617018955</v>
      </c>
      <c r="B17826" t="str">
        <f t="shared" si="6466"/>
        <v>LONDON</v>
      </c>
      <c r="C17826" t="str">
        <f t="shared" si="6467"/>
        <v>WALTON</v>
      </c>
      <c r="D17826" t="str">
        <f t="shared" si="6468"/>
        <v>09</v>
      </c>
      <c r="E17826" t="str">
        <f>"06 - S1 - B - 104 - Leslie J Barton"</f>
        <v>06 - S1 - B - 104 - Leslie J Barton</v>
      </c>
      <c r="F17826" t="str">
        <f>"FIRST AID SAFETY"</f>
        <v>FIRST AID SAFETY</v>
      </c>
      <c r="G17826" t="str">
        <f>"05-521"</f>
        <v>05-521</v>
      </c>
      <c r="H17826" t="str">
        <f>"B"</f>
        <v>B</v>
      </c>
    </row>
    <row r="17827" spans="1:8" x14ac:dyDescent="0.2">
      <c r="A17827" t="str">
        <f t="shared" si="6465"/>
        <v>0617018955</v>
      </c>
      <c r="B17827" t="str">
        <f t="shared" si="6466"/>
        <v>LONDON</v>
      </c>
      <c r="C17827" t="str">
        <f t="shared" si="6467"/>
        <v>WALTON</v>
      </c>
      <c r="D17827" t="str">
        <f t="shared" si="6468"/>
        <v>09</v>
      </c>
      <c r="E17827" t="str">
        <f>"03 - A - 101 - Jazmin S Fletcher"</f>
        <v>03 - A - 101 - Jazmin S Fletcher</v>
      </c>
      <c r="F17827" t="str">
        <f>"THEATRE 3 HON"</f>
        <v>THEATRE 3 HON</v>
      </c>
      <c r="G17827" t="str">
        <f>"09-909"</f>
        <v>09-909</v>
      </c>
      <c r="H17827" t="str">
        <f>"A"</f>
        <v>A</v>
      </c>
    </row>
    <row r="17828" spans="1:8" x14ac:dyDescent="0.2">
      <c r="A17828" t="str">
        <f t="shared" si="6465"/>
        <v>0617018955</v>
      </c>
      <c r="B17828" t="str">
        <f t="shared" si="6466"/>
        <v>LONDON</v>
      </c>
      <c r="C17828" t="str">
        <f t="shared" si="6467"/>
        <v>WALTON</v>
      </c>
      <c r="D17828" t="str">
        <f t="shared" si="6468"/>
        <v>09</v>
      </c>
      <c r="E17828" t="str">
        <f>"02 - A - 102 - Samantha J Headley"</f>
        <v>02 - A - 102 - Samantha J Headley</v>
      </c>
      <c r="F17828" t="str">
        <f>"NC STUDY HALL 1"</f>
        <v>NC STUDY HALL 1</v>
      </c>
      <c r="G17828" t="str">
        <f>"21-2134"</f>
        <v>21-2134</v>
      </c>
      <c r="H17828" t="str">
        <f>"A"</f>
        <v>A</v>
      </c>
    </row>
    <row r="17829" spans="1:8" x14ac:dyDescent="0.2">
      <c r="A17829" t="str">
        <f t="shared" si="6465"/>
        <v>0617018955</v>
      </c>
      <c r="B17829" t="str">
        <f t="shared" si="6466"/>
        <v>LONDON</v>
      </c>
      <c r="C17829" t="str">
        <f t="shared" si="6467"/>
        <v>WALTON</v>
      </c>
      <c r="D17829" t="str">
        <f t="shared" si="6468"/>
        <v>09</v>
      </c>
      <c r="E17829" t="str">
        <f>"07 - B - 105 - Byron G Montenegro"</f>
        <v>07 - B - 105 - Byron G Montenegro</v>
      </c>
      <c r="F17829" t="str">
        <f>"AICE MARINE SCI 1 AS"</f>
        <v>AICE MARINE SCI 1 AS</v>
      </c>
      <c r="G17829" t="str">
        <f>"21-2144"</f>
        <v>21-2144</v>
      </c>
      <c r="H17829" t="str">
        <f>"B"</f>
        <v>B</v>
      </c>
    </row>
    <row r="17830" spans="1:8" x14ac:dyDescent="0.2">
      <c r="A17830" t="str">
        <f t="shared" si="6465"/>
        <v>0617018955</v>
      </c>
      <c r="B17830" t="str">
        <f t="shared" si="6466"/>
        <v>LONDON</v>
      </c>
      <c r="C17830" t="str">
        <f t="shared" si="6467"/>
        <v>WALTON</v>
      </c>
      <c r="D17830" t="str">
        <f t="shared" si="6468"/>
        <v>09</v>
      </c>
      <c r="E17830" t="str">
        <f>"05 - B - 002 - Cheryl Anne  Berman-Schechter"</f>
        <v>05 - B - 002 - Cheryl Anne  Berman-Schechter</v>
      </c>
      <c r="F17830" t="str">
        <f>"AICE ENG GEN PAPER 1"</f>
        <v>AICE ENG GEN PAPER 1</v>
      </c>
      <c r="G17830" t="str">
        <f>"17-1722"</f>
        <v>17-1722</v>
      </c>
      <c r="H17830" t="str">
        <f>"B"</f>
        <v>B</v>
      </c>
    </row>
    <row r="17831" spans="1:8" x14ac:dyDescent="0.2">
      <c r="A17831" t="str">
        <f t="shared" si="6465"/>
        <v>0617018955</v>
      </c>
      <c r="B17831" t="str">
        <f t="shared" si="6466"/>
        <v>LONDON</v>
      </c>
      <c r="C17831" t="str">
        <f t="shared" si="6467"/>
        <v>WALTON</v>
      </c>
      <c r="D17831" t="str">
        <f t="shared" si="6468"/>
        <v>09</v>
      </c>
      <c r="E17831" t="str">
        <f>"01 - A - 002 - Krystal Marie  Beruty"</f>
        <v>01 - A - 002 - Krystal Marie  Beruty</v>
      </c>
      <c r="F17831" t="str">
        <f>"AICE GLBL PERSP 1 AS"</f>
        <v>AICE GLBL PERSP 1 AS</v>
      </c>
      <c r="G17831" t="str">
        <f>"17-1721"</f>
        <v>17-1721</v>
      </c>
      <c r="H17831" t="str">
        <f>"A"</f>
        <v>A</v>
      </c>
    </row>
    <row r="17832" spans="1:8" x14ac:dyDescent="0.2">
      <c r="A17832" t="str">
        <f t="shared" si="6465"/>
        <v>0617018955</v>
      </c>
      <c r="B17832" t="str">
        <f t="shared" si="6466"/>
        <v>LONDON</v>
      </c>
      <c r="C17832" t="str">
        <f t="shared" si="6467"/>
        <v>WALTON</v>
      </c>
      <c r="D17832" t="str">
        <f t="shared" si="6468"/>
        <v>09</v>
      </c>
      <c r="E17832" t="str">
        <f>"08 - B - 107 - Dayna M Foster"</f>
        <v>08 - B - 107 - Dayna M Foster</v>
      </c>
      <c r="F17832" t="str">
        <f>"ALGEBRA 2"</f>
        <v>ALGEBRA 2</v>
      </c>
      <c r="G17832" t="str">
        <f>"21-2109"</f>
        <v>21-2109</v>
      </c>
      <c r="H17832" t="str">
        <f>"B"</f>
        <v>B</v>
      </c>
    </row>
    <row r="17833" spans="1:8" x14ac:dyDescent="0.2">
      <c r="A17833" t="str">
        <f t="shared" ref="A17833:A17842" si="6469">"0612080153"</f>
        <v>0612080153</v>
      </c>
      <c r="B17833" t="str">
        <f t="shared" ref="B17833:B17842" si="6470">"BRANIYA"</f>
        <v>BRANIYA</v>
      </c>
      <c r="C17833" t="str">
        <f t="shared" ref="C17833:C17850" si="6471">"WASHINGTON"</f>
        <v>WASHINGTON</v>
      </c>
      <c r="D17833" t="str">
        <f t="shared" si="6468"/>
        <v>09</v>
      </c>
      <c r="E17833" t="str">
        <f>"04 - A - 101 - Reggie L Nixon"</f>
        <v>04 - A - 101 - Reggie L Nixon</v>
      </c>
      <c r="F17833" t="str">
        <f>"ACCESS WORLD HISTORY"</f>
        <v>ACCESS WORLD HISTORY</v>
      </c>
      <c r="G17833" t="str">
        <f>"21-2119"</f>
        <v>21-2119</v>
      </c>
      <c r="H17833" t="str">
        <f>"A"</f>
        <v>A</v>
      </c>
    </row>
    <row r="17834" spans="1:8" x14ac:dyDescent="0.2">
      <c r="A17834" t="str">
        <f t="shared" si="6469"/>
        <v>0612080153</v>
      </c>
      <c r="B17834" t="str">
        <f t="shared" si="6470"/>
        <v>BRANIYA</v>
      </c>
      <c r="C17834" t="str">
        <f t="shared" si="6471"/>
        <v>WASHINGTON</v>
      </c>
      <c r="D17834" t="str">
        <f t="shared" si="6468"/>
        <v>09</v>
      </c>
      <c r="E17834" t="str">
        <f>"06 - B - 106 - Adam Marcus  Drucker"</f>
        <v>06 - B - 106 - Adam Marcus  Drucker</v>
      </c>
      <c r="F17834" t="str">
        <f>"HOPE-PE V"</f>
        <v>HOPE-PE V</v>
      </c>
      <c r="G17834" t="str">
        <f>"04-254"</f>
        <v>04-254</v>
      </c>
      <c r="H17834" t="str">
        <f>"B"</f>
        <v>B</v>
      </c>
    </row>
    <row r="17835" spans="1:8" x14ac:dyDescent="0.2">
      <c r="A17835" t="str">
        <f t="shared" si="6469"/>
        <v>0612080153</v>
      </c>
      <c r="B17835" t="str">
        <f t="shared" si="6470"/>
        <v>BRANIYA</v>
      </c>
      <c r="C17835" t="str">
        <f t="shared" si="6471"/>
        <v>WASHINGTON</v>
      </c>
      <c r="D17835" t="str">
        <f t="shared" si="6468"/>
        <v>09</v>
      </c>
      <c r="E17835" t="str">
        <f>"03 - A - 101 - Reggie L Nixon"</f>
        <v>03 - A - 101 - Reggie L Nixon</v>
      </c>
      <c r="F17835" t="str">
        <f>"ACCESS BIOLOGY 1"</f>
        <v>ACCESS BIOLOGY 1</v>
      </c>
      <c r="G17835" t="str">
        <f>"21-2119"</f>
        <v>21-2119</v>
      </c>
      <c r="H17835" t="str">
        <f>"A"</f>
        <v>A</v>
      </c>
    </row>
    <row r="17836" spans="1:8" x14ac:dyDescent="0.2">
      <c r="A17836" t="str">
        <f t="shared" si="6469"/>
        <v>0612080153</v>
      </c>
      <c r="B17836" t="str">
        <f t="shared" si="6470"/>
        <v>BRANIYA</v>
      </c>
      <c r="C17836" t="str">
        <f t="shared" si="6471"/>
        <v>WASHINGTON</v>
      </c>
      <c r="D17836" t="str">
        <f t="shared" si="6468"/>
        <v>09</v>
      </c>
      <c r="E17836" t="str">
        <f>"02 - A - 101 - Reggie L Nixon"</f>
        <v>02 - A - 101 - Reggie L Nixon</v>
      </c>
      <c r="F17836" t="str">
        <f>"NC STUDY HALL 4"</f>
        <v>NC STUDY HALL 4</v>
      </c>
      <c r="G17836" t="str">
        <f>"21-2119"</f>
        <v>21-2119</v>
      </c>
      <c r="H17836" t="str">
        <f>"A"</f>
        <v>A</v>
      </c>
    </row>
    <row r="17837" spans="1:8" x14ac:dyDescent="0.2">
      <c r="A17837" t="str">
        <f t="shared" si="6469"/>
        <v>0612080153</v>
      </c>
      <c r="B17837" t="str">
        <f t="shared" si="6470"/>
        <v>BRANIYA</v>
      </c>
      <c r="C17837" t="str">
        <f t="shared" si="6471"/>
        <v>WASHINGTON</v>
      </c>
      <c r="D17837" t="str">
        <f t="shared" si="6468"/>
        <v>09</v>
      </c>
      <c r="E17837" t="str">
        <f>"07 - B - 101 - Reggie L Nixon"</f>
        <v>07 - B - 101 - Reggie L Nixon</v>
      </c>
      <c r="F17837" t="str">
        <f>"CAREER ED: 9-12"</f>
        <v>CAREER ED: 9-12</v>
      </c>
      <c r="G17837" t="str">
        <f>"21-2119"</f>
        <v>21-2119</v>
      </c>
      <c r="H17837" t="str">
        <f>"B"</f>
        <v>B</v>
      </c>
    </row>
    <row r="17838" spans="1:8" x14ac:dyDescent="0.2">
      <c r="A17838" t="str">
        <f t="shared" si="6469"/>
        <v>0612080153</v>
      </c>
      <c r="B17838" t="str">
        <f t="shared" si="6470"/>
        <v>BRANIYA</v>
      </c>
      <c r="C17838" t="str">
        <f t="shared" si="6471"/>
        <v>WASHINGTON</v>
      </c>
      <c r="D17838" t="str">
        <f t="shared" si="6468"/>
        <v>09</v>
      </c>
      <c r="E17838" t="str">
        <f>"07 - B - 107 - Eric  Lopapa"</f>
        <v>07 - B - 107 - Eric  Lopapa</v>
      </c>
      <c r="F17838" t="str">
        <f>"LANG THERAPY"</f>
        <v>LANG THERAPY</v>
      </c>
      <c r="G17838" t="str">
        <f>"21-2110"</f>
        <v>21-2110</v>
      </c>
      <c r="H17838" t="str">
        <f>"B"</f>
        <v>B</v>
      </c>
    </row>
    <row r="17839" spans="1:8" x14ac:dyDescent="0.2">
      <c r="A17839" t="str">
        <f t="shared" si="6469"/>
        <v>0612080153</v>
      </c>
      <c r="B17839" t="str">
        <f t="shared" si="6470"/>
        <v>BRANIYA</v>
      </c>
      <c r="C17839" t="str">
        <f t="shared" si="6471"/>
        <v>WASHINGTON</v>
      </c>
      <c r="D17839" t="str">
        <f t="shared" si="6468"/>
        <v>09</v>
      </c>
      <c r="E17839" t="str">
        <f>"07 - B - 107 - Eric  Lopapa"</f>
        <v>07 - B - 107 - Eric  Lopapa</v>
      </c>
      <c r="F17839" t="str">
        <f>"SPEECH THRPY"</f>
        <v>SPEECH THRPY</v>
      </c>
      <c r="G17839" t="str">
        <f>"21-2110"</f>
        <v>21-2110</v>
      </c>
      <c r="H17839" t="str">
        <f>"B"</f>
        <v>B</v>
      </c>
    </row>
    <row r="17840" spans="1:8" x14ac:dyDescent="0.2">
      <c r="A17840" t="str">
        <f t="shared" si="6469"/>
        <v>0612080153</v>
      </c>
      <c r="B17840" t="str">
        <f t="shared" si="6470"/>
        <v>BRANIYA</v>
      </c>
      <c r="C17840" t="str">
        <f t="shared" si="6471"/>
        <v>WASHINGTON</v>
      </c>
      <c r="D17840" t="str">
        <f t="shared" si="6468"/>
        <v>09</v>
      </c>
      <c r="E17840" t="str">
        <f>"05 - B - 001 - Reggie L Nixon"</f>
        <v>05 - B - 001 - Reggie L Nixon</v>
      </c>
      <c r="F17840" t="str">
        <f>"U SKLS: 9-12"</f>
        <v>U SKLS: 9-12</v>
      </c>
      <c r="G17840" t="str">
        <f>"21-2119"</f>
        <v>21-2119</v>
      </c>
      <c r="H17840" t="str">
        <f>"B"</f>
        <v>B</v>
      </c>
    </row>
    <row r="17841" spans="1:8" x14ac:dyDescent="0.2">
      <c r="A17841" t="str">
        <f t="shared" si="6469"/>
        <v>0612080153</v>
      </c>
      <c r="B17841" t="str">
        <f t="shared" si="6470"/>
        <v>BRANIYA</v>
      </c>
      <c r="C17841" t="str">
        <f t="shared" si="6471"/>
        <v>WASHINGTON</v>
      </c>
      <c r="D17841" t="str">
        <f t="shared" si="6468"/>
        <v>09</v>
      </c>
      <c r="E17841" t="str">
        <f>"01 - A - 101 - Reggie L Nixon"</f>
        <v>01 - A - 101 - Reggie L Nixon</v>
      </c>
      <c r="F17841" t="str">
        <f>"ACCESS ENGLISH 1"</f>
        <v>ACCESS ENGLISH 1</v>
      </c>
      <c r="G17841" t="str">
        <f>"21-2119"</f>
        <v>21-2119</v>
      </c>
      <c r="H17841" t="str">
        <f>"A"</f>
        <v>A</v>
      </c>
    </row>
    <row r="17842" spans="1:8" x14ac:dyDescent="0.2">
      <c r="A17842" t="str">
        <f t="shared" si="6469"/>
        <v>0612080153</v>
      </c>
      <c r="B17842" t="str">
        <f t="shared" si="6470"/>
        <v>BRANIYA</v>
      </c>
      <c r="C17842" t="str">
        <f t="shared" si="6471"/>
        <v>WASHINGTON</v>
      </c>
      <c r="D17842" t="str">
        <f t="shared" si="6468"/>
        <v>09</v>
      </c>
      <c r="E17842" t="str">
        <f>"08 - B - 101 - Reggie L Nixon"</f>
        <v>08 - B - 101 - Reggie L Nixon</v>
      </c>
      <c r="F17842" t="str">
        <f>"ACCESS ALGEBRA 1A"</f>
        <v>ACCESS ALGEBRA 1A</v>
      </c>
      <c r="G17842" t="str">
        <f>"21-2119"</f>
        <v>21-2119</v>
      </c>
      <c r="H17842" t="str">
        <f>"B"</f>
        <v>B</v>
      </c>
    </row>
    <row r="17843" spans="1:8" x14ac:dyDescent="0.2">
      <c r="A17843" t="str">
        <f t="shared" ref="A17843:A17850" si="6472">"0615072998"</f>
        <v>0615072998</v>
      </c>
      <c r="B17843" t="str">
        <f t="shared" ref="B17843:B17850" si="6473">"JA'LIYAH"</f>
        <v>JA'LIYAH</v>
      </c>
      <c r="C17843" t="str">
        <f t="shared" si="6471"/>
        <v>WASHINGTON</v>
      </c>
      <c r="D17843" t="str">
        <f t="shared" si="6468"/>
        <v>09</v>
      </c>
      <c r="E17843" t="str">
        <f>"04 - A - 103 - Lenecy  Nodarse"</f>
        <v>04 - A - 103 - Lenecy  Nodarse</v>
      </c>
      <c r="F17843" t="str">
        <f>"WORLD HISTORY"</f>
        <v>WORLD HISTORY</v>
      </c>
      <c r="G17843" t="str">
        <f>"17-1741"</f>
        <v>17-1741</v>
      </c>
      <c r="H17843" t="str">
        <f>"A"</f>
        <v>A</v>
      </c>
    </row>
    <row r="17844" spans="1:8" x14ac:dyDescent="0.2">
      <c r="A17844" t="str">
        <f t="shared" si="6472"/>
        <v>0615072998</v>
      </c>
      <c r="B17844" t="str">
        <f t="shared" si="6473"/>
        <v>JA'LIYAH</v>
      </c>
      <c r="C17844" t="str">
        <f t="shared" si="6471"/>
        <v>WASHINGTON</v>
      </c>
      <c r="D17844" t="str">
        <f t="shared" si="6468"/>
        <v>09</v>
      </c>
      <c r="E17844" t="str">
        <f>"06 - B - 104 - Eva T Rimmer"</f>
        <v>06 - B - 104 - Eva T Rimmer</v>
      </c>
      <c r="F17844" t="str">
        <f>"CRIMINAL JUST OPS 1"</f>
        <v>CRIMINAL JUST OPS 1</v>
      </c>
      <c r="G17844" t="str">
        <f>"05-523"</f>
        <v>05-523</v>
      </c>
      <c r="H17844" t="str">
        <f>"B"</f>
        <v>B</v>
      </c>
    </row>
    <row r="17845" spans="1:8" x14ac:dyDescent="0.2">
      <c r="A17845" t="str">
        <f t="shared" si="6472"/>
        <v>0615072998</v>
      </c>
      <c r="B17845" t="str">
        <f t="shared" si="6473"/>
        <v>JA'LIYAH</v>
      </c>
      <c r="C17845" t="str">
        <f t="shared" si="6471"/>
        <v>WASHINGTON</v>
      </c>
      <c r="D17845" t="str">
        <f t="shared" si="6468"/>
        <v>09</v>
      </c>
      <c r="E17845" t="str">
        <f>"03 - A - 101 - Samantha L Martinez"</f>
        <v>03 - A - 101 - Samantha L Martinez</v>
      </c>
      <c r="F17845" t="str">
        <f>"VOCAL ENS 1"</f>
        <v>VOCAL ENS 1</v>
      </c>
      <c r="G17845" t="str">
        <f>"05-505"</f>
        <v>05-505</v>
      </c>
      <c r="H17845" t="str">
        <f>"A"</f>
        <v>A</v>
      </c>
    </row>
    <row r="17846" spans="1:8" x14ac:dyDescent="0.2">
      <c r="A17846" t="str">
        <f t="shared" si="6472"/>
        <v>0615072998</v>
      </c>
      <c r="B17846" t="str">
        <f t="shared" si="6473"/>
        <v>JA'LIYAH</v>
      </c>
      <c r="C17846" t="str">
        <f t="shared" si="6471"/>
        <v>WASHINGTON</v>
      </c>
      <c r="D17846" t="str">
        <f t="shared" si="6468"/>
        <v>09</v>
      </c>
      <c r="E17846" t="str">
        <f>"02 - A - 104 - Lytrell T Dixon"</f>
        <v>02 - A - 104 - Lytrell T Dixon</v>
      </c>
      <c r="F17846" t="str">
        <f>"NC STUDY HALL 1"</f>
        <v>NC STUDY HALL 1</v>
      </c>
      <c r="G17846" t="str">
        <f>"08-808"</f>
        <v>08-808</v>
      </c>
      <c r="H17846" t="str">
        <f>"A"</f>
        <v>A</v>
      </c>
    </row>
    <row r="17847" spans="1:8" x14ac:dyDescent="0.2">
      <c r="A17847" t="str">
        <f t="shared" si="6472"/>
        <v>0615072998</v>
      </c>
      <c r="B17847" t="str">
        <f t="shared" si="6473"/>
        <v>JA'LIYAH</v>
      </c>
      <c r="C17847" t="str">
        <f t="shared" si="6471"/>
        <v>WASHINGTON</v>
      </c>
      <c r="D17847" t="str">
        <f t="shared" si="6468"/>
        <v>09</v>
      </c>
      <c r="E17847" t="str">
        <f>"07 - B - 105 - Laselleda D Shaw"</f>
        <v>07 - B - 105 - Laselleda D Shaw</v>
      </c>
      <c r="F17847" t="str">
        <f>"INTENS READ 1"</f>
        <v>INTENS READ 1</v>
      </c>
      <c r="G17847" t="str">
        <f>"17-1723"</f>
        <v>17-1723</v>
      </c>
      <c r="H17847" t="str">
        <f>"B"</f>
        <v>B</v>
      </c>
    </row>
    <row r="17848" spans="1:8" x14ac:dyDescent="0.2">
      <c r="A17848" t="str">
        <f t="shared" si="6472"/>
        <v>0615072998</v>
      </c>
      <c r="B17848" t="str">
        <f t="shared" si="6473"/>
        <v>JA'LIYAH</v>
      </c>
      <c r="C17848" t="str">
        <f t="shared" si="6471"/>
        <v>WASHINGTON</v>
      </c>
      <c r="D17848" t="str">
        <f t="shared" si="6468"/>
        <v>09</v>
      </c>
      <c r="E17848" t="str">
        <f>"05 - B - 202 - Amy Beth  Broyles"</f>
        <v>05 - B - 202 - Amy Beth  Broyles</v>
      </c>
      <c r="F17848" t="str">
        <f>"ENV SCI"</f>
        <v>ENV SCI</v>
      </c>
      <c r="G17848" t="str">
        <f>"08-802"</f>
        <v>08-802</v>
      </c>
      <c r="H17848" t="str">
        <f>"B"</f>
        <v>B</v>
      </c>
    </row>
    <row r="17849" spans="1:8" x14ac:dyDescent="0.2">
      <c r="A17849" t="str">
        <f t="shared" si="6472"/>
        <v>0615072998</v>
      </c>
      <c r="B17849" t="str">
        <f t="shared" si="6473"/>
        <v>JA'LIYAH</v>
      </c>
      <c r="C17849" t="str">
        <f t="shared" si="6471"/>
        <v>WASHINGTON</v>
      </c>
      <c r="D17849" t="str">
        <f t="shared" si="6468"/>
        <v>09</v>
      </c>
      <c r="E17849" t="str">
        <f>"01 - A - 101 - Cerine S Stewart"</f>
        <v>01 - A - 101 - Cerine S Stewart</v>
      </c>
      <c r="F17849" t="str">
        <f>"ENG 1"</f>
        <v>ENG 1</v>
      </c>
      <c r="G17849" t="str">
        <f>"17-1720"</f>
        <v>17-1720</v>
      </c>
      <c r="H17849" t="str">
        <f>"A"</f>
        <v>A</v>
      </c>
    </row>
    <row r="17850" spans="1:8" x14ac:dyDescent="0.2">
      <c r="A17850" t="str">
        <f t="shared" si="6472"/>
        <v>0615072998</v>
      </c>
      <c r="B17850" t="str">
        <f t="shared" si="6473"/>
        <v>JA'LIYAH</v>
      </c>
      <c r="C17850" t="str">
        <f t="shared" si="6471"/>
        <v>WASHINGTON</v>
      </c>
      <c r="D17850" t="str">
        <f t="shared" si="6468"/>
        <v>09</v>
      </c>
      <c r="E17850" t="str">
        <f>"08 - B - 107 - Brook E Goren"</f>
        <v>08 - B - 107 - Brook E Goren</v>
      </c>
      <c r="F17850" t="str">
        <f>"GEOMETRY"</f>
        <v>GEOMETRY</v>
      </c>
      <c r="G17850" t="str">
        <f>"21-2158"</f>
        <v>21-2158</v>
      </c>
      <c r="H17850" t="str">
        <f>"B"</f>
        <v>B</v>
      </c>
    </row>
    <row r="17851" spans="1:8" x14ac:dyDescent="0.2">
      <c r="A17851" t="str">
        <f t="shared" ref="A17851:A17858" si="6474">"0614056408"</f>
        <v>0614056408</v>
      </c>
      <c r="B17851" t="str">
        <f t="shared" ref="B17851:B17858" si="6475">"EMONIE"</f>
        <v>EMONIE</v>
      </c>
      <c r="C17851" t="str">
        <f t="shared" ref="C17851:C17858" si="6476">"WATERS"</f>
        <v>WATERS</v>
      </c>
      <c r="D17851">
        <f>11</f>
        <v>11</v>
      </c>
      <c r="E17851" t="str">
        <f>"04 - A - 103 - Cliffon  Saurel"</f>
        <v>04 - A - 103 - Cliffon  Saurel</v>
      </c>
      <c r="F17851" t="str">
        <f>"PHYSICAL SCI"</f>
        <v>PHYSICAL SCI</v>
      </c>
      <c r="G17851" t="str">
        <f>"05-522"</f>
        <v>05-522</v>
      </c>
      <c r="H17851" t="str">
        <f>"A"</f>
        <v>A</v>
      </c>
    </row>
    <row r="17852" spans="1:8" x14ac:dyDescent="0.2">
      <c r="A17852" t="str">
        <f t="shared" si="6474"/>
        <v>0614056408</v>
      </c>
      <c r="B17852" t="str">
        <f t="shared" si="6475"/>
        <v>EMONIE</v>
      </c>
      <c r="C17852" t="str">
        <f t="shared" si="6476"/>
        <v>WATERS</v>
      </c>
      <c r="D17852">
        <f>11</f>
        <v>11</v>
      </c>
      <c r="E17852" t="str">
        <f>"06 - B - 106 - Adam Marcus  Drucker"</f>
        <v>06 - B - 106 - Adam Marcus  Drucker</v>
      </c>
      <c r="F17852" t="str">
        <f>"HOPE-PE V"</f>
        <v>HOPE-PE V</v>
      </c>
      <c r="G17852" t="str">
        <f>"04-254"</f>
        <v>04-254</v>
      </c>
      <c r="H17852" t="str">
        <f>"B"</f>
        <v>B</v>
      </c>
    </row>
    <row r="17853" spans="1:8" x14ac:dyDescent="0.2">
      <c r="A17853" t="str">
        <f t="shared" si="6474"/>
        <v>0614056408</v>
      </c>
      <c r="B17853" t="str">
        <f t="shared" si="6475"/>
        <v>EMONIE</v>
      </c>
      <c r="C17853" t="str">
        <f t="shared" si="6476"/>
        <v>WATERS</v>
      </c>
      <c r="D17853">
        <f>11</f>
        <v>11</v>
      </c>
      <c r="E17853" t="str">
        <f>"03 - A - 102 - Lisa  Quinn"</f>
        <v>03 - A - 102 - Lisa  Quinn</v>
      </c>
      <c r="F17853" t="str">
        <f>"ENG 3"</f>
        <v>ENG 3</v>
      </c>
      <c r="G17853" t="str">
        <f>"17-1725"</f>
        <v>17-1725</v>
      </c>
      <c r="H17853" t="str">
        <f>"A"</f>
        <v>A</v>
      </c>
    </row>
    <row r="17854" spans="1:8" x14ac:dyDescent="0.2">
      <c r="A17854" t="str">
        <f t="shared" si="6474"/>
        <v>0614056408</v>
      </c>
      <c r="B17854" t="str">
        <f t="shared" si="6475"/>
        <v>EMONIE</v>
      </c>
      <c r="C17854" t="str">
        <f t="shared" si="6476"/>
        <v>WATERS</v>
      </c>
      <c r="D17854">
        <f>11</f>
        <v>11</v>
      </c>
      <c r="E17854" t="str">
        <f>"02 - A - 112 - Brandy N Zdenek"</f>
        <v>02 - A - 112 - Brandy N Zdenek</v>
      </c>
      <c r="F17854" t="str">
        <f>"NC STUDY HALL 1"</f>
        <v>NC STUDY HALL 1</v>
      </c>
      <c r="G17854" t="str">
        <f>"17-1704"</f>
        <v>17-1704</v>
      </c>
      <c r="H17854" t="str">
        <f>"A"</f>
        <v>A</v>
      </c>
    </row>
    <row r="17855" spans="1:8" x14ac:dyDescent="0.2">
      <c r="A17855" t="str">
        <f t="shared" si="6474"/>
        <v>0614056408</v>
      </c>
      <c r="B17855" t="str">
        <f t="shared" si="6475"/>
        <v>EMONIE</v>
      </c>
      <c r="C17855" t="str">
        <f t="shared" si="6476"/>
        <v>WATERS</v>
      </c>
      <c r="D17855">
        <f>11</f>
        <v>11</v>
      </c>
      <c r="E17855" t="str">
        <f>"07 - B - 108 - Lauren N Logan"</f>
        <v>07 - B - 108 - Lauren N Logan</v>
      </c>
      <c r="F17855" t="str">
        <f>"US HISTORY"</f>
        <v>US HISTORY</v>
      </c>
      <c r="G17855" t="str">
        <f>"17-1745"</f>
        <v>17-1745</v>
      </c>
      <c r="H17855" t="str">
        <f>"B"</f>
        <v>B</v>
      </c>
    </row>
    <row r="17856" spans="1:8" x14ac:dyDescent="0.2">
      <c r="A17856" t="str">
        <f t="shared" si="6474"/>
        <v>0614056408</v>
      </c>
      <c r="B17856" t="str">
        <f t="shared" si="6475"/>
        <v>EMONIE</v>
      </c>
      <c r="C17856" t="str">
        <f t="shared" si="6476"/>
        <v>WATERS</v>
      </c>
      <c r="D17856">
        <f>11</f>
        <v>11</v>
      </c>
      <c r="E17856" t="str">
        <f>"05 - B - 101 - Brian M Fitzgerald"</f>
        <v>05 - B - 101 - Brian M Fitzgerald</v>
      </c>
      <c r="F17856" t="str">
        <f>"PAINT 1"</f>
        <v>PAINT 1</v>
      </c>
      <c r="G17856" t="str">
        <f>"09-908"</f>
        <v>09-908</v>
      </c>
      <c r="H17856" t="str">
        <f>"B"</f>
        <v>B</v>
      </c>
    </row>
    <row r="17857" spans="1:8" x14ac:dyDescent="0.2">
      <c r="A17857" t="str">
        <f t="shared" si="6474"/>
        <v>0614056408</v>
      </c>
      <c r="B17857" t="str">
        <f t="shared" si="6475"/>
        <v>EMONIE</v>
      </c>
      <c r="C17857" t="str">
        <f t="shared" si="6476"/>
        <v>WATERS</v>
      </c>
      <c r="D17857">
        <f>11</f>
        <v>11</v>
      </c>
      <c r="E17857" t="str">
        <f>"01 - A - 101 - Ferrie J Arostique"</f>
        <v>01 - A - 101 - Ferrie J Arostique</v>
      </c>
      <c r="F17857" t="str">
        <f>"GEOMETRY"</f>
        <v>GEOMETRY</v>
      </c>
      <c r="G17857" t="str">
        <f>"21-2139"</f>
        <v>21-2139</v>
      </c>
      <c r="H17857" t="str">
        <f>"A"</f>
        <v>A</v>
      </c>
    </row>
    <row r="17858" spans="1:8" x14ac:dyDescent="0.2">
      <c r="A17858" t="str">
        <f t="shared" si="6474"/>
        <v>0614056408</v>
      </c>
      <c r="B17858" t="str">
        <f t="shared" si="6475"/>
        <v>EMONIE</v>
      </c>
      <c r="C17858" t="str">
        <f t="shared" si="6476"/>
        <v>WATERS</v>
      </c>
      <c r="D17858">
        <f>11</f>
        <v>11</v>
      </c>
      <c r="E17858" t="str">
        <f>"08 - B - 102 - Carleigh R Carmichael"</f>
        <v>08 - B - 102 - Carleigh R Carmichael</v>
      </c>
      <c r="F17858" t="str">
        <f>"LRNG STRATEGIES 9-12"</f>
        <v>LRNG STRATEGIES 9-12</v>
      </c>
      <c r="G17858" t="str">
        <f>"20-2072"</f>
        <v>20-2072</v>
      </c>
      <c r="H17858" t="str">
        <f>"B"</f>
        <v>B</v>
      </c>
    </row>
    <row r="17859" spans="1:8" x14ac:dyDescent="0.2">
      <c r="A17859" t="str">
        <f t="shared" ref="A17859:A17867" si="6477">"0615139129"</f>
        <v>0615139129</v>
      </c>
      <c r="B17859" t="str">
        <f t="shared" ref="B17859:B17867" si="6478">"CHLOE"</f>
        <v>CHLOE</v>
      </c>
      <c r="C17859" t="str">
        <f t="shared" ref="C17859:C17867" si="6479">"WATKINS"</f>
        <v>WATKINS</v>
      </c>
      <c r="D17859">
        <f>10</f>
        <v>10</v>
      </c>
      <c r="E17859" t="str">
        <f>"19 - S1 - MTWHF - B18 - Instructor BC"</f>
        <v>19 - S1 - MTWHF - B18 - Instructor BC</v>
      </c>
      <c r="F17859" t="str">
        <f>"BEG FRENCH I"</f>
        <v>BEG FRENCH I</v>
      </c>
      <c r="G17859" t="str">
        <f>"60-DE"</f>
        <v>60-DE</v>
      </c>
      <c r="H17859" t="str">
        <f>"-"</f>
        <v>-</v>
      </c>
    </row>
    <row r="17860" spans="1:8" x14ac:dyDescent="0.2">
      <c r="A17860" t="str">
        <f t="shared" si="6477"/>
        <v>0615139129</v>
      </c>
      <c r="B17860" t="str">
        <f t="shared" si="6478"/>
        <v>CHLOE</v>
      </c>
      <c r="C17860" t="str">
        <f t="shared" si="6479"/>
        <v>WATKINS</v>
      </c>
      <c r="D17860">
        <f>10</f>
        <v>10</v>
      </c>
      <c r="E17860" t="str">
        <f>"04 - A - 103 - Lourivaldo  Da Silva"</f>
        <v>04 - A - 103 - Lourivaldo  Da Silva</v>
      </c>
      <c r="F17860" t="str">
        <f>"PRE-CALCULUS HON"</f>
        <v>PRE-CALCULUS HON</v>
      </c>
      <c r="G17860" t="str">
        <f>"20-2079"</f>
        <v>20-2079</v>
      </c>
      <c r="H17860" t="str">
        <f>"A"</f>
        <v>A</v>
      </c>
    </row>
    <row r="17861" spans="1:8" x14ac:dyDescent="0.2">
      <c r="A17861" t="str">
        <f t="shared" si="6477"/>
        <v>0615139129</v>
      </c>
      <c r="B17861" t="str">
        <f t="shared" si="6478"/>
        <v>CHLOE</v>
      </c>
      <c r="C17861" t="str">
        <f t="shared" si="6479"/>
        <v>WATKINS</v>
      </c>
      <c r="D17861">
        <f>10</f>
        <v>10</v>
      </c>
      <c r="E17861" t="str">
        <f>"06 - B - 118 - Jeanne M Bermudez"</f>
        <v>06 - B - 118 - Jeanne M Bermudez</v>
      </c>
      <c r="F17861" t="str">
        <f>"NC STUDY HALL 1"</f>
        <v>NC STUDY HALL 1</v>
      </c>
      <c r="G17861" t="str">
        <f>"21-2141"</f>
        <v>21-2141</v>
      </c>
      <c r="H17861" t="str">
        <f>"B"</f>
        <v>B</v>
      </c>
    </row>
    <row r="17862" spans="1:8" x14ac:dyDescent="0.2">
      <c r="A17862" t="str">
        <f t="shared" si="6477"/>
        <v>0615139129</v>
      </c>
      <c r="B17862" t="str">
        <f t="shared" si="6478"/>
        <v>CHLOE</v>
      </c>
      <c r="C17862" t="str">
        <f t="shared" si="6479"/>
        <v>WATKINS</v>
      </c>
      <c r="D17862">
        <f>10</f>
        <v>10</v>
      </c>
      <c r="E17862" t="str">
        <f>"03 - A - 002 - Brandy N Zdenek"</f>
        <v>03 - A - 002 - Brandy N Zdenek</v>
      </c>
      <c r="F17862" t="str">
        <f>"AICE ENG LANG AS"</f>
        <v>AICE ENG LANG AS</v>
      </c>
      <c r="G17862" t="str">
        <f>"17-1704"</f>
        <v>17-1704</v>
      </c>
      <c r="H17862" t="str">
        <f>"A"</f>
        <v>A</v>
      </c>
    </row>
    <row r="17863" spans="1:8" x14ac:dyDescent="0.2">
      <c r="A17863" t="str">
        <f t="shared" si="6477"/>
        <v>0615139129</v>
      </c>
      <c r="B17863" t="str">
        <f t="shared" si="6478"/>
        <v>CHLOE</v>
      </c>
      <c r="C17863" t="str">
        <f t="shared" si="6479"/>
        <v>WATKINS</v>
      </c>
      <c r="D17863">
        <f>10</f>
        <v>10</v>
      </c>
      <c r="E17863" t="str">
        <f>"02 - A - 102 - Chrystina M Marchionne"</f>
        <v>02 - A - 102 - Chrystina M Marchionne</v>
      </c>
      <c r="F17863" t="str">
        <f>"AICE MEDIASTUDIES AS"</f>
        <v>AICE MEDIASTUDIES AS</v>
      </c>
      <c r="G17863" t="str">
        <f>"05-520"</f>
        <v>05-520</v>
      </c>
      <c r="H17863" t="str">
        <f>"A"</f>
        <v>A</v>
      </c>
    </row>
    <row r="17864" spans="1:8" x14ac:dyDescent="0.2">
      <c r="A17864" t="str">
        <f t="shared" si="6477"/>
        <v>0615139129</v>
      </c>
      <c r="B17864" t="str">
        <f t="shared" si="6478"/>
        <v>CHLOE</v>
      </c>
      <c r="C17864" t="str">
        <f t="shared" si="6479"/>
        <v>WATKINS</v>
      </c>
      <c r="D17864">
        <f>10</f>
        <v>10</v>
      </c>
      <c r="E17864" t="str">
        <f>"07 - B - 204 - Elizabeth Ellen  Moran"</f>
        <v>07 - B - 204 - Elizabeth Ellen  Moran</v>
      </c>
      <c r="F17864" t="str">
        <f>"AICE EURO HIST 1 AS"</f>
        <v>AICE EURO HIST 1 AS</v>
      </c>
      <c r="G17864" t="str">
        <f>"17-1752"</f>
        <v>17-1752</v>
      </c>
      <c r="H17864" t="str">
        <f>"B"</f>
        <v>B</v>
      </c>
    </row>
    <row r="17865" spans="1:8" x14ac:dyDescent="0.2">
      <c r="A17865" t="str">
        <f t="shared" si="6477"/>
        <v>0615139129</v>
      </c>
      <c r="B17865" t="str">
        <f t="shared" si="6478"/>
        <v>CHLOE</v>
      </c>
      <c r="C17865" t="str">
        <f t="shared" si="6479"/>
        <v>WATKINS</v>
      </c>
      <c r="D17865">
        <f>10</f>
        <v>10</v>
      </c>
      <c r="E17865" t="str">
        <f>"05 - B - 108 - Valerie J Ruwe"</f>
        <v>05 - B - 108 - Valerie J Ruwe</v>
      </c>
      <c r="F17865" t="str">
        <f>"CHEMISTRY 1 HON"</f>
        <v>CHEMISTRY 1 HON</v>
      </c>
      <c r="G17865" t="str">
        <f>"21-2138"</f>
        <v>21-2138</v>
      </c>
      <c r="H17865" t="str">
        <f>"B"</f>
        <v>B</v>
      </c>
    </row>
    <row r="17866" spans="1:8" x14ac:dyDescent="0.2">
      <c r="A17866" t="str">
        <f t="shared" si="6477"/>
        <v>0615139129</v>
      </c>
      <c r="B17866" t="str">
        <f t="shared" si="6478"/>
        <v>CHLOE</v>
      </c>
      <c r="C17866" t="str">
        <f t="shared" si="6479"/>
        <v>WATKINS</v>
      </c>
      <c r="D17866">
        <f>10</f>
        <v>10</v>
      </c>
      <c r="E17866" t="str">
        <f>"01 - A - 101 - Daniel S Katz"</f>
        <v>01 - A - 101 - Daniel S Katz</v>
      </c>
      <c r="F17866" t="str">
        <f>"EXEC INTERN 3 LH"</f>
        <v>EXEC INTERN 3 LH</v>
      </c>
      <c r="G17866" t="str">
        <f>"21-2156"</f>
        <v>21-2156</v>
      </c>
      <c r="H17866" t="str">
        <f>"A"</f>
        <v>A</v>
      </c>
    </row>
    <row r="17867" spans="1:8" x14ac:dyDescent="0.2">
      <c r="A17867" t="str">
        <f t="shared" si="6477"/>
        <v>0615139129</v>
      </c>
      <c r="B17867" t="str">
        <f t="shared" si="6478"/>
        <v>CHLOE</v>
      </c>
      <c r="C17867" t="str">
        <f t="shared" si="6479"/>
        <v>WATKINS</v>
      </c>
      <c r="D17867">
        <f>10</f>
        <v>10</v>
      </c>
      <c r="E17867" t="str">
        <f>"08 - B - 201 - Stacey A Blecker"</f>
        <v>08 - B - 201 - Stacey A Blecker</v>
      </c>
      <c r="F17867" t="str">
        <f>"AICE SOCIOLOGY 1 AS"</f>
        <v>AICE SOCIOLOGY 1 AS</v>
      </c>
      <c r="G17867" t="str">
        <f>"09-926"</f>
        <v>09-926</v>
      </c>
      <c r="H17867" t="str">
        <f>"B"</f>
        <v>B</v>
      </c>
    </row>
    <row r="17868" spans="1:8" x14ac:dyDescent="0.2">
      <c r="A17868" t="str">
        <f t="shared" ref="A17868:A17875" si="6480">"0620023477"</f>
        <v>0620023477</v>
      </c>
      <c r="B17868" t="str">
        <f t="shared" ref="B17868:B17875" si="6481">"DAREAN"</f>
        <v>DAREAN</v>
      </c>
      <c r="C17868" t="str">
        <f t="shared" ref="C17868:C17891" si="6482">"WATSON"</f>
        <v>WATSON</v>
      </c>
      <c r="D17868" t="str">
        <f t="shared" ref="D17868:D17875" si="6483">"09"</f>
        <v>09</v>
      </c>
      <c r="E17868" t="str">
        <f>"04 - A - 201 - Norayda D Suarez"</f>
        <v>04 - A - 201 - Norayda D Suarez</v>
      </c>
      <c r="F17868" t="str">
        <f>"ANAT PHYSIO HON"</f>
        <v>ANAT PHYSIO HON</v>
      </c>
      <c r="G17868" t="str">
        <f>"21-2142"</f>
        <v>21-2142</v>
      </c>
      <c r="H17868" t="str">
        <f>"A"</f>
        <v>A</v>
      </c>
    </row>
    <row r="17869" spans="1:8" x14ac:dyDescent="0.2">
      <c r="A17869" t="str">
        <f t="shared" si="6480"/>
        <v>0620023477</v>
      </c>
      <c r="B17869" t="str">
        <f t="shared" si="6481"/>
        <v>DAREAN</v>
      </c>
      <c r="C17869" t="str">
        <f t="shared" si="6482"/>
        <v>WATSON</v>
      </c>
      <c r="D17869" t="str">
        <f t="shared" si="6483"/>
        <v>09</v>
      </c>
      <c r="E17869" t="str">
        <f>"06 - B - 101 - Fernando  Vega-Cid"</f>
        <v>06 - B - 101 - Fernando  Vega-Cid</v>
      </c>
      <c r="F17869" t="str">
        <f>"PRE-AICE MATH 2 IG"</f>
        <v>PRE-AICE MATH 2 IG</v>
      </c>
      <c r="G17869" t="str">
        <f>"21-2163"</f>
        <v>21-2163</v>
      </c>
      <c r="H17869" t="str">
        <f>"B"</f>
        <v>B</v>
      </c>
    </row>
    <row r="17870" spans="1:8" x14ac:dyDescent="0.2">
      <c r="A17870" t="str">
        <f t="shared" si="6480"/>
        <v>0620023477</v>
      </c>
      <c r="B17870" t="str">
        <f t="shared" si="6481"/>
        <v>DAREAN</v>
      </c>
      <c r="C17870" t="str">
        <f t="shared" si="6482"/>
        <v>WATSON</v>
      </c>
      <c r="D17870" t="str">
        <f t="shared" si="6483"/>
        <v>09</v>
      </c>
      <c r="E17870" t="str">
        <f>"03 - A - 101 - Eva T Rimmer"</f>
        <v>03 - A - 101 - Eva T Rimmer</v>
      </c>
      <c r="F17870" t="str">
        <f>"CRIMINAL JUST OPS 1"</f>
        <v>CRIMINAL JUST OPS 1</v>
      </c>
      <c r="G17870" t="str">
        <f>"05-523"</f>
        <v>05-523</v>
      </c>
      <c r="H17870" t="str">
        <f>"A"</f>
        <v>A</v>
      </c>
    </row>
    <row r="17871" spans="1:8" x14ac:dyDescent="0.2">
      <c r="A17871" t="str">
        <f t="shared" si="6480"/>
        <v>0620023477</v>
      </c>
      <c r="B17871" t="str">
        <f t="shared" si="6481"/>
        <v>DAREAN</v>
      </c>
      <c r="C17871" t="str">
        <f t="shared" si="6482"/>
        <v>WATSON</v>
      </c>
      <c r="D17871" t="str">
        <f t="shared" si="6483"/>
        <v>09</v>
      </c>
      <c r="E17871" t="str">
        <f>"02 - A - 102 - Samantha J Headley"</f>
        <v>02 - A - 102 - Samantha J Headley</v>
      </c>
      <c r="F17871" t="str">
        <f>"NC STUDY HALL 1"</f>
        <v>NC STUDY HALL 1</v>
      </c>
      <c r="G17871" t="str">
        <f>"21-2134"</f>
        <v>21-2134</v>
      </c>
      <c r="H17871" t="str">
        <f>"A"</f>
        <v>A</v>
      </c>
    </row>
    <row r="17872" spans="1:8" x14ac:dyDescent="0.2">
      <c r="A17872" t="str">
        <f t="shared" si="6480"/>
        <v>0620023477</v>
      </c>
      <c r="B17872" t="str">
        <f t="shared" si="6481"/>
        <v>DAREAN</v>
      </c>
      <c r="C17872" t="str">
        <f t="shared" si="6482"/>
        <v>WATSON</v>
      </c>
      <c r="D17872" t="str">
        <f t="shared" si="6483"/>
        <v>09</v>
      </c>
      <c r="E17872" t="str">
        <f>"07 - B - 107 - Rosa Elaine  Collado-Duff"</f>
        <v>07 - B - 107 - Rosa Elaine  Collado-Duff</v>
      </c>
      <c r="F17872" t="str">
        <f>"PRE-AICE SPAN 2 IG"</f>
        <v>PRE-AICE SPAN 2 IG</v>
      </c>
      <c r="G17872" t="str">
        <f>"09-913"</f>
        <v>09-913</v>
      </c>
      <c r="H17872" t="str">
        <f>"B"</f>
        <v>B</v>
      </c>
    </row>
    <row r="17873" spans="1:8" x14ac:dyDescent="0.2">
      <c r="A17873" t="str">
        <f t="shared" si="6480"/>
        <v>0620023477</v>
      </c>
      <c r="B17873" t="str">
        <f t="shared" si="6481"/>
        <v>DAREAN</v>
      </c>
      <c r="C17873" t="str">
        <f t="shared" si="6482"/>
        <v>WATSON</v>
      </c>
      <c r="D17873" t="str">
        <f t="shared" si="6483"/>
        <v>09</v>
      </c>
      <c r="E17873" t="str">
        <f>"05 - B - 102 - Jeanne M Bermudez"</f>
        <v>05 - B - 102 - Jeanne M Bermudez</v>
      </c>
      <c r="F17873" t="str">
        <f>"ADVANCED IT HON"</f>
        <v>ADVANCED IT HON</v>
      </c>
      <c r="G17873" t="str">
        <f>"21-2141"</f>
        <v>21-2141</v>
      </c>
      <c r="H17873" t="str">
        <f>"B"</f>
        <v>B</v>
      </c>
    </row>
    <row r="17874" spans="1:8" x14ac:dyDescent="0.2">
      <c r="A17874" t="str">
        <f t="shared" si="6480"/>
        <v>0620023477</v>
      </c>
      <c r="B17874" t="str">
        <f t="shared" si="6481"/>
        <v>DAREAN</v>
      </c>
      <c r="C17874" t="str">
        <f t="shared" si="6482"/>
        <v>WATSON</v>
      </c>
      <c r="D17874" t="str">
        <f t="shared" si="6483"/>
        <v>09</v>
      </c>
      <c r="E17874" t="str">
        <f>"01 - A - 101 - Rory T Sponsler"</f>
        <v>01 - A - 101 - Rory T Sponsler</v>
      </c>
      <c r="F17874" t="str">
        <f>"PRE-AICE WRLD HST IG"</f>
        <v>PRE-AICE WRLD HST IG</v>
      </c>
      <c r="G17874" t="str">
        <f>"17-1740"</f>
        <v>17-1740</v>
      </c>
      <c r="H17874" t="str">
        <f>"A"</f>
        <v>A</v>
      </c>
    </row>
    <row r="17875" spans="1:8" x14ac:dyDescent="0.2">
      <c r="A17875" t="str">
        <f t="shared" si="6480"/>
        <v>0620023477</v>
      </c>
      <c r="B17875" t="str">
        <f t="shared" si="6481"/>
        <v>DAREAN</v>
      </c>
      <c r="C17875" t="str">
        <f t="shared" si="6482"/>
        <v>WATSON</v>
      </c>
      <c r="D17875" t="str">
        <f t="shared" si="6483"/>
        <v>09</v>
      </c>
      <c r="E17875" t="str">
        <f>"08 - B - 004 - Cheryl Anne  Berman-Schechter"</f>
        <v>08 - B - 004 - Cheryl Anne  Berman-Schechter</v>
      </c>
      <c r="F17875" t="str">
        <f>"AICE ENG GEN PAPER 1"</f>
        <v>AICE ENG GEN PAPER 1</v>
      </c>
      <c r="G17875" t="str">
        <f>"17-1722"</f>
        <v>17-1722</v>
      </c>
      <c r="H17875" t="str">
        <f>"B"</f>
        <v>B</v>
      </c>
    </row>
    <row r="17876" spans="1:8" x14ac:dyDescent="0.2">
      <c r="A17876" t="str">
        <f t="shared" ref="A17876:A17883" si="6484">"0615008137"</f>
        <v>0615008137</v>
      </c>
      <c r="B17876" t="str">
        <f t="shared" ref="B17876:B17883" si="6485">"JOSHUA"</f>
        <v>JOSHUA</v>
      </c>
      <c r="C17876" t="str">
        <f t="shared" si="6482"/>
        <v>WATSON</v>
      </c>
      <c r="D17876">
        <f>11</f>
        <v>11</v>
      </c>
      <c r="E17876" t="str">
        <f>"04 - A - 102 - Jordana K Hass"</f>
        <v>04 - A - 102 - Jordana K Hass</v>
      </c>
      <c r="F17876" t="str">
        <f>"CHEMISTRY 1"</f>
        <v>CHEMISTRY 1</v>
      </c>
      <c r="G17876" t="str">
        <f>"08-807"</f>
        <v>08-807</v>
      </c>
      <c r="H17876" t="str">
        <f>"A"</f>
        <v>A</v>
      </c>
    </row>
    <row r="17877" spans="1:8" x14ac:dyDescent="0.2">
      <c r="A17877" t="str">
        <f t="shared" si="6484"/>
        <v>0615008137</v>
      </c>
      <c r="B17877" t="str">
        <f t="shared" si="6485"/>
        <v>JOSHUA</v>
      </c>
      <c r="C17877" t="str">
        <f t="shared" si="6482"/>
        <v>WATSON</v>
      </c>
      <c r="D17877">
        <f>11</f>
        <v>11</v>
      </c>
      <c r="E17877" t="str">
        <f>"06 - B - 202 - Alejandro  Navarro"</f>
        <v>06 - B - 202 - Alejandro  Navarro</v>
      </c>
      <c r="F17877" t="str">
        <f>"BAND 1"</f>
        <v>BAND 1</v>
      </c>
      <c r="G17877" t="str">
        <f>"05-504"</f>
        <v>05-504</v>
      </c>
      <c r="H17877" t="str">
        <f>"B"</f>
        <v>B</v>
      </c>
    </row>
    <row r="17878" spans="1:8" x14ac:dyDescent="0.2">
      <c r="A17878" t="str">
        <f t="shared" si="6484"/>
        <v>0615008137</v>
      </c>
      <c r="B17878" t="str">
        <f t="shared" si="6485"/>
        <v>JOSHUA</v>
      </c>
      <c r="C17878" t="str">
        <f t="shared" si="6482"/>
        <v>WATSON</v>
      </c>
      <c r="D17878">
        <f>11</f>
        <v>11</v>
      </c>
      <c r="E17878" t="str">
        <f>"03 - A - 105 - Elizabeth Ellen  Moran"</f>
        <v>03 - A - 105 - Elizabeth Ellen  Moran</v>
      </c>
      <c r="F17878" t="str">
        <f>"WORLD HISTORY"</f>
        <v>WORLD HISTORY</v>
      </c>
      <c r="G17878" t="str">
        <f>"17-1752"</f>
        <v>17-1752</v>
      </c>
      <c r="H17878" t="str">
        <f>"A"</f>
        <v>A</v>
      </c>
    </row>
    <row r="17879" spans="1:8" x14ac:dyDescent="0.2">
      <c r="A17879" t="str">
        <f t="shared" si="6484"/>
        <v>0615008137</v>
      </c>
      <c r="B17879" t="str">
        <f t="shared" si="6485"/>
        <v>JOSHUA</v>
      </c>
      <c r="C17879" t="str">
        <f t="shared" si="6482"/>
        <v>WATSON</v>
      </c>
      <c r="D17879">
        <f>11</f>
        <v>11</v>
      </c>
      <c r="E17879" t="str">
        <f>"02 - A - 113 - Byron G Montenegro"</f>
        <v>02 - A - 113 - Byron G Montenegro</v>
      </c>
      <c r="F17879" t="str">
        <f>"NC STUDY HALL 1"</f>
        <v>NC STUDY HALL 1</v>
      </c>
      <c r="G17879" t="str">
        <f>"21-2144"</f>
        <v>21-2144</v>
      </c>
      <c r="H17879" t="str">
        <f>"A"</f>
        <v>A</v>
      </c>
    </row>
    <row r="17880" spans="1:8" x14ac:dyDescent="0.2">
      <c r="A17880" t="str">
        <f t="shared" si="6484"/>
        <v>0615008137</v>
      </c>
      <c r="B17880" t="str">
        <f t="shared" si="6485"/>
        <v>JOSHUA</v>
      </c>
      <c r="C17880" t="str">
        <f t="shared" si="6482"/>
        <v>WATSON</v>
      </c>
      <c r="D17880">
        <f>11</f>
        <v>11</v>
      </c>
      <c r="E17880" t="str">
        <f>"07 - B - 108 - Lauren N Logan"</f>
        <v>07 - B - 108 - Lauren N Logan</v>
      </c>
      <c r="F17880" t="str">
        <f>"US HISTORY"</f>
        <v>US HISTORY</v>
      </c>
      <c r="G17880" t="str">
        <f>"17-1745"</f>
        <v>17-1745</v>
      </c>
      <c r="H17880" t="str">
        <f>"B"</f>
        <v>B</v>
      </c>
    </row>
    <row r="17881" spans="1:8" x14ac:dyDescent="0.2">
      <c r="A17881" t="str">
        <f t="shared" si="6484"/>
        <v>0615008137</v>
      </c>
      <c r="B17881" t="str">
        <f t="shared" si="6485"/>
        <v>JOSHUA</v>
      </c>
      <c r="C17881" t="str">
        <f t="shared" si="6482"/>
        <v>WATSON</v>
      </c>
      <c r="D17881">
        <f>11</f>
        <v>11</v>
      </c>
      <c r="E17881" t="str">
        <f>"05 - B - 103 - Nahum  Saint-Preux"</f>
        <v>05 - B - 103 - Nahum  Saint-Preux</v>
      </c>
      <c r="F17881" t="str">
        <f>"INTENS READ 3"</f>
        <v>INTENS READ 3</v>
      </c>
      <c r="G17881" t="str">
        <f>"17-1712"</f>
        <v>17-1712</v>
      </c>
      <c r="H17881" t="str">
        <f>"B"</f>
        <v>B</v>
      </c>
    </row>
    <row r="17882" spans="1:8" x14ac:dyDescent="0.2">
      <c r="A17882" t="str">
        <f t="shared" si="6484"/>
        <v>0615008137</v>
      </c>
      <c r="B17882" t="str">
        <f t="shared" si="6485"/>
        <v>JOSHUA</v>
      </c>
      <c r="C17882" t="str">
        <f t="shared" si="6482"/>
        <v>WATSON</v>
      </c>
      <c r="D17882">
        <f>11</f>
        <v>11</v>
      </c>
      <c r="E17882" t="str">
        <f>"01 - A - 102 - Fernando  Vega-Cid"</f>
        <v>01 - A - 102 - Fernando  Vega-Cid</v>
      </c>
      <c r="F17882" t="str">
        <f>"GEOMETRY"</f>
        <v>GEOMETRY</v>
      </c>
      <c r="G17882" t="str">
        <f>"21-2163"</f>
        <v>21-2163</v>
      </c>
      <c r="H17882" t="str">
        <f>"A"</f>
        <v>A</v>
      </c>
    </row>
    <row r="17883" spans="1:8" x14ac:dyDescent="0.2">
      <c r="A17883" t="str">
        <f t="shared" si="6484"/>
        <v>0615008137</v>
      </c>
      <c r="B17883" t="str">
        <f t="shared" si="6485"/>
        <v>JOSHUA</v>
      </c>
      <c r="C17883" t="str">
        <f t="shared" si="6482"/>
        <v>WATSON</v>
      </c>
      <c r="D17883">
        <f>11</f>
        <v>11</v>
      </c>
      <c r="E17883" t="str">
        <f>"08 - B - 106 - Lisa  Quinn"</f>
        <v>08 - B - 106 - Lisa  Quinn</v>
      </c>
      <c r="F17883" t="str">
        <f>"ENG 3"</f>
        <v>ENG 3</v>
      </c>
      <c r="G17883" t="str">
        <f>"17-1725"</f>
        <v>17-1725</v>
      </c>
      <c r="H17883" t="str">
        <f>"B"</f>
        <v>B</v>
      </c>
    </row>
    <row r="17884" spans="1:8" x14ac:dyDescent="0.2">
      <c r="A17884" t="str">
        <f t="shared" ref="A17884:A17891" si="6486">"0617038175"</f>
        <v>0617038175</v>
      </c>
      <c r="B17884" t="str">
        <f t="shared" ref="B17884:B17891" si="6487">"MADISON"</f>
        <v>MADISON</v>
      </c>
      <c r="C17884" t="str">
        <f t="shared" si="6482"/>
        <v>WATSON</v>
      </c>
      <c r="D17884" t="str">
        <f t="shared" ref="D17884:D17891" si="6488">"09"</f>
        <v>09</v>
      </c>
      <c r="E17884" t="str">
        <f>"04 - A - 103 - Lenecy  Nodarse"</f>
        <v>04 - A - 103 - Lenecy  Nodarse</v>
      </c>
      <c r="F17884" t="str">
        <f>"WORLD HISTORY"</f>
        <v>WORLD HISTORY</v>
      </c>
      <c r="G17884" t="str">
        <f>"17-1741"</f>
        <v>17-1741</v>
      </c>
      <c r="H17884" t="str">
        <f>"A"</f>
        <v>A</v>
      </c>
    </row>
    <row r="17885" spans="1:8" x14ac:dyDescent="0.2">
      <c r="A17885" t="str">
        <f t="shared" si="6486"/>
        <v>0617038175</v>
      </c>
      <c r="B17885" t="str">
        <f t="shared" si="6487"/>
        <v>MADISON</v>
      </c>
      <c r="C17885" t="str">
        <f t="shared" si="6482"/>
        <v>WATSON</v>
      </c>
      <c r="D17885" t="str">
        <f t="shared" si="6488"/>
        <v>09</v>
      </c>
      <c r="E17885" t="str">
        <f>"06 - B - 202 - Alejandro  Navarro"</f>
        <v>06 - B - 202 - Alejandro  Navarro</v>
      </c>
      <c r="F17885" t="str">
        <f>"BAND 1"</f>
        <v>BAND 1</v>
      </c>
      <c r="G17885" t="str">
        <f>"05-504"</f>
        <v>05-504</v>
      </c>
      <c r="H17885" t="str">
        <f>"B"</f>
        <v>B</v>
      </c>
    </row>
    <row r="17886" spans="1:8" x14ac:dyDescent="0.2">
      <c r="A17886" t="str">
        <f t="shared" si="6486"/>
        <v>0617038175</v>
      </c>
      <c r="B17886" t="str">
        <f t="shared" si="6487"/>
        <v>MADISON</v>
      </c>
      <c r="C17886" t="str">
        <f t="shared" si="6482"/>
        <v>WATSON</v>
      </c>
      <c r="D17886" t="str">
        <f t="shared" si="6488"/>
        <v>09</v>
      </c>
      <c r="E17886" t="str">
        <f>"03 - A - 105 - Cheryl Anne  Berman-Schechter"</f>
        <v>03 - A - 105 - Cheryl Anne  Berman-Schechter</v>
      </c>
      <c r="F17886" t="str">
        <f>"ENG 1"</f>
        <v>ENG 1</v>
      </c>
      <c r="G17886" t="str">
        <f>"17-1722"</f>
        <v>17-1722</v>
      </c>
      <c r="H17886" t="str">
        <f>"A"</f>
        <v>A</v>
      </c>
    </row>
    <row r="17887" spans="1:8" x14ac:dyDescent="0.2">
      <c r="A17887" t="str">
        <f t="shared" si="6486"/>
        <v>0617038175</v>
      </c>
      <c r="B17887" t="str">
        <f t="shared" si="6487"/>
        <v>MADISON</v>
      </c>
      <c r="C17887" t="str">
        <f t="shared" si="6482"/>
        <v>WATSON</v>
      </c>
      <c r="D17887" t="str">
        <f t="shared" si="6488"/>
        <v>09</v>
      </c>
      <c r="E17887" t="str">
        <f>"02 - A - 108 - Rory T Sponsler"</f>
        <v>02 - A - 108 - Rory T Sponsler</v>
      </c>
      <c r="F17887" t="str">
        <f>"NC STUDY HALL 1"</f>
        <v>NC STUDY HALL 1</v>
      </c>
      <c r="G17887" t="str">
        <f>"17-1740"</f>
        <v>17-1740</v>
      </c>
      <c r="H17887" t="str">
        <f>"A"</f>
        <v>A</v>
      </c>
    </row>
    <row r="17888" spans="1:8" x14ac:dyDescent="0.2">
      <c r="A17888" t="str">
        <f t="shared" si="6486"/>
        <v>0617038175</v>
      </c>
      <c r="B17888" t="str">
        <f t="shared" si="6487"/>
        <v>MADISON</v>
      </c>
      <c r="C17888" t="str">
        <f t="shared" si="6482"/>
        <v>WATSON</v>
      </c>
      <c r="D17888" t="str">
        <f t="shared" si="6488"/>
        <v>09</v>
      </c>
      <c r="E17888" t="str">
        <f>"07 - B - 106 - Dayna M Foster"</f>
        <v>07 - B - 106 - Dayna M Foster</v>
      </c>
      <c r="F17888" t="str">
        <f>"FDN SKLS MATH 9-12"</f>
        <v>FDN SKLS MATH 9-12</v>
      </c>
      <c r="G17888" t="str">
        <f>"21-2109"</f>
        <v>21-2109</v>
      </c>
      <c r="H17888" t="str">
        <f>"B"</f>
        <v>B</v>
      </c>
    </row>
    <row r="17889" spans="1:8" x14ac:dyDescent="0.2">
      <c r="A17889" t="str">
        <f t="shared" si="6486"/>
        <v>0617038175</v>
      </c>
      <c r="B17889" t="str">
        <f t="shared" si="6487"/>
        <v>MADISON</v>
      </c>
      <c r="C17889" t="str">
        <f t="shared" si="6482"/>
        <v>WATSON</v>
      </c>
      <c r="D17889" t="str">
        <f t="shared" si="6488"/>
        <v>09</v>
      </c>
      <c r="E17889" t="str">
        <f>"05 - B - 202 - Amy Beth  Broyles"</f>
        <v>05 - B - 202 - Amy Beth  Broyles</v>
      </c>
      <c r="F17889" t="str">
        <f>"ENV SCI"</f>
        <v>ENV SCI</v>
      </c>
      <c r="G17889" t="str">
        <f>"08-802"</f>
        <v>08-802</v>
      </c>
      <c r="H17889" t="str">
        <f>"B"</f>
        <v>B</v>
      </c>
    </row>
    <row r="17890" spans="1:8" x14ac:dyDescent="0.2">
      <c r="A17890" t="str">
        <f t="shared" si="6486"/>
        <v>0617038175</v>
      </c>
      <c r="B17890" t="str">
        <f t="shared" si="6487"/>
        <v>MADISON</v>
      </c>
      <c r="C17890" t="str">
        <f t="shared" si="6482"/>
        <v>WATSON</v>
      </c>
      <c r="D17890" t="str">
        <f t="shared" si="6488"/>
        <v>09</v>
      </c>
      <c r="E17890" t="str">
        <f>"01 - A - 108 - Dayna M Foster"</f>
        <v>01 - A - 108 - Dayna M Foster</v>
      </c>
      <c r="F17890" t="str">
        <f>"ALGEBRA 1"</f>
        <v>ALGEBRA 1</v>
      </c>
      <c r="G17890" t="str">
        <f>"21-2109"</f>
        <v>21-2109</v>
      </c>
      <c r="H17890" t="str">
        <f>"A"</f>
        <v>A</v>
      </c>
    </row>
    <row r="17891" spans="1:8" x14ac:dyDescent="0.2">
      <c r="A17891" t="str">
        <f t="shared" si="6486"/>
        <v>0617038175</v>
      </c>
      <c r="B17891" t="str">
        <f t="shared" si="6487"/>
        <v>MADISON</v>
      </c>
      <c r="C17891" t="str">
        <f t="shared" si="6482"/>
        <v>WATSON</v>
      </c>
      <c r="D17891" t="str">
        <f t="shared" si="6488"/>
        <v>09</v>
      </c>
      <c r="E17891" t="str">
        <f>"08 - B - 106 - Laselleda D Shaw"</f>
        <v>08 - B - 106 - Laselleda D Shaw</v>
      </c>
      <c r="F17891" t="str">
        <f>"INTENS READ 1"</f>
        <v>INTENS READ 1</v>
      </c>
      <c r="G17891" t="str">
        <f>"17-1723"</f>
        <v>17-1723</v>
      </c>
      <c r="H17891" t="str">
        <f>"B"</f>
        <v>B</v>
      </c>
    </row>
    <row r="17892" spans="1:8" x14ac:dyDescent="0.2">
      <c r="A17892" t="str">
        <f t="shared" ref="A17892:A17899" si="6489">"0614137363"</f>
        <v>0614137363</v>
      </c>
      <c r="B17892" t="str">
        <f t="shared" ref="B17892:B17899" si="6490">"AMIR"</f>
        <v>AMIR</v>
      </c>
      <c r="C17892" t="str">
        <f t="shared" ref="C17892:C17907" si="6491">"WATTS"</f>
        <v>WATTS</v>
      </c>
      <c r="D17892">
        <f>11</f>
        <v>11</v>
      </c>
      <c r="E17892" t="str">
        <f>"04 - S1 - A - 104 - Richard E Dunbar Iii"</f>
        <v>04 - S1 - A - 104 - Richard E Dunbar Iii</v>
      </c>
      <c r="F17892" t="str">
        <f>"WEIGHT TRAIN 1"</f>
        <v>WEIGHT TRAIN 1</v>
      </c>
      <c r="G17892" t="str">
        <f>"05-501"</f>
        <v>05-501</v>
      </c>
      <c r="H17892" t="str">
        <f>"A"</f>
        <v>A</v>
      </c>
    </row>
    <row r="17893" spans="1:8" x14ac:dyDescent="0.2">
      <c r="A17893" t="str">
        <f t="shared" si="6489"/>
        <v>0614137363</v>
      </c>
      <c r="B17893" t="str">
        <f t="shared" si="6490"/>
        <v>AMIR</v>
      </c>
      <c r="C17893" t="str">
        <f t="shared" si="6491"/>
        <v>WATTS</v>
      </c>
      <c r="D17893">
        <f>11</f>
        <v>11</v>
      </c>
      <c r="E17893" t="str">
        <f>"06 - B - 102 - Rosa Elaine  Collado-Duff"</f>
        <v>06 - B - 102 - Rosa Elaine  Collado-Duff</v>
      </c>
      <c r="F17893" t="str">
        <f>"SPANISH 3 HON"</f>
        <v>SPANISH 3 HON</v>
      </c>
      <c r="G17893" t="str">
        <f>"09-913"</f>
        <v>09-913</v>
      </c>
      <c r="H17893" t="str">
        <f>"B"</f>
        <v>B</v>
      </c>
    </row>
    <row r="17894" spans="1:8" x14ac:dyDescent="0.2">
      <c r="A17894" t="str">
        <f t="shared" si="6489"/>
        <v>0614137363</v>
      </c>
      <c r="B17894" t="str">
        <f t="shared" si="6490"/>
        <v>AMIR</v>
      </c>
      <c r="C17894" t="str">
        <f t="shared" si="6491"/>
        <v>WATTS</v>
      </c>
      <c r="D17894">
        <f>11</f>
        <v>11</v>
      </c>
      <c r="E17894" t="str">
        <f>"03 - A - 102 - Tina M Jaramillo"</f>
        <v>03 - A - 102 - Tina M Jaramillo</v>
      </c>
      <c r="F17894" t="str">
        <f>"AP ENG COMPO"</f>
        <v>AP ENG COMPO</v>
      </c>
      <c r="G17894" t="str">
        <f>"17-1706"</f>
        <v>17-1706</v>
      </c>
      <c r="H17894" t="str">
        <f>"A"</f>
        <v>A</v>
      </c>
    </row>
    <row r="17895" spans="1:8" x14ac:dyDescent="0.2">
      <c r="A17895" t="str">
        <f t="shared" si="6489"/>
        <v>0614137363</v>
      </c>
      <c r="B17895" t="str">
        <f t="shared" si="6490"/>
        <v>AMIR</v>
      </c>
      <c r="C17895" t="str">
        <f t="shared" si="6491"/>
        <v>WATTS</v>
      </c>
      <c r="D17895">
        <f>11</f>
        <v>11</v>
      </c>
      <c r="E17895" t="str">
        <f>"02 - A - 104 - Dayna M Foster"</f>
        <v>02 - A - 104 - Dayna M Foster</v>
      </c>
      <c r="F17895" t="str">
        <f>"NC STUDY HALL 1"</f>
        <v>NC STUDY HALL 1</v>
      </c>
      <c r="G17895" t="str">
        <f>"21-2109"</f>
        <v>21-2109</v>
      </c>
      <c r="H17895" t="str">
        <f>"A"</f>
        <v>A</v>
      </c>
    </row>
    <row r="17896" spans="1:8" x14ac:dyDescent="0.2">
      <c r="A17896" t="str">
        <f t="shared" si="6489"/>
        <v>0614137363</v>
      </c>
      <c r="B17896" t="str">
        <f t="shared" si="6490"/>
        <v>AMIR</v>
      </c>
      <c r="C17896" t="str">
        <f t="shared" si="6491"/>
        <v>WATTS</v>
      </c>
      <c r="D17896">
        <f>11</f>
        <v>11</v>
      </c>
      <c r="E17896" t="str">
        <f>"07 - B - 102 - Pamela M Corzo"</f>
        <v>07 - B - 102 - Pamela M Corzo</v>
      </c>
      <c r="F17896" t="str">
        <f>"AP CALCULUS AB"</f>
        <v>AP CALCULUS AB</v>
      </c>
      <c r="G17896" t="str">
        <f>"21-2133"</f>
        <v>21-2133</v>
      </c>
      <c r="H17896" t="str">
        <f>"B"</f>
        <v>B</v>
      </c>
    </row>
    <row r="17897" spans="1:8" x14ac:dyDescent="0.2">
      <c r="A17897" t="str">
        <f t="shared" si="6489"/>
        <v>0614137363</v>
      </c>
      <c r="B17897" t="str">
        <f t="shared" si="6490"/>
        <v>AMIR</v>
      </c>
      <c r="C17897" t="str">
        <f t="shared" si="6491"/>
        <v>WATTS</v>
      </c>
      <c r="D17897">
        <f>11</f>
        <v>11</v>
      </c>
      <c r="E17897" t="str">
        <f>"05 - B - 101 - Jordana K Hass"</f>
        <v>05 - B - 101 - Jordana K Hass</v>
      </c>
      <c r="F17897" t="str">
        <f>"AP COMP SCI PRIN"</f>
        <v>AP COMP SCI PRIN</v>
      </c>
      <c r="G17897" t="str">
        <f>"08-807"</f>
        <v>08-807</v>
      </c>
      <c r="H17897" t="str">
        <f>"B"</f>
        <v>B</v>
      </c>
    </row>
    <row r="17898" spans="1:8" x14ac:dyDescent="0.2">
      <c r="A17898" t="str">
        <f t="shared" si="6489"/>
        <v>0614137363</v>
      </c>
      <c r="B17898" t="str">
        <f t="shared" si="6490"/>
        <v>AMIR</v>
      </c>
      <c r="C17898" t="str">
        <f t="shared" si="6491"/>
        <v>WATTS</v>
      </c>
      <c r="D17898">
        <f>11</f>
        <v>11</v>
      </c>
      <c r="E17898" t="str">
        <f>"01 - A - 001 - Stephen T Ripp"</f>
        <v>01 - A - 001 - Stephen T Ripp</v>
      </c>
      <c r="F17898" t="str">
        <f>"AP U.S. HIST"</f>
        <v>AP U.S. HIST</v>
      </c>
      <c r="G17898" t="str">
        <f>"17-1744"</f>
        <v>17-1744</v>
      </c>
      <c r="H17898" t="str">
        <f>"A"</f>
        <v>A</v>
      </c>
    </row>
    <row r="17899" spans="1:8" x14ac:dyDescent="0.2">
      <c r="A17899" t="str">
        <f t="shared" si="6489"/>
        <v>0614137363</v>
      </c>
      <c r="B17899" t="str">
        <f t="shared" si="6490"/>
        <v>AMIR</v>
      </c>
      <c r="C17899" t="str">
        <f t="shared" si="6491"/>
        <v>WATTS</v>
      </c>
      <c r="D17899">
        <f>11</f>
        <v>11</v>
      </c>
      <c r="E17899" t="str">
        <f>"08 - B - 102 - Pamela M Corzo"</f>
        <v>08 - B - 102 - Pamela M Corzo</v>
      </c>
      <c r="F17899" t="str">
        <f>"AP STAT"</f>
        <v>AP STAT</v>
      </c>
      <c r="G17899" t="str">
        <f>"21-2133"</f>
        <v>21-2133</v>
      </c>
      <c r="H17899" t="str">
        <f>"B"</f>
        <v>B</v>
      </c>
    </row>
    <row r="17900" spans="1:8" x14ac:dyDescent="0.2">
      <c r="A17900" t="str">
        <f t="shared" ref="A17900:A17907" si="6492">"0615135972"</f>
        <v>0615135972</v>
      </c>
      <c r="B17900" t="str">
        <f t="shared" ref="B17900:B17907" si="6493">"SAMIA"</f>
        <v>SAMIA</v>
      </c>
      <c r="C17900" t="str">
        <f t="shared" si="6491"/>
        <v>WATTS</v>
      </c>
      <c r="D17900">
        <f>10</f>
        <v>10</v>
      </c>
      <c r="E17900" t="str">
        <f>"04 - A - 201 - Brian M Fitzgerald"</f>
        <v>04 - A - 201 - Brian M Fitzgerald</v>
      </c>
      <c r="F17900" t="str">
        <f>"PAINT 2"</f>
        <v>PAINT 2</v>
      </c>
      <c r="G17900" t="str">
        <f>"09-908"</f>
        <v>09-908</v>
      </c>
      <c r="H17900" t="str">
        <f>"A"</f>
        <v>A</v>
      </c>
    </row>
    <row r="17901" spans="1:8" x14ac:dyDescent="0.2">
      <c r="A17901" t="str">
        <f t="shared" si="6492"/>
        <v>0615135972</v>
      </c>
      <c r="B17901" t="str">
        <f t="shared" si="6493"/>
        <v>SAMIA</v>
      </c>
      <c r="C17901" t="str">
        <f t="shared" si="6491"/>
        <v>WATTS</v>
      </c>
      <c r="D17901">
        <f>10</f>
        <v>10</v>
      </c>
      <c r="E17901" t="str">
        <f>"06 - B - 113 - Joe  Kilpatrick Jr"</f>
        <v>06 - B - 113 - Joe  Kilpatrick Jr</v>
      </c>
      <c r="F17901" t="str">
        <f>"NC STUDY HALL 1"</f>
        <v>NC STUDY HALL 1</v>
      </c>
      <c r="G17901" t="str">
        <f>"09-912"</f>
        <v>09-912</v>
      </c>
      <c r="H17901" t="str">
        <f>"B"</f>
        <v>B</v>
      </c>
    </row>
    <row r="17902" spans="1:8" x14ac:dyDescent="0.2">
      <c r="A17902" t="str">
        <f t="shared" si="6492"/>
        <v>0615135972</v>
      </c>
      <c r="B17902" t="str">
        <f t="shared" si="6493"/>
        <v>SAMIA</v>
      </c>
      <c r="C17902" t="str">
        <f t="shared" si="6491"/>
        <v>WATTS</v>
      </c>
      <c r="D17902">
        <f>10</f>
        <v>10</v>
      </c>
      <c r="E17902" t="str">
        <f>"03 - A - 002 - Lenecy  Nodarse"</f>
        <v>03 - A - 002 - Lenecy  Nodarse</v>
      </c>
      <c r="F17902" t="str">
        <f>"AICE EURO HIST 1 AS"</f>
        <v>AICE EURO HIST 1 AS</v>
      </c>
      <c r="G17902" t="str">
        <f>"17-1741"</f>
        <v>17-1741</v>
      </c>
      <c r="H17902" t="str">
        <f>"A"</f>
        <v>A</v>
      </c>
    </row>
    <row r="17903" spans="1:8" x14ac:dyDescent="0.2">
      <c r="A17903" t="str">
        <f t="shared" si="6492"/>
        <v>0615135972</v>
      </c>
      <c r="B17903" t="str">
        <f t="shared" si="6493"/>
        <v>SAMIA</v>
      </c>
      <c r="C17903" t="str">
        <f t="shared" si="6491"/>
        <v>WATTS</v>
      </c>
      <c r="D17903">
        <f>10</f>
        <v>10</v>
      </c>
      <c r="E17903" t="str">
        <f>"02 - A - 104 - Joe  Kilpatrick Jr"</f>
        <v>02 - A - 104 - Joe  Kilpatrick Jr</v>
      </c>
      <c r="F17903" t="str">
        <f>"PRE-AICE SPAN 2 IG"</f>
        <v>PRE-AICE SPAN 2 IG</v>
      </c>
      <c r="G17903" t="str">
        <f>"09-912"</f>
        <v>09-912</v>
      </c>
      <c r="H17903" t="str">
        <f>"A"</f>
        <v>A</v>
      </c>
    </row>
    <row r="17904" spans="1:8" x14ac:dyDescent="0.2">
      <c r="A17904" t="str">
        <f t="shared" si="6492"/>
        <v>0615135972</v>
      </c>
      <c r="B17904" t="str">
        <f t="shared" si="6493"/>
        <v>SAMIA</v>
      </c>
      <c r="C17904" t="str">
        <f t="shared" si="6491"/>
        <v>WATTS</v>
      </c>
      <c r="D17904">
        <f>10</f>
        <v>10</v>
      </c>
      <c r="E17904" t="str">
        <f>"07 - B - 002 - Jordana K Hass"</f>
        <v>07 - B - 002 - Jordana K Hass</v>
      </c>
      <c r="F17904" t="str">
        <f>"CHEMISTRY 1 HON"</f>
        <v>CHEMISTRY 1 HON</v>
      </c>
      <c r="G17904" t="str">
        <f>"08-807"</f>
        <v>08-807</v>
      </c>
      <c r="H17904" t="str">
        <f>"B"</f>
        <v>B</v>
      </c>
    </row>
    <row r="17905" spans="1:8" x14ac:dyDescent="0.2">
      <c r="A17905" t="str">
        <f t="shared" si="6492"/>
        <v>0615135972</v>
      </c>
      <c r="B17905" t="str">
        <f t="shared" si="6493"/>
        <v>SAMIA</v>
      </c>
      <c r="C17905" t="str">
        <f t="shared" si="6491"/>
        <v>WATTS</v>
      </c>
      <c r="D17905">
        <f>10</f>
        <v>10</v>
      </c>
      <c r="E17905" t="str">
        <f>"05 - B - 106 - Courtney E Hambright"</f>
        <v>05 - B - 106 - Courtney E Hambright</v>
      </c>
      <c r="F17905" t="str">
        <f>"AICE ENG LANG AS"</f>
        <v>AICE ENG LANG AS</v>
      </c>
      <c r="G17905" t="str">
        <f>"17-1711"</f>
        <v>17-1711</v>
      </c>
      <c r="H17905" t="str">
        <f>"B"</f>
        <v>B</v>
      </c>
    </row>
    <row r="17906" spans="1:8" x14ac:dyDescent="0.2">
      <c r="A17906" t="str">
        <f t="shared" si="6492"/>
        <v>0615135972</v>
      </c>
      <c r="B17906" t="str">
        <f t="shared" si="6493"/>
        <v>SAMIA</v>
      </c>
      <c r="C17906" t="str">
        <f t="shared" si="6491"/>
        <v>WATTS</v>
      </c>
      <c r="D17906">
        <f>10</f>
        <v>10</v>
      </c>
      <c r="E17906" t="str">
        <f>"01 - A - 101 - Lourivaldo  Da Silva"</f>
        <v>01 - A - 101 - Lourivaldo  Da Silva</v>
      </c>
      <c r="F17906" t="str">
        <f>"ALGEBRA 2 HON"</f>
        <v>ALGEBRA 2 HON</v>
      </c>
      <c r="G17906" t="str">
        <f>"20-2079"</f>
        <v>20-2079</v>
      </c>
      <c r="H17906" t="str">
        <f>"A"</f>
        <v>A</v>
      </c>
    </row>
    <row r="17907" spans="1:8" x14ac:dyDescent="0.2">
      <c r="A17907" t="str">
        <f t="shared" si="6492"/>
        <v>0615135972</v>
      </c>
      <c r="B17907" t="str">
        <f t="shared" si="6493"/>
        <v>SAMIA</v>
      </c>
      <c r="C17907" t="str">
        <f t="shared" si="6491"/>
        <v>WATTS</v>
      </c>
      <c r="D17907">
        <f>10</f>
        <v>10</v>
      </c>
      <c r="E17907" t="str">
        <f>"08 - B - 202 - Krystal Marie  Beruty"</f>
        <v>08 - B - 202 - Krystal Marie  Beruty</v>
      </c>
      <c r="F17907" t="str">
        <f>"AICE PSYCH 1 AS"</f>
        <v>AICE PSYCH 1 AS</v>
      </c>
      <c r="G17907" t="str">
        <f>"17-1721"</f>
        <v>17-1721</v>
      </c>
      <c r="H17907" t="str">
        <f>"B"</f>
        <v>B</v>
      </c>
    </row>
    <row r="17908" spans="1:8" x14ac:dyDescent="0.2">
      <c r="A17908" t="str">
        <f t="shared" ref="A17908:A17915" si="6494">"0615010507"</f>
        <v>0615010507</v>
      </c>
      <c r="B17908" t="str">
        <f t="shared" ref="B17908:B17915" si="6495">"TAEYLAH"</f>
        <v>TAEYLAH</v>
      </c>
      <c r="C17908" t="str">
        <f t="shared" ref="C17908:C17915" si="6496">"WEBB"</f>
        <v>WEBB</v>
      </c>
      <c r="D17908" t="str">
        <f t="shared" ref="D17908:D17915" si="6497">"09"</f>
        <v>09</v>
      </c>
      <c r="E17908" t="str">
        <f>"04 - A - 104 - Helen A Flores"</f>
        <v>04 - A - 104 - Helen A Flores</v>
      </c>
      <c r="F17908" t="str">
        <f>"FDN SKLS MATH 9-12"</f>
        <v>FDN SKLS MATH 9-12</v>
      </c>
      <c r="G17908" t="str">
        <f>"21-2101"</f>
        <v>21-2101</v>
      </c>
      <c r="H17908" t="str">
        <f>"A"</f>
        <v>A</v>
      </c>
    </row>
    <row r="17909" spans="1:8" x14ac:dyDescent="0.2">
      <c r="A17909" t="str">
        <f t="shared" si="6494"/>
        <v>0615010507</v>
      </c>
      <c r="B17909" t="str">
        <f t="shared" si="6495"/>
        <v>TAEYLAH</v>
      </c>
      <c r="C17909" t="str">
        <f t="shared" si="6496"/>
        <v>WEBB</v>
      </c>
      <c r="D17909" t="str">
        <f t="shared" si="6497"/>
        <v>09</v>
      </c>
      <c r="E17909" t="str">
        <f>"06 - B - 106 - Adam Marcus  Drucker"</f>
        <v>06 - B - 106 - Adam Marcus  Drucker</v>
      </c>
      <c r="F17909" t="str">
        <f>"HOPE-PE V"</f>
        <v>HOPE-PE V</v>
      </c>
      <c r="G17909" t="str">
        <f>"04-254"</f>
        <v>04-254</v>
      </c>
      <c r="H17909" t="str">
        <f>"B"</f>
        <v>B</v>
      </c>
    </row>
    <row r="17910" spans="1:8" x14ac:dyDescent="0.2">
      <c r="A17910" t="str">
        <f t="shared" si="6494"/>
        <v>0615010507</v>
      </c>
      <c r="B17910" t="str">
        <f t="shared" si="6495"/>
        <v>TAEYLAH</v>
      </c>
      <c r="C17910" t="str">
        <f t="shared" si="6496"/>
        <v>WEBB</v>
      </c>
      <c r="D17910" t="str">
        <f t="shared" si="6497"/>
        <v>09</v>
      </c>
      <c r="E17910" t="str">
        <f>"03 - A - 109 - Lissa C Frederique"</f>
        <v>03 - A - 109 - Lissa C Frederique</v>
      </c>
      <c r="F17910" t="str">
        <f>"WORLD HISTORY"</f>
        <v>WORLD HISTORY</v>
      </c>
      <c r="G17910" t="str">
        <f>"17-1754"</f>
        <v>17-1754</v>
      </c>
      <c r="H17910" t="str">
        <f>"A"</f>
        <v>A</v>
      </c>
    </row>
    <row r="17911" spans="1:8" x14ac:dyDescent="0.2">
      <c r="A17911" t="str">
        <f t="shared" si="6494"/>
        <v>0615010507</v>
      </c>
      <c r="B17911" t="str">
        <f t="shared" si="6495"/>
        <v>TAEYLAH</v>
      </c>
      <c r="C17911" t="str">
        <f t="shared" si="6496"/>
        <v>WEBB</v>
      </c>
      <c r="D17911" t="str">
        <f t="shared" si="6497"/>
        <v>09</v>
      </c>
      <c r="E17911" t="str">
        <f>"02 - A - 101 - Josiah I Lacy"</f>
        <v>02 - A - 101 - Josiah I Lacy</v>
      </c>
      <c r="F17911" t="str">
        <f>"NC STUDY HALL 1"</f>
        <v>NC STUDY HALL 1</v>
      </c>
      <c r="G17911" t="str">
        <f>"08-801"</f>
        <v>08-801</v>
      </c>
      <c r="H17911" t="str">
        <f>"A"</f>
        <v>A</v>
      </c>
    </row>
    <row r="17912" spans="1:8" x14ac:dyDescent="0.2">
      <c r="A17912" t="str">
        <f t="shared" si="6494"/>
        <v>0615010507</v>
      </c>
      <c r="B17912" t="str">
        <f t="shared" si="6495"/>
        <v>TAEYLAH</v>
      </c>
      <c r="C17912" t="str">
        <f t="shared" si="6496"/>
        <v>WEBB</v>
      </c>
      <c r="D17912" t="str">
        <f t="shared" si="6497"/>
        <v>09</v>
      </c>
      <c r="E17912" t="str">
        <f>"07 - B - 105 - Laselleda D Shaw"</f>
        <v>07 - B - 105 - Laselleda D Shaw</v>
      </c>
      <c r="F17912" t="str">
        <f>"INTENS READ 1"</f>
        <v>INTENS READ 1</v>
      </c>
      <c r="G17912" t="str">
        <f>"17-1723"</f>
        <v>17-1723</v>
      </c>
      <c r="H17912" t="str">
        <f>"B"</f>
        <v>B</v>
      </c>
    </row>
    <row r="17913" spans="1:8" x14ac:dyDescent="0.2">
      <c r="A17913" t="str">
        <f t="shared" si="6494"/>
        <v>0615010507</v>
      </c>
      <c r="B17913" t="str">
        <f t="shared" si="6495"/>
        <v>TAEYLAH</v>
      </c>
      <c r="C17913" t="str">
        <f t="shared" si="6496"/>
        <v>WEBB</v>
      </c>
      <c r="D17913" t="str">
        <f t="shared" si="6497"/>
        <v>09</v>
      </c>
      <c r="E17913" t="str">
        <f>"05 - B - 202 - Amy Beth  Broyles"</f>
        <v>05 - B - 202 - Amy Beth  Broyles</v>
      </c>
      <c r="F17913" t="str">
        <f>"ENV SCI"</f>
        <v>ENV SCI</v>
      </c>
      <c r="G17913" t="str">
        <f>"08-802"</f>
        <v>08-802</v>
      </c>
      <c r="H17913" t="str">
        <f>"B"</f>
        <v>B</v>
      </c>
    </row>
    <row r="17914" spans="1:8" x14ac:dyDescent="0.2">
      <c r="A17914" t="str">
        <f t="shared" si="6494"/>
        <v>0615010507</v>
      </c>
      <c r="B17914" t="str">
        <f t="shared" si="6495"/>
        <v>TAEYLAH</v>
      </c>
      <c r="C17914" t="str">
        <f t="shared" si="6496"/>
        <v>WEBB</v>
      </c>
      <c r="D17914" t="str">
        <f t="shared" si="6497"/>
        <v>09</v>
      </c>
      <c r="E17914" t="str">
        <f>"01 - A - 101 - Cerine S Stewart"</f>
        <v>01 - A - 101 - Cerine S Stewart</v>
      </c>
      <c r="F17914" t="str">
        <f>"ENG 1"</f>
        <v>ENG 1</v>
      </c>
      <c r="G17914" t="str">
        <f>"17-1720"</f>
        <v>17-1720</v>
      </c>
      <c r="H17914" t="str">
        <f>"A"</f>
        <v>A</v>
      </c>
    </row>
    <row r="17915" spans="1:8" x14ac:dyDescent="0.2">
      <c r="A17915" t="str">
        <f t="shared" si="6494"/>
        <v>0615010507</v>
      </c>
      <c r="B17915" t="str">
        <f t="shared" si="6495"/>
        <v>TAEYLAH</v>
      </c>
      <c r="C17915" t="str">
        <f t="shared" si="6496"/>
        <v>WEBB</v>
      </c>
      <c r="D17915" t="str">
        <f t="shared" si="6497"/>
        <v>09</v>
      </c>
      <c r="E17915" t="str">
        <f>"08 - B - 106 - Helen A Flores"</f>
        <v>08 - B - 106 - Helen A Flores</v>
      </c>
      <c r="F17915" t="str">
        <f>"ALGEBRA 1"</f>
        <v>ALGEBRA 1</v>
      </c>
      <c r="G17915" t="str">
        <f>"21-2101"</f>
        <v>21-2101</v>
      </c>
      <c r="H17915" t="str">
        <f>"B"</f>
        <v>B</v>
      </c>
    </row>
    <row r="17916" spans="1:8" x14ac:dyDescent="0.2">
      <c r="A17916" t="str">
        <f t="shared" ref="A17916:A17923" si="6498">"0614103221"</f>
        <v>0614103221</v>
      </c>
      <c r="B17916" t="str">
        <f t="shared" ref="B17916:B17923" si="6499">"DELANEY"</f>
        <v>DELANEY</v>
      </c>
      <c r="C17916" t="str">
        <f t="shared" ref="C17916:C17923" si="6500">"WEEKS"</f>
        <v>WEEKS</v>
      </c>
      <c r="D17916">
        <f>11</f>
        <v>11</v>
      </c>
      <c r="E17916" t="str">
        <f>"04 - A - 101 - Alejandro  Navarro"</f>
        <v>04 - A - 101 - Alejandro  Navarro</v>
      </c>
      <c r="F17916" t="str">
        <f>"BAND 5 HON"</f>
        <v>BAND 5 HON</v>
      </c>
      <c r="G17916" t="str">
        <f>"05-504"</f>
        <v>05-504</v>
      </c>
      <c r="H17916" t="str">
        <f>"A"</f>
        <v>A</v>
      </c>
    </row>
    <row r="17917" spans="1:8" x14ac:dyDescent="0.2">
      <c r="A17917" t="str">
        <f t="shared" si="6498"/>
        <v>0614103221</v>
      </c>
      <c r="B17917" t="str">
        <f t="shared" si="6499"/>
        <v>DELANEY</v>
      </c>
      <c r="C17917" t="str">
        <f t="shared" si="6500"/>
        <v>WEEKS</v>
      </c>
      <c r="D17917">
        <f>11</f>
        <v>11</v>
      </c>
      <c r="E17917" t="str">
        <f>"06 - B - 102 - Stephen T Ripp"</f>
        <v>06 - B - 102 - Stephen T Ripp</v>
      </c>
      <c r="F17917" t="str">
        <f>"AP U.S. HIST"</f>
        <v>AP U.S. HIST</v>
      </c>
      <c r="G17917" t="str">
        <f>"17-1744"</f>
        <v>17-1744</v>
      </c>
      <c r="H17917" t="str">
        <f>"B"</f>
        <v>B</v>
      </c>
    </row>
    <row r="17918" spans="1:8" x14ac:dyDescent="0.2">
      <c r="A17918" t="str">
        <f t="shared" si="6498"/>
        <v>0614103221</v>
      </c>
      <c r="B17918" t="str">
        <f t="shared" si="6499"/>
        <v>DELANEY</v>
      </c>
      <c r="C17918" t="str">
        <f t="shared" si="6500"/>
        <v>WEEKS</v>
      </c>
      <c r="D17918">
        <f>11</f>
        <v>11</v>
      </c>
      <c r="E17918" t="str">
        <f>"03 - A - 102 - Tina M Jaramillo"</f>
        <v>03 - A - 102 - Tina M Jaramillo</v>
      </c>
      <c r="F17918" t="str">
        <f>"AP ENG COMPO"</f>
        <v>AP ENG COMPO</v>
      </c>
      <c r="G17918" t="str">
        <f>"17-1706"</f>
        <v>17-1706</v>
      </c>
      <c r="H17918" t="str">
        <f>"A"</f>
        <v>A</v>
      </c>
    </row>
    <row r="17919" spans="1:8" x14ac:dyDescent="0.2">
      <c r="A17919" t="str">
        <f t="shared" si="6498"/>
        <v>0614103221</v>
      </c>
      <c r="B17919" t="str">
        <f t="shared" si="6499"/>
        <v>DELANEY</v>
      </c>
      <c r="C17919" t="str">
        <f t="shared" si="6500"/>
        <v>WEEKS</v>
      </c>
      <c r="D17919">
        <f>11</f>
        <v>11</v>
      </c>
      <c r="E17919" t="str">
        <f>"02 - A - 105 - Leslie J Barton"</f>
        <v>02 - A - 105 - Leslie J Barton</v>
      </c>
      <c r="F17919" t="str">
        <f>"NC STUDY HALL 1"</f>
        <v>NC STUDY HALL 1</v>
      </c>
      <c r="G17919" t="str">
        <f>"05-521"</f>
        <v>05-521</v>
      </c>
      <c r="H17919" t="str">
        <f>"A"</f>
        <v>A</v>
      </c>
    </row>
    <row r="17920" spans="1:8" x14ac:dyDescent="0.2">
      <c r="A17920" t="str">
        <f t="shared" si="6498"/>
        <v>0614103221</v>
      </c>
      <c r="B17920" t="str">
        <f t="shared" si="6499"/>
        <v>DELANEY</v>
      </c>
      <c r="C17920" t="str">
        <f t="shared" si="6500"/>
        <v>WEEKS</v>
      </c>
      <c r="D17920">
        <f>11</f>
        <v>11</v>
      </c>
      <c r="E17920" t="str">
        <f>"07 - B - 102 - Pamela M Corzo"</f>
        <v>07 - B - 102 - Pamela M Corzo</v>
      </c>
      <c r="F17920" t="str">
        <f>"AP CALCULUS AB"</f>
        <v>AP CALCULUS AB</v>
      </c>
      <c r="G17920" t="str">
        <f>"21-2133"</f>
        <v>21-2133</v>
      </c>
      <c r="H17920" t="str">
        <f>"B"</f>
        <v>B</v>
      </c>
    </row>
    <row r="17921" spans="1:8" x14ac:dyDescent="0.2">
      <c r="A17921" t="str">
        <f t="shared" si="6498"/>
        <v>0614103221</v>
      </c>
      <c r="B17921" t="str">
        <f t="shared" si="6499"/>
        <v>DELANEY</v>
      </c>
      <c r="C17921" t="str">
        <f t="shared" si="6500"/>
        <v>WEEKS</v>
      </c>
      <c r="D17921">
        <f>11</f>
        <v>11</v>
      </c>
      <c r="E17921" t="str">
        <f>"05 - B - 201 - Scott A Dethloff"</f>
        <v>05 - B - 201 - Scott A Dethloff</v>
      </c>
      <c r="F17921" t="str">
        <f>"AP CHEM"</f>
        <v>AP CHEM</v>
      </c>
      <c r="G17921" t="str">
        <f>"08-812"</f>
        <v>08-812</v>
      </c>
      <c r="H17921" t="str">
        <f>"B"</f>
        <v>B</v>
      </c>
    </row>
    <row r="17922" spans="1:8" x14ac:dyDescent="0.2">
      <c r="A17922" t="str">
        <f t="shared" si="6498"/>
        <v>0614103221</v>
      </c>
      <c r="B17922" t="str">
        <f t="shared" si="6499"/>
        <v>DELANEY</v>
      </c>
      <c r="C17922" t="str">
        <f t="shared" si="6500"/>
        <v>WEEKS</v>
      </c>
      <c r="D17922">
        <f>11</f>
        <v>11</v>
      </c>
      <c r="E17922" t="str">
        <f>"01 - A - 101 - Lisa J London"</f>
        <v>01 - A - 101 - Lisa J London</v>
      </c>
      <c r="F17922" t="str">
        <f>"AP CAPSTONE SEMINAR"</f>
        <v>AP CAPSTONE SEMINAR</v>
      </c>
      <c r="G17922" t="str">
        <f>"17-1714"</f>
        <v>17-1714</v>
      </c>
      <c r="H17922" t="str">
        <f>"A"</f>
        <v>A</v>
      </c>
    </row>
    <row r="17923" spans="1:8" x14ac:dyDescent="0.2">
      <c r="A17923" t="str">
        <f t="shared" si="6498"/>
        <v>0614103221</v>
      </c>
      <c r="B17923" t="str">
        <f t="shared" si="6499"/>
        <v>DELANEY</v>
      </c>
      <c r="C17923" t="str">
        <f t="shared" si="6500"/>
        <v>WEEKS</v>
      </c>
      <c r="D17923">
        <f>11</f>
        <v>11</v>
      </c>
      <c r="E17923" t="str">
        <f>"08 - B - 103 - Marielle A Witting"</f>
        <v>08 - B - 103 - Marielle A Witting</v>
      </c>
      <c r="F17923" t="str">
        <f>"AP BIO"</f>
        <v>AP BIO</v>
      </c>
      <c r="G17923" t="str">
        <f>"08-805"</f>
        <v>08-805</v>
      </c>
      <c r="H17923" t="str">
        <f>"B"</f>
        <v>B</v>
      </c>
    </row>
    <row r="17924" spans="1:8" x14ac:dyDescent="0.2">
      <c r="A17924" t="str">
        <f t="shared" ref="A17924:A17931" si="6501">"0613120734"</f>
        <v>0613120734</v>
      </c>
      <c r="B17924" t="str">
        <f t="shared" ref="B17924:B17931" si="6502">"SOFIA"</f>
        <v>SOFIA</v>
      </c>
      <c r="C17924" t="str">
        <f t="shared" ref="C17924:C17931" si="6503">"WEGENER"</f>
        <v>WEGENER</v>
      </c>
      <c r="D17924">
        <f>11</f>
        <v>11</v>
      </c>
      <c r="E17924" t="str">
        <f>"04 - A - 201 - Brian M Fitzgerald"</f>
        <v>04 - A - 201 - Brian M Fitzgerald</v>
      </c>
      <c r="F17924" t="str">
        <f>"PAINT 2"</f>
        <v>PAINT 2</v>
      </c>
      <c r="G17924" t="str">
        <f>"09-908"</f>
        <v>09-908</v>
      </c>
      <c r="H17924" t="str">
        <f>"A"</f>
        <v>A</v>
      </c>
    </row>
    <row r="17925" spans="1:8" x14ac:dyDescent="0.2">
      <c r="A17925" t="str">
        <f t="shared" si="6501"/>
        <v>0613120734</v>
      </c>
      <c r="B17925" t="str">
        <f t="shared" si="6502"/>
        <v>SOFIA</v>
      </c>
      <c r="C17925" t="str">
        <f t="shared" si="6503"/>
        <v>WEGENER</v>
      </c>
      <c r="D17925">
        <f>11</f>
        <v>11</v>
      </c>
      <c r="E17925" t="str">
        <f>"06 - B - 104 - Brandy N Zdenek"</f>
        <v>06 - B - 104 - Brandy N Zdenek</v>
      </c>
      <c r="F17925" t="str">
        <f>"AICE ENG LANG 2 AL"</f>
        <v>AICE ENG LANG 2 AL</v>
      </c>
      <c r="G17925" t="str">
        <f>"17-1704"</f>
        <v>17-1704</v>
      </c>
      <c r="H17925" t="str">
        <f>"B"</f>
        <v>B</v>
      </c>
    </row>
    <row r="17926" spans="1:8" x14ac:dyDescent="0.2">
      <c r="A17926" t="str">
        <f t="shared" si="6501"/>
        <v>0613120734</v>
      </c>
      <c r="B17926" t="str">
        <f t="shared" si="6502"/>
        <v>SOFIA</v>
      </c>
      <c r="C17926" t="str">
        <f t="shared" si="6503"/>
        <v>WEGENER</v>
      </c>
      <c r="D17926">
        <f>11</f>
        <v>11</v>
      </c>
      <c r="E17926" t="str">
        <f>"03 - A - 101 - Timothy J Lawrence"</f>
        <v>03 - A - 101 - Timothy J Lawrence</v>
      </c>
      <c r="F17926" t="str">
        <f>"AICE PHYS ED 1 AS"</f>
        <v>AICE PHYS ED 1 AS</v>
      </c>
      <c r="G17926" t="str">
        <f>"05-519"</f>
        <v>05-519</v>
      </c>
      <c r="H17926" t="str">
        <f>"A"</f>
        <v>A</v>
      </c>
    </row>
    <row r="17927" spans="1:8" x14ac:dyDescent="0.2">
      <c r="A17927" t="str">
        <f t="shared" si="6501"/>
        <v>0613120734</v>
      </c>
      <c r="B17927" t="str">
        <f t="shared" si="6502"/>
        <v>SOFIA</v>
      </c>
      <c r="C17927" t="str">
        <f t="shared" si="6503"/>
        <v>WEGENER</v>
      </c>
      <c r="D17927">
        <f>11</f>
        <v>11</v>
      </c>
      <c r="E17927" t="str">
        <f>"02 - A - 114 - Eva T Rimmer"</f>
        <v>02 - A - 114 - Eva T Rimmer</v>
      </c>
      <c r="F17927" t="str">
        <f>"NC STUDY HALL 1"</f>
        <v>NC STUDY HALL 1</v>
      </c>
      <c r="G17927" t="str">
        <f>"05-523"</f>
        <v>05-523</v>
      </c>
      <c r="H17927" t="str">
        <f>"A"</f>
        <v>A</v>
      </c>
    </row>
    <row r="17928" spans="1:8" x14ac:dyDescent="0.2">
      <c r="A17928" t="str">
        <f t="shared" si="6501"/>
        <v>0613120734</v>
      </c>
      <c r="B17928" t="str">
        <f t="shared" si="6502"/>
        <v>SOFIA</v>
      </c>
      <c r="C17928" t="str">
        <f t="shared" si="6503"/>
        <v>WEGENER</v>
      </c>
      <c r="D17928">
        <f>11</f>
        <v>11</v>
      </c>
      <c r="E17928" t="str">
        <f>"07 - B - 104 - Marielle A Witting"</f>
        <v>07 - B - 104 - Marielle A Witting</v>
      </c>
      <c r="F17928" t="str">
        <f>"ANAT PHYSIO"</f>
        <v>ANAT PHYSIO</v>
      </c>
      <c r="G17928" t="str">
        <f>"08-805"</f>
        <v>08-805</v>
      </c>
      <c r="H17928" t="str">
        <f>"B"</f>
        <v>B</v>
      </c>
    </row>
    <row r="17929" spans="1:8" x14ac:dyDescent="0.2">
      <c r="A17929" t="str">
        <f t="shared" si="6501"/>
        <v>0613120734</v>
      </c>
      <c r="B17929" t="str">
        <f t="shared" si="6502"/>
        <v>SOFIA</v>
      </c>
      <c r="C17929" t="str">
        <f t="shared" si="6503"/>
        <v>WEGENER</v>
      </c>
      <c r="D17929">
        <f>11</f>
        <v>11</v>
      </c>
      <c r="E17929" t="str">
        <f>"05 - B - 103 - Vanessa J Liburd"</f>
        <v>05 - B - 103 - Vanessa J Liburd</v>
      </c>
      <c r="F17929" t="str">
        <f>"PRE-AICE FRENCH 2 IG"</f>
        <v>PRE-AICE FRENCH 2 IG</v>
      </c>
      <c r="G17929" t="str">
        <f>"05-519"</f>
        <v>05-519</v>
      </c>
      <c r="H17929" t="str">
        <f>"B"</f>
        <v>B</v>
      </c>
    </row>
    <row r="17930" spans="1:8" x14ac:dyDescent="0.2">
      <c r="A17930" t="str">
        <f t="shared" si="6501"/>
        <v>0613120734</v>
      </c>
      <c r="B17930" t="str">
        <f t="shared" si="6502"/>
        <v>SOFIA</v>
      </c>
      <c r="C17930" t="str">
        <f t="shared" si="6503"/>
        <v>WEGENER</v>
      </c>
      <c r="D17930">
        <f>11</f>
        <v>11</v>
      </c>
      <c r="E17930" t="str">
        <f>"01 - A - 101 - James H Mccann"</f>
        <v>01 - A - 101 - James H Mccann</v>
      </c>
      <c r="F17930" t="str">
        <f>"ALGEBRA 2"</f>
        <v>ALGEBRA 2</v>
      </c>
      <c r="G17930" t="str">
        <f>"17-1716"</f>
        <v>17-1716</v>
      </c>
      <c r="H17930" t="str">
        <f>"A"</f>
        <v>A</v>
      </c>
    </row>
    <row r="17931" spans="1:8" x14ac:dyDescent="0.2">
      <c r="A17931" t="str">
        <f t="shared" si="6501"/>
        <v>0613120734</v>
      </c>
      <c r="B17931" t="str">
        <f t="shared" si="6502"/>
        <v>SOFIA</v>
      </c>
      <c r="C17931" t="str">
        <f t="shared" si="6503"/>
        <v>WEGENER</v>
      </c>
      <c r="D17931">
        <f>11</f>
        <v>11</v>
      </c>
      <c r="E17931" t="str">
        <f>"08 - B - 001 - Jerry S Jiampetti"</f>
        <v>08 - B - 001 - Jerry S Jiampetti</v>
      </c>
      <c r="F17931" t="str">
        <f>"AICE U.S. HIST 1 AS"</f>
        <v>AICE U.S. HIST 1 AS</v>
      </c>
      <c r="G17931" t="str">
        <f>"17-1751"</f>
        <v>17-1751</v>
      </c>
      <c r="H17931" t="str">
        <f>"B"</f>
        <v>B</v>
      </c>
    </row>
    <row r="17932" spans="1:8" x14ac:dyDescent="0.2">
      <c r="A17932" t="str">
        <f t="shared" ref="A17932:A17939" si="6504">"0613136404"</f>
        <v>0613136404</v>
      </c>
      <c r="B17932" t="str">
        <f t="shared" ref="B17932:B17939" si="6505">"SKYLAR"</f>
        <v>SKYLAR</v>
      </c>
      <c r="C17932" t="str">
        <f t="shared" ref="C17932:C17939" si="6506">"WELDON"</f>
        <v>WELDON</v>
      </c>
      <c r="D17932">
        <f>10</f>
        <v>10</v>
      </c>
      <c r="E17932" t="str">
        <f>"04 - A - 105 - Jacklyn M James"</f>
        <v>04 - A - 105 - Jacklyn M James</v>
      </c>
      <c r="F17932" t="str">
        <f>"AICE ENG LANG AS"</f>
        <v>AICE ENG LANG AS</v>
      </c>
      <c r="G17932" t="str">
        <f>"17-1731"</f>
        <v>17-1731</v>
      </c>
      <c r="H17932" t="str">
        <f>"A"</f>
        <v>A</v>
      </c>
    </row>
    <row r="17933" spans="1:8" x14ac:dyDescent="0.2">
      <c r="A17933" t="str">
        <f t="shared" si="6504"/>
        <v>0613136404</v>
      </c>
      <c r="B17933" t="str">
        <f t="shared" si="6505"/>
        <v>SKYLAR</v>
      </c>
      <c r="C17933" t="str">
        <f t="shared" si="6506"/>
        <v>WELDON</v>
      </c>
      <c r="D17933">
        <f>10</f>
        <v>10</v>
      </c>
      <c r="E17933" t="str">
        <f>"06 - B - 118 - Jeanne M Bermudez"</f>
        <v>06 - B - 118 - Jeanne M Bermudez</v>
      </c>
      <c r="F17933" t="str">
        <f>"NC STUDY HALL 1"</f>
        <v>NC STUDY HALL 1</v>
      </c>
      <c r="G17933" t="str">
        <f>"21-2141"</f>
        <v>21-2141</v>
      </c>
      <c r="H17933" t="str">
        <f>"B"</f>
        <v>B</v>
      </c>
    </row>
    <row r="17934" spans="1:8" x14ac:dyDescent="0.2">
      <c r="A17934" t="str">
        <f t="shared" si="6504"/>
        <v>0613136404</v>
      </c>
      <c r="B17934" t="str">
        <f t="shared" si="6505"/>
        <v>SKYLAR</v>
      </c>
      <c r="C17934" t="str">
        <f t="shared" si="6506"/>
        <v>WELDON</v>
      </c>
      <c r="D17934">
        <f>10</f>
        <v>10</v>
      </c>
      <c r="E17934" t="str">
        <f>"03 - A - 002 - Lenecy  Nodarse"</f>
        <v>03 - A - 002 - Lenecy  Nodarse</v>
      </c>
      <c r="F17934" t="str">
        <f>"AICE EURO HIST 1 AS"</f>
        <v>AICE EURO HIST 1 AS</v>
      </c>
      <c r="G17934" t="str">
        <f>"17-1741"</f>
        <v>17-1741</v>
      </c>
      <c r="H17934" t="str">
        <f>"A"</f>
        <v>A</v>
      </c>
    </row>
    <row r="17935" spans="1:8" x14ac:dyDescent="0.2">
      <c r="A17935" t="str">
        <f t="shared" si="6504"/>
        <v>0613136404</v>
      </c>
      <c r="B17935" t="str">
        <f t="shared" si="6505"/>
        <v>SKYLAR</v>
      </c>
      <c r="C17935" t="str">
        <f t="shared" si="6506"/>
        <v>WELDON</v>
      </c>
      <c r="D17935">
        <f>10</f>
        <v>10</v>
      </c>
      <c r="E17935" t="str">
        <f>"02 - A - 104 - Scott A Dethloff"</f>
        <v>02 - A - 104 - Scott A Dethloff</v>
      </c>
      <c r="F17935" t="str">
        <f>"CHEMISTRY 1 HON"</f>
        <v>CHEMISTRY 1 HON</v>
      </c>
      <c r="G17935" t="str">
        <f>"08-812"</f>
        <v>08-812</v>
      </c>
      <c r="H17935" t="str">
        <f>"A"</f>
        <v>A</v>
      </c>
    </row>
    <row r="17936" spans="1:8" x14ac:dyDescent="0.2">
      <c r="A17936" t="str">
        <f t="shared" si="6504"/>
        <v>0613136404</v>
      </c>
      <c r="B17936" t="str">
        <f t="shared" si="6505"/>
        <v>SKYLAR</v>
      </c>
      <c r="C17936" t="str">
        <f t="shared" si="6506"/>
        <v>WELDON</v>
      </c>
      <c r="D17936">
        <f>10</f>
        <v>10</v>
      </c>
      <c r="E17936" t="str">
        <f>"07 - B - 101 - Fernando  Vega-Cid"</f>
        <v>07 - B - 101 - Fernando  Vega-Cid</v>
      </c>
      <c r="F17936" t="str">
        <f>"AP PRECALCULUS"</f>
        <v>AP PRECALCULUS</v>
      </c>
      <c r="G17936" t="str">
        <f>"21-2163"</f>
        <v>21-2163</v>
      </c>
      <c r="H17936" t="str">
        <f>"B"</f>
        <v>B</v>
      </c>
    </row>
    <row r="17937" spans="1:8" x14ac:dyDescent="0.2">
      <c r="A17937" t="str">
        <f t="shared" si="6504"/>
        <v>0613136404</v>
      </c>
      <c r="B17937" t="str">
        <f t="shared" si="6505"/>
        <v>SKYLAR</v>
      </c>
      <c r="C17937" t="str">
        <f t="shared" si="6506"/>
        <v>WELDON</v>
      </c>
      <c r="D17937">
        <f>10</f>
        <v>10</v>
      </c>
      <c r="E17937" t="str">
        <f>"05 - B - 103 - Vanessa J Liburd"</f>
        <v>05 - B - 103 - Vanessa J Liburd</v>
      </c>
      <c r="F17937" t="str">
        <f>"PRE-AICE FRENCH 2 IG"</f>
        <v>PRE-AICE FRENCH 2 IG</v>
      </c>
      <c r="G17937" t="str">
        <f>"05-519"</f>
        <v>05-519</v>
      </c>
      <c r="H17937" t="str">
        <f>"B"</f>
        <v>B</v>
      </c>
    </row>
    <row r="17938" spans="1:8" x14ac:dyDescent="0.2">
      <c r="A17938" t="str">
        <f t="shared" si="6504"/>
        <v>0613136404</v>
      </c>
      <c r="B17938" t="str">
        <f t="shared" si="6505"/>
        <v>SKYLAR</v>
      </c>
      <c r="C17938" t="str">
        <f t="shared" si="6506"/>
        <v>WELDON</v>
      </c>
      <c r="D17938">
        <f>10</f>
        <v>10</v>
      </c>
      <c r="E17938" t="str">
        <f>"01 - A - 201 - Chrystina M Marchionne"</f>
        <v>01 - A - 201 - Chrystina M Marchionne</v>
      </c>
      <c r="F17938" t="str">
        <f>"AICE MEDIASTUDIES AS"</f>
        <v>AICE MEDIASTUDIES AS</v>
      </c>
      <c r="G17938" t="str">
        <f>"05-520"</f>
        <v>05-520</v>
      </c>
      <c r="H17938" t="str">
        <f>"A"</f>
        <v>A</v>
      </c>
    </row>
    <row r="17939" spans="1:8" x14ac:dyDescent="0.2">
      <c r="A17939" t="str">
        <f t="shared" si="6504"/>
        <v>0613136404</v>
      </c>
      <c r="B17939" t="str">
        <f t="shared" si="6505"/>
        <v>SKYLAR</v>
      </c>
      <c r="C17939" t="str">
        <f t="shared" si="6506"/>
        <v>WELDON</v>
      </c>
      <c r="D17939">
        <f>10</f>
        <v>10</v>
      </c>
      <c r="E17939" t="str">
        <f>"08 - B - 201 - Stacey A Blecker"</f>
        <v>08 - B - 201 - Stacey A Blecker</v>
      </c>
      <c r="F17939" t="str">
        <f>"AICE SOCIOLOGY 1 AS"</f>
        <v>AICE SOCIOLOGY 1 AS</v>
      </c>
      <c r="G17939" t="str">
        <f>"09-926"</f>
        <v>09-926</v>
      </c>
      <c r="H17939" t="str">
        <f>"B"</f>
        <v>B</v>
      </c>
    </row>
    <row r="17940" spans="1:8" x14ac:dyDescent="0.2">
      <c r="A17940" t="str">
        <f t="shared" ref="A17940:A17947" si="6507">"0617130295"</f>
        <v>0617130295</v>
      </c>
      <c r="B17940" t="str">
        <f t="shared" ref="B17940:B17947" si="6508">"CHAMARIA"</f>
        <v>CHAMARIA</v>
      </c>
      <c r="C17940" t="str">
        <f t="shared" ref="C17940:C17947" si="6509">"WESLEY"</f>
        <v>WESLEY</v>
      </c>
      <c r="D17940" t="str">
        <f t="shared" ref="D17940:D17947" si="6510">"09"</f>
        <v>09</v>
      </c>
      <c r="E17940" t="str">
        <f>"04 - A - 105 - Carol S Moore"</f>
        <v>04 - A - 105 - Carol S Moore</v>
      </c>
      <c r="F17940" t="str">
        <f>"PRE-AICE WRLD HST IG"</f>
        <v>PRE-AICE WRLD HST IG</v>
      </c>
      <c r="G17940" t="str">
        <f>"17-1733"</f>
        <v>17-1733</v>
      </c>
      <c r="H17940" t="str">
        <f>"A"</f>
        <v>A</v>
      </c>
    </row>
    <row r="17941" spans="1:8" x14ac:dyDescent="0.2">
      <c r="A17941" t="str">
        <f t="shared" si="6507"/>
        <v>0617130295</v>
      </c>
      <c r="B17941" t="str">
        <f t="shared" si="6508"/>
        <v>CHAMARIA</v>
      </c>
      <c r="C17941" t="str">
        <f t="shared" si="6509"/>
        <v>WESLEY</v>
      </c>
      <c r="D17941" t="str">
        <f t="shared" si="6510"/>
        <v>09</v>
      </c>
      <c r="E17941" t="str">
        <f>"06 - B - 104 - Lytrell T Dixon"</f>
        <v>06 - B - 104 - Lytrell T Dixon</v>
      </c>
      <c r="F17941" t="str">
        <f>"PRE-AICE BIO IG"</f>
        <v>PRE-AICE BIO IG</v>
      </c>
      <c r="G17941" t="str">
        <f>"08-808"</f>
        <v>08-808</v>
      </c>
      <c r="H17941" t="str">
        <f>"B"</f>
        <v>B</v>
      </c>
    </row>
    <row r="17942" spans="1:8" x14ac:dyDescent="0.2">
      <c r="A17942" t="str">
        <f t="shared" si="6507"/>
        <v>0617130295</v>
      </c>
      <c r="B17942" t="str">
        <f t="shared" si="6508"/>
        <v>CHAMARIA</v>
      </c>
      <c r="C17942" t="str">
        <f t="shared" si="6509"/>
        <v>WESLEY</v>
      </c>
      <c r="D17942" t="str">
        <f t="shared" si="6510"/>
        <v>09</v>
      </c>
      <c r="E17942" t="str">
        <f>"03 - S1 - A - 102 - Leslie J Barton"</f>
        <v>03 - S1 - A - 102 - Leslie J Barton</v>
      </c>
      <c r="F17942" t="str">
        <f>"FIRST AID SAFETY"</f>
        <v>FIRST AID SAFETY</v>
      </c>
      <c r="G17942" t="str">
        <f>"05-521"</f>
        <v>05-521</v>
      </c>
      <c r="H17942" t="str">
        <f>"A"</f>
        <v>A</v>
      </c>
    </row>
    <row r="17943" spans="1:8" x14ac:dyDescent="0.2">
      <c r="A17943" t="str">
        <f t="shared" si="6507"/>
        <v>0617130295</v>
      </c>
      <c r="B17943" t="str">
        <f t="shared" si="6508"/>
        <v>CHAMARIA</v>
      </c>
      <c r="C17943" t="str">
        <f t="shared" si="6509"/>
        <v>WESLEY</v>
      </c>
      <c r="D17943" t="str">
        <f t="shared" si="6510"/>
        <v>09</v>
      </c>
      <c r="E17943" t="str">
        <f>"02 - A - 116 - Tina L Lovett"</f>
        <v>02 - A - 116 - Tina L Lovett</v>
      </c>
      <c r="F17943" t="str">
        <f>"NC STUDY HALL 1"</f>
        <v>NC STUDY HALL 1</v>
      </c>
      <c r="G17943" t="str">
        <f>"21-2153"</f>
        <v>21-2153</v>
      </c>
      <c r="H17943" t="str">
        <f>"A"</f>
        <v>A</v>
      </c>
    </row>
    <row r="17944" spans="1:8" x14ac:dyDescent="0.2">
      <c r="A17944" t="str">
        <f t="shared" si="6507"/>
        <v>0617130295</v>
      </c>
      <c r="B17944" t="str">
        <f t="shared" si="6508"/>
        <v>CHAMARIA</v>
      </c>
      <c r="C17944" t="str">
        <f t="shared" si="6509"/>
        <v>WESLEY</v>
      </c>
      <c r="D17944" t="str">
        <f t="shared" si="6510"/>
        <v>09</v>
      </c>
      <c r="E17944" t="str">
        <f>"07 - B - 107 - Brook E Goren"</f>
        <v>07 - B - 107 - Brook E Goren</v>
      </c>
      <c r="F17944" t="str">
        <f>"PRE-AICE MATH 2 IG"</f>
        <v>PRE-AICE MATH 2 IG</v>
      </c>
      <c r="G17944" t="str">
        <f>"21-2158"</f>
        <v>21-2158</v>
      </c>
      <c r="H17944" t="str">
        <f>"B"</f>
        <v>B</v>
      </c>
    </row>
    <row r="17945" spans="1:8" x14ac:dyDescent="0.2">
      <c r="A17945" t="str">
        <f t="shared" si="6507"/>
        <v>0617130295</v>
      </c>
      <c r="B17945" t="str">
        <f t="shared" si="6508"/>
        <v>CHAMARIA</v>
      </c>
      <c r="C17945" t="str">
        <f t="shared" si="6509"/>
        <v>WESLEY</v>
      </c>
      <c r="D17945" t="str">
        <f t="shared" si="6510"/>
        <v>09</v>
      </c>
      <c r="E17945" t="str">
        <f>"05 - B - 205 - Rosa Elaine  Collado-Duff"</f>
        <v>05 - B - 205 - Rosa Elaine  Collado-Duff</v>
      </c>
      <c r="F17945" t="str">
        <f>"PRE-AICE SPAN 2 IG"</f>
        <v>PRE-AICE SPAN 2 IG</v>
      </c>
      <c r="G17945" t="str">
        <f>"09-913"</f>
        <v>09-913</v>
      </c>
      <c r="H17945" t="str">
        <f>"B"</f>
        <v>B</v>
      </c>
    </row>
    <row r="17946" spans="1:8" x14ac:dyDescent="0.2">
      <c r="A17946" t="str">
        <f t="shared" si="6507"/>
        <v>0617130295</v>
      </c>
      <c r="B17946" t="str">
        <f t="shared" si="6508"/>
        <v>CHAMARIA</v>
      </c>
      <c r="C17946" t="str">
        <f t="shared" si="6509"/>
        <v>WESLEY</v>
      </c>
      <c r="D17946" t="str">
        <f t="shared" si="6510"/>
        <v>09</v>
      </c>
      <c r="E17946" t="str">
        <f>"01 - A - 504 - Alejandro  Navarro"</f>
        <v>01 - A - 504 - Alejandro  Navarro</v>
      </c>
      <c r="F17946" t="str">
        <f>"BAND 1"</f>
        <v>BAND 1</v>
      </c>
      <c r="G17946" t="str">
        <f>"05-504"</f>
        <v>05-504</v>
      </c>
      <c r="H17946" t="str">
        <f>"A"</f>
        <v>A</v>
      </c>
    </row>
    <row r="17947" spans="1:8" x14ac:dyDescent="0.2">
      <c r="A17947" t="str">
        <f t="shared" si="6507"/>
        <v>0617130295</v>
      </c>
      <c r="B17947" t="str">
        <f t="shared" si="6508"/>
        <v>CHAMARIA</v>
      </c>
      <c r="C17947" t="str">
        <f t="shared" si="6509"/>
        <v>WESLEY</v>
      </c>
      <c r="D17947" t="str">
        <f t="shared" si="6510"/>
        <v>09</v>
      </c>
      <c r="E17947" t="str">
        <f>"08 - B - 201 - Elizabeth R Walker"</f>
        <v>08 - B - 201 - Elizabeth R Walker</v>
      </c>
      <c r="F17947" t="str">
        <f>"AICE ENG GEN PAPER 1"</f>
        <v>AICE ENG GEN PAPER 1</v>
      </c>
      <c r="G17947" t="str">
        <f>"17-1703"</f>
        <v>17-1703</v>
      </c>
      <c r="H17947" t="str">
        <f>"B"</f>
        <v>B</v>
      </c>
    </row>
    <row r="17948" spans="1:8" x14ac:dyDescent="0.2">
      <c r="A17948" t="str">
        <f t="shared" ref="A17948:A17955" si="6511">"0614043374"</f>
        <v>0614043374</v>
      </c>
      <c r="B17948" t="str">
        <f t="shared" ref="B17948:B17955" si="6512">"KAYLEE"</f>
        <v>KAYLEE</v>
      </c>
      <c r="C17948" t="str">
        <f t="shared" ref="C17948:C17955" si="6513">"WEST"</f>
        <v>WEST</v>
      </c>
      <c r="D17948">
        <f>12</f>
        <v>12</v>
      </c>
      <c r="E17948" t="str">
        <f>"04 - S1 - A - 106 - Kelly N Panza"</f>
        <v>04 - S1 - A - 106 - Kelly N Panza</v>
      </c>
      <c r="F17948" t="str">
        <f>"US GOVT HON"</f>
        <v>US GOVT HON</v>
      </c>
      <c r="G17948" t="str">
        <f>"17-1753"</f>
        <v>17-1753</v>
      </c>
      <c r="H17948" t="str">
        <f>"A"</f>
        <v>A</v>
      </c>
    </row>
    <row r="17949" spans="1:8" x14ac:dyDescent="0.2">
      <c r="A17949" t="str">
        <f t="shared" si="6511"/>
        <v>0614043374</v>
      </c>
      <c r="B17949" t="str">
        <f t="shared" si="6512"/>
        <v>KAYLEE</v>
      </c>
      <c r="C17949" t="str">
        <f t="shared" si="6513"/>
        <v>WEST</v>
      </c>
      <c r="D17949">
        <f>12</f>
        <v>12</v>
      </c>
      <c r="E17949" t="str">
        <f>"06 - B - 101 - Cliffon  Saurel"</f>
        <v>06 - B - 101 - Cliffon  Saurel</v>
      </c>
      <c r="F17949" t="str">
        <f>"NC STUDY HALL 1"</f>
        <v>NC STUDY HALL 1</v>
      </c>
      <c r="G17949" t="str">
        <f>"05-522"</f>
        <v>05-522</v>
      </c>
      <c r="H17949" t="str">
        <f>"B"</f>
        <v>B</v>
      </c>
    </row>
    <row r="17950" spans="1:8" x14ac:dyDescent="0.2">
      <c r="A17950" t="str">
        <f t="shared" si="6511"/>
        <v>0614043374</v>
      </c>
      <c r="B17950" t="str">
        <f t="shared" si="6512"/>
        <v>KAYLEE</v>
      </c>
      <c r="C17950" t="str">
        <f t="shared" si="6513"/>
        <v>WEST</v>
      </c>
      <c r="D17950">
        <f>12</f>
        <v>12</v>
      </c>
      <c r="E17950" t="str">
        <f>"03 - A - 101 - Jeffrey S Gallagher"</f>
        <v>03 - A - 101 - Jeffrey S Gallagher</v>
      </c>
      <c r="F17950" t="str">
        <f>"ENG HON 4"</f>
        <v>ENG HON 4</v>
      </c>
      <c r="G17950" t="str">
        <f>"17-1724"</f>
        <v>17-1724</v>
      </c>
      <c r="H17950" t="str">
        <f>"A"</f>
        <v>A</v>
      </c>
    </row>
    <row r="17951" spans="1:8" x14ac:dyDescent="0.2">
      <c r="A17951" t="str">
        <f t="shared" si="6511"/>
        <v>0614043374</v>
      </c>
      <c r="B17951" t="str">
        <f t="shared" si="6512"/>
        <v>KAYLEE</v>
      </c>
      <c r="C17951" t="str">
        <f t="shared" si="6513"/>
        <v>WEST</v>
      </c>
      <c r="D17951">
        <f>12</f>
        <v>12</v>
      </c>
      <c r="E17951" t="str">
        <f>"02 - A - 101 - Robert H Rindner"</f>
        <v>02 - A - 101 - Robert H Rindner</v>
      </c>
      <c r="F17951" t="str">
        <f>"MATH DATA&amp;FIN LIT H"</f>
        <v>MATH DATA&amp;FIN LIT H</v>
      </c>
      <c r="G17951" t="str">
        <f>"21-2160"</f>
        <v>21-2160</v>
      </c>
      <c r="H17951" t="str">
        <f>"A"</f>
        <v>A</v>
      </c>
    </row>
    <row r="17952" spans="1:8" x14ac:dyDescent="0.2">
      <c r="A17952" t="str">
        <f t="shared" si="6511"/>
        <v>0614043374</v>
      </c>
      <c r="B17952" t="str">
        <f t="shared" si="6512"/>
        <v>KAYLEE</v>
      </c>
      <c r="C17952" t="str">
        <f t="shared" si="6513"/>
        <v>WEST</v>
      </c>
      <c r="D17952">
        <f>12</f>
        <v>12</v>
      </c>
      <c r="E17952" t="str">
        <f>"07 - B - 104 - Marielle A Witting"</f>
        <v>07 - B - 104 - Marielle A Witting</v>
      </c>
      <c r="F17952" t="str">
        <f>"ANAT PHYSIO"</f>
        <v>ANAT PHYSIO</v>
      </c>
      <c r="G17952" t="str">
        <f>"08-805"</f>
        <v>08-805</v>
      </c>
      <c r="H17952" t="str">
        <f>"B"</f>
        <v>B</v>
      </c>
    </row>
    <row r="17953" spans="1:8" x14ac:dyDescent="0.2">
      <c r="A17953" t="str">
        <f t="shared" si="6511"/>
        <v>0614043374</v>
      </c>
      <c r="B17953" t="str">
        <f t="shared" si="6512"/>
        <v>KAYLEE</v>
      </c>
      <c r="C17953" t="str">
        <f t="shared" si="6513"/>
        <v>WEST</v>
      </c>
      <c r="D17953">
        <f>12</f>
        <v>12</v>
      </c>
      <c r="E17953" t="str">
        <f>"05 - B - 201 - Jazmin S Fletcher"</f>
        <v>05 - B - 201 - Jazmin S Fletcher</v>
      </c>
      <c r="F17953" t="str">
        <f>"THEATRE 1"</f>
        <v>THEATRE 1</v>
      </c>
      <c r="G17953" t="str">
        <f>"09-909"</f>
        <v>09-909</v>
      </c>
      <c r="H17953" t="str">
        <f>"B"</f>
        <v>B</v>
      </c>
    </row>
    <row r="17954" spans="1:8" x14ac:dyDescent="0.2">
      <c r="A17954" t="str">
        <f t="shared" si="6511"/>
        <v>0614043374</v>
      </c>
      <c r="B17954" t="str">
        <f t="shared" si="6512"/>
        <v>KAYLEE</v>
      </c>
      <c r="C17954" t="str">
        <f t="shared" si="6513"/>
        <v>WEST</v>
      </c>
      <c r="D17954">
        <f>12</f>
        <v>12</v>
      </c>
      <c r="E17954" t="str">
        <f>"01 - A - 101 - Eva T Rimmer"</f>
        <v>01 - A - 101 - Eva T Rimmer</v>
      </c>
      <c r="F17954" t="str">
        <f>"CRIMINAL JUST OPS 2"</f>
        <v>CRIMINAL JUST OPS 2</v>
      </c>
      <c r="G17954" t="str">
        <f>"05-523"</f>
        <v>05-523</v>
      </c>
      <c r="H17954" t="str">
        <f>"A"</f>
        <v>A</v>
      </c>
    </row>
    <row r="17955" spans="1:8" x14ac:dyDescent="0.2">
      <c r="A17955" t="str">
        <f t="shared" si="6511"/>
        <v>0614043374</v>
      </c>
      <c r="B17955" t="str">
        <f t="shared" si="6512"/>
        <v>KAYLEE</v>
      </c>
      <c r="C17955" t="str">
        <f t="shared" si="6513"/>
        <v>WEST</v>
      </c>
      <c r="D17955">
        <f>12</f>
        <v>12</v>
      </c>
      <c r="E17955" t="str">
        <f>"08 - B - 108 - Adam Marcus  Drucker"</f>
        <v>08 - B - 108 - Adam Marcus  Drucker</v>
      </c>
      <c r="F17955" t="str">
        <f>"HOPE-PE V"</f>
        <v>HOPE-PE V</v>
      </c>
      <c r="G17955" t="str">
        <f>"04-254"</f>
        <v>04-254</v>
      </c>
      <c r="H17955" t="str">
        <f>"B"</f>
        <v>B</v>
      </c>
    </row>
    <row r="17956" spans="1:8" x14ac:dyDescent="0.2">
      <c r="A17956" t="str">
        <f t="shared" ref="A17956:A17963" si="6514">"0616120269"</f>
        <v>0616120269</v>
      </c>
      <c r="B17956" t="str">
        <f t="shared" ref="B17956:B17963" si="6515">"PARIS"</f>
        <v>PARIS</v>
      </c>
      <c r="C17956" t="str">
        <f t="shared" ref="C17956:C17971" si="6516">"WHALEY"</f>
        <v>WHALEY</v>
      </c>
      <c r="D17956" t="str">
        <f t="shared" ref="D17956:D17963" si="6517">"09"</f>
        <v>09</v>
      </c>
      <c r="E17956" t="str">
        <f>"04 - A - 201 - Norayda D Suarez"</f>
        <v>04 - A - 201 - Norayda D Suarez</v>
      </c>
      <c r="F17956" t="str">
        <f>"ANAT PHYSIO HON"</f>
        <v>ANAT PHYSIO HON</v>
      </c>
      <c r="G17956" t="str">
        <f>"21-2142"</f>
        <v>21-2142</v>
      </c>
      <c r="H17956" t="str">
        <f>"A"</f>
        <v>A</v>
      </c>
    </row>
    <row r="17957" spans="1:8" x14ac:dyDescent="0.2">
      <c r="A17957" t="str">
        <f t="shared" si="6514"/>
        <v>0616120269</v>
      </c>
      <c r="B17957" t="str">
        <f t="shared" si="6515"/>
        <v>PARIS</v>
      </c>
      <c r="C17957" t="str">
        <f t="shared" si="6516"/>
        <v>WHALEY</v>
      </c>
      <c r="D17957" t="str">
        <f t="shared" si="6517"/>
        <v>09</v>
      </c>
      <c r="E17957" t="str">
        <f>"06 - B - 102 - Rosa Elaine  Collado-Duff"</f>
        <v>06 - B - 102 - Rosa Elaine  Collado-Duff</v>
      </c>
      <c r="F17957" t="str">
        <f>"SPANISH 3 HON"</f>
        <v>SPANISH 3 HON</v>
      </c>
      <c r="G17957" t="str">
        <f>"09-913"</f>
        <v>09-913</v>
      </c>
      <c r="H17957" t="str">
        <f>"B"</f>
        <v>B</v>
      </c>
    </row>
    <row r="17958" spans="1:8" x14ac:dyDescent="0.2">
      <c r="A17958" t="str">
        <f t="shared" si="6514"/>
        <v>0616120269</v>
      </c>
      <c r="B17958" t="str">
        <f t="shared" si="6515"/>
        <v>PARIS</v>
      </c>
      <c r="C17958" t="str">
        <f t="shared" si="6516"/>
        <v>WHALEY</v>
      </c>
      <c r="D17958" t="str">
        <f t="shared" si="6517"/>
        <v>09</v>
      </c>
      <c r="E17958" t="str">
        <f>"03 - S1 - A - 101 - Daniel S Katz"</f>
        <v>03 - S1 - A - 101 - Daniel S Katz</v>
      </c>
      <c r="F17958" t="str">
        <f>"COURT PROCED"</f>
        <v>COURT PROCED</v>
      </c>
      <c r="G17958" t="str">
        <f>"21-2156"</f>
        <v>21-2156</v>
      </c>
      <c r="H17958" t="str">
        <f>"A"</f>
        <v>A</v>
      </c>
    </row>
    <row r="17959" spans="1:8" x14ac:dyDescent="0.2">
      <c r="A17959" t="str">
        <f t="shared" si="6514"/>
        <v>0616120269</v>
      </c>
      <c r="B17959" t="str">
        <f t="shared" si="6515"/>
        <v>PARIS</v>
      </c>
      <c r="C17959" t="str">
        <f t="shared" si="6516"/>
        <v>WHALEY</v>
      </c>
      <c r="D17959" t="str">
        <f t="shared" si="6517"/>
        <v>09</v>
      </c>
      <c r="E17959" t="str">
        <f>"02 - A - 109 - Krystal Marie  Beruty"</f>
        <v>02 - A - 109 - Krystal Marie  Beruty</v>
      </c>
      <c r="F17959" t="str">
        <f>"NC STUDY HALL 1"</f>
        <v>NC STUDY HALL 1</v>
      </c>
      <c r="G17959" t="str">
        <f>"17-1721"</f>
        <v>17-1721</v>
      </c>
      <c r="H17959" t="str">
        <f>"A"</f>
        <v>A</v>
      </c>
    </row>
    <row r="17960" spans="1:8" x14ac:dyDescent="0.2">
      <c r="A17960" t="str">
        <f t="shared" si="6514"/>
        <v>0616120269</v>
      </c>
      <c r="B17960" t="str">
        <f t="shared" si="6515"/>
        <v>PARIS</v>
      </c>
      <c r="C17960" t="str">
        <f t="shared" si="6516"/>
        <v>WHALEY</v>
      </c>
      <c r="D17960" t="str">
        <f t="shared" si="6517"/>
        <v>09</v>
      </c>
      <c r="E17960" t="str">
        <f>"07 - B - 003 - Brandy N Zdenek"</f>
        <v>07 - B - 003 - Brandy N Zdenek</v>
      </c>
      <c r="F17960" t="str">
        <f>"AICE ENG GEN PAPER 1"</f>
        <v>AICE ENG GEN PAPER 1</v>
      </c>
      <c r="G17960" t="str">
        <f>"17-1704"</f>
        <v>17-1704</v>
      </c>
      <c r="H17960" t="str">
        <f>"B"</f>
        <v>B</v>
      </c>
    </row>
    <row r="17961" spans="1:8" x14ac:dyDescent="0.2">
      <c r="A17961" t="str">
        <f t="shared" si="6514"/>
        <v>0616120269</v>
      </c>
      <c r="B17961" t="str">
        <f t="shared" si="6515"/>
        <v>PARIS</v>
      </c>
      <c r="C17961" t="str">
        <f t="shared" si="6516"/>
        <v>WHALEY</v>
      </c>
      <c r="D17961" t="str">
        <f t="shared" si="6517"/>
        <v>09</v>
      </c>
      <c r="E17961" t="str">
        <f>"05 - B - 201 - Lisa J London"</f>
        <v>05 - B - 201 - Lisa J London</v>
      </c>
      <c r="F17961" t="str">
        <f>"COMPRE LAW HON"</f>
        <v>COMPRE LAW HON</v>
      </c>
      <c r="G17961" t="str">
        <f>"17-1714"</f>
        <v>17-1714</v>
      </c>
      <c r="H17961" t="str">
        <f>"B"</f>
        <v>B</v>
      </c>
    </row>
    <row r="17962" spans="1:8" x14ac:dyDescent="0.2">
      <c r="A17962" t="str">
        <f t="shared" si="6514"/>
        <v>0616120269</v>
      </c>
      <c r="B17962" t="str">
        <f t="shared" si="6515"/>
        <v>PARIS</v>
      </c>
      <c r="C17962" t="str">
        <f t="shared" si="6516"/>
        <v>WHALEY</v>
      </c>
      <c r="D17962" t="str">
        <f t="shared" si="6517"/>
        <v>09</v>
      </c>
      <c r="E17962" t="str">
        <f>"01 - A - 102 - Brook E Goren"</f>
        <v>01 - A - 102 - Brook E Goren</v>
      </c>
      <c r="F17962" t="str">
        <f>"PRE-AICE MATH 2 IG"</f>
        <v>PRE-AICE MATH 2 IG</v>
      </c>
      <c r="G17962" t="str">
        <f>"21-2158"</f>
        <v>21-2158</v>
      </c>
      <c r="H17962" t="str">
        <f>"A"</f>
        <v>A</v>
      </c>
    </row>
    <row r="17963" spans="1:8" x14ac:dyDescent="0.2">
      <c r="A17963" t="str">
        <f t="shared" si="6514"/>
        <v>0616120269</v>
      </c>
      <c r="B17963" t="str">
        <f t="shared" si="6515"/>
        <v>PARIS</v>
      </c>
      <c r="C17963" t="str">
        <f t="shared" si="6516"/>
        <v>WHALEY</v>
      </c>
      <c r="D17963" t="str">
        <f t="shared" si="6517"/>
        <v>09</v>
      </c>
      <c r="E17963" t="str">
        <f>"08 - B - 109 - Rory T Sponsler"</f>
        <v>08 - B - 109 - Rory T Sponsler</v>
      </c>
      <c r="F17963" t="str">
        <f>"PRE-AICE WRLD HST IG"</f>
        <v>PRE-AICE WRLD HST IG</v>
      </c>
      <c r="G17963" t="str">
        <f>"17-1740"</f>
        <v>17-1740</v>
      </c>
      <c r="H17963" t="str">
        <f>"B"</f>
        <v>B</v>
      </c>
    </row>
    <row r="17964" spans="1:8" x14ac:dyDescent="0.2">
      <c r="A17964" t="str">
        <f t="shared" ref="A17964:A17971" si="6518">"0613121296"</f>
        <v>0613121296</v>
      </c>
      <c r="B17964" t="str">
        <f t="shared" ref="B17964:B17971" si="6519">"TIMOTHY"</f>
        <v>TIMOTHY</v>
      </c>
      <c r="C17964" t="str">
        <f t="shared" si="6516"/>
        <v>WHALEY</v>
      </c>
      <c r="D17964">
        <f>12</f>
        <v>12</v>
      </c>
      <c r="E17964" t="str">
        <f>"04 - A - 104 - Norayda D Suarez"</f>
        <v>04 - A - 104 - Norayda D Suarez</v>
      </c>
      <c r="F17964" t="str">
        <f>"RESEARCH 1 LH"</f>
        <v>RESEARCH 1 LH</v>
      </c>
      <c r="G17964">
        <f>2041</f>
        <v>2041</v>
      </c>
      <c r="H17964" t="str">
        <f>"A"</f>
        <v>A</v>
      </c>
    </row>
    <row r="17965" spans="1:8" x14ac:dyDescent="0.2">
      <c r="A17965" t="str">
        <f t="shared" si="6518"/>
        <v>0613121296</v>
      </c>
      <c r="B17965" t="str">
        <f t="shared" si="6519"/>
        <v>TIMOTHY</v>
      </c>
      <c r="C17965" t="str">
        <f t="shared" si="6516"/>
        <v>WHALEY</v>
      </c>
      <c r="D17965">
        <f>12</f>
        <v>12</v>
      </c>
      <c r="E17965" t="str">
        <f>"06 - B - 105 - Robyn L Trainer"</f>
        <v>06 - B - 105 - Robyn L Trainer</v>
      </c>
      <c r="F17965" t="str">
        <f>"NC STUDY HALL 1"</f>
        <v>NC STUDY HALL 1</v>
      </c>
      <c r="G17965" t="str">
        <f>"17-1734"</f>
        <v>17-1734</v>
      </c>
      <c r="H17965" t="str">
        <f>"B"</f>
        <v>B</v>
      </c>
    </row>
    <row r="17966" spans="1:8" x14ac:dyDescent="0.2">
      <c r="A17966" t="str">
        <f t="shared" si="6518"/>
        <v>0613121296</v>
      </c>
      <c r="B17966" t="str">
        <f t="shared" si="6519"/>
        <v>TIMOTHY</v>
      </c>
      <c r="C17966" t="str">
        <f t="shared" si="6516"/>
        <v>WHALEY</v>
      </c>
      <c r="D17966">
        <f>12</f>
        <v>12</v>
      </c>
      <c r="E17966" t="str">
        <f>"03 - A - 101 - Carleigh R Carmichael"</f>
        <v>03 - A - 101 - Carleigh R Carmichael</v>
      </c>
      <c r="F17966" t="str">
        <f>"LEAD SKLS DEV LH"</f>
        <v>LEAD SKLS DEV LH</v>
      </c>
      <c r="G17966" t="str">
        <f>"20-2072"</f>
        <v>20-2072</v>
      </c>
      <c r="H17966" t="str">
        <f>"A"</f>
        <v>A</v>
      </c>
    </row>
    <row r="17967" spans="1:8" x14ac:dyDescent="0.2">
      <c r="A17967" t="str">
        <f t="shared" si="6518"/>
        <v>0613121296</v>
      </c>
      <c r="B17967" t="str">
        <f t="shared" si="6519"/>
        <v>TIMOTHY</v>
      </c>
      <c r="C17967" t="str">
        <f t="shared" si="6516"/>
        <v>WHALEY</v>
      </c>
      <c r="D17967">
        <f>12</f>
        <v>12</v>
      </c>
      <c r="E17967" t="str">
        <f>"02 - A - 107 - Tina M Jaramillo"</f>
        <v>02 - A - 107 - Tina M Jaramillo</v>
      </c>
      <c r="F17967" t="str">
        <f>"AP ENG LIT COMPO"</f>
        <v>AP ENG LIT COMPO</v>
      </c>
      <c r="G17967" t="str">
        <f>"17-1706"</f>
        <v>17-1706</v>
      </c>
      <c r="H17967" t="str">
        <f>"A"</f>
        <v>A</v>
      </c>
    </row>
    <row r="17968" spans="1:8" x14ac:dyDescent="0.2">
      <c r="A17968" t="str">
        <f t="shared" si="6518"/>
        <v>0613121296</v>
      </c>
      <c r="B17968" t="str">
        <f t="shared" si="6519"/>
        <v>TIMOTHY</v>
      </c>
      <c r="C17968" t="str">
        <f t="shared" si="6516"/>
        <v>WHALEY</v>
      </c>
      <c r="D17968">
        <f>12</f>
        <v>12</v>
      </c>
      <c r="E17968" t="str">
        <f>"07 - S1 - B - 102 - Barbara L Segal"</f>
        <v>07 - S1 - B - 102 - Barbara L Segal</v>
      </c>
      <c r="F17968" t="str">
        <f>"AP US GOVT/POL"</f>
        <v>AP US GOVT/POL</v>
      </c>
      <c r="G17968" t="str">
        <f>"17-1742"</f>
        <v>17-1742</v>
      </c>
      <c r="H17968" t="str">
        <f>"B"</f>
        <v>B</v>
      </c>
    </row>
    <row r="17969" spans="1:8" x14ac:dyDescent="0.2">
      <c r="A17969" t="str">
        <f t="shared" si="6518"/>
        <v>0613121296</v>
      </c>
      <c r="B17969" t="str">
        <f t="shared" si="6519"/>
        <v>TIMOTHY</v>
      </c>
      <c r="C17969" t="str">
        <f t="shared" si="6516"/>
        <v>WHALEY</v>
      </c>
      <c r="D17969">
        <f>12</f>
        <v>12</v>
      </c>
      <c r="E17969" t="str">
        <f>"05 - S1 - B - 103 - Leslie J Barton"</f>
        <v>05 - S1 - B - 103 - Leslie J Barton</v>
      </c>
      <c r="F17969" t="str">
        <f>"FIRST AID SAFETY"</f>
        <v>FIRST AID SAFETY</v>
      </c>
      <c r="G17969" t="str">
        <f>"05-521"</f>
        <v>05-521</v>
      </c>
      <c r="H17969" t="str">
        <f>"B"</f>
        <v>B</v>
      </c>
    </row>
    <row r="17970" spans="1:8" x14ac:dyDescent="0.2">
      <c r="A17970" t="str">
        <f t="shared" si="6518"/>
        <v>0613121296</v>
      </c>
      <c r="B17970" t="str">
        <f t="shared" si="6519"/>
        <v>TIMOTHY</v>
      </c>
      <c r="C17970" t="str">
        <f t="shared" si="6516"/>
        <v>WHALEY</v>
      </c>
      <c r="D17970">
        <f>12</f>
        <v>12</v>
      </c>
      <c r="E17970" t="str">
        <f>"01 - A - 101 - Marielle A Witting"</f>
        <v>01 - A - 101 - Marielle A Witting</v>
      </c>
      <c r="F17970" t="str">
        <f>"AP BIO"</f>
        <v>AP BIO</v>
      </c>
      <c r="G17970" t="str">
        <f>"08-805"</f>
        <v>08-805</v>
      </c>
      <c r="H17970" t="str">
        <f>"A"</f>
        <v>A</v>
      </c>
    </row>
    <row r="17971" spans="1:8" x14ac:dyDescent="0.2">
      <c r="A17971" t="str">
        <f t="shared" si="6518"/>
        <v>0613121296</v>
      </c>
      <c r="B17971" t="str">
        <f t="shared" si="6519"/>
        <v>TIMOTHY</v>
      </c>
      <c r="C17971" t="str">
        <f t="shared" si="6516"/>
        <v>WHALEY</v>
      </c>
      <c r="D17971">
        <f>12</f>
        <v>12</v>
      </c>
      <c r="E17971" t="str">
        <f>"08 - S1 - B - 104 - Angela S Adeshina-Morrison"</f>
        <v>08 - S1 - B - 104 - Angela S Adeshina-Morrison</v>
      </c>
      <c r="F17971" t="str">
        <f>"PEER COUN 1"</f>
        <v>PEER COUN 1</v>
      </c>
      <c r="G17971" t="str">
        <f>"05-518"</f>
        <v>05-518</v>
      </c>
      <c r="H17971" t="str">
        <f>"B"</f>
        <v>B</v>
      </c>
    </row>
    <row r="17972" spans="1:8" x14ac:dyDescent="0.2">
      <c r="A17972" t="str">
        <f t="shared" ref="A17972:A17979" si="6520">"0622062512"</f>
        <v>0622062512</v>
      </c>
      <c r="B17972" t="str">
        <f t="shared" ref="B17972:B17979" si="6521">"Fitzroy"</f>
        <v>Fitzroy</v>
      </c>
      <c r="C17972" t="str">
        <f t="shared" ref="C17972:C17979" si="6522">"Wheeler"</f>
        <v>Wheeler</v>
      </c>
      <c r="D17972" t="str">
        <f t="shared" ref="D17972:D17979" si="6523">"09"</f>
        <v>09</v>
      </c>
      <c r="E17972" t="str">
        <f>"04 - A - 104 - Helen A Flores"</f>
        <v>04 - A - 104 - Helen A Flores</v>
      </c>
      <c r="F17972" t="str">
        <f>"FDN SKLS MATH 9-12"</f>
        <v>FDN SKLS MATH 9-12</v>
      </c>
      <c r="G17972" t="str">
        <f>"21-2101"</f>
        <v>21-2101</v>
      </c>
      <c r="H17972" t="str">
        <f>"A"</f>
        <v>A</v>
      </c>
    </row>
    <row r="17973" spans="1:8" x14ac:dyDescent="0.2">
      <c r="A17973" t="str">
        <f t="shared" si="6520"/>
        <v>0622062512</v>
      </c>
      <c r="B17973" t="str">
        <f t="shared" si="6521"/>
        <v>Fitzroy</v>
      </c>
      <c r="C17973" t="str">
        <f t="shared" si="6522"/>
        <v>Wheeler</v>
      </c>
      <c r="D17973" t="str">
        <f t="shared" si="6523"/>
        <v>09</v>
      </c>
      <c r="E17973" t="str">
        <f>"06 - B - 202 - Alejandro  Navarro"</f>
        <v>06 - B - 202 - Alejandro  Navarro</v>
      </c>
      <c r="F17973" t="str">
        <f>"BAND 1"</f>
        <v>BAND 1</v>
      </c>
      <c r="G17973" t="str">
        <f>"05-504"</f>
        <v>05-504</v>
      </c>
      <c r="H17973" t="str">
        <f>"B"</f>
        <v>B</v>
      </c>
    </row>
    <row r="17974" spans="1:8" x14ac:dyDescent="0.2">
      <c r="A17974" t="str">
        <f t="shared" si="6520"/>
        <v>0622062512</v>
      </c>
      <c r="B17974" t="str">
        <f t="shared" si="6521"/>
        <v>Fitzroy</v>
      </c>
      <c r="C17974" t="str">
        <f t="shared" si="6522"/>
        <v>Wheeler</v>
      </c>
      <c r="D17974" t="str">
        <f t="shared" si="6523"/>
        <v>09</v>
      </c>
      <c r="E17974" t="str">
        <f>"03 - A - 109 - Lissa C Frederique"</f>
        <v>03 - A - 109 - Lissa C Frederique</v>
      </c>
      <c r="F17974" t="str">
        <f>"WORLD HISTORY"</f>
        <v>WORLD HISTORY</v>
      </c>
      <c r="G17974" t="str">
        <f>"17-1754"</f>
        <v>17-1754</v>
      </c>
      <c r="H17974" t="str">
        <f>"A"</f>
        <v>A</v>
      </c>
    </row>
    <row r="17975" spans="1:8" x14ac:dyDescent="0.2">
      <c r="A17975" t="str">
        <f t="shared" si="6520"/>
        <v>0622062512</v>
      </c>
      <c r="B17975" t="str">
        <f t="shared" si="6521"/>
        <v>Fitzroy</v>
      </c>
      <c r="C17975" t="str">
        <f t="shared" si="6522"/>
        <v>Wheeler</v>
      </c>
      <c r="D17975" t="str">
        <f t="shared" si="6523"/>
        <v>09</v>
      </c>
      <c r="E17975" t="str">
        <f>"02 - A - 103 - Angela S Adeshina-Morrison"</f>
        <v>02 - A - 103 - Angela S Adeshina-Morrison</v>
      </c>
      <c r="F17975" t="str">
        <f>"NC STUDY HALL 1"</f>
        <v>NC STUDY HALL 1</v>
      </c>
      <c r="G17975" t="str">
        <f>"05-518"</f>
        <v>05-518</v>
      </c>
      <c r="H17975" t="str">
        <f>"A"</f>
        <v>A</v>
      </c>
    </row>
    <row r="17976" spans="1:8" x14ac:dyDescent="0.2">
      <c r="A17976" t="str">
        <f t="shared" si="6520"/>
        <v>0622062512</v>
      </c>
      <c r="B17976" t="str">
        <f t="shared" si="6521"/>
        <v>Fitzroy</v>
      </c>
      <c r="C17976" t="str">
        <f t="shared" si="6522"/>
        <v>Wheeler</v>
      </c>
      <c r="D17976" t="str">
        <f t="shared" si="6523"/>
        <v>09</v>
      </c>
      <c r="E17976" t="str">
        <f>"07 - B - 107 - Cerine S Stewart"</f>
        <v>07 - B - 107 - Cerine S Stewart</v>
      </c>
      <c r="F17976" t="str">
        <f>"ENG 1"</f>
        <v>ENG 1</v>
      </c>
      <c r="G17976" t="str">
        <f>"17-1720"</f>
        <v>17-1720</v>
      </c>
      <c r="H17976" t="str">
        <f>"B"</f>
        <v>B</v>
      </c>
    </row>
    <row r="17977" spans="1:8" x14ac:dyDescent="0.2">
      <c r="A17977" t="str">
        <f t="shared" si="6520"/>
        <v>0622062512</v>
      </c>
      <c r="B17977" t="str">
        <f t="shared" si="6521"/>
        <v>Fitzroy</v>
      </c>
      <c r="C17977" t="str">
        <f t="shared" si="6522"/>
        <v>Wheeler</v>
      </c>
      <c r="D17977" t="str">
        <f t="shared" si="6523"/>
        <v>09</v>
      </c>
      <c r="E17977" t="str">
        <f>"05 - B - 001 - Laselleda D Shaw"</f>
        <v>05 - B - 001 - Laselleda D Shaw</v>
      </c>
      <c r="F17977" t="str">
        <f>"INTENS READ 1"</f>
        <v>INTENS READ 1</v>
      </c>
      <c r="G17977" t="str">
        <f>"17-1723"</f>
        <v>17-1723</v>
      </c>
      <c r="H17977" t="str">
        <f>"B"</f>
        <v>B</v>
      </c>
    </row>
    <row r="17978" spans="1:8" x14ac:dyDescent="0.2">
      <c r="A17978" t="str">
        <f t="shared" si="6520"/>
        <v>0622062512</v>
      </c>
      <c r="B17978" t="str">
        <f t="shared" si="6521"/>
        <v>Fitzroy</v>
      </c>
      <c r="C17978" t="str">
        <f t="shared" si="6522"/>
        <v>Wheeler</v>
      </c>
      <c r="D17978" t="str">
        <f t="shared" si="6523"/>
        <v>09</v>
      </c>
      <c r="E17978" t="str">
        <f>"01 - A - 103 - Amy Beth  Broyles"</f>
        <v>01 - A - 103 - Amy Beth  Broyles</v>
      </c>
      <c r="F17978" t="str">
        <f>"ENV SCI"</f>
        <v>ENV SCI</v>
      </c>
      <c r="G17978" t="str">
        <f>"08-802"</f>
        <v>08-802</v>
      </c>
      <c r="H17978" t="str">
        <f>"A"</f>
        <v>A</v>
      </c>
    </row>
    <row r="17979" spans="1:8" x14ac:dyDescent="0.2">
      <c r="A17979" t="str">
        <f t="shared" si="6520"/>
        <v>0622062512</v>
      </c>
      <c r="B17979" t="str">
        <f t="shared" si="6521"/>
        <v>Fitzroy</v>
      </c>
      <c r="C17979" t="str">
        <f t="shared" si="6522"/>
        <v>Wheeler</v>
      </c>
      <c r="D17979" t="str">
        <f t="shared" si="6523"/>
        <v>09</v>
      </c>
      <c r="E17979" t="str">
        <f>"08 - B - 106 - Helen A Flores"</f>
        <v>08 - B - 106 - Helen A Flores</v>
      </c>
      <c r="F17979" t="str">
        <f>"ALGEBRA 1"</f>
        <v>ALGEBRA 1</v>
      </c>
      <c r="G17979" t="str">
        <f>"21-2101"</f>
        <v>21-2101</v>
      </c>
      <c r="H17979" t="str">
        <f>"B"</f>
        <v>B</v>
      </c>
    </row>
    <row r="17980" spans="1:8" x14ac:dyDescent="0.2">
      <c r="A17980" t="str">
        <f t="shared" ref="A17980:A17987" si="6524">"0614142360"</f>
        <v>0614142360</v>
      </c>
      <c r="B17980" t="str">
        <f t="shared" ref="B17980:B17987" si="6525">"JEWELLE"</f>
        <v>JEWELLE</v>
      </c>
      <c r="C17980" t="str">
        <f t="shared" ref="C17980:C17995" si="6526">"WHEELER"</f>
        <v>WHEELER</v>
      </c>
      <c r="D17980">
        <f>11</f>
        <v>11</v>
      </c>
      <c r="E17980" t="str">
        <f>"04 - A - 106 - Marielle A Witting"</f>
        <v>04 - A - 106 - Marielle A Witting</v>
      </c>
      <c r="F17980" t="str">
        <f>"ANAT PHYSIO"</f>
        <v>ANAT PHYSIO</v>
      </c>
      <c r="G17980" t="str">
        <f>"08-805"</f>
        <v>08-805</v>
      </c>
      <c r="H17980" t="str">
        <f>"A"</f>
        <v>A</v>
      </c>
    </row>
    <row r="17981" spans="1:8" x14ac:dyDescent="0.2">
      <c r="A17981" t="str">
        <f t="shared" si="6524"/>
        <v>0614142360</v>
      </c>
      <c r="B17981" t="str">
        <f t="shared" si="6525"/>
        <v>JEWELLE</v>
      </c>
      <c r="C17981" t="str">
        <f t="shared" si="6526"/>
        <v>WHEELER</v>
      </c>
      <c r="D17981">
        <f>11</f>
        <v>11</v>
      </c>
      <c r="E17981" t="str">
        <f>"06 - B - 202 - Samantha L Martinez"</f>
        <v>06 - B - 202 - Samantha L Martinez</v>
      </c>
      <c r="F17981" t="str">
        <f>"GUITAR 1"</f>
        <v>GUITAR 1</v>
      </c>
      <c r="G17981" t="str">
        <f>"05-505"</f>
        <v>05-505</v>
      </c>
      <c r="H17981" t="str">
        <f>"B"</f>
        <v>B</v>
      </c>
    </row>
    <row r="17982" spans="1:8" x14ac:dyDescent="0.2">
      <c r="A17982" t="str">
        <f t="shared" si="6524"/>
        <v>0614142360</v>
      </c>
      <c r="B17982" t="str">
        <f t="shared" si="6525"/>
        <v>JEWELLE</v>
      </c>
      <c r="C17982" t="str">
        <f t="shared" si="6526"/>
        <v>WHEELER</v>
      </c>
      <c r="D17982">
        <f>11</f>
        <v>11</v>
      </c>
      <c r="E17982" t="str">
        <f>"03 - A - 103 - Kelly N Panza"</f>
        <v>03 - A - 103 - Kelly N Panza</v>
      </c>
      <c r="F17982" t="str">
        <f>"AICE GLBL PERSP 1 AS"</f>
        <v>AICE GLBL PERSP 1 AS</v>
      </c>
      <c r="G17982" t="str">
        <f>"17-1753"</f>
        <v>17-1753</v>
      </c>
      <c r="H17982" t="str">
        <f>"A"</f>
        <v>A</v>
      </c>
    </row>
    <row r="17983" spans="1:8" x14ac:dyDescent="0.2">
      <c r="A17983" t="str">
        <f t="shared" si="6524"/>
        <v>0614142360</v>
      </c>
      <c r="B17983" t="str">
        <f t="shared" si="6525"/>
        <v>JEWELLE</v>
      </c>
      <c r="C17983" t="str">
        <f t="shared" si="6526"/>
        <v>WHEELER</v>
      </c>
      <c r="D17983">
        <f>11</f>
        <v>11</v>
      </c>
      <c r="E17983" t="str">
        <f>"02 - A - 103 - Kelly N Panza"</f>
        <v>02 - A - 103 - Kelly N Panza</v>
      </c>
      <c r="F17983" t="str">
        <f>"NC STUDY HALL 1"</f>
        <v>NC STUDY HALL 1</v>
      </c>
      <c r="G17983" t="str">
        <f>"17-1753"</f>
        <v>17-1753</v>
      </c>
      <c r="H17983" t="str">
        <f>"A"</f>
        <v>A</v>
      </c>
    </row>
    <row r="17984" spans="1:8" x14ac:dyDescent="0.2">
      <c r="A17984" t="str">
        <f t="shared" si="6524"/>
        <v>0614142360</v>
      </c>
      <c r="B17984" t="str">
        <f t="shared" si="6525"/>
        <v>JEWELLE</v>
      </c>
      <c r="C17984" t="str">
        <f t="shared" si="6526"/>
        <v>WHEELER</v>
      </c>
      <c r="D17984">
        <f>11</f>
        <v>11</v>
      </c>
      <c r="E17984" t="str">
        <f>"07 - B - 106 - James H Mccann"</f>
        <v>07 - B - 106 - James H Mccann</v>
      </c>
      <c r="F17984" t="str">
        <f>"ALGEBRA 2"</f>
        <v>ALGEBRA 2</v>
      </c>
      <c r="G17984" t="str">
        <f>"17-1716"</f>
        <v>17-1716</v>
      </c>
      <c r="H17984" t="str">
        <f>"B"</f>
        <v>B</v>
      </c>
    </row>
    <row r="17985" spans="1:8" x14ac:dyDescent="0.2">
      <c r="A17985" t="str">
        <f t="shared" si="6524"/>
        <v>0614142360</v>
      </c>
      <c r="B17985" t="str">
        <f t="shared" si="6525"/>
        <v>JEWELLE</v>
      </c>
      <c r="C17985" t="str">
        <f t="shared" si="6526"/>
        <v>WHEELER</v>
      </c>
      <c r="D17985">
        <f>11</f>
        <v>11</v>
      </c>
      <c r="E17985" t="str">
        <f>"05 - B - 001 - Stefanie S Scher"</f>
        <v>05 - B - 001 - Stefanie S Scher</v>
      </c>
      <c r="F17985" t="str">
        <f>"AICE PSYCH 1 AS"</f>
        <v>AICE PSYCH 1 AS</v>
      </c>
      <c r="G17985" t="str">
        <f>"17-1735"</f>
        <v>17-1735</v>
      </c>
      <c r="H17985" t="str">
        <f>"B"</f>
        <v>B</v>
      </c>
    </row>
    <row r="17986" spans="1:8" x14ac:dyDescent="0.2">
      <c r="A17986" t="str">
        <f t="shared" si="6524"/>
        <v>0614142360</v>
      </c>
      <c r="B17986" t="str">
        <f t="shared" si="6525"/>
        <v>JEWELLE</v>
      </c>
      <c r="C17986" t="str">
        <f t="shared" si="6526"/>
        <v>WHEELER</v>
      </c>
      <c r="D17986">
        <f>11</f>
        <v>11</v>
      </c>
      <c r="E17986" t="str">
        <f>"01 - A - 101 - Jacklyn M James"</f>
        <v>01 - A - 101 - Jacklyn M James</v>
      </c>
      <c r="F17986" t="str">
        <f>"AICE ENG LANG AS"</f>
        <v>AICE ENG LANG AS</v>
      </c>
      <c r="G17986" t="str">
        <f>"17-1731"</f>
        <v>17-1731</v>
      </c>
      <c r="H17986" t="str">
        <f>"A"</f>
        <v>A</v>
      </c>
    </row>
    <row r="17987" spans="1:8" x14ac:dyDescent="0.2">
      <c r="A17987" t="str">
        <f t="shared" si="6524"/>
        <v>0614142360</v>
      </c>
      <c r="B17987" t="str">
        <f t="shared" si="6525"/>
        <v>JEWELLE</v>
      </c>
      <c r="C17987" t="str">
        <f t="shared" si="6526"/>
        <v>WHEELER</v>
      </c>
      <c r="D17987">
        <f>11</f>
        <v>11</v>
      </c>
      <c r="E17987" t="str">
        <f>"08 - B - 001 - Jerry S Jiampetti"</f>
        <v>08 - B - 001 - Jerry S Jiampetti</v>
      </c>
      <c r="F17987" t="str">
        <f>"AICE U.S. HIST 1 AS"</f>
        <v>AICE U.S. HIST 1 AS</v>
      </c>
      <c r="G17987" t="str">
        <f>"17-1751"</f>
        <v>17-1751</v>
      </c>
      <c r="H17987" t="str">
        <f>"B"</f>
        <v>B</v>
      </c>
    </row>
    <row r="17988" spans="1:8" x14ac:dyDescent="0.2">
      <c r="A17988" t="str">
        <f t="shared" ref="A17988:A17995" si="6527">"0615076915"</f>
        <v>0615076915</v>
      </c>
      <c r="B17988" t="str">
        <f t="shared" ref="B17988:B17995" si="6528">"JIZELLE"</f>
        <v>JIZELLE</v>
      </c>
      <c r="C17988" t="str">
        <f t="shared" si="6526"/>
        <v>WHEELER</v>
      </c>
      <c r="D17988">
        <f>11</f>
        <v>11</v>
      </c>
      <c r="E17988" t="str">
        <f>"04 - A - 102 - Daniel S Katz"</f>
        <v>04 - A - 102 - Daniel S Katz</v>
      </c>
      <c r="F17988" t="str">
        <f>"AICE DRAMA 1 AS LEV"</f>
        <v>AICE DRAMA 1 AS LEV</v>
      </c>
      <c r="G17988" t="str">
        <f>"05-521"</f>
        <v>05-521</v>
      </c>
      <c r="H17988" t="str">
        <f>"A"</f>
        <v>A</v>
      </c>
    </row>
    <row r="17989" spans="1:8" x14ac:dyDescent="0.2">
      <c r="A17989" t="str">
        <f t="shared" si="6527"/>
        <v>0615076915</v>
      </c>
      <c r="B17989" t="str">
        <f t="shared" si="6528"/>
        <v>JIZELLE</v>
      </c>
      <c r="C17989" t="str">
        <f t="shared" si="6526"/>
        <v>WHEELER</v>
      </c>
      <c r="D17989">
        <f>11</f>
        <v>11</v>
      </c>
      <c r="E17989" t="str">
        <f>"06 - B - 110 - Krystal Marie  Beruty"</f>
        <v>06 - B - 110 - Krystal Marie  Beruty</v>
      </c>
      <c r="F17989" t="str">
        <f>"AICE GLBL PERSP 1 AS"</f>
        <v>AICE GLBL PERSP 1 AS</v>
      </c>
      <c r="G17989" t="str">
        <f>"17-1721"</f>
        <v>17-1721</v>
      </c>
      <c r="H17989" t="str">
        <f>"B"</f>
        <v>B</v>
      </c>
    </row>
    <row r="17990" spans="1:8" x14ac:dyDescent="0.2">
      <c r="A17990" t="str">
        <f t="shared" si="6527"/>
        <v>0615076915</v>
      </c>
      <c r="B17990" t="str">
        <f t="shared" si="6528"/>
        <v>JIZELLE</v>
      </c>
      <c r="C17990" t="str">
        <f t="shared" si="6526"/>
        <v>WHEELER</v>
      </c>
      <c r="D17990">
        <f>11</f>
        <v>11</v>
      </c>
      <c r="E17990" t="str">
        <f>"03 - A - 204 - Norayda D Suarez"</f>
        <v>03 - A - 204 - Norayda D Suarez</v>
      </c>
      <c r="F17990" t="str">
        <f>"ANAT PHYSIO HON"</f>
        <v>ANAT PHYSIO HON</v>
      </c>
      <c r="G17990" t="str">
        <f>"21-2144"</f>
        <v>21-2144</v>
      </c>
      <c r="H17990" t="str">
        <f>"A"</f>
        <v>A</v>
      </c>
    </row>
    <row r="17991" spans="1:8" x14ac:dyDescent="0.2">
      <c r="A17991" t="str">
        <f t="shared" si="6527"/>
        <v>0615076915</v>
      </c>
      <c r="B17991" t="str">
        <f t="shared" si="6528"/>
        <v>JIZELLE</v>
      </c>
      <c r="C17991" t="str">
        <f t="shared" si="6526"/>
        <v>WHEELER</v>
      </c>
      <c r="D17991">
        <f>11</f>
        <v>11</v>
      </c>
      <c r="E17991" t="str">
        <f>"02 - A - 114 - Eva T Rimmer"</f>
        <v>02 - A - 114 - Eva T Rimmer</v>
      </c>
      <c r="F17991" t="str">
        <f>"NC STUDY HALL 1"</f>
        <v>NC STUDY HALL 1</v>
      </c>
      <c r="G17991" t="str">
        <f>"05-523"</f>
        <v>05-523</v>
      </c>
      <c r="H17991" t="str">
        <f>"A"</f>
        <v>A</v>
      </c>
    </row>
    <row r="17992" spans="1:8" x14ac:dyDescent="0.2">
      <c r="A17992" t="str">
        <f t="shared" si="6527"/>
        <v>0615076915</v>
      </c>
      <c r="B17992" t="str">
        <f t="shared" si="6528"/>
        <v>JIZELLE</v>
      </c>
      <c r="C17992" t="str">
        <f t="shared" si="6526"/>
        <v>WHEELER</v>
      </c>
      <c r="D17992">
        <f>11</f>
        <v>11</v>
      </c>
      <c r="E17992" t="str">
        <f>"07 - B - 106 - James H Mccann"</f>
        <v>07 - B - 106 - James H Mccann</v>
      </c>
      <c r="F17992" t="str">
        <f>"ALGEBRA 2"</f>
        <v>ALGEBRA 2</v>
      </c>
      <c r="G17992" t="str">
        <f>"17-1716"</f>
        <v>17-1716</v>
      </c>
      <c r="H17992" t="str">
        <f>"B"</f>
        <v>B</v>
      </c>
    </row>
    <row r="17993" spans="1:8" x14ac:dyDescent="0.2">
      <c r="A17993" t="str">
        <f t="shared" si="6527"/>
        <v>0615076915</v>
      </c>
      <c r="B17993" t="str">
        <f t="shared" si="6528"/>
        <v>JIZELLE</v>
      </c>
      <c r="C17993" t="str">
        <f t="shared" si="6526"/>
        <v>WHEELER</v>
      </c>
      <c r="D17993">
        <f>11</f>
        <v>11</v>
      </c>
      <c r="E17993" t="str">
        <f>"05 - B - 102 - Jerry S Jiampetti"</f>
        <v>05 - B - 102 - Jerry S Jiampetti</v>
      </c>
      <c r="F17993" t="str">
        <f>"AICE U.S. HIST 1 AS"</f>
        <v>AICE U.S. HIST 1 AS</v>
      </c>
      <c r="G17993" t="str">
        <f>"17-1751"</f>
        <v>17-1751</v>
      </c>
      <c r="H17993" t="str">
        <f>"B"</f>
        <v>B</v>
      </c>
    </row>
    <row r="17994" spans="1:8" x14ac:dyDescent="0.2">
      <c r="A17994" t="str">
        <f t="shared" si="6527"/>
        <v>0615076915</v>
      </c>
      <c r="B17994" t="str">
        <f t="shared" si="6528"/>
        <v>JIZELLE</v>
      </c>
      <c r="C17994" t="str">
        <f t="shared" si="6526"/>
        <v>WHEELER</v>
      </c>
      <c r="D17994">
        <f>11</f>
        <v>11</v>
      </c>
      <c r="E17994" t="str">
        <f>"01 - A - 101 - Jacklyn M James"</f>
        <v>01 - A - 101 - Jacklyn M James</v>
      </c>
      <c r="F17994" t="str">
        <f>"AICE ENG LANG AS"</f>
        <v>AICE ENG LANG AS</v>
      </c>
      <c r="G17994" t="str">
        <f>"17-1731"</f>
        <v>17-1731</v>
      </c>
      <c r="H17994" t="str">
        <f>"A"</f>
        <v>A</v>
      </c>
    </row>
    <row r="17995" spans="1:8" x14ac:dyDescent="0.2">
      <c r="A17995" t="str">
        <f t="shared" si="6527"/>
        <v>0615076915</v>
      </c>
      <c r="B17995" t="str">
        <f t="shared" si="6528"/>
        <v>JIZELLE</v>
      </c>
      <c r="C17995" t="str">
        <f t="shared" si="6526"/>
        <v>WHEELER</v>
      </c>
      <c r="D17995">
        <f>11</f>
        <v>11</v>
      </c>
      <c r="E17995" t="str">
        <f>"08 - B - 105 - Daniel S Tyson"</f>
        <v>08 - B - 105 - Daniel S Tyson</v>
      </c>
      <c r="F17995" t="str">
        <f>"JROTC NAVAL SCI 1"</f>
        <v>JROTC NAVAL SCI 1</v>
      </c>
      <c r="G17995" t="str">
        <f>"05-510"</f>
        <v>05-510</v>
      </c>
      <c r="H17995" t="str">
        <f>"B"</f>
        <v>B</v>
      </c>
    </row>
    <row r="17996" spans="1:8" x14ac:dyDescent="0.2">
      <c r="A17996" t="str">
        <f t="shared" ref="A17996:A18003" si="6529">"0616146695"</f>
        <v>0616146695</v>
      </c>
      <c r="B17996" t="str">
        <f t="shared" ref="B17996:B18003" si="6530">"CALLIAH"</f>
        <v>CALLIAH</v>
      </c>
      <c r="C17996" t="str">
        <f t="shared" ref="C17996:C18019" si="6531">"WHITE"</f>
        <v>WHITE</v>
      </c>
      <c r="D17996" t="str">
        <f t="shared" ref="D17996:D18011" si="6532">"09"</f>
        <v>09</v>
      </c>
      <c r="E17996" t="str">
        <f>"04 - A - 106 - Lissa C Frederique"</f>
        <v>04 - A - 106 - Lissa C Frederique</v>
      </c>
      <c r="F17996" t="str">
        <f>"WORLD HISTORY"</f>
        <v>WORLD HISTORY</v>
      </c>
      <c r="G17996" t="str">
        <f>"17-1754"</f>
        <v>17-1754</v>
      </c>
      <c r="H17996" t="str">
        <f>"A"</f>
        <v>A</v>
      </c>
    </row>
    <row r="17997" spans="1:8" x14ac:dyDescent="0.2">
      <c r="A17997" t="str">
        <f t="shared" si="6529"/>
        <v>0616146695</v>
      </c>
      <c r="B17997" t="str">
        <f t="shared" si="6530"/>
        <v>CALLIAH</v>
      </c>
      <c r="C17997" t="str">
        <f t="shared" si="6531"/>
        <v>WHITE</v>
      </c>
      <c r="D17997" t="str">
        <f t="shared" si="6532"/>
        <v>09</v>
      </c>
      <c r="E17997" t="str">
        <f>"06 - B - 105 - Tina L Lovett"</f>
        <v>06 - B - 105 - Tina L Lovett</v>
      </c>
      <c r="F17997" t="str">
        <f>"FDN SKLS MATH 9-12"</f>
        <v>FDN SKLS MATH 9-12</v>
      </c>
      <c r="G17997" t="str">
        <f>"21-2153"</f>
        <v>21-2153</v>
      </c>
      <c r="H17997" t="str">
        <f>"B"</f>
        <v>B</v>
      </c>
    </row>
    <row r="17998" spans="1:8" x14ac:dyDescent="0.2">
      <c r="A17998" t="str">
        <f t="shared" si="6529"/>
        <v>0616146695</v>
      </c>
      <c r="B17998" t="str">
        <f t="shared" si="6530"/>
        <v>CALLIAH</v>
      </c>
      <c r="C17998" t="str">
        <f t="shared" si="6531"/>
        <v>WHITE</v>
      </c>
      <c r="D17998" t="str">
        <f t="shared" si="6532"/>
        <v>09</v>
      </c>
      <c r="E17998" t="str">
        <f>"03 - A - 105 - Cheryl Anne  Berman-Schechter"</f>
        <v>03 - A - 105 - Cheryl Anne  Berman-Schechter</v>
      </c>
      <c r="F17998" t="str">
        <f>"ENG 1"</f>
        <v>ENG 1</v>
      </c>
      <c r="G17998" t="str">
        <f>"17-1722"</f>
        <v>17-1722</v>
      </c>
      <c r="H17998" t="str">
        <f>"A"</f>
        <v>A</v>
      </c>
    </row>
    <row r="17999" spans="1:8" x14ac:dyDescent="0.2">
      <c r="A17999" t="str">
        <f t="shared" si="6529"/>
        <v>0616146695</v>
      </c>
      <c r="B17999" t="str">
        <f t="shared" si="6530"/>
        <v>CALLIAH</v>
      </c>
      <c r="C17999" t="str">
        <f t="shared" si="6531"/>
        <v>WHITE</v>
      </c>
      <c r="D17999" t="str">
        <f t="shared" si="6532"/>
        <v>09</v>
      </c>
      <c r="E17999" t="str">
        <f>"02 - A - 109 - Krystal Marie  Beruty"</f>
        <v>02 - A - 109 - Krystal Marie  Beruty</v>
      </c>
      <c r="F17999" t="str">
        <f>"NC STUDY HALL 1"</f>
        <v>NC STUDY HALL 1</v>
      </c>
      <c r="G17999" t="str">
        <f>"17-1721"</f>
        <v>17-1721</v>
      </c>
      <c r="H17999" t="str">
        <f>"A"</f>
        <v>A</v>
      </c>
    </row>
    <row r="18000" spans="1:8" x14ac:dyDescent="0.2">
      <c r="A18000" t="str">
        <f t="shared" si="6529"/>
        <v>0616146695</v>
      </c>
      <c r="B18000" t="str">
        <f t="shared" si="6530"/>
        <v>CALLIAH</v>
      </c>
      <c r="C18000" t="str">
        <f t="shared" si="6531"/>
        <v>WHITE</v>
      </c>
      <c r="D18000" t="str">
        <f t="shared" si="6532"/>
        <v>09</v>
      </c>
      <c r="E18000" t="str">
        <f>"07 - B - 105 - Laselleda D Shaw"</f>
        <v>07 - B - 105 - Laselleda D Shaw</v>
      </c>
      <c r="F18000" t="str">
        <f>"INTENS READ 1"</f>
        <v>INTENS READ 1</v>
      </c>
      <c r="G18000" t="str">
        <f>"17-1723"</f>
        <v>17-1723</v>
      </c>
      <c r="H18000" t="str">
        <f>"B"</f>
        <v>B</v>
      </c>
    </row>
    <row r="18001" spans="1:8" x14ac:dyDescent="0.2">
      <c r="A18001" t="str">
        <f t="shared" si="6529"/>
        <v>0616146695</v>
      </c>
      <c r="B18001" t="str">
        <f t="shared" si="6530"/>
        <v>CALLIAH</v>
      </c>
      <c r="C18001" t="str">
        <f t="shared" si="6531"/>
        <v>WHITE</v>
      </c>
      <c r="D18001" t="str">
        <f t="shared" si="6532"/>
        <v>09</v>
      </c>
      <c r="E18001" t="str">
        <f>"05 - S1 - B - 102 - Richard E Dunbar Iii"</f>
        <v>05 - S1 - B - 102 - Richard E Dunbar Iii</v>
      </c>
      <c r="F18001" t="str">
        <f>"TEAM SPORTS 1"</f>
        <v>TEAM SPORTS 1</v>
      </c>
      <c r="G18001" t="str">
        <f>"04-254"</f>
        <v>04-254</v>
      </c>
      <c r="H18001" t="str">
        <f>"B"</f>
        <v>B</v>
      </c>
    </row>
    <row r="18002" spans="1:8" x14ac:dyDescent="0.2">
      <c r="A18002" t="str">
        <f t="shared" si="6529"/>
        <v>0616146695</v>
      </c>
      <c r="B18002" t="str">
        <f t="shared" si="6530"/>
        <v>CALLIAH</v>
      </c>
      <c r="C18002" t="str">
        <f t="shared" si="6531"/>
        <v>WHITE</v>
      </c>
      <c r="D18002" t="str">
        <f t="shared" si="6532"/>
        <v>09</v>
      </c>
      <c r="E18002" t="str">
        <f>"01 - A - 101 - Tina L Lovett"</f>
        <v>01 - A - 101 - Tina L Lovett</v>
      </c>
      <c r="F18002" t="str">
        <f>"ALGEBRA 1"</f>
        <v>ALGEBRA 1</v>
      </c>
      <c r="G18002" t="str">
        <f>"21-2153"</f>
        <v>21-2153</v>
      </c>
      <c r="H18002" t="str">
        <f>"A"</f>
        <v>A</v>
      </c>
    </row>
    <row r="18003" spans="1:8" x14ac:dyDescent="0.2">
      <c r="A18003" t="str">
        <f t="shared" si="6529"/>
        <v>0616146695</v>
      </c>
      <c r="B18003" t="str">
        <f t="shared" si="6530"/>
        <v>CALLIAH</v>
      </c>
      <c r="C18003" t="str">
        <f t="shared" si="6531"/>
        <v>WHITE</v>
      </c>
      <c r="D18003" t="str">
        <f t="shared" si="6532"/>
        <v>09</v>
      </c>
      <c r="E18003" t="str">
        <f>"08 - B - 105 - Samantha J Headley"</f>
        <v>08 - B - 105 - Samantha J Headley</v>
      </c>
      <c r="F18003" t="str">
        <f>"ENV SCI"</f>
        <v>ENV SCI</v>
      </c>
      <c r="G18003" t="str">
        <f>"08-802"</f>
        <v>08-802</v>
      </c>
      <c r="H18003" t="str">
        <f>"B"</f>
        <v>B</v>
      </c>
    </row>
    <row r="18004" spans="1:8" x14ac:dyDescent="0.2">
      <c r="A18004" t="str">
        <f t="shared" ref="A18004:A18011" si="6533">"0614146364"</f>
        <v>0614146364</v>
      </c>
      <c r="B18004" t="str">
        <f t="shared" ref="B18004:B18011" si="6534">"EMMA"</f>
        <v>EMMA</v>
      </c>
      <c r="C18004" t="str">
        <f t="shared" si="6531"/>
        <v>WHITE</v>
      </c>
      <c r="D18004" t="str">
        <f t="shared" si="6532"/>
        <v>09</v>
      </c>
      <c r="E18004" t="str">
        <f>"04 - A - 102 - Byron G Montenegro"</f>
        <v>04 - A - 102 - Byron G Montenegro</v>
      </c>
      <c r="F18004" t="str">
        <f>"AICE MARINE SCI 1 AS"</f>
        <v>AICE MARINE SCI 1 AS</v>
      </c>
      <c r="G18004" t="str">
        <f>"21-2144"</f>
        <v>21-2144</v>
      </c>
      <c r="H18004" t="str">
        <f>"A"</f>
        <v>A</v>
      </c>
    </row>
    <row r="18005" spans="1:8" x14ac:dyDescent="0.2">
      <c r="A18005" t="str">
        <f t="shared" si="6533"/>
        <v>0614146364</v>
      </c>
      <c r="B18005" t="str">
        <f t="shared" si="6534"/>
        <v>EMMA</v>
      </c>
      <c r="C18005" t="str">
        <f t="shared" si="6531"/>
        <v>WHITE</v>
      </c>
      <c r="D18005" t="str">
        <f t="shared" si="6532"/>
        <v>09</v>
      </c>
      <c r="E18005" t="str">
        <f>"06 - B - 105 - Cerine S Stewart"</f>
        <v>06 - B - 105 - Cerine S Stewart</v>
      </c>
      <c r="F18005" t="str">
        <f>"AICE ENG GEN PAPER 1"</f>
        <v>AICE ENG GEN PAPER 1</v>
      </c>
      <c r="G18005" t="str">
        <f>"17-1720"</f>
        <v>17-1720</v>
      </c>
      <c r="H18005" t="str">
        <f>"B"</f>
        <v>B</v>
      </c>
    </row>
    <row r="18006" spans="1:8" x14ac:dyDescent="0.2">
      <c r="A18006" t="str">
        <f t="shared" si="6533"/>
        <v>0614146364</v>
      </c>
      <c r="B18006" t="str">
        <f t="shared" si="6534"/>
        <v>EMMA</v>
      </c>
      <c r="C18006" t="str">
        <f t="shared" si="6531"/>
        <v>WHITE</v>
      </c>
      <c r="D18006" t="str">
        <f t="shared" si="6532"/>
        <v>09</v>
      </c>
      <c r="E18006" t="str">
        <f>"03 - S1 - A - 102 - Leslie J Barton"</f>
        <v>03 - S1 - A - 102 - Leslie J Barton</v>
      </c>
      <c r="F18006" t="str">
        <f>"FIRST AID SAFETY"</f>
        <v>FIRST AID SAFETY</v>
      </c>
      <c r="G18006" t="str">
        <f>"05-521"</f>
        <v>05-521</v>
      </c>
      <c r="H18006" t="str">
        <f>"A"</f>
        <v>A</v>
      </c>
    </row>
    <row r="18007" spans="1:8" x14ac:dyDescent="0.2">
      <c r="A18007" t="str">
        <f t="shared" si="6533"/>
        <v>0614146364</v>
      </c>
      <c r="B18007" t="str">
        <f t="shared" si="6534"/>
        <v>EMMA</v>
      </c>
      <c r="C18007" t="str">
        <f t="shared" si="6531"/>
        <v>WHITE</v>
      </c>
      <c r="D18007" t="str">
        <f t="shared" si="6532"/>
        <v>09</v>
      </c>
      <c r="E18007" t="str">
        <f>"02 - A - 105 - Elizabeth R Walker"</f>
        <v>02 - A - 105 - Elizabeth R Walker</v>
      </c>
      <c r="F18007" t="str">
        <f>"NC STUDY HALL 1"</f>
        <v>NC STUDY HALL 1</v>
      </c>
      <c r="G18007" t="str">
        <f>"17-1703"</f>
        <v>17-1703</v>
      </c>
      <c r="H18007" t="str">
        <f>"A"</f>
        <v>A</v>
      </c>
    </row>
    <row r="18008" spans="1:8" x14ac:dyDescent="0.2">
      <c r="A18008" t="str">
        <f t="shared" si="6533"/>
        <v>0614146364</v>
      </c>
      <c r="B18008" t="str">
        <f t="shared" si="6534"/>
        <v>EMMA</v>
      </c>
      <c r="C18008" t="str">
        <f t="shared" si="6531"/>
        <v>WHITE</v>
      </c>
      <c r="D18008" t="str">
        <f t="shared" si="6532"/>
        <v>09</v>
      </c>
      <c r="E18008" t="str">
        <f>"07 - B - 107 - Adam Marcus  Drucker"</f>
        <v>07 - B - 107 - Adam Marcus  Drucker</v>
      </c>
      <c r="F18008" t="str">
        <f>"HOPE-PE V"</f>
        <v>HOPE-PE V</v>
      </c>
      <c r="G18008" t="str">
        <f>"04-254"</f>
        <v>04-254</v>
      </c>
      <c r="H18008" t="str">
        <f>"B"</f>
        <v>B</v>
      </c>
    </row>
    <row r="18009" spans="1:8" x14ac:dyDescent="0.2">
      <c r="A18009" t="str">
        <f t="shared" si="6533"/>
        <v>0614146364</v>
      </c>
      <c r="B18009" t="str">
        <f t="shared" si="6534"/>
        <v>EMMA</v>
      </c>
      <c r="C18009" t="str">
        <f t="shared" si="6531"/>
        <v>WHITE</v>
      </c>
      <c r="D18009" t="str">
        <f t="shared" si="6532"/>
        <v>09</v>
      </c>
      <c r="E18009" t="str">
        <f>"05 - B - 104 - Joe  Kilpatrick Jr"</f>
        <v>05 - B - 104 - Joe  Kilpatrick Jr</v>
      </c>
      <c r="F18009" t="str">
        <f>"PRE-AICE SPAN 1 IG"</f>
        <v>PRE-AICE SPAN 1 IG</v>
      </c>
      <c r="G18009" t="str">
        <f>"09-912"</f>
        <v>09-912</v>
      </c>
      <c r="H18009" t="str">
        <f>"B"</f>
        <v>B</v>
      </c>
    </row>
    <row r="18010" spans="1:8" x14ac:dyDescent="0.2">
      <c r="A18010" t="str">
        <f t="shared" si="6533"/>
        <v>0614146364</v>
      </c>
      <c r="B18010" t="str">
        <f t="shared" si="6534"/>
        <v>EMMA</v>
      </c>
      <c r="C18010" t="str">
        <f t="shared" si="6531"/>
        <v>WHITE</v>
      </c>
      <c r="D18010" t="str">
        <f t="shared" si="6532"/>
        <v>09</v>
      </c>
      <c r="E18010" t="str">
        <f>"01 - A - 101 - Maried P Ramos"</f>
        <v>01 - A - 101 - Maried P Ramos</v>
      </c>
      <c r="F18010" t="str">
        <f>"ALGEBRA 2 HON"</f>
        <v>ALGEBRA 2 HON</v>
      </c>
      <c r="G18010" t="str">
        <f>"21-2159"</f>
        <v>21-2159</v>
      </c>
      <c r="H18010" t="str">
        <f>"A"</f>
        <v>A</v>
      </c>
    </row>
    <row r="18011" spans="1:8" x14ac:dyDescent="0.2">
      <c r="A18011" t="str">
        <f t="shared" si="6533"/>
        <v>0614146364</v>
      </c>
      <c r="B18011" t="str">
        <f t="shared" si="6534"/>
        <v>EMMA</v>
      </c>
      <c r="C18011" t="str">
        <f t="shared" si="6531"/>
        <v>WHITE</v>
      </c>
      <c r="D18011" t="str">
        <f t="shared" si="6532"/>
        <v>09</v>
      </c>
      <c r="E18011" t="str">
        <f>"08 - B - 109 - Emmily A Sarmiento"</f>
        <v>08 - B - 109 - Emmily A Sarmiento</v>
      </c>
      <c r="F18011" t="str">
        <f>"AICE GLBL PERSP 1 AS"</f>
        <v>AICE GLBL PERSP 1 AS</v>
      </c>
      <c r="G18011" t="str">
        <f>"17-1743"</f>
        <v>17-1743</v>
      </c>
      <c r="H18011" t="str">
        <f>"B"</f>
        <v>B</v>
      </c>
    </row>
    <row r="18012" spans="1:8" x14ac:dyDescent="0.2">
      <c r="A18012" t="str">
        <f t="shared" ref="A18012:A18019" si="6535">"0611132631"</f>
        <v>0611132631</v>
      </c>
      <c r="B18012" t="str">
        <f t="shared" ref="B18012:B18019" si="6536">"LINDSAY"</f>
        <v>LINDSAY</v>
      </c>
      <c r="C18012" t="str">
        <f t="shared" si="6531"/>
        <v>WHITE</v>
      </c>
      <c r="D18012">
        <f>12</f>
        <v>12</v>
      </c>
      <c r="E18012" t="str">
        <f>"04 - A - 106 - Tina M Jaramillo"</f>
        <v>04 - A - 106 - Tina M Jaramillo</v>
      </c>
      <c r="F18012" t="str">
        <f>"AP ENG LIT COMPO"</f>
        <v>AP ENG LIT COMPO</v>
      </c>
      <c r="G18012" t="str">
        <f>"17-1706"</f>
        <v>17-1706</v>
      </c>
      <c r="H18012" t="str">
        <f>"A"</f>
        <v>A</v>
      </c>
    </row>
    <row r="18013" spans="1:8" x14ac:dyDescent="0.2">
      <c r="A18013" t="str">
        <f t="shared" si="6535"/>
        <v>0611132631</v>
      </c>
      <c r="B18013" t="str">
        <f t="shared" si="6536"/>
        <v>LINDSAY</v>
      </c>
      <c r="C18013" t="str">
        <f t="shared" si="6531"/>
        <v>WHITE</v>
      </c>
      <c r="D18013">
        <f>12</f>
        <v>12</v>
      </c>
      <c r="E18013" t="str">
        <f>"06 - B - 112 - Lisa  Quinn"</f>
        <v>06 - B - 112 - Lisa  Quinn</v>
      </c>
      <c r="F18013" t="str">
        <f>"NC STUDY HALL 1"</f>
        <v>NC STUDY HALL 1</v>
      </c>
      <c r="G18013" t="str">
        <f>"17-1725"</f>
        <v>17-1725</v>
      </c>
      <c r="H18013" t="str">
        <f>"B"</f>
        <v>B</v>
      </c>
    </row>
    <row r="18014" spans="1:8" x14ac:dyDescent="0.2">
      <c r="A18014" t="str">
        <f t="shared" si="6535"/>
        <v>0611132631</v>
      </c>
      <c r="B18014" t="str">
        <f t="shared" si="6536"/>
        <v>LINDSAY</v>
      </c>
      <c r="C18014" t="str">
        <f t="shared" si="6531"/>
        <v>WHITE</v>
      </c>
      <c r="D18014">
        <f>12</f>
        <v>12</v>
      </c>
      <c r="E18014" t="str">
        <f>"03 - A - 101 - Carleigh R Carmichael"</f>
        <v>03 - A - 101 - Carleigh R Carmichael</v>
      </c>
      <c r="F18014" t="str">
        <f>"LEAD TECHQS HONORS"</f>
        <v>LEAD TECHQS HONORS</v>
      </c>
      <c r="G18014" t="str">
        <f>"20-2072"</f>
        <v>20-2072</v>
      </c>
      <c r="H18014" t="str">
        <f>"A"</f>
        <v>A</v>
      </c>
    </row>
    <row r="18015" spans="1:8" x14ac:dyDescent="0.2">
      <c r="A18015" t="str">
        <f t="shared" si="6535"/>
        <v>0611132631</v>
      </c>
      <c r="B18015" t="str">
        <f t="shared" si="6536"/>
        <v>LINDSAY</v>
      </c>
      <c r="C18015" t="str">
        <f t="shared" si="6531"/>
        <v>WHITE</v>
      </c>
      <c r="D18015">
        <f>12</f>
        <v>12</v>
      </c>
      <c r="E18015" t="str">
        <f>"02 - A - 201 - Jeanne M Bermudez"</f>
        <v>02 - A - 201 - Jeanne M Bermudez</v>
      </c>
      <c r="F18015" t="str">
        <f>"AP ENV SCI"</f>
        <v>AP ENV SCI</v>
      </c>
      <c r="G18015" t="str">
        <f>"21-2141"</f>
        <v>21-2141</v>
      </c>
      <c r="H18015" t="str">
        <f>"A"</f>
        <v>A</v>
      </c>
    </row>
    <row r="18016" spans="1:8" x14ac:dyDescent="0.2">
      <c r="A18016" t="str">
        <f t="shared" si="6535"/>
        <v>0611132631</v>
      </c>
      <c r="B18016" t="str">
        <f t="shared" si="6536"/>
        <v>LINDSAY</v>
      </c>
      <c r="C18016" t="str">
        <f t="shared" si="6531"/>
        <v>WHITE</v>
      </c>
      <c r="D18016">
        <f>12</f>
        <v>12</v>
      </c>
      <c r="E18016" t="str">
        <f>"07 - S1 - B - 101 - Stephen T Ripp"</f>
        <v>07 - S1 - B - 101 - Stephen T Ripp</v>
      </c>
      <c r="F18016" t="str">
        <f>"AP US GOVT/POL"</f>
        <v>AP US GOVT/POL</v>
      </c>
      <c r="G18016" t="str">
        <f>"17-1744"</f>
        <v>17-1744</v>
      </c>
      <c r="H18016" t="str">
        <f>"B"</f>
        <v>B</v>
      </c>
    </row>
    <row r="18017" spans="1:8" x14ac:dyDescent="0.2">
      <c r="A18017" t="str">
        <f t="shared" si="6535"/>
        <v>0611132631</v>
      </c>
      <c r="B18017" t="str">
        <f t="shared" si="6536"/>
        <v>LINDSAY</v>
      </c>
      <c r="C18017" t="str">
        <f t="shared" si="6531"/>
        <v>WHITE</v>
      </c>
      <c r="D18017">
        <f>12</f>
        <v>12</v>
      </c>
      <c r="E18017" t="str">
        <f>"05 - B - 101 - Pamela M Corzo"</f>
        <v>05 - B - 101 - Pamela M Corzo</v>
      </c>
      <c r="F18017" t="str">
        <f>"AP CALCULUS AB"</f>
        <v>AP CALCULUS AB</v>
      </c>
      <c r="G18017" t="str">
        <f>"21-2133"</f>
        <v>21-2133</v>
      </c>
      <c r="H18017" t="str">
        <f>"B"</f>
        <v>B</v>
      </c>
    </row>
    <row r="18018" spans="1:8" x14ac:dyDescent="0.2">
      <c r="A18018" t="str">
        <f t="shared" si="6535"/>
        <v>0611132631</v>
      </c>
      <c r="B18018" t="str">
        <f t="shared" si="6536"/>
        <v>LINDSAY</v>
      </c>
      <c r="C18018" t="str">
        <f t="shared" si="6531"/>
        <v>WHITE</v>
      </c>
      <c r="D18018">
        <f>12</f>
        <v>12</v>
      </c>
      <c r="E18018" t="str">
        <f>"01 - A - 201 - Jeanne M Bermudez"</f>
        <v>01 - A - 201 - Jeanne M Bermudez</v>
      </c>
      <c r="F18018" t="str">
        <f>"PHYSICS 1 HON"</f>
        <v>PHYSICS 1 HON</v>
      </c>
      <c r="G18018" t="str">
        <f>"21-2141"</f>
        <v>21-2141</v>
      </c>
      <c r="H18018" t="str">
        <f>"A"</f>
        <v>A</v>
      </c>
    </row>
    <row r="18019" spans="1:8" x14ac:dyDescent="0.2">
      <c r="A18019" t="str">
        <f t="shared" si="6535"/>
        <v>0611132631</v>
      </c>
      <c r="B18019" t="str">
        <f t="shared" si="6536"/>
        <v>LINDSAY</v>
      </c>
      <c r="C18019" t="str">
        <f t="shared" si="6531"/>
        <v>WHITE</v>
      </c>
      <c r="D18019">
        <f>12</f>
        <v>12</v>
      </c>
      <c r="E18019" t="str">
        <f>"08 - B - 102 - Lisa J London"</f>
        <v>08 - B - 102 - Lisa J London</v>
      </c>
      <c r="F18019" t="str">
        <f>"AP CAPSTONE RESEARCH"</f>
        <v>AP CAPSTONE RESEARCH</v>
      </c>
      <c r="G18019" t="str">
        <f>"17-1714"</f>
        <v>17-1714</v>
      </c>
      <c r="H18019" t="str">
        <f>"B"</f>
        <v>B</v>
      </c>
    </row>
    <row r="18020" spans="1:8" x14ac:dyDescent="0.2">
      <c r="A18020" t="str">
        <f t="shared" ref="A18020:A18028" si="6537">"0618025230"</f>
        <v>0618025230</v>
      </c>
      <c r="B18020" t="str">
        <f t="shared" ref="B18020:B18028" si="6538">"KEMORA"</f>
        <v>KEMORA</v>
      </c>
      <c r="C18020" t="str">
        <f t="shared" ref="C18020:C18028" si="6539">"WHITELOCKE"</f>
        <v>WHITELOCKE</v>
      </c>
      <c r="D18020">
        <f>12</f>
        <v>12</v>
      </c>
      <c r="E18020" t="str">
        <f>"19 - S1 - MTWHF - BCC - Instructor BC"</f>
        <v>19 - S1 - MTWHF - BCC - Instructor BC</v>
      </c>
      <c r="F18020" t="str">
        <f>"COLLEGE ALGEBRA"</f>
        <v>COLLEGE ALGEBRA</v>
      </c>
      <c r="G18020" t="str">
        <f>"60-DE"</f>
        <v>60-DE</v>
      </c>
      <c r="H18020" t="str">
        <f>"-"</f>
        <v>-</v>
      </c>
    </row>
    <row r="18021" spans="1:8" x14ac:dyDescent="0.2">
      <c r="A18021" t="str">
        <f t="shared" si="6537"/>
        <v>0618025230</v>
      </c>
      <c r="B18021" t="str">
        <f t="shared" si="6538"/>
        <v>KEMORA</v>
      </c>
      <c r="C18021" t="str">
        <f t="shared" si="6539"/>
        <v>WHITELOCKE</v>
      </c>
      <c r="D18021">
        <f>12</f>
        <v>12</v>
      </c>
      <c r="E18021" t="str">
        <f>"04 - A - 201 - Arthur  Kulawik"</f>
        <v>04 - A - 201 - Arthur  Kulawik</v>
      </c>
      <c r="F18021" t="str">
        <f>"DEBATE 4 HON"</f>
        <v>DEBATE 4 HON</v>
      </c>
      <c r="G18021" t="str">
        <f>"05-506"</f>
        <v>05-506</v>
      </c>
      <c r="H18021" t="str">
        <f>"A"</f>
        <v>A</v>
      </c>
    </row>
    <row r="18022" spans="1:8" x14ac:dyDescent="0.2">
      <c r="A18022" t="str">
        <f t="shared" si="6537"/>
        <v>0618025230</v>
      </c>
      <c r="B18022" t="str">
        <f t="shared" si="6538"/>
        <v>KEMORA</v>
      </c>
      <c r="C18022" t="str">
        <f t="shared" si="6539"/>
        <v>WHITELOCKE</v>
      </c>
      <c r="D18022">
        <f>12</f>
        <v>12</v>
      </c>
      <c r="E18022" t="str">
        <f>"06 - B - 108 - Jacquelyn M Neeson"</f>
        <v>06 - B - 108 - Jacquelyn M Neeson</v>
      </c>
      <c r="F18022" t="str">
        <f>"NC STUDY HALL 1"</f>
        <v>NC STUDY HALL 1</v>
      </c>
      <c r="G18022" t="str">
        <f>"17-1715"</f>
        <v>17-1715</v>
      </c>
      <c r="H18022" t="str">
        <f>"B"</f>
        <v>B</v>
      </c>
    </row>
    <row r="18023" spans="1:8" x14ac:dyDescent="0.2">
      <c r="A18023" t="str">
        <f t="shared" si="6537"/>
        <v>0618025230</v>
      </c>
      <c r="B18023" t="str">
        <f t="shared" si="6538"/>
        <v>KEMORA</v>
      </c>
      <c r="C18023" t="str">
        <f t="shared" si="6539"/>
        <v>WHITELOCKE</v>
      </c>
      <c r="D18023">
        <f>12</f>
        <v>12</v>
      </c>
      <c r="E18023" t="str">
        <f>"03 - A - 101 - Lisa J London"</f>
        <v>03 - A - 101 - Lisa J London</v>
      </c>
      <c r="F18023" t="str">
        <f>"AP CAPSTONE RESEARCH"</f>
        <v>AP CAPSTONE RESEARCH</v>
      </c>
      <c r="G18023" t="str">
        <f>"17-1714"</f>
        <v>17-1714</v>
      </c>
      <c r="H18023" t="str">
        <f>"A"</f>
        <v>A</v>
      </c>
    </row>
    <row r="18024" spans="1:8" x14ac:dyDescent="0.2">
      <c r="A18024" t="str">
        <f t="shared" si="6537"/>
        <v>0618025230</v>
      </c>
      <c r="B18024" t="str">
        <f t="shared" si="6538"/>
        <v>KEMORA</v>
      </c>
      <c r="C18024" t="str">
        <f t="shared" si="6539"/>
        <v>WHITELOCKE</v>
      </c>
      <c r="D18024">
        <f>12</f>
        <v>12</v>
      </c>
      <c r="E18024" t="str">
        <f>"02 - A - 102 - Norayda D Suarez"</f>
        <v>02 - A - 102 - Norayda D Suarez</v>
      </c>
      <c r="F18024" t="str">
        <f>"RESEARCH 1 LH"</f>
        <v>RESEARCH 1 LH</v>
      </c>
      <c r="G18024">
        <f>2041</f>
        <v>2041</v>
      </c>
      <c r="H18024" t="str">
        <f>"A"</f>
        <v>A</v>
      </c>
    </row>
    <row r="18025" spans="1:8" x14ac:dyDescent="0.2">
      <c r="A18025" t="str">
        <f t="shared" si="6537"/>
        <v>0618025230</v>
      </c>
      <c r="B18025" t="str">
        <f t="shared" si="6538"/>
        <v>KEMORA</v>
      </c>
      <c r="C18025" t="str">
        <f t="shared" si="6539"/>
        <v>WHITELOCKE</v>
      </c>
      <c r="D18025">
        <f>12</f>
        <v>12</v>
      </c>
      <c r="E18025" t="str">
        <f>"07 - B - 102 - Courtney E Hambright"</f>
        <v>07 - B - 102 - Courtney E Hambright</v>
      </c>
      <c r="F18025" t="str">
        <f>"AP ENG LIT COMPO"</f>
        <v>AP ENG LIT COMPO</v>
      </c>
      <c r="G18025" t="str">
        <f>"17-1711"</f>
        <v>17-1711</v>
      </c>
      <c r="H18025" t="str">
        <f>"B"</f>
        <v>B</v>
      </c>
    </row>
    <row r="18026" spans="1:8" x14ac:dyDescent="0.2">
      <c r="A18026" t="str">
        <f t="shared" si="6537"/>
        <v>0618025230</v>
      </c>
      <c r="B18026" t="str">
        <f t="shared" si="6538"/>
        <v>KEMORA</v>
      </c>
      <c r="C18026" t="str">
        <f t="shared" si="6539"/>
        <v>WHITELOCKE</v>
      </c>
      <c r="D18026">
        <f>12</f>
        <v>12</v>
      </c>
      <c r="E18026" t="str">
        <f>"05 - S1 - B - 103 - Stephen T Ripp"</f>
        <v>05 - S1 - B - 103 - Stephen T Ripp</v>
      </c>
      <c r="F18026" t="str">
        <f>"AP US GOVT/POL"</f>
        <v>AP US GOVT/POL</v>
      </c>
      <c r="G18026" t="str">
        <f>"17-1744"</f>
        <v>17-1744</v>
      </c>
      <c r="H18026" t="str">
        <f>"B"</f>
        <v>B</v>
      </c>
    </row>
    <row r="18027" spans="1:8" x14ac:dyDescent="0.2">
      <c r="A18027" t="str">
        <f t="shared" si="6537"/>
        <v>0618025230</v>
      </c>
      <c r="B18027" t="str">
        <f t="shared" si="6538"/>
        <v>KEMORA</v>
      </c>
      <c r="C18027" t="str">
        <f t="shared" si="6539"/>
        <v>WHITELOCKE</v>
      </c>
      <c r="D18027">
        <f>12</f>
        <v>12</v>
      </c>
      <c r="E18027" t="str">
        <f>"01 - A - 101 - Kelly N Panza"</f>
        <v>01 - A - 101 - Kelly N Panza</v>
      </c>
      <c r="F18027" t="str">
        <f>"AP HUMAN GEOG"</f>
        <v>AP HUMAN GEOG</v>
      </c>
      <c r="G18027" t="str">
        <f>"17-1753"</f>
        <v>17-1753</v>
      </c>
      <c r="H18027" t="str">
        <f>"A"</f>
        <v>A</v>
      </c>
    </row>
    <row r="18028" spans="1:8" x14ac:dyDescent="0.2">
      <c r="A18028" t="str">
        <f t="shared" si="6537"/>
        <v>0618025230</v>
      </c>
      <c r="B18028" t="str">
        <f t="shared" si="6538"/>
        <v>KEMORA</v>
      </c>
      <c r="C18028" t="str">
        <f t="shared" si="6539"/>
        <v>WHITELOCKE</v>
      </c>
      <c r="D18028">
        <f>12</f>
        <v>12</v>
      </c>
      <c r="E18028" t="str">
        <f>"08 - B - 103 - Marielle A Witting"</f>
        <v>08 - B - 103 - Marielle A Witting</v>
      </c>
      <c r="F18028" t="str">
        <f>"AP BIO"</f>
        <v>AP BIO</v>
      </c>
      <c r="G18028" t="str">
        <f>"08-805"</f>
        <v>08-805</v>
      </c>
      <c r="H18028" t="str">
        <f>"B"</f>
        <v>B</v>
      </c>
    </row>
    <row r="18029" spans="1:8" x14ac:dyDescent="0.2">
      <c r="A18029" t="str">
        <f t="shared" ref="A18029:A18036" si="6540">"0614028945"</f>
        <v>0614028945</v>
      </c>
      <c r="B18029" t="str">
        <f t="shared" ref="B18029:B18036" si="6541">"ANDREA"</f>
        <v>ANDREA</v>
      </c>
      <c r="C18029" t="str">
        <f t="shared" ref="C18029:C18036" si="6542">"WHITFIELD"</f>
        <v>WHITFIELD</v>
      </c>
      <c r="D18029">
        <f>12</f>
        <v>12</v>
      </c>
      <c r="E18029" t="str">
        <f>"04 - S1 - A - 106 - Kelly N Panza"</f>
        <v>04 - S1 - A - 106 - Kelly N Panza</v>
      </c>
      <c r="F18029" t="str">
        <f>"US GOVT HON"</f>
        <v>US GOVT HON</v>
      </c>
      <c r="G18029" t="str">
        <f>"17-1753"</f>
        <v>17-1753</v>
      </c>
      <c r="H18029" t="str">
        <f>"A"</f>
        <v>A</v>
      </c>
    </row>
    <row r="18030" spans="1:8" x14ac:dyDescent="0.2">
      <c r="A18030" t="str">
        <f t="shared" si="6540"/>
        <v>0614028945</v>
      </c>
      <c r="B18030" t="str">
        <f t="shared" si="6541"/>
        <v>ANDREA</v>
      </c>
      <c r="C18030" t="str">
        <f t="shared" si="6542"/>
        <v>WHITFIELD</v>
      </c>
      <c r="D18030">
        <f>12</f>
        <v>12</v>
      </c>
      <c r="E18030" t="str">
        <f>"06 - B - 103 - Stefanie S Scher"</f>
        <v>06 - B - 103 - Stefanie S Scher</v>
      </c>
      <c r="F18030" t="str">
        <f>"NC STUDY HALL 1"</f>
        <v>NC STUDY HALL 1</v>
      </c>
      <c r="G18030" t="str">
        <f>"17-1735"</f>
        <v>17-1735</v>
      </c>
      <c r="H18030" t="str">
        <f>"B"</f>
        <v>B</v>
      </c>
    </row>
    <row r="18031" spans="1:8" x14ac:dyDescent="0.2">
      <c r="A18031" t="str">
        <f t="shared" si="6540"/>
        <v>0614028945</v>
      </c>
      <c r="B18031" t="str">
        <f t="shared" si="6541"/>
        <v>ANDREA</v>
      </c>
      <c r="C18031" t="str">
        <f t="shared" si="6542"/>
        <v>WHITFIELD</v>
      </c>
      <c r="D18031">
        <f>12</f>
        <v>12</v>
      </c>
      <c r="E18031" t="str">
        <f>"03 - A - 101 - Jeffrey S Gallagher"</f>
        <v>03 - A - 101 - Jeffrey S Gallagher</v>
      </c>
      <c r="F18031" t="str">
        <f>"ENG HON 4"</f>
        <v>ENG HON 4</v>
      </c>
      <c r="G18031" t="str">
        <f>"17-1724"</f>
        <v>17-1724</v>
      </c>
      <c r="H18031" t="str">
        <f>"A"</f>
        <v>A</v>
      </c>
    </row>
    <row r="18032" spans="1:8" x14ac:dyDescent="0.2">
      <c r="A18032" t="str">
        <f t="shared" si="6540"/>
        <v>0614028945</v>
      </c>
      <c r="B18032" t="str">
        <f t="shared" si="6541"/>
        <v>ANDREA</v>
      </c>
      <c r="C18032" t="str">
        <f t="shared" si="6542"/>
        <v>WHITFIELD</v>
      </c>
      <c r="D18032">
        <f>12</f>
        <v>12</v>
      </c>
      <c r="E18032" t="str">
        <f>"02 - S1 - A - 102 - Richard E Dunbar Iii"</f>
        <v>02 - S1 - A - 102 - Richard E Dunbar Iii</v>
      </c>
      <c r="F18032" t="str">
        <f>"WEIGHT TRAIN 3"</f>
        <v>WEIGHT TRAIN 3</v>
      </c>
      <c r="G18032" t="str">
        <f>"05-501"</f>
        <v>05-501</v>
      </c>
      <c r="H18032" t="str">
        <f>"A"</f>
        <v>A</v>
      </c>
    </row>
    <row r="18033" spans="1:8" x14ac:dyDescent="0.2">
      <c r="A18033" t="str">
        <f t="shared" si="6540"/>
        <v>0614028945</v>
      </c>
      <c r="B18033" t="str">
        <f t="shared" si="6541"/>
        <v>ANDREA</v>
      </c>
      <c r="C18033" t="str">
        <f t="shared" si="6542"/>
        <v>WHITFIELD</v>
      </c>
      <c r="D18033">
        <f>12</f>
        <v>12</v>
      </c>
      <c r="E18033" t="str">
        <f>"07 - B - 102 - Thomas G Handwerg"</f>
        <v>07 - B - 102 - Thomas G Handwerg</v>
      </c>
      <c r="F18033" t="str">
        <f>"PROB STAT W/APPS HON"</f>
        <v>PROB STAT W/APPS HON</v>
      </c>
      <c r="G18033" t="str">
        <f>"21-2146"</f>
        <v>21-2146</v>
      </c>
      <c r="H18033" t="str">
        <f>"B"</f>
        <v>B</v>
      </c>
    </row>
    <row r="18034" spans="1:8" x14ac:dyDescent="0.2">
      <c r="A18034" t="str">
        <f t="shared" si="6540"/>
        <v>0614028945</v>
      </c>
      <c r="B18034" t="str">
        <f t="shared" si="6541"/>
        <v>ANDREA</v>
      </c>
      <c r="C18034" t="str">
        <f t="shared" si="6542"/>
        <v>WHITFIELD</v>
      </c>
      <c r="D18034">
        <f>12</f>
        <v>12</v>
      </c>
      <c r="E18034" t="str">
        <f>"05 - B - 101 - Jordana K Hass"</f>
        <v>05 - B - 101 - Jordana K Hass</v>
      </c>
      <c r="F18034" t="str">
        <f>"AP COMP SCI PRIN"</f>
        <v>AP COMP SCI PRIN</v>
      </c>
      <c r="G18034" t="str">
        <f>"08-807"</f>
        <v>08-807</v>
      </c>
      <c r="H18034" t="str">
        <f>"B"</f>
        <v>B</v>
      </c>
    </row>
    <row r="18035" spans="1:8" x14ac:dyDescent="0.2">
      <c r="A18035" t="str">
        <f t="shared" si="6540"/>
        <v>0614028945</v>
      </c>
      <c r="B18035" t="str">
        <f t="shared" si="6541"/>
        <v>ANDREA</v>
      </c>
      <c r="C18035" t="str">
        <f t="shared" si="6542"/>
        <v>WHITFIELD</v>
      </c>
      <c r="D18035">
        <f>12</f>
        <v>12</v>
      </c>
      <c r="E18035" t="str">
        <f>"01 - A - 101 - Kelly N Panza"</f>
        <v>01 - A - 101 - Kelly N Panza</v>
      </c>
      <c r="F18035" t="str">
        <f>"AP HUMAN GEOG"</f>
        <v>AP HUMAN GEOG</v>
      </c>
      <c r="G18035" t="str">
        <f>"17-1753"</f>
        <v>17-1753</v>
      </c>
      <c r="H18035" t="str">
        <f>"A"</f>
        <v>A</v>
      </c>
    </row>
    <row r="18036" spans="1:8" x14ac:dyDescent="0.2">
      <c r="A18036" t="str">
        <f t="shared" si="6540"/>
        <v>0614028945</v>
      </c>
      <c r="B18036" t="str">
        <f t="shared" si="6541"/>
        <v>ANDREA</v>
      </c>
      <c r="C18036" t="str">
        <f t="shared" si="6542"/>
        <v>WHITFIELD</v>
      </c>
      <c r="D18036">
        <f>12</f>
        <v>12</v>
      </c>
      <c r="E18036" t="str">
        <f>"08 - B - 102 - Josiah I Lacy"</f>
        <v>08 - B - 102 - Josiah I Lacy</v>
      </c>
      <c r="F18036" t="str">
        <f>"ANAT PHYSIO HON"</f>
        <v>ANAT PHYSIO HON</v>
      </c>
      <c r="G18036" t="str">
        <f>"08-801"</f>
        <v>08-801</v>
      </c>
      <c r="H18036" t="str">
        <f>"B"</f>
        <v>B</v>
      </c>
    </row>
    <row r="18037" spans="1:8" x14ac:dyDescent="0.2">
      <c r="A18037" t="str">
        <f t="shared" ref="A18037:A18044" si="6543">"0616036260"</f>
        <v>0616036260</v>
      </c>
      <c r="B18037" t="str">
        <f t="shared" ref="B18037:B18044" si="6544">"CHEYENNE"</f>
        <v>CHEYENNE</v>
      </c>
      <c r="C18037" t="str">
        <f t="shared" ref="C18037:C18052" si="6545">"WIGGINS"</f>
        <v>WIGGINS</v>
      </c>
      <c r="D18037">
        <f>10</f>
        <v>10</v>
      </c>
      <c r="E18037" t="str">
        <f>"04 - A - 104 - Courtney E Hambright"</f>
        <v>04 - A - 104 - Courtney E Hambright</v>
      </c>
      <c r="F18037" t="str">
        <f>"AICE ENG LANG AS"</f>
        <v>AICE ENG LANG AS</v>
      </c>
      <c r="G18037" t="str">
        <f>"17-1711"</f>
        <v>17-1711</v>
      </c>
      <c r="H18037" t="str">
        <f>"A"</f>
        <v>A</v>
      </c>
    </row>
    <row r="18038" spans="1:8" x14ac:dyDescent="0.2">
      <c r="A18038" t="str">
        <f t="shared" si="6543"/>
        <v>0616036260</v>
      </c>
      <c r="B18038" t="str">
        <f t="shared" si="6544"/>
        <v>CHEYENNE</v>
      </c>
      <c r="C18038" t="str">
        <f t="shared" si="6545"/>
        <v>WIGGINS</v>
      </c>
      <c r="D18038">
        <f>10</f>
        <v>10</v>
      </c>
      <c r="E18038" t="str">
        <f>"06 - B - 110 - Jerry S Jiampetti"</f>
        <v>06 - B - 110 - Jerry S Jiampetti</v>
      </c>
      <c r="F18038" t="str">
        <f>"NC STUDY HALL 1"</f>
        <v>NC STUDY HALL 1</v>
      </c>
      <c r="G18038" t="str">
        <f>"17-1751"</f>
        <v>17-1751</v>
      </c>
      <c r="H18038" t="str">
        <f>"B"</f>
        <v>B</v>
      </c>
    </row>
    <row r="18039" spans="1:8" x14ac:dyDescent="0.2">
      <c r="A18039" t="str">
        <f t="shared" si="6543"/>
        <v>0616036260</v>
      </c>
      <c r="B18039" t="str">
        <f t="shared" si="6544"/>
        <v>CHEYENNE</v>
      </c>
      <c r="C18039" t="str">
        <f t="shared" si="6545"/>
        <v>WIGGINS</v>
      </c>
      <c r="D18039">
        <f>10</f>
        <v>10</v>
      </c>
      <c r="E18039" t="str">
        <f>"03 - A - 202 - Cheryl L Beach"</f>
        <v>03 - A - 202 - Cheryl L Beach</v>
      </c>
      <c r="F18039" t="str">
        <f>"AICE ENV MGMNT AS"</f>
        <v>AICE ENV MGMNT AS</v>
      </c>
      <c r="G18039" t="str">
        <f>"08-811"</f>
        <v>08-811</v>
      </c>
      <c r="H18039" t="str">
        <f>"A"</f>
        <v>A</v>
      </c>
    </row>
    <row r="18040" spans="1:8" x14ac:dyDescent="0.2">
      <c r="A18040" t="str">
        <f t="shared" si="6543"/>
        <v>0616036260</v>
      </c>
      <c r="B18040" t="str">
        <f t="shared" si="6544"/>
        <v>CHEYENNE</v>
      </c>
      <c r="C18040" t="str">
        <f t="shared" si="6545"/>
        <v>WIGGINS</v>
      </c>
      <c r="D18040">
        <f>10</f>
        <v>10</v>
      </c>
      <c r="E18040" t="str">
        <f>"02 - A - 205 - Emmily A Sarmiento"</f>
        <v>02 - A - 205 - Emmily A Sarmiento</v>
      </c>
      <c r="F18040" t="str">
        <f>"AICE GLBL PERSP 1 AS"</f>
        <v>AICE GLBL PERSP 1 AS</v>
      </c>
      <c r="G18040" t="str">
        <f>"17-1743"</f>
        <v>17-1743</v>
      </c>
      <c r="H18040" t="str">
        <f>"A"</f>
        <v>A</v>
      </c>
    </row>
    <row r="18041" spans="1:8" x14ac:dyDescent="0.2">
      <c r="A18041" t="str">
        <f t="shared" si="6543"/>
        <v>0616036260</v>
      </c>
      <c r="B18041" t="str">
        <f t="shared" si="6544"/>
        <v>CHEYENNE</v>
      </c>
      <c r="C18041" t="str">
        <f t="shared" si="6545"/>
        <v>WIGGINS</v>
      </c>
      <c r="D18041">
        <f>10</f>
        <v>10</v>
      </c>
      <c r="E18041" t="str">
        <f>"07 - B - 110 - Ferrie J Arostique"</f>
        <v>07 - B - 110 - Ferrie J Arostique</v>
      </c>
      <c r="F18041" t="str">
        <f>"GEOMETRY"</f>
        <v>GEOMETRY</v>
      </c>
      <c r="G18041" t="str">
        <f>"21-2139"</f>
        <v>21-2139</v>
      </c>
      <c r="H18041" t="str">
        <f>"B"</f>
        <v>B</v>
      </c>
    </row>
    <row r="18042" spans="1:8" x14ac:dyDescent="0.2">
      <c r="A18042" t="str">
        <f t="shared" si="6543"/>
        <v>0616036260</v>
      </c>
      <c r="B18042" t="str">
        <f t="shared" si="6544"/>
        <v>CHEYENNE</v>
      </c>
      <c r="C18042" t="str">
        <f t="shared" si="6545"/>
        <v>WIGGINS</v>
      </c>
      <c r="D18042">
        <f>10</f>
        <v>10</v>
      </c>
      <c r="E18042" t="str">
        <f>"05 - B - 101 - Brian M Fitzgerald"</f>
        <v>05 - B - 101 - Brian M Fitzgerald</v>
      </c>
      <c r="F18042" t="str">
        <f>"PAINT 1"</f>
        <v>PAINT 1</v>
      </c>
      <c r="G18042" t="str">
        <f>"09-908"</f>
        <v>09-908</v>
      </c>
      <c r="H18042" t="str">
        <f>"B"</f>
        <v>B</v>
      </c>
    </row>
    <row r="18043" spans="1:8" x14ac:dyDescent="0.2">
      <c r="A18043" t="str">
        <f t="shared" si="6543"/>
        <v>0616036260</v>
      </c>
      <c r="B18043" t="str">
        <f t="shared" si="6544"/>
        <v>CHEYENNE</v>
      </c>
      <c r="C18043" t="str">
        <f t="shared" si="6545"/>
        <v>WIGGINS</v>
      </c>
      <c r="D18043">
        <f>10</f>
        <v>10</v>
      </c>
      <c r="E18043" t="str">
        <f>"01 - S1 - A - 101 - Lissa C Frederique"</f>
        <v>01 - S1 - A - 101 - Lissa C Frederique</v>
      </c>
      <c r="F18043" t="str">
        <f>"PERS FIN &amp; MON MGT H"</f>
        <v>PERS FIN &amp; MON MGT H</v>
      </c>
      <c r="G18043" t="str">
        <f>"17-1754"</f>
        <v>17-1754</v>
      </c>
      <c r="H18043" t="str">
        <f>"A"</f>
        <v>A</v>
      </c>
    </row>
    <row r="18044" spans="1:8" x14ac:dyDescent="0.2">
      <c r="A18044" t="str">
        <f t="shared" si="6543"/>
        <v>0616036260</v>
      </c>
      <c r="B18044" t="str">
        <f t="shared" si="6544"/>
        <v>CHEYENNE</v>
      </c>
      <c r="C18044" t="str">
        <f t="shared" si="6545"/>
        <v>WIGGINS</v>
      </c>
      <c r="D18044">
        <f>10</f>
        <v>10</v>
      </c>
      <c r="E18044" t="str">
        <f>"08 - B - 001 - Chrystina M Marchionne"</f>
        <v>08 - B - 001 - Chrystina M Marchionne</v>
      </c>
      <c r="F18044" t="str">
        <f>"JOURN 1 (YB) LH"</f>
        <v>JOURN 1 (YB) LH</v>
      </c>
      <c r="G18044" t="str">
        <f>"05-520"</f>
        <v>05-520</v>
      </c>
      <c r="H18044" t="str">
        <f>"B"</f>
        <v>B</v>
      </c>
    </row>
    <row r="18045" spans="1:8" x14ac:dyDescent="0.2">
      <c r="A18045" t="str">
        <f t="shared" ref="A18045:A18052" si="6546">"0612132444"</f>
        <v>0612132444</v>
      </c>
      <c r="B18045" t="str">
        <f t="shared" ref="B18045:B18052" si="6547">"JOSIAH"</f>
        <v>JOSIAH</v>
      </c>
      <c r="C18045" t="str">
        <f t="shared" si="6545"/>
        <v>WIGGINS</v>
      </c>
      <c r="D18045">
        <f>10</f>
        <v>10</v>
      </c>
      <c r="E18045" t="str">
        <f>"04 - S1 - A - 103 - James H Mccann"</f>
        <v>04 - S1 - A - 103 - James H Mccann</v>
      </c>
      <c r="F18045" t="str">
        <f>"PERS FIN &amp; MON MGT H"</f>
        <v>PERS FIN &amp; MON MGT H</v>
      </c>
      <c r="G18045" t="str">
        <f>"17-1716"</f>
        <v>17-1716</v>
      </c>
      <c r="H18045" t="str">
        <f>"A"</f>
        <v>A</v>
      </c>
    </row>
    <row r="18046" spans="1:8" x14ac:dyDescent="0.2">
      <c r="A18046" t="str">
        <f t="shared" si="6546"/>
        <v>0612132444</v>
      </c>
      <c r="B18046" t="str">
        <f t="shared" si="6547"/>
        <v>JOSIAH</v>
      </c>
      <c r="C18046" t="str">
        <f t="shared" si="6545"/>
        <v>WIGGINS</v>
      </c>
      <c r="D18046">
        <f>10</f>
        <v>10</v>
      </c>
      <c r="E18046" t="str">
        <f>"06 - B - 113 - Joe  Kilpatrick Jr"</f>
        <v>06 - B - 113 - Joe  Kilpatrick Jr</v>
      </c>
      <c r="F18046" t="str">
        <f>"NC STUDY HALL 1"</f>
        <v>NC STUDY HALL 1</v>
      </c>
      <c r="G18046" t="str">
        <f>"09-912"</f>
        <v>09-912</v>
      </c>
      <c r="H18046" t="str">
        <f>"B"</f>
        <v>B</v>
      </c>
    </row>
    <row r="18047" spans="1:8" x14ac:dyDescent="0.2">
      <c r="A18047" t="str">
        <f t="shared" si="6546"/>
        <v>0612132444</v>
      </c>
      <c r="B18047" t="str">
        <f t="shared" si="6547"/>
        <v>JOSIAH</v>
      </c>
      <c r="C18047" t="str">
        <f t="shared" si="6545"/>
        <v>WIGGINS</v>
      </c>
      <c r="D18047">
        <f>10</f>
        <v>10</v>
      </c>
      <c r="E18047" t="str">
        <f>"03 - A - 002 - Nikiel  Nesbeth"</f>
        <v>03 - A - 002 - Nikiel  Nesbeth</v>
      </c>
      <c r="F18047" t="str">
        <f>"PRE-AICE ENG LIT IG"</f>
        <v>PRE-AICE ENG LIT IG</v>
      </c>
      <c r="G18047" t="str">
        <f>"17-1705"</f>
        <v>17-1705</v>
      </c>
      <c r="H18047" t="str">
        <f>"A"</f>
        <v>A</v>
      </c>
    </row>
    <row r="18048" spans="1:8" x14ac:dyDescent="0.2">
      <c r="A18048" t="str">
        <f t="shared" si="6546"/>
        <v>0612132444</v>
      </c>
      <c r="B18048" t="str">
        <f t="shared" si="6547"/>
        <v>JOSIAH</v>
      </c>
      <c r="C18048" t="str">
        <f t="shared" si="6545"/>
        <v>WIGGINS</v>
      </c>
      <c r="D18048">
        <f>10</f>
        <v>10</v>
      </c>
      <c r="E18048" t="str">
        <f>"02 - A - 101 - Brian M Fitzgerald"</f>
        <v>02 - A - 101 - Brian M Fitzgerald</v>
      </c>
      <c r="F18048" t="str">
        <f>"DRAW 1"</f>
        <v>DRAW 1</v>
      </c>
      <c r="G18048" t="str">
        <f>"09-908"</f>
        <v>09-908</v>
      </c>
      <c r="H18048" t="str">
        <f>"A"</f>
        <v>A</v>
      </c>
    </row>
    <row r="18049" spans="1:8" x14ac:dyDescent="0.2">
      <c r="A18049" t="str">
        <f t="shared" si="6546"/>
        <v>0612132444</v>
      </c>
      <c r="B18049" t="str">
        <f t="shared" si="6547"/>
        <v>JOSIAH</v>
      </c>
      <c r="C18049" t="str">
        <f t="shared" si="6545"/>
        <v>WIGGINS</v>
      </c>
      <c r="D18049">
        <f>10</f>
        <v>10</v>
      </c>
      <c r="E18049" t="str">
        <f>"07 - B - 105 - Paige Lauren  Brochu"</f>
        <v>07 - B - 105 - Paige Lauren  Brochu</v>
      </c>
      <c r="F18049" t="str">
        <f>"PRE-AICE BIO IG"</f>
        <v>PRE-AICE BIO IG</v>
      </c>
      <c r="G18049" t="str">
        <f>"21-2134"</f>
        <v>21-2134</v>
      </c>
      <c r="H18049" t="str">
        <f>"B"</f>
        <v>B</v>
      </c>
    </row>
    <row r="18050" spans="1:8" x14ac:dyDescent="0.2">
      <c r="A18050" t="str">
        <f t="shared" si="6546"/>
        <v>0612132444</v>
      </c>
      <c r="B18050" t="str">
        <f t="shared" si="6547"/>
        <v>JOSIAH</v>
      </c>
      <c r="C18050" t="str">
        <f t="shared" si="6545"/>
        <v>WIGGINS</v>
      </c>
      <c r="D18050">
        <f>10</f>
        <v>10</v>
      </c>
      <c r="E18050" t="str">
        <f>"05 - S1 - B - 102 - Richard E Dunbar Iii"</f>
        <v>05 - S1 - B - 102 - Richard E Dunbar Iii</v>
      </c>
      <c r="F18050" t="str">
        <f>"TEAM SPORTS 1"</f>
        <v>TEAM SPORTS 1</v>
      </c>
      <c r="G18050" t="str">
        <f>"04-254"</f>
        <v>04-254</v>
      </c>
      <c r="H18050" t="str">
        <f>"B"</f>
        <v>B</v>
      </c>
    </row>
    <row r="18051" spans="1:8" x14ac:dyDescent="0.2">
      <c r="A18051" t="str">
        <f t="shared" si="6546"/>
        <v>0612132444</v>
      </c>
      <c r="B18051" t="str">
        <f t="shared" si="6547"/>
        <v>JOSIAH</v>
      </c>
      <c r="C18051" t="str">
        <f t="shared" si="6545"/>
        <v>WIGGINS</v>
      </c>
      <c r="D18051">
        <f>10</f>
        <v>10</v>
      </c>
      <c r="E18051" t="str">
        <f>"01 - A - 104 - Milca  Exantus"</f>
        <v>01 - A - 104 - Milca  Exantus</v>
      </c>
      <c r="F18051" t="str">
        <f>"MATH COLLEGE LIB ART"</f>
        <v>MATH COLLEGE LIB ART</v>
      </c>
      <c r="G18051" t="str">
        <f>"21-2145"</f>
        <v>21-2145</v>
      </c>
      <c r="H18051" t="str">
        <f>"A"</f>
        <v>A</v>
      </c>
    </row>
    <row r="18052" spans="1:8" x14ac:dyDescent="0.2">
      <c r="A18052" t="str">
        <f t="shared" si="6546"/>
        <v>0612132444</v>
      </c>
      <c r="B18052" t="str">
        <f t="shared" si="6547"/>
        <v>JOSIAH</v>
      </c>
      <c r="C18052" t="str">
        <f t="shared" si="6545"/>
        <v>WIGGINS</v>
      </c>
      <c r="D18052">
        <f>10</f>
        <v>10</v>
      </c>
      <c r="E18052" t="str">
        <f>"08 - B - 101 - Jazmin S Fletcher"</f>
        <v>08 - B - 101 - Jazmin S Fletcher</v>
      </c>
      <c r="F18052" t="str">
        <f>"PRE-AICE DRAMA 1G"</f>
        <v>PRE-AICE DRAMA 1G</v>
      </c>
      <c r="G18052" t="str">
        <f>"09-909"</f>
        <v>09-909</v>
      </c>
      <c r="H18052" t="str">
        <f>"B"</f>
        <v>B</v>
      </c>
    </row>
    <row r="18053" spans="1:8" x14ac:dyDescent="0.2">
      <c r="A18053" t="str">
        <f t="shared" ref="A18053:A18060" si="6548">"0616120497"</f>
        <v>0616120497</v>
      </c>
      <c r="B18053" t="str">
        <f t="shared" ref="B18053:B18060" si="6549">"ALEXANDER"</f>
        <v>ALEXANDER</v>
      </c>
      <c r="C18053" t="str">
        <f t="shared" ref="C18053:C18060" si="6550">"WIGHT"</f>
        <v>WIGHT</v>
      </c>
      <c r="D18053" t="str">
        <f t="shared" ref="D18053:D18060" si="6551">"09"</f>
        <v>09</v>
      </c>
      <c r="E18053" t="str">
        <f>"04 - A - 104 - Brook E Goren"</f>
        <v>04 - A - 104 - Brook E Goren</v>
      </c>
      <c r="F18053" t="str">
        <f>"ALGEBRA 2 HON"</f>
        <v>ALGEBRA 2 HON</v>
      </c>
      <c r="G18053" t="str">
        <f>"21-2158"</f>
        <v>21-2158</v>
      </c>
      <c r="H18053" t="str">
        <f>"A"</f>
        <v>A</v>
      </c>
    </row>
    <row r="18054" spans="1:8" x14ac:dyDescent="0.2">
      <c r="A18054" t="str">
        <f t="shared" si="6548"/>
        <v>0616120497</v>
      </c>
      <c r="B18054" t="str">
        <f t="shared" si="6549"/>
        <v>ALEXANDER</v>
      </c>
      <c r="C18054" t="str">
        <f t="shared" si="6550"/>
        <v>WIGHT</v>
      </c>
      <c r="D18054" t="str">
        <f t="shared" si="6551"/>
        <v>09</v>
      </c>
      <c r="E18054" t="str">
        <f>"06 - B - 105 - Cerine S Stewart"</f>
        <v>06 - B - 105 - Cerine S Stewart</v>
      </c>
      <c r="F18054" t="str">
        <f>"AICE ENG GEN PAPER 1"</f>
        <v>AICE ENG GEN PAPER 1</v>
      </c>
      <c r="G18054" t="str">
        <f>"17-1720"</f>
        <v>17-1720</v>
      </c>
      <c r="H18054" t="str">
        <f>"B"</f>
        <v>B</v>
      </c>
    </row>
    <row r="18055" spans="1:8" x14ac:dyDescent="0.2">
      <c r="A18055" t="str">
        <f t="shared" si="6548"/>
        <v>0616120497</v>
      </c>
      <c r="B18055" t="str">
        <f t="shared" si="6549"/>
        <v>ALEXANDER</v>
      </c>
      <c r="C18055" t="str">
        <f t="shared" si="6550"/>
        <v>WIGHT</v>
      </c>
      <c r="D18055" t="str">
        <f t="shared" si="6551"/>
        <v>09</v>
      </c>
      <c r="E18055" t="str">
        <f>"03 - A - 103 - Marius D Orsolini"</f>
        <v>03 - A - 103 - Marius D Orsolini</v>
      </c>
      <c r="F18055" t="str">
        <f>"CULINARY ARTS 1"</f>
        <v>CULINARY ARTS 1</v>
      </c>
      <c r="G18055" t="str">
        <f>"21-2115"</f>
        <v>21-2115</v>
      </c>
      <c r="H18055" t="str">
        <f>"A"</f>
        <v>A</v>
      </c>
    </row>
    <row r="18056" spans="1:8" x14ac:dyDescent="0.2">
      <c r="A18056" t="str">
        <f t="shared" si="6548"/>
        <v>0616120497</v>
      </c>
      <c r="B18056" t="str">
        <f t="shared" si="6549"/>
        <v>ALEXANDER</v>
      </c>
      <c r="C18056" t="str">
        <f t="shared" si="6550"/>
        <v>WIGHT</v>
      </c>
      <c r="D18056" t="str">
        <f t="shared" si="6551"/>
        <v>09</v>
      </c>
      <c r="E18056" t="str">
        <f>"02 - A - 114 - Laselleda D Shaw"</f>
        <v>02 - A - 114 - Laselleda D Shaw</v>
      </c>
      <c r="F18056" t="str">
        <f>"NC STUDY HALL 1"</f>
        <v>NC STUDY HALL 1</v>
      </c>
      <c r="G18056" t="str">
        <f>"17-1723"</f>
        <v>17-1723</v>
      </c>
      <c r="H18056" t="str">
        <f>"A"</f>
        <v>A</v>
      </c>
    </row>
    <row r="18057" spans="1:8" x14ac:dyDescent="0.2">
      <c r="A18057" t="str">
        <f t="shared" si="6548"/>
        <v>0616120497</v>
      </c>
      <c r="B18057" t="str">
        <f t="shared" si="6549"/>
        <v>ALEXANDER</v>
      </c>
      <c r="C18057" t="str">
        <f t="shared" si="6550"/>
        <v>WIGHT</v>
      </c>
      <c r="D18057" t="str">
        <f t="shared" si="6551"/>
        <v>09</v>
      </c>
      <c r="E18057" t="str">
        <f>"07 - B - 206 - Cheryl L Beach"</f>
        <v>07 - B - 206 - Cheryl L Beach</v>
      </c>
      <c r="F18057" t="str">
        <f>"AICE ENV MGMNT AS"</f>
        <v>AICE ENV MGMNT AS</v>
      </c>
      <c r="G18057" t="str">
        <f>"08-811"</f>
        <v>08-811</v>
      </c>
      <c r="H18057" t="str">
        <f>"B"</f>
        <v>B</v>
      </c>
    </row>
    <row r="18058" spans="1:8" x14ac:dyDescent="0.2">
      <c r="A18058" t="str">
        <f t="shared" si="6548"/>
        <v>0616120497</v>
      </c>
      <c r="B18058" t="str">
        <f t="shared" si="6549"/>
        <v>ALEXANDER</v>
      </c>
      <c r="C18058" t="str">
        <f t="shared" si="6550"/>
        <v>WIGHT</v>
      </c>
      <c r="D18058" t="str">
        <f t="shared" si="6551"/>
        <v>09</v>
      </c>
      <c r="E18058" t="str">
        <f>"05 - B - 104 - Joe  Kilpatrick Jr"</f>
        <v>05 - B - 104 - Joe  Kilpatrick Jr</v>
      </c>
      <c r="F18058" t="str">
        <f>"PRE-AICE SPAN 1 IG"</f>
        <v>PRE-AICE SPAN 1 IG</v>
      </c>
      <c r="G18058" t="str">
        <f>"09-912"</f>
        <v>09-912</v>
      </c>
      <c r="H18058" t="str">
        <f>"B"</f>
        <v>B</v>
      </c>
    </row>
    <row r="18059" spans="1:8" x14ac:dyDescent="0.2">
      <c r="A18059" t="str">
        <f t="shared" si="6548"/>
        <v>0616120497</v>
      </c>
      <c r="B18059" t="str">
        <f t="shared" si="6549"/>
        <v>ALEXANDER</v>
      </c>
      <c r="C18059" t="str">
        <f t="shared" si="6550"/>
        <v>WIGHT</v>
      </c>
      <c r="D18059" t="str">
        <f t="shared" si="6551"/>
        <v>09</v>
      </c>
      <c r="E18059" t="str">
        <f>"01 - A - 101 - Arthur  Kulawik"</f>
        <v>01 - A - 101 - Arthur  Kulawik</v>
      </c>
      <c r="F18059" t="str">
        <f>"DEBATE 1 LH"</f>
        <v>DEBATE 1 LH</v>
      </c>
      <c r="G18059" t="str">
        <f>"05-506"</f>
        <v>05-506</v>
      </c>
      <c r="H18059" t="str">
        <f>"A"</f>
        <v>A</v>
      </c>
    </row>
    <row r="18060" spans="1:8" x14ac:dyDescent="0.2">
      <c r="A18060" t="str">
        <f t="shared" si="6548"/>
        <v>0616120497</v>
      </c>
      <c r="B18060" t="str">
        <f t="shared" si="6549"/>
        <v>ALEXANDER</v>
      </c>
      <c r="C18060" t="str">
        <f t="shared" si="6550"/>
        <v>WIGHT</v>
      </c>
      <c r="D18060" t="str">
        <f t="shared" si="6551"/>
        <v>09</v>
      </c>
      <c r="E18060" t="str">
        <f>"08 - B - 109 - Emmily A Sarmiento"</f>
        <v>08 - B - 109 - Emmily A Sarmiento</v>
      </c>
      <c r="F18060" t="str">
        <f>"AICE GLBL PERSP 1 AS"</f>
        <v>AICE GLBL PERSP 1 AS</v>
      </c>
      <c r="G18060" t="str">
        <f>"17-1743"</f>
        <v>17-1743</v>
      </c>
      <c r="H18060" t="str">
        <f>"B"</f>
        <v>B</v>
      </c>
    </row>
    <row r="18061" spans="1:8" x14ac:dyDescent="0.2">
      <c r="A18061" t="str">
        <f t="shared" ref="A18061:A18068" si="6552">"0625037117"</f>
        <v>0625037117</v>
      </c>
      <c r="B18061" t="str">
        <f t="shared" ref="B18061:B18068" si="6553">"Jayden"</f>
        <v>Jayden</v>
      </c>
      <c r="C18061" t="str">
        <f t="shared" ref="C18061:C18068" si="6554">"Williams"</f>
        <v>Williams</v>
      </c>
      <c r="D18061">
        <f>11</f>
        <v>11</v>
      </c>
      <c r="E18061" t="str">
        <f>"04 - S1 - A - 103 - Rory T Sponsler"</f>
        <v>04 - S1 - A - 103 - Rory T Sponsler</v>
      </c>
      <c r="F18061" t="str">
        <f>"WOMENS STUDIES LH"</f>
        <v>WOMENS STUDIES LH</v>
      </c>
      <c r="G18061" t="str">
        <f>"17-1740"</f>
        <v>17-1740</v>
      </c>
      <c r="H18061" t="str">
        <f>"A"</f>
        <v>A</v>
      </c>
    </row>
    <row r="18062" spans="1:8" x14ac:dyDescent="0.2">
      <c r="A18062" t="str">
        <f t="shared" si="6552"/>
        <v>0625037117</v>
      </c>
      <c r="B18062" t="str">
        <f t="shared" si="6553"/>
        <v>Jayden</v>
      </c>
      <c r="C18062" t="str">
        <f t="shared" si="6554"/>
        <v>Williams</v>
      </c>
      <c r="D18062">
        <f>11</f>
        <v>11</v>
      </c>
      <c r="E18062" t="str">
        <f>"06 - B - 104 - Nahum  Saint-Preux"</f>
        <v>06 - B - 104 - Nahum  Saint-Preux</v>
      </c>
      <c r="F18062" t="str">
        <f>"INTENS READ 3"</f>
        <v>INTENS READ 3</v>
      </c>
      <c r="G18062" t="str">
        <f>"17-1712"</f>
        <v>17-1712</v>
      </c>
      <c r="H18062" t="str">
        <f>"B"</f>
        <v>B</v>
      </c>
    </row>
    <row r="18063" spans="1:8" x14ac:dyDescent="0.2">
      <c r="A18063" t="str">
        <f t="shared" si="6552"/>
        <v>0625037117</v>
      </c>
      <c r="B18063" t="str">
        <f t="shared" si="6553"/>
        <v>Jayden</v>
      </c>
      <c r="C18063" t="str">
        <f t="shared" si="6554"/>
        <v>Williams</v>
      </c>
      <c r="D18063">
        <f>11</f>
        <v>11</v>
      </c>
      <c r="E18063" t="str">
        <f>"03 - A - 102 - Lisa  Quinn"</f>
        <v>03 - A - 102 - Lisa  Quinn</v>
      </c>
      <c r="F18063" t="str">
        <f>"ENG 3"</f>
        <v>ENG 3</v>
      </c>
      <c r="G18063" t="str">
        <f>"17-1725"</f>
        <v>17-1725</v>
      </c>
      <c r="H18063" t="str">
        <f>"A"</f>
        <v>A</v>
      </c>
    </row>
    <row r="18064" spans="1:8" x14ac:dyDescent="0.2">
      <c r="A18064" t="str">
        <f t="shared" si="6552"/>
        <v>0625037117</v>
      </c>
      <c r="B18064" t="str">
        <f t="shared" si="6553"/>
        <v>Jayden</v>
      </c>
      <c r="C18064" t="str">
        <f t="shared" si="6554"/>
        <v>Williams</v>
      </c>
      <c r="D18064">
        <f>11</f>
        <v>11</v>
      </c>
      <c r="E18064" t="str">
        <f>"02 - A - 107 - Elizabeth Ellen  Moran"</f>
        <v>02 - A - 107 - Elizabeth Ellen  Moran</v>
      </c>
      <c r="F18064" t="str">
        <f>"NC STUDY HALL 1"</f>
        <v>NC STUDY HALL 1</v>
      </c>
      <c r="G18064" t="str">
        <f>"17-1752"</f>
        <v>17-1752</v>
      </c>
      <c r="H18064" t="str">
        <f>"A"</f>
        <v>A</v>
      </c>
    </row>
    <row r="18065" spans="1:8" x14ac:dyDescent="0.2">
      <c r="A18065" t="str">
        <f t="shared" si="6552"/>
        <v>0625037117</v>
      </c>
      <c r="B18065" t="str">
        <f t="shared" si="6553"/>
        <v>Jayden</v>
      </c>
      <c r="C18065" t="str">
        <f t="shared" si="6554"/>
        <v>Williams</v>
      </c>
      <c r="D18065">
        <f>11</f>
        <v>11</v>
      </c>
      <c r="E18065" t="str">
        <f>"07 - B - 104 - Marielle A Witting"</f>
        <v>07 - B - 104 - Marielle A Witting</v>
      </c>
      <c r="F18065" t="str">
        <f>"ANAT PHYSIO"</f>
        <v>ANAT PHYSIO</v>
      </c>
      <c r="G18065" t="str">
        <f>"08-805"</f>
        <v>08-805</v>
      </c>
      <c r="H18065" t="str">
        <f>"B"</f>
        <v>B</v>
      </c>
    </row>
    <row r="18066" spans="1:8" x14ac:dyDescent="0.2">
      <c r="A18066" t="str">
        <f t="shared" si="6552"/>
        <v>0625037117</v>
      </c>
      <c r="B18066" t="str">
        <f t="shared" si="6553"/>
        <v>Jayden</v>
      </c>
      <c r="C18066" t="str">
        <f t="shared" si="6554"/>
        <v>Williams</v>
      </c>
      <c r="D18066">
        <f>11</f>
        <v>11</v>
      </c>
      <c r="E18066" t="str">
        <f>"05 - B - 107 - Elizabeth Ellen  Moran"</f>
        <v>05 - B - 107 - Elizabeth Ellen  Moran</v>
      </c>
      <c r="F18066" t="str">
        <f>"US HISTORY"</f>
        <v>US HISTORY</v>
      </c>
      <c r="G18066" t="str">
        <f>"17-1752"</f>
        <v>17-1752</v>
      </c>
      <c r="H18066" t="str">
        <f>"B"</f>
        <v>B</v>
      </c>
    </row>
    <row r="18067" spans="1:8" x14ac:dyDescent="0.2">
      <c r="A18067" t="str">
        <f t="shared" si="6552"/>
        <v>0625037117</v>
      </c>
      <c r="B18067" t="str">
        <f t="shared" si="6553"/>
        <v>Jayden</v>
      </c>
      <c r="C18067" t="str">
        <f t="shared" si="6554"/>
        <v>Williams</v>
      </c>
      <c r="D18067">
        <f>11</f>
        <v>11</v>
      </c>
      <c r="E18067" t="str">
        <f>"01 - A - 101 - James H Mccann"</f>
        <v>01 - A - 101 - James H Mccann</v>
      </c>
      <c r="F18067" t="str">
        <f>"ALGEBRA 2"</f>
        <v>ALGEBRA 2</v>
      </c>
      <c r="G18067" t="str">
        <f>"17-1716"</f>
        <v>17-1716</v>
      </c>
      <c r="H18067" t="str">
        <f>"A"</f>
        <v>A</v>
      </c>
    </row>
    <row r="18068" spans="1:8" x14ac:dyDescent="0.2">
      <c r="A18068" t="str">
        <f t="shared" si="6552"/>
        <v>0625037117</v>
      </c>
      <c r="B18068" t="str">
        <f t="shared" si="6553"/>
        <v>Jayden</v>
      </c>
      <c r="C18068" t="str">
        <f t="shared" si="6554"/>
        <v>Williams</v>
      </c>
      <c r="D18068">
        <f>11</f>
        <v>11</v>
      </c>
      <c r="E18068" t="str">
        <f>"08 - S1 - B - 102 - Nahum  Saint-Preux"</f>
        <v>08 - S1 - B - 102 - Nahum  Saint-Preux</v>
      </c>
      <c r="F18068" t="str">
        <f>"CRIT THINK ST SKLS"</f>
        <v>CRIT THINK ST SKLS</v>
      </c>
      <c r="G18068" t="str">
        <f>"17-1712"</f>
        <v>17-1712</v>
      </c>
      <c r="H18068" t="str">
        <f>"B"</f>
        <v>B</v>
      </c>
    </row>
    <row r="18069" spans="1:8" x14ac:dyDescent="0.2">
      <c r="A18069" t="str">
        <f t="shared" ref="A18069:A18076" si="6555">"0622144312"</f>
        <v>0622144312</v>
      </c>
      <c r="B18069" t="str">
        <f t="shared" ref="B18069:B18076" si="6556">"AAYSIA"</f>
        <v>AAYSIA</v>
      </c>
      <c r="C18069" t="str">
        <f t="shared" ref="C18069:C18100" si="6557">"WILLIAMS"</f>
        <v>WILLIAMS</v>
      </c>
      <c r="D18069">
        <f>12</f>
        <v>12</v>
      </c>
      <c r="E18069" t="str">
        <f>"04 - A - 201 - Vanessa J Liburd"</f>
        <v>04 - A - 201 - Vanessa J Liburd</v>
      </c>
      <c r="F18069" t="str">
        <f>"FRENCH 4 HON"</f>
        <v>FRENCH 4 HON</v>
      </c>
      <c r="G18069" t="str">
        <f>"05-519"</f>
        <v>05-519</v>
      </c>
      <c r="H18069" t="str">
        <f>"A"</f>
        <v>A</v>
      </c>
    </row>
    <row r="18070" spans="1:8" x14ac:dyDescent="0.2">
      <c r="A18070" t="str">
        <f t="shared" si="6555"/>
        <v>0622144312</v>
      </c>
      <c r="B18070" t="str">
        <f t="shared" si="6556"/>
        <v>AAYSIA</v>
      </c>
      <c r="C18070" t="str">
        <f t="shared" si="6557"/>
        <v>WILLIAMS</v>
      </c>
      <c r="D18070">
        <f>12</f>
        <v>12</v>
      </c>
      <c r="E18070" t="str">
        <f>"06 - B - 101 - Cliffon  Saurel"</f>
        <v>06 - B - 101 - Cliffon  Saurel</v>
      </c>
      <c r="F18070" t="str">
        <f>"NC STUDY HALL 1"</f>
        <v>NC STUDY HALL 1</v>
      </c>
      <c r="G18070" t="str">
        <f>"05-522"</f>
        <v>05-522</v>
      </c>
      <c r="H18070" t="str">
        <f>"B"</f>
        <v>B</v>
      </c>
    </row>
    <row r="18071" spans="1:8" x14ac:dyDescent="0.2">
      <c r="A18071" t="str">
        <f t="shared" si="6555"/>
        <v>0622144312</v>
      </c>
      <c r="B18071" t="str">
        <f t="shared" si="6556"/>
        <v>AAYSIA</v>
      </c>
      <c r="C18071" t="str">
        <f t="shared" si="6557"/>
        <v>WILLIAMS</v>
      </c>
      <c r="D18071">
        <f>12</f>
        <v>12</v>
      </c>
      <c r="E18071" t="str">
        <f>"03 - A - 101 - Dorothy D Moore"</f>
        <v>03 - A - 101 - Dorothy D Moore</v>
      </c>
      <c r="F18071" t="str">
        <f>"FORC SCI 1 LH"</f>
        <v>FORC SCI 1 LH</v>
      </c>
      <c r="G18071" t="str">
        <f>"08-803"</f>
        <v>08-803</v>
      </c>
      <c r="H18071" t="str">
        <f>"A"</f>
        <v>A</v>
      </c>
    </row>
    <row r="18072" spans="1:8" x14ac:dyDescent="0.2">
      <c r="A18072" t="str">
        <f t="shared" si="6555"/>
        <v>0622144312</v>
      </c>
      <c r="B18072" t="str">
        <f t="shared" si="6556"/>
        <v>AAYSIA</v>
      </c>
      <c r="C18072" t="str">
        <f t="shared" si="6557"/>
        <v>WILLIAMS</v>
      </c>
      <c r="D18072">
        <f>12</f>
        <v>12</v>
      </c>
      <c r="E18072" t="str">
        <f>"02 - A - 108 - Stephen T Ripp"</f>
        <v>02 - A - 108 - Stephen T Ripp</v>
      </c>
      <c r="F18072" t="str">
        <f>"NC STUDY HALL 1"</f>
        <v>NC STUDY HALL 1</v>
      </c>
      <c r="G18072" t="str">
        <f>"17-1744"</f>
        <v>17-1744</v>
      </c>
      <c r="H18072" t="str">
        <f>"A"</f>
        <v>A</v>
      </c>
    </row>
    <row r="18073" spans="1:8" x14ac:dyDescent="0.2">
      <c r="A18073" t="str">
        <f t="shared" si="6555"/>
        <v>0622144312</v>
      </c>
      <c r="B18073" t="str">
        <f t="shared" si="6556"/>
        <v>AAYSIA</v>
      </c>
      <c r="C18073" t="str">
        <f t="shared" si="6557"/>
        <v>WILLIAMS</v>
      </c>
      <c r="D18073">
        <f>12</f>
        <v>12</v>
      </c>
      <c r="E18073" t="str">
        <f>"07 - B - 001 - Rachel M Montrose"</f>
        <v>07 - B - 001 - Rachel M Montrose</v>
      </c>
      <c r="F18073" t="str">
        <f>"JOURN 4 (NP) LH"</f>
        <v>JOURN 4 (NP) LH</v>
      </c>
      <c r="G18073" t="str">
        <f>"05-521"</f>
        <v>05-521</v>
      </c>
      <c r="H18073" t="str">
        <f>"B"</f>
        <v>B</v>
      </c>
    </row>
    <row r="18074" spans="1:8" x14ac:dyDescent="0.2">
      <c r="A18074" t="str">
        <f t="shared" si="6555"/>
        <v>0622144312</v>
      </c>
      <c r="B18074" t="str">
        <f t="shared" si="6556"/>
        <v>AAYSIA</v>
      </c>
      <c r="C18074" t="str">
        <f t="shared" si="6557"/>
        <v>WILLIAMS</v>
      </c>
      <c r="D18074">
        <f>12</f>
        <v>12</v>
      </c>
      <c r="E18074" t="str">
        <f>"05 - B - 101 - Angela S Adeshina-Morrison"</f>
        <v>05 - B - 101 - Angela S Adeshina-Morrison</v>
      </c>
      <c r="F18074" t="str">
        <f>"MKT APPLCTNS LH"</f>
        <v>MKT APPLCTNS LH</v>
      </c>
      <c r="G18074" t="str">
        <f>"05-518"</f>
        <v>05-518</v>
      </c>
      <c r="H18074" t="str">
        <f>"B"</f>
        <v>B</v>
      </c>
    </row>
    <row r="18075" spans="1:8" x14ac:dyDescent="0.2">
      <c r="A18075" t="str">
        <f t="shared" si="6555"/>
        <v>0622144312</v>
      </c>
      <c r="B18075" t="str">
        <f t="shared" si="6556"/>
        <v>AAYSIA</v>
      </c>
      <c r="C18075" t="str">
        <f t="shared" si="6557"/>
        <v>WILLIAMS</v>
      </c>
      <c r="D18075">
        <f>12</f>
        <v>12</v>
      </c>
      <c r="E18075" t="str">
        <f>"01 - A - 103 - Jeffrey S Gallagher"</f>
        <v>01 - A - 103 - Jeffrey S Gallagher</v>
      </c>
      <c r="F18075" t="str">
        <f>"ENG HON 4"</f>
        <v>ENG HON 4</v>
      </c>
      <c r="G18075" t="str">
        <f>"17-1724"</f>
        <v>17-1724</v>
      </c>
      <c r="H18075" t="str">
        <f>"A"</f>
        <v>A</v>
      </c>
    </row>
    <row r="18076" spans="1:8" x14ac:dyDescent="0.2">
      <c r="A18076" t="str">
        <f t="shared" si="6555"/>
        <v>0622144312</v>
      </c>
      <c r="B18076" t="str">
        <f t="shared" si="6556"/>
        <v>AAYSIA</v>
      </c>
      <c r="C18076" t="str">
        <f t="shared" si="6557"/>
        <v>WILLIAMS</v>
      </c>
      <c r="D18076">
        <f>12</f>
        <v>12</v>
      </c>
      <c r="E18076" t="str">
        <f>"08 - B - 101 - Marius D Orsolini"</f>
        <v>08 - B - 101 - Marius D Orsolini</v>
      </c>
      <c r="F18076" t="str">
        <f>"CULINARY ARTS 3 HON"</f>
        <v>CULINARY ARTS 3 HON</v>
      </c>
      <c r="G18076" t="str">
        <f>"21-2115"</f>
        <v>21-2115</v>
      </c>
      <c r="H18076" t="str">
        <f>"B"</f>
        <v>B</v>
      </c>
    </row>
    <row r="18077" spans="1:8" x14ac:dyDescent="0.2">
      <c r="A18077" t="str">
        <f t="shared" ref="A18077:A18084" si="6558">"0619029875"</f>
        <v>0619029875</v>
      </c>
      <c r="B18077" t="str">
        <f t="shared" ref="B18077:B18084" si="6559">"ALANI"</f>
        <v>ALANI</v>
      </c>
      <c r="C18077" t="str">
        <f t="shared" si="6557"/>
        <v>WILLIAMS</v>
      </c>
      <c r="D18077">
        <f>12</f>
        <v>12</v>
      </c>
      <c r="E18077" t="str">
        <f>"04 - A - 102 - Samantha J Headley"</f>
        <v>04 - A - 102 - Samantha J Headley</v>
      </c>
      <c r="F18077" t="str">
        <f>"MARINE SCI 1 HON"</f>
        <v>MARINE SCI 1 HON</v>
      </c>
      <c r="G18077" t="str">
        <f>"21-2134"</f>
        <v>21-2134</v>
      </c>
      <c r="H18077" t="str">
        <f>"A"</f>
        <v>A</v>
      </c>
    </row>
    <row r="18078" spans="1:8" x14ac:dyDescent="0.2">
      <c r="A18078" t="str">
        <f t="shared" si="6558"/>
        <v>0619029875</v>
      </c>
      <c r="B18078" t="str">
        <f t="shared" si="6559"/>
        <v>ALANI</v>
      </c>
      <c r="C18078" t="str">
        <f t="shared" si="6557"/>
        <v>WILLIAMS</v>
      </c>
      <c r="D18078">
        <f>12</f>
        <v>12</v>
      </c>
      <c r="E18078" t="str">
        <f>"06 - B - 107 - Pamela M Corzo"</f>
        <v>06 - B - 107 - Pamela M Corzo</v>
      </c>
      <c r="F18078" t="str">
        <f>"NC STUDY HALL 1"</f>
        <v>NC STUDY HALL 1</v>
      </c>
      <c r="G18078" t="str">
        <f>"21-2133"</f>
        <v>21-2133</v>
      </c>
      <c r="H18078" t="str">
        <f>"B"</f>
        <v>B</v>
      </c>
    </row>
    <row r="18079" spans="1:8" x14ac:dyDescent="0.2">
      <c r="A18079" t="str">
        <f t="shared" si="6558"/>
        <v>0619029875</v>
      </c>
      <c r="B18079" t="str">
        <f t="shared" si="6559"/>
        <v>ALANI</v>
      </c>
      <c r="C18079" t="str">
        <f t="shared" si="6557"/>
        <v>WILLIAMS</v>
      </c>
      <c r="D18079">
        <f>12</f>
        <v>12</v>
      </c>
      <c r="E18079" t="str">
        <f>"03 - A - 101 - Rosa Elaine  Collado-Duff"</f>
        <v>03 - A - 101 - Rosa Elaine  Collado-Duff</v>
      </c>
      <c r="F18079" t="str">
        <f>"SPANISH 3 HON"</f>
        <v>SPANISH 3 HON</v>
      </c>
      <c r="G18079" t="str">
        <f>"09-913"</f>
        <v>09-913</v>
      </c>
      <c r="H18079" t="str">
        <f>"A"</f>
        <v>A</v>
      </c>
    </row>
    <row r="18080" spans="1:8" x14ac:dyDescent="0.2">
      <c r="A18080" t="str">
        <f t="shared" si="6558"/>
        <v>0619029875</v>
      </c>
      <c r="B18080" t="str">
        <f t="shared" si="6559"/>
        <v>ALANI</v>
      </c>
      <c r="C18080" t="str">
        <f t="shared" si="6557"/>
        <v>WILLIAMS</v>
      </c>
      <c r="D18080">
        <f>12</f>
        <v>12</v>
      </c>
      <c r="E18080" t="str">
        <f>"02 - S1 - A - 102 - Richard E Dunbar Iii"</f>
        <v>02 - S1 - A - 102 - Richard E Dunbar Iii</v>
      </c>
      <c r="F18080" t="str">
        <f>"WEIGHT TRAIN 3"</f>
        <v>WEIGHT TRAIN 3</v>
      </c>
      <c r="G18080" t="str">
        <f>"05-501"</f>
        <v>05-501</v>
      </c>
      <c r="H18080" t="str">
        <f>"A"</f>
        <v>A</v>
      </c>
    </row>
    <row r="18081" spans="1:8" x14ac:dyDescent="0.2">
      <c r="A18081" t="str">
        <f t="shared" si="6558"/>
        <v>0619029875</v>
      </c>
      <c r="B18081" t="str">
        <f t="shared" si="6559"/>
        <v>ALANI</v>
      </c>
      <c r="C18081" t="str">
        <f t="shared" si="6557"/>
        <v>WILLIAMS</v>
      </c>
      <c r="D18081">
        <f>12</f>
        <v>12</v>
      </c>
      <c r="E18081" t="str">
        <f>"07 - S1 - B - 103 - Robert O Burger"</f>
        <v>07 - S1 - B - 103 - Robert O Burger</v>
      </c>
      <c r="F18081" t="str">
        <f>"US GOVT"</f>
        <v>US GOVT</v>
      </c>
      <c r="G18081" t="str">
        <f>"17-1755"</f>
        <v>17-1755</v>
      </c>
      <c r="H18081" t="str">
        <f>"B"</f>
        <v>B</v>
      </c>
    </row>
    <row r="18082" spans="1:8" x14ac:dyDescent="0.2">
      <c r="A18082" t="str">
        <f t="shared" si="6558"/>
        <v>0619029875</v>
      </c>
      <c r="B18082" t="str">
        <f t="shared" si="6559"/>
        <v>ALANI</v>
      </c>
      <c r="C18082" t="str">
        <f t="shared" si="6557"/>
        <v>WILLIAMS</v>
      </c>
      <c r="D18082">
        <f>12</f>
        <v>12</v>
      </c>
      <c r="E18082" t="str">
        <f>"05 - B - 102 - Robyn L Trainer"</f>
        <v>05 - B - 102 - Robyn L Trainer</v>
      </c>
      <c r="F18082" t="str">
        <f>"ENG 4"</f>
        <v>ENG 4</v>
      </c>
      <c r="G18082" t="str">
        <f>"17-1734"</f>
        <v>17-1734</v>
      </c>
      <c r="H18082" t="str">
        <f>"B"</f>
        <v>B</v>
      </c>
    </row>
    <row r="18083" spans="1:8" x14ac:dyDescent="0.2">
      <c r="A18083" t="str">
        <f t="shared" si="6558"/>
        <v>0619029875</v>
      </c>
      <c r="B18083" t="str">
        <f t="shared" si="6559"/>
        <v>ALANI</v>
      </c>
      <c r="C18083" t="str">
        <f t="shared" si="6557"/>
        <v>WILLIAMS</v>
      </c>
      <c r="D18083">
        <f>12</f>
        <v>12</v>
      </c>
      <c r="E18083" t="str">
        <f>"01 - A - 103 - Semra  Bahadir"</f>
        <v>01 - A - 103 - Semra  Bahadir</v>
      </c>
      <c r="F18083" t="str">
        <f>"MATH COLL ALGEBRA"</f>
        <v>MATH COLL ALGEBRA</v>
      </c>
      <c r="G18083" t="str">
        <f>"21-2107"</f>
        <v>21-2107</v>
      </c>
      <c r="H18083" t="str">
        <f>"A"</f>
        <v>A</v>
      </c>
    </row>
    <row r="18084" spans="1:8" x14ac:dyDescent="0.2">
      <c r="A18084" t="str">
        <f t="shared" si="6558"/>
        <v>0619029875</v>
      </c>
      <c r="B18084" t="str">
        <f t="shared" si="6559"/>
        <v>ALANI</v>
      </c>
      <c r="C18084" t="str">
        <f t="shared" si="6557"/>
        <v>WILLIAMS</v>
      </c>
      <c r="D18084">
        <f>12</f>
        <v>12</v>
      </c>
      <c r="E18084" t="str">
        <f>"08 - B - 101 - Marius D Orsolini"</f>
        <v>08 - B - 101 - Marius D Orsolini</v>
      </c>
      <c r="F18084" t="str">
        <f>"CULINARY ARTS 2"</f>
        <v>CULINARY ARTS 2</v>
      </c>
      <c r="G18084" t="str">
        <f>"21-2115"</f>
        <v>21-2115</v>
      </c>
      <c r="H18084" t="str">
        <f>"B"</f>
        <v>B</v>
      </c>
    </row>
    <row r="18085" spans="1:8" x14ac:dyDescent="0.2">
      <c r="A18085" t="str">
        <f t="shared" ref="A18085:A18092" si="6560">"0616046355"</f>
        <v>0616046355</v>
      </c>
      <c r="B18085" t="str">
        <f t="shared" ref="B18085:B18092" si="6561">"AOKILEE"</f>
        <v>AOKILEE</v>
      </c>
      <c r="C18085" t="str">
        <f t="shared" si="6557"/>
        <v>WILLIAMS</v>
      </c>
      <c r="D18085">
        <f>10</f>
        <v>10</v>
      </c>
      <c r="E18085" t="str">
        <f>"04 - A - 102 - Samantha L Martinez"</f>
        <v>04 - A - 102 - Samantha L Martinez</v>
      </c>
      <c r="F18085" t="str">
        <f>"KEYBD 1"</f>
        <v>KEYBD 1</v>
      </c>
      <c r="G18085" t="str">
        <f>"05-505"</f>
        <v>05-505</v>
      </c>
      <c r="H18085" t="str">
        <f>"A"</f>
        <v>A</v>
      </c>
    </row>
    <row r="18086" spans="1:8" x14ac:dyDescent="0.2">
      <c r="A18086" t="str">
        <f t="shared" si="6560"/>
        <v>0616046355</v>
      </c>
      <c r="B18086" t="str">
        <f t="shared" si="6561"/>
        <v>AOKILEE</v>
      </c>
      <c r="C18086" t="str">
        <f t="shared" si="6557"/>
        <v>WILLIAMS</v>
      </c>
      <c r="D18086">
        <f>10</f>
        <v>10</v>
      </c>
      <c r="E18086" t="str">
        <f>"06 - B - 114 - Richard E Dunbar Iii"</f>
        <v>06 - B - 114 - Richard E Dunbar Iii</v>
      </c>
      <c r="F18086" t="str">
        <f>"NC STUDY HALL 1"</f>
        <v>NC STUDY HALL 1</v>
      </c>
      <c r="G18086" t="str">
        <f>"17-1703"</f>
        <v>17-1703</v>
      </c>
      <c r="H18086" t="str">
        <f>"B"</f>
        <v>B</v>
      </c>
    </row>
    <row r="18087" spans="1:8" x14ac:dyDescent="0.2">
      <c r="A18087" t="str">
        <f t="shared" si="6560"/>
        <v>0616046355</v>
      </c>
      <c r="B18087" t="str">
        <f t="shared" si="6561"/>
        <v>AOKILEE</v>
      </c>
      <c r="C18087" t="str">
        <f t="shared" si="6557"/>
        <v>WILLIAMS</v>
      </c>
      <c r="D18087">
        <f>10</f>
        <v>10</v>
      </c>
      <c r="E18087" t="str">
        <f>"03 - A - 103 - Jordana K Hass"</f>
        <v>03 - A - 103 - Jordana K Hass</v>
      </c>
      <c r="F18087" t="str">
        <f>"CHEMISTRY 1"</f>
        <v>CHEMISTRY 1</v>
      </c>
      <c r="G18087" t="str">
        <f>"08-807"</f>
        <v>08-807</v>
      </c>
      <c r="H18087" t="str">
        <f>"A"</f>
        <v>A</v>
      </c>
    </row>
    <row r="18088" spans="1:8" x14ac:dyDescent="0.2">
      <c r="A18088" t="str">
        <f t="shared" si="6560"/>
        <v>0616046355</v>
      </c>
      <c r="B18088" t="str">
        <f t="shared" si="6561"/>
        <v>AOKILEE</v>
      </c>
      <c r="C18088" t="str">
        <f t="shared" si="6557"/>
        <v>WILLIAMS</v>
      </c>
      <c r="D18088">
        <f>10</f>
        <v>10</v>
      </c>
      <c r="E18088" t="str">
        <f>"02 - A - 102 - Marius D Orsolini"</f>
        <v>02 - A - 102 - Marius D Orsolini</v>
      </c>
      <c r="F18088" t="str">
        <f>"CULINARY ARTS 1"</f>
        <v>CULINARY ARTS 1</v>
      </c>
      <c r="G18088" t="str">
        <f>"21-2115"</f>
        <v>21-2115</v>
      </c>
      <c r="H18088" t="str">
        <f>"A"</f>
        <v>A</v>
      </c>
    </row>
    <row r="18089" spans="1:8" x14ac:dyDescent="0.2">
      <c r="A18089" t="str">
        <f t="shared" si="6560"/>
        <v>0616046355</v>
      </c>
      <c r="B18089" t="str">
        <f t="shared" si="6561"/>
        <v>AOKILEE</v>
      </c>
      <c r="C18089" t="str">
        <f t="shared" si="6557"/>
        <v>WILLIAMS</v>
      </c>
      <c r="D18089">
        <f>10</f>
        <v>10</v>
      </c>
      <c r="E18089" t="str">
        <f>"07 - B - 106 - James H Mccann"</f>
        <v>07 - B - 106 - James H Mccann</v>
      </c>
      <c r="F18089" t="str">
        <f>"ALGEBRA 2"</f>
        <v>ALGEBRA 2</v>
      </c>
      <c r="G18089" t="str">
        <f>"17-1716"</f>
        <v>17-1716</v>
      </c>
      <c r="H18089" t="str">
        <f>"B"</f>
        <v>B</v>
      </c>
    </row>
    <row r="18090" spans="1:8" x14ac:dyDescent="0.2">
      <c r="A18090" t="str">
        <f t="shared" si="6560"/>
        <v>0616046355</v>
      </c>
      <c r="B18090" t="str">
        <f t="shared" si="6561"/>
        <v>AOKILEE</v>
      </c>
      <c r="C18090" t="str">
        <f t="shared" si="6557"/>
        <v>WILLIAMS</v>
      </c>
      <c r="D18090">
        <f>10</f>
        <v>10</v>
      </c>
      <c r="E18090" t="str">
        <f>"05 - B - 103 - Rory T Sponsler"</f>
        <v>05 - B - 103 - Rory T Sponsler</v>
      </c>
      <c r="F18090" t="str">
        <f>"PRE-AICE WRLD HST IG"</f>
        <v>PRE-AICE WRLD HST IG</v>
      </c>
      <c r="G18090" t="str">
        <f>"17-1740"</f>
        <v>17-1740</v>
      </c>
      <c r="H18090" t="str">
        <f>"B"</f>
        <v>B</v>
      </c>
    </row>
    <row r="18091" spans="1:8" x14ac:dyDescent="0.2">
      <c r="A18091" t="str">
        <f t="shared" si="6560"/>
        <v>0616046355</v>
      </c>
      <c r="B18091" t="str">
        <f t="shared" si="6561"/>
        <v>AOKILEE</v>
      </c>
      <c r="C18091" t="str">
        <f t="shared" si="6557"/>
        <v>WILLIAMS</v>
      </c>
      <c r="D18091">
        <f>10</f>
        <v>10</v>
      </c>
      <c r="E18091" t="str">
        <f>"01 - S1 - A - 101 - Carol S Moore"</f>
        <v>01 - S1 - A - 101 - Carol S Moore</v>
      </c>
      <c r="F18091" t="str">
        <f>"PERS FIN &amp; MON MGT H"</f>
        <v>PERS FIN &amp; MON MGT H</v>
      </c>
      <c r="G18091" t="str">
        <f>"17-1733"</f>
        <v>17-1733</v>
      </c>
      <c r="H18091" t="str">
        <f>"A"</f>
        <v>A</v>
      </c>
    </row>
    <row r="18092" spans="1:8" x14ac:dyDescent="0.2">
      <c r="A18092" t="str">
        <f t="shared" si="6560"/>
        <v>0616046355</v>
      </c>
      <c r="B18092" t="str">
        <f t="shared" si="6561"/>
        <v>AOKILEE</v>
      </c>
      <c r="C18092" t="str">
        <f t="shared" si="6557"/>
        <v>WILLIAMS</v>
      </c>
      <c r="D18092">
        <f>10</f>
        <v>10</v>
      </c>
      <c r="E18092" t="str">
        <f>"08 - B - 001 - Jacklyn M James"</f>
        <v>08 - B - 001 - Jacklyn M James</v>
      </c>
      <c r="F18092" t="str">
        <f>"AICE ENG LANG AS"</f>
        <v>AICE ENG LANG AS</v>
      </c>
      <c r="G18092" t="str">
        <f>"17-1731"</f>
        <v>17-1731</v>
      </c>
      <c r="H18092" t="str">
        <f>"B"</f>
        <v>B</v>
      </c>
    </row>
    <row r="18093" spans="1:8" x14ac:dyDescent="0.2">
      <c r="A18093" t="str">
        <f t="shared" ref="A18093:A18100" si="6562">"0616107768"</f>
        <v>0616107768</v>
      </c>
      <c r="B18093" t="str">
        <f t="shared" ref="B18093:B18100" si="6563">"DIALLO"</f>
        <v>DIALLO</v>
      </c>
      <c r="C18093" t="str">
        <f t="shared" si="6557"/>
        <v>WILLIAMS</v>
      </c>
      <c r="D18093" t="str">
        <f t="shared" ref="D18093:D18100" si="6564">"09"</f>
        <v>09</v>
      </c>
      <c r="E18093" t="str">
        <f>"04 - A - 104 - Adam Marcus  Drucker"</f>
        <v>04 - A - 104 - Adam Marcus  Drucker</v>
      </c>
      <c r="F18093" t="str">
        <f>"HOPE-PE V"</f>
        <v>HOPE-PE V</v>
      </c>
      <c r="G18093" t="str">
        <f>"04-254"</f>
        <v>04-254</v>
      </c>
      <c r="H18093" t="str">
        <f>"A"</f>
        <v>A</v>
      </c>
    </row>
    <row r="18094" spans="1:8" x14ac:dyDescent="0.2">
      <c r="A18094" t="str">
        <f t="shared" si="6562"/>
        <v>0616107768</v>
      </c>
      <c r="B18094" t="str">
        <f t="shared" si="6563"/>
        <v>DIALLO</v>
      </c>
      <c r="C18094" t="str">
        <f t="shared" si="6557"/>
        <v>WILLIAMS</v>
      </c>
      <c r="D18094" t="str">
        <f t="shared" si="6564"/>
        <v>09</v>
      </c>
      <c r="E18094" t="str">
        <f>"06 - S1 - B - 102 - Daniel S Katz"</f>
        <v>06 - S1 - B - 102 - Daniel S Katz</v>
      </c>
      <c r="F18094" t="str">
        <f>"COURT PROCED"</f>
        <v>COURT PROCED</v>
      </c>
      <c r="G18094" t="str">
        <f>"21-2156"</f>
        <v>21-2156</v>
      </c>
      <c r="H18094" t="str">
        <f>"B"</f>
        <v>B</v>
      </c>
    </row>
    <row r="18095" spans="1:8" x14ac:dyDescent="0.2">
      <c r="A18095" t="str">
        <f t="shared" si="6562"/>
        <v>0616107768</v>
      </c>
      <c r="B18095" t="str">
        <f t="shared" si="6563"/>
        <v>DIALLO</v>
      </c>
      <c r="C18095" t="str">
        <f t="shared" si="6557"/>
        <v>WILLIAMS</v>
      </c>
      <c r="D18095" t="str">
        <f t="shared" si="6564"/>
        <v>09</v>
      </c>
      <c r="E18095" t="str">
        <f>"03 - A - 102 - Rory T Sponsler"</f>
        <v>03 - A - 102 - Rory T Sponsler</v>
      </c>
      <c r="F18095" t="str">
        <f>"PRE-AICE WRLD HST IG"</f>
        <v>PRE-AICE WRLD HST IG</v>
      </c>
      <c r="G18095" t="str">
        <f>"17-1740"</f>
        <v>17-1740</v>
      </c>
      <c r="H18095" t="str">
        <f>"A"</f>
        <v>A</v>
      </c>
    </row>
    <row r="18096" spans="1:8" x14ac:dyDescent="0.2">
      <c r="A18096" t="str">
        <f t="shared" si="6562"/>
        <v>0616107768</v>
      </c>
      <c r="B18096" t="str">
        <f t="shared" si="6563"/>
        <v>DIALLO</v>
      </c>
      <c r="C18096" t="str">
        <f t="shared" si="6557"/>
        <v>WILLIAMS</v>
      </c>
      <c r="D18096" t="str">
        <f t="shared" si="6564"/>
        <v>09</v>
      </c>
      <c r="E18096" t="str">
        <f>"02 - A - 109 - Krystal Marie  Beruty"</f>
        <v>02 - A - 109 - Krystal Marie  Beruty</v>
      </c>
      <c r="F18096" t="str">
        <f>"NC STUDY HALL 1"</f>
        <v>NC STUDY HALL 1</v>
      </c>
      <c r="G18096" t="str">
        <f>"17-1721"</f>
        <v>17-1721</v>
      </c>
      <c r="H18096" t="str">
        <f>"A"</f>
        <v>A</v>
      </c>
    </row>
    <row r="18097" spans="1:8" x14ac:dyDescent="0.2">
      <c r="A18097" t="str">
        <f t="shared" si="6562"/>
        <v>0616107768</v>
      </c>
      <c r="B18097" t="str">
        <f t="shared" si="6563"/>
        <v>DIALLO</v>
      </c>
      <c r="C18097" t="str">
        <f t="shared" si="6557"/>
        <v>WILLIAMS</v>
      </c>
      <c r="D18097" t="str">
        <f t="shared" si="6564"/>
        <v>09</v>
      </c>
      <c r="E18097" t="str">
        <f>"07 - B - 107 - Brook E Goren"</f>
        <v>07 - B - 107 - Brook E Goren</v>
      </c>
      <c r="F18097" t="str">
        <f>"PRE-AICE MATH 2 IG"</f>
        <v>PRE-AICE MATH 2 IG</v>
      </c>
      <c r="G18097" t="str">
        <f>"21-2158"</f>
        <v>21-2158</v>
      </c>
      <c r="H18097" t="str">
        <f>"B"</f>
        <v>B</v>
      </c>
    </row>
    <row r="18098" spans="1:8" x14ac:dyDescent="0.2">
      <c r="A18098" t="str">
        <f t="shared" si="6562"/>
        <v>0616107768</v>
      </c>
      <c r="B18098" t="str">
        <f t="shared" si="6563"/>
        <v>DIALLO</v>
      </c>
      <c r="C18098" t="str">
        <f t="shared" si="6557"/>
        <v>WILLIAMS</v>
      </c>
      <c r="D18098" t="str">
        <f t="shared" si="6564"/>
        <v>09</v>
      </c>
      <c r="E18098" t="str">
        <f>"05 - B - 103 - Eva T Rimmer"</f>
        <v>05 - B - 103 - Eva T Rimmer</v>
      </c>
      <c r="F18098" t="str">
        <f>"CRIMINAL JUST OPS 1"</f>
        <v>CRIMINAL JUST OPS 1</v>
      </c>
      <c r="G18098" t="str">
        <f>"05-523"</f>
        <v>05-523</v>
      </c>
      <c r="H18098" t="str">
        <f>"B"</f>
        <v>B</v>
      </c>
    </row>
    <row r="18099" spans="1:8" x14ac:dyDescent="0.2">
      <c r="A18099" t="str">
        <f t="shared" si="6562"/>
        <v>0616107768</v>
      </c>
      <c r="B18099" t="str">
        <f t="shared" si="6563"/>
        <v>DIALLO</v>
      </c>
      <c r="C18099" t="str">
        <f t="shared" si="6557"/>
        <v>WILLIAMS</v>
      </c>
      <c r="D18099" t="str">
        <f t="shared" si="6564"/>
        <v>09</v>
      </c>
      <c r="E18099" t="str">
        <f>"01 - A - 101 - Josiah I Lacy"</f>
        <v>01 - A - 101 - Josiah I Lacy</v>
      </c>
      <c r="F18099" t="str">
        <f>"PRE-AICE BIO IG"</f>
        <v>PRE-AICE BIO IG</v>
      </c>
      <c r="G18099" t="str">
        <f>"08-801"</f>
        <v>08-801</v>
      </c>
      <c r="H18099" t="str">
        <f>"A"</f>
        <v>A</v>
      </c>
    </row>
    <row r="18100" spans="1:8" x14ac:dyDescent="0.2">
      <c r="A18100" t="str">
        <f t="shared" si="6562"/>
        <v>0616107768</v>
      </c>
      <c r="B18100" t="str">
        <f t="shared" si="6563"/>
        <v>DIALLO</v>
      </c>
      <c r="C18100" t="str">
        <f t="shared" si="6557"/>
        <v>WILLIAMS</v>
      </c>
      <c r="D18100" t="str">
        <f t="shared" si="6564"/>
        <v>09</v>
      </c>
      <c r="E18100" t="str">
        <f>"08 - B - 004 - Cheryl Anne  Berman-Schechter"</f>
        <v>08 - B - 004 - Cheryl Anne  Berman-Schechter</v>
      </c>
      <c r="F18100" t="str">
        <f>"AICE ENG GEN PAPER 1"</f>
        <v>AICE ENG GEN PAPER 1</v>
      </c>
      <c r="G18100" t="str">
        <f>"17-1722"</f>
        <v>17-1722</v>
      </c>
      <c r="H18100" t="str">
        <f>"B"</f>
        <v>B</v>
      </c>
    </row>
    <row r="18101" spans="1:8" x14ac:dyDescent="0.2">
      <c r="A18101" t="str">
        <f t="shared" ref="A18101:A18108" si="6565">"0614128055"</f>
        <v>0614128055</v>
      </c>
      <c r="B18101" t="str">
        <f t="shared" ref="B18101:B18108" si="6566">"ELIJAH"</f>
        <v>ELIJAH</v>
      </c>
      <c r="C18101" t="str">
        <f t="shared" ref="C18101:C18132" si="6567">"WILLIAMS"</f>
        <v>WILLIAMS</v>
      </c>
      <c r="D18101">
        <f>11</f>
        <v>11</v>
      </c>
      <c r="E18101" t="str">
        <f>"04 - S1 - A - 104 - Richard E Dunbar Iii"</f>
        <v>04 - S1 - A - 104 - Richard E Dunbar Iii</v>
      </c>
      <c r="F18101" t="str">
        <f>"WEIGHT TRAIN 1"</f>
        <v>WEIGHT TRAIN 1</v>
      </c>
      <c r="G18101" t="str">
        <f>"05-501"</f>
        <v>05-501</v>
      </c>
      <c r="H18101" t="str">
        <f>"A"</f>
        <v>A</v>
      </c>
    </row>
    <row r="18102" spans="1:8" x14ac:dyDescent="0.2">
      <c r="A18102" t="str">
        <f t="shared" si="6565"/>
        <v>0614128055</v>
      </c>
      <c r="B18102" t="str">
        <f t="shared" si="6566"/>
        <v>ELIJAH</v>
      </c>
      <c r="C18102" t="str">
        <f t="shared" si="6567"/>
        <v>WILLIAMS</v>
      </c>
      <c r="D18102">
        <f>11</f>
        <v>11</v>
      </c>
      <c r="E18102" t="str">
        <f>"06 - B - 105 - Elizabeth Ellen  Moran"</f>
        <v>06 - B - 105 - Elizabeth Ellen  Moran</v>
      </c>
      <c r="F18102" t="str">
        <f>"US HISTORY"</f>
        <v>US HISTORY</v>
      </c>
      <c r="G18102" t="str">
        <f>"17-1752"</f>
        <v>17-1752</v>
      </c>
      <c r="H18102" t="str">
        <f>"B"</f>
        <v>B</v>
      </c>
    </row>
    <row r="18103" spans="1:8" x14ac:dyDescent="0.2">
      <c r="A18103" t="str">
        <f t="shared" si="6565"/>
        <v>0614128055</v>
      </c>
      <c r="B18103" t="str">
        <f t="shared" si="6566"/>
        <v>ELIJAH</v>
      </c>
      <c r="C18103" t="str">
        <f t="shared" si="6567"/>
        <v>WILLIAMS</v>
      </c>
      <c r="D18103">
        <f>11</f>
        <v>11</v>
      </c>
      <c r="E18103" t="str">
        <f>"03 - A - 102 - Nahum  Saint-Preux"</f>
        <v>03 - A - 102 - Nahum  Saint-Preux</v>
      </c>
      <c r="F18103" t="str">
        <f>"INTENS READ 3"</f>
        <v>INTENS READ 3</v>
      </c>
      <c r="G18103" t="str">
        <f>"17-1712"</f>
        <v>17-1712</v>
      </c>
      <c r="H18103" t="str">
        <f>"A"</f>
        <v>A</v>
      </c>
    </row>
    <row r="18104" spans="1:8" x14ac:dyDescent="0.2">
      <c r="A18104" t="str">
        <f t="shared" si="6565"/>
        <v>0614128055</v>
      </c>
      <c r="B18104" t="str">
        <f t="shared" si="6566"/>
        <v>ELIJAH</v>
      </c>
      <c r="C18104" t="str">
        <f t="shared" si="6567"/>
        <v>WILLIAMS</v>
      </c>
      <c r="D18104">
        <f>11</f>
        <v>11</v>
      </c>
      <c r="E18104" t="str">
        <f>"02 - A - 108 - Stephen T Ripp"</f>
        <v>02 - A - 108 - Stephen T Ripp</v>
      </c>
      <c r="F18104" t="str">
        <f>"NC STUDY HALL 1"</f>
        <v>NC STUDY HALL 1</v>
      </c>
      <c r="G18104" t="str">
        <f>"17-1744"</f>
        <v>17-1744</v>
      </c>
      <c r="H18104" t="str">
        <f>"A"</f>
        <v>A</v>
      </c>
    </row>
    <row r="18105" spans="1:8" x14ac:dyDescent="0.2">
      <c r="A18105" t="str">
        <f t="shared" si="6565"/>
        <v>0614128055</v>
      </c>
      <c r="B18105" t="str">
        <f t="shared" si="6566"/>
        <v>ELIJAH</v>
      </c>
      <c r="C18105" t="str">
        <f t="shared" si="6567"/>
        <v>WILLIAMS</v>
      </c>
      <c r="D18105">
        <f>11</f>
        <v>11</v>
      </c>
      <c r="E18105" t="str">
        <f>"07 - B - 105 - Cliffon  Saurel"</f>
        <v>07 - B - 105 - Cliffon  Saurel</v>
      </c>
      <c r="F18105" t="str">
        <f>"PHYSICAL SCI"</f>
        <v>PHYSICAL SCI</v>
      </c>
      <c r="G18105" t="str">
        <f>"05-522"</f>
        <v>05-522</v>
      </c>
      <c r="H18105" t="str">
        <f>"B"</f>
        <v>B</v>
      </c>
    </row>
    <row r="18106" spans="1:8" x14ac:dyDescent="0.2">
      <c r="A18106" t="str">
        <f t="shared" si="6565"/>
        <v>0614128055</v>
      </c>
      <c r="B18106" t="str">
        <f t="shared" si="6566"/>
        <v>ELIJAH</v>
      </c>
      <c r="C18106" t="str">
        <f t="shared" si="6567"/>
        <v>WILLIAMS</v>
      </c>
      <c r="D18106">
        <f>11</f>
        <v>11</v>
      </c>
      <c r="E18106" t="str">
        <f>"05 - B - 102 - Jeanne M Bermudez"</f>
        <v>05 - B - 102 - Jeanne M Bermudez</v>
      </c>
      <c r="F18106" t="str">
        <f>"ADVANCED IT HON"</f>
        <v>ADVANCED IT HON</v>
      </c>
      <c r="G18106" t="str">
        <f>"21-2141"</f>
        <v>21-2141</v>
      </c>
      <c r="H18106" t="str">
        <f>"B"</f>
        <v>B</v>
      </c>
    </row>
    <row r="18107" spans="1:8" x14ac:dyDescent="0.2">
      <c r="A18107" t="str">
        <f t="shared" si="6565"/>
        <v>0614128055</v>
      </c>
      <c r="B18107" t="str">
        <f t="shared" si="6566"/>
        <v>ELIJAH</v>
      </c>
      <c r="C18107" t="str">
        <f t="shared" si="6567"/>
        <v>WILLIAMS</v>
      </c>
      <c r="D18107">
        <f>11</f>
        <v>11</v>
      </c>
      <c r="E18107" t="str">
        <f>"01 - A - 101 - Ferrie J Arostique"</f>
        <v>01 - A - 101 - Ferrie J Arostique</v>
      </c>
      <c r="F18107" t="str">
        <f>"GEOMETRY"</f>
        <v>GEOMETRY</v>
      </c>
      <c r="G18107" t="str">
        <f>"21-2139"</f>
        <v>21-2139</v>
      </c>
      <c r="H18107" t="str">
        <f>"A"</f>
        <v>A</v>
      </c>
    </row>
    <row r="18108" spans="1:8" x14ac:dyDescent="0.2">
      <c r="A18108" t="str">
        <f t="shared" si="6565"/>
        <v>0614128055</v>
      </c>
      <c r="B18108" t="str">
        <f t="shared" si="6566"/>
        <v>ELIJAH</v>
      </c>
      <c r="C18108" t="str">
        <f t="shared" si="6567"/>
        <v>WILLIAMS</v>
      </c>
      <c r="D18108">
        <f>11</f>
        <v>11</v>
      </c>
      <c r="E18108" t="str">
        <f>"08 - B - 106 - Lisa  Quinn"</f>
        <v>08 - B - 106 - Lisa  Quinn</v>
      </c>
      <c r="F18108" t="str">
        <f>"ENG 3"</f>
        <v>ENG 3</v>
      </c>
      <c r="G18108" t="str">
        <f>"17-1725"</f>
        <v>17-1725</v>
      </c>
      <c r="H18108" t="str">
        <f>"B"</f>
        <v>B</v>
      </c>
    </row>
    <row r="18109" spans="1:8" x14ac:dyDescent="0.2">
      <c r="A18109" t="str">
        <f t="shared" ref="A18109:A18116" si="6568">"0616121346"</f>
        <v>0616121346</v>
      </c>
      <c r="B18109" t="str">
        <f t="shared" ref="B18109:B18116" si="6569">"ELISE"</f>
        <v>ELISE</v>
      </c>
      <c r="C18109" t="str">
        <f t="shared" si="6567"/>
        <v>WILLIAMS</v>
      </c>
      <c r="D18109" t="str">
        <f t="shared" ref="D18109:D18116" si="6570">"09"</f>
        <v>09</v>
      </c>
      <c r="E18109" t="str">
        <f>"04 - A - 102 - Eva T Rimmer"</f>
        <v>04 - A - 102 - Eva T Rimmer</v>
      </c>
      <c r="F18109" t="str">
        <f>"CRIMINAL JUST OPS 1"</f>
        <v>CRIMINAL JUST OPS 1</v>
      </c>
      <c r="G18109" t="str">
        <f>"05-523"</f>
        <v>05-523</v>
      </c>
      <c r="H18109" t="str">
        <f>"A"</f>
        <v>A</v>
      </c>
    </row>
    <row r="18110" spans="1:8" x14ac:dyDescent="0.2">
      <c r="A18110" t="str">
        <f t="shared" si="6568"/>
        <v>0616121346</v>
      </c>
      <c r="B18110" t="str">
        <f t="shared" si="6569"/>
        <v>ELISE</v>
      </c>
      <c r="C18110" t="str">
        <f t="shared" si="6567"/>
        <v>WILLIAMS</v>
      </c>
      <c r="D18110" t="str">
        <f t="shared" si="6570"/>
        <v>09</v>
      </c>
      <c r="E18110" t="str">
        <f>"06 - B - 101 - Fernando  Vega-Cid"</f>
        <v>06 - B - 101 - Fernando  Vega-Cid</v>
      </c>
      <c r="F18110" t="str">
        <f>"PRE-AICE MATH 2 IG"</f>
        <v>PRE-AICE MATH 2 IG</v>
      </c>
      <c r="G18110" t="str">
        <f>"21-2163"</f>
        <v>21-2163</v>
      </c>
      <c r="H18110" t="str">
        <f>"B"</f>
        <v>B</v>
      </c>
    </row>
    <row r="18111" spans="1:8" x14ac:dyDescent="0.2">
      <c r="A18111" t="str">
        <f t="shared" si="6568"/>
        <v>0616121346</v>
      </c>
      <c r="B18111" t="str">
        <f t="shared" si="6569"/>
        <v>ELISE</v>
      </c>
      <c r="C18111" t="str">
        <f t="shared" si="6567"/>
        <v>WILLIAMS</v>
      </c>
      <c r="D18111" t="str">
        <f t="shared" si="6570"/>
        <v>09</v>
      </c>
      <c r="E18111" t="str">
        <f>"03 - S1 - A - 102 - Leslie J Barton"</f>
        <v>03 - S1 - A - 102 - Leslie J Barton</v>
      </c>
      <c r="F18111" t="str">
        <f>"FIRST AID SAFETY"</f>
        <v>FIRST AID SAFETY</v>
      </c>
      <c r="G18111" t="str">
        <f>"05-521"</f>
        <v>05-521</v>
      </c>
      <c r="H18111" t="str">
        <f>"A"</f>
        <v>A</v>
      </c>
    </row>
    <row r="18112" spans="1:8" x14ac:dyDescent="0.2">
      <c r="A18112" t="str">
        <f t="shared" si="6568"/>
        <v>0616121346</v>
      </c>
      <c r="B18112" t="str">
        <f t="shared" si="6569"/>
        <v>ELISE</v>
      </c>
      <c r="C18112" t="str">
        <f t="shared" si="6567"/>
        <v>WILLIAMS</v>
      </c>
      <c r="D18112" t="str">
        <f t="shared" si="6570"/>
        <v>09</v>
      </c>
      <c r="E18112" t="str">
        <f>"02 - A - 110 - Maried P Ramos"</f>
        <v>02 - A - 110 - Maried P Ramos</v>
      </c>
      <c r="F18112" t="str">
        <f>"NC STUDY HALL 1"</f>
        <v>NC STUDY HALL 1</v>
      </c>
      <c r="G18112" t="str">
        <f>"21-2159"</f>
        <v>21-2159</v>
      </c>
      <c r="H18112" t="str">
        <f>"A"</f>
        <v>A</v>
      </c>
    </row>
    <row r="18113" spans="1:8" x14ac:dyDescent="0.2">
      <c r="A18113" t="str">
        <f t="shared" si="6568"/>
        <v>0616121346</v>
      </c>
      <c r="B18113" t="str">
        <f t="shared" si="6569"/>
        <v>ELISE</v>
      </c>
      <c r="C18113" t="str">
        <f t="shared" si="6567"/>
        <v>WILLIAMS</v>
      </c>
      <c r="D18113" t="str">
        <f t="shared" si="6570"/>
        <v>09</v>
      </c>
      <c r="E18113" t="str">
        <f>"07 - B - 003 - Brandy N Zdenek"</f>
        <v>07 - B - 003 - Brandy N Zdenek</v>
      </c>
      <c r="F18113" t="str">
        <f>"AICE ENG GEN PAPER 1"</f>
        <v>AICE ENG GEN PAPER 1</v>
      </c>
      <c r="G18113" t="str">
        <f>"17-1704"</f>
        <v>17-1704</v>
      </c>
      <c r="H18113" t="str">
        <f>"B"</f>
        <v>B</v>
      </c>
    </row>
    <row r="18114" spans="1:8" x14ac:dyDescent="0.2">
      <c r="A18114" t="str">
        <f t="shared" si="6568"/>
        <v>0616121346</v>
      </c>
      <c r="B18114" t="str">
        <f t="shared" si="6569"/>
        <v>ELISE</v>
      </c>
      <c r="C18114" t="str">
        <f t="shared" si="6567"/>
        <v>WILLIAMS</v>
      </c>
      <c r="D18114" t="str">
        <f t="shared" si="6570"/>
        <v>09</v>
      </c>
      <c r="E18114" t="str">
        <f>"05 - S1 - B - 102 - Richard E Dunbar Iii"</f>
        <v>05 - S1 - B - 102 - Richard E Dunbar Iii</v>
      </c>
      <c r="F18114" t="str">
        <f>"TEAM SPORTS 1"</f>
        <v>TEAM SPORTS 1</v>
      </c>
      <c r="G18114" t="str">
        <f>"04-254"</f>
        <v>04-254</v>
      </c>
      <c r="H18114" t="str">
        <f>"B"</f>
        <v>B</v>
      </c>
    </row>
    <row r="18115" spans="1:8" x14ac:dyDescent="0.2">
      <c r="A18115" t="str">
        <f t="shared" si="6568"/>
        <v>0616121346</v>
      </c>
      <c r="B18115" t="str">
        <f t="shared" si="6569"/>
        <v>ELISE</v>
      </c>
      <c r="C18115" t="str">
        <f t="shared" si="6567"/>
        <v>WILLIAMS</v>
      </c>
      <c r="D18115" t="str">
        <f t="shared" si="6570"/>
        <v>09</v>
      </c>
      <c r="E18115" t="str">
        <f>"01 - A - 101 - Rory T Sponsler"</f>
        <v>01 - A - 101 - Rory T Sponsler</v>
      </c>
      <c r="F18115" t="str">
        <f>"PRE-AICE WRLD HST IG"</f>
        <v>PRE-AICE WRLD HST IG</v>
      </c>
      <c r="G18115" t="str">
        <f>"17-1740"</f>
        <v>17-1740</v>
      </c>
      <c r="H18115" t="str">
        <f>"A"</f>
        <v>A</v>
      </c>
    </row>
    <row r="18116" spans="1:8" x14ac:dyDescent="0.2">
      <c r="A18116" t="str">
        <f t="shared" si="6568"/>
        <v>0616121346</v>
      </c>
      <c r="B18116" t="str">
        <f t="shared" si="6569"/>
        <v>ELISE</v>
      </c>
      <c r="C18116" t="str">
        <f t="shared" si="6567"/>
        <v>WILLIAMS</v>
      </c>
      <c r="D18116" t="str">
        <f t="shared" si="6570"/>
        <v>09</v>
      </c>
      <c r="E18116" t="str">
        <f>"08 - B - 102 - Josiah I Lacy"</f>
        <v>08 - B - 102 - Josiah I Lacy</v>
      </c>
      <c r="F18116" t="str">
        <f>"ANAT PHYSIO HON"</f>
        <v>ANAT PHYSIO HON</v>
      </c>
      <c r="G18116" t="str">
        <f>"08-801"</f>
        <v>08-801</v>
      </c>
      <c r="H18116" t="str">
        <f>"B"</f>
        <v>B</v>
      </c>
    </row>
    <row r="18117" spans="1:8" x14ac:dyDescent="0.2">
      <c r="A18117" t="str">
        <f t="shared" ref="A18117:A18124" si="6571">"0614030990"</f>
        <v>0614030990</v>
      </c>
      <c r="B18117" t="str">
        <f t="shared" ref="B18117:B18124" si="6572">"JEREMIAH"</f>
        <v>JEREMIAH</v>
      </c>
      <c r="C18117" t="str">
        <f t="shared" si="6567"/>
        <v>WILLIAMS</v>
      </c>
      <c r="D18117">
        <f>10</f>
        <v>10</v>
      </c>
      <c r="E18117" t="str">
        <f>"04 - A - 102 - Samantha L Martinez"</f>
        <v>04 - A - 102 - Samantha L Martinez</v>
      </c>
      <c r="F18117" t="str">
        <f>"KEYBD 1"</f>
        <v>KEYBD 1</v>
      </c>
      <c r="G18117" t="str">
        <f>"05-505"</f>
        <v>05-505</v>
      </c>
      <c r="H18117" t="str">
        <f>"A"</f>
        <v>A</v>
      </c>
    </row>
    <row r="18118" spans="1:8" x14ac:dyDescent="0.2">
      <c r="A18118" t="str">
        <f t="shared" si="6571"/>
        <v>0614030990</v>
      </c>
      <c r="B18118" t="str">
        <f t="shared" si="6572"/>
        <v>JEREMIAH</v>
      </c>
      <c r="C18118" t="str">
        <f t="shared" si="6567"/>
        <v>WILLIAMS</v>
      </c>
      <c r="D18118">
        <f>10</f>
        <v>10</v>
      </c>
      <c r="E18118" t="str">
        <f>"06 - B - 110 - Jerry S Jiampetti"</f>
        <v>06 - B - 110 - Jerry S Jiampetti</v>
      </c>
      <c r="F18118" t="str">
        <f>"NC STUDY HALL 1"</f>
        <v>NC STUDY HALL 1</v>
      </c>
      <c r="G18118" t="str">
        <f>"17-1751"</f>
        <v>17-1751</v>
      </c>
      <c r="H18118" t="str">
        <f>"B"</f>
        <v>B</v>
      </c>
    </row>
    <row r="18119" spans="1:8" x14ac:dyDescent="0.2">
      <c r="A18119" t="str">
        <f t="shared" si="6571"/>
        <v>0614030990</v>
      </c>
      <c r="B18119" t="str">
        <f t="shared" si="6572"/>
        <v>JEREMIAH</v>
      </c>
      <c r="C18119" t="str">
        <f t="shared" si="6567"/>
        <v>WILLIAMS</v>
      </c>
      <c r="D18119">
        <f>10</f>
        <v>10</v>
      </c>
      <c r="E18119" t="str">
        <f>"03 - A - 103 - Taraneh C Abreu"</f>
        <v>03 - A - 103 - Taraneh C Abreu</v>
      </c>
      <c r="F18119" t="str">
        <f>"INTENS READ 2"</f>
        <v>INTENS READ 2</v>
      </c>
      <c r="G18119" t="str">
        <f>"17-1713"</f>
        <v>17-1713</v>
      </c>
      <c r="H18119" t="str">
        <f>"A"</f>
        <v>A</v>
      </c>
    </row>
    <row r="18120" spans="1:8" x14ac:dyDescent="0.2">
      <c r="A18120" t="str">
        <f t="shared" si="6571"/>
        <v>0614030990</v>
      </c>
      <c r="B18120" t="str">
        <f t="shared" si="6572"/>
        <v>JEREMIAH</v>
      </c>
      <c r="C18120" t="str">
        <f t="shared" si="6567"/>
        <v>WILLIAMS</v>
      </c>
      <c r="D18120">
        <f>10</f>
        <v>10</v>
      </c>
      <c r="E18120" t="str">
        <f>"02 - A - 102 - Adam Marcus  Drucker"</f>
        <v>02 - A - 102 - Adam Marcus  Drucker</v>
      </c>
      <c r="F18120" t="str">
        <f>"HOPE-PE V"</f>
        <v>HOPE-PE V</v>
      </c>
      <c r="G18120" t="str">
        <f>"04-254"</f>
        <v>04-254</v>
      </c>
      <c r="H18120" t="str">
        <f>"A"</f>
        <v>A</v>
      </c>
    </row>
    <row r="18121" spans="1:8" x14ac:dyDescent="0.2">
      <c r="A18121" t="str">
        <f t="shared" si="6571"/>
        <v>0614030990</v>
      </c>
      <c r="B18121" t="str">
        <f t="shared" si="6572"/>
        <v>JEREMIAH</v>
      </c>
      <c r="C18121" t="str">
        <f t="shared" si="6567"/>
        <v>WILLIAMS</v>
      </c>
      <c r="D18121">
        <f>10</f>
        <v>10</v>
      </c>
      <c r="E18121" t="str">
        <f>"07 - B - 107 - Milca  Exantus"</f>
        <v>07 - B - 107 - Milca  Exantus</v>
      </c>
      <c r="F18121" t="str">
        <f>"MATH COLLEGE LIB ART"</f>
        <v>MATH COLLEGE LIB ART</v>
      </c>
      <c r="G18121" t="str">
        <f>"21-2145"</f>
        <v>21-2145</v>
      </c>
      <c r="H18121" t="str">
        <f>"B"</f>
        <v>B</v>
      </c>
    </row>
    <row r="18122" spans="1:8" x14ac:dyDescent="0.2">
      <c r="A18122" t="str">
        <f t="shared" si="6571"/>
        <v>0614030990</v>
      </c>
      <c r="B18122" t="str">
        <f t="shared" si="6572"/>
        <v>JEREMIAH</v>
      </c>
      <c r="C18122" t="str">
        <f t="shared" si="6567"/>
        <v>WILLIAMS</v>
      </c>
      <c r="D18122">
        <f>10</f>
        <v>10</v>
      </c>
      <c r="E18122" t="str">
        <f>"05 - B - 107 - Nikiel  Nesbeth"</f>
        <v>05 - B - 107 - Nikiel  Nesbeth</v>
      </c>
      <c r="F18122" t="str">
        <f>"ENG 2"</f>
        <v>ENG 2</v>
      </c>
      <c r="G18122" t="str">
        <f>"17-1705"</f>
        <v>17-1705</v>
      </c>
      <c r="H18122" t="str">
        <f>"B"</f>
        <v>B</v>
      </c>
    </row>
    <row r="18123" spans="1:8" x14ac:dyDescent="0.2">
      <c r="A18123" t="str">
        <f t="shared" si="6571"/>
        <v>0614030990</v>
      </c>
      <c r="B18123" t="str">
        <f t="shared" si="6572"/>
        <v>JEREMIAH</v>
      </c>
      <c r="C18123" t="str">
        <f t="shared" si="6567"/>
        <v>WILLIAMS</v>
      </c>
      <c r="D18123">
        <f>10</f>
        <v>10</v>
      </c>
      <c r="E18123" t="str">
        <f>"01 - A - 102 - Lytrell T Dixon"</f>
        <v>01 - A - 102 - Lytrell T Dixon</v>
      </c>
      <c r="F18123" t="str">
        <f>"BIOLOGY 1"</f>
        <v>BIOLOGY 1</v>
      </c>
      <c r="G18123" t="str">
        <f>"08-808"</f>
        <v>08-808</v>
      </c>
      <c r="H18123" t="str">
        <f>"A"</f>
        <v>A</v>
      </c>
    </row>
    <row r="18124" spans="1:8" x14ac:dyDescent="0.2">
      <c r="A18124" t="str">
        <f t="shared" si="6571"/>
        <v>0614030990</v>
      </c>
      <c r="B18124" t="str">
        <f t="shared" si="6572"/>
        <v>JEREMIAH</v>
      </c>
      <c r="C18124" t="str">
        <f t="shared" si="6567"/>
        <v>WILLIAMS</v>
      </c>
      <c r="D18124">
        <f>10</f>
        <v>10</v>
      </c>
      <c r="E18124" t="str">
        <f>"08 - S1 - B - 105 - James H Mccann"</f>
        <v>08 - S1 - B - 105 - James H Mccann</v>
      </c>
      <c r="F18124" t="str">
        <f>"PERS FIN &amp; MON MGT H"</f>
        <v>PERS FIN &amp; MON MGT H</v>
      </c>
      <c r="G18124" t="str">
        <f>"17-1716"</f>
        <v>17-1716</v>
      </c>
      <c r="H18124" t="str">
        <f>"B"</f>
        <v>B</v>
      </c>
    </row>
    <row r="18125" spans="1:8" x14ac:dyDescent="0.2">
      <c r="A18125" t="str">
        <f t="shared" ref="A18125:A18132" si="6573">"0616016962"</f>
        <v>0616016962</v>
      </c>
      <c r="B18125" t="str">
        <f t="shared" ref="B18125:B18132" si="6574">"JORDAN"</f>
        <v>JORDAN</v>
      </c>
      <c r="C18125" t="str">
        <f t="shared" si="6567"/>
        <v>WILLIAMS</v>
      </c>
      <c r="D18125">
        <f>10</f>
        <v>10</v>
      </c>
      <c r="E18125" t="str">
        <f>"04 - A - 102 - Fernando  Vega-Cid"</f>
        <v>04 - A - 102 - Fernando  Vega-Cid</v>
      </c>
      <c r="F18125" t="str">
        <f>"PRE-CALCULUS HON"</f>
        <v>PRE-CALCULUS HON</v>
      </c>
      <c r="G18125" t="str">
        <f>"21-2163"</f>
        <v>21-2163</v>
      </c>
      <c r="H18125" t="str">
        <f>"A"</f>
        <v>A</v>
      </c>
    </row>
    <row r="18126" spans="1:8" x14ac:dyDescent="0.2">
      <c r="A18126" t="str">
        <f t="shared" si="6573"/>
        <v>0616016962</v>
      </c>
      <c r="B18126" t="str">
        <f t="shared" si="6574"/>
        <v>JORDAN</v>
      </c>
      <c r="C18126" t="str">
        <f t="shared" si="6567"/>
        <v>WILLIAMS</v>
      </c>
      <c r="D18126">
        <f>10</f>
        <v>10</v>
      </c>
      <c r="E18126" t="str">
        <f>"06 - B - 117 - Daniel S Tyson"</f>
        <v>06 - B - 117 - Daniel S Tyson</v>
      </c>
      <c r="F18126" t="str">
        <f>"NC STUDY HALL 1"</f>
        <v>NC STUDY HALL 1</v>
      </c>
      <c r="G18126" t="str">
        <f>"05-510"</f>
        <v>05-510</v>
      </c>
      <c r="H18126" t="str">
        <f>"B"</f>
        <v>B</v>
      </c>
    </row>
    <row r="18127" spans="1:8" x14ac:dyDescent="0.2">
      <c r="A18127" t="str">
        <f t="shared" si="6573"/>
        <v>0616016962</v>
      </c>
      <c r="B18127" t="str">
        <f t="shared" si="6574"/>
        <v>JORDAN</v>
      </c>
      <c r="C18127" t="str">
        <f t="shared" si="6567"/>
        <v>WILLIAMS</v>
      </c>
      <c r="D18127">
        <f>10</f>
        <v>10</v>
      </c>
      <c r="E18127" t="str">
        <f>"03 - A - 102 - Rory T Sponsler"</f>
        <v>03 - A - 102 - Rory T Sponsler</v>
      </c>
      <c r="F18127" t="str">
        <f>"PRE-AICE WRLD HST IG"</f>
        <v>PRE-AICE WRLD HST IG</v>
      </c>
      <c r="G18127" t="str">
        <f>"17-1740"</f>
        <v>17-1740</v>
      </c>
      <c r="H18127" t="str">
        <f>"A"</f>
        <v>A</v>
      </c>
    </row>
    <row r="18128" spans="1:8" x14ac:dyDescent="0.2">
      <c r="A18128" t="str">
        <f t="shared" si="6573"/>
        <v>0616016962</v>
      </c>
      <c r="B18128" t="str">
        <f t="shared" si="6574"/>
        <v>JORDAN</v>
      </c>
      <c r="C18128" t="str">
        <f t="shared" si="6567"/>
        <v>WILLIAMS</v>
      </c>
      <c r="D18128">
        <f>10</f>
        <v>10</v>
      </c>
      <c r="E18128" t="str">
        <f>"02 - A - 102 - Chrystina M Marchionne"</f>
        <v>02 - A - 102 - Chrystina M Marchionne</v>
      </c>
      <c r="F18128" t="str">
        <f>"AICE MEDIASTUDIES AS"</f>
        <v>AICE MEDIASTUDIES AS</v>
      </c>
      <c r="G18128" t="str">
        <f>"05-520"</f>
        <v>05-520</v>
      </c>
      <c r="H18128" t="str">
        <f>"A"</f>
        <v>A</v>
      </c>
    </row>
    <row r="18129" spans="1:8" x14ac:dyDescent="0.2">
      <c r="A18129" t="str">
        <f t="shared" si="6573"/>
        <v>0616016962</v>
      </c>
      <c r="B18129" t="str">
        <f t="shared" si="6574"/>
        <v>JORDAN</v>
      </c>
      <c r="C18129" t="str">
        <f t="shared" si="6567"/>
        <v>WILLIAMS</v>
      </c>
      <c r="D18129">
        <f>10</f>
        <v>10</v>
      </c>
      <c r="E18129" t="str">
        <f>"07 - B - 107 - Adam Marcus  Drucker"</f>
        <v>07 - B - 107 - Adam Marcus  Drucker</v>
      </c>
      <c r="F18129" t="str">
        <f>"HOPE-PE V"</f>
        <v>HOPE-PE V</v>
      </c>
      <c r="G18129" t="str">
        <f>"04-254"</f>
        <v>04-254</v>
      </c>
      <c r="H18129" t="str">
        <f>"B"</f>
        <v>B</v>
      </c>
    </row>
    <row r="18130" spans="1:8" x14ac:dyDescent="0.2">
      <c r="A18130" t="str">
        <f t="shared" si="6573"/>
        <v>0616016962</v>
      </c>
      <c r="B18130" t="str">
        <f t="shared" si="6574"/>
        <v>JORDAN</v>
      </c>
      <c r="C18130" t="str">
        <f t="shared" si="6567"/>
        <v>WILLIAMS</v>
      </c>
      <c r="D18130">
        <f>10</f>
        <v>10</v>
      </c>
      <c r="E18130" t="str">
        <f>"05 - B - 103 - Byron G Montenegro"</f>
        <v>05 - B - 103 - Byron G Montenegro</v>
      </c>
      <c r="F18130" t="str">
        <f>"AICE MARINE SCI 1 AS"</f>
        <v>AICE MARINE SCI 1 AS</v>
      </c>
      <c r="G18130" t="str">
        <f>"21-2144"</f>
        <v>21-2144</v>
      </c>
      <c r="H18130" t="str">
        <f>"B"</f>
        <v>B</v>
      </c>
    </row>
    <row r="18131" spans="1:8" x14ac:dyDescent="0.2">
      <c r="A18131" t="str">
        <f t="shared" si="6573"/>
        <v>0616016962</v>
      </c>
      <c r="B18131" t="str">
        <f t="shared" si="6574"/>
        <v>JORDAN</v>
      </c>
      <c r="C18131" t="str">
        <f t="shared" si="6567"/>
        <v>WILLIAMS</v>
      </c>
      <c r="D18131">
        <f>10</f>
        <v>10</v>
      </c>
      <c r="E18131" t="str">
        <f>"01 - A - 002 - Krystal Marie  Beruty"</f>
        <v>01 - A - 002 - Krystal Marie  Beruty</v>
      </c>
      <c r="F18131" t="str">
        <f>"AICE GLBL PERSP 1 AS"</f>
        <v>AICE GLBL PERSP 1 AS</v>
      </c>
      <c r="G18131" t="str">
        <f>"17-1721"</f>
        <v>17-1721</v>
      </c>
      <c r="H18131" t="str">
        <f>"A"</f>
        <v>A</v>
      </c>
    </row>
    <row r="18132" spans="1:8" x14ac:dyDescent="0.2">
      <c r="A18132" t="str">
        <f t="shared" si="6573"/>
        <v>0616016962</v>
      </c>
      <c r="B18132" t="str">
        <f t="shared" si="6574"/>
        <v>JORDAN</v>
      </c>
      <c r="C18132" t="str">
        <f t="shared" si="6567"/>
        <v>WILLIAMS</v>
      </c>
      <c r="D18132">
        <f>10</f>
        <v>10</v>
      </c>
      <c r="E18132" t="str">
        <f>"08 - B - 102 - Jacquelyn M Neeson"</f>
        <v>08 - B - 102 - Jacquelyn M Neeson</v>
      </c>
      <c r="F18132" t="str">
        <f>"AICE ENG GEN PAPER 1"</f>
        <v>AICE ENG GEN PAPER 1</v>
      </c>
      <c r="G18132" t="str">
        <f>"17-1715"</f>
        <v>17-1715</v>
      </c>
      <c r="H18132" t="str">
        <f>"B"</f>
        <v>B</v>
      </c>
    </row>
    <row r="18133" spans="1:8" x14ac:dyDescent="0.2">
      <c r="A18133" t="str">
        <f t="shared" ref="A18133:A18140" si="6575">"0614017697"</f>
        <v>0614017697</v>
      </c>
      <c r="B18133" t="str">
        <f t="shared" ref="B18133:B18140" si="6576">"KASHARI"</f>
        <v>KASHARI</v>
      </c>
      <c r="C18133" t="str">
        <f t="shared" ref="C18133:C18164" si="6577">"WILLIAMS"</f>
        <v>WILLIAMS</v>
      </c>
      <c r="D18133">
        <f>10</f>
        <v>10</v>
      </c>
      <c r="E18133" t="str">
        <f>"04 - A - 102 - Samantha J Headley"</f>
        <v>04 - A - 102 - Samantha J Headley</v>
      </c>
      <c r="F18133" t="str">
        <f>"MARINE SCI 1 HON"</f>
        <v>MARINE SCI 1 HON</v>
      </c>
      <c r="G18133" t="str">
        <f>"21-2134"</f>
        <v>21-2134</v>
      </c>
      <c r="H18133" t="str">
        <f>"A"</f>
        <v>A</v>
      </c>
    </row>
    <row r="18134" spans="1:8" x14ac:dyDescent="0.2">
      <c r="A18134" t="str">
        <f t="shared" si="6575"/>
        <v>0614017697</v>
      </c>
      <c r="B18134" t="str">
        <f t="shared" si="6576"/>
        <v>KASHARI</v>
      </c>
      <c r="C18134" t="str">
        <f t="shared" si="6577"/>
        <v>WILLIAMS</v>
      </c>
      <c r="D18134">
        <f>10</f>
        <v>10</v>
      </c>
      <c r="E18134" t="str">
        <f>"06 - B - 114 - Richard E Dunbar Iii"</f>
        <v>06 - B - 114 - Richard E Dunbar Iii</v>
      </c>
      <c r="F18134" t="str">
        <f>"NC STUDY HALL 1"</f>
        <v>NC STUDY HALL 1</v>
      </c>
      <c r="G18134" t="str">
        <f>"17-1703"</f>
        <v>17-1703</v>
      </c>
      <c r="H18134" t="str">
        <f>"B"</f>
        <v>B</v>
      </c>
    </row>
    <row r="18135" spans="1:8" x14ac:dyDescent="0.2">
      <c r="A18135" t="str">
        <f t="shared" si="6575"/>
        <v>0614017697</v>
      </c>
      <c r="B18135" t="str">
        <f t="shared" si="6576"/>
        <v>KASHARI</v>
      </c>
      <c r="C18135" t="str">
        <f t="shared" si="6577"/>
        <v>WILLIAMS</v>
      </c>
      <c r="D18135">
        <f>10</f>
        <v>10</v>
      </c>
      <c r="E18135" t="str">
        <f>"03 - A - 002 - Nikiel  Nesbeth"</f>
        <v>03 - A - 002 - Nikiel  Nesbeth</v>
      </c>
      <c r="F18135" t="str">
        <f>"PRE-AICE ENG LIT IG"</f>
        <v>PRE-AICE ENG LIT IG</v>
      </c>
      <c r="G18135" t="str">
        <f>"17-1705"</f>
        <v>17-1705</v>
      </c>
      <c r="H18135" t="str">
        <f>"A"</f>
        <v>A</v>
      </c>
    </row>
    <row r="18136" spans="1:8" x14ac:dyDescent="0.2">
      <c r="A18136" t="str">
        <f t="shared" si="6575"/>
        <v>0614017697</v>
      </c>
      <c r="B18136" t="str">
        <f t="shared" si="6576"/>
        <v>KASHARI</v>
      </c>
      <c r="C18136" t="str">
        <f t="shared" si="6577"/>
        <v>WILLIAMS</v>
      </c>
      <c r="D18136">
        <f>10</f>
        <v>10</v>
      </c>
      <c r="E18136" t="str">
        <f>"02 - S1 - A - 101 - James H Mccann"</f>
        <v>02 - S1 - A - 101 - James H Mccann</v>
      </c>
      <c r="F18136" t="str">
        <f>"PERS FIN &amp; MON MGT H"</f>
        <v>PERS FIN &amp; MON MGT H</v>
      </c>
      <c r="G18136" t="str">
        <f>"17-1716"</f>
        <v>17-1716</v>
      </c>
      <c r="H18136" t="str">
        <f>"A"</f>
        <v>A</v>
      </c>
    </row>
    <row r="18137" spans="1:8" x14ac:dyDescent="0.2">
      <c r="A18137" t="str">
        <f t="shared" si="6575"/>
        <v>0614017697</v>
      </c>
      <c r="B18137" t="str">
        <f t="shared" si="6576"/>
        <v>KASHARI</v>
      </c>
      <c r="C18137" t="str">
        <f t="shared" si="6577"/>
        <v>WILLIAMS</v>
      </c>
      <c r="D18137">
        <f>10</f>
        <v>10</v>
      </c>
      <c r="E18137" t="str">
        <f>"07 - B - 105 - Joe  Kilpatrick Jr"</f>
        <v>07 - B - 105 - Joe  Kilpatrick Jr</v>
      </c>
      <c r="F18137" t="str">
        <f>"PRE-AICE SPAN 1 IG"</f>
        <v>PRE-AICE SPAN 1 IG</v>
      </c>
      <c r="G18137" t="str">
        <f>"09-912"</f>
        <v>09-912</v>
      </c>
      <c r="H18137" t="str">
        <f>"B"</f>
        <v>B</v>
      </c>
    </row>
    <row r="18138" spans="1:8" x14ac:dyDescent="0.2">
      <c r="A18138" t="str">
        <f t="shared" si="6575"/>
        <v>0614017697</v>
      </c>
      <c r="B18138" t="str">
        <f t="shared" si="6576"/>
        <v>KASHARI</v>
      </c>
      <c r="C18138" t="str">
        <f t="shared" si="6577"/>
        <v>WILLIAMS</v>
      </c>
      <c r="D18138">
        <f>10</f>
        <v>10</v>
      </c>
      <c r="E18138" t="str">
        <f>"05 - B - 106 - Milca  Exantus"</f>
        <v>05 - B - 106 - Milca  Exantus</v>
      </c>
      <c r="F18138" t="str">
        <f>"MATH COLLEGE LIB ART"</f>
        <v>MATH COLLEGE LIB ART</v>
      </c>
      <c r="G18138" t="str">
        <f>"21-2145"</f>
        <v>21-2145</v>
      </c>
      <c r="H18138" t="str">
        <f>"B"</f>
        <v>B</v>
      </c>
    </row>
    <row r="18139" spans="1:8" x14ac:dyDescent="0.2">
      <c r="A18139" t="str">
        <f t="shared" si="6575"/>
        <v>0614017697</v>
      </c>
      <c r="B18139" t="str">
        <f t="shared" si="6576"/>
        <v>KASHARI</v>
      </c>
      <c r="C18139" t="str">
        <f t="shared" si="6577"/>
        <v>WILLIAMS</v>
      </c>
      <c r="D18139">
        <f>10</f>
        <v>10</v>
      </c>
      <c r="E18139" t="str">
        <f>"01 - A - 101 - Brian M Fitzgerald"</f>
        <v>01 - A - 101 - Brian M Fitzgerald</v>
      </c>
      <c r="F18139" t="str">
        <f>"CERAM/POT 1"</f>
        <v>CERAM/POT 1</v>
      </c>
      <c r="G18139" t="str">
        <f>"09-908"</f>
        <v>09-908</v>
      </c>
      <c r="H18139" t="str">
        <f>"A"</f>
        <v>A</v>
      </c>
    </row>
    <row r="18140" spans="1:8" x14ac:dyDescent="0.2">
      <c r="A18140" t="str">
        <f t="shared" si="6575"/>
        <v>0614017697</v>
      </c>
      <c r="B18140" t="str">
        <f t="shared" si="6576"/>
        <v>KASHARI</v>
      </c>
      <c r="C18140" t="str">
        <f t="shared" si="6577"/>
        <v>WILLIAMS</v>
      </c>
      <c r="D18140">
        <f>10</f>
        <v>10</v>
      </c>
      <c r="E18140" t="str">
        <f>"08 - B - 103 - Chrystina M Marchionne"</f>
        <v>08 - B - 103 - Chrystina M Marchionne</v>
      </c>
      <c r="F18140" t="str">
        <f>"JOURN 2 (YB) LH"</f>
        <v>JOURN 2 (YB) LH</v>
      </c>
      <c r="G18140" t="str">
        <f>"05-520"</f>
        <v>05-520</v>
      </c>
      <c r="H18140" t="str">
        <f>"B"</f>
        <v>B</v>
      </c>
    </row>
    <row r="18141" spans="1:8" x14ac:dyDescent="0.2">
      <c r="A18141" t="str">
        <f t="shared" ref="A18141:A18148" si="6578">"0623038863"</f>
        <v>0623038863</v>
      </c>
      <c r="B18141" t="str">
        <f t="shared" ref="B18141:B18148" si="6579">"KELISSA"</f>
        <v>KELISSA</v>
      </c>
      <c r="C18141" t="str">
        <f t="shared" si="6577"/>
        <v>WILLIAMS</v>
      </c>
      <c r="D18141">
        <f>10</f>
        <v>10</v>
      </c>
      <c r="E18141" t="str">
        <f>"04 - A - 203 - Daniel S Tyson"</f>
        <v>04 - A - 203 - Daniel S Tyson</v>
      </c>
      <c r="F18141" t="str">
        <f>"JROTC NAVAL SCI 2"</f>
        <v>JROTC NAVAL SCI 2</v>
      </c>
      <c r="G18141" t="str">
        <f>"05-510"</f>
        <v>05-510</v>
      </c>
      <c r="H18141" t="str">
        <f>"A"</f>
        <v>A</v>
      </c>
    </row>
    <row r="18142" spans="1:8" x14ac:dyDescent="0.2">
      <c r="A18142" t="str">
        <f t="shared" si="6578"/>
        <v>0623038863</v>
      </c>
      <c r="B18142" t="str">
        <f t="shared" si="6579"/>
        <v>KELISSA</v>
      </c>
      <c r="C18142" t="str">
        <f t="shared" si="6577"/>
        <v>WILLIAMS</v>
      </c>
      <c r="D18142">
        <f>10</f>
        <v>10</v>
      </c>
      <c r="E18142" t="str">
        <f>"06 - B - 105 - Jeffrey S Gallagher"</f>
        <v>06 - B - 105 - Jeffrey S Gallagher</v>
      </c>
      <c r="F18142" t="str">
        <f>"NC STUDY HALL 1"</f>
        <v>NC STUDY HALL 1</v>
      </c>
      <c r="G18142" t="str">
        <f>"17-1724"</f>
        <v>17-1724</v>
      </c>
      <c r="H18142" t="str">
        <f>"B"</f>
        <v>B</v>
      </c>
    </row>
    <row r="18143" spans="1:8" x14ac:dyDescent="0.2">
      <c r="A18143" t="str">
        <f t="shared" si="6578"/>
        <v>0623038863</v>
      </c>
      <c r="B18143" t="str">
        <f t="shared" si="6579"/>
        <v>KELISSA</v>
      </c>
      <c r="C18143" t="str">
        <f t="shared" si="6577"/>
        <v>WILLIAMS</v>
      </c>
      <c r="D18143">
        <f>10</f>
        <v>10</v>
      </c>
      <c r="E18143" t="str">
        <f>"03 - A - 106 - Krystal Marie  Beruty"</f>
        <v>03 - A - 106 - Krystal Marie  Beruty</v>
      </c>
      <c r="F18143" t="str">
        <f>"AICE PSYCH 1 AS"</f>
        <v>AICE PSYCH 1 AS</v>
      </c>
      <c r="G18143" t="str">
        <f>"17-1721"</f>
        <v>17-1721</v>
      </c>
      <c r="H18143" t="str">
        <f>"A"</f>
        <v>A</v>
      </c>
    </row>
    <row r="18144" spans="1:8" x14ac:dyDescent="0.2">
      <c r="A18144" t="str">
        <f t="shared" si="6578"/>
        <v>0623038863</v>
      </c>
      <c r="B18144" t="str">
        <f t="shared" si="6579"/>
        <v>KELISSA</v>
      </c>
      <c r="C18144" t="str">
        <f t="shared" si="6577"/>
        <v>WILLIAMS</v>
      </c>
      <c r="D18144">
        <f>10</f>
        <v>10</v>
      </c>
      <c r="E18144" t="str">
        <f>"02 - A - 103 - Lenecy  Nodarse"</f>
        <v>02 - A - 103 - Lenecy  Nodarse</v>
      </c>
      <c r="F18144" t="str">
        <f>"AICE EURO HIST 1 AS"</f>
        <v>AICE EURO HIST 1 AS</v>
      </c>
      <c r="G18144" t="str">
        <f>"17-1741"</f>
        <v>17-1741</v>
      </c>
      <c r="H18144" t="str">
        <f>"A"</f>
        <v>A</v>
      </c>
    </row>
    <row r="18145" spans="1:8" x14ac:dyDescent="0.2">
      <c r="A18145" t="str">
        <f t="shared" si="6578"/>
        <v>0623038863</v>
      </c>
      <c r="B18145" t="str">
        <f t="shared" si="6579"/>
        <v>KELISSA</v>
      </c>
      <c r="C18145" t="str">
        <f t="shared" si="6577"/>
        <v>WILLIAMS</v>
      </c>
      <c r="D18145">
        <f>10</f>
        <v>10</v>
      </c>
      <c r="E18145" t="str">
        <f>"07 - B - 107 - Jacklyn M James"</f>
        <v>07 - B - 107 - Jacklyn M James</v>
      </c>
      <c r="F18145" t="str">
        <f>"AICE ENG LANG AS"</f>
        <v>AICE ENG LANG AS</v>
      </c>
      <c r="G18145" t="str">
        <f>"17-1731"</f>
        <v>17-1731</v>
      </c>
      <c r="H18145" t="str">
        <f>"B"</f>
        <v>B</v>
      </c>
    </row>
    <row r="18146" spans="1:8" x14ac:dyDescent="0.2">
      <c r="A18146" t="str">
        <f t="shared" si="6578"/>
        <v>0623038863</v>
      </c>
      <c r="B18146" t="str">
        <f t="shared" si="6579"/>
        <v>KELISSA</v>
      </c>
      <c r="C18146" t="str">
        <f t="shared" si="6577"/>
        <v>WILLIAMS</v>
      </c>
      <c r="D18146">
        <f>10</f>
        <v>10</v>
      </c>
      <c r="E18146" t="str">
        <f>"05 - B - 103 - Vanessa J Liburd"</f>
        <v>05 - B - 103 - Vanessa J Liburd</v>
      </c>
      <c r="F18146" t="str">
        <f>"PRE-AICE FRENCH 2 IG"</f>
        <v>PRE-AICE FRENCH 2 IG</v>
      </c>
      <c r="G18146" t="str">
        <f>"05-519"</f>
        <v>05-519</v>
      </c>
      <c r="H18146" t="str">
        <f>"B"</f>
        <v>B</v>
      </c>
    </row>
    <row r="18147" spans="1:8" x14ac:dyDescent="0.2">
      <c r="A18147" t="str">
        <f t="shared" si="6578"/>
        <v>0623038863</v>
      </c>
      <c r="B18147" t="str">
        <f t="shared" si="6579"/>
        <v>KELISSA</v>
      </c>
      <c r="C18147" t="str">
        <f t="shared" si="6577"/>
        <v>WILLIAMS</v>
      </c>
      <c r="D18147">
        <f>10</f>
        <v>10</v>
      </c>
      <c r="E18147" t="str">
        <f>"01 - A - 001 - Dorothy D Moore"</f>
        <v>01 - A - 001 - Dorothy D Moore</v>
      </c>
      <c r="F18147" t="str">
        <f>"ANAT PHYSIO HON"</f>
        <v>ANAT PHYSIO HON</v>
      </c>
      <c r="G18147" t="str">
        <f>"08-803"</f>
        <v>08-803</v>
      </c>
      <c r="H18147" t="str">
        <f>"A"</f>
        <v>A</v>
      </c>
    </row>
    <row r="18148" spans="1:8" x14ac:dyDescent="0.2">
      <c r="A18148" t="str">
        <f t="shared" si="6578"/>
        <v>0623038863</v>
      </c>
      <c r="B18148" t="str">
        <f t="shared" si="6579"/>
        <v>KELISSA</v>
      </c>
      <c r="C18148" t="str">
        <f t="shared" si="6577"/>
        <v>WILLIAMS</v>
      </c>
      <c r="D18148">
        <f>10</f>
        <v>10</v>
      </c>
      <c r="E18148" t="str">
        <f>"08 - B - 107 - Dayna M Foster"</f>
        <v>08 - B - 107 - Dayna M Foster</v>
      </c>
      <c r="F18148" t="str">
        <f>"ALGEBRA 2"</f>
        <v>ALGEBRA 2</v>
      </c>
      <c r="G18148" t="str">
        <f>"21-2109"</f>
        <v>21-2109</v>
      </c>
      <c r="H18148" t="str">
        <f>"B"</f>
        <v>B</v>
      </c>
    </row>
    <row r="18149" spans="1:8" x14ac:dyDescent="0.2">
      <c r="A18149" t="str">
        <f t="shared" ref="A18149:A18156" si="6580">"0615068014"</f>
        <v>0615068014</v>
      </c>
      <c r="B18149" t="str">
        <f t="shared" ref="B18149:B18156" si="6581">"LYONESS"</f>
        <v>LYONESS</v>
      </c>
      <c r="C18149" t="str">
        <f t="shared" si="6577"/>
        <v>WILLIAMS</v>
      </c>
      <c r="D18149">
        <f>11</f>
        <v>11</v>
      </c>
      <c r="E18149" t="str">
        <f>"04 - S1 - A - 104 - Richard E Dunbar Iii"</f>
        <v>04 - S1 - A - 104 - Richard E Dunbar Iii</v>
      </c>
      <c r="F18149" t="str">
        <f>"WEIGHT TRAIN 1"</f>
        <v>WEIGHT TRAIN 1</v>
      </c>
      <c r="G18149" t="str">
        <f>"05-501"</f>
        <v>05-501</v>
      </c>
      <c r="H18149" t="str">
        <f>"A"</f>
        <v>A</v>
      </c>
    </row>
    <row r="18150" spans="1:8" x14ac:dyDescent="0.2">
      <c r="A18150" t="str">
        <f t="shared" si="6580"/>
        <v>0615068014</v>
      </c>
      <c r="B18150" t="str">
        <f t="shared" si="6581"/>
        <v>LYONESS</v>
      </c>
      <c r="C18150" t="str">
        <f t="shared" si="6577"/>
        <v>WILLIAMS</v>
      </c>
      <c r="D18150">
        <f>11</f>
        <v>11</v>
      </c>
      <c r="E18150" t="str">
        <f>"06 - B - 108 - Milca  Exantus"</f>
        <v>06 - B - 108 - Milca  Exantus</v>
      </c>
      <c r="F18150" t="str">
        <f>"MATH COLLEGE LIB ART"</f>
        <v>MATH COLLEGE LIB ART</v>
      </c>
      <c r="G18150" t="str">
        <f>"21-2145"</f>
        <v>21-2145</v>
      </c>
      <c r="H18150" t="str">
        <f>"B"</f>
        <v>B</v>
      </c>
    </row>
    <row r="18151" spans="1:8" x14ac:dyDescent="0.2">
      <c r="A18151" t="str">
        <f t="shared" si="6580"/>
        <v>0615068014</v>
      </c>
      <c r="B18151" t="str">
        <f t="shared" si="6581"/>
        <v>LYONESS</v>
      </c>
      <c r="C18151" t="str">
        <f t="shared" si="6577"/>
        <v>WILLIAMS</v>
      </c>
      <c r="D18151">
        <f>11</f>
        <v>11</v>
      </c>
      <c r="E18151" t="str">
        <f>"03 - A - 104 - Kyle  Robbins"</f>
        <v>03 - A - 104 - Kyle  Robbins</v>
      </c>
      <c r="F18151" t="str">
        <f>"US HISTORY"</f>
        <v>US HISTORY</v>
      </c>
      <c r="G18151" t="str">
        <f>"17-1745"</f>
        <v>17-1745</v>
      </c>
      <c r="H18151" t="str">
        <f>"A"</f>
        <v>A</v>
      </c>
    </row>
    <row r="18152" spans="1:8" x14ac:dyDescent="0.2">
      <c r="A18152" t="str">
        <f t="shared" si="6580"/>
        <v>0615068014</v>
      </c>
      <c r="B18152" t="str">
        <f t="shared" si="6581"/>
        <v>LYONESS</v>
      </c>
      <c r="C18152" t="str">
        <f t="shared" si="6577"/>
        <v>WILLIAMS</v>
      </c>
      <c r="D18152">
        <f>11</f>
        <v>11</v>
      </c>
      <c r="E18152" t="str">
        <f>"02 - A - 103 - Kelly N Panza"</f>
        <v>02 - A - 103 - Kelly N Panza</v>
      </c>
      <c r="F18152" t="str">
        <f>"NC STUDY HALL 1"</f>
        <v>NC STUDY HALL 1</v>
      </c>
      <c r="G18152" t="str">
        <f>"17-1753"</f>
        <v>17-1753</v>
      </c>
      <c r="H18152" t="str">
        <f>"A"</f>
        <v>A</v>
      </c>
    </row>
    <row r="18153" spans="1:8" x14ac:dyDescent="0.2">
      <c r="A18153" t="str">
        <f t="shared" si="6580"/>
        <v>0615068014</v>
      </c>
      <c r="B18153" t="str">
        <f t="shared" si="6581"/>
        <v>LYONESS</v>
      </c>
      <c r="C18153" t="str">
        <f t="shared" si="6577"/>
        <v>WILLIAMS</v>
      </c>
      <c r="D18153">
        <f>11</f>
        <v>11</v>
      </c>
      <c r="E18153" t="str">
        <f>"07 - B - 107 - Lytrell T Dixon"</f>
        <v>07 - B - 107 - Lytrell T Dixon</v>
      </c>
      <c r="F18153" t="str">
        <f>"BIOLOGY 1"</f>
        <v>BIOLOGY 1</v>
      </c>
      <c r="G18153" t="str">
        <f>"08-808"</f>
        <v>08-808</v>
      </c>
      <c r="H18153" t="str">
        <f>"B"</f>
        <v>B</v>
      </c>
    </row>
    <row r="18154" spans="1:8" x14ac:dyDescent="0.2">
      <c r="A18154" t="str">
        <f t="shared" si="6580"/>
        <v>0615068014</v>
      </c>
      <c r="B18154" t="str">
        <f t="shared" si="6581"/>
        <v>LYONESS</v>
      </c>
      <c r="C18154" t="str">
        <f t="shared" si="6577"/>
        <v>WILLIAMS</v>
      </c>
      <c r="D18154">
        <f>11</f>
        <v>11</v>
      </c>
      <c r="E18154" t="str">
        <f>"05 - B - 101 - Brian M Fitzgerald"</f>
        <v>05 - B - 101 - Brian M Fitzgerald</v>
      </c>
      <c r="F18154" t="str">
        <f>"PAINT 1"</f>
        <v>PAINT 1</v>
      </c>
      <c r="G18154" t="str">
        <f>"09-908"</f>
        <v>09-908</v>
      </c>
      <c r="H18154" t="str">
        <f>"B"</f>
        <v>B</v>
      </c>
    </row>
    <row r="18155" spans="1:8" x14ac:dyDescent="0.2">
      <c r="A18155" t="str">
        <f t="shared" si="6580"/>
        <v>0615068014</v>
      </c>
      <c r="B18155" t="str">
        <f t="shared" si="6581"/>
        <v>LYONESS</v>
      </c>
      <c r="C18155" t="str">
        <f t="shared" si="6577"/>
        <v>WILLIAMS</v>
      </c>
      <c r="D18155">
        <f>11</f>
        <v>11</v>
      </c>
      <c r="E18155" t="str">
        <f>"01 - A - 101 - Lisa  Quinn"</f>
        <v>01 - A - 101 - Lisa  Quinn</v>
      </c>
      <c r="F18155" t="str">
        <f>"ENG 3"</f>
        <v>ENG 3</v>
      </c>
      <c r="G18155" t="str">
        <f>"17-1725"</f>
        <v>17-1725</v>
      </c>
      <c r="H18155" t="str">
        <f>"A"</f>
        <v>A</v>
      </c>
    </row>
    <row r="18156" spans="1:8" x14ac:dyDescent="0.2">
      <c r="A18156" t="str">
        <f t="shared" si="6580"/>
        <v>0615068014</v>
      </c>
      <c r="B18156" t="str">
        <f t="shared" si="6581"/>
        <v>LYONESS</v>
      </c>
      <c r="C18156" t="str">
        <f t="shared" si="6577"/>
        <v>WILLIAMS</v>
      </c>
      <c r="D18156">
        <f>11</f>
        <v>11</v>
      </c>
      <c r="E18156" t="str">
        <f>"08 - S1 - B - 102 - Kyle  Robbins"</f>
        <v>08 - S1 - B - 102 - Kyle  Robbins</v>
      </c>
      <c r="F18156" t="str">
        <f>"PERS FIN &amp; MON MGT H"</f>
        <v>PERS FIN &amp; MON MGT H</v>
      </c>
      <c r="G18156" t="str">
        <f>"17-1745"</f>
        <v>17-1745</v>
      </c>
      <c r="H18156" t="str">
        <f>"B"</f>
        <v>B</v>
      </c>
    </row>
    <row r="18157" spans="1:8" x14ac:dyDescent="0.2">
      <c r="A18157" t="str">
        <f t="shared" ref="A18157:A18164" si="6582">"0613084348"</f>
        <v>0613084348</v>
      </c>
      <c r="B18157" t="str">
        <f t="shared" ref="B18157:B18164" si="6583">"NICOLAS"</f>
        <v>NICOLAS</v>
      </c>
      <c r="C18157" t="str">
        <f t="shared" si="6577"/>
        <v>WILLIAMS</v>
      </c>
      <c r="D18157">
        <f>12</f>
        <v>12</v>
      </c>
      <c r="E18157" t="str">
        <f>"04 - S1 - A - 101 - Barbara L Segal"</f>
        <v>04 - S1 - A - 101 - Barbara L Segal</v>
      </c>
      <c r="F18157" t="str">
        <f>"AP US GOVT/POL"</f>
        <v>AP US GOVT/POL</v>
      </c>
      <c r="G18157" t="str">
        <f>"17-1742"</f>
        <v>17-1742</v>
      </c>
      <c r="H18157" t="str">
        <f>"A"</f>
        <v>A</v>
      </c>
    </row>
    <row r="18158" spans="1:8" x14ac:dyDescent="0.2">
      <c r="A18158" t="str">
        <f t="shared" si="6582"/>
        <v>0613084348</v>
      </c>
      <c r="B18158" t="str">
        <f t="shared" si="6583"/>
        <v>NICOLAS</v>
      </c>
      <c r="C18158" t="str">
        <f t="shared" si="6577"/>
        <v>WILLIAMS</v>
      </c>
      <c r="D18158">
        <f>12</f>
        <v>12</v>
      </c>
      <c r="E18158" t="str">
        <f>"06 - B - 110 - Barbara L Segal"</f>
        <v>06 - B - 110 - Barbara L Segal</v>
      </c>
      <c r="F18158" t="str">
        <f>"NC STUDY HALL 1"</f>
        <v>NC STUDY HALL 1</v>
      </c>
      <c r="G18158" t="str">
        <f>"17-1742"</f>
        <v>17-1742</v>
      </c>
      <c r="H18158" t="str">
        <f>"B"</f>
        <v>B</v>
      </c>
    </row>
    <row r="18159" spans="1:8" x14ac:dyDescent="0.2">
      <c r="A18159" t="str">
        <f t="shared" si="6582"/>
        <v>0613084348</v>
      </c>
      <c r="B18159" t="str">
        <f t="shared" si="6583"/>
        <v>NICOLAS</v>
      </c>
      <c r="C18159" t="str">
        <f t="shared" si="6577"/>
        <v>WILLIAMS</v>
      </c>
      <c r="D18159">
        <f>12</f>
        <v>12</v>
      </c>
      <c r="E18159" t="str">
        <f>"03 - A - 101 - Lourivaldo  Da Silva"</f>
        <v>03 - A - 101 - Lourivaldo  Da Silva</v>
      </c>
      <c r="F18159" t="str">
        <f>"AP STAT"</f>
        <v>AP STAT</v>
      </c>
      <c r="G18159" t="str">
        <f>"20-2079"</f>
        <v>20-2079</v>
      </c>
      <c r="H18159" t="str">
        <f>"A"</f>
        <v>A</v>
      </c>
    </row>
    <row r="18160" spans="1:8" x14ac:dyDescent="0.2">
      <c r="A18160" t="str">
        <f t="shared" si="6582"/>
        <v>0613084348</v>
      </c>
      <c r="B18160" t="str">
        <f t="shared" si="6583"/>
        <v>NICOLAS</v>
      </c>
      <c r="C18160" t="str">
        <f t="shared" si="6577"/>
        <v>WILLIAMS</v>
      </c>
      <c r="D18160">
        <f>12</f>
        <v>12</v>
      </c>
      <c r="E18160" t="str">
        <f>"02 - A - 201 - Jeanne M Bermudez"</f>
        <v>02 - A - 201 - Jeanne M Bermudez</v>
      </c>
      <c r="F18160" t="str">
        <f>"AP ENV SCI"</f>
        <v>AP ENV SCI</v>
      </c>
      <c r="G18160" t="str">
        <f>"21-2141"</f>
        <v>21-2141</v>
      </c>
      <c r="H18160" t="str">
        <f>"A"</f>
        <v>A</v>
      </c>
    </row>
    <row r="18161" spans="1:8" x14ac:dyDescent="0.2">
      <c r="A18161" t="str">
        <f t="shared" si="6582"/>
        <v>0613084348</v>
      </c>
      <c r="B18161" t="str">
        <f t="shared" si="6583"/>
        <v>NICOLAS</v>
      </c>
      <c r="C18161" t="str">
        <f t="shared" si="6577"/>
        <v>WILLIAMS</v>
      </c>
      <c r="D18161">
        <f>12</f>
        <v>12</v>
      </c>
      <c r="E18161" t="str">
        <f>"07 - S1 - B - 101 - Daniel S Katz"</f>
        <v>07 - S1 - B - 101 - Daniel S Katz</v>
      </c>
      <c r="F18161" t="str">
        <f>"CRIMINAL LAW"</f>
        <v>CRIMINAL LAW</v>
      </c>
      <c r="G18161" t="str">
        <f>"21-2156"</f>
        <v>21-2156</v>
      </c>
      <c r="H18161" t="str">
        <f>"B"</f>
        <v>B</v>
      </c>
    </row>
    <row r="18162" spans="1:8" x14ac:dyDescent="0.2">
      <c r="A18162" t="str">
        <f t="shared" si="6582"/>
        <v>0613084348</v>
      </c>
      <c r="B18162" t="str">
        <f t="shared" si="6583"/>
        <v>NICOLAS</v>
      </c>
      <c r="C18162" t="str">
        <f t="shared" si="6577"/>
        <v>WILLIAMS</v>
      </c>
      <c r="D18162">
        <f>12</f>
        <v>12</v>
      </c>
      <c r="E18162" t="str">
        <f>"05 - B - 105 - Norayda D Suarez"</f>
        <v>05 - B - 105 - Norayda D Suarez</v>
      </c>
      <c r="F18162" t="str">
        <f>"RESEARCH 1 LH"</f>
        <v>RESEARCH 1 LH</v>
      </c>
      <c r="G18162">
        <f>2041</f>
        <v>2041</v>
      </c>
      <c r="H18162" t="str">
        <f>"B"</f>
        <v>B</v>
      </c>
    </row>
    <row r="18163" spans="1:8" x14ac:dyDescent="0.2">
      <c r="A18163" t="str">
        <f t="shared" si="6582"/>
        <v>0613084348</v>
      </c>
      <c r="B18163" t="str">
        <f t="shared" si="6583"/>
        <v>NICOLAS</v>
      </c>
      <c r="C18163" t="str">
        <f t="shared" si="6577"/>
        <v>WILLIAMS</v>
      </c>
      <c r="D18163">
        <f>12</f>
        <v>12</v>
      </c>
      <c r="E18163" t="str">
        <f>"01 - A - 204 - Tina M Jaramillo"</f>
        <v>01 - A - 204 - Tina M Jaramillo</v>
      </c>
      <c r="F18163" t="str">
        <f>"AP ENG LIT COMPO"</f>
        <v>AP ENG LIT COMPO</v>
      </c>
      <c r="G18163" t="str">
        <f>"17-1706"</f>
        <v>17-1706</v>
      </c>
      <c r="H18163" t="str">
        <f>"A"</f>
        <v>A</v>
      </c>
    </row>
    <row r="18164" spans="1:8" x14ac:dyDescent="0.2">
      <c r="A18164" t="str">
        <f t="shared" si="6582"/>
        <v>0613084348</v>
      </c>
      <c r="B18164" t="str">
        <f t="shared" si="6583"/>
        <v>NICOLAS</v>
      </c>
      <c r="C18164" t="str">
        <f t="shared" si="6577"/>
        <v>WILLIAMS</v>
      </c>
      <c r="D18164">
        <f>12</f>
        <v>12</v>
      </c>
      <c r="E18164" t="str">
        <f>"08 - B - 102 - Lisa J London"</f>
        <v>08 - B - 102 - Lisa J London</v>
      </c>
      <c r="F18164" t="str">
        <f>"AP CAPSTONE RESEARCH"</f>
        <v>AP CAPSTONE RESEARCH</v>
      </c>
      <c r="G18164" t="str">
        <f>"17-1714"</f>
        <v>17-1714</v>
      </c>
      <c r="H18164" t="str">
        <f>"B"</f>
        <v>B</v>
      </c>
    </row>
    <row r="18165" spans="1:8" x14ac:dyDescent="0.2">
      <c r="A18165" t="str">
        <f t="shared" ref="A18165:A18172" si="6584">"0619029842"</f>
        <v>0619029842</v>
      </c>
      <c r="B18165" t="str">
        <f t="shared" ref="B18165:B18172" si="6585">"NORRIS"</f>
        <v>NORRIS</v>
      </c>
      <c r="C18165" t="str">
        <f t="shared" ref="C18165:C18196" si="6586">"WILLIAMS"</f>
        <v>WILLIAMS</v>
      </c>
      <c r="D18165">
        <f>10</f>
        <v>10</v>
      </c>
      <c r="E18165" t="str">
        <f>"04 - S1 - A - 101 - Leslie J Barton"</f>
        <v>04 - S1 - A - 101 - Leslie J Barton</v>
      </c>
      <c r="F18165" t="str">
        <f>"TEAM SPORTS 1"</f>
        <v>TEAM SPORTS 1</v>
      </c>
      <c r="G18165" t="str">
        <f>"04-254"</f>
        <v>04-254</v>
      </c>
      <c r="H18165" t="str">
        <f>"A"</f>
        <v>A</v>
      </c>
    </row>
    <row r="18166" spans="1:8" x14ac:dyDescent="0.2">
      <c r="A18166" t="str">
        <f t="shared" si="6584"/>
        <v>0619029842</v>
      </c>
      <c r="B18166" t="str">
        <f t="shared" si="6585"/>
        <v>NORRIS</v>
      </c>
      <c r="C18166" t="str">
        <f t="shared" si="6586"/>
        <v>WILLIAMS</v>
      </c>
      <c r="D18166">
        <f>10</f>
        <v>10</v>
      </c>
      <c r="E18166" t="str">
        <f>"06 - B - 003 - Emmily A Sarmiento"</f>
        <v>06 - B - 003 - Emmily A Sarmiento</v>
      </c>
      <c r="F18166" t="str">
        <f>"NC STUDY HALL 1"</f>
        <v>NC STUDY HALL 1</v>
      </c>
      <c r="G18166" t="str">
        <f>"17-1743"</f>
        <v>17-1743</v>
      </c>
      <c r="H18166" t="str">
        <f>"B"</f>
        <v>B</v>
      </c>
    </row>
    <row r="18167" spans="1:8" x14ac:dyDescent="0.2">
      <c r="A18167" t="str">
        <f t="shared" si="6584"/>
        <v>0619029842</v>
      </c>
      <c r="B18167" t="str">
        <f t="shared" si="6585"/>
        <v>NORRIS</v>
      </c>
      <c r="C18167" t="str">
        <f t="shared" si="6586"/>
        <v>WILLIAMS</v>
      </c>
      <c r="D18167">
        <f>10</f>
        <v>10</v>
      </c>
      <c r="E18167" t="str">
        <f>"03 - S1 - A - 101 - Arthur  Kulawik"</f>
        <v>03 - S1 - A - 101 - Arthur  Kulawik</v>
      </c>
      <c r="F18167" t="str">
        <f>"PERS FIN &amp; MON MGT H"</f>
        <v>PERS FIN &amp; MON MGT H</v>
      </c>
      <c r="G18167" t="str">
        <f>"05-506"</f>
        <v>05-506</v>
      </c>
      <c r="H18167" t="str">
        <f>"A"</f>
        <v>A</v>
      </c>
    </row>
    <row r="18168" spans="1:8" x14ac:dyDescent="0.2">
      <c r="A18168" t="str">
        <f t="shared" si="6584"/>
        <v>0619029842</v>
      </c>
      <c r="B18168" t="str">
        <f t="shared" si="6585"/>
        <v>NORRIS</v>
      </c>
      <c r="C18168" t="str">
        <f t="shared" si="6586"/>
        <v>WILLIAMS</v>
      </c>
      <c r="D18168">
        <f>10</f>
        <v>10</v>
      </c>
      <c r="E18168" t="str">
        <f>"02 - A - 001 - Alejandro  Navarro"</f>
        <v>02 - A - 001 - Alejandro  Navarro</v>
      </c>
      <c r="F18168" t="str">
        <f>"BAND 1"</f>
        <v>BAND 1</v>
      </c>
      <c r="G18168" t="str">
        <f>"05-504"</f>
        <v>05-504</v>
      </c>
      <c r="H18168" t="str">
        <f>"A"</f>
        <v>A</v>
      </c>
    </row>
    <row r="18169" spans="1:8" x14ac:dyDescent="0.2">
      <c r="A18169" t="str">
        <f t="shared" si="6584"/>
        <v>0619029842</v>
      </c>
      <c r="B18169" t="str">
        <f t="shared" si="6585"/>
        <v>NORRIS</v>
      </c>
      <c r="C18169" t="str">
        <f t="shared" si="6586"/>
        <v>WILLIAMS</v>
      </c>
      <c r="D18169">
        <f>10</f>
        <v>10</v>
      </c>
      <c r="E18169" t="str">
        <f>"07 - B - 106 - Taraneh C Abreu"</f>
        <v>07 - B - 106 - Taraneh C Abreu</v>
      </c>
      <c r="F18169" t="str">
        <f>"INTENS READ 2"</f>
        <v>INTENS READ 2</v>
      </c>
      <c r="G18169" t="str">
        <f>"17-1713"</f>
        <v>17-1713</v>
      </c>
      <c r="H18169" t="str">
        <f>"B"</f>
        <v>B</v>
      </c>
    </row>
    <row r="18170" spans="1:8" x14ac:dyDescent="0.2">
      <c r="A18170" t="str">
        <f t="shared" si="6584"/>
        <v>0619029842</v>
      </c>
      <c r="B18170" t="str">
        <f t="shared" si="6585"/>
        <v>NORRIS</v>
      </c>
      <c r="C18170" t="str">
        <f t="shared" si="6586"/>
        <v>WILLIAMS</v>
      </c>
      <c r="D18170">
        <f>10</f>
        <v>10</v>
      </c>
      <c r="E18170" t="str">
        <f>"05 - B - 107 - Nikiel  Nesbeth"</f>
        <v>05 - B - 107 - Nikiel  Nesbeth</v>
      </c>
      <c r="F18170" t="str">
        <f>"ENG 2"</f>
        <v>ENG 2</v>
      </c>
      <c r="G18170" t="str">
        <f>"17-1705"</f>
        <v>17-1705</v>
      </c>
      <c r="H18170" t="str">
        <f>"B"</f>
        <v>B</v>
      </c>
    </row>
    <row r="18171" spans="1:8" x14ac:dyDescent="0.2">
      <c r="A18171" t="str">
        <f t="shared" si="6584"/>
        <v>0619029842</v>
      </c>
      <c r="B18171" t="str">
        <f t="shared" si="6585"/>
        <v>NORRIS</v>
      </c>
      <c r="C18171" t="str">
        <f t="shared" si="6586"/>
        <v>WILLIAMS</v>
      </c>
      <c r="D18171">
        <f>10</f>
        <v>10</v>
      </c>
      <c r="E18171" t="str">
        <f>"01 - A - 104 - Milca  Exantus"</f>
        <v>01 - A - 104 - Milca  Exantus</v>
      </c>
      <c r="F18171" t="str">
        <f>"MATH COLLEGE LIB ART"</f>
        <v>MATH COLLEGE LIB ART</v>
      </c>
      <c r="G18171" t="str">
        <f>"21-2145"</f>
        <v>21-2145</v>
      </c>
      <c r="H18171" t="str">
        <f>"A"</f>
        <v>A</v>
      </c>
    </row>
    <row r="18172" spans="1:8" x14ac:dyDescent="0.2">
      <c r="A18172" t="str">
        <f t="shared" si="6584"/>
        <v>0619029842</v>
      </c>
      <c r="B18172" t="str">
        <f t="shared" si="6585"/>
        <v>NORRIS</v>
      </c>
      <c r="C18172" t="str">
        <f t="shared" si="6586"/>
        <v>WILLIAMS</v>
      </c>
      <c r="D18172">
        <f>10</f>
        <v>10</v>
      </c>
      <c r="E18172" t="str">
        <f>"08 - B - 108 - Paige Lauren  Brochu"</f>
        <v>08 - B - 108 - Paige Lauren  Brochu</v>
      </c>
      <c r="F18172" t="str">
        <f>"BIOLOGY 1"</f>
        <v>BIOLOGY 1</v>
      </c>
      <c r="G18172" t="str">
        <f>"21-2134"</f>
        <v>21-2134</v>
      </c>
      <c r="H18172" t="str">
        <f>"B"</f>
        <v>B</v>
      </c>
    </row>
    <row r="18173" spans="1:8" x14ac:dyDescent="0.2">
      <c r="A18173" t="str">
        <f t="shared" ref="A18173:A18180" si="6587">"0617063637"</f>
        <v>0617063637</v>
      </c>
      <c r="B18173" t="str">
        <f t="shared" ref="B18173:B18180" si="6588">"RUTH-ANNE"</f>
        <v>RUTH-ANNE</v>
      </c>
      <c r="C18173" t="str">
        <f t="shared" si="6586"/>
        <v>WILLIAMS</v>
      </c>
      <c r="D18173" t="str">
        <f t="shared" ref="D18173:D18180" si="6589">"09"</f>
        <v>09</v>
      </c>
      <c r="E18173" t="str">
        <f>"04 - A - 102 - Josiah I Lacy"</f>
        <v>04 - A - 102 - Josiah I Lacy</v>
      </c>
      <c r="F18173" t="str">
        <f>"PRE-AICE BIO IG"</f>
        <v>PRE-AICE BIO IG</v>
      </c>
      <c r="G18173" t="str">
        <f>"08-801"</f>
        <v>08-801</v>
      </c>
      <c r="H18173" t="str">
        <f>"A"</f>
        <v>A</v>
      </c>
    </row>
    <row r="18174" spans="1:8" x14ac:dyDescent="0.2">
      <c r="A18174" t="str">
        <f t="shared" si="6587"/>
        <v>0617063637</v>
      </c>
      <c r="B18174" t="str">
        <f t="shared" si="6588"/>
        <v>RUTH-ANNE</v>
      </c>
      <c r="C18174" t="str">
        <f t="shared" si="6586"/>
        <v>WILLIAMS</v>
      </c>
      <c r="D18174" t="str">
        <f t="shared" si="6589"/>
        <v>09</v>
      </c>
      <c r="E18174" t="str">
        <f>"06 - B - 104 - Eva T Rimmer"</f>
        <v>06 - B - 104 - Eva T Rimmer</v>
      </c>
      <c r="F18174" t="str">
        <f>"CRIMINAL JUST OPS 1"</f>
        <v>CRIMINAL JUST OPS 1</v>
      </c>
      <c r="G18174" t="str">
        <f>"05-523"</f>
        <v>05-523</v>
      </c>
      <c r="H18174" t="str">
        <f>"B"</f>
        <v>B</v>
      </c>
    </row>
    <row r="18175" spans="1:8" x14ac:dyDescent="0.2">
      <c r="A18175" t="str">
        <f t="shared" si="6587"/>
        <v>0617063637</v>
      </c>
      <c r="B18175" t="str">
        <f t="shared" si="6588"/>
        <v>RUTH-ANNE</v>
      </c>
      <c r="C18175" t="str">
        <f t="shared" si="6586"/>
        <v>WILLIAMS</v>
      </c>
      <c r="D18175" t="str">
        <f t="shared" si="6589"/>
        <v>09</v>
      </c>
      <c r="E18175" t="str">
        <f>"03 - A - 103 - Marius D Orsolini"</f>
        <v>03 - A - 103 - Marius D Orsolini</v>
      </c>
      <c r="F18175" t="str">
        <f>"CULINARY ARTS 1"</f>
        <v>CULINARY ARTS 1</v>
      </c>
      <c r="G18175" t="str">
        <f>"21-2115"</f>
        <v>21-2115</v>
      </c>
      <c r="H18175" t="str">
        <f>"A"</f>
        <v>A</v>
      </c>
    </row>
    <row r="18176" spans="1:8" x14ac:dyDescent="0.2">
      <c r="A18176" t="str">
        <f t="shared" si="6587"/>
        <v>0617063637</v>
      </c>
      <c r="B18176" t="str">
        <f t="shared" si="6588"/>
        <v>RUTH-ANNE</v>
      </c>
      <c r="C18176" t="str">
        <f t="shared" si="6586"/>
        <v>WILLIAMS</v>
      </c>
      <c r="D18176" t="str">
        <f t="shared" si="6589"/>
        <v>09</v>
      </c>
      <c r="E18176" t="str">
        <f>"02 - A - 108 - Rory T Sponsler"</f>
        <v>02 - A - 108 - Rory T Sponsler</v>
      </c>
      <c r="F18176" t="str">
        <f>"NC STUDY HALL 1"</f>
        <v>NC STUDY HALL 1</v>
      </c>
      <c r="G18176" t="str">
        <f>"17-1740"</f>
        <v>17-1740</v>
      </c>
      <c r="H18176" t="str">
        <f>"A"</f>
        <v>A</v>
      </c>
    </row>
    <row r="18177" spans="1:8" x14ac:dyDescent="0.2">
      <c r="A18177" t="str">
        <f t="shared" si="6587"/>
        <v>0617063637</v>
      </c>
      <c r="B18177" t="str">
        <f t="shared" si="6588"/>
        <v>RUTH-ANNE</v>
      </c>
      <c r="C18177" t="str">
        <f t="shared" si="6586"/>
        <v>WILLIAMS</v>
      </c>
      <c r="D18177" t="str">
        <f t="shared" si="6589"/>
        <v>09</v>
      </c>
      <c r="E18177" t="str">
        <f>"07 - B - 206 - Cheryl L Beach"</f>
        <v>07 - B - 206 - Cheryl L Beach</v>
      </c>
      <c r="F18177" t="str">
        <f>"AICE ENV MGMNT AS"</f>
        <v>AICE ENV MGMNT AS</v>
      </c>
      <c r="G18177" t="str">
        <f>"08-811"</f>
        <v>08-811</v>
      </c>
      <c r="H18177" t="str">
        <f>"B"</f>
        <v>B</v>
      </c>
    </row>
    <row r="18178" spans="1:8" x14ac:dyDescent="0.2">
      <c r="A18178" t="str">
        <f t="shared" si="6587"/>
        <v>0617063637</v>
      </c>
      <c r="B18178" t="str">
        <f t="shared" si="6588"/>
        <v>RUTH-ANNE</v>
      </c>
      <c r="C18178" t="str">
        <f t="shared" si="6586"/>
        <v>WILLIAMS</v>
      </c>
      <c r="D18178" t="str">
        <f t="shared" si="6589"/>
        <v>09</v>
      </c>
      <c r="E18178" t="str">
        <f>"05 - B - 001 - Kelly N Panza"</f>
        <v>05 - B - 001 - Kelly N Panza</v>
      </c>
      <c r="F18178" t="str">
        <f>"AICE GLBL PERSP 1 AS"</f>
        <v>AICE GLBL PERSP 1 AS</v>
      </c>
      <c r="G18178" t="str">
        <f>"17-1753"</f>
        <v>17-1753</v>
      </c>
      <c r="H18178" t="str">
        <f>"B"</f>
        <v>B</v>
      </c>
    </row>
    <row r="18179" spans="1:8" x14ac:dyDescent="0.2">
      <c r="A18179" t="str">
        <f t="shared" si="6587"/>
        <v>0617063637</v>
      </c>
      <c r="B18179" t="str">
        <f t="shared" si="6588"/>
        <v>RUTH-ANNE</v>
      </c>
      <c r="C18179" t="str">
        <f t="shared" si="6586"/>
        <v>WILLIAMS</v>
      </c>
      <c r="D18179" t="str">
        <f t="shared" si="6589"/>
        <v>09</v>
      </c>
      <c r="E18179" t="str">
        <f>"01 - A - 101 - Elizabeth R Walker"</f>
        <v>01 - A - 101 - Elizabeth R Walker</v>
      </c>
      <c r="F18179" t="str">
        <f>"AICE ENG GEN PAPER 1"</f>
        <v>AICE ENG GEN PAPER 1</v>
      </c>
      <c r="G18179" t="str">
        <f>"17-1703"</f>
        <v>17-1703</v>
      </c>
      <c r="H18179" t="str">
        <f>"A"</f>
        <v>A</v>
      </c>
    </row>
    <row r="18180" spans="1:8" x14ac:dyDescent="0.2">
      <c r="A18180" t="str">
        <f t="shared" si="6587"/>
        <v>0617063637</v>
      </c>
      <c r="B18180" t="str">
        <f t="shared" si="6588"/>
        <v>RUTH-ANNE</v>
      </c>
      <c r="C18180" t="str">
        <f t="shared" si="6586"/>
        <v>WILLIAMS</v>
      </c>
      <c r="D18180" t="str">
        <f t="shared" si="6589"/>
        <v>09</v>
      </c>
      <c r="E18180" t="str">
        <f>"08 - B - 105 - Ferrie J Arostique"</f>
        <v>08 - B - 105 - Ferrie J Arostique</v>
      </c>
      <c r="F18180" t="str">
        <f>"PRE-AICE MATH 2 IG"</f>
        <v>PRE-AICE MATH 2 IG</v>
      </c>
      <c r="G18180" t="str">
        <f>"21-2139"</f>
        <v>21-2139</v>
      </c>
      <c r="H18180" t="str">
        <f>"B"</f>
        <v>B</v>
      </c>
    </row>
    <row r="18181" spans="1:8" x14ac:dyDescent="0.2">
      <c r="A18181" t="str">
        <f t="shared" ref="A18181:A18188" si="6590">"0615040376"</f>
        <v>0615040376</v>
      </c>
      <c r="B18181" t="str">
        <f t="shared" ref="B18181:B18188" si="6591">"STARLA"</f>
        <v>STARLA</v>
      </c>
      <c r="C18181" t="str">
        <f t="shared" si="6586"/>
        <v>WILLIAMS</v>
      </c>
      <c r="D18181">
        <f>10</f>
        <v>10</v>
      </c>
      <c r="E18181" t="str">
        <f>"04 - A - 104 - Nikiel  Nesbeth"</f>
        <v>04 - A - 104 - Nikiel  Nesbeth</v>
      </c>
      <c r="F18181" t="str">
        <f>"ENG 2"</f>
        <v>ENG 2</v>
      </c>
      <c r="G18181" t="str">
        <f>"17-1705"</f>
        <v>17-1705</v>
      </c>
      <c r="H18181" t="str">
        <f>"A"</f>
        <v>A</v>
      </c>
    </row>
    <row r="18182" spans="1:8" x14ac:dyDescent="0.2">
      <c r="A18182" t="str">
        <f t="shared" si="6590"/>
        <v>0615040376</v>
      </c>
      <c r="B18182" t="str">
        <f t="shared" si="6591"/>
        <v>STARLA</v>
      </c>
      <c r="C18182" t="str">
        <f t="shared" si="6586"/>
        <v>WILLIAMS</v>
      </c>
      <c r="D18182">
        <f>10</f>
        <v>10</v>
      </c>
      <c r="E18182" t="str">
        <f>"06 - B - 001 - Ferrie J Arostique"</f>
        <v>06 - B - 001 - Ferrie J Arostique</v>
      </c>
      <c r="F18182" t="str">
        <f>"NC STUDY HALL 1"</f>
        <v>NC STUDY HALL 1</v>
      </c>
      <c r="G18182" t="str">
        <f>"21-2139"</f>
        <v>21-2139</v>
      </c>
      <c r="H18182" t="str">
        <f>"B"</f>
        <v>B</v>
      </c>
    </row>
    <row r="18183" spans="1:8" x14ac:dyDescent="0.2">
      <c r="A18183" t="str">
        <f t="shared" si="6590"/>
        <v>0615040376</v>
      </c>
      <c r="B18183" t="str">
        <f t="shared" si="6591"/>
        <v>STARLA</v>
      </c>
      <c r="C18183" t="str">
        <f t="shared" si="6586"/>
        <v>WILLIAMS</v>
      </c>
      <c r="D18183">
        <f>10</f>
        <v>10</v>
      </c>
      <c r="E18183" t="str">
        <f>"03 - A - 204 - Lytrell T Dixon"</f>
        <v>03 - A - 204 - Lytrell T Dixon</v>
      </c>
      <c r="F18183" t="str">
        <f>"BIOLOGY 1"</f>
        <v>BIOLOGY 1</v>
      </c>
      <c r="G18183" t="str">
        <f>"08-808"</f>
        <v>08-808</v>
      </c>
      <c r="H18183" t="str">
        <f>"A"</f>
        <v>A</v>
      </c>
    </row>
    <row r="18184" spans="1:8" x14ac:dyDescent="0.2">
      <c r="A18184" t="str">
        <f t="shared" si="6590"/>
        <v>0615040376</v>
      </c>
      <c r="B18184" t="str">
        <f t="shared" si="6591"/>
        <v>STARLA</v>
      </c>
      <c r="C18184" t="str">
        <f t="shared" si="6586"/>
        <v>WILLIAMS</v>
      </c>
      <c r="D18184">
        <f>10</f>
        <v>10</v>
      </c>
      <c r="E18184" t="str">
        <f>"02 - A - 102 - Daniel S Tyson"</f>
        <v>02 - A - 102 - Daniel S Tyson</v>
      </c>
      <c r="F18184" t="str">
        <f>"JROTC NAVAL SCI 1"</f>
        <v>JROTC NAVAL SCI 1</v>
      </c>
      <c r="G18184" t="str">
        <f>"05-510"</f>
        <v>05-510</v>
      </c>
      <c r="H18184" t="str">
        <f>"A"</f>
        <v>A</v>
      </c>
    </row>
    <row r="18185" spans="1:8" x14ac:dyDescent="0.2">
      <c r="A18185" t="str">
        <f t="shared" si="6590"/>
        <v>0615040376</v>
      </c>
      <c r="B18185" t="str">
        <f t="shared" si="6591"/>
        <v>STARLA</v>
      </c>
      <c r="C18185" t="str">
        <f t="shared" si="6586"/>
        <v>WILLIAMS</v>
      </c>
      <c r="D18185">
        <f>10</f>
        <v>10</v>
      </c>
      <c r="E18185" t="str">
        <f>"07 - B - 001 - Maried P Ramos"</f>
        <v>07 - B - 001 - Maried P Ramos</v>
      </c>
      <c r="F18185" t="str">
        <f>"GEOMETRY"</f>
        <v>GEOMETRY</v>
      </c>
      <c r="G18185" t="str">
        <f>"21-2159"</f>
        <v>21-2159</v>
      </c>
      <c r="H18185" t="str">
        <f>"B"</f>
        <v>B</v>
      </c>
    </row>
    <row r="18186" spans="1:8" x14ac:dyDescent="0.2">
      <c r="A18186" t="str">
        <f t="shared" si="6590"/>
        <v>0615040376</v>
      </c>
      <c r="B18186" t="str">
        <f t="shared" si="6591"/>
        <v>STARLA</v>
      </c>
      <c r="C18186" t="str">
        <f t="shared" si="6586"/>
        <v>WILLIAMS</v>
      </c>
      <c r="D18186">
        <f>10</f>
        <v>10</v>
      </c>
      <c r="E18186" t="str">
        <f>"05 - B - 105 - Taraneh C Abreu"</f>
        <v>05 - B - 105 - Taraneh C Abreu</v>
      </c>
      <c r="F18186" t="str">
        <f>"INTENS READ 2"</f>
        <v>INTENS READ 2</v>
      </c>
      <c r="G18186" t="str">
        <f>"17-1713"</f>
        <v>17-1713</v>
      </c>
      <c r="H18186" t="str">
        <f>"B"</f>
        <v>B</v>
      </c>
    </row>
    <row r="18187" spans="1:8" x14ac:dyDescent="0.2">
      <c r="A18187" t="str">
        <f t="shared" si="6590"/>
        <v>0615040376</v>
      </c>
      <c r="B18187" t="str">
        <f t="shared" si="6591"/>
        <v>STARLA</v>
      </c>
      <c r="C18187" t="str">
        <f t="shared" si="6586"/>
        <v>WILLIAMS</v>
      </c>
      <c r="D18187">
        <f>10</f>
        <v>10</v>
      </c>
      <c r="E18187" t="str">
        <f>"01 - A - 101 - Vanessa J Liburd"</f>
        <v>01 - A - 101 - Vanessa J Liburd</v>
      </c>
      <c r="F18187" t="str">
        <f>"PRE-AICE FRENCH 1 IG"</f>
        <v>PRE-AICE FRENCH 1 IG</v>
      </c>
      <c r="G18187" t="str">
        <f>"05-519"</f>
        <v>05-519</v>
      </c>
      <c r="H18187" t="str">
        <f>"A"</f>
        <v>A</v>
      </c>
    </row>
    <row r="18188" spans="1:8" x14ac:dyDescent="0.2">
      <c r="A18188" t="str">
        <f t="shared" si="6590"/>
        <v>0615040376</v>
      </c>
      <c r="B18188" t="str">
        <f t="shared" si="6591"/>
        <v>STARLA</v>
      </c>
      <c r="C18188" t="str">
        <f t="shared" si="6586"/>
        <v>WILLIAMS</v>
      </c>
      <c r="D18188">
        <f>10</f>
        <v>10</v>
      </c>
      <c r="E18188" t="str">
        <f>"08 - S1 - B - 105 - Richard E Dunbar Iii"</f>
        <v>08 - S1 - B - 105 - Richard E Dunbar Iii</v>
      </c>
      <c r="F18188" t="str">
        <f>"WEIGHT TRAIN 1"</f>
        <v>WEIGHT TRAIN 1</v>
      </c>
      <c r="G18188" t="str">
        <f>"05-501"</f>
        <v>05-501</v>
      </c>
      <c r="H18188" t="str">
        <f>"B"</f>
        <v>B</v>
      </c>
    </row>
    <row r="18189" spans="1:8" x14ac:dyDescent="0.2">
      <c r="A18189" t="str">
        <f t="shared" ref="A18189:A18196" si="6592">"0616146010"</f>
        <v>0616146010</v>
      </c>
      <c r="B18189" t="str">
        <f t="shared" ref="B18189:B18196" si="6593">"TORI"</f>
        <v>TORI</v>
      </c>
      <c r="C18189" t="str">
        <f t="shared" si="6586"/>
        <v>WILLIAMS</v>
      </c>
      <c r="D18189" t="str">
        <f t="shared" ref="D18189:D18196" si="6594">"09"</f>
        <v>09</v>
      </c>
      <c r="E18189" t="str">
        <f>"04 - A - 105 - Carol S Moore"</f>
        <v>04 - A - 105 - Carol S Moore</v>
      </c>
      <c r="F18189" t="str">
        <f>"PRE-AICE WRLD HST IG"</f>
        <v>PRE-AICE WRLD HST IG</v>
      </c>
      <c r="G18189" t="str">
        <f>"17-1733"</f>
        <v>17-1733</v>
      </c>
      <c r="H18189" t="str">
        <f>"A"</f>
        <v>A</v>
      </c>
    </row>
    <row r="18190" spans="1:8" x14ac:dyDescent="0.2">
      <c r="A18190" t="str">
        <f t="shared" si="6592"/>
        <v>0616146010</v>
      </c>
      <c r="B18190" t="str">
        <f t="shared" si="6593"/>
        <v>TORI</v>
      </c>
      <c r="C18190" t="str">
        <f t="shared" si="6586"/>
        <v>WILLIAMS</v>
      </c>
      <c r="D18190" t="str">
        <f t="shared" si="6594"/>
        <v>09</v>
      </c>
      <c r="E18190" t="str">
        <f>"06 - B - 104 - Lytrell T Dixon"</f>
        <v>06 - B - 104 - Lytrell T Dixon</v>
      </c>
      <c r="F18190" t="str">
        <f>"PRE-AICE BIO IG"</f>
        <v>PRE-AICE BIO IG</v>
      </c>
      <c r="G18190" t="str">
        <f>"08-808"</f>
        <v>08-808</v>
      </c>
      <c r="H18190" t="str">
        <f>"B"</f>
        <v>B</v>
      </c>
    </row>
    <row r="18191" spans="1:8" x14ac:dyDescent="0.2">
      <c r="A18191" t="str">
        <f t="shared" si="6592"/>
        <v>0616146010</v>
      </c>
      <c r="B18191" t="str">
        <f t="shared" si="6593"/>
        <v>TORI</v>
      </c>
      <c r="C18191" t="str">
        <f t="shared" si="6586"/>
        <v>WILLIAMS</v>
      </c>
      <c r="D18191" t="str">
        <f t="shared" si="6594"/>
        <v>09</v>
      </c>
      <c r="E18191" t="str">
        <f>"03 - A - 001 - Maried P Ramos"</f>
        <v>03 - A - 001 - Maried P Ramos</v>
      </c>
      <c r="F18191" t="str">
        <f>"PRE-AICE MATH 2 IG"</f>
        <v>PRE-AICE MATH 2 IG</v>
      </c>
      <c r="G18191" t="str">
        <f>"21-2159"</f>
        <v>21-2159</v>
      </c>
      <c r="H18191" t="str">
        <f>"A"</f>
        <v>A</v>
      </c>
    </row>
    <row r="18192" spans="1:8" x14ac:dyDescent="0.2">
      <c r="A18192" t="str">
        <f t="shared" si="6592"/>
        <v>0616146010</v>
      </c>
      <c r="B18192" t="str">
        <f t="shared" si="6593"/>
        <v>TORI</v>
      </c>
      <c r="C18192" t="str">
        <f t="shared" si="6586"/>
        <v>WILLIAMS</v>
      </c>
      <c r="D18192" t="str">
        <f t="shared" si="6594"/>
        <v>09</v>
      </c>
      <c r="E18192" t="str">
        <f>"02 - A - 111 - Cheryl L Beach"</f>
        <v>02 - A - 111 - Cheryl L Beach</v>
      </c>
      <c r="F18192" t="str">
        <f>"NC STUDY HALL 1"</f>
        <v>NC STUDY HALL 1</v>
      </c>
      <c r="G18192" t="str">
        <f>"08-811"</f>
        <v>08-811</v>
      </c>
      <c r="H18192" t="str">
        <f>"A"</f>
        <v>A</v>
      </c>
    </row>
    <row r="18193" spans="1:8" x14ac:dyDescent="0.2">
      <c r="A18193" t="str">
        <f t="shared" si="6592"/>
        <v>0616146010</v>
      </c>
      <c r="B18193" t="str">
        <f t="shared" si="6593"/>
        <v>TORI</v>
      </c>
      <c r="C18193" t="str">
        <f t="shared" si="6586"/>
        <v>WILLIAMS</v>
      </c>
      <c r="D18193" t="str">
        <f t="shared" si="6594"/>
        <v>09</v>
      </c>
      <c r="E18193" t="str">
        <f>"07 - B - 202 - Chrystina M Marchionne"</f>
        <v>07 - B - 202 - Chrystina M Marchionne</v>
      </c>
      <c r="F18193" t="str">
        <f>"JOURN 1 (YB) LH"</f>
        <v>JOURN 1 (YB) LH</v>
      </c>
      <c r="G18193" t="str">
        <f>"05-520"</f>
        <v>05-520</v>
      </c>
      <c r="H18193" t="str">
        <f>"B"</f>
        <v>B</v>
      </c>
    </row>
    <row r="18194" spans="1:8" x14ac:dyDescent="0.2">
      <c r="A18194" t="str">
        <f t="shared" si="6592"/>
        <v>0616146010</v>
      </c>
      <c r="B18194" t="str">
        <f t="shared" si="6593"/>
        <v>TORI</v>
      </c>
      <c r="C18194" t="str">
        <f t="shared" si="6586"/>
        <v>WILLIAMS</v>
      </c>
      <c r="D18194" t="str">
        <f t="shared" si="6594"/>
        <v>09</v>
      </c>
      <c r="E18194" t="str">
        <f>"05 - B - 103 - Eva T Rimmer"</f>
        <v>05 - B - 103 - Eva T Rimmer</v>
      </c>
      <c r="F18194" t="str">
        <f>"CRIMINAL JUST OPS 1"</f>
        <v>CRIMINAL JUST OPS 1</v>
      </c>
      <c r="G18194" t="str">
        <f>"05-523"</f>
        <v>05-523</v>
      </c>
      <c r="H18194" t="str">
        <f>"B"</f>
        <v>B</v>
      </c>
    </row>
    <row r="18195" spans="1:8" x14ac:dyDescent="0.2">
      <c r="A18195" t="str">
        <f t="shared" si="6592"/>
        <v>0616146010</v>
      </c>
      <c r="B18195" t="str">
        <f t="shared" si="6593"/>
        <v>TORI</v>
      </c>
      <c r="C18195" t="str">
        <f t="shared" si="6586"/>
        <v>WILLIAMS</v>
      </c>
      <c r="D18195" t="str">
        <f t="shared" si="6594"/>
        <v>09</v>
      </c>
      <c r="E18195" t="str">
        <f>"01 - A - 101 - Elizabeth R Walker"</f>
        <v>01 - A - 101 - Elizabeth R Walker</v>
      </c>
      <c r="F18195" t="str">
        <f>"AICE ENG GEN PAPER 1"</f>
        <v>AICE ENG GEN PAPER 1</v>
      </c>
      <c r="G18195" t="str">
        <f>"17-1703"</f>
        <v>17-1703</v>
      </c>
      <c r="H18195" t="str">
        <f>"A"</f>
        <v>A</v>
      </c>
    </row>
    <row r="18196" spans="1:8" x14ac:dyDescent="0.2">
      <c r="A18196" t="str">
        <f t="shared" si="6592"/>
        <v>0616146010</v>
      </c>
      <c r="B18196" t="str">
        <f t="shared" si="6593"/>
        <v>TORI</v>
      </c>
      <c r="C18196" t="str">
        <f t="shared" si="6586"/>
        <v>WILLIAMS</v>
      </c>
      <c r="D18196" t="str">
        <f t="shared" si="6594"/>
        <v>09</v>
      </c>
      <c r="E18196" t="str">
        <f>"08 - B - 101 - Jazmin S Fletcher"</f>
        <v>08 - B - 101 - Jazmin S Fletcher</v>
      </c>
      <c r="F18196" t="str">
        <f>"PRE-AICE DRAMA 1G"</f>
        <v>PRE-AICE DRAMA 1G</v>
      </c>
      <c r="G18196" t="str">
        <f>"09-909"</f>
        <v>09-909</v>
      </c>
      <c r="H18196" t="str">
        <f>"B"</f>
        <v>B</v>
      </c>
    </row>
    <row r="18197" spans="1:8" x14ac:dyDescent="0.2">
      <c r="A18197" t="str">
        <f t="shared" ref="A18197:A18204" si="6595">"0616157675"</f>
        <v>0616157675</v>
      </c>
      <c r="B18197" t="str">
        <f t="shared" ref="B18197:B18204" si="6596">"AZELYA"</f>
        <v>AZELYA</v>
      </c>
      <c r="C18197" t="str">
        <f t="shared" ref="C18197:C18204" si="6597">"WILLIAMS-KING"</f>
        <v>WILLIAMS-KING</v>
      </c>
      <c r="D18197">
        <f>11</f>
        <v>11</v>
      </c>
      <c r="E18197" t="str">
        <f>"04 - A - 205 - Jacqueline R Morphet"</f>
        <v>04 - A - 205 - Jacqueline R Morphet</v>
      </c>
      <c r="F18197" t="str">
        <f>"PHYSICS 1 HON"</f>
        <v>PHYSICS 1 HON</v>
      </c>
      <c r="G18197" t="str">
        <f>"21-2138"</f>
        <v>21-2138</v>
      </c>
      <c r="H18197" t="str">
        <f>"A"</f>
        <v>A</v>
      </c>
    </row>
    <row r="18198" spans="1:8" x14ac:dyDescent="0.2">
      <c r="A18198" t="str">
        <f t="shared" si="6595"/>
        <v>0616157675</v>
      </c>
      <c r="B18198" t="str">
        <f t="shared" si="6596"/>
        <v>AZELYA</v>
      </c>
      <c r="C18198" t="str">
        <f t="shared" si="6597"/>
        <v>WILLIAMS-KING</v>
      </c>
      <c r="D18198">
        <f>11</f>
        <v>11</v>
      </c>
      <c r="E18198" t="str">
        <f>"06 - B - 104 - Eva T Rimmer"</f>
        <v>06 - B - 104 - Eva T Rimmer</v>
      </c>
      <c r="F18198" t="str">
        <f>"CRIMINAL JUST OPS 1"</f>
        <v>CRIMINAL JUST OPS 1</v>
      </c>
      <c r="G18198" t="str">
        <f>"05-523"</f>
        <v>05-523</v>
      </c>
      <c r="H18198" t="str">
        <f>"B"</f>
        <v>B</v>
      </c>
    </row>
    <row r="18199" spans="1:8" x14ac:dyDescent="0.2">
      <c r="A18199" t="str">
        <f t="shared" si="6595"/>
        <v>0616157675</v>
      </c>
      <c r="B18199" t="str">
        <f t="shared" si="6596"/>
        <v>AZELYA</v>
      </c>
      <c r="C18199" t="str">
        <f t="shared" si="6597"/>
        <v>WILLIAMS-KING</v>
      </c>
      <c r="D18199">
        <f>11</f>
        <v>11</v>
      </c>
      <c r="E18199" t="str">
        <f>"03 - A - 106 - Jerry S Jiampetti"</f>
        <v>03 - A - 106 - Jerry S Jiampetti</v>
      </c>
      <c r="F18199" t="str">
        <f>"US HISTORY HON"</f>
        <v>US HISTORY HON</v>
      </c>
      <c r="G18199" t="str">
        <f>"17-1751"</f>
        <v>17-1751</v>
      </c>
      <c r="H18199" t="str">
        <f>"A"</f>
        <v>A</v>
      </c>
    </row>
    <row r="18200" spans="1:8" x14ac:dyDescent="0.2">
      <c r="A18200" t="str">
        <f t="shared" si="6595"/>
        <v>0616157675</v>
      </c>
      <c r="B18200" t="str">
        <f t="shared" si="6596"/>
        <v>AZELYA</v>
      </c>
      <c r="C18200" t="str">
        <f t="shared" si="6597"/>
        <v>WILLIAMS-KING</v>
      </c>
      <c r="D18200">
        <f>11</f>
        <v>11</v>
      </c>
      <c r="E18200" t="str">
        <f>"02 - A - 103 - Kelly N Panza"</f>
        <v>02 - A - 103 - Kelly N Panza</v>
      </c>
      <c r="F18200" t="str">
        <f>"NC STUDY HALL 1"</f>
        <v>NC STUDY HALL 1</v>
      </c>
      <c r="G18200" t="str">
        <f>"17-1753"</f>
        <v>17-1753</v>
      </c>
      <c r="H18200" t="str">
        <f>"A"</f>
        <v>A</v>
      </c>
    </row>
    <row r="18201" spans="1:8" x14ac:dyDescent="0.2">
      <c r="A18201" t="str">
        <f t="shared" si="6595"/>
        <v>0616157675</v>
      </c>
      <c r="B18201" t="str">
        <f t="shared" si="6596"/>
        <v>AZELYA</v>
      </c>
      <c r="C18201" t="str">
        <f t="shared" si="6597"/>
        <v>WILLIAMS-KING</v>
      </c>
      <c r="D18201">
        <f>11</f>
        <v>11</v>
      </c>
      <c r="E18201" t="str">
        <f>"07 - B - 202 - Chrystina M Marchionne"</f>
        <v>07 - B - 202 - Chrystina M Marchionne</v>
      </c>
      <c r="F18201" t="str">
        <f>"JOURN 1 (YB) LH"</f>
        <v>JOURN 1 (YB) LH</v>
      </c>
      <c r="G18201" t="str">
        <f>"05-520"</f>
        <v>05-520</v>
      </c>
      <c r="H18201" t="str">
        <f>"B"</f>
        <v>B</v>
      </c>
    </row>
    <row r="18202" spans="1:8" x14ac:dyDescent="0.2">
      <c r="A18202" t="str">
        <f t="shared" si="6595"/>
        <v>0616157675</v>
      </c>
      <c r="B18202" t="str">
        <f t="shared" si="6596"/>
        <v>AZELYA</v>
      </c>
      <c r="C18202" t="str">
        <f t="shared" si="6597"/>
        <v>WILLIAMS-KING</v>
      </c>
      <c r="D18202">
        <f>11</f>
        <v>11</v>
      </c>
      <c r="E18202" t="str">
        <f>"05 - B - 103 - Vanessa J Liburd"</f>
        <v>05 - B - 103 - Vanessa J Liburd</v>
      </c>
      <c r="F18202" t="str">
        <f>"PRE-AICE FRENCH 2 IG"</f>
        <v>PRE-AICE FRENCH 2 IG</v>
      </c>
      <c r="G18202" t="str">
        <f>"05-519"</f>
        <v>05-519</v>
      </c>
      <c r="H18202" t="str">
        <f>"B"</f>
        <v>B</v>
      </c>
    </row>
    <row r="18203" spans="1:8" x14ac:dyDescent="0.2">
      <c r="A18203" t="str">
        <f t="shared" si="6595"/>
        <v>0616157675</v>
      </c>
      <c r="B18203" t="str">
        <f t="shared" si="6596"/>
        <v>AZELYA</v>
      </c>
      <c r="C18203" t="str">
        <f t="shared" si="6597"/>
        <v>WILLIAMS-KING</v>
      </c>
      <c r="D18203">
        <f>11</f>
        <v>11</v>
      </c>
      <c r="E18203" t="str">
        <f>"01 - A - 101 - Jacklyn M James"</f>
        <v>01 - A - 101 - Jacklyn M James</v>
      </c>
      <c r="F18203" t="str">
        <f>"AICE ENG LANG AS"</f>
        <v>AICE ENG LANG AS</v>
      </c>
      <c r="G18203" t="str">
        <f>"17-1731"</f>
        <v>17-1731</v>
      </c>
      <c r="H18203" t="str">
        <f>"A"</f>
        <v>A</v>
      </c>
    </row>
    <row r="18204" spans="1:8" x14ac:dyDescent="0.2">
      <c r="A18204" t="str">
        <f t="shared" si="6595"/>
        <v>0616157675</v>
      </c>
      <c r="B18204" t="str">
        <f t="shared" si="6596"/>
        <v>AZELYA</v>
      </c>
      <c r="C18204" t="str">
        <f t="shared" si="6597"/>
        <v>WILLIAMS-KING</v>
      </c>
      <c r="D18204">
        <f>11</f>
        <v>11</v>
      </c>
      <c r="E18204" t="str">
        <f>"08 - B - 107 - Dayna M Foster"</f>
        <v>08 - B - 107 - Dayna M Foster</v>
      </c>
      <c r="F18204" t="str">
        <f>"ALGEBRA 2"</f>
        <v>ALGEBRA 2</v>
      </c>
      <c r="G18204" t="str">
        <f>"21-2109"</f>
        <v>21-2109</v>
      </c>
      <c r="H18204" t="str">
        <f>"B"</f>
        <v>B</v>
      </c>
    </row>
    <row r="18205" spans="1:8" x14ac:dyDescent="0.2">
      <c r="A18205" t="str">
        <f t="shared" ref="A18205:A18212" si="6598">"0613138056"</f>
        <v>0613138056</v>
      </c>
      <c r="B18205" t="str">
        <f t="shared" ref="B18205:B18212" si="6599">"AMBER"</f>
        <v>AMBER</v>
      </c>
      <c r="C18205" t="str">
        <f t="shared" ref="C18205:C18212" si="6600">"WILLINGHAM"</f>
        <v>WILLINGHAM</v>
      </c>
      <c r="D18205">
        <f>12</f>
        <v>12</v>
      </c>
      <c r="E18205" t="str">
        <f>"04 - A - 101 - Thomas G Handwerg"</f>
        <v>04 - A - 101 - Thomas G Handwerg</v>
      </c>
      <c r="F18205" t="str">
        <f>"MATH COLL ALGEBRA"</f>
        <v>MATH COLL ALGEBRA</v>
      </c>
      <c r="G18205" t="str">
        <f>"21-2146"</f>
        <v>21-2146</v>
      </c>
      <c r="H18205" t="str">
        <f>"A"</f>
        <v>A</v>
      </c>
    </row>
    <row r="18206" spans="1:8" x14ac:dyDescent="0.2">
      <c r="A18206" t="str">
        <f t="shared" si="6598"/>
        <v>0613138056</v>
      </c>
      <c r="B18206" t="str">
        <f t="shared" si="6599"/>
        <v>AMBER</v>
      </c>
      <c r="C18206" t="str">
        <f t="shared" si="6600"/>
        <v>WILLINGHAM</v>
      </c>
      <c r="D18206">
        <f>12</f>
        <v>12</v>
      </c>
      <c r="E18206" t="str">
        <f>"06 - B - 112 - Lisa  Quinn"</f>
        <v>06 - B - 112 - Lisa  Quinn</v>
      </c>
      <c r="F18206" t="str">
        <f>"NC STUDY HALL 1"</f>
        <v>NC STUDY HALL 1</v>
      </c>
      <c r="G18206" t="str">
        <f>"17-1725"</f>
        <v>17-1725</v>
      </c>
      <c r="H18206" t="str">
        <f>"B"</f>
        <v>B</v>
      </c>
    </row>
    <row r="18207" spans="1:8" x14ac:dyDescent="0.2">
      <c r="A18207" t="str">
        <f t="shared" si="6598"/>
        <v>0613138056</v>
      </c>
      <c r="B18207" t="str">
        <f t="shared" si="6599"/>
        <v>AMBER</v>
      </c>
      <c r="C18207" t="str">
        <f t="shared" si="6600"/>
        <v>WILLINGHAM</v>
      </c>
      <c r="D18207">
        <f>12</f>
        <v>12</v>
      </c>
      <c r="E18207" t="str">
        <f>"03 - A - 103 - Jordana K Hass"</f>
        <v>03 - A - 103 - Jordana K Hass</v>
      </c>
      <c r="F18207" t="str">
        <f>"CHEMISTRY 1"</f>
        <v>CHEMISTRY 1</v>
      </c>
      <c r="G18207" t="str">
        <f>"08-807"</f>
        <v>08-807</v>
      </c>
      <c r="H18207" t="str">
        <f>"A"</f>
        <v>A</v>
      </c>
    </row>
    <row r="18208" spans="1:8" x14ac:dyDescent="0.2">
      <c r="A18208" t="str">
        <f t="shared" si="6598"/>
        <v>0613138056</v>
      </c>
      <c r="B18208" t="str">
        <f t="shared" si="6599"/>
        <v>AMBER</v>
      </c>
      <c r="C18208" t="str">
        <f t="shared" si="6600"/>
        <v>WILLINGHAM</v>
      </c>
      <c r="D18208">
        <f>12</f>
        <v>12</v>
      </c>
      <c r="E18208" t="str">
        <f>"02 - S1 - A - 103 - Barbara L Segal"</f>
        <v>02 - S1 - A - 103 - Barbara L Segal</v>
      </c>
      <c r="F18208" t="str">
        <f>"US GOVT HON"</f>
        <v>US GOVT HON</v>
      </c>
      <c r="G18208" t="str">
        <f>"17-1742"</f>
        <v>17-1742</v>
      </c>
      <c r="H18208" t="str">
        <f>"A"</f>
        <v>A</v>
      </c>
    </row>
    <row r="18209" spans="1:8" x14ac:dyDescent="0.2">
      <c r="A18209" t="str">
        <f t="shared" si="6598"/>
        <v>0613138056</v>
      </c>
      <c r="B18209" t="str">
        <f t="shared" si="6599"/>
        <v>AMBER</v>
      </c>
      <c r="C18209" t="str">
        <f t="shared" si="6600"/>
        <v>WILLINGHAM</v>
      </c>
      <c r="D18209">
        <f>12</f>
        <v>12</v>
      </c>
      <c r="E18209" t="str">
        <f>"07 - B - 101 - Bruce A Evans"</f>
        <v>07 - B - 101 - Bruce A Evans</v>
      </c>
      <c r="F18209" t="str">
        <f>"FIREFIGHTING 1 LH"</f>
        <v>FIREFIGHTING 1 LH</v>
      </c>
      <c r="G18209" t="str">
        <f>"21-2142"</f>
        <v>21-2142</v>
      </c>
      <c r="H18209" t="str">
        <f>"B"</f>
        <v>B</v>
      </c>
    </row>
    <row r="18210" spans="1:8" x14ac:dyDescent="0.2">
      <c r="A18210" t="str">
        <f t="shared" si="6598"/>
        <v>0613138056</v>
      </c>
      <c r="B18210" t="str">
        <f t="shared" si="6599"/>
        <v>AMBER</v>
      </c>
      <c r="C18210" t="str">
        <f t="shared" si="6600"/>
        <v>WILLINGHAM</v>
      </c>
      <c r="D18210">
        <f>12</f>
        <v>12</v>
      </c>
      <c r="E18210" t="str">
        <f>"05 - B - 102 - Robyn L Trainer"</f>
        <v>05 - B - 102 - Robyn L Trainer</v>
      </c>
      <c r="F18210" t="str">
        <f>"ENG 4"</f>
        <v>ENG 4</v>
      </c>
      <c r="G18210" t="str">
        <f>"17-1734"</f>
        <v>17-1734</v>
      </c>
      <c r="H18210" t="str">
        <f>"B"</f>
        <v>B</v>
      </c>
    </row>
    <row r="18211" spans="1:8" x14ac:dyDescent="0.2">
      <c r="A18211" t="str">
        <f t="shared" si="6598"/>
        <v>0613138056</v>
      </c>
      <c r="B18211" t="str">
        <f t="shared" si="6599"/>
        <v>AMBER</v>
      </c>
      <c r="C18211" t="str">
        <f t="shared" si="6600"/>
        <v>WILLINGHAM</v>
      </c>
      <c r="D18211">
        <f>12</f>
        <v>12</v>
      </c>
      <c r="E18211" t="str">
        <f>"01 - S1 - A - 101 - Bruce A Evans"</f>
        <v>01 - S1 - A - 101 - Bruce A Evans</v>
      </c>
      <c r="F18211" t="str">
        <f>"ELECTROCARD TECH 3HN"</f>
        <v>ELECTROCARD TECH 3HN</v>
      </c>
      <c r="G18211" t="str">
        <f>"21-2142"</f>
        <v>21-2142</v>
      </c>
      <c r="H18211" t="str">
        <f>"A"</f>
        <v>A</v>
      </c>
    </row>
    <row r="18212" spans="1:8" x14ac:dyDescent="0.2">
      <c r="A18212" t="str">
        <f t="shared" si="6598"/>
        <v>0613138056</v>
      </c>
      <c r="B18212" t="str">
        <f t="shared" si="6599"/>
        <v>AMBER</v>
      </c>
      <c r="C18212" t="str">
        <f t="shared" si="6600"/>
        <v>WILLINGHAM</v>
      </c>
      <c r="D18212">
        <f>12</f>
        <v>12</v>
      </c>
      <c r="E18212" t="str">
        <f>"08 - B - 101 - Marius D Orsolini"</f>
        <v>08 - B - 101 - Marius D Orsolini</v>
      </c>
      <c r="F18212" t="str">
        <f>"CULINARY ARTS 3 HON"</f>
        <v>CULINARY ARTS 3 HON</v>
      </c>
      <c r="G18212" t="str">
        <f>"21-2115"</f>
        <v>21-2115</v>
      </c>
      <c r="H18212" t="str">
        <f>"B"</f>
        <v>B</v>
      </c>
    </row>
    <row r="18213" spans="1:8" x14ac:dyDescent="0.2">
      <c r="A18213" t="str">
        <f t="shared" ref="A18213:A18220" si="6601">"0615075277"</f>
        <v>0615075277</v>
      </c>
      <c r="B18213" t="str">
        <f t="shared" ref="B18213:B18220" si="6602">"CAMRON"</f>
        <v>CAMRON</v>
      </c>
      <c r="C18213" t="str">
        <f t="shared" ref="C18213:C18220" si="6603">"WILMOT"</f>
        <v>WILMOT</v>
      </c>
      <c r="D18213">
        <f>11</f>
        <v>11</v>
      </c>
      <c r="E18213" t="str">
        <f>"04 - A - 102 - Lisa J London"</f>
        <v>04 - A - 102 - Lisa J London</v>
      </c>
      <c r="F18213" t="str">
        <f>"AP CAPSTONE SEMINAR"</f>
        <v>AP CAPSTONE SEMINAR</v>
      </c>
      <c r="G18213" t="str">
        <f>"17-1714"</f>
        <v>17-1714</v>
      </c>
      <c r="H18213" t="str">
        <f>"A"</f>
        <v>A</v>
      </c>
    </row>
    <row r="18214" spans="1:8" x14ac:dyDescent="0.2">
      <c r="A18214" t="str">
        <f t="shared" si="6601"/>
        <v>0615075277</v>
      </c>
      <c r="B18214" t="str">
        <f t="shared" si="6602"/>
        <v>CAMRON</v>
      </c>
      <c r="C18214" t="str">
        <f t="shared" si="6603"/>
        <v>WILMOT</v>
      </c>
      <c r="D18214">
        <f>11</f>
        <v>11</v>
      </c>
      <c r="E18214" t="str">
        <f>"06 - B - 102 - Stephen T Ripp"</f>
        <v>06 - B - 102 - Stephen T Ripp</v>
      </c>
      <c r="F18214" t="str">
        <f>"AP U.S. HIST"</f>
        <v>AP U.S. HIST</v>
      </c>
      <c r="G18214" t="str">
        <f>"17-1744"</f>
        <v>17-1744</v>
      </c>
      <c r="H18214" t="str">
        <f>"B"</f>
        <v>B</v>
      </c>
    </row>
    <row r="18215" spans="1:8" x14ac:dyDescent="0.2">
      <c r="A18215" t="str">
        <f t="shared" si="6601"/>
        <v>0615075277</v>
      </c>
      <c r="B18215" t="str">
        <f t="shared" si="6602"/>
        <v>CAMRON</v>
      </c>
      <c r="C18215" t="str">
        <f t="shared" si="6603"/>
        <v>WILMOT</v>
      </c>
      <c r="D18215">
        <f>11</f>
        <v>11</v>
      </c>
      <c r="E18215" t="str">
        <f>"03 - A - 102 - Tina M Jaramillo"</f>
        <v>03 - A - 102 - Tina M Jaramillo</v>
      </c>
      <c r="F18215" t="str">
        <f>"AP ENG COMPO"</f>
        <v>AP ENG COMPO</v>
      </c>
      <c r="G18215" t="str">
        <f>"17-1706"</f>
        <v>17-1706</v>
      </c>
      <c r="H18215" t="str">
        <f>"A"</f>
        <v>A</v>
      </c>
    </row>
    <row r="18216" spans="1:8" x14ac:dyDescent="0.2">
      <c r="A18216" t="str">
        <f t="shared" si="6601"/>
        <v>0615075277</v>
      </c>
      <c r="B18216" t="str">
        <f t="shared" si="6602"/>
        <v>CAMRON</v>
      </c>
      <c r="C18216" t="str">
        <f t="shared" si="6603"/>
        <v>WILMOT</v>
      </c>
      <c r="D18216">
        <f>11</f>
        <v>11</v>
      </c>
      <c r="E18216" t="str">
        <f>"02 - A - 102 - Brook E Goren"</f>
        <v>02 - A - 102 - Brook E Goren</v>
      </c>
      <c r="F18216" t="str">
        <f>"NC STUDY HALL 1"</f>
        <v>NC STUDY HALL 1</v>
      </c>
      <c r="G18216" t="str">
        <f>"21-2158"</f>
        <v>21-2158</v>
      </c>
      <c r="H18216" t="str">
        <f>"A"</f>
        <v>A</v>
      </c>
    </row>
    <row r="18217" spans="1:8" x14ac:dyDescent="0.2">
      <c r="A18217" t="str">
        <f t="shared" si="6601"/>
        <v>0615075277</v>
      </c>
      <c r="B18217" t="str">
        <f t="shared" si="6602"/>
        <v>CAMRON</v>
      </c>
      <c r="C18217" t="str">
        <f t="shared" si="6603"/>
        <v>WILMOT</v>
      </c>
      <c r="D18217">
        <f>11</f>
        <v>11</v>
      </c>
      <c r="E18217" t="str">
        <f>"07 - B - 204 - Stefanie S Scher"</f>
        <v>07 - B - 204 - Stefanie S Scher</v>
      </c>
      <c r="F18217" t="str">
        <f>"AP PSYCH"</f>
        <v>AP PSYCH</v>
      </c>
      <c r="G18217" t="str">
        <f>"17-1735"</f>
        <v>17-1735</v>
      </c>
      <c r="H18217" t="str">
        <f>"B"</f>
        <v>B</v>
      </c>
    </row>
    <row r="18218" spans="1:8" x14ac:dyDescent="0.2">
      <c r="A18218" t="str">
        <f t="shared" si="6601"/>
        <v>0615075277</v>
      </c>
      <c r="B18218" t="str">
        <f t="shared" si="6602"/>
        <v>CAMRON</v>
      </c>
      <c r="C18218" t="str">
        <f t="shared" si="6603"/>
        <v>WILMOT</v>
      </c>
      <c r="D18218">
        <f>11</f>
        <v>11</v>
      </c>
      <c r="E18218" t="str">
        <f>"05 - B - 104 - Lourivaldo  Da Silva"</f>
        <v>05 - B - 104 - Lourivaldo  Da Silva</v>
      </c>
      <c r="F18218" t="str">
        <f>"PRE-CALCULUS HON"</f>
        <v>PRE-CALCULUS HON</v>
      </c>
      <c r="G18218" t="str">
        <f>"20-2079"</f>
        <v>20-2079</v>
      </c>
      <c r="H18218" t="str">
        <f>"B"</f>
        <v>B</v>
      </c>
    </row>
    <row r="18219" spans="1:8" x14ac:dyDescent="0.2">
      <c r="A18219" t="str">
        <f t="shared" si="6601"/>
        <v>0615075277</v>
      </c>
      <c r="B18219" t="str">
        <f t="shared" si="6602"/>
        <v>CAMRON</v>
      </c>
      <c r="C18219" t="str">
        <f t="shared" si="6603"/>
        <v>WILMOT</v>
      </c>
      <c r="D18219">
        <f>11</f>
        <v>11</v>
      </c>
      <c r="E18219" t="str">
        <f>"01 - A - 101 - Marielle A Witting"</f>
        <v>01 - A - 101 - Marielle A Witting</v>
      </c>
      <c r="F18219" t="str">
        <f>"AP BIO"</f>
        <v>AP BIO</v>
      </c>
      <c r="G18219" t="str">
        <f>"08-805"</f>
        <v>08-805</v>
      </c>
      <c r="H18219" t="str">
        <f>"A"</f>
        <v>A</v>
      </c>
    </row>
    <row r="18220" spans="1:8" x14ac:dyDescent="0.2">
      <c r="A18220" t="str">
        <f t="shared" si="6601"/>
        <v>0615075277</v>
      </c>
      <c r="B18220" t="str">
        <f t="shared" si="6602"/>
        <v>CAMRON</v>
      </c>
      <c r="C18220" t="str">
        <f t="shared" si="6603"/>
        <v>WILMOT</v>
      </c>
      <c r="D18220">
        <f>11</f>
        <v>11</v>
      </c>
      <c r="E18220" t="str">
        <f>"08 - B - 201 - Stacey A Blecker"</f>
        <v>08 - B - 201 - Stacey A Blecker</v>
      </c>
      <c r="F18220" t="str">
        <f>"AICE SOCIOLOGY 1 AS"</f>
        <v>AICE SOCIOLOGY 1 AS</v>
      </c>
      <c r="G18220" t="str">
        <f>"09-926"</f>
        <v>09-926</v>
      </c>
      <c r="H18220" t="str">
        <f>"B"</f>
        <v>B</v>
      </c>
    </row>
    <row r="18221" spans="1:8" x14ac:dyDescent="0.2">
      <c r="A18221" t="str">
        <f t="shared" ref="A18221:A18228" si="6604">"0608094013"</f>
        <v>0608094013</v>
      </c>
      <c r="B18221" t="str">
        <f t="shared" ref="B18221:B18228" si="6605">"MARCHEL"</f>
        <v>MARCHEL</v>
      </c>
      <c r="C18221" t="str">
        <f t="shared" ref="C18221:C18268" si="6606">"WILSON"</f>
        <v>WILSON</v>
      </c>
      <c r="D18221">
        <f>12</f>
        <v>12</v>
      </c>
      <c r="E18221" t="str">
        <f>"04 - A - 106 - Marielle A Witting"</f>
        <v>04 - A - 106 - Marielle A Witting</v>
      </c>
      <c r="F18221" t="str">
        <f>"ANAT PHYSIO"</f>
        <v>ANAT PHYSIO</v>
      </c>
      <c r="G18221" t="str">
        <f>"08-805"</f>
        <v>08-805</v>
      </c>
      <c r="H18221" t="str">
        <f>"A"</f>
        <v>A</v>
      </c>
    </row>
    <row r="18222" spans="1:8" x14ac:dyDescent="0.2">
      <c r="A18222" t="str">
        <f t="shared" si="6604"/>
        <v>0608094013</v>
      </c>
      <c r="B18222" t="str">
        <f t="shared" si="6605"/>
        <v>MARCHEL</v>
      </c>
      <c r="C18222" t="str">
        <f t="shared" si="6606"/>
        <v>WILSON</v>
      </c>
      <c r="D18222">
        <f>12</f>
        <v>12</v>
      </c>
      <c r="E18222" t="str">
        <f>"06 - B - 113 - Marielle A Witting"</f>
        <v>06 - B - 113 - Marielle A Witting</v>
      </c>
      <c r="F18222" t="str">
        <f>"NC STUDY HALL 1"</f>
        <v>NC STUDY HALL 1</v>
      </c>
      <c r="G18222" t="str">
        <f>"08-805"</f>
        <v>08-805</v>
      </c>
      <c r="H18222" t="str">
        <f>"B"</f>
        <v>B</v>
      </c>
    </row>
    <row r="18223" spans="1:8" x14ac:dyDescent="0.2">
      <c r="A18223" t="str">
        <f t="shared" si="6604"/>
        <v>0608094013</v>
      </c>
      <c r="B18223" t="str">
        <f t="shared" si="6605"/>
        <v>MARCHEL</v>
      </c>
      <c r="C18223" t="str">
        <f t="shared" si="6606"/>
        <v>WILSON</v>
      </c>
      <c r="D18223">
        <f>12</f>
        <v>12</v>
      </c>
      <c r="E18223" t="str">
        <f>"03 - A - 101 - Lourivaldo  Da Silva"</f>
        <v>03 - A - 101 - Lourivaldo  Da Silva</v>
      </c>
      <c r="F18223" t="str">
        <f>"AP STAT"</f>
        <v>AP STAT</v>
      </c>
      <c r="G18223" t="str">
        <f>"20-2079"</f>
        <v>20-2079</v>
      </c>
      <c r="H18223" t="str">
        <f>"A"</f>
        <v>A</v>
      </c>
    </row>
    <row r="18224" spans="1:8" x14ac:dyDescent="0.2">
      <c r="A18224" t="str">
        <f t="shared" si="6604"/>
        <v>0608094013</v>
      </c>
      <c r="B18224" t="str">
        <f t="shared" si="6605"/>
        <v>MARCHEL</v>
      </c>
      <c r="C18224" t="str">
        <f t="shared" si="6606"/>
        <v>WILSON</v>
      </c>
      <c r="D18224">
        <f>12</f>
        <v>12</v>
      </c>
      <c r="E18224" t="str">
        <f>"02 - A - 101 - Robyn L Trainer"</f>
        <v>02 - A - 101 - Robyn L Trainer</v>
      </c>
      <c r="F18224" t="str">
        <f>"ENG 4"</f>
        <v>ENG 4</v>
      </c>
      <c r="G18224" t="str">
        <f>"17-1734"</f>
        <v>17-1734</v>
      </c>
      <c r="H18224" t="str">
        <f>"A"</f>
        <v>A</v>
      </c>
    </row>
    <row r="18225" spans="1:8" x14ac:dyDescent="0.2">
      <c r="A18225" t="str">
        <f t="shared" si="6604"/>
        <v>0608094013</v>
      </c>
      <c r="B18225" t="str">
        <f t="shared" si="6605"/>
        <v>MARCHEL</v>
      </c>
      <c r="C18225" t="str">
        <f t="shared" si="6606"/>
        <v>WILSON</v>
      </c>
      <c r="D18225">
        <f>12</f>
        <v>12</v>
      </c>
      <c r="E18225" t="str">
        <f>"07 - S1 - B - 103 - Robert O Burger"</f>
        <v>07 - S1 - B - 103 - Robert O Burger</v>
      </c>
      <c r="F18225" t="str">
        <f>"US GOVT"</f>
        <v>US GOVT</v>
      </c>
      <c r="G18225" t="str">
        <f>"17-1755"</f>
        <v>17-1755</v>
      </c>
      <c r="H18225" t="str">
        <f>"B"</f>
        <v>B</v>
      </c>
    </row>
    <row r="18226" spans="1:8" x14ac:dyDescent="0.2">
      <c r="A18226" t="str">
        <f t="shared" si="6604"/>
        <v>0608094013</v>
      </c>
      <c r="B18226" t="str">
        <f t="shared" si="6605"/>
        <v>MARCHEL</v>
      </c>
      <c r="C18226" t="str">
        <f t="shared" si="6606"/>
        <v>WILSON</v>
      </c>
      <c r="D18226">
        <f>12</f>
        <v>12</v>
      </c>
      <c r="E18226" t="str">
        <f>"05 - B - 104 - Daniel S Tyson"</f>
        <v>05 - B - 104 - Daniel S Tyson</v>
      </c>
      <c r="F18226" t="str">
        <f>"JROTC NAVAL SCI 4"</f>
        <v>JROTC NAVAL SCI 4</v>
      </c>
      <c r="G18226" t="str">
        <f>"05-510"</f>
        <v>05-510</v>
      </c>
      <c r="H18226" t="str">
        <f>"B"</f>
        <v>B</v>
      </c>
    </row>
    <row r="18227" spans="1:8" x14ac:dyDescent="0.2">
      <c r="A18227" t="str">
        <f t="shared" si="6604"/>
        <v>0608094013</v>
      </c>
      <c r="B18227" t="str">
        <f t="shared" si="6605"/>
        <v>MARCHEL</v>
      </c>
      <c r="C18227" t="str">
        <f t="shared" si="6606"/>
        <v>WILSON</v>
      </c>
      <c r="D18227">
        <f>12</f>
        <v>12</v>
      </c>
      <c r="E18227" t="str">
        <f>"01 - A - 101 - Joe  Kilpatrick Jr"</f>
        <v>01 - A - 101 - Joe  Kilpatrick Jr</v>
      </c>
      <c r="F18227" t="str">
        <f>"PRE-AICE SPAN 1 IG"</f>
        <v>PRE-AICE SPAN 1 IG</v>
      </c>
      <c r="G18227" t="str">
        <f>"09-912"</f>
        <v>09-912</v>
      </c>
      <c r="H18227" t="str">
        <f>"A"</f>
        <v>A</v>
      </c>
    </row>
    <row r="18228" spans="1:8" x14ac:dyDescent="0.2">
      <c r="A18228" t="str">
        <f t="shared" si="6604"/>
        <v>0608094013</v>
      </c>
      <c r="B18228" t="str">
        <f t="shared" si="6605"/>
        <v>MARCHEL</v>
      </c>
      <c r="C18228" t="str">
        <f t="shared" si="6606"/>
        <v>WILSON</v>
      </c>
      <c r="D18228">
        <f>12</f>
        <v>12</v>
      </c>
      <c r="E18228" t="str">
        <f>"08 - B - 103 - Jeanne M Bermudez"</f>
        <v>08 - B - 103 - Jeanne M Bermudez</v>
      </c>
      <c r="F18228" t="str">
        <f>"ADVANCED IT HON"</f>
        <v>ADVANCED IT HON</v>
      </c>
      <c r="G18228" t="str">
        <f>"21-2141"</f>
        <v>21-2141</v>
      </c>
      <c r="H18228" t="str">
        <f>"B"</f>
        <v>B</v>
      </c>
    </row>
    <row r="18229" spans="1:8" x14ac:dyDescent="0.2">
      <c r="A18229" t="str">
        <f t="shared" ref="A18229:A18236" si="6607">"0612068189"</f>
        <v>0612068189</v>
      </c>
      <c r="B18229" t="str">
        <f t="shared" ref="B18229:B18236" si="6608">"NEVAEH"</f>
        <v>NEVAEH</v>
      </c>
      <c r="C18229" t="str">
        <f t="shared" si="6606"/>
        <v>WILSON</v>
      </c>
      <c r="D18229">
        <f>12</f>
        <v>12</v>
      </c>
      <c r="E18229" t="str">
        <f>"04 - A - 106 - Tina M Jaramillo"</f>
        <v>04 - A - 106 - Tina M Jaramillo</v>
      </c>
      <c r="F18229" t="str">
        <f>"AP ENG LIT COMPO"</f>
        <v>AP ENG LIT COMPO</v>
      </c>
      <c r="G18229" t="str">
        <f>"17-1706"</f>
        <v>17-1706</v>
      </c>
      <c r="H18229" t="str">
        <f>"A"</f>
        <v>A</v>
      </c>
    </row>
    <row r="18230" spans="1:8" x14ac:dyDescent="0.2">
      <c r="A18230" t="str">
        <f t="shared" si="6607"/>
        <v>0612068189</v>
      </c>
      <c r="B18230" t="str">
        <f t="shared" si="6608"/>
        <v>NEVAEH</v>
      </c>
      <c r="C18230" t="str">
        <f t="shared" si="6606"/>
        <v>WILSON</v>
      </c>
      <c r="D18230">
        <f>12</f>
        <v>12</v>
      </c>
      <c r="E18230" t="str">
        <f>"06 - B - 109 - Carol S Moore"</f>
        <v>06 - B - 109 - Carol S Moore</v>
      </c>
      <c r="F18230" t="str">
        <f>"NC STUDY HALL 1"</f>
        <v>NC STUDY HALL 1</v>
      </c>
      <c r="G18230" t="str">
        <f>"17-1733"</f>
        <v>17-1733</v>
      </c>
      <c r="H18230" t="str">
        <f>"B"</f>
        <v>B</v>
      </c>
    </row>
    <row r="18231" spans="1:8" x14ac:dyDescent="0.2">
      <c r="A18231" t="str">
        <f t="shared" si="6607"/>
        <v>0612068189</v>
      </c>
      <c r="B18231" t="str">
        <f t="shared" si="6608"/>
        <v>NEVAEH</v>
      </c>
      <c r="C18231" t="str">
        <f t="shared" si="6606"/>
        <v>WILSON</v>
      </c>
      <c r="D18231">
        <f>12</f>
        <v>12</v>
      </c>
      <c r="E18231" t="str">
        <f>"03 - A - 201 - Chrystina M Marchionne"</f>
        <v>03 - A - 201 - Chrystina M Marchionne</v>
      </c>
      <c r="F18231" t="str">
        <f>"JOURN 1 (YB) LH"</f>
        <v>JOURN 1 (YB) LH</v>
      </c>
      <c r="G18231" t="str">
        <f>"05-520"</f>
        <v>05-520</v>
      </c>
      <c r="H18231" t="str">
        <f>"A"</f>
        <v>A</v>
      </c>
    </row>
    <row r="18232" spans="1:8" x14ac:dyDescent="0.2">
      <c r="A18232" t="str">
        <f t="shared" si="6607"/>
        <v>0612068189</v>
      </c>
      <c r="B18232" t="str">
        <f t="shared" si="6608"/>
        <v>NEVAEH</v>
      </c>
      <c r="C18232" t="str">
        <f t="shared" si="6606"/>
        <v>WILSON</v>
      </c>
      <c r="D18232">
        <f>12</f>
        <v>12</v>
      </c>
      <c r="E18232" t="str">
        <f>"02 - A - 201 - Jeanne M Bermudez"</f>
        <v>02 - A - 201 - Jeanne M Bermudez</v>
      </c>
      <c r="F18232" t="str">
        <f>"AP ENV SCI"</f>
        <v>AP ENV SCI</v>
      </c>
      <c r="G18232" t="str">
        <f>"21-2141"</f>
        <v>21-2141</v>
      </c>
      <c r="H18232" t="str">
        <f>"A"</f>
        <v>A</v>
      </c>
    </row>
    <row r="18233" spans="1:8" x14ac:dyDescent="0.2">
      <c r="A18233" t="str">
        <f t="shared" si="6607"/>
        <v>0612068189</v>
      </c>
      <c r="B18233" t="str">
        <f t="shared" si="6608"/>
        <v>NEVAEH</v>
      </c>
      <c r="C18233" t="str">
        <f t="shared" si="6606"/>
        <v>WILSON</v>
      </c>
      <c r="D18233">
        <f>12</f>
        <v>12</v>
      </c>
      <c r="E18233" t="str">
        <f>"07 - B - 102 - Thomas G Handwerg"</f>
        <v>07 - B - 102 - Thomas G Handwerg</v>
      </c>
      <c r="F18233" t="str">
        <f>"PROB STAT W/APPS HON"</f>
        <v>PROB STAT W/APPS HON</v>
      </c>
      <c r="G18233" t="str">
        <f>"21-2146"</f>
        <v>21-2146</v>
      </c>
      <c r="H18233" t="str">
        <f>"B"</f>
        <v>B</v>
      </c>
    </row>
    <row r="18234" spans="1:8" x14ac:dyDescent="0.2">
      <c r="A18234" t="str">
        <f t="shared" si="6607"/>
        <v>0612068189</v>
      </c>
      <c r="B18234" t="str">
        <f t="shared" si="6608"/>
        <v>NEVAEH</v>
      </c>
      <c r="C18234" t="str">
        <f t="shared" si="6606"/>
        <v>WILSON</v>
      </c>
      <c r="D18234">
        <f>12</f>
        <v>12</v>
      </c>
      <c r="E18234" t="str">
        <f>"05 - S1 - B - 102 - Barbara L Segal"</f>
        <v>05 - S1 - B - 102 - Barbara L Segal</v>
      </c>
      <c r="F18234" t="str">
        <f>"US GOVT HON"</f>
        <v>US GOVT HON</v>
      </c>
      <c r="G18234" t="str">
        <f>"17-1742"</f>
        <v>17-1742</v>
      </c>
      <c r="H18234" t="str">
        <f>"B"</f>
        <v>B</v>
      </c>
    </row>
    <row r="18235" spans="1:8" x14ac:dyDescent="0.2">
      <c r="A18235" t="str">
        <f t="shared" si="6607"/>
        <v>0612068189</v>
      </c>
      <c r="B18235" t="str">
        <f t="shared" si="6608"/>
        <v>NEVAEH</v>
      </c>
      <c r="C18235" t="str">
        <f t="shared" si="6606"/>
        <v>WILSON</v>
      </c>
      <c r="D18235">
        <f>12</f>
        <v>12</v>
      </c>
      <c r="E18235" t="str">
        <f>"01 - A - 201 - Stefanie S Scher"</f>
        <v>01 - A - 201 - Stefanie S Scher</v>
      </c>
      <c r="F18235" t="str">
        <f>"AICE PSYCH 1 AS"</f>
        <v>AICE PSYCH 1 AS</v>
      </c>
      <c r="G18235" t="str">
        <f>"17-1735"</f>
        <v>17-1735</v>
      </c>
      <c r="H18235" t="str">
        <f>"A"</f>
        <v>A</v>
      </c>
    </row>
    <row r="18236" spans="1:8" x14ac:dyDescent="0.2">
      <c r="A18236" t="str">
        <f t="shared" si="6607"/>
        <v>0612068189</v>
      </c>
      <c r="B18236" t="str">
        <f t="shared" si="6608"/>
        <v>NEVAEH</v>
      </c>
      <c r="C18236" t="str">
        <f t="shared" si="6606"/>
        <v>WILSON</v>
      </c>
      <c r="D18236">
        <f>12</f>
        <v>12</v>
      </c>
      <c r="E18236" t="str">
        <f>"08 - B - 101 - Marius D Orsolini"</f>
        <v>08 - B - 101 - Marius D Orsolini</v>
      </c>
      <c r="F18236" t="str">
        <f>"CULINARY ARTS 2"</f>
        <v>CULINARY ARTS 2</v>
      </c>
      <c r="G18236" t="str">
        <f>"21-2115"</f>
        <v>21-2115</v>
      </c>
      <c r="H18236" t="str">
        <f>"B"</f>
        <v>B</v>
      </c>
    </row>
    <row r="18237" spans="1:8" x14ac:dyDescent="0.2">
      <c r="A18237" t="str">
        <f t="shared" ref="A18237:A18244" si="6609">"0616070869"</f>
        <v>0616070869</v>
      </c>
      <c r="B18237" t="str">
        <f t="shared" ref="B18237:B18244" si="6610">"SONIQUE"</f>
        <v>SONIQUE</v>
      </c>
      <c r="C18237" t="str">
        <f t="shared" si="6606"/>
        <v>WILSON</v>
      </c>
      <c r="D18237" t="str">
        <f t="shared" ref="D18237:D18244" si="6611">"09"</f>
        <v>09</v>
      </c>
      <c r="E18237" t="str">
        <f>"04 - A - 106 - Ferrie J Arostique"</f>
        <v>04 - A - 106 - Ferrie J Arostique</v>
      </c>
      <c r="F18237" t="str">
        <f>"PRE-AICE MATH 2 IG"</f>
        <v>PRE-AICE MATH 2 IG</v>
      </c>
      <c r="G18237" t="str">
        <f>"21-2139"</f>
        <v>21-2139</v>
      </c>
      <c r="H18237" t="str">
        <f>"A"</f>
        <v>A</v>
      </c>
    </row>
    <row r="18238" spans="1:8" x14ac:dyDescent="0.2">
      <c r="A18238" t="str">
        <f t="shared" si="6609"/>
        <v>0616070869</v>
      </c>
      <c r="B18238" t="str">
        <f t="shared" si="6610"/>
        <v>SONIQUE</v>
      </c>
      <c r="C18238" t="str">
        <f t="shared" si="6606"/>
        <v>WILSON</v>
      </c>
      <c r="D18238" t="str">
        <f t="shared" si="6611"/>
        <v>09</v>
      </c>
      <c r="E18238" t="str">
        <f>"06 - B - 104 - Rory T Sponsler"</f>
        <v>06 - B - 104 - Rory T Sponsler</v>
      </c>
      <c r="F18238" t="str">
        <f>"PRE-AICE WRLD HST IG"</f>
        <v>PRE-AICE WRLD HST IG</v>
      </c>
      <c r="G18238" t="str">
        <f>"17-1740"</f>
        <v>17-1740</v>
      </c>
      <c r="H18238" t="str">
        <f>"B"</f>
        <v>B</v>
      </c>
    </row>
    <row r="18239" spans="1:8" x14ac:dyDescent="0.2">
      <c r="A18239" t="str">
        <f t="shared" si="6609"/>
        <v>0616070869</v>
      </c>
      <c r="B18239" t="str">
        <f t="shared" si="6610"/>
        <v>SONIQUE</v>
      </c>
      <c r="C18239" t="str">
        <f t="shared" si="6606"/>
        <v>WILSON</v>
      </c>
      <c r="D18239" t="str">
        <f t="shared" si="6611"/>
        <v>09</v>
      </c>
      <c r="E18239" t="str">
        <f>"03 - A - 103 - Adam Marcus  Drucker"</f>
        <v>03 - A - 103 - Adam Marcus  Drucker</v>
      </c>
      <c r="F18239" t="str">
        <f>"HOPE-PE V"</f>
        <v>HOPE-PE V</v>
      </c>
      <c r="G18239" t="str">
        <f>"04-254"</f>
        <v>04-254</v>
      </c>
      <c r="H18239" t="str">
        <f>"A"</f>
        <v>A</v>
      </c>
    </row>
    <row r="18240" spans="1:8" x14ac:dyDescent="0.2">
      <c r="A18240" t="str">
        <f t="shared" si="6609"/>
        <v>0616070869</v>
      </c>
      <c r="B18240" t="str">
        <f t="shared" si="6610"/>
        <v>SONIQUE</v>
      </c>
      <c r="C18240" t="str">
        <f t="shared" si="6606"/>
        <v>WILSON</v>
      </c>
      <c r="D18240" t="str">
        <f t="shared" si="6611"/>
        <v>09</v>
      </c>
      <c r="E18240" t="str">
        <f>"02 - A - 104 - Lytrell T Dixon"</f>
        <v>02 - A - 104 - Lytrell T Dixon</v>
      </c>
      <c r="F18240" t="str">
        <f>"NC STUDY HALL 1"</f>
        <v>NC STUDY HALL 1</v>
      </c>
      <c r="G18240" t="str">
        <f>"08-808"</f>
        <v>08-808</v>
      </c>
      <c r="H18240" t="str">
        <f>"A"</f>
        <v>A</v>
      </c>
    </row>
    <row r="18241" spans="1:8" x14ac:dyDescent="0.2">
      <c r="A18241" t="str">
        <f t="shared" si="6609"/>
        <v>0616070869</v>
      </c>
      <c r="B18241" t="str">
        <f t="shared" si="6610"/>
        <v>SONIQUE</v>
      </c>
      <c r="C18241" t="str">
        <f t="shared" si="6606"/>
        <v>WILSON</v>
      </c>
      <c r="D18241" t="str">
        <f t="shared" si="6611"/>
        <v>09</v>
      </c>
      <c r="E18241" t="str">
        <f>"07 - B - 001 - Cheryl Anne  Berman-Schechter"</f>
        <v>07 - B - 001 - Cheryl Anne  Berman-Schechter</v>
      </c>
      <c r="F18241" t="str">
        <f>"AICE ENG GEN PAPER 1"</f>
        <v>AICE ENG GEN PAPER 1</v>
      </c>
      <c r="G18241" t="str">
        <f>"17-1722"</f>
        <v>17-1722</v>
      </c>
      <c r="H18241" t="str">
        <f>"B"</f>
        <v>B</v>
      </c>
    </row>
    <row r="18242" spans="1:8" x14ac:dyDescent="0.2">
      <c r="A18242" t="str">
        <f t="shared" si="6609"/>
        <v>0616070869</v>
      </c>
      <c r="B18242" t="str">
        <f t="shared" si="6610"/>
        <v>SONIQUE</v>
      </c>
      <c r="C18242" t="str">
        <f t="shared" si="6606"/>
        <v>WILSON</v>
      </c>
      <c r="D18242" t="str">
        <f t="shared" si="6611"/>
        <v>09</v>
      </c>
      <c r="E18242" t="str">
        <f>"05 - B - 201 - Lisa J London"</f>
        <v>05 - B - 201 - Lisa J London</v>
      </c>
      <c r="F18242" t="str">
        <f>"COMPRE LAW HON"</f>
        <v>COMPRE LAW HON</v>
      </c>
      <c r="G18242" t="str">
        <f>"17-1714"</f>
        <v>17-1714</v>
      </c>
      <c r="H18242" t="str">
        <f>"B"</f>
        <v>B</v>
      </c>
    </row>
    <row r="18243" spans="1:8" x14ac:dyDescent="0.2">
      <c r="A18243" t="str">
        <f t="shared" si="6609"/>
        <v>0616070869</v>
      </c>
      <c r="B18243" t="str">
        <f t="shared" si="6610"/>
        <v>SONIQUE</v>
      </c>
      <c r="C18243" t="str">
        <f t="shared" si="6606"/>
        <v>WILSON</v>
      </c>
      <c r="D18243" t="str">
        <f t="shared" si="6611"/>
        <v>09</v>
      </c>
      <c r="E18243" t="str">
        <f>"01 - A - 101 - Josiah I Lacy"</f>
        <v>01 - A - 101 - Josiah I Lacy</v>
      </c>
      <c r="F18243" t="str">
        <f>"PRE-AICE BIO IG"</f>
        <v>PRE-AICE BIO IG</v>
      </c>
      <c r="G18243" t="str">
        <f>"08-801"</f>
        <v>08-801</v>
      </c>
      <c r="H18243" t="str">
        <f>"A"</f>
        <v>A</v>
      </c>
    </row>
    <row r="18244" spans="1:8" x14ac:dyDescent="0.2">
      <c r="A18244" t="str">
        <f t="shared" si="6609"/>
        <v>0616070869</v>
      </c>
      <c r="B18244" t="str">
        <f t="shared" si="6610"/>
        <v>SONIQUE</v>
      </c>
      <c r="C18244" t="str">
        <f t="shared" si="6606"/>
        <v>WILSON</v>
      </c>
      <c r="D18244" t="str">
        <f t="shared" si="6611"/>
        <v>09</v>
      </c>
      <c r="E18244" t="str">
        <f>"08 - B - 103 - Joe  Kilpatrick Jr"</f>
        <v>08 - B - 103 - Joe  Kilpatrick Jr</v>
      </c>
      <c r="F18244" t="str">
        <f>"PRE-AICE SPAN 2 IG"</f>
        <v>PRE-AICE SPAN 2 IG</v>
      </c>
      <c r="G18244" t="str">
        <f>"09-912"</f>
        <v>09-912</v>
      </c>
      <c r="H18244" t="str">
        <f>"B"</f>
        <v>B</v>
      </c>
    </row>
    <row r="18245" spans="1:8" x14ac:dyDescent="0.2">
      <c r="A18245" t="str">
        <f t="shared" ref="A18245:A18252" si="6612">"0614033893"</f>
        <v>0614033893</v>
      </c>
      <c r="B18245" t="str">
        <f t="shared" ref="B18245:B18252" si="6613">"TYLER"</f>
        <v>TYLER</v>
      </c>
      <c r="C18245" t="str">
        <f t="shared" si="6606"/>
        <v>WILSON</v>
      </c>
      <c r="D18245">
        <f>12</f>
        <v>12</v>
      </c>
      <c r="E18245" t="str">
        <f>"04 - S1 - A - 101 - Leslie J Barton"</f>
        <v>04 - S1 - A - 101 - Leslie J Barton</v>
      </c>
      <c r="F18245" t="str">
        <f>"TEAM SPORTS 1"</f>
        <v>TEAM SPORTS 1</v>
      </c>
      <c r="G18245" t="str">
        <f>"04-254"</f>
        <v>04-254</v>
      </c>
      <c r="H18245" t="str">
        <f>"A"</f>
        <v>A</v>
      </c>
    </row>
    <row r="18246" spans="1:8" x14ac:dyDescent="0.2">
      <c r="A18246" t="str">
        <f t="shared" si="6612"/>
        <v>0614033893</v>
      </c>
      <c r="B18246" t="str">
        <f t="shared" si="6613"/>
        <v>TYLER</v>
      </c>
      <c r="C18246" t="str">
        <f t="shared" si="6606"/>
        <v>WILSON</v>
      </c>
      <c r="D18246">
        <f>12</f>
        <v>12</v>
      </c>
      <c r="E18246" t="str">
        <f>"06 - B - 109 - Carol S Moore"</f>
        <v>06 - B - 109 - Carol S Moore</v>
      </c>
      <c r="F18246" t="str">
        <f>"NC STUDY HALL 1"</f>
        <v>NC STUDY HALL 1</v>
      </c>
      <c r="G18246" t="str">
        <f>"17-1733"</f>
        <v>17-1733</v>
      </c>
      <c r="H18246" t="str">
        <f>"B"</f>
        <v>B</v>
      </c>
    </row>
    <row r="18247" spans="1:8" x14ac:dyDescent="0.2">
      <c r="A18247" t="str">
        <f t="shared" si="6612"/>
        <v>0614033893</v>
      </c>
      <c r="B18247" t="str">
        <f t="shared" si="6613"/>
        <v>TYLER</v>
      </c>
      <c r="C18247" t="str">
        <f t="shared" si="6606"/>
        <v>WILSON</v>
      </c>
      <c r="D18247">
        <f>12</f>
        <v>12</v>
      </c>
      <c r="E18247" t="str">
        <f>"03 - A - 101 - Jazmin S Fletcher"</f>
        <v>03 - A - 101 - Jazmin S Fletcher</v>
      </c>
      <c r="F18247" t="str">
        <f>"TECH THEA DES&amp;PROD 1"</f>
        <v>TECH THEA DES&amp;PROD 1</v>
      </c>
      <c r="G18247" t="str">
        <f>"09-909"</f>
        <v>09-909</v>
      </c>
      <c r="H18247" t="str">
        <f>"A"</f>
        <v>A</v>
      </c>
    </row>
    <row r="18248" spans="1:8" x14ac:dyDescent="0.2">
      <c r="A18248" t="str">
        <f t="shared" si="6612"/>
        <v>0614033893</v>
      </c>
      <c r="B18248" t="str">
        <f t="shared" si="6613"/>
        <v>TYLER</v>
      </c>
      <c r="C18248" t="str">
        <f t="shared" si="6606"/>
        <v>WILSON</v>
      </c>
      <c r="D18248">
        <f>12</f>
        <v>12</v>
      </c>
      <c r="E18248" t="str">
        <f>"02 - A - 204 - Jacqueline R Morphet"</f>
        <v>02 - A - 204 - Jacqueline R Morphet</v>
      </c>
      <c r="F18248" t="str">
        <f>"PHYSICS 1 HON"</f>
        <v>PHYSICS 1 HON</v>
      </c>
      <c r="G18248" t="str">
        <f>"21-2138"</f>
        <v>21-2138</v>
      </c>
      <c r="H18248" t="str">
        <f>"A"</f>
        <v>A</v>
      </c>
    </row>
    <row r="18249" spans="1:8" x14ac:dyDescent="0.2">
      <c r="A18249" t="str">
        <f t="shared" si="6612"/>
        <v>0614033893</v>
      </c>
      <c r="B18249" t="str">
        <f t="shared" si="6613"/>
        <v>TYLER</v>
      </c>
      <c r="C18249" t="str">
        <f t="shared" si="6606"/>
        <v>WILSON</v>
      </c>
      <c r="D18249">
        <f>12</f>
        <v>12</v>
      </c>
      <c r="E18249" t="str">
        <f>"07 - B - 102 - Thomas G Handwerg"</f>
        <v>07 - B - 102 - Thomas G Handwerg</v>
      </c>
      <c r="F18249" t="str">
        <f>"PROB STAT W/APPS HON"</f>
        <v>PROB STAT W/APPS HON</v>
      </c>
      <c r="G18249" t="str">
        <f>"21-2146"</f>
        <v>21-2146</v>
      </c>
      <c r="H18249" t="str">
        <f>"B"</f>
        <v>B</v>
      </c>
    </row>
    <row r="18250" spans="1:8" x14ac:dyDescent="0.2">
      <c r="A18250" t="str">
        <f t="shared" si="6612"/>
        <v>0614033893</v>
      </c>
      <c r="B18250" t="str">
        <f t="shared" si="6613"/>
        <v>TYLER</v>
      </c>
      <c r="C18250" t="str">
        <f t="shared" si="6606"/>
        <v>WILSON</v>
      </c>
      <c r="D18250">
        <f>12</f>
        <v>12</v>
      </c>
      <c r="E18250" t="str">
        <f>"05 - B - 104 - Jeffrey S Gallagher"</f>
        <v>05 - B - 104 - Jeffrey S Gallagher</v>
      </c>
      <c r="F18250" t="str">
        <f>"ENG HON 4"</f>
        <v>ENG HON 4</v>
      </c>
      <c r="G18250" t="str">
        <f>"17-1724"</f>
        <v>17-1724</v>
      </c>
      <c r="H18250" t="str">
        <f>"B"</f>
        <v>B</v>
      </c>
    </row>
    <row r="18251" spans="1:8" x14ac:dyDescent="0.2">
      <c r="A18251" t="str">
        <f t="shared" si="6612"/>
        <v>0614033893</v>
      </c>
      <c r="B18251" t="str">
        <f t="shared" si="6613"/>
        <v>TYLER</v>
      </c>
      <c r="C18251" t="str">
        <f t="shared" si="6606"/>
        <v>WILSON</v>
      </c>
      <c r="D18251">
        <f>12</f>
        <v>12</v>
      </c>
      <c r="E18251" t="str">
        <f>"01 - A - 001 - Brian M Fitzgerald"</f>
        <v>01 - A - 001 - Brian M Fitzgerald</v>
      </c>
      <c r="F18251" t="str">
        <f>"CERAM/POT 2"</f>
        <v>CERAM/POT 2</v>
      </c>
      <c r="G18251" t="str">
        <f>"09-908"</f>
        <v>09-908</v>
      </c>
      <c r="H18251" t="str">
        <f>"A"</f>
        <v>A</v>
      </c>
    </row>
    <row r="18252" spans="1:8" x14ac:dyDescent="0.2">
      <c r="A18252" t="str">
        <f t="shared" si="6612"/>
        <v>0614033893</v>
      </c>
      <c r="B18252" t="str">
        <f t="shared" si="6613"/>
        <v>TYLER</v>
      </c>
      <c r="C18252" t="str">
        <f t="shared" si="6606"/>
        <v>WILSON</v>
      </c>
      <c r="D18252">
        <f>12</f>
        <v>12</v>
      </c>
      <c r="E18252" t="str">
        <f>"08 - S1 - B - 105 - Kelly N Panza"</f>
        <v>08 - S1 - B - 105 - Kelly N Panza</v>
      </c>
      <c r="F18252" t="str">
        <f>"US GOVT HON"</f>
        <v>US GOVT HON</v>
      </c>
      <c r="G18252" t="str">
        <f>"17-1753"</f>
        <v>17-1753</v>
      </c>
      <c r="H18252" t="str">
        <f>"B"</f>
        <v>B</v>
      </c>
    </row>
    <row r="18253" spans="1:8" x14ac:dyDescent="0.2">
      <c r="A18253" t="str">
        <f t="shared" ref="A18253:A18260" si="6614">"0622067033"</f>
        <v>0622067033</v>
      </c>
      <c r="B18253" t="str">
        <f t="shared" ref="B18253:B18260" si="6615">"VICTORIA"</f>
        <v>VICTORIA</v>
      </c>
      <c r="C18253" t="str">
        <f t="shared" si="6606"/>
        <v>WILSON</v>
      </c>
      <c r="D18253">
        <f>10</f>
        <v>10</v>
      </c>
      <c r="E18253" t="str">
        <f>"04 - A - 205 - Lytrell T Dixon"</f>
        <v>04 - A - 205 - Lytrell T Dixon</v>
      </c>
      <c r="F18253" t="str">
        <f>"BIOLOGY 1"</f>
        <v>BIOLOGY 1</v>
      </c>
      <c r="G18253" t="str">
        <f>"08-808"</f>
        <v>08-808</v>
      </c>
      <c r="H18253" t="str">
        <f>"A"</f>
        <v>A</v>
      </c>
    </row>
    <row r="18254" spans="1:8" x14ac:dyDescent="0.2">
      <c r="A18254" t="str">
        <f t="shared" si="6614"/>
        <v>0622067033</v>
      </c>
      <c r="B18254" t="str">
        <f t="shared" si="6615"/>
        <v>VICTORIA</v>
      </c>
      <c r="C18254" t="str">
        <f t="shared" si="6606"/>
        <v>WILSON</v>
      </c>
      <c r="D18254">
        <f>10</f>
        <v>10</v>
      </c>
      <c r="E18254" t="str">
        <f>"06 - B - 118 - Jeanne M Bermudez"</f>
        <v>06 - B - 118 - Jeanne M Bermudez</v>
      </c>
      <c r="F18254" t="str">
        <f>"NC STUDY HALL 1"</f>
        <v>NC STUDY HALL 1</v>
      </c>
      <c r="G18254" t="str">
        <f>"21-2141"</f>
        <v>21-2141</v>
      </c>
      <c r="H18254" t="str">
        <f>"B"</f>
        <v>B</v>
      </c>
    </row>
    <row r="18255" spans="1:8" x14ac:dyDescent="0.2">
      <c r="A18255" t="str">
        <f t="shared" si="6614"/>
        <v>0622067033</v>
      </c>
      <c r="B18255" t="str">
        <f t="shared" si="6615"/>
        <v>VICTORIA</v>
      </c>
      <c r="C18255" t="str">
        <f t="shared" si="6606"/>
        <v>WILSON</v>
      </c>
      <c r="D18255">
        <f>10</f>
        <v>10</v>
      </c>
      <c r="E18255" t="str">
        <f>"03 - A - 103 - Taraneh C Abreu"</f>
        <v>03 - A - 103 - Taraneh C Abreu</v>
      </c>
      <c r="F18255" t="str">
        <f>"INTENS READ 2"</f>
        <v>INTENS READ 2</v>
      </c>
      <c r="G18255" t="str">
        <f>"17-1713"</f>
        <v>17-1713</v>
      </c>
      <c r="H18255" t="str">
        <f>"A"</f>
        <v>A</v>
      </c>
    </row>
    <row r="18256" spans="1:8" x14ac:dyDescent="0.2">
      <c r="A18256" t="str">
        <f t="shared" si="6614"/>
        <v>0622067033</v>
      </c>
      <c r="B18256" t="str">
        <f t="shared" si="6615"/>
        <v>VICTORIA</v>
      </c>
      <c r="C18256" t="str">
        <f t="shared" si="6606"/>
        <v>WILSON</v>
      </c>
      <c r="D18256">
        <f>10</f>
        <v>10</v>
      </c>
      <c r="E18256" t="str">
        <f>"02 - A - 102 - Nikiel  Nesbeth"</f>
        <v>02 - A - 102 - Nikiel  Nesbeth</v>
      </c>
      <c r="F18256" t="str">
        <f>"ENG 2"</f>
        <v>ENG 2</v>
      </c>
      <c r="G18256" t="str">
        <f>"17-1705"</f>
        <v>17-1705</v>
      </c>
      <c r="H18256" t="str">
        <f>"A"</f>
        <v>A</v>
      </c>
    </row>
    <row r="18257" spans="1:8" x14ac:dyDescent="0.2">
      <c r="A18257" t="str">
        <f t="shared" si="6614"/>
        <v>0622067033</v>
      </c>
      <c r="B18257" t="str">
        <f t="shared" si="6615"/>
        <v>VICTORIA</v>
      </c>
      <c r="C18257" t="str">
        <f t="shared" si="6606"/>
        <v>WILSON</v>
      </c>
      <c r="D18257">
        <f>10</f>
        <v>10</v>
      </c>
      <c r="E18257" t="str">
        <f>"07 - B - 107 - Helen A Flores"</f>
        <v>07 - B - 107 - Helen A Flores</v>
      </c>
      <c r="F18257" t="str">
        <f>"ALGEBRA 1"</f>
        <v>ALGEBRA 1</v>
      </c>
      <c r="G18257" t="str">
        <f>"21-2101"</f>
        <v>21-2101</v>
      </c>
      <c r="H18257" t="str">
        <f>"B"</f>
        <v>B</v>
      </c>
    </row>
    <row r="18258" spans="1:8" x14ac:dyDescent="0.2">
      <c r="A18258" t="str">
        <f t="shared" si="6614"/>
        <v>0622067033</v>
      </c>
      <c r="B18258" t="str">
        <f t="shared" si="6615"/>
        <v>VICTORIA</v>
      </c>
      <c r="C18258" t="str">
        <f t="shared" si="6606"/>
        <v>WILSON</v>
      </c>
      <c r="D18258">
        <f>10</f>
        <v>10</v>
      </c>
      <c r="E18258" t="str">
        <f>"05 - S1 - B - 103 - Leslie J Barton"</f>
        <v>05 - S1 - B - 103 - Leslie J Barton</v>
      </c>
      <c r="F18258" t="str">
        <f>"FIRST AID SAFETY"</f>
        <v>FIRST AID SAFETY</v>
      </c>
      <c r="G18258" t="str">
        <f>"05-521"</f>
        <v>05-521</v>
      </c>
      <c r="H18258" t="str">
        <f>"B"</f>
        <v>B</v>
      </c>
    </row>
    <row r="18259" spans="1:8" x14ac:dyDescent="0.2">
      <c r="A18259" t="str">
        <f t="shared" si="6614"/>
        <v>0622067033</v>
      </c>
      <c r="B18259" t="str">
        <f t="shared" si="6615"/>
        <v>VICTORIA</v>
      </c>
      <c r="C18259" t="str">
        <f t="shared" si="6606"/>
        <v>WILSON</v>
      </c>
      <c r="D18259">
        <f>10</f>
        <v>10</v>
      </c>
      <c r="E18259" t="str">
        <f>"01 - A - 102 - Helen A Flores"</f>
        <v>01 - A - 102 - Helen A Flores</v>
      </c>
      <c r="F18259" t="str">
        <f>"FDN SKLS MATH 9-12"</f>
        <v>FDN SKLS MATH 9-12</v>
      </c>
      <c r="G18259" t="str">
        <f>"21-2101"</f>
        <v>21-2101</v>
      </c>
      <c r="H18259" t="str">
        <f>"A"</f>
        <v>A</v>
      </c>
    </row>
    <row r="18260" spans="1:8" x14ac:dyDescent="0.2">
      <c r="A18260" t="str">
        <f t="shared" si="6614"/>
        <v>0622067033</v>
      </c>
      <c r="B18260" t="str">
        <f t="shared" si="6615"/>
        <v>VICTORIA</v>
      </c>
      <c r="C18260" t="str">
        <f t="shared" si="6606"/>
        <v>WILSON</v>
      </c>
      <c r="D18260">
        <f>10</f>
        <v>10</v>
      </c>
      <c r="E18260" t="str">
        <f>"08 - S1 - B - 102 - Kyle  Robbins"</f>
        <v>08 - S1 - B - 102 - Kyle  Robbins</v>
      </c>
      <c r="F18260" t="str">
        <f>"PERS FIN &amp; MON MGT H"</f>
        <v>PERS FIN &amp; MON MGT H</v>
      </c>
      <c r="G18260" t="str">
        <f>"17-1745"</f>
        <v>17-1745</v>
      </c>
      <c r="H18260" t="str">
        <f>"B"</f>
        <v>B</v>
      </c>
    </row>
    <row r="18261" spans="1:8" x14ac:dyDescent="0.2">
      <c r="A18261" t="str">
        <f t="shared" ref="A18261:A18268" si="6616">"0616093028"</f>
        <v>0616093028</v>
      </c>
      <c r="B18261" t="str">
        <f t="shared" ref="B18261:B18268" si="6617">"ZION"</f>
        <v>ZION</v>
      </c>
      <c r="C18261" t="str">
        <f t="shared" si="6606"/>
        <v>WILSON</v>
      </c>
      <c r="D18261" t="str">
        <f t="shared" ref="D18261:D18268" si="6618">"09"</f>
        <v>09</v>
      </c>
      <c r="E18261" t="str">
        <f>"04 - A - 102 - Josiah I Lacy"</f>
        <v>04 - A - 102 - Josiah I Lacy</v>
      </c>
      <c r="F18261" t="str">
        <f>"PRE-AICE BIO IG"</f>
        <v>PRE-AICE BIO IG</v>
      </c>
      <c r="G18261" t="str">
        <f>"08-801"</f>
        <v>08-801</v>
      </c>
      <c r="H18261" t="str">
        <f>"A"</f>
        <v>A</v>
      </c>
    </row>
    <row r="18262" spans="1:8" x14ac:dyDescent="0.2">
      <c r="A18262" t="str">
        <f t="shared" si="6616"/>
        <v>0616093028</v>
      </c>
      <c r="B18262" t="str">
        <f t="shared" si="6617"/>
        <v>ZION</v>
      </c>
      <c r="C18262" t="str">
        <f t="shared" si="6606"/>
        <v>WILSON</v>
      </c>
      <c r="D18262" t="str">
        <f t="shared" si="6618"/>
        <v>09</v>
      </c>
      <c r="E18262" t="str">
        <f>"06 - B - 202 - Brian M Fitzgerald"</f>
        <v>06 - B - 202 - Brian M Fitzgerald</v>
      </c>
      <c r="F18262" t="str">
        <f>"DRAW 1"</f>
        <v>DRAW 1</v>
      </c>
      <c r="G18262" t="str">
        <f>"09-908"</f>
        <v>09-908</v>
      </c>
      <c r="H18262" t="str">
        <f>"B"</f>
        <v>B</v>
      </c>
    </row>
    <row r="18263" spans="1:8" x14ac:dyDescent="0.2">
      <c r="A18263" t="str">
        <f t="shared" si="6616"/>
        <v>0616093028</v>
      </c>
      <c r="B18263" t="str">
        <f t="shared" si="6617"/>
        <v>ZION</v>
      </c>
      <c r="C18263" t="str">
        <f t="shared" si="6606"/>
        <v>WILSON</v>
      </c>
      <c r="D18263" t="str">
        <f t="shared" si="6618"/>
        <v>09</v>
      </c>
      <c r="E18263" t="str">
        <f>"03 - A - 203 - Elizabeth R Walker"</f>
        <v>03 - A - 203 - Elizabeth R Walker</v>
      </c>
      <c r="F18263" t="str">
        <f>"AICE ENG GEN PAPER 1"</f>
        <v>AICE ENG GEN PAPER 1</v>
      </c>
      <c r="G18263" t="str">
        <f>"17-1703"</f>
        <v>17-1703</v>
      </c>
      <c r="H18263" t="str">
        <f>"A"</f>
        <v>A</v>
      </c>
    </row>
    <row r="18264" spans="1:8" x14ac:dyDescent="0.2">
      <c r="A18264" t="str">
        <f t="shared" si="6616"/>
        <v>0616093028</v>
      </c>
      <c r="B18264" t="str">
        <f t="shared" si="6617"/>
        <v>ZION</v>
      </c>
      <c r="C18264" t="str">
        <f t="shared" si="6606"/>
        <v>WILSON</v>
      </c>
      <c r="D18264" t="str">
        <f t="shared" si="6618"/>
        <v>09</v>
      </c>
      <c r="E18264" t="str">
        <f>"02 - A - 110 - Maried P Ramos"</f>
        <v>02 - A - 110 - Maried P Ramos</v>
      </c>
      <c r="F18264" t="str">
        <f>"NC STUDY HALL 1"</f>
        <v>NC STUDY HALL 1</v>
      </c>
      <c r="G18264" t="str">
        <f>"21-2159"</f>
        <v>21-2159</v>
      </c>
      <c r="H18264" t="str">
        <f>"A"</f>
        <v>A</v>
      </c>
    </row>
    <row r="18265" spans="1:8" x14ac:dyDescent="0.2">
      <c r="A18265" t="str">
        <f t="shared" si="6616"/>
        <v>0616093028</v>
      </c>
      <c r="B18265" t="str">
        <f t="shared" si="6617"/>
        <v>ZION</v>
      </c>
      <c r="C18265" t="str">
        <f t="shared" si="6606"/>
        <v>WILSON</v>
      </c>
      <c r="D18265" t="str">
        <f t="shared" si="6618"/>
        <v>09</v>
      </c>
      <c r="E18265" t="str">
        <f>"07 - B - 107 - Adam Marcus  Drucker"</f>
        <v>07 - B - 107 - Adam Marcus  Drucker</v>
      </c>
      <c r="F18265" t="str">
        <f>"HOPE-PE V"</f>
        <v>HOPE-PE V</v>
      </c>
      <c r="G18265" t="str">
        <f>"04-254"</f>
        <v>04-254</v>
      </c>
      <c r="H18265" t="str">
        <f>"B"</f>
        <v>B</v>
      </c>
    </row>
    <row r="18266" spans="1:8" x14ac:dyDescent="0.2">
      <c r="A18266" t="str">
        <f t="shared" si="6616"/>
        <v>0616093028</v>
      </c>
      <c r="B18266" t="str">
        <f t="shared" si="6617"/>
        <v>ZION</v>
      </c>
      <c r="C18266" t="str">
        <f t="shared" si="6606"/>
        <v>WILSON</v>
      </c>
      <c r="D18266" t="str">
        <f t="shared" si="6618"/>
        <v>09</v>
      </c>
      <c r="E18266" t="str">
        <f>"05 - B - 102 - Tina L Lovett"</f>
        <v>05 - B - 102 - Tina L Lovett</v>
      </c>
      <c r="F18266" t="str">
        <f>"PRE-AICE MATH 1 IG"</f>
        <v>PRE-AICE MATH 1 IG</v>
      </c>
      <c r="G18266" t="str">
        <f>"21-2153"</f>
        <v>21-2153</v>
      </c>
      <c r="H18266" t="str">
        <f>"B"</f>
        <v>B</v>
      </c>
    </row>
    <row r="18267" spans="1:8" x14ac:dyDescent="0.2">
      <c r="A18267" t="str">
        <f t="shared" si="6616"/>
        <v>0616093028</v>
      </c>
      <c r="B18267" t="str">
        <f t="shared" si="6617"/>
        <v>ZION</v>
      </c>
      <c r="C18267" t="str">
        <f t="shared" si="6606"/>
        <v>WILSON</v>
      </c>
      <c r="D18267" t="str">
        <f t="shared" si="6618"/>
        <v>09</v>
      </c>
      <c r="E18267" t="str">
        <f>"01 - S1 - A - 101 - Carol S Moore"</f>
        <v>01 - S1 - A - 101 - Carol S Moore</v>
      </c>
      <c r="F18267" t="str">
        <f>"PERS FIN &amp; MON MGT H"</f>
        <v>PERS FIN &amp; MON MGT H</v>
      </c>
      <c r="G18267" t="str">
        <f>"17-1733"</f>
        <v>17-1733</v>
      </c>
      <c r="H18267" t="str">
        <f>"A"</f>
        <v>A</v>
      </c>
    </row>
    <row r="18268" spans="1:8" x14ac:dyDescent="0.2">
      <c r="A18268" t="str">
        <f t="shared" si="6616"/>
        <v>0616093028</v>
      </c>
      <c r="B18268" t="str">
        <f t="shared" si="6617"/>
        <v>ZION</v>
      </c>
      <c r="C18268" t="str">
        <f t="shared" si="6606"/>
        <v>WILSON</v>
      </c>
      <c r="D18268" t="str">
        <f t="shared" si="6618"/>
        <v>09</v>
      </c>
      <c r="E18268" t="str">
        <f>"08 - B - 109 - Rory T Sponsler"</f>
        <v>08 - B - 109 - Rory T Sponsler</v>
      </c>
      <c r="F18268" t="str">
        <f>"PRE-AICE WRLD HST IG"</f>
        <v>PRE-AICE WRLD HST IG</v>
      </c>
      <c r="G18268" t="str">
        <f>"17-1740"</f>
        <v>17-1740</v>
      </c>
      <c r="H18268" t="str">
        <f>"B"</f>
        <v>B</v>
      </c>
    </row>
    <row r="18269" spans="1:8" x14ac:dyDescent="0.2">
      <c r="A18269" t="str">
        <f t="shared" ref="A18269:A18276" si="6619">"0614092330"</f>
        <v>0614092330</v>
      </c>
      <c r="B18269" t="str">
        <f t="shared" ref="B18269:B18276" si="6620">"RICHARD"</f>
        <v>RICHARD</v>
      </c>
      <c r="C18269" t="str">
        <f t="shared" ref="C18269:C18285" si="6621">"WISEMAN"</f>
        <v>WISEMAN</v>
      </c>
      <c r="D18269">
        <f>11</f>
        <v>11</v>
      </c>
      <c r="E18269" t="str">
        <f>"04 - A - 201 - Scott A Dethloff"</f>
        <v>04 - A - 201 - Scott A Dethloff</v>
      </c>
      <c r="F18269" t="str">
        <f>"AICE THINK SKLS 1 AS"</f>
        <v>AICE THINK SKLS 1 AS</v>
      </c>
      <c r="G18269" t="str">
        <f>"08-812"</f>
        <v>08-812</v>
      </c>
      <c r="H18269" t="str">
        <f>"A"</f>
        <v>A</v>
      </c>
    </row>
    <row r="18270" spans="1:8" x14ac:dyDescent="0.2">
      <c r="A18270" t="str">
        <f t="shared" si="6619"/>
        <v>0614092330</v>
      </c>
      <c r="B18270" t="str">
        <f t="shared" si="6620"/>
        <v>RICHARD</v>
      </c>
      <c r="C18270" t="str">
        <f t="shared" si="6621"/>
        <v>WISEMAN</v>
      </c>
      <c r="D18270">
        <f>11</f>
        <v>11</v>
      </c>
      <c r="E18270" t="str">
        <f>"06 - B - 104 - Eva T Rimmer"</f>
        <v>06 - B - 104 - Eva T Rimmer</v>
      </c>
      <c r="F18270" t="str">
        <f>"CRIMINAL JUST OPS 1"</f>
        <v>CRIMINAL JUST OPS 1</v>
      </c>
      <c r="G18270" t="str">
        <f>"05-523"</f>
        <v>05-523</v>
      </c>
      <c r="H18270" t="str">
        <f>"B"</f>
        <v>B</v>
      </c>
    </row>
    <row r="18271" spans="1:8" x14ac:dyDescent="0.2">
      <c r="A18271" t="str">
        <f t="shared" si="6619"/>
        <v>0614092330</v>
      </c>
      <c r="B18271" t="str">
        <f t="shared" si="6620"/>
        <v>RICHARD</v>
      </c>
      <c r="C18271" t="str">
        <f t="shared" si="6621"/>
        <v>WISEMAN</v>
      </c>
      <c r="D18271">
        <f>11</f>
        <v>11</v>
      </c>
      <c r="E18271" t="str">
        <f>"03 - A - 103 - Jordana K Hass"</f>
        <v>03 - A - 103 - Jordana K Hass</v>
      </c>
      <c r="F18271" t="str">
        <f>"CHEMISTRY 1"</f>
        <v>CHEMISTRY 1</v>
      </c>
      <c r="G18271" t="str">
        <f>"08-807"</f>
        <v>08-807</v>
      </c>
      <c r="H18271" t="str">
        <f>"A"</f>
        <v>A</v>
      </c>
    </row>
    <row r="18272" spans="1:8" x14ac:dyDescent="0.2">
      <c r="A18272" t="str">
        <f t="shared" si="6619"/>
        <v>0614092330</v>
      </c>
      <c r="B18272" t="str">
        <f t="shared" si="6620"/>
        <v>RICHARD</v>
      </c>
      <c r="C18272" t="str">
        <f t="shared" si="6621"/>
        <v>WISEMAN</v>
      </c>
      <c r="D18272">
        <f>11</f>
        <v>11</v>
      </c>
      <c r="E18272" t="str">
        <f>"02 - A - 101 - Timothy J Lawrence"</f>
        <v>02 - A - 101 - Timothy J Lawrence</v>
      </c>
      <c r="F18272" t="str">
        <f>"NC STUDY HALL 1"</f>
        <v>NC STUDY HALL 1</v>
      </c>
      <c r="G18272" t="str">
        <f>"05-522"</f>
        <v>05-522</v>
      </c>
      <c r="H18272" t="str">
        <f>"A"</f>
        <v>A</v>
      </c>
    </row>
    <row r="18273" spans="1:8" x14ac:dyDescent="0.2">
      <c r="A18273" t="str">
        <f t="shared" si="6619"/>
        <v>0614092330</v>
      </c>
      <c r="B18273" t="str">
        <f t="shared" si="6620"/>
        <v>RICHARD</v>
      </c>
      <c r="C18273" t="str">
        <f t="shared" si="6621"/>
        <v>WISEMAN</v>
      </c>
      <c r="D18273">
        <f>11</f>
        <v>11</v>
      </c>
      <c r="E18273" t="str">
        <f>"07 - B - 101 - Bruce A Evans"</f>
        <v>07 - B - 101 - Bruce A Evans</v>
      </c>
      <c r="F18273" t="str">
        <f>"FIREFIGHTING 1 LH"</f>
        <v>FIREFIGHTING 1 LH</v>
      </c>
      <c r="G18273" t="str">
        <f>"21-2142"</f>
        <v>21-2142</v>
      </c>
      <c r="H18273" t="str">
        <f>"B"</f>
        <v>B</v>
      </c>
    </row>
    <row r="18274" spans="1:8" x14ac:dyDescent="0.2">
      <c r="A18274" t="str">
        <f t="shared" si="6619"/>
        <v>0614092330</v>
      </c>
      <c r="B18274" t="str">
        <f t="shared" si="6620"/>
        <v>RICHARD</v>
      </c>
      <c r="C18274" t="str">
        <f t="shared" si="6621"/>
        <v>WISEMAN</v>
      </c>
      <c r="D18274">
        <f>11</f>
        <v>11</v>
      </c>
      <c r="E18274" t="str">
        <f>"05 - B - 102 - Jacklyn M James"</f>
        <v>05 - B - 102 - Jacklyn M James</v>
      </c>
      <c r="F18274" t="str">
        <f>"AICE ENG LANG AS"</f>
        <v>AICE ENG LANG AS</v>
      </c>
      <c r="G18274" t="str">
        <f>"17-1731"</f>
        <v>17-1731</v>
      </c>
      <c r="H18274" t="str">
        <f>"B"</f>
        <v>B</v>
      </c>
    </row>
    <row r="18275" spans="1:8" x14ac:dyDescent="0.2">
      <c r="A18275" t="str">
        <f t="shared" si="6619"/>
        <v>0614092330</v>
      </c>
      <c r="B18275" t="str">
        <f t="shared" si="6620"/>
        <v>RICHARD</v>
      </c>
      <c r="C18275" t="str">
        <f t="shared" si="6621"/>
        <v>WISEMAN</v>
      </c>
      <c r="D18275">
        <f>11</f>
        <v>11</v>
      </c>
      <c r="E18275" t="str">
        <f>"01 - A - 103 - Semra  Bahadir"</f>
        <v>01 - A - 103 - Semra  Bahadir</v>
      </c>
      <c r="F18275" t="str">
        <f>"MATH COLL ALGEBRA"</f>
        <v>MATH COLL ALGEBRA</v>
      </c>
      <c r="G18275" t="str">
        <f>"21-2107"</f>
        <v>21-2107</v>
      </c>
      <c r="H18275" t="str">
        <f>"A"</f>
        <v>A</v>
      </c>
    </row>
    <row r="18276" spans="1:8" x14ac:dyDescent="0.2">
      <c r="A18276" t="str">
        <f t="shared" si="6619"/>
        <v>0614092330</v>
      </c>
      <c r="B18276" t="str">
        <f t="shared" si="6620"/>
        <v>RICHARD</v>
      </c>
      <c r="C18276" t="str">
        <f t="shared" si="6621"/>
        <v>WISEMAN</v>
      </c>
      <c r="D18276">
        <f>11</f>
        <v>11</v>
      </c>
      <c r="E18276" t="str">
        <f>"08 - B - 001 - Jerry S Jiampetti"</f>
        <v>08 - B - 001 - Jerry S Jiampetti</v>
      </c>
      <c r="F18276" t="str">
        <f>"AICE U.S. HIST 1 AS"</f>
        <v>AICE U.S. HIST 1 AS</v>
      </c>
      <c r="G18276" t="str">
        <f>"17-1751"</f>
        <v>17-1751</v>
      </c>
      <c r="H18276" t="str">
        <f>"B"</f>
        <v>B</v>
      </c>
    </row>
    <row r="18277" spans="1:8" x14ac:dyDescent="0.2">
      <c r="A18277" t="str">
        <f t="shared" ref="A18277:A18285" si="6622">"0615108287"</f>
        <v>0615108287</v>
      </c>
      <c r="B18277" t="str">
        <f t="shared" ref="B18277:B18285" si="6623">"ROBERT"</f>
        <v>ROBERT</v>
      </c>
      <c r="C18277" t="str">
        <f t="shared" si="6621"/>
        <v>WISEMAN</v>
      </c>
      <c r="D18277">
        <f>10</f>
        <v>10</v>
      </c>
      <c r="E18277" t="str">
        <f>"04 - A - 105 - Jacklyn M James"</f>
        <v>04 - A - 105 - Jacklyn M James</v>
      </c>
      <c r="F18277" t="str">
        <f>"AICE ENG LANG AS"</f>
        <v>AICE ENG LANG AS</v>
      </c>
      <c r="G18277" t="str">
        <f>"17-1731"</f>
        <v>17-1731</v>
      </c>
      <c r="H18277" t="str">
        <f>"A"</f>
        <v>A</v>
      </c>
    </row>
    <row r="18278" spans="1:8" x14ac:dyDescent="0.2">
      <c r="A18278" t="str">
        <f t="shared" si="6622"/>
        <v>0615108287</v>
      </c>
      <c r="B18278" t="str">
        <f t="shared" si="6623"/>
        <v>ROBERT</v>
      </c>
      <c r="C18278" t="str">
        <f t="shared" si="6621"/>
        <v>WISEMAN</v>
      </c>
      <c r="D18278">
        <f>10</f>
        <v>10</v>
      </c>
      <c r="E18278" t="str">
        <f>"06 - B - 108 - Jacklyn M James"</f>
        <v>06 - B - 108 - Jacklyn M James</v>
      </c>
      <c r="F18278" t="str">
        <f>"NC STUDY HALL 1"</f>
        <v>NC STUDY HALL 1</v>
      </c>
      <c r="G18278" t="str">
        <f>"17-1731"</f>
        <v>17-1731</v>
      </c>
      <c r="H18278" t="str">
        <f>"B"</f>
        <v>B</v>
      </c>
    </row>
    <row r="18279" spans="1:8" x14ac:dyDescent="0.2">
      <c r="A18279" t="str">
        <f t="shared" si="6622"/>
        <v>0615108287</v>
      </c>
      <c r="B18279" t="str">
        <f t="shared" si="6623"/>
        <v>ROBERT</v>
      </c>
      <c r="C18279" t="str">
        <f t="shared" si="6621"/>
        <v>WISEMAN</v>
      </c>
      <c r="D18279">
        <f>10</f>
        <v>10</v>
      </c>
      <c r="E18279" t="str">
        <f>"06 - B - 106 - Eric  Lopapa"</f>
        <v>06 - B - 106 - Eric  Lopapa</v>
      </c>
      <c r="F18279" t="str">
        <f>"SPEECH THRPY"</f>
        <v>SPEECH THRPY</v>
      </c>
      <c r="G18279" t="str">
        <f>"21-2110"</f>
        <v>21-2110</v>
      </c>
      <c r="H18279" t="str">
        <f>"B"</f>
        <v>B</v>
      </c>
    </row>
    <row r="18280" spans="1:8" x14ac:dyDescent="0.2">
      <c r="A18280" t="str">
        <f t="shared" si="6622"/>
        <v>0615108287</v>
      </c>
      <c r="B18280" t="str">
        <f t="shared" si="6623"/>
        <v>ROBERT</v>
      </c>
      <c r="C18280" t="str">
        <f t="shared" si="6621"/>
        <v>WISEMAN</v>
      </c>
      <c r="D18280">
        <f>10</f>
        <v>10</v>
      </c>
      <c r="E18280" t="str">
        <f>"03 - A - 104 - Brook E Goren"</f>
        <v>03 - A - 104 - Brook E Goren</v>
      </c>
      <c r="F18280" t="str">
        <f>"ALGEBRA 2 HON"</f>
        <v>ALGEBRA 2 HON</v>
      </c>
      <c r="G18280" t="str">
        <f>"21-2158"</f>
        <v>21-2158</v>
      </c>
      <c r="H18280" t="str">
        <f>"A"</f>
        <v>A</v>
      </c>
    </row>
    <row r="18281" spans="1:8" x14ac:dyDescent="0.2">
      <c r="A18281" t="str">
        <f t="shared" si="6622"/>
        <v>0615108287</v>
      </c>
      <c r="B18281" t="str">
        <f t="shared" si="6623"/>
        <v>ROBERT</v>
      </c>
      <c r="C18281" t="str">
        <f t="shared" si="6621"/>
        <v>WISEMAN</v>
      </c>
      <c r="D18281">
        <f>10</f>
        <v>10</v>
      </c>
      <c r="E18281" t="str">
        <f>"02 - A - 104 - Joe  Kilpatrick Jr"</f>
        <v>02 - A - 104 - Joe  Kilpatrick Jr</v>
      </c>
      <c r="F18281" t="str">
        <f>"PRE-AICE SPAN 2 IG"</f>
        <v>PRE-AICE SPAN 2 IG</v>
      </c>
      <c r="G18281" t="str">
        <f>"09-912"</f>
        <v>09-912</v>
      </c>
      <c r="H18281" t="str">
        <f>"A"</f>
        <v>A</v>
      </c>
    </row>
    <row r="18282" spans="1:8" x14ac:dyDescent="0.2">
      <c r="A18282" t="str">
        <f t="shared" si="6622"/>
        <v>0615108287</v>
      </c>
      <c r="B18282" t="str">
        <f t="shared" si="6623"/>
        <v>ROBERT</v>
      </c>
      <c r="C18282" t="str">
        <f t="shared" si="6621"/>
        <v>WISEMAN</v>
      </c>
      <c r="D18282">
        <f>10</f>
        <v>10</v>
      </c>
      <c r="E18282" t="str">
        <f>"07 - B - 102 - Timothy J Lawrence"</f>
        <v>07 - B - 102 - Timothy J Lawrence</v>
      </c>
      <c r="F18282" t="str">
        <f>"AICE PHYS ED 1 AS"</f>
        <v>AICE PHYS ED 1 AS</v>
      </c>
      <c r="G18282" t="str">
        <f>"05-523"</f>
        <v>05-523</v>
      </c>
      <c r="H18282" t="str">
        <f>"B"</f>
        <v>B</v>
      </c>
    </row>
    <row r="18283" spans="1:8" x14ac:dyDescent="0.2">
      <c r="A18283" t="str">
        <f t="shared" si="6622"/>
        <v>0615108287</v>
      </c>
      <c r="B18283" t="str">
        <f t="shared" si="6623"/>
        <v>ROBERT</v>
      </c>
      <c r="C18283" t="str">
        <f t="shared" si="6621"/>
        <v>WISEMAN</v>
      </c>
      <c r="D18283">
        <f>10</f>
        <v>10</v>
      </c>
      <c r="E18283" t="str">
        <f>"05 - B - 202 - Daniel S Katz"</f>
        <v>05 - B - 202 - Daniel S Katz</v>
      </c>
      <c r="F18283" t="str">
        <f>"EXEC INTERN 3 LH"</f>
        <v>EXEC INTERN 3 LH</v>
      </c>
      <c r="G18283" t="str">
        <f>"21-2156"</f>
        <v>21-2156</v>
      </c>
      <c r="H18283" t="str">
        <f>"B"</f>
        <v>B</v>
      </c>
    </row>
    <row r="18284" spans="1:8" x14ac:dyDescent="0.2">
      <c r="A18284" t="str">
        <f t="shared" si="6622"/>
        <v>0615108287</v>
      </c>
      <c r="B18284" t="str">
        <f t="shared" si="6623"/>
        <v>ROBERT</v>
      </c>
      <c r="C18284" t="str">
        <f t="shared" si="6621"/>
        <v>WISEMAN</v>
      </c>
      <c r="D18284">
        <f>10</f>
        <v>10</v>
      </c>
      <c r="E18284" t="str">
        <f>"01 - A - 107 - Valerie J Ruwe"</f>
        <v>01 - A - 107 - Valerie J Ruwe</v>
      </c>
      <c r="F18284" t="str">
        <f>"CHEMISTRY 1 HON"</f>
        <v>CHEMISTRY 1 HON</v>
      </c>
      <c r="G18284" t="str">
        <f>"21-2134"</f>
        <v>21-2134</v>
      </c>
      <c r="H18284" t="str">
        <f>"A"</f>
        <v>A</v>
      </c>
    </row>
    <row r="18285" spans="1:8" x14ac:dyDescent="0.2">
      <c r="A18285" t="str">
        <f t="shared" si="6622"/>
        <v>0615108287</v>
      </c>
      <c r="B18285" t="str">
        <f t="shared" si="6623"/>
        <v>ROBERT</v>
      </c>
      <c r="C18285" t="str">
        <f t="shared" si="6621"/>
        <v>WISEMAN</v>
      </c>
      <c r="D18285">
        <f>10</f>
        <v>10</v>
      </c>
      <c r="E18285" t="str">
        <f>"08 - B - 201 - Lenecy  Nodarse"</f>
        <v>08 - B - 201 - Lenecy  Nodarse</v>
      </c>
      <c r="F18285" t="str">
        <f>"AICE EURO HIST 1 AS"</f>
        <v>AICE EURO HIST 1 AS</v>
      </c>
      <c r="G18285" t="str">
        <f>"17-1741"</f>
        <v>17-1741</v>
      </c>
      <c r="H18285" t="str">
        <f>"B"</f>
        <v>B</v>
      </c>
    </row>
    <row r="18286" spans="1:8" x14ac:dyDescent="0.2">
      <c r="A18286" t="str">
        <f t="shared" ref="A18286:A18293" si="6624">"0616106541"</f>
        <v>0616106541</v>
      </c>
      <c r="B18286" t="str">
        <f t="shared" ref="B18286:B18293" si="6625">"MARKICE"</f>
        <v>MARKICE</v>
      </c>
      <c r="C18286" t="str">
        <f t="shared" ref="C18286:C18293" si="6626">"WITHERSPOON"</f>
        <v>WITHERSPOON</v>
      </c>
      <c r="D18286" t="str">
        <f t="shared" ref="D18286:D18293" si="6627">"09"</f>
        <v>09</v>
      </c>
      <c r="E18286" t="str">
        <f>"04 - A - 103 - Lenecy  Nodarse"</f>
        <v>04 - A - 103 - Lenecy  Nodarse</v>
      </c>
      <c r="F18286" t="str">
        <f>"WORLD HISTORY"</f>
        <v>WORLD HISTORY</v>
      </c>
      <c r="G18286" t="str">
        <f>"17-1741"</f>
        <v>17-1741</v>
      </c>
      <c r="H18286" t="str">
        <f>"A"</f>
        <v>A</v>
      </c>
    </row>
    <row r="18287" spans="1:8" x14ac:dyDescent="0.2">
      <c r="A18287" t="str">
        <f t="shared" si="6624"/>
        <v>0616106541</v>
      </c>
      <c r="B18287" t="str">
        <f t="shared" si="6625"/>
        <v>MARKICE</v>
      </c>
      <c r="C18287" t="str">
        <f t="shared" si="6626"/>
        <v>WITHERSPOON</v>
      </c>
      <c r="D18287" t="str">
        <f t="shared" si="6627"/>
        <v>09</v>
      </c>
      <c r="E18287" t="str">
        <f>"06 - B - 105 - Dayna M Foster"</f>
        <v>06 - B - 105 - Dayna M Foster</v>
      </c>
      <c r="F18287" t="str">
        <f>"ALGEBRA 1"</f>
        <v>ALGEBRA 1</v>
      </c>
      <c r="G18287" t="str">
        <f>"21-2109"</f>
        <v>21-2109</v>
      </c>
      <c r="H18287" t="str">
        <f>"B"</f>
        <v>B</v>
      </c>
    </row>
    <row r="18288" spans="1:8" x14ac:dyDescent="0.2">
      <c r="A18288" t="str">
        <f t="shared" si="6624"/>
        <v>0616106541</v>
      </c>
      <c r="B18288" t="str">
        <f t="shared" si="6625"/>
        <v>MARKICE</v>
      </c>
      <c r="C18288" t="str">
        <f t="shared" si="6626"/>
        <v>WITHERSPOON</v>
      </c>
      <c r="D18288" t="str">
        <f t="shared" si="6627"/>
        <v>09</v>
      </c>
      <c r="E18288" t="str">
        <f>"03 - A - 101 - Dayna M Foster"</f>
        <v>03 - A - 101 - Dayna M Foster</v>
      </c>
      <c r="F18288" t="str">
        <f>"FDN SKLS MATH 9-12"</f>
        <v>FDN SKLS MATH 9-12</v>
      </c>
      <c r="G18288" t="str">
        <f>"21-2109"</f>
        <v>21-2109</v>
      </c>
      <c r="H18288" t="str">
        <f>"A"</f>
        <v>A</v>
      </c>
    </row>
    <row r="18289" spans="1:8" x14ac:dyDescent="0.2">
      <c r="A18289" t="str">
        <f t="shared" si="6624"/>
        <v>0616106541</v>
      </c>
      <c r="B18289" t="str">
        <f t="shared" si="6625"/>
        <v>MARKICE</v>
      </c>
      <c r="C18289" t="str">
        <f t="shared" si="6626"/>
        <v>WITHERSPOON</v>
      </c>
      <c r="D18289" t="str">
        <f t="shared" si="6627"/>
        <v>09</v>
      </c>
      <c r="E18289" t="str">
        <f>"02 - A - 112 - Cheryl Anne  Berman-Schechter"</f>
        <v>02 - A - 112 - Cheryl Anne  Berman-Schechter</v>
      </c>
      <c r="F18289" t="str">
        <f>"NC STUDY HALL 1"</f>
        <v>NC STUDY HALL 1</v>
      </c>
      <c r="G18289" t="str">
        <f>"17-1722"</f>
        <v>17-1722</v>
      </c>
      <c r="H18289" t="str">
        <f>"A"</f>
        <v>A</v>
      </c>
    </row>
    <row r="18290" spans="1:8" x14ac:dyDescent="0.2">
      <c r="A18290" t="str">
        <f t="shared" si="6624"/>
        <v>0616106541</v>
      </c>
      <c r="B18290" t="str">
        <f t="shared" si="6625"/>
        <v>MARKICE</v>
      </c>
      <c r="C18290" t="str">
        <f t="shared" si="6626"/>
        <v>WITHERSPOON</v>
      </c>
      <c r="D18290" t="str">
        <f t="shared" si="6627"/>
        <v>09</v>
      </c>
      <c r="E18290" t="str">
        <f>"07 - B - 107 - Adam Marcus  Drucker"</f>
        <v>07 - B - 107 - Adam Marcus  Drucker</v>
      </c>
      <c r="F18290" t="str">
        <f>"HOPE-PE V"</f>
        <v>HOPE-PE V</v>
      </c>
      <c r="G18290" t="str">
        <f>"04-254"</f>
        <v>04-254</v>
      </c>
      <c r="H18290" t="str">
        <f>"B"</f>
        <v>B</v>
      </c>
    </row>
    <row r="18291" spans="1:8" x14ac:dyDescent="0.2">
      <c r="A18291" t="str">
        <f t="shared" si="6624"/>
        <v>0616106541</v>
      </c>
      <c r="B18291" t="str">
        <f t="shared" si="6625"/>
        <v>MARKICE</v>
      </c>
      <c r="C18291" t="str">
        <f t="shared" si="6626"/>
        <v>WITHERSPOON</v>
      </c>
      <c r="D18291" t="str">
        <f t="shared" si="6627"/>
        <v>09</v>
      </c>
      <c r="E18291" t="str">
        <f>"05 - B - 001 - Laselleda D Shaw"</f>
        <v>05 - B - 001 - Laselleda D Shaw</v>
      </c>
      <c r="F18291" t="str">
        <f>"INTENS READ 1"</f>
        <v>INTENS READ 1</v>
      </c>
      <c r="G18291" t="str">
        <f>"17-1723"</f>
        <v>17-1723</v>
      </c>
      <c r="H18291" t="str">
        <f>"B"</f>
        <v>B</v>
      </c>
    </row>
    <row r="18292" spans="1:8" x14ac:dyDescent="0.2">
      <c r="A18292" t="str">
        <f t="shared" si="6624"/>
        <v>0616106541</v>
      </c>
      <c r="B18292" t="str">
        <f t="shared" si="6625"/>
        <v>MARKICE</v>
      </c>
      <c r="C18292" t="str">
        <f t="shared" si="6626"/>
        <v>WITHERSPOON</v>
      </c>
      <c r="D18292" t="str">
        <f t="shared" si="6627"/>
        <v>09</v>
      </c>
      <c r="E18292" t="str">
        <f>"01 - A - 101 - Cerine S Stewart"</f>
        <v>01 - A - 101 - Cerine S Stewart</v>
      </c>
      <c r="F18292" t="str">
        <f>"ENG 1"</f>
        <v>ENG 1</v>
      </c>
      <c r="G18292" t="str">
        <f>"17-1720"</f>
        <v>17-1720</v>
      </c>
      <c r="H18292" t="str">
        <f>"A"</f>
        <v>A</v>
      </c>
    </row>
    <row r="18293" spans="1:8" x14ac:dyDescent="0.2">
      <c r="A18293" t="str">
        <f t="shared" si="6624"/>
        <v>0616106541</v>
      </c>
      <c r="B18293" t="str">
        <f t="shared" si="6625"/>
        <v>MARKICE</v>
      </c>
      <c r="C18293" t="str">
        <f t="shared" si="6626"/>
        <v>WITHERSPOON</v>
      </c>
      <c r="D18293" t="str">
        <f t="shared" si="6627"/>
        <v>09</v>
      </c>
      <c r="E18293" t="str">
        <f>"08 - B - 105 - Samantha J Headley"</f>
        <v>08 - B - 105 - Samantha J Headley</v>
      </c>
      <c r="F18293" t="str">
        <f>"ENV SCI"</f>
        <v>ENV SCI</v>
      </c>
      <c r="G18293" t="str">
        <f>"08-802"</f>
        <v>08-802</v>
      </c>
      <c r="H18293" t="str">
        <f>"B"</f>
        <v>B</v>
      </c>
    </row>
    <row r="18294" spans="1:8" x14ac:dyDescent="0.2">
      <c r="A18294" t="str">
        <f t="shared" ref="A18294:A18301" si="6628">"0613130557"</f>
        <v>0613130557</v>
      </c>
      <c r="B18294" t="str">
        <f t="shared" ref="B18294:B18301" si="6629">"JESSE"</f>
        <v>JESSE</v>
      </c>
      <c r="C18294" t="str">
        <f t="shared" ref="C18294:C18301" si="6630">"WOLK"</f>
        <v>WOLK</v>
      </c>
      <c r="D18294">
        <f>12</f>
        <v>12</v>
      </c>
      <c r="E18294" t="str">
        <f>"04 - A - 102 - Daniel S Katz"</f>
        <v>04 - A - 102 - Daniel S Katz</v>
      </c>
      <c r="F18294" t="str">
        <f>"AICE DRAMA 1 AS LEV"</f>
        <v>AICE DRAMA 1 AS LEV</v>
      </c>
      <c r="G18294" t="str">
        <f>"05-521"</f>
        <v>05-521</v>
      </c>
      <c r="H18294" t="str">
        <f>"A"</f>
        <v>A</v>
      </c>
    </row>
    <row r="18295" spans="1:8" x14ac:dyDescent="0.2">
      <c r="A18295" t="str">
        <f t="shared" si="6628"/>
        <v>0613130557</v>
      </c>
      <c r="B18295" t="str">
        <f t="shared" si="6629"/>
        <v>JESSE</v>
      </c>
      <c r="C18295" t="str">
        <f t="shared" si="6630"/>
        <v>WOLK</v>
      </c>
      <c r="D18295">
        <f>12</f>
        <v>12</v>
      </c>
      <c r="E18295" t="str">
        <f>"06 - B - 109 - Carol S Moore"</f>
        <v>06 - B - 109 - Carol S Moore</v>
      </c>
      <c r="F18295" t="str">
        <f>"NC STUDY HALL 1"</f>
        <v>NC STUDY HALL 1</v>
      </c>
      <c r="G18295" t="str">
        <f>"17-1733"</f>
        <v>17-1733</v>
      </c>
      <c r="H18295" t="str">
        <f>"B"</f>
        <v>B</v>
      </c>
    </row>
    <row r="18296" spans="1:8" x14ac:dyDescent="0.2">
      <c r="A18296" t="str">
        <f t="shared" si="6628"/>
        <v>0613130557</v>
      </c>
      <c r="B18296" t="str">
        <f t="shared" si="6629"/>
        <v>JESSE</v>
      </c>
      <c r="C18296" t="str">
        <f t="shared" si="6630"/>
        <v>WOLK</v>
      </c>
      <c r="D18296">
        <f>12</f>
        <v>12</v>
      </c>
      <c r="E18296" t="str">
        <f>"03 - A - 201 - Chrystina M Marchionne"</f>
        <v>03 - A - 201 - Chrystina M Marchionne</v>
      </c>
      <c r="F18296" t="str">
        <f>"JOURN 1 (YB) LH"</f>
        <v>JOURN 1 (YB) LH</v>
      </c>
      <c r="G18296" t="str">
        <f>"05-520"</f>
        <v>05-520</v>
      </c>
      <c r="H18296" t="str">
        <f>"A"</f>
        <v>A</v>
      </c>
    </row>
    <row r="18297" spans="1:8" x14ac:dyDescent="0.2">
      <c r="A18297" t="str">
        <f t="shared" si="6628"/>
        <v>0613130557</v>
      </c>
      <c r="B18297" t="str">
        <f t="shared" si="6629"/>
        <v>JESSE</v>
      </c>
      <c r="C18297" t="str">
        <f t="shared" si="6630"/>
        <v>WOLK</v>
      </c>
      <c r="D18297">
        <f>12</f>
        <v>12</v>
      </c>
      <c r="E18297" t="str">
        <f>"02 - A - 204 - Jacqueline R Morphet"</f>
        <v>02 - A - 204 - Jacqueline R Morphet</v>
      </c>
      <c r="F18297" t="str">
        <f>"PHYSICS 1 HON"</f>
        <v>PHYSICS 1 HON</v>
      </c>
      <c r="G18297" t="str">
        <f>"21-2138"</f>
        <v>21-2138</v>
      </c>
      <c r="H18297" t="str">
        <f>"A"</f>
        <v>A</v>
      </c>
    </row>
    <row r="18298" spans="1:8" x14ac:dyDescent="0.2">
      <c r="A18298" t="str">
        <f t="shared" si="6628"/>
        <v>0613130557</v>
      </c>
      <c r="B18298" t="str">
        <f t="shared" si="6629"/>
        <v>JESSE</v>
      </c>
      <c r="C18298" t="str">
        <f t="shared" si="6630"/>
        <v>WOLK</v>
      </c>
      <c r="D18298">
        <f>12</f>
        <v>12</v>
      </c>
      <c r="E18298" t="str">
        <f>"07 - B - 102 - Thomas G Handwerg"</f>
        <v>07 - B - 102 - Thomas G Handwerg</v>
      </c>
      <c r="F18298" t="str">
        <f>"PROB STAT W/APPS HON"</f>
        <v>PROB STAT W/APPS HON</v>
      </c>
      <c r="G18298" t="str">
        <f>"21-2146"</f>
        <v>21-2146</v>
      </c>
      <c r="H18298" t="str">
        <f>"B"</f>
        <v>B</v>
      </c>
    </row>
    <row r="18299" spans="1:8" x14ac:dyDescent="0.2">
      <c r="A18299" t="str">
        <f t="shared" si="6628"/>
        <v>0613130557</v>
      </c>
      <c r="B18299" t="str">
        <f t="shared" si="6629"/>
        <v>JESSE</v>
      </c>
      <c r="C18299" t="str">
        <f t="shared" si="6630"/>
        <v>WOLK</v>
      </c>
      <c r="D18299">
        <f>12</f>
        <v>12</v>
      </c>
      <c r="E18299" t="str">
        <f>"05 - B - 104 - Jeffrey S Gallagher"</f>
        <v>05 - B - 104 - Jeffrey S Gallagher</v>
      </c>
      <c r="F18299" t="str">
        <f>"ENG HON 4"</f>
        <v>ENG HON 4</v>
      </c>
      <c r="G18299" t="str">
        <f>"17-1724"</f>
        <v>17-1724</v>
      </c>
      <c r="H18299" t="str">
        <f>"B"</f>
        <v>B</v>
      </c>
    </row>
    <row r="18300" spans="1:8" x14ac:dyDescent="0.2">
      <c r="A18300" t="str">
        <f t="shared" si="6628"/>
        <v>0613130557</v>
      </c>
      <c r="B18300" t="str">
        <f t="shared" si="6629"/>
        <v>JESSE</v>
      </c>
      <c r="C18300" t="str">
        <f t="shared" si="6630"/>
        <v>WOLK</v>
      </c>
      <c r="D18300">
        <f>12</f>
        <v>12</v>
      </c>
      <c r="E18300" t="str">
        <f>"01 - S1 - A - 101 - Barbara L Segal"</f>
        <v>01 - S1 - A - 101 - Barbara L Segal</v>
      </c>
      <c r="F18300" t="str">
        <f>"US GOVT HON"</f>
        <v>US GOVT HON</v>
      </c>
      <c r="G18300" t="str">
        <f>"17-1742"</f>
        <v>17-1742</v>
      </c>
      <c r="H18300" t="str">
        <f>"A"</f>
        <v>A</v>
      </c>
    </row>
    <row r="18301" spans="1:8" x14ac:dyDescent="0.2">
      <c r="A18301" t="str">
        <f t="shared" si="6628"/>
        <v>0613130557</v>
      </c>
      <c r="B18301" t="str">
        <f t="shared" si="6629"/>
        <v>JESSE</v>
      </c>
      <c r="C18301" t="str">
        <f t="shared" si="6630"/>
        <v>WOLK</v>
      </c>
      <c r="D18301">
        <f>12</f>
        <v>12</v>
      </c>
      <c r="E18301" t="str">
        <f>"08 - B - 101 - Alejandro  Navarro"</f>
        <v>08 - B - 101 - Alejandro  Navarro</v>
      </c>
      <c r="F18301" t="str">
        <f>"GUITAR 1"</f>
        <v>GUITAR 1</v>
      </c>
      <c r="G18301" t="str">
        <f>"05-504"</f>
        <v>05-504</v>
      </c>
      <c r="H18301" t="str">
        <f>"B"</f>
        <v>B</v>
      </c>
    </row>
    <row r="18302" spans="1:8" x14ac:dyDescent="0.2">
      <c r="A18302" t="str">
        <f t="shared" ref="A18302:A18309" si="6631">"0616146013"</f>
        <v>0616146013</v>
      </c>
      <c r="B18302" t="str">
        <f t="shared" ref="B18302:B18309" si="6632">"ROHNIYA"</f>
        <v>ROHNIYA</v>
      </c>
      <c r="C18302" t="str">
        <f t="shared" ref="C18302:C18309" si="6633">"WOLLASTON"</f>
        <v>WOLLASTON</v>
      </c>
      <c r="D18302" t="str">
        <f t="shared" ref="D18302:D18317" si="6634">"09"</f>
        <v>09</v>
      </c>
      <c r="E18302" t="str">
        <f>"04 - A - 201 - Norayda D Suarez"</f>
        <v>04 - A - 201 - Norayda D Suarez</v>
      </c>
      <c r="F18302" t="str">
        <f>"ANAT PHYSIO HON"</f>
        <v>ANAT PHYSIO HON</v>
      </c>
      <c r="G18302" t="str">
        <f>"21-2142"</f>
        <v>21-2142</v>
      </c>
      <c r="H18302" t="str">
        <f>"A"</f>
        <v>A</v>
      </c>
    </row>
    <row r="18303" spans="1:8" x14ac:dyDescent="0.2">
      <c r="A18303" t="str">
        <f t="shared" si="6631"/>
        <v>0616146013</v>
      </c>
      <c r="B18303" t="str">
        <f t="shared" si="6632"/>
        <v>ROHNIYA</v>
      </c>
      <c r="C18303" t="str">
        <f t="shared" si="6633"/>
        <v>WOLLASTON</v>
      </c>
      <c r="D18303" t="str">
        <f t="shared" si="6634"/>
        <v>09</v>
      </c>
      <c r="E18303" t="str">
        <f>"06 - B - 106 - Marius D Orsolini"</f>
        <v>06 - B - 106 - Marius D Orsolini</v>
      </c>
      <c r="F18303" t="str">
        <f>"CULINARY ARTS 1"</f>
        <v>CULINARY ARTS 1</v>
      </c>
      <c r="G18303" t="str">
        <f>"21-2115"</f>
        <v>21-2115</v>
      </c>
      <c r="H18303" t="str">
        <f>"B"</f>
        <v>B</v>
      </c>
    </row>
    <row r="18304" spans="1:8" x14ac:dyDescent="0.2">
      <c r="A18304" t="str">
        <f t="shared" si="6631"/>
        <v>0616146013</v>
      </c>
      <c r="B18304" t="str">
        <f t="shared" si="6632"/>
        <v>ROHNIYA</v>
      </c>
      <c r="C18304" t="str">
        <f t="shared" si="6633"/>
        <v>WOLLASTON</v>
      </c>
      <c r="D18304" t="str">
        <f t="shared" si="6634"/>
        <v>09</v>
      </c>
      <c r="E18304" t="str">
        <f>"03 - A - 102 - Semra  Bahadir"</f>
        <v>03 - A - 102 - Semra  Bahadir</v>
      </c>
      <c r="F18304" t="str">
        <f>"ALGEBRA 2"</f>
        <v>ALGEBRA 2</v>
      </c>
      <c r="G18304" t="str">
        <f>"21-2107"</f>
        <v>21-2107</v>
      </c>
      <c r="H18304" t="str">
        <f>"A"</f>
        <v>A</v>
      </c>
    </row>
    <row r="18305" spans="1:8" x14ac:dyDescent="0.2">
      <c r="A18305" t="str">
        <f t="shared" si="6631"/>
        <v>0616146013</v>
      </c>
      <c r="B18305" t="str">
        <f t="shared" si="6632"/>
        <v>ROHNIYA</v>
      </c>
      <c r="C18305" t="str">
        <f t="shared" si="6633"/>
        <v>WOLLASTON</v>
      </c>
      <c r="D18305" t="str">
        <f t="shared" si="6634"/>
        <v>09</v>
      </c>
      <c r="E18305" t="str">
        <f>"02 - A - 111 - Cheryl L Beach"</f>
        <v>02 - A - 111 - Cheryl L Beach</v>
      </c>
      <c r="F18305" t="str">
        <f>"NC STUDY HALL 1"</f>
        <v>NC STUDY HALL 1</v>
      </c>
      <c r="G18305" t="str">
        <f>"08-811"</f>
        <v>08-811</v>
      </c>
      <c r="H18305" t="str">
        <f>"A"</f>
        <v>A</v>
      </c>
    </row>
    <row r="18306" spans="1:8" x14ac:dyDescent="0.2">
      <c r="A18306" t="str">
        <f t="shared" si="6631"/>
        <v>0616146013</v>
      </c>
      <c r="B18306" t="str">
        <f t="shared" si="6632"/>
        <v>ROHNIYA</v>
      </c>
      <c r="C18306" t="str">
        <f t="shared" si="6633"/>
        <v>WOLLASTON</v>
      </c>
      <c r="D18306" t="str">
        <f t="shared" si="6634"/>
        <v>09</v>
      </c>
      <c r="E18306" t="str">
        <f>"07 - B - 101 - Lisa  Quinn"</f>
        <v>07 - B - 101 - Lisa  Quinn</v>
      </c>
      <c r="F18306" t="str">
        <f>"RESEARCH 1"</f>
        <v>RESEARCH 1</v>
      </c>
      <c r="G18306" t="str">
        <f>"17-1725"</f>
        <v>17-1725</v>
      </c>
      <c r="H18306" t="str">
        <f>"B"</f>
        <v>B</v>
      </c>
    </row>
    <row r="18307" spans="1:8" x14ac:dyDescent="0.2">
      <c r="A18307" t="str">
        <f t="shared" si="6631"/>
        <v>0616146013</v>
      </c>
      <c r="B18307" t="str">
        <f t="shared" si="6632"/>
        <v>ROHNIYA</v>
      </c>
      <c r="C18307" t="str">
        <f t="shared" si="6633"/>
        <v>WOLLASTON</v>
      </c>
      <c r="D18307" t="str">
        <f t="shared" si="6634"/>
        <v>09</v>
      </c>
      <c r="E18307" t="str">
        <f>"05 - B - 204 - Elizabeth R Walker"</f>
        <v>05 - B - 204 - Elizabeth R Walker</v>
      </c>
      <c r="F18307" t="str">
        <f>"AICE ENG GEN PAPER 1"</f>
        <v>AICE ENG GEN PAPER 1</v>
      </c>
      <c r="G18307" t="str">
        <f>"17-1703"</f>
        <v>17-1703</v>
      </c>
      <c r="H18307" t="str">
        <f>"B"</f>
        <v>B</v>
      </c>
    </row>
    <row r="18308" spans="1:8" x14ac:dyDescent="0.2">
      <c r="A18308" t="str">
        <f t="shared" si="6631"/>
        <v>0616146013</v>
      </c>
      <c r="B18308" t="str">
        <f t="shared" si="6632"/>
        <v>ROHNIYA</v>
      </c>
      <c r="C18308" t="str">
        <f t="shared" si="6633"/>
        <v>WOLLASTON</v>
      </c>
      <c r="D18308" t="str">
        <f t="shared" si="6634"/>
        <v>09</v>
      </c>
      <c r="E18308" t="str">
        <f>"01 - A - 108 - Rosa Elaine  Collado-Duff"</f>
        <v>01 - A - 108 - Rosa Elaine  Collado-Duff</v>
      </c>
      <c r="F18308" t="str">
        <f>"PRE-AICE SPAN 2 IG"</f>
        <v>PRE-AICE SPAN 2 IG</v>
      </c>
      <c r="G18308" t="str">
        <f>"09-913"</f>
        <v>09-913</v>
      </c>
      <c r="H18308" t="str">
        <f>"A"</f>
        <v>A</v>
      </c>
    </row>
    <row r="18309" spans="1:8" x14ac:dyDescent="0.2">
      <c r="A18309" t="str">
        <f t="shared" si="6631"/>
        <v>0616146013</v>
      </c>
      <c r="B18309" t="str">
        <f t="shared" si="6632"/>
        <v>ROHNIYA</v>
      </c>
      <c r="C18309" t="str">
        <f t="shared" si="6633"/>
        <v>WOLLASTON</v>
      </c>
      <c r="D18309" t="str">
        <f t="shared" si="6634"/>
        <v>09</v>
      </c>
      <c r="E18309" t="str">
        <f>"08 - B - 109 - Rory T Sponsler"</f>
        <v>08 - B - 109 - Rory T Sponsler</v>
      </c>
      <c r="F18309" t="str">
        <f>"PRE-AICE WRLD HST IG"</f>
        <v>PRE-AICE WRLD HST IG</v>
      </c>
      <c r="G18309" t="str">
        <f>"17-1740"</f>
        <v>17-1740</v>
      </c>
      <c r="H18309" t="str">
        <f>"B"</f>
        <v>B</v>
      </c>
    </row>
    <row r="18310" spans="1:8" x14ac:dyDescent="0.2">
      <c r="A18310" t="str">
        <f t="shared" ref="A18310:A18317" si="6635">"0617060463"</f>
        <v>0617060463</v>
      </c>
      <c r="B18310" t="str">
        <f t="shared" ref="B18310:B18317" si="6636">"KHALON"</f>
        <v>KHALON</v>
      </c>
      <c r="C18310" t="str">
        <f t="shared" ref="C18310:C18317" si="6637">"WONGPANICH"</f>
        <v>WONGPANICH</v>
      </c>
      <c r="D18310" t="str">
        <f t="shared" si="6634"/>
        <v>09</v>
      </c>
      <c r="E18310" t="str">
        <f>"04 - A - 104 - Brook E Goren"</f>
        <v>04 - A - 104 - Brook E Goren</v>
      </c>
      <c r="F18310" t="str">
        <f>"ALGEBRA 2 HON"</f>
        <v>ALGEBRA 2 HON</v>
      </c>
      <c r="G18310" t="str">
        <f>"21-2158"</f>
        <v>21-2158</v>
      </c>
      <c r="H18310" t="str">
        <f>"A"</f>
        <v>A</v>
      </c>
    </row>
    <row r="18311" spans="1:8" x14ac:dyDescent="0.2">
      <c r="A18311" t="str">
        <f t="shared" si="6635"/>
        <v>0617060463</v>
      </c>
      <c r="B18311" t="str">
        <f t="shared" si="6636"/>
        <v>KHALON</v>
      </c>
      <c r="C18311" t="str">
        <f t="shared" si="6637"/>
        <v>WONGPANICH</v>
      </c>
      <c r="D18311" t="str">
        <f t="shared" si="6634"/>
        <v>09</v>
      </c>
      <c r="E18311" t="str">
        <f>"06 - B - 106 - Marius D Orsolini"</f>
        <v>06 - B - 106 - Marius D Orsolini</v>
      </c>
      <c r="F18311" t="str">
        <f>"CULINARY ARTS 1"</f>
        <v>CULINARY ARTS 1</v>
      </c>
      <c r="G18311" t="str">
        <f>"21-2115"</f>
        <v>21-2115</v>
      </c>
      <c r="H18311" t="str">
        <f>"B"</f>
        <v>B</v>
      </c>
    </row>
    <row r="18312" spans="1:8" x14ac:dyDescent="0.2">
      <c r="A18312" t="str">
        <f t="shared" si="6635"/>
        <v>0617060463</v>
      </c>
      <c r="B18312" t="str">
        <f t="shared" si="6636"/>
        <v>KHALON</v>
      </c>
      <c r="C18312" t="str">
        <f t="shared" si="6637"/>
        <v>WONGPANICH</v>
      </c>
      <c r="D18312" t="str">
        <f t="shared" si="6634"/>
        <v>09</v>
      </c>
      <c r="E18312" t="str">
        <f>"03 - A - 203 - Elizabeth R Walker"</f>
        <v>03 - A - 203 - Elizabeth R Walker</v>
      </c>
      <c r="F18312" t="str">
        <f>"AICE ENG GEN PAPER 1"</f>
        <v>AICE ENG GEN PAPER 1</v>
      </c>
      <c r="G18312" t="str">
        <f>"17-1703"</f>
        <v>17-1703</v>
      </c>
      <c r="H18312" t="str">
        <f>"A"</f>
        <v>A</v>
      </c>
    </row>
    <row r="18313" spans="1:8" x14ac:dyDescent="0.2">
      <c r="A18313" t="str">
        <f t="shared" si="6635"/>
        <v>0617060463</v>
      </c>
      <c r="B18313" t="str">
        <f t="shared" si="6636"/>
        <v>KHALON</v>
      </c>
      <c r="C18313" t="str">
        <f t="shared" si="6637"/>
        <v>WONGPANICH</v>
      </c>
      <c r="D18313" t="str">
        <f t="shared" si="6634"/>
        <v>09</v>
      </c>
      <c r="E18313" t="str">
        <f>"02 - A - 109 - Krystal Marie  Beruty"</f>
        <v>02 - A - 109 - Krystal Marie  Beruty</v>
      </c>
      <c r="F18313" t="str">
        <f>"NC STUDY HALL 1"</f>
        <v>NC STUDY HALL 1</v>
      </c>
      <c r="G18313" t="str">
        <f>"17-1721"</f>
        <v>17-1721</v>
      </c>
      <c r="H18313" t="str">
        <f>"A"</f>
        <v>A</v>
      </c>
    </row>
    <row r="18314" spans="1:8" x14ac:dyDescent="0.2">
      <c r="A18314" t="str">
        <f t="shared" si="6635"/>
        <v>0617060463</v>
      </c>
      <c r="B18314" t="str">
        <f t="shared" si="6636"/>
        <v>KHALON</v>
      </c>
      <c r="C18314" t="str">
        <f t="shared" si="6637"/>
        <v>WONGPANICH</v>
      </c>
      <c r="D18314" t="str">
        <f t="shared" si="6634"/>
        <v>09</v>
      </c>
      <c r="E18314" t="str">
        <f>"07 - B - 105 - Josiah I Lacy"</f>
        <v>07 - B - 105 - Josiah I Lacy</v>
      </c>
      <c r="F18314" t="str">
        <f>"ANAT PHYSIO HON"</f>
        <v>ANAT PHYSIO HON</v>
      </c>
      <c r="G18314" t="str">
        <f>"08-801"</f>
        <v>08-801</v>
      </c>
      <c r="H18314" t="str">
        <f>"B"</f>
        <v>B</v>
      </c>
    </row>
    <row r="18315" spans="1:8" x14ac:dyDescent="0.2">
      <c r="A18315" t="str">
        <f t="shared" si="6635"/>
        <v>0617060463</v>
      </c>
      <c r="B18315" t="str">
        <f t="shared" si="6636"/>
        <v>KHALON</v>
      </c>
      <c r="C18315" t="str">
        <f t="shared" si="6637"/>
        <v>WONGPANICH</v>
      </c>
      <c r="D18315" t="str">
        <f t="shared" si="6634"/>
        <v>09</v>
      </c>
      <c r="E18315" t="str">
        <f>"05 - B - 103 - Rory T Sponsler"</f>
        <v>05 - B - 103 - Rory T Sponsler</v>
      </c>
      <c r="F18315" t="str">
        <f>"PRE-AICE WRLD HST IG"</f>
        <v>PRE-AICE WRLD HST IG</v>
      </c>
      <c r="G18315" t="str">
        <f>"17-1740"</f>
        <v>17-1740</v>
      </c>
      <c r="H18315" t="str">
        <f>"B"</f>
        <v>B</v>
      </c>
    </row>
    <row r="18316" spans="1:8" x14ac:dyDescent="0.2">
      <c r="A18316" t="str">
        <f t="shared" si="6635"/>
        <v>0617060463</v>
      </c>
      <c r="B18316" t="str">
        <f t="shared" si="6636"/>
        <v>KHALON</v>
      </c>
      <c r="C18316" t="str">
        <f t="shared" si="6637"/>
        <v>WONGPANICH</v>
      </c>
      <c r="D18316" t="str">
        <f t="shared" si="6634"/>
        <v>09</v>
      </c>
      <c r="E18316" t="str">
        <f>"01 - A - 101 - Joe  Kilpatrick Jr"</f>
        <v>01 - A - 101 - Joe  Kilpatrick Jr</v>
      </c>
      <c r="F18316" t="str">
        <f>"PRE-AICE SPAN 1 IG"</f>
        <v>PRE-AICE SPAN 1 IG</v>
      </c>
      <c r="G18316" t="str">
        <f>"09-912"</f>
        <v>09-912</v>
      </c>
      <c r="H18316" t="str">
        <f>"A"</f>
        <v>A</v>
      </c>
    </row>
    <row r="18317" spans="1:8" x14ac:dyDescent="0.2">
      <c r="A18317" t="str">
        <f t="shared" si="6635"/>
        <v>0617060463</v>
      </c>
      <c r="B18317" t="str">
        <f t="shared" si="6636"/>
        <v>KHALON</v>
      </c>
      <c r="C18317" t="str">
        <f t="shared" si="6637"/>
        <v>WONGPANICH</v>
      </c>
      <c r="D18317" t="str">
        <f t="shared" si="6634"/>
        <v>09</v>
      </c>
      <c r="E18317" t="str">
        <f>"08 - B - 202 - Dorothy D Moore"</f>
        <v>08 - B - 202 - Dorothy D Moore</v>
      </c>
      <c r="F18317" t="str">
        <f>"HEALTH SCI 1/A&amp;P HON"</f>
        <v>HEALTH SCI 1/A&amp;P HON</v>
      </c>
      <c r="G18317" t="str">
        <f>"08-803"</f>
        <v>08-803</v>
      </c>
      <c r="H18317" t="str">
        <f>"B"</f>
        <v>B</v>
      </c>
    </row>
    <row r="18318" spans="1:8" x14ac:dyDescent="0.2">
      <c r="A18318" t="str">
        <f t="shared" ref="A18318:A18325" si="6638">"0611105717"</f>
        <v>0611105717</v>
      </c>
      <c r="B18318" t="str">
        <f t="shared" ref="B18318:B18325" si="6639">"JAHMARRI"</f>
        <v>JAHMARRI</v>
      </c>
      <c r="C18318" t="str">
        <f t="shared" ref="C18318:C18325" si="6640">"WOODLEY"</f>
        <v>WOODLEY</v>
      </c>
      <c r="D18318">
        <f>12</f>
        <v>12</v>
      </c>
      <c r="E18318" t="str">
        <f>"04 - A - 104 - Robert H Rindner"</f>
        <v>04 - A - 104 - Robert H Rindner</v>
      </c>
      <c r="F18318" t="str">
        <f>"MATH DATA&amp;FIN LIT H"</f>
        <v>MATH DATA&amp;FIN LIT H</v>
      </c>
      <c r="G18318" t="str">
        <f>"21-2160"</f>
        <v>21-2160</v>
      </c>
      <c r="H18318" t="str">
        <f>"A"</f>
        <v>A</v>
      </c>
    </row>
    <row r="18319" spans="1:8" x14ac:dyDescent="0.2">
      <c r="A18319" t="str">
        <f t="shared" si="6638"/>
        <v>0611105717</v>
      </c>
      <c r="B18319" t="str">
        <f t="shared" si="6639"/>
        <v>JAHMARRI</v>
      </c>
      <c r="C18319" t="str">
        <f t="shared" si="6640"/>
        <v>WOODLEY</v>
      </c>
      <c r="D18319">
        <f>12</f>
        <v>12</v>
      </c>
      <c r="E18319" t="str">
        <f>"06 - B - 110 - Barbara L Segal"</f>
        <v>06 - B - 110 - Barbara L Segal</v>
      </c>
      <c r="F18319" t="str">
        <f>"NC STUDY HALL 1"</f>
        <v>NC STUDY HALL 1</v>
      </c>
      <c r="G18319" t="str">
        <f>"17-1742"</f>
        <v>17-1742</v>
      </c>
      <c r="H18319" t="str">
        <f>"B"</f>
        <v>B</v>
      </c>
    </row>
    <row r="18320" spans="1:8" x14ac:dyDescent="0.2">
      <c r="A18320" t="str">
        <f t="shared" si="6638"/>
        <v>0611105717</v>
      </c>
      <c r="B18320" t="str">
        <f t="shared" si="6639"/>
        <v>JAHMARRI</v>
      </c>
      <c r="C18320" t="str">
        <f t="shared" si="6640"/>
        <v>WOODLEY</v>
      </c>
      <c r="D18320">
        <f>12</f>
        <v>12</v>
      </c>
      <c r="E18320" t="str">
        <f>"03 - A - 101 - Dorothy D Moore"</f>
        <v>03 - A - 101 - Dorothy D Moore</v>
      </c>
      <c r="F18320" t="str">
        <f>"FORC SCI 1 LH"</f>
        <v>FORC SCI 1 LH</v>
      </c>
      <c r="G18320" t="str">
        <f>"08-803"</f>
        <v>08-803</v>
      </c>
      <c r="H18320" t="str">
        <f>"A"</f>
        <v>A</v>
      </c>
    </row>
    <row r="18321" spans="1:8" x14ac:dyDescent="0.2">
      <c r="A18321" t="str">
        <f t="shared" si="6638"/>
        <v>0611105717</v>
      </c>
      <c r="B18321" t="str">
        <f t="shared" si="6639"/>
        <v>JAHMARRI</v>
      </c>
      <c r="C18321" t="str">
        <f t="shared" si="6640"/>
        <v>WOODLEY</v>
      </c>
      <c r="D18321">
        <f>12</f>
        <v>12</v>
      </c>
      <c r="E18321" t="str">
        <f>"02 - A - 102 - Jeffrey S Gallagher"</f>
        <v>02 - A - 102 - Jeffrey S Gallagher</v>
      </c>
      <c r="F18321" t="str">
        <f>"ENG HON 4"</f>
        <v>ENG HON 4</v>
      </c>
      <c r="G18321" t="str">
        <f>"17-1724"</f>
        <v>17-1724</v>
      </c>
      <c r="H18321" t="str">
        <f>"A"</f>
        <v>A</v>
      </c>
    </row>
    <row r="18322" spans="1:8" x14ac:dyDescent="0.2">
      <c r="A18322" t="str">
        <f t="shared" si="6638"/>
        <v>0611105717</v>
      </c>
      <c r="B18322" t="str">
        <f t="shared" si="6639"/>
        <v>JAHMARRI</v>
      </c>
      <c r="C18322" t="str">
        <f t="shared" si="6640"/>
        <v>WOODLEY</v>
      </c>
      <c r="D18322">
        <f>12</f>
        <v>12</v>
      </c>
      <c r="E18322" t="str">
        <f>"07 - B - 201 - Angela S Adeshina-Morrison"</f>
        <v>07 - B - 201 - Angela S Adeshina-Morrison</v>
      </c>
      <c r="F18322" t="str">
        <f>"BUSINESS OWNER HON"</f>
        <v>BUSINESS OWNER HON</v>
      </c>
      <c r="G18322" t="str">
        <f>"05-518"</f>
        <v>05-518</v>
      </c>
      <c r="H18322" t="str">
        <f>"B"</f>
        <v>B</v>
      </c>
    </row>
    <row r="18323" spans="1:8" x14ac:dyDescent="0.2">
      <c r="A18323" t="str">
        <f t="shared" si="6638"/>
        <v>0611105717</v>
      </c>
      <c r="B18323" t="str">
        <f t="shared" si="6639"/>
        <v>JAHMARRI</v>
      </c>
      <c r="C18323" t="str">
        <f t="shared" si="6640"/>
        <v>WOODLEY</v>
      </c>
      <c r="D18323">
        <f>12</f>
        <v>12</v>
      </c>
      <c r="E18323" t="str">
        <f>"05 - B - 204 - Cheryl L Beach"</f>
        <v>05 - B - 204 - Cheryl L Beach</v>
      </c>
      <c r="F18323" t="str">
        <f>"AICE ENV MGMNT AS"</f>
        <v>AICE ENV MGMNT AS</v>
      </c>
      <c r="G18323" t="str">
        <f>"08-811"</f>
        <v>08-811</v>
      </c>
      <c r="H18323" t="str">
        <f>"B"</f>
        <v>B</v>
      </c>
    </row>
    <row r="18324" spans="1:8" x14ac:dyDescent="0.2">
      <c r="A18324" t="str">
        <f t="shared" si="6638"/>
        <v>0611105717</v>
      </c>
      <c r="B18324" t="str">
        <f t="shared" si="6639"/>
        <v>JAHMARRI</v>
      </c>
      <c r="C18324" t="str">
        <f t="shared" si="6640"/>
        <v>WOODLEY</v>
      </c>
      <c r="D18324">
        <f>12</f>
        <v>12</v>
      </c>
      <c r="E18324" t="str">
        <f>"01 - S1 - A - 101 - Barbara L Segal"</f>
        <v>01 - S1 - A - 101 - Barbara L Segal</v>
      </c>
      <c r="F18324" t="str">
        <f>"US GOVT HON"</f>
        <v>US GOVT HON</v>
      </c>
      <c r="G18324" t="str">
        <f>"17-1742"</f>
        <v>17-1742</v>
      </c>
      <c r="H18324" t="str">
        <f>"A"</f>
        <v>A</v>
      </c>
    </row>
    <row r="18325" spans="1:8" x14ac:dyDescent="0.2">
      <c r="A18325" t="str">
        <f t="shared" si="6638"/>
        <v>0611105717</v>
      </c>
      <c r="B18325" t="str">
        <f t="shared" si="6639"/>
        <v>JAHMARRI</v>
      </c>
      <c r="C18325" t="str">
        <f t="shared" si="6640"/>
        <v>WOODLEY</v>
      </c>
      <c r="D18325">
        <f>12</f>
        <v>12</v>
      </c>
      <c r="E18325" t="str">
        <f>"08 - B - 101 - Jazmin S Fletcher"</f>
        <v>08 - B - 101 - Jazmin S Fletcher</v>
      </c>
      <c r="F18325" t="str">
        <f>"PRE-AICE DRAMA 1G"</f>
        <v>PRE-AICE DRAMA 1G</v>
      </c>
      <c r="G18325" t="str">
        <f>"09-909"</f>
        <v>09-909</v>
      </c>
      <c r="H18325" t="str">
        <f>"B"</f>
        <v>B</v>
      </c>
    </row>
    <row r="18326" spans="1:8" x14ac:dyDescent="0.2">
      <c r="A18326" t="str">
        <f t="shared" ref="A18326:A18333" si="6641">"0617033090"</f>
        <v>0617033090</v>
      </c>
      <c r="B18326" t="str">
        <f t="shared" ref="B18326:B18333" si="6642">"ARI"</f>
        <v>ARI</v>
      </c>
      <c r="C18326" t="str">
        <f t="shared" ref="C18326:C18333" si="6643">"WOODWORTH"</f>
        <v>WOODWORTH</v>
      </c>
      <c r="D18326" t="str">
        <f t="shared" ref="D18326:D18333" si="6644">"09"</f>
        <v>09</v>
      </c>
      <c r="E18326" t="str">
        <f>"04 - A - 102 - Elizabeth R Walker"</f>
        <v>04 - A - 102 - Elizabeth R Walker</v>
      </c>
      <c r="F18326" t="str">
        <f>"AICE ENG GEN PAPER 1"</f>
        <v>AICE ENG GEN PAPER 1</v>
      </c>
      <c r="G18326" t="str">
        <f>"17-1703"</f>
        <v>17-1703</v>
      </c>
      <c r="H18326" t="str">
        <f>"A"</f>
        <v>A</v>
      </c>
    </row>
    <row r="18327" spans="1:8" x14ac:dyDescent="0.2">
      <c r="A18327" t="str">
        <f t="shared" si="6641"/>
        <v>0617033090</v>
      </c>
      <c r="B18327" t="str">
        <f t="shared" si="6642"/>
        <v>ARI</v>
      </c>
      <c r="C18327" t="str">
        <f t="shared" si="6643"/>
        <v>WOODWORTH</v>
      </c>
      <c r="D18327" t="str">
        <f t="shared" si="6644"/>
        <v>09</v>
      </c>
      <c r="E18327" t="str">
        <f>"06 - S1 - B - 104 - Leslie J Barton"</f>
        <v>06 - S1 - B - 104 - Leslie J Barton</v>
      </c>
      <c r="F18327" t="str">
        <f>"FIRST AID SAFETY"</f>
        <v>FIRST AID SAFETY</v>
      </c>
      <c r="G18327" t="str">
        <f>"05-521"</f>
        <v>05-521</v>
      </c>
      <c r="H18327" t="str">
        <f>"B"</f>
        <v>B</v>
      </c>
    </row>
    <row r="18328" spans="1:8" x14ac:dyDescent="0.2">
      <c r="A18328" t="str">
        <f t="shared" si="6641"/>
        <v>0617033090</v>
      </c>
      <c r="B18328" t="str">
        <f t="shared" si="6642"/>
        <v>ARI</v>
      </c>
      <c r="C18328" t="str">
        <f t="shared" si="6643"/>
        <v>WOODWORTH</v>
      </c>
      <c r="D18328" t="str">
        <f t="shared" si="6644"/>
        <v>09</v>
      </c>
      <c r="E18328" t="str">
        <f>"03 - A - 103 - Marius D Orsolini"</f>
        <v>03 - A - 103 - Marius D Orsolini</v>
      </c>
      <c r="F18328" t="str">
        <f>"CULINARY ARTS 1"</f>
        <v>CULINARY ARTS 1</v>
      </c>
      <c r="G18328" t="str">
        <f>"21-2115"</f>
        <v>21-2115</v>
      </c>
      <c r="H18328" t="str">
        <f>"A"</f>
        <v>A</v>
      </c>
    </row>
    <row r="18329" spans="1:8" x14ac:dyDescent="0.2">
      <c r="A18329" t="str">
        <f t="shared" si="6641"/>
        <v>0617033090</v>
      </c>
      <c r="B18329" t="str">
        <f t="shared" si="6642"/>
        <v>ARI</v>
      </c>
      <c r="C18329" t="str">
        <f t="shared" si="6643"/>
        <v>WOODWORTH</v>
      </c>
      <c r="D18329" t="str">
        <f t="shared" si="6644"/>
        <v>09</v>
      </c>
      <c r="E18329" t="str">
        <f>"02 - A - 104 - Lytrell T Dixon"</f>
        <v>02 - A - 104 - Lytrell T Dixon</v>
      </c>
      <c r="F18329" t="str">
        <f>"NC STUDY HALL 1"</f>
        <v>NC STUDY HALL 1</v>
      </c>
      <c r="G18329" t="str">
        <f>"08-808"</f>
        <v>08-808</v>
      </c>
      <c r="H18329" t="str">
        <f>"A"</f>
        <v>A</v>
      </c>
    </row>
    <row r="18330" spans="1:8" x14ac:dyDescent="0.2">
      <c r="A18330" t="str">
        <f t="shared" si="6641"/>
        <v>0617033090</v>
      </c>
      <c r="B18330" t="str">
        <f t="shared" si="6642"/>
        <v>ARI</v>
      </c>
      <c r="C18330" t="str">
        <f t="shared" si="6643"/>
        <v>WOODWORTH</v>
      </c>
      <c r="D18330" t="str">
        <f t="shared" si="6644"/>
        <v>09</v>
      </c>
      <c r="E18330" t="str">
        <f>"07 - B - 105 - Josiah I Lacy"</f>
        <v>07 - B - 105 - Josiah I Lacy</v>
      </c>
      <c r="F18330" t="str">
        <f>"ANAT PHYSIO HON"</f>
        <v>ANAT PHYSIO HON</v>
      </c>
      <c r="G18330" t="str">
        <f>"08-801"</f>
        <v>08-801</v>
      </c>
      <c r="H18330" t="str">
        <f>"B"</f>
        <v>B</v>
      </c>
    </row>
    <row r="18331" spans="1:8" x14ac:dyDescent="0.2">
      <c r="A18331" t="str">
        <f t="shared" si="6641"/>
        <v>0617033090</v>
      </c>
      <c r="B18331" t="str">
        <f t="shared" si="6642"/>
        <v>ARI</v>
      </c>
      <c r="C18331" t="str">
        <f t="shared" si="6643"/>
        <v>WOODWORTH</v>
      </c>
      <c r="D18331" t="str">
        <f t="shared" si="6644"/>
        <v>09</v>
      </c>
      <c r="E18331" t="str">
        <f>"05 - B - 103 - Rory T Sponsler"</f>
        <v>05 - B - 103 - Rory T Sponsler</v>
      </c>
      <c r="F18331" t="str">
        <f>"PRE-AICE WRLD HST IG"</f>
        <v>PRE-AICE WRLD HST IG</v>
      </c>
      <c r="G18331" t="str">
        <f>"17-1740"</f>
        <v>17-1740</v>
      </c>
      <c r="H18331" t="str">
        <f>"B"</f>
        <v>B</v>
      </c>
    </row>
    <row r="18332" spans="1:8" x14ac:dyDescent="0.2">
      <c r="A18332" t="str">
        <f t="shared" si="6641"/>
        <v>0617033090</v>
      </c>
      <c r="B18332" t="str">
        <f t="shared" si="6642"/>
        <v>ARI</v>
      </c>
      <c r="C18332" t="str">
        <f t="shared" si="6643"/>
        <v>WOODWORTH</v>
      </c>
      <c r="D18332" t="str">
        <f t="shared" si="6644"/>
        <v>09</v>
      </c>
      <c r="E18332" t="str">
        <f>"01 - A - 102 - Brook E Goren"</f>
        <v>01 - A - 102 - Brook E Goren</v>
      </c>
      <c r="F18332" t="str">
        <f>"PRE-AICE MATH 2 IG"</f>
        <v>PRE-AICE MATH 2 IG</v>
      </c>
      <c r="G18332" t="str">
        <f>"21-2158"</f>
        <v>21-2158</v>
      </c>
      <c r="H18332" t="str">
        <f>"A"</f>
        <v>A</v>
      </c>
    </row>
    <row r="18333" spans="1:8" x14ac:dyDescent="0.2">
      <c r="A18333" t="str">
        <f t="shared" si="6641"/>
        <v>0617033090</v>
      </c>
      <c r="B18333" t="str">
        <f t="shared" si="6642"/>
        <v>ARI</v>
      </c>
      <c r="C18333" t="str">
        <f t="shared" si="6643"/>
        <v>WOODWORTH</v>
      </c>
      <c r="D18333" t="str">
        <f t="shared" si="6644"/>
        <v>09</v>
      </c>
      <c r="E18333" t="str">
        <f>"08 - B - 108 - Adam Marcus  Drucker"</f>
        <v>08 - B - 108 - Adam Marcus  Drucker</v>
      </c>
      <c r="F18333" t="str">
        <f>"HOPE-PE V"</f>
        <v>HOPE-PE V</v>
      </c>
      <c r="G18333" t="str">
        <f>"04-254"</f>
        <v>04-254</v>
      </c>
      <c r="H18333" t="str">
        <f>"B"</f>
        <v>B</v>
      </c>
    </row>
    <row r="18334" spans="1:8" x14ac:dyDescent="0.2">
      <c r="A18334" t="str">
        <f t="shared" ref="A18334:A18341" si="6645">"0615011349"</f>
        <v>0615011349</v>
      </c>
      <c r="B18334" t="str">
        <f t="shared" ref="B18334:B18341" si="6646">"ANTHONY"</f>
        <v>ANTHONY</v>
      </c>
      <c r="C18334" t="str">
        <f t="shared" ref="C18334:C18358" si="6647">"WRIGHT"</f>
        <v>WRIGHT</v>
      </c>
      <c r="D18334">
        <f>10</f>
        <v>10</v>
      </c>
      <c r="E18334" t="str">
        <f>"04 - A - 102 - Samantha J Headley"</f>
        <v>04 - A - 102 - Samantha J Headley</v>
      </c>
      <c r="F18334" t="str">
        <f>"MARINE SCI 1 HON"</f>
        <v>MARINE SCI 1 HON</v>
      </c>
      <c r="G18334" t="str">
        <f>"21-2134"</f>
        <v>21-2134</v>
      </c>
      <c r="H18334" t="str">
        <f>"A"</f>
        <v>A</v>
      </c>
    </row>
    <row r="18335" spans="1:8" x14ac:dyDescent="0.2">
      <c r="A18335" t="str">
        <f t="shared" si="6645"/>
        <v>0615011349</v>
      </c>
      <c r="B18335" t="str">
        <f t="shared" si="6646"/>
        <v>ANTHONY</v>
      </c>
      <c r="C18335" t="str">
        <f t="shared" si="6647"/>
        <v>WRIGHT</v>
      </c>
      <c r="D18335">
        <f>10</f>
        <v>10</v>
      </c>
      <c r="E18335" t="str">
        <f>"06 - B - 117 - Daniel S Tyson"</f>
        <v>06 - B - 117 - Daniel S Tyson</v>
      </c>
      <c r="F18335" t="str">
        <f>"NC STUDY HALL 1"</f>
        <v>NC STUDY HALL 1</v>
      </c>
      <c r="G18335" t="str">
        <f>"05-510"</f>
        <v>05-510</v>
      </c>
      <c r="H18335" t="str">
        <f>"B"</f>
        <v>B</v>
      </c>
    </row>
    <row r="18336" spans="1:8" x14ac:dyDescent="0.2">
      <c r="A18336" t="str">
        <f t="shared" si="6645"/>
        <v>0615011349</v>
      </c>
      <c r="B18336" t="str">
        <f t="shared" si="6646"/>
        <v>ANTHONY</v>
      </c>
      <c r="C18336" t="str">
        <f t="shared" si="6647"/>
        <v>WRIGHT</v>
      </c>
      <c r="D18336">
        <f>10</f>
        <v>10</v>
      </c>
      <c r="E18336" t="str">
        <f>"03 - A - 002 - Nikiel  Nesbeth"</f>
        <v>03 - A - 002 - Nikiel  Nesbeth</v>
      </c>
      <c r="F18336" t="str">
        <f>"PRE-AICE ENG LIT IG"</f>
        <v>PRE-AICE ENG LIT IG</v>
      </c>
      <c r="G18336" t="str">
        <f>"17-1705"</f>
        <v>17-1705</v>
      </c>
      <c r="H18336" t="str">
        <f>"A"</f>
        <v>A</v>
      </c>
    </row>
    <row r="18337" spans="1:8" x14ac:dyDescent="0.2">
      <c r="A18337" t="str">
        <f t="shared" si="6645"/>
        <v>0615011349</v>
      </c>
      <c r="B18337" t="str">
        <f t="shared" si="6646"/>
        <v>ANTHONY</v>
      </c>
      <c r="C18337" t="str">
        <f t="shared" si="6647"/>
        <v>WRIGHT</v>
      </c>
      <c r="D18337">
        <f>10</f>
        <v>10</v>
      </c>
      <c r="E18337" t="str">
        <f>"02 - A - 102 - Daniel S Tyson"</f>
        <v>02 - A - 102 - Daniel S Tyson</v>
      </c>
      <c r="F18337" t="str">
        <f>"JROTC NAVAL SCI 1"</f>
        <v>JROTC NAVAL SCI 1</v>
      </c>
      <c r="G18337" t="str">
        <f>"05-510"</f>
        <v>05-510</v>
      </c>
      <c r="H18337" t="str">
        <f>"A"</f>
        <v>A</v>
      </c>
    </row>
    <row r="18338" spans="1:8" x14ac:dyDescent="0.2">
      <c r="A18338" t="str">
        <f t="shared" si="6645"/>
        <v>0615011349</v>
      </c>
      <c r="B18338" t="str">
        <f t="shared" si="6646"/>
        <v>ANTHONY</v>
      </c>
      <c r="C18338" t="str">
        <f t="shared" si="6647"/>
        <v>WRIGHT</v>
      </c>
      <c r="D18338">
        <f>10</f>
        <v>10</v>
      </c>
      <c r="E18338" t="str">
        <f>"07 - B - 106 - Dayna M Foster"</f>
        <v>07 - B - 106 - Dayna M Foster</v>
      </c>
      <c r="F18338" t="str">
        <f>"FDN SKLS MATH 9-12"</f>
        <v>FDN SKLS MATH 9-12</v>
      </c>
      <c r="G18338" t="str">
        <f>"21-2109"</f>
        <v>21-2109</v>
      </c>
      <c r="H18338" t="str">
        <f>"B"</f>
        <v>B</v>
      </c>
    </row>
    <row r="18339" spans="1:8" x14ac:dyDescent="0.2">
      <c r="A18339" t="str">
        <f t="shared" si="6645"/>
        <v>0615011349</v>
      </c>
      <c r="B18339" t="str">
        <f t="shared" si="6646"/>
        <v>ANTHONY</v>
      </c>
      <c r="C18339" t="str">
        <f t="shared" si="6647"/>
        <v>WRIGHT</v>
      </c>
      <c r="D18339">
        <f>10</f>
        <v>10</v>
      </c>
      <c r="E18339" t="str">
        <f>"05 - B - 102 - Jeanne M Bermudez"</f>
        <v>05 - B - 102 - Jeanne M Bermudez</v>
      </c>
      <c r="F18339" t="str">
        <f>"ADVANCED IT HON"</f>
        <v>ADVANCED IT HON</v>
      </c>
      <c r="G18339" t="str">
        <f>"21-2141"</f>
        <v>21-2141</v>
      </c>
      <c r="H18339" t="str">
        <f>"B"</f>
        <v>B</v>
      </c>
    </row>
    <row r="18340" spans="1:8" x14ac:dyDescent="0.2">
      <c r="A18340" t="str">
        <f t="shared" si="6645"/>
        <v>0615011349</v>
      </c>
      <c r="B18340" t="str">
        <f t="shared" si="6646"/>
        <v>ANTHONY</v>
      </c>
      <c r="C18340" t="str">
        <f t="shared" si="6647"/>
        <v>WRIGHT</v>
      </c>
      <c r="D18340">
        <f>10</f>
        <v>10</v>
      </c>
      <c r="E18340" t="str">
        <f>"01 - A - 108 - Dayna M Foster"</f>
        <v>01 - A - 108 - Dayna M Foster</v>
      </c>
      <c r="F18340" t="str">
        <f>"ALGEBRA 1"</f>
        <v>ALGEBRA 1</v>
      </c>
      <c r="G18340" t="str">
        <f>"21-2109"</f>
        <v>21-2109</v>
      </c>
      <c r="H18340" t="str">
        <f>"A"</f>
        <v>A</v>
      </c>
    </row>
    <row r="18341" spans="1:8" x14ac:dyDescent="0.2">
      <c r="A18341" t="str">
        <f t="shared" si="6645"/>
        <v>0615011349</v>
      </c>
      <c r="B18341" t="str">
        <f t="shared" si="6646"/>
        <v>ANTHONY</v>
      </c>
      <c r="C18341" t="str">
        <f t="shared" si="6647"/>
        <v>WRIGHT</v>
      </c>
      <c r="D18341">
        <f>10</f>
        <v>10</v>
      </c>
      <c r="E18341" t="str">
        <f>"08 - S1 - B - 001 - Carol S Moore"</f>
        <v>08 - S1 - B - 001 - Carol S Moore</v>
      </c>
      <c r="F18341" t="str">
        <f>"PER CAR SCH DEV 1 LH"</f>
        <v>PER CAR SCH DEV 1 LH</v>
      </c>
      <c r="G18341" t="str">
        <f>"17-1733"</f>
        <v>17-1733</v>
      </c>
      <c r="H18341" t="str">
        <f>"B"</f>
        <v>B</v>
      </c>
    </row>
    <row r="18342" spans="1:8" x14ac:dyDescent="0.2">
      <c r="A18342" t="str">
        <f t="shared" ref="A18342:A18350" si="6648">"0622035638"</f>
        <v>0622035638</v>
      </c>
      <c r="B18342" t="str">
        <f t="shared" ref="B18342:B18350" si="6649">"DE'JA"</f>
        <v>DE'JA</v>
      </c>
      <c r="C18342" t="str">
        <f t="shared" si="6647"/>
        <v>WRIGHT</v>
      </c>
      <c r="D18342">
        <f>12</f>
        <v>12</v>
      </c>
      <c r="E18342" t="str">
        <f>"04 - A - 205 - Robyn L Trainer"</f>
        <v>04 - A - 205 - Robyn L Trainer</v>
      </c>
      <c r="F18342" t="str">
        <f>"ENG 4: FL COLL PREP"</f>
        <v>ENG 4: FL COLL PREP</v>
      </c>
      <c r="G18342" t="str">
        <f>"17-1734"</f>
        <v>17-1734</v>
      </c>
      <c r="H18342" t="str">
        <f>"A"</f>
        <v>A</v>
      </c>
    </row>
    <row r="18343" spans="1:8" x14ac:dyDescent="0.2">
      <c r="A18343" t="str">
        <f t="shared" si="6648"/>
        <v>0622035638</v>
      </c>
      <c r="B18343" t="str">
        <f t="shared" si="6649"/>
        <v>DE'JA</v>
      </c>
      <c r="C18343" t="str">
        <f t="shared" si="6647"/>
        <v>WRIGHT</v>
      </c>
      <c r="D18343">
        <f>12</f>
        <v>12</v>
      </c>
      <c r="E18343" t="str">
        <f>"06 - B - 105 - Robyn L Trainer"</f>
        <v>06 - B - 105 - Robyn L Trainer</v>
      </c>
      <c r="F18343" t="str">
        <f>"NC STUDY HALL 1"</f>
        <v>NC STUDY HALL 1</v>
      </c>
      <c r="G18343" t="str">
        <f>"17-1734"</f>
        <v>17-1734</v>
      </c>
      <c r="H18343" t="str">
        <f>"B"</f>
        <v>B</v>
      </c>
    </row>
    <row r="18344" spans="1:8" x14ac:dyDescent="0.2">
      <c r="A18344" t="str">
        <f t="shared" si="6648"/>
        <v>0622035638</v>
      </c>
      <c r="B18344" t="str">
        <f t="shared" si="6649"/>
        <v>DE'JA</v>
      </c>
      <c r="C18344" t="str">
        <f t="shared" si="6647"/>
        <v>WRIGHT</v>
      </c>
      <c r="D18344">
        <f>12</f>
        <v>12</v>
      </c>
      <c r="E18344" t="str">
        <f>"06 - B - 116 - Karen A Toomer"</f>
        <v>06 - B - 116 - Karen A Toomer</v>
      </c>
      <c r="F18344" t="str">
        <f>"LANG THERAPY"</f>
        <v>LANG THERAPY</v>
      </c>
      <c r="G18344" t="str">
        <f>"21-2110"</f>
        <v>21-2110</v>
      </c>
      <c r="H18344" t="str">
        <f>"B"</f>
        <v>B</v>
      </c>
    </row>
    <row r="18345" spans="1:8" x14ac:dyDescent="0.2">
      <c r="A18345" t="str">
        <f t="shared" si="6648"/>
        <v>0622035638</v>
      </c>
      <c r="B18345" t="str">
        <f t="shared" si="6649"/>
        <v>DE'JA</v>
      </c>
      <c r="C18345" t="str">
        <f t="shared" si="6647"/>
        <v>WRIGHT</v>
      </c>
      <c r="D18345">
        <f>12</f>
        <v>12</v>
      </c>
      <c r="E18345" t="str">
        <f>"03 - S1 - A - 002 - Barbara L Segal"</f>
        <v>03 - S1 - A - 002 - Barbara L Segal</v>
      </c>
      <c r="F18345" t="str">
        <f>"US GOVT"</f>
        <v>US GOVT</v>
      </c>
      <c r="G18345" t="str">
        <f>"17-1742"</f>
        <v>17-1742</v>
      </c>
      <c r="H18345" t="str">
        <f>"A"</f>
        <v>A</v>
      </c>
    </row>
    <row r="18346" spans="1:8" x14ac:dyDescent="0.2">
      <c r="A18346" t="str">
        <f t="shared" si="6648"/>
        <v>0622035638</v>
      </c>
      <c r="B18346" t="str">
        <f t="shared" si="6649"/>
        <v>DE'JA</v>
      </c>
      <c r="C18346" t="str">
        <f t="shared" si="6647"/>
        <v>WRIGHT</v>
      </c>
      <c r="D18346">
        <f>12</f>
        <v>12</v>
      </c>
      <c r="E18346" t="str">
        <f>"02 - A - 201 - Jordana K Hass"</f>
        <v>02 - A - 201 - Jordana K Hass</v>
      </c>
      <c r="F18346" t="str">
        <f>"CHEMISTRY 1"</f>
        <v>CHEMISTRY 1</v>
      </c>
      <c r="G18346" t="str">
        <f>"08-807"</f>
        <v>08-807</v>
      </c>
      <c r="H18346" t="str">
        <f>"A"</f>
        <v>A</v>
      </c>
    </row>
    <row r="18347" spans="1:8" x14ac:dyDescent="0.2">
      <c r="A18347" t="str">
        <f t="shared" si="6648"/>
        <v>0622035638</v>
      </c>
      <c r="B18347" t="str">
        <f t="shared" si="6649"/>
        <v>DE'JA</v>
      </c>
      <c r="C18347" t="str">
        <f t="shared" si="6647"/>
        <v>WRIGHT</v>
      </c>
      <c r="D18347">
        <f>12</f>
        <v>12</v>
      </c>
      <c r="E18347" t="str">
        <f>"07 - B - 103 - Nahum  Saint-Preux"</f>
        <v>07 - B - 103 - Nahum  Saint-Preux</v>
      </c>
      <c r="F18347" t="str">
        <f>"INTENS READ 4"</f>
        <v>INTENS READ 4</v>
      </c>
      <c r="G18347" t="str">
        <f>"17-1712"</f>
        <v>17-1712</v>
      </c>
      <c r="H18347" t="str">
        <f>"B"</f>
        <v>B</v>
      </c>
    </row>
    <row r="18348" spans="1:8" x14ac:dyDescent="0.2">
      <c r="A18348" t="str">
        <f t="shared" si="6648"/>
        <v>0622035638</v>
      </c>
      <c r="B18348" t="str">
        <f t="shared" si="6649"/>
        <v>DE'JA</v>
      </c>
      <c r="C18348" t="str">
        <f t="shared" si="6647"/>
        <v>WRIGHT</v>
      </c>
      <c r="D18348">
        <f>12</f>
        <v>12</v>
      </c>
      <c r="E18348" t="str">
        <f>"05 - B - 101 - Brian M Fitzgerald"</f>
        <v>05 - B - 101 - Brian M Fitzgerald</v>
      </c>
      <c r="F18348" t="str">
        <f>"PAINT 1"</f>
        <v>PAINT 1</v>
      </c>
      <c r="G18348" t="str">
        <f>"09-908"</f>
        <v>09-908</v>
      </c>
      <c r="H18348" t="str">
        <f>"B"</f>
        <v>B</v>
      </c>
    </row>
    <row r="18349" spans="1:8" x14ac:dyDescent="0.2">
      <c r="A18349" t="str">
        <f t="shared" si="6648"/>
        <v>0622035638</v>
      </c>
      <c r="B18349" t="str">
        <f t="shared" si="6649"/>
        <v>DE'JA</v>
      </c>
      <c r="C18349" t="str">
        <f t="shared" si="6647"/>
        <v>WRIGHT</v>
      </c>
      <c r="D18349">
        <f>12</f>
        <v>12</v>
      </c>
      <c r="E18349" t="str">
        <f>"01 - A - 102 - Robert H Rindner"</f>
        <v>01 - A - 102 - Robert H Rindner</v>
      </c>
      <c r="F18349" t="str">
        <f>"MATH DATA&amp;FIN LIT H"</f>
        <v>MATH DATA&amp;FIN LIT H</v>
      </c>
      <c r="G18349" t="str">
        <f>"21-2160"</f>
        <v>21-2160</v>
      </c>
      <c r="H18349" t="str">
        <f>"A"</f>
        <v>A</v>
      </c>
    </row>
    <row r="18350" spans="1:8" x14ac:dyDescent="0.2">
      <c r="A18350" t="str">
        <f t="shared" si="6648"/>
        <v>0622035638</v>
      </c>
      <c r="B18350" t="str">
        <f t="shared" si="6649"/>
        <v>DE'JA</v>
      </c>
      <c r="C18350" t="str">
        <f t="shared" si="6647"/>
        <v>WRIGHT</v>
      </c>
      <c r="D18350">
        <f>12</f>
        <v>12</v>
      </c>
      <c r="E18350" t="str">
        <f>"08 - B - 102 - Robert H Rindner"</f>
        <v>08 - B - 102 - Robert H Rindner</v>
      </c>
      <c r="F18350" t="str">
        <f>"TV PRODUCTION TECH 1"</f>
        <v>TV PRODUCTION TECH 1</v>
      </c>
      <c r="G18350" t="str">
        <f>"21-2160"</f>
        <v>21-2160</v>
      </c>
      <c r="H18350" t="str">
        <f>"B"</f>
        <v>B</v>
      </c>
    </row>
    <row r="18351" spans="1:8" x14ac:dyDescent="0.2">
      <c r="A18351" t="str">
        <f t="shared" ref="A18351:A18358" si="6650">"0616089046"</f>
        <v>0616089046</v>
      </c>
      <c r="B18351" t="str">
        <f t="shared" ref="B18351:B18358" si="6651">"MARIANA"</f>
        <v>MARIANA</v>
      </c>
      <c r="C18351" t="str">
        <f t="shared" si="6647"/>
        <v>WRIGHT</v>
      </c>
      <c r="D18351">
        <f>12</f>
        <v>12</v>
      </c>
      <c r="E18351" t="str">
        <f>"04 - A - 104 - Norayda D Suarez"</f>
        <v>04 - A - 104 - Norayda D Suarez</v>
      </c>
      <c r="F18351" t="str">
        <f>"RESEARCH 1 LH"</f>
        <v>RESEARCH 1 LH</v>
      </c>
      <c r="G18351">
        <f>2041</f>
        <v>2041</v>
      </c>
      <c r="H18351" t="str">
        <f>"A"</f>
        <v>A</v>
      </c>
    </row>
    <row r="18352" spans="1:8" x14ac:dyDescent="0.2">
      <c r="A18352" t="str">
        <f t="shared" si="6650"/>
        <v>0616089046</v>
      </c>
      <c r="B18352" t="str">
        <f t="shared" si="6651"/>
        <v>MARIANA</v>
      </c>
      <c r="C18352" t="str">
        <f t="shared" si="6647"/>
        <v>WRIGHT</v>
      </c>
      <c r="D18352">
        <f>12</f>
        <v>12</v>
      </c>
      <c r="E18352" t="str">
        <f>"06 - B - 111 - James H Mccann"</f>
        <v>06 - B - 111 - James H Mccann</v>
      </c>
      <c r="F18352" t="str">
        <f>"NC STUDY HALL 1"</f>
        <v>NC STUDY HALL 1</v>
      </c>
      <c r="G18352" t="str">
        <f>"17-1716"</f>
        <v>17-1716</v>
      </c>
      <c r="H18352" t="str">
        <f>"B"</f>
        <v>B</v>
      </c>
    </row>
    <row r="18353" spans="1:8" x14ac:dyDescent="0.2">
      <c r="A18353" t="str">
        <f t="shared" si="6650"/>
        <v>0616089046</v>
      </c>
      <c r="B18353" t="str">
        <f t="shared" si="6651"/>
        <v>MARIANA</v>
      </c>
      <c r="C18353" t="str">
        <f t="shared" si="6647"/>
        <v>WRIGHT</v>
      </c>
      <c r="D18353">
        <f>12</f>
        <v>12</v>
      </c>
      <c r="E18353" t="str">
        <f>"03 - A - 203 - Stefanie S Scher"</f>
        <v>03 - A - 203 - Stefanie S Scher</v>
      </c>
      <c r="F18353" t="str">
        <f>"AP PSYCH"</f>
        <v>AP PSYCH</v>
      </c>
      <c r="G18353" t="str">
        <f>"17-1735"</f>
        <v>17-1735</v>
      </c>
      <c r="H18353" t="str">
        <f>"A"</f>
        <v>A</v>
      </c>
    </row>
    <row r="18354" spans="1:8" x14ac:dyDescent="0.2">
      <c r="A18354" t="str">
        <f t="shared" si="6650"/>
        <v>0616089046</v>
      </c>
      <c r="B18354" t="str">
        <f t="shared" si="6651"/>
        <v>MARIANA</v>
      </c>
      <c r="C18354" t="str">
        <f t="shared" si="6647"/>
        <v>WRIGHT</v>
      </c>
      <c r="D18354">
        <f>12</f>
        <v>12</v>
      </c>
      <c r="E18354" t="str">
        <f>"02 - A - 102 - Marielle A Witting"</f>
        <v>02 - A - 102 - Marielle A Witting</v>
      </c>
      <c r="F18354" t="str">
        <f>"AP BIO"</f>
        <v>AP BIO</v>
      </c>
      <c r="G18354" t="str">
        <f>"08-805"</f>
        <v>08-805</v>
      </c>
      <c r="H18354" t="str">
        <f>"A"</f>
        <v>A</v>
      </c>
    </row>
    <row r="18355" spans="1:8" x14ac:dyDescent="0.2">
      <c r="A18355" t="str">
        <f t="shared" si="6650"/>
        <v>0616089046</v>
      </c>
      <c r="B18355" t="str">
        <f t="shared" si="6651"/>
        <v>MARIANA</v>
      </c>
      <c r="C18355" t="str">
        <f t="shared" si="6647"/>
        <v>WRIGHT</v>
      </c>
      <c r="D18355">
        <f>12</f>
        <v>12</v>
      </c>
      <c r="E18355" t="str">
        <f>"07 - S1 - B - 101 - Stephen T Ripp"</f>
        <v>07 - S1 - B - 101 - Stephen T Ripp</v>
      </c>
      <c r="F18355" t="str">
        <f>"AP US GOVT/POL"</f>
        <v>AP US GOVT/POL</v>
      </c>
      <c r="G18355" t="str">
        <f>"17-1744"</f>
        <v>17-1744</v>
      </c>
      <c r="H18355" t="str">
        <f>"B"</f>
        <v>B</v>
      </c>
    </row>
    <row r="18356" spans="1:8" x14ac:dyDescent="0.2">
      <c r="A18356" t="str">
        <f t="shared" si="6650"/>
        <v>0616089046</v>
      </c>
      <c r="B18356" t="str">
        <f t="shared" si="6651"/>
        <v>MARIANA</v>
      </c>
      <c r="C18356" t="str">
        <f t="shared" si="6647"/>
        <v>WRIGHT</v>
      </c>
      <c r="D18356">
        <f>12</f>
        <v>12</v>
      </c>
      <c r="E18356" t="str">
        <f>"05 - B - 101 - Pamela M Corzo"</f>
        <v>05 - B - 101 - Pamela M Corzo</v>
      </c>
      <c r="F18356" t="str">
        <f>"AP CALCULUS AB"</f>
        <v>AP CALCULUS AB</v>
      </c>
      <c r="G18356" t="str">
        <f>"21-2133"</f>
        <v>21-2133</v>
      </c>
      <c r="H18356" t="str">
        <f>"B"</f>
        <v>B</v>
      </c>
    </row>
    <row r="18357" spans="1:8" x14ac:dyDescent="0.2">
      <c r="A18357" t="str">
        <f t="shared" si="6650"/>
        <v>0616089046</v>
      </c>
      <c r="B18357" t="str">
        <f t="shared" si="6651"/>
        <v>MARIANA</v>
      </c>
      <c r="C18357" t="str">
        <f t="shared" si="6647"/>
        <v>WRIGHT</v>
      </c>
      <c r="D18357">
        <f>12</f>
        <v>12</v>
      </c>
      <c r="E18357" t="str">
        <f>"01 - A - 204 - Tina M Jaramillo"</f>
        <v>01 - A - 204 - Tina M Jaramillo</v>
      </c>
      <c r="F18357" t="str">
        <f>"AP ENG LIT COMPO"</f>
        <v>AP ENG LIT COMPO</v>
      </c>
      <c r="G18357" t="str">
        <f>"17-1706"</f>
        <v>17-1706</v>
      </c>
      <c r="H18357" t="str">
        <f>"A"</f>
        <v>A</v>
      </c>
    </row>
    <row r="18358" spans="1:8" x14ac:dyDescent="0.2">
      <c r="A18358" t="str">
        <f t="shared" si="6650"/>
        <v>0616089046</v>
      </c>
      <c r="B18358" t="str">
        <f t="shared" si="6651"/>
        <v>MARIANA</v>
      </c>
      <c r="C18358" t="str">
        <f t="shared" si="6647"/>
        <v>WRIGHT</v>
      </c>
      <c r="D18358">
        <f>12</f>
        <v>12</v>
      </c>
      <c r="E18358" t="str">
        <f>"08 - B - 102 - Lisa J London"</f>
        <v>08 - B - 102 - Lisa J London</v>
      </c>
      <c r="F18358" t="str">
        <f>"AP CAPSTONE RESEARCH"</f>
        <v>AP CAPSTONE RESEARCH</v>
      </c>
      <c r="G18358" t="str">
        <f>"17-1714"</f>
        <v>17-1714</v>
      </c>
      <c r="H18358" t="str">
        <f>"B"</f>
        <v>B</v>
      </c>
    </row>
    <row r="18359" spans="1:8" x14ac:dyDescent="0.2">
      <c r="A18359" t="str">
        <f t="shared" ref="A18359:A18366" si="6652">"0613123743"</f>
        <v>0613123743</v>
      </c>
      <c r="B18359" t="str">
        <f t="shared" ref="B18359:B18366" si="6653">"MATTHEW"</f>
        <v>MATTHEW</v>
      </c>
      <c r="C18359" t="str">
        <f t="shared" ref="C18359:C18366" si="6654">"WUNSCH"</f>
        <v>WUNSCH</v>
      </c>
      <c r="D18359">
        <f>12</f>
        <v>12</v>
      </c>
      <c r="E18359" t="str">
        <f>"04 - A - 102 - Daniel S Katz"</f>
        <v>04 - A - 102 - Daniel S Katz</v>
      </c>
      <c r="F18359" t="str">
        <f>"AICE DRAMA 1 AS LEV"</f>
        <v>AICE DRAMA 1 AS LEV</v>
      </c>
      <c r="G18359" t="str">
        <f>"05-521"</f>
        <v>05-521</v>
      </c>
      <c r="H18359" t="str">
        <f>"A"</f>
        <v>A</v>
      </c>
    </row>
    <row r="18360" spans="1:8" x14ac:dyDescent="0.2">
      <c r="A18360" t="str">
        <f t="shared" si="6652"/>
        <v>0613123743</v>
      </c>
      <c r="B18360" t="str">
        <f t="shared" si="6653"/>
        <v>MATTHEW</v>
      </c>
      <c r="C18360" t="str">
        <f t="shared" si="6654"/>
        <v>WUNSCH</v>
      </c>
      <c r="D18360">
        <f>12</f>
        <v>12</v>
      </c>
      <c r="E18360" t="str">
        <f>"06 - B - 102 - Andrea A Amison"</f>
        <v>06 - B - 102 - Andrea A Amison</v>
      </c>
      <c r="F18360" t="str">
        <f>"NC STUDY HALL 1"</f>
        <v>NC STUDY HALL 1</v>
      </c>
      <c r="G18360" t="str">
        <f>"09-922C"</f>
        <v>09-922C</v>
      </c>
      <c r="H18360" t="str">
        <f>"B"</f>
        <v>B</v>
      </c>
    </row>
    <row r="18361" spans="1:8" x14ac:dyDescent="0.2">
      <c r="A18361" t="str">
        <f t="shared" si="6652"/>
        <v>0613123743</v>
      </c>
      <c r="B18361" t="str">
        <f t="shared" si="6653"/>
        <v>MATTHEW</v>
      </c>
      <c r="C18361" t="str">
        <f t="shared" si="6654"/>
        <v>WUNSCH</v>
      </c>
      <c r="D18361">
        <f>12</f>
        <v>12</v>
      </c>
      <c r="E18361" t="str">
        <f>"03 - A - 101 - Jeffrey S Gallagher"</f>
        <v>03 - A - 101 - Jeffrey S Gallagher</v>
      </c>
      <c r="F18361" t="str">
        <f>"ENG HON 4"</f>
        <v>ENG HON 4</v>
      </c>
      <c r="G18361" t="str">
        <f>"17-1724"</f>
        <v>17-1724</v>
      </c>
      <c r="H18361" t="str">
        <f>"A"</f>
        <v>A</v>
      </c>
    </row>
    <row r="18362" spans="1:8" x14ac:dyDescent="0.2">
      <c r="A18362" t="str">
        <f t="shared" si="6652"/>
        <v>0613123743</v>
      </c>
      <c r="B18362" t="str">
        <f t="shared" si="6653"/>
        <v>MATTHEW</v>
      </c>
      <c r="C18362" t="str">
        <f t="shared" si="6654"/>
        <v>WUNSCH</v>
      </c>
      <c r="D18362">
        <f>12</f>
        <v>12</v>
      </c>
      <c r="E18362" t="str">
        <f>"02 - A - 102 - Chrystina M Marchionne"</f>
        <v>02 - A - 102 - Chrystina M Marchionne</v>
      </c>
      <c r="F18362" t="str">
        <f>"AICE MEDIA STUDIES A"</f>
        <v>AICE MEDIA STUDIES A</v>
      </c>
      <c r="G18362" t="str">
        <f>"05-520"</f>
        <v>05-520</v>
      </c>
      <c r="H18362" t="str">
        <f>"A"</f>
        <v>A</v>
      </c>
    </row>
    <row r="18363" spans="1:8" x14ac:dyDescent="0.2">
      <c r="A18363" t="str">
        <f t="shared" si="6652"/>
        <v>0613123743</v>
      </c>
      <c r="B18363" t="str">
        <f t="shared" si="6653"/>
        <v>MATTHEW</v>
      </c>
      <c r="C18363" t="str">
        <f t="shared" si="6654"/>
        <v>WUNSCH</v>
      </c>
      <c r="D18363">
        <f>12</f>
        <v>12</v>
      </c>
      <c r="E18363" t="str">
        <f>"07 - B - 105 - Robert H Rindner"</f>
        <v>07 - B - 105 - Robert H Rindner</v>
      </c>
      <c r="F18363" t="str">
        <f>"MATH DATA&amp;FIN LIT H"</f>
        <v>MATH DATA&amp;FIN LIT H</v>
      </c>
      <c r="G18363" t="str">
        <f>"21-2160"</f>
        <v>21-2160</v>
      </c>
      <c r="H18363" t="str">
        <f>"B"</f>
        <v>B</v>
      </c>
    </row>
    <row r="18364" spans="1:8" x14ac:dyDescent="0.2">
      <c r="A18364" t="str">
        <f t="shared" si="6652"/>
        <v>0613123743</v>
      </c>
      <c r="B18364" t="str">
        <f t="shared" si="6653"/>
        <v>MATTHEW</v>
      </c>
      <c r="C18364" t="str">
        <f t="shared" si="6654"/>
        <v>WUNSCH</v>
      </c>
      <c r="D18364">
        <f>12</f>
        <v>12</v>
      </c>
      <c r="E18364" t="str">
        <f>"05 - B - 105 - Adam Marcus  Drucker"</f>
        <v>05 - B - 105 - Adam Marcus  Drucker</v>
      </c>
      <c r="F18364" t="str">
        <f>"HOPE-PE V"</f>
        <v>HOPE-PE V</v>
      </c>
      <c r="G18364" t="str">
        <f>"04-254"</f>
        <v>04-254</v>
      </c>
      <c r="H18364" t="str">
        <f>"B"</f>
        <v>B</v>
      </c>
    </row>
    <row r="18365" spans="1:8" x14ac:dyDescent="0.2">
      <c r="A18365" t="str">
        <f t="shared" si="6652"/>
        <v>0613123743</v>
      </c>
      <c r="B18365" t="str">
        <f t="shared" si="6653"/>
        <v>MATTHEW</v>
      </c>
      <c r="C18365" t="str">
        <f t="shared" si="6654"/>
        <v>WUNSCH</v>
      </c>
      <c r="D18365">
        <f>12</f>
        <v>12</v>
      </c>
      <c r="E18365" t="str">
        <f>"01 - A - 201 - Jeanne M Bermudez"</f>
        <v>01 - A - 201 - Jeanne M Bermudez</v>
      </c>
      <c r="F18365" t="str">
        <f>"PHYSICS 1 HON"</f>
        <v>PHYSICS 1 HON</v>
      </c>
      <c r="G18365" t="str">
        <f>"21-2141"</f>
        <v>21-2141</v>
      </c>
      <c r="H18365" t="str">
        <f>"A"</f>
        <v>A</v>
      </c>
    </row>
    <row r="18366" spans="1:8" x14ac:dyDescent="0.2">
      <c r="A18366" t="str">
        <f t="shared" si="6652"/>
        <v>0613123743</v>
      </c>
      <c r="B18366" t="str">
        <f t="shared" si="6653"/>
        <v>MATTHEW</v>
      </c>
      <c r="C18366" t="str">
        <f t="shared" si="6654"/>
        <v>WUNSCH</v>
      </c>
      <c r="D18366">
        <f>12</f>
        <v>12</v>
      </c>
      <c r="E18366" t="str">
        <f>"08 - S1 - B - 105 - Kelly N Panza"</f>
        <v>08 - S1 - B - 105 - Kelly N Panza</v>
      </c>
      <c r="F18366" t="str">
        <f>"US GOVT HON"</f>
        <v>US GOVT HON</v>
      </c>
      <c r="G18366" t="str">
        <f>"17-1753"</f>
        <v>17-1753</v>
      </c>
      <c r="H18366" t="str">
        <f>"B"</f>
        <v>B</v>
      </c>
    </row>
    <row r="18367" spans="1:8" x14ac:dyDescent="0.2">
      <c r="A18367" t="str">
        <f t="shared" ref="A18367:A18374" si="6655">"0623048736"</f>
        <v>0623048736</v>
      </c>
      <c r="B18367" t="str">
        <f t="shared" ref="B18367:B18374" si="6656">"VOLODYMYR"</f>
        <v>VOLODYMYR</v>
      </c>
      <c r="C18367" t="str">
        <f t="shared" ref="C18367:C18374" si="6657">"YANKEVYCH"</f>
        <v>YANKEVYCH</v>
      </c>
      <c r="D18367">
        <f>11</f>
        <v>11</v>
      </c>
      <c r="E18367" t="str">
        <f>"04 - S1 - A - 104 - Richard E Dunbar Iii"</f>
        <v>04 - S1 - A - 104 - Richard E Dunbar Iii</v>
      </c>
      <c r="F18367" t="str">
        <f>"WEIGHT TRAIN 1"</f>
        <v>WEIGHT TRAIN 1</v>
      </c>
      <c r="G18367" t="str">
        <f>"05-501"</f>
        <v>05-501</v>
      </c>
      <c r="H18367" t="str">
        <f>"A"</f>
        <v>A</v>
      </c>
    </row>
    <row r="18368" spans="1:8" x14ac:dyDescent="0.2">
      <c r="A18368" t="str">
        <f t="shared" si="6655"/>
        <v>0623048736</v>
      </c>
      <c r="B18368" t="str">
        <f t="shared" si="6656"/>
        <v>VOLODYMYR</v>
      </c>
      <c r="C18368" t="str">
        <f t="shared" si="6657"/>
        <v>YANKEVYCH</v>
      </c>
      <c r="D18368">
        <f>11</f>
        <v>11</v>
      </c>
      <c r="E18368" t="str">
        <f>"06 - B - 104 - Nahum  Saint-Preux"</f>
        <v>06 - B - 104 - Nahum  Saint-Preux</v>
      </c>
      <c r="F18368" t="str">
        <f>"INTENS READ 3"</f>
        <v>INTENS READ 3</v>
      </c>
      <c r="G18368" t="str">
        <f>"17-1712"</f>
        <v>17-1712</v>
      </c>
      <c r="H18368" t="str">
        <f>"B"</f>
        <v>B</v>
      </c>
    </row>
    <row r="18369" spans="1:8" x14ac:dyDescent="0.2">
      <c r="A18369" t="str">
        <f t="shared" si="6655"/>
        <v>0623048736</v>
      </c>
      <c r="B18369" t="str">
        <f t="shared" si="6656"/>
        <v>VOLODYMYR</v>
      </c>
      <c r="C18369" t="str">
        <f t="shared" si="6657"/>
        <v>YANKEVYCH</v>
      </c>
      <c r="D18369">
        <f>11</f>
        <v>11</v>
      </c>
      <c r="E18369" t="str">
        <f>"03 - A - 104 - Kyle  Robbins"</f>
        <v>03 - A - 104 - Kyle  Robbins</v>
      </c>
      <c r="F18369" t="str">
        <f>"US HISTORY"</f>
        <v>US HISTORY</v>
      </c>
      <c r="G18369" t="str">
        <f>"17-1745"</f>
        <v>17-1745</v>
      </c>
      <c r="H18369" t="str">
        <f>"A"</f>
        <v>A</v>
      </c>
    </row>
    <row r="18370" spans="1:8" x14ac:dyDescent="0.2">
      <c r="A18370" t="str">
        <f t="shared" si="6655"/>
        <v>0623048736</v>
      </c>
      <c r="B18370" t="str">
        <f t="shared" si="6656"/>
        <v>VOLODYMYR</v>
      </c>
      <c r="C18370" t="str">
        <f t="shared" si="6657"/>
        <v>YANKEVYCH</v>
      </c>
      <c r="D18370">
        <f>11</f>
        <v>11</v>
      </c>
      <c r="E18370" t="str">
        <f>"02 - A - 117 - Kyle  Robbins"</f>
        <v>02 - A - 117 - Kyle  Robbins</v>
      </c>
      <c r="F18370" t="str">
        <f>"NC STUDY HALL 1"</f>
        <v>NC STUDY HALL 1</v>
      </c>
      <c r="G18370" t="str">
        <f>"17-1745"</f>
        <v>17-1745</v>
      </c>
      <c r="H18370" t="str">
        <f>"A"</f>
        <v>A</v>
      </c>
    </row>
    <row r="18371" spans="1:8" x14ac:dyDescent="0.2">
      <c r="A18371" t="str">
        <f t="shared" si="6655"/>
        <v>0623048736</v>
      </c>
      <c r="B18371" t="str">
        <f t="shared" si="6656"/>
        <v>VOLODYMYR</v>
      </c>
      <c r="C18371" t="str">
        <f t="shared" si="6657"/>
        <v>YANKEVYCH</v>
      </c>
      <c r="D18371">
        <f>11</f>
        <v>11</v>
      </c>
      <c r="E18371" t="str">
        <f>"07 - B - 204 - Scott A Dethloff"</f>
        <v>07 - B - 204 - Scott A Dethloff</v>
      </c>
      <c r="F18371" t="str">
        <f>"CHEMISTRY 1"</f>
        <v>CHEMISTRY 1</v>
      </c>
      <c r="G18371" t="str">
        <f>"08-812"</f>
        <v>08-812</v>
      </c>
      <c r="H18371" t="str">
        <f>"B"</f>
        <v>B</v>
      </c>
    </row>
    <row r="18372" spans="1:8" x14ac:dyDescent="0.2">
      <c r="A18372" t="str">
        <f t="shared" si="6655"/>
        <v>0623048736</v>
      </c>
      <c r="B18372" t="str">
        <f t="shared" si="6656"/>
        <v>VOLODYMYR</v>
      </c>
      <c r="C18372" t="str">
        <f t="shared" si="6657"/>
        <v>YANKEVYCH</v>
      </c>
      <c r="D18372">
        <f>11</f>
        <v>11</v>
      </c>
      <c r="E18372" t="str">
        <f>"05 - B - 106 - Fernando  Vega-Cid"</f>
        <v>05 - B - 106 - Fernando  Vega-Cid</v>
      </c>
      <c r="F18372" t="str">
        <f>"GEOMETRY"</f>
        <v>GEOMETRY</v>
      </c>
      <c r="G18372" t="str">
        <f>"21-2163"</f>
        <v>21-2163</v>
      </c>
      <c r="H18372" t="str">
        <f>"B"</f>
        <v>B</v>
      </c>
    </row>
    <row r="18373" spans="1:8" x14ac:dyDescent="0.2">
      <c r="A18373" t="str">
        <f t="shared" si="6655"/>
        <v>0623048736</v>
      </c>
      <c r="B18373" t="str">
        <f t="shared" si="6656"/>
        <v>VOLODYMYR</v>
      </c>
      <c r="C18373" t="str">
        <f t="shared" si="6657"/>
        <v>YANKEVYCH</v>
      </c>
      <c r="D18373">
        <f>11</f>
        <v>11</v>
      </c>
      <c r="E18373" t="str">
        <f>"01 - A - 101 - Lisa  Quinn"</f>
        <v>01 - A - 101 - Lisa  Quinn</v>
      </c>
      <c r="F18373" t="str">
        <f>"ENG 3"</f>
        <v>ENG 3</v>
      </c>
      <c r="G18373" t="str">
        <f>"17-1725"</f>
        <v>17-1725</v>
      </c>
      <c r="H18373" t="str">
        <f>"A"</f>
        <v>A</v>
      </c>
    </row>
    <row r="18374" spans="1:8" x14ac:dyDescent="0.2">
      <c r="A18374" t="str">
        <f t="shared" si="6655"/>
        <v>0623048736</v>
      </c>
      <c r="B18374" t="str">
        <f t="shared" si="6656"/>
        <v>VOLODYMYR</v>
      </c>
      <c r="C18374" t="str">
        <f t="shared" si="6657"/>
        <v>YANKEVYCH</v>
      </c>
      <c r="D18374">
        <f>11</f>
        <v>11</v>
      </c>
      <c r="E18374" t="str">
        <f>"08 - B - 101 - Robert H Rindner"</f>
        <v>08 - B - 101 - Robert H Rindner</v>
      </c>
      <c r="F18374" t="str">
        <f>"TV PRODUCTION TECH 2"</f>
        <v>TV PRODUCTION TECH 2</v>
      </c>
      <c r="G18374" t="str">
        <f>"21-2160"</f>
        <v>21-2160</v>
      </c>
      <c r="H18374" t="str">
        <f>"B"</f>
        <v>B</v>
      </c>
    </row>
    <row r="18375" spans="1:8" x14ac:dyDescent="0.2">
      <c r="A18375" t="str">
        <f t="shared" ref="A18375:A18382" si="6658">"0625026091"</f>
        <v>0625026091</v>
      </c>
      <c r="B18375" t="str">
        <f t="shared" ref="B18375:B18382" si="6659">"Malissa"</f>
        <v>Malissa</v>
      </c>
      <c r="C18375" t="str">
        <f t="shared" ref="C18375:C18382" si="6660">"Yansunu"</f>
        <v>Yansunu</v>
      </c>
      <c r="D18375">
        <f>11</f>
        <v>11</v>
      </c>
      <c r="E18375" t="str">
        <f>"04 - A - 102 - Lisa J London"</f>
        <v>04 - A - 102 - Lisa J London</v>
      </c>
      <c r="F18375" t="str">
        <f>"AP CAPSTONE SEMINAR"</f>
        <v>AP CAPSTONE SEMINAR</v>
      </c>
      <c r="G18375" t="str">
        <f>"17-1714"</f>
        <v>17-1714</v>
      </c>
      <c r="H18375" t="str">
        <f>"A"</f>
        <v>A</v>
      </c>
    </row>
    <row r="18376" spans="1:8" x14ac:dyDescent="0.2">
      <c r="A18376" t="str">
        <f t="shared" si="6658"/>
        <v>0625026091</v>
      </c>
      <c r="B18376" t="str">
        <f t="shared" si="6659"/>
        <v>Malissa</v>
      </c>
      <c r="C18376" t="str">
        <f t="shared" si="6660"/>
        <v>Yansunu</v>
      </c>
      <c r="D18376">
        <f>11</f>
        <v>11</v>
      </c>
      <c r="E18376" t="str">
        <f>"06 - B - 206 - Jacqueline R Morphet"</f>
        <v>06 - B - 206 - Jacqueline R Morphet</v>
      </c>
      <c r="F18376" t="str">
        <f>"PHYSICS 1 HON"</f>
        <v>PHYSICS 1 HON</v>
      </c>
      <c r="G18376" t="str">
        <f>"21-2138"</f>
        <v>21-2138</v>
      </c>
      <c r="H18376" t="str">
        <f>"B"</f>
        <v>B</v>
      </c>
    </row>
    <row r="18377" spans="1:8" x14ac:dyDescent="0.2">
      <c r="A18377" t="str">
        <f t="shared" si="6658"/>
        <v>0625026091</v>
      </c>
      <c r="B18377" t="str">
        <f t="shared" si="6659"/>
        <v>Malissa</v>
      </c>
      <c r="C18377" t="str">
        <f t="shared" si="6660"/>
        <v>Yansunu</v>
      </c>
      <c r="D18377">
        <f>11</f>
        <v>11</v>
      </c>
      <c r="E18377" t="str">
        <f>"03 - A - 101 - Brian M Fitzgerald"</f>
        <v>03 - A - 101 - Brian M Fitzgerald</v>
      </c>
      <c r="F18377" t="str">
        <f>"SCULPT 1"</f>
        <v>SCULPT 1</v>
      </c>
      <c r="G18377" t="str">
        <f>"09-908"</f>
        <v>09-908</v>
      </c>
      <c r="H18377" t="str">
        <f>"A"</f>
        <v>A</v>
      </c>
    </row>
    <row r="18378" spans="1:8" x14ac:dyDescent="0.2">
      <c r="A18378" t="str">
        <f t="shared" si="6658"/>
        <v>0625026091</v>
      </c>
      <c r="B18378" t="str">
        <f t="shared" si="6659"/>
        <v>Malissa</v>
      </c>
      <c r="C18378" t="str">
        <f t="shared" si="6660"/>
        <v>Yansunu</v>
      </c>
      <c r="D18378">
        <f>11</f>
        <v>11</v>
      </c>
      <c r="E18378" t="str">
        <f>"02 - A - 107 - Elizabeth Ellen  Moran"</f>
        <v>02 - A - 107 - Elizabeth Ellen  Moran</v>
      </c>
      <c r="F18378" t="str">
        <f>"NC STUDY HALL 1"</f>
        <v>NC STUDY HALL 1</v>
      </c>
      <c r="G18378" t="str">
        <f>"17-1752"</f>
        <v>17-1752</v>
      </c>
      <c r="H18378" t="str">
        <f>"A"</f>
        <v>A</v>
      </c>
    </row>
    <row r="18379" spans="1:8" x14ac:dyDescent="0.2">
      <c r="A18379" t="str">
        <f t="shared" si="6658"/>
        <v>0625026091</v>
      </c>
      <c r="B18379" t="str">
        <f t="shared" si="6659"/>
        <v>Malissa</v>
      </c>
      <c r="C18379" t="str">
        <f t="shared" si="6660"/>
        <v>Yansunu</v>
      </c>
      <c r="D18379">
        <f>11</f>
        <v>11</v>
      </c>
      <c r="E18379" t="str">
        <f>"07 - B - 102 - Lourivaldo  Da Silva"</f>
        <v>07 - B - 102 - Lourivaldo  Da Silva</v>
      </c>
      <c r="F18379" t="str">
        <f>"ALGEBRA 2 HON"</f>
        <v>ALGEBRA 2 HON</v>
      </c>
      <c r="G18379" t="str">
        <f>"20-2079"</f>
        <v>20-2079</v>
      </c>
      <c r="H18379" t="str">
        <f>"B"</f>
        <v>B</v>
      </c>
    </row>
    <row r="18380" spans="1:8" x14ac:dyDescent="0.2">
      <c r="A18380" t="str">
        <f t="shared" si="6658"/>
        <v>0625026091</v>
      </c>
      <c r="B18380" t="str">
        <f t="shared" si="6659"/>
        <v>Malissa</v>
      </c>
      <c r="C18380" t="str">
        <f t="shared" si="6660"/>
        <v>Yansunu</v>
      </c>
      <c r="D18380">
        <f>11</f>
        <v>11</v>
      </c>
      <c r="E18380" t="str">
        <f>"05 - B - 103 - Heidi M Knopp"</f>
        <v>05 - B - 103 - Heidi M Knopp</v>
      </c>
      <c r="F18380" t="str">
        <f>"ENG HON 3"</f>
        <v>ENG HON 3</v>
      </c>
      <c r="G18380" t="str">
        <f>"17-1723"</f>
        <v>17-1723</v>
      </c>
      <c r="H18380" t="str">
        <f>"B"</f>
        <v>B</v>
      </c>
    </row>
    <row r="18381" spans="1:8" x14ac:dyDescent="0.2">
      <c r="A18381" t="str">
        <f t="shared" si="6658"/>
        <v>0625026091</v>
      </c>
      <c r="B18381" t="str">
        <f t="shared" si="6659"/>
        <v>Malissa</v>
      </c>
      <c r="C18381" t="str">
        <f t="shared" si="6660"/>
        <v>Yansunu</v>
      </c>
      <c r="D18381">
        <f>11</f>
        <v>11</v>
      </c>
      <c r="E18381" t="str">
        <f>"01 - A - 104 - Jerry S Jiampetti"</f>
        <v>01 - A - 104 - Jerry S Jiampetti</v>
      </c>
      <c r="F18381" t="str">
        <f>"US HISTORY HON"</f>
        <v>US HISTORY HON</v>
      </c>
      <c r="G18381" t="str">
        <f>"17-1751"</f>
        <v>17-1751</v>
      </c>
      <c r="H18381" t="str">
        <f>"A"</f>
        <v>A</v>
      </c>
    </row>
    <row r="18382" spans="1:8" x14ac:dyDescent="0.2">
      <c r="A18382" t="str">
        <f t="shared" si="6658"/>
        <v>0625026091</v>
      </c>
      <c r="B18382" t="str">
        <f t="shared" si="6659"/>
        <v>Malissa</v>
      </c>
      <c r="C18382" t="str">
        <f t="shared" si="6660"/>
        <v>Yansunu</v>
      </c>
      <c r="D18382">
        <f>11</f>
        <v>11</v>
      </c>
      <c r="E18382" t="str">
        <f>"08 - B - 001 - Samantha L Martinez"</f>
        <v>08 - B - 001 - Samantha L Martinez</v>
      </c>
      <c r="F18382" t="str">
        <f>"VOCAL ENS 2"</f>
        <v>VOCAL ENS 2</v>
      </c>
      <c r="G18382" t="str">
        <f>"05-505"</f>
        <v>05-505</v>
      </c>
      <c r="H18382" t="str">
        <f>"B"</f>
        <v>B</v>
      </c>
    </row>
    <row r="18383" spans="1:8" x14ac:dyDescent="0.2">
      <c r="A18383" t="str">
        <f t="shared" ref="A18383:A18390" si="6661">"0613057514"</f>
        <v>0613057514</v>
      </c>
      <c r="B18383" t="str">
        <f t="shared" ref="B18383:B18390" si="6662">"MIRACLE"</f>
        <v>MIRACLE</v>
      </c>
      <c r="C18383" t="str">
        <f t="shared" ref="C18383:C18390" si="6663">"YEARGIN"</f>
        <v>YEARGIN</v>
      </c>
      <c r="D18383">
        <f>11</f>
        <v>11</v>
      </c>
      <c r="E18383" t="str">
        <f>"04 - A - 108 - Maried P Ramos"</f>
        <v>04 - A - 108 - Maried P Ramos</v>
      </c>
      <c r="F18383" t="str">
        <f>"GEOMETRY"</f>
        <v>GEOMETRY</v>
      </c>
      <c r="G18383" t="str">
        <f>"21-2159"</f>
        <v>21-2159</v>
      </c>
      <c r="H18383" t="str">
        <f>"A"</f>
        <v>A</v>
      </c>
    </row>
    <row r="18384" spans="1:8" x14ac:dyDescent="0.2">
      <c r="A18384" t="str">
        <f t="shared" si="6661"/>
        <v>0613057514</v>
      </c>
      <c r="B18384" t="str">
        <f t="shared" si="6662"/>
        <v>MIRACLE</v>
      </c>
      <c r="C18384" t="str">
        <f t="shared" si="6663"/>
        <v>YEARGIN</v>
      </c>
      <c r="D18384">
        <f>11</f>
        <v>11</v>
      </c>
      <c r="E18384" t="str">
        <f>"06 - B - 104 - Nahum  Saint-Preux"</f>
        <v>06 - B - 104 - Nahum  Saint-Preux</v>
      </c>
      <c r="F18384" t="str">
        <f>"INTENS READ 3"</f>
        <v>INTENS READ 3</v>
      </c>
      <c r="G18384" t="str">
        <f>"17-1712"</f>
        <v>17-1712</v>
      </c>
      <c r="H18384" t="str">
        <f>"B"</f>
        <v>B</v>
      </c>
    </row>
    <row r="18385" spans="1:8" x14ac:dyDescent="0.2">
      <c r="A18385" t="str">
        <f t="shared" si="6661"/>
        <v>0613057514</v>
      </c>
      <c r="B18385" t="str">
        <f t="shared" si="6662"/>
        <v>MIRACLE</v>
      </c>
      <c r="C18385" t="str">
        <f t="shared" si="6663"/>
        <v>YEARGIN</v>
      </c>
      <c r="D18385">
        <f>11</f>
        <v>11</v>
      </c>
      <c r="E18385" t="str">
        <f>"03 - A - 102 - Lisa  Quinn"</f>
        <v>03 - A - 102 - Lisa  Quinn</v>
      </c>
      <c r="F18385" t="str">
        <f>"ENG 3"</f>
        <v>ENG 3</v>
      </c>
      <c r="G18385" t="str">
        <f>"17-1725"</f>
        <v>17-1725</v>
      </c>
      <c r="H18385" t="str">
        <f>"A"</f>
        <v>A</v>
      </c>
    </row>
    <row r="18386" spans="1:8" x14ac:dyDescent="0.2">
      <c r="A18386" t="str">
        <f t="shared" si="6661"/>
        <v>0613057514</v>
      </c>
      <c r="B18386" t="str">
        <f t="shared" si="6662"/>
        <v>MIRACLE</v>
      </c>
      <c r="C18386" t="str">
        <f t="shared" si="6663"/>
        <v>YEARGIN</v>
      </c>
      <c r="D18386">
        <f>11</f>
        <v>11</v>
      </c>
      <c r="E18386" t="str">
        <f>"02 - A - 105 - Leslie J Barton"</f>
        <v>02 - A - 105 - Leslie J Barton</v>
      </c>
      <c r="F18386" t="str">
        <f>"NC STUDY HALL 1"</f>
        <v>NC STUDY HALL 1</v>
      </c>
      <c r="G18386" t="str">
        <f>"05-521"</f>
        <v>05-521</v>
      </c>
      <c r="H18386" t="str">
        <f>"A"</f>
        <v>A</v>
      </c>
    </row>
    <row r="18387" spans="1:8" x14ac:dyDescent="0.2">
      <c r="A18387" t="str">
        <f t="shared" si="6661"/>
        <v>0613057514</v>
      </c>
      <c r="B18387" t="str">
        <f t="shared" si="6662"/>
        <v>MIRACLE</v>
      </c>
      <c r="C18387" t="str">
        <f t="shared" si="6663"/>
        <v>YEARGIN</v>
      </c>
      <c r="D18387">
        <f>11</f>
        <v>11</v>
      </c>
      <c r="E18387" t="str">
        <f>"07 - B - 204 - Scott A Dethloff"</f>
        <v>07 - B - 204 - Scott A Dethloff</v>
      </c>
      <c r="F18387" t="str">
        <f>"CHEMISTRY 1"</f>
        <v>CHEMISTRY 1</v>
      </c>
      <c r="G18387" t="str">
        <f>"08-812"</f>
        <v>08-812</v>
      </c>
      <c r="H18387" t="str">
        <f>"B"</f>
        <v>B</v>
      </c>
    </row>
    <row r="18388" spans="1:8" x14ac:dyDescent="0.2">
      <c r="A18388" t="str">
        <f t="shared" si="6661"/>
        <v>0613057514</v>
      </c>
      <c r="B18388" t="str">
        <f t="shared" si="6662"/>
        <v>MIRACLE</v>
      </c>
      <c r="C18388" t="str">
        <f t="shared" si="6663"/>
        <v>YEARGIN</v>
      </c>
      <c r="D18388">
        <f>11</f>
        <v>11</v>
      </c>
      <c r="E18388" t="str">
        <f>"05 - B - 107 - Elizabeth Ellen  Moran"</f>
        <v>05 - B - 107 - Elizabeth Ellen  Moran</v>
      </c>
      <c r="F18388" t="str">
        <f>"US HISTORY"</f>
        <v>US HISTORY</v>
      </c>
      <c r="G18388" t="str">
        <f>"17-1752"</f>
        <v>17-1752</v>
      </c>
      <c r="H18388" t="str">
        <f>"B"</f>
        <v>B</v>
      </c>
    </row>
    <row r="18389" spans="1:8" x14ac:dyDescent="0.2">
      <c r="A18389" t="str">
        <f t="shared" si="6661"/>
        <v>0613057514</v>
      </c>
      <c r="B18389" t="str">
        <f t="shared" si="6662"/>
        <v>MIRACLE</v>
      </c>
      <c r="C18389" t="str">
        <f t="shared" si="6663"/>
        <v>YEARGIN</v>
      </c>
      <c r="D18389">
        <f>11</f>
        <v>11</v>
      </c>
      <c r="E18389" t="str">
        <f>"01 - A - 101 - Joe  Kilpatrick Jr"</f>
        <v>01 - A - 101 - Joe  Kilpatrick Jr</v>
      </c>
      <c r="F18389" t="str">
        <f>"PRE-AICE SPAN 1 IG"</f>
        <v>PRE-AICE SPAN 1 IG</v>
      </c>
      <c r="G18389" t="str">
        <f>"09-912"</f>
        <v>09-912</v>
      </c>
      <c r="H18389" t="str">
        <f>"A"</f>
        <v>A</v>
      </c>
    </row>
    <row r="18390" spans="1:8" x14ac:dyDescent="0.2">
      <c r="A18390" t="str">
        <f t="shared" si="6661"/>
        <v>0613057514</v>
      </c>
      <c r="B18390" t="str">
        <f t="shared" si="6662"/>
        <v>MIRACLE</v>
      </c>
      <c r="C18390" t="str">
        <f t="shared" si="6663"/>
        <v>YEARGIN</v>
      </c>
      <c r="D18390">
        <f>11</f>
        <v>11</v>
      </c>
      <c r="E18390" t="str">
        <f>"08 - S1 - B - 102 - Nahum  Saint-Preux"</f>
        <v>08 - S1 - B - 102 - Nahum  Saint-Preux</v>
      </c>
      <c r="F18390" t="str">
        <f>"CRIT THINK ST SKLS"</f>
        <v>CRIT THINK ST SKLS</v>
      </c>
      <c r="G18390" t="str">
        <f>"17-1712"</f>
        <v>17-1712</v>
      </c>
      <c r="H18390" t="str">
        <f>"B"</f>
        <v>B</v>
      </c>
    </row>
    <row r="18391" spans="1:8" x14ac:dyDescent="0.2">
      <c r="A18391" t="str">
        <f t="shared" ref="A18391:A18398" si="6664">"0623041536"</f>
        <v>0623041536</v>
      </c>
      <c r="B18391" t="str">
        <f t="shared" ref="B18391:B18398" si="6665">"JONAS"</f>
        <v>JONAS</v>
      </c>
      <c r="C18391" t="str">
        <f t="shared" ref="C18391:C18398" si="6666">"YNFANTE PENA"</f>
        <v>YNFANTE PENA</v>
      </c>
      <c r="D18391">
        <f>12</f>
        <v>12</v>
      </c>
      <c r="E18391" t="str">
        <f>"04 - A - 101 - Rosa Elaine  Collado-Duff"</f>
        <v>04 - A - 101 - Rosa Elaine  Collado-Duff</v>
      </c>
      <c r="F18391" t="str">
        <f>"AICE SPAN LANG AS"</f>
        <v>AICE SPAN LANG AS</v>
      </c>
      <c r="G18391" t="str">
        <f>"09-913"</f>
        <v>09-913</v>
      </c>
      <c r="H18391" t="str">
        <f>"A"</f>
        <v>A</v>
      </c>
    </row>
    <row r="18392" spans="1:8" x14ac:dyDescent="0.2">
      <c r="A18392" t="str">
        <f t="shared" si="6664"/>
        <v>0623041536</v>
      </c>
      <c r="B18392" t="str">
        <f t="shared" si="6665"/>
        <v>JONAS</v>
      </c>
      <c r="C18392" t="str">
        <f t="shared" si="6666"/>
        <v>YNFANTE PENA</v>
      </c>
      <c r="D18392">
        <f>12</f>
        <v>12</v>
      </c>
      <c r="E18392" t="str">
        <f>"06 - B - 101 - Cliffon  Saurel"</f>
        <v>06 - B - 101 - Cliffon  Saurel</v>
      </c>
      <c r="F18392" t="str">
        <f>"NC STUDY HALL 1"</f>
        <v>NC STUDY HALL 1</v>
      </c>
      <c r="G18392" t="str">
        <f>"05-522"</f>
        <v>05-522</v>
      </c>
      <c r="H18392" t="str">
        <f>"B"</f>
        <v>B</v>
      </c>
    </row>
    <row r="18393" spans="1:8" x14ac:dyDescent="0.2">
      <c r="A18393" t="str">
        <f t="shared" si="6664"/>
        <v>0623041536</v>
      </c>
      <c r="B18393" t="str">
        <f t="shared" si="6665"/>
        <v>JONAS</v>
      </c>
      <c r="C18393" t="str">
        <f t="shared" si="6666"/>
        <v>YNFANTE PENA</v>
      </c>
      <c r="D18393">
        <f>12</f>
        <v>12</v>
      </c>
      <c r="E18393" t="str">
        <f>"03 - A - 101 - Tina L Lovett"</f>
        <v>03 - A - 101 - Tina L Lovett</v>
      </c>
      <c r="F18393" t="str">
        <f>"MATH DATA &amp; FIN LIT"</f>
        <v>MATH DATA &amp; FIN LIT</v>
      </c>
      <c r="G18393" t="str">
        <f>"21-2153"</f>
        <v>21-2153</v>
      </c>
      <c r="H18393" t="str">
        <f>"A"</f>
        <v>A</v>
      </c>
    </row>
    <row r="18394" spans="1:8" x14ac:dyDescent="0.2">
      <c r="A18394" t="str">
        <f t="shared" si="6664"/>
        <v>0623041536</v>
      </c>
      <c r="B18394" t="str">
        <f t="shared" si="6665"/>
        <v>JONAS</v>
      </c>
      <c r="C18394" t="str">
        <f t="shared" si="6666"/>
        <v>YNFANTE PENA</v>
      </c>
      <c r="D18394">
        <f>12</f>
        <v>12</v>
      </c>
      <c r="E18394" t="str">
        <f>"02 - A - 101 - Nahum  Saint-Preux"</f>
        <v>02 - A - 101 - Nahum  Saint-Preux</v>
      </c>
      <c r="F18394" t="str">
        <f>"INTENS READ 4"</f>
        <v>INTENS READ 4</v>
      </c>
      <c r="G18394" t="str">
        <f>"17-1712"</f>
        <v>17-1712</v>
      </c>
      <c r="H18394" t="str">
        <f>"A"</f>
        <v>A</v>
      </c>
    </row>
    <row r="18395" spans="1:8" x14ac:dyDescent="0.2">
      <c r="A18395" t="str">
        <f t="shared" si="6664"/>
        <v>0623041536</v>
      </c>
      <c r="B18395" t="str">
        <f t="shared" si="6665"/>
        <v>JONAS</v>
      </c>
      <c r="C18395" t="str">
        <f t="shared" si="6666"/>
        <v>YNFANTE PENA</v>
      </c>
      <c r="D18395">
        <f>12</f>
        <v>12</v>
      </c>
      <c r="E18395" t="str">
        <f>"07 - S1 - B - 103 - Leslie J Barton"</f>
        <v>07 - S1 - B - 103 - Leslie J Barton</v>
      </c>
      <c r="F18395" t="str">
        <f>"TEAM SPORTS 1"</f>
        <v>TEAM SPORTS 1</v>
      </c>
      <c r="G18395" t="str">
        <f>"04-254"</f>
        <v>04-254</v>
      </c>
      <c r="H18395" t="str">
        <f>"B"</f>
        <v>B</v>
      </c>
    </row>
    <row r="18396" spans="1:8" x14ac:dyDescent="0.2">
      <c r="A18396" t="str">
        <f t="shared" si="6664"/>
        <v>0623041536</v>
      </c>
      <c r="B18396" t="str">
        <f t="shared" si="6665"/>
        <v>JONAS</v>
      </c>
      <c r="C18396" t="str">
        <f t="shared" si="6666"/>
        <v>YNFANTE PENA</v>
      </c>
      <c r="D18396">
        <f>12</f>
        <v>12</v>
      </c>
      <c r="E18396" t="str">
        <f>"05 - B - 204 - Cliffon  Saurel"</f>
        <v>05 - B - 204 - Cliffon  Saurel</v>
      </c>
      <c r="F18396" t="str">
        <f>"PHYSICAL SCI"</f>
        <v>PHYSICAL SCI</v>
      </c>
      <c r="G18396" t="str">
        <f>"05-522"</f>
        <v>05-522</v>
      </c>
      <c r="H18396" t="str">
        <f>"B"</f>
        <v>B</v>
      </c>
    </row>
    <row r="18397" spans="1:8" x14ac:dyDescent="0.2">
      <c r="A18397" t="str">
        <f t="shared" si="6664"/>
        <v>0623041536</v>
      </c>
      <c r="B18397" t="str">
        <f t="shared" si="6665"/>
        <v>JONAS</v>
      </c>
      <c r="C18397" t="str">
        <f t="shared" si="6666"/>
        <v>YNFANTE PENA</v>
      </c>
      <c r="D18397">
        <f>12</f>
        <v>12</v>
      </c>
      <c r="E18397" t="str">
        <f>"01 - S1 - A - 101 - Robert O Burger"</f>
        <v>01 - S1 - A - 101 - Robert O Burger</v>
      </c>
      <c r="F18397" t="str">
        <f>"US GOVT"</f>
        <v>US GOVT</v>
      </c>
      <c r="G18397" t="str">
        <f>"17-1755"</f>
        <v>17-1755</v>
      </c>
      <c r="H18397" t="str">
        <f>"A"</f>
        <v>A</v>
      </c>
    </row>
    <row r="18398" spans="1:8" x14ac:dyDescent="0.2">
      <c r="A18398" t="str">
        <f t="shared" si="6664"/>
        <v>0623041536</v>
      </c>
      <c r="B18398" t="str">
        <f t="shared" si="6665"/>
        <v>JONAS</v>
      </c>
      <c r="C18398" t="str">
        <f t="shared" si="6666"/>
        <v>YNFANTE PENA</v>
      </c>
      <c r="D18398">
        <f>12</f>
        <v>12</v>
      </c>
      <c r="E18398" t="str">
        <f>"08 - B - 206 - Robyn L Trainer"</f>
        <v>08 - B - 206 - Robyn L Trainer</v>
      </c>
      <c r="F18398" t="str">
        <f>"ENG 4: FL COLL PREP"</f>
        <v>ENG 4: FL COLL PREP</v>
      </c>
      <c r="G18398" t="str">
        <f>"17-1734"</f>
        <v>17-1734</v>
      </c>
      <c r="H18398" t="str">
        <f>"B"</f>
        <v>B</v>
      </c>
    </row>
    <row r="18399" spans="1:8" x14ac:dyDescent="0.2">
      <c r="A18399" t="str">
        <f t="shared" ref="A18399:A18406" si="6667">"0614144108"</f>
        <v>0614144108</v>
      </c>
      <c r="B18399" t="str">
        <f t="shared" ref="B18399:B18406" si="6668">"JAHMARI"</f>
        <v>JAHMARI</v>
      </c>
      <c r="C18399" t="str">
        <f t="shared" ref="C18399:C18406" si="6669">"YORK"</f>
        <v>YORK</v>
      </c>
      <c r="D18399">
        <f>11</f>
        <v>11</v>
      </c>
      <c r="E18399" t="str">
        <f>"04 - A - 103 - Cliffon  Saurel"</f>
        <v>04 - A - 103 - Cliffon  Saurel</v>
      </c>
      <c r="F18399" t="str">
        <f>"PHYSICAL SCI"</f>
        <v>PHYSICAL SCI</v>
      </c>
      <c r="G18399" t="str">
        <f>"05-522"</f>
        <v>05-522</v>
      </c>
      <c r="H18399" t="str">
        <f>"A"</f>
        <v>A</v>
      </c>
    </row>
    <row r="18400" spans="1:8" x14ac:dyDescent="0.2">
      <c r="A18400" t="str">
        <f t="shared" si="6667"/>
        <v>0614144108</v>
      </c>
      <c r="B18400" t="str">
        <f t="shared" si="6668"/>
        <v>JAHMARI</v>
      </c>
      <c r="C18400" t="str">
        <f t="shared" si="6669"/>
        <v>YORK</v>
      </c>
      <c r="D18400">
        <f>11</f>
        <v>11</v>
      </c>
      <c r="E18400" t="str">
        <f>"06 - B - 105 - Arthur  Kulawik"</f>
        <v>06 - B - 105 - Arthur  Kulawik</v>
      </c>
      <c r="F18400" t="str">
        <f>"ENG 3"</f>
        <v>ENG 3</v>
      </c>
      <c r="G18400" t="str">
        <f>"05-506"</f>
        <v>05-506</v>
      </c>
      <c r="H18400" t="str">
        <f>"B"</f>
        <v>B</v>
      </c>
    </row>
    <row r="18401" spans="1:8" x14ac:dyDescent="0.2">
      <c r="A18401" t="str">
        <f t="shared" si="6667"/>
        <v>0614144108</v>
      </c>
      <c r="B18401" t="str">
        <f t="shared" si="6668"/>
        <v>JAHMARI</v>
      </c>
      <c r="C18401" t="str">
        <f t="shared" si="6669"/>
        <v>YORK</v>
      </c>
      <c r="D18401">
        <f>11</f>
        <v>11</v>
      </c>
      <c r="E18401" t="str">
        <f>"03 - A - 201 - Alejandro  Navarro"</f>
        <v>03 - A - 201 - Alejandro  Navarro</v>
      </c>
      <c r="F18401" t="str">
        <f>"BAND 2"</f>
        <v>BAND 2</v>
      </c>
      <c r="G18401" t="str">
        <f>"05-504"</f>
        <v>05-504</v>
      </c>
      <c r="H18401" t="str">
        <f>"A"</f>
        <v>A</v>
      </c>
    </row>
    <row r="18402" spans="1:8" x14ac:dyDescent="0.2">
      <c r="A18402" t="str">
        <f t="shared" si="6667"/>
        <v>0614144108</v>
      </c>
      <c r="B18402" t="str">
        <f t="shared" si="6668"/>
        <v>JAHMARI</v>
      </c>
      <c r="C18402" t="str">
        <f t="shared" si="6669"/>
        <v>YORK</v>
      </c>
      <c r="D18402">
        <f>11</f>
        <v>11</v>
      </c>
      <c r="E18402" t="str">
        <f>"02 - A - 001 - Courtney E Hambright"</f>
        <v>02 - A - 001 - Courtney E Hambright</v>
      </c>
      <c r="F18402" t="str">
        <f>"NC STUDY HALL 1"</f>
        <v>NC STUDY HALL 1</v>
      </c>
      <c r="G18402" t="str">
        <f>"17-1711"</f>
        <v>17-1711</v>
      </c>
      <c r="H18402" t="str">
        <f>"A"</f>
        <v>A</v>
      </c>
    </row>
    <row r="18403" spans="1:8" x14ac:dyDescent="0.2">
      <c r="A18403" t="str">
        <f t="shared" si="6667"/>
        <v>0614144108</v>
      </c>
      <c r="B18403" t="str">
        <f t="shared" si="6668"/>
        <v>JAHMARI</v>
      </c>
      <c r="C18403" t="str">
        <f t="shared" si="6669"/>
        <v>YORK</v>
      </c>
      <c r="D18403">
        <f>11</f>
        <v>11</v>
      </c>
      <c r="E18403" t="str">
        <f>"07 - B - 110 - Ferrie J Arostique"</f>
        <v>07 - B - 110 - Ferrie J Arostique</v>
      </c>
      <c r="F18403" t="str">
        <f>"GEOMETRY"</f>
        <v>GEOMETRY</v>
      </c>
      <c r="G18403" t="str">
        <f>"21-2139"</f>
        <v>21-2139</v>
      </c>
      <c r="H18403" t="str">
        <f>"B"</f>
        <v>B</v>
      </c>
    </row>
    <row r="18404" spans="1:8" x14ac:dyDescent="0.2">
      <c r="A18404" t="str">
        <f t="shared" si="6667"/>
        <v>0614144108</v>
      </c>
      <c r="B18404" t="str">
        <f t="shared" si="6668"/>
        <v>JAHMARI</v>
      </c>
      <c r="C18404" t="str">
        <f t="shared" si="6669"/>
        <v>YORK</v>
      </c>
      <c r="D18404">
        <f>11</f>
        <v>11</v>
      </c>
      <c r="E18404" t="str">
        <f>"05 - B - 103 - Nahum  Saint-Preux"</f>
        <v>05 - B - 103 - Nahum  Saint-Preux</v>
      </c>
      <c r="F18404" t="str">
        <f>"INTENS READ 3"</f>
        <v>INTENS READ 3</v>
      </c>
      <c r="G18404" t="str">
        <f>"17-1712"</f>
        <v>17-1712</v>
      </c>
      <c r="H18404" t="str">
        <f>"B"</f>
        <v>B</v>
      </c>
    </row>
    <row r="18405" spans="1:8" x14ac:dyDescent="0.2">
      <c r="A18405" t="str">
        <f t="shared" si="6667"/>
        <v>0614144108</v>
      </c>
      <c r="B18405" t="str">
        <f t="shared" si="6668"/>
        <v>JAHMARI</v>
      </c>
      <c r="C18405" t="str">
        <f t="shared" si="6669"/>
        <v>YORK</v>
      </c>
      <c r="D18405">
        <f>11</f>
        <v>11</v>
      </c>
      <c r="E18405" t="str">
        <f>"01 - A - 107 - Jazmin S Fletcher"</f>
        <v>01 - A - 107 - Jazmin S Fletcher</v>
      </c>
      <c r="F18405" t="str">
        <f>"WORLD HISTORY"</f>
        <v>WORLD HISTORY</v>
      </c>
      <c r="G18405" t="str">
        <f>"09-909"</f>
        <v>09-909</v>
      </c>
      <c r="H18405" t="str">
        <f>"A"</f>
        <v>A</v>
      </c>
    </row>
    <row r="18406" spans="1:8" x14ac:dyDescent="0.2">
      <c r="A18406" t="str">
        <f t="shared" si="6667"/>
        <v>0614144108</v>
      </c>
      <c r="B18406" t="str">
        <f t="shared" si="6668"/>
        <v>JAHMARI</v>
      </c>
      <c r="C18406" t="str">
        <f t="shared" si="6669"/>
        <v>YORK</v>
      </c>
      <c r="D18406">
        <f>11</f>
        <v>11</v>
      </c>
      <c r="E18406" t="str">
        <f>"08 - B - 109 - Lauren N Logan"</f>
        <v>08 - B - 109 - Lauren N Logan</v>
      </c>
      <c r="F18406" t="str">
        <f>"US HISTORY"</f>
        <v>US HISTORY</v>
      </c>
      <c r="G18406" t="str">
        <f>"17-1754"</f>
        <v>17-1754</v>
      </c>
      <c r="H18406" t="str">
        <f>"B"</f>
        <v>B</v>
      </c>
    </row>
    <row r="18407" spans="1:8" x14ac:dyDescent="0.2">
      <c r="A18407" t="str">
        <f t="shared" ref="A18407:A18414" si="6670">"0616072408"</f>
        <v>0616072408</v>
      </c>
      <c r="B18407" t="str">
        <f t="shared" ref="B18407:B18414" si="6671">"EMMA"</f>
        <v>EMMA</v>
      </c>
      <c r="C18407" t="str">
        <f t="shared" ref="C18407:C18439" si="6672">"YOUNG"</f>
        <v>YOUNG</v>
      </c>
      <c r="D18407" t="str">
        <f t="shared" ref="D18407:D18414" si="6673">"09"</f>
        <v>09</v>
      </c>
      <c r="E18407" t="str">
        <f>"04 - A - 106 - Ferrie J Arostique"</f>
        <v>04 - A - 106 - Ferrie J Arostique</v>
      </c>
      <c r="F18407" t="str">
        <f>"PRE-AICE MATH 2 IG"</f>
        <v>PRE-AICE MATH 2 IG</v>
      </c>
      <c r="G18407" t="str">
        <f>"21-2139"</f>
        <v>21-2139</v>
      </c>
      <c r="H18407" t="str">
        <f>"A"</f>
        <v>A</v>
      </c>
    </row>
    <row r="18408" spans="1:8" x14ac:dyDescent="0.2">
      <c r="A18408" t="str">
        <f t="shared" si="6670"/>
        <v>0616072408</v>
      </c>
      <c r="B18408" t="str">
        <f t="shared" si="6671"/>
        <v>EMMA</v>
      </c>
      <c r="C18408" t="str">
        <f t="shared" si="6672"/>
        <v>YOUNG</v>
      </c>
      <c r="D18408" t="str">
        <f t="shared" si="6673"/>
        <v>09</v>
      </c>
      <c r="E18408" t="str">
        <f>"06 - B - 105 - Cerine S Stewart"</f>
        <v>06 - B - 105 - Cerine S Stewart</v>
      </c>
      <c r="F18408" t="str">
        <f>"AICE ENG GEN PAPER 1"</f>
        <v>AICE ENG GEN PAPER 1</v>
      </c>
      <c r="G18408" t="str">
        <f>"17-1720"</f>
        <v>17-1720</v>
      </c>
      <c r="H18408" t="str">
        <f>"B"</f>
        <v>B</v>
      </c>
    </row>
    <row r="18409" spans="1:8" x14ac:dyDescent="0.2">
      <c r="A18409" t="str">
        <f t="shared" si="6670"/>
        <v>0616072408</v>
      </c>
      <c r="B18409" t="str">
        <f t="shared" si="6671"/>
        <v>EMMA</v>
      </c>
      <c r="C18409" t="str">
        <f t="shared" si="6672"/>
        <v>YOUNG</v>
      </c>
      <c r="D18409" t="str">
        <f t="shared" si="6673"/>
        <v>09</v>
      </c>
      <c r="E18409" t="str">
        <f>"03 - A - 201 - Christa T Parisi"</f>
        <v>03 - A - 201 - Christa T Parisi</v>
      </c>
      <c r="F18409" t="str">
        <f>"DANCE TECHNQS 1"</f>
        <v>DANCE TECHNQS 1</v>
      </c>
      <c r="G18409" t="str">
        <f>"05-503"</f>
        <v>05-503</v>
      </c>
      <c r="H18409" t="str">
        <f>"A"</f>
        <v>A</v>
      </c>
    </row>
    <row r="18410" spans="1:8" x14ac:dyDescent="0.2">
      <c r="A18410" t="str">
        <f t="shared" si="6670"/>
        <v>0616072408</v>
      </c>
      <c r="B18410" t="str">
        <f t="shared" si="6671"/>
        <v>EMMA</v>
      </c>
      <c r="C18410" t="str">
        <f t="shared" si="6672"/>
        <v>YOUNG</v>
      </c>
      <c r="D18410" t="str">
        <f t="shared" si="6673"/>
        <v>09</v>
      </c>
      <c r="E18410" t="str">
        <f>"02 - A - 101 - Josiah I Lacy"</f>
        <v>02 - A - 101 - Josiah I Lacy</v>
      </c>
      <c r="F18410" t="str">
        <f>"NC STUDY HALL 1"</f>
        <v>NC STUDY HALL 1</v>
      </c>
      <c r="G18410" t="str">
        <f>"08-801"</f>
        <v>08-801</v>
      </c>
      <c r="H18410" t="str">
        <f>"A"</f>
        <v>A</v>
      </c>
    </row>
    <row r="18411" spans="1:8" x14ac:dyDescent="0.2">
      <c r="A18411" t="str">
        <f t="shared" si="6670"/>
        <v>0616072408</v>
      </c>
      <c r="B18411" t="str">
        <f t="shared" si="6671"/>
        <v>EMMA</v>
      </c>
      <c r="C18411" t="str">
        <f t="shared" si="6672"/>
        <v>YOUNG</v>
      </c>
      <c r="D18411" t="str">
        <f t="shared" si="6673"/>
        <v>09</v>
      </c>
      <c r="E18411" t="str">
        <f>"07 - B - 103 - Vanessa J Liburd"</f>
        <v>07 - B - 103 - Vanessa J Liburd</v>
      </c>
      <c r="F18411" t="str">
        <f>"PRE-AICE FRENCH 1 IG"</f>
        <v>PRE-AICE FRENCH 1 IG</v>
      </c>
      <c r="G18411" t="str">
        <f>"05-519"</f>
        <v>05-519</v>
      </c>
      <c r="H18411" t="str">
        <f>"B"</f>
        <v>B</v>
      </c>
    </row>
    <row r="18412" spans="1:8" x14ac:dyDescent="0.2">
      <c r="A18412" t="str">
        <f t="shared" si="6670"/>
        <v>0616072408</v>
      </c>
      <c r="B18412" t="str">
        <f t="shared" si="6671"/>
        <v>EMMA</v>
      </c>
      <c r="C18412" t="str">
        <f t="shared" si="6672"/>
        <v>YOUNG</v>
      </c>
      <c r="D18412" t="str">
        <f t="shared" si="6673"/>
        <v>09</v>
      </c>
      <c r="E18412" t="str">
        <f>"05 - B - 201 - Jazmin S Fletcher"</f>
        <v>05 - B - 201 - Jazmin S Fletcher</v>
      </c>
      <c r="F18412" t="str">
        <f>"THEATRE 1"</f>
        <v>THEATRE 1</v>
      </c>
      <c r="G18412" t="str">
        <f>"09-909"</f>
        <v>09-909</v>
      </c>
      <c r="H18412" t="str">
        <f>"B"</f>
        <v>B</v>
      </c>
    </row>
    <row r="18413" spans="1:8" x14ac:dyDescent="0.2">
      <c r="A18413" t="str">
        <f t="shared" si="6670"/>
        <v>0616072408</v>
      </c>
      <c r="B18413" t="str">
        <f t="shared" si="6671"/>
        <v>EMMA</v>
      </c>
      <c r="C18413" t="str">
        <f t="shared" si="6672"/>
        <v>YOUNG</v>
      </c>
      <c r="D18413" t="str">
        <f t="shared" si="6673"/>
        <v>09</v>
      </c>
      <c r="E18413" t="str">
        <f>"01 - A - 101 - Byron G Montenegro"</f>
        <v>01 - A - 101 - Byron G Montenegro</v>
      </c>
      <c r="F18413" t="str">
        <f>"AICE MARINE SCI 1 AS"</f>
        <v>AICE MARINE SCI 1 AS</v>
      </c>
      <c r="G18413" t="str">
        <f>"21-2144"</f>
        <v>21-2144</v>
      </c>
      <c r="H18413" t="str">
        <f>"A"</f>
        <v>A</v>
      </c>
    </row>
    <row r="18414" spans="1:8" x14ac:dyDescent="0.2">
      <c r="A18414" t="str">
        <f t="shared" si="6670"/>
        <v>0616072408</v>
      </c>
      <c r="B18414" t="str">
        <f t="shared" si="6671"/>
        <v>EMMA</v>
      </c>
      <c r="C18414" t="str">
        <f t="shared" si="6672"/>
        <v>YOUNG</v>
      </c>
      <c r="D18414" t="str">
        <f t="shared" si="6673"/>
        <v>09</v>
      </c>
      <c r="E18414" t="str">
        <f>"08 - B - 109 - Emmily A Sarmiento"</f>
        <v>08 - B - 109 - Emmily A Sarmiento</v>
      </c>
      <c r="F18414" t="str">
        <f>"AICE GLBL PERSP 1 AS"</f>
        <v>AICE GLBL PERSP 1 AS</v>
      </c>
      <c r="G18414" t="str">
        <f>"17-1743"</f>
        <v>17-1743</v>
      </c>
      <c r="H18414" t="str">
        <f>"B"</f>
        <v>B</v>
      </c>
    </row>
    <row r="18415" spans="1:8" x14ac:dyDescent="0.2">
      <c r="A18415" t="str">
        <f t="shared" ref="A18415:A18422" si="6674">"0613129277"</f>
        <v>0613129277</v>
      </c>
      <c r="B18415" t="str">
        <f t="shared" ref="B18415:B18422" si="6675">"JAHRICK"</f>
        <v>JAHRICK</v>
      </c>
      <c r="C18415" t="str">
        <f t="shared" si="6672"/>
        <v>YOUNG</v>
      </c>
      <c r="D18415">
        <f>12</f>
        <v>12</v>
      </c>
      <c r="E18415" t="str">
        <f>"04 - S1 - A - 106 - Kelly N Panza"</f>
        <v>04 - S1 - A - 106 - Kelly N Panza</v>
      </c>
      <c r="F18415" t="str">
        <f>"US GOVT HON"</f>
        <v>US GOVT HON</v>
      </c>
      <c r="G18415" t="str">
        <f>"17-1753"</f>
        <v>17-1753</v>
      </c>
      <c r="H18415" t="str">
        <f>"A"</f>
        <v>A</v>
      </c>
    </row>
    <row r="18416" spans="1:8" x14ac:dyDescent="0.2">
      <c r="A18416" t="str">
        <f t="shared" si="6674"/>
        <v>0613129277</v>
      </c>
      <c r="B18416" t="str">
        <f t="shared" si="6675"/>
        <v>JAHRICK</v>
      </c>
      <c r="C18416" t="str">
        <f t="shared" si="6672"/>
        <v>YOUNG</v>
      </c>
      <c r="D18416">
        <f>12</f>
        <v>12</v>
      </c>
      <c r="E18416" t="str">
        <f>"06 - B - 112 - Lisa  Quinn"</f>
        <v>06 - B - 112 - Lisa  Quinn</v>
      </c>
      <c r="F18416" t="str">
        <f>"NC STUDY HALL 1"</f>
        <v>NC STUDY HALL 1</v>
      </c>
      <c r="G18416" t="str">
        <f>"17-1725"</f>
        <v>17-1725</v>
      </c>
      <c r="H18416" t="str">
        <f>"B"</f>
        <v>B</v>
      </c>
    </row>
    <row r="18417" spans="1:8" x14ac:dyDescent="0.2">
      <c r="A18417" t="str">
        <f t="shared" si="6674"/>
        <v>0613129277</v>
      </c>
      <c r="B18417" t="str">
        <f t="shared" si="6675"/>
        <v>JAHRICK</v>
      </c>
      <c r="C18417" t="str">
        <f t="shared" si="6672"/>
        <v>YOUNG</v>
      </c>
      <c r="D18417">
        <f>12</f>
        <v>12</v>
      </c>
      <c r="E18417" t="str">
        <f>"03 - A - 101 - Rosa Elaine  Collado-Duff"</f>
        <v>03 - A - 101 - Rosa Elaine  Collado-Duff</v>
      </c>
      <c r="F18417" t="str">
        <f>"SPANISH 3 HON"</f>
        <v>SPANISH 3 HON</v>
      </c>
      <c r="G18417" t="str">
        <f>"09-913"</f>
        <v>09-913</v>
      </c>
      <c r="H18417" t="str">
        <f>"A"</f>
        <v>A</v>
      </c>
    </row>
    <row r="18418" spans="1:8" x14ac:dyDescent="0.2">
      <c r="A18418" t="str">
        <f t="shared" si="6674"/>
        <v>0613129277</v>
      </c>
      <c r="B18418" t="str">
        <f t="shared" si="6675"/>
        <v>JAHRICK</v>
      </c>
      <c r="C18418" t="str">
        <f t="shared" si="6672"/>
        <v>YOUNG</v>
      </c>
      <c r="D18418">
        <f>12</f>
        <v>12</v>
      </c>
      <c r="E18418" t="str">
        <f>"02 - A - 104 - Scott A Dethloff"</f>
        <v>02 - A - 104 - Scott A Dethloff</v>
      </c>
      <c r="F18418" t="str">
        <f>"CHEMISTRY 1 HON"</f>
        <v>CHEMISTRY 1 HON</v>
      </c>
      <c r="G18418" t="str">
        <f>"08-812"</f>
        <v>08-812</v>
      </c>
      <c r="H18418" t="str">
        <f>"A"</f>
        <v>A</v>
      </c>
    </row>
    <row r="18419" spans="1:8" x14ac:dyDescent="0.2">
      <c r="A18419" t="str">
        <f t="shared" si="6674"/>
        <v>0613129277</v>
      </c>
      <c r="B18419" t="str">
        <f t="shared" si="6675"/>
        <v>JAHRICK</v>
      </c>
      <c r="C18419" t="str">
        <f t="shared" si="6672"/>
        <v>YOUNG</v>
      </c>
      <c r="D18419">
        <f>12</f>
        <v>12</v>
      </c>
      <c r="E18419" t="str">
        <f>"07 - B - 102 - Thomas G Handwerg"</f>
        <v>07 - B - 102 - Thomas G Handwerg</v>
      </c>
      <c r="F18419" t="str">
        <f>"PROB STAT W/APPS HON"</f>
        <v>PROB STAT W/APPS HON</v>
      </c>
      <c r="G18419" t="str">
        <f>"21-2146"</f>
        <v>21-2146</v>
      </c>
      <c r="H18419" t="str">
        <f>"B"</f>
        <v>B</v>
      </c>
    </row>
    <row r="18420" spans="1:8" x14ac:dyDescent="0.2">
      <c r="A18420" t="str">
        <f t="shared" si="6674"/>
        <v>0613129277</v>
      </c>
      <c r="B18420" t="str">
        <f t="shared" si="6675"/>
        <v>JAHRICK</v>
      </c>
      <c r="C18420" t="str">
        <f t="shared" si="6672"/>
        <v>YOUNG</v>
      </c>
      <c r="D18420">
        <f>12</f>
        <v>12</v>
      </c>
      <c r="E18420" t="str">
        <f>"05 - S1 - B - 102 - Lissa C Frederique"</f>
        <v>05 - S1 - B - 102 - Lissa C Frederique</v>
      </c>
      <c r="F18420" t="str">
        <f>"PERS FIN &amp; MON MGT H"</f>
        <v>PERS FIN &amp; MON MGT H</v>
      </c>
      <c r="G18420" t="str">
        <f>"17-1754"</f>
        <v>17-1754</v>
      </c>
      <c r="H18420" t="str">
        <f>"B"</f>
        <v>B</v>
      </c>
    </row>
    <row r="18421" spans="1:8" x14ac:dyDescent="0.2">
      <c r="A18421" t="str">
        <f t="shared" si="6674"/>
        <v>0613129277</v>
      </c>
      <c r="B18421" t="str">
        <f t="shared" si="6675"/>
        <v>JAHRICK</v>
      </c>
      <c r="C18421" t="str">
        <f t="shared" si="6672"/>
        <v>YOUNG</v>
      </c>
      <c r="D18421">
        <f>12</f>
        <v>12</v>
      </c>
      <c r="E18421" t="str">
        <f>"01 - S1 - A - 101 - Leslie J Barton"</f>
        <v>01 - S1 - A - 101 - Leslie J Barton</v>
      </c>
      <c r="F18421" t="str">
        <f>"FIRST AID SAFETY"</f>
        <v>FIRST AID SAFETY</v>
      </c>
      <c r="G18421" t="str">
        <f>"05-521"</f>
        <v>05-521</v>
      </c>
      <c r="H18421" t="str">
        <f>"A"</f>
        <v>A</v>
      </c>
    </row>
    <row r="18422" spans="1:8" x14ac:dyDescent="0.2">
      <c r="A18422" t="str">
        <f t="shared" si="6674"/>
        <v>0613129277</v>
      </c>
      <c r="B18422" t="str">
        <f t="shared" si="6675"/>
        <v>JAHRICK</v>
      </c>
      <c r="C18422" t="str">
        <f t="shared" si="6672"/>
        <v>YOUNG</v>
      </c>
      <c r="D18422">
        <f>12</f>
        <v>12</v>
      </c>
      <c r="E18422" t="str">
        <f>"08 - B - 105 - Jeffrey S Gallagher"</f>
        <v>08 - B - 105 - Jeffrey S Gallagher</v>
      </c>
      <c r="F18422" t="str">
        <f>"ENG HON 4"</f>
        <v>ENG HON 4</v>
      </c>
      <c r="G18422" t="str">
        <f>"17-1724"</f>
        <v>17-1724</v>
      </c>
      <c r="H18422" t="str">
        <f>"B"</f>
        <v>B</v>
      </c>
    </row>
    <row r="18423" spans="1:8" x14ac:dyDescent="0.2">
      <c r="A18423" t="str">
        <f t="shared" ref="A18423:A18430" si="6676">"0614034285"</f>
        <v>0614034285</v>
      </c>
      <c r="B18423" t="str">
        <f t="shared" ref="B18423:B18430" si="6677">"JASON"</f>
        <v>JASON</v>
      </c>
      <c r="C18423" t="str">
        <f t="shared" si="6672"/>
        <v>YOUNG</v>
      </c>
      <c r="D18423">
        <f>12</f>
        <v>12</v>
      </c>
      <c r="E18423" t="str">
        <f>"04 - S1 - A - 104 - Richard E Dunbar Iii"</f>
        <v>04 - S1 - A - 104 - Richard E Dunbar Iii</v>
      </c>
      <c r="F18423" t="str">
        <f>"WEIGHT TRAIN 1"</f>
        <v>WEIGHT TRAIN 1</v>
      </c>
      <c r="G18423" t="str">
        <f>"05-501"</f>
        <v>05-501</v>
      </c>
      <c r="H18423" t="str">
        <f>"A"</f>
        <v>A</v>
      </c>
    </row>
    <row r="18424" spans="1:8" x14ac:dyDescent="0.2">
      <c r="A18424" t="str">
        <f t="shared" si="6676"/>
        <v>0614034285</v>
      </c>
      <c r="B18424" t="str">
        <f t="shared" si="6677"/>
        <v>JASON</v>
      </c>
      <c r="C18424" t="str">
        <f t="shared" si="6672"/>
        <v>YOUNG</v>
      </c>
      <c r="D18424">
        <f>12</f>
        <v>12</v>
      </c>
      <c r="E18424" t="str">
        <f>"06 - B - 107 - Pamela M Corzo"</f>
        <v>06 - B - 107 - Pamela M Corzo</v>
      </c>
      <c r="F18424" t="str">
        <f>"NC STUDY HALL 1"</f>
        <v>NC STUDY HALL 1</v>
      </c>
      <c r="G18424" t="str">
        <f>"21-2133"</f>
        <v>21-2133</v>
      </c>
      <c r="H18424" t="str">
        <f>"B"</f>
        <v>B</v>
      </c>
    </row>
    <row r="18425" spans="1:8" x14ac:dyDescent="0.2">
      <c r="A18425" t="str">
        <f t="shared" si="6676"/>
        <v>0614034285</v>
      </c>
      <c r="B18425" t="str">
        <f t="shared" si="6677"/>
        <v>JASON</v>
      </c>
      <c r="C18425" t="str">
        <f t="shared" si="6672"/>
        <v>YOUNG</v>
      </c>
      <c r="D18425">
        <f>12</f>
        <v>12</v>
      </c>
      <c r="E18425" t="str">
        <f>"03 - A - 204 - Norayda D Suarez"</f>
        <v>03 - A - 204 - Norayda D Suarez</v>
      </c>
      <c r="F18425" t="str">
        <f>"ANAT PHYSIO HON"</f>
        <v>ANAT PHYSIO HON</v>
      </c>
      <c r="G18425" t="str">
        <f>"21-2144"</f>
        <v>21-2144</v>
      </c>
      <c r="H18425" t="str">
        <f>"A"</f>
        <v>A</v>
      </c>
    </row>
    <row r="18426" spans="1:8" x14ac:dyDescent="0.2">
      <c r="A18426" t="str">
        <f t="shared" si="6676"/>
        <v>0614034285</v>
      </c>
      <c r="B18426" t="str">
        <f t="shared" si="6677"/>
        <v>JASON</v>
      </c>
      <c r="C18426" t="str">
        <f t="shared" si="6672"/>
        <v>YOUNG</v>
      </c>
      <c r="D18426">
        <f>12</f>
        <v>12</v>
      </c>
      <c r="E18426" t="str">
        <f>"02 - A - 102 - Jeffrey S Gallagher"</f>
        <v>02 - A - 102 - Jeffrey S Gallagher</v>
      </c>
      <c r="F18426" t="str">
        <f>"ENG HON 4"</f>
        <v>ENG HON 4</v>
      </c>
      <c r="G18426" t="str">
        <f>"17-1724"</f>
        <v>17-1724</v>
      </c>
      <c r="H18426" t="str">
        <f>"A"</f>
        <v>A</v>
      </c>
    </row>
    <row r="18427" spans="1:8" x14ac:dyDescent="0.2">
      <c r="A18427" t="str">
        <f t="shared" si="6676"/>
        <v>0614034285</v>
      </c>
      <c r="B18427" t="str">
        <f t="shared" si="6677"/>
        <v>JASON</v>
      </c>
      <c r="C18427" t="str">
        <f t="shared" si="6672"/>
        <v>YOUNG</v>
      </c>
      <c r="D18427">
        <f>12</f>
        <v>12</v>
      </c>
      <c r="E18427" t="str">
        <f>"07 - B - 105 - Robert H Rindner"</f>
        <v>07 - B - 105 - Robert H Rindner</v>
      </c>
      <c r="F18427" t="str">
        <f>"MATH DATA&amp;FIN LIT H"</f>
        <v>MATH DATA&amp;FIN LIT H</v>
      </c>
      <c r="G18427" t="str">
        <f>"21-2160"</f>
        <v>21-2160</v>
      </c>
      <c r="H18427" t="str">
        <f>"B"</f>
        <v>B</v>
      </c>
    </row>
    <row r="18428" spans="1:8" x14ac:dyDescent="0.2">
      <c r="A18428" t="str">
        <f t="shared" si="6676"/>
        <v>0614034285</v>
      </c>
      <c r="B18428" t="str">
        <f t="shared" si="6677"/>
        <v>JASON</v>
      </c>
      <c r="C18428" t="str">
        <f t="shared" si="6672"/>
        <v>YOUNG</v>
      </c>
      <c r="D18428">
        <f>12</f>
        <v>12</v>
      </c>
      <c r="E18428" t="str">
        <f>"05 - B - 101 - Angela S Adeshina-Morrison"</f>
        <v>05 - B - 101 - Angela S Adeshina-Morrison</v>
      </c>
      <c r="F18428" t="str">
        <f>"MKT MANAGEMENT LH"</f>
        <v>MKT MANAGEMENT LH</v>
      </c>
      <c r="G18428" t="str">
        <f>"05-518"</f>
        <v>05-518</v>
      </c>
      <c r="H18428" t="str">
        <f>"B"</f>
        <v>B</v>
      </c>
    </row>
    <row r="18429" spans="1:8" x14ac:dyDescent="0.2">
      <c r="A18429" t="str">
        <f t="shared" si="6676"/>
        <v>0614034285</v>
      </c>
      <c r="B18429" t="str">
        <f t="shared" si="6677"/>
        <v>JASON</v>
      </c>
      <c r="C18429" t="str">
        <f t="shared" si="6672"/>
        <v>YOUNG</v>
      </c>
      <c r="D18429">
        <f>12</f>
        <v>12</v>
      </c>
      <c r="E18429" t="str">
        <f>"01 - S1 - A - 101 - Barbara L Segal"</f>
        <v>01 - S1 - A - 101 - Barbara L Segal</v>
      </c>
      <c r="F18429" t="str">
        <f>"US GOVT HON"</f>
        <v>US GOVT HON</v>
      </c>
      <c r="G18429" t="str">
        <f>"17-1742"</f>
        <v>17-1742</v>
      </c>
      <c r="H18429" t="str">
        <f>"A"</f>
        <v>A</v>
      </c>
    </row>
    <row r="18430" spans="1:8" x14ac:dyDescent="0.2">
      <c r="A18430" t="str">
        <f t="shared" si="6676"/>
        <v>0614034285</v>
      </c>
      <c r="B18430" t="str">
        <f t="shared" si="6677"/>
        <v>JASON</v>
      </c>
      <c r="C18430" t="str">
        <f t="shared" si="6672"/>
        <v>YOUNG</v>
      </c>
      <c r="D18430">
        <f>12</f>
        <v>12</v>
      </c>
      <c r="E18430" t="str">
        <f>"08 - B - 201 - Vanessa J Liburd"</f>
        <v>08 - B - 201 - Vanessa J Liburd</v>
      </c>
      <c r="F18430" t="str">
        <f>"FRENCH 3 HON"</f>
        <v>FRENCH 3 HON</v>
      </c>
      <c r="G18430" t="str">
        <f>"05-519"</f>
        <v>05-519</v>
      </c>
      <c r="H18430" t="str">
        <f>"B"</f>
        <v>B</v>
      </c>
    </row>
    <row r="18431" spans="1:8" x14ac:dyDescent="0.2">
      <c r="A18431" t="str">
        <f t="shared" ref="A18431:A18439" si="6678">"0609117266"</f>
        <v>0609117266</v>
      </c>
      <c r="B18431" t="str">
        <f t="shared" ref="B18431:B18439" si="6679">"MARQUIZE"</f>
        <v>MARQUIZE</v>
      </c>
      <c r="C18431" t="str">
        <f t="shared" si="6672"/>
        <v>YOUNG</v>
      </c>
      <c r="D18431">
        <f>12</f>
        <v>12</v>
      </c>
      <c r="E18431" t="str">
        <f>"04 - A - 104 - Adam Marcus  Drucker"</f>
        <v>04 - A - 104 - Adam Marcus  Drucker</v>
      </c>
      <c r="F18431" t="str">
        <f>"HOPE-PE V"</f>
        <v>HOPE-PE V</v>
      </c>
      <c r="G18431" t="str">
        <f>"04-254"</f>
        <v>04-254</v>
      </c>
      <c r="H18431" t="str">
        <f>"A"</f>
        <v>A</v>
      </c>
    </row>
    <row r="18432" spans="1:8" x14ac:dyDescent="0.2">
      <c r="A18432" t="str">
        <f t="shared" si="6678"/>
        <v>0609117266</v>
      </c>
      <c r="B18432" t="str">
        <f t="shared" si="6679"/>
        <v>MARQUIZE</v>
      </c>
      <c r="C18432" t="str">
        <f t="shared" si="6672"/>
        <v>YOUNG</v>
      </c>
      <c r="D18432">
        <f>12</f>
        <v>12</v>
      </c>
      <c r="E18432" t="str">
        <f>"06 - B - 101 - Justin D Willard"</f>
        <v>06 - B - 101 - Justin D Willard</v>
      </c>
      <c r="F18432" t="str">
        <f>"CAR EXERIENCES: 9-12"</f>
        <v>CAR EXERIENCES: 9-12</v>
      </c>
      <c r="G18432" t="str">
        <f>"21-2111"</f>
        <v>21-2111</v>
      </c>
      <c r="H18432" t="str">
        <f>"B"</f>
        <v>B</v>
      </c>
    </row>
    <row r="18433" spans="1:8" x14ac:dyDescent="0.2">
      <c r="A18433" t="str">
        <f t="shared" si="6678"/>
        <v>0609117266</v>
      </c>
      <c r="B18433" t="str">
        <f t="shared" si="6679"/>
        <v>MARQUIZE</v>
      </c>
      <c r="C18433" t="str">
        <f t="shared" si="6672"/>
        <v>YOUNG</v>
      </c>
      <c r="D18433">
        <f>12</f>
        <v>12</v>
      </c>
      <c r="E18433" t="str">
        <f>"03 - A - 101 - Justin D Willard"</f>
        <v>03 - A - 101 - Justin D Willard</v>
      </c>
      <c r="F18433" t="str">
        <f>"SELF-DETERMINATION"</f>
        <v>SELF-DETERMINATION</v>
      </c>
      <c r="G18433" t="str">
        <f>"21-2111"</f>
        <v>21-2111</v>
      </c>
      <c r="H18433" t="str">
        <f>"A"</f>
        <v>A</v>
      </c>
    </row>
    <row r="18434" spans="1:8" x14ac:dyDescent="0.2">
      <c r="A18434" t="str">
        <f t="shared" si="6678"/>
        <v>0609117266</v>
      </c>
      <c r="B18434" t="str">
        <f t="shared" si="6679"/>
        <v>MARQUIZE</v>
      </c>
      <c r="C18434" t="str">
        <f t="shared" si="6672"/>
        <v>YOUNG</v>
      </c>
      <c r="D18434">
        <f>12</f>
        <v>12</v>
      </c>
      <c r="E18434" t="str">
        <f>"02 - A - 101 - Justin D Willard"</f>
        <v>02 - A - 101 - Justin D Willard</v>
      </c>
      <c r="F18434" t="str">
        <f>"CAREER ED: 9-12"</f>
        <v>CAREER ED: 9-12</v>
      </c>
      <c r="G18434" t="str">
        <f>"21-2111"</f>
        <v>21-2111</v>
      </c>
      <c r="H18434" t="str">
        <f>"A"</f>
        <v>A</v>
      </c>
    </row>
    <row r="18435" spans="1:8" x14ac:dyDescent="0.2">
      <c r="A18435" t="str">
        <f t="shared" si="6678"/>
        <v>0609117266</v>
      </c>
      <c r="B18435" t="str">
        <f t="shared" si="6679"/>
        <v>MARQUIZE</v>
      </c>
      <c r="C18435" t="str">
        <f t="shared" si="6672"/>
        <v>YOUNG</v>
      </c>
      <c r="D18435">
        <f>12</f>
        <v>12</v>
      </c>
      <c r="E18435" t="str">
        <f>"07 - B - 101 - Justin D Willard"</f>
        <v>07 - B - 101 - Justin D Willard</v>
      </c>
      <c r="F18435" t="str">
        <f>"CAR PLACEMENT: 9-12"</f>
        <v>CAR PLACEMENT: 9-12</v>
      </c>
      <c r="G18435" t="str">
        <f>"21-2111"</f>
        <v>21-2111</v>
      </c>
      <c r="H18435" t="str">
        <f>"B"</f>
        <v>B</v>
      </c>
    </row>
    <row r="18436" spans="1:8" x14ac:dyDescent="0.2">
      <c r="A18436" t="str">
        <f t="shared" si="6678"/>
        <v>0609117266</v>
      </c>
      <c r="B18436" t="str">
        <f t="shared" si="6679"/>
        <v>MARQUIZE</v>
      </c>
      <c r="C18436" t="str">
        <f t="shared" si="6672"/>
        <v>YOUNG</v>
      </c>
      <c r="D18436">
        <f>12</f>
        <v>12</v>
      </c>
      <c r="E18436" t="str">
        <f>"05 - B - 103 - Justin D Willard"</f>
        <v>05 - B - 103 - Justin D Willard</v>
      </c>
      <c r="F18436" t="str">
        <f>"U SKLS: 9-12"</f>
        <v>U SKLS: 9-12</v>
      </c>
      <c r="G18436" t="str">
        <f>"21-2111"</f>
        <v>21-2111</v>
      </c>
      <c r="H18436" t="str">
        <f>"B"</f>
        <v>B</v>
      </c>
    </row>
    <row r="18437" spans="1:8" x14ac:dyDescent="0.2">
      <c r="A18437" t="str">
        <f t="shared" si="6678"/>
        <v>0609117266</v>
      </c>
      <c r="B18437" t="str">
        <f t="shared" si="6679"/>
        <v>MARQUIZE</v>
      </c>
      <c r="C18437" t="str">
        <f t="shared" si="6672"/>
        <v>YOUNG</v>
      </c>
      <c r="D18437">
        <f>12</f>
        <v>12</v>
      </c>
      <c r="E18437" t="str">
        <f>"05 - B - 115 - Karen A Toomer"</f>
        <v>05 - B - 115 - Karen A Toomer</v>
      </c>
      <c r="F18437" t="str">
        <f>"LANG THERAPY"</f>
        <v>LANG THERAPY</v>
      </c>
      <c r="G18437" t="str">
        <f>"21-2110"</f>
        <v>21-2110</v>
      </c>
      <c r="H18437" t="str">
        <f>"B"</f>
        <v>B</v>
      </c>
    </row>
    <row r="18438" spans="1:8" x14ac:dyDescent="0.2">
      <c r="A18438" t="str">
        <f t="shared" si="6678"/>
        <v>0609117266</v>
      </c>
      <c r="B18438" t="str">
        <f t="shared" si="6679"/>
        <v>MARQUIZE</v>
      </c>
      <c r="C18438" t="str">
        <f t="shared" si="6672"/>
        <v>YOUNG</v>
      </c>
      <c r="D18438">
        <f>12</f>
        <v>12</v>
      </c>
      <c r="E18438" t="str">
        <f>"01 - A - 101 - Justin D Willard"</f>
        <v>01 - A - 101 - Justin D Willard</v>
      </c>
      <c r="F18438" t="str">
        <f>"PREP AD LIV"</f>
        <v>PREP AD LIV</v>
      </c>
      <c r="G18438" t="str">
        <f>"21-2111"</f>
        <v>21-2111</v>
      </c>
      <c r="H18438" t="str">
        <f>"A"</f>
        <v>A</v>
      </c>
    </row>
    <row r="18439" spans="1:8" x14ac:dyDescent="0.2">
      <c r="A18439" t="str">
        <f t="shared" si="6678"/>
        <v>0609117266</v>
      </c>
      <c r="B18439" t="str">
        <f t="shared" si="6679"/>
        <v>MARQUIZE</v>
      </c>
      <c r="C18439" t="str">
        <f t="shared" si="6672"/>
        <v>YOUNG</v>
      </c>
      <c r="D18439">
        <f>12</f>
        <v>12</v>
      </c>
      <c r="E18439" t="str">
        <f>"08 - B - 101 - Jazmin S Fletcher"</f>
        <v>08 - B - 101 - Jazmin S Fletcher</v>
      </c>
      <c r="F18439" t="str">
        <f>"PRE-AICE DRAMA 1G"</f>
        <v>PRE-AICE DRAMA 1G</v>
      </c>
      <c r="G18439" t="str">
        <f>"09-909"</f>
        <v>09-909</v>
      </c>
      <c r="H18439" t="str">
        <f>"B"</f>
        <v>B</v>
      </c>
    </row>
    <row r="18440" spans="1:8" x14ac:dyDescent="0.2">
      <c r="A18440" t="str">
        <f>"0613113921"</f>
        <v>0613113921</v>
      </c>
      <c r="B18440" t="str">
        <f>"MEADOW-LYNN"</f>
        <v>MEADOW-LYNN</v>
      </c>
      <c r="C18440" t="str">
        <f>"ZACCOUR"</f>
        <v>ZACCOUR</v>
      </c>
      <c r="D18440">
        <f>12</f>
        <v>12</v>
      </c>
      <c r="E18440" t="str">
        <f>"19 - S1 - MTWHF - BCC - Instructor BC"</f>
        <v>19 - S1 - MTWHF - BCC - Instructor BC</v>
      </c>
      <c r="F18440" t="str">
        <f>"COMPOSITION I"</f>
        <v>COMPOSITION I</v>
      </c>
      <c r="G18440" t="str">
        <f>"60-DE"</f>
        <v>60-DE</v>
      </c>
      <c r="H18440" t="str">
        <f>"-"</f>
        <v>-</v>
      </c>
    </row>
    <row r="18441" spans="1:8" x14ac:dyDescent="0.2">
      <c r="A18441" t="str">
        <f>"0613113921"</f>
        <v>0613113921</v>
      </c>
      <c r="B18441" t="str">
        <f>"MEADOW-LYNN"</f>
        <v>MEADOW-LYNN</v>
      </c>
      <c r="C18441" t="str">
        <f>"ZACCOUR"</f>
        <v>ZACCOUR</v>
      </c>
      <c r="D18441">
        <f>12</f>
        <v>12</v>
      </c>
      <c r="E18441" t="str">
        <f>"19 - S1 - MTWHF - BCC - Instructor BC"</f>
        <v>19 - S1 - MTWHF - BCC - Instructor BC</v>
      </c>
      <c r="F18441" t="str">
        <f>"NATIONAL GOVERNMENT"</f>
        <v>NATIONAL GOVERNMENT</v>
      </c>
      <c r="G18441" t="str">
        <f>"60-DE"</f>
        <v>60-DE</v>
      </c>
      <c r="H18441" t="str">
        <f>"-"</f>
        <v>-</v>
      </c>
    </row>
    <row r="18442" spans="1:8" x14ac:dyDescent="0.2">
      <c r="A18442" t="str">
        <f>"0613113921"</f>
        <v>0613113921</v>
      </c>
      <c r="B18442" t="str">
        <f>"MEADOW-LYNN"</f>
        <v>MEADOW-LYNN</v>
      </c>
      <c r="C18442" t="str">
        <f>"ZACCOUR"</f>
        <v>ZACCOUR</v>
      </c>
      <c r="D18442">
        <f>12</f>
        <v>12</v>
      </c>
      <c r="E18442" t="str">
        <f>"19 - S1 - MTWHF - BCC - Instructor BC"</f>
        <v>19 - S1 - MTWHF - BCC - Instructor BC</v>
      </c>
      <c r="F18442" t="str">
        <f>"PRIN ECONOMICS I"</f>
        <v>PRIN ECONOMICS I</v>
      </c>
      <c r="G18442" t="str">
        <f>"60-DE"</f>
        <v>60-DE</v>
      </c>
      <c r="H18442" t="str">
        <f>"-"</f>
        <v>-</v>
      </c>
    </row>
    <row r="18443" spans="1:8" x14ac:dyDescent="0.2">
      <c r="A18443" t="str">
        <f>"0613113921"</f>
        <v>0613113921</v>
      </c>
      <c r="B18443" t="str">
        <f>"MEADOW-LYNN"</f>
        <v>MEADOW-LYNN</v>
      </c>
      <c r="C18443" t="str">
        <f>"ZACCOUR"</f>
        <v>ZACCOUR</v>
      </c>
      <c r="D18443">
        <f>12</f>
        <v>12</v>
      </c>
      <c r="E18443" t="str">
        <f>"19 - S1 - MTWHF - B18 - Instructor BC"</f>
        <v>19 - S1 - MTWHF - B18 - Instructor BC</v>
      </c>
      <c r="F18443" t="str">
        <f>"COMP &amp; INTERNET LIT"</f>
        <v>COMP &amp; INTERNET LIT</v>
      </c>
      <c r="G18443" t="str">
        <f>"60-DE"</f>
        <v>60-DE</v>
      </c>
      <c r="H18443" t="str">
        <f>"-"</f>
        <v>-</v>
      </c>
    </row>
    <row r="18444" spans="1:8" x14ac:dyDescent="0.2">
      <c r="A18444" t="str">
        <f t="shared" ref="A18444:A18451" si="6680">"0615104879"</f>
        <v>0615104879</v>
      </c>
      <c r="B18444" t="str">
        <f t="shared" ref="B18444:B18451" si="6681">"JOSEPH"</f>
        <v>JOSEPH</v>
      </c>
      <c r="C18444" t="str">
        <f t="shared" ref="C18444:C18459" si="6682">"ZADEN"</f>
        <v>ZADEN</v>
      </c>
      <c r="D18444">
        <f>10</f>
        <v>10</v>
      </c>
      <c r="E18444" t="str">
        <f>"04 - A - 201 - Scott A Dethloff"</f>
        <v>04 - A - 201 - Scott A Dethloff</v>
      </c>
      <c r="F18444" t="str">
        <f>"AICE THINK SKLS 1 AS"</f>
        <v>AICE THINK SKLS 1 AS</v>
      </c>
      <c r="G18444" t="str">
        <f>"08-812"</f>
        <v>08-812</v>
      </c>
      <c r="H18444" t="str">
        <f>"A"</f>
        <v>A</v>
      </c>
    </row>
    <row r="18445" spans="1:8" x14ac:dyDescent="0.2">
      <c r="A18445" t="str">
        <f t="shared" si="6680"/>
        <v>0615104879</v>
      </c>
      <c r="B18445" t="str">
        <f t="shared" si="6681"/>
        <v>JOSEPH</v>
      </c>
      <c r="C18445" t="str">
        <f t="shared" si="6682"/>
        <v>ZADEN</v>
      </c>
      <c r="D18445">
        <f>10</f>
        <v>10</v>
      </c>
      <c r="E18445" t="str">
        <f>"06 - B - 104 - Robert H Rindner"</f>
        <v>06 - B - 104 - Robert H Rindner</v>
      </c>
      <c r="F18445" t="str">
        <f>"NC STUDY HALL 1"</f>
        <v>NC STUDY HALL 1</v>
      </c>
      <c r="G18445" t="str">
        <f>"21-2160"</f>
        <v>21-2160</v>
      </c>
      <c r="H18445" t="str">
        <f>"B"</f>
        <v>B</v>
      </c>
    </row>
    <row r="18446" spans="1:8" x14ac:dyDescent="0.2">
      <c r="A18446" t="str">
        <f t="shared" si="6680"/>
        <v>0615104879</v>
      </c>
      <c r="B18446" t="str">
        <f t="shared" si="6681"/>
        <v>JOSEPH</v>
      </c>
      <c r="C18446" t="str">
        <f t="shared" si="6682"/>
        <v>ZADEN</v>
      </c>
      <c r="D18446">
        <f>10</f>
        <v>10</v>
      </c>
      <c r="E18446" t="str">
        <f>"03 - A - 201 - Joe  Kilpatrick Jr"</f>
        <v>03 - A - 201 - Joe  Kilpatrick Jr</v>
      </c>
      <c r="F18446" t="str">
        <f>"PRE-AICE SPAN 2 IG"</f>
        <v>PRE-AICE SPAN 2 IG</v>
      </c>
      <c r="G18446" t="str">
        <f>"09-912"</f>
        <v>09-912</v>
      </c>
      <c r="H18446" t="str">
        <f>"A"</f>
        <v>A</v>
      </c>
    </row>
    <row r="18447" spans="1:8" x14ac:dyDescent="0.2">
      <c r="A18447" t="str">
        <f t="shared" si="6680"/>
        <v>0615104879</v>
      </c>
      <c r="B18447" t="str">
        <f t="shared" si="6681"/>
        <v>JOSEPH</v>
      </c>
      <c r="C18447" t="str">
        <f t="shared" si="6682"/>
        <v>ZADEN</v>
      </c>
      <c r="D18447">
        <f>10</f>
        <v>10</v>
      </c>
      <c r="E18447" t="str">
        <f>"02 - A - 102 - Jacklyn M James"</f>
        <v>02 - A - 102 - Jacklyn M James</v>
      </c>
      <c r="F18447" t="str">
        <f>"AICE ENG LANG AS"</f>
        <v>AICE ENG LANG AS</v>
      </c>
      <c r="G18447" t="str">
        <f>"17-1731"</f>
        <v>17-1731</v>
      </c>
      <c r="H18447" t="str">
        <f>"A"</f>
        <v>A</v>
      </c>
    </row>
    <row r="18448" spans="1:8" x14ac:dyDescent="0.2">
      <c r="A18448" t="str">
        <f t="shared" si="6680"/>
        <v>0615104879</v>
      </c>
      <c r="B18448" t="str">
        <f t="shared" si="6681"/>
        <v>JOSEPH</v>
      </c>
      <c r="C18448" t="str">
        <f t="shared" si="6682"/>
        <v>ZADEN</v>
      </c>
      <c r="D18448">
        <f>10</f>
        <v>10</v>
      </c>
      <c r="E18448" t="str">
        <f>"07 - S1 - B - 105 - Richard E Dunbar Iii"</f>
        <v>07 - S1 - B - 105 - Richard E Dunbar Iii</v>
      </c>
      <c r="F18448" t="str">
        <f>"WEIGHT TRAIN 3"</f>
        <v>WEIGHT TRAIN 3</v>
      </c>
      <c r="G18448" t="str">
        <f>"05-501"</f>
        <v>05-501</v>
      </c>
      <c r="H18448" t="str">
        <f>"B"</f>
        <v>B</v>
      </c>
    </row>
    <row r="18449" spans="1:8" x14ac:dyDescent="0.2">
      <c r="A18449" t="str">
        <f t="shared" si="6680"/>
        <v>0615104879</v>
      </c>
      <c r="B18449" t="str">
        <f t="shared" si="6681"/>
        <v>JOSEPH</v>
      </c>
      <c r="C18449" t="str">
        <f t="shared" si="6682"/>
        <v>ZADEN</v>
      </c>
      <c r="D18449">
        <f>10</f>
        <v>10</v>
      </c>
      <c r="E18449" t="str">
        <f>"05 - B - 203 - Chrystina M Marchionne"</f>
        <v>05 - B - 203 - Chrystina M Marchionne</v>
      </c>
      <c r="F18449" t="str">
        <f>"AICE MEDIASTUDIES AS"</f>
        <v>AICE MEDIASTUDIES AS</v>
      </c>
      <c r="G18449" t="str">
        <f>"05-520"</f>
        <v>05-520</v>
      </c>
      <c r="H18449" t="str">
        <f>"B"</f>
        <v>B</v>
      </c>
    </row>
    <row r="18450" spans="1:8" x14ac:dyDescent="0.2">
      <c r="A18450" t="str">
        <f t="shared" si="6680"/>
        <v>0615104879</v>
      </c>
      <c r="B18450" t="str">
        <f t="shared" si="6681"/>
        <v>JOSEPH</v>
      </c>
      <c r="C18450" t="str">
        <f t="shared" si="6682"/>
        <v>ZADEN</v>
      </c>
      <c r="D18450">
        <f>10</f>
        <v>10</v>
      </c>
      <c r="E18450" t="str">
        <f>"01 - A - 101 - Lourivaldo  Da Silva"</f>
        <v>01 - A - 101 - Lourivaldo  Da Silva</v>
      </c>
      <c r="F18450" t="str">
        <f>"ALGEBRA 2 HON"</f>
        <v>ALGEBRA 2 HON</v>
      </c>
      <c r="G18450" t="str">
        <f>"20-2079"</f>
        <v>20-2079</v>
      </c>
      <c r="H18450" t="str">
        <f>"A"</f>
        <v>A</v>
      </c>
    </row>
    <row r="18451" spans="1:8" x14ac:dyDescent="0.2">
      <c r="A18451" t="str">
        <f t="shared" si="6680"/>
        <v>0615104879</v>
      </c>
      <c r="B18451" t="str">
        <f t="shared" si="6681"/>
        <v>JOSEPH</v>
      </c>
      <c r="C18451" t="str">
        <f t="shared" si="6682"/>
        <v>ZADEN</v>
      </c>
      <c r="D18451">
        <f>10</f>
        <v>10</v>
      </c>
      <c r="E18451" t="str">
        <f>"08 - B - 201 - Lenecy  Nodarse"</f>
        <v>08 - B - 201 - Lenecy  Nodarse</v>
      </c>
      <c r="F18451" t="str">
        <f>"AICE EURO HIST 1 AS"</f>
        <v>AICE EURO HIST 1 AS</v>
      </c>
      <c r="G18451" t="str">
        <f>"17-1741"</f>
        <v>17-1741</v>
      </c>
      <c r="H18451" t="str">
        <f>"B"</f>
        <v>B</v>
      </c>
    </row>
    <row r="18452" spans="1:8" x14ac:dyDescent="0.2">
      <c r="A18452" t="str">
        <f t="shared" ref="A18452:A18459" si="6683">"0613097214"</f>
        <v>0613097214</v>
      </c>
      <c r="B18452" t="str">
        <f t="shared" ref="B18452:B18459" si="6684">"MARIAN"</f>
        <v>MARIAN</v>
      </c>
      <c r="C18452" t="str">
        <f t="shared" si="6682"/>
        <v>ZADEN</v>
      </c>
      <c r="D18452">
        <f>12</f>
        <v>12</v>
      </c>
      <c r="E18452" t="str">
        <f>"04 - S1 - A - 103 - Rory T Sponsler"</f>
        <v>04 - S1 - A - 103 - Rory T Sponsler</v>
      </c>
      <c r="F18452" t="str">
        <f>"WOMENS STUDIES LH"</f>
        <v>WOMENS STUDIES LH</v>
      </c>
      <c r="G18452" t="str">
        <f>"17-1740"</f>
        <v>17-1740</v>
      </c>
      <c r="H18452" t="str">
        <f>"A"</f>
        <v>A</v>
      </c>
    </row>
    <row r="18453" spans="1:8" x14ac:dyDescent="0.2">
      <c r="A18453" t="str">
        <f t="shared" si="6683"/>
        <v>0613097214</v>
      </c>
      <c r="B18453" t="str">
        <f t="shared" si="6684"/>
        <v>MARIAN</v>
      </c>
      <c r="C18453" t="str">
        <f t="shared" si="6682"/>
        <v>ZADEN</v>
      </c>
      <c r="D18453">
        <f>12</f>
        <v>12</v>
      </c>
      <c r="E18453" t="str">
        <f>"06 - B - 113 - Marielle A Witting"</f>
        <v>06 - B - 113 - Marielle A Witting</v>
      </c>
      <c r="F18453" t="str">
        <f>"NC STUDY HALL 1"</f>
        <v>NC STUDY HALL 1</v>
      </c>
      <c r="G18453" t="str">
        <f>"08-805"</f>
        <v>08-805</v>
      </c>
      <c r="H18453" t="str">
        <f>"B"</f>
        <v>B</v>
      </c>
    </row>
    <row r="18454" spans="1:8" x14ac:dyDescent="0.2">
      <c r="A18454" t="str">
        <f t="shared" si="6683"/>
        <v>0613097214</v>
      </c>
      <c r="B18454" t="str">
        <f t="shared" si="6684"/>
        <v>MARIAN</v>
      </c>
      <c r="C18454" t="str">
        <f t="shared" si="6682"/>
        <v>ZADEN</v>
      </c>
      <c r="D18454">
        <f>12</f>
        <v>12</v>
      </c>
      <c r="E18454" t="str">
        <f>"03 - A - 103 - Norayda D Suarez"</f>
        <v>03 - A - 103 - Norayda D Suarez</v>
      </c>
      <c r="F18454" t="str">
        <f>"RESEARCH 1 LH"</f>
        <v>RESEARCH 1 LH</v>
      </c>
      <c r="G18454">
        <f>2041</f>
        <v>2041</v>
      </c>
      <c r="H18454" t="str">
        <f>"A"</f>
        <v>A</v>
      </c>
    </row>
    <row r="18455" spans="1:8" x14ac:dyDescent="0.2">
      <c r="A18455" t="str">
        <f t="shared" si="6683"/>
        <v>0613097214</v>
      </c>
      <c r="B18455" t="str">
        <f t="shared" si="6684"/>
        <v>MARIAN</v>
      </c>
      <c r="C18455" t="str">
        <f t="shared" si="6682"/>
        <v>ZADEN</v>
      </c>
      <c r="D18455">
        <f>12</f>
        <v>12</v>
      </c>
      <c r="E18455" t="str">
        <f>"02 - A - 102 - Marielle A Witting"</f>
        <v>02 - A - 102 - Marielle A Witting</v>
      </c>
      <c r="F18455" t="str">
        <f>"AP BIO"</f>
        <v>AP BIO</v>
      </c>
      <c r="G18455" t="str">
        <f>"08-805"</f>
        <v>08-805</v>
      </c>
      <c r="H18455" t="str">
        <f>"A"</f>
        <v>A</v>
      </c>
    </row>
    <row r="18456" spans="1:8" x14ac:dyDescent="0.2">
      <c r="A18456" t="str">
        <f t="shared" si="6683"/>
        <v>0613097214</v>
      </c>
      <c r="B18456" t="str">
        <f t="shared" si="6684"/>
        <v>MARIAN</v>
      </c>
      <c r="C18456" t="str">
        <f t="shared" si="6682"/>
        <v>ZADEN</v>
      </c>
      <c r="D18456">
        <f>12</f>
        <v>12</v>
      </c>
      <c r="E18456" t="str">
        <f>"07 - S1 - B - 101 - Stephen T Ripp"</f>
        <v>07 - S1 - B - 101 - Stephen T Ripp</v>
      </c>
      <c r="F18456" t="str">
        <f>"AP US GOVT/POL"</f>
        <v>AP US GOVT/POL</v>
      </c>
      <c r="G18456" t="str">
        <f>"17-1744"</f>
        <v>17-1744</v>
      </c>
      <c r="H18456" t="str">
        <f>"B"</f>
        <v>B</v>
      </c>
    </row>
    <row r="18457" spans="1:8" x14ac:dyDescent="0.2">
      <c r="A18457" t="str">
        <f t="shared" si="6683"/>
        <v>0613097214</v>
      </c>
      <c r="B18457" t="str">
        <f t="shared" si="6684"/>
        <v>MARIAN</v>
      </c>
      <c r="C18457" t="str">
        <f t="shared" si="6682"/>
        <v>ZADEN</v>
      </c>
      <c r="D18457">
        <f>12</f>
        <v>12</v>
      </c>
      <c r="E18457" t="str">
        <f>"05 - B - 101 - Jordana K Hass"</f>
        <v>05 - B - 101 - Jordana K Hass</v>
      </c>
      <c r="F18457" t="str">
        <f>"AP COMP SCI PRIN"</f>
        <v>AP COMP SCI PRIN</v>
      </c>
      <c r="G18457" t="str">
        <f>"08-807"</f>
        <v>08-807</v>
      </c>
      <c r="H18457" t="str">
        <f>"B"</f>
        <v>B</v>
      </c>
    </row>
    <row r="18458" spans="1:8" x14ac:dyDescent="0.2">
      <c r="A18458" t="str">
        <f t="shared" si="6683"/>
        <v>0613097214</v>
      </c>
      <c r="B18458" t="str">
        <f t="shared" si="6684"/>
        <v>MARIAN</v>
      </c>
      <c r="C18458" t="str">
        <f t="shared" si="6682"/>
        <v>ZADEN</v>
      </c>
      <c r="D18458">
        <f>12</f>
        <v>12</v>
      </c>
      <c r="E18458" t="str">
        <f>"01 - A - 201 - Pamela M Corzo"</f>
        <v>01 - A - 201 - Pamela M Corzo</v>
      </c>
      <c r="F18458" t="str">
        <f>"AP CALCULUS BC"</f>
        <v>AP CALCULUS BC</v>
      </c>
      <c r="G18458" t="str">
        <f>"21-2133"</f>
        <v>21-2133</v>
      </c>
      <c r="H18458" t="str">
        <f>"A"</f>
        <v>A</v>
      </c>
    </row>
    <row r="18459" spans="1:8" x14ac:dyDescent="0.2">
      <c r="A18459" t="str">
        <f t="shared" si="6683"/>
        <v>0613097214</v>
      </c>
      <c r="B18459" t="str">
        <f t="shared" si="6684"/>
        <v>MARIAN</v>
      </c>
      <c r="C18459" t="str">
        <f t="shared" si="6682"/>
        <v>ZADEN</v>
      </c>
      <c r="D18459">
        <f>12</f>
        <v>12</v>
      </c>
      <c r="E18459" t="str">
        <f>"08 - B - 203 - Courtney E Hambright"</f>
        <v>08 - B - 203 - Courtney E Hambright</v>
      </c>
      <c r="F18459" t="str">
        <f>"AP ENG LIT COMPO"</f>
        <v>AP ENG LIT COMPO</v>
      </c>
      <c r="G18459" t="str">
        <f>"17-1711"</f>
        <v>17-1711</v>
      </c>
      <c r="H18459" t="str">
        <f>"B"</f>
        <v>B</v>
      </c>
    </row>
    <row r="18460" spans="1:8" x14ac:dyDescent="0.2">
      <c r="A18460" t="str">
        <f t="shared" ref="A18460:A18467" si="6685">"0625000992"</f>
        <v>0625000992</v>
      </c>
      <c r="B18460" t="str">
        <f t="shared" ref="B18460:B18467" si="6686">"Christy-ann"</f>
        <v>Christy-ann</v>
      </c>
      <c r="C18460" t="str">
        <f t="shared" ref="C18460:C18467" si="6687">"Zamor"</f>
        <v>Zamor</v>
      </c>
      <c r="D18460">
        <f>11</f>
        <v>11</v>
      </c>
      <c r="E18460" t="str">
        <f>"04 - A - 101 - Jerry S Jiampetti"</f>
        <v>04 - A - 101 - Jerry S Jiampetti</v>
      </c>
      <c r="F18460" t="str">
        <f>"AICE U.S. HIST 1 AS"</f>
        <v>AICE U.S. HIST 1 AS</v>
      </c>
      <c r="G18460" t="str">
        <f>"17-1751"</f>
        <v>17-1751</v>
      </c>
      <c r="H18460" t="str">
        <f>"A"</f>
        <v>A</v>
      </c>
    </row>
    <row r="18461" spans="1:8" x14ac:dyDescent="0.2">
      <c r="A18461" t="str">
        <f t="shared" si="6685"/>
        <v>0625000992</v>
      </c>
      <c r="B18461" t="str">
        <f t="shared" si="6686"/>
        <v>Christy-ann</v>
      </c>
      <c r="C18461" t="str">
        <f t="shared" si="6687"/>
        <v>Zamor</v>
      </c>
      <c r="D18461">
        <f>11</f>
        <v>11</v>
      </c>
      <c r="E18461" t="str">
        <f>"06 - B - 001 - Lourivaldo  Da Silva"</f>
        <v>06 - B - 001 - Lourivaldo  Da Silva</v>
      </c>
      <c r="F18461" t="str">
        <f>"PRE-CALCULUS HON"</f>
        <v>PRE-CALCULUS HON</v>
      </c>
      <c r="G18461" t="str">
        <f>"20-2079"</f>
        <v>20-2079</v>
      </c>
      <c r="H18461" t="str">
        <f>"B"</f>
        <v>B</v>
      </c>
    </row>
    <row r="18462" spans="1:8" x14ac:dyDescent="0.2">
      <c r="A18462" t="str">
        <f t="shared" si="6685"/>
        <v>0625000992</v>
      </c>
      <c r="B18462" t="str">
        <f t="shared" si="6686"/>
        <v>Christy-ann</v>
      </c>
      <c r="C18462" t="str">
        <f t="shared" si="6687"/>
        <v>Zamor</v>
      </c>
      <c r="D18462">
        <f>11</f>
        <v>11</v>
      </c>
      <c r="E18462" t="str">
        <f>"03 - A - 106 - Krystal Marie  Beruty"</f>
        <v>03 - A - 106 - Krystal Marie  Beruty</v>
      </c>
      <c r="F18462" t="str">
        <f>"AICE PSYCH 1 AS"</f>
        <v>AICE PSYCH 1 AS</v>
      </c>
      <c r="G18462" t="str">
        <f>"17-1721"</f>
        <v>17-1721</v>
      </c>
      <c r="H18462" t="str">
        <f>"A"</f>
        <v>A</v>
      </c>
    </row>
    <row r="18463" spans="1:8" x14ac:dyDescent="0.2">
      <c r="A18463" t="str">
        <f t="shared" si="6685"/>
        <v>0625000992</v>
      </c>
      <c r="B18463" t="str">
        <f t="shared" si="6686"/>
        <v>Christy-ann</v>
      </c>
      <c r="C18463" t="str">
        <f t="shared" si="6687"/>
        <v>Zamor</v>
      </c>
      <c r="D18463">
        <f>11</f>
        <v>11</v>
      </c>
      <c r="E18463" t="str">
        <f>"02 - A - 102 - Fernando  Vega-Cid"</f>
        <v>02 - A - 102 - Fernando  Vega-Cid</v>
      </c>
      <c r="F18463" t="str">
        <f>"NC STUDY HALL 1"</f>
        <v>NC STUDY HALL 1</v>
      </c>
      <c r="G18463" t="str">
        <f>"21-2163"</f>
        <v>21-2163</v>
      </c>
      <c r="H18463" t="str">
        <f>"A"</f>
        <v>A</v>
      </c>
    </row>
    <row r="18464" spans="1:8" x14ac:dyDescent="0.2">
      <c r="A18464" t="str">
        <f t="shared" si="6685"/>
        <v>0625000992</v>
      </c>
      <c r="B18464" t="str">
        <f t="shared" si="6686"/>
        <v>Christy-ann</v>
      </c>
      <c r="C18464" t="str">
        <f t="shared" si="6687"/>
        <v>Zamor</v>
      </c>
      <c r="D18464">
        <f>11</f>
        <v>11</v>
      </c>
      <c r="E18464" t="str">
        <f>"07 - B - 002 - Jordana K Hass"</f>
        <v>07 - B - 002 - Jordana K Hass</v>
      </c>
      <c r="F18464" t="str">
        <f>"CHEMISTRY 1 HON"</f>
        <v>CHEMISTRY 1 HON</v>
      </c>
      <c r="G18464" t="str">
        <f>"08-807"</f>
        <v>08-807</v>
      </c>
      <c r="H18464" t="str">
        <f>"B"</f>
        <v>B</v>
      </c>
    </row>
    <row r="18465" spans="1:8" x14ac:dyDescent="0.2">
      <c r="A18465" t="str">
        <f t="shared" si="6685"/>
        <v>0625000992</v>
      </c>
      <c r="B18465" t="str">
        <f t="shared" si="6686"/>
        <v>Christy-ann</v>
      </c>
      <c r="C18465" t="str">
        <f t="shared" si="6687"/>
        <v>Zamor</v>
      </c>
      <c r="D18465">
        <f>11</f>
        <v>11</v>
      </c>
      <c r="E18465" t="str">
        <f>"05 - B - 102 - Daniel S Katz"</f>
        <v>05 - B - 102 - Daniel S Katz</v>
      </c>
      <c r="F18465" t="str">
        <f>"EXEC INTERN 4 LH"</f>
        <v>EXEC INTERN 4 LH</v>
      </c>
      <c r="G18465" t="str">
        <f>"21-2156"</f>
        <v>21-2156</v>
      </c>
      <c r="H18465" t="str">
        <f>"B"</f>
        <v>B</v>
      </c>
    </row>
    <row r="18466" spans="1:8" x14ac:dyDescent="0.2">
      <c r="A18466" t="str">
        <f t="shared" si="6685"/>
        <v>0625000992</v>
      </c>
      <c r="B18466" t="str">
        <f t="shared" si="6686"/>
        <v>Christy-ann</v>
      </c>
      <c r="C18466" t="str">
        <f t="shared" si="6687"/>
        <v>Zamor</v>
      </c>
      <c r="D18466">
        <f>11</f>
        <v>11</v>
      </c>
      <c r="E18466" t="str">
        <f>"01 - A - 101 - Jacklyn M James"</f>
        <v>01 - A - 101 - Jacklyn M James</v>
      </c>
      <c r="F18466" t="str">
        <f>"AICE ENG LANG AS"</f>
        <v>AICE ENG LANG AS</v>
      </c>
      <c r="G18466" t="str">
        <f>"17-1731"</f>
        <v>17-1731</v>
      </c>
      <c r="H18466" t="str">
        <f>"A"</f>
        <v>A</v>
      </c>
    </row>
    <row r="18467" spans="1:8" x14ac:dyDescent="0.2">
      <c r="A18467" t="str">
        <f t="shared" si="6685"/>
        <v>0625000992</v>
      </c>
      <c r="B18467" t="str">
        <f t="shared" si="6686"/>
        <v>Christy-ann</v>
      </c>
      <c r="C18467" t="str">
        <f t="shared" si="6687"/>
        <v>Zamor</v>
      </c>
      <c r="D18467">
        <f>11</f>
        <v>11</v>
      </c>
      <c r="E18467" t="str">
        <f>"08 - B - 201 - Vanessa J Liburd"</f>
        <v>08 - B - 201 - Vanessa J Liburd</v>
      </c>
      <c r="F18467" t="str">
        <f>"FRENCH 3 HON"</f>
        <v>FRENCH 3 HON</v>
      </c>
      <c r="G18467" t="str">
        <f>"05-519"</f>
        <v>05-519</v>
      </c>
      <c r="H18467" t="str">
        <f>"B"</f>
        <v>B</v>
      </c>
    </row>
    <row r="18468" spans="1:8" x14ac:dyDescent="0.2">
      <c r="A18468" t="str">
        <f t="shared" ref="A18468:A18476" si="6688">"0619000357"</f>
        <v>0619000357</v>
      </c>
      <c r="B18468" t="str">
        <f t="shared" ref="B18468:B18476" si="6689">"ALEJANDRO"</f>
        <v>ALEJANDRO</v>
      </c>
      <c r="C18468" t="str">
        <f t="shared" ref="C18468:C18476" si="6690">"ZAMORA"</f>
        <v>ZAMORA</v>
      </c>
      <c r="D18468">
        <f>11</f>
        <v>11</v>
      </c>
      <c r="E18468" t="str">
        <f>"04 - A - 101 - Rosa Elaine  Collado-Duff"</f>
        <v>04 - A - 101 - Rosa Elaine  Collado-Duff</v>
      </c>
      <c r="F18468" t="str">
        <f>"AICE SPAN LANG AS"</f>
        <v>AICE SPAN LANG AS</v>
      </c>
      <c r="G18468" t="str">
        <f>"09-913"</f>
        <v>09-913</v>
      </c>
      <c r="H18468" t="str">
        <f>"A"</f>
        <v>A</v>
      </c>
    </row>
    <row r="18469" spans="1:8" x14ac:dyDescent="0.2">
      <c r="A18469" t="str">
        <f t="shared" si="6688"/>
        <v>0619000357</v>
      </c>
      <c r="B18469" t="str">
        <f t="shared" si="6689"/>
        <v>ALEJANDRO</v>
      </c>
      <c r="C18469" t="str">
        <f t="shared" si="6690"/>
        <v>ZAMORA</v>
      </c>
      <c r="D18469">
        <f>11</f>
        <v>11</v>
      </c>
      <c r="E18469" t="str">
        <f>"06 - B - 002 - Kyle  Robbins"</f>
        <v>06 - B - 002 - Kyle  Robbins</v>
      </c>
      <c r="F18469" t="str">
        <f>"US HISTORY HON"</f>
        <v>US HISTORY HON</v>
      </c>
      <c r="G18469" t="str">
        <f>"17-1745"</f>
        <v>17-1745</v>
      </c>
      <c r="H18469" t="str">
        <f>"B"</f>
        <v>B</v>
      </c>
    </row>
    <row r="18470" spans="1:8" x14ac:dyDescent="0.2">
      <c r="A18470" t="str">
        <f t="shared" si="6688"/>
        <v>0619000357</v>
      </c>
      <c r="B18470" t="str">
        <f t="shared" si="6689"/>
        <v>ALEJANDRO</v>
      </c>
      <c r="C18470" t="str">
        <f t="shared" si="6690"/>
        <v>ZAMORA</v>
      </c>
      <c r="D18470">
        <f>11</f>
        <v>11</v>
      </c>
      <c r="E18470" t="str">
        <f>"03 - A - 201 - Emmily A Sarmiento"</f>
        <v>03 - A - 201 - Emmily A Sarmiento</v>
      </c>
      <c r="F18470" t="str">
        <f>"LEAD TECHQS HONORS"</f>
        <v>LEAD TECHQS HONORS</v>
      </c>
      <c r="G18470" t="str">
        <f>"17-1743"</f>
        <v>17-1743</v>
      </c>
      <c r="H18470" t="str">
        <f>"A"</f>
        <v>A</v>
      </c>
    </row>
    <row r="18471" spans="1:8" x14ac:dyDescent="0.2">
      <c r="A18471" t="str">
        <f t="shared" si="6688"/>
        <v>0619000357</v>
      </c>
      <c r="B18471" t="str">
        <f t="shared" si="6689"/>
        <v>ALEJANDRO</v>
      </c>
      <c r="C18471" t="str">
        <f t="shared" si="6690"/>
        <v>ZAMORA</v>
      </c>
      <c r="D18471">
        <f>11</f>
        <v>11</v>
      </c>
      <c r="E18471" t="str">
        <f>"02 - A - 112 - Brandy N Zdenek"</f>
        <v>02 - A - 112 - Brandy N Zdenek</v>
      </c>
      <c r="F18471" t="str">
        <f>"NC STUDY HALL 1"</f>
        <v>NC STUDY HALL 1</v>
      </c>
      <c r="G18471" t="str">
        <f>"17-1704"</f>
        <v>17-1704</v>
      </c>
      <c r="H18471" t="str">
        <f>"A"</f>
        <v>A</v>
      </c>
    </row>
    <row r="18472" spans="1:8" x14ac:dyDescent="0.2">
      <c r="A18472" t="str">
        <f t="shared" si="6688"/>
        <v>0619000357</v>
      </c>
      <c r="B18472" t="str">
        <f t="shared" si="6689"/>
        <v>ALEJANDRO</v>
      </c>
      <c r="C18472" t="str">
        <f t="shared" si="6690"/>
        <v>ZAMORA</v>
      </c>
      <c r="D18472">
        <f>11</f>
        <v>11</v>
      </c>
      <c r="E18472" t="str">
        <f>"02 - A - 112 - Karen A Toomer"</f>
        <v>02 - A - 112 - Karen A Toomer</v>
      </c>
      <c r="F18472" t="str">
        <f>"LANG THERAPY"</f>
        <v>LANG THERAPY</v>
      </c>
      <c r="G18472" t="str">
        <f>"21-2110"</f>
        <v>21-2110</v>
      </c>
      <c r="H18472" t="str">
        <f>"A"</f>
        <v>A</v>
      </c>
    </row>
    <row r="18473" spans="1:8" x14ac:dyDescent="0.2">
      <c r="A18473" t="str">
        <f t="shared" si="6688"/>
        <v>0619000357</v>
      </c>
      <c r="B18473" t="str">
        <f t="shared" si="6689"/>
        <v>ALEJANDRO</v>
      </c>
      <c r="C18473" t="str">
        <f t="shared" si="6690"/>
        <v>ZAMORA</v>
      </c>
      <c r="D18473">
        <f>11</f>
        <v>11</v>
      </c>
      <c r="E18473" t="str">
        <f>"07 - B - 204 - Scott A Dethloff"</f>
        <v>07 - B - 204 - Scott A Dethloff</v>
      </c>
      <c r="F18473" t="str">
        <f>"CHEMISTRY 1"</f>
        <v>CHEMISTRY 1</v>
      </c>
      <c r="G18473" t="str">
        <f>"08-812"</f>
        <v>08-812</v>
      </c>
      <c r="H18473" t="str">
        <f>"B"</f>
        <v>B</v>
      </c>
    </row>
    <row r="18474" spans="1:8" x14ac:dyDescent="0.2">
      <c r="A18474" t="str">
        <f t="shared" si="6688"/>
        <v>0619000357</v>
      </c>
      <c r="B18474" t="str">
        <f t="shared" si="6689"/>
        <v>ALEJANDRO</v>
      </c>
      <c r="C18474" t="str">
        <f t="shared" si="6690"/>
        <v>ZAMORA</v>
      </c>
      <c r="D18474">
        <f>11</f>
        <v>11</v>
      </c>
      <c r="E18474" t="str">
        <f>"05 - B - 103 - Heidi M Knopp"</f>
        <v>05 - B - 103 - Heidi M Knopp</v>
      </c>
      <c r="F18474" t="str">
        <f>"ENG HON 3"</f>
        <v>ENG HON 3</v>
      </c>
      <c r="G18474" t="str">
        <f>"17-1723"</f>
        <v>17-1723</v>
      </c>
      <c r="H18474" t="str">
        <f>"B"</f>
        <v>B</v>
      </c>
    </row>
    <row r="18475" spans="1:8" x14ac:dyDescent="0.2">
      <c r="A18475" t="str">
        <f t="shared" si="6688"/>
        <v>0619000357</v>
      </c>
      <c r="B18475" t="str">
        <f t="shared" si="6689"/>
        <v>ALEJANDRO</v>
      </c>
      <c r="C18475" t="str">
        <f t="shared" si="6690"/>
        <v>ZAMORA</v>
      </c>
      <c r="D18475">
        <f>11</f>
        <v>11</v>
      </c>
      <c r="E18475" t="str">
        <f>"01 - A - 101 - Thomas G Handwerg"</f>
        <v>01 - A - 101 - Thomas G Handwerg</v>
      </c>
      <c r="F18475" t="str">
        <f>"PROB STAT W/APPS HON"</f>
        <v>PROB STAT W/APPS HON</v>
      </c>
      <c r="G18475" t="str">
        <f>"21-2146"</f>
        <v>21-2146</v>
      </c>
      <c r="H18475" t="str">
        <f>"A"</f>
        <v>A</v>
      </c>
    </row>
    <row r="18476" spans="1:8" x14ac:dyDescent="0.2">
      <c r="A18476" t="str">
        <f t="shared" si="6688"/>
        <v>0619000357</v>
      </c>
      <c r="B18476" t="str">
        <f t="shared" si="6689"/>
        <v>ALEJANDRO</v>
      </c>
      <c r="C18476" t="str">
        <f t="shared" si="6690"/>
        <v>ZAMORA</v>
      </c>
      <c r="D18476">
        <f>11</f>
        <v>11</v>
      </c>
      <c r="E18476" t="str">
        <f>"08 - S1 - B - 105 - Richard E Dunbar Iii"</f>
        <v>08 - S1 - B - 105 - Richard E Dunbar Iii</v>
      </c>
      <c r="F18476" t="str">
        <f>"WEIGHT TRAIN 1"</f>
        <v>WEIGHT TRAIN 1</v>
      </c>
      <c r="G18476" t="str">
        <f>"05-501"</f>
        <v>05-501</v>
      </c>
      <c r="H18476" t="str">
        <f>"B"</f>
        <v>B</v>
      </c>
    </row>
    <row r="18477" spans="1:8" x14ac:dyDescent="0.2">
      <c r="A18477" t="str">
        <f t="shared" ref="A18477:A18484" si="6691">"0620079844"</f>
        <v>0620079844</v>
      </c>
      <c r="B18477" t="str">
        <f t="shared" ref="B18477:B18484" si="6692">"AARON"</f>
        <v>AARON</v>
      </c>
      <c r="C18477" t="str">
        <f t="shared" ref="C18477:C18484" si="6693">"ZAPATA"</f>
        <v>ZAPATA</v>
      </c>
      <c r="D18477" t="str">
        <f t="shared" ref="D18477:D18484" si="6694">"09"</f>
        <v>09</v>
      </c>
      <c r="E18477" t="str">
        <f>"04 - A - 104 - Brook E Goren"</f>
        <v>04 - A - 104 - Brook E Goren</v>
      </c>
      <c r="F18477" t="str">
        <f>"ALGEBRA 2 HON"</f>
        <v>ALGEBRA 2 HON</v>
      </c>
      <c r="G18477" t="str">
        <f>"21-2158"</f>
        <v>21-2158</v>
      </c>
      <c r="H18477" t="str">
        <f>"A"</f>
        <v>A</v>
      </c>
    </row>
    <row r="18478" spans="1:8" x14ac:dyDescent="0.2">
      <c r="A18478" t="str">
        <f t="shared" si="6691"/>
        <v>0620079844</v>
      </c>
      <c r="B18478" t="str">
        <f t="shared" si="6692"/>
        <v>AARON</v>
      </c>
      <c r="C18478" t="str">
        <f t="shared" si="6693"/>
        <v>ZAPATA</v>
      </c>
      <c r="D18478" t="str">
        <f t="shared" si="6694"/>
        <v>09</v>
      </c>
      <c r="E18478" t="str">
        <f>"06 - B - 202 - Samantha L Martinez"</f>
        <v>06 - B - 202 - Samantha L Martinez</v>
      </c>
      <c r="F18478" t="str">
        <f>"GUITAR 1"</f>
        <v>GUITAR 1</v>
      </c>
      <c r="G18478" t="str">
        <f>"05-505"</f>
        <v>05-505</v>
      </c>
      <c r="H18478" t="str">
        <f>"B"</f>
        <v>B</v>
      </c>
    </row>
    <row r="18479" spans="1:8" x14ac:dyDescent="0.2">
      <c r="A18479" t="str">
        <f t="shared" si="6691"/>
        <v>0620079844</v>
      </c>
      <c r="B18479" t="str">
        <f t="shared" si="6692"/>
        <v>AARON</v>
      </c>
      <c r="C18479" t="str">
        <f t="shared" si="6693"/>
        <v>ZAPATA</v>
      </c>
      <c r="D18479" t="str">
        <f t="shared" si="6694"/>
        <v>09</v>
      </c>
      <c r="E18479" t="str">
        <f>"03 - A - 202 - Cheryl L Beach"</f>
        <v>03 - A - 202 - Cheryl L Beach</v>
      </c>
      <c r="F18479" t="str">
        <f>"AICE ENV MGMNT AS"</f>
        <v>AICE ENV MGMNT AS</v>
      </c>
      <c r="G18479" t="str">
        <f>"08-811"</f>
        <v>08-811</v>
      </c>
      <c r="H18479" t="str">
        <f>"A"</f>
        <v>A</v>
      </c>
    </row>
    <row r="18480" spans="1:8" x14ac:dyDescent="0.2">
      <c r="A18480" t="str">
        <f t="shared" si="6691"/>
        <v>0620079844</v>
      </c>
      <c r="B18480" t="str">
        <f t="shared" si="6692"/>
        <v>AARON</v>
      </c>
      <c r="C18480" t="str">
        <f t="shared" si="6693"/>
        <v>ZAPATA</v>
      </c>
      <c r="D18480" t="str">
        <f t="shared" si="6694"/>
        <v>09</v>
      </c>
      <c r="E18480" t="str">
        <f>"02 - A - 103 - Arthur  Kulawik"</f>
        <v>02 - A - 103 - Arthur  Kulawik</v>
      </c>
      <c r="F18480" t="str">
        <f>"NC STUDY HALL 1"</f>
        <v>NC STUDY HALL 1</v>
      </c>
      <c r="G18480" t="str">
        <f>"05-506"</f>
        <v>05-506</v>
      </c>
      <c r="H18480" t="str">
        <f>"A"</f>
        <v>A</v>
      </c>
    </row>
    <row r="18481" spans="1:8" x14ac:dyDescent="0.2">
      <c r="A18481" t="str">
        <f t="shared" si="6691"/>
        <v>0620079844</v>
      </c>
      <c r="B18481" t="str">
        <f t="shared" si="6692"/>
        <v>AARON</v>
      </c>
      <c r="C18481" t="str">
        <f t="shared" si="6693"/>
        <v>ZAPATA</v>
      </c>
      <c r="D18481" t="str">
        <f t="shared" si="6694"/>
        <v>09</v>
      </c>
      <c r="E18481" t="str">
        <f>"07 - B - 003 - Brandy N Zdenek"</f>
        <v>07 - B - 003 - Brandy N Zdenek</v>
      </c>
      <c r="F18481" t="str">
        <f>"AICE ENG GEN PAPER 1"</f>
        <v>AICE ENG GEN PAPER 1</v>
      </c>
      <c r="G18481" t="str">
        <f>"17-1704"</f>
        <v>17-1704</v>
      </c>
      <c r="H18481" t="str">
        <f>"B"</f>
        <v>B</v>
      </c>
    </row>
    <row r="18482" spans="1:8" x14ac:dyDescent="0.2">
      <c r="A18482" t="str">
        <f t="shared" si="6691"/>
        <v>0620079844</v>
      </c>
      <c r="B18482" t="str">
        <f t="shared" si="6692"/>
        <v>AARON</v>
      </c>
      <c r="C18482" t="str">
        <f t="shared" si="6693"/>
        <v>ZAPATA</v>
      </c>
      <c r="D18482" t="str">
        <f t="shared" si="6694"/>
        <v>09</v>
      </c>
      <c r="E18482" t="str">
        <f>"05 - B - 201 - Lisa J London"</f>
        <v>05 - B - 201 - Lisa J London</v>
      </c>
      <c r="F18482" t="str">
        <f>"COMPRE LAW HON"</f>
        <v>COMPRE LAW HON</v>
      </c>
      <c r="G18482" t="str">
        <f>"17-1714"</f>
        <v>17-1714</v>
      </c>
      <c r="H18482" t="str">
        <f>"B"</f>
        <v>B</v>
      </c>
    </row>
    <row r="18483" spans="1:8" x14ac:dyDescent="0.2">
      <c r="A18483" t="str">
        <f t="shared" si="6691"/>
        <v>0620079844</v>
      </c>
      <c r="B18483" t="str">
        <f t="shared" si="6692"/>
        <v>AARON</v>
      </c>
      <c r="C18483" t="str">
        <f t="shared" si="6693"/>
        <v>ZAPATA</v>
      </c>
      <c r="D18483" t="str">
        <f t="shared" si="6694"/>
        <v>09</v>
      </c>
      <c r="E18483" t="str">
        <f>"01 - A - 101 - Vanessa J Liburd"</f>
        <v>01 - A - 101 - Vanessa J Liburd</v>
      </c>
      <c r="F18483" t="str">
        <f>"PRE-AICE FRENCH 1 IG"</f>
        <v>PRE-AICE FRENCH 1 IG</v>
      </c>
      <c r="G18483" t="str">
        <f>"05-519"</f>
        <v>05-519</v>
      </c>
      <c r="H18483" t="str">
        <f>"A"</f>
        <v>A</v>
      </c>
    </row>
    <row r="18484" spans="1:8" x14ac:dyDescent="0.2">
      <c r="A18484" t="str">
        <f t="shared" si="6691"/>
        <v>0620079844</v>
      </c>
      <c r="B18484" t="str">
        <f t="shared" si="6692"/>
        <v>AARON</v>
      </c>
      <c r="C18484" t="str">
        <f t="shared" si="6693"/>
        <v>ZAPATA</v>
      </c>
      <c r="D18484" t="str">
        <f t="shared" si="6694"/>
        <v>09</v>
      </c>
      <c r="E18484" t="str">
        <f>"08 - B - 109 - Emmily A Sarmiento"</f>
        <v>08 - B - 109 - Emmily A Sarmiento</v>
      </c>
      <c r="F18484" t="str">
        <f>"AICE GLBL PERSP 1 AS"</f>
        <v>AICE GLBL PERSP 1 AS</v>
      </c>
      <c r="G18484" t="str">
        <f>"17-1743"</f>
        <v>17-1743</v>
      </c>
      <c r="H18484" t="str">
        <f>"B"</f>
        <v>B</v>
      </c>
    </row>
    <row r="18485" spans="1:8" x14ac:dyDescent="0.2">
      <c r="A18485" t="str">
        <f t="shared" ref="A18485:A18492" si="6695">"0613095776"</f>
        <v>0613095776</v>
      </c>
      <c r="B18485" t="str">
        <f t="shared" ref="B18485:B18492" si="6696">"KYLIE"</f>
        <v>KYLIE</v>
      </c>
      <c r="C18485" t="str">
        <f t="shared" ref="C18485:C18492" si="6697">"ZENO"</f>
        <v>ZENO</v>
      </c>
      <c r="D18485">
        <f>12</f>
        <v>12</v>
      </c>
      <c r="E18485" t="str">
        <f>"04 - A - 205 - Robyn L Trainer"</f>
        <v>04 - A - 205 - Robyn L Trainer</v>
      </c>
      <c r="F18485" t="str">
        <f>"ENG 4: FL COLL PREP"</f>
        <v>ENG 4: FL COLL PREP</v>
      </c>
      <c r="G18485" t="str">
        <f>"17-1734"</f>
        <v>17-1734</v>
      </c>
      <c r="H18485" t="str">
        <f>"A"</f>
        <v>A</v>
      </c>
    </row>
    <row r="18486" spans="1:8" x14ac:dyDescent="0.2">
      <c r="A18486" t="str">
        <f t="shared" si="6695"/>
        <v>0613095776</v>
      </c>
      <c r="B18486" t="str">
        <f t="shared" si="6696"/>
        <v>KYLIE</v>
      </c>
      <c r="C18486" t="str">
        <f t="shared" si="6697"/>
        <v>ZENO</v>
      </c>
      <c r="D18486">
        <f>12</f>
        <v>12</v>
      </c>
      <c r="E18486" t="str">
        <f>"06 - B - 107 - Pamela M Corzo"</f>
        <v>06 - B - 107 - Pamela M Corzo</v>
      </c>
      <c r="F18486" t="str">
        <f>"NC STUDY HALL 1"</f>
        <v>NC STUDY HALL 1</v>
      </c>
      <c r="G18486" t="str">
        <f>"21-2133"</f>
        <v>21-2133</v>
      </c>
      <c r="H18486" t="str">
        <f>"B"</f>
        <v>B</v>
      </c>
    </row>
    <row r="18487" spans="1:8" x14ac:dyDescent="0.2">
      <c r="A18487" t="str">
        <f t="shared" si="6695"/>
        <v>0613095776</v>
      </c>
      <c r="B18487" t="str">
        <f t="shared" si="6696"/>
        <v>KYLIE</v>
      </c>
      <c r="C18487" t="str">
        <f t="shared" si="6697"/>
        <v>ZENO</v>
      </c>
      <c r="D18487">
        <f>12</f>
        <v>12</v>
      </c>
      <c r="E18487" t="str">
        <f>"03 - A - 101 - Brian M Fitzgerald"</f>
        <v>03 - A - 101 - Brian M Fitzgerald</v>
      </c>
      <c r="F18487" t="str">
        <f>"SCULPT 1"</f>
        <v>SCULPT 1</v>
      </c>
      <c r="G18487" t="str">
        <f>"09-908"</f>
        <v>09-908</v>
      </c>
      <c r="H18487" t="str">
        <f>"A"</f>
        <v>A</v>
      </c>
    </row>
    <row r="18488" spans="1:8" x14ac:dyDescent="0.2">
      <c r="A18488" t="str">
        <f t="shared" si="6695"/>
        <v>0613095776</v>
      </c>
      <c r="B18488" t="str">
        <f t="shared" si="6696"/>
        <v>KYLIE</v>
      </c>
      <c r="C18488" t="str">
        <f t="shared" si="6697"/>
        <v>ZENO</v>
      </c>
      <c r="D18488">
        <f>12</f>
        <v>12</v>
      </c>
      <c r="E18488" t="str">
        <f>"02 - S1 - A - 104 - Robert O Burger"</f>
        <v>02 - S1 - A - 104 - Robert O Burger</v>
      </c>
      <c r="F18488" t="str">
        <f>"US GOVT"</f>
        <v>US GOVT</v>
      </c>
      <c r="G18488" t="str">
        <f>"17-1755"</f>
        <v>17-1755</v>
      </c>
      <c r="H18488" t="str">
        <f>"A"</f>
        <v>A</v>
      </c>
    </row>
    <row r="18489" spans="1:8" x14ac:dyDescent="0.2">
      <c r="A18489" t="str">
        <f t="shared" si="6695"/>
        <v>0613095776</v>
      </c>
      <c r="B18489" t="str">
        <f t="shared" si="6696"/>
        <v>KYLIE</v>
      </c>
      <c r="C18489" t="str">
        <f t="shared" si="6697"/>
        <v>ZENO</v>
      </c>
      <c r="D18489">
        <f>12</f>
        <v>12</v>
      </c>
      <c r="E18489" t="str">
        <f>"07 - B - 201 - Angela S Adeshina-Morrison"</f>
        <v>07 - B - 201 - Angela S Adeshina-Morrison</v>
      </c>
      <c r="F18489" t="str">
        <f>"BUSINESS OWNER HON"</f>
        <v>BUSINESS OWNER HON</v>
      </c>
      <c r="G18489" t="str">
        <f>"05-518"</f>
        <v>05-518</v>
      </c>
      <c r="H18489" t="str">
        <f>"B"</f>
        <v>B</v>
      </c>
    </row>
    <row r="18490" spans="1:8" x14ac:dyDescent="0.2">
      <c r="A18490" t="str">
        <f t="shared" si="6695"/>
        <v>0613095776</v>
      </c>
      <c r="B18490" t="str">
        <f t="shared" si="6696"/>
        <v>KYLIE</v>
      </c>
      <c r="C18490" t="str">
        <f t="shared" si="6697"/>
        <v>ZENO</v>
      </c>
      <c r="D18490">
        <f>12</f>
        <v>12</v>
      </c>
      <c r="E18490" t="str">
        <f>"05 - B - 204 - Cliffon  Saurel"</f>
        <v>05 - B - 204 - Cliffon  Saurel</v>
      </c>
      <c r="F18490" t="str">
        <f>"PHYSICAL SCI"</f>
        <v>PHYSICAL SCI</v>
      </c>
      <c r="G18490" t="str">
        <f>"05-522"</f>
        <v>05-522</v>
      </c>
      <c r="H18490" t="str">
        <f>"B"</f>
        <v>B</v>
      </c>
    </row>
    <row r="18491" spans="1:8" x14ac:dyDescent="0.2">
      <c r="A18491" t="str">
        <f t="shared" si="6695"/>
        <v>0613095776</v>
      </c>
      <c r="B18491" t="str">
        <f t="shared" si="6696"/>
        <v>KYLIE</v>
      </c>
      <c r="C18491" t="str">
        <f t="shared" si="6697"/>
        <v>ZENO</v>
      </c>
      <c r="D18491">
        <f>12</f>
        <v>12</v>
      </c>
      <c r="E18491" t="str">
        <f>"01 - A - 102 - Robert H Rindner"</f>
        <v>01 - A - 102 - Robert H Rindner</v>
      </c>
      <c r="F18491" t="str">
        <f>"MATH DATA&amp;FIN LIT H"</f>
        <v>MATH DATA&amp;FIN LIT H</v>
      </c>
      <c r="G18491" t="str">
        <f>"21-2160"</f>
        <v>21-2160</v>
      </c>
      <c r="H18491" t="str">
        <f>"A"</f>
        <v>A</v>
      </c>
    </row>
    <row r="18492" spans="1:8" x14ac:dyDescent="0.2">
      <c r="A18492" t="str">
        <f t="shared" si="6695"/>
        <v>0613095776</v>
      </c>
      <c r="B18492" t="str">
        <f t="shared" si="6696"/>
        <v>KYLIE</v>
      </c>
      <c r="C18492" t="str">
        <f t="shared" si="6697"/>
        <v>ZENO</v>
      </c>
      <c r="D18492">
        <f>12</f>
        <v>12</v>
      </c>
      <c r="E18492" t="str">
        <f>"08 - S1 - B - 104 - Leslie J Barton"</f>
        <v>08 - S1 - B - 104 - Leslie J Barton</v>
      </c>
      <c r="F18492" t="str">
        <f>"TEAM SPORTS 1"</f>
        <v>TEAM SPORTS 1</v>
      </c>
      <c r="G18492" t="str">
        <f>"04-254"</f>
        <v>04-254</v>
      </c>
      <c r="H18492" t="str">
        <f>"B"</f>
        <v>B</v>
      </c>
    </row>
    <row r="18493" spans="1:8" x14ac:dyDescent="0.2">
      <c r="A18493" t="str">
        <f t="shared" ref="A18493:A18500" si="6698">"0616095870"</f>
        <v>0616095870</v>
      </c>
      <c r="B18493" t="str">
        <f t="shared" ref="B18493:B18500" si="6699">"RUBENSON"</f>
        <v>RUBENSON</v>
      </c>
      <c r="C18493" t="str">
        <f t="shared" ref="C18493:C18500" si="6700">"ZEPHY"</f>
        <v>ZEPHY</v>
      </c>
      <c r="D18493">
        <f>10</f>
        <v>10</v>
      </c>
      <c r="E18493" t="str">
        <f>"04 - A - 005 - Emmily A Sarmiento"</f>
        <v>04 - A - 005 - Emmily A Sarmiento</v>
      </c>
      <c r="F18493" t="str">
        <f>"AICE GLBL PERSP 1 AS"</f>
        <v>AICE GLBL PERSP 1 AS</v>
      </c>
      <c r="G18493" t="str">
        <f>"17-1743"</f>
        <v>17-1743</v>
      </c>
      <c r="H18493" t="str">
        <f>"A"</f>
        <v>A</v>
      </c>
    </row>
    <row r="18494" spans="1:8" x14ac:dyDescent="0.2">
      <c r="A18494" t="str">
        <f t="shared" si="6698"/>
        <v>0616095870</v>
      </c>
      <c r="B18494" t="str">
        <f t="shared" si="6699"/>
        <v>RUBENSON</v>
      </c>
      <c r="C18494" t="str">
        <f t="shared" si="6700"/>
        <v>ZEPHY</v>
      </c>
      <c r="D18494">
        <f>10</f>
        <v>10</v>
      </c>
      <c r="E18494" t="str">
        <f>"06 - B - 116 - Jordana K Hass"</f>
        <v>06 - B - 116 - Jordana K Hass</v>
      </c>
      <c r="F18494" t="str">
        <f>"NC STUDY HALL 1"</f>
        <v>NC STUDY HALL 1</v>
      </c>
      <c r="G18494" t="str">
        <f>"08-807"</f>
        <v>08-807</v>
      </c>
      <c r="H18494" t="str">
        <f>"B"</f>
        <v>B</v>
      </c>
    </row>
    <row r="18495" spans="1:8" x14ac:dyDescent="0.2">
      <c r="A18495" t="str">
        <f t="shared" si="6698"/>
        <v>0616095870</v>
      </c>
      <c r="B18495" t="str">
        <f t="shared" si="6699"/>
        <v>RUBENSON</v>
      </c>
      <c r="C18495" t="str">
        <f t="shared" si="6700"/>
        <v>ZEPHY</v>
      </c>
      <c r="D18495">
        <f>10</f>
        <v>10</v>
      </c>
      <c r="E18495" t="str">
        <f>"03 - A - 103 - Marius D Orsolini"</f>
        <v>03 - A - 103 - Marius D Orsolini</v>
      </c>
      <c r="F18495" t="str">
        <f>"CULINARY ARTS 1"</f>
        <v>CULINARY ARTS 1</v>
      </c>
      <c r="G18495" t="str">
        <f>"21-2115"</f>
        <v>21-2115</v>
      </c>
      <c r="H18495" t="str">
        <f>"A"</f>
        <v>A</v>
      </c>
    </row>
    <row r="18496" spans="1:8" x14ac:dyDescent="0.2">
      <c r="A18496" t="str">
        <f t="shared" si="6698"/>
        <v>0616095870</v>
      </c>
      <c r="B18496" t="str">
        <f t="shared" si="6699"/>
        <v>RUBENSON</v>
      </c>
      <c r="C18496" t="str">
        <f t="shared" si="6700"/>
        <v>ZEPHY</v>
      </c>
      <c r="D18496">
        <f>10</f>
        <v>10</v>
      </c>
      <c r="E18496" t="str">
        <f>"02 - A - 105 - Semra  Bahadir"</f>
        <v>02 - A - 105 - Semra  Bahadir</v>
      </c>
      <c r="F18496" t="str">
        <f>"ALGEBRA 2"</f>
        <v>ALGEBRA 2</v>
      </c>
      <c r="G18496" t="str">
        <f>"21-2107"</f>
        <v>21-2107</v>
      </c>
      <c r="H18496" t="str">
        <f>"A"</f>
        <v>A</v>
      </c>
    </row>
    <row r="18497" spans="1:8" x14ac:dyDescent="0.2">
      <c r="A18497" t="str">
        <f t="shared" si="6698"/>
        <v>0616095870</v>
      </c>
      <c r="B18497" t="str">
        <f t="shared" si="6699"/>
        <v>RUBENSON</v>
      </c>
      <c r="C18497" t="str">
        <f t="shared" si="6700"/>
        <v>ZEPHY</v>
      </c>
      <c r="D18497">
        <f>10</f>
        <v>10</v>
      </c>
      <c r="E18497" t="str">
        <f>"07 - B - 105 - Joe  Kilpatrick Jr"</f>
        <v>07 - B - 105 - Joe  Kilpatrick Jr</v>
      </c>
      <c r="F18497" t="str">
        <f>"PRE-AICE SPAN 1 IG"</f>
        <v>PRE-AICE SPAN 1 IG</v>
      </c>
      <c r="G18497" t="str">
        <f>"09-912"</f>
        <v>09-912</v>
      </c>
      <c r="H18497" t="str">
        <f>"B"</f>
        <v>B</v>
      </c>
    </row>
    <row r="18498" spans="1:8" x14ac:dyDescent="0.2">
      <c r="A18498" t="str">
        <f t="shared" si="6698"/>
        <v>0616095870</v>
      </c>
      <c r="B18498" t="str">
        <f t="shared" si="6699"/>
        <v>RUBENSON</v>
      </c>
      <c r="C18498" t="str">
        <f t="shared" si="6700"/>
        <v>ZEPHY</v>
      </c>
      <c r="D18498">
        <f>10</f>
        <v>10</v>
      </c>
      <c r="E18498" t="str">
        <f>"05 - B - 204 - Cheryl L Beach"</f>
        <v>05 - B - 204 - Cheryl L Beach</v>
      </c>
      <c r="F18498" t="str">
        <f>"AICE ENV MGMNT AS"</f>
        <v>AICE ENV MGMNT AS</v>
      </c>
      <c r="G18498" t="str">
        <f>"08-811"</f>
        <v>08-811</v>
      </c>
      <c r="H18498" t="str">
        <f>"B"</f>
        <v>B</v>
      </c>
    </row>
    <row r="18499" spans="1:8" x14ac:dyDescent="0.2">
      <c r="A18499" t="str">
        <f t="shared" si="6698"/>
        <v>0616095870</v>
      </c>
      <c r="B18499" t="str">
        <f t="shared" si="6699"/>
        <v>RUBENSON</v>
      </c>
      <c r="C18499" t="str">
        <f t="shared" si="6700"/>
        <v>ZEPHY</v>
      </c>
      <c r="D18499">
        <f>10</f>
        <v>10</v>
      </c>
      <c r="E18499" t="str">
        <f>"01 - A - 101 - Jacquelyn M Neeson"</f>
        <v>01 - A - 101 - Jacquelyn M Neeson</v>
      </c>
      <c r="F18499" t="str">
        <f>"AICE ENG GEN PAPER 1"</f>
        <v>AICE ENG GEN PAPER 1</v>
      </c>
      <c r="G18499" t="str">
        <f>"17-1715"</f>
        <v>17-1715</v>
      </c>
      <c r="H18499" t="str">
        <f>"A"</f>
        <v>A</v>
      </c>
    </row>
    <row r="18500" spans="1:8" x14ac:dyDescent="0.2">
      <c r="A18500" t="str">
        <f t="shared" si="6698"/>
        <v>0616095870</v>
      </c>
      <c r="B18500" t="str">
        <f t="shared" si="6699"/>
        <v>RUBENSON</v>
      </c>
      <c r="C18500" t="str">
        <f t="shared" si="6700"/>
        <v>ZEPHY</v>
      </c>
      <c r="D18500">
        <f>10</f>
        <v>10</v>
      </c>
      <c r="E18500" t="str">
        <f>"08 - B - 202 - Dorothy D Moore"</f>
        <v>08 - B - 202 - Dorothy D Moore</v>
      </c>
      <c r="F18500" t="str">
        <f>"HEALTH SCI 1/A&amp;P HON"</f>
        <v>HEALTH SCI 1/A&amp;P HON</v>
      </c>
      <c r="G18500" t="str">
        <f>"08-803"</f>
        <v>08-803</v>
      </c>
      <c r="H18500" t="str">
        <f>"B"</f>
        <v>B</v>
      </c>
    </row>
    <row r="18501" spans="1:8" x14ac:dyDescent="0.2">
      <c r="A18501" t="str">
        <f t="shared" ref="A18501:A18508" si="6701">"0617039786"</f>
        <v>0617039786</v>
      </c>
      <c r="B18501" t="str">
        <f t="shared" ref="B18501:B18508" si="6702">"AARON"</f>
        <v>AARON</v>
      </c>
      <c r="C18501" t="str">
        <f t="shared" ref="C18501:C18508" si="6703">"ZHANG"</f>
        <v>ZHANG</v>
      </c>
      <c r="D18501" t="str">
        <f t="shared" ref="D18501:D18508" si="6704">"09"</f>
        <v>09</v>
      </c>
      <c r="E18501" t="str">
        <f>"04 - A - 104 - Brook E Goren"</f>
        <v>04 - A - 104 - Brook E Goren</v>
      </c>
      <c r="F18501" t="str">
        <f>"ALGEBRA 2 HON"</f>
        <v>ALGEBRA 2 HON</v>
      </c>
      <c r="G18501" t="str">
        <f>"21-2158"</f>
        <v>21-2158</v>
      </c>
      <c r="H18501" t="str">
        <f>"A"</f>
        <v>A</v>
      </c>
    </row>
    <row r="18502" spans="1:8" x14ac:dyDescent="0.2">
      <c r="A18502" t="str">
        <f t="shared" si="6701"/>
        <v>0617039786</v>
      </c>
      <c r="B18502" t="str">
        <f t="shared" si="6702"/>
        <v>AARON</v>
      </c>
      <c r="C18502" t="str">
        <f t="shared" si="6703"/>
        <v>ZHANG</v>
      </c>
      <c r="D18502" t="str">
        <f t="shared" si="6704"/>
        <v>09</v>
      </c>
      <c r="E18502" t="str">
        <f>"06 - B - 104 - Eva T Rimmer"</f>
        <v>06 - B - 104 - Eva T Rimmer</v>
      </c>
      <c r="F18502" t="str">
        <f>"CRIMINAL JUST OPS 1"</f>
        <v>CRIMINAL JUST OPS 1</v>
      </c>
      <c r="G18502" t="str">
        <f>"05-523"</f>
        <v>05-523</v>
      </c>
      <c r="H18502" t="str">
        <f>"B"</f>
        <v>B</v>
      </c>
    </row>
    <row r="18503" spans="1:8" x14ac:dyDescent="0.2">
      <c r="A18503" t="str">
        <f t="shared" si="6701"/>
        <v>0617039786</v>
      </c>
      <c r="B18503" t="str">
        <f t="shared" si="6702"/>
        <v>AARON</v>
      </c>
      <c r="C18503" t="str">
        <f t="shared" si="6703"/>
        <v>ZHANG</v>
      </c>
      <c r="D18503" t="str">
        <f t="shared" si="6704"/>
        <v>09</v>
      </c>
      <c r="E18503" t="str">
        <f>"03 - S1 - A - 102 - Leslie J Barton"</f>
        <v>03 - S1 - A - 102 - Leslie J Barton</v>
      </c>
      <c r="F18503" t="str">
        <f>"FIRST AID SAFETY"</f>
        <v>FIRST AID SAFETY</v>
      </c>
      <c r="G18503" t="str">
        <f>"05-521"</f>
        <v>05-521</v>
      </c>
      <c r="H18503" t="str">
        <f>"A"</f>
        <v>A</v>
      </c>
    </row>
    <row r="18504" spans="1:8" x14ac:dyDescent="0.2">
      <c r="A18504" t="str">
        <f t="shared" si="6701"/>
        <v>0617039786</v>
      </c>
      <c r="B18504" t="str">
        <f t="shared" si="6702"/>
        <v>AARON</v>
      </c>
      <c r="C18504" t="str">
        <f t="shared" si="6703"/>
        <v>ZHANG</v>
      </c>
      <c r="D18504" t="str">
        <f t="shared" si="6704"/>
        <v>09</v>
      </c>
      <c r="E18504" t="str">
        <f>"02 - A - 114 - Laselleda D Shaw"</f>
        <v>02 - A - 114 - Laselleda D Shaw</v>
      </c>
      <c r="F18504" t="str">
        <f>"NC STUDY HALL 1"</f>
        <v>NC STUDY HALL 1</v>
      </c>
      <c r="G18504" t="str">
        <f>"17-1723"</f>
        <v>17-1723</v>
      </c>
      <c r="H18504" t="str">
        <f>"A"</f>
        <v>A</v>
      </c>
    </row>
    <row r="18505" spans="1:8" x14ac:dyDescent="0.2">
      <c r="A18505" t="str">
        <f t="shared" si="6701"/>
        <v>0617039786</v>
      </c>
      <c r="B18505" t="str">
        <f t="shared" si="6702"/>
        <v>AARON</v>
      </c>
      <c r="C18505" t="str">
        <f t="shared" si="6703"/>
        <v>ZHANG</v>
      </c>
      <c r="D18505" t="str">
        <f t="shared" si="6704"/>
        <v>09</v>
      </c>
      <c r="E18505" t="str">
        <f>"07 - B - 107 - Marius D Orsolini"</f>
        <v>07 - B - 107 - Marius D Orsolini</v>
      </c>
      <c r="F18505" t="str">
        <f>"CULINARY ARTS 1"</f>
        <v>CULINARY ARTS 1</v>
      </c>
      <c r="G18505" t="str">
        <f>"21-2115"</f>
        <v>21-2115</v>
      </c>
      <c r="H18505" t="str">
        <f>"B"</f>
        <v>B</v>
      </c>
    </row>
    <row r="18506" spans="1:8" x14ac:dyDescent="0.2">
      <c r="A18506" t="str">
        <f t="shared" si="6701"/>
        <v>0617039786</v>
      </c>
      <c r="B18506" t="str">
        <f t="shared" si="6702"/>
        <v>AARON</v>
      </c>
      <c r="C18506" t="str">
        <f t="shared" si="6703"/>
        <v>ZHANG</v>
      </c>
      <c r="D18506" t="str">
        <f t="shared" si="6704"/>
        <v>09</v>
      </c>
      <c r="E18506" t="str">
        <f>"05 - B - 204 - Cheryl L Beach"</f>
        <v>05 - B - 204 - Cheryl L Beach</v>
      </c>
      <c r="F18506" t="str">
        <f>"AICE ENV MGMNT AS"</f>
        <v>AICE ENV MGMNT AS</v>
      </c>
      <c r="G18506" t="str">
        <f>"08-811"</f>
        <v>08-811</v>
      </c>
      <c r="H18506" t="str">
        <f>"B"</f>
        <v>B</v>
      </c>
    </row>
    <row r="18507" spans="1:8" x14ac:dyDescent="0.2">
      <c r="A18507" t="str">
        <f t="shared" si="6701"/>
        <v>0617039786</v>
      </c>
      <c r="B18507" t="str">
        <f t="shared" si="6702"/>
        <v>AARON</v>
      </c>
      <c r="C18507" t="str">
        <f t="shared" si="6703"/>
        <v>ZHANG</v>
      </c>
      <c r="D18507" t="str">
        <f t="shared" si="6704"/>
        <v>09</v>
      </c>
      <c r="E18507" t="str">
        <f>"01 - A - 002 - Krystal Marie  Beruty"</f>
        <v>01 - A - 002 - Krystal Marie  Beruty</v>
      </c>
      <c r="F18507" t="str">
        <f>"AICE GLBL PERSP 1 AS"</f>
        <v>AICE GLBL PERSP 1 AS</v>
      </c>
      <c r="G18507" t="str">
        <f>"17-1721"</f>
        <v>17-1721</v>
      </c>
      <c r="H18507" t="str">
        <f>"A"</f>
        <v>A</v>
      </c>
    </row>
    <row r="18508" spans="1:8" x14ac:dyDescent="0.2">
      <c r="A18508" t="str">
        <f t="shared" si="6701"/>
        <v>0617039786</v>
      </c>
      <c r="B18508" t="str">
        <f t="shared" si="6702"/>
        <v>AARON</v>
      </c>
      <c r="C18508" t="str">
        <f t="shared" si="6703"/>
        <v>ZHANG</v>
      </c>
      <c r="D18508" t="str">
        <f t="shared" si="6704"/>
        <v>09</v>
      </c>
      <c r="E18508" t="str">
        <f>"08 - B - 004 - Cheryl Anne  Berman-Schechter"</f>
        <v>08 - B - 004 - Cheryl Anne  Berman-Schechter</v>
      </c>
      <c r="F18508" t="str">
        <f>"AICE ENG GEN PAPER 1"</f>
        <v>AICE ENG GEN PAPER 1</v>
      </c>
      <c r="G18508" t="str">
        <f>"17-1722"</f>
        <v>17-1722</v>
      </c>
      <c r="H18508" t="str">
        <f>"B"</f>
        <v>B</v>
      </c>
    </row>
    <row r="18509" spans="1:8" x14ac:dyDescent="0.2">
      <c r="A18509" t="str">
        <f t="shared" ref="A18509:A18516" si="6705">"0622093072"</f>
        <v>0622093072</v>
      </c>
      <c r="B18509" t="str">
        <f t="shared" ref="B18509:B18516" si="6706">"DAVID"</f>
        <v>DAVID</v>
      </c>
      <c r="C18509" t="str">
        <f t="shared" ref="C18509:C18516" si="6707">"ZUARCE DELGADO"</f>
        <v>ZUARCE DELGADO</v>
      </c>
      <c r="D18509">
        <f>10</f>
        <v>10</v>
      </c>
      <c r="E18509" t="str">
        <f>"04 - A - 004 - Krystal Marie  Beruty"</f>
        <v>04 - A - 004 - Krystal Marie  Beruty</v>
      </c>
      <c r="F18509" t="str">
        <f>"AICE GLBL PERSP 1 AS"</f>
        <v>AICE GLBL PERSP 1 AS</v>
      </c>
      <c r="G18509" t="str">
        <f>"17-1721"</f>
        <v>17-1721</v>
      </c>
      <c r="H18509" t="str">
        <f>"A"</f>
        <v>A</v>
      </c>
    </row>
    <row r="18510" spans="1:8" x14ac:dyDescent="0.2">
      <c r="A18510" t="str">
        <f t="shared" si="6705"/>
        <v>0622093072</v>
      </c>
      <c r="B18510" t="str">
        <f t="shared" si="6706"/>
        <v>DAVID</v>
      </c>
      <c r="C18510" t="str">
        <f t="shared" si="6707"/>
        <v>ZUARCE DELGADO</v>
      </c>
      <c r="D18510">
        <f>10</f>
        <v>10</v>
      </c>
      <c r="E18510" t="str">
        <f>"06 - B - 104 - Robert H Rindner"</f>
        <v>06 - B - 104 - Robert H Rindner</v>
      </c>
      <c r="F18510" t="str">
        <f>"NC STUDY HALL 1"</f>
        <v>NC STUDY HALL 1</v>
      </c>
      <c r="G18510" t="str">
        <f>"21-2160"</f>
        <v>21-2160</v>
      </c>
      <c r="H18510" t="str">
        <f>"B"</f>
        <v>B</v>
      </c>
    </row>
    <row r="18511" spans="1:8" x14ac:dyDescent="0.2">
      <c r="A18511" t="str">
        <f t="shared" si="6705"/>
        <v>0622093072</v>
      </c>
      <c r="B18511" t="str">
        <f t="shared" si="6706"/>
        <v>DAVID</v>
      </c>
      <c r="C18511" t="str">
        <f t="shared" si="6707"/>
        <v>ZUARCE DELGADO</v>
      </c>
      <c r="D18511">
        <f>10</f>
        <v>10</v>
      </c>
      <c r="E18511" t="str">
        <f>"03 - A - 201 - Alejandro  Navarro"</f>
        <v>03 - A - 201 - Alejandro  Navarro</v>
      </c>
      <c r="F18511" t="str">
        <f>"BAND 2"</f>
        <v>BAND 2</v>
      </c>
      <c r="G18511" t="str">
        <f>"05-504"</f>
        <v>05-504</v>
      </c>
      <c r="H18511" t="str">
        <f>"A"</f>
        <v>A</v>
      </c>
    </row>
    <row r="18512" spans="1:8" x14ac:dyDescent="0.2">
      <c r="A18512" t="str">
        <f t="shared" si="6705"/>
        <v>0622093072</v>
      </c>
      <c r="B18512" t="str">
        <f t="shared" si="6706"/>
        <v>DAVID</v>
      </c>
      <c r="C18512" t="str">
        <f t="shared" si="6707"/>
        <v>ZUARCE DELGADO</v>
      </c>
      <c r="D18512">
        <f>10</f>
        <v>10</v>
      </c>
      <c r="E18512" t="str">
        <f>"02 - A - 102 - Jacklyn M James"</f>
        <v>02 - A - 102 - Jacklyn M James</v>
      </c>
      <c r="F18512" t="str">
        <f>"AICE ENG LANG AS"</f>
        <v>AICE ENG LANG AS</v>
      </c>
      <c r="G18512" t="str">
        <f>"17-1731"</f>
        <v>17-1731</v>
      </c>
      <c r="H18512" t="str">
        <f>"A"</f>
        <v>A</v>
      </c>
    </row>
    <row r="18513" spans="1:8" x14ac:dyDescent="0.2">
      <c r="A18513" t="str">
        <f t="shared" si="6705"/>
        <v>0622093072</v>
      </c>
      <c r="B18513" t="str">
        <f t="shared" si="6706"/>
        <v>DAVID</v>
      </c>
      <c r="C18513" t="str">
        <f t="shared" si="6707"/>
        <v>ZUARCE DELGADO</v>
      </c>
      <c r="D18513">
        <f>10</f>
        <v>10</v>
      </c>
      <c r="E18513" t="str">
        <f>"07 - B - 206 - Cheryl L Beach"</f>
        <v>07 - B - 206 - Cheryl L Beach</v>
      </c>
      <c r="F18513" t="str">
        <f>"AICE ENV MGMNT AS"</f>
        <v>AICE ENV MGMNT AS</v>
      </c>
      <c r="G18513" t="str">
        <f>"08-811"</f>
        <v>08-811</v>
      </c>
      <c r="H18513" t="str">
        <f>"B"</f>
        <v>B</v>
      </c>
    </row>
    <row r="18514" spans="1:8" x14ac:dyDescent="0.2">
      <c r="A18514" t="str">
        <f t="shared" si="6705"/>
        <v>0622093072</v>
      </c>
      <c r="B18514" t="str">
        <f t="shared" si="6706"/>
        <v>DAVID</v>
      </c>
      <c r="C18514" t="str">
        <f t="shared" si="6707"/>
        <v>ZUARCE DELGADO</v>
      </c>
      <c r="D18514">
        <f>10</f>
        <v>10</v>
      </c>
      <c r="E18514" t="str">
        <f>"05 - S1 - B - 102 - Carol S Moore"</f>
        <v>05 - S1 - B - 102 - Carol S Moore</v>
      </c>
      <c r="F18514" t="str">
        <f>"PERS FIN &amp; MON MGT H"</f>
        <v>PERS FIN &amp; MON MGT H</v>
      </c>
      <c r="G18514" t="str">
        <f>"17-1733"</f>
        <v>17-1733</v>
      </c>
      <c r="H18514" t="str">
        <f>"B"</f>
        <v>B</v>
      </c>
    </row>
    <row r="18515" spans="1:8" x14ac:dyDescent="0.2">
      <c r="A18515" t="str">
        <f t="shared" si="6705"/>
        <v>0622093072</v>
      </c>
      <c r="B18515" t="str">
        <f t="shared" si="6706"/>
        <v>DAVID</v>
      </c>
      <c r="C18515" t="str">
        <f t="shared" si="6707"/>
        <v>ZUARCE DELGADO</v>
      </c>
      <c r="D18515">
        <f>10</f>
        <v>10</v>
      </c>
      <c r="E18515" t="str">
        <f>"01 - A - 101 - Lourivaldo  Da Silva"</f>
        <v>01 - A - 101 - Lourivaldo  Da Silva</v>
      </c>
      <c r="F18515" t="str">
        <f>"ALGEBRA 2 HON"</f>
        <v>ALGEBRA 2 HON</v>
      </c>
      <c r="G18515" t="str">
        <f>"20-2079"</f>
        <v>20-2079</v>
      </c>
      <c r="H18515" t="str">
        <f>"A"</f>
        <v>A</v>
      </c>
    </row>
    <row r="18516" spans="1:8" x14ac:dyDescent="0.2">
      <c r="A18516" t="str">
        <f t="shared" si="6705"/>
        <v>0622093072</v>
      </c>
      <c r="B18516" t="str">
        <f t="shared" si="6706"/>
        <v>DAVID</v>
      </c>
      <c r="C18516" t="str">
        <f t="shared" si="6707"/>
        <v>ZUARCE DELGADO</v>
      </c>
      <c r="D18516">
        <f>10</f>
        <v>10</v>
      </c>
      <c r="E18516" t="str">
        <f>"08 - S1 - B - 104 - Leslie J Barton"</f>
        <v>08 - S1 - B - 104 - Leslie J Barton</v>
      </c>
      <c r="F18516" t="str">
        <f>"TEAM SPORTS 1"</f>
        <v>TEAM SPORTS 1</v>
      </c>
      <c r="G18516" t="str">
        <f>"04-254"</f>
        <v>04-254</v>
      </c>
      <c r="H18516" t="str">
        <f>"B"</f>
        <v>B</v>
      </c>
    </row>
    <row r="18517" spans="1:8" x14ac:dyDescent="0.2">
      <c r="A18517" t="str">
        <f t="shared" ref="A18517:A18524" si="6708">"0617110652"</f>
        <v>0617110652</v>
      </c>
      <c r="B18517" t="str">
        <f t="shared" ref="B18517:B18524" si="6709">"CIELO"</f>
        <v>CIELO</v>
      </c>
      <c r="C18517" t="str">
        <f t="shared" ref="C18517:C18524" si="6710">"ZULETA TOVAR"</f>
        <v>ZULETA TOVAR</v>
      </c>
      <c r="D18517">
        <f>10</f>
        <v>10</v>
      </c>
      <c r="E18517" t="str">
        <f>"04 - S1 - A - 103 - James H Mccann"</f>
        <v>04 - S1 - A - 103 - James H Mccann</v>
      </c>
      <c r="F18517" t="str">
        <f>"PERS FIN &amp; MON MGT H"</f>
        <v>PERS FIN &amp; MON MGT H</v>
      </c>
      <c r="G18517" t="str">
        <f>"17-1716"</f>
        <v>17-1716</v>
      </c>
      <c r="H18517" t="str">
        <f>"A"</f>
        <v>A</v>
      </c>
    </row>
    <row r="18518" spans="1:8" x14ac:dyDescent="0.2">
      <c r="A18518" t="str">
        <f t="shared" si="6708"/>
        <v>0617110652</v>
      </c>
      <c r="B18518" t="str">
        <f t="shared" si="6709"/>
        <v>CIELO</v>
      </c>
      <c r="C18518" t="str">
        <f t="shared" si="6710"/>
        <v>ZULETA TOVAR</v>
      </c>
      <c r="D18518">
        <f>10</f>
        <v>10</v>
      </c>
      <c r="E18518" t="str">
        <f>"06 - B - 103 - Thomas G Handwerg"</f>
        <v>06 - B - 103 - Thomas G Handwerg</v>
      </c>
      <c r="F18518" t="str">
        <f>"NC STUDY HALL 1"</f>
        <v>NC STUDY HALL 1</v>
      </c>
      <c r="G18518" t="str">
        <f>"21-2146"</f>
        <v>21-2146</v>
      </c>
      <c r="H18518" t="str">
        <f>"B"</f>
        <v>B</v>
      </c>
    </row>
    <row r="18519" spans="1:8" x14ac:dyDescent="0.2">
      <c r="A18519" t="str">
        <f t="shared" si="6708"/>
        <v>0617110652</v>
      </c>
      <c r="B18519" t="str">
        <f t="shared" si="6709"/>
        <v>CIELO</v>
      </c>
      <c r="C18519" t="str">
        <f t="shared" si="6710"/>
        <v>ZULETA TOVAR</v>
      </c>
      <c r="D18519">
        <f>10</f>
        <v>10</v>
      </c>
      <c r="E18519" t="str">
        <f>"03 - A - 206 - Josiah I Lacy"</f>
        <v>03 - A - 206 - Josiah I Lacy</v>
      </c>
      <c r="F18519" t="str">
        <f>"BIOLOGY 1"</f>
        <v>BIOLOGY 1</v>
      </c>
      <c r="G18519" t="str">
        <f>"08-801"</f>
        <v>08-801</v>
      </c>
      <c r="H18519" t="str">
        <f>"A"</f>
        <v>A</v>
      </c>
    </row>
    <row r="18520" spans="1:8" x14ac:dyDescent="0.2">
      <c r="A18520" t="str">
        <f t="shared" si="6708"/>
        <v>0617110652</v>
      </c>
      <c r="B18520" t="str">
        <f t="shared" si="6709"/>
        <v>CIELO</v>
      </c>
      <c r="C18520" t="str">
        <f t="shared" si="6710"/>
        <v>ZULETA TOVAR</v>
      </c>
      <c r="D18520">
        <f>10</f>
        <v>10</v>
      </c>
      <c r="E18520" t="str">
        <f>"02 - A - 205 - Emmily A Sarmiento"</f>
        <v>02 - A - 205 - Emmily A Sarmiento</v>
      </c>
      <c r="F18520" t="str">
        <f>"AICE GLBL PERSP 1 AS"</f>
        <v>AICE GLBL PERSP 1 AS</v>
      </c>
      <c r="G18520" t="str">
        <f>"17-1743"</f>
        <v>17-1743</v>
      </c>
      <c r="H18520" t="str">
        <f>"A"</f>
        <v>A</v>
      </c>
    </row>
    <row r="18521" spans="1:8" x14ac:dyDescent="0.2">
      <c r="A18521" t="str">
        <f t="shared" si="6708"/>
        <v>0617110652</v>
      </c>
      <c r="B18521" t="str">
        <f t="shared" si="6709"/>
        <v>CIELO</v>
      </c>
      <c r="C18521" t="str">
        <f t="shared" si="6710"/>
        <v>ZULETA TOVAR</v>
      </c>
      <c r="D18521">
        <f>10</f>
        <v>10</v>
      </c>
      <c r="E18521" t="str">
        <f>"07 - B - 105 - Joe  Kilpatrick Jr"</f>
        <v>07 - B - 105 - Joe  Kilpatrick Jr</v>
      </c>
      <c r="F18521" t="str">
        <f>"PRE-AICE SPAN 1 IG"</f>
        <v>PRE-AICE SPAN 1 IG</v>
      </c>
      <c r="G18521" t="str">
        <f>"09-912"</f>
        <v>09-912</v>
      </c>
      <c r="H18521" t="str">
        <f>"B"</f>
        <v>B</v>
      </c>
    </row>
    <row r="18522" spans="1:8" x14ac:dyDescent="0.2">
      <c r="A18522" t="str">
        <f t="shared" si="6708"/>
        <v>0617110652</v>
      </c>
      <c r="B18522" t="str">
        <f t="shared" si="6709"/>
        <v>CIELO</v>
      </c>
      <c r="C18522" t="str">
        <f t="shared" si="6710"/>
        <v>ZULETA TOVAR</v>
      </c>
      <c r="D18522">
        <f>10</f>
        <v>10</v>
      </c>
      <c r="E18522" t="str">
        <f>"05 - B - 103 - Brook E Goren"</f>
        <v>05 - B - 103 - Brook E Goren</v>
      </c>
      <c r="F18522" t="str">
        <f>"PRE-AICE MATH 2 IG"</f>
        <v>PRE-AICE MATH 2 IG</v>
      </c>
      <c r="G18522" t="str">
        <f>"21-2158"</f>
        <v>21-2158</v>
      </c>
      <c r="H18522" t="str">
        <f>"B"</f>
        <v>B</v>
      </c>
    </row>
    <row r="18523" spans="1:8" x14ac:dyDescent="0.2">
      <c r="A18523" t="str">
        <f t="shared" si="6708"/>
        <v>0617110652</v>
      </c>
      <c r="B18523" t="str">
        <f t="shared" si="6709"/>
        <v>CIELO</v>
      </c>
      <c r="C18523" t="str">
        <f t="shared" si="6710"/>
        <v>ZULETA TOVAR</v>
      </c>
      <c r="D18523">
        <f>10</f>
        <v>10</v>
      </c>
      <c r="E18523" t="str">
        <f>"01 - A - 101 - Byron G Montenegro"</f>
        <v>01 - A - 101 - Byron G Montenegro</v>
      </c>
      <c r="F18523" t="str">
        <f>"AICE MARINE SCI 1 AS"</f>
        <v>AICE MARINE SCI 1 AS</v>
      </c>
      <c r="G18523" t="str">
        <f>"21-2144"</f>
        <v>21-2144</v>
      </c>
      <c r="H18523" t="str">
        <f>"A"</f>
        <v>A</v>
      </c>
    </row>
    <row r="18524" spans="1:8" x14ac:dyDescent="0.2">
      <c r="A18524" t="str">
        <f t="shared" si="6708"/>
        <v>0617110652</v>
      </c>
      <c r="B18524" t="str">
        <f t="shared" si="6709"/>
        <v>CIELO</v>
      </c>
      <c r="C18524" t="str">
        <f t="shared" si="6710"/>
        <v>ZULETA TOVAR</v>
      </c>
      <c r="D18524">
        <f>10</f>
        <v>10</v>
      </c>
      <c r="E18524" t="str">
        <f>"08 - B - 102 - Jacquelyn M Neeson"</f>
        <v>08 - B - 102 - Jacquelyn M Neeson</v>
      </c>
      <c r="F18524" t="str">
        <f>"AICE ENG GEN PAPER 1"</f>
        <v>AICE ENG GEN PAPER 1</v>
      </c>
      <c r="G18524" t="str">
        <f>"17-1715"</f>
        <v>17-1715</v>
      </c>
      <c r="H18524" t="str">
        <f>"B"</f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R.</dc:creator>
  <cp:lastModifiedBy>RJ R.</cp:lastModifiedBy>
  <dcterms:created xsi:type="dcterms:W3CDTF">2025-10-26T01:25:31Z</dcterms:created>
  <dcterms:modified xsi:type="dcterms:W3CDTF">2025-10-26T01:25:31Z</dcterms:modified>
</cp:coreProperties>
</file>